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omments3.xml" ContentType="application/vnd.openxmlformats-officedocument.spreadsheetml.comments+xml"/>
  <Override PartName="/xl/drawings/drawing2.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omments6.xml" ContentType="application/vnd.openxmlformats-officedocument.spreadsheetml.comments+xml"/>
  <Override PartName="/xl/drawings/drawing4.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fileSharing readOnlyRecommended="1"/>
  <workbookPr autoCompressPictures="0"/>
  <bookViews>
    <workbookView xWindow="0" yWindow="0" windowWidth="23256" windowHeight="9732" tabRatio="641" firstSheet="21" activeTab="21"/>
  </bookViews>
  <sheets>
    <sheet name="P.INDIC. CON RUBRO" sheetId="1" state="hidden" r:id="rId1"/>
    <sheet name="P.INDICATIVO ok SGP 7 OCT" sheetId="2" state="hidden" r:id="rId2"/>
    <sheet name="PLAN INDICATIVO (2)" sheetId="3" state="hidden" r:id="rId3"/>
    <sheet name="Ejecución del Presupuesto JULIO" sheetId="4" state="hidden" r:id="rId4"/>
    <sheet name="ODS" sheetId="5" state="hidden" r:id="rId5"/>
    <sheet name="PLAN INDICATIVO" sheetId="6" state="hidden" r:id="rId6"/>
    <sheet name="Hoja2" sheetId="7" state="hidden" r:id="rId7"/>
    <sheet name="PLAN ACCION 2016" sheetId="8" state="hidden" r:id="rId8"/>
    <sheet name="TABLERO 2016" sheetId="9" state="hidden" r:id="rId9"/>
    <sheet name="PROYECTOS PRIORITARIOS" sheetId="10" state="hidden" r:id="rId10"/>
    <sheet name="PI SALUD" sheetId="11" state="hidden" r:id="rId11"/>
    <sheet name="GUIA" sheetId="12" state="hidden" r:id="rId12"/>
    <sheet name="PLAN ACCION 2017" sheetId="13" state="hidden" r:id="rId13"/>
    <sheet name="Hoja3" sheetId="23" state="hidden" r:id="rId14"/>
    <sheet name="Hoja1" sheetId="14" state="hidden" r:id="rId15"/>
    <sheet name="TABLERO 2017" sheetId="15" state="hidden" r:id="rId16"/>
    <sheet name="PLAN ACCION 2018" sheetId="16" state="hidden" r:id="rId17"/>
    <sheet name="Hoja5" sheetId="24" state="hidden" r:id="rId18"/>
    <sheet name="Hoja4" sheetId="17" state="hidden" r:id="rId19"/>
    <sheet name="PLAN ACCION 2018 salud" sheetId="18" state="hidden" r:id="rId20"/>
    <sheet name="TABLERO 2018" sheetId="19" state="hidden" r:id="rId21"/>
    <sheet name="PLAN ACCION 2020" sheetId="20" r:id="rId22"/>
    <sheet name="TABLERO 2019" sheetId="21" state="hidden" r:id="rId23"/>
    <sheet name="Gobierno" sheetId="22" state="hidden" r:id="rId24"/>
  </sheets>
  <externalReferences>
    <externalReference r:id="rId25"/>
    <externalReference r:id="rId26"/>
  </externalReferences>
  <definedNames>
    <definedName name="_xlnm._FilterDatabase" localSheetId="3" hidden="1">'Ejecución del Presupuesto JULIO'!$A$1:$F$701</definedName>
    <definedName name="_xlnm._FilterDatabase" localSheetId="0" hidden="1">'P.INDIC. CON RUBRO'!$B$4:$BL$499</definedName>
    <definedName name="_xlnm._FilterDatabase" localSheetId="1" hidden="1">'P.INDICATIVO ok SGP 7 OCT'!$B$4:$BK$499</definedName>
    <definedName name="_xlnm._FilterDatabase" localSheetId="7" hidden="1">'PLAN ACCION 2016'!$A$4:$CV$500</definedName>
    <definedName name="_xlnm._FilterDatabase" localSheetId="12" hidden="1">'PLAN ACCION 2017'!$A$4:$CW$500</definedName>
    <definedName name="_xlnm._FilterDatabase" localSheetId="16" hidden="1">'PLAN ACCION 2018'!$A$4:$CG$489</definedName>
    <definedName name="_xlnm._FilterDatabase" localSheetId="21" hidden="1">'PLAN ACCION 2020'!$4:$489</definedName>
    <definedName name="_xlnm._FilterDatabase" localSheetId="5" hidden="1">'PLAN INDICATIVO'!$B$4:$BK$490</definedName>
    <definedName name="_xlnm._FilterDatabase" localSheetId="2" hidden="1">'PLAN INDICATIVO (2)'!$B$4:$BK$499</definedName>
    <definedName name="CodSec" localSheetId="3">[1]Listas!$C$4:$C$21</definedName>
    <definedName name="CodSec" localSheetId="23">GUIA!$D$7:$D$24</definedName>
    <definedName name="CodSec" localSheetId="8">GUIA!$D$7:$D$24</definedName>
    <definedName name="CodSec" localSheetId="15">GUIA!$D$7:$D$24</definedName>
    <definedName name="CodSec" localSheetId="20">GUIA!$D$7:$D$24</definedName>
    <definedName name="CodSec" localSheetId="22">GUIA!$D$7:$D$24</definedName>
    <definedName name="COLOR">GUIA!$E$7:$E$10</definedName>
    <definedName name="COOR">GUIA!$H$3:$H$6</definedName>
    <definedName name="DEPENDENCIA" localSheetId="3">[2]GUIA!$F$3:$F$12</definedName>
    <definedName name="DEPENDENCIA">GUIA!$F$3:$F$12</definedName>
    <definedName name="ODS" localSheetId="3">[2]GUIA!$B$3:$B$19</definedName>
    <definedName name="ODS" localSheetId="23">GUIA!$A$7:$A$23</definedName>
    <definedName name="ODS" localSheetId="8">GUIA!$A$7:$A$23</definedName>
    <definedName name="ODS" localSheetId="15">GUIA!$A$7:$A$23</definedName>
    <definedName name="ODS" localSheetId="20">GUIA!$A$7:$A$23</definedName>
    <definedName name="ODS" localSheetId="22">GUIA!$A$7:$A$23</definedName>
    <definedName name="ODS">GUIA!$B$3:$B$19</definedName>
    <definedName name="Resultados" localSheetId="3">'[1]1_Metas_Resultados'!$C$4:$C$53</definedName>
    <definedName name="SECTOR" localSheetId="3">[2]GUIA!$C$3:$C$20</definedName>
    <definedName name="SECTOR">GUIA!$C$3:$C$20</definedName>
    <definedName name="TIPO" localSheetId="3">[2]GUIA!$A$3:$A$5</definedName>
    <definedName name="TIPO" localSheetId="23">GUIA!$B$7:$B$9</definedName>
    <definedName name="TIPO" localSheetId="8">GUIA!$B$7:$B$9</definedName>
    <definedName name="TIPO" localSheetId="15">GUIA!$B$7:$B$9</definedName>
    <definedName name="TIPO" localSheetId="20">GUIA!$B$7:$B$9</definedName>
    <definedName name="TIPO" localSheetId="22">GUIA!$B$7:$B$9</definedName>
    <definedName name="TIPO">GUIA!$A$3:$A$5</definedName>
    <definedName name="TipoMeta" localSheetId="3">[1]Listas!$K$3:$K$5</definedName>
    <definedName name="Z_92B8BA5A_7984_4526_9F7A_187FF856FCAE_.wvu.Cols" localSheetId="23" hidden="1">Gobierno!$B:$B</definedName>
    <definedName name="Z_92B8BA5A_7984_4526_9F7A_187FF856FCAE_.wvu.Cols" localSheetId="0" hidden="1">'P.INDIC. CON RUBRO'!$F:$J,'P.INDIC. CON RUBRO'!$L:$L,'P.INDIC. CON RUBRO'!$S:$U,'P.INDIC. CON RUBRO'!$W:$AG,'P.INDIC. CON RUBRO'!$AO:$BL</definedName>
    <definedName name="Z_92B8BA5A_7984_4526_9F7A_187FF856FCAE_.wvu.Cols" localSheetId="1" hidden="1">'P.INDICATIVO ok SGP 7 OCT'!$A:$J,'P.INDICATIVO ok SGP 7 OCT'!$BD:$BK</definedName>
    <definedName name="Z_92B8BA5A_7984_4526_9F7A_187FF856FCAE_.wvu.Cols" localSheetId="7" hidden="1">'PLAN ACCION 2016'!$A:$E,'PLAN ACCION 2016'!$AW:$BS,'PLAN ACCION 2016'!$BY:$CA</definedName>
    <definedName name="Z_92B8BA5A_7984_4526_9F7A_187FF856FCAE_.wvu.Cols" localSheetId="12" hidden="1">'PLAN ACCION 2017'!$AX:$BT</definedName>
    <definedName name="Z_92B8BA5A_7984_4526_9F7A_187FF856FCAE_.wvu.Cols" localSheetId="16" hidden="1">'PLAN ACCION 2018'!$AB:$AB,'PLAN ACCION 2018'!$AP:$BE,'PLAN ACCION 2018'!$BN:$BU</definedName>
    <definedName name="Z_92B8BA5A_7984_4526_9F7A_187FF856FCAE_.wvu.Cols" localSheetId="19" hidden="1">'PLAN ACCION 2018 salud'!$J:$J,'PLAN ACCION 2018 salud'!$L:$L,'PLAN ACCION 2018 salud'!$Y:$Z</definedName>
    <definedName name="Z_92B8BA5A_7984_4526_9F7A_187FF856FCAE_.wvu.Cols" localSheetId="21" hidden="1">'PLAN ACCION 2020'!$AB:$AB,'PLAN ACCION 2020'!$AP:$BM</definedName>
    <definedName name="Z_92B8BA5A_7984_4526_9F7A_187FF856FCAE_.wvu.Cols" localSheetId="5" hidden="1">'PLAN INDICATIVO'!$R:$R,'PLAN INDICATIVO'!$BD:$BK</definedName>
    <definedName name="Z_92B8BA5A_7984_4526_9F7A_187FF856FCAE_.wvu.Cols" localSheetId="2" hidden="1">'PLAN INDICATIVO (2)'!$A:$J,'PLAN INDICATIVO (2)'!$BD:$BK</definedName>
    <definedName name="Z_92B8BA5A_7984_4526_9F7A_187FF856FCAE_.wvu.Cols" localSheetId="9" hidden="1">'PROYECTOS PRIORITARIOS'!$G:$I</definedName>
    <definedName name="Z_92B8BA5A_7984_4526_9F7A_187FF856FCAE_.wvu.Cols" localSheetId="8" hidden="1">'TABLERO 2016'!$D:$D</definedName>
    <definedName name="Z_92B8BA5A_7984_4526_9F7A_187FF856FCAE_.wvu.Cols" localSheetId="15" hidden="1">'TABLERO 2017'!$D:$D</definedName>
    <definedName name="Z_92B8BA5A_7984_4526_9F7A_187FF856FCAE_.wvu.Cols" localSheetId="20" hidden="1">'TABLERO 2018'!$U:$U,'TABLERO 2018'!$AA:$BC</definedName>
    <definedName name="Z_92B8BA5A_7984_4526_9F7A_187FF856FCAE_.wvu.Cols" localSheetId="22" hidden="1">'TABLERO 2019'!$U:$U</definedName>
    <definedName name="Z_92B8BA5A_7984_4526_9F7A_187FF856FCAE_.wvu.FilterData" localSheetId="3" hidden="1">'Ejecución del Presupuesto JULIO'!$A$1:$F$701</definedName>
    <definedName name="Z_92B8BA5A_7984_4526_9F7A_187FF856FCAE_.wvu.FilterData" localSheetId="0" hidden="1">'P.INDIC. CON RUBRO'!$B$4:$BL$499</definedName>
    <definedName name="Z_92B8BA5A_7984_4526_9F7A_187FF856FCAE_.wvu.FilterData" localSheetId="1" hidden="1">'P.INDICATIVO ok SGP 7 OCT'!$B$4:$BK$499</definedName>
    <definedName name="Z_92B8BA5A_7984_4526_9F7A_187FF856FCAE_.wvu.FilterData" localSheetId="7" hidden="1">'PLAN ACCION 2016'!$A$4:$CV$500</definedName>
    <definedName name="Z_92B8BA5A_7984_4526_9F7A_187FF856FCAE_.wvu.FilterData" localSheetId="12" hidden="1">'PLAN ACCION 2017'!$A$4:$CW$500</definedName>
    <definedName name="Z_92B8BA5A_7984_4526_9F7A_187FF856FCAE_.wvu.FilterData" localSheetId="16" hidden="1">'PLAN ACCION 2018'!$A$4:$CG$489</definedName>
    <definedName name="Z_92B8BA5A_7984_4526_9F7A_187FF856FCAE_.wvu.FilterData" localSheetId="21" hidden="1">'PLAN ACCION 2020'!$A$4:$CG$489</definedName>
    <definedName name="Z_92B8BA5A_7984_4526_9F7A_187FF856FCAE_.wvu.FilterData" localSheetId="5" hidden="1">'PLAN INDICATIVO'!$B$4:$BK$490</definedName>
    <definedName name="Z_92B8BA5A_7984_4526_9F7A_187FF856FCAE_.wvu.FilterData" localSheetId="2" hidden="1">'PLAN INDICATIVO (2)'!$B$4:$BK$499</definedName>
    <definedName name="Z_92B8BA5A_7984_4526_9F7A_187FF856FCAE_.wvu.Rows" localSheetId="0" hidden="1">'P.INDIC. CON RUBRO'!$7:$107,'P.INDIC. CON RUBRO'!$122:$293,'P.INDIC. CON RUBRO'!$295:$329,'P.INDIC. CON RUBRO'!$331:$353,'P.INDIC. CON RUBRO'!$355:$360,'P.INDIC. CON RUBRO'!$402:$444,'P.INDIC. CON RUBRO'!$447:$481</definedName>
    <definedName name="Z_92B8BA5A_7984_4526_9F7A_187FF856FCAE_.wvu.Rows" localSheetId="16" hidden="1">'PLAN ACCION 2018'!$1:$2</definedName>
    <definedName name="Z_92B8BA5A_7984_4526_9F7A_187FF856FCAE_.wvu.Rows" localSheetId="21" hidden="1">'PLAN ACCION 2020'!$1:$2</definedName>
  </definedNames>
  <calcPr calcId="152511"/>
  <customWorkbookViews>
    <customWorkbookView name="Procesos - Vista personalizada" guid="{92B8BA5A-7984-4526-9F7A-187FF856FCAE}" mergeInterval="0" personalView="1" xWindow="301" yWindow="103" windowWidth="1440" windowHeight="760" tabRatio="641" activeSheetId="20"/>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B97" i="20" l="1"/>
  <c r="AB481" i="20" l="1"/>
  <c r="AB321" i="20"/>
  <c r="AB441" i="20"/>
  <c r="AB310" i="20"/>
  <c r="AB307" i="20"/>
  <c r="AB261" i="20" l="1"/>
  <c r="AB233" i="20"/>
  <c r="AB358" i="20"/>
  <c r="AB359" i="20"/>
  <c r="AB353" i="20" l="1"/>
  <c r="AB113" i="20" l="1"/>
  <c r="N414" i="20" l="1"/>
  <c r="N415" i="20"/>
  <c r="N416" i="20"/>
  <c r="N417" i="20"/>
  <c r="N418" i="20"/>
  <c r="N419" i="20"/>
  <c r="N421" i="20"/>
  <c r="BU8" i="20"/>
  <c r="BW190" i="20" l="1"/>
  <c r="BX190" i="20" s="1"/>
  <c r="A14" i="20" l="1"/>
  <c r="A13" i="20"/>
  <c r="AF114" i="20" l="1"/>
  <c r="BF175" i="16" l="1"/>
  <c r="BF169" i="16"/>
  <c r="BM178" i="16" l="1"/>
  <c r="BM290" i="20" l="1"/>
  <c r="BM282" i="20"/>
  <c r="BM279" i="20"/>
  <c r="AE108" i="16" l="1"/>
  <c r="P489" i="20" l="1"/>
  <c r="P213" i="20" l="1"/>
  <c r="CB360" i="20" l="1"/>
  <c r="CG360" i="20" s="1"/>
  <c r="S10" i="21" l="1"/>
  <c r="B8" i="20" l="1"/>
  <c r="AF110" i="20" l="1"/>
  <c r="AD108" i="16" l="1"/>
  <c r="AD111" i="13"/>
  <c r="P9" i="21" l="1"/>
  <c r="P10" i="21"/>
  <c r="P11" i="21"/>
  <c r="CB348" i="20" l="1"/>
  <c r="AP339" i="20" l="1"/>
  <c r="CB149" i="20" l="1"/>
  <c r="CB330" i="20" l="1"/>
  <c r="CG330" i="20" s="1"/>
  <c r="CB130" i="20"/>
  <c r="CB423" i="20"/>
  <c r="CG423" i="20" s="1"/>
  <c r="CA423" i="20"/>
  <c r="CF423" i="20" s="1"/>
  <c r="BZ423" i="20"/>
  <c r="CE423" i="20" s="1"/>
  <c r="BY423" i="20"/>
  <c r="CD423" i="20" s="1"/>
  <c r="BW423" i="20"/>
  <c r="BX423" i="20" s="1"/>
  <c r="CB240" i="20"/>
  <c r="CG240" i="20" s="1"/>
  <c r="CA240" i="20"/>
  <c r="BZ240" i="20"/>
  <c r="CE240" i="20" s="1"/>
  <c r="BY240" i="20"/>
  <c r="CD240" i="20" s="1"/>
  <c r="BW240" i="20"/>
  <c r="BX240" i="20" s="1"/>
  <c r="CB178" i="20"/>
  <c r="CG178" i="20" s="1"/>
  <c r="CA178" i="20"/>
  <c r="CF178" i="20" s="1"/>
  <c r="BZ178" i="20"/>
  <c r="CE178" i="20" s="1"/>
  <c r="BY178" i="20"/>
  <c r="CD178" i="20" s="1"/>
  <c r="BW178" i="20"/>
  <c r="BX178" i="20" s="1"/>
  <c r="CA224" i="20"/>
  <c r="CF224" i="20" s="1"/>
  <c r="CB154" i="20"/>
  <c r="CG154" i="20" s="1"/>
  <c r="CB155" i="20"/>
  <c r="CG155" i="20" s="1"/>
  <c r="CB156" i="20"/>
  <c r="CG156" i="20" s="1"/>
  <c r="CB157" i="20"/>
  <c r="CG157" i="20" s="1"/>
  <c r="CB158" i="20"/>
  <c r="CG158" i="20" s="1"/>
  <c r="CB159" i="20"/>
  <c r="CG159" i="20" s="1"/>
  <c r="CB163" i="20"/>
  <c r="CG163" i="20" s="1"/>
  <c r="CB164" i="20"/>
  <c r="CG164" i="20" s="1"/>
  <c r="BW167" i="20"/>
  <c r="CB167" i="20" s="1"/>
  <c r="CG167" i="20" s="1"/>
  <c r="CB168" i="20"/>
  <c r="CG168" i="20" s="1"/>
  <c r="CB170" i="20"/>
  <c r="CG170" i="20" s="1"/>
  <c r="CB198" i="20"/>
  <c r="CG198" i="20" s="1"/>
  <c r="BW9" i="20"/>
  <c r="BW8" i="20"/>
  <c r="CB8" i="20" s="1"/>
  <c r="CG8" i="20" s="1"/>
  <c r="BW10" i="20"/>
  <c r="CB10" i="20" s="1"/>
  <c r="CG10" i="20" s="1"/>
  <c r="BW11" i="20"/>
  <c r="CB11" i="20" s="1"/>
  <c r="CG11" i="20" s="1"/>
  <c r="BW12" i="20"/>
  <c r="CB12" i="20" s="1"/>
  <c r="CG12" i="20" s="1"/>
  <c r="BW13" i="20"/>
  <c r="BX13" i="20" s="1"/>
  <c r="CB13" i="20"/>
  <c r="CG13" i="20" s="1"/>
  <c r="BW14" i="20"/>
  <c r="CB14" i="20" s="1"/>
  <c r="CG14" i="20" s="1"/>
  <c r="CB15" i="20"/>
  <c r="CG15" i="20" s="1"/>
  <c r="CB16" i="20"/>
  <c r="CG16" i="20" s="1"/>
  <c r="BW17" i="20"/>
  <c r="BX17" i="20" s="1"/>
  <c r="CB17" i="20"/>
  <c r="CG17" i="20" s="1"/>
  <c r="BW18" i="20"/>
  <c r="CB18" i="20" s="1"/>
  <c r="CG18" i="20" s="1"/>
  <c r="CB19" i="20"/>
  <c r="CG19" i="20" s="1"/>
  <c r="BW20" i="20"/>
  <c r="CB20" i="20" s="1"/>
  <c r="CG20" i="20" s="1"/>
  <c r="CB21" i="20"/>
  <c r="CG21" i="20" s="1"/>
  <c r="CB22" i="20"/>
  <c r="CG22" i="20" s="1"/>
  <c r="CB24" i="20"/>
  <c r="CG24" i="20" s="1"/>
  <c r="CB25" i="20"/>
  <c r="CG25" i="20" s="1"/>
  <c r="CB26" i="20"/>
  <c r="CG26" i="20" s="1"/>
  <c r="CB27" i="20"/>
  <c r="CG27" i="20" s="1"/>
  <c r="CB28" i="20"/>
  <c r="CG28" i="20" s="1"/>
  <c r="CB29" i="20"/>
  <c r="CG29" i="20" s="1"/>
  <c r="CB30" i="20"/>
  <c r="CG30" i="20" s="1"/>
  <c r="CB31" i="20"/>
  <c r="CG31" i="20" s="1"/>
  <c r="CB32" i="20"/>
  <c r="CG32" i="20" s="1"/>
  <c r="CG33" i="20"/>
  <c r="CB34" i="20"/>
  <c r="CG34" i="20" s="1"/>
  <c r="CB35" i="20"/>
  <c r="CG35" i="20" s="1"/>
  <c r="CB36" i="20"/>
  <c r="CG36" i="20" s="1"/>
  <c r="CB37" i="20"/>
  <c r="CG37" i="20" s="1"/>
  <c r="CB38" i="20"/>
  <c r="CG38" i="20" s="1"/>
  <c r="CB39" i="20"/>
  <c r="CG39" i="20" s="1"/>
  <c r="CB40" i="20"/>
  <c r="CG40" i="20" s="1"/>
  <c r="CB41" i="20"/>
  <c r="CG41" i="20" s="1"/>
  <c r="CB43" i="20"/>
  <c r="CG43" i="20" s="1"/>
  <c r="CB44" i="20"/>
  <c r="CG44" i="20" s="1"/>
  <c r="CB45" i="20"/>
  <c r="CG45" i="20" s="1"/>
  <c r="CB46" i="20"/>
  <c r="CG46" i="20" s="1"/>
  <c r="CB51" i="20"/>
  <c r="CG51" i="20" s="1"/>
  <c r="CB52" i="20"/>
  <c r="CG52" i="20" s="1"/>
  <c r="CB53" i="20"/>
  <c r="CG53" i="20" s="1"/>
  <c r="CB54" i="20"/>
  <c r="CG54" i="20" s="1"/>
  <c r="CB55" i="20"/>
  <c r="CG55" i="20" s="1"/>
  <c r="CB56" i="20"/>
  <c r="CG56" i="20" s="1"/>
  <c r="CB57" i="20"/>
  <c r="CG57" i="20" s="1"/>
  <c r="CB58" i="20"/>
  <c r="CG58" i="20" s="1"/>
  <c r="CB59" i="20"/>
  <c r="CG59" i="20" s="1"/>
  <c r="CB60" i="20"/>
  <c r="CG60" i="20" s="1"/>
  <c r="CB61" i="20"/>
  <c r="CG61" i="20" s="1"/>
  <c r="CB62" i="20"/>
  <c r="CG62" i="20" s="1"/>
  <c r="CB63" i="20"/>
  <c r="CG63" i="20" s="1"/>
  <c r="CB64" i="20"/>
  <c r="CG64" i="20" s="1"/>
  <c r="BW65" i="20"/>
  <c r="CB65" i="20" s="1"/>
  <c r="CG65" i="20" s="1"/>
  <c r="CB66" i="20"/>
  <c r="CG66" i="20" s="1"/>
  <c r="CB68" i="20"/>
  <c r="CG68" i="20" s="1"/>
  <c r="BW69" i="20"/>
  <c r="CB69" i="20" s="1"/>
  <c r="CG69" i="20" s="1"/>
  <c r="BW70" i="20"/>
  <c r="CB70" i="20" s="1"/>
  <c r="CG70" i="20" s="1"/>
  <c r="BW71" i="20"/>
  <c r="CB71" i="20" s="1"/>
  <c r="CG71" i="20" s="1"/>
  <c r="CB72" i="20"/>
  <c r="CG72" i="20" s="1"/>
  <c r="BW73" i="20"/>
  <c r="CB73" i="20" s="1"/>
  <c r="CG73" i="20" s="1"/>
  <c r="BW75" i="20"/>
  <c r="CB75" i="20" s="1"/>
  <c r="CG75" i="20" s="1"/>
  <c r="CB76" i="20"/>
  <c r="CG76" i="20" s="1"/>
  <c r="CB77" i="20"/>
  <c r="CG77" i="20" s="1"/>
  <c r="BW78" i="20"/>
  <c r="CB78" i="20"/>
  <c r="CG78" i="20" s="1"/>
  <c r="BW79" i="20"/>
  <c r="BX79" i="20" s="1"/>
  <c r="CB79" i="20"/>
  <c r="CG79" i="20" s="1"/>
  <c r="BW80" i="20"/>
  <c r="CB80" i="20" s="1"/>
  <c r="CG80" i="20" s="1"/>
  <c r="BW81" i="20"/>
  <c r="CB81" i="20" s="1"/>
  <c r="CG81" i="20" s="1"/>
  <c r="BW82" i="20"/>
  <c r="CB82" i="20" s="1"/>
  <c r="CG82" i="20" s="1"/>
  <c r="BW83" i="20"/>
  <c r="CB83" i="20" s="1"/>
  <c r="CG83" i="20" s="1"/>
  <c r="BW86" i="20"/>
  <c r="CB86" i="20" s="1"/>
  <c r="CG86" i="20" s="1"/>
  <c r="CB87" i="20"/>
  <c r="CG87" i="20" s="1"/>
  <c r="BW88" i="20"/>
  <c r="CB88" i="20" s="1"/>
  <c r="CG88" i="20" s="1"/>
  <c r="BW89" i="20"/>
  <c r="CB89" i="20" s="1"/>
  <c r="CG89" i="20" s="1"/>
  <c r="BW90" i="20"/>
  <c r="CB90" i="20" s="1"/>
  <c r="CG90" i="20" s="1"/>
  <c r="CG91" i="20"/>
  <c r="BW92" i="20"/>
  <c r="CB92" i="20" s="1"/>
  <c r="CG92" i="20" s="1"/>
  <c r="BW93" i="20"/>
  <c r="CB93" i="20" s="1"/>
  <c r="CG93" i="20" s="1"/>
  <c r="BW94" i="20"/>
  <c r="CB94" i="20" s="1"/>
  <c r="CG94" i="20" s="1"/>
  <c r="BW95" i="20"/>
  <c r="CB95" i="20" s="1"/>
  <c r="CG95" i="20" s="1"/>
  <c r="BW96" i="20"/>
  <c r="CB96" i="20" s="1"/>
  <c r="CG96" i="20" s="1"/>
  <c r="BW98" i="20"/>
  <c r="CB98" i="20" s="1"/>
  <c r="CG98" i="20" s="1"/>
  <c r="BW99" i="20"/>
  <c r="CB99" i="20" s="1"/>
  <c r="CG99" i="20" s="1"/>
  <c r="BW100" i="20"/>
  <c r="CB100" i="20" s="1"/>
  <c r="CG100" i="20" s="1"/>
  <c r="BW101" i="20"/>
  <c r="CB101" i="20" s="1"/>
  <c r="CG101" i="20" s="1"/>
  <c r="BW102" i="20"/>
  <c r="CB102" i="20" s="1"/>
  <c r="CG102" i="20" s="1"/>
  <c r="BW103" i="20"/>
  <c r="CB103" i="20" s="1"/>
  <c r="CG103" i="20" s="1"/>
  <c r="BW104" i="20"/>
  <c r="CB104" i="20" s="1"/>
  <c r="CG104" i="20" s="1"/>
  <c r="CB105" i="20"/>
  <c r="CG105" i="20" s="1"/>
  <c r="CB108" i="20"/>
  <c r="CG108" i="20" s="1"/>
  <c r="BW109" i="20"/>
  <c r="CB109" i="20" s="1"/>
  <c r="CG109" i="20" s="1"/>
  <c r="CB110" i="20"/>
  <c r="CG110" i="20" s="1"/>
  <c r="CB111" i="20"/>
  <c r="CG111" i="20" s="1"/>
  <c r="CB112" i="20"/>
  <c r="CG112" i="20" s="1"/>
  <c r="BW115" i="20"/>
  <c r="CB115" i="20" s="1"/>
  <c r="CG115" i="20" s="1"/>
  <c r="CB116" i="20"/>
  <c r="CG116" i="20" s="1"/>
  <c r="CB117" i="20"/>
  <c r="CG117" i="20" s="1"/>
  <c r="CB120" i="20"/>
  <c r="CG120" i="20" s="1"/>
  <c r="CB121" i="20"/>
  <c r="CG121" i="20" s="1"/>
  <c r="CB122" i="20"/>
  <c r="CG122" i="20" s="1"/>
  <c r="CB123" i="20"/>
  <c r="CG123" i="20" s="1"/>
  <c r="CB124" i="20"/>
  <c r="CG124" i="20" s="1"/>
  <c r="CB125" i="20"/>
  <c r="CG125" i="20" s="1"/>
  <c r="CB126" i="20"/>
  <c r="CG126" i="20" s="1"/>
  <c r="CB127" i="20"/>
  <c r="CG127" i="20" s="1"/>
  <c r="CB128" i="20"/>
  <c r="CG128" i="20" s="1"/>
  <c r="CB129" i="20"/>
  <c r="CG129" i="20" s="1"/>
  <c r="CG130" i="20"/>
  <c r="CB131" i="20"/>
  <c r="CG131" i="20" s="1"/>
  <c r="CB132" i="20"/>
  <c r="CG132" i="20" s="1"/>
  <c r="CB133" i="20"/>
  <c r="CG133" i="20" s="1"/>
  <c r="CB135" i="20"/>
  <c r="CG135" i="20" s="1"/>
  <c r="CB136" i="20"/>
  <c r="CG136" i="20" s="1"/>
  <c r="CB137" i="20"/>
  <c r="CG137" i="20" s="1"/>
  <c r="CB138" i="20"/>
  <c r="CG138" i="20" s="1"/>
  <c r="CB139" i="20"/>
  <c r="CG139" i="20" s="1"/>
  <c r="CB140" i="20"/>
  <c r="CG140" i="20" s="1"/>
  <c r="CB141" i="20"/>
  <c r="CG141" i="20" s="1"/>
  <c r="CB142" i="20"/>
  <c r="CG142" i="20" s="1"/>
  <c r="CB143" i="20"/>
  <c r="CG143" i="20" s="1"/>
  <c r="CB145" i="20"/>
  <c r="CG145" i="20" s="1"/>
  <c r="CB146" i="20"/>
  <c r="CG146" i="20" s="1"/>
  <c r="CB147" i="20"/>
  <c r="CG147" i="20" s="1"/>
  <c r="CB148" i="20"/>
  <c r="CG148" i="20" s="1"/>
  <c r="CG149" i="20"/>
  <c r="BW150" i="20"/>
  <c r="CB150" i="20" s="1"/>
  <c r="CG150" i="20" s="1"/>
  <c r="CB151" i="20"/>
  <c r="CG151" i="20" s="1"/>
  <c r="CB160" i="20"/>
  <c r="CG160" i="20" s="1"/>
  <c r="CB161" i="20"/>
  <c r="CG161" i="20" s="1"/>
  <c r="CB162" i="20"/>
  <c r="CG162" i="20" s="1"/>
  <c r="CB165" i="20"/>
  <c r="CG165" i="20" s="1"/>
  <c r="CB166" i="20"/>
  <c r="CG166" i="20" s="1"/>
  <c r="CB169" i="20"/>
  <c r="CG169" i="20" s="1"/>
  <c r="CB171" i="20"/>
  <c r="CG171" i="20" s="1"/>
  <c r="CB173" i="20"/>
  <c r="CG173" i="20" s="1"/>
  <c r="CB174" i="20"/>
  <c r="CG174" i="20" s="1"/>
  <c r="CB175" i="20"/>
  <c r="CG175" i="20" s="1"/>
  <c r="CB176" i="20"/>
  <c r="CG176" i="20" s="1"/>
  <c r="CB177" i="20"/>
  <c r="CG177" i="20" s="1"/>
  <c r="CB180" i="20"/>
  <c r="CG180" i="20" s="1"/>
  <c r="CB181" i="20"/>
  <c r="CG181" i="20" s="1"/>
  <c r="CB182" i="20"/>
  <c r="CG182" i="20" s="1"/>
  <c r="CB183" i="20"/>
  <c r="CG183" i="20" s="1"/>
  <c r="CB184" i="20"/>
  <c r="CG184" i="20" s="1"/>
  <c r="CB185" i="20"/>
  <c r="CG185" i="20" s="1"/>
  <c r="CB186" i="20"/>
  <c r="CG186" i="20" s="1"/>
  <c r="CB187" i="20"/>
  <c r="CG187" i="20" s="1"/>
  <c r="CB188" i="20"/>
  <c r="CG188" i="20" s="1"/>
  <c r="CB189" i="20"/>
  <c r="CG189" i="20" s="1"/>
  <c r="CB190" i="20"/>
  <c r="CG190" i="20" s="1"/>
  <c r="CB192" i="20"/>
  <c r="CG192" i="20" s="1"/>
  <c r="CB193" i="20"/>
  <c r="CG193" i="20" s="1"/>
  <c r="CB194" i="20"/>
  <c r="CG194" i="20" s="1"/>
  <c r="CB195" i="20"/>
  <c r="CG195" i="20" s="1"/>
  <c r="CB196" i="20"/>
  <c r="CG196" i="20" s="1"/>
  <c r="CB197" i="20"/>
  <c r="CG197" i="20" s="1"/>
  <c r="CB200" i="20"/>
  <c r="CG200" i="20" s="1"/>
  <c r="CB201" i="20"/>
  <c r="CG201" i="20" s="1"/>
  <c r="CB202" i="20"/>
  <c r="CG202" i="20" s="1"/>
  <c r="CB203" i="20"/>
  <c r="CG203" i="20" s="1"/>
  <c r="CB204" i="20"/>
  <c r="CG204" i="20" s="1"/>
  <c r="CB205" i="20"/>
  <c r="CG205" i="20" s="1"/>
  <c r="CB206" i="20"/>
  <c r="CG206" i="20" s="1"/>
  <c r="CB207" i="20"/>
  <c r="CG207" i="20" s="1"/>
  <c r="CB208" i="20"/>
  <c r="CG208" i="20" s="1"/>
  <c r="CB209" i="20"/>
  <c r="CG209" i="20" s="1"/>
  <c r="CB211" i="20"/>
  <c r="CG211" i="20" s="1"/>
  <c r="CB212" i="20"/>
  <c r="CG212" i="20" s="1"/>
  <c r="CB213" i="20"/>
  <c r="CG213" i="20" s="1"/>
  <c r="CB214" i="20"/>
  <c r="CG214" i="20" s="1"/>
  <c r="CB215" i="20"/>
  <c r="CG215" i="20" s="1"/>
  <c r="CB216" i="20"/>
  <c r="CG216" i="20" s="1"/>
  <c r="CB217" i="20"/>
  <c r="CG217" i="20" s="1"/>
  <c r="CB218" i="20"/>
  <c r="CG218" i="20" s="1"/>
  <c r="CB220" i="20"/>
  <c r="CG220" i="20" s="1"/>
  <c r="CB221" i="20"/>
  <c r="CG221" i="20" s="1"/>
  <c r="CB222" i="20"/>
  <c r="CG222" i="20" s="1"/>
  <c r="CG223" i="20"/>
  <c r="CB224" i="20"/>
  <c r="CG224" i="20" s="1"/>
  <c r="CB226" i="20"/>
  <c r="CG226" i="20" s="1"/>
  <c r="CB227" i="20"/>
  <c r="CG227" i="20" s="1"/>
  <c r="CB228" i="20"/>
  <c r="CG228" i="20" s="1"/>
  <c r="CB229" i="20"/>
  <c r="CG229" i="20" s="1"/>
  <c r="CB230" i="20"/>
  <c r="CG230" i="20" s="1"/>
  <c r="CB231" i="20"/>
  <c r="CG231" i="20" s="1"/>
  <c r="CB232" i="20"/>
  <c r="CG232" i="20" s="1"/>
  <c r="CB234" i="20"/>
  <c r="CG234" i="20" s="1"/>
  <c r="CG235" i="20"/>
  <c r="CB236" i="20"/>
  <c r="CG236" i="20" s="1"/>
  <c r="CB237" i="20"/>
  <c r="CG237" i="20" s="1"/>
  <c r="CB238" i="20"/>
  <c r="CG238" i="20" s="1"/>
  <c r="CB239" i="20"/>
  <c r="CG239" i="20" s="1"/>
  <c r="CB242" i="20"/>
  <c r="CG242" i="20" s="1"/>
  <c r="CB243" i="20"/>
  <c r="CG243" i="20" s="1"/>
  <c r="CB244" i="20"/>
  <c r="CG244" i="20" s="1"/>
  <c r="CB245" i="20"/>
  <c r="CG245" i="20" s="1"/>
  <c r="CB246" i="20"/>
  <c r="CG246" i="20" s="1"/>
  <c r="CB247" i="20"/>
  <c r="CG247" i="20" s="1"/>
  <c r="CB248" i="20"/>
  <c r="CG248" i="20" s="1"/>
  <c r="CB249" i="20"/>
  <c r="CG249" i="20" s="1"/>
  <c r="CB250" i="20"/>
  <c r="CG250" i="20" s="1"/>
  <c r="CB251" i="20"/>
  <c r="CG251" i="20" s="1"/>
  <c r="CB252" i="20"/>
  <c r="CG252" i="20" s="1"/>
  <c r="CB253" i="20"/>
  <c r="CG253" i="20" s="1"/>
  <c r="CB254" i="20"/>
  <c r="CG254" i="20" s="1"/>
  <c r="CB255" i="20"/>
  <c r="CG255" i="20" s="1"/>
  <c r="CB256" i="20"/>
  <c r="CG256" i="20" s="1"/>
  <c r="CB257" i="20"/>
  <c r="CG257" i="20" s="1"/>
  <c r="CB258" i="20"/>
  <c r="CG258" i="20" s="1"/>
  <c r="CB262" i="20"/>
  <c r="CG262" i="20" s="1"/>
  <c r="CB263" i="20"/>
  <c r="CG263" i="20" s="1"/>
  <c r="CB264" i="20"/>
  <c r="CG264" i="20" s="1"/>
  <c r="CB265" i="20"/>
  <c r="CG265" i="20" s="1"/>
  <c r="CB266" i="20"/>
  <c r="CG266" i="20" s="1"/>
  <c r="CB267" i="20"/>
  <c r="CG267" i="20" s="1"/>
  <c r="CB268" i="20"/>
  <c r="CG268" i="20" s="1"/>
  <c r="CB269" i="20"/>
  <c r="CG269" i="20" s="1"/>
  <c r="CB270" i="20"/>
  <c r="CG270" i="20" s="1"/>
  <c r="CB271" i="20"/>
  <c r="CG271" i="20" s="1"/>
  <c r="CB272" i="20"/>
  <c r="CG272" i="20" s="1"/>
  <c r="CB274" i="20"/>
  <c r="CG274" i="20" s="1"/>
  <c r="CB275" i="20"/>
  <c r="CG275" i="20" s="1"/>
  <c r="CB276" i="20"/>
  <c r="CG276" i="20" s="1"/>
  <c r="CB277" i="20"/>
  <c r="CG277" i="20" s="1"/>
  <c r="CB278" i="20"/>
  <c r="CG278" i="20" s="1"/>
  <c r="CB279" i="20"/>
  <c r="CG279" i="20" s="1"/>
  <c r="CB280" i="20"/>
  <c r="CG280" i="20" s="1"/>
  <c r="CB281" i="20"/>
  <c r="CG281" i="20" s="1"/>
  <c r="CB282" i="20"/>
  <c r="CG282" i="20" s="1"/>
  <c r="CB283" i="20"/>
  <c r="CG283" i="20" s="1"/>
  <c r="CB284" i="20"/>
  <c r="CG284" i="20" s="1"/>
  <c r="CB285" i="20"/>
  <c r="CG285" i="20" s="1"/>
  <c r="CB287" i="20"/>
  <c r="CG287" i="20" s="1"/>
  <c r="CB288" i="20"/>
  <c r="CG288" i="20" s="1"/>
  <c r="CB289" i="20"/>
  <c r="CG289" i="20" s="1"/>
  <c r="CB290" i="20"/>
  <c r="CG290" i="20" s="1"/>
  <c r="CB293" i="20"/>
  <c r="CG293" i="20" s="1"/>
  <c r="CB294" i="20"/>
  <c r="CG294" i="20" s="1"/>
  <c r="CB295" i="20"/>
  <c r="CG295" i="20" s="1"/>
  <c r="CB296" i="20"/>
  <c r="CG296" i="20" s="1"/>
  <c r="CB297" i="20"/>
  <c r="CG297" i="20" s="1"/>
  <c r="CB298" i="20"/>
  <c r="CG298" i="20" s="1"/>
  <c r="CB299" i="20"/>
  <c r="CG299" i="20" s="1"/>
  <c r="CB300" i="20"/>
  <c r="CG300" i="20" s="1"/>
  <c r="CB301" i="20"/>
  <c r="CG301" i="20" s="1"/>
  <c r="CB302" i="20"/>
  <c r="CG302" i="20" s="1"/>
  <c r="CB303" i="20"/>
  <c r="CG303" i="20" s="1"/>
  <c r="CB304" i="20"/>
  <c r="CG304" i="20" s="1"/>
  <c r="CB305" i="20"/>
  <c r="CG305" i="20" s="1"/>
  <c r="CB306" i="20"/>
  <c r="CG306" i="20" s="1"/>
  <c r="CB307" i="20"/>
  <c r="CG307" i="20" s="1"/>
  <c r="CB308" i="20"/>
  <c r="CG308" i="20" s="1"/>
  <c r="CB309" i="20"/>
  <c r="CG309" i="20" s="1"/>
  <c r="CB310" i="20"/>
  <c r="CG310" i="20" s="1"/>
  <c r="CB311" i="20"/>
  <c r="CG311" i="20" s="1"/>
  <c r="CB312" i="20"/>
  <c r="CG312" i="20" s="1"/>
  <c r="CB313" i="20"/>
  <c r="CG313" i="20" s="1"/>
  <c r="CB314" i="20"/>
  <c r="CG314" i="20" s="1"/>
  <c r="CB315" i="20"/>
  <c r="CG315" i="20" s="1"/>
  <c r="CB316" i="20"/>
  <c r="CG316" i="20" s="1"/>
  <c r="CB317" i="20"/>
  <c r="CG317" i="20" s="1"/>
  <c r="CB318" i="20"/>
  <c r="CG318" i="20" s="1"/>
  <c r="CB319" i="20"/>
  <c r="CG319" i="20" s="1"/>
  <c r="CB320" i="20"/>
  <c r="CG320" i="20" s="1"/>
  <c r="CB321" i="20"/>
  <c r="CG321" i="20" s="1"/>
  <c r="CG322" i="20"/>
  <c r="CB323" i="20"/>
  <c r="CG323" i="20" s="1"/>
  <c r="CB324" i="20"/>
  <c r="CG324" i="20" s="1"/>
  <c r="CB325" i="20"/>
  <c r="CG325" i="20" s="1"/>
  <c r="CB328" i="20"/>
  <c r="CG328" i="20" s="1"/>
  <c r="CB329" i="20"/>
  <c r="CG329" i="20" s="1"/>
  <c r="CB331" i="20"/>
  <c r="CG331" i="20" s="1"/>
  <c r="CB332" i="20"/>
  <c r="CG332" i="20" s="1"/>
  <c r="CB333" i="20"/>
  <c r="CG333" i="20" s="1"/>
  <c r="CB334" i="20"/>
  <c r="CG334" i="20" s="1"/>
  <c r="CB335" i="20"/>
  <c r="CG335" i="20" s="1"/>
  <c r="CB336" i="20"/>
  <c r="CG336" i="20" s="1"/>
  <c r="CB337" i="20"/>
  <c r="CG337" i="20" s="1"/>
  <c r="CB338" i="20"/>
  <c r="CG338" i="20" s="1"/>
  <c r="CB339" i="20"/>
  <c r="CG339" i="20" s="1"/>
  <c r="CB340" i="20"/>
  <c r="CG340" i="20" s="1"/>
  <c r="CB341" i="20"/>
  <c r="CG341" i="20" s="1"/>
  <c r="CG342" i="20"/>
  <c r="BW344" i="20"/>
  <c r="CB344" i="20" s="1"/>
  <c r="CG344" i="20" s="1"/>
  <c r="BW346" i="20"/>
  <c r="CB346" i="20" s="1"/>
  <c r="CG346" i="20" s="1"/>
  <c r="CB347" i="20"/>
  <c r="CG347" i="20" s="1"/>
  <c r="BW348" i="20"/>
  <c r="CG348" i="20"/>
  <c r="CB351" i="20"/>
  <c r="CG351" i="20" s="1"/>
  <c r="CB352" i="20"/>
  <c r="CG352" i="20" s="1"/>
  <c r="CB354" i="20"/>
  <c r="CG354" i="20" s="1"/>
  <c r="BW358" i="20"/>
  <c r="CB358" i="20" s="1"/>
  <c r="CG358" i="20" s="1"/>
  <c r="BW359" i="20"/>
  <c r="CB359" i="20" s="1"/>
  <c r="CG359" i="20" s="1"/>
  <c r="CB361" i="20"/>
  <c r="CG361" i="20" s="1"/>
  <c r="CG362" i="20"/>
  <c r="CB363" i="20"/>
  <c r="CG363" i="20" s="1"/>
  <c r="BW364" i="20"/>
  <c r="CB364" i="20" s="1"/>
  <c r="CG364" i="20" s="1"/>
  <c r="CB365" i="20"/>
  <c r="CG365" i="20" s="1"/>
  <c r="CB366" i="20"/>
  <c r="CG366" i="20" s="1"/>
  <c r="BW369" i="20"/>
  <c r="CB369" i="20" s="1"/>
  <c r="CG369" i="20" s="1"/>
  <c r="BW370" i="20"/>
  <c r="BX370" i="20" s="1"/>
  <c r="CB370" i="20"/>
  <c r="CG370" i="20" s="1"/>
  <c r="BW371" i="20"/>
  <c r="BX371" i="20" s="1"/>
  <c r="CB371" i="20"/>
  <c r="CG371" i="20" s="1"/>
  <c r="BW372" i="20"/>
  <c r="CB372" i="20" s="1"/>
  <c r="CG372" i="20" s="1"/>
  <c r="BW373" i="20"/>
  <c r="CB373" i="20" s="1"/>
  <c r="CG373" i="20" s="1"/>
  <c r="BW374" i="20"/>
  <c r="CB374" i="20" s="1"/>
  <c r="CG374" i="20" s="1"/>
  <c r="BW375" i="20"/>
  <c r="CB375" i="20" s="1"/>
  <c r="CG375" i="20" s="1"/>
  <c r="BW376" i="20"/>
  <c r="CB377" i="20"/>
  <c r="CG377" i="20" s="1"/>
  <c r="CB378" i="20"/>
  <c r="CG378" i="20" s="1"/>
  <c r="BW379" i="20"/>
  <c r="CB379" i="20" s="1"/>
  <c r="CG379" i="20" s="1"/>
  <c r="CB380" i="20"/>
  <c r="CG380" i="20" s="1"/>
  <c r="CB381" i="20"/>
  <c r="CG381" i="20" s="1"/>
  <c r="CB382" i="20"/>
  <c r="CG382" i="20" s="1"/>
  <c r="CB383" i="20"/>
  <c r="CG383" i="20" s="1"/>
  <c r="CB384" i="20"/>
  <c r="CG384" i="20" s="1"/>
  <c r="CB385" i="20"/>
  <c r="CG385" i="20" s="1"/>
  <c r="CB386" i="20"/>
  <c r="CG386" i="20" s="1"/>
  <c r="BW387" i="20"/>
  <c r="CB387" i="20" s="1"/>
  <c r="CG387" i="20" s="1"/>
  <c r="BW388" i="20"/>
  <c r="CB388" i="20" s="1"/>
  <c r="CG388" i="20" s="1"/>
  <c r="BW389" i="20"/>
  <c r="CB389" i="20" s="1"/>
  <c r="CG389" i="20" s="1"/>
  <c r="BW390" i="20"/>
  <c r="CG391" i="20"/>
  <c r="CB392" i="20"/>
  <c r="CG392" i="20" s="1"/>
  <c r="CB393" i="20"/>
  <c r="CG393" i="20" s="1"/>
  <c r="CB396" i="20"/>
  <c r="CG396" i="20" s="1"/>
  <c r="CB397" i="20"/>
  <c r="CG397" i="20" s="1"/>
  <c r="CB398" i="20"/>
  <c r="CG398" i="20" s="1"/>
  <c r="CB399" i="20"/>
  <c r="CG399" i="20" s="1"/>
  <c r="CB400" i="20"/>
  <c r="CG400" i="20" s="1"/>
  <c r="CG401" i="20"/>
  <c r="CB402" i="20"/>
  <c r="CG402" i="20" s="1"/>
  <c r="CB403" i="20"/>
  <c r="CG403" i="20" s="1"/>
  <c r="CB404" i="20"/>
  <c r="CG404" i="20" s="1"/>
  <c r="CG405" i="20"/>
  <c r="CB406" i="20"/>
  <c r="CG406" i="20" s="1"/>
  <c r="CB409" i="20"/>
  <c r="CG409" i="20" s="1"/>
  <c r="CB410" i="20"/>
  <c r="CG410" i="20" s="1"/>
  <c r="CB411" i="20"/>
  <c r="CG411" i="20" s="1"/>
  <c r="CB412" i="20"/>
  <c r="CG412" i="20" s="1"/>
  <c r="CB413" i="20"/>
  <c r="CG413" i="20" s="1"/>
  <c r="CB414" i="20"/>
  <c r="CG414" i="20" s="1"/>
  <c r="CB415" i="20"/>
  <c r="CG415" i="20" s="1"/>
  <c r="CB416" i="20"/>
  <c r="CG416" i="20" s="1"/>
  <c r="CB417" i="20"/>
  <c r="CG417" i="20" s="1"/>
  <c r="CB418" i="20"/>
  <c r="CG418" i="20" s="1"/>
  <c r="CB419" i="20"/>
  <c r="CG419" i="20" s="1"/>
  <c r="BW420" i="20"/>
  <c r="CB420" i="20" s="1"/>
  <c r="CG420" i="20" s="1"/>
  <c r="CB421" i="20"/>
  <c r="CG421" i="20" s="1"/>
  <c r="CB422" i="20"/>
  <c r="CG422" i="20" s="1"/>
  <c r="CB425" i="20"/>
  <c r="CG425" i="20" s="1"/>
  <c r="CB426" i="20"/>
  <c r="CG426" i="20" s="1"/>
  <c r="CB427" i="20"/>
  <c r="CG427" i="20" s="1"/>
  <c r="CB428" i="20"/>
  <c r="CG428" i="20" s="1"/>
  <c r="CB429" i="20"/>
  <c r="CG429" i="20" s="1"/>
  <c r="CB430" i="20"/>
  <c r="CG430" i="20" s="1"/>
  <c r="CB431" i="20"/>
  <c r="CG431" i="20" s="1"/>
  <c r="CB432" i="20"/>
  <c r="CG432" i="20" s="1"/>
  <c r="CB433" i="20"/>
  <c r="CG433" i="20" s="1"/>
  <c r="CB434" i="20"/>
  <c r="CG434" i="20" s="1"/>
  <c r="CB435" i="20"/>
  <c r="CG435" i="20" s="1"/>
  <c r="BW436" i="20"/>
  <c r="CB437" i="20"/>
  <c r="CG437" i="20" s="1"/>
  <c r="CB441" i="20"/>
  <c r="CG441" i="20" s="1"/>
  <c r="CB442" i="20"/>
  <c r="CG442" i="20" s="1"/>
  <c r="CB443" i="20"/>
  <c r="CG443" i="20" s="1"/>
  <c r="CB444" i="20"/>
  <c r="CG444" i="20" s="1"/>
  <c r="CB445" i="20"/>
  <c r="CG445" i="20" s="1"/>
  <c r="CB446" i="20"/>
  <c r="CG446" i="20" s="1"/>
  <c r="CB447" i="20"/>
  <c r="CG447" i="20" s="1"/>
  <c r="CB448" i="20"/>
  <c r="CG448" i="20" s="1"/>
  <c r="CB449" i="20"/>
  <c r="CG449" i="20" s="1"/>
  <c r="CB450" i="20"/>
  <c r="CG450" i="20" s="1"/>
  <c r="CB451" i="20"/>
  <c r="CG451" i="20" s="1"/>
  <c r="CB452" i="20"/>
  <c r="CG452" i="20" s="1"/>
  <c r="CB453" i="20"/>
  <c r="CG453" i="20" s="1"/>
  <c r="CB454" i="20"/>
  <c r="CG454" i="20" s="1"/>
  <c r="CB455" i="20"/>
  <c r="CG455" i="20" s="1"/>
  <c r="CB456" i="20"/>
  <c r="CG456" i="20" s="1"/>
  <c r="CB457" i="20"/>
  <c r="CG457" i="20" s="1"/>
  <c r="CB458" i="20"/>
  <c r="CG458" i="20" s="1"/>
  <c r="CB459" i="20"/>
  <c r="CG459" i="20" s="1"/>
  <c r="CB460" i="20"/>
  <c r="CG460" i="20" s="1"/>
  <c r="CB461" i="20"/>
  <c r="CG461" i="20" s="1"/>
  <c r="CB462" i="20"/>
  <c r="CG462" i="20" s="1"/>
  <c r="CB463" i="20"/>
  <c r="CG463" i="20" s="1"/>
  <c r="CG464" i="20"/>
  <c r="CB465" i="20"/>
  <c r="CG465" i="20" s="1"/>
  <c r="CB466" i="20"/>
  <c r="CG466" i="20" s="1"/>
  <c r="CB467" i="20"/>
  <c r="CG467" i="20" s="1"/>
  <c r="CB468" i="20"/>
  <c r="CG468" i="20" s="1"/>
  <c r="CB469" i="20"/>
  <c r="CG469" i="20" s="1"/>
  <c r="CB470" i="20"/>
  <c r="CG470" i="20" s="1"/>
  <c r="CB471" i="20"/>
  <c r="CG471" i="20" s="1"/>
  <c r="CB472" i="20"/>
  <c r="CG472" i="20" s="1"/>
  <c r="CB475" i="20"/>
  <c r="CG475" i="20" s="1"/>
  <c r="CB476" i="20"/>
  <c r="CG476" i="20" s="1"/>
  <c r="CB477" i="20"/>
  <c r="CG477" i="20" s="1"/>
  <c r="CB478" i="20"/>
  <c r="CG478" i="20" s="1"/>
  <c r="CB479" i="20"/>
  <c r="CG479" i="20" s="1"/>
  <c r="CB480" i="20"/>
  <c r="CG480" i="20" s="1"/>
  <c r="CB481" i="20"/>
  <c r="CG481" i="20" s="1"/>
  <c r="CB483" i="20"/>
  <c r="CG483" i="20" s="1"/>
  <c r="CB484" i="20"/>
  <c r="CG484" i="20" s="1"/>
  <c r="CB485" i="20"/>
  <c r="CG485" i="20" s="1"/>
  <c r="CB486" i="20"/>
  <c r="CG486" i="20" s="1"/>
  <c r="CB487" i="20"/>
  <c r="CG487" i="20" s="1"/>
  <c r="CB488" i="20"/>
  <c r="CG488" i="20" s="1"/>
  <c r="CB489" i="20"/>
  <c r="CG489" i="20" s="1"/>
  <c r="CA339" i="16"/>
  <c r="CF339" i="16" s="1"/>
  <c r="CA340" i="16"/>
  <c r="CF340" i="16" s="1"/>
  <c r="CA341" i="16"/>
  <c r="CF341" i="16" s="1"/>
  <c r="CA342" i="16"/>
  <c r="CF342" i="16" s="1"/>
  <c r="CA8" i="16"/>
  <c r="CF8" i="16" s="1"/>
  <c r="CA9" i="16"/>
  <c r="CF9" i="16" s="1"/>
  <c r="CA10" i="16"/>
  <c r="CF10" i="16" s="1"/>
  <c r="CA11" i="16"/>
  <c r="CF11" i="16" s="1"/>
  <c r="CA12" i="16"/>
  <c r="CF12" i="16" s="1"/>
  <c r="CA13" i="16"/>
  <c r="CF13" i="16" s="1"/>
  <c r="CA14" i="16"/>
  <c r="CF14" i="16" s="1"/>
  <c r="CA15" i="16"/>
  <c r="CF15" i="16" s="1"/>
  <c r="CA16" i="16"/>
  <c r="CF16" i="16" s="1"/>
  <c r="CA17" i="16"/>
  <c r="CF17" i="16" s="1"/>
  <c r="CA18" i="16"/>
  <c r="CF18" i="16" s="1"/>
  <c r="CA19" i="16"/>
  <c r="CF19" i="16" s="1"/>
  <c r="CA20" i="16"/>
  <c r="CF20" i="16" s="1"/>
  <c r="CA21" i="16"/>
  <c r="CF21" i="16" s="1"/>
  <c r="CA22" i="16"/>
  <c r="CF22" i="16" s="1"/>
  <c r="CA24" i="16"/>
  <c r="CF24" i="16" s="1"/>
  <c r="CA25" i="16"/>
  <c r="CF25" i="16" s="1"/>
  <c r="CA26" i="16"/>
  <c r="CF26" i="16" s="1"/>
  <c r="CA27" i="16"/>
  <c r="CF27" i="16" s="1"/>
  <c r="CF28" i="16"/>
  <c r="CA29" i="16"/>
  <c r="CF29" i="16" s="1"/>
  <c r="CA30" i="16"/>
  <c r="CF30" i="16" s="1"/>
  <c r="CA31" i="16"/>
  <c r="CF31" i="16" s="1"/>
  <c r="CA32" i="16"/>
  <c r="CF32" i="16" s="1"/>
  <c r="CF33" i="16"/>
  <c r="CA34" i="16"/>
  <c r="CF34" i="16" s="1"/>
  <c r="CA35" i="16"/>
  <c r="CF35" i="16" s="1"/>
  <c r="CA36" i="16"/>
  <c r="CF36" i="16" s="1"/>
  <c r="CA37" i="16"/>
  <c r="CF37" i="16" s="1"/>
  <c r="CA38" i="16"/>
  <c r="CF38" i="16" s="1"/>
  <c r="CA39" i="16"/>
  <c r="CF39" i="16" s="1"/>
  <c r="CA40" i="16"/>
  <c r="CF40" i="16" s="1"/>
  <c r="CA41" i="16"/>
  <c r="CF41" i="16" s="1"/>
  <c r="CA43" i="16"/>
  <c r="CF43" i="16" s="1"/>
  <c r="CA44" i="16"/>
  <c r="CF44" i="16" s="1"/>
  <c r="CA45" i="16"/>
  <c r="CF45" i="16" s="1"/>
  <c r="CA46" i="16"/>
  <c r="CF46" i="16" s="1"/>
  <c r="CA51" i="16"/>
  <c r="CF51" i="16" s="1"/>
  <c r="CA54" i="16"/>
  <c r="CF54" i="16" s="1"/>
  <c r="CA55" i="16"/>
  <c r="CF55" i="16" s="1"/>
  <c r="CA56" i="16"/>
  <c r="CF56" i="16" s="1"/>
  <c r="CA57" i="16"/>
  <c r="CF57" i="16" s="1"/>
  <c r="CA58" i="16"/>
  <c r="CF58" i="16" s="1"/>
  <c r="CA59" i="16"/>
  <c r="CF59" i="16" s="1"/>
  <c r="CA60" i="16"/>
  <c r="CF60" i="16" s="1"/>
  <c r="CA61" i="16"/>
  <c r="CF61" i="16" s="1"/>
  <c r="CA62" i="16"/>
  <c r="CF62" i="16" s="1"/>
  <c r="CA63" i="16"/>
  <c r="CF63" i="16" s="1"/>
  <c r="CA64" i="16"/>
  <c r="CF64" i="16" s="1"/>
  <c r="CA65" i="16"/>
  <c r="CF65" i="16" s="1"/>
  <c r="CA66" i="16"/>
  <c r="CF66" i="16" s="1"/>
  <c r="CA67" i="16"/>
  <c r="CF67" i="16" s="1"/>
  <c r="CA68" i="16"/>
  <c r="CF68" i="16" s="1"/>
  <c r="CA69" i="16"/>
  <c r="CF69" i="16" s="1"/>
  <c r="CA70" i="16"/>
  <c r="CF70" i="16" s="1"/>
  <c r="CA71" i="16"/>
  <c r="CF71" i="16" s="1"/>
  <c r="CA72" i="16"/>
  <c r="CF72" i="16" s="1"/>
  <c r="CA73" i="16"/>
  <c r="CF73" i="16" s="1"/>
  <c r="CA75" i="16"/>
  <c r="CF75" i="16" s="1"/>
  <c r="CA76" i="16"/>
  <c r="CF76" i="16" s="1"/>
  <c r="CA77" i="16"/>
  <c r="CF77" i="16" s="1"/>
  <c r="CA78" i="16"/>
  <c r="CF78" i="16" s="1"/>
  <c r="CA79" i="16"/>
  <c r="CF79" i="16" s="1"/>
  <c r="CA80" i="16"/>
  <c r="CF80" i="16" s="1"/>
  <c r="CA81" i="16"/>
  <c r="CF81" i="16" s="1"/>
  <c r="CA82" i="16"/>
  <c r="CF82" i="16" s="1"/>
  <c r="CA83" i="16"/>
  <c r="CF83" i="16" s="1"/>
  <c r="CA86" i="16"/>
  <c r="CF86" i="16" s="1"/>
  <c r="CA87" i="16"/>
  <c r="CF87" i="16" s="1"/>
  <c r="CA88" i="16"/>
  <c r="CF88" i="16" s="1"/>
  <c r="CA89" i="16"/>
  <c r="CF89" i="16" s="1"/>
  <c r="CA90" i="16"/>
  <c r="CF90" i="16" s="1"/>
  <c r="CA91" i="16"/>
  <c r="CF91" i="16" s="1"/>
  <c r="CA92" i="16"/>
  <c r="CF92" i="16" s="1"/>
  <c r="CA93" i="16"/>
  <c r="CF93" i="16" s="1"/>
  <c r="CA94" i="16"/>
  <c r="CF94" i="16" s="1"/>
  <c r="CA95" i="16"/>
  <c r="CF95" i="16" s="1"/>
  <c r="CA96" i="16"/>
  <c r="CF96" i="16" s="1"/>
  <c r="CA98" i="16"/>
  <c r="CF98" i="16" s="1"/>
  <c r="CA99" i="16"/>
  <c r="CF99" i="16" s="1"/>
  <c r="CA100" i="16"/>
  <c r="CF100" i="16" s="1"/>
  <c r="CA101" i="16"/>
  <c r="CF101" i="16" s="1"/>
  <c r="CA102" i="16"/>
  <c r="CF102" i="16" s="1"/>
  <c r="CA103" i="16"/>
  <c r="CF103" i="16" s="1"/>
  <c r="CA104" i="16"/>
  <c r="CF104" i="16" s="1"/>
  <c r="CA105" i="16"/>
  <c r="CF105" i="16" s="1"/>
  <c r="CA108" i="16"/>
  <c r="CF108" i="16" s="1"/>
  <c r="CA109" i="16"/>
  <c r="CF109" i="16" s="1"/>
  <c r="CA111" i="16"/>
  <c r="CF111" i="16" s="1"/>
  <c r="CA112" i="16"/>
  <c r="CF112" i="16" s="1"/>
  <c r="CA114" i="16"/>
  <c r="CF114" i="16" s="1"/>
  <c r="CA115" i="16"/>
  <c r="CF115" i="16" s="1"/>
  <c r="CA116" i="16"/>
  <c r="CF116" i="16" s="1"/>
  <c r="CA117" i="16"/>
  <c r="CF117" i="16" s="1"/>
  <c r="CA120" i="16"/>
  <c r="CF120" i="16" s="1"/>
  <c r="CA121" i="16"/>
  <c r="CF121" i="16" s="1"/>
  <c r="CA122" i="16"/>
  <c r="CF122" i="16" s="1"/>
  <c r="CA123" i="16"/>
  <c r="CF123" i="16" s="1"/>
  <c r="CA124" i="16"/>
  <c r="CF124" i="16" s="1"/>
  <c r="CA125" i="16"/>
  <c r="CF125" i="16" s="1"/>
  <c r="CA126" i="16"/>
  <c r="CF126" i="16" s="1"/>
  <c r="CA127" i="16"/>
  <c r="CF127" i="16" s="1"/>
  <c r="CA128" i="16"/>
  <c r="CF128" i="16" s="1"/>
  <c r="CA129" i="16"/>
  <c r="CF129" i="16" s="1"/>
  <c r="CA130" i="16"/>
  <c r="CF130" i="16" s="1"/>
  <c r="CA131" i="16"/>
  <c r="CF131" i="16" s="1"/>
  <c r="CA132" i="16"/>
  <c r="CF132" i="16" s="1"/>
  <c r="CA133" i="16"/>
  <c r="CF133" i="16" s="1"/>
  <c r="CA135" i="16"/>
  <c r="CF135" i="16" s="1"/>
  <c r="CA136" i="16"/>
  <c r="CF136" i="16" s="1"/>
  <c r="CA137" i="16"/>
  <c r="CF137" i="16" s="1"/>
  <c r="CA138" i="16"/>
  <c r="CF138" i="16" s="1"/>
  <c r="CA139" i="16"/>
  <c r="CF139" i="16" s="1"/>
  <c r="CA140" i="16"/>
  <c r="CF140" i="16" s="1"/>
  <c r="CA141" i="16"/>
  <c r="CF141" i="16" s="1"/>
  <c r="CA142" i="16"/>
  <c r="CF142" i="16" s="1"/>
  <c r="CA145" i="16"/>
  <c r="CF145" i="16" s="1"/>
  <c r="CA146" i="16"/>
  <c r="CF146" i="16" s="1"/>
  <c r="CA147" i="16"/>
  <c r="CF147" i="16" s="1"/>
  <c r="CA148" i="16"/>
  <c r="CF148" i="16" s="1"/>
  <c r="CA149" i="16"/>
  <c r="CF149" i="16" s="1"/>
  <c r="CA150" i="16"/>
  <c r="CF150" i="16" s="1"/>
  <c r="CA151" i="16"/>
  <c r="CF151" i="16" s="1"/>
  <c r="CA154" i="16"/>
  <c r="CF154" i="16" s="1"/>
  <c r="CA155" i="16"/>
  <c r="CF155" i="16" s="1"/>
  <c r="CA156" i="16"/>
  <c r="CF156" i="16" s="1"/>
  <c r="CA157" i="16"/>
  <c r="CF157" i="16" s="1"/>
  <c r="CA158" i="16"/>
  <c r="CF158" i="16" s="1"/>
  <c r="CA159" i="16"/>
  <c r="CF159" i="16" s="1"/>
  <c r="CA160" i="16"/>
  <c r="CF160" i="16" s="1"/>
  <c r="CA161" i="16"/>
  <c r="CF161" i="16" s="1"/>
  <c r="CA162" i="16"/>
  <c r="CF162" i="16" s="1"/>
  <c r="CA163" i="16"/>
  <c r="CF163" i="16" s="1"/>
  <c r="CA164" i="16"/>
  <c r="CF164" i="16" s="1"/>
  <c r="CA165" i="16"/>
  <c r="CF165" i="16" s="1"/>
  <c r="CA166" i="16"/>
  <c r="CF166" i="16" s="1"/>
  <c r="CA167" i="16"/>
  <c r="CF167" i="16" s="1"/>
  <c r="CA168" i="16"/>
  <c r="CF168" i="16" s="1"/>
  <c r="CA169" i="16"/>
  <c r="CF169" i="16" s="1"/>
  <c r="CA170" i="16"/>
  <c r="CF170" i="16" s="1"/>
  <c r="CA171" i="16"/>
  <c r="CF171" i="16" s="1"/>
  <c r="CA172" i="16"/>
  <c r="CF172" i="16" s="1"/>
  <c r="CA173" i="16"/>
  <c r="CF173" i="16" s="1"/>
  <c r="CA174" i="16"/>
  <c r="CF174" i="16" s="1"/>
  <c r="CA175" i="16"/>
  <c r="CF175" i="16" s="1"/>
  <c r="CA176" i="16"/>
  <c r="CF176" i="16" s="1"/>
  <c r="CA177" i="16"/>
  <c r="CF177" i="16" s="1"/>
  <c r="CA180" i="16"/>
  <c r="CF180" i="16" s="1"/>
  <c r="CA181" i="16"/>
  <c r="CF181" i="16" s="1"/>
  <c r="CA182" i="16"/>
  <c r="CF182" i="16" s="1"/>
  <c r="CA183" i="16"/>
  <c r="CF183" i="16" s="1"/>
  <c r="CA184" i="16"/>
  <c r="CF184" i="16" s="1"/>
  <c r="CA185" i="16"/>
  <c r="CF185" i="16" s="1"/>
  <c r="CA186" i="16"/>
  <c r="CF186" i="16" s="1"/>
  <c r="CA187" i="16"/>
  <c r="CF187" i="16" s="1"/>
  <c r="CA188" i="16"/>
  <c r="CF188" i="16" s="1"/>
  <c r="CA189" i="16"/>
  <c r="CF189" i="16" s="1"/>
  <c r="CA192" i="16"/>
  <c r="CF192" i="16" s="1"/>
  <c r="CA193" i="16"/>
  <c r="CF193" i="16" s="1"/>
  <c r="CA194" i="16"/>
  <c r="CF194" i="16" s="1"/>
  <c r="CA195" i="16"/>
  <c r="CF195" i="16" s="1"/>
  <c r="CA196" i="16"/>
  <c r="CF196" i="16" s="1"/>
  <c r="CA197" i="16"/>
  <c r="CF197" i="16" s="1"/>
  <c r="CA198" i="16"/>
  <c r="CF198" i="16" s="1"/>
  <c r="CA200" i="16"/>
  <c r="CF200" i="16" s="1"/>
  <c r="CA201" i="16"/>
  <c r="CF201" i="16" s="1"/>
  <c r="CA202" i="16"/>
  <c r="CF202" i="16" s="1"/>
  <c r="CA203" i="16"/>
  <c r="CF203" i="16" s="1"/>
  <c r="CA204" i="16"/>
  <c r="CF204" i="16" s="1"/>
  <c r="CA205" i="16"/>
  <c r="CF205" i="16" s="1"/>
  <c r="CA206" i="16"/>
  <c r="CF206" i="16" s="1"/>
  <c r="CA207" i="16"/>
  <c r="CF207" i="16" s="1"/>
  <c r="CA208" i="16"/>
  <c r="CF208" i="16" s="1"/>
  <c r="CA209" i="16"/>
  <c r="CF209" i="16" s="1"/>
  <c r="CA211" i="16"/>
  <c r="CF211" i="16" s="1"/>
  <c r="CA212" i="16"/>
  <c r="CF212" i="16" s="1"/>
  <c r="CA213" i="16"/>
  <c r="CF213" i="16" s="1"/>
  <c r="CA214" i="16"/>
  <c r="CF214" i="16" s="1"/>
  <c r="CA215" i="16"/>
  <c r="CF215" i="16" s="1"/>
  <c r="CA216" i="16"/>
  <c r="CF216" i="16" s="1"/>
  <c r="CA217" i="16"/>
  <c r="CF217" i="16" s="1"/>
  <c r="CA218" i="16"/>
  <c r="CF218" i="16" s="1"/>
  <c r="CA220" i="16"/>
  <c r="CF220" i="16" s="1"/>
  <c r="CA221" i="16"/>
  <c r="CF221" i="16" s="1"/>
  <c r="CA222" i="16"/>
  <c r="CF222" i="16" s="1"/>
  <c r="CF223" i="16"/>
  <c r="CA224" i="16"/>
  <c r="CF224" i="16" s="1"/>
  <c r="CA226" i="16"/>
  <c r="CF226" i="16" s="1"/>
  <c r="CA227" i="16"/>
  <c r="CF227" i="16" s="1"/>
  <c r="CF228" i="16"/>
  <c r="CA229" i="16"/>
  <c r="CF229" i="16" s="1"/>
  <c r="CA230" i="16"/>
  <c r="CF230" i="16" s="1"/>
  <c r="CA231" i="16"/>
  <c r="CF231" i="16" s="1"/>
  <c r="CA232" i="16"/>
  <c r="CF232" i="16" s="1"/>
  <c r="CA234" i="16"/>
  <c r="CF234" i="16" s="1"/>
  <c r="CA235" i="16"/>
  <c r="CF235" i="16" s="1"/>
  <c r="CA236" i="16"/>
  <c r="CF236" i="16" s="1"/>
  <c r="CA237" i="16"/>
  <c r="CF237" i="16" s="1"/>
  <c r="CA238" i="16"/>
  <c r="CF238" i="16" s="1"/>
  <c r="CA239" i="16"/>
  <c r="CF239" i="16" s="1"/>
  <c r="CA242" i="16"/>
  <c r="CF242" i="16" s="1"/>
  <c r="CA243" i="16"/>
  <c r="CF243" i="16" s="1"/>
  <c r="CA244" i="16"/>
  <c r="CF244" i="16" s="1"/>
  <c r="CA245" i="16"/>
  <c r="CF245" i="16" s="1"/>
  <c r="CA246" i="16"/>
  <c r="CF246" i="16" s="1"/>
  <c r="CA247" i="16"/>
  <c r="CF247" i="16" s="1"/>
  <c r="CA248" i="16"/>
  <c r="CF248" i="16" s="1"/>
  <c r="CA249" i="16"/>
  <c r="CF249" i="16" s="1"/>
  <c r="CA250" i="16"/>
  <c r="CF250" i="16" s="1"/>
  <c r="CA251" i="16"/>
  <c r="CF251" i="16" s="1"/>
  <c r="CA252" i="16"/>
  <c r="CF252" i="16" s="1"/>
  <c r="CA253" i="16"/>
  <c r="CF253" i="16" s="1"/>
  <c r="CA254" i="16"/>
  <c r="CF254" i="16" s="1"/>
  <c r="CA255" i="16"/>
  <c r="CF255" i="16" s="1"/>
  <c r="CA256" i="16"/>
  <c r="CF256" i="16" s="1"/>
  <c r="CA257" i="16"/>
  <c r="CF257" i="16" s="1"/>
  <c r="CA258" i="16"/>
  <c r="CF258" i="16" s="1"/>
  <c r="CA262" i="16"/>
  <c r="CF262" i="16" s="1"/>
  <c r="CA263" i="16"/>
  <c r="CF263" i="16" s="1"/>
  <c r="CA264" i="16"/>
  <c r="CF264" i="16" s="1"/>
  <c r="CA265" i="16"/>
  <c r="CF265" i="16" s="1"/>
  <c r="CA266" i="16"/>
  <c r="CF266" i="16" s="1"/>
  <c r="CA267" i="16"/>
  <c r="CF267" i="16" s="1"/>
  <c r="CA268" i="16"/>
  <c r="CF268" i="16" s="1"/>
  <c r="CA269" i="16"/>
  <c r="CF269" i="16" s="1"/>
  <c r="CA270" i="16"/>
  <c r="CF270" i="16" s="1"/>
  <c r="CA271" i="16"/>
  <c r="CF271" i="16" s="1"/>
  <c r="CA272" i="16"/>
  <c r="CF272" i="16" s="1"/>
  <c r="CA274" i="16"/>
  <c r="CF274" i="16" s="1"/>
  <c r="CA275" i="16"/>
  <c r="CF275" i="16" s="1"/>
  <c r="CA276" i="16"/>
  <c r="CF276" i="16" s="1"/>
  <c r="CA277" i="16"/>
  <c r="CF277" i="16" s="1"/>
  <c r="CA278" i="16"/>
  <c r="CF278" i="16" s="1"/>
  <c r="CA279" i="16"/>
  <c r="CF279" i="16" s="1"/>
  <c r="CA280" i="16"/>
  <c r="CF280" i="16" s="1"/>
  <c r="CA281" i="16"/>
  <c r="CF281" i="16" s="1"/>
  <c r="CA282" i="16"/>
  <c r="CF282" i="16" s="1"/>
  <c r="CA283" i="16"/>
  <c r="CF283" i="16" s="1"/>
  <c r="CA284" i="16"/>
  <c r="CF284" i="16" s="1"/>
  <c r="CA285" i="16"/>
  <c r="CF285" i="16" s="1"/>
  <c r="CA287" i="16"/>
  <c r="CF287" i="16" s="1"/>
  <c r="CA288" i="16"/>
  <c r="CF288" i="16" s="1"/>
  <c r="CA289" i="16"/>
  <c r="CF289" i="16" s="1"/>
  <c r="CA290" i="16"/>
  <c r="CF290" i="16" s="1"/>
  <c r="CA293" i="16"/>
  <c r="CF293" i="16" s="1"/>
  <c r="CA294" i="16"/>
  <c r="CF294" i="16" s="1"/>
  <c r="CA295" i="16"/>
  <c r="CF295" i="16" s="1"/>
  <c r="CA296" i="16"/>
  <c r="CF296" i="16" s="1"/>
  <c r="CA297" i="16"/>
  <c r="CF297" i="16" s="1"/>
  <c r="CA298" i="16"/>
  <c r="CF298" i="16" s="1"/>
  <c r="CA299" i="16"/>
  <c r="CF299" i="16" s="1"/>
  <c r="CA300" i="16"/>
  <c r="CF300" i="16" s="1"/>
  <c r="CA301" i="16"/>
  <c r="CF301" i="16" s="1"/>
  <c r="CA302" i="16"/>
  <c r="CF302" i="16" s="1"/>
  <c r="CA303" i="16"/>
  <c r="CF303" i="16" s="1"/>
  <c r="CA304" i="16"/>
  <c r="CF304" i="16" s="1"/>
  <c r="CA305" i="16"/>
  <c r="CF305" i="16" s="1"/>
  <c r="CA306" i="16"/>
  <c r="CF306" i="16" s="1"/>
  <c r="CA307" i="16"/>
  <c r="CF307" i="16" s="1"/>
  <c r="CF308" i="16"/>
  <c r="CA309" i="16"/>
  <c r="CF309" i="16" s="1"/>
  <c r="CA310" i="16"/>
  <c r="CF310" i="16" s="1"/>
  <c r="CA311" i="16"/>
  <c r="CF311" i="16" s="1"/>
  <c r="CA312" i="16"/>
  <c r="CF312" i="16" s="1"/>
  <c r="CA313" i="16"/>
  <c r="CF313" i="16" s="1"/>
  <c r="CA314" i="16"/>
  <c r="CF314" i="16" s="1"/>
  <c r="CA315" i="16"/>
  <c r="CF315" i="16" s="1"/>
  <c r="CA316" i="16"/>
  <c r="CF316" i="16" s="1"/>
  <c r="CA317" i="16"/>
  <c r="CF317" i="16" s="1"/>
  <c r="CA318" i="16"/>
  <c r="CF318" i="16" s="1"/>
  <c r="CA319" i="16"/>
  <c r="CF319" i="16" s="1"/>
  <c r="CA320" i="16"/>
  <c r="CF320" i="16" s="1"/>
  <c r="CA321" i="16"/>
  <c r="CF321" i="16" s="1"/>
  <c r="CA322" i="16"/>
  <c r="CF322" i="16" s="1"/>
  <c r="CA323" i="16"/>
  <c r="CF323" i="16" s="1"/>
  <c r="CA324" i="16"/>
  <c r="CF324" i="16" s="1"/>
  <c r="CA325" i="16"/>
  <c r="CF325" i="16" s="1"/>
  <c r="CA328" i="16"/>
  <c r="CF328" i="16" s="1"/>
  <c r="CA329" i="16"/>
  <c r="CF329" i="16" s="1"/>
  <c r="CA330" i="16"/>
  <c r="CF330" i="16" s="1"/>
  <c r="CA331" i="16"/>
  <c r="CF331" i="16" s="1"/>
  <c r="CA332" i="16"/>
  <c r="CF332" i="16" s="1"/>
  <c r="CA333" i="16"/>
  <c r="CF333" i="16" s="1"/>
  <c r="CA334" i="16"/>
  <c r="CF334" i="16" s="1"/>
  <c r="CA335" i="16"/>
  <c r="CF335" i="16" s="1"/>
  <c r="CA336" i="16"/>
  <c r="CF336" i="16" s="1"/>
  <c r="CA337" i="16"/>
  <c r="CF337" i="16" s="1"/>
  <c r="CA338" i="16"/>
  <c r="CF338" i="16" s="1"/>
  <c r="CA343" i="16"/>
  <c r="CF343" i="16" s="1"/>
  <c r="CA344" i="16"/>
  <c r="CF344" i="16" s="1"/>
  <c r="CA346" i="16"/>
  <c r="CF346" i="16" s="1"/>
  <c r="CA347" i="16"/>
  <c r="CF347" i="16" s="1"/>
  <c r="CA348" i="16"/>
  <c r="CF348" i="16" s="1"/>
  <c r="CA352" i="16"/>
  <c r="CF352" i="16" s="1"/>
  <c r="CA354" i="16"/>
  <c r="CF354" i="16" s="1"/>
  <c r="CA358" i="16"/>
  <c r="CF358" i="16" s="1"/>
  <c r="CA359" i="16"/>
  <c r="CF359" i="16" s="1"/>
  <c r="CF360" i="16"/>
  <c r="CA361" i="16"/>
  <c r="CF361" i="16" s="1"/>
  <c r="CF362" i="16"/>
  <c r="CA363" i="16"/>
  <c r="CF363" i="16" s="1"/>
  <c r="CA364" i="16"/>
  <c r="CF364" i="16" s="1"/>
  <c r="CF365" i="16"/>
  <c r="CA366" i="16"/>
  <c r="CF366" i="16" s="1"/>
  <c r="CA369" i="16"/>
  <c r="CF369" i="16" s="1"/>
  <c r="CA370" i="16"/>
  <c r="CF370" i="16" s="1"/>
  <c r="CA371" i="16"/>
  <c r="CF371" i="16" s="1"/>
  <c r="CA372" i="16"/>
  <c r="CF372" i="16" s="1"/>
  <c r="CA373" i="16"/>
  <c r="CF373" i="16" s="1"/>
  <c r="CA374" i="16"/>
  <c r="CF374" i="16" s="1"/>
  <c r="CA375" i="16"/>
  <c r="CF375" i="16" s="1"/>
  <c r="CA376" i="16"/>
  <c r="CF376" i="16" s="1"/>
  <c r="CA377" i="16"/>
  <c r="CF377" i="16" s="1"/>
  <c r="CA378" i="16"/>
  <c r="CF378" i="16" s="1"/>
  <c r="CA379" i="16"/>
  <c r="CF379" i="16" s="1"/>
  <c r="CA380" i="16"/>
  <c r="CF380" i="16" s="1"/>
  <c r="CA381" i="16"/>
  <c r="CF381" i="16" s="1"/>
  <c r="CA382" i="16"/>
  <c r="CF382" i="16" s="1"/>
  <c r="CA383" i="16"/>
  <c r="CF383" i="16" s="1"/>
  <c r="CA384" i="16"/>
  <c r="CF384" i="16" s="1"/>
  <c r="CA385" i="16"/>
  <c r="CF385" i="16" s="1"/>
  <c r="CA386" i="16"/>
  <c r="CF386" i="16" s="1"/>
  <c r="CA387" i="16"/>
  <c r="CF387" i="16" s="1"/>
  <c r="CA388" i="16"/>
  <c r="CF388" i="16" s="1"/>
  <c r="CA389" i="16"/>
  <c r="CF389" i="16" s="1"/>
  <c r="CA390" i="16"/>
  <c r="CF390" i="16" s="1"/>
  <c r="CA391" i="16"/>
  <c r="CF391" i="16" s="1"/>
  <c r="CA392" i="16"/>
  <c r="CF392" i="16" s="1"/>
  <c r="CA393" i="16"/>
  <c r="CF393" i="16" s="1"/>
  <c r="CA396" i="16"/>
  <c r="CF396" i="16" s="1"/>
  <c r="CA397" i="16"/>
  <c r="CF397" i="16" s="1"/>
  <c r="CA398" i="16"/>
  <c r="CF398" i="16" s="1"/>
  <c r="CA399" i="16"/>
  <c r="CF399" i="16" s="1"/>
  <c r="CA400" i="16"/>
  <c r="CF400" i="16" s="1"/>
  <c r="CA401" i="16"/>
  <c r="CF401" i="16" s="1"/>
  <c r="CA402" i="16"/>
  <c r="CF402" i="16" s="1"/>
  <c r="CA403" i="16"/>
  <c r="CF403" i="16" s="1"/>
  <c r="CA404" i="16"/>
  <c r="CF404" i="16" s="1"/>
  <c r="CA405" i="16"/>
  <c r="CF405" i="16" s="1"/>
  <c r="CA406" i="16"/>
  <c r="CF406" i="16" s="1"/>
  <c r="CA409" i="16"/>
  <c r="CF409" i="16" s="1"/>
  <c r="CA410" i="16"/>
  <c r="CF410" i="16" s="1"/>
  <c r="CA411" i="16"/>
  <c r="CF411" i="16" s="1"/>
  <c r="CA412" i="16"/>
  <c r="CF412" i="16" s="1"/>
  <c r="CA413" i="16"/>
  <c r="CF413" i="16" s="1"/>
  <c r="CA414" i="16"/>
  <c r="CF414" i="16" s="1"/>
  <c r="CA415" i="16"/>
  <c r="CF415" i="16" s="1"/>
  <c r="CA416" i="16"/>
  <c r="CF416" i="16" s="1"/>
  <c r="CA417" i="16"/>
  <c r="CF417" i="16" s="1"/>
  <c r="CA418" i="16"/>
  <c r="CF418" i="16" s="1"/>
  <c r="CA419" i="16"/>
  <c r="CF419" i="16" s="1"/>
  <c r="CA420" i="16"/>
  <c r="CF420" i="16" s="1"/>
  <c r="CA421" i="16"/>
  <c r="CF421" i="16" s="1"/>
  <c r="CA422" i="16"/>
  <c r="CF422" i="16" s="1"/>
  <c r="CA425" i="16"/>
  <c r="CF425" i="16" s="1"/>
  <c r="CA426" i="16"/>
  <c r="CF426" i="16" s="1"/>
  <c r="CA427" i="16"/>
  <c r="CF427" i="16" s="1"/>
  <c r="CA428" i="16"/>
  <c r="CF428" i="16" s="1"/>
  <c r="CA429" i="16"/>
  <c r="CF429" i="16" s="1"/>
  <c r="CA430" i="16"/>
  <c r="CF430" i="16" s="1"/>
  <c r="CA431" i="16"/>
  <c r="CF431" i="16" s="1"/>
  <c r="CA432" i="16"/>
  <c r="CF432" i="16" s="1"/>
  <c r="CA433" i="16"/>
  <c r="CF433" i="16" s="1"/>
  <c r="CA434" i="16"/>
  <c r="CF434" i="16" s="1"/>
  <c r="CA435" i="16"/>
  <c r="CF435" i="16" s="1"/>
  <c r="CA436" i="16"/>
  <c r="CF436" i="16" s="1"/>
  <c r="CA437" i="16"/>
  <c r="CF437" i="16" s="1"/>
  <c r="CA441" i="16"/>
  <c r="CF441" i="16" s="1"/>
  <c r="CA442" i="16"/>
  <c r="CF442" i="16" s="1"/>
  <c r="CA443" i="16"/>
  <c r="CF443" i="16" s="1"/>
  <c r="CA444" i="16"/>
  <c r="CF444" i="16" s="1"/>
  <c r="CA445" i="16"/>
  <c r="CF445" i="16" s="1"/>
  <c r="CA446" i="16"/>
  <c r="CF446" i="16" s="1"/>
  <c r="CA447" i="16"/>
  <c r="CF447" i="16" s="1"/>
  <c r="CA448" i="16"/>
  <c r="CF448" i="16" s="1"/>
  <c r="CA449" i="16"/>
  <c r="CF449" i="16" s="1"/>
  <c r="CA450" i="16"/>
  <c r="CF450" i="16" s="1"/>
  <c r="CA451" i="16"/>
  <c r="CF451" i="16" s="1"/>
  <c r="CA452" i="16"/>
  <c r="CF452" i="16" s="1"/>
  <c r="CA453" i="16"/>
  <c r="CF453" i="16" s="1"/>
  <c r="CA454" i="16"/>
  <c r="CF454" i="16" s="1"/>
  <c r="CA455" i="16"/>
  <c r="CF455" i="16" s="1"/>
  <c r="CA456" i="16"/>
  <c r="CF456" i="16" s="1"/>
  <c r="CA457" i="16"/>
  <c r="CF457" i="16" s="1"/>
  <c r="CA458" i="16"/>
  <c r="CF458" i="16" s="1"/>
  <c r="CA459" i="16"/>
  <c r="CF459" i="16" s="1"/>
  <c r="CA460" i="16"/>
  <c r="CF460" i="16" s="1"/>
  <c r="CA461" i="16"/>
  <c r="CF461" i="16" s="1"/>
  <c r="CA462" i="16"/>
  <c r="CF462" i="16" s="1"/>
  <c r="CA463" i="16"/>
  <c r="CF463" i="16" s="1"/>
  <c r="CF464" i="16"/>
  <c r="CA465" i="16"/>
  <c r="CF465" i="16" s="1"/>
  <c r="CA466" i="16"/>
  <c r="CF466" i="16" s="1"/>
  <c r="CA467" i="16"/>
  <c r="CF467" i="16" s="1"/>
  <c r="CF468" i="16"/>
  <c r="CA469" i="16"/>
  <c r="CF469" i="16" s="1"/>
  <c r="CA470" i="16"/>
  <c r="CF470" i="16" s="1"/>
  <c r="CA471" i="16"/>
  <c r="CF471" i="16" s="1"/>
  <c r="CA472" i="16"/>
  <c r="CF472" i="16" s="1"/>
  <c r="CA475" i="16"/>
  <c r="CF475" i="16" s="1"/>
  <c r="CA476" i="16"/>
  <c r="CF476" i="16" s="1"/>
  <c r="CA477" i="16"/>
  <c r="CF477" i="16" s="1"/>
  <c r="CA478" i="16"/>
  <c r="CF478" i="16" s="1"/>
  <c r="CA479" i="16"/>
  <c r="CF479" i="16" s="1"/>
  <c r="CA480" i="16"/>
  <c r="CF480" i="16" s="1"/>
  <c r="CA481" i="16"/>
  <c r="CF481" i="16" s="1"/>
  <c r="CA483" i="16"/>
  <c r="CF483" i="16" s="1"/>
  <c r="CA484" i="16"/>
  <c r="CF484" i="16" s="1"/>
  <c r="CA485" i="16"/>
  <c r="CF485" i="16" s="1"/>
  <c r="CA486" i="16"/>
  <c r="CF486" i="16" s="1"/>
  <c r="CA487" i="16"/>
  <c r="CF487" i="16" s="1"/>
  <c r="CA488" i="16"/>
  <c r="CF488" i="16" s="1"/>
  <c r="CF489" i="16"/>
  <c r="BY37" i="20"/>
  <c r="CD37" i="20" s="1"/>
  <c r="BW37" i="20"/>
  <c r="BX37" i="20" s="1"/>
  <c r="CA37" i="20"/>
  <c r="CF37" i="20" s="1"/>
  <c r="CF190" i="20"/>
  <c r="CE190" i="20"/>
  <c r="CD190" i="20"/>
  <c r="B391" i="20"/>
  <c r="CF240" i="20"/>
  <c r="BW342" i="20"/>
  <c r="BX342" i="20" s="1"/>
  <c r="BW67" i="20"/>
  <c r="CB67" i="20" s="1"/>
  <c r="CG67" i="20" s="1"/>
  <c r="AD114" i="20"/>
  <c r="BW114" i="20" s="1"/>
  <c r="CB114" i="20" s="1"/>
  <c r="CG114" i="20" s="1"/>
  <c r="BW172" i="20"/>
  <c r="CB172" i="20" s="1"/>
  <c r="CG172" i="20" s="1"/>
  <c r="BW343" i="20"/>
  <c r="CB343" i="20" s="1"/>
  <c r="CG343" i="20" s="1"/>
  <c r="AE345" i="20"/>
  <c r="BW345" i="20" s="1"/>
  <c r="CB345" i="20" s="1"/>
  <c r="CG345" i="20" s="1"/>
  <c r="B9" i="20"/>
  <c r="B10" i="20"/>
  <c r="B11" i="20"/>
  <c r="B12" i="20"/>
  <c r="B13" i="20"/>
  <c r="B14" i="20"/>
  <c r="B15" i="20"/>
  <c r="B16" i="20"/>
  <c r="B17" i="20"/>
  <c r="B18" i="20"/>
  <c r="B19" i="20"/>
  <c r="B20" i="20"/>
  <c r="B21" i="20"/>
  <c r="B22" i="20"/>
  <c r="B24" i="20"/>
  <c r="B25" i="20"/>
  <c r="B26" i="20"/>
  <c r="B27" i="20"/>
  <c r="B28" i="20"/>
  <c r="B29" i="20"/>
  <c r="B30" i="20"/>
  <c r="B31" i="20"/>
  <c r="B32" i="20"/>
  <c r="B34" i="20"/>
  <c r="B35" i="20"/>
  <c r="B36" i="20"/>
  <c r="B37" i="20"/>
  <c r="B38" i="20"/>
  <c r="B39" i="20"/>
  <c r="B40" i="20"/>
  <c r="B41" i="20"/>
  <c r="B43" i="20"/>
  <c r="B44" i="20"/>
  <c r="B45" i="20"/>
  <c r="B46" i="20"/>
  <c r="B48"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5" i="20"/>
  <c r="B87" i="20"/>
  <c r="B88" i="20"/>
  <c r="B89" i="20"/>
  <c r="B90" i="20"/>
  <c r="B92" i="20"/>
  <c r="B93" i="20"/>
  <c r="B94" i="20"/>
  <c r="B95" i="20"/>
  <c r="B96" i="20"/>
  <c r="B97" i="20"/>
  <c r="B98" i="20"/>
  <c r="B99" i="20"/>
  <c r="B100" i="20"/>
  <c r="B101" i="20"/>
  <c r="B102" i="20"/>
  <c r="B103" i="20"/>
  <c r="B104" i="20"/>
  <c r="B105" i="20"/>
  <c r="B107" i="20"/>
  <c r="B108" i="20"/>
  <c r="B109" i="20"/>
  <c r="B110" i="20"/>
  <c r="B111" i="20"/>
  <c r="B112" i="20"/>
  <c r="B113" i="20"/>
  <c r="B114" i="20"/>
  <c r="B115" i="20"/>
  <c r="B116" i="20"/>
  <c r="B117" i="20"/>
  <c r="B119" i="20"/>
  <c r="B120" i="20"/>
  <c r="B121" i="20"/>
  <c r="B122" i="20"/>
  <c r="B123" i="20"/>
  <c r="B124" i="20"/>
  <c r="B125" i="20"/>
  <c r="B126" i="20"/>
  <c r="B127" i="20"/>
  <c r="B128" i="20"/>
  <c r="B129" i="20"/>
  <c r="B130" i="20"/>
  <c r="B131" i="20"/>
  <c r="B132" i="20"/>
  <c r="B133" i="20"/>
  <c r="B134" i="20"/>
  <c r="B135" i="20"/>
  <c r="B136" i="20"/>
  <c r="B137" i="20"/>
  <c r="B138" i="20"/>
  <c r="B139" i="20"/>
  <c r="B140" i="20"/>
  <c r="B141" i="20"/>
  <c r="B142" i="20"/>
  <c r="B143" i="20"/>
  <c r="B145" i="20"/>
  <c r="B146" i="20"/>
  <c r="B147" i="20"/>
  <c r="B148" i="20"/>
  <c r="B149" i="20"/>
  <c r="B150" i="20"/>
  <c r="B151" i="20"/>
  <c r="B152" i="20"/>
  <c r="B153" i="20"/>
  <c r="B154" i="20"/>
  <c r="B155" i="20"/>
  <c r="B156" i="20"/>
  <c r="B157" i="20"/>
  <c r="B158" i="20"/>
  <c r="B159" i="20"/>
  <c r="B160" i="20"/>
  <c r="B161" i="20"/>
  <c r="B162" i="20"/>
  <c r="B163" i="20"/>
  <c r="B164" i="20"/>
  <c r="B165" i="20"/>
  <c r="B166" i="20"/>
  <c r="B167" i="20"/>
  <c r="B168" i="20"/>
  <c r="B169" i="20"/>
  <c r="B170" i="20"/>
  <c r="B171" i="20"/>
  <c r="B172" i="20"/>
  <c r="B173" i="20"/>
  <c r="B174" i="20"/>
  <c r="B175" i="20"/>
  <c r="B176" i="20"/>
  <c r="B177" i="20"/>
  <c r="B178" i="20"/>
  <c r="B179" i="20"/>
  <c r="B180" i="20"/>
  <c r="B181" i="20"/>
  <c r="B182" i="20"/>
  <c r="B183" i="20"/>
  <c r="B184" i="20"/>
  <c r="B185" i="20"/>
  <c r="B186" i="20"/>
  <c r="B187" i="20"/>
  <c r="B188" i="20"/>
  <c r="B189" i="20"/>
  <c r="B190" i="20"/>
  <c r="B191" i="20"/>
  <c r="B192" i="20"/>
  <c r="B193" i="20"/>
  <c r="B194" i="20"/>
  <c r="B195" i="20"/>
  <c r="B196" i="20"/>
  <c r="B197" i="20"/>
  <c r="B198" i="20"/>
  <c r="B199" i="20"/>
  <c r="B200" i="20"/>
  <c r="B201" i="20"/>
  <c r="B202" i="20"/>
  <c r="B203" i="20"/>
  <c r="B204" i="20"/>
  <c r="B205" i="20"/>
  <c r="B206" i="20"/>
  <c r="B207" i="20"/>
  <c r="B208" i="20"/>
  <c r="B209" i="20"/>
  <c r="B210" i="20"/>
  <c r="B211" i="20"/>
  <c r="B212" i="20"/>
  <c r="B213" i="20"/>
  <c r="B214" i="20"/>
  <c r="B215" i="20"/>
  <c r="B216" i="20"/>
  <c r="B217" i="20"/>
  <c r="B218" i="20"/>
  <c r="B219" i="20"/>
  <c r="B220" i="20"/>
  <c r="B221" i="20"/>
  <c r="B222" i="20"/>
  <c r="B223" i="20"/>
  <c r="B224" i="20"/>
  <c r="B225" i="20"/>
  <c r="B226" i="20"/>
  <c r="B227" i="20"/>
  <c r="B228" i="20"/>
  <c r="B229" i="20"/>
  <c r="B230" i="20"/>
  <c r="B231" i="20"/>
  <c r="B232" i="20"/>
  <c r="B233" i="20"/>
  <c r="B234" i="20"/>
  <c r="B236" i="20"/>
  <c r="B237" i="20"/>
  <c r="B238" i="20"/>
  <c r="B239" i="20"/>
  <c r="B240" i="20"/>
  <c r="B241" i="20"/>
  <c r="B242" i="20"/>
  <c r="B243" i="20"/>
  <c r="B244" i="20"/>
  <c r="B245" i="20"/>
  <c r="B246" i="20"/>
  <c r="B247" i="20"/>
  <c r="B248" i="20"/>
  <c r="B249" i="20"/>
  <c r="B250" i="20"/>
  <c r="B251" i="20"/>
  <c r="B252" i="20"/>
  <c r="B253" i="20"/>
  <c r="B254" i="20"/>
  <c r="B255" i="20"/>
  <c r="B256" i="20"/>
  <c r="B257" i="20"/>
  <c r="B258" i="20"/>
  <c r="B260" i="20"/>
  <c r="B261" i="20"/>
  <c r="B262" i="20"/>
  <c r="B263" i="20"/>
  <c r="B264" i="20"/>
  <c r="B265" i="20"/>
  <c r="B266" i="20"/>
  <c r="B267" i="20"/>
  <c r="B268" i="20"/>
  <c r="B269" i="20"/>
  <c r="B270" i="20"/>
  <c r="B271" i="20"/>
  <c r="B272" i="20"/>
  <c r="B273" i="20"/>
  <c r="B274" i="20"/>
  <c r="B275" i="20"/>
  <c r="B276" i="20"/>
  <c r="B277" i="20"/>
  <c r="B278" i="20"/>
  <c r="B279" i="20"/>
  <c r="B280" i="20"/>
  <c r="B281" i="20"/>
  <c r="B282" i="20"/>
  <c r="B283" i="20"/>
  <c r="B284" i="20"/>
  <c r="B285" i="20"/>
  <c r="B286" i="20"/>
  <c r="B287" i="20"/>
  <c r="B288" i="20"/>
  <c r="B289" i="20"/>
  <c r="B290" i="20"/>
  <c r="B291" i="20"/>
  <c r="B292" i="20"/>
  <c r="B294" i="20"/>
  <c r="B295" i="20"/>
  <c r="B296" i="20"/>
  <c r="B297" i="20"/>
  <c r="B298" i="20"/>
  <c r="B299" i="20"/>
  <c r="B300" i="20"/>
  <c r="B301" i="20"/>
  <c r="B302" i="20"/>
  <c r="B303" i="20"/>
  <c r="B304" i="20"/>
  <c r="B305" i="20"/>
  <c r="B306" i="20"/>
  <c r="B307" i="20"/>
  <c r="B308" i="20"/>
  <c r="B309" i="20"/>
  <c r="B310" i="20"/>
  <c r="B311" i="20"/>
  <c r="B312" i="20"/>
  <c r="B313" i="20"/>
  <c r="B314" i="20"/>
  <c r="B315" i="20"/>
  <c r="B316" i="20"/>
  <c r="B317" i="20"/>
  <c r="B318" i="20"/>
  <c r="B319" i="20"/>
  <c r="B320" i="20"/>
  <c r="B321" i="20"/>
  <c r="B323" i="20"/>
  <c r="B324" i="20"/>
  <c r="B325" i="20"/>
  <c r="B326" i="20"/>
  <c r="B327" i="20"/>
  <c r="B328" i="20"/>
  <c r="B329" i="20"/>
  <c r="B330" i="20"/>
  <c r="B331" i="20"/>
  <c r="B332" i="20"/>
  <c r="B333" i="20"/>
  <c r="B334" i="20"/>
  <c r="B335" i="20"/>
  <c r="B336" i="20"/>
  <c r="B337" i="20"/>
  <c r="B338" i="20"/>
  <c r="B339" i="20"/>
  <c r="B340" i="20"/>
  <c r="B341" i="20"/>
  <c r="B342" i="20"/>
  <c r="B343" i="20"/>
  <c r="B344" i="20"/>
  <c r="B345" i="20"/>
  <c r="B346" i="20"/>
  <c r="B347" i="20"/>
  <c r="B348" i="20"/>
  <c r="B349" i="20"/>
  <c r="B350" i="20"/>
  <c r="B351" i="20"/>
  <c r="B352" i="20"/>
  <c r="B353" i="20"/>
  <c r="B354" i="20"/>
  <c r="B355" i="20"/>
  <c r="B356" i="20"/>
  <c r="B357" i="20"/>
  <c r="B358" i="20"/>
  <c r="B359" i="20"/>
  <c r="B360" i="20"/>
  <c r="B361" i="20"/>
  <c r="B362" i="20"/>
  <c r="B363" i="20"/>
  <c r="B364" i="20"/>
  <c r="B365" i="20"/>
  <c r="B366" i="20"/>
  <c r="B367" i="20"/>
  <c r="B368" i="20"/>
  <c r="B369" i="20"/>
  <c r="B370" i="20"/>
  <c r="B371" i="20"/>
  <c r="B372" i="20"/>
  <c r="B373" i="20"/>
  <c r="B374" i="20"/>
  <c r="B375" i="20"/>
  <c r="B376" i="20"/>
  <c r="B377" i="20"/>
  <c r="B378" i="20"/>
  <c r="B379" i="20"/>
  <c r="B380" i="20"/>
  <c r="B381" i="20"/>
  <c r="B382" i="20"/>
  <c r="B383" i="20"/>
  <c r="B384" i="20"/>
  <c r="B385" i="20"/>
  <c r="B386" i="20"/>
  <c r="B387" i="20"/>
  <c r="B388" i="20"/>
  <c r="B389" i="20"/>
  <c r="B390" i="20"/>
  <c r="B392" i="20"/>
  <c r="B393" i="20"/>
  <c r="B394" i="20"/>
  <c r="B395" i="20"/>
  <c r="B396" i="20"/>
  <c r="B397" i="20"/>
  <c r="B398" i="20"/>
  <c r="B399" i="20"/>
  <c r="B400" i="20"/>
  <c r="B401" i="20"/>
  <c r="B402" i="20"/>
  <c r="B403" i="20"/>
  <c r="B404" i="20"/>
  <c r="B405" i="20"/>
  <c r="B406" i="20"/>
  <c r="B408" i="20"/>
  <c r="B409" i="20"/>
  <c r="B410" i="20"/>
  <c r="B411" i="20"/>
  <c r="B412" i="20"/>
  <c r="B413" i="20"/>
  <c r="B414" i="20"/>
  <c r="B415" i="20"/>
  <c r="B416" i="20"/>
  <c r="B417" i="20"/>
  <c r="B418" i="20"/>
  <c r="B419" i="20"/>
  <c r="B420" i="20"/>
  <c r="B421" i="20"/>
  <c r="B422" i="20"/>
  <c r="B423" i="20"/>
  <c r="B424" i="20"/>
  <c r="B425" i="20"/>
  <c r="B426" i="20"/>
  <c r="B427" i="20"/>
  <c r="B428" i="20"/>
  <c r="B429" i="20"/>
  <c r="B430" i="20"/>
  <c r="B431" i="20"/>
  <c r="B432" i="20"/>
  <c r="B433" i="20"/>
  <c r="B434" i="20"/>
  <c r="B435" i="20"/>
  <c r="B436" i="20"/>
  <c r="B437" i="20"/>
  <c r="B440" i="20"/>
  <c r="B441" i="20"/>
  <c r="B442" i="20"/>
  <c r="B443" i="20"/>
  <c r="B444" i="20"/>
  <c r="B445" i="20"/>
  <c r="B446" i="20"/>
  <c r="B447" i="20"/>
  <c r="B448" i="20"/>
  <c r="B449" i="20"/>
  <c r="B450" i="20"/>
  <c r="B451" i="20"/>
  <c r="B452" i="20"/>
  <c r="B453" i="20"/>
  <c r="B454" i="20"/>
  <c r="B455" i="20"/>
  <c r="B456" i="20"/>
  <c r="B457" i="20"/>
  <c r="B458" i="20"/>
  <c r="B459" i="20"/>
  <c r="B460" i="20"/>
  <c r="B461" i="20"/>
  <c r="B462" i="20"/>
  <c r="B463" i="20"/>
  <c r="B465" i="20"/>
  <c r="B466" i="20"/>
  <c r="B467" i="20"/>
  <c r="B468" i="20"/>
  <c r="B469" i="20"/>
  <c r="B470" i="20"/>
  <c r="B471" i="20"/>
  <c r="B472" i="20"/>
  <c r="B474" i="20"/>
  <c r="B475" i="20"/>
  <c r="B476" i="20"/>
  <c r="B477" i="20"/>
  <c r="B478" i="20"/>
  <c r="B479" i="20"/>
  <c r="B480" i="20"/>
  <c r="B481" i="20"/>
  <c r="B482" i="20"/>
  <c r="B483" i="20"/>
  <c r="B484" i="20"/>
  <c r="B485" i="20"/>
  <c r="B486" i="20"/>
  <c r="B487" i="20"/>
  <c r="B488" i="20"/>
  <c r="B489" i="20"/>
  <c r="A8" i="20"/>
  <c r="A9" i="20"/>
  <c r="A10" i="20"/>
  <c r="A11" i="20"/>
  <c r="A12" i="20"/>
  <c r="A15" i="20"/>
  <c r="A16" i="20"/>
  <c r="A17" i="20"/>
  <c r="A18" i="20"/>
  <c r="A19" i="20"/>
  <c r="A20" i="20"/>
  <c r="A21" i="20"/>
  <c r="A22" i="20"/>
  <c r="A259" i="20"/>
  <c r="E10" i="21"/>
  <c r="BM75" i="20"/>
  <c r="BM76" i="20"/>
  <c r="BM77" i="20"/>
  <c r="BM78" i="20"/>
  <c r="BM79" i="20"/>
  <c r="BM80" i="20"/>
  <c r="BM81" i="20"/>
  <c r="BM82" i="20"/>
  <c r="BM83" i="20"/>
  <c r="BG347" i="20"/>
  <c r="BF347" i="20"/>
  <c r="BG346" i="20"/>
  <c r="BF339" i="20"/>
  <c r="B8" i="16"/>
  <c r="B9" i="16"/>
  <c r="B10" i="16"/>
  <c r="B11" i="16"/>
  <c r="B12" i="16"/>
  <c r="B13" i="16"/>
  <c r="B14" i="16"/>
  <c r="B15" i="16"/>
  <c r="B16" i="16"/>
  <c r="B17" i="16"/>
  <c r="B18" i="16"/>
  <c r="B19" i="16"/>
  <c r="B20" i="16"/>
  <c r="B21" i="16"/>
  <c r="B22" i="16"/>
  <c r="B23" i="16"/>
  <c r="B24" i="16"/>
  <c r="B25" i="16"/>
  <c r="B26" i="16"/>
  <c r="B27" i="16"/>
  <c r="B28" i="16"/>
  <c r="B29" i="16"/>
  <c r="B30" i="16"/>
  <c r="B31" i="16"/>
  <c r="B32" i="16"/>
  <c r="B33" i="16"/>
  <c r="B34" i="16"/>
  <c r="B35" i="16"/>
  <c r="B36" i="16"/>
  <c r="B37" i="16"/>
  <c r="B38" i="16"/>
  <c r="B39" i="16"/>
  <c r="B40" i="16"/>
  <c r="B41" i="16"/>
  <c r="B42" i="16"/>
  <c r="B43" i="16"/>
  <c r="B44" i="16"/>
  <c r="B45" i="16"/>
  <c r="B46" i="16"/>
  <c r="B48" i="16"/>
  <c r="B51" i="16"/>
  <c r="B52" i="16"/>
  <c r="B53" i="16"/>
  <c r="B54" i="16"/>
  <c r="B55" i="16"/>
  <c r="B56" i="16"/>
  <c r="B57" i="16"/>
  <c r="B58" i="16"/>
  <c r="B59" i="16"/>
  <c r="B60" i="16"/>
  <c r="B61" i="16"/>
  <c r="B62" i="16"/>
  <c r="B63" i="16"/>
  <c r="B64" i="16"/>
  <c r="B65" i="16"/>
  <c r="B66" i="16"/>
  <c r="B67" i="16"/>
  <c r="B68" i="16"/>
  <c r="B69" i="16"/>
  <c r="B70" i="16"/>
  <c r="B71" i="16"/>
  <c r="B72" i="16"/>
  <c r="B73" i="16"/>
  <c r="B74" i="16"/>
  <c r="B75" i="16"/>
  <c r="B76" i="16"/>
  <c r="B77" i="16"/>
  <c r="B78" i="16"/>
  <c r="B79" i="16"/>
  <c r="B80" i="16"/>
  <c r="B81" i="16"/>
  <c r="B82" i="16"/>
  <c r="B83" i="16"/>
  <c r="B85" i="16"/>
  <c r="B86" i="16"/>
  <c r="B87" i="16"/>
  <c r="B88" i="16"/>
  <c r="B89" i="16"/>
  <c r="B90" i="16"/>
  <c r="B91" i="16"/>
  <c r="B92" i="16"/>
  <c r="B93" i="16"/>
  <c r="B94" i="16"/>
  <c r="B95" i="16"/>
  <c r="B96" i="16"/>
  <c r="B97" i="16"/>
  <c r="B98" i="16"/>
  <c r="B99" i="16"/>
  <c r="B100" i="16"/>
  <c r="B101" i="16"/>
  <c r="B102" i="16"/>
  <c r="B103" i="16"/>
  <c r="B104" i="16"/>
  <c r="B105" i="16"/>
  <c r="B107" i="16"/>
  <c r="B108" i="16"/>
  <c r="B109" i="16"/>
  <c r="B110" i="16"/>
  <c r="B111" i="16"/>
  <c r="B112" i="16"/>
  <c r="B113" i="16"/>
  <c r="B114" i="16"/>
  <c r="B115" i="16"/>
  <c r="B116" i="16"/>
  <c r="B117" i="16"/>
  <c r="B119" i="16"/>
  <c r="B120" i="16"/>
  <c r="B121" i="16"/>
  <c r="B122" i="16"/>
  <c r="B123" i="16"/>
  <c r="B124" i="16"/>
  <c r="B125" i="16"/>
  <c r="B126" i="16"/>
  <c r="B127" i="16"/>
  <c r="B128" i="16"/>
  <c r="B129" i="16"/>
  <c r="B130" i="16"/>
  <c r="B131" i="16"/>
  <c r="B132" i="16"/>
  <c r="B133" i="16"/>
  <c r="B134" i="16"/>
  <c r="B135" i="16"/>
  <c r="B136" i="16"/>
  <c r="B137" i="16"/>
  <c r="B138" i="16"/>
  <c r="B139" i="16"/>
  <c r="B140" i="16"/>
  <c r="B141" i="16"/>
  <c r="B142" i="16"/>
  <c r="B143" i="16"/>
  <c r="B144" i="16"/>
  <c r="B145" i="16"/>
  <c r="B146" i="16"/>
  <c r="B147" i="16"/>
  <c r="B148" i="16"/>
  <c r="B149" i="16"/>
  <c r="B150" i="16"/>
  <c r="B151" i="16"/>
  <c r="B152" i="16"/>
  <c r="B153" i="16"/>
  <c r="B154" i="16"/>
  <c r="B155" i="16"/>
  <c r="B156" i="16"/>
  <c r="B157" i="16"/>
  <c r="B158" i="16"/>
  <c r="B159" i="16"/>
  <c r="B160" i="16"/>
  <c r="B161" i="16"/>
  <c r="B162" i="16"/>
  <c r="B163" i="16"/>
  <c r="B164" i="16"/>
  <c r="B165" i="16"/>
  <c r="B166" i="16"/>
  <c r="B167" i="16"/>
  <c r="B168" i="16"/>
  <c r="B169" i="16"/>
  <c r="B170" i="16"/>
  <c r="B171" i="16"/>
  <c r="B172" i="16"/>
  <c r="B173" i="16"/>
  <c r="B174" i="16"/>
  <c r="B175" i="16"/>
  <c r="B176" i="16"/>
  <c r="B177" i="16"/>
  <c r="B178" i="16"/>
  <c r="B179" i="16"/>
  <c r="B180" i="16"/>
  <c r="B181" i="16"/>
  <c r="B182" i="16"/>
  <c r="B183" i="16"/>
  <c r="B184" i="16"/>
  <c r="B185" i="16"/>
  <c r="B186" i="16"/>
  <c r="B187" i="16"/>
  <c r="B188" i="16"/>
  <c r="B189" i="16"/>
  <c r="B190" i="16"/>
  <c r="B191" i="16"/>
  <c r="B192" i="16"/>
  <c r="B193" i="16"/>
  <c r="B194" i="16"/>
  <c r="B195" i="16"/>
  <c r="B196" i="16"/>
  <c r="B197" i="16"/>
  <c r="B198" i="16"/>
  <c r="B199" i="16"/>
  <c r="B200" i="16"/>
  <c r="B201" i="16"/>
  <c r="B202" i="16"/>
  <c r="B203" i="16"/>
  <c r="B204" i="16"/>
  <c r="B205" i="16"/>
  <c r="B206" i="16"/>
  <c r="B207" i="16"/>
  <c r="B208" i="16"/>
  <c r="B209" i="16"/>
  <c r="B210" i="16"/>
  <c r="B211" i="16"/>
  <c r="B212" i="16"/>
  <c r="B213" i="16"/>
  <c r="B214" i="16"/>
  <c r="B215" i="16"/>
  <c r="B216" i="16"/>
  <c r="B217" i="16"/>
  <c r="B218" i="16"/>
  <c r="B219" i="16"/>
  <c r="B220" i="16"/>
  <c r="B221" i="16"/>
  <c r="B222" i="16"/>
  <c r="B223" i="16"/>
  <c r="B224" i="16"/>
  <c r="B225" i="16"/>
  <c r="B226" i="16"/>
  <c r="B227" i="16"/>
  <c r="B228" i="16"/>
  <c r="B229" i="16"/>
  <c r="B230" i="16"/>
  <c r="B231" i="16"/>
  <c r="B232" i="16"/>
  <c r="B233" i="16"/>
  <c r="B234" i="16"/>
  <c r="B235" i="16"/>
  <c r="B236" i="16"/>
  <c r="B237" i="16"/>
  <c r="B238" i="16"/>
  <c r="B239" i="16"/>
  <c r="B240" i="16"/>
  <c r="B241" i="16"/>
  <c r="B242" i="16"/>
  <c r="B243" i="16"/>
  <c r="B244" i="16"/>
  <c r="B245" i="16"/>
  <c r="B246" i="16"/>
  <c r="B247" i="16"/>
  <c r="B248" i="16"/>
  <c r="B249" i="16"/>
  <c r="B250" i="16"/>
  <c r="B251" i="16"/>
  <c r="B252" i="16"/>
  <c r="B253" i="16"/>
  <c r="B254" i="16"/>
  <c r="B255" i="16"/>
  <c r="B256" i="16"/>
  <c r="B257" i="16"/>
  <c r="B258" i="16"/>
  <c r="B260" i="16"/>
  <c r="B261" i="16"/>
  <c r="B262" i="16"/>
  <c r="B263" i="16"/>
  <c r="B264" i="16"/>
  <c r="B265" i="16"/>
  <c r="B266" i="16"/>
  <c r="B267" i="16"/>
  <c r="B268" i="16"/>
  <c r="B269" i="16"/>
  <c r="B270" i="16"/>
  <c r="B271" i="16"/>
  <c r="B272" i="16"/>
  <c r="B273" i="16"/>
  <c r="B274" i="16"/>
  <c r="B275" i="16"/>
  <c r="B276" i="16"/>
  <c r="B277" i="16"/>
  <c r="B278" i="16"/>
  <c r="B279" i="16"/>
  <c r="B280" i="16"/>
  <c r="B281" i="16"/>
  <c r="B282" i="16"/>
  <c r="B283" i="16"/>
  <c r="B284" i="16"/>
  <c r="B285" i="16"/>
  <c r="B286" i="16"/>
  <c r="B287" i="16"/>
  <c r="B288" i="16"/>
  <c r="B289" i="16"/>
  <c r="B290" i="16"/>
  <c r="B291" i="16"/>
  <c r="B292" i="16"/>
  <c r="B293" i="16"/>
  <c r="B294" i="16"/>
  <c r="B295" i="16"/>
  <c r="B296" i="16"/>
  <c r="B297" i="16"/>
  <c r="B298" i="16"/>
  <c r="B299" i="16"/>
  <c r="B300" i="16"/>
  <c r="B301" i="16"/>
  <c r="B302" i="16"/>
  <c r="B303" i="16"/>
  <c r="B304" i="16"/>
  <c r="B305" i="16"/>
  <c r="B306" i="16"/>
  <c r="B307" i="16"/>
  <c r="B308" i="16"/>
  <c r="B309" i="16"/>
  <c r="B310" i="16"/>
  <c r="B311" i="16"/>
  <c r="B312" i="16"/>
  <c r="B313" i="16"/>
  <c r="B314" i="16"/>
  <c r="B315" i="16"/>
  <c r="B316" i="16"/>
  <c r="B317" i="16"/>
  <c r="B318" i="16"/>
  <c r="B319" i="16"/>
  <c r="B320" i="16"/>
  <c r="B321" i="16"/>
  <c r="B322" i="16"/>
  <c r="B323" i="16"/>
  <c r="B324" i="16"/>
  <c r="B325" i="16"/>
  <c r="B326" i="16"/>
  <c r="B327" i="16"/>
  <c r="B328" i="16"/>
  <c r="B329" i="16"/>
  <c r="B330" i="16"/>
  <c r="B331" i="16"/>
  <c r="B332" i="16"/>
  <c r="B333" i="16"/>
  <c r="B334" i="16"/>
  <c r="B335" i="16"/>
  <c r="B336" i="16"/>
  <c r="B337" i="16"/>
  <c r="B338" i="16"/>
  <c r="B339" i="16"/>
  <c r="B340" i="16"/>
  <c r="B341" i="16"/>
  <c r="B342" i="16"/>
  <c r="B343" i="16"/>
  <c r="B344" i="16"/>
  <c r="B345" i="16"/>
  <c r="B346" i="16"/>
  <c r="B347" i="16"/>
  <c r="B348" i="16"/>
  <c r="B349" i="16"/>
  <c r="B350" i="16"/>
  <c r="B351" i="16"/>
  <c r="B352" i="16"/>
  <c r="B353" i="16"/>
  <c r="B354" i="16"/>
  <c r="B355" i="16"/>
  <c r="B356" i="16"/>
  <c r="B357" i="16"/>
  <c r="B358" i="16"/>
  <c r="B359" i="16"/>
  <c r="B360" i="16"/>
  <c r="B361" i="16"/>
  <c r="B362" i="16"/>
  <c r="B363" i="16"/>
  <c r="B364" i="16"/>
  <c r="B365" i="16"/>
  <c r="B366" i="16"/>
  <c r="B367" i="16"/>
  <c r="B368" i="16"/>
  <c r="B369" i="16"/>
  <c r="B370" i="16"/>
  <c r="B371" i="16"/>
  <c r="B372" i="16"/>
  <c r="B373" i="16"/>
  <c r="B374" i="16"/>
  <c r="B375" i="16"/>
  <c r="B376" i="16"/>
  <c r="B377" i="16"/>
  <c r="B378" i="16"/>
  <c r="B379" i="16"/>
  <c r="B380" i="16"/>
  <c r="B381" i="16"/>
  <c r="B382" i="16"/>
  <c r="B383" i="16"/>
  <c r="B384" i="16"/>
  <c r="B385" i="16"/>
  <c r="B386" i="16"/>
  <c r="B387" i="16"/>
  <c r="B388" i="16"/>
  <c r="B389" i="16"/>
  <c r="B390" i="16"/>
  <c r="B391" i="16"/>
  <c r="B392" i="16"/>
  <c r="B393" i="16"/>
  <c r="B394" i="16"/>
  <c r="B395" i="16"/>
  <c r="B396" i="16"/>
  <c r="B397" i="16"/>
  <c r="B398" i="16"/>
  <c r="B399" i="16"/>
  <c r="B400" i="16"/>
  <c r="B401" i="16"/>
  <c r="B402" i="16"/>
  <c r="B403" i="16"/>
  <c r="B404" i="16"/>
  <c r="B405" i="16"/>
  <c r="B406" i="16"/>
  <c r="B408" i="16"/>
  <c r="B409" i="16"/>
  <c r="B410" i="16"/>
  <c r="B411" i="16"/>
  <c r="B412" i="16"/>
  <c r="B413" i="16"/>
  <c r="B414" i="16"/>
  <c r="B415" i="16"/>
  <c r="B416" i="16"/>
  <c r="B417" i="16"/>
  <c r="B418" i="16"/>
  <c r="B419" i="16"/>
  <c r="B420" i="16"/>
  <c r="B421" i="16"/>
  <c r="B422" i="16"/>
  <c r="B423" i="16"/>
  <c r="B424" i="16"/>
  <c r="B425" i="16"/>
  <c r="B426" i="16"/>
  <c r="B427" i="16"/>
  <c r="B428" i="16"/>
  <c r="B429" i="16"/>
  <c r="B430" i="16"/>
  <c r="B431" i="16"/>
  <c r="B432" i="16"/>
  <c r="B433" i="16"/>
  <c r="B434" i="16"/>
  <c r="B435" i="16"/>
  <c r="B436" i="16"/>
  <c r="B437" i="16"/>
  <c r="B440" i="16"/>
  <c r="B441" i="16"/>
  <c r="B442" i="16"/>
  <c r="B443" i="16"/>
  <c r="B444" i="16"/>
  <c r="B445" i="16"/>
  <c r="B446" i="16"/>
  <c r="B447" i="16"/>
  <c r="B448" i="16"/>
  <c r="B449" i="16"/>
  <c r="B450" i="16"/>
  <c r="B451" i="16"/>
  <c r="B452" i="16"/>
  <c r="B453" i="16"/>
  <c r="B454" i="16"/>
  <c r="B455" i="16"/>
  <c r="B456" i="16"/>
  <c r="B457" i="16"/>
  <c r="B458" i="16"/>
  <c r="B459" i="16"/>
  <c r="B460" i="16"/>
  <c r="B461" i="16"/>
  <c r="B462" i="16"/>
  <c r="B463" i="16"/>
  <c r="B464" i="16"/>
  <c r="B465" i="16"/>
  <c r="B466" i="16"/>
  <c r="B467" i="16"/>
  <c r="B468" i="16"/>
  <c r="B469" i="16"/>
  <c r="B470" i="16"/>
  <c r="B471" i="16"/>
  <c r="B472" i="16"/>
  <c r="B474" i="16"/>
  <c r="B475" i="16"/>
  <c r="B476" i="16"/>
  <c r="B477" i="16"/>
  <c r="B478" i="16"/>
  <c r="B479" i="16"/>
  <c r="B480" i="16"/>
  <c r="B481" i="16"/>
  <c r="B482" i="16"/>
  <c r="B483" i="16"/>
  <c r="B484" i="16"/>
  <c r="B485" i="16"/>
  <c r="B486" i="16"/>
  <c r="B487" i="16"/>
  <c r="B488" i="16"/>
  <c r="B489" i="16"/>
  <c r="AE52" i="16"/>
  <c r="CA52" i="16" s="1"/>
  <c r="CF52" i="16" s="1"/>
  <c r="AE53" i="16"/>
  <c r="CA53" i="16" s="1"/>
  <c r="CF53" i="16" s="1"/>
  <c r="AE110" i="16"/>
  <c r="CA110" i="16" s="1"/>
  <c r="CF110" i="16" s="1"/>
  <c r="AE143" i="16"/>
  <c r="CA143" i="16" s="1"/>
  <c r="CF143" i="16" s="1"/>
  <c r="AE345" i="16"/>
  <c r="CA345" i="16" s="1"/>
  <c r="CF345" i="16" s="1"/>
  <c r="AE351" i="16"/>
  <c r="CA351" i="16" s="1"/>
  <c r="CF351" i="16" s="1"/>
  <c r="BT10" i="21"/>
  <c r="R10" i="21" s="1"/>
  <c r="U10" i="21" s="1"/>
  <c r="T10" i="21" s="1"/>
  <c r="BY8" i="16"/>
  <c r="CD8" i="16" s="1"/>
  <c r="BI10" i="21"/>
  <c r="BF10" i="21" s="1"/>
  <c r="B10" i="21"/>
  <c r="N8" i="16"/>
  <c r="BZ8" i="16"/>
  <c r="CE8" i="16" s="1"/>
  <c r="N9" i="16"/>
  <c r="BZ9" i="16"/>
  <c r="CE9" i="16" s="1"/>
  <c r="N10" i="16"/>
  <c r="N11" i="16"/>
  <c r="N12" i="16"/>
  <c r="N13" i="16"/>
  <c r="N14" i="16"/>
  <c r="N15" i="16"/>
  <c r="N16" i="16"/>
  <c r="N17" i="16"/>
  <c r="N18" i="16"/>
  <c r="N19" i="16"/>
  <c r="N20" i="16"/>
  <c r="N21" i="16"/>
  <c r="N22" i="16"/>
  <c r="N24" i="16"/>
  <c r="N25" i="16"/>
  <c r="N26" i="16"/>
  <c r="N27" i="16"/>
  <c r="N28" i="16"/>
  <c r="N29" i="16"/>
  <c r="N30" i="16"/>
  <c r="N31" i="16"/>
  <c r="N32" i="16"/>
  <c r="N33" i="16"/>
  <c r="N34" i="16"/>
  <c r="N35" i="16"/>
  <c r="N36" i="16"/>
  <c r="N37" i="16"/>
  <c r="N38" i="16"/>
  <c r="N39" i="16"/>
  <c r="N40" i="16"/>
  <c r="N41" i="16"/>
  <c r="N43" i="16"/>
  <c r="N44" i="16"/>
  <c r="N45" i="16"/>
  <c r="N46" i="16"/>
  <c r="N51" i="16"/>
  <c r="N52" i="16"/>
  <c r="N53" i="16"/>
  <c r="N54" i="16"/>
  <c r="N55" i="16"/>
  <c r="N56" i="16"/>
  <c r="N57" i="16"/>
  <c r="N58" i="16"/>
  <c r="N59" i="16"/>
  <c r="N60" i="16"/>
  <c r="N61" i="16"/>
  <c r="N62" i="16"/>
  <c r="N63" i="16"/>
  <c r="N64" i="16"/>
  <c r="N65" i="16"/>
  <c r="N66" i="16"/>
  <c r="N67" i="16"/>
  <c r="N68" i="16"/>
  <c r="N69" i="16"/>
  <c r="N70" i="16"/>
  <c r="N71" i="16"/>
  <c r="N72" i="16"/>
  <c r="N73" i="16"/>
  <c r="N75" i="16"/>
  <c r="N76" i="16"/>
  <c r="N77" i="16"/>
  <c r="N78" i="16"/>
  <c r="N79" i="16"/>
  <c r="N80" i="16"/>
  <c r="N81" i="16"/>
  <c r="N82" i="16"/>
  <c r="N83" i="16"/>
  <c r="N86" i="16"/>
  <c r="N87" i="16"/>
  <c r="N88" i="16"/>
  <c r="N89" i="16"/>
  <c r="N90" i="16"/>
  <c r="N91" i="16"/>
  <c r="N92" i="16"/>
  <c r="N93" i="16"/>
  <c r="N94" i="16"/>
  <c r="N95" i="16"/>
  <c r="N96" i="16"/>
  <c r="N98" i="16"/>
  <c r="N99" i="16"/>
  <c r="N100" i="16"/>
  <c r="N101" i="16"/>
  <c r="N102" i="16"/>
  <c r="N103" i="16"/>
  <c r="N104" i="16"/>
  <c r="N105" i="16"/>
  <c r="N108" i="16"/>
  <c r="N109" i="16"/>
  <c r="N110" i="16"/>
  <c r="N111" i="16"/>
  <c r="N112" i="16"/>
  <c r="N114" i="16"/>
  <c r="N115" i="16"/>
  <c r="N116" i="16"/>
  <c r="N117" i="16"/>
  <c r="N120" i="16"/>
  <c r="N121" i="16"/>
  <c r="N122" i="16"/>
  <c r="N123" i="16"/>
  <c r="N124" i="16"/>
  <c r="N125" i="16"/>
  <c r="N126" i="16"/>
  <c r="N127" i="16"/>
  <c r="N128" i="16"/>
  <c r="N129" i="16"/>
  <c r="N130" i="16"/>
  <c r="N131" i="16"/>
  <c r="N132" i="16"/>
  <c r="N133" i="16"/>
  <c r="N135" i="16"/>
  <c r="N136" i="16"/>
  <c r="N137" i="16"/>
  <c r="N138" i="16"/>
  <c r="N139" i="16"/>
  <c r="N140" i="16"/>
  <c r="N141" i="16"/>
  <c r="N142" i="16"/>
  <c r="N143" i="16"/>
  <c r="N145" i="16"/>
  <c r="N146" i="16"/>
  <c r="N147" i="16"/>
  <c r="N148" i="16"/>
  <c r="N149" i="16"/>
  <c r="N150" i="16"/>
  <c r="N151" i="16"/>
  <c r="N180" i="16"/>
  <c r="N181" i="16"/>
  <c r="N182" i="16"/>
  <c r="N183" i="16"/>
  <c r="N184" i="16"/>
  <c r="N185" i="16"/>
  <c r="N186" i="16"/>
  <c r="N187" i="16"/>
  <c r="N188" i="16"/>
  <c r="N189" i="16"/>
  <c r="N190" i="16"/>
  <c r="N192" i="16"/>
  <c r="N193" i="16"/>
  <c r="N194" i="16"/>
  <c r="N195" i="16"/>
  <c r="N196" i="16"/>
  <c r="N197" i="16"/>
  <c r="N200" i="16"/>
  <c r="N201" i="16"/>
  <c r="N202" i="16"/>
  <c r="N203" i="16"/>
  <c r="N204" i="16"/>
  <c r="N205" i="16"/>
  <c r="N206" i="16"/>
  <c r="N207" i="16"/>
  <c r="N208" i="16"/>
  <c r="N209" i="16"/>
  <c r="N211" i="16"/>
  <c r="N212" i="16"/>
  <c r="N213" i="16"/>
  <c r="N214" i="16"/>
  <c r="N215" i="16"/>
  <c r="N216" i="16"/>
  <c r="N217" i="16"/>
  <c r="N218" i="16"/>
  <c r="N220" i="16"/>
  <c r="N221" i="16"/>
  <c r="N222" i="16"/>
  <c r="N223" i="16"/>
  <c r="N224" i="16"/>
  <c r="N226" i="16"/>
  <c r="N227" i="16"/>
  <c r="N228" i="16"/>
  <c r="N229" i="16"/>
  <c r="N230" i="16"/>
  <c r="N231" i="16"/>
  <c r="N232" i="16"/>
  <c r="N234" i="16"/>
  <c r="N236" i="16"/>
  <c r="N237" i="16"/>
  <c r="N238" i="16"/>
  <c r="N239" i="16"/>
  <c r="N240" i="16"/>
  <c r="N242" i="16"/>
  <c r="N243" i="16"/>
  <c r="N244" i="16"/>
  <c r="N245" i="16"/>
  <c r="N246" i="16"/>
  <c r="N247" i="16"/>
  <c r="N248" i="16"/>
  <c r="N249" i="16"/>
  <c r="N250" i="16"/>
  <c r="N251" i="16"/>
  <c r="N252" i="16"/>
  <c r="N253" i="16"/>
  <c r="N254" i="16"/>
  <c r="N255" i="16"/>
  <c r="N256" i="16"/>
  <c r="N257" i="16"/>
  <c r="N258" i="16"/>
  <c r="N262" i="16"/>
  <c r="N263" i="16"/>
  <c r="N264" i="16"/>
  <c r="N265" i="16"/>
  <c r="N266" i="16"/>
  <c r="N267" i="16"/>
  <c r="N268" i="16"/>
  <c r="N269" i="16"/>
  <c r="N270" i="16"/>
  <c r="N271" i="16"/>
  <c r="N272" i="16"/>
  <c r="N274" i="16"/>
  <c r="N275" i="16"/>
  <c r="N276" i="16"/>
  <c r="N277" i="16"/>
  <c r="N278" i="16"/>
  <c r="N279" i="16"/>
  <c r="N280" i="16"/>
  <c r="N281" i="16"/>
  <c r="N282" i="16"/>
  <c r="N283" i="16"/>
  <c r="N284" i="16"/>
  <c r="N285" i="16"/>
  <c r="N287" i="16"/>
  <c r="N288" i="16"/>
  <c r="N289" i="16"/>
  <c r="N290" i="16"/>
  <c r="N293" i="16"/>
  <c r="N294" i="16"/>
  <c r="N295" i="16"/>
  <c r="N296" i="16"/>
  <c r="N297" i="16"/>
  <c r="N298" i="16"/>
  <c r="N299" i="16"/>
  <c r="N300" i="16"/>
  <c r="N301" i="16"/>
  <c r="N302" i="16"/>
  <c r="N303" i="16"/>
  <c r="N304" i="16"/>
  <c r="N305" i="16"/>
  <c r="N306" i="16"/>
  <c r="N307" i="16"/>
  <c r="N308" i="16"/>
  <c r="N309" i="16"/>
  <c r="N310" i="16"/>
  <c r="N311" i="16"/>
  <c r="N312" i="16"/>
  <c r="N313" i="16"/>
  <c r="N314" i="16"/>
  <c r="N315" i="16"/>
  <c r="N316" i="16"/>
  <c r="N317" i="16"/>
  <c r="N318" i="16"/>
  <c r="N319" i="16"/>
  <c r="N320" i="16"/>
  <c r="N321" i="16"/>
  <c r="N322" i="16"/>
  <c r="N323" i="16"/>
  <c r="N324" i="16"/>
  <c r="N325" i="16"/>
  <c r="N328" i="16"/>
  <c r="N329" i="16"/>
  <c r="N330" i="16"/>
  <c r="N331" i="16"/>
  <c r="N332" i="16"/>
  <c r="N333" i="16"/>
  <c r="N334" i="16"/>
  <c r="N335" i="16"/>
  <c r="N336" i="16"/>
  <c r="N337" i="16"/>
  <c r="N338" i="16"/>
  <c r="N339" i="16"/>
  <c r="N340" i="16"/>
  <c r="N341" i="16"/>
  <c r="N342" i="16"/>
  <c r="N343" i="16"/>
  <c r="N344" i="16"/>
  <c r="N345" i="16"/>
  <c r="N346" i="16"/>
  <c r="N347" i="16"/>
  <c r="N348" i="16"/>
  <c r="N351" i="16"/>
  <c r="N352" i="16"/>
  <c r="N354" i="16"/>
  <c r="N358" i="16"/>
  <c r="N359" i="16"/>
  <c r="N360" i="16"/>
  <c r="N361" i="16"/>
  <c r="N362" i="16"/>
  <c r="N363" i="16"/>
  <c r="N365" i="16"/>
  <c r="N366" i="16"/>
  <c r="N373" i="16"/>
  <c r="N374" i="16"/>
  <c r="N375" i="16"/>
  <c r="N376" i="16"/>
  <c r="N377" i="16"/>
  <c r="N378" i="16"/>
  <c r="N379" i="16"/>
  <c r="N380" i="16"/>
  <c r="N381" i="16"/>
  <c r="N382" i="16"/>
  <c r="N383" i="16"/>
  <c r="N384" i="16"/>
  <c r="N385" i="16"/>
  <c r="N386" i="16"/>
  <c r="N387" i="16"/>
  <c r="N388" i="16"/>
  <c r="N389" i="16"/>
  <c r="N390" i="16"/>
  <c r="N391" i="16"/>
  <c r="N392" i="16"/>
  <c r="N393" i="16"/>
  <c r="N396" i="16"/>
  <c r="N397" i="16"/>
  <c r="N398" i="16"/>
  <c r="N399" i="16"/>
  <c r="N400" i="16"/>
  <c r="N401" i="16"/>
  <c r="N402" i="16"/>
  <c r="N403" i="16"/>
  <c r="N404" i="16"/>
  <c r="N405" i="16"/>
  <c r="N406" i="16"/>
  <c r="N409" i="16"/>
  <c r="N410" i="16"/>
  <c r="N411" i="16"/>
  <c r="N412" i="16"/>
  <c r="N414" i="16"/>
  <c r="N415" i="16"/>
  <c r="N416" i="16"/>
  <c r="N417" i="16"/>
  <c r="N418" i="16"/>
  <c r="N419" i="16"/>
  <c r="N421" i="16"/>
  <c r="N422" i="16"/>
  <c r="N423" i="16"/>
  <c r="N425" i="16"/>
  <c r="N426" i="16"/>
  <c r="N432" i="16"/>
  <c r="N433" i="16"/>
  <c r="N441" i="16"/>
  <c r="N442" i="16"/>
  <c r="N443" i="16"/>
  <c r="N444" i="16"/>
  <c r="N445" i="16"/>
  <c r="N446" i="16"/>
  <c r="N447" i="16"/>
  <c r="N448" i="16"/>
  <c r="N449" i="16"/>
  <c r="N450" i="16"/>
  <c r="N451" i="16"/>
  <c r="N452" i="16"/>
  <c r="N453" i="16"/>
  <c r="N454" i="16"/>
  <c r="N455" i="16"/>
  <c r="N456" i="16"/>
  <c r="N457" i="16"/>
  <c r="N458" i="16"/>
  <c r="N459" i="16"/>
  <c r="N460" i="16"/>
  <c r="N461" i="16"/>
  <c r="N462" i="16"/>
  <c r="N463" i="16"/>
  <c r="N464" i="16"/>
  <c r="N465" i="16"/>
  <c r="N466" i="16"/>
  <c r="N467" i="16"/>
  <c r="N468" i="16"/>
  <c r="N469" i="16"/>
  <c r="N470" i="16"/>
  <c r="N471" i="16"/>
  <c r="N472" i="16"/>
  <c r="N475" i="16"/>
  <c r="N476" i="16"/>
  <c r="N477" i="16"/>
  <c r="N478" i="16"/>
  <c r="N479" i="16"/>
  <c r="N480" i="16"/>
  <c r="N481" i="16"/>
  <c r="N483" i="16"/>
  <c r="N484" i="16"/>
  <c r="N485" i="16"/>
  <c r="N486" i="16"/>
  <c r="N487" i="16"/>
  <c r="N488" i="16"/>
  <c r="N489" i="16"/>
  <c r="BZ10" i="16"/>
  <c r="CE10" i="16" s="1"/>
  <c r="BZ11" i="16"/>
  <c r="CE11" i="16" s="1"/>
  <c r="BZ12" i="16"/>
  <c r="CE12" i="16" s="1"/>
  <c r="BZ13" i="16"/>
  <c r="CE13" i="16" s="1"/>
  <c r="BZ14" i="16"/>
  <c r="CE14" i="16" s="1"/>
  <c r="BZ15" i="16"/>
  <c r="CE15" i="16" s="1"/>
  <c r="BZ16" i="16"/>
  <c r="CE16" i="16" s="1"/>
  <c r="BZ17" i="16"/>
  <c r="CE17" i="16" s="1"/>
  <c r="BZ18" i="16"/>
  <c r="CE18" i="16" s="1"/>
  <c r="BZ19" i="16"/>
  <c r="CE19" i="16" s="1"/>
  <c r="BZ20" i="16"/>
  <c r="CE20" i="16" s="1"/>
  <c r="BZ21" i="16"/>
  <c r="CE21" i="16" s="1"/>
  <c r="BZ22" i="16"/>
  <c r="CE22" i="16" s="1"/>
  <c r="BZ24" i="16"/>
  <c r="CE24" i="16" s="1"/>
  <c r="BZ25" i="16"/>
  <c r="CE25" i="16" s="1"/>
  <c r="BZ26" i="16"/>
  <c r="CE26" i="16" s="1"/>
  <c r="BZ27" i="16"/>
  <c r="CE27" i="16" s="1"/>
  <c r="BZ28" i="16"/>
  <c r="CE28" i="16" s="1"/>
  <c r="BZ29" i="16"/>
  <c r="CE29" i="16" s="1"/>
  <c r="BZ30" i="16"/>
  <c r="CE30" i="16" s="1"/>
  <c r="BZ31" i="16"/>
  <c r="CE31" i="16" s="1"/>
  <c r="BZ32" i="16"/>
  <c r="CE32" i="16" s="1"/>
  <c r="BZ33" i="16"/>
  <c r="CE33" i="16" s="1"/>
  <c r="BZ34" i="16"/>
  <c r="CE34" i="16" s="1"/>
  <c r="BZ35" i="16"/>
  <c r="CE35" i="16" s="1"/>
  <c r="BZ36" i="16"/>
  <c r="CE36" i="16" s="1"/>
  <c r="BZ37" i="16"/>
  <c r="CE37" i="16" s="1"/>
  <c r="BZ38" i="16"/>
  <c r="CE38" i="16" s="1"/>
  <c r="BZ39" i="16"/>
  <c r="CE39" i="16" s="1"/>
  <c r="BZ40" i="16"/>
  <c r="CE40" i="16" s="1"/>
  <c r="BZ41" i="16"/>
  <c r="CE41" i="16" s="1"/>
  <c r="BZ43" i="16"/>
  <c r="CE43" i="16" s="1"/>
  <c r="BZ44" i="16"/>
  <c r="CE44" i="16" s="1"/>
  <c r="BZ45" i="16"/>
  <c r="CE45" i="16" s="1"/>
  <c r="BZ46" i="16"/>
  <c r="CE46" i="16" s="1"/>
  <c r="BZ51" i="16"/>
  <c r="CE51" i="16" s="1"/>
  <c r="BZ52" i="16"/>
  <c r="CE52" i="16" s="1"/>
  <c r="BZ53" i="16"/>
  <c r="CE53" i="16" s="1"/>
  <c r="BZ54" i="16"/>
  <c r="CE54" i="16" s="1"/>
  <c r="BZ55" i="16"/>
  <c r="CE55" i="16" s="1"/>
  <c r="BZ56" i="16"/>
  <c r="CE56" i="16" s="1"/>
  <c r="BZ57" i="16"/>
  <c r="CE57" i="16" s="1"/>
  <c r="BZ58" i="16"/>
  <c r="CE58" i="16" s="1"/>
  <c r="BZ59" i="16"/>
  <c r="CE59" i="16" s="1"/>
  <c r="BZ60" i="16"/>
  <c r="CE60" i="16" s="1"/>
  <c r="BZ61" i="16"/>
  <c r="CE61" i="16" s="1"/>
  <c r="BZ62" i="16"/>
  <c r="CE62" i="16" s="1"/>
  <c r="BZ63" i="16"/>
  <c r="CE63" i="16" s="1"/>
  <c r="BZ64" i="16"/>
  <c r="CE64" i="16" s="1"/>
  <c r="BZ65" i="16"/>
  <c r="CE65" i="16" s="1"/>
  <c r="BZ66" i="16"/>
  <c r="CE66" i="16" s="1"/>
  <c r="BZ67" i="16"/>
  <c r="CE67" i="16" s="1"/>
  <c r="BZ68" i="16"/>
  <c r="CE68" i="16" s="1"/>
  <c r="BZ69" i="16"/>
  <c r="CE69" i="16" s="1"/>
  <c r="BZ70" i="16"/>
  <c r="CE70" i="16" s="1"/>
  <c r="BZ71" i="16"/>
  <c r="CE71" i="16" s="1"/>
  <c r="BZ72" i="16"/>
  <c r="CE72" i="16" s="1"/>
  <c r="BZ73" i="16"/>
  <c r="CE73" i="16" s="1"/>
  <c r="BZ75" i="16"/>
  <c r="CE75" i="16" s="1"/>
  <c r="BZ76" i="16"/>
  <c r="CE76" i="16" s="1"/>
  <c r="BZ77" i="16"/>
  <c r="CE77" i="16" s="1"/>
  <c r="BZ78" i="16"/>
  <c r="CE78" i="16" s="1"/>
  <c r="BZ79" i="16"/>
  <c r="CE79" i="16" s="1"/>
  <c r="BZ80" i="16"/>
  <c r="CE80" i="16" s="1"/>
  <c r="BZ81" i="16"/>
  <c r="CE81" i="16" s="1"/>
  <c r="BZ82" i="16"/>
  <c r="CE82" i="16" s="1"/>
  <c r="BZ83" i="16"/>
  <c r="CE83" i="16" s="1"/>
  <c r="BZ86" i="16"/>
  <c r="CE86" i="16" s="1"/>
  <c r="BZ87" i="16"/>
  <c r="CE87" i="16" s="1"/>
  <c r="BZ88" i="16"/>
  <c r="CE88" i="16" s="1"/>
  <c r="BZ89" i="16"/>
  <c r="CE89" i="16" s="1"/>
  <c r="BZ90" i="16"/>
  <c r="CE90" i="16" s="1"/>
  <c r="BZ91" i="16"/>
  <c r="CE91" i="16" s="1"/>
  <c r="BZ92" i="16"/>
  <c r="CE92" i="16" s="1"/>
  <c r="BZ93" i="16"/>
  <c r="CE93" i="16" s="1"/>
  <c r="BZ94" i="16"/>
  <c r="CE94" i="16" s="1"/>
  <c r="BZ95" i="16"/>
  <c r="CE95" i="16" s="1"/>
  <c r="BZ96" i="16"/>
  <c r="CE96" i="16" s="1"/>
  <c r="BZ98" i="16"/>
  <c r="CE98" i="16" s="1"/>
  <c r="BZ99" i="16"/>
  <c r="CE99" i="16" s="1"/>
  <c r="BZ100" i="16"/>
  <c r="CE100" i="16" s="1"/>
  <c r="BZ101" i="16"/>
  <c r="CE101" i="16" s="1"/>
  <c r="BZ102" i="16"/>
  <c r="CE102" i="16" s="1"/>
  <c r="BZ103" i="16"/>
  <c r="CE103" i="16" s="1"/>
  <c r="BZ104" i="16"/>
  <c r="CE104" i="16" s="1"/>
  <c r="BZ105" i="16"/>
  <c r="CE105" i="16" s="1"/>
  <c r="BZ108" i="16"/>
  <c r="CE108" i="16" s="1"/>
  <c r="BZ109" i="16"/>
  <c r="CE109" i="16" s="1"/>
  <c r="BZ110" i="16"/>
  <c r="CE110" i="16" s="1"/>
  <c r="BZ111" i="16"/>
  <c r="CE111" i="16" s="1"/>
  <c r="BZ112" i="16"/>
  <c r="CE112" i="16" s="1"/>
  <c r="AD114" i="16"/>
  <c r="BZ114" i="16" s="1"/>
  <c r="CE114" i="16" s="1"/>
  <c r="BZ115" i="16"/>
  <c r="CE115" i="16" s="1"/>
  <c r="BZ116" i="16"/>
  <c r="CE116" i="16" s="1"/>
  <c r="BZ117" i="16"/>
  <c r="CE117" i="16" s="1"/>
  <c r="BZ120" i="16"/>
  <c r="CE120" i="16" s="1"/>
  <c r="BZ121" i="16"/>
  <c r="CE121" i="16" s="1"/>
  <c r="BZ122" i="16"/>
  <c r="CE122" i="16" s="1"/>
  <c r="BZ123" i="16"/>
  <c r="CE123" i="16" s="1"/>
  <c r="BZ124" i="16"/>
  <c r="CE124" i="16" s="1"/>
  <c r="BZ125" i="16"/>
  <c r="CE125" i="16" s="1"/>
  <c r="BZ126" i="16"/>
  <c r="CE126" i="16" s="1"/>
  <c r="BZ127" i="16"/>
  <c r="CE127" i="16" s="1"/>
  <c r="BZ128" i="16"/>
  <c r="CE128" i="16" s="1"/>
  <c r="BZ129" i="16"/>
  <c r="CE129" i="16" s="1"/>
  <c r="BZ130" i="16"/>
  <c r="CE130" i="16" s="1"/>
  <c r="AD131" i="16"/>
  <c r="BZ131" i="16" s="1"/>
  <c r="CE131" i="16" s="1"/>
  <c r="BZ132" i="16"/>
  <c r="CE132" i="16" s="1"/>
  <c r="BZ133" i="16"/>
  <c r="CE133" i="16" s="1"/>
  <c r="CE135" i="16"/>
  <c r="BZ136" i="16"/>
  <c r="CE136" i="16" s="1"/>
  <c r="BZ137" i="16"/>
  <c r="CE137" i="16" s="1"/>
  <c r="BZ138" i="16"/>
  <c r="CE138" i="16" s="1"/>
  <c r="BZ139" i="16"/>
  <c r="CE139" i="16" s="1"/>
  <c r="BZ140" i="16"/>
  <c r="CE140" i="16" s="1"/>
  <c r="BZ141" i="16"/>
  <c r="CE141" i="16" s="1"/>
  <c r="BZ142" i="16"/>
  <c r="CE142" i="16" s="1"/>
  <c r="BZ143" i="16"/>
  <c r="CE143" i="16" s="1"/>
  <c r="BZ145" i="16"/>
  <c r="CE145" i="16" s="1"/>
  <c r="BZ146" i="16"/>
  <c r="CE146" i="16" s="1"/>
  <c r="BZ147" i="16"/>
  <c r="CE147" i="16" s="1"/>
  <c r="BZ148" i="16"/>
  <c r="CE148" i="16" s="1"/>
  <c r="BZ149" i="16"/>
  <c r="CE149" i="16" s="1"/>
  <c r="BZ150" i="16"/>
  <c r="CE150" i="16" s="1"/>
  <c r="BZ151" i="16"/>
  <c r="CE151" i="16" s="1"/>
  <c r="BZ154" i="16"/>
  <c r="CE154" i="16" s="1"/>
  <c r="BZ155" i="16"/>
  <c r="CE155" i="16" s="1"/>
  <c r="BZ156" i="16"/>
  <c r="CE156" i="16" s="1"/>
  <c r="BZ157" i="16"/>
  <c r="CE157" i="16" s="1"/>
  <c r="BZ158" i="16"/>
  <c r="CE158" i="16" s="1"/>
  <c r="BZ159" i="16"/>
  <c r="CE159" i="16" s="1"/>
  <c r="BZ160" i="16"/>
  <c r="CE160" i="16" s="1"/>
  <c r="BZ161" i="16"/>
  <c r="CE161" i="16" s="1"/>
  <c r="BZ162" i="16"/>
  <c r="CE162" i="16" s="1"/>
  <c r="BZ163" i="16"/>
  <c r="CE163" i="16" s="1"/>
  <c r="BZ164" i="16"/>
  <c r="CE164" i="16" s="1"/>
  <c r="BZ165" i="16"/>
  <c r="CE165" i="16" s="1"/>
  <c r="BZ166" i="16"/>
  <c r="CE166" i="16" s="1"/>
  <c r="BZ167" i="16"/>
  <c r="CE167" i="16" s="1"/>
  <c r="BZ168" i="16"/>
  <c r="CE168" i="16" s="1"/>
  <c r="BZ169" i="16"/>
  <c r="CE169" i="16" s="1"/>
  <c r="BZ170" i="16"/>
  <c r="CE170" i="16" s="1"/>
  <c r="BZ171" i="16"/>
  <c r="CE171" i="16" s="1"/>
  <c r="BZ172" i="16"/>
  <c r="CE172" i="16" s="1"/>
  <c r="BZ173" i="16"/>
  <c r="CE173" i="16" s="1"/>
  <c r="BZ174" i="16"/>
  <c r="CE174" i="16" s="1"/>
  <c r="BZ175" i="16"/>
  <c r="CE175" i="16" s="1"/>
  <c r="BZ176" i="16"/>
  <c r="CE176" i="16" s="1"/>
  <c r="BZ177" i="16"/>
  <c r="CE177" i="16" s="1"/>
  <c r="BZ180" i="16"/>
  <c r="CE180" i="16" s="1"/>
  <c r="BZ181" i="16"/>
  <c r="CE181" i="16" s="1"/>
  <c r="BZ182" i="16"/>
  <c r="CE182" i="16" s="1"/>
  <c r="BZ183" i="16"/>
  <c r="CE183" i="16" s="1"/>
  <c r="BZ184" i="16"/>
  <c r="CE184" i="16" s="1"/>
  <c r="BZ185" i="16"/>
  <c r="CE185" i="16" s="1"/>
  <c r="BZ186" i="16"/>
  <c r="CE186" i="16" s="1"/>
  <c r="BZ187" i="16"/>
  <c r="CE187" i="16" s="1"/>
  <c r="BZ188" i="16"/>
  <c r="CE188" i="16" s="1"/>
  <c r="BZ189" i="16"/>
  <c r="CE189" i="16" s="1"/>
  <c r="BZ192" i="16"/>
  <c r="CE192" i="16" s="1"/>
  <c r="BZ193" i="16"/>
  <c r="CE193" i="16" s="1"/>
  <c r="BZ194" i="16"/>
  <c r="CE194" i="16" s="1"/>
  <c r="BZ195" i="16"/>
  <c r="CE195" i="16" s="1"/>
  <c r="BZ196" i="16"/>
  <c r="CE196" i="16" s="1"/>
  <c r="BZ197" i="16"/>
  <c r="CE197" i="16" s="1"/>
  <c r="BZ198" i="16"/>
  <c r="CE198" i="16" s="1"/>
  <c r="BZ200" i="16"/>
  <c r="CE200" i="16" s="1"/>
  <c r="BZ201" i="16"/>
  <c r="CE201" i="16" s="1"/>
  <c r="BZ202" i="16"/>
  <c r="CE202" i="16" s="1"/>
  <c r="BZ203" i="16"/>
  <c r="CE203" i="16" s="1"/>
  <c r="BZ204" i="16"/>
  <c r="CE204" i="16" s="1"/>
  <c r="BZ205" i="16"/>
  <c r="CE205" i="16" s="1"/>
  <c r="BZ206" i="16"/>
  <c r="CE206" i="16" s="1"/>
  <c r="BZ207" i="16"/>
  <c r="CE207" i="16" s="1"/>
  <c r="BZ208" i="16"/>
  <c r="CE208" i="16" s="1"/>
  <c r="BZ209" i="16"/>
  <c r="CE209" i="16" s="1"/>
  <c r="BZ211" i="16"/>
  <c r="CE211" i="16" s="1"/>
  <c r="BZ212" i="16"/>
  <c r="CE212" i="16" s="1"/>
  <c r="BZ213" i="16"/>
  <c r="CE213" i="16" s="1"/>
  <c r="BZ214" i="16"/>
  <c r="CE214" i="16" s="1"/>
  <c r="BZ215" i="16"/>
  <c r="CE215" i="16" s="1"/>
  <c r="BZ216" i="16"/>
  <c r="CE216" i="16" s="1"/>
  <c r="BZ217" i="16"/>
  <c r="CE217" i="16" s="1"/>
  <c r="BZ218" i="16"/>
  <c r="CE218" i="16" s="1"/>
  <c r="BZ220" i="16"/>
  <c r="CE220" i="16" s="1"/>
  <c r="BZ221" i="16"/>
  <c r="CE221" i="16" s="1"/>
  <c r="BZ222" i="16"/>
  <c r="CE222" i="16" s="1"/>
  <c r="BZ223" i="16"/>
  <c r="CE223" i="16" s="1"/>
  <c r="BZ224" i="16"/>
  <c r="CE224" i="16" s="1"/>
  <c r="BZ226" i="16"/>
  <c r="CE226" i="16" s="1"/>
  <c r="BZ227" i="16"/>
  <c r="CE227" i="16" s="1"/>
  <c r="BZ228" i="16"/>
  <c r="CE228" i="16" s="1"/>
  <c r="BZ229" i="16"/>
  <c r="CE229" i="16" s="1"/>
  <c r="BZ230" i="16"/>
  <c r="CE230" i="16" s="1"/>
  <c r="BZ231" i="16"/>
  <c r="CE231" i="16" s="1"/>
  <c r="BZ232" i="16"/>
  <c r="CE232" i="16" s="1"/>
  <c r="BZ234" i="16"/>
  <c r="CE234" i="16" s="1"/>
  <c r="BZ235" i="16"/>
  <c r="CE235" i="16" s="1"/>
  <c r="BZ236" i="16"/>
  <c r="CE236" i="16" s="1"/>
  <c r="BZ237" i="16"/>
  <c r="CE237" i="16" s="1"/>
  <c r="BZ238" i="16"/>
  <c r="CE238" i="16" s="1"/>
  <c r="BZ239" i="16"/>
  <c r="CE239" i="16" s="1"/>
  <c r="BZ242" i="16"/>
  <c r="CE242" i="16" s="1"/>
  <c r="BZ243" i="16"/>
  <c r="CE243" i="16" s="1"/>
  <c r="BZ244" i="16"/>
  <c r="CE244" i="16" s="1"/>
  <c r="BZ245" i="16"/>
  <c r="CE245" i="16" s="1"/>
  <c r="BZ246" i="16"/>
  <c r="CE246" i="16" s="1"/>
  <c r="BZ247" i="16"/>
  <c r="CE247" i="16" s="1"/>
  <c r="BZ248" i="16"/>
  <c r="CE248" i="16" s="1"/>
  <c r="BZ249" i="16"/>
  <c r="CE249" i="16" s="1"/>
  <c r="BZ250" i="16"/>
  <c r="CE250" i="16" s="1"/>
  <c r="BZ251" i="16"/>
  <c r="CE251" i="16" s="1"/>
  <c r="BZ252" i="16"/>
  <c r="CE252" i="16" s="1"/>
  <c r="BZ253" i="16"/>
  <c r="CE253" i="16" s="1"/>
  <c r="BZ254" i="16"/>
  <c r="CE254" i="16" s="1"/>
  <c r="BZ255" i="16"/>
  <c r="CE255" i="16" s="1"/>
  <c r="BZ256" i="16"/>
  <c r="CE256" i="16" s="1"/>
  <c r="BZ257" i="16"/>
  <c r="CE257" i="16" s="1"/>
  <c r="BZ258" i="16"/>
  <c r="CE258" i="16" s="1"/>
  <c r="BZ262" i="16"/>
  <c r="CE262" i="16" s="1"/>
  <c r="BZ263" i="16"/>
  <c r="CE263" i="16" s="1"/>
  <c r="BZ264" i="16"/>
  <c r="CE264" i="16" s="1"/>
  <c r="BZ265" i="16"/>
  <c r="CE265" i="16" s="1"/>
  <c r="BZ266" i="16"/>
  <c r="CE266" i="16" s="1"/>
  <c r="BZ267" i="16"/>
  <c r="CE267" i="16" s="1"/>
  <c r="BZ268" i="16"/>
  <c r="CE268" i="16" s="1"/>
  <c r="BZ269" i="16"/>
  <c r="CE269" i="16" s="1"/>
  <c r="BZ270" i="16"/>
  <c r="CE270" i="16" s="1"/>
  <c r="BZ271" i="16"/>
  <c r="CE271" i="16" s="1"/>
  <c r="BZ272" i="16"/>
  <c r="CE272" i="16" s="1"/>
  <c r="BZ274" i="16"/>
  <c r="CE274" i="16" s="1"/>
  <c r="BZ275" i="16"/>
  <c r="CE275" i="16" s="1"/>
  <c r="BZ276" i="16"/>
  <c r="CE276" i="16" s="1"/>
  <c r="BZ277" i="16"/>
  <c r="CE277" i="16" s="1"/>
  <c r="BZ278" i="16"/>
  <c r="CE278" i="16" s="1"/>
  <c r="BZ279" i="16"/>
  <c r="CE279" i="16" s="1"/>
  <c r="BZ280" i="16"/>
  <c r="CE280" i="16" s="1"/>
  <c r="BZ281" i="16"/>
  <c r="CE281" i="16" s="1"/>
  <c r="BZ282" i="16"/>
  <c r="CE282" i="16" s="1"/>
  <c r="BZ283" i="16"/>
  <c r="CE283" i="16" s="1"/>
  <c r="BZ284" i="16"/>
  <c r="CE284" i="16" s="1"/>
  <c r="BZ285" i="16"/>
  <c r="CE285" i="16" s="1"/>
  <c r="BZ287" i="16"/>
  <c r="CE287" i="16" s="1"/>
  <c r="BZ288" i="16"/>
  <c r="CE288" i="16" s="1"/>
  <c r="BZ289" i="16"/>
  <c r="CE289" i="16" s="1"/>
  <c r="BZ290" i="16"/>
  <c r="CE290" i="16" s="1"/>
  <c r="BZ293" i="16"/>
  <c r="CE293" i="16" s="1"/>
  <c r="BZ294" i="16"/>
  <c r="CE294" i="16" s="1"/>
  <c r="BZ295" i="16"/>
  <c r="CE295" i="16" s="1"/>
  <c r="BZ296" i="16"/>
  <c r="CE296" i="16" s="1"/>
  <c r="BZ297" i="16"/>
  <c r="CE297" i="16" s="1"/>
  <c r="BZ298" i="16"/>
  <c r="CE298" i="16" s="1"/>
  <c r="BZ299" i="16"/>
  <c r="CE299" i="16" s="1"/>
  <c r="BZ300" i="16"/>
  <c r="CE300" i="16" s="1"/>
  <c r="BZ301" i="16"/>
  <c r="CE301" i="16" s="1"/>
  <c r="BZ302" i="16"/>
  <c r="CE302" i="16" s="1"/>
  <c r="BZ303" i="16"/>
  <c r="CE303" i="16" s="1"/>
  <c r="BZ304" i="16"/>
  <c r="CE304" i="16" s="1"/>
  <c r="BZ305" i="16"/>
  <c r="CE305" i="16" s="1"/>
  <c r="BZ306" i="16"/>
  <c r="CE306" i="16" s="1"/>
  <c r="BZ307" i="16"/>
  <c r="CE307" i="16" s="1"/>
  <c r="BZ308" i="16"/>
  <c r="CE308" i="16" s="1"/>
  <c r="BZ309" i="16"/>
  <c r="CE309" i="16" s="1"/>
  <c r="BZ310" i="16"/>
  <c r="CE310" i="16" s="1"/>
  <c r="BZ311" i="16"/>
  <c r="CE311" i="16" s="1"/>
  <c r="BZ312" i="16"/>
  <c r="CE312" i="16" s="1"/>
  <c r="BZ313" i="16"/>
  <c r="CE313" i="16" s="1"/>
  <c r="BZ314" i="16"/>
  <c r="CE314" i="16" s="1"/>
  <c r="BZ315" i="16"/>
  <c r="CE315" i="16" s="1"/>
  <c r="BZ316" i="16"/>
  <c r="CE316" i="16" s="1"/>
  <c r="BZ317" i="16"/>
  <c r="CE317" i="16" s="1"/>
  <c r="BZ318" i="16"/>
  <c r="CE318" i="16" s="1"/>
  <c r="BZ319" i="16"/>
  <c r="CE319" i="16" s="1"/>
  <c r="BZ320" i="16"/>
  <c r="CE320" i="16" s="1"/>
  <c r="BZ321" i="16"/>
  <c r="CE321" i="16" s="1"/>
  <c r="BZ322" i="16"/>
  <c r="CE322" i="16" s="1"/>
  <c r="BZ323" i="16"/>
  <c r="CE323" i="16" s="1"/>
  <c r="BZ324" i="16"/>
  <c r="CE324" i="16" s="1"/>
  <c r="BZ325" i="16"/>
  <c r="CE325" i="16" s="1"/>
  <c r="BZ328" i="16"/>
  <c r="CE328" i="16" s="1"/>
  <c r="BZ329" i="16"/>
  <c r="CE329" i="16" s="1"/>
  <c r="BZ330" i="16"/>
  <c r="CE330" i="16" s="1"/>
  <c r="BZ331" i="16"/>
  <c r="CE331" i="16" s="1"/>
  <c r="BZ332" i="16"/>
  <c r="CE332" i="16" s="1"/>
  <c r="BZ333" i="16"/>
  <c r="CE333" i="16" s="1"/>
  <c r="BZ334" i="16"/>
  <c r="CE334" i="16" s="1"/>
  <c r="BZ335" i="16"/>
  <c r="CE335" i="16" s="1"/>
  <c r="BZ336" i="16"/>
  <c r="CE336" i="16" s="1"/>
  <c r="BZ337" i="16"/>
  <c r="CE337" i="16" s="1"/>
  <c r="BZ338" i="16"/>
  <c r="CE338" i="16" s="1"/>
  <c r="BZ339" i="16"/>
  <c r="CE339" i="16" s="1"/>
  <c r="BZ340" i="16"/>
  <c r="CE340" i="16" s="1"/>
  <c r="BZ341" i="16"/>
  <c r="CE341" i="16" s="1"/>
  <c r="BZ342" i="16"/>
  <c r="CE342" i="16" s="1"/>
  <c r="BZ343" i="16"/>
  <c r="CE343" i="16" s="1"/>
  <c r="BZ344" i="16"/>
  <c r="CE344" i="16" s="1"/>
  <c r="BZ345" i="16"/>
  <c r="CE345" i="16" s="1"/>
  <c r="BZ346" i="16"/>
  <c r="CE346" i="16" s="1"/>
  <c r="BZ347" i="16"/>
  <c r="CE347" i="16" s="1"/>
  <c r="BZ348" i="16"/>
  <c r="CE348" i="16" s="1"/>
  <c r="AD351" i="16"/>
  <c r="BZ351" i="16" s="1"/>
  <c r="CE351" i="16" s="1"/>
  <c r="BZ352" i="16"/>
  <c r="CE352" i="16" s="1"/>
  <c r="BZ354" i="16"/>
  <c r="CE354" i="16" s="1"/>
  <c r="BZ358" i="16"/>
  <c r="CE358" i="16" s="1"/>
  <c r="BZ359" i="16"/>
  <c r="CE359" i="16" s="1"/>
  <c r="BZ360" i="16"/>
  <c r="CE360" i="16" s="1"/>
  <c r="BZ361" i="16"/>
  <c r="CE361" i="16" s="1"/>
  <c r="BZ362" i="16"/>
  <c r="CE362" i="16" s="1"/>
  <c r="BZ363" i="16"/>
  <c r="CE363" i="16" s="1"/>
  <c r="BZ364" i="16"/>
  <c r="CE364" i="16" s="1"/>
  <c r="BZ365" i="16"/>
  <c r="CE365" i="16" s="1"/>
  <c r="BZ366" i="16"/>
  <c r="CE366" i="16" s="1"/>
  <c r="BZ369" i="16"/>
  <c r="CE369" i="16" s="1"/>
  <c r="BZ370" i="16"/>
  <c r="CE370" i="16" s="1"/>
  <c r="BZ371" i="16"/>
  <c r="CE371" i="16" s="1"/>
  <c r="BZ372" i="16"/>
  <c r="CE372" i="16" s="1"/>
  <c r="BZ373" i="16"/>
  <c r="CE373" i="16" s="1"/>
  <c r="BZ374" i="16"/>
  <c r="CE374" i="16" s="1"/>
  <c r="BZ375" i="16"/>
  <c r="CE375" i="16" s="1"/>
  <c r="BZ376" i="16"/>
  <c r="CE376" i="16" s="1"/>
  <c r="BZ377" i="16"/>
  <c r="CE377" i="16" s="1"/>
  <c r="BZ378" i="16"/>
  <c r="CE378" i="16" s="1"/>
  <c r="BZ379" i="16"/>
  <c r="CE379" i="16" s="1"/>
  <c r="BZ380" i="16"/>
  <c r="CE380" i="16" s="1"/>
  <c r="BZ381" i="16"/>
  <c r="CE381" i="16" s="1"/>
  <c r="BZ382" i="16"/>
  <c r="CE382" i="16" s="1"/>
  <c r="BZ383" i="16"/>
  <c r="CE383" i="16" s="1"/>
  <c r="BZ384" i="16"/>
  <c r="CE384" i="16" s="1"/>
  <c r="BZ385" i="16"/>
  <c r="CE385" i="16" s="1"/>
  <c r="BZ386" i="16"/>
  <c r="CE386" i="16" s="1"/>
  <c r="BZ387" i="16"/>
  <c r="CE387" i="16" s="1"/>
  <c r="BZ388" i="16"/>
  <c r="CE388" i="16" s="1"/>
  <c r="BZ389" i="16"/>
  <c r="CE389" i="16" s="1"/>
  <c r="BZ390" i="16"/>
  <c r="CE390" i="16" s="1"/>
  <c r="BZ391" i="16"/>
  <c r="CE391" i="16" s="1"/>
  <c r="BZ392" i="16"/>
  <c r="CE392" i="16" s="1"/>
  <c r="BZ393" i="16"/>
  <c r="CE393" i="16" s="1"/>
  <c r="BZ396" i="16"/>
  <c r="CE396" i="16" s="1"/>
  <c r="BZ397" i="16"/>
  <c r="CE397" i="16" s="1"/>
  <c r="BZ398" i="16"/>
  <c r="CE398" i="16" s="1"/>
  <c r="BZ399" i="16"/>
  <c r="CE399" i="16" s="1"/>
  <c r="BZ400" i="16"/>
  <c r="CE400" i="16" s="1"/>
  <c r="BZ401" i="16"/>
  <c r="CE401" i="16" s="1"/>
  <c r="BZ402" i="16"/>
  <c r="CE402" i="16" s="1"/>
  <c r="BZ403" i="16"/>
  <c r="CE403" i="16" s="1"/>
  <c r="BZ404" i="16"/>
  <c r="CE404" i="16" s="1"/>
  <c r="BZ405" i="16"/>
  <c r="CE405" i="16" s="1"/>
  <c r="BZ406" i="16"/>
  <c r="CE406" i="16" s="1"/>
  <c r="BZ409" i="16"/>
  <c r="CE409" i="16" s="1"/>
  <c r="BZ410" i="16"/>
  <c r="CE410" i="16" s="1"/>
  <c r="BZ411" i="16"/>
  <c r="CE411" i="16" s="1"/>
  <c r="BZ412" i="16"/>
  <c r="CE412" i="16" s="1"/>
  <c r="BZ413" i="16"/>
  <c r="CE413" i="16" s="1"/>
  <c r="BZ414" i="16"/>
  <c r="CE414" i="16" s="1"/>
  <c r="BZ415" i="16"/>
  <c r="CE415" i="16" s="1"/>
  <c r="BZ416" i="16"/>
  <c r="CE416" i="16" s="1"/>
  <c r="BZ417" i="16"/>
  <c r="CE417" i="16" s="1"/>
  <c r="BZ418" i="16"/>
  <c r="CE418" i="16" s="1"/>
  <c r="BZ419" i="16"/>
  <c r="CE419" i="16" s="1"/>
  <c r="BZ420" i="16"/>
  <c r="CE420" i="16" s="1"/>
  <c r="BZ421" i="16"/>
  <c r="CE421" i="16" s="1"/>
  <c r="BZ422" i="16"/>
  <c r="CE422" i="16" s="1"/>
  <c r="BZ425" i="16"/>
  <c r="CE425" i="16" s="1"/>
  <c r="BZ426" i="16"/>
  <c r="CE426" i="16" s="1"/>
  <c r="BZ427" i="16"/>
  <c r="CE427" i="16" s="1"/>
  <c r="BZ428" i="16"/>
  <c r="CE428" i="16" s="1"/>
  <c r="BZ429" i="16"/>
  <c r="CE429" i="16" s="1"/>
  <c r="BZ430" i="16"/>
  <c r="CE430" i="16" s="1"/>
  <c r="BZ431" i="16"/>
  <c r="CE431" i="16" s="1"/>
  <c r="BZ432" i="16"/>
  <c r="CE432" i="16" s="1"/>
  <c r="BZ433" i="16"/>
  <c r="CE433" i="16" s="1"/>
  <c r="BZ434" i="16"/>
  <c r="CE434" i="16" s="1"/>
  <c r="BZ435" i="16"/>
  <c r="CE435" i="16" s="1"/>
  <c r="BZ436" i="16"/>
  <c r="CE436" i="16" s="1"/>
  <c r="BZ437" i="16"/>
  <c r="CE437" i="16" s="1"/>
  <c r="BZ441" i="16"/>
  <c r="CE441" i="16" s="1"/>
  <c r="BZ442" i="16"/>
  <c r="CE442" i="16" s="1"/>
  <c r="BZ443" i="16"/>
  <c r="CE443" i="16" s="1"/>
  <c r="BZ444" i="16"/>
  <c r="CE444" i="16" s="1"/>
  <c r="BZ445" i="16"/>
  <c r="CE445" i="16" s="1"/>
  <c r="BZ446" i="16"/>
  <c r="CE446" i="16" s="1"/>
  <c r="BZ447" i="16"/>
  <c r="CE447" i="16" s="1"/>
  <c r="BZ448" i="16"/>
  <c r="CE448" i="16" s="1"/>
  <c r="BZ449" i="16"/>
  <c r="CE449" i="16" s="1"/>
  <c r="BZ450" i="16"/>
  <c r="CE450" i="16" s="1"/>
  <c r="BZ451" i="16"/>
  <c r="CE451" i="16" s="1"/>
  <c r="BZ452" i="16"/>
  <c r="CE452" i="16" s="1"/>
  <c r="BZ453" i="16"/>
  <c r="CE453" i="16" s="1"/>
  <c r="BZ454" i="16"/>
  <c r="CE454" i="16" s="1"/>
  <c r="BZ455" i="16"/>
  <c r="CE455" i="16" s="1"/>
  <c r="BZ456" i="16"/>
  <c r="CE456" i="16" s="1"/>
  <c r="BZ457" i="16"/>
  <c r="CE457" i="16" s="1"/>
  <c r="BZ458" i="16"/>
  <c r="CE458" i="16" s="1"/>
  <c r="BZ459" i="16"/>
  <c r="CE459" i="16" s="1"/>
  <c r="BZ460" i="16"/>
  <c r="CE460" i="16" s="1"/>
  <c r="BZ461" i="16"/>
  <c r="CE461" i="16" s="1"/>
  <c r="BZ462" i="16"/>
  <c r="CE462" i="16" s="1"/>
  <c r="BZ463" i="16"/>
  <c r="CE463" i="16" s="1"/>
  <c r="BZ464" i="16"/>
  <c r="CE464" i="16" s="1"/>
  <c r="BZ465" i="16"/>
  <c r="CE465" i="16" s="1"/>
  <c r="BZ466" i="16"/>
  <c r="CE466" i="16" s="1"/>
  <c r="BZ467" i="16"/>
  <c r="CE467" i="16" s="1"/>
  <c r="BZ468" i="16"/>
  <c r="CE468" i="16" s="1"/>
  <c r="BZ469" i="16"/>
  <c r="CE469" i="16" s="1"/>
  <c r="BZ470" i="16"/>
  <c r="CE470" i="16" s="1"/>
  <c r="BZ471" i="16"/>
  <c r="CE471" i="16" s="1"/>
  <c r="BZ472" i="16"/>
  <c r="CE472" i="16" s="1"/>
  <c r="BZ475" i="16"/>
  <c r="CE475" i="16" s="1"/>
  <c r="BZ476" i="16"/>
  <c r="CE476" i="16" s="1"/>
  <c r="BZ477" i="16"/>
  <c r="CE477" i="16" s="1"/>
  <c r="BZ478" i="16"/>
  <c r="CE478" i="16" s="1"/>
  <c r="BZ479" i="16"/>
  <c r="CE479" i="16" s="1"/>
  <c r="BZ480" i="16"/>
  <c r="CE480" i="16" s="1"/>
  <c r="BZ481" i="16"/>
  <c r="CE481" i="16" s="1"/>
  <c r="BZ483" i="16"/>
  <c r="CE483" i="16" s="1"/>
  <c r="BZ484" i="16"/>
  <c r="CE484" i="16" s="1"/>
  <c r="BZ485" i="16"/>
  <c r="CE485" i="16" s="1"/>
  <c r="BZ486" i="16"/>
  <c r="CE486" i="16" s="1"/>
  <c r="BZ487" i="16"/>
  <c r="CE487" i="16" s="1"/>
  <c r="BZ488" i="16"/>
  <c r="CE488" i="16" s="1"/>
  <c r="BZ489" i="16"/>
  <c r="CE489" i="16" s="1"/>
  <c r="A8" i="16"/>
  <c r="A9" i="16"/>
  <c r="A10" i="16"/>
  <c r="A11" i="16"/>
  <c r="A12" i="16"/>
  <c r="A13" i="16"/>
  <c r="A14" i="16"/>
  <c r="A15" i="16"/>
  <c r="A16" i="16"/>
  <c r="A17" i="16"/>
  <c r="A18" i="16"/>
  <c r="A19" i="16"/>
  <c r="A20" i="16"/>
  <c r="A21" i="16"/>
  <c r="A22" i="16"/>
  <c r="A259" i="16"/>
  <c r="BY9" i="16"/>
  <c r="CD9" i="16" s="1"/>
  <c r="BY10" i="16"/>
  <c r="CD10" i="16" s="1"/>
  <c r="BY11" i="16"/>
  <c r="CD11" i="16" s="1"/>
  <c r="BY12" i="16"/>
  <c r="CD12" i="16" s="1"/>
  <c r="BY13" i="16"/>
  <c r="CD13" i="16" s="1"/>
  <c r="BY14" i="16"/>
  <c r="CD14" i="16" s="1"/>
  <c r="BY15" i="16"/>
  <c r="CD15" i="16" s="1"/>
  <c r="BY16" i="16"/>
  <c r="CD16" i="16" s="1"/>
  <c r="BY17" i="16"/>
  <c r="CD17" i="16" s="1"/>
  <c r="BY18" i="16"/>
  <c r="CD18" i="16" s="1"/>
  <c r="BY19" i="16"/>
  <c r="CD19" i="16" s="1"/>
  <c r="BY20" i="16"/>
  <c r="CD20" i="16" s="1"/>
  <c r="BY21" i="16"/>
  <c r="CD21" i="16" s="1"/>
  <c r="BY22" i="16"/>
  <c r="CD22" i="16" s="1"/>
  <c r="BY24" i="16"/>
  <c r="CD24" i="16" s="1"/>
  <c r="BY25" i="16"/>
  <c r="CD25" i="16" s="1"/>
  <c r="BY26" i="16"/>
  <c r="CD26" i="16" s="1"/>
  <c r="BY27" i="16"/>
  <c r="CD27" i="16" s="1"/>
  <c r="BY28" i="16"/>
  <c r="CD28" i="16" s="1"/>
  <c r="BY29" i="16"/>
  <c r="CD29" i="16" s="1"/>
  <c r="BY30" i="16"/>
  <c r="CD30" i="16" s="1"/>
  <c r="BY31" i="16"/>
  <c r="CD31" i="16" s="1"/>
  <c r="BY32" i="16"/>
  <c r="CD32" i="16" s="1"/>
  <c r="BY33" i="16"/>
  <c r="CD33" i="16" s="1"/>
  <c r="BY34" i="16"/>
  <c r="CD34" i="16" s="1"/>
  <c r="BY35" i="16"/>
  <c r="CD35" i="16" s="1"/>
  <c r="BY36" i="16"/>
  <c r="CD36" i="16" s="1"/>
  <c r="BY37" i="16"/>
  <c r="CD37" i="16" s="1"/>
  <c r="BY38" i="16"/>
  <c r="CD38" i="16" s="1"/>
  <c r="BY39" i="16"/>
  <c r="CD39" i="16" s="1"/>
  <c r="BY40" i="16"/>
  <c r="CD40" i="16" s="1"/>
  <c r="BY41" i="16"/>
  <c r="CD41" i="16" s="1"/>
  <c r="BY43" i="16"/>
  <c r="CD43" i="16" s="1"/>
  <c r="BY44" i="16"/>
  <c r="CD44" i="16" s="1"/>
  <c r="BY45" i="16"/>
  <c r="CD45" i="16" s="1"/>
  <c r="AC46" i="16"/>
  <c r="BY46" i="16"/>
  <c r="CD46" i="16" s="1"/>
  <c r="AC51" i="16"/>
  <c r="BY51" i="16"/>
  <c r="CD51" i="16" s="1"/>
  <c r="BY52" i="16"/>
  <c r="CD52" i="16" s="1"/>
  <c r="AC53" i="16"/>
  <c r="BY53" i="16" s="1"/>
  <c r="CD53" i="16" s="1"/>
  <c r="BY54" i="16"/>
  <c r="CD54" i="16" s="1"/>
  <c r="BY55" i="16"/>
  <c r="CD55" i="16" s="1"/>
  <c r="BY56" i="16"/>
  <c r="CD56" i="16" s="1"/>
  <c r="BY57" i="16"/>
  <c r="CD57" i="16" s="1"/>
  <c r="AC58" i="16"/>
  <c r="BY58" i="16" s="1"/>
  <c r="CD58" i="16" s="1"/>
  <c r="BY59" i="16"/>
  <c r="CD59" i="16" s="1"/>
  <c r="BY60" i="16"/>
  <c r="CD60" i="16" s="1"/>
  <c r="BY61" i="16"/>
  <c r="CD61" i="16" s="1"/>
  <c r="BY62" i="16"/>
  <c r="CD62" i="16" s="1"/>
  <c r="BY63" i="16"/>
  <c r="CD63" i="16" s="1"/>
  <c r="BY64" i="16"/>
  <c r="CD64" i="16" s="1"/>
  <c r="BY65" i="16"/>
  <c r="CD65" i="16" s="1"/>
  <c r="BY66" i="16"/>
  <c r="CD66" i="16" s="1"/>
  <c r="AC67" i="16"/>
  <c r="BY67" i="16" s="1"/>
  <c r="CD67" i="16" s="1"/>
  <c r="BY68" i="16"/>
  <c r="CD68" i="16" s="1"/>
  <c r="BY69" i="16"/>
  <c r="CD69" i="16" s="1"/>
  <c r="BY70" i="16"/>
  <c r="CD70" i="16" s="1"/>
  <c r="BY71" i="16"/>
  <c r="CD71" i="16" s="1"/>
  <c r="BY72" i="16"/>
  <c r="CD72" i="16" s="1"/>
  <c r="BY73" i="16"/>
  <c r="CD73" i="16" s="1"/>
  <c r="BY75" i="16"/>
  <c r="CD75" i="16" s="1"/>
  <c r="BY76" i="16"/>
  <c r="CD76" i="16" s="1"/>
  <c r="BY77" i="16"/>
  <c r="CD77" i="16" s="1"/>
  <c r="BY78" i="16"/>
  <c r="CD78" i="16" s="1"/>
  <c r="BY79" i="16"/>
  <c r="CD79" i="16" s="1"/>
  <c r="BY80" i="16"/>
  <c r="CD80" i="16" s="1"/>
  <c r="BY81" i="16"/>
  <c r="CD81" i="16" s="1"/>
  <c r="BY82" i="16"/>
  <c r="CD82" i="16" s="1"/>
  <c r="BY83" i="16"/>
  <c r="CD83" i="16" s="1"/>
  <c r="BY86" i="16"/>
  <c r="CD86" i="16" s="1"/>
  <c r="BY87" i="16"/>
  <c r="CD87" i="16" s="1"/>
  <c r="BY88" i="16"/>
  <c r="CD88" i="16" s="1"/>
  <c r="BY89" i="16"/>
  <c r="CD89" i="16" s="1"/>
  <c r="BY90" i="16"/>
  <c r="CD90" i="16" s="1"/>
  <c r="BY91" i="16"/>
  <c r="CD91" i="16" s="1"/>
  <c r="BY92" i="16"/>
  <c r="CD92" i="16" s="1"/>
  <c r="BY93" i="16"/>
  <c r="CD93" i="16" s="1"/>
  <c r="BY94" i="16"/>
  <c r="CD94" i="16" s="1"/>
  <c r="BY95" i="16"/>
  <c r="CD95" i="16" s="1"/>
  <c r="BY96" i="16"/>
  <c r="CD96" i="16" s="1"/>
  <c r="BY98" i="16"/>
  <c r="CD98" i="16" s="1"/>
  <c r="BY99" i="16"/>
  <c r="CD99" i="16" s="1"/>
  <c r="BY100" i="16"/>
  <c r="CD100" i="16" s="1"/>
  <c r="BY101" i="16"/>
  <c r="CD101" i="16" s="1"/>
  <c r="BY102" i="16"/>
  <c r="CD102" i="16" s="1"/>
  <c r="BY103" i="16"/>
  <c r="CD103" i="16" s="1"/>
  <c r="BY104" i="16"/>
  <c r="CD104" i="16" s="1"/>
  <c r="BY105" i="16"/>
  <c r="CD105" i="16" s="1"/>
  <c r="BY108" i="16"/>
  <c r="CD108" i="16" s="1"/>
  <c r="BY109" i="16"/>
  <c r="CD109" i="16" s="1"/>
  <c r="BY110" i="16"/>
  <c r="CD110" i="16" s="1"/>
  <c r="BY111" i="16"/>
  <c r="CD111" i="16" s="1"/>
  <c r="BY112" i="16"/>
  <c r="CD112" i="16" s="1"/>
  <c r="BY114" i="16"/>
  <c r="CD114" i="16" s="1"/>
  <c r="BY115" i="16"/>
  <c r="CD115" i="16" s="1"/>
  <c r="BY116" i="16"/>
  <c r="CD116" i="16" s="1"/>
  <c r="BY117" i="16"/>
  <c r="CD117" i="16" s="1"/>
  <c r="BY120" i="16"/>
  <c r="CD120" i="16" s="1"/>
  <c r="BY121" i="16"/>
  <c r="CD121" i="16" s="1"/>
  <c r="BY122" i="16"/>
  <c r="CD122" i="16" s="1"/>
  <c r="BY123" i="16"/>
  <c r="CD123" i="16" s="1"/>
  <c r="BY124" i="16"/>
  <c r="CD124" i="16" s="1"/>
  <c r="BY125" i="16"/>
  <c r="CD125" i="16" s="1"/>
  <c r="BY126" i="16"/>
  <c r="CD126" i="16" s="1"/>
  <c r="BY127" i="16"/>
  <c r="CD127" i="16" s="1"/>
  <c r="AC128" i="16"/>
  <c r="BY128" i="16" s="1"/>
  <c r="CD128" i="16" s="1"/>
  <c r="BY129" i="16"/>
  <c r="CD129" i="16" s="1"/>
  <c r="BY130" i="16"/>
  <c r="CD130" i="16" s="1"/>
  <c r="BY131" i="16"/>
  <c r="CD131" i="16" s="1"/>
  <c r="BY132" i="16"/>
  <c r="CD132" i="16" s="1"/>
  <c r="BY133" i="16"/>
  <c r="CD133" i="16" s="1"/>
  <c r="CD134" i="16"/>
  <c r="BY135" i="16"/>
  <c r="CD135" i="16" s="1"/>
  <c r="BY136" i="16"/>
  <c r="CD136" i="16" s="1"/>
  <c r="BY137" i="16"/>
  <c r="CD137" i="16" s="1"/>
  <c r="BY138" i="16"/>
  <c r="CD138" i="16" s="1"/>
  <c r="BY139" i="16"/>
  <c r="CD139" i="16" s="1"/>
  <c r="BY140" i="16"/>
  <c r="CD140" i="16" s="1"/>
  <c r="BY141" i="16"/>
  <c r="CD141" i="16" s="1"/>
  <c r="BY142" i="16"/>
  <c r="CD142" i="16" s="1"/>
  <c r="BY143" i="16"/>
  <c r="CD143" i="16" s="1"/>
  <c r="CD144" i="16"/>
  <c r="BY145" i="16"/>
  <c r="CD145" i="16" s="1"/>
  <c r="BY146" i="16"/>
  <c r="CD146" i="16" s="1"/>
  <c r="BY147" i="16"/>
  <c r="CD147" i="16" s="1"/>
  <c r="BY148" i="16"/>
  <c r="CD148" i="16" s="1"/>
  <c r="BY149" i="16"/>
  <c r="CD149" i="16" s="1"/>
  <c r="BY150" i="16"/>
  <c r="CD150" i="16" s="1"/>
  <c r="BY151" i="16"/>
  <c r="CD151" i="16" s="1"/>
  <c r="CD152" i="16"/>
  <c r="CD153" i="16"/>
  <c r="AC154" i="16"/>
  <c r="BY154" i="16" s="1"/>
  <c r="CD154" i="16" s="1"/>
  <c r="BY155" i="16"/>
  <c r="CD155" i="16" s="1"/>
  <c r="BY156" i="16"/>
  <c r="CD156" i="16" s="1"/>
  <c r="BY157" i="16"/>
  <c r="CD157" i="16" s="1"/>
  <c r="BY158" i="16"/>
  <c r="CD158" i="16" s="1"/>
  <c r="BY159" i="16"/>
  <c r="CD159" i="16" s="1"/>
  <c r="BY160" i="16"/>
  <c r="CD160" i="16" s="1"/>
  <c r="BY161" i="16"/>
  <c r="CD161" i="16" s="1"/>
  <c r="BY162" i="16"/>
  <c r="CD162" i="16" s="1"/>
  <c r="BY163" i="16"/>
  <c r="CD163" i="16" s="1"/>
  <c r="BY164" i="16"/>
  <c r="CD164" i="16" s="1"/>
  <c r="BY165" i="16"/>
  <c r="CD165" i="16" s="1"/>
  <c r="BY166" i="16"/>
  <c r="CD166" i="16" s="1"/>
  <c r="BY167" i="16"/>
  <c r="CD167" i="16" s="1"/>
  <c r="BY168" i="16"/>
  <c r="CD168" i="16" s="1"/>
  <c r="BY169" i="16"/>
  <c r="CD169" i="16" s="1"/>
  <c r="BY170" i="16"/>
  <c r="CD170" i="16" s="1"/>
  <c r="BY171" i="16"/>
  <c r="CD171" i="16" s="1"/>
  <c r="AC172" i="16"/>
  <c r="BY172" i="16" s="1"/>
  <c r="CD172" i="16" s="1"/>
  <c r="BY173" i="16"/>
  <c r="CD173" i="16" s="1"/>
  <c r="BY174" i="16"/>
  <c r="CD174" i="16" s="1"/>
  <c r="BY175" i="16"/>
  <c r="CD175" i="16" s="1"/>
  <c r="BY176" i="16"/>
  <c r="CD176" i="16" s="1"/>
  <c r="BY177" i="16"/>
  <c r="CD177" i="16" s="1"/>
  <c r="BY180" i="16"/>
  <c r="CD180" i="16" s="1"/>
  <c r="BY181" i="16"/>
  <c r="CD181" i="16" s="1"/>
  <c r="BY182" i="16"/>
  <c r="CD182" i="16" s="1"/>
  <c r="BY183" i="16"/>
  <c r="CD183" i="16" s="1"/>
  <c r="BY184" i="16"/>
  <c r="CD184" i="16" s="1"/>
  <c r="BY185" i="16"/>
  <c r="CD185" i="16" s="1"/>
  <c r="BY186" i="16"/>
  <c r="CD186" i="16" s="1"/>
  <c r="BY187" i="16"/>
  <c r="CD187" i="16" s="1"/>
  <c r="AC188" i="16"/>
  <c r="BY188" i="16" s="1"/>
  <c r="CD188" i="16" s="1"/>
  <c r="BY189" i="16"/>
  <c r="CD189" i="16" s="1"/>
  <c r="BY192" i="16"/>
  <c r="CD192" i="16" s="1"/>
  <c r="BY193" i="16"/>
  <c r="CD193" i="16" s="1"/>
  <c r="BY194" i="16"/>
  <c r="CD194" i="16" s="1"/>
  <c r="BY195" i="16"/>
  <c r="CD195" i="16" s="1"/>
  <c r="BY196" i="16"/>
  <c r="CD196" i="16" s="1"/>
  <c r="BY197" i="16"/>
  <c r="CD197" i="16" s="1"/>
  <c r="BY198" i="16"/>
  <c r="CD198" i="16" s="1"/>
  <c r="BY200" i="16"/>
  <c r="CD200" i="16" s="1"/>
  <c r="BY201" i="16"/>
  <c r="CD201" i="16" s="1"/>
  <c r="BY202" i="16"/>
  <c r="CD202" i="16" s="1"/>
  <c r="BY203" i="16"/>
  <c r="CD203" i="16" s="1"/>
  <c r="BY204" i="16"/>
  <c r="CD204" i="16" s="1"/>
  <c r="BY205" i="16"/>
  <c r="CD205" i="16" s="1"/>
  <c r="BY206" i="16"/>
  <c r="CD206" i="16" s="1"/>
  <c r="BY207" i="16"/>
  <c r="CD207" i="16" s="1"/>
  <c r="BY208" i="16"/>
  <c r="CD208" i="16" s="1"/>
  <c r="BY209" i="16"/>
  <c r="CD209" i="16" s="1"/>
  <c r="BY211" i="16"/>
  <c r="CD211" i="16" s="1"/>
  <c r="BY212" i="16"/>
  <c r="CD212" i="16" s="1"/>
  <c r="BY213" i="16"/>
  <c r="CD213" i="16" s="1"/>
  <c r="BY214" i="16"/>
  <c r="CD214" i="16" s="1"/>
  <c r="BY215" i="16"/>
  <c r="CD215" i="16" s="1"/>
  <c r="BY216" i="16"/>
  <c r="CD216" i="16" s="1"/>
  <c r="BY217" i="16"/>
  <c r="CD217" i="16" s="1"/>
  <c r="BY218" i="16"/>
  <c r="CD218" i="16" s="1"/>
  <c r="BY220" i="16"/>
  <c r="CD220" i="16" s="1"/>
  <c r="BY221" i="16"/>
  <c r="CD221" i="16" s="1"/>
  <c r="BY222" i="16"/>
  <c r="CD222" i="16" s="1"/>
  <c r="BY223" i="16"/>
  <c r="CD223" i="16" s="1"/>
  <c r="BY224" i="16"/>
  <c r="CD224" i="16" s="1"/>
  <c r="BY226" i="16"/>
  <c r="CD226" i="16" s="1"/>
  <c r="BY227" i="16"/>
  <c r="CD227" i="16" s="1"/>
  <c r="BY228" i="16"/>
  <c r="CD228" i="16" s="1"/>
  <c r="BY229" i="16"/>
  <c r="CD229" i="16" s="1"/>
  <c r="BY230" i="16"/>
  <c r="CD230" i="16" s="1"/>
  <c r="BY231" i="16"/>
  <c r="CD231" i="16" s="1"/>
  <c r="BY232" i="16"/>
  <c r="CD232" i="16" s="1"/>
  <c r="AC234" i="16"/>
  <c r="BY234" i="16" s="1"/>
  <c r="CD234" i="16" s="1"/>
  <c r="BY235" i="16"/>
  <c r="CD235" i="16" s="1"/>
  <c r="BY236" i="16"/>
  <c r="CD236" i="16" s="1"/>
  <c r="BY237" i="16"/>
  <c r="CD237" i="16" s="1"/>
  <c r="BY238" i="16"/>
  <c r="CD238" i="16" s="1"/>
  <c r="BY239" i="16"/>
  <c r="CD239" i="16" s="1"/>
  <c r="BY242" i="16"/>
  <c r="CD242" i="16" s="1"/>
  <c r="BY243" i="16"/>
  <c r="CD243" i="16" s="1"/>
  <c r="BY244" i="16"/>
  <c r="CD244" i="16" s="1"/>
  <c r="BY245" i="16"/>
  <c r="CD245" i="16" s="1"/>
  <c r="BY246" i="16"/>
  <c r="CD246" i="16" s="1"/>
  <c r="BY247" i="16"/>
  <c r="CD247" i="16" s="1"/>
  <c r="BY248" i="16"/>
  <c r="CD248" i="16" s="1"/>
  <c r="BY249" i="16"/>
  <c r="CD249" i="16" s="1"/>
  <c r="BY250" i="16"/>
  <c r="CD250" i="16" s="1"/>
  <c r="BY251" i="16"/>
  <c r="CD251" i="16" s="1"/>
  <c r="BY252" i="16"/>
  <c r="CD252" i="16" s="1"/>
  <c r="BY253" i="16"/>
  <c r="CD253" i="16" s="1"/>
  <c r="BY254" i="16"/>
  <c r="CD254" i="16" s="1"/>
  <c r="BY255" i="16"/>
  <c r="CD255" i="16" s="1"/>
  <c r="BY256" i="16"/>
  <c r="CD256" i="16" s="1"/>
  <c r="BY257" i="16"/>
  <c r="CD257" i="16" s="1"/>
  <c r="BY258" i="16"/>
  <c r="CD258" i="16" s="1"/>
  <c r="BY262" i="16"/>
  <c r="CD262" i="16" s="1"/>
  <c r="BY263" i="16"/>
  <c r="CD263" i="16" s="1"/>
  <c r="BY264" i="16"/>
  <c r="CD264" i="16" s="1"/>
  <c r="BY265" i="16"/>
  <c r="CD265" i="16" s="1"/>
  <c r="BY266" i="16"/>
  <c r="CD266" i="16" s="1"/>
  <c r="BY267" i="16"/>
  <c r="CD267" i="16" s="1"/>
  <c r="BY268" i="16"/>
  <c r="CD268" i="16" s="1"/>
  <c r="BY269" i="16"/>
  <c r="CD269" i="16" s="1"/>
  <c r="BY270" i="16"/>
  <c r="CD270" i="16" s="1"/>
  <c r="BY271" i="16"/>
  <c r="CD271" i="16" s="1"/>
  <c r="BY272" i="16"/>
  <c r="CD272" i="16" s="1"/>
  <c r="BY274" i="16"/>
  <c r="CD274" i="16" s="1"/>
  <c r="BY275" i="16"/>
  <c r="CD275" i="16" s="1"/>
  <c r="BY276" i="16"/>
  <c r="CD276" i="16" s="1"/>
  <c r="BY277" i="16"/>
  <c r="CD277" i="16" s="1"/>
  <c r="BY278" i="16"/>
  <c r="CD278" i="16" s="1"/>
  <c r="BY279" i="16"/>
  <c r="CD279" i="16" s="1"/>
  <c r="BY280" i="16"/>
  <c r="CD280" i="16" s="1"/>
  <c r="BY281" i="16"/>
  <c r="CD281" i="16" s="1"/>
  <c r="BY282" i="16"/>
  <c r="CD282" i="16" s="1"/>
  <c r="BY283" i="16"/>
  <c r="CD283" i="16" s="1"/>
  <c r="BY284" i="16"/>
  <c r="CD284" i="16" s="1"/>
  <c r="BY285" i="16"/>
  <c r="CD285" i="16" s="1"/>
  <c r="BY287" i="16"/>
  <c r="CD287" i="16" s="1"/>
  <c r="BY288" i="16"/>
  <c r="CD288" i="16" s="1"/>
  <c r="BY289" i="16"/>
  <c r="CD289" i="16" s="1"/>
  <c r="BY290" i="16"/>
  <c r="CD290" i="16" s="1"/>
  <c r="BY293" i="16"/>
  <c r="CD293" i="16" s="1"/>
  <c r="BY294" i="16"/>
  <c r="CD294" i="16" s="1"/>
  <c r="BY295" i="16"/>
  <c r="CD295" i="16" s="1"/>
  <c r="BY296" i="16"/>
  <c r="CD296" i="16" s="1"/>
  <c r="BY297" i="16"/>
  <c r="CD297" i="16" s="1"/>
  <c r="BY298" i="16"/>
  <c r="CD298" i="16" s="1"/>
  <c r="BY299" i="16"/>
  <c r="CD299" i="16" s="1"/>
  <c r="BY300" i="16"/>
  <c r="CD300" i="16" s="1"/>
  <c r="AC301" i="16"/>
  <c r="BY301" i="16" s="1"/>
  <c r="CD301" i="16" s="1"/>
  <c r="AC302" i="16"/>
  <c r="BY302" i="16" s="1"/>
  <c r="CD302" i="16" s="1"/>
  <c r="BY303" i="16"/>
  <c r="CD303" i="16" s="1"/>
  <c r="AC304" i="16"/>
  <c r="BY304" i="16" s="1"/>
  <c r="CD304" i="16" s="1"/>
  <c r="BY305" i="16"/>
  <c r="CD305" i="16" s="1"/>
  <c r="BY306" i="16"/>
  <c r="CD306" i="16" s="1"/>
  <c r="AC307" i="16"/>
  <c r="BY307" i="16" s="1"/>
  <c r="CD307" i="16" s="1"/>
  <c r="BY308" i="16"/>
  <c r="CD308" i="16" s="1"/>
  <c r="BY309" i="16"/>
  <c r="CD309" i="16" s="1"/>
  <c r="BY310" i="16"/>
  <c r="CD310" i="16" s="1"/>
  <c r="BY311" i="16"/>
  <c r="CD311" i="16" s="1"/>
  <c r="BY312" i="16"/>
  <c r="CD312" i="16" s="1"/>
  <c r="BY313" i="16"/>
  <c r="CD313" i="16" s="1"/>
  <c r="BY314" i="16"/>
  <c r="CD314" i="16" s="1"/>
  <c r="BY315" i="16"/>
  <c r="CD315" i="16" s="1"/>
  <c r="BY316" i="16"/>
  <c r="CD316" i="16" s="1"/>
  <c r="BY317" i="16"/>
  <c r="CD317" i="16" s="1"/>
  <c r="BY318" i="16"/>
  <c r="CD318" i="16" s="1"/>
  <c r="BY319" i="16"/>
  <c r="CD319" i="16" s="1"/>
  <c r="BY320" i="16"/>
  <c r="CD320" i="16" s="1"/>
  <c r="BY321" i="16"/>
  <c r="CD321" i="16" s="1"/>
  <c r="BY322" i="16"/>
  <c r="CD322" i="16" s="1"/>
  <c r="BY323" i="16"/>
  <c r="CD323" i="16" s="1"/>
  <c r="BY324" i="16"/>
  <c r="CD324" i="16" s="1"/>
  <c r="BY325" i="16"/>
  <c r="CD325" i="16" s="1"/>
  <c r="BY328" i="16"/>
  <c r="CD328" i="16" s="1"/>
  <c r="BY329" i="16"/>
  <c r="CD329" i="16" s="1"/>
  <c r="BY330" i="16"/>
  <c r="CD330" i="16" s="1"/>
  <c r="BY331" i="16"/>
  <c r="CD331" i="16" s="1"/>
  <c r="BY332" i="16"/>
  <c r="CD332" i="16" s="1"/>
  <c r="BY333" i="16"/>
  <c r="CD333" i="16" s="1"/>
  <c r="BY334" i="16"/>
  <c r="CD334" i="16" s="1"/>
  <c r="BY335" i="16"/>
  <c r="CD335" i="16" s="1"/>
  <c r="BY336" i="16"/>
  <c r="CD336" i="16" s="1"/>
  <c r="BY337" i="16"/>
  <c r="CD337" i="16" s="1"/>
  <c r="BY338" i="16"/>
  <c r="CD338" i="16" s="1"/>
  <c r="BY339" i="16"/>
  <c r="CD339" i="16" s="1"/>
  <c r="BY340" i="16"/>
  <c r="CD340" i="16" s="1"/>
  <c r="BY341" i="16"/>
  <c r="CD341" i="16" s="1"/>
  <c r="AC342" i="16"/>
  <c r="BY342" i="16" s="1"/>
  <c r="CD342" i="16" s="1"/>
  <c r="AC343" i="16"/>
  <c r="BY343" i="16" s="1"/>
  <c r="CD343" i="16" s="1"/>
  <c r="BY344" i="16"/>
  <c r="CD344" i="16" s="1"/>
  <c r="BY345" i="16"/>
  <c r="CD345" i="16" s="1"/>
  <c r="BY346" i="16"/>
  <c r="CD346" i="16" s="1"/>
  <c r="BY347" i="16"/>
  <c r="CD347" i="16" s="1"/>
  <c r="BY348" i="16"/>
  <c r="CD348" i="16" s="1"/>
  <c r="BY351" i="16"/>
  <c r="CD351" i="16" s="1"/>
  <c r="BY352" i="16"/>
  <c r="CD352" i="16" s="1"/>
  <c r="BY354" i="16"/>
  <c r="CD354" i="16" s="1"/>
  <c r="BY358" i="16"/>
  <c r="CD358" i="16" s="1"/>
  <c r="BY359" i="16"/>
  <c r="CD359" i="16" s="1"/>
  <c r="BY360" i="16"/>
  <c r="CD360" i="16" s="1"/>
  <c r="BY361" i="16"/>
  <c r="CD361" i="16" s="1"/>
  <c r="BY362" i="16"/>
  <c r="CD362" i="16" s="1"/>
  <c r="BY363" i="16"/>
  <c r="CD363" i="16" s="1"/>
  <c r="BY364" i="16"/>
  <c r="CD364" i="16" s="1"/>
  <c r="BY365" i="16"/>
  <c r="CD365" i="16" s="1"/>
  <c r="BY366" i="16"/>
  <c r="CD366" i="16" s="1"/>
  <c r="BY369" i="16"/>
  <c r="CD369" i="16" s="1"/>
  <c r="BY370" i="16"/>
  <c r="CD370" i="16" s="1"/>
  <c r="BY371" i="16"/>
  <c r="CD371" i="16" s="1"/>
  <c r="BY372" i="16"/>
  <c r="CD372" i="16" s="1"/>
  <c r="BY373" i="16"/>
  <c r="CD373" i="16" s="1"/>
  <c r="BY374" i="16"/>
  <c r="CD374" i="16" s="1"/>
  <c r="BY375" i="16"/>
  <c r="CD375" i="16" s="1"/>
  <c r="BY376" i="16"/>
  <c r="CD376" i="16" s="1"/>
  <c r="BY377" i="16"/>
  <c r="CD377" i="16" s="1"/>
  <c r="BY378" i="16"/>
  <c r="CD378" i="16" s="1"/>
  <c r="BY379" i="16"/>
  <c r="CD379" i="16" s="1"/>
  <c r="BY380" i="16"/>
  <c r="CD380" i="16" s="1"/>
  <c r="BY381" i="16"/>
  <c r="CD381" i="16" s="1"/>
  <c r="BY382" i="16"/>
  <c r="CD382" i="16" s="1"/>
  <c r="BY383" i="16"/>
  <c r="CD383" i="16" s="1"/>
  <c r="BY384" i="16"/>
  <c r="CD384" i="16" s="1"/>
  <c r="BY385" i="16"/>
  <c r="CD385" i="16" s="1"/>
  <c r="BY386" i="16"/>
  <c r="CD386" i="16" s="1"/>
  <c r="BY387" i="16"/>
  <c r="CD387" i="16" s="1"/>
  <c r="BY388" i="16"/>
  <c r="CD388" i="16" s="1"/>
  <c r="BY389" i="16"/>
  <c r="CD389" i="16" s="1"/>
  <c r="BY390" i="16"/>
  <c r="CD390" i="16" s="1"/>
  <c r="BY391" i="16"/>
  <c r="CD391" i="16" s="1"/>
  <c r="BY392" i="16"/>
  <c r="CD392" i="16" s="1"/>
  <c r="BY393" i="16"/>
  <c r="CD393" i="16" s="1"/>
  <c r="BY396" i="16"/>
  <c r="CD396" i="16" s="1"/>
  <c r="BY397" i="16"/>
  <c r="CD397" i="16" s="1"/>
  <c r="BY398" i="16"/>
  <c r="CD398" i="16" s="1"/>
  <c r="BY399" i="16"/>
  <c r="CD399" i="16" s="1"/>
  <c r="BY400" i="16"/>
  <c r="CD400" i="16" s="1"/>
  <c r="BY401" i="16"/>
  <c r="CD401" i="16" s="1"/>
  <c r="BY402" i="16"/>
  <c r="CD402" i="16" s="1"/>
  <c r="BY403" i="16"/>
  <c r="CD403" i="16" s="1"/>
  <c r="BY404" i="16"/>
  <c r="CD404" i="16" s="1"/>
  <c r="BY405" i="16"/>
  <c r="CD405" i="16" s="1"/>
  <c r="BY406" i="16"/>
  <c r="CD406" i="16" s="1"/>
  <c r="BY409" i="16"/>
  <c r="CD409" i="16" s="1"/>
  <c r="BY410" i="16"/>
  <c r="CD410" i="16" s="1"/>
  <c r="BY411" i="16"/>
  <c r="CD411" i="16" s="1"/>
  <c r="BY412" i="16"/>
  <c r="CD412" i="16" s="1"/>
  <c r="BY413" i="16"/>
  <c r="CD413" i="16" s="1"/>
  <c r="BY414" i="16"/>
  <c r="CD414" i="16" s="1"/>
  <c r="BY415" i="16"/>
  <c r="CD415" i="16" s="1"/>
  <c r="BY416" i="16"/>
  <c r="CD416" i="16" s="1"/>
  <c r="BY417" i="16"/>
  <c r="CD417" i="16" s="1"/>
  <c r="BY418" i="16"/>
  <c r="CD418" i="16" s="1"/>
  <c r="BY419" i="16"/>
  <c r="CD419" i="16" s="1"/>
  <c r="BY420" i="16"/>
  <c r="CD420" i="16" s="1"/>
  <c r="BY421" i="16"/>
  <c r="CD421" i="16" s="1"/>
  <c r="BY422" i="16"/>
  <c r="CD422" i="16" s="1"/>
  <c r="BY425" i="16"/>
  <c r="CD425" i="16" s="1"/>
  <c r="BY426" i="16"/>
  <c r="CD426" i="16" s="1"/>
  <c r="BY427" i="16"/>
  <c r="CD427" i="16" s="1"/>
  <c r="BY428" i="16"/>
  <c r="CD428" i="16" s="1"/>
  <c r="BY429" i="16"/>
  <c r="CD429" i="16" s="1"/>
  <c r="BY430" i="16"/>
  <c r="CD430" i="16" s="1"/>
  <c r="BY431" i="16"/>
  <c r="CD431" i="16" s="1"/>
  <c r="BY432" i="16"/>
  <c r="CD432" i="16" s="1"/>
  <c r="BY433" i="16"/>
  <c r="CD433" i="16" s="1"/>
  <c r="BY434" i="16"/>
  <c r="CD434" i="16" s="1"/>
  <c r="BY435" i="16"/>
  <c r="CD435" i="16" s="1"/>
  <c r="BY436" i="16"/>
  <c r="CD436" i="16" s="1"/>
  <c r="BY437" i="16"/>
  <c r="CD437" i="16" s="1"/>
  <c r="AC441" i="16"/>
  <c r="BY441" i="16" s="1"/>
  <c r="CD441" i="16" s="1"/>
  <c r="BY442" i="16"/>
  <c r="CD442" i="16" s="1"/>
  <c r="BY443" i="16"/>
  <c r="CD443" i="16" s="1"/>
  <c r="BY444" i="16"/>
  <c r="CD444" i="16" s="1"/>
  <c r="BY445" i="16"/>
  <c r="CD445" i="16" s="1"/>
  <c r="BY446" i="16"/>
  <c r="CD446" i="16" s="1"/>
  <c r="BY447" i="16"/>
  <c r="CD447" i="16" s="1"/>
  <c r="BY448" i="16"/>
  <c r="CD448" i="16" s="1"/>
  <c r="BY449" i="16"/>
  <c r="CD449" i="16" s="1"/>
  <c r="BY450" i="16"/>
  <c r="CD450" i="16" s="1"/>
  <c r="BY451" i="16"/>
  <c r="CD451" i="16" s="1"/>
  <c r="BY452" i="16"/>
  <c r="CD452" i="16" s="1"/>
  <c r="BY453" i="16"/>
  <c r="CD453" i="16" s="1"/>
  <c r="BY454" i="16"/>
  <c r="CD454" i="16" s="1"/>
  <c r="BY455" i="16"/>
  <c r="CD455" i="16" s="1"/>
  <c r="BY456" i="16"/>
  <c r="CD456" i="16" s="1"/>
  <c r="BY457" i="16"/>
  <c r="CD457" i="16" s="1"/>
  <c r="BY458" i="16"/>
  <c r="CD458" i="16" s="1"/>
  <c r="BY459" i="16"/>
  <c r="CD459" i="16" s="1"/>
  <c r="BY460" i="16"/>
  <c r="CD460" i="16" s="1"/>
  <c r="BY461" i="16"/>
  <c r="CD461" i="16" s="1"/>
  <c r="BY462" i="16"/>
  <c r="CD462" i="16" s="1"/>
  <c r="BY463" i="16"/>
  <c r="CD463" i="16" s="1"/>
  <c r="BY464" i="16"/>
  <c r="CD464" i="16" s="1"/>
  <c r="BY465" i="16"/>
  <c r="CD465" i="16" s="1"/>
  <c r="BY466" i="16"/>
  <c r="CD466" i="16" s="1"/>
  <c r="BY467" i="16"/>
  <c r="CD467" i="16" s="1"/>
  <c r="BY468" i="16"/>
  <c r="CD468" i="16" s="1"/>
  <c r="BY469" i="16"/>
  <c r="CD469" i="16" s="1"/>
  <c r="BY470" i="16"/>
  <c r="CD470" i="16" s="1"/>
  <c r="BY471" i="16"/>
  <c r="CD471" i="16" s="1"/>
  <c r="BY472" i="16"/>
  <c r="CD472" i="16" s="1"/>
  <c r="BY475" i="16"/>
  <c r="CD475" i="16" s="1"/>
  <c r="BY476" i="16"/>
  <c r="CD476" i="16" s="1"/>
  <c r="BY477" i="16"/>
  <c r="CD477" i="16" s="1"/>
  <c r="BY478" i="16"/>
  <c r="CD478" i="16" s="1"/>
  <c r="BY479" i="16"/>
  <c r="CD479" i="16" s="1"/>
  <c r="BY480" i="16"/>
  <c r="CD480" i="16" s="1"/>
  <c r="BY481" i="16"/>
  <c r="CD481" i="16" s="1"/>
  <c r="BY483" i="16"/>
  <c r="CD483" i="16" s="1"/>
  <c r="BY484" i="16"/>
  <c r="CD484" i="16" s="1"/>
  <c r="BY485" i="16"/>
  <c r="CD485" i="16" s="1"/>
  <c r="BY486" i="16"/>
  <c r="CD486" i="16" s="1"/>
  <c r="BY487" i="16"/>
  <c r="CD487" i="16" s="1"/>
  <c r="BY488" i="16"/>
  <c r="CD488" i="16" s="1"/>
  <c r="BY489" i="16"/>
  <c r="CD489" i="16" s="1"/>
  <c r="AQ22" i="21"/>
  <c r="AT10" i="21"/>
  <c r="Q423" i="16"/>
  <c r="P423" i="16"/>
  <c r="M423" i="16"/>
  <c r="L423" i="16"/>
  <c r="K423" i="16"/>
  <c r="J423" i="16"/>
  <c r="I423" i="16"/>
  <c r="J240" i="16"/>
  <c r="I240" i="16"/>
  <c r="M240" i="16"/>
  <c r="L240" i="16"/>
  <c r="Q240" i="16"/>
  <c r="P240" i="16"/>
  <c r="K240" i="16"/>
  <c r="CB190" i="16"/>
  <c r="CG190" i="16" s="1"/>
  <c r="M190" i="16"/>
  <c r="L190" i="16"/>
  <c r="L189" i="16"/>
  <c r="M189" i="16"/>
  <c r="J190" i="16"/>
  <c r="I190" i="16"/>
  <c r="K190" i="16"/>
  <c r="Q190" i="16"/>
  <c r="P190" i="16"/>
  <c r="J178" i="16"/>
  <c r="I178" i="16"/>
  <c r="Q178" i="16"/>
  <c r="P178" i="16"/>
  <c r="L178" i="16"/>
  <c r="K178" i="16"/>
  <c r="J423" i="20"/>
  <c r="N423" i="20"/>
  <c r="M423" i="20"/>
  <c r="L423" i="20"/>
  <c r="K423" i="20"/>
  <c r="Q423" i="20"/>
  <c r="P423" i="20"/>
  <c r="Q240" i="20"/>
  <c r="P240" i="20"/>
  <c r="K240" i="20"/>
  <c r="M240" i="20"/>
  <c r="L240" i="20"/>
  <c r="J240" i="20"/>
  <c r="I240" i="20"/>
  <c r="K190" i="20"/>
  <c r="M190" i="20"/>
  <c r="L190" i="20"/>
  <c r="Q190" i="20"/>
  <c r="P190" i="20"/>
  <c r="Q178" i="20"/>
  <c r="P178" i="20"/>
  <c r="L178" i="20"/>
  <c r="K178" i="20"/>
  <c r="B52" i="21"/>
  <c r="CF489" i="20"/>
  <c r="BZ489" i="20"/>
  <c r="CE489" i="20" s="1"/>
  <c r="BY489" i="20"/>
  <c r="CD489" i="20" s="1"/>
  <c r="BW489" i="20"/>
  <c r="BX489" i="20" s="1"/>
  <c r="BM489" i="20"/>
  <c r="R489" i="20"/>
  <c r="Q489" i="20"/>
  <c r="O489" i="20"/>
  <c r="L489" i="20"/>
  <c r="K489" i="20"/>
  <c r="J489" i="20"/>
  <c r="I489" i="20"/>
  <c r="CA488" i="20"/>
  <c r="CF488" i="20" s="1"/>
  <c r="BZ488" i="20"/>
  <c r="CE488" i="20" s="1"/>
  <c r="BY488" i="20"/>
  <c r="CD488" i="20" s="1"/>
  <c r="BW488" i="20"/>
  <c r="BX488" i="20" s="1"/>
  <c r="BM488" i="20"/>
  <c r="R488" i="20"/>
  <c r="Q488" i="20"/>
  <c r="P488" i="20"/>
  <c r="O488" i="20"/>
  <c r="L488" i="20"/>
  <c r="K488" i="20"/>
  <c r="J488" i="20"/>
  <c r="I488" i="20"/>
  <c r="CA487" i="20"/>
  <c r="CF487" i="20" s="1"/>
  <c r="BZ487" i="20"/>
  <c r="CE487" i="20" s="1"/>
  <c r="BY487" i="20"/>
  <c r="CD487" i="20" s="1"/>
  <c r="BW487" i="20"/>
  <c r="BX487" i="20" s="1"/>
  <c r="BM487" i="20"/>
  <c r="R487" i="20"/>
  <c r="Q487" i="20"/>
  <c r="P487" i="20"/>
  <c r="O487" i="20"/>
  <c r="L487" i="20"/>
  <c r="K487" i="20"/>
  <c r="J487" i="20"/>
  <c r="I487" i="20"/>
  <c r="CA486" i="20"/>
  <c r="CF486" i="20" s="1"/>
  <c r="BZ486" i="20"/>
  <c r="CE486" i="20" s="1"/>
  <c r="BY486" i="20"/>
  <c r="CD486" i="20" s="1"/>
  <c r="BW486" i="20"/>
  <c r="BX486" i="20" s="1"/>
  <c r="BM486" i="20"/>
  <c r="R486" i="20"/>
  <c r="Q486" i="20"/>
  <c r="P486" i="20"/>
  <c r="O486" i="20"/>
  <c r="L486" i="20"/>
  <c r="K486" i="20"/>
  <c r="J486" i="20"/>
  <c r="I486" i="20"/>
  <c r="CA485" i="20"/>
  <c r="CF485" i="20" s="1"/>
  <c r="BZ485" i="20"/>
  <c r="CE485" i="20" s="1"/>
  <c r="BY485" i="20"/>
  <c r="CD485" i="20" s="1"/>
  <c r="BW485" i="20"/>
  <c r="BX485" i="20" s="1"/>
  <c r="BM485" i="20"/>
  <c r="R485" i="20"/>
  <c r="Q485" i="20"/>
  <c r="P485" i="20"/>
  <c r="O485" i="20"/>
  <c r="L485" i="20"/>
  <c r="K485" i="20"/>
  <c r="J485" i="20"/>
  <c r="I485" i="20"/>
  <c r="CA484" i="20"/>
  <c r="CF484" i="20" s="1"/>
  <c r="BZ484" i="20"/>
  <c r="CE484" i="20" s="1"/>
  <c r="BY484" i="20"/>
  <c r="CD484" i="20" s="1"/>
  <c r="BW484" i="20"/>
  <c r="BX484" i="20" s="1"/>
  <c r="BM484" i="20"/>
  <c r="R484" i="20"/>
  <c r="Q484" i="20"/>
  <c r="P484" i="20"/>
  <c r="O484" i="20"/>
  <c r="L484" i="20"/>
  <c r="K484" i="20"/>
  <c r="J484" i="20"/>
  <c r="I484" i="20"/>
  <c r="CA483" i="20"/>
  <c r="CF483" i="20" s="1"/>
  <c r="BZ483" i="20"/>
  <c r="CE483" i="20" s="1"/>
  <c r="BY483" i="20"/>
  <c r="CD483" i="20" s="1"/>
  <c r="BW483" i="20"/>
  <c r="BX483" i="20" s="1"/>
  <c r="BM483" i="20"/>
  <c r="R483" i="20"/>
  <c r="Q483" i="20"/>
  <c r="P483" i="20"/>
  <c r="O483" i="20"/>
  <c r="L483" i="20"/>
  <c r="K483" i="20"/>
  <c r="J483" i="20"/>
  <c r="I483" i="20"/>
  <c r="BM482" i="20"/>
  <c r="AB482" i="20"/>
  <c r="Z482" i="20"/>
  <c r="X482" i="20"/>
  <c r="V482" i="20"/>
  <c r="CA481" i="20"/>
  <c r="CF481" i="20" s="1"/>
  <c r="BZ481" i="20"/>
  <c r="CE481" i="20" s="1"/>
  <c r="BY481" i="20"/>
  <c r="CD481" i="20" s="1"/>
  <c r="BW481" i="20"/>
  <c r="BX481" i="20" s="1"/>
  <c r="BM481" i="20"/>
  <c r="R481" i="20"/>
  <c r="Q481" i="20"/>
  <c r="P481" i="20"/>
  <c r="O481" i="20"/>
  <c r="L481" i="20"/>
  <c r="K481" i="20"/>
  <c r="J481" i="20"/>
  <c r="I481" i="20"/>
  <c r="CA480" i="20"/>
  <c r="CF480" i="20" s="1"/>
  <c r="BZ480" i="20"/>
  <c r="CE480" i="20" s="1"/>
  <c r="BY480" i="20"/>
  <c r="CD480" i="20" s="1"/>
  <c r="BW480" i="20"/>
  <c r="BX480" i="20" s="1"/>
  <c r="BM480" i="20"/>
  <c r="R480" i="20"/>
  <c r="Q480" i="20"/>
  <c r="P480" i="20"/>
  <c r="O480" i="20"/>
  <c r="L480" i="20"/>
  <c r="K480" i="20"/>
  <c r="J480" i="20"/>
  <c r="I480" i="20"/>
  <c r="CA479" i="20"/>
  <c r="CF479" i="20" s="1"/>
  <c r="BZ479" i="20"/>
  <c r="CE479" i="20" s="1"/>
  <c r="BY479" i="20"/>
  <c r="CD479" i="20" s="1"/>
  <c r="BW479" i="20"/>
  <c r="BX479" i="20" s="1"/>
  <c r="BM479" i="20"/>
  <c r="R479" i="20"/>
  <c r="Q479" i="20"/>
  <c r="P479" i="20"/>
  <c r="O479" i="20"/>
  <c r="L479" i="20"/>
  <c r="K479" i="20"/>
  <c r="J479" i="20"/>
  <c r="I479" i="20"/>
  <c r="CA478" i="20"/>
  <c r="CF478" i="20" s="1"/>
  <c r="BZ478" i="20"/>
  <c r="CE478" i="20" s="1"/>
  <c r="BY478" i="20"/>
  <c r="CD478" i="20" s="1"/>
  <c r="BW478" i="20"/>
  <c r="BX478" i="20" s="1"/>
  <c r="BM478" i="20"/>
  <c r="R478" i="20"/>
  <c r="Q478" i="20"/>
  <c r="P478" i="20"/>
  <c r="O478" i="20"/>
  <c r="L478" i="20"/>
  <c r="K478" i="20"/>
  <c r="J478" i="20"/>
  <c r="I478" i="20"/>
  <c r="CA477" i="20"/>
  <c r="CF477" i="20" s="1"/>
  <c r="BZ477" i="20"/>
  <c r="CE477" i="20" s="1"/>
  <c r="BY477" i="20"/>
  <c r="CD477" i="20" s="1"/>
  <c r="BW477" i="20"/>
  <c r="BX477" i="20" s="1"/>
  <c r="BM477" i="20"/>
  <c r="R477" i="20"/>
  <c r="Q477" i="20"/>
  <c r="P477" i="20"/>
  <c r="O477" i="20"/>
  <c r="L477" i="20"/>
  <c r="K477" i="20"/>
  <c r="J477" i="20"/>
  <c r="I477" i="20"/>
  <c r="CA476" i="20"/>
  <c r="CF476" i="20" s="1"/>
  <c r="BZ476" i="20"/>
  <c r="CE476" i="20" s="1"/>
  <c r="BY476" i="20"/>
  <c r="CD476" i="20" s="1"/>
  <c r="BW476" i="20"/>
  <c r="BX476" i="20" s="1"/>
  <c r="BM476" i="20"/>
  <c r="R476" i="20"/>
  <c r="Q476" i="20"/>
  <c r="P476" i="20"/>
  <c r="O476" i="20"/>
  <c r="L476" i="20"/>
  <c r="K476" i="20"/>
  <c r="J476" i="20"/>
  <c r="I476" i="20"/>
  <c r="CA475" i="20"/>
  <c r="CF475" i="20" s="1"/>
  <c r="BZ475" i="20"/>
  <c r="CE475" i="20" s="1"/>
  <c r="BY475" i="20"/>
  <c r="CD475" i="20" s="1"/>
  <c r="BW475" i="20"/>
  <c r="BX475" i="20" s="1"/>
  <c r="BM475" i="20"/>
  <c r="R475" i="20"/>
  <c r="Q475" i="20"/>
  <c r="P475" i="20"/>
  <c r="O475" i="20"/>
  <c r="L475" i="20"/>
  <c r="K475" i="20"/>
  <c r="J475" i="20"/>
  <c r="I475" i="20"/>
  <c r="BM474" i="20"/>
  <c r="AB474" i="20"/>
  <c r="Z474" i="20"/>
  <c r="X474" i="20"/>
  <c r="V474" i="20"/>
  <c r="BM473" i="20"/>
  <c r="CA472" i="20"/>
  <c r="CF472" i="20" s="1"/>
  <c r="BZ472" i="20"/>
  <c r="CE472" i="20" s="1"/>
  <c r="BY472" i="20"/>
  <c r="CD472" i="20" s="1"/>
  <c r="BW472" i="20"/>
  <c r="BX472" i="20" s="1"/>
  <c r="BM472" i="20"/>
  <c r="R472" i="20"/>
  <c r="Q472" i="20"/>
  <c r="P472" i="20"/>
  <c r="O472" i="20"/>
  <c r="M472" i="20"/>
  <c r="L472" i="20"/>
  <c r="K472" i="20"/>
  <c r="J472" i="20"/>
  <c r="I472" i="20"/>
  <c r="CA471" i="20"/>
  <c r="CF471" i="20" s="1"/>
  <c r="BZ471" i="20"/>
  <c r="CE471" i="20" s="1"/>
  <c r="BY471" i="20"/>
  <c r="CD471" i="20" s="1"/>
  <c r="BW471" i="20"/>
  <c r="BX471" i="20" s="1"/>
  <c r="BM471" i="20"/>
  <c r="R471" i="20"/>
  <c r="Q471" i="20"/>
  <c r="P471" i="20"/>
  <c r="O471" i="20"/>
  <c r="M471" i="20"/>
  <c r="L471" i="20"/>
  <c r="K471" i="20"/>
  <c r="J471" i="20"/>
  <c r="I471" i="20"/>
  <c r="CA470" i="20"/>
  <c r="CF470" i="20" s="1"/>
  <c r="BZ470" i="20"/>
  <c r="CE470" i="20" s="1"/>
  <c r="BY470" i="20"/>
  <c r="CD470" i="20" s="1"/>
  <c r="BW470" i="20"/>
  <c r="BX470" i="20" s="1"/>
  <c r="BM470" i="20"/>
  <c r="R470" i="20"/>
  <c r="Q470" i="20"/>
  <c r="P470" i="20"/>
  <c r="O470" i="20"/>
  <c r="M470" i="20"/>
  <c r="L470" i="20"/>
  <c r="K470" i="20"/>
  <c r="J470" i="20"/>
  <c r="I470" i="20"/>
  <c r="CA469" i="20"/>
  <c r="CF469" i="20" s="1"/>
  <c r="BZ469" i="20"/>
  <c r="CE469" i="20" s="1"/>
  <c r="BY469" i="20"/>
  <c r="CD469" i="20" s="1"/>
  <c r="BW469" i="20"/>
  <c r="BX469" i="20" s="1"/>
  <c r="BM469" i="20"/>
  <c r="R469" i="20"/>
  <c r="Q469" i="20"/>
  <c r="P469" i="20"/>
  <c r="O469" i="20"/>
  <c r="M469" i="20"/>
  <c r="L469" i="20"/>
  <c r="K469" i="20"/>
  <c r="J469" i="20"/>
  <c r="I469" i="20"/>
  <c r="CF468" i="20"/>
  <c r="BZ468" i="20"/>
  <c r="CE468" i="20" s="1"/>
  <c r="BY468" i="20"/>
  <c r="CD468" i="20" s="1"/>
  <c r="BW468" i="20"/>
  <c r="BX468" i="20" s="1"/>
  <c r="BM468" i="20"/>
  <c r="R468" i="20"/>
  <c r="Q468" i="20"/>
  <c r="P468" i="20"/>
  <c r="O468" i="20"/>
  <c r="M468" i="20"/>
  <c r="L468" i="20"/>
  <c r="K468" i="20"/>
  <c r="J468" i="20"/>
  <c r="I468" i="20"/>
  <c r="CA467" i="20"/>
  <c r="CF467" i="20" s="1"/>
  <c r="BZ467" i="20"/>
  <c r="CE467" i="20" s="1"/>
  <c r="BY467" i="20"/>
  <c r="CD467" i="20" s="1"/>
  <c r="BW467" i="20"/>
  <c r="BX467" i="20" s="1"/>
  <c r="BM467" i="20"/>
  <c r="R467" i="20"/>
  <c r="Q467" i="20"/>
  <c r="P467" i="20"/>
  <c r="O467" i="20"/>
  <c r="M467" i="20"/>
  <c r="L467" i="20"/>
  <c r="K467" i="20"/>
  <c r="J467" i="20"/>
  <c r="I467" i="20"/>
  <c r="CA466" i="20"/>
  <c r="CF466" i="20" s="1"/>
  <c r="BZ466" i="20"/>
  <c r="CE466" i="20" s="1"/>
  <c r="BY466" i="20"/>
  <c r="CD466" i="20" s="1"/>
  <c r="BW466" i="20"/>
  <c r="BX466" i="20" s="1"/>
  <c r="BM466" i="20"/>
  <c r="R466" i="20"/>
  <c r="Q466" i="20"/>
  <c r="P466" i="20"/>
  <c r="O466" i="20"/>
  <c r="M466" i="20"/>
  <c r="L466" i="20"/>
  <c r="K466" i="20"/>
  <c r="J466" i="20"/>
  <c r="I466" i="20"/>
  <c r="CA465" i="20"/>
  <c r="CF465" i="20" s="1"/>
  <c r="BZ465" i="20"/>
  <c r="CE465" i="20" s="1"/>
  <c r="BY465" i="20"/>
  <c r="CD465" i="20" s="1"/>
  <c r="BW465" i="20"/>
  <c r="BX465" i="20" s="1"/>
  <c r="BM465" i="20"/>
  <c r="R465" i="20"/>
  <c r="Q465" i="20"/>
  <c r="P465" i="20"/>
  <c r="O465" i="20"/>
  <c r="M465" i="20"/>
  <c r="L465" i="20"/>
  <c r="K465" i="20"/>
  <c r="J465" i="20"/>
  <c r="I465" i="20"/>
  <c r="CF464" i="20"/>
  <c r="BZ464" i="20"/>
  <c r="CE464" i="20" s="1"/>
  <c r="BY464" i="20"/>
  <c r="CD464" i="20" s="1"/>
  <c r="BW464" i="20"/>
  <c r="BX464" i="20" s="1"/>
  <c r="BM464" i="20"/>
  <c r="R464" i="20"/>
  <c r="Q464" i="20"/>
  <c r="P464" i="20"/>
  <c r="O464" i="20"/>
  <c r="M464" i="20"/>
  <c r="L464" i="20"/>
  <c r="K464" i="20"/>
  <c r="J464" i="20"/>
  <c r="I464" i="20"/>
  <c r="CA463" i="20"/>
  <c r="CF463" i="20" s="1"/>
  <c r="BZ463" i="20"/>
  <c r="CE463" i="20" s="1"/>
  <c r="BY463" i="20"/>
  <c r="CD463" i="20" s="1"/>
  <c r="BW463" i="20"/>
  <c r="BX463" i="20" s="1"/>
  <c r="BM463" i="20"/>
  <c r="R463" i="20"/>
  <c r="Q463" i="20"/>
  <c r="P463" i="20"/>
  <c r="O463" i="20"/>
  <c r="M463" i="20"/>
  <c r="L463" i="20"/>
  <c r="K463" i="20"/>
  <c r="J463" i="20"/>
  <c r="I463" i="20"/>
  <c r="CA462" i="20"/>
  <c r="CF462" i="20" s="1"/>
  <c r="BZ462" i="20"/>
  <c r="CE462" i="20" s="1"/>
  <c r="BY462" i="20"/>
  <c r="CD462" i="20" s="1"/>
  <c r="BW462" i="20"/>
  <c r="BX462" i="20" s="1"/>
  <c r="BM462" i="20"/>
  <c r="R462" i="20"/>
  <c r="Q462" i="20"/>
  <c r="P462" i="20"/>
  <c r="O462" i="20"/>
  <c r="M462" i="20"/>
  <c r="L462" i="20"/>
  <c r="K462" i="20"/>
  <c r="J462" i="20"/>
  <c r="I462" i="20"/>
  <c r="CA461" i="20"/>
  <c r="CF461" i="20" s="1"/>
  <c r="BZ461" i="20"/>
  <c r="CE461" i="20" s="1"/>
  <c r="BY461" i="20"/>
  <c r="CD461" i="20" s="1"/>
  <c r="BW461" i="20"/>
  <c r="BX461" i="20" s="1"/>
  <c r="BM461" i="20"/>
  <c r="R461" i="20"/>
  <c r="Q461" i="20"/>
  <c r="P461" i="20"/>
  <c r="O461" i="20"/>
  <c r="M461" i="20"/>
  <c r="L461" i="20"/>
  <c r="K461" i="20"/>
  <c r="J461" i="20"/>
  <c r="I461" i="20"/>
  <c r="CA460" i="20"/>
  <c r="CF460" i="20" s="1"/>
  <c r="BZ460" i="20"/>
  <c r="CE460" i="20" s="1"/>
  <c r="BY460" i="20"/>
  <c r="CD460" i="20" s="1"/>
  <c r="BW460" i="20"/>
  <c r="BX460" i="20" s="1"/>
  <c r="BM460" i="20"/>
  <c r="R460" i="20"/>
  <c r="Q460" i="20"/>
  <c r="P460" i="20"/>
  <c r="O460" i="20"/>
  <c r="M460" i="20"/>
  <c r="L460" i="20"/>
  <c r="K460" i="20"/>
  <c r="J460" i="20"/>
  <c r="I460" i="20"/>
  <c r="CA459" i="20"/>
  <c r="CF459" i="20" s="1"/>
  <c r="BZ459" i="20"/>
  <c r="CE459" i="20" s="1"/>
  <c r="BY459" i="20"/>
  <c r="CD459" i="20" s="1"/>
  <c r="BW459" i="20"/>
  <c r="BX459" i="20" s="1"/>
  <c r="BM459" i="20"/>
  <c r="R459" i="20"/>
  <c r="Q459" i="20"/>
  <c r="P459" i="20"/>
  <c r="O459" i="20"/>
  <c r="M459" i="20"/>
  <c r="L459" i="20"/>
  <c r="K459" i="20"/>
  <c r="J459" i="20"/>
  <c r="I459" i="20"/>
  <c r="CA458" i="20"/>
  <c r="CF458" i="20" s="1"/>
  <c r="BZ458" i="20"/>
  <c r="CE458" i="20" s="1"/>
  <c r="BY458" i="20"/>
  <c r="CD458" i="20" s="1"/>
  <c r="BW458" i="20"/>
  <c r="BX458" i="20" s="1"/>
  <c r="BM458" i="20"/>
  <c r="R458" i="20"/>
  <c r="Q458" i="20"/>
  <c r="P458" i="20"/>
  <c r="O458" i="20"/>
  <c r="M458" i="20"/>
  <c r="L458" i="20"/>
  <c r="K458" i="20"/>
  <c r="J458" i="20"/>
  <c r="I458" i="20"/>
  <c r="CA457" i="20"/>
  <c r="CF457" i="20" s="1"/>
  <c r="BZ457" i="20"/>
  <c r="CE457" i="20" s="1"/>
  <c r="BY457" i="20"/>
  <c r="CD457" i="20" s="1"/>
  <c r="BW457" i="20"/>
  <c r="BX457" i="20" s="1"/>
  <c r="BM457" i="20"/>
  <c r="R457" i="20"/>
  <c r="Q457" i="20"/>
  <c r="P457" i="20"/>
  <c r="O457" i="20"/>
  <c r="M457" i="20"/>
  <c r="L457" i="20"/>
  <c r="K457" i="20"/>
  <c r="J457" i="20"/>
  <c r="I457" i="20"/>
  <c r="CA456" i="20"/>
  <c r="CF456" i="20" s="1"/>
  <c r="BZ456" i="20"/>
  <c r="CE456" i="20" s="1"/>
  <c r="BY456" i="20"/>
  <c r="CD456" i="20" s="1"/>
  <c r="BW456" i="20"/>
  <c r="BX456" i="20" s="1"/>
  <c r="BM456" i="20"/>
  <c r="R456" i="20"/>
  <c r="Q456" i="20"/>
  <c r="P456" i="20"/>
  <c r="O456" i="20"/>
  <c r="M456" i="20"/>
  <c r="L456" i="20"/>
  <c r="K456" i="20"/>
  <c r="J456" i="20"/>
  <c r="I456" i="20"/>
  <c r="CA455" i="20"/>
  <c r="CF455" i="20" s="1"/>
  <c r="BZ455" i="20"/>
  <c r="CE455" i="20" s="1"/>
  <c r="BY455" i="20"/>
  <c r="CD455" i="20" s="1"/>
  <c r="BW455" i="20"/>
  <c r="BX455" i="20" s="1"/>
  <c r="BM455" i="20"/>
  <c r="R455" i="20"/>
  <c r="Q455" i="20"/>
  <c r="P455" i="20"/>
  <c r="O455" i="20"/>
  <c r="M455" i="20"/>
  <c r="L455" i="20"/>
  <c r="K455" i="20"/>
  <c r="J455" i="20"/>
  <c r="I455" i="20"/>
  <c r="CA454" i="20"/>
  <c r="CF454" i="20" s="1"/>
  <c r="BZ454" i="20"/>
  <c r="CE454" i="20" s="1"/>
  <c r="BY454" i="20"/>
  <c r="CD454" i="20" s="1"/>
  <c r="BW454" i="20"/>
  <c r="BX454" i="20" s="1"/>
  <c r="BM454" i="20"/>
  <c r="R454" i="20"/>
  <c r="Q454" i="20"/>
  <c r="P454" i="20"/>
  <c r="O454" i="20"/>
  <c r="M454" i="20"/>
  <c r="L454" i="20"/>
  <c r="K454" i="20"/>
  <c r="J454" i="20"/>
  <c r="I454" i="20"/>
  <c r="CA453" i="20"/>
  <c r="CF453" i="20" s="1"/>
  <c r="BZ453" i="20"/>
  <c r="CE453" i="20" s="1"/>
  <c r="BY453" i="20"/>
  <c r="CD453" i="20" s="1"/>
  <c r="BW453" i="20"/>
  <c r="BX453" i="20" s="1"/>
  <c r="BM453" i="20"/>
  <c r="R453" i="20"/>
  <c r="Q453" i="20"/>
  <c r="P453" i="20"/>
  <c r="O453" i="20"/>
  <c r="M453" i="20"/>
  <c r="L453" i="20"/>
  <c r="K453" i="20"/>
  <c r="J453" i="20"/>
  <c r="I453" i="20"/>
  <c r="CA452" i="20"/>
  <c r="CF452" i="20" s="1"/>
  <c r="BZ452" i="20"/>
  <c r="CE452" i="20" s="1"/>
  <c r="BY452" i="20"/>
  <c r="CD452" i="20" s="1"/>
  <c r="BW452" i="20"/>
  <c r="BX452" i="20" s="1"/>
  <c r="BM452" i="20"/>
  <c r="R452" i="20"/>
  <c r="Q452" i="20"/>
  <c r="P452" i="20"/>
  <c r="O452" i="20"/>
  <c r="M452" i="20"/>
  <c r="L452" i="20"/>
  <c r="K452" i="20"/>
  <c r="J452" i="20"/>
  <c r="I452" i="20"/>
  <c r="CA451" i="20"/>
  <c r="CF451" i="20" s="1"/>
  <c r="BZ451" i="20"/>
  <c r="CE451" i="20" s="1"/>
  <c r="BY451" i="20"/>
  <c r="CD451" i="20" s="1"/>
  <c r="BW451" i="20"/>
  <c r="BX451" i="20" s="1"/>
  <c r="BM451" i="20"/>
  <c r="R451" i="20"/>
  <c r="Q451" i="20"/>
  <c r="P451" i="20"/>
  <c r="O451" i="20"/>
  <c r="M451" i="20"/>
  <c r="L451" i="20"/>
  <c r="K451" i="20"/>
  <c r="J451" i="20"/>
  <c r="I451" i="20"/>
  <c r="CA450" i="20"/>
  <c r="CF450" i="20" s="1"/>
  <c r="BZ450" i="20"/>
  <c r="CE450" i="20" s="1"/>
  <c r="BY450" i="20"/>
  <c r="CD450" i="20" s="1"/>
  <c r="BW450" i="20"/>
  <c r="BX450" i="20" s="1"/>
  <c r="BM450" i="20"/>
  <c r="R450" i="20"/>
  <c r="Q450" i="20"/>
  <c r="P450" i="20"/>
  <c r="O450" i="20"/>
  <c r="M450" i="20"/>
  <c r="L450" i="20"/>
  <c r="K450" i="20"/>
  <c r="J450" i="20"/>
  <c r="I450" i="20"/>
  <c r="CA449" i="20"/>
  <c r="CF449" i="20" s="1"/>
  <c r="BZ449" i="20"/>
  <c r="CE449" i="20" s="1"/>
  <c r="BY449" i="20"/>
  <c r="CD449" i="20" s="1"/>
  <c r="BW449" i="20"/>
  <c r="BX449" i="20" s="1"/>
  <c r="BM449" i="20"/>
  <c r="R449" i="20"/>
  <c r="Q449" i="20"/>
  <c r="P449" i="20"/>
  <c r="O449" i="20"/>
  <c r="M449" i="20"/>
  <c r="L449" i="20"/>
  <c r="K449" i="20"/>
  <c r="J449" i="20"/>
  <c r="I449" i="20"/>
  <c r="CA448" i="20"/>
  <c r="CF448" i="20" s="1"/>
  <c r="BZ448" i="20"/>
  <c r="CE448" i="20" s="1"/>
  <c r="BY448" i="20"/>
  <c r="CD448" i="20" s="1"/>
  <c r="BW448" i="20"/>
  <c r="BX448" i="20" s="1"/>
  <c r="BM448" i="20"/>
  <c r="R448" i="20"/>
  <c r="Q448" i="20"/>
  <c r="P448" i="20"/>
  <c r="O448" i="20"/>
  <c r="M448" i="20"/>
  <c r="L448" i="20"/>
  <c r="K448" i="20"/>
  <c r="J448" i="20"/>
  <c r="I448" i="20"/>
  <c r="CA447" i="20"/>
  <c r="CF447" i="20" s="1"/>
  <c r="BZ447" i="20"/>
  <c r="CE447" i="20" s="1"/>
  <c r="BY447" i="20"/>
  <c r="CD447" i="20" s="1"/>
  <c r="BW447" i="20"/>
  <c r="BX447" i="20" s="1"/>
  <c r="BM447" i="20"/>
  <c r="R447" i="20"/>
  <c r="Q447" i="20"/>
  <c r="P447" i="20"/>
  <c r="O447" i="20"/>
  <c r="M447" i="20"/>
  <c r="L447" i="20"/>
  <c r="K447" i="20"/>
  <c r="J447" i="20"/>
  <c r="I447" i="20"/>
  <c r="CA446" i="20"/>
  <c r="CF446" i="20" s="1"/>
  <c r="BZ446" i="20"/>
  <c r="CE446" i="20" s="1"/>
  <c r="BY446" i="20"/>
  <c r="CD446" i="20" s="1"/>
  <c r="BW446" i="20"/>
  <c r="BX446" i="20" s="1"/>
  <c r="BM446" i="20"/>
  <c r="R446" i="20"/>
  <c r="Q446" i="20"/>
  <c r="P446" i="20"/>
  <c r="O446" i="20"/>
  <c r="M446" i="20"/>
  <c r="L446" i="20"/>
  <c r="K446" i="20"/>
  <c r="J446" i="20"/>
  <c r="I446" i="20"/>
  <c r="CA445" i="20"/>
  <c r="CF445" i="20" s="1"/>
  <c r="BZ445" i="20"/>
  <c r="CE445" i="20" s="1"/>
  <c r="BY445" i="20"/>
  <c r="CD445" i="20" s="1"/>
  <c r="BW445" i="20"/>
  <c r="BX445" i="20" s="1"/>
  <c r="BM445" i="20"/>
  <c r="R445" i="20"/>
  <c r="Q445" i="20"/>
  <c r="P445" i="20"/>
  <c r="O445" i="20"/>
  <c r="M445" i="20"/>
  <c r="L445" i="20"/>
  <c r="K445" i="20"/>
  <c r="J445" i="20"/>
  <c r="I445" i="20"/>
  <c r="CA444" i="20"/>
  <c r="CF444" i="20" s="1"/>
  <c r="BZ444" i="20"/>
  <c r="CE444" i="20" s="1"/>
  <c r="BY444" i="20"/>
  <c r="CD444" i="20" s="1"/>
  <c r="BW444" i="20"/>
  <c r="BX444" i="20" s="1"/>
  <c r="BM444" i="20"/>
  <c r="R444" i="20"/>
  <c r="Q444" i="20"/>
  <c r="P444" i="20"/>
  <c r="O444" i="20"/>
  <c r="M444" i="20"/>
  <c r="L444" i="20"/>
  <c r="K444" i="20"/>
  <c r="J444" i="20"/>
  <c r="I444" i="20"/>
  <c r="CA443" i="20"/>
  <c r="CF443" i="20" s="1"/>
  <c r="BZ443" i="20"/>
  <c r="CE443" i="20" s="1"/>
  <c r="BY443" i="20"/>
  <c r="CD443" i="20" s="1"/>
  <c r="BW443" i="20"/>
  <c r="BX443" i="20" s="1"/>
  <c r="BM443" i="20"/>
  <c r="R443" i="20"/>
  <c r="Q443" i="20"/>
  <c r="P443" i="20"/>
  <c r="O443" i="20"/>
  <c r="M443" i="20"/>
  <c r="L443" i="20"/>
  <c r="K443" i="20"/>
  <c r="J443" i="20"/>
  <c r="I443" i="20"/>
  <c r="CA442" i="20"/>
  <c r="CF442" i="20" s="1"/>
  <c r="BZ442" i="20"/>
  <c r="CE442" i="20" s="1"/>
  <c r="BY442" i="20"/>
  <c r="CD442" i="20" s="1"/>
  <c r="BW442" i="20"/>
  <c r="BX442" i="20" s="1"/>
  <c r="BM442" i="20"/>
  <c r="R442" i="20"/>
  <c r="Q442" i="20"/>
  <c r="P442" i="20"/>
  <c r="O442" i="20"/>
  <c r="M442" i="20"/>
  <c r="L442" i="20"/>
  <c r="K442" i="20"/>
  <c r="J442" i="20"/>
  <c r="I442" i="20"/>
  <c r="CA441" i="20"/>
  <c r="CF441" i="20" s="1"/>
  <c r="BZ441" i="20"/>
  <c r="CE441" i="20" s="1"/>
  <c r="BY441" i="20"/>
  <c r="CD441" i="20" s="1"/>
  <c r="BM441" i="20"/>
  <c r="R441" i="20"/>
  <c r="Q441" i="20"/>
  <c r="P441" i="20"/>
  <c r="O441" i="20"/>
  <c r="M441" i="20"/>
  <c r="L441" i="20"/>
  <c r="K441" i="20"/>
  <c r="J441" i="20"/>
  <c r="I441" i="20"/>
  <c r="BM440" i="20"/>
  <c r="AB440" i="20"/>
  <c r="Z440" i="20"/>
  <c r="X440" i="20"/>
  <c r="V440" i="20"/>
  <c r="BM439" i="20"/>
  <c r="BM438" i="20"/>
  <c r="CA437" i="20"/>
  <c r="CF437" i="20" s="1"/>
  <c r="BZ437" i="20"/>
  <c r="CE437" i="20" s="1"/>
  <c r="BY437" i="20"/>
  <c r="CD437" i="20" s="1"/>
  <c r="BW437" i="20"/>
  <c r="BX437" i="20" s="1"/>
  <c r="BM437" i="20"/>
  <c r="R437" i="20"/>
  <c r="Q437" i="20"/>
  <c r="P437" i="20"/>
  <c r="O437" i="20"/>
  <c r="M437" i="20"/>
  <c r="L437" i="20"/>
  <c r="K437" i="20"/>
  <c r="J437" i="20"/>
  <c r="I437" i="20"/>
  <c r="CA436" i="20"/>
  <c r="CF436" i="20" s="1"/>
  <c r="BZ436" i="20"/>
  <c r="CE436" i="20" s="1"/>
  <c r="BY436" i="20"/>
  <c r="CD436" i="20" s="1"/>
  <c r="BM436" i="20"/>
  <c r="R436" i="20"/>
  <c r="Q436" i="20"/>
  <c r="P436" i="20"/>
  <c r="O436" i="20"/>
  <c r="M436" i="20"/>
  <c r="L436" i="20"/>
  <c r="K436" i="20"/>
  <c r="J436" i="20"/>
  <c r="I436" i="20"/>
  <c r="CA435" i="20"/>
  <c r="CF435" i="20" s="1"/>
  <c r="BZ435" i="20"/>
  <c r="CE435" i="20" s="1"/>
  <c r="BY435" i="20"/>
  <c r="CD435" i="20" s="1"/>
  <c r="BW435" i="20"/>
  <c r="BX435" i="20" s="1"/>
  <c r="BM435" i="20"/>
  <c r="R435" i="20"/>
  <c r="Q435" i="20"/>
  <c r="P435" i="20"/>
  <c r="O435" i="20"/>
  <c r="M435" i="20"/>
  <c r="L435" i="20"/>
  <c r="K435" i="20"/>
  <c r="J435" i="20"/>
  <c r="I435" i="20"/>
  <c r="CA434" i="20"/>
  <c r="CF434" i="20" s="1"/>
  <c r="BZ434" i="20"/>
  <c r="CE434" i="20" s="1"/>
  <c r="BY434" i="20"/>
  <c r="CD434" i="20" s="1"/>
  <c r="BW434" i="20"/>
  <c r="BX434" i="20" s="1"/>
  <c r="BM434" i="20"/>
  <c r="R434" i="20"/>
  <c r="Q434" i="20"/>
  <c r="P434" i="20"/>
  <c r="O434" i="20"/>
  <c r="M434" i="20"/>
  <c r="L434" i="20"/>
  <c r="K434" i="20"/>
  <c r="J434" i="20"/>
  <c r="I434" i="20"/>
  <c r="CA433" i="20"/>
  <c r="CF433" i="20" s="1"/>
  <c r="BZ433" i="20"/>
  <c r="CE433" i="20" s="1"/>
  <c r="BY433" i="20"/>
  <c r="CD433" i="20" s="1"/>
  <c r="BW433" i="20"/>
  <c r="BX433" i="20" s="1"/>
  <c r="BM433" i="20"/>
  <c r="R433" i="20"/>
  <c r="Q433" i="20"/>
  <c r="P433" i="20"/>
  <c r="O433" i="20"/>
  <c r="M433" i="20"/>
  <c r="L433" i="20"/>
  <c r="K433" i="20"/>
  <c r="J433" i="20"/>
  <c r="I433" i="20"/>
  <c r="CA432" i="20"/>
  <c r="CF432" i="20" s="1"/>
  <c r="BZ432" i="20"/>
  <c r="CE432" i="20" s="1"/>
  <c r="BY432" i="20"/>
  <c r="CD432" i="20" s="1"/>
  <c r="BW432" i="20"/>
  <c r="BX432" i="20" s="1"/>
  <c r="BM432" i="20"/>
  <c r="R432" i="20"/>
  <c r="Q432" i="20"/>
  <c r="P432" i="20"/>
  <c r="O432" i="20"/>
  <c r="M432" i="20"/>
  <c r="L432" i="20"/>
  <c r="K432" i="20"/>
  <c r="J432" i="20"/>
  <c r="I432" i="20"/>
  <c r="CA431" i="20"/>
  <c r="CF431" i="20" s="1"/>
  <c r="BZ431" i="20"/>
  <c r="CE431" i="20" s="1"/>
  <c r="BY431" i="20"/>
  <c r="CD431" i="20" s="1"/>
  <c r="BW431" i="20"/>
  <c r="BX431" i="20" s="1"/>
  <c r="BM431" i="20"/>
  <c r="R431" i="20"/>
  <c r="Q431" i="20"/>
  <c r="P431" i="20"/>
  <c r="O431" i="20"/>
  <c r="M431" i="20"/>
  <c r="L431" i="20"/>
  <c r="K431" i="20"/>
  <c r="J431" i="20"/>
  <c r="I431" i="20"/>
  <c r="CA430" i="20"/>
  <c r="CF430" i="20" s="1"/>
  <c r="BZ430" i="20"/>
  <c r="CE430" i="20" s="1"/>
  <c r="BY430" i="20"/>
  <c r="CD430" i="20" s="1"/>
  <c r="BW430" i="20"/>
  <c r="BX430" i="20" s="1"/>
  <c r="BM430" i="20"/>
  <c r="R430" i="20"/>
  <c r="Q430" i="20"/>
  <c r="P430" i="20"/>
  <c r="O430" i="20"/>
  <c r="M430" i="20"/>
  <c r="L430" i="20"/>
  <c r="K430" i="20"/>
  <c r="J430" i="20"/>
  <c r="I430" i="20"/>
  <c r="CA429" i="20"/>
  <c r="CF429" i="20" s="1"/>
  <c r="BZ429" i="20"/>
  <c r="CE429" i="20" s="1"/>
  <c r="BY429" i="20"/>
  <c r="CD429" i="20" s="1"/>
  <c r="BW429" i="20"/>
  <c r="BX429" i="20" s="1"/>
  <c r="BM429" i="20"/>
  <c r="R429" i="20"/>
  <c r="Q429" i="20"/>
  <c r="P429" i="20"/>
  <c r="O429" i="20"/>
  <c r="M429" i="20"/>
  <c r="L429" i="20"/>
  <c r="K429" i="20"/>
  <c r="J429" i="20"/>
  <c r="I429" i="20"/>
  <c r="CA428" i="20"/>
  <c r="CF428" i="20" s="1"/>
  <c r="BZ428" i="20"/>
  <c r="CE428" i="20" s="1"/>
  <c r="BY428" i="20"/>
  <c r="CD428" i="20" s="1"/>
  <c r="BW428" i="20"/>
  <c r="BX428" i="20" s="1"/>
  <c r="BM428" i="20"/>
  <c r="R428" i="20"/>
  <c r="Q428" i="20"/>
  <c r="P428" i="20"/>
  <c r="O428" i="20"/>
  <c r="M428" i="20"/>
  <c r="L428" i="20"/>
  <c r="K428" i="20"/>
  <c r="J428" i="20"/>
  <c r="I428" i="20"/>
  <c r="CA427" i="20"/>
  <c r="CF427" i="20" s="1"/>
  <c r="BZ427" i="20"/>
  <c r="CE427" i="20" s="1"/>
  <c r="BY427" i="20"/>
  <c r="CD427" i="20" s="1"/>
  <c r="BW427" i="20"/>
  <c r="BX427" i="20" s="1"/>
  <c r="BM427" i="20"/>
  <c r="R427" i="20"/>
  <c r="Q427" i="20"/>
  <c r="P427" i="20"/>
  <c r="O427" i="20"/>
  <c r="M427" i="20"/>
  <c r="L427" i="20"/>
  <c r="K427" i="20"/>
  <c r="J427" i="20"/>
  <c r="I427" i="20"/>
  <c r="CA426" i="20"/>
  <c r="CF426" i="20" s="1"/>
  <c r="BZ426" i="20"/>
  <c r="CE426" i="20" s="1"/>
  <c r="BY426" i="20"/>
  <c r="CD426" i="20" s="1"/>
  <c r="BW426" i="20"/>
  <c r="BX426" i="20" s="1"/>
  <c r="BM426" i="20"/>
  <c r="R426" i="20"/>
  <c r="Q426" i="20"/>
  <c r="P426" i="20"/>
  <c r="O426" i="20"/>
  <c r="M426" i="20"/>
  <c r="L426" i="20"/>
  <c r="K426" i="20"/>
  <c r="J426" i="20"/>
  <c r="I426" i="20"/>
  <c r="CA425" i="20"/>
  <c r="CF425" i="20" s="1"/>
  <c r="BZ425" i="20"/>
  <c r="CE425" i="20" s="1"/>
  <c r="BY425" i="20"/>
  <c r="CD425" i="20" s="1"/>
  <c r="BW425" i="20"/>
  <c r="BX425" i="20" s="1"/>
  <c r="BM425" i="20"/>
  <c r="R425" i="20"/>
  <c r="Q425" i="20"/>
  <c r="P425" i="20"/>
  <c r="O425" i="20"/>
  <c r="M425" i="20"/>
  <c r="L425" i="20"/>
  <c r="K425" i="20"/>
  <c r="J425" i="20"/>
  <c r="I425" i="20"/>
  <c r="BM424" i="20"/>
  <c r="AB424" i="20"/>
  <c r="Z424" i="20"/>
  <c r="X424" i="20"/>
  <c r="V424" i="20"/>
  <c r="CA422" i="20"/>
  <c r="CF422" i="20" s="1"/>
  <c r="BZ422" i="20"/>
  <c r="CE422" i="20" s="1"/>
  <c r="BY422" i="20"/>
  <c r="CD422" i="20" s="1"/>
  <c r="BW422" i="20"/>
  <c r="BX422" i="20" s="1"/>
  <c r="BM422" i="20"/>
  <c r="R422" i="20"/>
  <c r="Q422" i="20"/>
  <c r="P422" i="20"/>
  <c r="O422" i="20"/>
  <c r="M422" i="20"/>
  <c r="L422" i="20"/>
  <c r="K422" i="20"/>
  <c r="J422" i="20"/>
  <c r="I422" i="20"/>
  <c r="CA421" i="20"/>
  <c r="CF421" i="20" s="1"/>
  <c r="BZ421" i="20"/>
  <c r="CE421" i="20" s="1"/>
  <c r="BY421" i="20"/>
  <c r="CD421" i="20" s="1"/>
  <c r="BW421" i="20"/>
  <c r="BX421" i="20" s="1"/>
  <c r="BM421" i="20"/>
  <c r="R421" i="20"/>
  <c r="Q421" i="20"/>
  <c r="P421" i="20"/>
  <c r="O421" i="20"/>
  <c r="M421" i="20"/>
  <c r="L421" i="20"/>
  <c r="K421" i="20"/>
  <c r="J421" i="20"/>
  <c r="I421" i="20"/>
  <c r="CA420" i="20"/>
  <c r="CF420" i="20" s="1"/>
  <c r="BZ420" i="20"/>
  <c r="CE420" i="20" s="1"/>
  <c r="BY420" i="20"/>
  <c r="CD420" i="20" s="1"/>
  <c r="BM420" i="20"/>
  <c r="R420" i="20"/>
  <c r="Q420" i="20"/>
  <c r="P420" i="20"/>
  <c r="O420" i="20"/>
  <c r="M420" i="20"/>
  <c r="L420" i="20"/>
  <c r="K420" i="20"/>
  <c r="J420" i="20"/>
  <c r="I420" i="20"/>
  <c r="CA419" i="20"/>
  <c r="CF419" i="20" s="1"/>
  <c r="BZ419" i="20"/>
  <c r="CE419" i="20" s="1"/>
  <c r="BY419" i="20"/>
  <c r="CD419" i="20" s="1"/>
  <c r="BW419" i="20"/>
  <c r="BX419" i="20" s="1"/>
  <c r="BM419" i="20"/>
  <c r="R419" i="20"/>
  <c r="Q419" i="20"/>
  <c r="P419" i="20"/>
  <c r="O419" i="20"/>
  <c r="M419" i="20"/>
  <c r="L419" i="20"/>
  <c r="K419" i="20"/>
  <c r="J419" i="20"/>
  <c r="I419" i="20"/>
  <c r="CA418" i="20"/>
  <c r="CF418" i="20" s="1"/>
  <c r="BZ418" i="20"/>
  <c r="CE418" i="20" s="1"/>
  <c r="BY418" i="20"/>
  <c r="CD418" i="20" s="1"/>
  <c r="BW418" i="20"/>
  <c r="BX418" i="20" s="1"/>
  <c r="BM418" i="20"/>
  <c r="R418" i="20"/>
  <c r="Q418" i="20"/>
  <c r="P418" i="20"/>
  <c r="O418" i="20"/>
  <c r="M418" i="20"/>
  <c r="L418" i="20"/>
  <c r="K418" i="20"/>
  <c r="J418" i="20"/>
  <c r="I418" i="20"/>
  <c r="CA417" i="20"/>
  <c r="CF417" i="20" s="1"/>
  <c r="BZ417" i="20"/>
  <c r="CE417" i="20" s="1"/>
  <c r="BY417" i="20"/>
  <c r="CD417" i="20" s="1"/>
  <c r="BW417" i="20"/>
  <c r="BX417" i="20" s="1"/>
  <c r="BM417" i="20"/>
  <c r="R417" i="20"/>
  <c r="Q417" i="20"/>
  <c r="P417" i="20"/>
  <c r="O417" i="20"/>
  <c r="M417" i="20"/>
  <c r="L417" i="20"/>
  <c r="K417" i="20"/>
  <c r="J417" i="20"/>
  <c r="I417" i="20"/>
  <c r="CA416" i="20"/>
  <c r="CF416" i="20" s="1"/>
  <c r="BZ416" i="20"/>
  <c r="CE416" i="20" s="1"/>
  <c r="BY416" i="20"/>
  <c r="CD416" i="20" s="1"/>
  <c r="BW416" i="20"/>
  <c r="BX416" i="20" s="1"/>
  <c r="BM416" i="20"/>
  <c r="R416" i="20"/>
  <c r="Q416" i="20"/>
  <c r="P416" i="20"/>
  <c r="O416" i="20"/>
  <c r="M416" i="20"/>
  <c r="L416" i="20"/>
  <c r="K416" i="20"/>
  <c r="J416" i="20"/>
  <c r="I416" i="20"/>
  <c r="CA415" i="20"/>
  <c r="CF415" i="20" s="1"/>
  <c r="BZ415" i="20"/>
  <c r="CE415" i="20" s="1"/>
  <c r="BY415" i="20"/>
  <c r="CD415" i="20" s="1"/>
  <c r="BW415" i="20"/>
  <c r="BX415" i="20" s="1"/>
  <c r="BM415" i="20"/>
  <c r="R415" i="20"/>
  <c r="Q415" i="20"/>
  <c r="P415" i="20"/>
  <c r="O415" i="20"/>
  <c r="M415" i="20"/>
  <c r="L415" i="20"/>
  <c r="K415" i="20"/>
  <c r="J415" i="20"/>
  <c r="I415" i="20"/>
  <c r="CA414" i="20"/>
  <c r="CF414" i="20" s="1"/>
  <c r="BZ414" i="20"/>
  <c r="CE414" i="20" s="1"/>
  <c r="BY414" i="20"/>
  <c r="CD414" i="20" s="1"/>
  <c r="BW414" i="20"/>
  <c r="BX414" i="20" s="1"/>
  <c r="BM414" i="20"/>
  <c r="R414" i="20"/>
  <c r="Q414" i="20"/>
  <c r="P414" i="20"/>
  <c r="O414" i="20"/>
  <c r="M414" i="20"/>
  <c r="L414" i="20"/>
  <c r="K414" i="20"/>
  <c r="J414" i="20"/>
  <c r="I414" i="20"/>
  <c r="CA413" i="20"/>
  <c r="CF413" i="20" s="1"/>
  <c r="BZ413" i="20"/>
  <c r="CE413" i="20" s="1"/>
  <c r="BY413" i="20"/>
  <c r="CD413" i="20" s="1"/>
  <c r="BW413" i="20"/>
  <c r="BX413" i="20" s="1"/>
  <c r="BM413" i="20"/>
  <c r="R413" i="20"/>
  <c r="Q413" i="20"/>
  <c r="P413" i="20"/>
  <c r="O413" i="20"/>
  <c r="M413" i="20"/>
  <c r="L413" i="20"/>
  <c r="K413" i="20"/>
  <c r="J413" i="20"/>
  <c r="I413" i="20"/>
  <c r="CA412" i="20"/>
  <c r="CF412" i="20" s="1"/>
  <c r="BZ412" i="20"/>
  <c r="CE412" i="20" s="1"/>
  <c r="BY412" i="20"/>
  <c r="CD412" i="20" s="1"/>
  <c r="BW412" i="20"/>
  <c r="BX412" i="20" s="1"/>
  <c r="BM412" i="20"/>
  <c r="R412" i="20"/>
  <c r="Q412" i="20"/>
  <c r="P412" i="20"/>
  <c r="O412" i="20"/>
  <c r="M412" i="20"/>
  <c r="L412" i="20"/>
  <c r="K412" i="20"/>
  <c r="J412" i="20"/>
  <c r="I412" i="20"/>
  <c r="CA411" i="20"/>
  <c r="CF411" i="20" s="1"/>
  <c r="BZ411" i="20"/>
  <c r="CE411" i="20" s="1"/>
  <c r="BY411" i="20"/>
  <c r="CD411" i="20" s="1"/>
  <c r="BW411" i="20"/>
  <c r="BX411" i="20" s="1"/>
  <c r="BM411" i="20"/>
  <c r="R411" i="20"/>
  <c r="Q411" i="20"/>
  <c r="P411" i="20"/>
  <c r="O411" i="20"/>
  <c r="M411" i="20"/>
  <c r="L411" i="20"/>
  <c r="K411" i="20"/>
  <c r="J411" i="20"/>
  <c r="I411" i="20"/>
  <c r="CA410" i="20"/>
  <c r="CF410" i="20" s="1"/>
  <c r="BZ410" i="20"/>
  <c r="CE410" i="20" s="1"/>
  <c r="BY410" i="20"/>
  <c r="CD410" i="20" s="1"/>
  <c r="BW410" i="20"/>
  <c r="BX410" i="20" s="1"/>
  <c r="BM410" i="20"/>
  <c r="R410" i="20"/>
  <c r="Q410" i="20"/>
  <c r="P410" i="20"/>
  <c r="O410" i="20"/>
  <c r="M410" i="20"/>
  <c r="L410" i="20"/>
  <c r="K410" i="20"/>
  <c r="J410" i="20"/>
  <c r="I410" i="20"/>
  <c r="CA409" i="20"/>
  <c r="CF409" i="20" s="1"/>
  <c r="BZ409" i="20"/>
  <c r="CE409" i="20" s="1"/>
  <c r="BY409" i="20"/>
  <c r="CD409" i="20" s="1"/>
  <c r="BW409" i="20"/>
  <c r="BX409" i="20" s="1"/>
  <c r="BM409" i="20"/>
  <c r="R409" i="20"/>
  <c r="Q409" i="20"/>
  <c r="P409" i="20"/>
  <c r="O409" i="20"/>
  <c r="M409" i="20"/>
  <c r="L409" i="20"/>
  <c r="K409" i="20"/>
  <c r="J409" i="20"/>
  <c r="I409" i="20"/>
  <c r="BM408" i="20"/>
  <c r="AB408" i="20"/>
  <c r="Z408" i="20"/>
  <c r="X408" i="20"/>
  <c r="V408" i="20"/>
  <c r="BM407" i="20"/>
  <c r="CA406" i="20"/>
  <c r="CF406" i="20" s="1"/>
  <c r="BZ406" i="20"/>
  <c r="CE406" i="20" s="1"/>
  <c r="BY406" i="20"/>
  <c r="CD406" i="20" s="1"/>
  <c r="BW406" i="20"/>
  <c r="BX406" i="20" s="1"/>
  <c r="BM406" i="20"/>
  <c r="R406" i="20"/>
  <c r="Q406" i="20"/>
  <c r="P406" i="20"/>
  <c r="O406" i="20"/>
  <c r="N406" i="20"/>
  <c r="M406" i="20"/>
  <c r="L406" i="20"/>
  <c r="K406" i="20"/>
  <c r="J406" i="20"/>
  <c r="I406" i="20"/>
  <c r="CA405" i="20"/>
  <c r="CF405" i="20" s="1"/>
  <c r="BZ405" i="20"/>
  <c r="CE405" i="20" s="1"/>
  <c r="BY405" i="20"/>
  <c r="CD405" i="20" s="1"/>
  <c r="BW405" i="20"/>
  <c r="BX405" i="20" s="1"/>
  <c r="BM405" i="20"/>
  <c r="R405" i="20"/>
  <c r="Q405" i="20"/>
  <c r="P405" i="20"/>
  <c r="O405" i="20"/>
  <c r="N405" i="20"/>
  <c r="M405" i="20"/>
  <c r="L405" i="20"/>
  <c r="K405" i="20"/>
  <c r="J405" i="20"/>
  <c r="I405" i="20"/>
  <c r="CA404" i="20"/>
  <c r="CF404" i="20" s="1"/>
  <c r="BZ404" i="20"/>
  <c r="CE404" i="20" s="1"/>
  <c r="BY404" i="20"/>
  <c r="CD404" i="20" s="1"/>
  <c r="BW404" i="20"/>
  <c r="BX404" i="20" s="1"/>
  <c r="BM404" i="20"/>
  <c r="R404" i="20"/>
  <c r="Q404" i="20"/>
  <c r="P404" i="20"/>
  <c r="O404" i="20"/>
  <c r="N404" i="20"/>
  <c r="M404" i="20"/>
  <c r="L404" i="20"/>
  <c r="K404" i="20"/>
  <c r="J404" i="20"/>
  <c r="I404" i="20"/>
  <c r="CA403" i="20"/>
  <c r="CF403" i="20" s="1"/>
  <c r="BZ403" i="20"/>
  <c r="CE403" i="20" s="1"/>
  <c r="BY403" i="20"/>
  <c r="CD403" i="20" s="1"/>
  <c r="BW403" i="20"/>
  <c r="BX403" i="20" s="1"/>
  <c r="BM403" i="20"/>
  <c r="R403" i="20"/>
  <c r="Q403" i="20"/>
  <c r="P403" i="20"/>
  <c r="O403" i="20"/>
  <c r="N403" i="20"/>
  <c r="M403" i="20"/>
  <c r="L403" i="20"/>
  <c r="K403" i="20"/>
  <c r="J403" i="20"/>
  <c r="I403" i="20"/>
  <c r="CA402" i="20"/>
  <c r="CF402" i="20" s="1"/>
  <c r="BZ402" i="20"/>
  <c r="CE402" i="20" s="1"/>
  <c r="BY402" i="20"/>
  <c r="CD402" i="20" s="1"/>
  <c r="BW402" i="20"/>
  <c r="BX402" i="20" s="1"/>
  <c r="BM402" i="20"/>
  <c r="R402" i="20"/>
  <c r="Q402" i="20"/>
  <c r="P402" i="20"/>
  <c r="O402" i="20"/>
  <c r="M402" i="20"/>
  <c r="L402" i="20"/>
  <c r="K402" i="20"/>
  <c r="J402" i="20"/>
  <c r="I402" i="20"/>
  <c r="CA401" i="20"/>
  <c r="CF401" i="20" s="1"/>
  <c r="BZ401" i="20"/>
  <c r="CE401" i="20" s="1"/>
  <c r="BY401" i="20"/>
  <c r="CD401" i="20" s="1"/>
  <c r="BW401" i="20"/>
  <c r="BX401" i="20" s="1"/>
  <c r="BM401" i="20"/>
  <c r="R401" i="20"/>
  <c r="Q401" i="20"/>
  <c r="P401" i="20"/>
  <c r="O401" i="20"/>
  <c r="N401" i="20"/>
  <c r="M401" i="20"/>
  <c r="L401" i="20"/>
  <c r="K401" i="20"/>
  <c r="J401" i="20"/>
  <c r="I401" i="20"/>
  <c r="CA400" i="20"/>
  <c r="CF400" i="20" s="1"/>
  <c r="BZ400" i="20"/>
  <c r="CE400" i="20" s="1"/>
  <c r="BY400" i="20"/>
  <c r="CD400" i="20" s="1"/>
  <c r="BW400" i="20"/>
  <c r="BX400" i="20" s="1"/>
  <c r="BM400" i="20"/>
  <c r="R400" i="20"/>
  <c r="Q400" i="20"/>
  <c r="P400" i="20"/>
  <c r="O400" i="20"/>
  <c r="M400" i="20"/>
  <c r="L400" i="20"/>
  <c r="K400" i="20"/>
  <c r="J400" i="20"/>
  <c r="I400" i="20"/>
  <c r="CA399" i="20"/>
  <c r="CF399" i="20" s="1"/>
  <c r="BZ399" i="20"/>
  <c r="CE399" i="20" s="1"/>
  <c r="BY399" i="20"/>
  <c r="CD399" i="20" s="1"/>
  <c r="BW399" i="20"/>
  <c r="BX399" i="20" s="1"/>
  <c r="BM399" i="20"/>
  <c r="R399" i="20"/>
  <c r="Q399" i="20"/>
  <c r="P399" i="20"/>
  <c r="O399" i="20"/>
  <c r="M399" i="20"/>
  <c r="L399" i="20"/>
  <c r="K399" i="20"/>
  <c r="J399" i="20"/>
  <c r="I399" i="20"/>
  <c r="CA398" i="20"/>
  <c r="CF398" i="20" s="1"/>
  <c r="BZ398" i="20"/>
  <c r="CE398" i="20" s="1"/>
  <c r="BY398" i="20"/>
  <c r="CD398" i="20" s="1"/>
  <c r="BW398" i="20"/>
  <c r="BX398" i="20" s="1"/>
  <c r="BM398" i="20"/>
  <c r="R398" i="20"/>
  <c r="Q398" i="20"/>
  <c r="P398" i="20"/>
  <c r="O398" i="20"/>
  <c r="M398" i="20"/>
  <c r="L398" i="20"/>
  <c r="K398" i="20"/>
  <c r="J398" i="20"/>
  <c r="I398" i="20"/>
  <c r="CA397" i="20"/>
  <c r="CF397" i="20" s="1"/>
  <c r="BZ397" i="20"/>
  <c r="CE397" i="20" s="1"/>
  <c r="BY397" i="20"/>
  <c r="CD397" i="20" s="1"/>
  <c r="BW397" i="20"/>
  <c r="BX397" i="20" s="1"/>
  <c r="BM397" i="20"/>
  <c r="R397" i="20"/>
  <c r="Q397" i="20"/>
  <c r="P397" i="20"/>
  <c r="O397" i="20"/>
  <c r="N397" i="20"/>
  <c r="M397" i="20"/>
  <c r="L397" i="20"/>
  <c r="K397" i="20"/>
  <c r="J397" i="20"/>
  <c r="I397" i="20"/>
  <c r="CA396" i="20"/>
  <c r="CF396" i="20" s="1"/>
  <c r="BZ396" i="20"/>
  <c r="CE396" i="20" s="1"/>
  <c r="BY396" i="20"/>
  <c r="CD396" i="20" s="1"/>
  <c r="BW396" i="20"/>
  <c r="BX396" i="20" s="1"/>
  <c r="BM396" i="20"/>
  <c r="R396" i="20"/>
  <c r="Q396" i="20"/>
  <c r="P396" i="20"/>
  <c r="O396" i="20"/>
  <c r="M396" i="20"/>
  <c r="L396" i="20"/>
  <c r="K396" i="20"/>
  <c r="J396" i="20"/>
  <c r="I396" i="20"/>
  <c r="BM395" i="20"/>
  <c r="AB395" i="20"/>
  <c r="Z395" i="20"/>
  <c r="X395" i="20"/>
  <c r="V395" i="20"/>
  <c r="BM394" i="20"/>
  <c r="CA393" i="20"/>
  <c r="CF393" i="20" s="1"/>
  <c r="BZ393" i="20"/>
  <c r="CE393" i="20" s="1"/>
  <c r="BY393" i="20"/>
  <c r="CD393" i="20" s="1"/>
  <c r="BW393" i="20"/>
  <c r="BX393" i="20" s="1"/>
  <c r="BM393" i="20"/>
  <c r="R393" i="20"/>
  <c r="Q393" i="20"/>
  <c r="P393" i="20"/>
  <c r="O393" i="20"/>
  <c r="N393" i="20"/>
  <c r="M393" i="20"/>
  <c r="L393" i="20"/>
  <c r="K393" i="20"/>
  <c r="J393" i="20"/>
  <c r="I393" i="20"/>
  <c r="CA392" i="20"/>
  <c r="CF392" i="20" s="1"/>
  <c r="BZ392" i="20"/>
  <c r="CE392" i="20" s="1"/>
  <c r="BY392" i="20"/>
  <c r="CD392" i="20" s="1"/>
  <c r="BW392" i="20"/>
  <c r="BX392" i="20" s="1"/>
  <c r="BM392" i="20"/>
  <c r="R392" i="20"/>
  <c r="Q392" i="20"/>
  <c r="P392" i="20"/>
  <c r="O392" i="20"/>
  <c r="N392" i="20"/>
  <c r="M392" i="20"/>
  <c r="L392" i="20"/>
  <c r="K392" i="20"/>
  <c r="J392" i="20"/>
  <c r="I392" i="20"/>
  <c r="CF391" i="20"/>
  <c r="BZ391" i="20"/>
  <c r="CE391" i="20" s="1"/>
  <c r="BY391" i="20"/>
  <c r="CD391" i="20" s="1"/>
  <c r="BW391" i="20"/>
  <c r="BX391" i="20" s="1"/>
  <c r="BM391" i="20"/>
  <c r="R391" i="20"/>
  <c r="Q391" i="20"/>
  <c r="P391" i="20"/>
  <c r="O391" i="20"/>
  <c r="N391" i="20"/>
  <c r="M391" i="20"/>
  <c r="L391" i="20"/>
  <c r="K391" i="20"/>
  <c r="J391" i="20"/>
  <c r="I391" i="20"/>
  <c r="CA390" i="20"/>
  <c r="CF390" i="20" s="1"/>
  <c r="BZ390" i="20"/>
  <c r="CE390" i="20" s="1"/>
  <c r="BY390" i="20"/>
  <c r="CD390" i="20" s="1"/>
  <c r="BM390" i="20"/>
  <c r="R390" i="20"/>
  <c r="Q390" i="20"/>
  <c r="P390" i="20"/>
  <c r="O390" i="20"/>
  <c r="M390" i="20"/>
  <c r="L390" i="20"/>
  <c r="K390" i="20"/>
  <c r="J390" i="20"/>
  <c r="I390" i="20"/>
  <c r="CA389" i="20"/>
  <c r="CF389" i="20" s="1"/>
  <c r="BZ389" i="20"/>
  <c r="CE389" i="20" s="1"/>
  <c r="BY389" i="20"/>
  <c r="CD389" i="20" s="1"/>
  <c r="BM389" i="20"/>
  <c r="R389" i="20"/>
  <c r="Q389" i="20"/>
  <c r="P389" i="20"/>
  <c r="O389" i="20"/>
  <c r="N389" i="20"/>
  <c r="M389" i="20"/>
  <c r="L389" i="20"/>
  <c r="K389" i="20"/>
  <c r="J389" i="20"/>
  <c r="I389" i="20"/>
  <c r="CA388" i="20"/>
  <c r="CF388" i="20" s="1"/>
  <c r="BZ388" i="20"/>
  <c r="CE388" i="20" s="1"/>
  <c r="BY388" i="20"/>
  <c r="CD388" i="20" s="1"/>
  <c r="BM388" i="20"/>
  <c r="R388" i="20"/>
  <c r="Q388" i="20"/>
  <c r="P388" i="20"/>
  <c r="O388" i="20"/>
  <c r="M388" i="20"/>
  <c r="L388" i="20"/>
  <c r="K388" i="20"/>
  <c r="J388" i="20"/>
  <c r="I388" i="20"/>
  <c r="CA387" i="20"/>
  <c r="CF387" i="20" s="1"/>
  <c r="BZ387" i="20"/>
  <c r="CE387" i="20" s="1"/>
  <c r="BY387" i="20"/>
  <c r="CD387" i="20" s="1"/>
  <c r="BM387" i="20"/>
  <c r="R387" i="20"/>
  <c r="Q387" i="20"/>
  <c r="P387" i="20"/>
  <c r="O387" i="20"/>
  <c r="N387" i="20"/>
  <c r="M387" i="20"/>
  <c r="L387" i="20"/>
  <c r="K387" i="20"/>
  <c r="J387" i="20"/>
  <c r="I387" i="20"/>
  <c r="CA386" i="20"/>
  <c r="CF386" i="20" s="1"/>
  <c r="BZ386" i="20"/>
  <c r="CE386" i="20" s="1"/>
  <c r="BY386" i="20"/>
  <c r="CD386" i="20" s="1"/>
  <c r="BW386" i="20"/>
  <c r="BX386" i="20" s="1"/>
  <c r="BM386" i="20"/>
  <c r="R386" i="20"/>
  <c r="Q386" i="20"/>
  <c r="P386" i="20"/>
  <c r="O386" i="20"/>
  <c r="N386" i="20"/>
  <c r="M386" i="20"/>
  <c r="L386" i="20"/>
  <c r="K386" i="20"/>
  <c r="J386" i="20"/>
  <c r="I386" i="20"/>
  <c r="CA385" i="20"/>
  <c r="CF385" i="20" s="1"/>
  <c r="BZ385" i="20"/>
  <c r="CE385" i="20" s="1"/>
  <c r="BY385" i="20"/>
  <c r="CD385" i="20" s="1"/>
  <c r="BW385" i="20"/>
  <c r="BX385" i="20" s="1"/>
  <c r="BM385" i="20"/>
  <c r="R385" i="20"/>
  <c r="Q385" i="20"/>
  <c r="P385" i="20"/>
  <c r="O385" i="20"/>
  <c r="N385" i="20"/>
  <c r="M385" i="20"/>
  <c r="L385" i="20"/>
  <c r="K385" i="20"/>
  <c r="J385" i="20"/>
  <c r="I385" i="20"/>
  <c r="CA384" i="20"/>
  <c r="CF384" i="20" s="1"/>
  <c r="BZ384" i="20"/>
  <c r="CE384" i="20" s="1"/>
  <c r="BY384" i="20"/>
  <c r="CD384" i="20" s="1"/>
  <c r="BW384" i="20"/>
  <c r="BX384" i="20" s="1"/>
  <c r="BM384" i="20"/>
  <c r="R384" i="20"/>
  <c r="Q384" i="20"/>
  <c r="P384" i="20"/>
  <c r="O384" i="20"/>
  <c r="M384" i="20"/>
  <c r="L384" i="20"/>
  <c r="K384" i="20"/>
  <c r="J384" i="20"/>
  <c r="I384" i="20"/>
  <c r="CA383" i="20"/>
  <c r="CF383" i="20" s="1"/>
  <c r="BZ383" i="20"/>
  <c r="CE383" i="20" s="1"/>
  <c r="BY383" i="20"/>
  <c r="CD383" i="20" s="1"/>
  <c r="BW383" i="20"/>
  <c r="BX383" i="20" s="1"/>
  <c r="BM383" i="20"/>
  <c r="R383" i="20"/>
  <c r="Q383" i="20"/>
  <c r="O383" i="20"/>
  <c r="M383" i="20"/>
  <c r="L383" i="20"/>
  <c r="K383" i="20"/>
  <c r="J383" i="20"/>
  <c r="I383" i="20"/>
  <c r="CA382" i="20"/>
  <c r="CF382" i="20" s="1"/>
  <c r="BZ382" i="20"/>
  <c r="CE382" i="20" s="1"/>
  <c r="BY382" i="20"/>
  <c r="CD382" i="20" s="1"/>
  <c r="BW382" i="20"/>
  <c r="BX382" i="20" s="1"/>
  <c r="BM382" i="20"/>
  <c r="R382" i="20"/>
  <c r="Q382" i="20"/>
  <c r="P382" i="20"/>
  <c r="O382" i="20"/>
  <c r="M382" i="20"/>
  <c r="L382" i="20"/>
  <c r="K382" i="20"/>
  <c r="J382" i="20"/>
  <c r="I382" i="20"/>
  <c r="CA381" i="20"/>
  <c r="CF381" i="20" s="1"/>
  <c r="BZ381" i="20"/>
  <c r="CE381" i="20" s="1"/>
  <c r="BY381" i="20"/>
  <c r="CD381" i="20" s="1"/>
  <c r="BW381" i="20"/>
  <c r="BX381" i="20" s="1"/>
  <c r="BM381" i="20"/>
  <c r="R381" i="20"/>
  <c r="Q381" i="20"/>
  <c r="P381" i="20"/>
  <c r="O381" i="20"/>
  <c r="M381" i="20"/>
  <c r="L381" i="20"/>
  <c r="K381" i="20"/>
  <c r="J381" i="20"/>
  <c r="I381" i="20"/>
  <c r="CA380" i="20"/>
  <c r="CF380" i="20" s="1"/>
  <c r="BZ380" i="20"/>
  <c r="CE380" i="20" s="1"/>
  <c r="BY380" i="20"/>
  <c r="CD380" i="20" s="1"/>
  <c r="BW380" i="20"/>
  <c r="BX380" i="20" s="1"/>
  <c r="BM380" i="20"/>
  <c r="R380" i="20"/>
  <c r="Q380" i="20"/>
  <c r="P380" i="20"/>
  <c r="O380" i="20"/>
  <c r="M380" i="20"/>
  <c r="L380" i="20"/>
  <c r="K380" i="20"/>
  <c r="J380" i="20"/>
  <c r="I380" i="20"/>
  <c r="CA379" i="20"/>
  <c r="CF379" i="20" s="1"/>
  <c r="BZ379" i="20"/>
  <c r="CE379" i="20" s="1"/>
  <c r="BY379" i="20"/>
  <c r="CD379" i="20" s="1"/>
  <c r="BM379" i="20"/>
  <c r="R379" i="20"/>
  <c r="Q379" i="20"/>
  <c r="P379" i="20"/>
  <c r="O379" i="20"/>
  <c r="M379" i="20"/>
  <c r="L379" i="20"/>
  <c r="K379" i="20"/>
  <c r="J379" i="20"/>
  <c r="I379" i="20"/>
  <c r="CA378" i="20"/>
  <c r="CF378" i="20" s="1"/>
  <c r="BZ378" i="20"/>
  <c r="CE378" i="20" s="1"/>
  <c r="BY378" i="20"/>
  <c r="CD378" i="20" s="1"/>
  <c r="BW378" i="20"/>
  <c r="BX378" i="20" s="1"/>
  <c r="BM378" i="20"/>
  <c r="R378" i="20"/>
  <c r="Q378" i="20"/>
  <c r="P378" i="20"/>
  <c r="O378" i="20"/>
  <c r="M378" i="20"/>
  <c r="L378" i="20"/>
  <c r="K378" i="20"/>
  <c r="J378" i="20"/>
  <c r="I378" i="20"/>
  <c r="CA377" i="20"/>
  <c r="CF377" i="20" s="1"/>
  <c r="BZ377" i="20"/>
  <c r="CE377" i="20" s="1"/>
  <c r="BY377" i="20"/>
  <c r="CD377" i="20" s="1"/>
  <c r="BW377" i="20"/>
  <c r="BX377" i="20" s="1"/>
  <c r="BM377" i="20"/>
  <c r="R377" i="20"/>
  <c r="Q377" i="20"/>
  <c r="P377" i="20"/>
  <c r="O377" i="20"/>
  <c r="M377" i="20"/>
  <c r="L377" i="20"/>
  <c r="K377" i="20"/>
  <c r="J377" i="20"/>
  <c r="I377" i="20"/>
  <c r="CA376" i="20"/>
  <c r="CF376" i="20" s="1"/>
  <c r="BZ376" i="20"/>
  <c r="CE376" i="20" s="1"/>
  <c r="BY376" i="20"/>
  <c r="CD376" i="20" s="1"/>
  <c r="BM376" i="20"/>
  <c r="R376" i="20"/>
  <c r="Q376" i="20"/>
  <c r="P376" i="20"/>
  <c r="O376" i="20"/>
  <c r="M376" i="20"/>
  <c r="L376" i="20"/>
  <c r="K376" i="20"/>
  <c r="J376" i="20"/>
  <c r="I376" i="20"/>
  <c r="CA375" i="20"/>
  <c r="CF375" i="20" s="1"/>
  <c r="BZ375" i="20"/>
  <c r="CE375" i="20" s="1"/>
  <c r="BY375" i="20"/>
  <c r="CD375" i="20" s="1"/>
  <c r="BX375" i="20"/>
  <c r="BM375" i="20"/>
  <c r="R375" i="20"/>
  <c r="Q375" i="20"/>
  <c r="P375" i="20"/>
  <c r="O375" i="20"/>
  <c r="M375" i="20"/>
  <c r="L375" i="20"/>
  <c r="K375" i="20"/>
  <c r="J375" i="20"/>
  <c r="I375" i="20"/>
  <c r="CA374" i="20"/>
  <c r="CF374" i="20" s="1"/>
  <c r="BZ374" i="20"/>
  <c r="CE374" i="20" s="1"/>
  <c r="BY374" i="20"/>
  <c r="CD374" i="20" s="1"/>
  <c r="BM374" i="20"/>
  <c r="R374" i="20"/>
  <c r="Q374" i="20"/>
  <c r="P374" i="20"/>
  <c r="O374" i="20"/>
  <c r="M374" i="20"/>
  <c r="L374" i="20"/>
  <c r="K374" i="20"/>
  <c r="J374" i="20"/>
  <c r="I374" i="20"/>
  <c r="CA373" i="20"/>
  <c r="CF373" i="20" s="1"/>
  <c r="BZ373" i="20"/>
  <c r="CE373" i="20" s="1"/>
  <c r="BY373" i="20"/>
  <c r="CD373" i="20" s="1"/>
  <c r="BM373" i="20"/>
  <c r="R373" i="20"/>
  <c r="Q373" i="20"/>
  <c r="P373" i="20"/>
  <c r="O373" i="20"/>
  <c r="M373" i="20"/>
  <c r="L373" i="20"/>
  <c r="K373" i="20"/>
  <c r="J373" i="20"/>
  <c r="I373" i="20"/>
  <c r="CA372" i="20"/>
  <c r="CF372" i="20" s="1"/>
  <c r="BZ372" i="20"/>
  <c r="CE372" i="20" s="1"/>
  <c r="BY372" i="20"/>
  <c r="CD372" i="20" s="1"/>
  <c r="BM372" i="20"/>
  <c r="R372" i="20"/>
  <c r="Q372" i="20"/>
  <c r="P372" i="20"/>
  <c r="O372" i="20"/>
  <c r="M372" i="20"/>
  <c r="L372" i="20"/>
  <c r="K372" i="20"/>
  <c r="J372" i="20"/>
  <c r="I372" i="20"/>
  <c r="CA371" i="20"/>
  <c r="CF371" i="20" s="1"/>
  <c r="BZ371" i="20"/>
  <c r="CE371" i="20" s="1"/>
  <c r="BY371" i="20"/>
  <c r="CD371" i="20" s="1"/>
  <c r="BM371" i="20"/>
  <c r="R371" i="20"/>
  <c r="Q371" i="20"/>
  <c r="P371" i="20"/>
  <c r="O371" i="20"/>
  <c r="M371" i="20"/>
  <c r="L371" i="20"/>
  <c r="K371" i="20"/>
  <c r="J371" i="20"/>
  <c r="I371" i="20"/>
  <c r="CA370" i="20"/>
  <c r="CF370" i="20" s="1"/>
  <c r="BZ370" i="20"/>
  <c r="CE370" i="20" s="1"/>
  <c r="BY370" i="20"/>
  <c r="CD370" i="20" s="1"/>
  <c r="BM370" i="20"/>
  <c r="R370" i="20"/>
  <c r="Q370" i="20"/>
  <c r="P370" i="20"/>
  <c r="O370" i="20"/>
  <c r="M370" i="20"/>
  <c r="L370" i="20"/>
  <c r="K370" i="20"/>
  <c r="J370" i="20"/>
  <c r="I370" i="20"/>
  <c r="CA369" i="20"/>
  <c r="CF369" i="20" s="1"/>
  <c r="BZ369" i="20"/>
  <c r="CE369" i="20" s="1"/>
  <c r="BY369" i="20"/>
  <c r="CD369" i="20" s="1"/>
  <c r="BX369" i="20"/>
  <c r="BM369" i="20"/>
  <c r="R369" i="20"/>
  <c r="Q369" i="20"/>
  <c r="P369" i="20"/>
  <c r="O369" i="20"/>
  <c r="M369" i="20"/>
  <c r="L369" i="20"/>
  <c r="K369" i="20"/>
  <c r="J369" i="20"/>
  <c r="I369" i="20"/>
  <c r="BM368" i="20"/>
  <c r="AB368" i="20"/>
  <c r="Z368" i="20"/>
  <c r="X368" i="20"/>
  <c r="V368" i="20"/>
  <c r="BM367" i="20"/>
  <c r="CA366" i="20"/>
  <c r="CF366" i="20" s="1"/>
  <c r="BZ366" i="20"/>
  <c r="CE366" i="20" s="1"/>
  <c r="BY366" i="20"/>
  <c r="CD366" i="20" s="1"/>
  <c r="BW366" i="20"/>
  <c r="BX366" i="20" s="1"/>
  <c r="BM366" i="20"/>
  <c r="R366" i="20"/>
  <c r="Q366" i="20"/>
  <c r="P366" i="20"/>
  <c r="O366" i="20"/>
  <c r="N366" i="20"/>
  <c r="M366" i="20"/>
  <c r="L366" i="20"/>
  <c r="K366" i="20"/>
  <c r="J366" i="20"/>
  <c r="I366" i="20"/>
  <c r="CF365" i="20"/>
  <c r="BZ365" i="20"/>
  <c r="CE365" i="20" s="1"/>
  <c r="BY365" i="20"/>
  <c r="CD365" i="20" s="1"/>
  <c r="BW365" i="20"/>
  <c r="BX365" i="20" s="1"/>
  <c r="BM365" i="20"/>
  <c r="R365" i="20"/>
  <c r="Q365" i="20"/>
  <c r="P365" i="20"/>
  <c r="O365" i="20"/>
  <c r="M365" i="20"/>
  <c r="L365" i="20"/>
  <c r="K365" i="20"/>
  <c r="J365" i="20"/>
  <c r="I365" i="20"/>
  <c r="CA364" i="20"/>
  <c r="CF364" i="20" s="1"/>
  <c r="BZ364" i="20"/>
  <c r="CE364" i="20" s="1"/>
  <c r="BY364" i="20"/>
  <c r="CD364" i="20" s="1"/>
  <c r="BM364" i="20"/>
  <c r="R364" i="20"/>
  <c r="Q364" i="20"/>
  <c r="P364" i="20"/>
  <c r="O364" i="20"/>
  <c r="M364" i="20"/>
  <c r="L364" i="20"/>
  <c r="K364" i="20"/>
  <c r="J364" i="20"/>
  <c r="I364" i="20"/>
  <c r="CA363" i="20"/>
  <c r="CF363" i="20" s="1"/>
  <c r="BZ363" i="20"/>
  <c r="CE363" i="20" s="1"/>
  <c r="BY363" i="20"/>
  <c r="CD363" i="20" s="1"/>
  <c r="BW363" i="20"/>
  <c r="BX363" i="20" s="1"/>
  <c r="BM363" i="20"/>
  <c r="R363" i="20"/>
  <c r="Q363" i="20"/>
  <c r="P363" i="20"/>
  <c r="O363" i="20"/>
  <c r="M363" i="20"/>
  <c r="L363" i="20"/>
  <c r="K363" i="20"/>
  <c r="J363" i="20"/>
  <c r="I363" i="20"/>
  <c r="CF362" i="20"/>
  <c r="BZ362" i="20"/>
  <c r="CE362" i="20" s="1"/>
  <c r="BY362" i="20"/>
  <c r="CD362" i="20" s="1"/>
  <c r="BW362" i="20"/>
  <c r="BX362" i="20" s="1"/>
  <c r="BM362" i="20"/>
  <c r="R362" i="20"/>
  <c r="Q362" i="20"/>
  <c r="P362" i="20"/>
  <c r="O362" i="20"/>
  <c r="M362" i="20"/>
  <c r="L362" i="20"/>
  <c r="K362" i="20"/>
  <c r="J362" i="20"/>
  <c r="I362" i="20"/>
  <c r="CA361" i="20"/>
  <c r="CF361" i="20" s="1"/>
  <c r="BZ361" i="20"/>
  <c r="CE361" i="20" s="1"/>
  <c r="BY361" i="20"/>
  <c r="CD361" i="20" s="1"/>
  <c r="BW361" i="20"/>
  <c r="BX361" i="20" s="1"/>
  <c r="BM361" i="20"/>
  <c r="R361" i="20"/>
  <c r="Q361" i="20"/>
  <c r="P361" i="20"/>
  <c r="O361" i="20"/>
  <c r="M361" i="20"/>
  <c r="L361" i="20"/>
  <c r="K361" i="20"/>
  <c r="J361" i="20"/>
  <c r="I361" i="20"/>
  <c r="CF360" i="20"/>
  <c r="BZ360" i="20"/>
  <c r="CE360" i="20" s="1"/>
  <c r="BY360" i="20"/>
  <c r="CD360" i="20" s="1"/>
  <c r="BW360" i="20"/>
  <c r="BX360" i="20" s="1"/>
  <c r="BM360" i="20"/>
  <c r="R360" i="20"/>
  <c r="Q360" i="20"/>
  <c r="P360" i="20"/>
  <c r="O360" i="20"/>
  <c r="M360" i="20"/>
  <c r="L360" i="20"/>
  <c r="K360" i="20"/>
  <c r="J360" i="20"/>
  <c r="I360" i="20"/>
  <c r="CA359" i="20"/>
  <c r="CF359" i="20" s="1"/>
  <c r="BZ359" i="20"/>
  <c r="CE359" i="20" s="1"/>
  <c r="BY359" i="20"/>
  <c r="CD359" i="20" s="1"/>
  <c r="BM359" i="20"/>
  <c r="R359" i="20"/>
  <c r="Q359" i="20"/>
  <c r="P359" i="20"/>
  <c r="O359" i="20"/>
  <c r="M359" i="20"/>
  <c r="L359" i="20"/>
  <c r="K359" i="20"/>
  <c r="J359" i="20"/>
  <c r="I359" i="20"/>
  <c r="CA358" i="20"/>
  <c r="CF358" i="20" s="1"/>
  <c r="BZ358" i="20"/>
  <c r="CE358" i="20" s="1"/>
  <c r="BY358" i="20"/>
  <c r="CD358" i="20" s="1"/>
  <c r="BM358" i="20"/>
  <c r="R358" i="20"/>
  <c r="Q358" i="20"/>
  <c r="P358" i="20"/>
  <c r="O358" i="20"/>
  <c r="M358" i="20"/>
  <c r="L358" i="20"/>
  <c r="K358" i="20"/>
  <c r="J358" i="20"/>
  <c r="I358" i="20"/>
  <c r="BM357" i="20"/>
  <c r="AB357" i="20"/>
  <c r="Z357" i="20"/>
  <c r="X357" i="20"/>
  <c r="V357" i="20"/>
  <c r="BM356" i="20"/>
  <c r="BM355" i="20"/>
  <c r="CA354" i="20"/>
  <c r="CF354" i="20" s="1"/>
  <c r="BZ354" i="20"/>
  <c r="CE354" i="20" s="1"/>
  <c r="BY354" i="20"/>
  <c r="CD354" i="20" s="1"/>
  <c r="BW354" i="20"/>
  <c r="BX354" i="20" s="1"/>
  <c r="BM354" i="20"/>
  <c r="R354" i="20"/>
  <c r="Q354" i="20"/>
  <c r="P354" i="20"/>
  <c r="O354" i="20"/>
  <c r="M354" i="20"/>
  <c r="L354" i="20"/>
  <c r="K354" i="20"/>
  <c r="J354" i="20"/>
  <c r="I354" i="20"/>
  <c r="BM353" i="20"/>
  <c r="CA352" i="20"/>
  <c r="CF352" i="20" s="1"/>
  <c r="BZ352" i="20"/>
  <c r="CE352" i="20" s="1"/>
  <c r="BY352" i="20"/>
  <c r="CD352" i="20" s="1"/>
  <c r="BW352" i="20"/>
  <c r="BX352" i="20" s="1"/>
  <c r="BM352" i="20"/>
  <c r="R352" i="20"/>
  <c r="Q352" i="20"/>
  <c r="P352" i="20"/>
  <c r="O352" i="20"/>
  <c r="M352" i="20"/>
  <c r="L352" i="20"/>
  <c r="K352" i="20"/>
  <c r="J352" i="20"/>
  <c r="I352" i="20"/>
  <c r="BY351" i="20"/>
  <c r="CD351" i="20" s="1"/>
  <c r="BM351" i="20"/>
  <c r="AE351" i="20"/>
  <c r="CA351" i="20" s="1"/>
  <c r="CF351" i="20" s="1"/>
  <c r="AD351" i="20"/>
  <c r="R351" i="20"/>
  <c r="Q351" i="20"/>
  <c r="P351" i="20"/>
  <c r="O351" i="20"/>
  <c r="M351" i="20"/>
  <c r="L351" i="20"/>
  <c r="K351" i="20"/>
  <c r="J351" i="20"/>
  <c r="I351" i="20"/>
  <c r="BM350" i="20"/>
  <c r="AB350" i="20"/>
  <c r="Z350" i="20"/>
  <c r="X350" i="20"/>
  <c r="V350" i="20"/>
  <c r="BM349" i="20"/>
  <c r="CA348" i="20"/>
  <c r="CF348" i="20" s="1"/>
  <c r="BZ348" i="20"/>
  <c r="CE348" i="20" s="1"/>
  <c r="BY348" i="20"/>
  <c r="CD348" i="20" s="1"/>
  <c r="BM348" i="20"/>
  <c r="R348" i="20"/>
  <c r="Q348" i="20"/>
  <c r="P348" i="20"/>
  <c r="O348" i="20"/>
  <c r="M348" i="20"/>
  <c r="L348" i="20"/>
  <c r="K348" i="20"/>
  <c r="J348" i="20"/>
  <c r="I348" i="20"/>
  <c r="CA347" i="20"/>
  <c r="CF347" i="20" s="1"/>
  <c r="BZ347" i="20"/>
  <c r="CE347" i="20" s="1"/>
  <c r="BY347" i="20"/>
  <c r="CD347" i="20" s="1"/>
  <c r="BW347" i="20"/>
  <c r="BX347" i="20" s="1"/>
  <c r="BM347" i="20"/>
  <c r="R347" i="20"/>
  <c r="Q347" i="20"/>
  <c r="P347" i="20"/>
  <c r="O347" i="20"/>
  <c r="M347" i="20"/>
  <c r="L347" i="20"/>
  <c r="K347" i="20"/>
  <c r="J347" i="20"/>
  <c r="I347" i="20"/>
  <c r="CA346" i="20"/>
  <c r="CF346" i="20" s="1"/>
  <c r="BZ346" i="20"/>
  <c r="CE346" i="20" s="1"/>
  <c r="BY346" i="20"/>
  <c r="CD346" i="20" s="1"/>
  <c r="BM346" i="20"/>
  <c r="R346" i="20"/>
  <c r="Q346" i="20"/>
  <c r="P346" i="20"/>
  <c r="O346" i="20"/>
  <c r="M346" i="20"/>
  <c r="L346" i="20"/>
  <c r="K346" i="20"/>
  <c r="J346" i="20"/>
  <c r="I346" i="20"/>
  <c r="BZ345" i="20"/>
  <c r="CE345" i="20" s="1"/>
  <c r="BY345" i="20"/>
  <c r="CD345" i="20" s="1"/>
  <c r="BM345" i="20"/>
  <c r="R345" i="20"/>
  <c r="Q345" i="20"/>
  <c r="P345" i="20"/>
  <c r="O345" i="20"/>
  <c r="M345" i="20"/>
  <c r="L345" i="20"/>
  <c r="K345" i="20"/>
  <c r="J345" i="20"/>
  <c r="I345" i="20"/>
  <c r="CA344" i="20"/>
  <c r="CF344" i="20" s="1"/>
  <c r="BZ344" i="20"/>
  <c r="CE344" i="20" s="1"/>
  <c r="BY344" i="20"/>
  <c r="CD344" i="20" s="1"/>
  <c r="BM344" i="20"/>
  <c r="R344" i="20"/>
  <c r="Q344" i="20"/>
  <c r="P344" i="20"/>
  <c r="O344" i="20"/>
  <c r="M344" i="20"/>
  <c r="L344" i="20"/>
  <c r="K344" i="20"/>
  <c r="J344" i="20"/>
  <c r="I344" i="20"/>
  <c r="CA343" i="20"/>
  <c r="CF343" i="20" s="1"/>
  <c r="BZ343" i="20"/>
  <c r="CE343" i="20" s="1"/>
  <c r="BY343" i="20"/>
  <c r="CD343" i="20" s="1"/>
  <c r="BM343" i="20"/>
  <c r="R343" i="20"/>
  <c r="Q343" i="20"/>
  <c r="P343" i="20"/>
  <c r="O343" i="20"/>
  <c r="M343" i="20"/>
  <c r="L343" i="20"/>
  <c r="K343" i="20"/>
  <c r="J343" i="20"/>
  <c r="I343" i="20"/>
  <c r="CA342" i="20"/>
  <c r="CF342" i="20" s="1"/>
  <c r="BZ342" i="20"/>
  <c r="CE342" i="20" s="1"/>
  <c r="BY342" i="20"/>
  <c r="CD342" i="20" s="1"/>
  <c r="BM342" i="20"/>
  <c r="R342" i="20"/>
  <c r="Q342" i="20"/>
  <c r="P342" i="20"/>
  <c r="O342" i="20"/>
  <c r="M342" i="20"/>
  <c r="L342" i="20"/>
  <c r="K342" i="20"/>
  <c r="J342" i="20"/>
  <c r="I342" i="20"/>
  <c r="CA341" i="20"/>
  <c r="CF341" i="20" s="1"/>
  <c r="BZ341" i="20"/>
  <c r="CE341" i="20" s="1"/>
  <c r="BY341" i="20"/>
  <c r="CD341" i="20" s="1"/>
  <c r="BW341" i="20"/>
  <c r="BX341" i="20" s="1"/>
  <c r="BM341" i="20"/>
  <c r="R341" i="20"/>
  <c r="Q341" i="20"/>
  <c r="P341" i="20"/>
  <c r="O341" i="20"/>
  <c r="M341" i="20"/>
  <c r="L341" i="20"/>
  <c r="K341" i="20"/>
  <c r="J341" i="20"/>
  <c r="I341" i="20"/>
  <c r="CA340" i="20"/>
  <c r="CF340" i="20" s="1"/>
  <c r="BZ340" i="20"/>
  <c r="CE340" i="20" s="1"/>
  <c r="BY340" i="20"/>
  <c r="CD340" i="20" s="1"/>
  <c r="BW340" i="20"/>
  <c r="BX340" i="20" s="1"/>
  <c r="BM340" i="20"/>
  <c r="R340" i="20"/>
  <c r="Q340" i="20"/>
  <c r="P340" i="20"/>
  <c r="O340" i="20"/>
  <c r="M340" i="20"/>
  <c r="L340" i="20"/>
  <c r="K340" i="20"/>
  <c r="J340" i="20"/>
  <c r="I340" i="20"/>
  <c r="CA339" i="20"/>
  <c r="CF339" i="20" s="1"/>
  <c r="BZ339" i="20"/>
  <c r="CE339" i="20" s="1"/>
  <c r="BY339" i="20"/>
  <c r="CD339" i="20" s="1"/>
  <c r="BW339" i="20"/>
  <c r="BX339" i="20" s="1"/>
  <c r="R339" i="20"/>
  <c r="Q339" i="20"/>
  <c r="P339" i="20"/>
  <c r="O339" i="20"/>
  <c r="M339" i="20"/>
  <c r="L339" i="20"/>
  <c r="K339" i="20"/>
  <c r="J339" i="20"/>
  <c r="I339" i="20"/>
  <c r="CA338" i="20"/>
  <c r="CF338" i="20" s="1"/>
  <c r="BZ338" i="20"/>
  <c r="CE338" i="20" s="1"/>
  <c r="BY338" i="20"/>
  <c r="CD338" i="20" s="1"/>
  <c r="BW338" i="20"/>
  <c r="BX338" i="20" s="1"/>
  <c r="BM338" i="20"/>
  <c r="R338" i="20"/>
  <c r="Q338" i="20"/>
  <c r="P338" i="20"/>
  <c r="O338" i="20"/>
  <c r="M338" i="20"/>
  <c r="L338" i="20"/>
  <c r="K338" i="20"/>
  <c r="J338" i="20"/>
  <c r="I338" i="20"/>
  <c r="CA337" i="20"/>
  <c r="CF337" i="20" s="1"/>
  <c r="BZ337" i="20"/>
  <c r="CE337" i="20" s="1"/>
  <c r="BY337" i="20"/>
  <c r="CD337" i="20" s="1"/>
  <c r="BW337" i="20"/>
  <c r="BX337" i="20" s="1"/>
  <c r="BM337" i="20"/>
  <c r="R337" i="20"/>
  <c r="Q337" i="20"/>
  <c r="P337" i="20"/>
  <c r="O337" i="20"/>
  <c r="M337" i="20"/>
  <c r="L337" i="20"/>
  <c r="K337" i="20"/>
  <c r="J337" i="20"/>
  <c r="I337" i="20"/>
  <c r="CA336" i="20"/>
  <c r="CF336" i="20" s="1"/>
  <c r="BZ336" i="20"/>
  <c r="CE336" i="20" s="1"/>
  <c r="BY336" i="20"/>
  <c r="CD336" i="20" s="1"/>
  <c r="BW336" i="20"/>
  <c r="BX336" i="20" s="1"/>
  <c r="BM336" i="20"/>
  <c r="R336" i="20"/>
  <c r="Q336" i="20"/>
  <c r="P336" i="20"/>
  <c r="O336" i="20"/>
  <c r="M336" i="20"/>
  <c r="L336" i="20"/>
  <c r="K336" i="20"/>
  <c r="J336" i="20"/>
  <c r="I336" i="20"/>
  <c r="CA335" i="20"/>
  <c r="CF335" i="20" s="1"/>
  <c r="BZ335" i="20"/>
  <c r="CE335" i="20" s="1"/>
  <c r="BY335" i="20"/>
  <c r="CD335" i="20" s="1"/>
  <c r="BW335" i="20"/>
  <c r="BX335" i="20" s="1"/>
  <c r="BM335" i="20"/>
  <c r="R335" i="20"/>
  <c r="Q335" i="20"/>
  <c r="P335" i="20"/>
  <c r="O335" i="20"/>
  <c r="M335" i="20"/>
  <c r="L335" i="20"/>
  <c r="K335" i="20"/>
  <c r="J335" i="20"/>
  <c r="I335" i="20"/>
  <c r="CA334" i="20"/>
  <c r="CF334" i="20" s="1"/>
  <c r="BZ334" i="20"/>
  <c r="CE334" i="20" s="1"/>
  <c r="BY334" i="20"/>
  <c r="CD334" i="20" s="1"/>
  <c r="BW334" i="20"/>
  <c r="BX334" i="20" s="1"/>
  <c r="BM334" i="20"/>
  <c r="R334" i="20"/>
  <c r="Q334" i="20"/>
  <c r="P334" i="20"/>
  <c r="O334" i="20"/>
  <c r="M334" i="20"/>
  <c r="L334" i="20"/>
  <c r="K334" i="20"/>
  <c r="J334" i="20"/>
  <c r="I334" i="20"/>
  <c r="CA333" i="20"/>
  <c r="CF333" i="20" s="1"/>
  <c r="BZ333" i="20"/>
  <c r="CE333" i="20" s="1"/>
  <c r="BY333" i="20"/>
  <c r="CD333" i="20" s="1"/>
  <c r="BW333" i="20"/>
  <c r="BX333" i="20" s="1"/>
  <c r="BM333" i="20"/>
  <c r="R333" i="20"/>
  <c r="Q333" i="20"/>
  <c r="P333" i="20"/>
  <c r="O333" i="20"/>
  <c r="M333" i="20"/>
  <c r="L333" i="20"/>
  <c r="K333" i="20"/>
  <c r="J333" i="20"/>
  <c r="I333" i="20"/>
  <c r="CA332" i="20"/>
  <c r="CF332" i="20" s="1"/>
  <c r="BZ332" i="20"/>
  <c r="CE332" i="20" s="1"/>
  <c r="BY332" i="20"/>
  <c r="CD332" i="20" s="1"/>
  <c r="BW332" i="20"/>
  <c r="BX332" i="20" s="1"/>
  <c r="BM332" i="20"/>
  <c r="R332" i="20"/>
  <c r="Q332" i="20"/>
  <c r="P332" i="20"/>
  <c r="O332" i="20"/>
  <c r="M332" i="20"/>
  <c r="L332" i="20"/>
  <c r="K332" i="20"/>
  <c r="J332" i="20"/>
  <c r="I332" i="20"/>
  <c r="CA331" i="20"/>
  <c r="CF331" i="20" s="1"/>
  <c r="BZ331" i="20"/>
  <c r="CE331" i="20" s="1"/>
  <c r="BY331" i="20"/>
  <c r="CD331" i="20" s="1"/>
  <c r="BW331" i="20"/>
  <c r="BX331" i="20" s="1"/>
  <c r="BM331" i="20"/>
  <c r="R331" i="20"/>
  <c r="Q331" i="20"/>
  <c r="P331" i="20"/>
  <c r="O331" i="20"/>
  <c r="M331" i="20"/>
  <c r="L331" i="20"/>
  <c r="K331" i="20"/>
  <c r="J331" i="20"/>
  <c r="I331" i="20"/>
  <c r="CA330" i="20"/>
  <c r="CF330" i="20" s="1"/>
  <c r="BZ330" i="20"/>
  <c r="CE330" i="20" s="1"/>
  <c r="BY330" i="20"/>
  <c r="CD330" i="20" s="1"/>
  <c r="BW330" i="20"/>
  <c r="BX330" i="20" s="1"/>
  <c r="BM330" i="20"/>
  <c r="R330" i="20"/>
  <c r="Q330" i="20"/>
  <c r="P330" i="20"/>
  <c r="O330" i="20"/>
  <c r="M330" i="20"/>
  <c r="L330" i="20"/>
  <c r="K330" i="20"/>
  <c r="J330" i="20"/>
  <c r="I330" i="20"/>
  <c r="CA329" i="20"/>
  <c r="CF329" i="20" s="1"/>
  <c r="BZ329" i="20"/>
  <c r="CE329" i="20" s="1"/>
  <c r="BY329" i="20"/>
  <c r="CD329" i="20" s="1"/>
  <c r="BW329" i="20"/>
  <c r="BX329" i="20" s="1"/>
  <c r="BM329" i="20"/>
  <c r="R329" i="20"/>
  <c r="Q329" i="20"/>
  <c r="P329" i="20"/>
  <c r="O329" i="20"/>
  <c r="M329" i="20"/>
  <c r="L329" i="20"/>
  <c r="K329" i="20"/>
  <c r="J329" i="20"/>
  <c r="I329" i="20"/>
  <c r="CA328" i="20"/>
  <c r="CF328" i="20" s="1"/>
  <c r="BZ328" i="20"/>
  <c r="CE328" i="20" s="1"/>
  <c r="BY328" i="20"/>
  <c r="CD328" i="20" s="1"/>
  <c r="BW328" i="20"/>
  <c r="BX328" i="20" s="1"/>
  <c r="BM328" i="20"/>
  <c r="R328" i="20"/>
  <c r="Q328" i="20"/>
  <c r="P328" i="20"/>
  <c r="O328" i="20"/>
  <c r="M328" i="20"/>
  <c r="L328" i="20"/>
  <c r="K328" i="20"/>
  <c r="J328" i="20"/>
  <c r="I328" i="20"/>
  <c r="BM327" i="20"/>
  <c r="AB327" i="20"/>
  <c r="Z327" i="20"/>
  <c r="X327" i="20"/>
  <c r="V327" i="20"/>
  <c r="BM326" i="20"/>
  <c r="CA325" i="20"/>
  <c r="CF325" i="20" s="1"/>
  <c r="BZ325" i="20"/>
  <c r="CE325" i="20" s="1"/>
  <c r="BY325" i="20"/>
  <c r="CD325" i="20" s="1"/>
  <c r="BW325" i="20"/>
  <c r="BX325" i="20" s="1"/>
  <c r="BM325" i="20"/>
  <c r="R325" i="20"/>
  <c r="Q325" i="20"/>
  <c r="P325" i="20"/>
  <c r="O325" i="20"/>
  <c r="M325" i="20"/>
  <c r="L325" i="20"/>
  <c r="K325" i="20"/>
  <c r="J325" i="20"/>
  <c r="I325" i="20"/>
  <c r="CA324" i="20"/>
  <c r="CF324" i="20" s="1"/>
  <c r="BZ324" i="20"/>
  <c r="CE324" i="20" s="1"/>
  <c r="BY324" i="20"/>
  <c r="CD324" i="20" s="1"/>
  <c r="BW324" i="20"/>
  <c r="BX324" i="20" s="1"/>
  <c r="BM324" i="20"/>
  <c r="R324" i="20"/>
  <c r="Q324" i="20"/>
  <c r="P324" i="20"/>
  <c r="O324" i="20"/>
  <c r="M324" i="20"/>
  <c r="L324" i="20"/>
  <c r="K324" i="20"/>
  <c r="J324" i="20"/>
  <c r="I324" i="20"/>
  <c r="CA323" i="20"/>
  <c r="CF323" i="20" s="1"/>
  <c r="BZ323" i="20"/>
  <c r="CE323" i="20" s="1"/>
  <c r="BY323" i="20"/>
  <c r="CD323" i="20" s="1"/>
  <c r="BW323" i="20"/>
  <c r="BX323" i="20" s="1"/>
  <c r="BM323" i="20"/>
  <c r="R323" i="20"/>
  <c r="Q323" i="20"/>
  <c r="P323" i="20"/>
  <c r="O323" i="20"/>
  <c r="M323" i="20"/>
  <c r="L323" i="20"/>
  <c r="K323" i="20"/>
  <c r="J323" i="20"/>
  <c r="I323" i="20"/>
  <c r="CF322" i="20"/>
  <c r="BZ322" i="20"/>
  <c r="CE322" i="20" s="1"/>
  <c r="BY322" i="20"/>
  <c r="CD322" i="20" s="1"/>
  <c r="BW322" i="20"/>
  <c r="BX322" i="20" s="1"/>
  <c r="BM322" i="20"/>
  <c r="R322" i="20"/>
  <c r="Q322" i="20"/>
  <c r="P322" i="20"/>
  <c r="O322" i="20"/>
  <c r="N322" i="20"/>
  <c r="M322" i="20"/>
  <c r="L322" i="20"/>
  <c r="K322" i="20"/>
  <c r="J322" i="20"/>
  <c r="I322" i="20"/>
  <c r="CA321" i="20"/>
  <c r="CF321" i="20" s="1"/>
  <c r="BZ321" i="20"/>
  <c r="CE321" i="20" s="1"/>
  <c r="BY321" i="20"/>
  <c r="CD321" i="20" s="1"/>
  <c r="BW321" i="20"/>
  <c r="BX321" i="20" s="1"/>
  <c r="BM321" i="20"/>
  <c r="R321" i="20"/>
  <c r="Q321" i="20"/>
  <c r="P321" i="20"/>
  <c r="O321" i="20"/>
  <c r="M321" i="20"/>
  <c r="L321" i="20"/>
  <c r="K321" i="20"/>
  <c r="J321" i="20"/>
  <c r="I321" i="20"/>
  <c r="CA320" i="20"/>
  <c r="CF320" i="20" s="1"/>
  <c r="BZ320" i="20"/>
  <c r="CE320" i="20" s="1"/>
  <c r="BY320" i="20"/>
  <c r="CD320" i="20" s="1"/>
  <c r="BW320" i="20"/>
  <c r="BX320" i="20" s="1"/>
  <c r="BM320" i="20"/>
  <c r="R320" i="20"/>
  <c r="Q320" i="20"/>
  <c r="P320" i="20"/>
  <c r="O320" i="20"/>
  <c r="M320" i="20"/>
  <c r="L320" i="20"/>
  <c r="K320" i="20"/>
  <c r="J320" i="20"/>
  <c r="I320" i="20"/>
  <c r="CA319" i="20"/>
  <c r="CF319" i="20" s="1"/>
  <c r="BZ319" i="20"/>
  <c r="CE319" i="20" s="1"/>
  <c r="BY319" i="20"/>
  <c r="CD319" i="20" s="1"/>
  <c r="BW319" i="20"/>
  <c r="BX319" i="20" s="1"/>
  <c r="BM319" i="20"/>
  <c r="R319" i="20"/>
  <c r="Q319" i="20"/>
  <c r="P319" i="20"/>
  <c r="O319" i="20"/>
  <c r="M319" i="20"/>
  <c r="L319" i="20"/>
  <c r="K319" i="20"/>
  <c r="J319" i="20"/>
  <c r="I319" i="20"/>
  <c r="CA318" i="20"/>
  <c r="CF318" i="20" s="1"/>
  <c r="BZ318" i="20"/>
  <c r="CE318" i="20" s="1"/>
  <c r="BY318" i="20"/>
  <c r="CD318" i="20" s="1"/>
  <c r="BW318" i="20"/>
  <c r="BX318" i="20" s="1"/>
  <c r="BM318" i="20"/>
  <c r="R318" i="20"/>
  <c r="Q318" i="20"/>
  <c r="P318" i="20"/>
  <c r="O318" i="20"/>
  <c r="M318" i="20"/>
  <c r="L318" i="20"/>
  <c r="K318" i="20"/>
  <c r="J318" i="20"/>
  <c r="I318" i="20"/>
  <c r="CA317" i="20"/>
  <c r="CF317" i="20" s="1"/>
  <c r="BZ317" i="20"/>
  <c r="CE317" i="20" s="1"/>
  <c r="BY317" i="20"/>
  <c r="CD317" i="20" s="1"/>
  <c r="BW317" i="20"/>
  <c r="BX317" i="20" s="1"/>
  <c r="BM317" i="20"/>
  <c r="R317" i="20"/>
  <c r="Q317" i="20"/>
  <c r="P317" i="20"/>
  <c r="O317" i="20"/>
  <c r="M317" i="20"/>
  <c r="L317" i="20"/>
  <c r="K317" i="20"/>
  <c r="J317" i="20"/>
  <c r="I317" i="20"/>
  <c r="CA316" i="20"/>
  <c r="CF316" i="20" s="1"/>
  <c r="BZ316" i="20"/>
  <c r="CE316" i="20" s="1"/>
  <c r="BY316" i="20"/>
  <c r="CD316" i="20" s="1"/>
  <c r="BW316" i="20"/>
  <c r="BX316" i="20" s="1"/>
  <c r="BM316" i="20"/>
  <c r="R316" i="20"/>
  <c r="Q316" i="20"/>
  <c r="P316" i="20"/>
  <c r="O316" i="20"/>
  <c r="M316" i="20"/>
  <c r="L316" i="20"/>
  <c r="K316" i="20"/>
  <c r="J316" i="20"/>
  <c r="I316" i="20"/>
  <c r="CA315" i="20"/>
  <c r="CF315" i="20" s="1"/>
  <c r="BZ315" i="20"/>
  <c r="CE315" i="20" s="1"/>
  <c r="BY315" i="20"/>
  <c r="CD315" i="20" s="1"/>
  <c r="BW315" i="20"/>
  <c r="BX315" i="20" s="1"/>
  <c r="BM315" i="20"/>
  <c r="R315" i="20"/>
  <c r="Q315" i="20"/>
  <c r="P315" i="20"/>
  <c r="O315" i="20"/>
  <c r="M315" i="20"/>
  <c r="L315" i="20"/>
  <c r="K315" i="20"/>
  <c r="J315" i="20"/>
  <c r="I315" i="20"/>
  <c r="CA314" i="20"/>
  <c r="CF314" i="20" s="1"/>
  <c r="BZ314" i="20"/>
  <c r="CE314" i="20" s="1"/>
  <c r="BY314" i="20"/>
  <c r="CD314" i="20" s="1"/>
  <c r="BW314" i="20"/>
  <c r="BX314" i="20" s="1"/>
  <c r="BM314" i="20"/>
  <c r="R314" i="20"/>
  <c r="Q314" i="20"/>
  <c r="P314" i="20"/>
  <c r="O314" i="20"/>
  <c r="M314" i="20"/>
  <c r="L314" i="20"/>
  <c r="K314" i="20"/>
  <c r="J314" i="20"/>
  <c r="I314" i="20"/>
  <c r="CA313" i="20"/>
  <c r="CF313" i="20" s="1"/>
  <c r="BZ313" i="20"/>
  <c r="CE313" i="20" s="1"/>
  <c r="BY313" i="20"/>
  <c r="CD313" i="20" s="1"/>
  <c r="BW313" i="20"/>
  <c r="BX313" i="20" s="1"/>
  <c r="BM313" i="20"/>
  <c r="R313" i="20"/>
  <c r="Q313" i="20"/>
  <c r="P313" i="20"/>
  <c r="O313" i="20"/>
  <c r="M313" i="20"/>
  <c r="L313" i="20"/>
  <c r="K313" i="20"/>
  <c r="J313" i="20"/>
  <c r="I313" i="20"/>
  <c r="CA312" i="20"/>
  <c r="CF312" i="20" s="1"/>
  <c r="BZ312" i="20"/>
  <c r="CE312" i="20" s="1"/>
  <c r="BY312" i="20"/>
  <c r="CD312" i="20" s="1"/>
  <c r="BW312" i="20"/>
  <c r="BX312" i="20" s="1"/>
  <c r="BM312" i="20"/>
  <c r="R312" i="20"/>
  <c r="Q312" i="20"/>
  <c r="P312" i="20"/>
  <c r="O312" i="20"/>
  <c r="M312" i="20"/>
  <c r="L312" i="20"/>
  <c r="K312" i="20"/>
  <c r="J312" i="20"/>
  <c r="I312" i="20"/>
  <c r="CA311" i="20"/>
  <c r="CF311" i="20" s="1"/>
  <c r="BZ311" i="20"/>
  <c r="CE311" i="20" s="1"/>
  <c r="BY311" i="20"/>
  <c r="CD311" i="20" s="1"/>
  <c r="BW311" i="20"/>
  <c r="BX311" i="20" s="1"/>
  <c r="BM311" i="20"/>
  <c r="R311" i="20"/>
  <c r="Q311" i="20"/>
  <c r="P311" i="20"/>
  <c r="O311" i="20"/>
  <c r="M311" i="20"/>
  <c r="L311" i="20"/>
  <c r="K311" i="20"/>
  <c r="J311" i="20"/>
  <c r="I311" i="20"/>
  <c r="CA310" i="20"/>
  <c r="CF310" i="20" s="1"/>
  <c r="BZ310" i="20"/>
  <c r="CE310" i="20" s="1"/>
  <c r="BY310" i="20"/>
  <c r="CD310" i="20" s="1"/>
  <c r="BW310" i="20"/>
  <c r="BX310" i="20" s="1"/>
  <c r="BM310" i="20"/>
  <c r="R310" i="20"/>
  <c r="Q310" i="20"/>
  <c r="P310" i="20"/>
  <c r="O310" i="20"/>
  <c r="M310" i="20"/>
  <c r="L310" i="20"/>
  <c r="K310" i="20"/>
  <c r="J310" i="20"/>
  <c r="I310" i="20"/>
  <c r="CA309" i="20"/>
  <c r="CF309" i="20" s="1"/>
  <c r="BZ309" i="20"/>
  <c r="CE309" i="20" s="1"/>
  <c r="BY309" i="20"/>
  <c r="CD309" i="20" s="1"/>
  <c r="BW309" i="20"/>
  <c r="BX309" i="20" s="1"/>
  <c r="BM309" i="20"/>
  <c r="R309" i="20"/>
  <c r="Q309" i="20"/>
  <c r="P309" i="20"/>
  <c r="O309" i="20"/>
  <c r="M309" i="20"/>
  <c r="L309" i="20"/>
  <c r="K309" i="20"/>
  <c r="J309" i="20"/>
  <c r="I309" i="20"/>
  <c r="CF308" i="20"/>
  <c r="BZ308" i="20"/>
  <c r="CE308" i="20" s="1"/>
  <c r="BY308" i="20"/>
  <c r="CD308" i="20" s="1"/>
  <c r="BW308" i="20"/>
  <c r="BX308" i="20" s="1"/>
  <c r="BM308" i="20"/>
  <c r="R308" i="20"/>
  <c r="Q308" i="20"/>
  <c r="P308" i="20"/>
  <c r="O308" i="20"/>
  <c r="M308" i="20"/>
  <c r="L308" i="20"/>
  <c r="K308" i="20"/>
  <c r="J308" i="20"/>
  <c r="I308" i="20"/>
  <c r="CA307" i="20"/>
  <c r="CF307" i="20" s="1"/>
  <c r="BZ307" i="20"/>
  <c r="CE307" i="20" s="1"/>
  <c r="BM307" i="20"/>
  <c r="R307" i="20"/>
  <c r="Q307" i="20"/>
  <c r="P307" i="20"/>
  <c r="O307" i="20"/>
  <c r="M307" i="20"/>
  <c r="L307" i="20"/>
  <c r="K307" i="20"/>
  <c r="J307" i="20"/>
  <c r="I307" i="20"/>
  <c r="CA306" i="20"/>
  <c r="CF306" i="20" s="1"/>
  <c r="BZ306" i="20"/>
  <c r="CE306" i="20" s="1"/>
  <c r="BY306" i="20"/>
  <c r="CD306" i="20" s="1"/>
  <c r="BW306" i="20"/>
  <c r="BX306" i="20" s="1"/>
  <c r="BM306" i="20"/>
  <c r="R306" i="20"/>
  <c r="Q306" i="20"/>
  <c r="P306" i="20"/>
  <c r="O306" i="20"/>
  <c r="M306" i="20"/>
  <c r="L306" i="20"/>
  <c r="K306" i="20"/>
  <c r="J306" i="20"/>
  <c r="I306" i="20"/>
  <c r="CA305" i="20"/>
  <c r="CF305" i="20" s="1"/>
  <c r="BZ305" i="20"/>
  <c r="CE305" i="20" s="1"/>
  <c r="BY305" i="20"/>
  <c r="CD305" i="20" s="1"/>
  <c r="BW305" i="20"/>
  <c r="BX305" i="20" s="1"/>
  <c r="BM305" i="20"/>
  <c r="R305" i="20"/>
  <c r="Q305" i="20"/>
  <c r="P305" i="20"/>
  <c r="O305" i="20"/>
  <c r="M305" i="20"/>
  <c r="L305" i="20"/>
  <c r="K305" i="20"/>
  <c r="J305" i="20"/>
  <c r="I305" i="20"/>
  <c r="CA304" i="20"/>
  <c r="CF304" i="20" s="1"/>
  <c r="BZ304" i="20"/>
  <c r="CE304" i="20" s="1"/>
  <c r="BY304" i="20"/>
  <c r="CD304" i="20" s="1"/>
  <c r="BM304" i="20"/>
  <c r="R304" i="20"/>
  <c r="Q304" i="20"/>
  <c r="P304" i="20"/>
  <c r="O304" i="20"/>
  <c r="M304" i="20"/>
  <c r="L304" i="20"/>
  <c r="K304" i="20"/>
  <c r="J304" i="20"/>
  <c r="I304" i="20"/>
  <c r="CA303" i="20"/>
  <c r="CF303" i="20" s="1"/>
  <c r="BZ303" i="20"/>
  <c r="CE303" i="20" s="1"/>
  <c r="BY303" i="20"/>
  <c r="CD303" i="20" s="1"/>
  <c r="BW303" i="20"/>
  <c r="BX303" i="20" s="1"/>
  <c r="BM303" i="20"/>
  <c r="R303" i="20"/>
  <c r="Q303" i="20"/>
  <c r="P303" i="20"/>
  <c r="O303" i="20"/>
  <c r="M303" i="20"/>
  <c r="L303" i="20"/>
  <c r="K303" i="20"/>
  <c r="J303" i="20"/>
  <c r="I303" i="20"/>
  <c r="CA302" i="20"/>
  <c r="CF302" i="20" s="1"/>
  <c r="BZ302" i="20"/>
  <c r="CE302" i="20" s="1"/>
  <c r="BM302" i="20"/>
  <c r="BY302" i="20"/>
  <c r="CD302" i="20" s="1"/>
  <c r="R302" i="20"/>
  <c r="Q302" i="20"/>
  <c r="P302" i="20"/>
  <c r="O302" i="20"/>
  <c r="M302" i="20"/>
  <c r="L302" i="20"/>
  <c r="K302" i="20"/>
  <c r="J302" i="20"/>
  <c r="I302" i="20"/>
  <c r="CA301" i="20"/>
  <c r="CF301" i="20" s="1"/>
  <c r="BZ301" i="20"/>
  <c r="CE301" i="20" s="1"/>
  <c r="BW301" i="20"/>
  <c r="BX301" i="20" s="1"/>
  <c r="BM301" i="20"/>
  <c r="BY301" i="20"/>
  <c r="CD301" i="20" s="1"/>
  <c r="R301" i="20"/>
  <c r="Q301" i="20"/>
  <c r="P301" i="20"/>
  <c r="O301" i="20"/>
  <c r="M301" i="20"/>
  <c r="L301" i="20"/>
  <c r="K301" i="20"/>
  <c r="J301" i="20"/>
  <c r="I301" i="20"/>
  <c r="CA300" i="20"/>
  <c r="CF300" i="20" s="1"/>
  <c r="BZ300" i="20"/>
  <c r="CE300" i="20" s="1"/>
  <c r="BY300" i="20"/>
  <c r="CD300" i="20" s="1"/>
  <c r="BW300" i="20"/>
  <c r="BX300" i="20" s="1"/>
  <c r="BM300" i="20"/>
  <c r="R300" i="20"/>
  <c r="Q300" i="20"/>
  <c r="P300" i="20"/>
  <c r="O300" i="20"/>
  <c r="M300" i="20"/>
  <c r="L300" i="20"/>
  <c r="K300" i="20"/>
  <c r="J300" i="20"/>
  <c r="I300" i="20"/>
  <c r="CA299" i="20"/>
  <c r="CF299" i="20" s="1"/>
  <c r="BZ299" i="20"/>
  <c r="CE299" i="20" s="1"/>
  <c r="BY299" i="20"/>
  <c r="CD299" i="20" s="1"/>
  <c r="BW299" i="20"/>
  <c r="BX299" i="20" s="1"/>
  <c r="BM299" i="20"/>
  <c r="R299" i="20"/>
  <c r="Q299" i="20"/>
  <c r="P299" i="20"/>
  <c r="O299" i="20"/>
  <c r="M299" i="20"/>
  <c r="L299" i="20"/>
  <c r="K299" i="20"/>
  <c r="J299" i="20"/>
  <c r="I299" i="20"/>
  <c r="CA298" i="20"/>
  <c r="CF298" i="20" s="1"/>
  <c r="BZ298" i="20"/>
  <c r="CE298" i="20" s="1"/>
  <c r="BY298" i="20"/>
  <c r="CD298" i="20" s="1"/>
  <c r="BW298" i="20"/>
  <c r="BX298" i="20" s="1"/>
  <c r="BM298" i="20"/>
  <c r="R298" i="20"/>
  <c r="Q298" i="20"/>
  <c r="P298" i="20"/>
  <c r="O298" i="20"/>
  <c r="M298" i="20"/>
  <c r="L298" i="20"/>
  <c r="K298" i="20"/>
  <c r="J298" i="20"/>
  <c r="I298" i="20"/>
  <c r="CA297" i="20"/>
  <c r="CF297" i="20" s="1"/>
  <c r="BZ297" i="20"/>
  <c r="CE297" i="20" s="1"/>
  <c r="BY297" i="20"/>
  <c r="CD297" i="20" s="1"/>
  <c r="BW297" i="20"/>
  <c r="BX297" i="20" s="1"/>
  <c r="BM297" i="20"/>
  <c r="R297" i="20"/>
  <c r="Q297" i="20"/>
  <c r="P297" i="20"/>
  <c r="O297" i="20"/>
  <c r="M297" i="20"/>
  <c r="L297" i="20"/>
  <c r="K297" i="20"/>
  <c r="J297" i="20"/>
  <c r="I297" i="20"/>
  <c r="CA296" i="20"/>
  <c r="CF296" i="20" s="1"/>
  <c r="BZ296" i="20"/>
  <c r="CE296" i="20" s="1"/>
  <c r="BY296" i="20"/>
  <c r="CD296" i="20" s="1"/>
  <c r="BW296" i="20"/>
  <c r="BX296" i="20" s="1"/>
  <c r="BM296" i="20"/>
  <c r="R296" i="20"/>
  <c r="Q296" i="20"/>
  <c r="P296" i="20"/>
  <c r="O296" i="20"/>
  <c r="M296" i="20"/>
  <c r="L296" i="20"/>
  <c r="K296" i="20"/>
  <c r="J296" i="20"/>
  <c r="I296" i="20"/>
  <c r="CA295" i="20"/>
  <c r="CF295" i="20" s="1"/>
  <c r="BZ295" i="20"/>
  <c r="CE295" i="20" s="1"/>
  <c r="BY295" i="20"/>
  <c r="CD295" i="20" s="1"/>
  <c r="BW295" i="20"/>
  <c r="BX295" i="20" s="1"/>
  <c r="BM295" i="20"/>
  <c r="R295" i="20"/>
  <c r="Q295" i="20"/>
  <c r="P295" i="20"/>
  <c r="O295" i="20"/>
  <c r="M295" i="20"/>
  <c r="L295" i="20"/>
  <c r="K295" i="20"/>
  <c r="J295" i="20"/>
  <c r="I295" i="20"/>
  <c r="CA294" i="20"/>
  <c r="CF294" i="20" s="1"/>
  <c r="BZ294" i="20"/>
  <c r="CE294" i="20" s="1"/>
  <c r="BY294" i="20"/>
  <c r="CD294" i="20" s="1"/>
  <c r="BW294" i="20"/>
  <c r="BX294" i="20" s="1"/>
  <c r="BM294" i="20"/>
  <c r="R294" i="20"/>
  <c r="Q294" i="20"/>
  <c r="P294" i="20"/>
  <c r="O294" i="20"/>
  <c r="M294" i="20"/>
  <c r="L294" i="20"/>
  <c r="K294" i="20"/>
  <c r="J294" i="20"/>
  <c r="I294" i="20"/>
  <c r="CA293" i="20"/>
  <c r="CF293" i="20" s="1"/>
  <c r="BZ293" i="20"/>
  <c r="CE293" i="20" s="1"/>
  <c r="BY293" i="20"/>
  <c r="CD293" i="20" s="1"/>
  <c r="BW293" i="20"/>
  <c r="BX293" i="20" s="1"/>
  <c r="BM293" i="20"/>
  <c r="R293" i="20"/>
  <c r="Q293" i="20"/>
  <c r="P293" i="20"/>
  <c r="O293" i="20"/>
  <c r="N293" i="20"/>
  <c r="M293" i="20"/>
  <c r="L293" i="20"/>
  <c r="K293" i="20"/>
  <c r="J293" i="20"/>
  <c r="I293" i="20"/>
  <c r="BM292" i="20"/>
  <c r="AB292" i="20"/>
  <c r="Z292" i="20"/>
  <c r="X292" i="20"/>
  <c r="V292" i="20"/>
  <c r="BM291" i="20"/>
  <c r="CA290" i="20"/>
  <c r="CF290" i="20" s="1"/>
  <c r="BZ290" i="20"/>
  <c r="CE290" i="20" s="1"/>
  <c r="BY290" i="20"/>
  <c r="CD290" i="20" s="1"/>
  <c r="BW290" i="20"/>
  <c r="BX290" i="20" s="1"/>
  <c r="R290" i="20"/>
  <c r="Q290" i="20"/>
  <c r="P290" i="20"/>
  <c r="O290" i="20"/>
  <c r="L290" i="20"/>
  <c r="K290" i="20"/>
  <c r="J290" i="20"/>
  <c r="I290" i="20"/>
  <c r="CA289" i="20"/>
  <c r="CF289" i="20" s="1"/>
  <c r="BZ289" i="20"/>
  <c r="CE289" i="20" s="1"/>
  <c r="BY289" i="20"/>
  <c r="CD289" i="20" s="1"/>
  <c r="BW289" i="20"/>
  <c r="BX289" i="20" s="1"/>
  <c r="BV289" i="20"/>
  <c r="BM289" i="20"/>
  <c r="R289" i="20"/>
  <c r="Q289" i="20"/>
  <c r="P289" i="20"/>
  <c r="O289" i="20"/>
  <c r="L289" i="20"/>
  <c r="K289" i="20"/>
  <c r="J289" i="20"/>
  <c r="I289" i="20"/>
  <c r="CA288" i="20"/>
  <c r="CF288" i="20" s="1"/>
  <c r="BZ288" i="20"/>
  <c r="CE288" i="20" s="1"/>
  <c r="BY288" i="20"/>
  <c r="CD288" i="20" s="1"/>
  <c r="BW288" i="20"/>
  <c r="BX288" i="20" s="1"/>
  <c r="BM288" i="20"/>
  <c r="R288" i="20"/>
  <c r="Q288" i="20"/>
  <c r="P288" i="20"/>
  <c r="O288" i="20"/>
  <c r="L288" i="20"/>
  <c r="K288" i="20"/>
  <c r="J288" i="20"/>
  <c r="I288" i="20"/>
  <c r="CA287" i="20"/>
  <c r="CF287" i="20" s="1"/>
  <c r="BZ287" i="20"/>
  <c r="CE287" i="20" s="1"/>
  <c r="BY287" i="20"/>
  <c r="CD287" i="20" s="1"/>
  <c r="BW287" i="20"/>
  <c r="BX287" i="20" s="1"/>
  <c r="BM287" i="20"/>
  <c r="R287" i="20"/>
  <c r="Q287" i="20"/>
  <c r="P287" i="20"/>
  <c r="O287" i="20"/>
  <c r="L287" i="20"/>
  <c r="K287" i="20"/>
  <c r="J287" i="20"/>
  <c r="I287" i="20"/>
  <c r="BW286" i="20"/>
  <c r="BM286" i="20"/>
  <c r="AN286" i="20"/>
  <c r="AM286" i="20"/>
  <c r="AL286" i="20"/>
  <c r="AB286" i="20"/>
  <c r="Z286" i="20"/>
  <c r="X286" i="20"/>
  <c r="CA285" i="20"/>
  <c r="CF285" i="20" s="1"/>
  <c r="BZ285" i="20"/>
  <c r="CE285" i="20" s="1"/>
  <c r="BY285" i="20"/>
  <c r="CD285" i="20" s="1"/>
  <c r="BW285" i="20"/>
  <c r="BX285" i="20" s="1"/>
  <c r="BM285" i="20"/>
  <c r="R285" i="20"/>
  <c r="Q285" i="20"/>
  <c r="P285" i="20"/>
  <c r="O285" i="20"/>
  <c r="M285" i="20"/>
  <c r="L285" i="20"/>
  <c r="K285" i="20"/>
  <c r="J285" i="20"/>
  <c r="I285" i="20"/>
  <c r="CA284" i="20"/>
  <c r="CF284" i="20" s="1"/>
  <c r="BZ284" i="20"/>
  <c r="CE284" i="20" s="1"/>
  <c r="BY284" i="20"/>
  <c r="CD284" i="20" s="1"/>
  <c r="BW284" i="20"/>
  <c r="BX284" i="20" s="1"/>
  <c r="BM284" i="20"/>
  <c r="R284" i="20"/>
  <c r="Q284" i="20"/>
  <c r="P284" i="20"/>
  <c r="O284" i="20"/>
  <c r="M284" i="20"/>
  <c r="L284" i="20"/>
  <c r="K284" i="20"/>
  <c r="J284" i="20"/>
  <c r="I284" i="20"/>
  <c r="CA283" i="20"/>
  <c r="CF283" i="20" s="1"/>
  <c r="BZ283" i="20"/>
  <c r="CE283" i="20" s="1"/>
  <c r="BY283" i="20"/>
  <c r="CD283" i="20" s="1"/>
  <c r="BW283" i="20"/>
  <c r="BX283" i="20" s="1"/>
  <c r="BM283" i="20"/>
  <c r="R283" i="20"/>
  <c r="Q283" i="20"/>
  <c r="P283" i="20"/>
  <c r="O283" i="20"/>
  <c r="M283" i="20"/>
  <c r="L283" i="20"/>
  <c r="K283" i="20"/>
  <c r="J283" i="20"/>
  <c r="I283" i="20"/>
  <c r="CA282" i="20"/>
  <c r="CF282" i="20" s="1"/>
  <c r="BZ282" i="20"/>
  <c r="CE282" i="20" s="1"/>
  <c r="BY282" i="20"/>
  <c r="CD282" i="20" s="1"/>
  <c r="BW282" i="20"/>
  <c r="BX282" i="20" s="1"/>
  <c r="R282" i="20"/>
  <c r="Q282" i="20"/>
  <c r="P282" i="20"/>
  <c r="O282" i="20"/>
  <c r="M282" i="20"/>
  <c r="L282" i="20"/>
  <c r="K282" i="20"/>
  <c r="J282" i="20"/>
  <c r="I282" i="20"/>
  <c r="CA281" i="20"/>
  <c r="CF281" i="20" s="1"/>
  <c r="BZ281" i="20"/>
  <c r="CE281" i="20" s="1"/>
  <c r="BY281" i="20"/>
  <c r="CD281" i="20" s="1"/>
  <c r="BW281" i="20"/>
  <c r="BX281" i="20" s="1"/>
  <c r="BM281" i="20"/>
  <c r="R281" i="20"/>
  <c r="Q281" i="20"/>
  <c r="P281" i="20"/>
  <c r="O281" i="20"/>
  <c r="M281" i="20"/>
  <c r="L281" i="20"/>
  <c r="K281" i="20"/>
  <c r="J281" i="20"/>
  <c r="I281" i="20"/>
  <c r="CA280" i="20"/>
  <c r="CF280" i="20" s="1"/>
  <c r="BZ280" i="20"/>
  <c r="CE280" i="20" s="1"/>
  <c r="BY280" i="20"/>
  <c r="CD280" i="20" s="1"/>
  <c r="BW280" i="20"/>
  <c r="BX280" i="20" s="1"/>
  <c r="BM280" i="20"/>
  <c r="R280" i="20"/>
  <c r="Q280" i="20"/>
  <c r="P280" i="20"/>
  <c r="O280" i="20"/>
  <c r="M280" i="20"/>
  <c r="L280" i="20"/>
  <c r="K280" i="20"/>
  <c r="J280" i="20"/>
  <c r="I280" i="20"/>
  <c r="CA279" i="20"/>
  <c r="CF279" i="20" s="1"/>
  <c r="BZ279" i="20"/>
  <c r="CE279" i="20" s="1"/>
  <c r="BY279" i="20"/>
  <c r="CD279" i="20" s="1"/>
  <c r="BW279" i="20"/>
  <c r="BX279" i="20" s="1"/>
  <c r="R279" i="20"/>
  <c r="Q279" i="20"/>
  <c r="P279" i="20"/>
  <c r="O279" i="20"/>
  <c r="M279" i="20"/>
  <c r="L279" i="20"/>
  <c r="K279" i="20"/>
  <c r="J279" i="20"/>
  <c r="I279" i="20"/>
  <c r="CA278" i="20"/>
  <c r="CF278" i="20" s="1"/>
  <c r="BZ278" i="20"/>
  <c r="CE278" i="20" s="1"/>
  <c r="BY278" i="20"/>
  <c r="CD278" i="20" s="1"/>
  <c r="BW278" i="20"/>
  <c r="BX278" i="20" s="1"/>
  <c r="BM278" i="20"/>
  <c r="R278" i="20"/>
  <c r="Q278" i="20"/>
  <c r="P278" i="20"/>
  <c r="O278" i="20"/>
  <c r="M278" i="20"/>
  <c r="L278" i="20"/>
  <c r="K278" i="20"/>
  <c r="J278" i="20"/>
  <c r="I278" i="20"/>
  <c r="CA277" i="20"/>
  <c r="CF277" i="20" s="1"/>
  <c r="BZ277" i="20"/>
  <c r="CE277" i="20" s="1"/>
  <c r="BY277" i="20"/>
  <c r="CD277" i="20" s="1"/>
  <c r="BW277" i="20"/>
  <c r="BX277" i="20" s="1"/>
  <c r="BM277" i="20"/>
  <c r="R277" i="20"/>
  <c r="Q277" i="20"/>
  <c r="P277" i="20"/>
  <c r="O277" i="20"/>
  <c r="M277" i="20"/>
  <c r="L277" i="20"/>
  <c r="K277" i="20"/>
  <c r="J277" i="20"/>
  <c r="I277" i="20"/>
  <c r="CA276" i="20"/>
  <c r="CF276" i="20" s="1"/>
  <c r="BZ276" i="20"/>
  <c r="CE276" i="20" s="1"/>
  <c r="BY276" i="20"/>
  <c r="CD276" i="20" s="1"/>
  <c r="BW276" i="20"/>
  <c r="BX276" i="20" s="1"/>
  <c r="BM276" i="20"/>
  <c r="R276" i="20"/>
  <c r="Q276" i="20"/>
  <c r="P276" i="20"/>
  <c r="O276" i="20"/>
  <c r="M276" i="20"/>
  <c r="L276" i="20"/>
  <c r="K276" i="20"/>
  <c r="J276" i="20"/>
  <c r="I276" i="20"/>
  <c r="CA275" i="20"/>
  <c r="CF275" i="20" s="1"/>
  <c r="BZ275" i="20"/>
  <c r="CE275" i="20" s="1"/>
  <c r="BY275" i="20"/>
  <c r="CD275" i="20" s="1"/>
  <c r="BW275" i="20"/>
  <c r="BX275" i="20" s="1"/>
  <c r="BM275" i="20"/>
  <c r="R275" i="20"/>
  <c r="Q275" i="20"/>
  <c r="P275" i="20"/>
  <c r="O275" i="20"/>
  <c r="M275" i="20"/>
  <c r="L275" i="20"/>
  <c r="K275" i="20"/>
  <c r="J275" i="20"/>
  <c r="I275" i="20"/>
  <c r="CA274" i="20"/>
  <c r="CF274" i="20" s="1"/>
  <c r="BZ274" i="20"/>
  <c r="CE274" i="20" s="1"/>
  <c r="BY274" i="20"/>
  <c r="CD274" i="20" s="1"/>
  <c r="BW274" i="20"/>
  <c r="BX274" i="20" s="1"/>
  <c r="BM274" i="20"/>
  <c r="R274" i="20"/>
  <c r="Q274" i="20"/>
  <c r="P274" i="20"/>
  <c r="O274" i="20"/>
  <c r="M274" i="20"/>
  <c r="L274" i="20"/>
  <c r="K274" i="20"/>
  <c r="J274" i="20"/>
  <c r="I274" i="20"/>
  <c r="BM273" i="20"/>
  <c r="AB273" i="20"/>
  <c r="Z273" i="20"/>
  <c r="X273" i="20"/>
  <c r="V273" i="20"/>
  <c r="CA272" i="20"/>
  <c r="CF272" i="20" s="1"/>
  <c r="BZ272" i="20"/>
  <c r="CE272" i="20" s="1"/>
  <c r="BY272" i="20"/>
  <c r="CD272" i="20" s="1"/>
  <c r="BW272" i="20"/>
  <c r="BX272" i="20" s="1"/>
  <c r="BM272" i="20"/>
  <c r="R272" i="20"/>
  <c r="Q272" i="20"/>
  <c r="P272" i="20"/>
  <c r="O272" i="20"/>
  <c r="M272" i="20"/>
  <c r="L272" i="20"/>
  <c r="K272" i="20"/>
  <c r="J272" i="20"/>
  <c r="I272" i="20"/>
  <c r="CA271" i="20"/>
  <c r="CF271" i="20" s="1"/>
  <c r="BZ271" i="20"/>
  <c r="CE271" i="20" s="1"/>
  <c r="BY271" i="20"/>
  <c r="CD271" i="20" s="1"/>
  <c r="BW271" i="20"/>
  <c r="BX271" i="20" s="1"/>
  <c r="BM271" i="20"/>
  <c r="R271" i="20"/>
  <c r="Q271" i="20"/>
  <c r="P271" i="20"/>
  <c r="O271" i="20"/>
  <c r="M271" i="20"/>
  <c r="L271" i="20"/>
  <c r="K271" i="20"/>
  <c r="J271" i="20"/>
  <c r="I271" i="20"/>
  <c r="CA270" i="20"/>
  <c r="CF270" i="20" s="1"/>
  <c r="BZ270" i="20"/>
  <c r="CE270" i="20" s="1"/>
  <c r="BY270" i="20"/>
  <c r="CD270" i="20" s="1"/>
  <c r="BW270" i="20"/>
  <c r="BX270" i="20" s="1"/>
  <c r="BM270" i="20"/>
  <c r="R270" i="20"/>
  <c r="Q270" i="20"/>
  <c r="P270" i="20"/>
  <c r="O270" i="20"/>
  <c r="M270" i="20"/>
  <c r="L270" i="20"/>
  <c r="K270" i="20"/>
  <c r="J270" i="20"/>
  <c r="I270" i="20"/>
  <c r="CA269" i="20"/>
  <c r="CF269" i="20" s="1"/>
  <c r="BZ269" i="20"/>
  <c r="CE269" i="20" s="1"/>
  <c r="BY269" i="20"/>
  <c r="CD269" i="20" s="1"/>
  <c r="BW269" i="20"/>
  <c r="BX269" i="20" s="1"/>
  <c r="BM269" i="20"/>
  <c r="R269" i="20"/>
  <c r="Q269" i="20"/>
  <c r="P269" i="20"/>
  <c r="O269" i="20"/>
  <c r="M269" i="20"/>
  <c r="L269" i="20"/>
  <c r="K269" i="20"/>
  <c r="J269" i="20"/>
  <c r="I269" i="20"/>
  <c r="CA268" i="20"/>
  <c r="CF268" i="20" s="1"/>
  <c r="BZ268" i="20"/>
  <c r="CE268" i="20" s="1"/>
  <c r="BY268" i="20"/>
  <c r="CD268" i="20" s="1"/>
  <c r="BW268" i="20"/>
  <c r="BX268" i="20" s="1"/>
  <c r="BM268" i="20"/>
  <c r="R268" i="20"/>
  <c r="Q268" i="20"/>
  <c r="P268" i="20"/>
  <c r="O268" i="20"/>
  <c r="M268" i="20"/>
  <c r="L268" i="20"/>
  <c r="K268" i="20"/>
  <c r="J268" i="20"/>
  <c r="I268" i="20"/>
  <c r="CA267" i="20"/>
  <c r="CF267" i="20" s="1"/>
  <c r="BZ267" i="20"/>
  <c r="CE267" i="20" s="1"/>
  <c r="BY267" i="20"/>
  <c r="CD267" i="20" s="1"/>
  <c r="BW267" i="20"/>
  <c r="BX267" i="20" s="1"/>
  <c r="BM267" i="20"/>
  <c r="R267" i="20"/>
  <c r="Q267" i="20"/>
  <c r="P267" i="20"/>
  <c r="O267" i="20"/>
  <c r="M267" i="20"/>
  <c r="L267" i="20"/>
  <c r="K267" i="20"/>
  <c r="J267" i="20"/>
  <c r="I267" i="20"/>
  <c r="CA266" i="20"/>
  <c r="CF266" i="20" s="1"/>
  <c r="BZ266" i="20"/>
  <c r="CE266" i="20" s="1"/>
  <c r="BY266" i="20"/>
  <c r="CD266" i="20" s="1"/>
  <c r="BW266" i="20"/>
  <c r="BX266" i="20" s="1"/>
  <c r="BM266" i="20"/>
  <c r="R266" i="20"/>
  <c r="Q266" i="20"/>
  <c r="P266" i="20"/>
  <c r="O266" i="20"/>
  <c r="M266" i="20"/>
  <c r="L266" i="20"/>
  <c r="K266" i="20"/>
  <c r="J266" i="20"/>
  <c r="I266" i="20"/>
  <c r="CA265" i="20"/>
  <c r="CF265" i="20" s="1"/>
  <c r="BZ265" i="20"/>
  <c r="CE265" i="20" s="1"/>
  <c r="BY265" i="20"/>
  <c r="CD265" i="20" s="1"/>
  <c r="BW265" i="20"/>
  <c r="BX265" i="20" s="1"/>
  <c r="BM265" i="20"/>
  <c r="R265" i="20"/>
  <c r="Q265" i="20"/>
  <c r="P265" i="20"/>
  <c r="O265" i="20"/>
  <c r="M265" i="20"/>
  <c r="L265" i="20"/>
  <c r="K265" i="20"/>
  <c r="J265" i="20"/>
  <c r="I265" i="20"/>
  <c r="CA264" i="20"/>
  <c r="CF264" i="20" s="1"/>
  <c r="BZ264" i="20"/>
  <c r="CE264" i="20" s="1"/>
  <c r="BY264" i="20"/>
  <c r="CD264" i="20" s="1"/>
  <c r="BW264" i="20"/>
  <c r="BX264" i="20" s="1"/>
  <c r="BM264" i="20"/>
  <c r="R264" i="20"/>
  <c r="Q264" i="20"/>
  <c r="P264" i="20"/>
  <c r="O264" i="20"/>
  <c r="M264" i="20"/>
  <c r="L264" i="20"/>
  <c r="K264" i="20"/>
  <c r="J264" i="20"/>
  <c r="I264" i="20"/>
  <c r="CA263" i="20"/>
  <c r="CF263" i="20" s="1"/>
  <c r="BZ263" i="20"/>
  <c r="CE263" i="20" s="1"/>
  <c r="BY263" i="20"/>
  <c r="CD263" i="20" s="1"/>
  <c r="BW263" i="20"/>
  <c r="BX263" i="20" s="1"/>
  <c r="BM263" i="20"/>
  <c r="R263" i="20"/>
  <c r="Q263" i="20"/>
  <c r="P263" i="20"/>
  <c r="O263" i="20"/>
  <c r="M263" i="20"/>
  <c r="L263" i="20"/>
  <c r="K263" i="20"/>
  <c r="J263" i="20"/>
  <c r="I263" i="20"/>
  <c r="CA262" i="20"/>
  <c r="CF262" i="20" s="1"/>
  <c r="BZ262" i="20"/>
  <c r="CE262" i="20" s="1"/>
  <c r="BY262" i="20"/>
  <c r="CD262" i="20" s="1"/>
  <c r="BW262" i="20"/>
  <c r="BX262" i="20" s="1"/>
  <c r="BM262" i="20"/>
  <c r="R262" i="20"/>
  <c r="Q262" i="20"/>
  <c r="P262" i="20"/>
  <c r="O262" i="20"/>
  <c r="M262" i="20"/>
  <c r="L262" i="20"/>
  <c r="K262" i="20"/>
  <c r="J262" i="20"/>
  <c r="I262" i="20"/>
  <c r="BM261" i="20"/>
  <c r="Z261" i="20"/>
  <c r="X261" i="20"/>
  <c r="V261" i="20"/>
  <c r="BM260" i="20"/>
  <c r="BM259" i="20"/>
  <c r="R259" i="20"/>
  <c r="Q259" i="20"/>
  <c r="P259" i="20"/>
  <c r="O259" i="20"/>
  <c r="CA258" i="20"/>
  <c r="CF258" i="20" s="1"/>
  <c r="BZ258" i="20"/>
  <c r="CE258" i="20" s="1"/>
  <c r="BY258" i="20"/>
  <c r="CD258" i="20" s="1"/>
  <c r="BW258" i="20"/>
  <c r="BX258" i="20" s="1"/>
  <c r="BM258" i="20"/>
  <c r="R258" i="20"/>
  <c r="Q258" i="20"/>
  <c r="P258" i="20"/>
  <c r="O258" i="20"/>
  <c r="M258" i="20"/>
  <c r="L258" i="20"/>
  <c r="K258" i="20"/>
  <c r="J258" i="20"/>
  <c r="I258" i="20"/>
  <c r="CA257" i="20"/>
  <c r="CF257" i="20" s="1"/>
  <c r="BZ257" i="20"/>
  <c r="CE257" i="20" s="1"/>
  <c r="BY257" i="20"/>
  <c r="CD257" i="20" s="1"/>
  <c r="BW257" i="20"/>
  <c r="BX257" i="20" s="1"/>
  <c r="BM257" i="20"/>
  <c r="R257" i="20"/>
  <c r="Q257" i="20"/>
  <c r="P257" i="20"/>
  <c r="O257" i="20"/>
  <c r="M257" i="20"/>
  <c r="L257" i="20"/>
  <c r="K257" i="20"/>
  <c r="J257" i="20"/>
  <c r="I257" i="20"/>
  <c r="CA256" i="20"/>
  <c r="CF256" i="20" s="1"/>
  <c r="BZ256" i="20"/>
  <c r="CE256" i="20" s="1"/>
  <c r="BY256" i="20"/>
  <c r="CD256" i="20" s="1"/>
  <c r="BW256" i="20"/>
  <c r="BX256" i="20" s="1"/>
  <c r="BM256" i="20"/>
  <c r="R256" i="20"/>
  <c r="Q256" i="20"/>
  <c r="P256" i="20"/>
  <c r="O256" i="20"/>
  <c r="M256" i="20"/>
  <c r="L256" i="20"/>
  <c r="K256" i="20"/>
  <c r="J256" i="20"/>
  <c r="I256" i="20"/>
  <c r="CA255" i="20"/>
  <c r="CF255" i="20" s="1"/>
  <c r="BZ255" i="20"/>
  <c r="CE255" i="20" s="1"/>
  <c r="BY255" i="20"/>
  <c r="CD255" i="20" s="1"/>
  <c r="BW255" i="20"/>
  <c r="BX255" i="20" s="1"/>
  <c r="BM255" i="20"/>
  <c r="R255" i="20"/>
  <c r="Q255" i="20"/>
  <c r="P255" i="20"/>
  <c r="O255" i="20"/>
  <c r="M255" i="20"/>
  <c r="L255" i="20"/>
  <c r="K255" i="20"/>
  <c r="J255" i="20"/>
  <c r="I255" i="20"/>
  <c r="CA254" i="20"/>
  <c r="CF254" i="20" s="1"/>
  <c r="BZ254" i="20"/>
  <c r="CE254" i="20" s="1"/>
  <c r="BY254" i="20"/>
  <c r="CD254" i="20" s="1"/>
  <c r="BW254" i="20"/>
  <c r="BX254" i="20" s="1"/>
  <c r="BM254" i="20"/>
  <c r="R254" i="20"/>
  <c r="Q254" i="20"/>
  <c r="P254" i="20"/>
  <c r="O254" i="20"/>
  <c r="M254" i="20"/>
  <c r="L254" i="20"/>
  <c r="K254" i="20"/>
  <c r="J254" i="20"/>
  <c r="I254" i="20"/>
  <c r="CA253" i="20"/>
  <c r="CF253" i="20" s="1"/>
  <c r="BZ253" i="20"/>
  <c r="CE253" i="20" s="1"/>
  <c r="BY253" i="20"/>
  <c r="CD253" i="20" s="1"/>
  <c r="BW253" i="20"/>
  <c r="BX253" i="20" s="1"/>
  <c r="BM253" i="20"/>
  <c r="R253" i="20"/>
  <c r="Q253" i="20"/>
  <c r="P253" i="20"/>
  <c r="O253" i="20"/>
  <c r="M253" i="20"/>
  <c r="L253" i="20"/>
  <c r="K253" i="20"/>
  <c r="J253" i="20"/>
  <c r="I253" i="20"/>
  <c r="CA252" i="20"/>
  <c r="CF252" i="20" s="1"/>
  <c r="BZ252" i="20"/>
  <c r="CE252" i="20" s="1"/>
  <c r="BY252" i="20"/>
  <c r="CD252" i="20" s="1"/>
  <c r="BW252" i="20"/>
  <c r="BX252" i="20" s="1"/>
  <c r="BM252" i="20"/>
  <c r="R252" i="20"/>
  <c r="Q252" i="20"/>
  <c r="P252" i="20"/>
  <c r="O252" i="20"/>
  <c r="M252" i="20"/>
  <c r="L252" i="20"/>
  <c r="K252" i="20"/>
  <c r="J252" i="20"/>
  <c r="I252" i="20"/>
  <c r="CA251" i="20"/>
  <c r="CF251" i="20" s="1"/>
  <c r="BZ251" i="20"/>
  <c r="CE251" i="20" s="1"/>
  <c r="BY251" i="20"/>
  <c r="CD251" i="20" s="1"/>
  <c r="BW251" i="20"/>
  <c r="BX251" i="20" s="1"/>
  <c r="BM251" i="20"/>
  <c r="R251" i="20"/>
  <c r="Q251" i="20"/>
  <c r="P251" i="20"/>
  <c r="O251" i="20"/>
  <c r="M251" i="20"/>
  <c r="L251" i="20"/>
  <c r="K251" i="20"/>
  <c r="J251" i="20"/>
  <c r="I251" i="20"/>
  <c r="CA250" i="20"/>
  <c r="CF250" i="20" s="1"/>
  <c r="BZ250" i="20"/>
  <c r="CE250" i="20" s="1"/>
  <c r="BY250" i="20"/>
  <c r="CD250" i="20" s="1"/>
  <c r="BW250" i="20"/>
  <c r="BX250" i="20" s="1"/>
  <c r="BM250" i="20"/>
  <c r="R250" i="20"/>
  <c r="Q250" i="20"/>
  <c r="P250" i="20"/>
  <c r="O250" i="20"/>
  <c r="M250" i="20"/>
  <c r="L250" i="20"/>
  <c r="K250" i="20"/>
  <c r="J250" i="20"/>
  <c r="I250" i="20"/>
  <c r="CA249" i="20"/>
  <c r="CF249" i="20" s="1"/>
  <c r="BZ249" i="20"/>
  <c r="CE249" i="20" s="1"/>
  <c r="BY249" i="20"/>
  <c r="CD249" i="20" s="1"/>
  <c r="BW249" i="20"/>
  <c r="BX249" i="20" s="1"/>
  <c r="BM249" i="20"/>
  <c r="R249" i="20"/>
  <c r="Q249" i="20"/>
  <c r="P249" i="20"/>
  <c r="O249" i="20"/>
  <c r="M249" i="20"/>
  <c r="L249" i="20"/>
  <c r="K249" i="20"/>
  <c r="J249" i="20"/>
  <c r="I249" i="20"/>
  <c r="CA248" i="20"/>
  <c r="CF248" i="20" s="1"/>
  <c r="BZ248" i="20"/>
  <c r="CE248" i="20" s="1"/>
  <c r="BY248" i="20"/>
  <c r="CD248" i="20" s="1"/>
  <c r="BW248" i="20"/>
  <c r="BX248" i="20" s="1"/>
  <c r="BM248" i="20"/>
  <c r="R248" i="20"/>
  <c r="Q248" i="20"/>
  <c r="P248" i="20"/>
  <c r="O248" i="20"/>
  <c r="M248" i="20"/>
  <c r="L248" i="20"/>
  <c r="K248" i="20"/>
  <c r="J248" i="20"/>
  <c r="I248" i="20"/>
  <c r="CA247" i="20"/>
  <c r="CF247" i="20" s="1"/>
  <c r="BZ247" i="20"/>
  <c r="CE247" i="20" s="1"/>
  <c r="BY247" i="20"/>
  <c r="CD247" i="20" s="1"/>
  <c r="BW247" i="20"/>
  <c r="BX247" i="20" s="1"/>
  <c r="BM247" i="20"/>
  <c r="R247" i="20"/>
  <c r="Q247" i="20"/>
  <c r="P247" i="20"/>
  <c r="O247" i="20"/>
  <c r="M247" i="20"/>
  <c r="L247" i="20"/>
  <c r="K247" i="20"/>
  <c r="J247" i="20"/>
  <c r="I247" i="20"/>
  <c r="CA246" i="20"/>
  <c r="CF246" i="20" s="1"/>
  <c r="BZ246" i="20"/>
  <c r="CE246" i="20" s="1"/>
  <c r="BY246" i="20"/>
  <c r="CD246" i="20" s="1"/>
  <c r="BW246" i="20"/>
  <c r="BX246" i="20" s="1"/>
  <c r="BM246" i="20"/>
  <c r="R246" i="20"/>
  <c r="Q246" i="20"/>
  <c r="P246" i="20"/>
  <c r="O246" i="20"/>
  <c r="M246" i="20"/>
  <c r="L246" i="20"/>
  <c r="K246" i="20"/>
  <c r="J246" i="20"/>
  <c r="I246" i="20"/>
  <c r="CA245" i="20"/>
  <c r="CF245" i="20" s="1"/>
  <c r="BZ245" i="20"/>
  <c r="CE245" i="20" s="1"/>
  <c r="BY245" i="20"/>
  <c r="CD245" i="20" s="1"/>
  <c r="BW245" i="20"/>
  <c r="BX245" i="20" s="1"/>
  <c r="BM245" i="20"/>
  <c r="R245" i="20"/>
  <c r="Q245" i="20"/>
  <c r="P245" i="20"/>
  <c r="O245" i="20"/>
  <c r="M245" i="20"/>
  <c r="L245" i="20"/>
  <c r="K245" i="20"/>
  <c r="J245" i="20"/>
  <c r="I245" i="20"/>
  <c r="CA244" i="20"/>
  <c r="CF244" i="20" s="1"/>
  <c r="BZ244" i="20"/>
  <c r="CE244" i="20" s="1"/>
  <c r="BY244" i="20"/>
  <c r="CD244" i="20" s="1"/>
  <c r="BW244" i="20"/>
  <c r="BX244" i="20" s="1"/>
  <c r="BM244" i="20"/>
  <c r="R244" i="20"/>
  <c r="Q244" i="20"/>
  <c r="P244" i="20"/>
  <c r="O244" i="20"/>
  <c r="M244" i="20"/>
  <c r="L244" i="20"/>
  <c r="K244" i="20"/>
  <c r="J244" i="20"/>
  <c r="I244" i="20"/>
  <c r="CA243" i="20"/>
  <c r="CF243" i="20" s="1"/>
  <c r="BZ243" i="20"/>
  <c r="CE243" i="20" s="1"/>
  <c r="BY243" i="20"/>
  <c r="CD243" i="20" s="1"/>
  <c r="BW243" i="20"/>
  <c r="BX243" i="20" s="1"/>
  <c r="BM243" i="20"/>
  <c r="R243" i="20"/>
  <c r="Q243" i="20"/>
  <c r="P243" i="20"/>
  <c r="O243" i="20"/>
  <c r="M243" i="20"/>
  <c r="L243" i="20"/>
  <c r="K243" i="20"/>
  <c r="J243" i="20"/>
  <c r="I243" i="20"/>
  <c r="CA242" i="20"/>
  <c r="CF242" i="20" s="1"/>
  <c r="BZ242" i="20"/>
  <c r="CE242" i="20" s="1"/>
  <c r="BY242" i="20"/>
  <c r="CD242" i="20" s="1"/>
  <c r="BW242" i="20"/>
  <c r="BX242" i="20" s="1"/>
  <c r="BM242" i="20"/>
  <c r="R242" i="20"/>
  <c r="Q242" i="20"/>
  <c r="P242" i="20"/>
  <c r="O242" i="20"/>
  <c r="M242" i="20"/>
  <c r="L242" i="20"/>
  <c r="K242" i="20"/>
  <c r="J242" i="20"/>
  <c r="I242" i="20"/>
  <c r="BM241" i="20"/>
  <c r="AB241" i="20"/>
  <c r="Z241" i="20"/>
  <c r="X241" i="20"/>
  <c r="V241" i="20"/>
  <c r="CA239" i="20"/>
  <c r="CF239" i="20" s="1"/>
  <c r="BZ239" i="20"/>
  <c r="CE239" i="20" s="1"/>
  <c r="BY239" i="20"/>
  <c r="CD239" i="20" s="1"/>
  <c r="BW239" i="20"/>
  <c r="BX239" i="20" s="1"/>
  <c r="BM239" i="20"/>
  <c r="R239" i="20"/>
  <c r="Q239" i="20"/>
  <c r="P239" i="20"/>
  <c r="O239" i="20"/>
  <c r="M239" i="20"/>
  <c r="L239" i="20"/>
  <c r="K239" i="20"/>
  <c r="J239" i="20"/>
  <c r="I239" i="20"/>
  <c r="CA238" i="20"/>
  <c r="CF238" i="20" s="1"/>
  <c r="BZ238" i="20"/>
  <c r="CE238" i="20" s="1"/>
  <c r="BY238" i="20"/>
  <c r="CD238" i="20" s="1"/>
  <c r="BW238" i="20"/>
  <c r="BX238" i="20" s="1"/>
  <c r="BM238" i="20"/>
  <c r="R238" i="20"/>
  <c r="Q238" i="20"/>
  <c r="P238" i="20"/>
  <c r="O238" i="20"/>
  <c r="M238" i="20"/>
  <c r="L238" i="20"/>
  <c r="K238" i="20"/>
  <c r="J238" i="20"/>
  <c r="I238" i="20"/>
  <c r="CA237" i="20"/>
  <c r="CF237" i="20" s="1"/>
  <c r="BZ237" i="20"/>
  <c r="CE237" i="20" s="1"/>
  <c r="BY237" i="20"/>
  <c r="CD237" i="20" s="1"/>
  <c r="BW237" i="20"/>
  <c r="BX237" i="20" s="1"/>
  <c r="BM237" i="20"/>
  <c r="R237" i="20"/>
  <c r="Q237" i="20"/>
  <c r="P237" i="20"/>
  <c r="O237" i="20"/>
  <c r="M237" i="20"/>
  <c r="L237" i="20"/>
  <c r="K237" i="20"/>
  <c r="J237" i="20"/>
  <c r="I237" i="20"/>
  <c r="CA236" i="20"/>
  <c r="CF236" i="20" s="1"/>
  <c r="BZ236" i="20"/>
  <c r="CE236" i="20" s="1"/>
  <c r="BY236" i="20"/>
  <c r="CD236" i="20" s="1"/>
  <c r="BW236" i="20"/>
  <c r="BX236" i="20" s="1"/>
  <c r="BM236" i="20"/>
  <c r="R236" i="20"/>
  <c r="Q236" i="20"/>
  <c r="P236" i="20"/>
  <c r="O236" i="20"/>
  <c r="M236" i="20"/>
  <c r="L236" i="20"/>
  <c r="K236" i="20"/>
  <c r="J236" i="20"/>
  <c r="I236" i="20"/>
  <c r="CA235" i="20"/>
  <c r="CF235" i="20" s="1"/>
  <c r="BZ235" i="20"/>
  <c r="CE235" i="20" s="1"/>
  <c r="BY235" i="20"/>
  <c r="CD235" i="20" s="1"/>
  <c r="BW235" i="20"/>
  <c r="BX235" i="20" s="1"/>
  <c r="BM235" i="20"/>
  <c r="R235" i="20"/>
  <c r="Q235" i="20"/>
  <c r="P235" i="20"/>
  <c r="O235" i="20"/>
  <c r="M235" i="20"/>
  <c r="L235" i="20"/>
  <c r="K235" i="20"/>
  <c r="J235" i="20"/>
  <c r="I235" i="20"/>
  <c r="CA234" i="20"/>
  <c r="CF234" i="20" s="1"/>
  <c r="BZ234" i="20"/>
  <c r="CE234" i="20" s="1"/>
  <c r="BY234" i="20"/>
  <c r="CD234" i="20" s="1"/>
  <c r="BM234" i="20"/>
  <c r="BW234" i="20"/>
  <c r="BX234" i="20" s="1"/>
  <c r="R234" i="20"/>
  <c r="Q234" i="20"/>
  <c r="P234" i="20"/>
  <c r="O234" i="20"/>
  <c r="M234" i="20"/>
  <c r="L234" i="20"/>
  <c r="K234" i="20"/>
  <c r="J234" i="20"/>
  <c r="I234" i="20"/>
  <c r="BM233" i="20"/>
  <c r="Z233" i="20"/>
  <c r="X233" i="20"/>
  <c r="V233" i="20"/>
  <c r="CA232" i="20"/>
  <c r="CF232" i="20" s="1"/>
  <c r="BZ232" i="20"/>
  <c r="CE232" i="20" s="1"/>
  <c r="BY232" i="20"/>
  <c r="CD232" i="20" s="1"/>
  <c r="BW232" i="20"/>
  <c r="BX232" i="20" s="1"/>
  <c r="BM232" i="20"/>
  <c r="R232" i="20"/>
  <c r="Q232" i="20"/>
  <c r="P232" i="20"/>
  <c r="O232" i="20"/>
  <c r="M232" i="20"/>
  <c r="L232" i="20"/>
  <c r="K232" i="20"/>
  <c r="J232" i="20"/>
  <c r="I232" i="20"/>
  <c r="CA231" i="20"/>
  <c r="CF231" i="20" s="1"/>
  <c r="BZ231" i="20"/>
  <c r="CE231" i="20" s="1"/>
  <c r="BY231" i="20"/>
  <c r="CD231" i="20" s="1"/>
  <c r="BW231" i="20"/>
  <c r="BX231" i="20" s="1"/>
  <c r="BM231" i="20"/>
  <c r="R231" i="20"/>
  <c r="Q231" i="20"/>
  <c r="P231" i="20"/>
  <c r="O231" i="20"/>
  <c r="M231" i="20"/>
  <c r="L231" i="20"/>
  <c r="K231" i="20"/>
  <c r="J231" i="20"/>
  <c r="I231" i="20"/>
  <c r="CA230" i="20"/>
  <c r="CF230" i="20" s="1"/>
  <c r="BZ230" i="20"/>
  <c r="CE230" i="20" s="1"/>
  <c r="BY230" i="20"/>
  <c r="CD230" i="20" s="1"/>
  <c r="BW230" i="20"/>
  <c r="BX230" i="20" s="1"/>
  <c r="BM230" i="20"/>
  <c r="R230" i="20"/>
  <c r="Q230" i="20"/>
  <c r="P230" i="20"/>
  <c r="O230" i="20"/>
  <c r="M230" i="20"/>
  <c r="L230" i="20"/>
  <c r="K230" i="20"/>
  <c r="J230" i="20"/>
  <c r="I230" i="20"/>
  <c r="CA229" i="20"/>
  <c r="CF229" i="20" s="1"/>
  <c r="BZ229" i="20"/>
  <c r="CE229" i="20" s="1"/>
  <c r="BY229" i="20"/>
  <c r="CD229" i="20" s="1"/>
  <c r="BW229" i="20"/>
  <c r="BX229" i="20" s="1"/>
  <c r="BM229" i="20"/>
  <c r="R229" i="20"/>
  <c r="Q229" i="20"/>
  <c r="P229" i="20"/>
  <c r="O229" i="20"/>
  <c r="M229" i="20"/>
  <c r="L229" i="20"/>
  <c r="K229" i="20"/>
  <c r="J229" i="20"/>
  <c r="I229" i="20"/>
  <c r="CF228" i="20"/>
  <c r="BZ228" i="20"/>
  <c r="CE228" i="20" s="1"/>
  <c r="BY228" i="20"/>
  <c r="CD228" i="20" s="1"/>
  <c r="BW228" i="20"/>
  <c r="BX228" i="20" s="1"/>
  <c r="BM228" i="20"/>
  <c r="R228" i="20"/>
  <c r="Q228" i="20"/>
  <c r="P228" i="20"/>
  <c r="O228" i="20"/>
  <c r="M228" i="20"/>
  <c r="L228" i="20"/>
  <c r="K228" i="20"/>
  <c r="J228" i="20"/>
  <c r="I228" i="20"/>
  <c r="CA227" i="20"/>
  <c r="CF227" i="20" s="1"/>
  <c r="BZ227" i="20"/>
  <c r="CE227" i="20" s="1"/>
  <c r="BY227" i="20"/>
  <c r="CD227" i="20" s="1"/>
  <c r="BW227" i="20"/>
  <c r="BX227" i="20" s="1"/>
  <c r="BM227" i="20"/>
  <c r="R227" i="20"/>
  <c r="Q227" i="20"/>
  <c r="P227" i="20"/>
  <c r="O227" i="20"/>
  <c r="M227" i="20"/>
  <c r="L227" i="20"/>
  <c r="K227" i="20"/>
  <c r="J227" i="20"/>
  <c r="I227" i="20"/>
  <c r="CA226" i="20"/>
  <c r="CF226" i="20" s="1"/>
  <c r="BZ226" i="20"/>
  <c r="CE226" i="20" s="1"/>
  <c r="BY226" i="20"/>
  <c r="CD226" i="20" s="1"/>
  <c r="BW226" i="20"/>
  <c r="BX226" i="20" s="1"/>
  <c r="BM226" i="20"/>
  <c r="R226" i="20"/>
  <c r="Q226" i="20"/>
  <c r="P226" i="20"/>
  <c r="O226" i="20"/>
  <c r="M226" i="20"/>
  <c r="L226" i="20"/>
  <c r="K226" i="20"/>
  <c r="J226" i="20"/>
  <c r="I226" i="20"/>
  <c r="BM225" i="20"/>
  <c r="AB225" i="20"/>
  <c r="Z225" i="20"/>
  <c r="X225" i="20"/>
  <c r="V225" i="20"/>
  <c r="BZ224" i="20"/>
  <c r="CE224" i="20" s="1"/>
  <c r="BY224" i="20"/>
  <c r="CD224" i="20" s="1"/>
  <c r="BW224" i="20"/>
  <c r="BX224" i="20" s="1"/>
  <c r="BM224" i="20"/>
  <c r="R224" i="20"/>
  <c r="Q224" i="20"/>
  <c r="P224" i="20"/>
  <c r="O224" i="20"/>
  <c r="M224" i="20"/>
  <c r="L224" i="20"/>
  <c r="K224" i="20"/>
  <c r="J224" i="20"/>
  <c r="I224" i="20"/>
  <c r="CF223" i="20"/>
  <c r="BZ223" i="20"/>
  <c r="CE223" i="20" s="1"/>
  <c r="BY223" i="20"/>
  <c r="CD223" i="20" s="1"/>
  <c r="BW223" i="20"/>
  <c r="BX223" i="20" s="1"/>
  <c r="BM223" i="20"/>
  <c r="R223" i="20"/>
  <c r="Q223" i="20"/>
  <c r="P223" i="20"/>
  <c r="O223" i="20"/>
  <c r="M223" i="20"/>
  <c r="L223" i="20"/>
  <c r="K223" i="20"/>
  <c r="J223" i="20"/>
  <c r="I223" i="20"/>
  <c r="CA222" i="20"/>
  <c r="CF222" i="20" s="1"/>
  <c r="BZ222" i="20"/>
  <c r="CE222" i="20" s="1"/>
  <c r="BY222" i="20"/>
  <c r="CD222" i="20" s="1"/>
  <c r="BW222" i="20"/>
  <c r="BX222" i="20" s="1"/>
  <c r="BM222" i="20"/>
  <c r="R222" i="20"/>
  <c r="Q222" i="20"/>
  <c r="P222" i="20"/>
  <c r="O222" i="20"/>
  <c r="M222" i="20"/>
  <c r="L222" i="20"/>
  <c r="K222" i="20"/>
  <c r="J222" i="20"/>
  <c r="I222" i="20"/>
  <c r="CA221" i="20"/>
  <c r="CF221" i="20" s="1"/>
  <c r="BZ221" i="20"/>
  <c r="CE221" i="20" s="1"/>
  <c r="BY221" i="20"/>
  <c r="CD221" i="20" s="1"/>
  <c r="BW221" i="20"/>
  <c r="BX221" i="20" s="1"/>
  <c r="BM221" i="20"/>
  <c r="R221" i="20"/>
  <c r="Q221" i="20"/>
  <c r="P221" i="20"/>
  <c r="O221" i="20"/>
  <c r="M221" i="20"/>
  <c r="L221" i="20"/>
  <c r="K221" i="20"/>
  <c r="J221" i="20"/>
  <c r="I221" i="20"/>
  <c r="CA220" i="20"/>
  <c r="CF220" i="20" s="1"/>
  <c r="BZ220" i="20"/>
  <c r="CE220" i="20" s="1"/>
  <c r="BY220" i="20"/>
  <c r="CD220" i="20" s="1"/>
  <c r="BW220" i="20"/>
  <c r="BX220" i="20" s="1"/>
  <c r="BM220" i="20"/>
  <c r="R220" i="20"/>
  <c r="Q220" i="20"/>
  <c r="P220" i="20"/>
  <c r="O220" i="20"/>
  <c r="M220" i="20"/>
  <c r="L220" i="20"/>
  <c r="K220" i="20"/>
  <c r="J220" i="20"/>
  <c r="I220" i="20"/>
  <c r="BM219" i="20"/>
  <c r="Z219" i="20"/>
  <c r="X219" i="20"/>
  <c r="V219" i="20"/>
  <c r="CA218" i="20"/>
  <c r="CF218" i="20" s="1"/>
  <c r="BZ218" i="20"/>
  <c r="CE218" i="20" s="1"/>
  <c r="BY218" i="20"/>
  <c r="CD218" i="20" s="1"/>
  <c r="BW218" i="20"/>
  <c r="BX218" i="20" s="1"/>
  <c r="BM218" i="20"/>
  <c r="R218" i="20"/>
  <c r="Q218" i="20"/>
  <c r="P218" i="20"/>
  <c r="O218" i="20"/>
  <c r="M218" i="20"/>
  <c r="L218" i="20"/>
  <c r="K218" i="20"/>
  <c r="J218" i="20"/>
  <c r="I218" i="20"/>
  <c r="CA217" i="20"/>
  <c r="CF217" i="20" s="1"/>
  <c r="BZ217" i="20"/>
  <c r="CE217" i="20" s="1"/>
  <c r="BY217" i="20"/>
  <c r="CD217" i="20" s="1"/>
  <c r="BW217" i="20"/>
  <c r="BX217" i="20" s="1"/>
  <c r="BM217" i="20"/>
  <c r="R217" i="20"/>
  <c r="Q217" i="20"/>
  <c r="P217" i="20"/>
  <c r="O217" i="20"/>
  <c r="M217" i="20"/>
  <c r="L217" i="20"/>
  <c r="K217" i="20"/>
  <c r="J217" i="20"/>
  <c r="I217" i="20"/>
  <c r="CA216" i="20"/>
  <c r="CF216" i="20" s="1"/>
  <c r="BZ216" i="20"/>
  <c r="CE216" i="20" s="1"/>
  <c r="BY216" i="20"/>
  <c r="CD216" i="20" s="1"/>
  <c r="BW216" i="20"/>
  <c r="BX216" i="20" s="1"/>
  <c r="BM216" i="20"/>
  <c r="R216" i="20"/>
  <c r="Q216" i="20"/>
  <c r="P216" i="20"/>
  <c r="O216" i="20"/>
  <c r="M216" i="20"/>
  <c r="L216" i="20"/>
  <c r="K216" i="20"/>
  <c r="J216" i="20"/>
  <c r="I216" i="20"/>
  <c r="CA215" i="20"/>
  <c r="CF215" i="20" s="1"/>
  <c r="BZ215" i="20"/>
  <c r="CE215" i="20" s="1"/>
  <c r="BY215" i="20"/>
  <c r="CD215" i="20" s="1"/>
  <c r="BW215" i="20"/>
  <c r="BX215" i="20" s="1"/>
  <c r="BM215" i="20"/>
  <c r="R215" i="20"/>
  <c r="Q215" i="20"/>
  <c r="P215" i="20"/>
  <c r="O215" i="20"/>
  <c r="M215" i="20"/>
  <c r="L215" i="20"/>
  <c r="K215" i="20"/>
  <c r="J215" i="20"/>
  <c r="I215" i="20"/>
  <c r="CA214" i="20"/>
  <c r="CF214" i="20" s="1"/>
  <c r="BZ214" i="20"/>
  <c r="CE214" i="20" s="1"/>
  <c r="BY214" i="20"/>
  <c r="CD214" i="20" s="1"/>
  <c r="BW214" i="20"/>
  <c r="BX214" i="20" s="1"/>
  <c r="BM214" i="20"/>
  <c r="R214" i="20"/>
  <c r="Q214" i="20"/>
  <c r="P214" i="20"/>
  <c r="O214" i="20"/>
  <c r="M214" i="20"/>
  <c r="L214" i="20"/>
  <c r="K214" i="20"/>
  <c r="J214" i="20"/>
  <c r="I214" i="20"/>
  <c r="CA213" i="20"/>
  <c r="CF213" i="20" s="1"/>
  <c r="BZ213" i="20"/>
  <c r="CE213" i="20" s="1"/>
  <c r="BY213" i="20"/>
  <c r="CD213" i="20" s="1"/>
  <c r="BW213" i="20"/>
  <c r="BX213" i="20" s="1"/>
  <c r="BM213" i="20"/>
  <c r="R213" i="20"/>
  <c r="Q213" i="20"/>
  <c r="O213" i="20"/>
  <c r="M213" i="20"/>
  <c r="L213" i="20"/>
  <c r="K213" i="20"/>
  <c r="J213" i="20"/>
  <c r="I213" i="20"/>
  <c r="CA212" i="20"/>
  <c r="CF212" i="20" s="1"/>
  <c r="BZ212" i="20"/>
  <c r="CE212" i="20" s="1"/>
  <c r="BY212" i="20"/>
  <c r="CD212" i="20" s="1"/>
  <c r="BW212" i="20"/>
  <c r="BX212" i="20" s="1"/>
  <c r="BM212" i="20"/>
  <c r="R212" i="20"/>
  <c r="Q212" i="20"/>
  <c r="P212" i="20"/>
  <c r="O212" i="20"/>
  <c r="M212" i="20"/>
  <c r="L212" i="20"/>
  <c r="K212" i="20"/>
  <c r="J212" i="20"/>
  <c r="I212" i="20"/>
  <c r="CA211" i="20"/>
  <c r="CF211" i="20" s="1"/>
  <c r="BZ211" i="20"/>
  <c r="CE211" i="20" s="1"/>
  <c r="BY211" i="20"/>
  <c r="CD211" i="20" s="1"/>
  <c r="BW211" i="20"/>
  <c r="BX211" i="20" s="1"/>
  <c r="BM211" i="20"/>
  <c r="R211" i="20"/>
  <c r="Q211" i="20"/>
  <c r="P211" i="20"/>
  <c r="O211" i="20"/>
  <c r="M211" i="20"/>
  <c r="L211" i="20"/>
  <c r="K211" i="20"/>
  <c r="J211" i="20"/>
  <c r="I211" i="20"/>
  <c r="BM210" i="20"/>
  <c r="AB210" i="20"/>
  <c r="Z210" i="20"/>
  <c r="X210" i="20"/>
  <c r="V210" i="20"/>
  <c r="CA209" i="20"/>
  <c r="CF209" i="20" s="1"/>
  <c r="BZ209" i="20"/>
  <c r="CE209" i="20" s="1"/>
  <c r="BY209" i="20"/>
  <c r="CD209" i="20" s="1"/>
  <c r="BW209" i="20"/>
  <c r="BX209" i="20" s="1"/>
  <c r="BM209" i="20"/>
  <c r="R209" i="20"/>
  <c r="Q209" i="20"/>
  <c r="P209" i="20"/>
  <c r="O209" i="20"/>
  <c r="M209" i="20"/>
  <c r="L209" i="20"/>
  <c r="K209" i="20"/>
  <c r="J209" i="20"/>
  <c r="I209" i="20"/>
  <c r="CA208" i="20"/>
  <c r="CF208" i="20" s="1"/>
  <c r="BZ208" i="20"/>
  <c r="CE208" i="20" s="1"/>
  <c r="BY208" i="20"/>
  <c r="CD208" i="20" s="1"/>
  <c r="BW208" i="20"/>
  <c r="BX208" i="20" s="1"/>
  <c r="BM208" i="20"/>
  <c r="R208" i="20"/>
  <c r="Q208" i="20"/>
  <c r="P208" i="20"/>
  <c r="O208" i="20"/>
  <c r="M208" i="20"/>
  <c r="L208" i="20"/>
  <c r="K208" i="20"/>
  <c r="J208" i="20"/>
  <c r="I208" i="20"/>
  <c r="CA207" i="20"/>
  <c r="CF207" i="20" s="1"/>
  <c r="BZ207" i="20"/>
  <c r="CE207" i="20" s="1"/>
  <c r="BY207" i="20"/>
  <c r="CD207" i="20" s="1"/>
  <c r="BW207" i="20"/>
  <c r="BX207" i="20" s="1"/>
  <c r="BM207" i="20"/>
  <c r="R207" i="20"/>
  <c r="Q207" i="20"/>
  <c r="P207" i="20"/>
  <c r="O207" i="20"/>
  <c r="M207" i="20"/>
  <c r="L207" i="20"/>
  <c r="K207" i="20"/>
  <c r="J207" i="20"/>
  <c r="I207" i="20"/>
  <c r="CA206" i="20"/>
  <c r="CF206" i="20" s="1"/>
  <c r="BZ206" i="20"/>
  <c r="CE206" i="20" s="1"/>
  <c r="BY206" i="20"/>
  <c r="CD206" i="20" s="1"/>
  <c r="BW206" i="20"/>
  <c r="BX206" i="20" s="1"/>
  <c r="BM206" i="20"/>
  <c r="R206" i="20"/>
  <c r="Q206" i="20"/>
  <c r="P206" i="20"/>
  <c r="O206" i="20"/>
  <c r="M206" i="20"/>
  <c r="L206" i="20"/>
  <c r="K206" i="20"/>
  <c r="J206" i="20"/>
  <c r="I206" i="20"/>
  <c r="CA205" i="20"/>
  <c r="CF205" i="20" s="1"/>
  <c r="BZ205" i="20"/>
  <c r="CE205" i="20" s="1"/>
  <c r="BY205" i="20"/>
  <c r="CD205" i="20" s="1"/>
  <c r="BW205" i="20"/>
  <c r="BX205" i="20" s="1"/>
  <c r="BM205" i="20"/>
  <c r="R205" i="20"/>
  <c r="Q205" i="20"/>
  <c r="P205" i="20"/>
  <c r="O205" i="20"/>
  <c r="M205" i="20"/>
  <c r="L205" i="20"/>
  <c r="K205" i="20"/>
  <c r="J205" i="20"/>
  <c r="I205" i="20"/>
  <c r="CA204" i="20"/>
  <c r="CF204" i="20" s="1"/>
  <c r="BZ204" i="20"/>
  <c r="CE204" i="20" s="1"/>
  <c r="BY204" i="20"/>
  <c r="CD204" i="20" s="1"/>
  <c r="BW204" i="20"/>
  <c r="BX204" i="20" s="1"/>
  <c r="BM204" i="20"/>
  <c r="R204" i="20"/>
  <c r="Q204" i="20"/>
  <c r="P204" i="20"/>
  <c r="O204" i="20"/>
  <c r="M204" i="20"/>
  <c r="L204" i="20"/>
  <c r="K204" i="20"/>
  <c r="J204" i="20"/>
  <c r="I204" i="20"/>
  <c r="CA203" i="20"/>
  <c r="CF203" i="20" s="1"/>
  <c r="BZ203" i="20"/>
  <c r="CE203" i="20" s="1"/>
  <c r="BY203" i="20"/>
  <c r="CD203" i="20" s="1"/>
  <c r="BW203" i="20"/>
  <c r="BX203" i="20" s="1"/>
  <c r="BM203" i="20"/>
  <c r="R203" i="20"/>
  <c r="Q203" i="20"/>
  <c r="P203" i="20"/>
  <c r="O203" i="20"/>
  <c r="M203" i="20"/>
  <c r="L203" i="20"/>
  <c r="K203" i="20"/>
  <c r="J203" i="20"/>
  <c r="I203" i="20"/>
  <c r="CA202" i="20"/>
  <c r="CF202" i="20" s="1"/>
  <c r="BZ202" i="20"/>
  <c r="CE202" i="20" s="1"/>
  <c r="BY202" i="20"/>
  <c r="CD202" i="20" s="1"/>
  <c r="BW202" i="20"/>
  <c r="BX202" i="20" s="1"/>
  <c r="BM202" i="20"/>
  <c r="R202" i="20"/>
  <c r="Q202" i="20"/>
  <c r="P202" i="20"/>
  <c r="O202" i="20"/>
  <c r="M202" i="20"/>
  <c r="L202" i="20"/>
  <c r="K202" i="20"/>
  <c r="J202" i="20"/>
  <c r="I202" i="20"/>
  <c r="CA201" i="20"/>
  <c r="CF201" i="20" s="1"/>
  <c r="BZ201" i="20"/>
  <c r="CE201" i="20" s="1"/>
  <c r="BY201" i="20"/>
  <c r="CD201" i="20" s="1"/>
  <c r="BW201" i="20"/>
  <c r="BX201" i="20" s="1"/>
  <c r="BM201" i="20"/>
  <c r="R201" i="20"/>
  <c r="Q201" i="20"/>
  <c r="P201" i="20"/>
  <c r="O201" i="20"/>
  <c r="M201" i="20"/>
  <c r="L201" i="20"/>
  <c r="K201" i="20"/>
  <c r="J201" i="20"/>
  <c r="I201" i="20"/>
  <c r="CA200" i="20"/>
  <c r="CF200" i="20" s="1"/>
  <c r="BZ200" i="20"/>
  <c r="CE200" i="20" s="1"/>
  <c r="BY200" i="20"/>
  <c r="CD200" i="20" s="1"/>
  <c r="BW200" i="20"/>
  <c r="BX200" i="20" s="1"/>
  <c r="BM200" i="20"/>
  <c r="R200" i="20"/>
  <c r="Q200" i="20"/>
  <c r="P200" i="20"/>
  <c r="O200" i="20"/>
  <c r="M200" i="20"/>
  <c r="L200" i="20"/>
  <c r="K200" i="20"/>
  <c r="J200" i="20"/>
  <c r="I200" i="20"/>
  <c r="BM199" i="20"/>
  <c r="AB199" i="20"/>
  <c r="Z199" i="20"/>
  <c r="X199" i="20"/>
  <c r="V199" i="20"/>
  <c r="CA198" i="20"/>
  <c r="CF198" i="20" s="1"/>
  <c r="BZ198" i="20"/>
  <c r="CE198" i="20" s="1"/>
  <c r="BY198" i="20"/>
  <c r="CD198" i="20" s="1"/>
  <c r="BW198" i="20"/>
  <c r="BX198" i="20" s="1"/>
  <c r="BM198" i="20"/>
  <c r="R198" i="20"/>
  <c r="Q198" i="20"/>
  <c r="P198" i="20"/>
  <c r="O198" i="20"/>
  <c r="M198" i="20"/>
  <c r="L198" i="20"/>
  <c r="K198" i="20"/>
  <c r="J198" i="20"/>
  <c r="I198" i="20"/>
  <c r="CA197" i="20"/>
  <c r="CF197" i="20" s="1"/>
  <c r="BZ197" i="20"/>
  <c r="CE197" i="20" s="1"/>
  <c r="BY197" i="20"/>
  <c r="CD197" i="20" s="1"/>
  <c r="BW197" i="20"/>
  <c r="BX197" i="20" s="1"/>
  <c r="BM197" i="20"/>
  <c r="R197" i="20"/>
  <c r="Q197" i="20"/>
  <c r="P197" i="20"/>
  <c r="O197" i="20"/>
  <c r="M197" i="20"/>
  <c r="L197" i="20"/>
  <c r="K197" i="20"/>
  <c r="J197" i="20"/>
  <c r="I197" i="20"/>
  <c r="CA196" i="20"/>
  <c r="CF196" i="20" s="1"/>
  <c r="BZ196" i="20"/>
  <c r="CE196" i="20" s="1"/>
  <c r="BY196" i="20"/>
  <c r="CD196" i="20" s="1"/>
  <c r="BW196" i="20"/>
  <c r="BX196" i="20" s="1"/>
  <c r="BM196" i="20"/>
  <c r="R196" i="20"/>
  <c r="Q196" i="20"/>
  <c r="P196" i="20"/>
  <c r="O196" i="20"/>
  <c r="M196" i="20"/>
  <c r="L196" i="20"/>
  <c r="K196" i="20"/>
  <c r="J196" i="20"/>
  <c r="I196" i="20"/>
  <c r="CA195" i="20"/>
  <c r="CF195" i="20" s="1"/>
  <c r="BZ195" i="20"/>
  <c r="CE195" i="20" s="1"/>
  <c r="BY195" i="20"/>
  <c r="CD195" i="20" s="1"/>
  <c r="BW195" i="20"/>
  <c r="BX195" i="20" s="1"/>
  <c r="BM195" i="20"/>
  <c r="R195" i="20"/>
  <c r="Q195" i="20"/>
  <c r="P195" i="20"/>
  <c r="O195" i="20"/>
  <c r="M195" i="20"/>
  <c r="L195" i="20"/>
  <c r="K195" i="20"/>
  <c r="J195" i="20"/>
  <c r="I195" i="20"/>
  <c r="CA194" i="20"/>
  <c r="CF194" i="20" s="1"/>
  <c r="BZ194" i="20"/>
  <c r="CE194" i="20" s="1"/>
  <c r="BY194" i="20"/>
  <c r="CD194" i="20" s="1"/>
  <c r="BW194" i="20"/>
  <c r="BX194" i="20" s="1"/>
  <c r="BM194" i="20"/>
  <c r="R194" i="20"/>
  <c r="Q194" i="20"/>
  <c r="P194" i="20"/>
  <c r="O194" i="20"/>
  <c r="M194" i="20"/>
  <c r="L194" i="20"/>
  <c r="K194" i="20"/>
  <c r="J194" i="20"/>
  <c r="I194" i="20"/>
  <c r="CA193" i="20"/>
  <c r="CF193" i="20" s="1"/>
  <c r="BZ193" i="20"/>
  <c r="CE193" i="20" s="1"/>
  <c r="BY193" i="20"/>
  <c r="CD193" i="20" s="1"/>
  <c r="BW193" i="20"/>
  <c r="BX193" i="20" s="1"/>
  <c r="BM193" i="20"/>
  <c r="R193" i="20"/>
  <c r="Q193" i="20"/>
  <c r="P193" i="20"/>
  <c r="O193" i="20"/>
  <c r="M193" i="20"/>
  <c r="L193" i="20"/>
  <c r="K193" i="20"/>
  <c r="J193" i="20"/>
  <c r="I193" i="20"/>
  <c r="CA192" i="20"/>
  <c r="CF192" i="20" s="1"/>
  <c r="BZ192" i="20"/>
  <c r="CE192" i="20" s="1"/>
  <c r="BY192" i="20"/>
  <c r="CD192" i="20" s="1"/>
  <c r="BW192" i="20"/>
  <c r="BX192" i="20" s="1"/>
  <c r="BM192" i="20"/>
  <c r="R192" i="20"/>
  <c r="Q192" i="20"/>
  <c r="P192" i="20"/>
  <c r="O192" i="20"/>
  <c r="M192" i="20"/>
  <c r="L192" i="20"/>
  <c r="K192" i="20"/>
  <c r="J192" i="20"/>
  <c r="I192" i="20"/>
  <c r="BM191" i="20"/>
  <c r="AB191" i="20"/>
  <c r="Z191" i="20"/>
  <c r="X191" i="20"/>
  <c r="V191" i="20"/>
  <c r="CA189" i="20"/>
  <c r="CF189" i="20" s="1"/>
  <c r="BZ189" i="20"/>
  <c r="CE189" i="20" s="1"/>
  <c r="BY189" i="20"/>
  <c r="CD189" i="20" s="1"/>
  <c r="BW189" i="20"/>
  <c r="BX189" i="20" s="1"/>
  <c r="BM189" i="20"/>
  <c r="R189" i="20"/>
  <c r="Q189" i="20"/>
  <c r="P189" i="20"/>
  <c r="O189" i="20"/>
  <c r="M189" i="20"/>
  <c r="L189" i="20"/>
  <c r="K189" i="20"/>
  <c r="J189" i="20"/>
  <c r="I189" i="20"/>
  <c r="CA188" i="20"/>
  <c r="CF188" i="20" s="1"/>
  <c r="BZ188" i="20"/>
  <c r="CE188" i="20" s="1"/>
  <c r="BM188" i="20"/>
  <c r="BW188" i="20"/>
  <c r="BX188" i="20" s="1"/>
  <c r="R188" i="20"/>
  <c r="Q188" i="20"/>
  <c r="P188" i="20"/>
  <c r="O188" i="20"/>
  <c r="M188" i="20"/>
  <c r="L188" i="20"/>
  <c r="K188" i="20"/>
  <c r="J188" i="20"/>
  <c r="I188" i="20"/>
  <c r="CA187" i="20"/>
  <c r="CF187" i="20" s="1"/>
  <c r="BZ187" i="20"/>
  <c r="CE187" i="20" s="1"/>
  <c r="BY187" i="20"/>
  <c r="CD187" i="20" s="1"/>
  <c r="BW187" i="20"/>
  <c r="BX187" i="20" s="1"/>
  <c r="BM187" i="20"/>
  <c r="R187" i="20"/>
  <c r="Q187" i="20"/>
  <c r="P187" i="20"/>
  <c r="O187" i="20"/>
  <c r="M187" i="20"/>
  <c r="L187" i="20"/>
  <c r="K187" i="20"/>
  <c r="J187" i="20"/>
  <c r="I187" i="20"/>
  <c r="CA186" i="20"/>
  <c r="CF186" i="20" s="1"/>
  <c r="BZ186" i="20"/>
  <c r="CE186" i="20" s="1"/>
  <c r="BY186" i="20"/>
  <c r="CD186" i="20" s="1"/>
  <c r="BW186" i="20"/>
  <c r="BX186" i="20" s="1"/>
  <c r="BM186" i="20"/>
  <c r="R186" i="20"/>
  <c r="Q186" i="20"/>
  <c r="P186" i="20"/>
  <c r="O186" i="20"/>
  <c r="M186" i="20"/>
  <c r="L186" i="20"/>
  <c r="K186" i="20"/>
  <c r="J186" i="20"/>
  <c r="I186" i="20"/>
  <c r="CA185" i="20"/>
  <c r="CF185" i="20" s="1"/>
  <c r="BZ185" i="20"/>
  <c r="CE185" i="20" s="1"/>
  <c r="BY185" i="20"/>
  <c r="CD185" i="20" s="1"/>
  <c r="BW185" i="20"/>
  <c r="BX185" i="20" s="1"/>
  <c r="BM185" i="20"/>
  <c r="R185" i="20"/>
  <c r="Q185" i="20"/>
  <c r="P185" i="20"/>
  <c r="O185" i="20"/>
  <c r="M185" i="20"/>
  <c r="L185" i="20"/>
  <c r="K185" i="20"/>
  <c r="J185" i="20"/>
  <c r="I185" i="20"/>
  <c r="CA184" i="20"/>
  <c r="CF184" i="20" s="1"/>
  <c r="BZ184" i="20"/>
  <c r="CE184" i="20" s="1"/>
  <c r="BY184" i="20"/>
  <c r="CD184" i="20" s="1"/>
  <c r="BW184" i="20"/>
  <c r="BX184" i="20" s="1"/>
  <c r="BM184" i="20"/>
  <c r="R184" i="20"/>
  <c r="Q184" i="20"/>
  <c r="P184" i="20"/>
  <c r="O184" i="20"/>
  <c r="M184" i="20"/>
  <c r="L184" i="20"/>
  <c r="K184" i="20"/>
  <c r="J184" i="20"/>
  <c r="I184" i="20"/>
  <c r="CA183" i="20"/>
  <c r="CF183" i="20" s="1"/>
  <c r="BZ183" i="20"/>
  <c r="CE183" i="20" s="1"/>
  <c r="BY183" i="20"/>
  <c r="CD183" i="20" s="1"/>
  <c r="BW183" i="20"/>
  <c r="BX183" i="20" s="1"/>
  <c r="BM183" i="20"/>
  <c r="R183" i="20"/>
  <c r="Q183" i="20"/>
  <c r="P183" i="20"/>
  <c r="O183" i="20"/>
  <c r="M183" i="20"/>
  <c r="L183" i="20"/>
  <c r="K183" i="20"/>
  <c r="J183" i="20"/>
  <c r="I183" i="20"/>
  <c r="CA182" i="20"/>
  <c r="CF182" i="20" s="1"/>
  <c r="BZ182" i="20"/>
  <c r="CE182" i="20" s="1"/>
  <c r="BY182" i="20"/>
  <c r="CD182" i="20" s="1"/>
  <c r="BW182" i="20"/>
  <c r="BX182" i="20" s="1"/>
  <c r="BM182" i="20"/>
  <c r="R182" i="20"/>
  <c r="Q182" i="20"/>
  <c r="P182" i="20"/>
  <c r="O182" i="20"/>
  <c r="M182" i="20"/>
  <c r="L182" i="20"/>
  <c r="K182" i="20"/>
  <c r="J182" i="20"/>
  <c r="I182" i="20"/>
  <c r="CA181" i="20"/>
  <c r="CF181" i="20" s="1"/>
  <c r="BZ181" i="20"/>
  <c r="CE181" i="20" s="1"/>
  <c r="BY181" i="20"/>
  <c r="CD181" i="20" s="1"/>
  <c r="BW181" i="20"/>
  <c r="BX181" i="20" s="1"/>
  <c r="BM181" i="20"/>
  <c r="R181" i="20"/>
  <c r="Q181" i="20"/>
  <c r="P181" i="20"/>
  <c r="O181" i="20"/>
  <c r="M181" i="20"/>
  <c r="L181" i="20"/>
  <c r="K181" i="20"/>
  <c r="J181" i="20"/>
  <c r="I181" i="20"/>
  <c r="CA180" i="20"/>
  <c r="CF180" i="20" s="1"/>
  <c r="BZ180" i="20"/>
  <c r="CE180" i="20" s="1"/>
  <c r="BY180" i="20"/>
  <c r="CD180" i="20" s="1"/>
  <c r="BW180" i="20"/>
  <c r="BX180" i="20" s="1"/>
  <c r="BM180" i="20"/>
  <c r="R180" i="20"/>
  <c r="Q180" i="20"/>
  <c r="P180" i="20"/>
  <c r="O180" i="20"/>
  <c r="M180" i="20"/>
  <c r="L180" i="20"/>
  <c r="K180" i="20"/>
  <c r="J180" i="20"/>
  <c r="I180" i="20"/>
  <c r="BM179" i="20"/>
  <c r="AB179" i="20"/>
  <c r="Z179" i="20"/>
  <c r="X179" i="20"/>
  <c r="V179" i="20"/>
  <c r="CA177" i="20"/>
  <c r="CF177" i="20" s="1"/>
  <c r="BZ177" i="20"/>
  <c r="CE177" i="20" s="1"/>
  <c r="BY177" i="20"/>
  <c r="CD177" i="20" s="1"/>
  <c r="BW177" i="20"/>
  <c r="BX177" i="20" s="1"/>
  <c r="BM177" i="20"/>
  <c r="R177" i="20"/>
  <c r="Q177" i="20"/>
  <c r="P177" i="20"/>
  <c r="O177" i="20"/>
  <c r="L177" i="20"/>
  <c r="K177" i="20"/>
  <c r="J177" i="20"/>
  <c r="I177" i="20"/>
  <c r="CA176" i="20"/>
  <c r="CF176" i="20" s="1"/>
  <c r="BZ176" i="20"/>
  <c r="CE176" i="20" s="1"/>
  <c r="BY176" i="20"/>
  <c r="CD176" i="20" s="1"/>
  <c r="BW176" i="20"/>
  <c r="BX176" i="20" s="1"/>
  <c r="BM176" i="20"/>
  <c r="R176" i="20"/>
  <c r="Q176" i="20"/>
  <c r="P176" i="20"/>
  <c r="O176" i="20"/>
  <c r="L176" i="20"/>
  <c r="K176" i="20"/>
  <c r="J176" i="20"/>
  <c r="I176" i="20"/>
  <c r="CA175" i="20"/>
  <c r="CF175" i="20" s="1"/>
  <c r="BZ175" i="20"/>
  <c r="CE175" i="20" s="1"/>
  <c r="BY175" i="20"/>
  <c r="CD175" i="20" s="1"/>
  <c r="BW175" i="20"/>
  <c r="BX175" i="20" s="1"/>
  <c r="BM175" i="20"/>
  <c r="R175" i="20"/>
  <c r="Q175" i="20"/>
  <c r="P175" i="20"/>
  <c r="O175" i="20"/>
  <c r="L175" i="20"/>
  <c r="K175" i="20"/>
  <c r="J175" i="20"/>
  <c r="I175" i="20"/>
  <c r="CA174" i="20"/>
  <c r="CF174" i="20" s="1"/>
  <c r="BZ174" i="20"/>
  <c r="CE174" i="20" s="1"/>
  <c r="BY174" i="20"/>
  <c r="CD174" i="20" s="1"/>
  <c r="BW174" i="20"/>
  <c r="BX174" i="20" s="1"/>
  <c r="BM174" i="20"/>
  <c r="R174" i="20"/>
  <c r="Q174" i="20"/>
  <c r="P174" i="20"/>
  <c r="O174" i="20"/>
  <c r="L174" i="20"/>
  <c r="K174" i="20"/>
  <c r="J174" i="20"/>
  <c r="I174" i="20"/>
  <c r="CA173" i="20"/>
  <c r="CF173" i="20" s="1"/>
  <c r="BZ173" i="20"/>
  <c r="CE173" i="20" s="1"/>
  <c r="BY173" i="20"/>
  <c r="CD173" i="20" s="1"/>
  <c r="BW173" i="20"/>
  <c r="BX173" i="20" s="1"/>
  <c r="BM173" i="20"/>
  <c r="R173" i="20"/>
  <c r="Q173" i="20"/>
  <c r="P173" i="20"/>
  <c r="O173" i="20"/>
  <c r="L173" i="20"/>
  <c r="K173" i="20"/>
  <c r="J173" i="20"/>
  <c r="I173" i="20"/>
  <c r="CA172" i="20"/>
  <c r="CF172" i="20" s="1"/>
  <c r="BZ172" i="20"/>
  <c r="CE172" i="20" s="1"/>
  <c r="BM172" i="20"/>
  <c r="R172" i="20"/>
  <c r="Q172" i="20"/>
  <c r="P172" i="20"/>
  <c r="O172" i="20"/>
  <c r="L172" i="20"/>
  <c r="K172" i="20"/>
  <c r="J172" i="20"/>
  <c r="I172" i="20"/>
  <c r="CA171" i="20"/>
  <c r="CF171" i="20" s="1"/>
  <c r="BZ171" i="20"/>
  <c r="CE171" i="20" s="1"/>
  <c r="BY171" i="20"/>
  <c r="CD171" i="20" s="1"/>
  <c r="BW171" i="20"/>
  <c r="BX171" i="20" s="1"/>
  <c r="BM171" i="20"/>
  <c r="R171" i="20"/>
  <c r="Q171" i="20"/>
  <c r="P171" i="20"/>
  <c r="O171" i="20"/>
  <c r="L171" i="20"/>
  <c r="K171" i="20"/>
  <c r="J171" i="20"/>
  <c r="I171" i="20"/>
  <c r="CA170" i="20"/>
  <c r="CF170" i="20" s="1"/>
  <c r="BZ170" i="20"/>
  <c r="CE170" i="20" s="1"/>
  <c r="BY170" i="20"/>
  <c r="CD170" i="20" s="1"/>
  <c r="BW170" i="20"/>
  <c r="BX170" i="20" s="1"/>
  <c r="BM170" i="20"/>
  <c r="R170" i="20"/>
  <c r="Q170" i="20"/>
  <c r="P170" i="20"/>
  <c r="O170" i="20"/>
  <c r="L170" i="20"/>
  <c r="K170" i="20"/>
  <c r="J170" i="20"/>
  <c r="I170" i="20"/>
  <c r="CA169" i="20"/>
  <c r="CF169" i="20" s="1"/>
  <c r="BZ169" i="20"/>
  <c r="CE169" i="20" s="1"/>
  <c r="BY169" i="20"/>
  <c r="CD169" i="20" s="1"/>
  <c r="BW169" i="20"/>
  <c r="BX169" i="20" s="1"/>
  <c r="BM169" i="20"/>
  <c r="R169" i="20"/>
  <c r="Q169" i="20"/>
  <c r="P169" i="20"/>
  <c r="O169" i="20"/>
  <c r="L169" i="20"/>
  <c r="K169" i="20"/>
  <c r="J169" i="20"/>
  <c r="I169" i="20"/>
  <c r="CA168" i="20"/>
  <c r="CF168" i="20" s="1"/>
  <c r="BZ168" i="20"/>
  <c r="CE168" i="20" s="1"/>
  <c r="BY168" i="20"/>
  <c r="CD168" i="20" s="1"/>
  <c r="BW168" i="20"/>
  <c r="BX168" i="20" s="1"/>
  <c r="BM168" i="20"/>
  <c r="R168" i="20"/>
  <c r="Q168" i="20"/>
  <c r="P168" i="20"/>
  <c r="O168" i="20"/>
  <c r="L168" i="20"/>
  <c r="K168" i="20"/>
  <c r="J168" i="20"/>
  <c r="I168" i="20"/>
  <c r="CA167" i="20"/>
  <c r="CF167" i="20" s="1"/>
  <c r="BZ167" i="20"/>
  <c r="CE167" i="20" s="1"/>
  <c r="BY167" i="20"/>
  <c r="CD167" i="20" s="1"/>
  <c r="BM167" i="20"/>
  <c r="R167" i="20"/>
  <c r="Q167" i="20"/>
  <c r="P167" i="20"/>
  <c r="O167" i="20"/>
  <c r="L167" i="20"/>
  <c r="K167" i="20"/>
  <c r="J167" i="20"/>
  <c r="I167" i="20"/>
  <c r="CA166" i="20"/>
  <c r="CF166" i="20" s="1"/>
  <c r="BZ166" i="20"/>
  <c r="CE166" i="20" s="1"/>
  <c r="BY166" i="20"/>
  <c r="CD166" i="20" s="1"/>
  <c r="BW166" i="20"/>
  <c r="BX166" i="20" s="1"/>
  <c r="BM166" i="20"/>
  <c r="R166" i="20"/>
  <c r="Q166" i="20"/>
  <c r="P166" i="20"/>
  <c r="O166" i="20"/>
  <c r="L166" i="20"/>
  <c r="K166" i="20"/>
  <c r="J166" i="20"/>
  <c r="I166" i="20"/>
  <c r="CA165" i="20"/>
  <c r="CF165" i="20" s="1"/>
  <c r="BZ165" i="20"/>
  <c r="CE165" i="20" s="1"/>
  <c r="BY165" i="20"/>
  <c r="CD165" i="20" s="1"/>
  <c r="BW165" i="20"/>
  <c r="BX165" i="20" s="1"/>
  <c r="BM165" i="20"/>
  <c r="R165" i="20"/>
  <c r="Q165" i="20"/>
  <c r="P165" i="20"/>
  <c r="O165" i="20"/>
  <c r="L165" i="20"/>
  <c r="K165" i="20"/>
  <c r="J165" i="20"/>
  <c r="I165" i="20"/>
  <c r="CA164" i="20"/>
  <c r="CF164" i="20" s="1"/>
  <c r="BZ164" i="20"/>
  <c r="CE164" i="20" s="1"/>
  <c r="BY164" i="20"/>
  <c r="CD164" i="20" s="1"/>
  <c r="BW164" i="20"/>
  <c r="BX164" i="20" s="1"/>
  <c r="BM164" i="20"/>
  <c r="R164" i="20"/>
  <c r="Q164" i="20"/>
  <c r="P164" i="20"/>
  <c r="O164" i="20"/>
  <c r="L164" i="20"/>
  <c r="K164" i="20"/>
  <c r="J164" i="20"/>
  <c r="I164" i="20"/>
  <c r="CA163" i="20"/>
  <c r="CF163" i="20" s="1"/>
  <c r="BZ163" i="20"/>
  <c r="CE163" i="20" s="1"/>
  <c r="BY163" i="20"/>
  <c r="CD163" i="20" s="1"/>
  <c r="BW163" i="20"/>
  <c r="BX163" i="20" s="1"/>
  <c r="BM163" i="20"/>
  <c r="R163" i="20"/>
  <c r="Q163" i="20"/>
  <c r="P163" i="20"/>
  <c r="O163" i="20"/>
  <c r="L163" i="20"/>
  <c r="K163" i="20"/>
  <c r="J163" i="20"/>
  <c r="I163" i="20"/>
  <c r="CA162" i="20"/>
  <c r="CF162" i="20" s="1"/>
  <c r="BZ162" i="20"/>
  <c r="CE162" i="20" s="1"/>
  <c r="BY162" i="20"/>
  <c r="CD162" i="20" s="1"/>
  <c r="BW162" i="20"/>
  <c r="BX162" i="20" s="1"/>
  <c r="BM162" i="20"/>
  <c r="R162" i="20"/>
  <c r="Q162" i="20"/>
  <c r="P162" i="20"/>
  <c r="O162" i="20"/>
  <c r="L162" i="20"/>
  <c r="K162" i="20"/>
  <c r="J162" i="20"/>
  <c r="I162" i="20"/>
  <c r="CA161" i="20"/>
  <c r="CF161" i="20" s="1"/>
  <c r="BZ161" i="20"/>
  <c r="CE161" i="20" s="1"/>
  <c r="BY161" i="20"/>
  <c r="CD161" i="20" s="1"/>
  <c r="BW161" i="20"/>
  <c r="BX161" i="20" s="1"/>
  <c r="BM161" i="20"/>
  <c r="R161" i="20"/>
  <c r="Q161" i="20"/>
  <c r="P161" i="20"/>
  <c r="O161" i="20"/>
  <c r="L161" i="20"/>
  <c r="K161" i="20"/>
  <c r="J161" i="20"/>
  <c r="I161" i="20"/>
  <c r="CA160" i="20"/>
  <c r="CF160" i="20" s="1"/>
  <c r="BZ160" i="20"/>
  <c r="CE160" i="20" s="1"/>
  <c r="BY160" i="20"/>
  <c r="CD160" i="20" s="1"/>
  <c r="BW160" i="20"/>
  <c r="BX160" i="20" s="1"/>
  <c r="BM160" i="20"/>
  <c r="R160" i="20"/>
  <c r="Q160" i="20"/>
  <c r="P160" i="20"/>
  <c r="O160" i="20"/>
  <c r="L160" i="20"/>
  <c r="K160" i="20"/>
  <c r="J160" i="20"/>
  <c r="I160" i="20"/>
  <c r="CA159" i="20"/>
  <c r="CF159" i="20" s="1"/>
  <c r="BZ159" i="20"/>
  <c r="CE159" i="20" s="1"/>
  <c r="BY159" i="20"/>
  <c r="CD159" i="20" s="1"/>
  <c r="BW159" i="20"/>
  <c r="BX159" i="20" s="1"/>
  <c r="BM159" i="20"/>
  <c r="R159" i="20"/>
  <c r="Q159" i="20"/>
  <c r="P159" i="20"/>
  <c r="O159" i="20"/>
  <c r="L159" i="20"/>
  <c r="K159" i="20"/>
  <c r="J159" i="20"/>
  <c r="I159" i="20"/>
  <c r="CA158" i="20"/>
  <c r="CF158" i="20" s="1"/>
  <c r="BZ158" i="20"/>
  <c r="CE158" i="20" s="1"/>
  <c r="BY158" i="20"/>
  <c r="CD158" i="20" s="1"/>
  <c r="BW158" i="20"/>
  <c r="BX158" i="20" s="1"/>
  <c r="BM158" i="20"/>
  <c r="R158" i="20"/>
  <c r="Q158" i="20"/>
  <c r="P158" i="20"/>
  <c r="O158" i="20"/>
  <c r="L158" i="20"/>
  <c r="K158" i="20"/>
  <c r="J158" i="20"/>
  <c r="I158" i="20"/>
  <c r="CA157" i="20"/>
  <c r="CF157" i="20" s="1"/>
  <c r="BZ157" i="20"/>
  <c r="CE157" i="20" s="1"/>
  <c r="BY157" i="20"/>
  <c r="CD157" i="20" s="1"/>
  <c r="BW157" i="20"/>
  <c r="BX157" i="20" s="1"/>
  <c r="BM157" i="20"/>
  <c r="R157" i="20"/>
  <c r="Q157" i="20"/>
  <c r="P157" i="20"/>
  <c r="O157" i="20"/>
  <c r="L157" i="20"/>
  <c r="K157" i="20"/>
  <c r="J157" i="20"/>
  <c r="I157" i="20"/>
  <c r="CA156" i="20"/>
  <c r="CF156" i="20" s="1"/>
  <c r="BZ156" i="20"/>
  <c r="CE156" i="20" s="1"/>
  <c r="BY156" i="20"/>
  <c r="CD156" i="20" s="1"/>
  <c r="BW156" i="20"/>
  <c r="BX156" i="20" s="1"/>
  <c r="BM156" i="20"/>
  <c r="R156" i="20"/>
  <c r="Q156" i="20"/>
  <c r="P156" i="20"/>
  <c r="O156" i="20"/>
  <c r="L156" i="20"/>
  <c r="K156" i="20"/>
  <c r="J156" i="20"/>
  <c r="I156" i="20"/>
  <c r="CA155" i="20"/>
  <c r="CF155" i="20" s="1"/>
  <c r="BZ155" i="20"/>
  <c r="CE155" i="20" s="1"/>
  <c r="BY155" i="20"/>
  <c r="CD155" i="20" s="1"/>
  <c r="BW155" i="20"/>
  <c r="BX155" i="20" s="1"/>
  <c r="BM155" i="20"/>
  <c r="R155" i="20"/>
  <c r="Q155" i="20"/>
  <c r="P155" i="20"/>
  <c r="O155" i="20"/>
  <c r="L155" i="20"/>
  <c r="K155" i="20"/>
  <c r="J155" i="20"/>
  <c r="I155" i="20"/>
  <c r="CA154" i="20"/>
  <c r="CF154" i="20" s="1"/>
  <c r="BZ154" i="20"/>
  <c r="CE154" i="20" s="1"/>
  <c r="BM154" i="20"/>
  <c r="BY154" i="20"/>
  <c r="CD154" i="20" s="1"/>
  <c r="R154" i="20"/>
  <c r="Q154" i="20"/>
  <c r="P154" i="20"/>
  <c r="O154" i="20"/>
  <c r="L154" i="20"/>
  <c r="K154" i="20"/>
  <c r="J154" i="20"/>
  <c r="I154" i="20"/>
  <c r="BM153" i="20"/>
  <c r="AB153" i="20"/>
  <c r="Z153" i="20"/>
  <c r="X153" i="20"/>
  <c r="V153" i="20"/>
  <c r="BM152" i="20"/>
  <c r="CA151" i="20"/>
  <c r="CF151" i="20" s="1"/>
  <c r="BZ151" i="20"/>
  <c r="CE151" i="20" s="1"/>
  <c r="BY151" i="20"/>
  <c r="CD151" i="20" s="1"/>
  <c r="BW151" i="20"/>
  <c r="BX151" i="20" s="1"/>
  <c r="BM151" i="20"/>
  <c r="R151" i="20"/>
  <c r="Q151" i="20"/>
  <c r="P151" i="20"/>
  <c r="O151" i="20"/>
  <c r="M151" i="20"/>
  <c r="L151" i="20"/>
  <c r="K151" i="20"/>
  <c r="J151" i="20"/>
  <c r="I151" i="20"/>
  <c r="CA150" i="20"/>
  <c r="CF150" i="20" s="1"/>
  <c r="BZ150" i="20"/>
  <c r="CE150" i="20" s="1"/>
  <c r="BY150" i="20"/>
  <c r="CD150" i="20" s="1"/>
  <c r="BM150" i="20"/>
  <c r="R150" i="20"/>
  <c r="Q150" i="20"/>
  <c r="P150" i="20"/>
  <c r="O150" i="20"/>
  <c r="M150" i="20"/>
  <c r="L150" i="20"/>
  <c r="K150" i="20"/>
  <c r="J150" i="20"/>
  <c r="I150" i="20"/>
  <c r="CA149" i="20"/>
  <c r="CF149" i="20" s="1"/>
  <c r="BZ149" i="20"/>
  <c r="CE149" i="20" s="1"/>
  <c r="BY149" i="20"/>
  <c r="CD149" i="20" s="1"/>
  <c r="BW149" i="20"/>
  <c r="BX149" i="20" s="1"/>
  <c r="BM149" i="20"/>
  <c r="R149" i="20"/>
  <c r="Q149" i="20"/>
  <c r="P149" i="20"/>
  <c r="O149" i="20"/>
  <c r="M149" i="20"/>
  <c r="L149" i="20"/>
  <c r="K149" i="20"/>
  <c r="J149" i="20"/>
  <c r="I149" i="20"/>
  <c r="CA148" i="20"/>
  <c r="CF148" i="20" s="1"/>
  <c r="BZ148" i="20"/>
  <c r="CE148" i="20" s="1"/>
  <c r="BY148" i="20"/>
  <c r="CD148" i="20" s="1"/>
  <c r="BW148" i="20"/>
  <c r="BX148" i="20" s="1"/>
  <c r="BM148" i="20"/>
  <c r="R148" i="20"/>
  <c r="Q148" i="20"/>
  <c r="P148" i="20"/>
  <c r="O148" i="20"/>
  <c r="M148" i="20"/>
  <c r="L148" i="20"/>
  <c r="K148" i="20"/>
  <c r="J148" i="20"/>
  <c r="I148" i="20"/>
  <c r="CA147" i="20"/>
  <c r="CF147" i="20" s="1"/>
  <c r="BZ147" i="20"/>
  <c r="CE147" i="20" s="1"/>
  <c r="BY147" i="20"/>
  <c r="CD147" i="20" s="1"/>
  <c r="BW147" i="20"/>
  <c r="BX147" i="20" s="1"/>
  <c r="BM147" i="20"/>
  <c r="R147" i="20"/>
  <c r="Q147" i="20"/>
  <c r="P147" i="20"/>
  <c r="O147" i="20"/>
  <c r="M147" i="20"/>
  <c r="L147" i="20"/>
  <c r="K147" i="20"/>
  <c r="J147" i="20"/>
  <c r="I147" i="20"/>
  <c r="CA146" i="20"/>
  <c r="CF146" i="20" s="1"/>
  <c r="BZ146" i="20"/>
  <c r="CE146" i="20" s="1"/>
  <c r="BY146" i="20"/>
  <c r="CD146" i="20" s="1"/>
  <c r="BW146" i="20"/>
  <c r="BX146" i="20" s="1"/>
  <c r="BM146" i="20"/>
  <c r="R146" i="20"/>
  <c r="Q146" i="20"/>
  <c r="P146" i="20"/>
  <c r="O146" i="20"/>
  <c r="M146" i="20"/>
  <c r="L146" i="20"/>
  <c r="K146" i="20"/>
  <c r="J146" i="20"/>
  <c r="I146" i="20"/>
  <c r="CA145" i="20"/>
  <c r="CF145" i="20" s="1"/>
  <c r="BZ145" i="20"/>
  <c r="CE145" i="20" s="1"/>
  <c r="BY145" i="20"/>
  <c r="CD145" i="20" s="1"/>
  <c r="BW145" i="20"/>
  <c r="BX145" i="20" s="1"/>
  <c r="BM145" i="20"/>
  <c r="R145" i="20"/>
  <c r="Q145" i="20"/>
  <c r="P145" i="20"/>
  <c r="O145" i="20"/>
  <c r="M145" i="20"/>
  <c r="L145" i="20"/>
  <c r="K145" i="20"/>
  <c r="J145" i="20"/>
  <c r="I145" i="20"/>
  <c r="BM144" i="20"/>
  <c r="AB144" i="20"/>
  <c r="Z144" i="20"/>
  <c r="X144" i="20"/>
  <c r="V144" i="20"/>
  <c r="BZ143" i="20"/>
  <c r="CE143" i="20" s="1"/>
  <c r="BY143" i="20"/>
  <c r="CD143" i="20" s="1"/>
  <c r="BM143" i="20"/>
  <c r="AE143" i="20"/>
  <c r="R143" i="20"/>
  <c r="Q143" i="20"/>
  <c r="P143" i="20"/>
  <c r="O143" i="20"/>
  <c r="M143" i="20"/>
  <c r="L143" i="20"/>
  <c r="K143" i="20"/>
  <c r="J143" i="20"/>
  <c r="I143" i="20"/>
  <c r="CA142" i="20"/>
  <c r="CF142" i="20" s="1"/>
  <c r="BZ142" i="20"/>
  <c r="CE142" i="20" s="1"/>
  <c r="BY142" i="20"/>
  <c r="CD142" i="20" s="1"/>
  <c r="BW142" i="20"/>
  <c r="BX142" i="20" s="1"/>
  <c r="BM142" i="20"/>
  <c r="R142" i="20"/>
  <c r="Q142" i="20"/>
  <c r="P142" i="20"/>
  <c r="O142" i="20"/>
  <c r="M142" i="20"/>
  <c r="L142" i="20"/>
  <c r="K142" i="20"/>
  <c r="J142" i="20"/>
  <c r="I142" i="20"/>
  <c r="CA141" i="20"/>
  <c r="CF141" i="20" s="1"/>
  <c r="BZ141" i="20"/>
  <c r="CE141" i="20" s="1"/>
  <c r="BY141" i="20"/>
  <c r="CD141" i="20" s="1"/>
  <c r="BW141" i="20"/>
  <c r="BX141" i="20" s="1"/>
  <c r="BM141" i="20"/>
  <c r="R141" i="20"/>
  <c r="Q141" i="20"/>
  <c r="P141" i="20"/>
  <c r="O141" i="20"/>
  <c r="M141" i="20"/>
  <c r="L141" i="20"/>
  <c r="K141" i="20"/>
  <c r="J141" i="20"/>
  <c r="I141" i="20"/>
  <c r="CA140" i="20"/>
  <c r="CF140" i="20" s="1"/>
  <c r="BZ140" i="20"/>
  <c r="CE140" i="20" s="1"/>
  <c r="BY140" i="20"/>
  <c r="CD140" i="20" s="1"/>
  <c r="BW140" i="20"/>
  <c r="BX140" i="20" s="1"/>
  <c r="BM140" i="20"/>
  <c r="R140" i="20"/>
  <c r="Q140" i="20"/>
  <c r="P140" i="20"/>
  <c r="O140" i="20"/>
  <c r="M140" i="20"/>
  <c r="L140" i="20"/>
  <c r="K140" i="20"/>
  <c r="J140" i="20"/>
  <c r="I140" i="20"/>
  <c r="CA139" i="20"/>
  <c r="CF139" i="20" s="1"/>
  <c r="BZ139" i="20"/>
  <c r="CE139" i="20" s="1"/>
  <c r="BY139" i="20"/>
  <c r="CD139" i="20" s="1"/>
  <c r="BW139" i="20"/>
  <c r="BX139" i="20" s="1"/>
  <c r="BM139" i="20"/>
  <c r="R139" i="20"/>
  <c r="Q139" i="20"/>
  <c r="P139" i="20"/>
  <c r="O139" i="20"/>
  <c r="M139" i="20"/>
  <c r="L139" i="20"/>
  <c r="K139" i="20"/>
  <c r="J139" i="20"/>
  <c r="I139" i="20"/>
  <c r="CA138" i="20"/>
  <c r="CF138" i="20" s="1"/>
  <c r="BZ138" i="20"/>
  <c r="CE138" i="20" s="1"/>
  <c r="BY138" i="20"/>
  <c r="CD138" i="20" s="1"/>
  <c r="BW138" i="20"/>
  <c r="BX138" i="20" s="1"/>
  <c r="BM138" i="20"/>
  <c r="R138" i="20"/>
  <c r="Q138" i="20"/>
  <c r="P138" i="20"/>
  <c r="O138" i="20"/>
  <c r="M138" i="20"/>
  <c r="L138" i="20"/>
  <c r="K138" i="20"/>
  <c r="J138" i="20"/>
  <c r="I138" i="20"/>
  <c r="CA137" i="20"/>
  <c r="CF137" i="20" s="1"/>
  <c r="BZ137" i="20"/>
  <c r="CE137" i="20" s="1"/>
  <c r="BY137" i="20"/>
  <c r="CD137" i="20" s="1"/>
  <c r="BW137" i="20"/>
  <c r="BX137" i="20" s="1"/>
  <c r="BU137" i="20"/>
  <c r="BM137" i="20"/>
  <c r="R137" i="20"/>
  <c r="Q137" i="20"/>
  <c r="P137" i="20"/>
  <c r="O137" i="20"/>
  <c r="M137" i="20"/>
  <c r="L137" i="20"/>
  <c r="K137" i="20"/>
  <c r="J137" i="20"/>
  <c r="I137" i="20"/>
  <c r="CA136" i="20"/>
  <c r="CF136" i="20" s="1"/>
  <c r="BZ136" i="20"/>
  <c r="CE136" i="20" s="1"/>
  <c r="BY136" i="20"/>
  <c r="CD136" i="20" s="1"/>
  <c r="BW136" i="20"/>
  <c r="BX136" i="20" s="1"/>
  <c r="BU136" i="20"/>
  <c r="BM136" i="20"/>
  <c r="R136" i="20"/>
  <c r="Q136" i="20"/>
  <c r="P136" i="20"/>
  <c r="O136" i="20"/>
  <c r="M136" i="20"/>
  <c r="L136" i="20"/>
  <c r="K136" i="20"/>
  <c r="J136" i="20"/>
  <c r="I136" i="20"/>
  <c r="CE135" i="20"/>
  <c r="CA135" i="20"/>
  <c r="CF135" i="20" s="1"/>
  <c r="BY135" i="20"/>
  <c r="CD135" i="20" s="1"/>
  <c r="BX135" i="20"/>
  <c r="BM135" i="20"/>
  <c r="R135" i="20"/>
  <c r="Q135" i="20"/>
  <c r="P135" i="20"/>
  <c r="O135" i="20"/>
  <c r="M135" i="20"/>
  <c r="L135" i="20"/>
  <c r="K135" i="20"/>
  <c r="J135" i="20"/>
  <c r="I135" i="20"/>
  <c r="BM134" i="20"/>
  <c r="AB134" i="20"/>
  <c r="Z134" i="20"/>
  <c r="X134" i="20"/>
  <c r="V134" i="20"/>
  <c r="CA133" i="20"/>
  <c r="CF133" i="20" s="1"/>
  <c r="BZ133" i="20"/>
  <c r="CE133" i="20" s="1"/>
  <c r="BY133" i="20"/>
  <c r="CD133" i="20" s="1"/>
  <c r="BW133" i="20"/>
  <c r="BX133" i="20" s="1"/>
  <c r="BM133" i="20"/>
  <c r="R133" i="20"/>
  <c r="Q133" i="20"/>
  <c r="P133" i="20"/>
  <c r="O133" i="20"/>
  <c r="M133" i="20"/>
  <c r="L133" i="20"/>
  <c r="K133" i="20"/>
  <c r="J133" i="20"/>
  <c r="I133" i="20"/>
  <c r="CA132" i="20"/>
  <c r="CF132" i="20" s="1"/>
  <c r="BZ132" i="20"/>
  <c r="CE132" i="20" s="1"/>
  <c r="BY132" i="20"/>
  <c r="CD132" i="20" s="1"/>
  <c r="BW132" i="20"/>
  <c r="BX132" i="20" s="1"/>
  <c r="BM132" i="20"/>
  <c r="R132" i="20"/>
  <c r="Q132" i="20"/>
  <c r="P132" i="20"/>
  <c r="O132" i="20"/>
  <c r="M132" i="20"/>
  <c r="L132" i="20"/>
  <c r="K132" i="20"/>
  <c r="J132" i="20"/>
  <c r="I132" i="20"/>
  <c r="CA131" i="20"/>
  <c r="CF131" i="20" s="1"/>
  <c r="AD131" i="20"/>
  <c r="BZ131" i="20" s="1"/>
  <c r="CE131" i="20" s="1"/>
  <c r="BY131" i="20"/>
  <c r="CD131" i="20" s="1"/>
  <c r="BM131" i="20"/>
  <c r="R131" i="20"/>
  <c r="Q131" i="20"/>
  <c r="P131" i="20"/>
  <c r="O131" i="20"/>
  <c r="M131" i="20"/>
  <c r="L131" i="20"/>
  <c r="K131" i="20"/>
  <c r="J131" i="20"/>
  <c r="I131" i="20"/>
  <c r="CA130" i="20"/>
  <c r="CF130" i="20" s="1"/>
  <c r="BZ130" i="20"/>
  <c r="CE130" i="20" s="1"/>
  <c r="BY130" i="20"/>
  <c r="CD130" i="20" s="1"/>
  <c r="BW130" i="20"/>
  <c r="BX130" i="20" s="1"/>
  <c r="BM130" i="20"/>
  <c r="R130" i="20"/>
  <c r="Q130" i="20"/>
  <c r="P130" i="20"/>
  <c r="O130" i="20"/>
  <c r="M130" i="20"/>
  <c r="L130" i="20"/>
  <c r="K130" i="20"/>
  <c r="J130" i="20"/>
  <c r="I130" i="20"/>
  <c r="CA129" i="20"/>
  <c r="CF129" i="20" s="1"/>
  <c r="BZ129" i="20"/>
  <c r="CE129" i="20" s="1"/>
  <c r="BY129" i="20"/>
  <c r="CD129" i="20" s="1"/>
  <c r="BW129" i="20"/>
  <c r="BX129" i="20" s="1"/>
  <c r="BM129" i="20"/>
  <c r="R129" i="20"/>
  <c r="Q129" i="20"/>
  <c r="P129" i="20"/>
  <c r="O129" i="20"/>
  <c r="M129" i="20"/>
  <c r="L129" i="20"/>
  <c r="K129" i="20"/>
  <c r="J129" i="20"/>
  <c r="I129" i="20"/>
  <c r="CA128" i="20"/>
  <c r="CF128" i="20" s="1"/>
  <c r="BZ128" i="20"/>
  <c r="CE128" i="20" s="1"/>
  <c r="BM128" i="20"/>
  <c r="R128" i="20"/>
  <c r="Q128" i="20"/>
  <c r="P128" i="20"/>
  <c r="O128" i="20"/>
  <c r="M128" i="20"/>
  <c r="L128" i="20"/>
  <c r="K128" i="20"/>
  <c r="J128" i="20"/>
  <c r="I128" i="20"/>
  <c r="CA127" i="20"/>
  <c r="CF127" i="20" s="1"/>
  <c r="BZ127" i="20"/>
  <c r="CE127" i="20" s="1"/>
  <c r="BY127" i="20"/>
  <c r="CD127" i="20" s="1"/>
  <c r="BW127" i="20"/>
  <c r="BX127" i="20" s="1"/>
  <c r="BM127" i="20"/>
  <c r="R127" i="20"/>
  <c r="Q127" i="20"/>
  <c r="P127" i="20"/>
  <c r="O127" i="20"/>
  <c r="M127" i="20"/>
  <c r="L127" i="20"/>
  <c r="K127" i="20"/>
  <c r="J127" i="20"/>
  <c r="I127" i="20"/>
  <c r="CA126" i="20"/>
  <c r="CF126" i="20" s="1"/>
  <c r="BZ126" i="20"/>
  <c r="CE126" i="20" s="1"/>
  <c r="BY126" i="20"/>
  <c r="CD126" i="20" s="1"/>
  <c r="BW126" i="20"/>
  <c r="BX126" i="20" s="1"/>
  <c r="BM126" i="20"/>
  <c r="R126" i="20"/>
  <c r="Q126" i="20"/>
  <c r="P126" i="20"/>
  <c r="O126" i="20"/>
  <c r="M126" i="20"/>
  <c r="L126" i="20"/>
  <c r="K126" i="20"/>
  <c r="J126" i="20"/>
  <c r="I126" i="20"/>
  <c r="CA125" i="20"/>
  <c r="CF125" i="20" s="1"/>
  <c r="BZ125" i="20"/>
  <c r="CE125" i="20" s="1"/>
  <c r="BY125" i="20"/>
  <c r="CD125" i="20" s="1"/>
  <c r="BW125" i="20"/>
  <c r="BX125" i="20" s="1"/>
  <c r="BM125" i="20"/>
  <c r="R125" i="20"/>
  <c r="Q125" i="20"/>
  <c r="P125" i="20"/>
  <c r="O125" i="20"/>
  <c r="M125" i="20"/>
  <c r="L125" i="20"/>
  <c r="K125" i="20"/>
  <c r="J125" i="20"/>
  <c r="I125" i="20"/>
  <c r="CA124" i="20"/>
  <c r="CF124" i="20" s="1"/>
  <c r="BZ124" i="20"/>
  <c r="CE124" i="20" s="1"/>
  <c r="BY124" i="20"/>
  <c r="CD124" i="20" s="1"/>
  <c r="BW124" i="20"/>
  <c r="BX124" i="20" s="1"/>
  <c r="BM124" i="20"/>
  <c r="R124" i="20"/>
  <c r="Q124" i="20"/>
  <c r="P124" i="20"/>
  <c r="O124" i="20"/>
  <c r="M124" i="20"/>
  <c r="L124" i="20"/>
  <c r="K124" i="20"/>
  <c r="J124" i="20"/>
  <c r="I124" i="20"/>
  <c r="CA123" i="20"/>
  <c r="CF123" i="20" s="1"/>
  <c r="BZ123" i="20"/>
  <c r="CE123" i="20" s="1"/>
  <c r="BY123" i="20"/>
  <c r="CD123" i="20" s="1"/>
  <c r="BW123" i="20"/>
  <c r="BX123" i="20" s="1"/>
  <c r="BM123" i="20"/>
  <c r="R123" i="20"/>
  <c r="Q123" i="20"/>
  <c r="P123" i="20"/>
  <c r="O123" i="20"/>
  <c r="M123" i="20"/>
  <c r="L123" i="20"/>
  <c r="K123" i="20"/>
  <c r="J123" i="20"/>
  <c r="I123" i="20"/>
  <c r="CA122" i="20"/>
  <c r="CF122" i="20" s="1"/>
  <c r="BZ122" i="20"/>
  <c r="CE122" i="20" s="1"/>
  <c r="BY122" i="20"/>
  <c r="CD122" i="20" s="1"/>
  <c r="BW122" i="20"/>
  <c r="BX122" i="20" s="1"/>
  <c r="BM122" i="20"/>
  <c r="R122" i="20"/>
  <c r="Q122" i="20"/>
  <c r="P122" i="20"/>
  <c r="O122" i="20"/>
  <c r="M122" i="20"/>
  <c r="L122" i="20"/>
  <c r="K122" i="20"/>
  <c r="J122" i="20"/>
  <c r="I122" i="20"/>
  <c r="CA121" i="20"/>
  <c r="CF121" i="20" s="1"/>
  <c r="BZ121" i="20"/>
  <c r="CE121" i="20" s="1"/>
  <c r="BY121" i="20"/>
  <c r="CD121" i="20" s="1"/>
  <c r="BW121" i="20"/>
  <c r="BX121" i="20" s="1"/>
  <c r="BM121" i="20"/>
  <c r="R121" i="20"/>
  <c r="Q121" i="20"/>
  <c r="P121" i="20"/>
  <c r="O121" i="20"/>
  <c r="M121" i="20"/>
  <c r="L121" i="20"/>
  <c r="K121" i="20"/>
  <c r="J121" i="20"/>
  <c r="I121" i="20"/>
  <c r="CA120" i="20"/>
  <c r="CF120" i="20" s="1"/>
  <c r="BZ120" i="20"/>
  <c r="CE120" i="20" s="1"/>
  <c r="BY120" i="20"/>
  <c r="CD120" i="20" s="1"/>
  <c r="BW120" i="20"/>
  <c r="BX120" i="20" s="1"/>
  <c r="BM120" i="20"/>
  <c r="R120" i="20"/>
  <c r="Q120" i="20"/>
  <c r="P120" i="20"/>
  <c r="O120" i="20"/>
  <c r="M120" i="20"/>
  <c r="L120" i="20"/>
  <c r="K120" i="20"/>
  <c r="J120" i="20"/>
  <c r="I120" i="20"/>
  <c r="BW119" i="20"/>
  <c r="BM119" i="20"/>
  <c r="AB119" i="20"/>
  <c r="Z119" i="20"/>
  <c r="X119" i="20"/>
  <c r="V119" i="20"/>
  <c r="BW118" i="20"/>
  <c r="BM118" i="20"/>
  <c r="CA117" i="20"/>
  <c r="CF117" i="20" s="1"/>
  <c r="BZ117" i="20"/>
  <c r="CE117" i="20" s="1"/>
  <c r="BY117" i="20"/>
  <c r="CD117" i="20" s="1"/>
  <c r="BW117" i="20"/>
  <c r="BX117" i="20" s="1"/>
  <c r="BM117" i="20"/>
  <c r="R117" i="20"/>
  <c r="Q117" i="20"/>
  <c r="P117" i="20"/>
  <c r="O117" i="20"/>
  <c r="N117" i="20"/>
  <c r="M117" i="20"/>
  <c r="L117" i="20"/>
  <c r="K117" i="20"/>
  <c r="J117" i="20"/>
  <c r="I117" i="20"/>
  <c r="CA116" i="20"/>
  <c r="CF116" i="20" s="1"/>
  <c r="BZ116" i="20"/>
  <c r="CE116" i="20" s="1"/>
  <c r="BY116" i="20"/>
  <c r="CD116" i="20" s="1"/>
  <c r="BW116" i="20"/>
  <c r="BX116" i="20" s="1"/>
  <c r="BM116" i="20"/>
  <c r="R116" i="20"/>
  <c r="Q116" i="20"/>
  <c r="P116" i="20"/>
  <c r="O116" i="20"/>
  <c r="M116" i="20"/>
  <c r="L116" i="20"/>
  <c r="K116" i="20"/>
  <c r="J116" i="20"/>
  <c r="I116" i="20"/>
  <c r="CA115" i="20"/>
  <c r="CF115" i="20" s="1"/>
  <c r="BZ115" i="20"/>
  <c r="CE115" i="20" s="1"/>
  <c r="BY115" i="20"/>
  <c r="CD115" i="20" s="1"/>
  <c r="BM115" i="20"/>
  <c r="R115" i="20"/>
  <c r="Q115" i="20"/>
  <c r="P115" i="20"/>
  <c r="O115" i="20"/>
  <c r="M115" i="20"/>
  <c r="L115" i="20"/>
  <c r="K115" i="20"/>
  <c r="J115" i="20"/>
  <c r="I115" i="20"/>
  <c r="CA114" i="20"/>
  <c r="CF114" i="20" s="1"/>
  <c r="BZ114" i="20"/>
  <c r="CE114" i="20" s="1"/>
  <c r="BY114" i="20"/>
  <c r="CD114" i="20" s="1"/>
  <c r="BM114" i="20"/>
  <c r="R114" i="20"/>
  <c r="Q114" i="20"/>
  <c r="P114" i="20"/>
  <c r="O114" i="20"/>
  <c r="M114" i="20"/>
  <c r="L114" i="20"/>
  <c r="K114" i="20"/>
  <c r="J114" i="20"/>
  <c r="I114" i="20"/>
  <c r="BW113" i="20"/>
  <c r="BM113" i="20"/>
  <c r="Z113" i="20"/>
  <c r="X113" i="20"/>
  <c r="V113" i="20"/>
  <c r="CA112" i="20"/>
  <c r="CF112" i="20" s="1"/>
  <c r="BZ112" i="20"/>
  <c r="CE112" i="20" s="1"/>
  <c r="BY112" i="20"/>
  <c r="CD112" i="20" s="1"/>
  <c r="BW112" i="20"/>
  <c r="BX112" i="20" s="1"/>
  <c r="BM112" i="20"/>
  <c r="R112" i="20"/>
  <c r="Q112" i="20"/>
  <c r="P112" i="20"/>
  <c r="O112" i="20"/>
  <c r="N112" i="20"/>
  <c r="M112" i="20"/>
  <c r="L112" i="20"/>
  <c r="K112" i="20"/>
  <c r="J112" i="20"/>
  <c r="I112" i="20"/>
  <c r="CA111" i="20"/>
  <c r="CF111" i="20" s="1"/>
  <c r="BZ111" i="20"/>
  <c r="CE111" i="20" s="1"/>
  <c r="BY111" i="20"/>
  <c r="CD111" i="20" s="1"/>
  <c r="BW111" i="20"/>
  <c r="BX111" i="20" s="1"/>
  <c r="BM111" i="20"/>
  <c r="R111" i="20"/>
  <c r="Q111" i="20"/>
  <c r="P111" i="20"/>
  <c r="O111" i="20"/>
  <c r="M111" i="20"/>
  <c r="L111" i="20"/>
  <c r="K111" i="20"/>
  <c r="J111" i="20"/>
  <c r="I111" i="20"/>
  <c r="BZ110" i="20"/>
  <c r="CE110" i="20" s="1"/>
  <c r="BY110" i="20"/>
  <c r="CD110" i="20" s="1"/>
  <c r="BM110" i="20"/>
  <c r="AE110" i="20"/>
  <c r="CA110" i="20" s="1"/>
  <c r="CF110" i="20" s="1"/>
  <c r="R110" i="20"/>
  <c r="Q110" i="20"/>
  <c r="P110" i="20"/>
  <c r="O110" i="20"/>
  <c r="M110" i="20"/>
  <c r="L110" i="20"/>
  <c r="K110" i="20"/>
  <c r="J110" i="20"/>
  <c r="I110" i="20"/>
  <c r="CA109" i="20"/>
  <c r="CF109" i="20" s="1"/>
  <c r="BZ109" i="20"/>
  <c r="CE109" i="20" s="1"/>
  <c r="BY109" i="20"/>
  <c r="CD109" i="20" s="1"/>
  <c r="BX109" i="20"/>
  <c r="BM109" i="20"/>
  <c r="R109" i="20"/>
  <c r="Q109" i="20"/>
  <c r="P109" i="20"/>
  <c r="O109" i="20"/>
  <c r="M109" i="20"/>
  <c r="L109" i="20"/>
  <c r="K109" i="20"/>
  <c r="J109" i="20"/>
  <c r="I109" i="20"/>
  <c r="BZ108" i="20"/>
  <c r="CE108" i="20" s="1"/>
  <c r="BY108" i="20"/>
  <c r="CD108" i="20" s="1"/>
  <c r="BM108" i="20"/>
  <c r="AE108" i="20"/>
  <c r="CA108" i="20" s="1"/>
  <c r="CF108" i="20" s="1"/>
  <c r="R108" i="20"/>
  <c r="Q108" i="20"/>
  <c r="P108" i="20"/>
  <c r="O108" i="20"/>
  <c r="M108" i="20"/>
  <c r="L108" i="20"/>
  <c r="K108" i="20"/>
  <c r="J108" i="20"/>
  <c r="I108" i="20"/>
  <c r="BM107" i="20"/>
  <c r="BD107" i="20"/>
  <c r="BC107" i="20"/>
  <c r="BB107" i="20"/>
  <c r="BA107" i="20"/>
  <c r="AZ107" i="20"/>
  <c r="AY107" i="20"/>
  <c r="AX107" i="20"/>
  <c r="BE107" i="20" s="1"/>
  <c r="AB107" i="20"/>
  <c r="Z107" i="20"/>
  <c r="X107" i="20"/>
  <c r="BM106" i="20"/>
  <c r="BE106" i="20"/>
  <c r="CA105" i="20"/>
  <c r="CF105" i="20" s="1"/>
  <c r="BZ105" i="20"/>
  <c r="CE105" i="20" s="1"/>
  <c r="BY105" i="20"/>
  <c r="CD105" i="20" s="1"/>
  <c r="BW105" i="20"/>
  <c r="BX105" i="20" s="1"/>
  <c r="BM105" i="20"/>
  <c r="R105" i="20"/>
  <c r="Q105" i="20"/>
  <c r="P105" i="20"/>
  <c r="O105" i="20"/>
  <c r="M105" i="20"/>
  <c r="L105" i="20"/>
  <c r="K105" i="20"/>
  <c r="J105" i="20"/>
  <c r="I105" i="20"/>
  <c r="CA104" i="20"/>
  <c r="CF104" i="20" s="1"/>
  <c r="BZ104" i="20"/>
  <c r="CE104" i="20" s="1"/>
  <c r="BY104" i="20"/>
  <c r="CD104" i="20" s="1"/>
  <c r="BM104" i="20"/>
  <c r="R104" i="20"/>
  <c r="Q104" i="20"/>
  <c r="P104" i="20"/>
  <c r="O104" i="20"/>
  <c r="M104" i="20"/>
  <c r="L104" i="20"/>
  <c r="K104" i="20"/>
  <c r="J104" i="20"/>
  <c r="I104" i="20"/>
  <c r="CA103" i="20"/>
  <c r="CF103" i="20" s="1"/>
  <c r="BZ103" i="20"/>
  <c r="CE103" i="20" s="1"/>
  <c r="BY103" i="20"/>
  <c r="CD103" i="20" s="1"/>
  <c r="BX103" i="20"/>
  <c r="BM103" i="20"/>
  <c r="R103" i="20"/>
  <c r="Q103" i="20"/>
  <c r="P103" i="20"/>
  <c r="O103" i="20"/>
  <c r="M103" i="20"/>
  <c r="L103" i="20"/>
  <c r="K103" i="20"/>
  <c r="J103" i="20"/>
  <c r="I103" i="20"/>
  <c r="CA102" i="20"/>
  <c r="CF102" i="20" s="1"/>
  <c r="BZ102" i="20"/>
  <c r="CE102" i="20" s="1"/>
  <c r="BY102" i="20"/>
  <c r="CD102" i="20" s="1"/>
  <c r="BM102" i="20"/>
  <c r="R102" i="20"/>
  <c r="Q102" i="20"/>
  <c r="P102" i="20"/>
  <c r="O102" i="20"/>
  <c r="M102" i="20"/>
  <c r="L102" i="20"/>
  <c r="K102" i="20"/>
  <c r="J102" i="20"/>
  <c r="I102" i="20"/>
  <c r="CA101" i="20"/>
  <c r="CF101" i="20" s="1"/>
  <c r="BZ101" i="20"/>
  <c r="CE101" i="20" s="1"/>
  <c r="BY101" i="20"/>
  <c r="CD101" i="20" s="1"/>
  <c r="BM101" i="20"/>
  <c r="R101" i="20"/>
  <c r="Q101" i="20"/>
  <c r="P101" i="20"/>
  <c r="O101" i="20"/>
  <c r="M101" i="20"/>
  <c r="L101" i="20"/>
  <c r="K101" i="20"/>
  <c r="J101" i="20"/>
  <c r="I101" i="20"/>
  <c r="CA100" i="20"/>
  <c r="CF100" i="20" s="1"/>
  <c r="BZ100" i="20"/>
  <c r="CE100" i="20" s="1"/>
  <c r="BY100" i="20"/>
  <c r="CD100" i="20" s="1"/>
  <c r="BM100" i="20"/>
  <c r="R100" i="20"/>
  <c r="Q100" i="20"/>
  <c r="P100" i="20"/>
  <c r="O100" i="20"/>
  <c r="M100" i="20"/>
  <c r="L100" i="20"/>
  <c r="K100" i="20"/>
  <c r="J100" i="20"/>
  <c r="I100" i="20"/>
  <c r="CA99" i="20"/>
  <c r="CF99" i="20" s="1"/>
  <c r="BZ99" i="20"/>
  <c r="CE99" i="20" s="1"/>
  <c r="BY99" i="20"/>
  <c r="CD99" i="20" s="1"/>
  <c r="BX99" i="20"/>
  <c r="BM99" i="20"/>
  <c r="R99" i="20"/>
  <c r="Q99" i="20"/>
  <c r="P99" i="20"/>
  <c r="O99" i="20"/>
  <c r="M99" i="20"/>
  <c r="L99" i="20"/>
  <c r="K99" i="20"/>
  <c r="J99" i="20"/>
  <c r="I99" i="20"/>
  <c r="CA98" i="20"/>
  <c r="CF98" i="20" s="1"/>
  <c r="BZ98" i="20"/>
  <c r="CE98" i="20" s="1"/>
  <c r="BY98" i="20"/>
  <c r="CD98" i="20" s="1"/>
  <c r="BM98" i="20"/>
  <c r="R98" i="20"/>
  <c r="Q98" i="20"/>
  <c r="P98" i="20"/>
  <c r="O98" i="20"/>
  <c r="M98" i="20"/>
  <c r="L98" i="20"/>
  <c r="K98" i="20"/>
  <c r="J98" i="20"/>
  <c r="I98" i="20"/>
  <c r="BM97" i="20"/>
  <c r="AX97" i="20"/>
  <c r="BE97" i="20" s="1"/>
  <c r="BD97" i="20"/>
  <c r="BC97" i="20"/>
  <c r="BB97" i="20"/>
  <c r="BA97" i="20"/>
  <c r="AZ97" i="20"/>
  <c r="AY97" i="20"/>
  <c r="Z97" i="20"/>
  <c r="X97" i="20"/>
  <c r="V97" i="20"/>
  <c r="CA96" i="20"/>
  <c r="CF96" i="20" s="1"/>
  <c r="BZ96" i="20"/>
  <c r="CE96" i="20" s="1"/>
  <c r="BY96" i="20"/>
  <c r="CD96" i="20" s="1"/>
  <c r="BM96" i="20"/>
  <c r="R96" i="20"/>
  <c r="Q96" i="20"/>
  <c r="P96" i="20"/>
  <c r="O96" i="20"/>
  <c r="M96" i="20"/>
  <c r="L96" i="20"/>
  <c r="K96" i="20"/>
  <c r="J96" i="20"/>
  <c r="I96" i="20"/>
  <c r="CA95" i="20"/>
  <c r="CF95" i="20" s="1"/>
  <c r="BZ95" i="20"/>
  <c r="CE95" i="20" s="1"/>
  <c r="BY95" i="20"/>
  <c r="CD95" i="20" s="1"/>
  <c r="BM95" i="20"/>
  <c r="R95" i="20"/>
  <c r="Q95" i="20"/>
  <c r="P95" i="20"/>
  <c r="O95" i="20"/>
  <c r="M95" i="20"/>
  <c r="L95" i="20"/>
  <c r="K95" i="20"/>
  <c r="J95" i="20"/>
  <c r="I95" i="20"/>
  <c r="CA94" i="20"/>
  <c r="CF94" i="20" s="1"/>
  <c r="BZ94" i="20"/>
  <c r="CE94" i="20" s="1"/>
  <c r="BY94" i="20"/>
  <c r="CD94" i="20" s="1"/>
  <c r="BX94" i="20"/>
  <c r="BM94" i="20"/>
  <c r="R94" i="20"/>
  <c r="Q94" i="20"/>
  <c r="P94" i="20"/>
  <c r="O94" i="20"/>
  <c r="M94" i="20"/>
  <c r="L94" i="20"/>
  <c r="K94" i="20"/>
  <c r="J94" i="20"/>
  <c r="I94" i="20"/>
  <c r="CA93" i="20"/>
  <c r="CF93" i="20" s="1"/>
  <c r="BZ93" i="20"/>
  <c r="CE93" i="20" s="1"/>
  <c r="BY93" i="20"/>
  <c r="CD93" i="20" s="1"/>
  <c r="BM93" i="20"/>
  <c r="R93" i="20"/>
  <c r="Q93" i="20"/>
  <c r="P93" i="20"/>
  <c r="O93" i="20"/>
  <c r="M93" i="20"/>
  <c r="L93" i="20"/>
  <c r="K93" i="20"/>
  <c r="J93" i="20"/>
  <c r="I93" i="20"/>
  <c r="CA92" i="20"/>
  <c r="CF92" i="20" s="1"/>
  <c r="BZ92" i="20"/>
  <c r="CE92" i="20" s="1"/>
  <c r="BY92" i="20"/>
  <c r="CD92" i="20" s="1"/>
  <c r="BM92" i="20"/>
  <c r="R92" i="20"/>
  <c r="Q92" i="20"/>
  <c r="P92" i="20"/>
  <c r="O92" i="20"/>
  <c r="M92" i="20"/>
  <c r="L92" i="20"/>
  <c r="K92" i="20"/>
  <c r="J92" i="20"/>
  <c r="I92" i="20"/>
  <c r="CA91" i="20"/>
  <c r="CF91" i="20" s="1"/>
  <c r="BZ91" i="20"/>
  <c r="CE91" i="20" s="1"/>
  <c r="BY91" i="20"/>
  <c r="CD91" i="20" s="1"/>
  <c r="BW91" i="20"/>
  <c r="BX91" i="20" s="1"/>
  <c r="BM91" i="20"/>
  <c r="R91" i="20"/>
  <c r="Q91" i="20"/>
  <c r="P91" i="20"/>
  <c r="O91" i="20"/>
  <c r="M91" i="20"/>
  <c r="L91" i="20"/>
  <c r="K91" i="20"/>
  <c r="J91" i="20"/>
  <c r="I91" i="20"/>
  <c r="CA90" i="20"/>
  <c r="CF90" i="20" s="1"/>
  <c r="BZ90" i="20"/>
  <c r="CE90" i="20" s="1"/>
  <c r="BY90" i="20"/>
  <c r="CD90" i="20" s="1"/>
  <c r="BX90" i="20"/>
  <c r="BM90" i="20"/>
  <c r="R90" i="20"/>
  <c r="Q90" i="20"/>
  <c r="P90" i="20"/>
  <c r="O90" i="20"/>
  <c r="M90" i="20"/>
  <c r="L90" i="20"/>
  <c r="K90" i="20"/>
  <c r="J90" i="20"/>
  <c r="I90" i="20"/>
  <c r="CA89" i="20"/>
  <c r="CF89" i="20" s="1"/>
  <c r="BZ89" i="20"/>
  <c r="CE89" i="20" s="1"/>
  <c r="BY89" i="20"/>
  <c r="CD89" i="20" s="1"/>
  <c r="BM89" i="20"/>
  <c r="R89" i="20"/>
  <c r="Q89" i="20"/>
  <c r="P89" i="20"/>
  <c r="O89" i="20"/>
  <c r="M89" i="20"/>
  <c r="L89" i="20"/>
  <c r="K89" i="20"/>
  <c r="J89" i="20"/>
  <c r="I89" i="20"/>
  <c r="CA88" i="20"/>
  <c r="CF88" i="20" s="1"/>
  <c r="BZ88" i="20"/>
  <c r="CE88" i="20" s="1"/>
  <c r="BY88" i="20"/>
  <c r="CD88" i="20" s="1"/>
  <c r="BM88" i="20"/>
  <c r="R88" i="20"/>
  <c r="Q88" i="20"/>
  <c r="P88" i="20"/>
  <c r="O88" i="20"/>
  <c r="M88" i="20"/>
  <c r="L88" i="20"/>
  <c r="K88" i="20"/>
  <c r="J88" i="20"/>
  <c r="I88" i="20"/>
  <c r="CA87" i="20"/>
  <c r="CF87" i="20" s="1"/>
  <c r="BZ87" i="20"/>
  <c r="CE87" i="20" s="1"/>
  <c r="BY87" i="20"/>
  <c r="CD87" i="20" s="1"/>
  <c r="BW87" i="20"/>
  <c r="BX87" i="20" s="1"/>
  <c r="BM87" i="20"/>
  <c r="R87" i="20"/>
  <c r="Q87" i="20"/>
  <c r="P87" i="20"/>
  <c r="O87" i="20"/>
  <c r="M87" i="20"/>
  <c r="L87" i="20"/>
  <c r="K87" i="20"/>
  <c r="J87" i="20"/>
  <c r="I87" i="20"/>
  <c r="CA86" i="20"/>
  <c r="CF86" i="20" s="1"/>
  <c r="BZ86" i="20"/>
  <c r="CE86" i="20" s="1"/>
  <c r="BY86" i="20"/>
  <c r="CD86" i="20" s="1"/>
  <c r="BM86" i="20"/>
  <c r="R86" i="20"/>
  <c r="Q86" i="20"/>
  <c r="P86" i="20"/>
  <c r="O86" i="20"/>
  <c r="M86" i="20"/>
  <c r="L86" i="20"/>
  <c r="K86" i="20"/>
  <c r="J86" i="20"/>
  <c r="I86" i="20"/>
  <c r="BM85" i="20"/>
  <c r="BD85" i="20"/>
  <c r="BC85" i="20"/>
  <c r="BB85" i="20"/>
  <c r="BA85" i="20"/>
  <c r="AZ85" i="20"/>
  <c r="AY85" i="20"/>
  <c r="AX85" i="20"/>
  <c r="BE85" i="20" s="1"/>
  <c r="AB85" i="20"/>
  <c r="Z85" i="20"/>
  <c r="X85" i="20"/>
  <c r="V85" i="20"/>
  <c r="BM84" i="20"/>
  <c r="BE84" i="20"/>
  <c r="CA83" i="20"/>
  <c r="CF83" i="20" s="1"/>
  <c r="BZ83" i="20"/>
  <c r="CE83" i="20" s="1"/>
  <c r="BY83" i="20"/>
  <c r="CD83" i="20" s="1"/>
  <c r="R83" i="20"/>
  <c r="Q83" i="20"/>
  <c r="P83" i="20"/>
  <c r="O83" i="20"/>
  <c r="M83" i="20"/>
  <c r="L83" i="20"/>
  <c r="K83" i="20"/>
  <c r="J83" i="20"/>
  <c r="I83" i="20"/>
  <c r="CA82" i="20"/>
  <c r="CF82" i="20" s="1"/>
  <c r="BZ82" i="20"/>
  <c r="CE82" i="20" s="1"/>
  <c r="BY82" i="20"/>
  <c r="CD82" i="20" s="1"/>
  <c r="R82" i="20"/>
  <c r="Q82" i="20"/>
  <c r="P82" i="20"/>
  <c r="O82" i="20"/>
  <c r="M82" i="20"/>
  <c r="L82" i="20"/>
  <c r="K82" i="20"/>
  <c r="J82" i="20"/>
  <c r="I82" i="20"/>
  <c r="CA81" i="20"/>
  <c r="CF81" i="20" s="1"/>
  <c r="BZ81" i="20"/>
  <c r="CE81" i="20" s="1"/>
  <c r="BY81" i="20"/>
  <c r="CD81" i="20" s="1"/>
  <c r="R81" i="20"/>
  <c r="Q81" i="20"/>
  <c r="P81" i="20"/>
  <c r="O81" i="20"/>
  <c r="M81" i="20"/>
  <c r="L81" i="20"/>
  <c r="K81" i="20"/>
  <c r="J81" i="20"/>
  <c r="I81" i="20"/>
  <c r="CA80" i="20"/>
  <c r="CF80" i="20" s="1"/>
  <c r="BZ80" i="20"/>
  <c r="CE80" i="20" s="1"/>
  <c r="BY80" i="20"/>
  <c r="CD80" i="20" s="1"/>
  <c r="BX80" i="20"/>
  <c r="R80" i="20"/>
  <c r="Q80" i="20"/>
  <c r="P80" i="20"/>
  <c r="O80" i="20"/>
  <c r="M80" i="20"/>
  <c r="L80" i="20"/>
  <c r="K80" i="20"/>
  <c r="J80" i="20"/>
  <c r="I80" i="20"/>
  <c r="CA79" i="20"/>
  <c r="CF79" i="20" s="1"/>
  <c r="BZ79" i="20"/>
  <c r="CE79" i="20" s="1"/>
  <c r="BY79" i="20"/>
  <c r="CD79" i="20" s="1"/>
  <c r="R79" i="20"/>
  <c r="Q79" i="20"/>
  <c r="P79" i="20"/>
  <c r="O79" i="20"/>
  <c r="M79" i="20"/>
  <c r="L79" i="20"/>
  <c r="K79" i="20"/>
  <c r="J79" i="20"/>
  <c r="I79" i="20"/>
  <c r="CA78" i="20"/>
  <c r="CF78" i="20" s="1"/>
  <c r="BZ78" i="20"/>
  <c r="CE78" i="20" s="1"/>
  <c r="BY78" i="20"/>
  <c r="CD78" i="20" s="1"/>
  <c r="BX78" i="20"/>
  <c r="R78" i="20"/>
  <c r="Q78" i="20"/>
  <c r="P78" i="20"/>
  <c r="O78" i="20"/>
  <c r="M78" i="20"/>
  <c r="L78" i="20"/>
  <c r="K78" i="20"/>
  <c r="J78" i="20"/>
  <c r="I78" i="20"/>
  <c r="CA77" i="20"/>
  <c r="CF77" i="20" s="1"/>
  <c r="BZ77" i="20"/>
  <c r="CE77" i="20" s="1"/>
  <c r="BY77" i="20"/>
  <c r="CD77" i="20" s="1"/>
  <c r="BW77" i="20"/>
  <c r="BX77" i="20" s="1"/>
  <c r="R77" i="20"/>
  <c r="Q77" i="20"/>
  <c r="P77" i="20"/>
  <c r="O77" i="20"/>
  <c r="M77" i="20"/>
  <c r="L77" i="20"/>
  <c r="K77" i="20"/>
  <c r="J77" i="20"/>
  <c r="I77" i="20"/>
  <c r="CA76" i="20"/>
  <c r="CF76" i="20" s="1"/>
  <c r="BZ76" i="20"/>
  <c r="CE76" i="20" s="1"/>
  <c r="BY76" i="20"/>
  <c r="CD76" i="20" s="1"/>
  <c r="BW76" i="20"/>
  <c r="BX76" i="20" s="1"/>
  <c r="R76" i="20"/>
  <c r="Q76" i="20"/>
  <c r="P76" i="20"/>
  <c r="O76" i="20"/>
  <c r="M76" i="20"/>
  <c r="L76" i="20"/>
  <c r="K76" i="20"/>
  <c r="J76" i="20"/>
  <c r="I76" i="20"/>
  <c r="CA75" i="20"/>
  <c r="CF75" i="20" s="1"/>
  <c r="BZ75" i="20"/>
  <c r="CE75" i="20" s="1"/>
  <c r="BY75" i="20"/>
  <c r="CD75" i="20" s="1"/>
  <c r="R75" i="20"/>
  <c r="Q75" i="20"/>
  <c r="P75" i="20"/>
  <c r="O75" i="20"/>
  <c r="M75" i="20"/>
  <c r="L75" i="20"/>
  <c r="K75" i="20"/>
  <c r="J75" i="20"/>
  <c r="I75" i="20"/>
  <c r="BM74" i="20"/>
  <c r="AB74" i="20"/>
  <c r="Z74" i="20"/>
  <c r="X74" i="20"/>
  <c r="V74" i="20"/>
  <c r="CA73" i="20"/>
  <c r="CF73" i="20" s="1"/>
  <c r="BZ73" i="20"/>
  <c r="CE73" i="20" s="1"/>
  <c r="BY73" i="20"/>
  <c r="CD73" i="20" s="1"/>
  <c r="BX73" i="20"/>
  <c r="BM73" i="20"/>
  <c r="R73" i="20"/>
  <c r="Q73" i="20"/>
  <c r="P73" i="20"/>
  <c r="O73" i="20"/>
  <c r="M73" i="20"/>
  <c r="L73" i="20"/>
  <c r="K73" i="20"/>
  <c r="J73" i="20"/>
  <c r="I73" i="20"/>
  <c r="CA72" i="20"/>
  <c r="CF72" i="20" s="1"/>
  <c r="BZ72" i="20"/>
  <c r="CE72" i="20" s="1"/>
  <c r="BY72" i="20"/>
  <c r="CD72" i="20" s="1"/>
  <c r="BW72" i="20"/>
  <c r="BX72" i="20" s="1"/>
  <c r="BM72" i="20"/>
  <c r="R72" i="20"/>
  <c r="Q72" i="20"/>
  <c r="P72" i="20"/>
  <c r="O72" i="20"/>
  <c r="M72" i="20"/>
  <c r="L72" i="20"/>
  <c r="K72" i="20"/>
  <c r="J72" i="20"/>
  <c r="I72" i="20"/>
  <c r="CA71" i="20"/>
  <c r="CF71" i="20" s="1"/>
  <c r="BZ71" i="20"/>
  <c r="CE71" i="20" s="1"/>
  <c r="BY71" i="20"/>
  <c r="CD71" i="20" s="1"/>
  <c r="BM71" i="20"/>
  <c r="R71" i="20"/>
  <c r="Q71" i="20"/>
  <c r="P71" i="20"/>
  <c r="O71" i="20"/>
  <c r="M71" i="20"/>
  <c r="L71" i="20"/>
  <c r="K71" i="20"/>
  <c r="J71" i="20"/>
  <c r="I71" i="20"/>
  <c r="CA70" i="20"/>
  <c r="CF70" i="20" s="1"/>
  <c r="BZ70" i="20"/>
  <c r="CE70" i="20" s="1"/>
  <c r="BY70" i="20"/>
  <c r="CD70" i="20" s="1"/>
  <c r="BM70" i="20"/>
  <c r="R70" i="20"/>
  <c r="Q70" i="20"/>
  <c r="P70" i="20"/>
  <c r="O70" i="20"/>
  <c r="M70" i="20"/>
  <c r="L70" i="20"/>
  <c r="K70" i="20"/>
  <c r="J70" i="20"/>
  <c r="I70" i="20"/>
  <c r="CA69" i="20"/>
  <c r="CF69" i="20" s="1"/>
  <c r="BZ69" i="20"/>
  <c r="CE69" i="20" s="1"/>
  <c r="BY69" i="20"/>
  <c r="CD69" i="20" s="1"/>
  <c r="BX69" i="20"/>
  <c r="BM69" i="20"/>
  <c r="R69" i="20"/>
  <c r="Q69" i="20"/>
  <c r="P69" i="20"/>
  <c r="O69" i="20"/>
  <c r="M69" i="20"/>
  <c r="L69" i="20"/>
  <c r="K69" i="20"/>
  <c r="J69" i="20"/>
  <c r="I69" i="20"/>
  <c r="CA68" i="20"/>
  <c r="CF68" i="20" s="1"/>
  <c r="BZ68" i="20"/>
  <c r="CE68" i="20" s="1"/>
  <c r="BY68" i="20"/>
  <c r="CD68" i="20" s="1"/>
  <c r="BW68" i="20"/>
  <c r="BX68" i="20" s="1"/>
  <c r="BM68" i="20"/>
  <c r="R68" i="20"/>
  <c r="Q68" i="20"/>
  <c r="P68" i="20"/>
  <c r="O68" i="20"/>
  <c r="M68" i="20"/>
  <c r="L68" i="20"/>
  <c r="K68" i="20"/>
  <c r="J68" i="20"/>
  <c r="I68" i="20"/>
  <c r="CA67" i="20"/>
  <c r="CF67" i="20" s="1"/>
  <c r="BZ67" i="20"/>
  <c r="CE67" i="20" s="1"/>
  <c r="BY67" i="20"/>
  <c r="CD67" i="20" s="1"/>
  <c r="BM67" i="20"/>
  <c r="R67" i="20"/>
  <c r="Q67" i="20"/>
  <c r="P67" i="20"/>
  <c r="O67" i="20"/>
  <c r="M67" i="20"/>
  <c r="L67" i="20"/>
  <c r="K67" i="20"/>
  <c r="J67" i="20"/>
  <c r="I67" i="20"/>
  <c r="CA66" i="20"/>
  <c r="CF66" i="20" s="1"/>
  <c r="BZ66" i="20"/>
  <c r="CE66" i="20" s="1"/>
  <c r="BY66" i="20"/>
  <c r="CD66" i="20" s="1"/>
  <c r="BW66" i="20"/>
  <c r="BX66" i="20" s="1"/>
  <c r="BM66" i="20"/>
  <c r="R66" i="20"/>
  <c r="Q66" i="20"/>
  <c r="P66" i="20"/>
  <c r="O66" i="20"/>
  <c r="M66" i="20"/>
  <c r="L66" i="20"/>
  <c r="K66" i="20"/>
  <c r="J66" i="20"/>
  <c r="I66" i="20"/>
  <c r="CA65" i="20"/>
  <c r="CF65" i="20" s="1"/>
  <c r="BZ65" i="20"/>
  <c r="CE65" i="20" s="1"/>
  <c r="BY65" i="20"/>
  <c r="CD65" i="20" s="1"/>
  <c r="BM65" i="20"/>
  <c r="R65" i="20"/>
  <c r="Q65" i="20"/>
  <c r="P65" i="20"/>
  <c r="O65" i="20"/>
  <c r="M65" i="20"/>
  <c r="L65" i="20"/>
  <c r="K65" i="20"/>
  <c r="J65" i="20"/>
  <c r="I65" i="20"/>
  <c r="CA64" i="20"/>
  <c r="CF64" i="20" s="1"/>
  <c r="BZ64" i="20"/>
  <c r="CE64" i="20" s="1"/>
  <c r="BY64" i="20"/>
  <c r="CD64" i="20" s="1"/>
  <c r="BW64" i="20"/>
  <c r="BX64" i="20" s="1"/>
  <c r="BM64" i="20"/>
  <c r="R64" i="20"/>
  <c r="Q64" i="20"/>
  <c r="P64" i="20"/>
  <c r="O64" i="20"/>
  <c r="M64" i="20"/>
  <c r="L64" i="20"/>
  <c r="K64" i="20"/>
  <c r="J64" i="20"/>
  <c r="I64" i="20"/>
  <c r="CA63" i="20"/>
  <c r="CF63" i="20" s="1"/>
  <c r="BZ63" i="20"/>
  <c r="CE63" i="20" s="1"/>
  <c r="BY63" i="20"/>
  <c r="CD63" i="20" s="1"/>
  <c r="BW63" i="20"/>
  <c r="BX63" i="20" s="1"/>
  <c r="BM63" i="20"/>
  <c r="R63" i="20"/>
  <c r="Q63" i="20"/>
  <c r="P63" i="20"/>
  <c r="O63" i="20"/>
  <c r="M63" i="20"/>
  <c r="L63" i="20"/>
  <c r="K63" i="20"/>
  <c r="J63" i="20"/>
  <c r="I63" i="20"/>
  <c r="CA62" i="20"/>
  <c r="CF62" i="20" s="1"/>
  <c r="BZ62" i="20"/>
  <c r="CE62" i="20" s="1"/>
  <c r="BY62" i="20"/>
  <c r="CD62" i="20" s="1"/>
  <c r="BW62" i="20"/>
  <c r="BX62" i="20" s="1"/>
  <c r="BM62" i="20"/>
  <c r="R62" i="20"/>
  <c r="Q62" i="20"/>
  <c r="P62" i="20"/>
  <c r="O62" i="20"/>
  <c r="M62" i="20"/>
  <c r="L62" i="20"/>
  <c r="K62" i="20"/>
  <c r="J62" i="20"/>
  <c r="I62" i="20"/>
  <c r="CA61" i="20"/>
  <c r="CF61" i="20" s="1"/>
  <c r="BZ61" i="20"/>
  <c r="CE61" i="20" s="1"/>
  <c r="BY61" i="20"/>
  <c r="CD61" i="20" s="1"/>
  <c r="BW61" i="20"/>
  <c r="BX61" i="20" s="1"/>
  <c r="BM61" i="20"/>
  <c r="R61" i="20"/>
  <c r="Q61" i="20"/>
  <c r="P61" i="20"/>
  <c r="O61" i="20"/>
  <c r="M61" i="20"/>
  <c r="L61" i="20"/>
  <c r="K61" i="20"/>
  <c r="J61" i="20"/>
  <c r="I61" i="20"/>
  <c r="CA60" i="20"/>
  <c r="CF60" i="20" s="1"/>
  <c r="BZ60" i="20"/>
  <c r="CE60" i="20" s="1"/>
  <c r="BY60" i="20"/>
  <c r="CD60" i="20" s="1"/>
  <c r="BW60" i="20"/>
  <c r="BX60" i="20" s="1"/>
  <c r="BM60" i="20"/>
  <c r="R60" i="20"/>
  <c r="Q60" i="20"/>
  <c r="P60" i="20"/>
  <c r="O60" i="20"/>
  <c r="M60" i="20"/>
  <c r="L60" i="20"/>
  <c r="K60" i="20"/>
  <c r="J60" i="20"/>
  <c r="I60" i="20"/>
  <c r="CA59" i="20"/>
  <c r="CF59" i="20" s="1"/>
  <c r="BZ59" i="20"/>
  <c r="CE59" i="20" s="1"/>
  <c r="BY59" i="20"/>
  <c r="CD59" i="20" s="1"/>
  <c r="BW59" i="20"/>
  <c r="BX59" i="20" s="1"/>
  <c r="BM59" i="20"/>
  <c r="R59" i="20"/>
  <c r="Q59" i="20"/>
  <c r="P59" i="20"/>
  <c r="O59" i="20"/>
  <c r="M59" i="20"/>
  <c r="L59" i="20"/>
  <c r="K59" i="20"/>
  <c r="J59" i="20"/>
  <c r="I59" i="20"/>
  <c r="CA58" i="20"/>
  <c r="CF58" i="20" s="1"/>
  <c r="BZ58" i="20"/>
  <c r="CE58" i="20" s="1"/>
  <c r="BM58" i="20"/>
  <c r="BY58" i="20"/>
  <c r="CD58" i="20" s="1"/>
  <c r="R58" i="20"/>
  <c r="Q58" i="20"/>
  <c r="P58" i="20"/>
  <c r="O58" i="20"/>
  <c r="M58" i="20"/>
  <c r="L58" i="20"/>
  <c r="K58" i="20"/>
  <c r="J58" i="20"/>
  <c r="I58" i="20"/>
  <c r="CA57" i="20"/>
  <c r="CF57" i="20" s="1"/>
  <c r="BZ57" i="20"/>
  <c r="CE57" i="20" s="1"/>
  <c r="BY57" i="20"/>
  <c r="CD57" i="20" s="1"/>
  <c r="BW57" i="20"/>
  <c r="BX57" i="20" s="1"/>
  <c r="BM57" i="20"/>
  <c r="R57" i="20"/>
  <c r="Q57" i="20"/>
  <c r="P57" i="20"/>
  <c r="O57" i="20"/>
  <c r="M57" i="20"/>
  <c r="L57" i="20"/>
  <c r="K57" i="20"/>
  <c r="J57" i="20"/>
  <c r="I57" i="20"/>
  <c r="CA56" i="20"/>
  <c r="CF56" i="20" s="1"/>
  <c r="BZ56" i="20"/>
  <c r="CE56" i="20" s="1"/>
  <c r="BY56" i="20"/>
  <c r="CD56" i="20" s="1"/>
  <c r="BW56" i="20"/>
  <c r="BX56" i="20" s="1"/>
  <c r="BM56" i="20"/>
  <c r="R56" i="20"/>
  <c r="Q56" i="20"/>
  <c r="P56" i="20"/>
  <c r="O56" i="20"/>
  <c r="M56" i="20"/>
  <c r="L56" i="20"/>
  <c r="K56" i="20"/>
  <c r="J56" i="20"/>
  <c r="I56" i="20"/>
  <c r="CA55" i="20"/>
  <c r="CF55" i="20" s="1"/>
  <c r="BZ55" i="20"/>
  <c r="CE55" i="20" s="1"/>
  <c r="BY55" i="20"/>
  <c r="CD55" i="20" s="1"/>
  <c r="BW55" i="20"/>
  <c r="BX55" i="20" s="1"/>
  <c r="BM55" i="20"/>
  <c r="R55" i="20"/>
  <c r="Q55" i="20"/>
  <c r="P55" i="20"/>
  <c r="O55" i="20"/>
  <c r="M55" i="20"/>
  <c r="L55" i="20"/>
  <c r="K55" i="20"/>
  <c r="J55" i="20"/>
  <c r="I55" i="20"/>
  <c r="CA54" i="20"/>
  <c r="CF54" i="20" s="1"/>
  <c r="BZ54" i="20"/>
  <c r="CE54" i="20" s="1"/>
  <c r="BY54" i="20"/>
  <c r="CD54" i="20" s="1"/>
  <c r="BW54" i="20"/>
  <c r="BX54" i="20" s="1"/>
  <c r="BM54" i="20"/>
  <c r="R54" i="20"/>
  <c r="Q54" i="20"/>
  <c r="P54" i="20"/>
  <c r="O54" i="20"/>
  <c r="M54" i="20"/>
  <c r="L54" i="20"/>
  <c r="K54" i="20"/>
  <c r="J54" i="20"/>
  <c r="I54" i="20"/>
  <c r="BZ53" i="20"/>
  <c r="CE53" i="20" s="1"/>
  <c r="BM53" i="20"/>
  <c r="AE53" i="20"/>
  <c r="CA53" i="20" s="1"/>
  <c r="CF53" i="20" s="1"/>
  <c r="BY53" i="20"/>
  <c r="CD53" i="20" s="1"/>
  <c r="R53" i="20"/>
  <c r="Q53" i="20"/>
  <c r="P53" i="20"/>
  <c r="O53" i="20"/>
  <c r="M53" i="20"/>
  <c r="L53" i="20"/>
  <c r="K53" i="20"/>
  <c r="J53" i="20"/>
  <c r="I53" i="20"/>
  <c r="BZ52" i="20"/>
  <c r="CE52" i="20" s="1"/>
  <c r="BY52" i="20"/>
  <c r="CD52" i="20" s="1"/>
  <c r="BM52" i="20"/>
  <c r="AE52" i="20"/>
  <c r="CA52" i="20" s="1"/>
  <c r="CF52" i="20" s="1"/>
  <c r="R52" i="20"/>
  <c r="Q52" i="20"/>
  <c r="P52" i="20"/>
  <c r="O52" i="20"/>
  <c r="M52" i="20"/>
  <c r="L52" i="20"/>
  <c r="K52" i="20"/>
  <c r="J52" i="20"/>
  <c r="I52" i="20"/>
  <c r="CA51" i="20"/>
  <c r="CF51" i="20" s="1"/>
  <c r="BZ51" i="20"/>
  <c r="CE51" i="20" s="1"/>
  <c r="BY51" i="20"/>
  <c r="CD51" i="20" s="1"/>
  <c r="BM51" i="20"/>
  <c r="R51" i="20"/>
  <c r="Q51" i="20"/>
  <c r="P51" i="20"/>
  <c r="O51" i="20"/>
  <c r="M51" i="20"/>
  <c r="L51" i="20"/>
  <c r="K51" i="20"/>
  <c r="J51" i="20"/>
  <c r="I51" i="20"/>
  <c r="BW50" i="20"/>
  <c r="BM50" i="20"/>
  <c r="AB50" i="20"/>
  <c r="Z50" i="20"/>
  <c r="X50" i="20"/>
  <c r="V50" i="20"/>
  <c r="BW49" i="20"/>
  <c r="BM49" i="20"/>
  <c r="BW48" i="20"/>
  <c r="BM48" i="20"/>
  <c r="BW47" i="20"/>
  <c r="BM47" i="20"/>
  <c r="CA46" i="20"/>
  <c r="CF46" i="20" s="1"/>
  <c r="BZ46" i="20"/>
  <c r="CE46" i="20" s="1"/>
  <c r="BY46" i="20"/>
  <c r="CD46" i="20" s="1"/>
  <c r="BM46" i="20"/>
  <c r="R46" i="20"/>
  <c r="Q46" i="20"/>
  <c r="P46" i="20"/>
  <c r="O46" i="20"/>
  <c r="M46" i="20"/>
  <c r="L46" i="20"/>
  <c r="K46" i="20"/>
  <c r="J46" i="20"/>
  <c r="I46" i="20"/>
  <c r="CA45" i="20"/>
  <c r="CF45" i="20" s="1"/>
  <c r="BZ45" i="20"/>
  <c r="CE45" i="20" s="1"/>
  <c r="BY45" i="20"/>
  <c r="CD45" i="20" s="1"/>
  <c r="BW45" i="20"/>
  <c r="BX45" i="20" s="1"/>
  <c r="BM45" i="20"/>
  <c r="R45" i="20"/>
  <c r="Q45" i="20"/>
  <c r="P45" i="20"/>
  <c r="O45" i="20"/>
  <c r="M45" i="20"/>
  <c r="L45" i="20"/>
  <c r="K45" i="20"/>
  <c r="J45" i="20"/>
  <c r="I45" i="20"/>
  <c r="CA44" i="20"/>
  <c r="CF44" i="20" s="1"/>
  <c r="BZ44" i="20"/>
  <c r="CE44" i="20" s="1"/>
  <c r="BY44" i="20"/>
  <c r="CD44" i="20" s="1"/>
  <c r="BW44" i="20"/>
  <c r="BX44" i="20" s="1"/>
  <c r="BM44" i="20"/>
  <c r="R44" i="20"/>
  <c r="Q44" i="20"/>
  <c r="P44" i="20"/>
  <c r="O44" i="20"/>
  <c r="M44" i="20"/>
  <c r="L44" i="20"/>
  <c r="K44" i="20"/>
  <c r="J44" i="20"/>
  <c r="I44" i="20"/>
  <c r="CA43" i="20"/>
  <c r="CF43" i="20" s="1"/>
  <c r="BZ43" i="20"/>
  <c r="CE43" i="20" s="1"/>
  <c r="BY43" i="20"/>
  <c r="CD43" i="20" s="1"/>
  <c r="BW43" i="20"/>
  <c r="BX43" i="20" s="1"/>
  <c r="BM43" i="20"/>
  <c r="R43" i="20"/>
  <c r="Q43" i="20"/>
  <c r="P43" i="20"/>
  <c r="O43" i="20"/>
  <c r="M43" i="20"/>
  <c r="L43" i="20"/>
  <c r="K43" i="20"/>
  <c r="J43" i="20"/>
  <c r="I43" i="20"/>
  <c r="BW42" i="20"/>
  <c r="BM42" i="20"/>
  <c r="AB42" i="20"/>
  <c r="Z42" i="20"/>
  <c r="X42" i="20"/>
  <c r="V42" i="20"/>
  <c r="CA41" i="20"/>
  <c r="CF41" i="20" s="1"/>
  <c r="BZ41" i="20"/>
  <c r="CE41" i="20" s="1"/>
  <c r="BY41" i="20"/>
  <c r="CD41" i="20" s="1"/>
  <c r="BW41" i="20"/>
  <c r="BX41" i="20" s="1"/>
  <c r="BM41" i="20"/>
  <c r="R41" i="20"/>
  <c r="Q41" i="20"/>
  <c r="P41" i="20"/>
  <c r="O41" i="20"/>
  <c r="M41" i="20"/>
  <c r="L41" i="20"/>
  <c r="K41" i="20"/>
  <c r="J41" i="20"/>
  <c r="I41" i="20"/>
  <c r="CA40" i="20"/>
  <c r="CF40" i="20" s="1"/>
  <c r="BZ40" i="20"/>
  <c r="CE40" i="20" s="1"/>
  <c r="BY40" i="20"/>
  <c r="CD40" i="20" s="1"/>
  <c r="BW40" i="20"/>
  <c r="BX40" i="20" s="1"/>
  <c r="BM40" i="20"/>
  <c r="R40" i="20"/>
  <c r="Q40" i="20"/>
  <c r="P40" i="20"/>
  <c r="O40" i="20"/>
  <c r="M40" i="20"/>
  <c r="L40" i="20"/>
  <c r="K40" i="20"/>
  <c r="J40" i="20"/>
  <c r="I40" i="20"/>
  <c r="CA39" i="20"/>
  <c r="CF39" i="20" s="1"/>
  <c r="BZ39" i="20"/>
  <c r="CE39" i="20" s="1"/>
  <c r="BY39" i="20"/>
  <c r="CD39" i="20" s="1"/>
  <c r="BW39" i="20"/>
  <c r="BX39" i="20" s="1"/>
  <c r="BM39" i="20"/>
  <c r="R39" i="20"/>
  <c r="Q39" i="20"/>
  <c r="P39" i="20"/>
  <c r="O39" i="20"/>
  <c r="M39" i="20"/>
  <c r="L39" i="20"/>
  <c r="K39" i="20"/>
  <c r="J39" i="20"/>
  <c r="I39" i="20"/>
  <c r="CA38" i="20"/>
  <c r="CF38" i="20" s="1"/>
  <c r="BZ38" i="20"/>
  <c r="CE38" i="20" s="1"/>
  <c r="BY38" i="20"/>
  <c r="CD38" i="20" s="1"/>
  <c r="BW38" i="20"/>
  <c r="BX38" i="20" s="1"/>
  <c r="BM38" i="20"/>
  <c r="R38" i="20"/>
  <c r="Q38" i="20"/>
  <c r="P38" i="20"/>
  <c r="O38" i="20"/>
  <c r="M38" i="20"/>
  <c r="L38" i="20"/>
  <c r="K38" i="20"/>
  <c r="J38" i="20"/>
  <c r="I38" i="20"/>
  <c r="BZ37" i="20"/>
  <c r="CE37" i="20" s="1"/>
  <c r="BM37" i="20"/>
  <c r="R37" i="20"/>
  <c r="Q37" i="20"/>
  <c r="P37" i="20"/>
  <c r="O37" i="20"/>
  <c r="M37" i="20"/>
  <c r="L37" i="20"/>
  <c r="K37" i="20"/>
  <c r="J37" i="20"/>
  <c r="I37" i="20"/>
  <c r="CA36" i="20"/>
  <c r="CF36" i="20" s="1"/>
  <c r="BZ36" i="20"/>
  <c r="CE36" i="20" s="1"/>
  <c r="BY36" i="20"/>
  <c r="CD36" i="20" s="1"/>
  <c r="BW36" i="20"/>
  <c r="BX36" i="20" s="1"/>
  <c r="BM36" i="20"/>
  <c r="R36" i="20"/>
  <c r="Q36" i="20"/>
  <c r="P36" i="20"/>
  <c r="O36" i="20"/>
  <c r="M36" i="20"/>
  <c r="L36" i="20"/>
  <c r="K36" i="20"/>
  <c r="J36" i="20"/>
  <c r="I36" i="20"/>
  <c r="CA35" i="20"/>
  <c r="CF35" i="20" s="1"/>
  <c r="BZ35" i="20"/>
  <c r="CE35" i="20" s="1"/>
  <c r="BY35" i="20"/>
  <c r="CD35" i="20" s="1"/>
  <c r="BW35" i="20"/>
  <c r="BX35" i="20" s="1"/>
  <c r="BM35" i="20"/>
  <c r="R35" i="20"/>
  <c r="Q35" i="20"/>
  <c r="P35" i="20"/>
  <c r="O35" i="20"/>
  <c r="M35" i="20"/>
  <c r="L35" i="20"/>
  <c r="K35" i="20"/>
  <c r="J35" i="20"/>
  <c r="I35" i="20"/>
  <c r="CA34" i="20"/>
  <c r="CF34" i="20" s="1"/>
  <c r="BZ34" i="20"/>
  <c r="CE34" i="20" s="1"/>
  <c r="BY34" i="20"/>
  <c r="CD34" i="20" s="1"/>
  <c r="BW34" i="20"/>
  <c r="BX34" i="20" s="1"/>
  <c r="BM34" i="20"/>
  <c r="R34" i="20"/>
  <c r="Q34" i="20"/>
  <c r="P34" i="20"/>
  <c r="O34" i="20"/>
  <c r="M34" i="20"/>
  <c r="L34" i="20"/>
  <c r="K34" i="20"/>
  <c r="J34" i="20"/>
  <c r="I34" i="20"/>
  <c r="CF33" i="20"/>
  <c r="BZ33" i="20"/>
  <c r="CE33" i="20" s="1"/>
  <c r="BY33" i="20"/>
  <c r="CD33" i="20" s="1"/>
  <c r="BW33" i="20"/>
  <c r="BX33" i="20" s="1"/>
  <c r="R33" i="20"/>
  <c r="Q33" i="20"/>
  <c r="P33" i="20"/>
  <c r="O33" i="20"/>
  <c r="M33" i="20"/>
  <c r="L33" i="20"/>
  <c r="K33" i="20"/>
  <c r="J33" i="20"/>
  <c r="I33" i="20"/>
  <c r="CA32" i="20"/>
  <c r="CF32" i="20" s="1"/>
  <c r="BZ32" i="20"/>
  <c r="CE32" i="20" s="1"/>
  <c r="BY32" i="20"/>
  <c r="CD32" i="20" s="1"/>
  <c r="BW32" i="20"/>
  <c r="BX32" i="20" s="1"/>
  <c r="BM32" i="20"/>
  <c r="R32" i="20"/>
  <c r="Q32" i="20"/>
  <c r="P32" i="20"/>
  <c r="O32" i="20"/>
  <c r="M32" i="20"/>
  <c r="L32" i="20"/>
  <c r="K32" i="20"/>
  <c r="J32" i="20"/>
  <c r="I32" i="20"/>
  <c r="CA31" i="20"/>
  <c r="CF31" i="20" s="1"/>
  <c r="BZ31" i="20"/>
  <c r="CE31" i="20" s="1"/>
  <c r="BY31" i="20"/>
  <c r="CD31" i="20" s="1"/>
  <c r="BW31" i="20"/>
  <c r="BX31" i="20" s="1"/>
  <c r="BM31" i="20"/>
  <c r="R31" i="20"/>
  <c r="Q31" i="20"/>
  <c r="P31" i="20"/>
  <c r="O31" i="20"/>
  <c r="M31" i="20"/>
  <c r="L31" i="20"/>
  <c r="K31" i="20"/>
  <c r="J31" i="20"/>
  <c r="I31" i="20"/>
  <c r="CA30" i="20"/>
  <c r="CF30" i="20" s="1"/>
  <c r="BZ30" i="20"/>
  <c r="CE30" i="20" s="1"/>
  <c r="BY30" i="20"/>
  <c r="CD30" i="20" s="1"/>
  <c r="BW30" i="20"/>
  <c r="BX30" i="20" s="1"/>
  <c r="BM30" i="20"/>
  <c r="R30" i="20"/>
  <c r="Q30" i="20"/>
  <c r="P30" i="20"/>
  <c r="O30" i="20"/>
  <c r="M30" i="20"/>
  <c r="L30" i="20"/>
  <c r="K30" i="20"/>
  <c r="J30" i="20"/>
  <c r="I30" i="20"/>
  <c r="CA29" i="20"/>
  <c r="CF29" i="20" s="1"/>
  <c r="BZ29" i="20"/>
  <c r="CE29" i="20" s="1"/>
  <c r="BY29" i="20"/>
  <c r="CD29" i="20" s="1"/>
  <c r="BW29" i="20"/>
  <c r="BX29" i="20" s="1"/>
  <c r="BM29" i="20"/>
  <c r="R29" i="20"/>
  <c r="Q29" i="20"/>
  <c r="P29" i="20"/>
  <c r="O29" i="20"/>
  <c r="M29" i="20"/>
  <c r="L29" i="20"/>
  <c r="K29" i="20"/>
  <c r="J29" i="20"/>
  <c r="I29" i="20"/>
  <c r="CF28" i="20"/>
  <c r="BZ28" i="20"/>
  <c r="CE28" i="20" s="1"/>
  <c r="BY28" i="20"/>
  <c r="CD28" i="20" s="1"/>
  <c r="BW28" i="20"/>
  <c r="BX28" i="20" s="1"/>
  <c r="BM28" i="20"/>
  <c r="R28" i="20"/>
  <c r="Q28" i="20"/>
  <c r="P28" i="20"/>
  <c r="O28" i="20"/>
  <c r="M28" i="20"/>
  <c r="L28" i="20"/>
  <c r="K28" i="20"/>
  <c r="J28" i="20"/>
  <c r="I28" i="20"/>
  <c r="CA27" i="20"/>
  <c r="CF27" i="20" s="1"/>
  <c r="BZ27" i="20"/>
  <c r="CE27" i="20" s="1"/>
  <c r="BY27" i="20"/>
  <c r="CD27" i="20" s="1"/>
  <c r="BW27" i="20"/>
  <c r="BX27" i="20" s="1"/>
  <c r="BM27" i="20"/>
  <c r="R27" i="20"/>
  <c r="Q27" i="20"/>
  <c r="P27" i="20"/>
  <c r="O27" i="20"/>
  <c r="M27" i="20"/>
  <c r="L27" i="20"/>
  <c r="K27" i="20"/>
  <c r="J27" i="20"/>
  <c r="I27" i="20"/>
  <c r="CA26" i="20"/>
  <c r="CF26" i="20" s="1"/>
  <c r="BZ26" i="20"/>
  <c r="CE26" i="20" s="1"/>
  <c r="BY26" i="20"/>
  <c r="CD26" i="20" s="1"/>
  <c r="BW26" i="20"/>
  <c r="BX26" i="20" s="1"/>
  <c r="BM26" i="20"/>
  <c r="R26" i="20"/>
  <c r="Q26" i="20"/>
  <c r="P26" i="20"/>
  <c r="O26" i="20"/>
  <c r="M26" i="20"/>
  <c r="L26" i="20"/>
  <c r="K26" i="20"/>
  <c r="J26" i="20"/>
  <c r="I26" i="20"/>
  <c r="CA25" i="20"/>
  <c r="CF25" i="20" s="1"/>
  <c r="BZ25" i="20"/>
  <c r="CE25" i="20" s="1"/>
  <c r="BY25" i="20"/>
  <c r="CD25" i="20" s="1"/>
  <c r="BW25" i="20"/>
  <c r="BX25" i="20" s="1"/>
  <c r="BM25" i="20"/>
  <c r="R25" i="20"/>
  <c r="Q25" i="20"/>
  <c r="P25" i="20"/>
  <c r="O25" i="20"/>
  <c r="M25" i="20"/>
  <c r="L25" i="20"/>
  <c r="K25" i="20"/>
  <c r="J25" i="20"/>
  <c r="I25" i="20"/>
  <c r="CA24" i="20"/>
  <c r="CF24" i="20" s="1"/>
  <c r="BZ24" i="20"/>
  <c r="CE24" i="20" s="1"/>
  <c r="BY24" i="20"/>
  <c r="CD24" i="20" s="1"/>
  <c r="BW24" i="20"/>
  <c r="BX24" i="20" s="1"/>
  <c r="BM24" i="20"/>
  <c r="R24" i="20"/>
  <c r="Q24" i="20"/>
  <c r="P24" i="20"/>
  <c r="O24" i="20"/>
  <c r="M24" i="20"/>
  <c r="L24" i="20"/>
  <c r="K24" i="20"/>
  <c r="J24" i="20"/>
  <c r="I24" i="20"/>
  <c r="BM23" i="20"/>
  <c r="AB23" i="20"/>
  <c r="Z23" i="20"/>
  <c r="X23" i="20"/>
  <c r="V23" i="20"/>
  <c r="CA22" i="20"/>
  <c r="CF22" i="20" s="1"/>
  <c r="BZ22" i="20"/>
  <c r="CE22" i="20" s="1"/>
  <c r="BY22" i="20"/>
  <c r="CD22" i="20" s="1"/>
  <c r="BW22" i="20"/>
  <c r="BX22" i="20" s="1"/>
  <c r="BM22" i="20"/>
  <c r="R22" i="20"/>
  <c r="Q22" i="20"/>
  <c r="P22" i="20"/>
  <c r="O22" i="20"/>
  <c r="M22" i="20"/>
  <c r="L22" i="20"/>
  <c r="K22" i="20"/>
  <c r="J22" i="20"/>
  <c r="I22" i="20"/>
  <c r="CA21" i="20"/>
  <c r="CF21" i="20" s="1"/>
  <c r="BZ21" i="20"/>
  <c r="CE21" i="20" s="1"/>
  <c r="BY21" i="20"/>
  <c r="CD21" i="20" s="1"/>
  <c r="BW21" i="20"/>
  <c r="BX21" i="20" s="1"/>
  <c r="BM21" i="20"/>
  <c r="R21" i="20"/>
  <c r="Q21" i="20"/>
  <c r="P21" i="20"/>
  <c r="O21" i="20"/>
  <c r="M21" i="20"/>
  <c r="L21" i="20"/>
  <c r="K21" i="20"/>
  <c r="J21" i="20"/>
  <c r="I21" i="20"/>
  <c r="CA20" i="20"/>
  <c r="CF20" i="20" s="1"/>
  <c r="BZ20" i="20"/>
  <c r="CE20" i="20" s="1"/>
  <c r="BY20" i="20"/>
  <c r="CD20" i="20" s="1"/>
  <c r="BM20" i="20"/>
  <c r="R20" i="20"/>
  <c r="Q20" i="20"/>
  <c r="P20" i="20"/>
  <c r="O20" i="20"/>
  <c r="M20" i="20"/>
  <c r="L20" i="20"/>
  <c r="K20" i="20"/>
  <c r="J20" i="20"/>
  <c r="I20" i="20"/>
  <c r="CA19" i="20"/>
  <c r="CF19" i="20" s="1"/>
  <c r="BZ19" i="20"/>
  <c r="CE19" i="20" s="1"/>
  <c r="BY19" i="20"/>
  <c r="CD19" i="20" s="1"/>
  <c r="BW19" i="20"/>
  <c r="BX19" i="20" s="1"/>
  <c r="BM19" i="20"/>
  <c r="R19" i="20"/>
  <c r="Q19" i="20"/>
  <c r="P19" i="20"/>
  <c r="O19" i="20"/>
  <c r="M19" i="20"/>
  <c r="L19" i="20"/>
  <c r="K19" i="20"/>
  <c r="J19" i="20"/>
  <c r="I19" i="20"/>
  <c r="CA18" i="20"/>
  <c r="CF18" i="20" s="1"/>
  <c r="BZ18" i="20"/>
  <c r="CE18" i="20" s="1"/>
  <c r="BY18" i="20"/>
  <c r="CD18" i="20" s="1"/>
  <c r="BX18" i="20"/>
  <c r="BM18" i="20"/>
  <c r="R18" i="20"/>
  <c r="Q18" i="20"/>
  <c r="P18" i="20"/>
  <c r="O18" i="20"/>
  <c r="M18" i="20"/>
  <c r="L18" i="20"/>
  <c r="K18" i="20"/>
  <c r="J18" i="20"/>
  <c r="I18" i="20"/>
  <c r="CA17" i="20"/>
  <c r="CF17" i="20" s="1"/>
  <c r="BZ17" i="20"/>
  <c r="CE17" i="20" s="1"/>
  <c r="BY17" i="20"/>
  <c r="CD17" i="20" s="1"/>
  <c r="BM17" i="20"/>
  <c r="R17" i="20"/>
  <c r="Q17" i="20"/>
  <c r="P17" i="20"/>
  <c r="O17" i="20"/>
  <c r="M17" i="20"/>
  <c r="L17" i="20"/>
  <c r="K17" i="20"/>
  <c r="J17" i="20"/>
  <c r="I17" i="20"/>
  <c r="CA16" i="20"/>
  <c r="CF16" i="20" s="1"/>
  <c r="BZ16" i="20"/>
  <c r="CE16" i="20" s="1"/>
  <c r="BY16" i="20"/>
  <c r="CD16" i="20" s="1"/>
  <c r="BW16" i="20"/>
  <c r="BX16" i="20" s="1"/>
  <c r="BM16" i="20"/>
  <c r="R16" i="20"/>
  <c r="Q16" i="20"/>
  <c r="P16" i="20"/>
  <c r="O16" i="20"/>
  <c r="M16" i="20"/>
  <c r="L16" i="20"/>
  <c r="K16" i="20"/>
  <c r="J16" i="20"/>
  <c r="I16" i="20"/>
  <c r="CA15" i="20"/>
  <c r="CF15" i="20" s="1"/>
  <c r="BZ15" i="20"/>
  <c r="CE15" i="20" s="1"/>
  <c r="BY15" i="20"/>
  <c r="CD15" i="20" s="1"/>
  <c r="BW15" i="20"/>
  <c r="BX15" i="20" s="1"/>
  <c r="BM15" i="20"/>
  <c r="R15" i="20"/>
  <c r="Q15" i="20"/>
  <c r="P15" i="20"/>
  <c r="O15" i="20"/>
  <c r="M15" i="20"/>
  <c r="L15" i="20"/>
  <c r="K15" i="20"/>
  <c r="J15" i="20"/>
  <c r="I15" i="20"/>
  <c r="CA14" i="20"/>
  <c r="CF14" i="20" s="1"/>
  <c r="BZ14" i="20"/>
  <c r="CE14" i="20" s="1"/>
  <c r="BY14" i="20"/>
  <c r="CD14" i="20" s="1"/>
  <c r="BM14" i="20"/>
  <c r="R14" i="20"/>
  <c r="Q14" i="20"/>
  <c r="P14" i="20"/>
  <c r="O14" i="20"/>
  <c r="M14" i="20"/>
  <c r="L14" i="20"/>
  <c r="K14" i="20"/>
  <c r="J14" i="20"/>
  <c r="I14" i="20"/>
  <c r="CA13" i="20"/>
  <c r="CF13" i="20" s="1"/>
  <c r="BZ13" i="20"/>
  <c r="CE13" i="20" s="1"/>
  <c r="BY13" i="20"/>
  <c r="CD13" i="20" s="1"/>
  <c r="BM13" i="20"/>
  <c r="R13" i="20"/>
  <c r="Q13" i="20"/>
  <c r="P13" i="20"/>
  <c r="O13" i="20"/>
  <c r="M13" i="20"/>
  <c r="L13" i="20"/>
  <c r="K13" i="20"/>
  <c r="J13" i="20"/>
  <c r="I13" i="20"/>
  <c r="CA12" i="20"/>
  <c r="CF12" i="20" s="1"/>
  <c r="BZ12" i="20"/>
  <c r="CE12" i="20" s="1"/>
  <c r="BY12" i="20"/>
  <c r="CD12" i="20" s="1"/>
  <c r="BX12" i="20"/>
  <c r="BM12" i="20"/>
  <c r="R12" i="20"/>
  <c r="Q12" i="20"/>
  <c r="P12" i="20"/>
  <c r="O12" i="20"/>
  <c r="M12" i="20"/>
  <c r="L12" i="20"/>
  <c r="K12" i="20"/>
  <c r="J12" i="20"/>
  <c r="I12" i="20"/>
  <c r="CA11" i="20"/>
  <c r="CF11" i="20" s="1"/>
  <c r="BZ11" i="20"/>
  <c r="CE11" i="20" s="1"/>
  <c r="BY11" i="20"/>
  <c r="CD11" i="20" s="1"/>
  <c r="BM11" i="20"/>
  <c r="R11" i="20"/>
  <c r="Q11" i="20"/>
  <c r="P11" i="20"/>
  <c r="O11" i="20"/>
  <c r="M11" i="20"/>
  <c r="L11" i="20"/>
  <c r="K11" i="20"/>
  <c r="J11" i="20"/>
  <c r="I11" i="20"/>
  <c r="CA10" i="20"/>
  <c r="CF10" i="20" s="1"/>
  <c r="BZ10" i="20"/>
  <c r="CE10" i="20" s="1"/>
  <c r="BY10" i="20"/>
  <c r="CD10" i="20" s="1"/>
  <c r="BX10" i="20"/>
  <c r="BM10" i="20"/>
  <c r="R10" i="20"/>
  <c r="Q10" i="20"/>
  <c r="P10" i="20"/>
  <c r="O10" i="20"/>
  <c r="M10" i="20"/>
  <c r="L10" i="20"/>
  <c r="K10" i="20"/>
  <c r="J10" i="20"/>
  <c r="I10" i="20"/>
  <c r="CA9" i="20"/>
  <c r="CF9" i="20" s="1"/>
  <c r="BZ9" i="20"/>
  <c r="CE9" i="20" s="1"/>
  <c r="BY9" i="20"/>
  <c r="CD9" i="20" s="1"/>
  <c r="BM9" i="20"/>
  <c r="R9" i="20"/>
  <c r="Q9" i="20"/>
  <c r="P9" i="20"/>
  <c r="O9" i="20"/>
  <c r="M9" i="20"/>
  <c r="L9" i="20"/>
  <c r="K9" i="20"/>
  <c r="J9" i="20"/>
  <c r="I9" i="20"/>
  <c r="CA8" i="20"/>
  <c r="CF8" i="20" s="1"/>
  <c r="BZ8" i="20"/>
  <c r="CE8" i="20" s="1"/>
  <c r="BY8" i="20"/>
  <c r="CD8" i="20" s="1"/>
  <c r="BM8" i="20"/>
  <c r="R8" i="20"/>
  <c r="Q8" i="20"/>
  <c r="P8" i="20"/>
  <c r="O8" i="20"/>
  <c r="N8" i="20"/>
  <c r="M8" i="20"/>
  <c r="L8" i="20"/>
  <c r="K8" i="20"/>
  <c r="J8" i="20"/>
  <c r="I8" i="20"/>
  <c r="BT7" i="20"/>
  <c r="BS7" i="20"/>
  <c r="BR7" i="20"/>
  <c r="BQ7" i="20"/>
  <c r="BP7" i="20"/>
  <c r="BO7" i="20"/>
  <c r="BN7" i="20"/>
  <c r="BU7" i="20" s="1"/>
  <c r="BL7" i="20"/>
  <c r="BK7" i="20"/>
  <c r="BJ7" i="20"/>
  <c r="BI7" i="20"/>
  <c r="BH7" i="20"/>
  <c r="BG7" i="20"/>
  <c r="BF7" i="20"/>
  <c r="BM7" i="20" s="1"/>
  <c r="BD7" i="20"/>
  <c r="BC7" i="20"/>
  <c r="BB7" i="20"/>
  <c r="BA7" i="20"/>
  <c r="AZ7" i="20"/>
  <c r="AY7" i="20"/>
  <c r="AX7" i="20"/>
  <c r="BE7" i="20" s="1"/>
  <c r="AV7" i="20"/>
  <c r="AU7" i="20"/>
  <c r="AT7" i="20"/>
  <c r="AS7" i="20"/>
  <c r="AR7" i="20"/>
  <c r="AQ7" i="20"/>
  <c r="AP7" i="20"/>
  <c r="AW7" i="20" s="1"/>
  <c r="AB7" i="20"/>
  <c r="Z7" i="20"/>
  <c r="X7" i="20"/>
  <c r="V7" i="20"/>
  <c r="BU6" i="20"/>
  <c r="BM6" i="20"/>
  <c r="BE6" i="20"/>
  <c r="AW6" i="20"/>
  <c r="BU5" i="20"/>
  <c r="BM5" i="20"/>
  <c r="BE5" i="20"/>
  <c r="AW5" i="20"/>
  <c r="BX172" i="20"/>
  <c r="BX9" i="20"/>
  <c r="BY172" i="20"/>
  <c r="CD172" i="20" s="1"/>
  <c r="BY188" i="20"/>
  <c r="CD188" i="20" s="1"/>
  <c r="CA345" i="20"/>
  <c r="CF345" i="20" s="1"/>
  <c r="BZ351" i="20"/>
  <c r="CE351" i="20" s="1"/>
  <c r="BF297" i="16"/>
  <c r="BM297" i="16" s="1"/>
  <c r="BX345" i="20"/>
  <c r="CG483" i="16"/>
  <c r="BE229" i="16"/>
  <c r="BM175" i="16"/>
  <c r="BG347" i="16"/>
  <c r="BF347" i="16"/>
  <c r="BF344" i="16"/>
  <c r="BM344" i="16" s="1"/>
  <c r="BF257" i="16"/>
  <c r="BM257" i="16" s="1"/>
  <c r="BF255" i="16"/>
  <c r="BF248" i="16"/>
  <c r="BM248" i="16" s="1"/>
  <c r="BF243" i="16"/>
  <c r="BF242" i="16"/>
  <c r="BM242" i="16" s="1"/>
  <c r="BL409" i="16"/>
  <c r="BE316" i="16"/>
  <c r="AW316" i="16"/>
  <c r="BG307" i="16"/>
  <c r="BG377" i="16"/>
  <c r="BE404" i="16"/>
  <c r="BG398" i="16"/>
  <c r="P388" i="16"/>
  <c r="P13" i="16"/>
  <c r="P361" i="16"/>
  <c r="P430" i="16"/>
  <c r="P267" i="16"/>
  <c r="BM352" i="16"/>
  <c r="BM351" i="16"/>
  <c r="BM348" i="16"/>
  <c r="BM346" i="16"/>
  <c r="BM345" i="16"/>
  <c r="BM343" i="16"/>
  <c r="BM342" i="16"/>
  <c r="BM341" i="16"/>
  <c r="BM340" i="16"/>
  <c r="AW348" i="16"/>
  <c r="AQ347" i="16"/>
  <c r="AP347" i="16"/>
  <c r="AW346" i="16"/>
  <c r="AW345" i="16"/>
  <c r="AP344" i="16"/>
  <c r="AW344" i="16" s="1"/>
  <c r="AW343" i="16"/>
  <c r="AW342" i="16"/>
  <c r="AW341" i="16"/>
  <c r="AW340" i="16"/>
  <c r="AW346" i="13"/>
  <c r="AW347" i="13"/>
  <c r="AP348" i="13"/>
  <c r="AQ348" i="13"/>
  <c r="AW349" i="13"/>
  <c r="AW350" i="13"/>
  <c r="AQ351" i="13"/>
  <c r="AW351" i="13" s="1"/>
  <c r="AW352" i="13"/>
  <c r="AP353" i="13"/>
  <c r="AQ353" i="13"/>
  <c r="AW354" i="13"/>
  <c r="AW358" i="13"/>
  <c r="AW359" i="13"/>
  <c r="AW471" i="16"/>
  <c r="AW470" i="16"/>
  <c r="AW469" i="16"/>
  <c r="AW468" i="16"/>
  <c r="AW467" i="16"/>
  <c r="AW466" i="16"/>
  <c r="AW465" i="16"/>
  <c r="AW464" i="16"/>
  <c r="AW463" i="16"/>
  <c r="AW462" i="16"/>
  <c r="AW461" i="16"/>
  <c r="AW460" i="16"/>
  <c r="AW459" i="16"/>
  <c r="AW458" i="16"/>
  <c r="AW457" i="16"/>
  <c r="AW456" i="16"/>
  <c r="AW455" i="16"/>
  <c r="AW454" i="16"/>
  <c r="AW453" i="16"/>
  <c r="AW452" i="16"/>
  <c r="AW451" i="16"/>
  <c r="AW450" i="16"/>
  <c r="AW449" i="16"/>
  <c r="AW448" i="16"/>
  <c r="AW447" i="16"/>
  <c r="AW446" i="16"/>
  <c r="AW445" i="16"/>
  <c r="AW444" i="16"/>
  <c r="AW443" i="16"/>
  <c r="AW442" i="16"/>
  <c r="AW441" i="16"/>
  <c r="AW325" i="16"/>
  <c r="AW324" i="16"/>
  <c r="AW323" i="16"/>
  <c r="AW322" i="16"/>
  <c r="AW321" i="16"/>
  <c r="AW320" i="16"/>
  <c r="AW319" i="16"/>
  <c r="AW318" i="16"/>
  <c r="AW314" i="16"/>
  <c r="AW313" i="16"/>
  <c r="AW312" i="16"/>
  <c r="AW311" i="16"/>
  <c r="AW310" i="16"/>
  <c r="AW309" i="16"/>
  <c r="AW308" i="16"/>
  <c r="AW307" i="16"/>
  <c r="AW302" i="16"/>
  <c r="AW301" i="16"/>
  <c r="AW300" i="16"/>
  <c r="AW299" i="16"/>
  <c r="AW298" i="16"/>
  <c r="AW297" i="16"/>
  <c r="AW296" i="16"/>
  <c r="AW294" i="16"/>
  <c r="AW293" i="16"/>
  <c r="BM293" i="16"/>
  <c r="BM294" i="16"/>
  <c r="BM295" i="16"/>
  <c r="BM296" i="16"/>
  <c r="BM298" i="16"/>
  <c r="BM299" i="16"/>
  <c r="BM300" i="16"/>
  <c r="BM301" i="16"/>
  <c r="BM302" i="16"/>
  <c r="BM303" i="16"/>
  <c r="BM304" i="16"/>
  <c r="BM305" i="16"/>
  <c r="BM306" i="16"/>
  <c r="BM307" i="16"/>
  <c r="BM308" i="16"/>
  <c r="BM309" i="16"/>
  <c r="BM310" i="16"/>
  <c r="BM311" i="16"/>
  <c r="BM312" i="16"/>
  <c r="BM313" i="16"/>
  <c r="BM314" i="16"/>
  <c r="BM315" i="16"/>
  <c r="BM316" i="16"/>
  <c r="BM317" i="16"/>
  <c r="BM318" i="16"/>
  <c r="BM319" i="16"/>
  <c r="BM320" i="16"/>
  <c r="BM321" i="16"/>
  <c r="BM322" i="16"/>
  <c r="BM323" i="16"/>
  <c r="BM324" i="16"/>
  <c r="BM325" i="16"/>
  <c r="CB489" i="16"/>
  <c r="CG489" i="16" s="1"/>
  <c r="CB488" i="16"/>
  <c r="CG488" i="16" s="1"/>
  <c r="CB487" i="16"/>
  <c r="CG487" i="16" s="1"/>
  <c r="CB486" i="16"/>
  <c r="CG486" i="16" s="1"/>
  <c r="CB485" i="16"/>
  <c r="CG485" i="16" s="1"/>
  <c r="CB484" i="16"/>
  <c r="CG484" i="16" s="1"/>
  <c r="CB481" i="16"/>
  <c r="CG481" i="16" s="1"/>
  <c r="CB480" i="16"/>
  <c r="CG480" i="16" s="1"/>
  <c r="CB479" i="16"/>
  <c r="CG479" i="16" s="1"/>
  <c r="CB478" i="16"/>
  <c r="CG478" i="16" s="1"/>
  <c r="CB477" i="16"/>
  <c r="CG477" i="16" s="1"/>
  <c r="CB476" i="16"/>
  <c r="CG476" i="16" s="1"/>
  <c r="CB475" i="16"/>
  <c r="CG475" i="16" s="1"/>
  <c r="CB472" i="16"/>
  <c r="CG472" i="16" s="1"/>
  <c r="CB471" i="16"/>
  <c r="CG471" i="16" s="1"/>
  <c r="CB470" i="16"/>
  <c r="CG470" i="16" s="1"/>
  <c r="CB469" i="16"/>
  <c r="CG469" i="16" s="1"/>
  <c r="CB468" i="16"/>
  <c r="CG468" i="16" s="1"/>
  <c r="CB467" i="16"/>
  <c r="CG467" i="16" s="1"/>
  <c r="CB466" i="16"/>
  <c r="CG466" i="16" s="1"/>
  <c r="CB465" i="16"/>
  <c r="CG465" i="16" s="1"/>
  <c r="CB464" i="16"/>
  <c r="CG464" i="16" s="1"/>
  <c r="CB463" i="16"/>
  <c r="CG463" i="16" s="1"/>
  <c r="CB462" i="16"/>
  <c r="CG462" i="16" s="1"/>
  <c r="CB461" i="16"/>
  <c r="CG461" i="16" s="1"/>
  <c r="CB460" i="16"/>
  <c r="CG460" i="16" s="1"/>
  <c r="CB459" i="16"/>
  <c r="CG459" i="16" s="1"/>
  <c r="CB458" i="16"/>
  <c r="CG458" i="16" s="1"/>
  <c r="CB457" i="16"/>
  <c r="CG457" i="16" s="1"/>
  <c r="CB456" i="16"/>
  <c r="CG456" i="16" s="1"/>
  <c r="CB455" i="16"/>
  <c r="CG455" i="16" s="1"/>
  <c r="CB454" i="16"/>
  <c r="CG454" i="16" s="1"/>
  <c r="CB453" i="16"/>
  <c r="CG453" i="16" s="1"/>
  <c r="CB452" i="16"/>
  <c r="CG452" i="16" s="1"/>
  <c r="CB451" i="16"/>
  <c r="CG451" i="16" s="1"/>
  <c r="CB450" i="16"/>
  <c r="CG450" i="16" s="1"/>
  <c r="CB449" i="16"/>
  <c r="CG449" i="16" s="1"/>
  <c r="CB448" i="16"/>
  <c r="CG448" i="16" s="1"/>
  <c r="CB447" i="16"/>
  <c r="CG447" i="16" s="1"/>
  <c r="CB446" i="16"/>
  <c r="CG446" i="16" s="1"/>
  <c r="CB445" i="16"/>
  <c r="CG445" i="16" s="1"/>
  <c r="CB444" i="16"/>
  <c r="CG444" i="16" s="1"/>
  <c r="CB443" i="16"/>
  <c r="CG443" i="16" s="1"/>
  <c r="CB442" i="16"/>
  <c r="CG442" i="16" s="1"/>
  <c r="CB441" i="16"/>
  <c r="CG441" i="16" s="1"/>
  <c r="CB437" i="16"/>
  <c r="CG437" i="16" s="1"/>
  <c r="CB435" i="16"/>
  <c r="CG435" i="16" s="1"/>
  <c r="CB434" i="16"/>
  <c r="CG434" i="16" s="1"/>
  <c r="CB433" i="16"/>
  <c r="CG433" i="16" s="1"/>
  <c r="CB432" i="16"/>
  <c r="CG432" i="16" s="1"/>
  <c r="CB431" i="16"/>
  <c r="CG431" i="16" s="1"/>
  <c r="CB430" i="16"/>
  <c r="CG430" i="16" s="1"/>
  <c r="CB429" i="16"/>
  <c r="CG429" i="16" s="1"/>
  <c r="CB428" i="16"/>
  <c r="CG428" i="16" s="1"/>
  <c r="CB427" i="16"/>
  <c r="CG427" i="16" s="1"/>
  <c r="CB426" i="16"/>
  <c r="CG426" i="16" s="1"/>
  <c r="CB425" i="16"/>
  <c r="CG425" i="16" s="1"/>
  <c r="CB422" i="16"/>
  <c r="CG422" i="16" s="1"/>
  <c r="CB421" i="16"/>
  <c r="CG421" i="16" s="1"/>
  <c r="CB419" i="16"/>
  <c r="CG419" i="16" s="1"/>
  <c r="CB418" i="16"/>
  <c r="CG418" i="16" s="1"/>
  <c r="CB417" i="16"/>
  <c r="CG417" i="16" s="1"/>
  <c r="CB416" i="16"/>
  <c r="CG416" i="16" s="1"/>
  <c r="CB415" i="16"/>
  <c r="CG415" i="16" s="1"/>
  <c r="CB414" i="16"/>
  <c r="CG414" i="16" s="1"/>
  <c r="CB413" i="16"/>
  <c r="CG413" i="16" s="1"/>
  <c r="CB412" i="16"/>
  <c r="CG412" i="16" s="1"/>
  <c r="CB411" i="16"/>
  <c r="CG411" i="16" s="1"/>
  <c r="CB410" i="16"/>
  <c r="CG410" i="16" s="1"/>
  <c r="CB409" i="16"/>
  <c r="CG409" i="16" s="1"/>
  <c r="CB406" i="16"/>
  <c r="CG406" i="16" s="1"/>
  <c r="CB405" i="16"/>
  <c r="CG405" i="16" s="1"/>
  <c r="CB404" i="16"/>
  <c r="CG404" i="16" s="1"/>
  <c r="CB403" i="16"/>
  <c r="CG403" i="16" s="1"/>
  <c r="CB402" i="16"/>
  <c r="CG402" i="16" s="1"/>
  <c r="CB401" i="16"/>
  <c r="CG401" i="16" s="1"/>
  <c r="CB400" i="16"/>
  <c r="CG400" i="16" s="1"/>
  <c r="CB399" i="16"/>
  <c r="CG399" i="16" s="1"/>
  <c r="CB398" i="16"/>
  <c r="CG398" i="16" s="1"/>
  <c r="CB397" i="16"/>
  <c r="CG397" i="16" s="1"/>
  <c r="CB396" i="16"/>
  <c r="CG396" i="16" s="1"/>
  <c r="CB393" i="16"/>
  <c r="CG393" i="16" s="1"/>
  <c r="CB392" i="16"/>
  <c r="CG392" i="16" s="1"/>
  <c r="CB391" i="16"/>
  <c r="CG391" i="16" s="1"/>
  <c r="CB386" i="16"/>
  <c r="CG386" i="16" s="1"/>
  <c r="CB385" i="16"/>
  <c r="CG385" i="16" s="1"/>
  <c r="CB384" i="16"/>
  <c r="CG384" i="16" s="1"/>
  <c r="CB383" i="16"/>
  <c r="CG383" i="16" s="1"/>
  <c r="CB382" i="16"/>
  <c r="CG382" i="16" s="1"/>
  <c r="CB381" i="16"/>
  <c r="CG381" i="16" s="1"/>
  <c r="CB380" i="16"/>
  <c r="CG380" i="16" s="1"/>
  <c r="CB378" i="16"/>
  <c r="CG378" i="16" s="1"/>
  <c r="CB377" i="16"/>
  <c r="CG377" i="16" s="1"/>
  <c r="CB366" i="16"/>
  <c r="CG366" i="16" s="1"/>
  <c r="CB365" i="16"/>
  <c r="CG365" i="16" s="1"/>
  <c r="CB363" i="16"/>
  <c r="CG363" i="16" s="1"/>
  <c r="CB362" i="16"/>
  <c r="CG362" i="16" s="1"/>
  <c r="CB361" i="16"/>
  <c r="CG361" i="16" s="1"/>
  <c r="CB360" i="16"/>
  <c r="CG360" i="16" s="1"/>
  <c r="CB354" i="16"/>
  <c r="CG354" i="16" s="1"/>
  <c r="CB352" i="16"/>
  <c r="CG352" i="16" s="1"/>
  <c r="CB351" i="16"/>
  <c r="CG351" i="16" s="1"/>
  <c r="CB347" i="16"/>
  <c r="CG347" i="16" s="1"/>
  <c r="CB341" i="16"/>
  <c r="CG341" i="16" s="1"/>
  <c r="CB340" i="16"/>
  <c r="CG340" i="16" s="1"/>
  <c r="CB339" i="16"/>
  <c r="CG339" i="16" s="1"/>
  <c r="CB338" i="16"/>
  <c r="CG338" i="16" s="1"/>
  <c r="CB337" i="16"/>
  <c r="CG337" i="16" s="1"/>
  <c r="CB336" i="16"/>
  <c r="CG336" i="16" s="1"/>
  <c r="CB335" i="16"/>
  <c r="CG335" i="16" s="1"/>
  <c r="CB334" i="16"/>
  <c r="CG334" i="16" s="1"/>
  <c r="CB333" i="16"/>
  <c r="CG333" i="16" s="1"/>
  <c r="CB332" i="16"/>
  <c r="CG332" i="16" s="1"/>
  <c r="CB331" i="16"/>
  <c r="CG331" i="16" s="1"/>
  <c r="CB330" i="16"/>
  <c r="CG330" i="16" s="1"/>
  <c r="CB329" i="16"/>
  <c r="CG329" i="16" s="1"/>
  <c r="CB328" i="16"/>
  <c r="CG328" i="16" s="1"/>
  <c r="CB325" i="16"/>
  <c r="CG325" i="16" s="1"/>
  <c r="CB324" i="16"/>
  <c r="CG324" i="16" s="1"/>
  <c r="CB323" i="16"/>
  <c r="CG323" i="16" s="1"/>
  <c r="CB322" i="16"/>
  <c r="CG322" i="16" s="1"/>
  <c r="CB321" i="16"/>
  <c r="CG321" i="16" s="1"/>
  <c r="CB320" i="16"/>
  <c r="CG320" i="16" s="1"/>
  <c r="CB319" i="16"/>
  <c r="CG319" i="16" s="1"/>
  <c r="CB318" i="16"/>
  <c r="CG318" i="16" s="1"/>
  <c r="CB317" i="16"/>
  <c r="CG317" i="16" s="1"/>
  <c r="CB316" i="16"/>
  <c r="CG316" i="16" s="1"/>
  <c r="CB315" i="16"/>
  <c r="CG315" i="16" s="1"/>
  <c r="CB314" i="16"/>
  <c r="CG314" i="16" s="1"/>
  <c r="CB313" i="16"/>
  <c r="CG313" i="16" s="1"/>
  <c r="CB312" i="16"/>
  <c r="CG312" i="16" s="1"/>
  <c r="CB311" i="16"/>
  <c r="CG311" i="16" s="1"/>
  <c r="CB310" i="16"/>
  <c r="CG310" i="16" s="1"/>
  <c r="CB309" i="16"/>
  <c r="CG309" i="16" s="1"/>
  <c r="CB308" i="16"/>
  <c r="CG308" i="16" s="1"/>
  <c r="CB307" i="16"/>
  <c r="CG307" i="16" s="1"/>
  <c r="CB306" i="16"/>
  <c r="CG306" i="16" s="1"/>
  <c r="CB305" i="16"/>
  <c r="CG305" i="16" s="1"/>
  <c r="CB304" i="16"/>
  <c r="CG304" i="16" s="1"/>
  <c r="CB303" i="16"/>
  <c r="CG303" i="16" s="1"/>
  <c r="CB302" i="16"/>
  <c r="CG302" i="16" s="1"/>
  <c r="CB301" i="16"/>
  <c r="CG301" i="16" s="1"/>
  <c r="CB300" i="16"/>
  <c r="CG300" i="16" s="1"/>
  <c r="CB299" i="16"/>
  <c r="CG299" i="16" s="1"/>
  <c r="CB298" i="16"/>
  <c r="CG298" i="16" s="1"/>
  <c r="CB297" i="16"/>
  <c r="CG297" i="16" s="1"/>
  <c r="CB296" i="16"/>
  <c r="CG296" i="16" s="1"/>
  <c r="CB295" i="16"/>
  <c r="CG295" i="16" s="1"/>
  <c r="CB294" i="16"/>
  <c r="CG294" i="16" s="1"/>
  <c r="CB293" i="16"/>
  <c r="CG293" i="16" s="1"/>
  <c r="CB290" i="16"/>
  <c r="CG290" i="16" s="1"/>
  <c r="CB289" i="16"/>
  <c r="CG289" i="16" s="1"/>
  <c r="CB288" i="16"/>
  <c r="CG288" i="16" s="1"/>
  <c r="CB287" i="16"/>
  <c r="CG287" i="16" s="1"/>
  <c r="CB285" i="16"/>
  <c r="CG285" i="16" s="1"/>
  <c r="CB284" i="16"/>
  <c r="CG284" i="16" s="1"/>
  <c r="CB283" i="16"/>
  <c r="CG283" i="16" s="1"/>
  <c r="CB282" i="16"/>
  <c r="CG282" i="16" s="1"/>
  <c r="CB281" i="16"/>
  <c r="CG281" i="16" s="1"/>
  <c r="CB280" i="16"/>
  <c r="CG280" i="16" s="1"/>
  <c r="CB279" i="16"/>
  <c r="CG279" i="16" s="1"/>
  <c r="CB278" i="16"/>
  <c r="CG278" i="16" s="1"/>
  <c r="CB277" i="16"/>
  <c r="CG277" i="16" s="1"/>
  <c r="CB276" i="16"/>
  <c r="CG276" i="16" s="1"/>
  <c r="CB275" i="16"/>
  <c r="CG275" i="16" s="1"/>
  <c r="CB274" i="16"/>
  <c r="CG274" i="16" s="1"/>
  <c r="CB272" i="16"/>
  <c r="CG272" i="16" s="1"/>
  <c r="CB271" i="16"/>
  <c r="CG271" i="16" s="1"/>
  <c r="CB270" i="16"/>
  <c r="CG270" i="16" s="1"/>
  <c r="CB269" i="16"/>
  <c r="CG269" i="16" s="1"/>
  <c r="CB268" i="16"/>
  <c r="CG268" i="16" s="1"/>
  <c r="CB267" i="16"/>
  <c r="CG267" i="16" s="1"/>
  <c r="CB266" i="16"/>
  <c r="CG266" i="16" s="1"/>
  <c r="CB265" i="16"/>
  <c r="CG265" i="16" s="1"/>
  <c r="CB264" i="16"/>
  <c r="CG264" i="16" s="1"/>
  <c r="CB263" i="16"/>
  <c r="CG263" i="16" s="1"/>
  <c r="CB262" i="16"/>
  <c r="CG262" i="16" s="1"/>
  <c r="CB258" i="16"/>
  <c r="CG258" i="16" s="1"/>
  <c r="CB257" i="16"/>
  <c r="CG257" i="16" s="1"/>
  <c r="CB256" i="16"/>
  <c r="CG256" i="16" s="1"/>
  <c r="CB255" i="16"/>
  <c r="CG255" i="16" s="1"/>
  <c r="CB254" i="16"/>
  <c r="CG254" i="16" s="1"/>
  <c r="CB253" i="16"/>
  <c r="CG253" i="16" s="1"/>
  <c r="CB252" i="16"/>
  <c r="CG252" i="16" s="1"/>
  <c r="CB251" i="16"/>
  <c r="CG251" i="16" s="1"/>
  <c r="CB250" i="16"/>
  <c r="CG250" i="16" s="1"/>
  <c r="CB249" i="16"/>
  <c r="CG249" i="16" s="1"/>
  <c r="CB248" i="16"/>
  <c r="CG248" i="16" s="1"/>
  <c r="CB247" i="16"/>
  <c r="CG247" i="16" s="1"/>
  <c r="CB246" i="16"/>
  <c r="CG246" i="16" s="1"/>
  <c r="CB245" i="16"/>
  <c r="CG245" i="16" s="1"/>
  <c r="CB244" i="16"/>
  <c r="CG244" i="16" s="1"/>
  <c r="CB243" i="16"/>
  <c r="CG243" i="16" s="1"/>
  <c r="CB242" i="16"/>
  <c r="CG242" i="16" s="1"/>
  <c r="CB239" i="16"/>
  <c r="CG239" i="16" s="1"/>
  <c r="CB238" i="16"/>
  <c r="CG238" i="16" s="1"/>
  <c r="CB237" i="16"/>
  <c r="CG237" i="16" s="1"/>
  <c r="CB236" i="16"/>
  <c r="CG236" i="16" s="1"/>
  <c r="CB235" i="16"/>
  <c r="CG235" i="16" s="1"/>
  <c r="CB234" i="16"/>
  <c r="CG234" i="16" s="1"/>
  <c r="CB232" i="16"/>
  <c r="CG232" i="16" s="1"/>
  <c r="CB231" i="16"/>
  <c r="CG231" i="16" s="1"/>
  <c r="CB230" i="16"/>
  <c r="CG230" i="16" s="1"/>
  <c r="CB229" i="16"/>
  <c r="CG229" i="16" s="1"/>
  <c r="CB228" i="16"/>
  <c r="CG228" i="16" s="1"/>
  <c r="CB227" i="16"/>
  <c r="CG227" i="16" s="1"/>
  <c r="CB226" i="16"/>
  <c r="CG226" i="16" s="1"/>
  <c r="CB224" i="16"/>
  <c r="CG224" i="16" s="1"/>
  <c r="CB223" i="16"/>
  <c r="CG223" i="16" s="1"/>
  <c r="CB222" i="16"/>
  <c r="CG222" i="16" s="1"/>
  <c r="CB221" i="16"/>
  <c r="CG221" i="16" s="1"/>
  <c r="CB220" i="16"/>
  <c r="CG220" i="16" s="1"/>
  <c r="CB218" i="16"/>
  <c r="CG218" i="16" s="1"/>
  <c r="CB217" i="16"/>
  <c r="CG217" i="16" s="1"/>
  <c r="CB216" i="16"/>
  <c r="CG216" i="16" s="1"/>
  <c r="CB215" i="16"/>
  <c r="CG215" i="16" s="1"/>
  <c r="CB214" i="16"/>
  <c r="CG214" i="16" s="1"/>
  <c r="CB213" i="16"/>
  <c r="CG213" i="16" s="1"/>
  <c r="CB212" i="16"/>
  <c r="CG212" i="16" s="1"/>
  <c r="CB211" i="16"/>
  <c r="CG211" i="16" s="1"/>
  <c r="CB209" i="16"/>
  <c r="CG209" i="16" s="1"/>
  <c r="CB208" i="16"/>
  <c r="CG208" i="16" s="1"/>
  <c r="CB207" i="16"/>
  <c r="CG207" i="16" s="1"/>
  <c r="CB206" i="16"/>
  <c r="CG206" i="16" s="1"/>
  <c r="CB205" i="16"/>
  <c r="CG205" i="16" s="1"/>
  <c r="CB204" i="16"/>
  <c r="CG204" i="16" s="1"/>
  <c r="CB203" i="16"/>
  <c r="CG203" i="16" s="1"/>
  <c r="CB202" i="16"/>
  <c r="CG202" i="16" s="1"/>
  <c r="CB201" i="16"/>
  <c r="CG201" i="16" s="1"/>
  <c r="CB200" i="16"/>
  <c r="CG200" i="16" s="1"/>
  <c r="CB198" i="16"/>
  <c r="CG198" i="16" s="1"/>
  <c r="CB197" i="16"/>
  <c r="CG197" i="16" s="1"/>
  <c r="CB196" i="16"/>
  <c r="CG196" i="16" s="1"/>
  <c r="CB195" i="16"/>
  <c r="CG195" i="16" s="1"/>
  <c r="CB194" i="16"/>
  <c r="CG194" i="16" s="1"/>
  <c r="CB193" i="16"/>
  <c r="CG193" i="16" s="1"/>
  <c r="CB192" i="16"/>
  <c r="CG192" i="16" s="1"/>
  <c r="CB189" i="16"/>
  <c r="CG189" i="16" s="1"/>
  <c r="CB188" i="16"/>
  <c r="CG188" i="16" s="1"/>
  <c r="CB187" i="16"/>
  <c r="CG187" i="16" s="1"/>
  <c r="CB186" i="16"/>
  <c r="CG186" i="16" s="1"/>
  <c r="CB185" i="16"/>
  <c r="CG185" i="16" s="1"/>
  <c r="CB184" i="16"/>
  <c r="CG184" i="16" s="1"/>
  <c r="CB183" i="16"/>
  <c r="CG183" i="16" s="1"/>
  <c r="CB182" i="16"/>
  <c r="CG182" i="16" s="1"/>
  <c r="CB181" i="16"/>
  <c r="CG181" i="16" s="1"/>
  <c r="CB180" i="16"/>
  <c r="CG180" i="16" s="1"/>
  <c r="CB177" i="16"/>
  <c r="CG177" i="16" s="1"/>
  <c r="CB176" i="16"/>
  <c r="CG176" i="16" s="1"/>
  <c r="CB175" i="16"/>
  <c r="CG175" i="16" s="1"/>
  <c r="CB174" i="16"/>
  <c r="CG174" i="16" s="1"/>
  <c r="CB173" i="16"/>
  <c r="CG173" i="16" s="1"/>
  <c r="CB171" i="16"/>
  <c r="CG171" i="16" s="1"/>
  <c r="CB170" i="16"/>
  <c r="CG170" i="16" s="1"/>
  <c r="CB169" i="16"/>
  <c r="CG169" i="16" s="1"/>
  <c r="CB168" i="16"/>
  <c r="CG168" i="16" s="1"/>
  <c r="CB166" i="16"/>
  <c r="CG166" i="16" s="1"/>
  <c r="CB165" i="16"/>
  <c r="CG165" i="16" s="1"/>
  <c r="CB164" i="16"/>
  <c r="CG164" i="16" s="1"/>
  <c r="CB163" i="16"/>
  <c r="CG163" i="16" s="1"/>
  <c r="CB162" i="16"/>
  <c r="CG162" i="16" s="1"/>
  <c r="CB161" i="16"/>
  <c r="CG161" i="16" s="1"/>
  <c r="CB160" i="16"/>
  <c r="CG160" i="16" s="1"/>
  <c r="CB159" i="16"/>
  <c r="CG159" i="16" s="1"/>
  <c r="CB158" i="16"/>
  <c r="CG158" i="16" s="1"/>
  <c r="CB157" i="16"/>
  <c r="CG157" i="16" s="1"/>
  <c r="CB156" i="16"/>
  <c r="CG156" i="16" s="1"/>
  <c r="CB155" i="16"/>
  <c r="CG155" i="16" s="1"/>
  <c r="CB154" i="16"/>
  <c r="CG154" i="16" s="1"/>
  <c r="CB151" i="16"/>
  <c r="CG151" i="16" s="1"/>
  <c r="CB149" i="16"/>
  <c r="CG149" i="16" s="1"/>
  <c r="CB148" i="16"/>
  <c r="CG148" i="16" s="1"/>
  <c r="CB147" i="16"/>
  <c r="CG147" i="16" s="1"/>
  <c r="CB146" i="16"/>
  <c r="CG146" i="16" s="1"/>
  <c r="CB145" i="16"/>
  <c r="CG145" i="16" s="1"/>
  <c r="CB143" i="16"/>
  <c r="CG143" i="16" s="1"/>
  <c r="CB142" i="16"/>
  <c r="CG142" i="16" s="1"/>
  <c r="CB141" i="16"/>
  <c r="CG141" i="16" s="1"/>
  <c r="CB140" i="16"/>
  <c r="CG140" i="16" s="1"/>
  <c r="CB139" i="16"/>
  <c r="CG139" i="16" s="1"/>
  <c r="CB138" i="16"/>
  <c r="CG138" i="16" s="1"/>
  <c r="CB137" i="16"/>
  <c r="CG137" i="16" s="1"/>
  <c r="CB136" i="16"/>
  <c r="CG136" i="16" s="1"/>
  <c r="CB135" i="16"/>
  <c r="CG135" i="16" s="1"/>
  <c r="CB133" i="16"/>
  <c r="CG133" i="16" s="1"/>
  <c r="CB132" i="16"/>
  <c r="CG132" i="16" s="1"/>
  <c r="CB131" i="16"/>
  <c r="CG131" i="16" s="1"/>
  <c r="CB130" i="16"/>
  <c r="CG130" i="16" s="1"/>
  <c r="CB129" i="16"/>
  <c r="CG129" i="16" s="1"/>
  <c r="CB128" i="16"/>
  <c r="CG128" i="16" s="1"/>
  <c r="CB127" i="16"/>
  <c r="CG127" i="16" s="1"/>
  <c r="CB126" i="16"/>
  <c r="CG126" i="16" s="1"/>
  <c r="CB125" i="16"/>
  <c r="CG125" i="16" s="1"/>
  <c r="CB124" i="16"/>
  <c r="CG124" i="16" s="1"/>
  <c r="CB123" i="16"/>
  <c r="CG123" i="16" s="1"/>
  <c r="CB122" i="16"/>
  <c r="CG122" i="16" s="1"/>
  <c r="CB121" i="16"/>
  <c r="CG121" i="16" s="1"/>
  <c r="CB120" i="16"/>
  <c r="CG120" i="16" s="1"/>
  <c r="CB117" i="16"/>
  <c r="CG117" i="16" s="1"/>
  <c r="CB116" i="16"/>
  <c r="CG116" i="16" s="1"/>
  <c r="CB112" i="16"/>
  <c r="CG112" i="16" s="1"/>
  <c r="CB111" i="16"/>
  <c r="CG111" i="16" s="1"/>
  <c r="CB110" i="16"/>
  <c r="CG110" i="16" s="1"/>
  <c r="CB108" i="16"/>
  <c r="CG108" i="16" s="1"/>
  <c r="CB105" i="16"/>
  <c r="CG105" i="16" s="1"/>
  <c r="CB91" i="16"/>
  <c r="CG91" i="16" s="1"/>
  <c r="CB77" i="16"/>
  <c r="CG77" i="16" s="1"/>
  <c r="CB76" i="16"/>
  <c r="CG76" i="16" s="1"/>
  <c r="CB72" i="16"/>
  <c r="CG72" i="16" s="1"/>
  <c r="CB68" i="16"/>
  <c r="CG68" i="16" s="1"/>
  <c r="CB66" i="16"/>
  <c r="CG66" i="16" s="1"/>
  <c r="CB64" i="16"/>
  <c r="CG64" i="16" s="1"/>
  <c r="CB63" i="16"/>
  <c r="CG63" i="16" s="1"/>
  <c r="CB62" i="16"/>
  <c r="CG62" i="16" s="1"/>
  <c r="CB61" i="16"/>
  <c r="CG61" i="16" s="1"/>
  <c r="CB60" i="16"/>
  <c r="CG60" i="16" s="1"/>
  <c r="CB59" i="16"/>
  <c r="CG59" i="16" s="1"/>
  <c r="CB58" i="16"/>
  <c r="CG58" i="16" s="1"/>
  <c r="CB57" i="16"/>
  <c r="CG57" i="16" s="1"/>
  <c r="CB56" i="16"/>
  <c r="CG56" i="16" s="1"/>
  <c r="CB55" i="16"/>
  <c r="CG55" i="16" s="1"/>
  <c r="CB54" i="16"/>
  <c r="CG54" i="16" s="1"/>
  <c r="CB53" i="16"/>
  <c r="CG53" i="16" s="1"/>
  <c r="CB52" i="16"/>
  <c r="CG52" i="16" s="1"/>
  <c r="CB51" i="16"/>
  <c r="CG51" i="16" s="1"/>
  <c r="CB46" i="16"/>
  <c r="CG46" i="16" s="1"/>
  <c r="CB45" i="16"/>
  <c r="CG45" i="16" s="1"/>
  <c r="CB44" i="16"/>
  <c r="CG44" i="16" s="1"/>
  <c r="CB43" i="16"/>
  <c r="CG43" i="16" s="1"/>
  <c r="CB41" i="16"/>
  <c r="CG41" i="16" s="1"/>
  <c r="CB40" i="16"/>
  <c r="CG40" i="16" s="1"/>
  <c r="CB39" i="16"/>
  <c r="CG39" i="16" s="1"/>
  <c r="CB38" i="16"/>
  <c r="CG38" i="16" s="1"/>
  <c r="CB37" i="16"/>
  <c r="CG37" i="16" s="1"/>
  <c r="CB36" i="16"/>
  <c r="CG36" i="16" s="1"/>
  <c r="CB35" i="16"/>
  <c r="CG35" i="16" s="1"/>
  <c r="CB34" i="16"/>
  <c r="CG34" i="16" s="1"/>
  <c r="CB33" i="16"/>
  <c r="CG33" i="16" s="1"/>
  <c r="CB32" i="16"/>
  <c r="CG32" i="16" s="1"/>
  <c r="CB31" i="16"/>
  <c r="CG31" i="16" s="1"/>
  <c r="CB30" i="16"/>
  <c r="CG30" i="16" s="1"/>
  <c r="CB29" i="16"/>
  <c r="CG29" i="16" s="1"/>
  <c r="CB28" i="16"/>
  <c r="CG28" i="16" s="1"/>
  <c r="CB27" i="16"/>
  <c r="CG27" i="16" s="1"/>
  <c r="CB26" i="16"/>
  <c r="CG26" i="16" s="1"/>
  <c r="CB25" i="16"/>
  <c r="CG25" i="16" s="1"/>
  <c r="CB24" i="16"/>
  <c r="CG24" i="16" s="1"/>
  <c r="CB22" i="16"/>
  <c r="CG22" i="16" s="1"/>
  <c r="CB21" i="16"/>
  <c r="CG21" i="16" s="1"/>
  <c r="CB19" i="16"/>
  <c r="CG19" i="16" s="1"/>
  <c r="CB16" i="16"/>
  <c r="CG16" i="16" s="1"/>
  <c r="CB15" i="16"/>
  <c r="CG15" i="16" s="1"/>
  <c r="AL6" i="18"/>
  <c r="AM6" i="18" s="1"/>
  <c r="AM59" i="18"/>
  <c r="AM57" i="18"/>
  <c r="AM56" i="18"/>
  <c r="AM26" i="18"/>
  <c r="AM24" i="18"/>
  <c r="AM23" i="18"/>
  <c r="AM22" i="18"/>
  <c r="AM21" i="18"/>
  <c r="AM20" i="18"/>
  <c r="AM18" i="18"/>
  <c r="AM15" i="18"/>
  <c r="AM13" i="18"/>
  <c r="AL12" i="18"/>
  <c r="AM12" i="18" s="1"/>
  <c r="C15" i="22"/>
  <c r="AL5" i="18"/>
  <c r="AM5" i="18" s="1"/>
  <c r="AL7" i="18"/>
  <c r="AM7" i="18" s="1"/>
  <c r="AL8" i="18"/>
  <c r="AM8" i="18" s="1"/>
  <c r="AL9" i="18"/>
  <c r="AM9" i="18" s="1"/>
  <c r="AL10" i="18"/>
  <c r="AM10" i="18" s="1"/>
  <c r="AL11" i="18"/>
  <c r="AM11" i="18" s="1"/>
  <c r="AL14" i="18"/>
  <c r="AM14" i="18" s="1"/>
  <c r="AL16" i="18"/>
  <c r="AM16" i="18" s="1"/>
  <c r="G17" i="18"/>
  <c r="AL17" i="18"/>
  <c r="AM17" i="18" s="1"/>
  <c r="G18" i="18"/>
  <c r="G19" i="18"/>
  <c r="G20" i="18"/>
  <c r="G21" i="18"/>
  <c r="G22" i="18"/>
  <c r="G23" i="18"/>
  <c r="G24" i="18"/>
  <c r="G25" i="18"/>
  <c r="G26" i="18"/>
  <c r="G27" i="18"/>
  <c r="AL27" i="18"/>
  <c r="G28" i="18"/>
  <c r="AL28" i="18"/>
  <c r="G29" i="18"/>
  <c r="G30" i="18"/>
  <c r="AM30" i="18"/>
  <c r="G31" i="18"/>
  <c r="AM31" i="18"/>
  <c r="G32" i="18"/>
  <c r="AL32" i="18"/>
  <c r="G33" i="18"/>
  <c r="AM33" i="18"/>
  <c r="G34" i="18"/>
  <c r="G35" i="18"/>
  <c r="G36" i="18"/>
  <c r="G37" i="18"/>
  <c r="AL37" i="18"/>
  <c r="G38" i="18"/>
  <c r="AL38" i="18"/>
  <c r="G39" i="18"/>
  <c r="AM39" i="18"/>
  <c r="G40" i="18"/>
  <c r="AL40" i="18"/>
  <c r="G41" i="18"/>
  <c r="AL41" i="18"/>
  <c r="AM41" i="18" s="1"/>
  <c r="G42" i="18"/>
  <c r="AM42" i="18"/>
  <c r="G43" i="18"/>
  <c r="AM43" i="18"/>
  <c r="G44" i="18"/>
  <c r="AM44" i="18"/>
  <c r="G45" i="18"/>
  <c r="AL45" i="18"/>
  <c r="AM45" i="18" s="1"/>
  <c r="G46" i="18"/>
  <c r="AL46" i="18"/>
  <c r="AM46" i="18" s="1"/>
  <c r="AA47" i="18"/>
  <c r="AA73" i="18" s="1"/>
  <c r="AB47" i="18"/>
  <c r="AB73" i="18" s="1"/>
  <c r="G48" i="18"/>
  <c r="AM48" i="18"/>
  <c r="G49" i="18"/>
  <c r="AM49" i="18"/>
  <c r="G50" i="18"/>
  <c r="G51" i="18"/>
  <c r="AL51" i="18"/>
  <c r="AM51" i="18" s="1"/>
  <c r="G52" i="18"/>
  <c r="AL52" i="18"/>
  <c r="AM52" i="18" s="1"/>
  <c r="G53" i="18"/>
  <c r="AL53" i="18"/>
  <c r="AM53" i="18" s="1"/>
  <c r="G54" i="18"/>
  <c r="AL54" i="18"/>
  <c r="AM54" i="18" s="1"/>
  <c r="G55" i="18"/>
  <c r="AD55" i="18"/>
  <c r="AE55" i="18"/>
  <c r="AF55" i="18"/>
  <c r="AL55" i="18"/>
  <c r="AM55" i="18" s="1"/>
  <c r="G56" i="18"/>
  <c r="AF56" i="18"/>
  <c r="G57" i="18"/>
  <c r="AD57" i="18"/>
  <c r="AE57" i="18"/>
  <c r="AF57" i="18"/>
  <c r="G58" i="18"/>
  <c r="AD58" i="18"/>
  <c r="AE58" i="18"/>
  <c r="AF58" i="18"/>
  <c r="AL58" i="18"/>
  <c r="G59" i="18"/>
  <c r="G60" i="18"/>
  <c r="AE60" i="18"/>
  <c r="AL60" i="18"/>
  <c r="AM60" i="18" s="1"/>
  <c r="G61" i="18"/>
  <c r="AL61" i="18"/>
  <c r="AM61" i="18" s="1"/>
  <c r="G62" i="18"/>
  <c r="AE62" i="18"/>
  <c r="AL62" i="18"/>
  <c r="AM62" i="18" s="1"/>
  <c r="G63" i="18"/>
  <c r="AE63" i="18"/>
  <c r="AL63" i="18"/>
  <c r="AM63" i="18" s="1"/>
  <c r="G64" i="18"/>
  <c r="AL64" i="18"/>
  <c r="AM64" i="18" s="1"/>
  <c r="G65" i="18"/>
  <c r="AE65" i="18"/>
  <c r="AL65" i="18"/>
  <c r="AM65" i="18" s="1"/>
  <c r="G66" i="18"/>
  <c r="AL66" i="18"/>
  <c r="AM66" i="18" s="1"/>
  <c r="AL67" i="18"/>
  <c r="AM67" i="18" s="1"/>
  <c r="G68" i="18"/>
  <c r="AD68" i="18"/>
  <c r="AL68" i="18"/>
  <c r="AM68" i="18" s="1"/>
  <c r="G69" i="18"/>
  <c r="AD69" i="18"/>
  <c r="AE69" i="18"/>
  <c r="AF69" i="18"/>
  <c r="AL69" i="18"/>
  <c r="AM69" i="18" s="1"/>
  <c r="G70" i="18"/>
  <c r="AD70" i="18"/>
  <c r="AE70" i="18"/>
  <c r="AF70" i="18"/>
  <c r="AL70" i="18"/>
  <c r="AM70" i="18" s="1"/>
  <c r="G71" i="18"/>
  <c r="AD71" i="18"/>
  <c r="AE71" i="18"/>
  <c r="AF71" i="18"/>
  <c r="AL71" i="18"/>
  <c r="AM71" i="18" s="1"/>
  <c r="G72" i="18"/>
  <c r="AL72" i="18"/>
  <c r="AM72" i="18" s="1"/>
  <c r="Y73" i="18"/>
  <c r="Z73" i="18"/>
  <c r="AC73" i="18"/>
  <c r="AL73" i="18"/>
  <c r="BX135" i="16"/>
  <c r="R259" i="16"/>
  <c r="Q259" i="16"/>
  <c r="P259" i="16"/>
  <c r="O259" i="16"/>
  <c r="BE259" i="16"/>
  <c r="BM259" i="16"/>
  <c r="BU259" i="16"/>
  <c r="BE48" i="16"/>
  <c r="BM48" i="16"/>
  <c r="BU48" i="16"/>
  <c r="BW48" i="16"/>
  <c r="AF48" i="6"/>
  <c r="AH48" i="6"/>
  <c r="AO48" i="6" s="1"/>
  <c r="AW48" i="6" s="1"/>
  <c r="BE48" i="6" s="1"/>
  <c r="AP48" i="6"/>
  <c r="AX48" i="6" s="1"/>
  <c r="BF48" i="6" s="1"/>
  <c r="BD48" i="6"/>
  <c r="BG48" i="6"/>
  <c r="BH48" i="6"/>
  <c r="BI48" i="6"/>
  <c r="BJ48" i="6"/>
  <c r="F21" i="22"/>
  <c r="C19" i="22"/>
  <c r="C18" i="22"/>
  <c r="C17" i="22"/>
  <c r="C16" i="22"/>
  <c r="C14" i="22"/>
  <c r="C13" i="22"/>
  <c r="C12" i="22"/>
  <c r="C20" i="22"/>
  <c r="C11" i="22"/>
  <c r="C10" i="22"/>
  <c r="C9" i="22"/>
  <c r="C8" i="22"/>
  <c r="C7" i="22"/>
  <c r="C6" i="22"/>
  <c r="C5" i="22"/>
  <c r="C4" i="22"/>
  <c r="C3" i="22"/>
  <c r="B21" i="22"/>
  <c r="AW177" i="16"/>
  <c r="AW176" i="16"/>
  <c r="AW175" i="16"/>
  <c r="AW174" i="16"/>
  <c r="AW173" i="16"/>
  <c r="AW172" i="16"/>
  <c r="AW171" i="16"/>
  <c r="AW170" i="16"/>
  <c r="AW169" i="16"/>
  <c r="AW168" i="16"/>
  <c r="AW167" i="16"/>
  <c r="AW166" i="16"/>
  <c r="AW165" i="16"/>
  <c r="AW164" i="16"/>
  <c r="AW163" i="16"/>
  <c r="AW162" i="16"/>
  <c r="AW161" i="16"/>
  <c r="AW160" i="16"/>
  <c r="AW159" i="16"/>
  <c r="AW158" i="16"/>
  <c r="AW157" i="16"/>
  <c r="AW156" i="16"/>
  <c r="AW155" i="16"/>
  <c r="AW154" i="16"/>
  <c r="AW429" i="16"/>
  <c r="AW428" i="16"/>
  <c r="BE75" i="16"/>
  <c r="BE76" i="16"/>
  <c r="BE77" i="16"/>
  <c r="BE78" i="16"/>
  <c r="BE79" i="16"/>
  <c r="BE80" i="16"/>
  <c r="BE81" i="16"/>
  <c r="BE82" i="16"/>
  <c r="BE83" i="16"/>
  <c r="AD348" i="13"/>
  <c r="BZ348" i="13" s="1"/>
  <c r="BY41" i="13"/>
  <c r="AW316" i="13"/>
  <c r="AW310" i="13"/>
  <c r="AW307" i="13"/>
  <c r="AW308" i="13"/>
  <c r="AW309" i="13"/>
  <c r="AW145" i="13"/>
  <c r="P203" i="13"/>
  <c r="AW375" i="16"/>
  <c r="AQ384" i="13"/>
  <c r="AW384" i="13" s="1"/>
  <c r="AW381" i="13"/>
  <c r="AW380" i="13"/>
  <c r="AW379" i="13"/>
  <c r="AQ378" i="13"/>
  <c r="AP378" i="13"/>
  <c r="AW382" i="16"/>
  <c r="AQ386" i="13"/>
  <c r="AQ399" i="13"/>
  <c r="AQ472" i="13"/>
  <c r="AP472" i="13"/>
  <c r="AQ466" i="13"/>
  <c r="AE480" i="13"/>
  <c r="CA480" i="13" s="1"/>
  <c r="AQ324" i="13"/>
  <c r="AQ320" i="13"/>
  <c r="AP320" i="13"/>
  <c r="AW481" i="13"/>
  <c r="AW470" i="13"/>
  <c r="AW319" i="13"/>
  <c r="AW318" i="13"/>
  <c r="AD358" i="13"/>
  <c r="BZ358" i="13" s="1"/>
  <c r="AQ256" i="13"/>
  <c r="N9" i="13"/>
  <c r="AW196" i="13"/>
  <c r="AW195" i="13"/>
  <c r="BW86" i="16"/>
  <c r="I180" i="16"/>
  <c r="J180" i="16"/>
  <c r="K180" i="16"/>
  <c r="L180" i="16"/>
  <c r="M180" i="16"/>
  <c r="O180" i="16"/>
  <c r="P180" i="16"/>
  <c r="Q180" i="16"/>
  <c r="R180" i="16"/>
  <c r="I181" i="16"/>
  <c r="J181" i="16"/>
  <c r="K181" i="16"/>
  <c r="L181" i="16"/>
  <c r="M181" i="16"/>
  <c r="O181" i="16"/>
  <c r="P181" i="16"/>
  <c r="Q181" i="16"/>
  <c r="R181" i="16"/>
  <c r="I182" i="16"/>
  <c r="J182" i="16"/>
  <c r="K182" i="16"/>
  <c r="L182" i="16"/>
  <c r="M182" i="16"/>
  <c r="O182" i="16"/>
  <c r="P182" i="16"/>
  <c r="Q182" i="16"/>
  <c r="R182" i="16"/>
  <c r="I183" i="16"/>
  <c r="J183" i="16"/>
  <c r="K183" i="16"/>
  <c r="L183" i="16"/>
  <c r="M183" i="16"/>
  <c r="O183" i="16"/>
  <c r="P183" i="16"/>
  <c r="Q183" i="16"/>
  <c r="R183" i="16"/>
  <c r="I184" i="16"/>
  <c r="J184" i="16"/>
  <c r="K184" i="16"/>
  <c r="L184" i="16"/>
  <c r="M184" i="16"/>
  <c r="O184" i="16"/>
  <c r="P184" i="16"/>
  <c r="Q184" i="16"/>
  <c r="R184" i="16"/>
  <c r="I185" i="16"/>
  <c r="J185" i="16"/>
  <c r="K185" i="16"/>
  <c r="L185" i="16"/>
  <c r="M185" i="16"/>
  <c r="O185" i="16"/>
  <c r="P185" i="16"/>
  <c r="Q185" i="16"/>
  <c r="R185" i="16"/>
  <c r="I186" i="16"/>
  <c r="J186" i="16"/>
  <c r="K186" i="16"/>
  <c r="L186" i="16"/>
  <c r="M186" i="16"/>
  <c r="O186" i="16"/>
  <c r="P186" i="16"/>
  <c r="Q186" i="16"/>
  <c r="R186" i="16"/>
  <c r="I187" i="16"/>
  <c r="J187" i="16"/>
  <c r="K187" i="16"/>
  <c r="L187" i="16"/>
  <c r="M187" i="16"/>
  <c r="O187" i="16"/>
  <c r="P187" i="16"/>
  <c r="Q187" i="16"/>
  <c r="R187" i="16"/>
  <c r="I188" i="16"/>
  <c r="J188" i="16"/>
  <c r="K188" i="16"/>
  <c r="L188" i="16"/>
  <c r="M188" i="16"/>
  <c r="O188" i="16"/>
  <c r="P188" i="16"/>
  <c r="Q188" i="16"/>
  <c r="R188" i="16"/>
  <c r="I189" i="16"/>
  <c r="J189" i="16"/>
  <c r="K189" i="16"/>
  <c r="O189" i="16"/>
  <c r="P189" i="16"/>
  <c r="Q189" i="16"/>
  <c r="R189" i="16"/>
  <c r="V191" i="16"/>
  <c r="X191" i="16"/>
  <c r="Z191" i="16"/>
  <c r="AB191" i="16"/>
  <c r="I192" i="16"/>
  <c r="J192" i="16"/>
  <c r="K192" i="16"/>
  <c r="L192" i="16"/>
  <c r="M192" i="16"/>
  <c r="O192" i="16"/>
  <c r="P192" i="16"/>
  <c r="Q192" i="16"/>
  <c r="R192" i="16"/>
  <c r="I193" i="16"/>
  <c r="J193" i="16"/>
  <c r="K193" i="16"/>
  <c r="L193" i="16"/>
  <c r="M193" i="16"/>
  <c r="O193" i="16"/>
  <c r="P193" i="16"/>
  <c r="Q193" i="16"/>
  <c r="R193" i="16"/>
  <c r="I194" i="16"/>
  <c r="J194" i="16"/>
  <c r="K194" i="16"/>
  <c r="L194" i="16"/>
  <c r="M194" i="16"/>
  <c r="O194" i="16"/>
  <c r="P194" i="16"/>
  <c r="Q194" i="16"/>
  <c r="R194" i="16"/>
  <c r="I195" i="16"/>
  <c r="J195" i="16"/>
  <c r="K195" i="16"/>
  <c r="L195" i="16"/>
  <c r="M195" i="16"/>
  <c r="O195" i="16"/>
  <c r="P195" i="16"/>
  <c r="Q195" i="16"/>
  <c r="R195" i="16"/>
  <c r="I196" i="16"/>
  <c r="J196" i="16"/>
  <c r="K196" i="16"/>
  <c r="L196" i="16"/>
  <c r="M196" i="16"/>
  <c r="O196" i="16"/>
  <c r="P196" i="16"/>
  <c r="Q196" i="16"/>
  <c r="R196" i="16"/>
  <c r="I197" i="16"/>
  <c r="J197" i="16"/>
  <c r="K197" i="16"/>
  <c r="L197" i="16"/>
  <c r="M197" i="16"/>
  <c r="O197" i="16"/>
  <c r="P197" i="16"/>
  <c r="Q197" i="16"/>
  <c r="R197" i="16"/>
  <c r="I198" i="16"/>
  <c r="J198" i="16"/>
  <c r="K198" i="16"/>
  <c r="L198" i="16"/>
  <c r="M198" i="16"/>
  <c r="O198" i="16"/>
  <c r="P198" i="16"/>
  <c r="Q198" i="16"/>
  <c r="R198" i="16"/>
  <c r="V199" i="16"/>
  <c r="X199" i="16"/>
  <c r="Z199" i="16"/>
  <c r="AB199" i="16"/>
  <c r="I200" i="16"/>
  <c r="J200" i="16"/>
  <c r="K200" i="16"/>
  <c r="L200" i="16"/>
  <c r="M200" i="16"/>
  <c r="O200" i="16"/>
  <c r="P200" i="16"/>
  <c r="Q200" i="16"/>
  <c r="R200" i="16"/>
  <c r="I201" i="16"/>
  <c r="J201" i="16"/>
  <c r="K201" i="16"/>
  <c r="L201" i="16"/>
  <c r="M201" i="16"/>
  <c r="O201" i="16"/>
  <c r="P201" i="16"/>
  <c r="Q201" i="16"/>
  <c r="R201" i="16"/>
  <c r="I202" i="16"/>
  <c r="J202" i="16"/>
  <c r="K202" i="16"/>
  <c r="L202" i="16"/>
  <c r="M202" i="16"/>
  <c r="O202" i="16"/>
  <c r="P202" i="16"/>
  <c r="Q202" i="16"/>
  <c r="R202" i="16"/>
  <c r="I203" i="16"/>
  <c r="J203" i="16"/>
  <c r="K203" i="16"/>
  <c r="L203" i="16"/>
  <c r="M203" i="16"/>
  <c r="O203" i="16"/>
  <c r="P203" i="16"/>
  <c r="Q203" i="16"/>
  <c r="R203" i="16"/>
  <c r="I204" i="16"/>
  <c r="J204" i="16"/>
  <c r="K204" i="16"/>
  <c r="L204" i="16"/>
  <c r="M204" i="16"/>
  <c r="O204" i="16"/>
  <c r="P204" i="16"/>
  <c r="Q204" i="16"/>
  <c r="R204" i="16"/>
  <c r="I205" i="16"/>
  <c r="J205" i="16"/>
  <c r="K205" i="16"/>
  <c r="L205" i="16"/>
  <c r="M205" i="16"/>
  <c r="O205" i="16"/>
  <c r="P205" i="16"/>
  <c r="Q205" i="16"/>
  <c r="R205" i="16"/>
  <c r="I206" i="16"/>
  <c r="J206" i="16"/>
  <c r="K206" i="16"/>
  <c r="L206" i="16"/>
  <c r="M206" i="16"/>
  <c r="O206" i="16"/>
  <c r="P206" i="16"/>
  <c r="Q206" i="16"/>
  <c r="R206" i="16"/>
  <c r="I207" i="16"/>
  <c r="J207" i="16"/>
  <c r="K207" i="16"/>
  <c r="L207" i="16"/>
  <c r="M207" i="16"/>
  <c r="O207" i="16"/>
  <c r="P207" i="16"/>
  <c r="Q207" i="16"/>
  <c r="R207" i="16"/>
  <c r="I208" i="16"/>
  <c r="J208" i="16"/>
  <c r="K208" i="16"/>
  <c r="L208" i="16"/>
  <c r="M208" i="16"/>
  <c r="O208" i="16"/>
  <c r="P208" i="16"/>
  <c r="Q208" i="16"/>
  <c r="R208" i="16"/>
  <c r="I209" i="16"/>
  <c r="J209" i="16"/>
  <c r="K209" i="16"/>
  <c r="L209" i="16"/>
  <c r="M209" i="16"/>
  <c r="O209" i="16"/>
  <c r="P209" i="16"/>
  <c r="Q209" i="16"/>
  <c r="R209" i="16"/>
  <c r="V210" i="16"/>
  <c r="X210" i="16"/>
  <c r="Z210" i="16"/>
  <c r="AB210" i="16"/>
  <c r="I211" i="16"/>
  <c r="J211" i="16"/>
  <c r="K211" i="16"/>
  <c r="L211" i="16"/>
  <c r="M211" i="16"/>
  <c r="O211" i="16"/>
  <c r="P211" i="16"/>
  <c r="Q211" i="16"/>
  <c r="R211" i="16"/>
  <c r="I212" i="16"/>
  <c r="J212" i="16"/>
  <c r="K212" i="16"/>
  <c r="L212" i="16"/>
  <c r="M212" i="16"/>
  <c r="O212" i="16"/>
  <c r="P212" i="16"/>
  <c r="Q212" i="16"/>
  <c r="R212" i="16"/>
  <c r="I213" i="16"/>
  <c r="J213" i="16"/>
  <c r="K213" i="16"/>
  <c r="L213" i="16"/>
  <c r="M213" i="16"/>
  <c r="O213" i="16"/>
  <c r="P213" i="16"/>
  <c r="Q213" i="16"/>
  <c r="R213" i="16"/>
  <c r="I214" i="16"/>
  <c r="J214" i="16"/>
  <c r="K214" i="16"/>
  <c r="L214" i="16"/>
  <c r="M214" i="16"/>
  <c r="O214" i="16"/>
  <c r="P214" i="16"/>
  <c r="Q214" i="16"/>
  <c r="R214" i="16"/>
  <c r="I215" i="16"/>
  <c r="J215" i="16"/>
  <c r="K215" i="16"/>
  <c r="L215" i="16"/>
  <c r="M215" i="16"/>
  <c r="O215" i="16"/>
  <c r="P215" i="16"/>
  <c r="Q215" i="16"/>
  <c r="R215" i="16"/>
  <c r="I216" i="16"/>
  <c r="J216" i="16"/>
  <c r="K216" i="16"/>
  <c r="L216" i="16"/>
  <c r="M216" i="16"/>
  <c r="O216" i="16"/>
  <c r="P216" i="16"/>
  <c r="Q216" i="16"/>
  <c r="R216" i="16"/>
  <c r="I217" i="16"/>
  <c r="J217" i="16"/>
  <c r="K217" i="16"/>
  <c r="L217" i="16"/>
  <c r="M217" i="16"/>
  <c r="O217" i="16"/>
  <c r="P217" i="16"/>
  <c r="Q217" i="16"/>
  <c r="R217" i="16"/>
  <c r="I218" i="16"/>
  <c r="J218" i="16"/>
  <c r="K218" i="16"/>
  <c r="L218" i="16"/>
  <c r="M218" i="16"/>
  <c r="O218" i="16"/>
  <c r="P218" i="16"/>
  <c r="Q218" i="16"/>
  <c r="R218" i="16"/>
  <c r="V219" i="16"/>
  <c r="X219" i="16"/>
  <c r="Z219" i="16"/>
  <c r="AB219" i="16"/>
  <c r="I220" i="16"/>
  <c r="J220" i="16"/>
  <c r="K220" i="16"/>
  <c r="L220" i="16"/>
  <c r="M220" i="16"/>
  <c r="O220" i="16"/>
  <c r="P220" i="16"/>
  <c r="Q220" i="16"/>
  <c r="R220" i="16"/>
  <c r="I221" i="16"/>
  <c r="J221" i="16"/>
  <c r="K221" i="16"/>
  <c r="L221" i="16"/>
  <c r="M221" i="16"/>
  <c r="O221" i="16"/>
  <c r="P221" i="16"/>
  <c r="Q221" i="16"/>
  <c r="R221" i="16"/>
  <c r="I222" i="16"/>
  <c r="J222" i="16"/>
  <c r="K222" i="16"/>
  <c r="L222" i="16"/>
  <c r="M222" i="16"/>
  <c r="O222" i="16"/>
  <c r="P222" i="16"/>
  <c r="Q222" i="16"/>
  <c r="R222" i="16"/>
  <c r="I223" i="16"/>
  <c r="J223" i="16"/>
  <c r="K223" i="16"/>
  <c r="L223" i="16"/>
  <c r="M223" i="16"/>
  <c r="O223" i="16"/>
  <c r="P223" i="16"/>
  <c r="Q223" i="16"/>
  <c r="R223" i="16"/>
  <c r="I224" i="16"/>
  <c r="J224" i="16"/>
  <c r="K224" i="16"/>
  <c r="L224" i="16"/>
  <c r="M224" i="16"/>
  <c r="O224" i="16"/>
  <c r="P224" i="16"/>
  <c r="Q224" i="16"/>
  <c r="R224" i="16"/>
  <c r="V225" i="16"/>
  <c r="X225" i="16"/>
  <c r="Z225" i="16"/>
  <c r="AB225" i="16"/>
  <c r="I226" i="16"/>
  <c r="J226" i="16"/>
  <c r="K226" i="16"/>
  <c r="L226" i="16"/>
  <c r="M226" i="16"/>
  <c r="O226" i="16"/>
  <c r="P226" i="16"/>
  <c r="Q226" i="16"/>
  <c r="R226" i="16"/>
  <c r="I227" i="16"/>
  <c r="J227" i="16"/>
  <c r="K227" i="16"/>
  <c r="L227" i="16"/>
  <c r="M227" i="16"/>
  <c r="O227" i="16"/>
  <c r="P227" i="16"/>
  <c r="Q227" i="16"/>
  <c r="R227" i="16"/>
  <c r="I228" i="16"/>
  <c r="J228" i="16"/>
  <c r="K228" i="16"/>
  <c r="L228" i="16"/>
  <c r="M228" i="16"/>
  <c r="O228" i="16"/>
  <c r="P228" i="16"/>
  <c r="Q228" i="16"/>
  <c r="R228" i="16"/>
  <c r="I229" i="16"/>
  <c r="J229" i="16"/>
  <c r="K229" i="16"/>
  <c r="L229" i="16"/>
  <c r="M229" i="16"/>
  <c r="O229" i="16"/>
  <c r="P229" i="16"/>
  <c r="Q229" i="16"/>
  <c r="R229" i="16"/>
  <c r="I230" i="16"/>
  <c r="J230" i="16"/>
  <c r="K230" i="16"/>
  <c r="L230" i="16"/>
  <c r="M230" i="16"/>
  <c r="O230" i="16"/>
  <c r="P230" i="16"/>
  <c r="Q230" i="16"/>
  <c r="R230" i="16"/>
  <c r="I231" i="16"/>
  <c r="J231" i="16"/>
  <c r="K231" i="16"/>
  <c r="L231" i="16"/>
  <c r="M231" i="16"/>
  <c r="O231" i="16"/>
  <c r="P231" i="16"/>
  <c r="Q231" i="16"/>
  <c r="R231" i="16"/>
  <c r="I232" i="16"/>
  <c r="J232" i="16"/>
  <c r="K232" i="16"/>
  <c r="L232" i="16"/>
  <c r="M232" i="16"/>
  <c r="O232" i="16"/>
  <c r="P232" i="16"/>
  <c r="Q232" i="16"/>
  <c r="R232" i="16"/>
  <c r="V233" i="16"/>
  <c r="X233" i="16"/>
  <c r="Z233" i="16"/>
  <c r="AB233" i="16"/>
  <c r="I234" i="16"/>
  <c r="J234" i="16"/>
  <c r="K234" i="16"/>
  <c r="L234" i="16"/>
  <c r="M234" i="16"/>
  <c r="O234" i="16"/>
  <c r="P234" i="16"/>
  <c r="Q234" i="16"/>
  <c r="R234" i="16"/>
  <c r="I235" i="16"/>
  <c r="J235" i="16"/>
  <c r="K235" i="16"/>
  <c r="L235" i="16"/>
  <c r="M235" i="16"/>
  <c r="O235" i="16"/>
  <c r="P235" i="16"/>
  <c r="Q235" i="16"/>
  <c r="R235" i="16"/>
  <c r="I236" i="16"/>
  <c r="J236" i="16"/>
  <c r="K236" i="16"/>
  <c r="L236" i="16"/>
  <c r="M236" i="16"/>
  <c r="O236" i="16"/>
  <c r="P236" i="16"/>
  <c r="Q236" i="16"/>
  <c r="R236" i="16"/>
  <c r="I237" i="16"/>
  <c r="J237" i="16"/>
  <c r="K237" i="16"/>
  <c r="L237" i="16"/>
  <c r="M237" i="16"/>
  <c r="O237" i="16"/>
  <c r="P237" i="16"/>
  <c r="Q237" i="16"/>
  <c r="R237" i="16"/>
  <c r="I238" i="16"/>
  <c r="J238" i="16"/>
  <c r="K238" i="16"/>
  <c r="L238" i="16"/>
  <c r="M238" i="16"/>
  <c r="O238" i="16"/>
  <c r="P238" i="16"/>
  <c r="Q238" i="16"/>
  <c r="R238" i="16"/>
  <c r="I239" i="16"/>
  <c r="J239" i="16"/>
  <c r="K239" i="16"/>
  <c r="L239" i="16"/>
  <c r="M239" i="16"/>
  <c r="O239" i="16"/>
  <c r="P239" i="16"/>
  <c r="Q239" i="16"/>
  <c r="R239" i="16"/>
  <c r="V241" i="16"/>
  <c r="X241" i="16"/>
  <c r="Z241" i="16"/>
  <c r="AB241" i="16"/>
  <c r="I242" i="16"/>
  <c r="J242" i="16"/>
  <c r="K242" i="16"/>
  <c r="L242" i="16"/>
  <c r="M242" i="16"/>
  <c r="O242" i="16"/>
  <c r="P242" i="16"/>
  <c r="Q242" i="16"/>
  <c r="R242" i="16"/>
  <c r="I243" i="16"/>
  <c r="J243" i="16"/>
  <c r="K243" i="16"/>
  <c r="L243" i="16"/>
  <c r="M243" i="16"/>
  <c r="O243" i="16"/>
  <c r="P243" i="16"/>
  <c r="Q243" i="16"/>
  <c r="R243" i="16"/>
  <c r="I244" i="16"/>
  <c r="J244" i="16"/>
  <c r="K244" i="16"/>
  <c r="L244" i="16"/>
  <c r="M244" i="16"/>
  <c r="O244" i="16"/>
  <c r="P244" i="16"/>
  <c r="Q244" i="16"/>
  <c r="R244" i="16"/>
  <c r="I245" i="16"/>
  <c r="J245" i="16"/>
  <c r="K245" i="16"/>
  <c r="L245" i="16"/>
  <c r="M245" i="16"/>
  <c r="O245" i="16"/>
  <c r="P245" i="16"/>
  <c r="Q245" i="16"/>
  <c r="R245" i="16"/>
  <c r="I246" i="16"/>
  <c r="J246" i="16"/>
  <c r="K246" i="16"/>
  <c r="L246" i="16"/>
  <c r="M246" i="16"/>
  <c r="O246" i="16"/>
  <c r="P246" i="16"/>
  <c r="Q246" i="16"/>
  <c r="R246" i="16"/>
  <c r="I247" i="16"/>
  <c r="J247" i="16"/>
  <c r="K247" i="16"/>
  <c r="L247" i="16"/>
  <c r="M247" i="16"/>
  <c r="O247" i="16"/>
  <c r="P247" i="16"/>
  <c r="Q247" i="16"/>
  <c r="R247" i="16"/>
  <c r="I248" i="16"/>
  <c r="J248" i="16"/>
  <c r="K248" i="16"/>
  <c r="L248" i="16"/>
  <c r="M248" i="16"/>
  <c r="O248" i="16"/>
  <c r="P248" i="16"/>
  <c r="Q248" i="16"/>
  <c r="R248" i="16"/>
  <c r="I249" i="16"/>
  <c r="J249" i="16"/>
  <c r="K249" i="16"/>
  <c r="L249" i="16"/>
  <c r="M249" i="16"/>
  <c r="O249" i="16"/>
  <c r="P249" i="16"/>
  <c r="Q249" i="16"/>
  <c r="R249" i="16"/>
  <c r="I250" i="16"/>
  <c r="J250" i="16"/>
  <c r="K250" i="16"/>
  <c r="L250" i="16"/>
  <c r="M250" i="16"/>
  <c r="O250" i="16"/>
  <c r="P250" i="16"/>
  <c r="Q250" i="16"/>
  <c r="R250" i="16"/>
  <c r="I251" i="16"/>
  <c r="J251" i="16"/>
  <c r="K251" i="16"/>
  <c r="L251" i="16"/>
  <c r="M251" i="16"/>
  <c r="O251" i="16"/>
  <c r="P251" i="16"/>
  <c r="Q251" i="16"/>
  <c r="R251" i="16"/>
  <c r="I252" i="16"/>
  <c r="J252" i="16"/>
  <c r="K252" i="16"/>
  <c r="L252" i="16"/>
  <c r="M252" i="16"/>
  <c r="O252" i="16"/>
  <c r="P252" i="16"/>
  <c r="Q252" i="16"/>
  <c r="R252" i="16"/>
  <c r="I253" i="16"/>
  <c r="J253" i="16"/>
  <c r="K253" i="16"/>
  <c r="L253" i="16"/>
  <c r="M253" i="16"/>
  <c r="O253" i="16"/>
  <c r="P253" i="16"/>
  <c r="Q253" i="16"/>
  <c r="R253" i="16"/>
  <c r="I254" i="16"/>
  <c r="J254" i="16"/>
  <c r="K254" i="16"/>
  <c r="L254" i="16"/>
  <c r="M254" i="16"/>
  <c r="O254" i="16"/>
  <c r="P254" i="16"/>
  <c r="Q254" i="16"/>
  <c r="R254" i="16"/>
  <c r="I255" i="16"/>
  <c r="J255" i="16"/>
  <c r="K255" i="16"/>
  <c r="L255" i="16"/>
  <c r="M255" i="16"/>
  <c r="O255" i="16"/>
  <c r="P255" i="16"/>
  <c r="Q255" i="16"/>
  <c r="R255" i="16"/>
  <c r="I256" i="16"/>
  <c r="J256" i="16"/>
  <c r="K256" i="16"/>
  <c r="L256" i="16"/>
  <c r="M256" i="16"/>
  <c r="O256" i="16"/>
  <c r="P256" i="16"/>
  <c r="Q256" i="16"/>
  <c r="R256" i="16"/>
  <c r="I257" i="16"/>
  <c r="J257" i="16"/>
  <c r="K257" i="16"/>
  <c r="L257" i="16"/>
  <c r="M257" i="16"/>
  <c r="O257" i="16"/>
  <c r="P257" i="16"/>
  <c r="Q257" i="16"/>
  <c r="R257" i="16"/>
  <c r="I258" i="16"/>
  <c r="J258" i="16"/>
  <c r="K258" i="16"/>
  <c r="L258" i="16"/>
  <c r="M258" i="16"/>
  <c r="O258" i="16"/>
  <c r="P258" i="16"/>
  <c r="Q258" i="16"/>
  <c r="R258" i="16"/>
  <c r="V261" i="16"/>
  <c r="X261" i="16"/>
  <c r="Z261" i="16"/>
  <c r="AB261" i="16"/>
  <c r="I262" i="16"/>
  <c r="J262" i="16"/>
  <c r="K262" i="16"/>
  <c r="L262" i="16"/>
  <c r="M262" i="16"/>
  <c r="O262" i="16"/>
  <c r="P262" i="16"/>
  <c r="Q262" i="16"/>
  <c r="R262" i="16"/>
  <c r="I263" i="16"/>
  <c r="J263" i="16"/>
  <c r="K263" i="16"/>
  <c r="L263" i="16"/>
  <c r="M263" i="16"/>
  <c r="O263" i="16"/>
  <c r="P263" i="16"/>
  <c r="Q263" i="16"/>
  <c r="R263" i="16"/>
  <c r="I264" i="16"/>
  <c r="J264" i="16"/>
  <c r="K264" i="16"/>
  <c r="L264" i="16"/>
  <c r="M264" i="16"/>
  <c r="O264" i="16"/>
  <c r="P264" i="16"/>
  <c r="Q264" i="16"/>
  <c r="R264" i="16"/>
  <c r="I265" i="16"/>
  <c r="J265" i="16"/>
  <c r="K265" i="16"/>
  <c r="L265" i="16"/>
  <c r="M265" i="16"/>
  <c r="O265" i="16"/>
  <c r="P265" i="16"/>
  <c r="Q265" i="16"/>
  <c r="R265" i="16"/>
  <c r="I266" i="16"/>
  <c r="J266" i="16"/>
  <c r="K266" i="16"/>
  <c r="L266" i="16"/>
  <c r="M266" i="16"/>
  <c r="O266" i="16"/>
  <c r="P266" i="16"/>
  <c r="Q266" i="16"/>
  <c r="R266" i="16"/>
  <c r="I267" i="16"/>
  <c r="J267" i="16"/>
  <c r="K267" i="16"/>
  <c r="L267" i="16"/>
  <c r="M267" i="16"/>
  <c r="O267" i="16"/>
  <c r="Q267" i="16"/>
  <c r="R267" i="16"/>
  <c r="I268" i="16"/>
  <c r="J268" i="16"/>
  <c r="K268" i="16"/>
  <c r="L268" i="16"/>
  <c r="M268" i="16"/>
  <c r="O268" i="16"/>
  <c r="P268" i="16"/>
  <c r="Q268" i="16"/>
  <c r="R268" i="16"/>
  <c r="I269" i="16"/>
  <c r="J269" i="16"/>
  <c r="K269" i="16"/>
  <c r="L269" i="16"/>
  <c r="M269" i="16"/>
  <c r="O269" i="16"/>
  <c r="P269" i="16"/>
  <c r="Q269" i="16"/>
  <c r="R269" i="16"/>
  <c r="I270" i="16"/>
  <c r="J270" i="16"/>
  <c r="K270" i="16"/>
  <c r="L270" i="16"/>
  <c r="M270" i="16"/>
  <c r="O270" i="16"/>
  <c r="P270" i="16"/>
  <c r="Q270" i="16"/>
  <c r="R270" i="16"/>
  <c r="I271" i="16"/>
  <c r="J271" i="16"/>
  <c r="K271" i="16"/>
  <c r="L271" i="16"/>
  <c r="M271" i="16"/>
  <c r="O271" i="16"/>
  <c r="P271" i="16"/>
  <c r="Q271" i="16"/>
  <c r="R271" i="16"/>
  <c r="I272" i="16"/>
  <c r="J272" i="16"/>
  <c r="K272" i="16"/>
  <c r="L272" i="16"/>
  <c r="M272" i="16"/>
  <c r="O272" i="16"/>
  <c r="P272" i="16"/>
  <c r="Q272" i="16"/>
  <c r="R272" i="16"/>
  <c r="V273" i="16"/>
  <c r="X273" i="16"/>
  <c r="Z273" i="16"/>
  <c r="AB273" i="16"/>
  <c r="I274" i="16"/>
  <c r="J274" i="16"/>
  <c r="K274" i="16"/>
  <c r="L274" i="16"/>
  <c r="M274" i="16"/>
  <c r="O274" i="16"/>
  <c r="P274" i="16"/>
  <c r="Q274" i="16"/>
  <c r="R274" i="16"/>
  <c r="I275" i="16"/>
  <c r="J275" i="16"/>
  <c r="K275" i="16"/>
  <c r="L275" i="16"/>
  <c r="M275" i="16"/>
  <c r="O275" i="16"/>
  <c r="P275" i="16"/>
  <c r="Q275" i="16"/>
  <c r="R275" i="16"/>
  <c r="I276" i="16"/>
  <c r="J276" i="16"/>
  <c r="K276" i="16"/>
  <c r="L276" i="16"/>
  <c r="M276" i="16"/>
  <c r="O276" i="16"/>
  <c r="P276" i="16"/>
  <c r="Q276" i="16"/>
  <c r="R276" i="16"/>
  <c r="I277" i="16"/>
  <c r="J277" i="16"/>
  <c r="K277" i="16"/>
  <c r="L277" i="16"/>
  <c r="M277" i="16"/>
  <c r="O277" i="16"/>
  <c r="P277" i="16"/>
  <c r="Q277" i="16"/>
  <c r="R277" i="16"/>
  <c r="I278" i="16"/>
  <c r="J278" i="16"/>
  <c r="K278" i="16"/>
  <c r="L278" i="16"/>
  <c r="M278" i="16"/>
  <c r="O278" i="16"/>
  <c r="P278" i="16"/>
  <c r="Q278" i="16"/>
  <c r="R278" i="16"/>
  <c r="I279" i="16"/>
  <c r="J279" i="16"/>
  <c r="K279" i="16"/>
  <c r="L279" i="16"/>
  <c r="M279" i="16"/>
  <c r="O279" i="16"/>
  <c r="P279" i="16"/>
  <c r="Q279" i="16"/>
  <c r="R279" i="16"/>
  <c r="I280" i="16"/>
  <c r="J280" i="16"/>
  <c r="K280" i="16"/>
  <c r="L280" i="16"/>
  <c r="M280" i="16"/>
  <c r="O280" i="16"/>
  <c r="P280" i="16"/>
  <c r="Q280" i="16"/>
  <c r="R280" i="16"/>
  <c r="I281" i="16"/>
  <c r="J281" i="16"/>
  <c r="K281" i="16"/>
  <c r="L281" i="16"/>
  <c r="M281" i="16"/>
  <c r="O281" i="16"/>
  <c r="P281" i="16"/>
  <c r="Q281" i="16"/>
  <c r="R281" i="16"/>
  <c r="I282" i="16"/>
  <c r="J282" i="16"/>
  <c r="K282" i="16"/>
  <c r="L282" i="16"/>
  <c r="M282" i="16"/>
  <c r="O282" i="16"/>
  <c r="P282" i="16"/>
  <c r="Q282" i="16"/>
  <c r="R282" i="16"/>
  <c r="I283" i="16"/>
  <c r="J283" i="16"/>
  <c r="K283" i="16"/>
  <c r="L283" i="16"/>
  <c r="M283" i="16"/>
  <c r="O283" i="16"/>
  <c r="P283" i="16"/>
  <c r="Q283" i="16"/>
  <c r="R283" i="16"/>
  <c r="I284" i="16"/>
  <c r="J284" i="16"/>
  <c r="K284" i="16"/>
  <c r="L284" i="16"/>
  <c r="M284" i="16"/>
  <c r="O284" i="16"/>
  <c r="P284" i="16"/>
  <c r="Q284" i="16"/>
  <c r="R284" i="16"/>
  <c r="I285" i="16"/>
  <c r="J285" i="16"/>
  <c r="K285" i="16"/>
  <c r="L285" i="16"/>
  <c r="M285" i="16"/>
  <c r="O285" i="16"/>
  <c r="P285" i="16"/>
  <c r="Q285" i="16"/>
  <c r="R285" i="16"/>
  <c r="X286" i="16"/>
  <c r="Z286" i="16"/>
  <c r="AB286" i="16"/>
  <c r="AL286" i="16"/>
  <c r="AM286" i="16"/>
  <c r="I287" i="16"/>
  <c r="J287" i="16"/>
  <c r="K287" i="16"/>
  <c r="L287" i="16"/>
  <c r="O287" i="16"/>
  <c r="P287" i="16"/>
  <c r="Q287" i="16"/>
  <c r="R287" i="16"/>
  <c r="I288" i="16"/>
  <c r="J288" i="16"/>
  <c r="K288" i="16"/>
  <c r="L288" i="16"/>
  <c r="O288" i="16"/>
  <c r="P288" i="16"/>
  <c r="Q288" i="16"/>
  <c r="R288" i="16"/>
  <c r="I289" i="16"/>
  <c r="J289" i="16"/>
  <c r="K289" i="16"/>
  <c r="L289" i="16"/>
  <c r="O289" i="16"/>
  <c r="P289" i="16"/>
  <c r="Q289" i="16"/>
  <c r="R289" i="16"/>
  <c r="I290" i="16"/>
  <c r="J290" i="16"/>
  <c r="K290" i="16"/>
  <c r="L290" i="16"/>
  <c r="O290" i="16"/>
  <c r="P290" i="16"/>
  <c r="Q290" i="16"/>
  <c r="R290" i="16"/>
  <c r="V292" i="16"/>
  <c r="X292" i="16"/>
  <c r="Z292" i="16"/>
  <c r="AB292" i="16"/>
  <c r="I293" i="16"/>
  <c r="J293" i="16"/>
  <c r="K293" i="16"/>
  <c r="L293" i="16"/>
  <c r="M293" i="16"/>
  <c r="O293" i="16"/>
  <c r="P293" i="16"/>
  <c r="Q293" i="16"/>
  <c r="R293" i="16"/>
  <c r="I294" i="16"/>
  <c r="J294" i="16"/>
  <c r="K294" i="16"/>
  <c r="L294" i="16"/>
  <c r="M294" i="16"/>
  <c r="O294" i="16"/>
  <c r="P294" i="16"/>
  <c r="Q294" i="16"/>
  <c r="R294" i="16"/>
  <c r="I295" i="16"/>
  <c r="J295" i="16"/>
  <c r="K295" i="16"/>
  <c r="L295" i="16"/>
  <c r="M295" i="16"/>
  <c r="O295" i="16"/>
  <c r="P295" i="16"/>
  <c r="Q295" i="16"/>
  <c r="R295" i="16"/>
  <c r="I296" i="16"/>
  <c r="J296" i="16"/>
  <c r="K296" i="16"/>
  <c r="L296" i="16"/>
  <c r="M296" i="16"/>
  <c r="O296" i="16"/>
  <c r="P296" i="16"/>
  <c r="Q296" i="16"/>
  <c r="R296" i="16"/>
  <c r="I297" i="16"/>
  <c r="J297" i="16"/>
  <c r="K297" i="16"/>
  <c r="L297" i="16"/>
  <c r="M297" i="16"/>
  <c r="O297" i="16"/>
  <c r="P297" i="16"/>
  <c r="Q297" i="16"/>
  <c r="R297" i="16"/>
  <c r="I298" i="16"/>
  <c r="J298" i="16"/>
  <c r="K298" i="16"/>
  <c r="L298" i="16"/>
  <c r="M298" i="16"/>
  <c r="O298" i="16"/>
  <c r="P298" i="16"/>
  <c r="Q298" i="16"/>
  <c r="R298" i="16"/>
  <c r="I299" i="16"/>
  <c r="J299" i="16"/>
  <c r="K299" i="16"/>
  <c r="L299" i="16"/>
  <c r="M299" i="16"/>
  <c r="O299" i="16"/>
  <c r="P299" i="16"/>
  <c r="Q299" i="16"/>
  <c r="R299" i="16"/>
  <c r="I300" i="16"/>
  <c r="J300" i="16"/>
  <c r="K300" i="16"/>
  <c r="L300" i="16"/>
  <c r="M300" i="16"/>
  <c r="O300" i="16"/>
  <c r="P300" i="16"/>
  <c r="Q300" i="16"/>
  <c r="R300" i="16"/>
  <c r="I301" i="16"/>
  <c r="J301" i="16"/>
  <c r="K301" i="16"/>
  <c r="L301" i="16"/>
  <c r="M301" i="16"/>
  <c r="O301" i="16"/>
  <c r="P301" i="16"/>
  <c r="Q301" i="16"/>
  <c r="R301" i="16"/>
  <c r="BW301" i="16"/>
  <c r="BX301" i="16" s="1"/>
  <c r="I302" i="16"/>
  <c r="J302" i="16"/>
  <c r="K302" i="16"/>
  <c r="L302" i="16"/>
  <c r="M302" i="16"/>
  <c r="O302" i="16"/>
  <c r="P302" i="16"/>
  <c r="Q302" i="16"/>
  <c r="R302" i="16"/>
  <c r="BW302" i="16"/>
  <c r="BX302" i="16" s="1"/>
  <c r="I303" i="16"/>
  <c r="J303" i="16"/>
  <c r="K303" i="16"/>
  <c r="L303" i="16"/>
  <c r="M303" i="16"/>
  <c r="O303" i="16"/>
  <c r="P303" i="16"/>
  <c r="Q303" i="16"/>
  <c r="R303" i="16"/>
  <c r="I304" i="16"/>
  <c r="J304" i="16"/>
  <c r="K304" i="16"/>
  <c r="L304" i="16"/>
  <c r="M304" i="16"/>
  <c r="O304" i="16"/>
  <c r="P304" i="16"/>
  <c r="Q304" i="16"/>
  <c r="R304" i="16"/>
  <c r="I305" i="16"/>
  <c r="J305" i="16"/>
  <c r="K305" i="16"/>
  <c r="L305" i="16"/>
  <c r="M305" i="16"/>
  <c r="O305" i="16"/>
  <c r="P305" i="16"/>
  <c r="Q305" i="16"/>
  <c r="R305" i="16"/>
  <c r="I306" i="16"/>
  <c r="J306" i="16"/>
  <c r="K306" i="16"/>
  <c r="L306" i="16"/>
  <c r="M306" i="16"/>
  <c r="O306" i="16"/>
  <c r="P306" i="16"/>
  <c r="Q306" i="16"/>
  <c r="R306" i="16"/>
  <c r="I307" i="16"/>
  <c r="J307" i="16"/>
  <c r="K307" i="16"/>
  <c r="L307" i="16"/>
  <c r="M307" i="16"/>
  <c r="O307" i="16"/>
  <c r="P307" i="16"/>
  <c r="Q307" i="16"/>
  <c r="R307" i="16"/>
  <c r="BW307" i="16"/>
  <c r="BX307" i="16" s="1"/>
  <c r="I308" i="16"/>
  <c r="J308" i="16"/>
  <c r="K308" i="16"/>
  <c r="L308" i="16"/>
  <c r="M308" i="16"/>
  <c r="O308" i="16"/>
  <c r="P308" i="16"/>
  <c r="Q308" i="16"/>
  <c r="R308" i="16"/>
  <c r="I309" i="16"/>
  <c r="J309" i="16"/>
  <c r="K309" i="16"/>
  <c r="L309" i="16"/>
  <c r="M309" i="16"/>
  <c r="O309" i="16"/>
  <c r="P309" i="16"/>
  <c r="Q309" i="16"/>
  <c r="R309" i="16"/>
  <c r="I310" i="16"/>
  <c r="J310" i="16"/>
  <c r="K310" i="16"/>
  <c r="L310" i="16"/>
  <c r="M310" i="16"/>
  <c r="O310" i="16"/>
  <c r="P310" i="16"/>
  <c r="Q310" i="16"/>
  <c r="R310" i="16"/>
  <c r="I311" i="16"/>
  <c r="J311" i="16"/>
  <c r="K311" i="16"/>
  <c r="L311" i="16"/>
  <c r="M311" i="16"/>
  <c r="O311" i="16"/>
  <c r="P311" i="16"/>
  <c r="Q311" i="16"/>
  <c r="R311" i="16"/>
  <c r="I312" i="16"/>
  <c r="J312" i="16"/>
  <c r="K312" i="16"/>
  <c r="L312" i="16"/>
  <c r="M312" i="16"/>
  <c r="O312" i="16"/>
  <c r="P312" i="16"/>
  <c r="Q312" i="16"/>
  <c r="R312" i="16"/>
  <c r="I313" i="16"/>
  <c r="J313" i="16"/>
  <c r="K313" i="16"/>
  <c r="L313" i="16"/>
  <c r="M313" i="16"/>
  <c r="O313" i="16"/>
  <c r="P313" i="16"/>
  <c r="Q313" i="16"/>
  <c r="R313" i="16"/>
  <c r="I314" i="16"/>
  <c r="J314" i="16"/>
  <c r="K314" i="16"/>
  <c r="L314" i="16"/>
  <c r="M314" i="16"/>
  <c r="O314" i="16"/>
  <c r="P314" i="16"/>
  <c r="Q314" i="16"/>
  <c r="R314" i="16"/>
  <c r="I315" i="16"/>
  <c r="J315" i="16"/>
  <c r="K315" i="16"/>
  <c r="L315" i="16"/>
  <c r="M315" i="16"/>
  <c r="O315" i="16"/>
  <c r="P315" i="16"/>
  <c r="Q315" i="16"/>
  <c r="R315" i="16"/>
  <c r="I316" i="16"/>
  <c r="J316" i="16"/>
  <c r="K316" i="16"/>
  <c r="L316" i="16"/>
  <c r="M316" i="16"/>
  <c r="O316" i="16"/>
  <c r="P316" i="16"/>
  <c r="Q316" i="16"/>
  <c r="R316" i="16"/>
  <c r="I317" i="16"/>
  <c r="J317" i="16"/>
  <c r="K317" i="16"/>
  <c r="L317" i="16"/>
  <c r="M317" i="16"/>
  <c r="O317" i="16"/>
  <c r="P317" i="16"/>
  <c r="Q317" i="16"/>
  <c r="R317" i="16"/>
  <c r="I318" i="16"/>
  <c r="J318" i="16"/>
  <c r="K318" i="16"/>
  <c r="L318" i="16"/>
  <c r="M318" i="16"/>
  <c r="O318" i="16"/>
  <c r="P318" i="16"/>
  <c r="Q318" i="16"/>
  <c r="R318" i="16"/>
  <c r="I319" i="16"/>
  <c r="J319" i="16"/>
  <c r="K319" i="16"/>
  <c r="L319" i="16"/>
  <c r="M319" i="16"/>
  <c r="O319" i="16"/>
  <c r="P319" i="16"/>
  <c r="Q319" i="16"/>
  <c r="R319" i="16"/>
  <c r="I320" i="16"/>
  <c r="J320" i="16"/>
  <c r="K320" i="16"/>
  <c r="L320" i="16"/>
  <c r="M320" i="16"/>
  <c r="O320" i="16"/>
  <c r="P320" i="16"/>
  <c r="Q320" i="16"/>
  <c r="R320" i="16"/>
  <c r="I321" i="16"/>
  <c r="J321" i="16"/>
  <c r="K321" i="16"/>
  <c r="L321" i="16"/>
  <c r="M321" i="16"/>
  <c r="O321" i="16"/>
  <c r="P321" i="16"/>
  <c r="Q321" i="16"/>
  <c r="R321" i="16"/>
  <c r="I322" i="16"/>
  <c r="J322" i="16"/>
  <c r="K322" i="16"/>
  <c r="L322" i="16"/>
  <c r="M322" i="16"/>
  <c r="O322" i="16"/>
  <c r="P322" i="16"/>
  <c r="Q322" i="16"/>
  <c r="R322" i="16"/>
  <c r="I323" i="16"/>
  <c r="J323" i="16"/>
  <c r="K323" i="16"/>
  <c r="L323" i="16"/>
  <c r="M323" i="16"/>
  <c r="O323" i="16"/>
  <c r="P323" i="16"/>
  <c r="Q323" i="16"/>
  <c r="R323" i="16"/>
  <c r="I324" i="16"/>
  <c r="J324" i="16"/>
  <c r="K324" i="16"/>
  <c r="L324" i="16"/>
  <c r="M324" i="16"/>
  <c r="O324" i="16"/>
  <c r="P324" i="16"/>
  <c r="Q324" i="16"/>
  <c r="R324" i="16"/>
  <c r="I325" i="16"/>
  <c r="J325" i="16"/>
  <c r="K325" i="16"/>
  <c r="L325" i="16"/>
  <c r="M325" i="16"/>
  <c r="O325" i="16"/>
  <c r="P325" i="16"/>
  <c r="Q325" i="16"/>
  <c r="R325" i="16"/>
  <c r="BW489" i="16"/>
  <c r="BX489" i="16" s="1"/>
  <c r="BU489" i="16"/>
  <c r="BM489" i="16"/>
  <c r="BE489" i="16"/>
  <c r="R489" i="16"/>
  <c r="Q489" i="16"/>
  <c r="P489" i="16"/>
  <c r="O489" i="16"/>
  <c r="L489" i="16"/>
  <c r="K489" i="16"/>
  <c r="J489" i="16"/>
  <c r="I489" i="16"/>
  <c r="BW488" i="16"/>
  <c r="BX488" i="16" s="1"/>
  <c r="BU488" i="16"/>
  <c r="BM488" i="16"/>
  <c r="BE488" i="16"/>
  <c r="R488" i="16"/>
  <c r="Q488" i="16"/>
  <c r="P488" i="16"/>
  <c r="O488" i="16"/>
  <c r="L488" i="16"/>
  <c r="K488" i="16"/>
  <c r="J488" i="16"/>
  <c r="I488" i="16"/>
  <c r="BW487" i="16"/>
  <c r="BX487" i="16" s="1"/>
  <c r="BU487" i="16"/>
  <c r="BM487" i="16"/>
  <c r="BE487" i="16"/>
  <c r="R487" i="16"/>
  <c r="Q487" i="16"/>
  <c r="P487" i="16"/>
  <c r="O487" i="16"/>
  <c r="L487" i="16"/>
  <c r="K487" i="16"/>
  <c r="J487" i="16"/>
  <c r="I487" i="16"/>
  <c r="BW486" i="16"/>
  <c r="BX486" i="16" s="1"/>
  <c r="BU486" i="16"/>
  <c r="BM486" i="16"/>
  <c r="BE486" i="16"/>
  <c r="R486" i="16"/>
  <c r="Q486" i="16"/>
  <c r="P486" i="16"/>
  <c r="O486" i="16"/>
  <c r="L486" i="16"/>
  <c r="K486" i="16"/>
  <c r="J486" i="16"/>
  <c r="I486" i="16"/>
  <c r="BW485" i="16"/>
  <c r="BX485" i="16" s="1"/>
  <c r="BU485" i="16"/>
  <c r="BM485" i="16"/>
  <c r="BE485" i="16"/>
  <c r="R485" i="16"/>
  <c r="Q485" i="16"/>
  <c r="P485" i="16"/>
  <c r="O485" i="16"/>
  <c r="L485" i="16"/>
  <c r="K485" i="16"/>
  <c r="J485" i="16"/>
  <c r="I485" i="16"/>
  <c r="BW484" i="16"/>
  <c r="BX484" i="16" s="1"/>
  <c r="BU484" i="16"/>
  <c r="BM484" i="16"/>
  <c r="BE484" i="16"/>
  <c r="R484" i="16"/>
  <c r="Q484" i="16"/>
  <c r="P484" i="16"/>
  <c r="O484" i="16"/>
  <c r="L484" i="16"/>
  <c r="K484" i="16"/>
  <c r="J484" i="16"/>
  <c r="I484" i="16"/>
  <c r="BW483" i="16"/>
  <c r="BX483" i="16" s="1"/>
  <c r="BU483" i="16"/>
  <c r="BM483" i="16"/>
  <c r="BE483" i="16"/>
  <c r="R483" i="16"/>
  <c r="Q483" i="16"/>
  <c r="P483" i="16"/>
  <c r="O483" i="16"/>
  <c r="L483" i="16"/>
  <c r="K483" i="16"/>
  <c r="J483" i="16"/>
  <c r="I483" i="16"/>
  <c r="BT482" i="16"/>
  <c r="BS482" i="16"/>
  <c r="BR482" i="16"/>
  <c r="BQ482" i="16"/>
  <c r="BP482" i="16"/>
  <c r="BO482" i="16"/>
  <c r="BN482" i="16"/>
  <c r="BU482" i="16" s="1"/>
  <c r="BM482" i="16"/>
  <c r="BD482" i="16"/>
  <c r="BC482" i="16"/>
  <c r="BB482" i="16"/>
  <c r="BA482" i="16"/>
  <c r="AZ482" i="16"/>
  <c r="AY482" i="16"/>
  <c r="AX482" i="16"/>
  <c r="BE482" i="16" s="1"/>
  <c r="AB482" i="16"/>
  <c r="Z482" i="16"/>
  <c r="X482" i="16"/>
  <c r="V482" i="16"/>
  <c r="BW481" i="16"/>
  <c r="BX481" i="16" s="1"/>
  <c r="BU481" i="16"/>
  <c r="BM481" i="16"/>
  <c r="BE481" i="16"/>
  <c r="R481" i="16"/>
  <c r="Q481" i="16"/>
  <c r="P481" i="16"/>
  <c r="O481" i="16"/>
  <c r="L481" i="16"/>
  <c r="K481" i="16"/>
  <c r="J481" i="16"/>
  <c r="I481" i="16"/>
  <c r="BW480" i="16"/>
  <c r="BX480" i="16" s="1"/>
  <c r="BU480" i="16"/>
  <c r="BM480" i="16"/>
  <c r="BE480" i="16"/>
  <c r="R480" i="16"/>
  <c r="Q480" i="16"/>
  <c r="P480" i="16"/>
  <c r="O480" i="16"/>
  <c r="L480" i="16"/>
  <c r="K480" i="16"/>
  <c r="J480" i="16"/>
  <c r="I480" i="16"/>
  <c r="BW479" i="16"/>
  <c r="BX479" i="16" s="1"/>
  <c r="BU479" i="16"/>
  <c r="BM479" i="16"/>
  <c r="BE479" i="16"/>
  <c r="R479" i="16"/>
  <c r="Q479" i="16"/>
  <c r="P479" i="16"/>
  <c r="O479" i="16"/>
  <c r="L479" i="16"/>
  <c r="K479" i="16"/>
  <c r="J479" i="16"/>
  <c r="I479" i="16"/>
  <c r="BW478" i="16"/>
  <c r="BX478" i="16" s="1"/>
  <c r="BU478" i="16"/>
  <c r="BM478" i="16"/>
  <c r="BE478" i="16"/>
  <c r="R478" i="16"/>
  <c r="Q478" i="16"/>
  <c r="P478" i="16"/>
  <c r="O478" i="16"/>
  <c r="L478" i="16"/>
  <c r="K478" i="16"/>
  <c r="J478" i="16"/>
  <c r="I478" i="16"/>
  <c r="BW477" i="16"/>
  <c r="BX477" i="16" s="1"/>
  <c r="BU477" i="16"/>
  <c r="BM477" i="16"/>
  <c r="BE477" i="16"/>
  <c r="R477" i="16"/>
  <c r="Q477" i="16"/>
  <c r="P477" i="16"/>
  <c r="O477" i="16"/>
  <c r="L477" i="16"/>
  <c r="K477" i="16"/>
  <c r="J477" i="16"/>
  <c r="I477" i="16"/>
  <c r="BW476" i="16"/>
  <c r="BX476" i="16" s="1"/>
  <c r="BU476" i="16"/>
  <c r="BM476" i="16"/>
  <c r="BE476" i="16"/>
  <c r="R476" i="16"/>
  <c r="Q476" i="16"/>
  <c r="P476" i="16"/>
  <c r="O476" i="16"/>
  <c r="L476" i="16"/>
  <c r="K476" i="16"/>
  <c r="J476" i="16"/>
  <c r="I476" i="16"/>
  <c r="BW475" i="16"/>
  <c r="BX475" i="16" s="1"/>
  <c r="BU475" i="16"/>
  <c r="BM475" i="16"/>
  <c r="BE475" i="16"/>
  <c r="R475" i="16"/>
  <c r="Q475" i="16"/>
  <c r="P475" i="16"/>
  <c r="O475" i="16"/>
  <c r="L475" i="16"/>
  <c r="K475" i="16"/>
  <c r="J475" i="16"/>
  <c r="I475" i="16"/>
  <c r="BT474" i="16"/>
  <c r="BS474" i="16"/>
  <c r="BR474" i="16"/>
  <c r="BQ474" i="16"/>
  <c r="BP474" i="16"/>
  <c r="BO474" i="16"/>
  <c r="BN474" i="16"/>
  <c r="BU474" i="16" s="1"/>
  <c r="BM474" i="16"/>
  <c r="BD474" i="16"/>
  <c r="BC474" i="16"/>
  <c r="BB474" i="16"/>
  <c r="BA474" i="16"/>
  <c r="AZ474" i="16"/>
  <c r="AY474" i="16"/>
  <c r="AX474" i="16"/>
  <c r="BE474" i="16" s="1"/>
  <c r="AB474" i="16"/>
  <c r="Z474" i="16"/>
  <c r="X474" i="16"/>
  <c r="V474" i="16"/>
  <c r="BU473" i="16"/>
  <c r="BM473" i="16"/>
  <c r="BE473" i="16"/>
  <c r="BW472" i="16"/>
  <c r="BX472" i="16" s="1"/>
  <c r="BU472" i="16"/>
  <c r="BM472" i="16"/>
  <c r="BE472" i="16"/>
  <c r="R472" i="16"/>
  <c r="Q472" i="16"/>
  <c r="P472" i="16"/>
  <c r="O472" i="16"/>
  <c r="M472" i="16"/>
  <c r="L472" i="16"/>
  <c r="K472" i="16"/>
  <c r="J472" i="16"/>
  <c r="I472" i="16"/>
  <c r="BW471" i="16"/>
  <c r="BX471" i="16" s="1"/>
  <c r="BU471" i="16"/>
  <c r="BM471" i="16"/>
  <c r="BE471" i="16"/>
  <c r="R471" i="16"/>
  <c r="Q471" i="16"/>
  <c r="P471" i="16"/>
  <c r="O471" i="16"/>
  <c r="M471" i="16"/>
  <c r="L471" i="16"/>
  <c r="K471" i="16"/>
  <c r="J471" i="16"/>
  <c r="I471" i="16"/>
  <c r="BW470" i="16"/>
  <c r="BX470" i="16" s="1"/>
  <c r="BU470" i="16"/>
  <c r="BM470" i="16"/>
  <c r="BE470" i="16"/>
  <c r="R470" i="16"/>
  <c r="Q470" i="16"/>
  <c r="P470" i="16"/>
  <c r="O470" i="16"/>
  <c r="M470" i="16"/>
  <c r="L470" i="16"/>
  <c r="K470" i="16"/>
  <c r="J470" i="16"/>
  <c r="I470" i="16"/>
  <c r="BW469" i="16"/>
  <c r="BX469" i="16" s="1"/>
  <c r="BU469" i="16"/>
  <c r="BM469" i="16"/>
  <c r="BE469" i="16"/>
  <c r="R469" i="16"/>
  <c r="Q469" i="16"/>
  <c r="P469" i="16"/>
  <c r="O469" i="16"/>
  <c r="M469" i="16"/>
  <c r="L469" i="16"/>
  <c r="K469" i="16"/>
  <c r="J469" i="16"/>
  <c r="I469" i="16"/>
  <c r="BW468" i="16"/>
  <c r="BX468" i="16" s="1"/>
  <c r="BU468" i="16"/>
  <c r="BM468" i="16"/>
  <c r="BE468" i="16"/>
  <c r="R468" i="16"/>
  <c r="Q468" i="16"/>
  <c r="P468" i="16"/>
  <c r="O468" i="16"/>
  <c r="M468" i="16"/>
  <c r="L468" i="16"/>
  <c r="K468" i="16"/>
  <c r="J468" i="16"/>
  <c r="I468" i="16"/>
  <c r="BW467" i="16"/>
  <c r="BX467" i="16" s="1"/>
  <c r="BU467" i="16"/>
  <c r="BM467" i="16"/>
  <c r="BE467" i="16"/>
  <c r="R467" i="16"/>
  <c r="Q467" i="16"/>
  <c r="P467" i="16"/>
  <c r="O467" i="16"/>
  <c r="M467" i="16"/>
  <c r="L467" i="16"/>
  <c r="K467" i="16"/>
  <c r="J467" i="16"/>
  <c r="I467" i="16"/>
  <c r="BW466" i="16"/>
  <c r="BX466" i="16" s="1"/>
  <c r="BU466" i="16"/>
  <c r="BM466" i="16"/>
  <c r="BE466" i="16"/>
  <c r="R466" i="16"/>
  <c r="Q466" i="16"/>
  <c r="P466" i="16"/>
  <c r="O466" i="16"/>
  <c r="M466" i="16"/>
  <c r="L466" i="16"/>
  <c r="K466" i="16"/>
  <c r="J466" i="16"/>
  <c r="I466" i="16"/>
  <c r="BW465" i="16"/>
  <c r="BX465" i="16" s="1"/>
  <c r="BU465" i="16"/>
  <c r="BM465" i="16"/>
  <c r="BE465" i="16"/>
  <c r="R465" i="16"/>
  <c r="Q465" i="16"/>
  <c r="P465" i="16"/>
  <c r="O465" i="16"/>
  <c r="M465" i="16"/>
  <c r="L465" i="16"/>
  <c r="K465" i="16"/>
  <c r="J465" i="16"/>
  <c r="I465" i="16"/>
  <c r="BW464" i="16"/>
  <c r="BX464" i="16" s="1"/>
  <c r="BU464" i="16"/>
  <c r="BM464" i="16"/>
  <c r="BE464" i="16"/>
  <c r="R464" i="16"/>
  <c r="Q464" i="16"/>
  <c r="P464" i="16"/>
  <c r="O464" i="16"/>
  <c r="M464" i="16"/>
  <c r="L464" i="16"/>
  <c r="K464" i="16"/>
  <c r="J464" i="16"/>
  <c r="I464" i="16"/>
  <c r="BW463" i="16"/>
  <c r="BX463" i="16" s="1"/>
  <c r="BU463" i="16"/>
  <c r="BM463" i="16"/>
  <c r="BE463" i="16"/>
  <c r="R463" i="16"/>
  <c r="Q463" i="16"/>
  <c r="P463" i="16"/>
  <c r="O463" i="16"/>
  <c r="M463" i="16"/>
  <c r="L463" i="16"/>
  <c r="K463" i="16"/>
  <c r="J463" i="16"/>
  <c r="I463" i="16"/>
  <c r="BW462" i="16"/>
  <c r="BX462" i="16" s="1"/>
  <c r="BU462" i="16"/>
  <c r="BM462" i="16"/>
  <c r="BE462" i="16"/>
  <c r="R462" i="16"/>
  <c r="Q462" i="16"/>
  <c r="P462" i="16"/>
  <c r="O462" i="16"/>
  <c r="M462" i="16"/>
  <c r="L462" i="16"/>
  <c r="K462" i="16"/>
  <c r="J462" i="16"/>
  <c r="I462" i="16"/>
  <c r="BW461" i="16"/>
  <c r="BX461" i="16" s="1"/>
  <c r="BU461" i="16"/>
  <c r="BM461" i="16"/>
  <c r="BE461" i="16"/>
  <c r="R461" i="16"/>
  <c r="Q461" i="16"/>
  <c r="P461" i="16"/>
  <c r="O461" i="16"/>
  <c r="M461" i="16"/>
  <c r="L461" i="16"/>
  <c r="K461" i="16"/>
  <c r="J461" i="16"/>
  <c r="I461" i="16"/>
  <c r="BW460" i="16"/>
  <c r="BX460" i="16" s="1"/>
  <c r="BU460" i="16"/>
  <c r="BM460" i="16"/>
  <c r="BE460" i="16"/>
  <c r="R460" i="16"/>
  <c r="Q460" i="16"/>
  <c r="P460" i="16"/>
  <c r="O460" i="16"/>
  <c r="M460" i="16"/>
  <c r="L460" i="16"/>
  <c r="K460" i="16"/>
  <c r="J460" i="16"/>
  <c r="I460" i="16"/>
  <c r="BW459" i="16"/>
  <c r="BX459" i="16" s="1"/>
  <c r="BU459" i="16"/>
  <c r="BM459" i="16"/>
  <c r="BE459" i="16"/>
  <c r="R459" i="16"/>
  <c r="Q459" i="16"/>
  <c r="P459" i="16"/>
  <c r="O459" i="16"/>
  <c r="M459" i="16"/>
  <c r="L459" i="16"/>
  <c r="K459" i="16"/>
  <c r="J459" i="16"/>
  <c r="I459" i="16"/>
  <c r="BW458" i="16"/>
  <c r="BX458" i="16" s="1"/>
  <c r="BU458" i="16"/>
  <c r="BM458" i="16"/>
  <c r="BE458" i="16"/>
  <c r="R458" i="16"/>
  <c r="Q458" i="16"/>
  <c r="P458" i="16"/>
  <c r="O458" i="16"/>
  <c r="M458" i="16"/>
  <c r="L458" i="16"/>
  <c r="K458" i="16"/>
  <c r="J458" i="16"/>
  <c r="I458" i="16"/>
  <c r="BW457" i="16"/>
  <c r="BX457" i="16" s="1"/>
  <c r="BU457" i="16"/>
  <c r="BM457" i="16"/>
  <c r="BE457" i="16"/>
  <c r="R457" i="16"/>
  <c r="Q457" i="16"/>
  <c r="P457" i="16"/>
  <c r="O457" i="16"/>
  <c r="M457" i="16"/>
  <c r="L457" i="16"/>
  <c r="K457" i="16"/>
  <c r="J457" i="16"/>
  <c r="I457" i="16"/>
  <c r="BW456" i="16"/>
  <c r="BX456" i="16" s="1"/>
  <c r="BU456" i="16"/>
  <c r="BM456" i="16"/>
  <c r="BE456" i="16"/>
  <c r="R456" i="16"/>
  <c r="Q456" i="16"/>
  <c r="P456" i="16"/>
  <c r="O456" i="16"/>
  <c r="M456" i="16"/>
  <c r="L456" i="16"/>
  <c r="K456" i="16"/>
  <c r="J456" i="16"/>
  <c r="I456" i="16"/>
  <c r="BW455" i="16"/>
  <c r="BX455" i="16" s="1"/>
  <c r="BU455" i="16"/>
  <c r="BM455" i="16"/>
  <c r="BE455" i="16"/>
  <c r="R455" i="16"/>
  <c r="Q455" i="16"/>
  <c r="P455" i="16"/>
  <c r="O455" i="16"/>
  <c r="M455" i="16"/>
  <c r="L455" i="16"/>
  <c r="K455" i="16"/>
  <c r="J455" i="16"/>
  <c r="I455" i="16"/>
  <c r="BW454" i="16"/>
  <c r="BX454" i="16" s="1"/>
  <c r="BU454" i="16"/>
  <c r="BM454" i="16"/>
  <c r="BE454" i="16"/>
  <c r="R454" i="16"/>
  <c r="Q454" i="16"/>
  <c r="P454" i="16"/>
  <c r="O454" i="16"/>
  <c r="M454" i="16"/>
  <c r="L454" i="16"/>
  <c r="K454" i="16"/>
  <c r="J454" i="16"/>
  <c r="I454" i="16"/>
  <c r="BW453" i="16"/>
  <c r="BX453" i="16" s="1"/>
  <c r="BU453" i="16"/>
  <c r="BM453" i="16"/>
  <c r="BE453" i="16"/>
  <c r="R453" i="16"/>
  <c r="Q453" i="16"/>
  <c r="P453" i="16"/>
  <c r="O453" i="16"/>
  <c r="M453" i="16"/>
  <c r="L453" i="16"/>
  <c r="K453" i="16"/>
  <c r="J453" i="16"/>
  <c r="I453" i="16"/>
  <c r="BW452" i="16"/>
  <c r="BX452" i="16" s="1"/>
  <c r="BU452" i="16"/>
  <c r="BM452" i="16"/>
  <c r="BE452" i="16"/>
  <c r="R452" i="16"/>
  <c r="Q452" i="16"/>
  <c r="P452" i="16"/>
  <c r="O452" i="16"/>
  <c r="M452" i="16"/>
  <c r="L452" i="16"/>
  <c r="K452" i="16"/>
  <c r="J452" i="16"/>
  <c r="I452" i="16"/>
  <c r="BW451" i="16"/>
  <c r="BX451" i="16" s="1"/>
  <c r="BU451" i="16"/>
  <c r="BM451" i="16"/>
  <c r="BE451" i="16"/>
  <c r="R451" i="16"/>
  <c r="Q451" i="16"/>
  <c r="P451" i="16"/>
  <c r="O451" i="16"/>
  <c r="M451" i="16"/>
  <c r="L451" i="16"/>
  <c r="K451" i="16"/>
  <c r="J451" i="16"/>
  <c r="I451" i="16"/>
  <c r="BW450" i="16"/>
  <c r="BX450" i="16" s="1"/>
  <c r="BU450" i="16"/>
  <c r="BM450" i="16"/>
  <c r="BE450" i="16"/>
  <c r="R450" i="16"/>
  <c r="Q450" i="16"/>
  <c r="P450" i="16"/>
  <c r="O450" i="16"/>
  <c r="M450" i="16"/>
  <c r="L450" i="16"/>
  <c r="K450" i="16"/>
  <c r="J450" i="16"/>
  <c r="I450" i="16"/>
  <c r="BW449" i="16"/>
  <c r="BX449" i="16" s="1"/>
  <c r="BU449" i="16"/>
  <c r="BM449" i="16"/>
  <c r="BE449" i="16"/>
  <c r="R449" i="16"/>
  <c r="Q449" i="16"/>
  <c r="P449" i="16"/>
  <c r="O449" i="16"/>
  <c r="M449" i="16"/>
  <c r="L449" i="16"/>
  <c r="K449" i="16"/>
  <c r="J449" i="16"/>
  <c r="I449" i="16"/>
  <c r="BW448" i="16"/>
  <c r="BX448" i="16" s="1"/>
  <c r="BU448" i="16"/>
  <c r="BM448" i="16"/>
  <c r="BE448" i="16"/>
  <c r="R448" i="16"/>
  <c r="Q448" i="16"/>
  <c r="P448" i="16"/>
  <c r="O448" i="16"/>
  <c r="M448" i="16"/>
  <c r="L448" i="16"/>
  <c r="K448" i="16"/>
  <c r="J448" i="16"/>
  <c r="I448" i="16"/>
  <c r="BW447" i="16"/>
  <c r="BX447" i="16" s="1"/>
  <c r="BU447" i="16"/>
  <c r="BM447" i="16"/>
  <c r="BE447" i="16"/>
  <c r="R447" i="16"/>
  <c r="Q447" i="16"/>
  <c r="P447" i="16"/>
  <c r="O447" i="16"/>
  <c r="M447" i="16"/>
  <c r="L447" i="16"/>
  <c r="K447" i="16"/>
  <c r="J447" i="16"/>
  <c r="I447" i="16"/>
  <c r="BW446" i="16"/>
  <c r="BX446" i="16" s="1"/>
  <c r="BU446" i="16"/>
  <c r="BM446" i="16"/>
  <c r="BE446" i="16"/>
  <c r="R446" i="16"/>
  <c r="Q446" i="16"/>
  <c r="P446" i="16"/>
  <c r="O446" i="16"/>
  <c r="M446" i="16"/>
  <c r="L446" i="16"/>
  <c r="K446" i="16"/>
  <c r="J446" i="16"/>
  <c r="I446" i="16"/>
  <c r="BW445" i="16"/>
  <c r="BX445" i="16" s="1"/>
  <c r="BU445" i="16"/>
  <c r="BM445" i="16"/>
  <c r="BE445" i="16"/>
  <c r="R445" i="16"/>
  <c r="Q445" i="16"/>
  <c r="P445" i="16"/>
  <c r="O445" i="16"/>
  <c r="M445" i="16"/>
  <c r="L445" i="16"/>
  <c r="K445" i="16"/>
  <c r="J445" i="16"/>
  <c r="I445" i="16"/>
  <c r="BW444" i="16"/>
  <c r="BX444" i="16" s="1"/>
  <c r="BU444" i="16"/>
  <c r="BM444" i="16"/>
  <c r="BE444" i="16"/>
  <c r="R444" i="16"/>
  <c r="Q444" i="16"/>
  <c r="P444" i="16"/>
  <c r="O444" i="16"/>
  <c r="M444" i="16"/>
  <c r="L444" i="16"/>
  <c r="K444" i="16"/>
  <c r="J444" i="16"/>
  <c r="I444" i="16"/>
  <c r="BW443" i="16"/>
  <c r="BX443" i="16" s="1"/>
  <c r="BU443" i="16"/>
  <c r="BM443" i="16"/>
  <c r="BE443" i="16"/>
  <c r="R443" i="16"/>
  <c r="Q443" i="16"/>
  <c r="P443" i="16"/>
  <c r="O443" i="16"/>
  <c r="M443" i="16"/>
  <c r="L443" i="16"/>
  <c r="K443" i="16"/>
  <c r="J443" i="16"/>
  <c r="I443" i="16"/>
  <c r="BW442" i="16"/>
  <c r="BX442" i="16" s="1"/>
  <c r="BU442" i="16"/>
  <c r="BM442" i="16"/>
  <c r="BE442" i="16"/>
  <c r="R442" i="16"/>
  <c r="Q442" i="16"/>
  <c r="P442" i="16"/>
  <c r="O442" i="16"/>
  <c r="M442" i="16"/>
  <c r="L442" i="16"/>
  <c r="K442" i="16"/>
  <c r="J442" i="16"/>
  <c r="I442" i="16"/>
  <c r="BU441" i="16"/>
  <c r="BM441" i="16"/>
  <c r="BE441" i="16"/>
  <c r="R441" i="16"/>
  <c r="Q441" i="16"/>
  <c r="P441" i="16"/>
  <c r="O441" i="16"/>
  <c r="M441" i="16"/>
  <c r="L441" i="16"/>
  <c r="K441" i="16"/>
  <c r="J441" i="16"/>
  <c r="I441" i="16"/>
  <c r="BT440" i="16"/>
  <c r="BS440" i="16"/>
  <c r="BR440" i="16"/>
  <c r="BQ440" i="16"/>
  <c r="BP440" i="16"/>
  <c r="BO440" i="16"/>
  <c r="BN440" i="16"/>
  <c r="BU440" i="16" s="1"/>
  <c r="BM440" i="16"/>
  <c r="BD440" i="16"/>
  <c r="BC440" i="16"/>
  <c r="BB440" i="16"/>
  <c r="BA440" i="16"/>
  <c r="AZ440" i="16"/>
  <c r="AY440" i="16"/>
  <c r="AX440" i="16"/>
  <c r="BE440" i="16" s="1"/>
  <c r="AB440" i="16"/>
  <c r="Z440" i="16"/>
  <c r="X440" i="16"/>
  <c r="V440" i="16"/>
  <c r="BU439" i="16"/>
  <c r="BM439" i="16"/>
  <c r="BE439" i="16"/>
  <c r="BU438" i="16"/>
  <c r="BM438" i="16"/>
  <c r="BE438" i="16"/>
  <c r="BW437" i="16"/>
  <c r="BX437" i="16" s="1"/>
  <c r="BU437" i="16"/>
  <c r="BM437" i="16"/>
  <c r="BE437" i="16"/>
  <c r="R437" i="16"/>
  <c r="Q437" i="16"/>
  <c r="P437" i="16"/>
  <c r="O437" i="16"/>
  <c r="M437" i="16"/>
  <c r="L437" i="16"/>
  <c r="K437" i="16"/>
  <c r="J437" i="16"/>
  <c r="I437" i="16"/>
  <c r="BW436" i="16"/>
  <c r="BU436" i="16"/>
  <c r="BM436" i="16"/>
  <c r="BE436" i="16"/>
  <c r="R436" i="16"/>
  <c r="Q436" i="16"/>
  <c r="P436" i="16"/>
  <c r="O436" i="16"/>
  <c r="M436" i="16"/>
  <c r="L436" i="16"/>
  <c r="K436" i="16"/>
  <c r="J436" i="16"/>
  <c r="I436" i="16"/>
  <c r="BW435" i="16"/>
  <c r="BX435" i="16" s="1"/>
  <c r="BU435" i="16"/>
  <c r="BM435" i="16"/>
  <c r="BE435" i="16"/>
  <c r="R435" i="16"/>
  <c r="Q435" i="16"/>
  <c r="P435" i="16"/>
  <c r="O435" i="16"/>
  <c r="M435" i="16"/>
  <c r="L435" i="16"/>
  <c r="K435" i="16"/>
  <c r="J435" i="16"/>
  <c r="I435" i="16"/>
  <c r="BW434" i="16"/>
  <c r="BX434" i="16" s="1"/>
  <c r="BU434" i="16"/>
  <c r="BM434" i="16"/>
  <c r="BE434" i="16"/>
  <c r="R434" i="16"/>
  <c r="Q434" i="16"/>
  <c r="P434" i="16"/>
  <c r="O434" i="16"/>
  <c r="M434" i="16"/>
  <c r="L434" i="16"/>
  <c r="K434" i="16"/>
  <c r="J434" i="16"/>
  <c r="I434" i="16"/>
  <c r="BW433" i="16"/>
  <c r="BX433" i="16" s="1"/>
  <c r="BU433" i="16"/>
  <c r="BM433" i="16"/>
  <c r="BE433" i="16"/>
  <c r="R433" i="16"/>
  <c r="Q433" i="16"/>
  <c r="P433" i="16"/>
  <c r="O433" i="16"/>
  <c r="M433" i="16"/>
  <c r="L433" i="16"/>
  <c r="K433" i="16"/>
  <c r="J433" i="16"/>
  <c r="I433" i="16"/>
  <c r="BW432" i="16"/>
  <c r="BX432" i="16" s="1"/>
  <c r="BU432" i="16"/>
  <c r="BM432" i="16"/>
  <c r="BE432" i="16"/>
  <c r="R432" i="16"/>
  <c r="Q432" i="16"/>
  <c r="P432" i="16"/>
  <c r="O432" i="16"/>
  <c r="M432" i="16"/>
  <c r="L432" i="16"/>
  <c r="K432" i="16"/>
  <c r="J432" i="16"/>
  <c r="I432" i="16"/>
  <c r="BW431" i="16"/>
  <c r="BX431" i="16" s="1"/>
  <c r="BU431" i="16"/>
  <c r="BM431" i="16"/>
  <c r="BE431" i="16"/>
  <c r="R431" i="16"/>
  <c r="Q431" i="16"/>
  <c r="P431" i="16"/>
  <c r="O431" i="16"/>
  <c r="M431" i="16"/>
  <c r="L431" i="16"/>
  <c r="K431" i="16"/>
  <c r="J431" i="16"/>
  <c r="I431" i="16"/>
  <c r="BW430" i="16"/>
  <c r="BX430" i="16" s="1"/>
  <c r="BU430" i="16"/>
  <c r="BM430" i="16"/>
  <c r="BE430" i="16"/>
  <c r="R430" i="16"/>
  <c r="Q430" i="16"/>
  <c r="O430" i="16"/>
  <c r="M430" i="16"/>
  <c r="L430" i="16"/>
  <c r="K430" i="16"/>
  <c r="J430" i="16"/>
  <c r="I430" i="16"/>
  <c r="BW429" i="16"/>
  <c r="BX429" i="16" s="1"/>
  <c r="BU429" i="16"/>
  <c r="BM429" i="16"/>
  <c r="BE429" i="16"/>
  <c r="R429" i="16"/>
  <c r="Q429" i="16"/>
  <c r="P429" i="16"/>
  <c r="O429" i="16"/>
  <c r="M429" i="16"/>
  <c r="L429" i="16"/>
  <c r="K429" i="16"/>
  <c r="J429" i="16"/>
  <c r="I429" i="16"/>
  <c r="BW428" i="16"/>
  <c r="BX428" i="16" s="1"/>
  <c r="BU428" i="16"/>
  <c r="BM428" i="16"/>
  <c r="BE428" i="16"/>
  <c r="R428" i="16"/>
  <c r="Q428" i="16"/>
  <c r="P428" i="16"/>
  <c r="O428" i="16"/>
  <c r="M428" i="16"/>
  <c r="L428" i="16"/>
  <c r="K428" i="16"/>
  <c r="J428" i="16"/>
  <c r="I428" i="16"/>
  <c r="BW427" i="16"/>
  <c r="BX427" i="16" s="1"/>
  <c r="BU427" i="16"/>
  <c r="BM427" i="16"/>
  <c r="BE427" i="16"/>
  <c r="R427" i="16"/>
  <c r="Q427" i="16"/>
  <c r="P427" i="16"/>
  <c r="O427" i="16"/>
  <c r="M427" i="16"/>
  <c r="L427" i="16"/>
  <c r="K427" i="16"/>
  <c r="J427" i="16"/>
  <c r="I427" i="16"/>
  <c r="BW426" i="16"/>
  <c r="BX426" i="16" s="1"/>
  <c r="BU426" i="16"/>
  <c r="BM426" i="16"/>
  <c r="BE426" i="16"/>
  <c r="R426" i="16"/>
  <c r="Q426" i="16"/>
  <c r="P426" i="16"/>
  <c r="O426" i="16"/>
  <c r="M426" i="16"/>
  <c r="L426" i="16"/>
  <c r="K426" i="16"/>
  <c r="J426" i="16"/>
  <c r="I426" i="16"/>
  <c r="BW425" i="16"/>
  <c r="BX425" i="16" s="1"/>
  <c r="BU425" i="16"/>
  <c r="BM425" i="16"/>
  <c r="BE425" i="16"/>
  <c r="R425" i="16"/>
  <c r="Q425" i="16"/>
  <c r="P425" i="16"/>
  <c r="O425" i="16"/>
  <c r="M425" i="16"/>
  <c r="L425" i="16"/>
  <c r="K425" i="16"/>
  <c r="J425" i="16"/>
  <c r="I425" i="16"/>
  <c r="BT424" i="16"/>
  <c r="BS424" i="16"/>
  <c r="BR424" i="16"/>
  <c r="BQ424" i="16"/>
  <c r="BP424" i="16"/>
  <c r="BO424" i="16"/>
  <c r="BN424" i="16"/>
  <c r="BU424" i="16" s="1"/>
  <c r="BM424" i="16"/>
  <c r="BD424" i="16"/>
  <c r="BC424" i="16"/>
  <c r="BB424" i="16"/>
  <c r="BA424" i="16"/>
  <c r="AZ424" i="16"/>
  <c r="AY424" i="16"/>
  <c r="AX424" i="16"/>
  <c r="BE424" i="16" s="1"/>
  <c r="AB424" i="16"/>
  <c r="Z424" i="16"/>
  <c r="X424" i="16"/>
  <c r="V424" i="16"/>
  <c r="BW422" i="16"/>
  <c r="BX422" i="16" s="1"/>
  <c r="BU422" i="16"/>
  <c r="BM422" i="16"/>
  <c r="BE422" i="16"/>
  <c r="R422" i="16"/>
  <c r="Q422" i="16"/>
  <c r="P422" i="16"/>
  <c r="O422" i="16"/>
  <c r="M422" i="16"/>
  <c r="L422" i="16"/>
  <c r="K422" i="16"/>
  <c r="J422" i="16"/>
  <c r="I422" i="16"/>
  <c r="BW421" i="16"/>
  <c r="BX421" i="16" s="1"/>
  <c r="BU421" i="16"/>
  <c r="BM421" i="16"/>
  <c r="BE421" i="16"/>
  <c r="R421" i="16"/>
  <c r="Q421" i="16"/>
  <c r="P421" i="16"/>
  <c r="O421" i="16"/>
  <c r="M421" i="16"/>
  <c r="L421" i="16"/>
  <c r="K421" i="16"/>
  <c r="J421" i="16"/>
  <c r="I421" i="16"/>
  <c r="BW420" i="16"/>
  <c r="AA420" i="16" s="1"/>
  <c r="CB420" i="16" s="1"/>
  <c r="CG420" i="16" s="1"/>
  <c r="BU420" i="16"/>
  <c r="BM420" i="16"/>
  <c r="BE420" i="16"/>
  <c r="R420" i="16"/>
  <c r="Q420" i="16"/>
  <c r="P420" i="16"/>
  <c r="O420" i="16"/>
  <c r="M420" i="16"/>
  <c r="L420" i="16"/>
  <c r="K420" i="16"/>
  <c r="J420" i="16"/>
  <c r="I420" i="16"/>
  <c r="BW419" i="16"/>
  <c r="BX419" i="16" s="1"/>
  <c r="BU419" i="16"/>
  <c r="BM419" i="16"/>
  <c r="BE419" i="16"/>
  <c r="R419" i="16"/>
  <c r="Q419" i="16"/>
  <c r="P419" i="16"/>
  <c r="O419" i="16"/>
  <c r="M419" i="16"/>
  <c r="L419" i="16"/>
  <c r="K419" i="16"/>
  <c r="J419" i="16"/>
  <c r="I419" i="16"/>
  <c r="BW418" i="16"/>
  <c r="BX418" i="16" s="1"/>
  <c r="BU418" i="16"/>
  <c r="BM418" i="16"/>
  <c r="BE418" i="16"/>
  <c r="R418" i="16"/>
  <c r="Q418" i="16"/>
  <c r="P418" i="16"/>
  <c r="O418" i="16"/>
  <c r="M418" i="16"/>
  <c r="L418" i="16"/>
  <c r="K418" i="16"/>
  <c r="J418" i="16"/>
  <c r="I418" i="16"/>
  <c r="BW417" i="16"/>
  <c r="BX417" i="16" s="1"/>
  <c r="BU417" i="16"/>
  <c r="BM417" i="16"/>
  <c r="BE417" i="16"/>
  <c r="R417" i="16"/>
  <c r="Q417" i="16"/>
  <c r="P417" i="16"/>
  <c r="O417" i="16"/>
  <c r="M417" i="16"/>
  <c r="L417" i="16"/>
  <c r="K417" i="16"/>
  <c r="J417" i="16"/>
  <c r="I417" i="16"/>
  <c r="BW416" i="16"/>
  <c r="BX416" i="16" s="1"/>
  <c r="BU416" i="16"/>
  <c r="BM416" i="16"/>
  <c r="BE416" i="16"/>
  <c r="R416" i="16"/>
  <c r="Q416" i="16"/>
  <c r="P416" i="16"/>
  <c r="O416" i="16"/>
  <c r="M416" i="16"/>
  <c r="L416" i="16"/>
  <c r="K416" i="16"/>
  <c r="J416" i="16"/>
  <c r="I416" i="16"/>
  <c r="BW415" i="16"/>
  <c r="BX415" i="16" s="1"/>
  <c r="BU415" i="16"/>
  <c r="BM415" i="16"/>
  <c r="BE415" i="16"/>
  <c r="R415" i="16"/>
  <c r="Q415" i="16"/>
  <c r="P415" i="16"/>
  <c r="O415" i="16"/>
  <c r="M415" i="16"/>
  <c r="L415" i="16"/>
  <c r="K415" i="16"/>
  <c r="J415" i="16"/>
  <c r="I415" i="16"/>
  <c r="BW414" i="16"/>
  <c r="BX414" i="16" s="1"/>
  <c r="BU414" i="16"/>
  <c r="BM414" i="16"/>
  <c r="BE414" i="16"/>
  <c r="R414" i="16"/>
  <c r="Q414" i="16"/>
  <c r="P414" i="16"/>
  <c r="O414" i="16"/>
  <c r="M414" i="16"/>
  <c r="L414" i="16"/>
  <c r="K414" i="16"/>
  <c r="J414" i="16"/>
  <c r="I414" i="16"/>
  <c r="BW413" i="16"/>
  <c r="BX413" i="16" s="1"/>
  <c r="BU413" i="16"/>
  <c r="BM413" i="16"/>
  <c r="BE413" i="16"/>
  <c r="R413" i="16"/>
  <c r="Q413" i="16"/>
  <c r="P413" i="16"/>
  <c r="O413" i="16"/>
  <c r="M413" i="16"/>
  <c r="L413" i="16"/>
  <c r="K413" i="16"/>
  <c r="J413" i="16"/>
  <c r="I413" i="16"/>
  <c r="BW412" i="16"/>
  <c r="BX412" i="16" s="1"/>
  <c r="BU412" i="16"/>
  <c r="BM412" i="16"/>
  <c r="BE412" i="16"/>
  <c r="R412" i="16"/>
  <c r="Q412" i="16"/>
  <c r="P412" i="16"/>
  <c r="O412" i="16"/>
  <c r="M412" i="16"/>
  <c r="L412" i="16"/>
  <c r="K412" i="16"/>
  <c r="J412" i="16"/>
  <c r="I412" i="16"/>
  <c r="BW411" i="16"/>
  <c r="BX411" i="16" s="1"/>
  <c r="BU411" i="16"/>
  <c r="BM411" i="16"/>
  <c r="BE411" i="16"/>
  <c r="R411" i="16"/>
  <c r="Q411" i="16"/>
  <c r="P411" i="16"/>
  <c r="O411" i="16"/>
  <c r="M411" i="16"/>
  <c r="L411" i="16"/>
  <c r="K411" i="16"/>
  <c r="J411" i="16"/>
  <c r="I411" i="16"/>
  <c r="BW410" i="16"/>
  <c r="BX410" i="16" s="1"/>
  <c r="BU410" i="16"/>
  <c r="BM410" i="16"/>
  <c r="BE410" i="16"/>
  <c r="R410" i="16"/>
  <c r="Q410" i="16"/>
  <c r="P410" i="16"/>
  <c r="O410" i="16"/>
  <c r="M410" i="16"/>
  <c r="L410" i="16"/>
  <c r="K410" i="16"/>
  <c r="J410" i="16"/>
  <c r="I410" i="16"/>
  <c r="BW409" i="16"/>
  <c r="BX409" i="16" s="1"/>
  <c r="BU409" i="16"/>
  <c r="BM409" i="16"/>
  <c r="BE409" i="16"/>
  <c r="R409" i="16"/>
  <c r="Q409" i="16"/>
  <c r="P409" i="16"/>
  <c r="O409" i="16"/>
  <c r="M409" i="16"/>
  <c r="L409" i="16"/>
  <c r="K409" i="16"/>
  <c r="J409" i="16"/>
  <c r="I409" i="16"/>
  <c r="BT408" i="16"/>
  <c r="BS408" i="16"/>
  <c r="BR408" i="16"/>
  <c r="BQ408" i="16"/>
  <c r="BP408" i="16"/>
  <c r="BO408" i="16"/>
  <c r="BN408" i="16"/>
  <c r="BU408" i="16" s="1"/>
  <c r="BM408" i="16"/>
  <c r="BD408" i="16"/>
  <c r="BC408" i="16"/>
  <c r="BB408" i="16"/>
  <c r="BA408" i="16"/>
  <c r="AZ408" i="16"/>
  <c r="AY408" i="16"/>
  <c r="AX408" i="16"/>
  <c r="BE408" i="16" s="1"/>
  <c r="AB408" i="16"/>
  <c r="Z408" i="16"/>
  <c r="X408" i="16"/>
  <c r="V408" i="16"/>
  <c r="BU407" i="16"/>
  <c r="BM407" i="16"/>
  <c r="BE407" i="16"/>
  <c r="BW406" i="16"/>
  <c r="BX406" i="16" s="1"/>
  <c r="BU406" i="16"/>
  <c r="BM406" i="16"/>
  <c r="BE406" i="16"/>
  <c r="R406" i="16"/>
  <c r="Q406" i="16"/>
  <c r="P406" i="16"/>
  <c r="O406" i="16"/>
  <c r="M406" i="16"/>
  <c r="L406" i="16"/>
  <c r="K406" i="16"/>
  <c r="J406" i="16"/>
  <c r="I406" i="16"/>
  <c r="BW405" i="16"/>
  <c r="BX405" i="16" s="1"/>
  <c r="BU405" i="16"/>
  <c r="BM405" i="16"/>
  <c r="BE405" i="16"/>
  <c r="R405" i="16"/>
  <c r="Q405" i="16"/>
  <c r="P405" i="16"/>
  <c r="O405" i="16"/>
  <c r="M405" i="16"/>
  <c r="L405" i="16"/>
  <c r="K405" i="16"/>
  <c r="J405" i="16"/>
  <c r="I405" i="16"/>
  <c r="BW404" i="16"/>
  <c r="BX404" i="16" s="1"/>
  <c r="BU404" i="16"/>
  <c r="BM404" i="16"/>
  <c r="R404" i="16"/>
  <c r="Q404" i="16"/>
  <c r="P404" i="16"/>
  <c r="O404" i="16"/>
  <c r="M404" i="16"/>
  <c r="L404" i="16"/>
  <c r="K404" i="16"/>
  <c r="J404" i="16"/>
  <c r="I404" i="16"/>
  <c r="BW403" i="16"/>
  <c r="BX403" i="16" s="1"/>
  <c r="BU403" i="16"/>
  <c r="BM403" i="16"/>
  <c r="BE403" i="16"/>
  <c r="R403" i="16"/>
  <c r="Q403" i="16"/>
  <c r="P403" i="16"/>
  <c r="O403" i="16"/>
  <c r="M403" i="16"/>
  <c r="L403" i="16"/>
  <c r="K403" i="16"/>
  <c r="J403" i="16"/>
  <c r="I403" i="16"/>
  <c r="BW402" i="16"/>
  <c r="BX402" i="16" s="1"/>
  <c r="BU402" i="16"/>
  <c r="BM402" i="16"/>
  <c r="BE402" i="16"/>
  <c r="R402" i="16"/>
  <c r="Q402" i="16"/>
  <c r="P402" i="16"/>
  <c r="O402" i="16"/>
  <c r="M402" i="16"/>
  <c r="L402" i="16"/>
  <c r="K402" i="16"/>
  <c r="J402" i="16"/>
  <c r="I402" i="16"/>
  <c r="BW401" i="16"/>
  <c r="BX401" i="16" s="1"/>
  <c r="BU401" i="16"/>
  <c r="BM401" i="16"/>
  <c r="BE401" i="16"/>
  <c r="R401" i="16"/>
  <c r="Q401" i="16"/>
  <c r="P401" i="16"/>
  <c r="O401" i="16"/>
  <c r="M401" i="16"/>
  <c r="L401" i="16"/>
  <c r="K401" i="16"/>
  <c r="J401" i="16"/>
  <c r="I401" i="16"/>
  <c r="BW400" i="16"/>
  <c r="BX400" i="16" s="1"/>
  <c r="BU400" i="16"/>
  <c r="BM400" i="16"/>
  <c r="BE400" i="16"/>
  <c r="R400" i="16"/>
  <c r="Q400" i="16"/>
  <c r="P400" i="16"/>
  <c r="O400" i="16"/>
  <c r="M400" i="16"/>
  <c r="L400" i="16"/>
  <c r="K400" i="16"/>
  <c r="J400" i="16"/>
  <c r="I400" i="16"/>
  <c r="BW399" i="16"/>
  <c r="BX399" i="16" s="1"/>
  <c r="BU399" i="16"/>
  <c r="BM399" i="16"/>
  <c r="BE399" i="16"/>
  <c r="R399" i="16"/>
  <c r="Q399" i="16"/>
  <c r="P399" i="16"/>
  <c r="O399" i="16"/>
  <c r="M399" i="16"/>
  <c r="L399" i="16"/>
  <c r="K399" i="16"/>
  <c r="J399" i="16"/>
  <c r="I399" i="16"/>
  <c r="BW398" i="16"/>
  <c r="BX398" i="16" s="1"/>
  <c r="BU398" i="16"/>
  <c r="BM398" i="16"/>
  <c r="BE398" i="16"/>
  <c r="R398" i="16"/>
  <c r="Q398" i="16"/>
  <c r="P398" i="16"/>
  <c r="O398" i="16"/>
  <c r="M398" i="16"/>
  <c r="L398" i="16"/>
  <c r="K398" i="16"/>
  <c r="J398" i="16"/>
  <c r="I398" i="16"/>
  <c r="BW397" i="16"/>
  <c r="BX397" i="16" s="1"/>
  <c r="BU397" i="16"/>
  <c r="BM397" i="16"/>
  <c r="BE397" i="16"/>
  <c r="R397" i="16"/>
  <c r="Q397" i="16"/>
  <c r="P397" i="16"/>
  <c r="O397" i="16"/>
  <c r="M397" i="16"/>
  <c r="L397" i="16"/>
  <c r="K397" i="16"/>
  <c r="J397" i="16"/>
  <c r="I397" i="16"/>
  <c r="BW396" i="16"/>
  <c r="BX396" i="16" s="1"/>
  <c r="BU396" i="16"/>
  <c r="BM396" i="16"/>
  <c r="BE396" i="16"/>
  <c r="R396" i="16"/>
  <c r="Q396" i="16"/>
  <c r="P396" i="16"/>
  <c r="O396" i="16"/>
  <c r="M396" i="16"/>
  <c r="L396" i="16"/>
  <c r="K396" i="16"/>
  <c r="J396" i="16"/>
  <c r="I396" i="16"/>
  <c r="BT395" i="16"/>
  <c r="BS395" i="16"/>
  <c r="BR395" i="16"/>
  <c r="BQ395" i="16"/>
  <c r="BP395" i="16"/>
  <c r="BO395" i="16"/>
  <c r="BN395" i="16"/>
  <c r="BU395" i="16" s="1"/>
  <c r="BM395" i="16"/>
  <c r="BD395" i="16"/>
  <c r="BC395" i="16"/>
  <c r="BB395" i="16"/>
  <c r="BA395" i="16"/>
  <c r="AZ395" i="16"/>
  <c r="AY395" i="16"/>
  <c r="AX395" i="16"/>
  <c r="BE395" i="16"/>
  <c r="AB395" i="16"/>
  <c r="Z395" i="16"/>
  <c r="X395" i="16"/>
  <c r="V395" i="16"/>
  <c r="BU394" i="16"/>
  <c r="BM394" i="16"/>
  <c r="BE394" i="16"/>
  <c r="BW393" i="16"/>
  <c r="BX393" i="16" s="1"/>
  <c r="BU393" i="16"/>
  <c r="BM393" i="16"/>
  <c r="BE393" i="16"/>
  <c r="R393" i="16"/>
  <c r="Q393" i="16"/>
  <c r="P393" i="16"/>
  <c r="O393" i="16"/>
  <c r="M393" i="16"/>
  <c r="L393" i="16"/>
  <c r="K393" i="16"/>
  <c r="J393" i="16"/>
  <c r="I393" i="16"/>
  <c r="BW392" i="16"/>
  <c r="BX392" i="16" s="1"/>
  <c r="BU392" i="16"/>
  <c r="BM392" i="16"/>
  <c r="BE392" i="16"/>
  <c r="R392" i="16"/>
  <c r="Q392" i="16"/>
  <c r="P392" i="16"/>
  <c r="O392" i="16"/>
  <c r="M392" i="16"/>
  <c r="L392" i="16"/>
  <c r="K392" i="16"/>
  <c r="J392" i="16"/>
  <c r="I392" i="16"/>
  <c r="BW391" i="16"/>
  <c r="BX391" i="16" s="1"/>
  <c r="BU391" i="16"/>
  <c r="BM391" i="16"/>
  <c r="BE391" i="16"/>
  <c r="R391" i="16"/>
  <c r="Q391" i="16"/>
  <c r="P391" i="16"/>
  <c r="O391" i="16"/>
  <c r="M391" i="16"/>
  <c r="L391" i="16"/>
  <c r="K391" i="16"/>
  <c r="J391" i="16"/>
  <c r="I391" i="16"/>
  <c r="BW390" i="16"/>
  <c r="BU390" i="16"/>
  <c r="BM390" i="16"/>
  <c r="BE390" i="16"/>
  <c r="R390" i="16"/>
  <c r="Q390" i="16"/>
  <c r="P390" i="16"/>
  <c r="O390" i="16"/>
  <c r="M390" i="16"/>
  <c r="L390" i="16"/>
  <c r="K390" i="16"/>
  <c r="J390" i="16"/>
  <c r="I390" i="16"/>
  <c r="BW389" i="16"/>
  <c r="BU389" i="16"/>
  <c r="BM389" i="16"/>
  <c r="BE389" i="16"/>
  <c r="R389" i="16"/>
  <c r="Q389" i="16"/>
  <c r="P389" i="16"/>
  <c r="O389" i="16"/>
  <c r="M389" i="16"/>
  <c r="L389" i="16"/>
  <c r="K389" i="16"/>
  <c r="J389" i="16"/>
  <c r="I389" i="16"/>
  <c r="BW388" i="16"/>
  <c r="AA388" i="16" s="1"/>
  <c r="CB388" i="16" s="1"/>
  <c r="CG388" i="16" s="1"/>
  <c r="BU388" i="16"/>
  <c r="BM388" i="16"/>
  <c r="BE388" i="16"/>
  <c r="R388" i="16"/>
  <c r="Q388" i="16"/>
  <c r="O388" i="16"/>
  <c r="M388" i="16"/>
  <c r="L388" i="16"/>
  <c r="K388" i="16"/>
  <c r="J388" i="16"/>
  <c r="I388" i="16"/>
  <c r="BW387" i="16"/>
  <c r="BX387" i="16" s="1"/>
  <c r="BU387" i="16"/>
  <c r="BM387" i="16"/>
  <c r="BE387" i="16"/>
  <c r="R387" i="16"/>
  <c r="Q387" i="16"/>
  <c r="P387" i="16"/>
  <c r="O387" i="16"/>
  <c r="M387" i="16"/>
  <c r="L387" i="16"/>
  <c r="K387" i="16"/>
  <c r="J387" i="16"/>
  <c r="I387" i="16"/>
  <c r="BW386" i="16"/>
  <c r="BX386" i="16" s="1"/>
  <c r="BU386" i="16"/>
  <c r="BM386" i="16"/>
  <c r="BE386" i="16"/>
  <c r="R386" i="16"/>
  <c r="Q386" i="16"/>
  <c r="P386" i="16"/>
  <c r="O386" i="16"/>
  <c r="M386" i="16"/>
  <c r="L386" i="16"/>
  <c r="K386" i="16"/>
  <c r="J386" i="16"/>
  <c r="I386" i="16"/>
  <c r="BW385" i="16"/>
  <c r="BX385" i="16" s="1"/>
  <c r="BU385" i="16"/>
  <c r="BM385" i="16"/>
  <c r="BE385" i="16"/>
  <c r="R385" i="16"/>
  <c r="Q385" i="16"/>
  <c r="P385" i="16"/>
  <c r="O385" i="16"/>
  <c r="M385" i="16"/>
  <c r="L385" i="16"/>
  <c r="K385" i="16"/>
  <c r="J385" i="16"/>
  <c r="I385" i="16"/>
  <c r="BW384" i="16"/>
  <c r="BX384" i="16" s="1"/>
  <c r="BU384" i="16"/>
  <c r="BM384" i="16"/>
  <c r="BE384" i="16"/>
  <c r="R384" i="16"/>
  <c r="Q384" i="16"/>
  <c r="P384" i="16"/>
  <c r="O384" i="16"/>
  <c r="M384" i="16"/>
  <c r="L384" i="16"/>
  <c r="K384" i="16"/>
  <c r="J384" i="16"/>
  <c r="I384" i="16"/>
  <c r="BW383" i="16"/>
  <c r="BX383" i="16" s="1"/>
  <c r="BU383" i="16"/>
  <c r="BM383" i="16"/>
  <c r="BE383" i="16"/>
  <c r="R383" i="16"/>
  <c r="Q383" i="16"/>
  <c r="O383" i="16"/>
  <c r="M383" i="16"/>
  <c r="L383" i="16"/>
  <c r="K383" i="16"/>
  <c r="J383" i="16"/>
  <c r="I383" i="16"/>
  <c r="BW382" i="16"/>
  <c r="BX382" i="16" s="1"/>
  <c r="BU382" i="16"/>
  <c r="BM382" i="16"/>
  <c r="BE382" i="16"/>
  <c r="R382" i="16"/>
  <c r="Q382" i="16"/>
  <c r="P382" i="16"/>
  <c r="O382" i="16"/>
  <c r="M382" i="16"/>
  <c r="L382" i="16"/>
  <c r="K382" i="16"/>
  <c r="J382" i="16"/>
  <c r="I382" i="16"/>
  <c r="BW381" i="16"/>
  <c r="BX381" i="16" s="1"/>
  <c r="BU381" i="16"/>
  <c r="BM381" i="16"/>
  <c r="BE381" i="16"/>
  <c r="R381" i="16"/>
  <c r="Q381" i="16"/>
  <c r="P381" i="16"/>
  <c r="O381" i="16"/>
  <c r="M381" i="16"/>
  <c r="L381" i="16"/>
  <c r="K381" i="16"/>
  <c r="J381" i="16"/>
  <c r="I381" i="16"/>
  <c r="BW380" i="16"/>
  <c r="BX380" i="16" s="1"/>
  <c r="BU380" i="16"/>
  <c r="BM380" i="16"/>
  <c r="BE380" i="16"/>
  <c r="R380" i="16"/>
  <c r="Q380" i="16"/>
  <c r="P380" i="16"/>
  <c r="O380" i="16"/>
  <c r="M380" i="16"/>
  <c r="L380" i="16"/>
  <c r="K380" i="16"/>
  <c r="J380" i="16"/>
  <c r="I380" i="16"/>
  <c r="BW379" i="16"/>
  <c r="BU379" i="16"/>
  <c r="BM379" i="16"/>
  <c r="BE379" i="16"/>
  <c r="R379" i="16"/>
  <c r="Q379" i="16"/>
  <c r="P379" i="16"/>
  <c r="O379" i="16"/>
  <c r="M379" i="16"/>
  <c r="L379" i="16"/>
  <c r="K379" i="16"/>
  <c r="J379" i="16"/>
  <c r="I379" i="16"/>
  <c r="BW378" i="16"/>
  <c r="BX378" i="16" s="1"/>
  <c r="BU378" i="16"/>
  <c r="BM378" i="16"/>
  <c r="BE378" i="16"/>
  <c r="R378" i="16"/>
  <c r="Q378" i="16"/>
  <c r="P378" i="16"/>
  <c r="O378" i="16"/>
  <c r="M378" i="16"/>
  <c r="L378" i="16"/>
  <c r="K378" i="16"/>
  <c r="J378" i="16"/>
  <c r="I378" i="16"/>
  <c r="BW377" i="16"/>
  <c r="BX377" i="16" s="1"/>
  <c r="BU377" i="16"/>
  <c r="BM377" i="16"/>
  <c r="BE377" i="16"/>
  <c r="R377" i="16"/>
  <c r="Q377" i="16"/>
  <c r="P377" i="16"/>
  <c r="O377" i="16"/>
  <c r="M377" i="16"/>
  <c r="L377" i="16"/>
  <c r="K377" i="16"/>
  <c r="J377" i="16"/>
  <c r="I377" i="16"/>
  <c r="BW376" i="16"/>
  <c r="BU376" i="16"/>
  <c r="BM376" i="16"/>
  <c r="BE376" i="16"/>
  <c r="R376" i="16"/>
  <c r="Q376" i="16"/>
  <c r="P376" i="16"/>
  <c r="O376" i="16"/>
  <c r="M376" i="16"/>
  <c r="L376" i="16"/>
  <c r="K376" i="16"/>
  <c r="J376" i="16"/>
  <c r="I376" i="16"/>
  <c r="BW375" i="16"/>
  <c r="BU375" i="16"/>
  <c r="BM375" i="16"/>
  <c r="BE375" i="16"/>
  <c r="R375" i="16"/>
  <c r="Q375" i="16"/>
  <c r="P375" i="16"/>
  <c r="O375" i="16"/>
  <c r="M375" i="16"/>
  <c r="L375" i="16"/>
  <c r="K375" i="16"/>
  <c r="J375" i="16"/>
  <c r="I375" i="16"/>
  <c r="BW374" i="16"/>
  <c r="AA374" i="16" s="1"/>
  <c r="CB374" i="16" s="1"/>
  <c r="CG374" i="16" s="1"/>
  <c r="BU374" i="16"/>
  <c r="BM374" i="16"/>
  <c r="BE374" i="16"/>
  <c r="R374" i="16"/>
  <c r="Q374" i="16"/>
  <c r="P374" i="16"/>
  <c r="O374" i="16"/>
  <c r="M374" i="16"/>
  <c r="L374" i="16"/>
  <c r="K374" i="16"/>
  <c r="J374" i="16"/>
  <c r="I374" i="16"/>
  <c r="BW373" i="16"/>
  <c r="BX373" i="16" s="1"/>
  <c r="BU373" i="16"/>
  <c r="BM373" i="16"/>
  <c r="BE373" i="16"/>
  <c r="R373" i="16"/>
  <c r="Q373" i="16"/>
  <c r="P373" i="16"/>
  <c r="O373" i="16"/>
  <c r="M373" i="16"/>
  <c r="L373" i="16"/>
  <c r="K373" i="16"/>
  <c r="J373" i="16"/>
  <c r="I373" i="16"/>
  <c r="BW372" i="16"/>
  <c r="BU372" i="16"/>
  <c r="BM372" i="16"/>
  <c r="BE372" i="16"/>
  <c r="R372" i="16"/>
  <c r="Q372" i="16"/>
  <c r="P372" i="16"/>
  <c r="O372" i="16"/>
  <c r="M372" i="16"/>
  <c r="L372" i="16"/>
  <c r="K372" i="16"/>
  <c r="J372" i="16"/>
  <c r="I372" i="16"/>
  <c r="BW371" i="16"/>
  <c r="BU371" i="16"/>
  <c r="BM371" i="16"/>
  <c r="BE371" i="16"/>
  <c r="R371" i="16"/>
  <c r="Q371" i="16"/>
  <c r="P371" i="16"/>
  <c r="O371" i="16"/>
  <c r="M371" i="16"/>
  <c r="L371" i="16"/>
  <c r="K371" i="16"/>
  <c r="J371" i="16"/>
  <c r="I371" i="16"/>
  <c r="BW370" i="16"/>
  <c r="BX370" i="16" s="1"/>
  <c r="BU370" i="16"/>
  <c r="BM370" i="16"/>
  <c r="BE370" i="16"/>
  <c r="R370" i="16"/>
  <c r="Q370" i="16"/>
  <c r="P370" i="16"/>
  <c r="O370" i="16"/>
  <c r="M370" i="16"/>
  <c r="L370" i="16"/>
  <c r="K370" i="16"/>
  <c r="J370" i="16"/>
  <c r="I370" i="16"/>
  <c r="BW369" i="16"/>
  <c r="BX369" i="16" s="1"/>
  <c r="BU369" i="16"/>
  <c r="BM369" i="16"/>
  <c r="BE369" i="16"/>
  <c r="R369" i="16"/>
  <c r="Q369" i="16"/>
  <c r="P369" i="16"/>
  <c r="O369" i="16"/>
  <c r="M369" i="16"/>
  <c r="L369" i="16"/>
  <c r="K369" i="16"/>
  <c r="J369" i="16"/>
  <c r="I369" i="16"/>
  <c r="BT368" i="16"/>
  <c r="BS368" i="16"/>
  <c r="BR368" i="16"/>
  <c r="BQ368" i="16"/>
  <c r="BP368" i="16"/>
  <c r="BO368" i="16"/>
  <c r="BN368" i="16"/>
  <c r="BU368" i="16"/>
  <c r="BM368" i="16"/>
  <c r="BD368" i="16"/>
  <c r="BC368" i="16"/>
  <c r="BB368" i="16"/>
  <c r="BA368" i="16"/>
  <c r="AZ368" i="16"/>
  <c r="AY368" i="16"/>
  <c r="AX368" i="16"/>
  <c r="BE368" i="16" s="1"/>
  <c r="AB368" i="16"/>
  <c r="Z368" i="16"/>
  <c r="X368" i="16"/>
  <c r="V368" i="16"/>
  <c r="BU367" i="16"/>
  <c r="BM367" i="16"/>
  <c r="BE367" i="16"/>
  <c r="BW366" i="16"/>
  <c r="BX366" i="16" s="1"/>
  <c r="BU366" i="16"/>
  <c r="BM366" i="16"/>
  <c r="BE366" i="16"/>
  <c r="R366" i="16"/>
  <c r="Q366" i="16"/>
  <c r="P366" i="16"/>
  <c r="O366" i="16"/>
  <c r="M366" i="16"/>
  <c r="L366" i="16"/>
  <c r="K366" i="16"/>
  <c r="J366" i="16"/>
  <c r="I366" i="16"/>
  <c r="BW365" i="16"/>
  <c r="BX365" i="16" s="1"/>
  <c r="BU365" i="16"/>
  <c r="BM365" i="16"/>
  <c r="BE365" i="16"/>
  <c r="R365" i="16"/>
  <c r="Q365" i="16"/>
  <c r="P365" i="16"/>
  <c r="O365" i="16"/>
  <c r="M365" i="16"/>
  <c r="L365" i="16"/>
  <c r="K365" i="16"/>
  <c r="J365" i="16"/>
  <c r="I365" i="16"/>
  <c r="BW364" i="16"/>
  <c r="BX364" i="16" s="1"/>
  <c r="BU364" i="16"/>
  <c r="BM364" i="16"/>
  <c r="BE364" i="16"/>
  <c r="R364" i="16"/>
  <c r="Q364" i="16"/>
  <c r="P364" i="16"/>
  <c r="O364" i="16"/>
  <c r="M364" i="16"/>
  <c r="L364" i="16"/>
  <c r="K364" i="16"/>
  <c r="J364" i="16"/>
  <c r="I364" i="16"/>
  <c r="BW363" i="16"/>
  <c r="BX363" i="16" s="1"/>
  <c r="BU363" i="16"/>
  <c r="BM363" i="16"/>
  <c r="BE363" i="16"/>
  <c r="R363" i="16"/>
  <c r="Q363" i="16"/>
  <c r="P363" i="16"/>
  <c r="O363" i="16"/>
  <c r="M363" i="16"/>
  <c r="L363" i="16"/>
  <c r="K363" i="16"/>
  <c r="J363" i="16"/>
  <c r="I363" i="16"/>
  <c r="BW362" i="16"/>
  <c r="BX362" i="16" s="1"/>
  <c r="BU362" i="16"/>
  <c r="BM362" i="16"/>
  <c r="BE362" i="16"/>
  <c r="R362" i="16"/>
  <c r="Q362" i="16"/>
  <c r="P362" i="16"/>
  <c r="O362" i="16"/>
  <c r="M362" i="16"/>
  <c r="L362" i="16"/>
  <c r="K362" i="16"/>
  <c r="J362" i="16"/>
  <c r="I362" i="16"/>
  <c r="BW361" i="16"/>
  <c r="BX361" i="16" s="1"/>
  <c r="BU361" i="16"/>
  <c r="BM361" i="16"/>
  <c r="BE361" i="16"/>
  <c r="R361" i="16"/>
  <c r="Q361" i="16"/>
  <c r="O361" i="16"/>
  <c r="M361" i="16"/>
  <c r="L361" i="16"/>
  <c r="K361" i="16"/>
  <c r="J361" i="16"/>
  <c r="I361" i="16"/>
  <c r="BW360" i="16"/>
  <c r="BX360" i="16" s="1"/>
  <c r="BU360" i="16"/>
  <c r="BM360" i="16"/>
  <c r="BE360" i="16"/>
  <c r="R360" i="16"/>
  <c r="Q360" i="16"/>
  <c r="P360" i="16"/>
  <c r="O360" i="16"/>
  <c r="M360" i="16"/>
  <c r="L360" i="16"/>
  <c r="K360" i="16"/>
  <c r="J360" i="16"/>
  <c r="I360" i="16"/>
  <c r="BW359" i="16"/>
  <c r="AA359" i="16" s="1"/>
  <c r="CB359" i="16" s="1"/>
  <c r="CG359" i="16" s="1"/>
  <c r="BU359" i="16"/>
  <c r="BM359" i="16"/>
  <c r="BE359" i="16"/>
  <c r="R359" i="16"/>
  <c r="Q359" i="16"/>
  <c r="P359" i="16"/>
  <c r="O359" i="16"/>
  <c r="M359" i="16"/>
  <c r="L359" i="16"/>
  <c r="K359" i="16"/>
  <c r="J359" i="16"/>
  <c r="I359" i="16"/>
  <c r="BW358" i="16"/>
  <c r="BX358" i="16" s="1"/>
  <c r="BU358" i="16"/>
  <c r="BM358" i="16"/>
  <c r="BE358" i="16"/>
  <c r="R358" i="16"/>
  <c r="Q358" i="16"/>
  <c r="P358" i="16"/>
  <c r="O358" i="16"/>
  <c r="M358" i="16"/>
  <c r="L358" i="16"/>
  <c r="K358" i="16"/>
  <c r="J358" i="16"/>
  <c r="I358" i="16"/>
  <c r="BT357" i="16"/>
  <c r="BS357" i="16"/>
  <c r="BR357" i="16"/>
  <c r="BQ357" i="16"/>
  <c r="BP357" i="16"/>
  <c r="BO357" i="16"/>
  <c r="BN357" i="16"/>
  <c r="BU357" i="16" s="1"/>
  <c r="BM357" i="16"/>
  <c r="BD357" i="16"/>
  <c r="BC357" i="16"/>
  <c r="BB357" i="16"/>
  <c r="BA357" i="16"/>
  <c r="AZ357" i="16"/>
  <c r="AY357" i="16"/>
  <c r="AX357" i="16"/>
  <c r="BE357" i="16" s="1"/>
  <c r="AB357" i="16"/>
  <c r="Z357" i="16"/>
  <c r="X357" i="16"/>
  <c r="V357" i="16"/>
  <c r="BU356" i="16"/>
  <c r="BM356" i="16"/>
  <c r="BE356" i="16"/>
  <c r="BU355" i="16"/>
  <c r="BM355" i="16"/>
  <c r="BE355" i="16"/>
  <c r="BW354" i="16"/>
  <c r="BX354" i="16" s="1"/>
  <c r="BU354" i="16"/>
  <c r="BM354" i="16"/>
  <c r="BE354" i="16"/>
  <c r="R354" i="16"/>
  <c r="Q354" i="16"/>
  <c r="P354" i="16"/>
  <c r="O354" i="16"/>
  <c r="M354" i="16"/>
  <c r="L354" i="16"/>
  <c r="K354" i="16"/>
  <c r="J354" i="16"/>
  <c r="I354" i="16"/>
  <c r="BN353" i="16"/>
  <c r="BU353" i="16" s="1"/>
  <c r="BM353" i="16"/>
  <c r="AX353" i="16"/>
  <c r="BE353" i="16" s="1"/>
  <c r="BW352" i="16"/>
  <c r="BX352" i="16" s="1"/>
  <c r="BU352" i="16"/>
  <c r="BE352" i="16"/>
  <c r="R352" i="16"/>
  <c r="Q352" i="16"/>
  <c r="P352" i="16"/>
  <c r="O352" i="16"/>
  <c r="M352" i="16"/>
  <c r="L352" i="16"/>
  <c r="K352" i="16"/>
  <c r="J352" i="16"/>
  <c r="I352" i="16"/>
  <c r="BU351" i="16"/>
  <c r="BE351" i="16"/>
  <c r="R351" i="16"/>
  <c r="Q351" i="16"/>
  <c r="P351" i="16"/>
  <c r="O351" i="16"/>
  <c r="M351" i="16"/>
  <c r="L351" i="16"/>
  <c r="K351" i="16"/>
  <c r="J351" i="16"/>
  <c r="I351" i="16"/>
  <c r="BT350" i="16"/>
  <c r="BS350" i="16"/>
  <c r="BR350" i="16"/>
  <c r="BQ350" i="16"/>
  <c r="BP350" i="16"/>
  <c r="BO350" i="16"/>
  <c r="BN350" i="16"/>
  <c r="BU350" i="16" s="1"/>
  <c r="BM350" i="16"/>
  <c r="BD350" i="16"/>
  <c r="BC350" i="16"/>
  <c r="BB350" i="16"/>
  <c r="BA350" i="16"/>
  <c r="AZ350" i="16"/>
  <c r="AY350" i="16"/>
  <c r="AX350" i="16"/>
  <c r="BE350" i="16" s="1"/>
  <c r="AB350" i="16"/>
  <c r="Z350" i="16"/>
  <c r="X350" i="16"/>
  <c r="V350" i="16"/>
  <c r="BU349" i="16"/>
  <c r="BM349" i="16"/>
  <c r="BE349" i="16"/>
  <c r="BW348" i="16"/>
  <c r="AA348" i="16" s="1"/>
  <c r="CB348" i="16" s="1"/>
  <c r="CG348" i="16" s="1"/>
  <c r="BU348" i="16"/>
  <c r="BE348" i="16"/>
  <c r="R348" i="16"/>
  <c r="Q348" i="16"/>
  <c r="P348" i="16"/>
  <c r="O348" i="16"/>
  <c r="M348" i="16"/>
  <c r="L348" i="16"/>
  <c r="K348" i="16"/>
  <c r="J348" i="16"/>
  <c r="I348" i="16"/>
  <c r="BW347" i="16"/>
  <c r="BX347" i="16" s="1"/>
  <c r="BU347" i="16"/>
  <c r="BE347" i="16"/>
  <c r="R347" i="16"/>
  <c r="Q347" i="16"/>
  <c r="P347" i="16"/>
  <c r="O347" i="16"/>
  <c r="M347" i="16"/>
  <c r="L347" i="16"/>
  <c r="K347" i="16"/>
  <c r="J347" i="16"/>
  <c r="I347" i="16"/>
  <c r="BW346" i="16"/>
  <c r="BX346" i="16" s="1"/>
  <c r="BU346" i="16"/>
  <c r="BE346" i="16"/>
  <c r="R346" i="16"/>
  <c r="Q346" i="16"/>
  <c r="P346" i="16"/>
  <c r="O346" i="16"/>
  <c r="M346" i="16"/>
  <c r="L346" i="16"/>
  <c r="K346" i="16"/>
  <c r="J346" i="16"/>
  <c r="I346" i="16"/>
  <c r="BU345" i="16"/>
  <c r="BE345" i="16"/>
  <c r="R345" i="16"/>
  <c r="Q345" i="16"/>
  <c r="P345" i="16"/>
  <c r="O345" i="16"/>
  <c r="M345" i="16"/>
  <c r="L345" i="16"/>
  <c r="K345" i="16"/>
  <c r="J345" i="16"/>
  <c r="I345" i="16"/>
  <c r="BW344" i="16"/>
  <c r="BU344" i="16"/>
  <c r="BE344" i="16"/>
  <c r="R344" i="16"/>
  <c r="Q344" i="16"/>
  <c r="P344" i="16"/>
  <c r="O344" i="16"/>
  <c r="M344" i="16"/>
  <c r="L344" i="16"/>
  <c r="K344" i="16"/>
  <c r="J344" i="16"/>
  <c r="I344" i="16"/>
  <c r="BU343" i="16"/>
  <c r="BE343" i="16"/>
  <c r="R343" i="16"/>
  <c r="Q343" i="16"/>
  <c r="P343" i="16"/>
  <c r="O343" i="16"/>
  <c r="M343" i="16"/>
  <c r="L343" i="16"/>
  <c r="K343" i="16"/>
  <c r="J343" i="16"/>
  <c r="I343" i="16"/>
  <c r="BU342" i="16"/>
  <c r="BE342" i="16"/>
  <c r="BW342" i="16"/>
  <c r="AA342" i="16" s="1"/>
  <c r="CB342" i="16" s="1"/>
  <c r="CG342" i="16" s="1"/>
  <c r="R342" i="16"/>
  <c r="Q342" i="16"/>
  <c r="P342" i="16"/>
  <c r="O342" i="16"/>
  <c r="M342" i="16"/>
  <c r="L342" i="16"/>
  <c r="K342" i="16"/>
  <c r="J342" i="16"/>
  <c r="I342" i="16"/>
  <c r="BW341" i="16"/>
  <c r="BX341" i="16" s="1"/>
  <c r="BU341" i="16"/>
  <c r="BE341" i="16"/>
  <c r="R341" i="16"/>
  <c r="Q341" i="16"/>
  <c r="P341" i="16"/>
  <c r="O341" i="16"/>
  <c r="M341" i="16"/>
  <c r="L341" i="16"/>
  <c r="K341" i="16"/>
  <c r="J341" i="16"/>
  <c r="I341" i="16"/>
  <c r="BW340" i="16"/>
  <c r="BX340" i="16" s="1"/>
  <c r="BU340" i="16"/>
  <c r="BE340" i="16"/>
  <c r="R340" i="16"/>
  <c r="Q340" i="16"/>
  <c r="P340" i="16"/>
  <c r="O340" i="16"/>
  <c r="M340" i="16"/>
  <c r="L340" i="16"/>
  <c r="K340" i="16"/>
  <c r="J340" i="16"/>
  <c r="I340" i="16"/>
  <c r="BW339" i="16"/>
  <c r="BX339" i="16" s="1"/>
  <c r="BU339" i="16"/>
  <c r="BE339" i="16"/>
  <c r="R339" i="16"/>
  <c r="Q339" i="16"/>
  <c r="P339" i="16"/>
  <c r="O339" i="16"/>
  <c r="M339" i="16"/>
  <c r="L339" i="16"/>
  <c r="K339" i="16"/>
  <c r="J339" i="16"/>
  <c r="I339" i="16"/>
  <c r="BW338" i="16"/>
  <c r="BX338" i="16" s="1"/>
  <c r="BU338" i="16"/>
  <c r="BM338" i="16"/>
  <c r="BE338" i="16"/>
  <c r="R338" i="16"/>
  <c r="Q338" i="16"/>
  <c r="P338" i="16"/>
  <c r="O338" i="16"/>
  <c r="M338" i="16"/>
  <c r="L338" i="16"/>
  <c r="K338" i="16"/>
  <c r="J338" i="16"/>
  <c r="I338" i="16"/>
  <c r="BW337" i="16"/>
  <c r="BX337" i="16" s="1"/>
  <c r="BU337" i="16"/>
  <c r="BM337" i="16"/>
  <c r="BE337" i="16"/>
  <c r="R337" i="16"/>
  <c r="Q337" i="16"/>
  <c r="P337" i="16"/>
  <c r="O337" i="16"/>
  <c r="M337" i="16"/>
  <c r="L337" i="16"/>
  <c r="K337" i="16"/>
  <c r="J337" i="16"/>
  <c r="I337" i="16"/>
  <c r="BW336" i="16"/>
  <c r="BX336" i="16" s="1"/>
  <c r="BU336" i="16"/>
  <c r="BM336" i="16"/>
  <c r="BE336" i="16"/>
  <c r="R336" i="16"/>
  <c r="Q336" i="16"/>
  <c r="P336" i="16"/>
  <c r="O336" i="16"/>
  <c r="M336" i="16"/>
  <c r="L336" i="16"/>
  <c r="K336" i="16"/>
  <c r="J336" i="16"/>
  <c r="I336" i="16"/>
  <c r="BW335" i="16"/>
  <c r="BX335" i="16" s="1"/>
  <c r="BU335" i="16"/>
  <c r="BM335" i="16"/>
  <c r="BE335" i="16"/>
  <c r="R335" i="16"/>
  <c r="Q335" i="16"/>
  <c r="P335" i="16"/>
  <c r="O335" i="16"/>
  <c r="M335" i="16"/>
  <c r="L335" i="16"/>
  <c r="K335" i="16"/>
  <c r="J335" i="16"/>
  <c r="I335" i="16"/>
  <c r="BW334" i="16"/>
  <c r="BX334" i="16" s="1"/>
  <c r="BU334" i="16"/>
  <c r="BM334" i="16"/>
  <c r="BE334" i="16"/>
  <c r="R334" i="16"/>
  <c r="Q334" i="16"/>
  <c r="P334" i="16"/>
  <c r="O334" i="16"/>
  <c r="M334" i="16"/>
  <c r="L334" i="16"/>
  <c r="K334" i="16"/>
  <c r="J334" i="16"/>
  <c r="I334" i="16"/>
  <c r="BW333" i="16"/>
  <c r="BX333" i="16" s="1"/>
  <c r="BU333" i="16"/>
  <c r="BM333" i="16"/>
  <c r="BE333" i="16"/>
  <c r="R333" i="16"/>
  <c r="Q333" i="16"/>
  <c r="P333" i="16"/>
  <c r="O333" i="16"/>
  <c r="M333" i="16"/>
  <c r="L333" i="16"/>
  <c r="K333" i="16"/>
  <c r="J333" i="16"/>
  <c r="I333" i="16"/>
  <c r="BW332" i="16"/>
  <c r="BX332" i="16" s="1"/>
  <c r="BU332" i="16"/>
  <c r="BM332" i="16"/>
  <c r="BE332" i="16"/>
  <c r="R332" i="16"/>
  <c r="Q332" i="16"/>
  <c r="P332" i="16"/>
  <c r="O332" i="16"/>
  <c r="M332" i="16"/>
  <c r="L332" i="16"/>
  <c r="K332" i="16"/>
  <c r="J332" i="16"/>
  <c r="I332" i="16"/>
  <c r="BW331" i="16"/>
  <c r="BX331" i="16" s="1"/>
  <c r="BU331" i="16"/>
  <c r="BM331" i="16"/>
  <c r="BE331" i="16"/>
  <c r="R331" i="16"/>
  <c r="Q331" i="16"/>
  <c r="P331" i="16"/>
  <c r="O331" i="16"/>
  <c r="M331" i="16"/>
  <c r="L331" i="16"/>
  <c r="K331" i="16"/>
  <c r="J331" i="16"/>
  <c r="I331" i="16"/>
  <c r="BW330" i="16"/>
  <c r="BX330" i="16" s="1"/>
  <c r="BU330" i="16"/>
  <c r="BM330" i="16"/>
  <c r="BE330" i="16"/>
  <c r="R330" i="16"/>
  <c r="Q330" i="16"/>
  <c r="P330" i="16"/>
  <c r="O330" i="16"/>
  <c r="M330" i="16"/>
  <c r="L330" i="16"/>
  <c r="K330" i="16"/>
  <c r="J330" i="16"/>
  <c r="I330" i="16"/>
  <c r="BW329" i="16"/>
  <c r="BX329" i="16" s="1"/>
  <c r="BU329" i="16"/>
  <c r="BM329" i="16"/>
  <c r="BE329" i="16"/>
  <c r="R329" i="16"/>
  <c r="Q329" i="16"/>
  <c r="P329" i="16"/>
  <c r="O329" i="16"/>
  <c r="M329" i="16"/>
  <c r="L329" i="16"/>
  <c r="K329" i="16"/>
  <c r="J329" i="16"/>
  <c r="I329" i="16"/>
  <c r="BW328" i="16"/>
  <c r="BX328" i="16" s="1"/>
  <c r="BU328" i="16"/>
  <c r="BM328" i="16"/>
  <c r="BE328" i="16"/>
  <c r="R328" i="16"/>
  <c r="Q328" i="16"/>
  <c r="P328" i="16"/>
  <c r="O328" i="16"/>
  <c r="M328" i="16"/>
  <c r="L328" i="16"/>
  <c r="K328" i="16"/>
  <c r="J328" i="16"/>
  <c r="I328" i="16"/>
  <c r="BT327" i="16"/>
  <c r="BS327" i="16"/>
  <c r="BR327" i="16"/>
  <c r="BQ327" i="16"/>
  <c r="BP327" i="16"/>
  <c r="BO327" i="16"/>
  <c r="BN327" i="16"/>
  <c r="BU327" i="16" s="1"/>
  <c r="BM327" i="16"/>
  <c r="BD327" i="16"/>
  <c r="BC327" i="16"/>
  <c r="BB327" i="16"/>
  <c r="BA327" i="16"/>
  <c r="AZ327" i="16"/>
  <c r="AY327" i="16"/>
  <c r="AX327" i="16"/>
  <c r="BE327" i="16" s="1"/>
  <c r="AB327" i="16"/>
  <c r="Z327" i="16"/>
  <c r="X327" i="16"/>
  <c r="V327" i="16"/>
  <c r="BU326" i="16"/>
  <c r="BM326" i="16"/>
  <c r="BE326" i="16"/>
  <c r="BW325" i="16"/>
  <c r="BX325" i="16" s="1"/>
  <c r="BU325" i="16"/>
  <c r="BE325" i="16"/>
  <c r="BW324" i="16"/>
  <c r="BX324" i="16" s="1"/>
  <c r="BU324" i="16"/>
  <c r="BE324" i="16"/>
  <c r="BW323" i="16"/>
  <c r="BX323" i="16" s="1"/>
  <c r="BU323" i="16"/>
  <c r="BE323" i="16"/>
  <c r="BW322" i="16"/>
  <c r="BX322" i="16" s="1"/>
  <c r="BU322" i="16"/>
  <c r="BE322" i="16"/>
  <c r="BW321" i="16"/>
  <c r="BX321" i="16" s="1"/>
  <c r="BU321" i="16"/>
  <c r="BE321" i="16"/>
  <c r="BW320" i="16"/>
  <c r="BX320" i="16" s="1"/>
  <c r="BU320" i="16"/>
  <c r="BE320" i="16"/>
  <c r="BW319" i="16"/>
  <c r="BX319" i="16" s="1"/>
  <c r="BU319" i="16"/>
  <c r="BE319" i="16"/>
  <c r="BW318" i="16"/>
  <c r="BX318" i="16" s="1"/>
  <c r="BU318" i="16"/>
  <c r="BE318" i="16"/>
  <c r="BW317" i="16"/>
  <c r="BX317" i="16" s="1"/>
  <c r="BU317" i="16"/>
  <c r="BW316" i="16"/>
  <c r="BX316" i="16" s="1"/>
  <c r="BU316" i="16"/>
  <c r="BW315" i="16"/>
  <c r="BX315" i="16" s="1"/>
  <c r="BU315" i="16"/>
  <c r="BE315" i="16"/>
  <c r="BW314" i="16"/>
  <c r="BX314" i="16" s="1"/>
  <c r="BU314" i="16"/>
  <c r="BE314" i="16"/>
  <c r="BW313" i="16"/>
  <c r="BX313" i="16" s="1"/>
  <c r="BU313" i="16"/>
  <c r="BE313" i="16"/>
  <c r="BW312" i="16"/>
  <c r="BX312" i="16" s="1"/>
  <c r="BU312" i="16"/>
  <c r="BE312" i="16"/>
  <c r="BW311" i="16"/>
  <c r="BX311" i="16" s="1"/>
  <c r="BU311" i="16"/>
  <c r="BE311" i="16"/>
  <c r="BW310" i="16"/>
  <c r="BX310" i="16" s="1"/>
  <c r="BU310" i="16"/>
  <c r="BE310" i="16"/>
  <c r="BW309" i="16"/>
  <c r="BX309" i="16" s="1"/>
  <c r="BU309" i="16"/>
  <c r="BE309" i="16"/>
  <c r="BW308" i="16"/>
  <c r="BX308" i="16" s="1"/>
  <c r="BU308" i="16"/>
  <c r="BE308" i="16"/>
  <c r="BU307" i="16"/>
  <c r="BE307" i="16"/>
  <c r="BW306" i="16"/>
  <c r="BX306" i="16" s="1"/>
  <c r="BU306" i="16"/>
  <c r="BE306" i="16"/>
  <c r="BW305" i="16"/>
  <c r="BX305" i="16" s="1"/>
  <c r="BU305" i="16"/>
  <c r="BE305" i="16"/>
  <c r="BU304" i="16"/>
  <c r="BE304" i="16"/>
  <c r="BW303" i="16"/>
  <c r="BX303" i="16" s="1"/>
  <c r="BU303" i="16"/>
  <c r="BE303" i="16"/>
  <c r="BU302" i="16"/>
  <c r="BE302" i="16"/>
  <c r="BU301" i="16"/>
  <c r="BE301" i="16"/>
  <c r="BW300" i="16"/>
  <c r="BX300" i="16" s="1"/>
  <c r="BU300" i="16"/>
  <c r="BE300" i="16"/>
  <c r="BW299" i="16"/>
  <c r="BX299" i="16" s="1"/>
  <c r="BU299" i="16"/>
  <c r="BE299" i="16"/>
  <c r="BW298" i="16"/>
  <c r="BX298" i="16" s="1"/>
  <c r="BU298" i="16"/>
  <c r="BE298" i="16"/>
  <c r="BW297" i="16"/>
  <c r="BX297" i="16" s="1"/>
  <c r="BU297" i="16"/>
  <c r="BE297" i="16"/>
  <c r="BW296" i="16"/>
  <c r="BX296" i="16" s="1"/>
  <c r="BU296" i="16"/>
  <c r="BE296" i="16"/>
  <c r="BW295" i="16"/>
  <c r="BX295" i="16" s="1"/>
  <c r="BU295" i="16"/>
  <c r="BE295" i="16"/>
  <c r="BW294" i="16"/>
  <c r="BX294" i="16" s="1"/>
  <c r="BU294" i="16"/>
  <c r="BE294" i="16"/>
  <c r="BW293" i="16"/>
  <c r="BX293" i="16" s="1"/>
  <c r="BU293" i="16"/>
  <c r="BE293" i="16"/>
  <c r="BT292" i="16"/>
  <c r="BS292" i="16"/>
  <c r="BR292" i="16"/>
  <c r="BQ292" i="16"/>
  <c r="BP292" i="16"/>
  <c r="BO292" i="16"/>
  <c r="BN292" i="16"/>
  <c r="BU292" i="16" s="1"/>
  <c r="BM292" i="16"/>
  <c r="BD292" i="16"/>
  <c r="BC292" i="16"/>
  <c r="BB292" i="16"/>
  <c r="BA292" i="16"/>
  <c r="AZ292" i="16"/>
  <c r="AY292" i="16"/>
  <c r="AX292" i="16"/>
  <c r="BE292" i="16" s="1"/>
  <c r="BU291" i="16"/>
  <c r="BM291" i="16"/>
  <c r="BE291" i="16"/>
  <c r="BW290" i="16"/>
  <c r="BX290" i="16" s="1"/>
  <c r="BU290" i="16"/>
  <c r="BM290" i="16"/>
  <c r="BE290" i="16"/>
  <c r="BW289" i="16"/>
  <c r="BX289" i="16" s="1"/>
  <c r="BU289" i="16"/>
  <c r="BM289" i="16"/>
  <c r="BE289" i="16"/>
  <c r="BV289" i="16"/>
  <c r="BW288" i="16"/>
  <c r="BX288" i="16" s="1"/>
  <c r="BU288" i="16"/>
  <c r="BM288" i="16"/>
  <c r="BE288" i="16"/>
  <c r="BW287" i="16"/>
  <c r="BX287" i="16" s="1"/>
  <c r="BU287" i="16"/>
  <c r="BM287" i="16"/>
  <c r="BE287" i="16"/>
  <c r="BW286" i="16"/>
  <c r="BT286" i="16"/>
  <c r="BS286" i="16"/>
  <c r="BR286" i="16"/>
  <c r="BQ286" i="16"/>
  <c r="BP286" i="16"/>
  <c r="BO286" i="16"/>
  <c r="BN286" i="16"/>
  <c r="BU286" i="16" s="1"/>
  <c r="BM286" i="16"/>
  <c r="BD286" i="16"/>
  <c r="BC286" i="16"/>
  <c r="BB286" i="16"/>
  <c r="BA286" i="16"/>
  <c r="AZ286" i="16"/>
  <c r="AY286" i="16"/>
  <c r="AX286" i="16"/>
  <c r="BE286" i="16" s="1"/>
  <c r="AN286" i="16"/>
  <c r="BW285" i="16"/>
  <c r="BX285" i="16" s="1"/>
  <c r="BU285" i="16"/>
  <c r="BM285" i="16"/>
  <c r="BE285" i="16"/>
  <c r="BW284" i="16"/>
  <c r="BX284" i="16" s="1"/>
  <c r="BU284" i="16"/>
  <c r="BM284" i="16"/>
  <c r="BE284" i="16"/>
  <c r="BW283" i="16"/>
  <c r="BX283" i="16" s="1"/>
  <c r="BU283" i="16"/>
  <c r="BM283" i="16"/>
  <c r="BE283" i="16"/>
  <c r="BW282" i="16"/>
  <c r="BX282" i="16" s="1"/>
  <c r="BU282" i="16"/>
  <c r="BM282" i="16"/>
  <c r="BE282" i="16"/>
  <c r="BW281" i="16"/>
  <c r="BX281" i="16" s="1"/>
  <c r="BU281" i="16"/>
  <c r="BM281" i="16"/>
  <c r="BE281" i="16"/>
  <c r="BW280" i="16"/>
  <c r="BX280" i="16" s="1"/>
  <c r="BU280" i="16"/>
  <c r="BM280" i="16"/>
  <c r="BE280" i="16"/>
  <c r="BW279" i="16"/>
  <c r="BX279" i="16" s="1"/>
  <c r="BU279" i="16"/>
  <c r="BM279" i="16"/>
  <c r="BE279" i="16"/>
  <c r="BW278" i="16"/>
  <c r="BX278" i="16" s="1"/>
  <c r="BU278" i="16"/>
  <c r="BM278" i="16"/>
  <c r="BE278" i="16"/>
  <c r="BW277" i="16"/>
  <c r="BX277" i="16" s="1"/>
  <c r="BU277" i="16"/>
  <c r="BM277" i="16"/>
  <c r="BE277" i="16"/>
  <c r="BW276" i="16"/>
  <c r="BX276" i="16" s="1"/>
  <c r="BU276" i="16"/>
  <c r="BM276" i="16"/>
  <c r="BE276" i="16"/>
  <c r="BW275" i="16"/>
  <c r="BX275" i="16" s="1"/>
  <c r="BU275" i="16"/>
  <c r="BM275" i="16"/>
  <c r="BE275" i="16"/>
  <c r="BW274" i="16"/>
  <c r="BX274" i="16" s="1"/>
  <c r="BU274" i="16"/>
  <c r="BM274" i="16"/>
  <c r="BE274" i="16"/>
  <c r="BT273" i="16"/>
  <c r="BS273" i="16"/>
  <c r="BR273" i="16"/>
  <c r="BQ273" i="16"/>
  <c r="BP273" i="16"/>
  <c r="BO273" i="16"/>
  <c r="BN273" i="16"/>
  <c r="BU273" i="16" s="1"/>
  <c r="BM273" i="16"/>
  <c r="BD273" i="16"/>
  <c r="BC273" i="16"/>
  <c r="BB273" i="16"/>
  <c r="BA273" i="16"/>
  <c r="AZ273" i="16"/>
  <c r="AY273" i="16"/>
  <c r="AX273" i="16"/>
  <c r="BE273" i="16" s="1"/>
  <c r="BW272" i="16"/>
  <c r="BX272" i="16" s="1"/>
  <c r="BU272" i="16"/>
  <c r="BM272" i="16"/>
  <c r="BE272" i="16"/>
  <c r="BW271" i="16"/>
  <c r="BX271" i="16" s="1"/>
  <c r="BU271" i="16"/>
  <c r="BM271" i="16"/>
  <c r="BE271" i="16"/>
  <c r="BW270" i="16"/>
  <c r="BX270" i="16" s="1"/>
  <c r="BU270" i="16"/>
  <c r="BM270" i="16"/>
  <c r="BE270" i="16"/>
  <c r="BW269" i="16"/>
  <c r="BX269" i="16" s="1"/>
  <c r="BU269" i="16"/>
  <c r="BM269" i="16"/>
  <c r="BE269" i="16"/>
  <c r="BW268" i="16"/>
  <c r="BX268" i="16" s="1"/>
  <c r="BU268" i="16"/>
  <c r="BM268" i="16"/>
  <c r="BE268" i="16"/>
  <c r="BW267" i="16"/>
  <c r="BX267" i="16" s="1"/>
  <c r="BU267" i="16"/>
  <c r="BM267" i="16"/>
  <c r="BE267" i="16"/>
  <c r="BW266" i="16"/>
  <c r="BX266" i="16" s="1"/>
  <c r="BU266" i="16"/>
  <c r="BM266" i="16"/>
  <c r="BE266" i="16"/>
  <c r="BW265" i="16"/>
  <c r="BX265" i="16" s="1"/>
  <c r="BU265" i="16"/>
  <c r="BM265" i="16"/>
  <c r="BE265" i="16"/>
  <c r="BW264" i="16"/>
  <c r="BX264" i="16" s="1"/>
  <c r="BU264" i="16"/>
  <c r="BM264" i="16"/>
  <c r="BE264" i="16"/>
  <c r="BW263" i="16"/>
  <c r="BX263" i="16" s="1"/>
  <c r="BU263" i="16"/>
  <c r="BM263" i="16"/>
  <c r="BE263" i="16"/>
  <c r="BW262" i="16"/>
  <c r="BX262" i="16" s="1"/>
  <c r="BU262" i="16"/>
  <c r="BM262" i="16"/>
  <c r="BE262" i="16"/>
  <c r="BT261" i="16"/>
  <c r="BS261" i="16"/>
  <c r="BR261" i="16"/>
  <c r="BQ261" i="16"/>
  <c r="BP261" i="16"/>
  <c r="BO261" i="16"/>
  <c r="BN261" i="16"/>
  <c r="BU261" i="16" s="1"/>
  <c r="BM261" i="16"/>
  <c r="BD261" i="16"/>
  <c r="BC261" i="16"/>
  <c r="BB261" i="16"/>
  <c r="BA261" i="16"/>
  <c r="AZ261" i="16"/>
  <c r="AY261" i="16"/>
  <c r="AX261" i="16"/>
  <c r="BE261" i="16" s="1"/>
  <c r="BU260" i="16"/>
  <c r="BM260" i="16"/>
  <c r="BE260" i="16"/>
  <c r="BW258" i="16"/>
  <c r="BX258" i="16" s="1"/>
  <c r="BU258" i="16"/>
  <c r="BM258" i="16"/>
  <c r="BE258" i="16"/>
  <c r="BW257" i="16"/>
  <c r="BX257" i="16" s="1"/>
  <c r="BU257" i="16"/>
  <c r="BE257" i="16"/>
  <c r="BW256" i="16"/>
  <c r="BX256" i="16" s="1"/>
  <c r="BU256" i="16"/>
  <c r="BM256" i="16"/>
  <c r="BE256" i="16"/>
  <c r="BW255" i="16"/>
  <c r="BX255" i="16" s="1"/>
  <c r="BU255" i="16"/>
  <c r="BM255" i="16"/>
  <c r="BE255" i="16"/>
  <c r="BW254" i="16"/>
  <c r="BX254" i="16" s="1"/>
  <c r="BU254" i="16"/>
  <c r="BM254" i="16"/>
  <c r="BE254" i="16"/>
  <c r="BW253" i="16"/>
  <c r="BX253" i="16" s="1"/>
  <c r="BU253" i="16"/>
  <c r="BM253" i="16"/>
  <c r="BE253" i="16"/>
  <c r="BW252" i="16"/>
  <c r="BX252" i="16" s="1"/>
  <c r="BU252" i="16"/>
  <c r="BM252" i="16"/>
  <c r="BE252" i="16"/>
  <c r="BW251" i="16"/>
  <c r="BX251" i="16" s="1"/>
  <c r="BU251" i="16"/>
  <c r="BM251" i="16"/>
  <c r="BE251" i="16"/>
  <c r="BW250" i="16"/>
  <c r="BX250" i="16" s="1"/>
  <c r="BU250" i="16"/>
  <c r="BM250" i="16"/>
  <c r="BE250" i="16"/>
  <c r="BW249" i="16"/>
  <c r="BX249" i="16" s="1"/>
  <c r="BU249" i="16"/>
  <c r="BM249" i="16"/>
  <c r="BE249" i="16"/>
  <c r="BW248" i="16"/>
  <c r="BX248" i="16" s="1"/>
  <c r="BU248" i="16"/>
  <c r="BE248" i="16"/>
  <c r="BW247" i="16"/>
  <c r="BX247" i="16" s="1"/>
  <c r="BU247" i="16"/>
  <c r="BM247" i="16"/>
  <c r="BE247" i="16"/>
  <c r="BW246" i="16"/>
  <c r="BX246" i="16" s="1"/>
  <c r="BU246" i="16"/>
  <c r="BM246" i="16"/>
  <c r="BE246" i="16"/>
  <c r="BW245" i="16"/>
  <c r="BX245" i="16" s="1"/>
  <c r="BU245" i="16"/>
  <c r="BM245" i="16"/>
  <c r="BE245" i="16"/>
  <c r="BW244" i="16"/>
  <c r="BX244" i="16" s="1"/>
  <c r="BU244" i="16"/>
  <c r="BM244" i="16"/>
  <c r="BE244" i="16"/>
  <c r="BW243" i="16"/>
  <c r="BX243" i="16" s="1"/>
  <c r="BU243" i="16"/>
  <c r="BM243" i="16"/>
  <c r="BE243" i="16"/>
  <c r="BW242" i="16"/>
  <c r="BX242" i="16" s="1"/>
  <c r="BU242" i="16"/>
  <c r="BE242" i="16"/>
  <c r="BT241" i="16"/>
  <c r="BS241" i="16"/>
  <c r="BR241" i="16"/>
  <c r="BQ241" i="16"/>
  <c r="BP241" i="16"/>
  <c r="BO241" i="16"/>
  <c r="BN241" i="16"/>
  <c r="BU241" i="16" s="1"/>
  <c r="BM241" i="16"/>
  <c r="BD241" i="16"/>
  <c r="BC241" i="16"/>
  <c r="BB241" i="16"/>
  <c r="BA241" i="16"/>
  <c r="AZ241" i="16"/>
  <c r="AY241" i="16"/>
  <c r="AX241" i="16"/>
  <c r="BE241" i="16" s="1"/>
  <c r="BW239" i="16"/>
  <c r="BX239" i="16" s="1"/>
  <c r="BU239" i="16"/>
  <c r="BM239" i="16"/>
  <c r="BE239" i="16"/>
  <c r="BW238" i="16"/>
  <c r="BX238" i="16" s="1"/>
  <c r="BU238" i="16"/>
  <c r="BM238" i="16"/>
  <c r="BE238" i="16"/>
  <c r="BW237" i="16"/>
  <c r="BX237" i="16" s="1"/>
  <c r="BU237" i="16"/>
  <c r="BM237" i="16"/>
  <c r="BE237" i="16"/>
  <c r="BW236" i="16"/>
  <c r="BX236" i="16" s="1"/>
  <c r="BU236" i="16"/>
  <c r="BM236" i="16"/>
  <c r="BE236" i="16"/>
  <c r="BW235" i="16"/>
  <c r="BX235" i="16" s="1"/>
  <c r="BU235" i="16"/>
  <c r="BM235" i="16"/>
  <c r="BE235" i="16"/>
  <c r="BU234" i="16"/>
  <c r="BM234" i="16"/>
  <c r="BE234" i="16"/>
  <c r="BT233" i="16"/>
  <c r="BS233" i="16"/>
  <c r="BR233" i="16"/>
  <c r="BQ233" i="16"/>
  <c r="BP233" i="16"/>
  <c r="BO233" i="16"/>
  <c r="BN233" i="16"/>
  <c r="BU233" i="16" s="1"/>
  <c r="BM233" i="16"/>
  <c r="BD233" i="16"/>
  <c r="BC233" i="16"/>
  <c r="BB233" i="16"/>
  <c r="BA233" i="16"/>
  <c r="AZ233" i="16"/>
  <c r="AY233" i="16"/>
  <c r="AX233" i="16"/>
  <c r="BE233" i="16" s="1"/>
  <c r="BW232" i="16"/>
  <c r="BX232" i="16" s="1"/>
  <c r="BU232" i="16"/>
  <c r="BM232" i="16"/>
  <c r="BE232" i="16"/>
  <c r="BW231" i="16"/>
  <c r="BX231" i="16" s="1"/>
  <c r="BU231" i="16"/>
  <c r="BM231" i="16"/>
  <c r="BE231" i="16"/>
  <c r="BW230" i="16"/>
  <c r="BX230" i="16" s="1"/>
  <c r="BU230" i="16"/>
  <c r="BM230" i="16"/>
  <c r="BE230" i="16"/>
  <c r="BW229" i="16"/>
  <c r="BX229" i="16" s="1"/>
  <c r="BU229" i="16"/>
  <c r="BM229" i="16"/>
  <c r="BW228" i="16"/>
  <c r="BX228" i="16" s="1"/>
  <c r="BU228" i="16"/>
  <c r="BM228" i="16"/>
  <c r="BE228" i="16"/>
  <c r="BW227" i="16"/>
  <c r="BX227" i="16" s="1"/>
  <c r="BU227" i="16"/>
  <c r="BM227" i="16"/>
  <c r="BE227" i="16"/>
  <c r="BW226" i="16"/>
  <c r="BX226" i="16" s="1"/>
  <c r="BU226" i="16"/>
  <c r="BM226" i="16"/>
  <c r="BE226" i="16"/>
  <c r="BT225" i="16"/>
  <c r="BS225" i="16"/>
  <c r="BR225" i="16"/>
  <c r="BQ225" i="16"/>
  <c r="BP225" i="16"/>
  <c r="BO225" i="16"/>
  <c r="BN225" i="16"/>
  <c r="BU225" i="16" s="1"/>
  <c r="BM225" i="16"/>
  <c r="BD225" i="16"/>
  <c r="BC225" i="16"/>
  <c r="BB225" i="16"/>
  <c r="BA225" i="16"/>
  <c r="AZ225" i="16"/>
  <c r="AY225" i="16"/>
  <c r="AX225" i="16"/>
  <c r="BE225" i="16" s="1"/>
  <c r="BW224" i="16"/>
  <c r="BX224" i="16" s="1"/>
  <c r="BU224" i="16"/>
  <c r="BM224" i="16"/>
  <c r="BE224" i="16"/>
  <c r="BW223" i="16"/>
  <c r="BX223" i="16" s="1"/>
  <c r="BU223" i="16"/>
  <c r="BM223" i="16"/>
  <c r="BE223" i="16"/>
  <c r="BW222" i="16"/>
  <c r="BX222" i="16" s="1"/>
  <c r="BU222" i="16"/>
  <c r="BM222" i="16"/>
  <c r="BE222" i="16"/>
  <c r="BW221" i="16"/>
  <c r="BX221" i="16" s="1"/>
  <c r="BU221" i="16"/>
  <c r="BM221" i="16"/>
  <c r="BE221" i="16"/>
  <c r="BW220" i="16"/>
  <c r="BX220" i="16" s="1"/>
  <c r="BU220" i="16"/>
  <c r="BM220" i="16"/>
  <c r="BE220" i="16"/>
  <c r="BT219" i="16"/>
  <c r="BS219" i="16"/>
  <c r="BR219" i="16"/>
  <c r="BQ219" i="16"/>
  <c r="BP219" i="16"/>
  <c r="BO219" i="16"/>
  <c r="BN219" i="16"/>
  <c r="BU219" i="16" s="1"/>
  <c r="BM219" i="16"/>
  <c r="BD219" i="16"/>
  <c r="BC219" i="16"/>
  <c r="BB219" i="16"/>
  <c r="BA219" i="16"/>
  <c r="AZ219" i="16"/>
  <c r="AY219" i="16"/>
  <c r="AX219" i="16"/>
  <c r="BE219" i="16" s="1"/>
  <c r="BW218" i="16"/>
  <c r="BX218" i="16" s="1"/>
  <c r="BU218" i="16"/>
  <c r="BM218" i="16"/>
  <c r="BE218" i="16"/>
  <c r="BW217" i="16"/>
  <c r="BX217" i="16" s="1"/>
  <c r="BU217" i="16"/>
  <c r="BM217" i="16"/>
  <c r="BE217" i="16"/>
  <c r="BW216" i="16"/>
  <c r="BX216" i="16" s="1"/>
  <c r="BU216" i="16"/>
  <c r="BM216" i="16"/>
  <c r="BE216" i="16"/>
  <c r="BW215" i="16"/>
  <c r="BX215" i="16" s="1"/>
  <c r="BU215" i="16"/>
  <c r="BM215" i="16"/>
  <c r="BE215" i="16"/>
  <c r="BW214" i="16"/>
  <c r="BX214" i="16" s="1"/>
  <c r="BU214" i="16"/>
  <c r="BM214" i="16"/>
  <c r="BE214" i="16"/>
  <c r="BW213" i="16"/>
  <c r="BX213" i="16" s="1"/>
  <c r="BU213" i="16"/>
  <c r="BM213" i="16"/>
  <c r="BE213" i="16"/>
  <c r="BW212" i="16"/>
  <c r="BX212" i="16" s="1"/>
  <c r="BU212" i="16"/>
  <c r="BM212" i="16"/>
  <c r="BE212" i="16"/>
  <c r="BW211" i="16"/>
  <c r="BX211" i="16" s="1"/>
  <c r="BU211" i="16"/>
  <c r="BM211" i="16"/>
  <c r="BE211" i="16"/>
  <c r="BT210" i="16"/>
  <c r="BS210" i="16"/>
  <c r="BR210" i="16"/>
  <c r="BQ210" i="16"/>
  <c r="BP210" i="16"/>
  <c r="BO210" i="16"/>
  <c r="BN210" i="16"/>
  <c r="BU210" i="16" s="1"/>
  <c r="BM210" i="16"/>
  <c r="BD210" i="16"/>
  <c r="BC210" i="16"/>
  <c r="BB210" i="16"/>
  <c r="BA210" i="16"/>
  <c r="AZ210" i="16"/>
  <c r="AY210" i="16"/>
  <c r="AX210" i="16"/>
  <c r="BE210" i="16" s="1"/>
  <c r="BW209" i="16"/>
  <c r="BX209" i="16" s="1"/>
  <c r="BU209" i="16"/>
  <c r="BM209" i="16"/>
  <c r="BE209" i="16"/>
  <c r="BW208" i="16"/>
  <c r="BX208" i="16" s="1"/>
  <c r="BU208" i="16"/>
  <c r="BM208" i="16"/>
  <c r="BE208" i="16"/>
  <c r="BW207" i="16"/>
  <c r="BX207" i="16" s="1"/>
  <c r="BU207" i="16"/>
  <c r="BM207" i="16"/>
  <c r="BE207" i="16"/>
  <c r="BW206" i="16"/>
  <c r="BX206" i="16" s="1"/>
  <c r="BU206" i="16"/>
  <c r="BM206" i="16"/>
  <c r="BE206" i="16"/>
  <c r="BW205" i="16"/>
  <c r="BX205" i="16" s="1"/>
  <c r="BU205" i="16"/>
  <c r="BM205" i="16"/>
  <c r="BE205" i="16"/>
  <c r="BW204" i="16"/>
  <c r="BX204" i="16" s="1"/>
  <c r="BU204" i="16"/>
  <c r="BM204" i="16"/>
  <c r="BE204" i="16"/>
  <c r="BW203" i="16"/>
  <c r="BX203" i="16" s="1"/>
  <c r="BU203" i="16"/>
  <c r="BM203" i="16"/>
  <c r="BE203" i="16"/>
  <c r="BW202" i="16"/>
  <c r="BX202" i="16" s="1"/>
  <c r="BU202" i="16"/>
  <c r="BM202" i="16"/>
  <c r="BE202" i="16"/>
  <c r="BW201" i="16"/>
  <c r="BX201" i="16" s="1"/>
  <c r="BU201" i="16"/>
  <c r="BM201" i="16"/>
  <c r="BE201" i="16"/>
  <c r="BW200" i="16"/>
  <c r="BX200" i="16" s="1"/>
  <c r="BU200" i="16"/>
  <c r="BM200" i="16"/>
  <c r="BE200" i="16"/>
  <c r="BT199" i="16"/>
  <c r="BS199" i="16"/>
  <c r="BR199" i="16"/>
  <c r="BQ199" i="16"/>
  <c r="BP199" i="16"/>
  <c r="BO199" i="16"/>
  <c r="BN199" i="16"/>
  <c r="BU199" i="16" s="1"/>
  <c r="BM199" i="16"/>
  <c r="BD199" i="16"/>
  <c r="BC199" i="16"/>
  <c r="BB199" i="16"/>
  <c r="BA199" i="16"/>
  <c r="AZ199" i="16"/>
  <c r="AY199" i="16"/>
  <c r="AX199" i="16"/>
  <c r="BE199" i="16" s="1"/>
  <c r="BW198" i="16"/>
  <c r="BX198" i="16" s="1"/>
  <c r="BU198" i="16"/>
  <c r="BM198" i="16"/>
  <c r="BE198" i="16"/>
  <c r="BW197" i="16"/>
  <c r="BX197" i="16" s="1"/>
  <c r="BU197" i="16"/>
  <c r="BM197" i="16"/>
  <c r="BE197" i="16"/>
  <c r="BW196" i="16"/>
  <c r="BX196" i="16" s="1"/>
  <c r="BU196" i="16"/>
  <c r="BM196" i="16"/>
  <c r="BE196" i="16"/>
  <c r="BW195" i="16"/>
  <c r="BX195" i="16" s="1"/>
  <c r="BU195" i="16"/>
  <c r="BM195" i="16"/>
  <c r="BE195" i="16"/>
  <c r="BW194" i="16"/>
  <c r="BX194" i="16" s="1"/>
  <c r="BU194" i="16"/>
  <c r="BM194" i="16"/>
  <c r="BE194" i="16"/>
  <c r="BW193" i="16"/>
  <c r="BX193" i="16" s="1"/>
  <c r="BU193" i="16"/>
  <c r="BM193" i="16"/>
  <c r="BE193" i="16"/>
  <c r="BW192" i="16"/>
  <c r="BX192" i="16" s="1"/>
  <c r="BU192" i="16"/>
  <c r="BM192" i="16"/>
  <c r="BE192" i="16"/>
  <c r="BT191" i="16"/>
  <c r="BS191" i="16"/>
  <c r="BR191" i="16"/>
  <c r="BQ191" i="16"/>
  <c r="BP191" i="16"/>
  <c r="BO191" i="16"/>
  <c r="BN191" i="16"/>
  <c r="BU191" i="16" s="1"/>
  <c r="BM191" i="16"/>
  <c r="BD191" i="16"/>
  <c r="BC191" i="16"/>
  <c r="BB191" i="16"/>
  <c r="BA191" i="16"/>
  <c r="AZ191" i="16"/>
  <c r="AY191" i="16"/>
  <c r="AX191" i="16"/>
  <c r="BE191" i="16" s="1"/>
  <c r="BW189" i="16"/>
  <c r="BX189" i="16" s="1"/>
  <c r="BU189" i="16"/>
  <c r="BM189" i="16"/>
  <c r="BE189" i="16"/>
  <c r="BU188" i="16"/>
  <c r="BM188" i="16"/>
  <c r="BE188" i="16"/>
  <c r="BW187" i="16"/>
  <c r="BX187" i="16" s="1"/>
  <c r="BU187" i="16"/>
  <c r="BM187" i="16"/>
  <c r="BE187" i="16"/>
  <c r="BW186" i="16"/>
  <c r="BX186" i="16" s="1"/>
  <c r="BU186" i="16"/>
  <c r="BM186" i="16"/>
  <c r="BE186" i="16"/>
  <c r="BW185" i="16"/>
  <c r="BX185" i="16" s="1"/>
  <c r="BU185" i="16"/>
  <c r="BM185" i="16"/>
  <c r="BE185" i="16"/>
  <c r="BW184" i="16"/>
  <c r="BX184" i="16" s="1"/>
  <c r="BU184" i="16"/>
  <c r="BM184" i="16"/>
  <c r="BE184" i="16"/>
  <c r="BW183" i="16"/>
  <c r="BX183" i="16" s="1"/>
  <c r="BU183" i="16"/>
  <c r="BM183" i="16"/>
  <c r="BE183" i="16"/>
  <c r="BW182" i="16"/>
  <c r="BX182" i="16" s="1"/>
  <c r="BU182" i="16"/>
  <c r="BM182" i="16"/>
  <c r="BE182" i="16"/>
  <c r="BW181" i="16"/>
  <c r="BX181" i="16" s="1"/>
  <c r="BU181" i="16"/>
  <c r="BM181" i="16"/>
  <c r="BE181" i="16"/>
  <c r="BW180" i="16"/>
  <c r="BX180" i="16" s="1"/>
  <c r="BU180" i="16"/>
  <c r="BM180" i="16"/>
  <c r="BE180" i="16"/>
  <c r="BT179" i="16"/>
  <c r="BS179" i="16"/>
  <c r="BR179" i="16"/>
  <c r="BQ179" i="16"/>
  <c r="BP179" i="16"/>
  <c r="BO179" i="16"/>
  <c r="BN179" i="16"/>
  <c r="BU179" i="16" s="1"/>
  <c r="BM179" i="16"/>
  <c r="BD179" i="16"/>
  <c r="BC179" i="16"/>
  <c r="BB179" i="16"/>
  <c r="BA179" i="16"/>
  <c r="AZ179" i="16"/>
  <c r="AY179" i="16"/>
  <c r="AX179" i="16"/>
  <c r="BE179" i="16"/>
  <c r="AB179" i="16"/>
  <c r="Z179" i="16"/>
  <c r="X179" i="16"/>
  <c r="V179" i="16"/>
  <c r="BW177" i="16"/>
  <c r="BX177" i="16" s="1"/>
  <c r="BU177" i="16"/>
  <c r="BM177" i="16"/>
  <c r="BE177" i="16"/>
  <c r="R177" i="16"/>
  <c r="Q177" i="16"/>
  <c r="P177" i="16"/>
  <c r="O177" i="16"/>
  <c r="L177" i="16"/>
  <c r="K177" i="16"/>
  <c r="J177" i="16"/>
  <c r="I177" i="16"/>
  <c r="BW176" i="16"/>
  <c r="BX176" i="16" s="1"/>
  <c r="BU176" i="16"/>
  <c r="BM176" i="16"/>
  <c r="BE176" i="16"/>
  <c r="R176" i="16"/>
  <c r="Q176" i="16"/>
  <c r="P176" i="16"/>
  <c r="O176" i="16"/>
  <c r="L176" i="16"/>
  <c r="K176" i="16"/>
  <c r="J176" i="16"/>
  <c r="I176" i="16"/>
  <c r="BW175" i="16"/>
  <c r="BX175" i="16" s="1"/>
  <c r="BU175" i="16"/>
  <c r="BE175" i="16"/>
  <c r="R175" i="16"/>
  <c r="Q175" i="16"/>
  <c r="P175" i="16"/>
  <c r="O175" i="16"/>
  <c r="L175" i="16"/>
  <c r="K175" i="16"/>
  <c r="J175" i="16"/>
  <c r="I175" i="16"/>
  <c r="BW174" i="16"/>
  <c r="BX174" i="16" s="1"/>
  <c r="BU174" i="16"/>
  <c r="BM174" i="16"/>
  <c r="BE174" i="16"/>
  <c r="R174" i="16"/>
  <c r="Q174" i="16"/>
  <c r="P174" i="16"/>
  <c r="O174" i="16"/>
  <c r="L174" i="16"/>
  <c r="K174" i="16"/>
  <c r="J174" i="16"/>
  <c r="I174" i="16"/>
  <c r="BW173" i="16"/>
  <c r="BX173" i="16" s="1"/>
  <c r="BU173" i="16"/>
  <c r="BM173" i="16"/>
  <c r="BE173" i="16"/>
  <c r="R173" i="16"/>
  <c r="Q173" i="16"/>
  <c r="P173" i="16"/>
  <c r="O173" i="16"/>
  <c r="L173" i="16"/>
  <c r="K173" i="16"/>
  <c r="J173" i="16"/>
  <c r="I173" i="16"/>
  <c r="BU172" i="16"/>
  <c r="BM172" i="16"/>
  <c r="BE172" i="16"/>
  <c r="BW172" i="16"/>
  <c r="R172" i="16"/>
  <c r="Q172" i="16"/>
  <c r="P172" i="16"/>
  <c r="O172" i="16"/>
  <c r="L172" i="16"/>
  <c r="K172" i="16"/>
  <c r="J172" i="16"/>
  <c r="I172" i="16"/>
  <c r="BW171" i="16"/>
  <c r="BX171" i="16" s="1"/>
  <c r="BU171" i="16"/>
  <c r="BM171" i="16"/>
  <c r="BE171" i="16"/>
  <c r="R171" i="16"/>
  <c r="Q171" i="16"/>
  <c r="P171" i="16"/>
  <c r="O171" i="16"/>
  <c r="L171" i="16"/>
  <c r="K171" i="16"/>
  <c r="J171" i="16"/>
  <c r="I171" i="16"/>
  <c r="BW170" i="16"/>
  <c r="BX170" i="16" s="1"/>
  <c r="BU170" i="16"/>
  <c r="BM170" i="16"/>
  <c r="BE170" i="16"/>
  <c r="R170" i="16"/>
  <c r="Q170" i="16"/>
  <c r="P170" i="16"/>
  <c r="O170" i="16"/>
  <c r="L170" i="16"/>
  <c r="K170" i="16"/>
  <c r="J170" i="16"/>
  <c r="I170" i="16"/>
  <c r="BW169" i="16"/>
  <c r="BX169" i="16" s="1"/>
  <c r="BU169" i="16"/>
  <c r="BM169" i="16"/>
  <c r="BE169" i="16"/>
  <c r="R169" i="16"/>
  <c r="Q169" i="16"/>
  <c r="P169" i="16"/>
  <c r="O169" i="16"/>
  <c r="L169" i="16"/>
  <c r="K169" i="16"/>
  <c r="J169" i="16"/>
  <c r="I169" i="16"/>
  <c r="BW168" i="16"/>
  <c r="BX168" i="16" s="1"/>
  <c r="BU168" i="16"/>
  <c r="BM168" i="16"/>
  <c r="BE168" i="16"/>
  <c r="R168" i="16"/>
  <c r="Q168" i="16"/>
  <c r="P168" i="16"/>
  <c r="O168" i="16"/>
  <c r="L168" i="16"/>
  <c r="K168" i="16"/>
  <c r="J168" i="16"/>
  <c r="I168" i="16"/>
  <c r="BW167" i="16"/>
  <c r="BX167" i="16" s="1"/>
  <c r="BU167" i="16"/>
  <c r="BM167" i="16"/>
  <c r="BE167" i="16"/>
  <c r="R167" i="16"/>
  <c r="Q167" i="16"/>
  <c r="P167" i="16"/>
  <c r="O167" i="16"/>
  <c r="L167" i="16"/>
  <c r="K167" i="16"/>
  <c r="J167" i="16"/>
  <c r="I167" i="16"/>
  <c r="BW166" i="16"/>
  <c r="BX166" i="16" s="1"/>
  <c r="BU166" i="16"/>
  <c r="BM166" i="16"/>
  <c r="BE166" i="16"/>
  <c r="R166" i="16"/>
  <c r="Q166" i="16"/>
  <c r="P166" i="16"/>
  <c r="O166" i="16"/>
  <c r="L166" i="16"/>
  <c r="K166" i="16"/>
  <c r="J166" i="16"/>
  <c r="I166" i="16"/>
  <c r="BW165" i="16"/>
  <c r="BX165" i="16" s="1"/>
  <c r="BU165" i="16"/>
  <c r="BM165" i="16"/>
  <c r="BE165" i="16"/>
  <c r="R165" i="16"/>
  <c r="Q165" i="16"/>
  <c r="P165" i="16"/>
  <c r="O165" i="16"/>
  <c r="L165" i="16"/>
  <c r="K165" i="16"/>
  <c r="J165" i="16"/>
  <c r="I165" i="16"/>
  <c r="BW164" i="16"/>
  <c r="BX164" i="16" s="1"/>
  <c r="BU164" i="16"/>
  <c r="BM164" i="16"/>
  <c r="BE164" i="16"/>
  <c r="R164" i="16"/>
  <c r="Q164" i="16"/>
  <c r="P164" i="16"/>
  <c r="O164" i="16"/>
  <c r="L164" i="16"/>
  <c r="K164" i="16"/>
  <c r="J164" i="16"/>
  <c r="I164" i="16"/>
  <c r="BW163" i="16"/>
  <c r="BX163" i="16" s="1"/>
  <c r="BU163" i="16"/>
  <c r="BM163" i="16"/>
  <c r="BE163" i="16"/>
  <c r="R163" i="16"/>
  <c r="Q163" i="16"/>
  <c r="P163" i="16"/>
  <c r="O163" i="16"/>
  <c r="L163" i="16"/>
  <c r="K163" i="16"/>
  <c r="J163" i="16"/>
  <c r="I163" i="16"/>
  <c r="BW162" i="16"/>
  <c r="BX162" i="16" s="1"/>
  <c r="BU162" i="16"/>
  <c r="BM162" i="16"/>
  <c r="BE162" i="16"/>
  <c r="R162" i="16"/>
  <c r="Q162" i="16"/>
  <c r="P162" i="16"/>
  <c r="O162" i="16"/>
  <c r="L162" i="16"/>
  <c r="K162" i="16"/>
  <c r="J162" i="16"/>
  <c r="I162" i="16"/>
  <c r="BW161" i="16"/>
  <c r="BX161" i="16" s="1"/>
  <c r="BU161" i="16"/>
  <c r="BM161" i="16"/>
  <c r="BE161" i="16"/>
  <c r="R161" i="16"/>
  <c r="Q161" i="16"/>
  <c r="P161" i="16"/>
  <c r="O161" i="16"/>
  <c r="L161" i="16"/>
  <c r="K161" i="16"/>
  <c r="J161" i="16"/>
  <c r="I161" i="16"/>
  <c r="BW160" i="16"/>
  <c r="BX160" i="16" s="1"/>
  <c r="BU160" i="16"/>
  <c r="BM160" i="16"/>
  <c r="BE160" i="16"/>
  <c r="R160" i="16"/>
  <c r="Q160" i="16"/>
  <c r="P160" i="16"/>
  <c r="O160" i="16"/>
  <c r="L160" i="16"/>
  <c r="K160" i="16"/>
  <c r="J160" i="16"/>
  <c r="I160" i="16"/>
  <c r="BW159" i="16"/>
  <c r="BX159" i="16" s="1"/>
  <c r="BU159" i="16"/>
  <c r="BM159" i="16"/>
  <c r="BE159" i="16"/>
  <c r="R159" i="16"/>
  <c r="Q159" i="16"/>
  <c r="P159" i="16"/>
  <c r="O159" i="16"/>
  <c r="L159" i="16"/>
  <c r="K159" i="16"/>
  <c r="J159" i="16"/>
  <c r="I159" i="16"/>
  <c r="BW158" i="16"/>
  <c r="BX158" i="16" s="1"/>
  <c r="BU158" i="16"/>
  <c r="BM158" i="16"/>
  <c r="BE158" i="16"/>
  <c r="R158" i="16"/>
  <c r="Q158" i="16"/>
  <c r="P158" i="16"/>
  <c r="O158" i="16"/>
  <c r="L158" i="16"/>
  <c r="K158" i="16"/>
  <c r="J158" i="16"/>
  <c r="I158" i="16"/>
  <c r="BW157" i="16"/>
  <c r="BX157" i="16" s="1"/>
  <c r="BU157" i="16"/>
  <c r="BM157" i="16"/>
  <c r="BE157" i="16"/>
  <c r="R157" i="16"/>
  <c r="Q157" i="16"/>
  <c r="P157" i="16"/>
  <c r="O157" i="16"/>
  <c r="L157" i="16"/>
  <c r="K157" i="16"/>
  <c r="J157" i="16"/>
  <c r="I157" i="16"/>
  <c r="BW156" i="16"/>
  <c r="BX156" i="16" s="1"/>
  <c r="BU156" i="16"/>
  <c r="BM156" i="16"/>
  <c r="BE156" i="16"/>
  <c r="R156" i="16"/>
  <c r="Q156" i="16"/>
  <c r="P156" i="16"/>
  <c r="O156" i="16"/>
  <c r="L156" i="16"/>
  <c r="K156" i="16"/>
  <c r="J156" i="16"/>
  <c r="I156" i="16"/>
  <c r="BW155" i="16"/>
  <c r="BX155" i="16" s="1"/>
  <c r="BU155" i="16"/>
  <c r="BM155" i="16"/>
  <c r="BE155" i="16"/>
  <c r="R155" i="16"/>
  <c r="Q155" i="16"/>
  <c r="P155" i="16"/>
  <c r="O155" i="16"/>
  <c r="L155" i="16"/>
  <c r="K155" i="16"/>
  <c r="J155" i="16"/>
  <c r="I155" i="16"/>
  <c r="BU154" i="16"/>
  <c r="BM154" i="16"/>
  <c r="BE154" i="16"/>
  <c r="BW154" i="16"/>
  <c r="BX154" i="16" s="1"/>
  <c r="R154" i="16"/>
  <c r="Q154" i="16"/>
  <c r="P154" i="16"/>
  <c r="O154" i="16"/>
  <c r="L154" i="16"/>
  <c r="K154" i="16"/>
  <c r="J154" i="16"/>
  <c r="I154" i="16"/>
  <c r="BT153" i="16"/>
  <c r="BS153" i="16"/>
  <c r="BR153" i="16"/>
  <c r="BQ153" i="16"/>
  <c r="BP153" i="16"/>
  <c r="BO153" i="16"/>
  <c r="BN153" i="16"/>
  <c r="BU153" i="16" s="1"/>
  <c r="BM153" i="16"/>
  <c r="BD153" i="16"/>
  <c r="BC153" i="16"/>
  <c r="BB153" i="16"/>
  <c r="BA153" i="16"/>
  <c r="AZ153" i="16"/>
  <c r="AY153" i="16"/>
  <c r="AX153" i="16"/>
  <c r="BE153" i="16" s="1"/>
  <c r="AB153" i="16"/>
  <c r="Z153" i="16"/>
  <c r="X153" i="16"/>
  <c r="V153" i="16"/>
  <c r="BU152" i="16"/>
  <c r="BM152" i="16"/>
  <c r="BE152" i="16"/>
  <c r="BW151" i="16"/>
  <c r="BX151" i="16" s="1"/>
  <c r="BU151" i="16"/>
  <c r="BM151" i="16"/>
  <c r="BE151" i="16"/>
  <c r="R151" i="16"/>
  <c r="Q151" i="16"/>
  <c r="P151" i="16"/>
  <c r="O151" i="16"/>
  <c r="M151" i="16"/>
  <c r="L151" i="16"/>
  <c r="K151" i="16"/>
  <c r="J151" i="16"/>
  <c r="I151" i="16"/>
  <c r="BW150" i="16"/>
  <c r="BX150" i="16" s="1"/>
  <c r="BU150" i="16"/>
  <c r="BM150" i="16"/>
  <c r="BE150" i="16"/>
  <c r="R150" i="16"/>
  <c r="Q150" i="16"/>
  <c r="P150" i="16"/>
  <c r="O150" i="16"/>
  <c r="M150" i="16"/>
  <c r="L150" i="16"/>
  <c r="K150" i="16"/>
  <c r="J150" i="16"/>
  <c r="I150" i="16"/>
  <c r="BW149" i="16"/>
  <c r="BX149" i="16" s="1"/>
  <c r="BU149" i="16"/>
  <c r="BM149" i="16"/>
  <c r="BE149" i="16"/>
  <c r="R149" i="16"/>
  <c r="Q149" i="16"/>
  <c r="P149" i="16"/>
  <c r="O149" i="16"/>
  <c r="M149" i="16"/>
  <c r="L149" i="16"/>
  <c r="K149" i="16"/>
  <c r="J149" i="16"/>
  <c r="I149" i="16"/>
  <c r="BW148" i="16"/>
  <c r="BX148" i="16" s="1"/>
  <c r="BU148" i="16"/>
  <c r="BM148" i="16"/>
  <c r="BE148" i="16"/>
  <c r="R148" i="16"/>
  <c r="Q148" i="16"/>
  <c r="P148" i="16"/>
  <c r="O148" i="16"/>
  <c r="M148" i="16"/>
  <c r="L148" i="16"/>
  <c r="K148" i="16"/>
  <c r="J148" i="16"/>
  <c r="I148" i="16"/>
  <c r="BW147" i="16"/>
  <c r="BX147" i="16" s="1"/>
  <c r="BU147" i="16"/>
  <c r="BM147" i="16"/>
  <c r="BE147" i="16"/>
  <c r="R147" i="16"/>
  <c r="Q147" i="16"/>
  <c r="P147" i="16"/>
  <c r="O147" i="16"/>
  <c r="M147" i="16"/>
  <c r="L147" i="16"/>
  <c r="K147" i="16"/>
  <c r="J147" i="16"/>
  <c r="I147" i="16"/>
  <c r="BW146" i="16"/>
  <c r="BX146" i="16" s="1"/>
  <c r="BU146" i="16"/>
  <c r="BM146" i="16"/>
  <c r="BE146" i="16"/>
  <c r="R146" i="16"/>
  <c r="Q146" i="16"/>
  <c r="P146" i="16"/>
  <c r="O146" i="16"/>
  <c r="M146" i="16"/>
  <c r="L146" i="16"/>
  <c r="K146" i="16"/>
  <c r="J146" i="16"/>
  <c r="I146" i="16"/>
  <c r="BW145" i="16"/>
  <c r="BX145" i="16" s="1"/>
  <c r="BU145" i="16"/>
  <c r="BM145" i="16"/>
  <c r="BE145" i="16"/>
  <c r="R145" i="16"/>
  <c r="Q145" i="16"/>
  <c r="P145" i="16"/>
  <c r="O145" i="16"/>
  <c r="M145" i="16"/>
  <c r="L145" i="16"/>
  <c r="K145" i="16"/>
  <c r="J145" i="16"/>
  <c r="I145" i="16"/>
  <c r="BT144" i="16"/>
  <c r="BS144" i="16"/>
  <c r="BR144" i="16"/>
  <c r="BQ144" i="16"/>
  <c r="BP144" i="16"/>
  <c r="BO144" i="16"/>
  <c r="BN144" i="16"/>
  <c r="BU144" i="16" s="1"/>
  <c r="BM144" i="16"/>
  <c r="BD144" i="16"/>
  <c r="BC144" i="16"/>
  <c r="BB144" i="16"/>
  <c r="BA144" i="16"/>
  <c r="AZ144" i="16"/>
  <c r="AY144" i="16"/>
  <c r="AX144" i="16"/>
  <c r="BE144" i="16" s="1"/>
  <c r="AB144" i="16"/>
  <c r="Z144" i="16"/>
  <c r="X144" i="16"/>
  <c r="V144" i="16"/>
  <c r="BW143" i="16"/>
  <c r="BX143" i="16" s="1"/>
  <c r="BU143" i="16"/>
  <c r="BM143" i="16"/>
  <c r="BE143" i="16"/>
  <c r="R143" i="16"/>
  <c r="Q143" i="16"/>
  <c r="P143" i="16"/>
  <c r="O143" i="16"/>
  <c r="M143" i="16"/>
  <c r="L143" i="16"/>
  <c r="K143" i="16"/>
  <c r="J143" i="16"/>
  <c r="I143" i="16"/>
  <c r="BW142" i="16"/>
  <c r="BX142" i="16" s="1"/>
  <c r="BU142" i="16"/>
  <c r="BM142" i="16"/>
  <c r="BE142" i="16"/>
  <c r="R142" i="16"/>
  <c r="Q142" i="16"/>
  <c r="P142" i="16"/>
  <c r="O142" i="16"/>
  <c r="M142" i="16"/>
  <c r="L142" i="16"/>
  <c r="K142" i="16"/>
  <c r="J142" i="16"/>
  <c r="I142" i="16"/>
  <c r="BW141" i="16"/>
  <c r="BX141" i="16" s="1"/>
  <c r="BU141" i="16"/>
  <c r="BM141" i="16"/>
  <c r="BE141" i="16"/>
  <c r="R141" i="16"/>
  <c r="Q141" i="16"/>
  <c r="P141" i="16"/>
  <c r="O141" i="16"/>
  <c r="M141" i="16"/>
  <c r="L141" i="16"/>
  <c r="K141" i="16"/>
  <c r="J141" i="16"/>
  <c r="I141" i="16"/>
  <c r="BW140" i="16"/>
  <c r="BX140" i="16" s="1"/>
  <c r="BU140" i="16"/>
  <c r="BM140" i="16"/>
  <c r="BE140" i="16"/>
  <c r="R140" i="16"/>
  <c r="Q140" i="16"/>
  <c r="P140" i="16"/>
  <c r="O140" i="16"/>
  <c r="M140" i="16"/>
  <c r="L140" i="16"/>
  <c r="K140" i="16"/>
  <c r="J140" i="16"/>
  <c r="I140" i="16"/>
  <c r="BW139" i="16"/>
  <c r="BX139" i="16" s="1"/>
  <c r="BU139" i="16"/>
  <c r="BM139" i="16"/>
  <c r="BE139" i="16"/>
  <c r="R139" i="16"/>
  <c r="Q139" i="16"/>
  <c r="P139" i="16"/>
  <c r="O139" i="16"/>
  <c r="M139" i="16"/>
  <c r="L139" i="16"/>
  <c r="K139" i="16"/>
  <c r="J139" i="16"/>
  <c r="I139" i="16"/>
  <c r="BW138" i="16"/>
  <c r="BX138" i="16" s="1"/>
  <c r="BU138" i="16"/>
  <c r="BM138" i="16"/>
  <c r="BE138" i="16"/>
  <c r="R138" i="16"/>
  <c r="Q138" i="16"/>
  <c r="P138" i="16"/>
  <c r="O138" i="16"/>
  <c r="M138" i="16"/>
  <c r="L138" i="16"/>
  <c r="K138" i="16"/>
  <c r="J138" i="16"/>
  <c r="I138" i="16"/>
  <c r="BW137" i="16"/>
  <c r="BX137" i="16" s="1"/>
  <c r="BU137" i="16"/>
  <c r="BM137" i="16"/>
  <c r="BE137" i="16"/>
  <c r="R137" i="16"/>
  <c r="Q137" i="16"/>
  <c r="P137" i="16"/>
  <c r="O137" i="16"/>
  <c r="M137" i="16"/>
  <c r="L137" i="16"/>
  <c r="K137" i="16"/>
  <c r="J137" i="16"/>
  <c r="I137" i="16"/>
  <c r="BW136" i="16"/>
  <c r="BX136" i="16" s="1"/>
  <c r="BU136" i="16"/>
  <c r="BM136" i="16"/>
  <c r="BE136" i="16"/>
  <c r="R136" i="16"/>
  <c r="Q136" i="16"/>
  <c r="P136" i="16"/>
  <c r="O136" i="16"/>
  <c r="M136" i="16"/>
  <c r="L136" i="16"/>
  <c r="K136" i="16"/>
  <c r="J136" i="16"/>
  <c r="I136" i="16"/>
  <c r="BU135" i="16"/>
  <c r="BM135" i="16"/>
  <c r="BE135" i="16"/>
  <c r="R135" i="16"/>
  <c r="Q135" i="16"/>
  <c r="P135" i="16"/>
  <c r="O135" i="16"/>
  <c r="M135" i="16"/>
  <c r="L135" i="16"/>
  <c r="K135" i="16"/>
  <c r="J135" i="16"/>
  <c r="I135" i="16"/>
  <c r="BT134" i="16"/>
  <c r="BS134" i="16"/>
  <c r="BR134" i="16"/>
  <c r="BQ134" i="16"/>
  <c r="BP134" i="16"/>
  <c r="BO134" i="16"/>
  <c r="BN134" i="16"/>
  <c r="BU134" i="16" s="1"/>
  <c r="BM134" i="16"/>
  <c r="BD134" i="16"/>
  <c r="BC134" i="16"/>
  <c r="BB134" i="16"/>
  <c r="BA134" i="16"/>
  <c r="AZ134" i="16"/>
  <c r="AY134" i="16"/>
  <c r="AX134" i="16"/>
  <c r="BE134" i="16" s="1"/>
  <c r="AB134" i="16"/>
  <c r="Z134" i="16"/>
  <c r="X134" i="16"/>
  <c r="V134" i="16"/>
  <c r="BW133" i="16"/>
  <c r="BX133" i="16" s="1"/>
  <c r="BU133" i="16"/>
  <c r="BM133" i="16"/>
  <c r="BE133" i="16"/>
  <c r="R133" i="16"/>
  <c r="Q133" i="16"/>
  <c r="P133" i="16"/>
  <c r="O133" i="16"/>
  <c r="M133" i="16"/>
  <c r="L133" i="16"/>
  <c r="K133" i="16"/>
  <c r="J133" i="16"/>
  <c r="I133" i="16"/>
  <c r="BW132" i="16"/>
  <c r="BX132" i="16" s="1"/>
  <c r="BU132" i="16"/>
  <c r="BM132" i="16"/>
  <c r="BE132" i="16"/>
  <c r="R132" i="16"/>
  <c r="Q132" i="16"/>
  <c r="P132" i="16"/>
  <c r="O132" i="16"/>
  <c r="M132" i="16"/>
  <c r="L132" i="16"/>
  <c r="K132" i="16"/>
  <c r="J132" i="16"/>
  <c r="I132" i="16"/>
  <c r="BU131" i="16"/>
  <c r="BM131" i="16"/>
  <c r="BE131" i="16"/>
  <c r="BW131" i="16"/>
  <c r="BX131" i="16" s="1"/>
  <c r="R131" i="16"/>
  <c r="Q131" i="16"/>
  <c r="P131" i="16"/>
  <c r="O131" i="16"/>
  <c r="M131" i="16"/>
  <c r="L131" i="16"/>
  <c r="K131" i="16"/>
  <c r="J131" i="16"/>
  <c r="I131" i="16"/>
  <c r="BW130" i="16"/>
  <c r="BX130" i="16" s="1"/>
  <c r="BU130" i="16"/>
  <c r="BM130" i="16"/>
  <c r="BE130" i="16"/>
  <c r="R130" i="16"/>
  <c r="Q130" i="16"/>
  <c r="P130" i="16"/>
  <c r="O130" i="16"/>
  <c r="M130" i="16"/>
  <c r="L130" i="16"/>
  <c r="K130" i="16"/>
  <c r="J130" i="16"/>
  <c r="I130" i="16"/>
  <c r="BW129" i="16"/>
  <c r="BX129" i="16" s="1"/>
  <c r="BU129" i="16"/>
  <c r="BM129" i="16"/>
  <c r="BE129" i="16"/>
  <c r="R129" i="16"/>
  <c r="Q129" i="16"/>
  <c r="P129" i="16"/>
  <c r="O129" i="16"/>
  <c r="M129" i="16"/>
  <c r="L129" i="16"/>
  <c r="K129" i="16"/>
  <c r="J129" i="16"/>
  <c r="I129" i="16"/>
  <c r="BU128" i="16"/>
  <c r="BM128" i="16"/>
  <c r="BE128" i="16"/>
  <c r="R128" i="16"/>
  <c r="Q128" i="16"/>
  <c r="P128" i="16"/>
  <c r="O128" i="16"/>
  <c r="M128" i="16"/>
  <c r="L128" i="16"/>
  <c r="K128" i="16"/>
  <c r="J128" i="16"/>
  <c r="I128" i="16"/>
  <c r="BW127" i="16"/>
  <c r="BX127" i="16" s="1"/>
  <c r="BU127" i="16"/>
  <c r="BM127" i="16"/>
  <c r="BE127" i="16"/>
  <c r="R127" i="16"/>
  <c r="Q127" i="16"/>
  <c r="P127" i="16"/>
  <c r="O127" i="16"/>
  <c r="M127" i="16"/>
  <c r="L127" i="16"/>
  <c r="K127" i="16"/>
  <c r="J127" i="16"/>
  <c r="I127" i="16"/>
  <c r="BW126" i="16"/>
  <c r="BX126" i="16" s="1"/>
  <c r="BU126" i="16"/>
  <c r="BM126" i="16"/>
  <c r="BE126" i="16"/>
  <c r="R126" i="16"/>
  <c r="Q126" i="16"/>
  <c r="P126" i="16"/>
  <c r="O126" i="16"/>
  <c r="M126" i="16"/>
  <c r="L126" i="16"/>
  <c r="K126" i="16"/>
  <c r="J126" i="16"/>
  <c r="I126" i="16"/>
  <c r="BW125" i="16"/>
  <c r="BX125" i="16" s="1"/>
  <c r="BU125" i="16"/>
  <c r="BM125" i="16"/>
  <c r="BE125" i="16"/>
  <c r="R125" i="16"/>
  <c r="Q125" i="16"/>
  <c r="P125" i="16"/>
  <c r="O125" i="16"/>
  <c r="M125" i="16"/>
  <c r="L125" i="16"/>
  <c r="K125" i="16"/>
  <c r="J125" i="16"/>
  <c r="I125" i="16"/>
  <c r="BW124" i="16"/>
  <c r="BX124" i="16" s="1"/>
  <c r="BU124" i="16"/>
  <c r="BM124" i="16"/>
  <c r="BE124" i="16"/>
  <c r="R124" i="16"/>
  <c r="Q124" i="16"/>
  <c r="P124" i="16"/>
  <c r="O124" i="16"/>
  <c r="M124" i="16"/>
  <c r="L124" i="16"/>
  <c r="K124" i="16"/>
  <c r="J124" i="16"/>
  <c r="I124" i="16"/>
  <c r="BW123" i="16"/>
  <c r="BX123" i="16" s="1"/>
  <c r="BU123" i="16"/>
  <c r="BM123" i="16"/>
  <c r="BE123" i="16"/>
  <c r="R123" i="16"/>
  <c r="Q123" i="16"/>
  <c r="P123" i="16"/>
  <c r="O123" i="16"/>
  <c r="M123" i="16"/>
  <c r="L123" i="16"/>
  <c r="K123" i="16"/>
  <c r="J123" i="16"/>
  <c r="I123" i="16"/>
  <c r="BW122" i="16"/>
  <c r="BX122" i="16" s="1"/>
  <c r="BU122" i="16"/>
  <c r="BM122" i="16"/>
  <c r="BE122" i="16"/>
  <c r="R122" i="16"/>
  <c r="Q122" i="16"/>
  <c r="P122" i="16"/>
  <c r="O122" i="16"/>
  <c r="M122" i="16"/>
  <c r="L122" i="16"/>
  <c r="K122" i="16"/>
  <c r="J122" i="16"/>
  <c r="I122" i="16"/>
  <c r="BW121" i="16"/>
  <c r="BX121" i="16" s="1"/>
  <c r="BU121" i="16"/>
  <c r="BM121" i="16"/>
  <c r="BE121" i="16"/>
  <c r="R121" i="16"/>
  <c r="Q121" i="16"/>
  <c r="P121" i="16"/>
  <c r="O121" i="16"/>
  <c r="M121" i="16"/>
  <c r="L121" i="16"/>
  <c r="K121" i="16"/>
  <c r="J121" i="16"/>
  <c r="I121" i="16"/>
  <c r="BW120" i="16"/>
  <c r="BX120" i="16" s="1"/>
  <c r="BU120" i="16"/>
  <c r="BM120" i="16"/>
  <c r="BE120" i="16"/>
  <c r="R120" i="16"/>
  <c r="Q120" i="16"/>
  <c r="P120" i="16"/>
  <c r="O120" i="16"/>
  <c r="M120" i="16"/>
  <c r="L120" i="16"/>
  <c r="K120" i="16"/>
  <c r="J120" i="16"/>
  <c r="I120" i="16"/>
  <c r="BW119" i="16"/>
  <c r="BT119" i="16"/>
  <c r="BS119" i="16"/>
  <c r="BR119" i="16"/>
  <c r="BQ119" i="16"/>
  <c r="BP119" i="16"/>
  <c r="BO119" i="16"/>
  <c r="BN119" i="16"/>
  <c r="BU119" i="16" s="1"/>
  <c r="BM119" i="16"/>
  <c r="BD119" i="16"/>
  <c r="BC119" i="16"/>
  <c r="BB119" i="16"/>
  <c r="BA119" i="16"/>
  <c r="AZ119" i="16"/>
  <c r="AY119" i="16"/>
  <c r="AX119" i="16"/>
  <c r="BE119" i="16" s="1"/>
  <c r="AB119" i="16"/>
  <c r="Z119" i="16"/>
  <c r="X119" i="16"/>
  <c r="V119" i="16"/>
  <c r="BW118" i="16"/>
  <c r="BU118" i="16"/>
  <c r="BM118" i="16"/>
  <c r="BE118" i="16"/>
  <c r="BW117" i="16"/>
  <c r="BX117" i="16" s="1"/>
  <c r="BU117" i="16"/>
  <c r="BM117" i="16"/>
  <c r="BE117" i="16"/>
  <c r="R117" i="16"/>
  <c r="Q117" i="16"/>
  <c r="P117" i="16"/>
  <c r="O117" i="16"/>
  <c r="M117" i="16"/>
  <c r="L117" i="16"/>
  <c r="K117" i="16"/>
  <c r="J117" i="16"/>
  <c r="I117" i="16"/>
  <c r="BW116" i="16"/>
  <c r="BX116" i="16" s="1"/>
  <c r="BU116" i="16"/>
  <c r="BM116" i="16"/>
  <c r="BE116" i="16"/>
  <c r="R116" i="16"/>
  <c r="Q116" i="16"/>
  <c r="P116" i="16"/>
  <c r="O116" i="16"/>
  <c r="M116" i="16"/>
  <c r="L116" i="16"/>
  <c r="K116" i="16"/>
  <c r="J116" i="16"/>
  <c r="I116" i="16"/>
  <c r="BW115" i="16"/>
  <c r="BU115" i="16"/>
  <c r="BM115" i="16"/>
  <c r="BE115" i="16"/>
  <c r="R115" i="16"/>
  <c r="Q115" i="16"/>
  <c r="P115" i="16"/>
  <c r="O115" i="16"/>
  <c r="M115" i="16"/>
  <c r="L115" i="16"/>
  <c r="K115" i="16"/>
  <c r="J115" i="16"/>
  <c r="I115" i="16"/>
  <c r="BU114" i="16"/>
  <c r="BM114" i="16"/>
  <c r="BE114" i="16"/>
  <c r="R114" i="16"/>
  <c r="Q114" i="16"/>
  <c r="P114" i="16"/>
  <c r="O114" i="16"/>
  <c r="M114" i="16"/>
  <c r="L114" i="16"/>
  <c r="K114" i="16"/>
  <c r="J114" i="16"/>
  <c r="I114" i="16"/>
  <c r="BW113" i="16"/>
  <c r="BT113" i="16"/>
  <c r="BS113" i="16"/>
  <c r="BR113" i="16"/>
  <c r="BQ113" i="16"/>
  <c r="BP113" i="16"/>
  <c r="BO113" i="16"/>
  <c r="BN113" i="16"/>
  <c r="BU113" i="16" s="1"/>
  <c r="BM113" i="16"/>
  <c r="BD113" i="16"/>
  <c r="BC113" i="16"/>
  <c r="BB113" i="16"/>
  <c r="BA113" i="16"/>
  <c r="AZ113" i="16"/>
  <c r="AY113" i="16"/>
  <c r="AX113" i="16"/>
  <c r="BE113" i="16" s="1"/>
  <c r="AB113" i="16"/>
  <c r="Z113" i="16"/>
  <c r="X113" i="16"/>
  <c r="V113" i="16"/>
  <c r="BW112" i="16"/>
  <c r="BX112" i="16" s="1"/>
  <c r="BU112" i="16"/>
  <c r="BM112" i="16"/>
  <c r="BE112" i="16"/>
  <c r="R112" i="16"/>
  <c r="Q112" i="16"/>
  <c r="P112" i="16"/>
  <c r="O112" i="16"/>
  <c r="M112" i="16"/>
  <c r="L112" i="16"/>
  <c r="K112" i="16"/>
  <c r="J112" i="16"/>
  <c r="I112" i="16"/>
  <c r="BW111" i="16"/>
  <c r="BX111" i="16" s="1"/>
  <c r="BU111" i="16"/>
  <c r="BM111" i="16"/>
  <c r="BE111" i="16"/>
  <c r="R111" i="16"/>
  <c r="Q111" i="16"/>
  <c r="P111" i="16"/>
  <c r="O111" i="16"/>
  <c r="M111" i="16"/>
  <c r="L111" i="16"/>
  <c r="K111" i="16"/>
  <c r="J111" i="16"/>
  <c r="I111" i="16"/>
  <c r="BW110" i="16"/>
  <c r="BX110" i="16" s="1"/>
  <c r="BU110" i="16"/>
  <c r="BM110" i="16"/>
  <c r="BE110" i="16"/>
  <c r="R110" i="16"/>
  <c r="Q110" i="16"/>
  <c r="P110" i="16"/>
  <c r="O110" i="16"/>
  <c r="M110" i="16"/>
  <c r="L110" i="16"/>
  <c r="K110" i="16"/>
  <c r="J110" i="16"/>
  <c r="I110" i="16"/>
  <c r="BW109" i="16"/>
  <c r="BX109" i="16" s="1"/>
  <c r="BU109" i="16"/>
  <c r="BM109" i="16"/>
  <c r="BE109" i="16"/>
  <c r="R109" i="16"/>
  <c r="Q109" i="16"/>
  <c r="P109" i="16"/>
  <c r="O109" i="16"/>
  <c r="M109" i="16"/>
  <c r="L109" i="16"/>
  <c r="K109" i="16"/>
  <c r="J109" i="16"/>
  <c r="I109" i="16"/>
  <c r="BU108" i="16"/>
  <c r="BM108" i="16"/>
  <c r="BE108" i="16"/>
  <c r="R108" i="16"/>
  <c r="Q108" i="16"/>
  <c r="P108" i="16"/>
  <c r="O108" i="16"/>
  <c r="M108" i="16"/>
  <c r="L108" i="16"/>
  <c r="K108" i="16"/>
  <c r="J108" i="16"/>
  <c r="I108" i="16"/>
  <c r="BT107" i="16"/>
  <c r="BS107" i="16"/>
  <c r="BR107" i="16"/>
  <c r="BQ107" i="16"/>
  <c r="BP107" i="16"/>
  <c r="BO107" i="16"/>
  <c r="BN107" i="16"/>
  <c r="BU107" i="16" s="1"/>
  <c r="BM107" i="16"/>
  <c r="BD107" i="16"/>
  <c r="BC107" i="16"/>
  <c r="BB107" i="16"/>
  <c r="BA107" i="16"/>
  <c r="AZ107" i="16"/>
  <c r="AY107" i="16"/>
  <c r="AX107" i="16"/>
  <c r="BE107" i="16" s="1"/>
  <c r="AB107" i="16"/>
  <c r="Z107" i="16"/>
  <c r="X107" i="16"/>
  <c r="BU106" i="16"/>
  <c r="BM106" i="16"/>
  <c r="BE106" i="16"/>
  <c r="BW105" i="16"/>
  <c r="BX105" i="16" s="1"/>
  <c r="BU105" i="16"/>
  <c r="BM105" i="16"/>
  <c r="BE105" i="16"/>
  <c r="R105" i="16"/>
  <c r="Q105" i="16"/>
  <c r="P105" i="16"/>
  <c r="O105" i="16"/>
  <c r="M105" i="16"/>
  <c r="L105" i="16"/>
  <c r="K105" i="16"/>
  <c r="J105" i="16"/>
  <c r="I105" i="16"/>
  <c r="BW104" i="16"/>
  <c r="BX104" i="16" s="1"/>
  <c r="BU104" i="16"/>
  <c r="BM104" i="16"/>
  <c r="BE104" i="16"/>
  <c r="R104" i="16"/>
  <c r="Q104" i="16"/>
  <c r="P104" i="16"/>
  <c r="O104" i="16"/>
  <c r="M104" i="16"/>
  <c r="L104" i="16"/>
  <c r="K104" i="16"/>
  <c r="J104" i="16"/>
  <c r="I104" i="16"/>
  <c r="BW103" i="16"/>
  <c r="BX103" i="16" s="1"/>
  <c r="BU103" i="16"/>
  <c r="BM103" i="16"/>
  <c r="BE103" i="16"/>
  <c r="R103" i="16"/>
  <c r="Q103" i="16"/>
  <c r="P103" i="16"/>
  <c r="O103" i="16"/>
  <c r="M103" i="16"/>
  <c r="L103" i="16"/>
  <c r="K103" i="16"/>
  <c r="J103" i="16"/>
  <c r="I103" i="16"/>
  <c r="BW102" i="16"/>
  <c r="BU102" i="16"/>
  <c r="BM102" i="16"/>
  <c r="BE102" i="16"/>
  <c r="R102" i="16"/>
  <c r="Q102" i="16"/>
  <c r="P102" i="16"/>
  <c r="O102" i="16"/>
  <c r="M102" i="16"/>
  <c r="L102" i="16"/>
  <c r="K102" i="16"/>
  <c r="J102" i="16"/>
  <c r="I102" i="16"/>
  <c r="BW101" i="16"/>
  <c r="BX101" i="16" s="1"/>
  <c r="BU101" i="16"/>
  <c r="BM101" i="16"/>
  <c r="BE101" i="16"/>
  <c r="R101" i="16"/>
  <c r="Q101" i="16"/>
  <c r="P101" i="16"/>
  <c r="O101" i="16"/>
  <c r="M101" i="16"/>
  <c r="L101" i="16"/>
  <c r="K101" i="16"/>
  <c r="J101" i="16"/>
  <c r="I101" i="16"/>
  <c r="BW100" i="16"/>
  <c r="BX100" i="16" s="1"/>
  <c r="BU100" i="16"/>
  <c r="BM100" i="16"/>
  <c r="BE100" i="16"/>
  <c r="R100" i="16"/>
  <c r="Q100" i="16"/>
  <c r="P100" i="16"/>
  <c r="O100" i="16"/>
  <c r="M100" i="16"/>
  <c r="L100" i="16"/>
  <c r="K100" i="16"/>
  <c r="J100" i="16"/>
  <c r="I100" i="16"/>
  <c r="BW99" i="16"/>
  <c r="BX99" i="16" s="1"/>
  <c r="BU99" i="16"/>
  <c r="BM99" i="16"/>
  <c r="BE99" i="16"/>
  <c r="R99" i="16"/>
  <c r="Q99" i="16"/>
  <c r="P99" i="16"/>
  <c r="O99" i="16"/>
  <c r="M99" i="16"/>
  <c r="L99" i="16"/>
  <c r="K99" i="16"/>
  <c r="J99" i="16"/>
  <c r="I99" i="16"/>
  <c r="BW98" i="16"/>
  <c r="BU98" i="16"/>
  <c r="BM98" i="16"/>
  <c r="BE98" i="16"/>
  <c r="R98" i="16"/>
  <c r="Q98" i="16"/>
  <c r="P98" i="16"/>
  <c r="O98" i="16"/>
  <c r="M98" i="16"/>
  <c r="L98" i="16"/>
  <c r="K98" i="16"/>
  <c r="J98" i="16"/>
  <c r="I98" i="16"/>
  <c r="BT97" i="16"/>
  <c r="BS97" i="16"/>
  <c r="BR97" i="16"/>
  <c r="BQ97" i="16"/>
  <c r="BP97" i="16"/>
  <c r="BO97" i="16"/>
  <c r="BN97" i="16"/>
  <c r="BU97" i="16" s="1"/>
  <c r="BM97" i="16"/>
  <c r="BD97" i="16"/>
  <c r="BC97" i="16"/>
  <c r="BB97" i="16"/>
  <c r="BA97" i="16"/>
  <c r="AZ97" i="16"/>
  <c r="AY97" i="16"/>
  <c r="AX97" i="16"/>
  <c r="BE97" i="16" s="1"/>
  <c r="AB97" i="16"/>
  <c r="Z97" i="16"/>
  <c r="X97" i="16"/>
  <c r="V97" i="16"/>
  <c r="BW96" i="16"/>
  <c r="BX96" i="16" s="1"/>
  <c r="BU96" i="16"/>
  <c r="BM96" i="16"/>
  <c r="BE96" i="16"/>
  <c r="R96" i="16"/>
  <c r="Q96" i="16"/>
  <c r="P96" i="16"/>
  <c r="O96" i="16"/>
  <c r="M96" i="16"/>
  <c r="L96" i="16"/>
  <c r="K96" i="16"/>
  <c r="J96" i="16"/>
  <c r="I96" i="16"/>
  <c r="BW95" i="16"/>
  <c r="BX95" i="16" s="1"/>
  <c r="BU95" i="16"/>
  <c r="BM95" i="16"/>
  <c r="BE95" i="16"/>
  <c r="R95" i="16"/>
  <c r="Q95" i="16"/>
  <c r="P95" i="16"/>
  <c r="O95" i="16"/>
  <c r="M95" i="16"/>
  <c r="L95" i="16"/>
  <c r="K95" i="16"/>
  <c r="J95" i="16"/>
  <c r="I95" i="16"/>
  <c r="BW94" i="16"/>
  <c r="BU94" i="16"/>
  <c r="BM94" i="16"/>
  <c r="BE94" i="16"/>
  <c r="R94" i="16"/>
  <c r="Q94" i="16"/>
  <c r="P94" i="16"/>
  <c r="O94" i="16"/>
  <c r="M94" i="16"/>
  <c r="L94" i="16"/>
  <c r="K94" i="16"/>
  <c r="J94" i="16"/>
  <c r="I94" i="16"/>
  <c r="BW93" i="16"/>
  <c r="BX93" i="16" s="1"/>
  <c r="BU93" i="16"/>
  <c r="BM93" i="16"/>
  <c r="BE93" i="16"/>
  <c r="R93" i="16"/>
  <c r="Q93" i="16"/>
  <c r="P93" i="16"/>
  <c r="O93" i="16"/>
  <c r="M93" i="16"/>
  <c r="L93" i="16"/>
  <c r="K93" i="16"/>
  <c r="J93" i="16"/>
  <c r="I93" i="16"/>
  <c r="BW92" i="16"/>
  <c r="BX92" i="16" s="1"/>
  <c r="BU92" i="16"/>
  <c r="BM92" i="16"/>
  <c r="BE92" i="16"/>
  <c r="R92" i="16"/>
  <c r="Q92" i="16"/>
  <c r="P92" i="16"/>
  <c r="O92" i="16"/>
  <c r="M92" i="16"/>
  <c r="L92" i="16"/>
  <c r="K92" i="16"/>
  <c r="J92" i="16"/>
  <c r="I92" i="16"/>
  <c r="BW91" i="16"/>
  <c r="BX91" i="16" s="1"/>
  <c r="BU91" i="16"/>
  <c r="BM91" i="16"/>
  <c r="BE91" i="16"/>
  <c r="R91" i="16"/>
  <c r="Q91" i="16"/>
  <c r="P91" i="16"/>
  <c r="O91" i="16"/>
  <c r="M91" i="16"/>
  <c r="L91" i="16"/>
  <c r="K91" i="16"/>
  <c r="J91" i="16"/>
  <c r="I91" i="16"/>
  <c r="BW90" i="16"/>
  <c r="BU90" i="16"/>
  <c r="BM90" i="16"/>
  <c r="BE90" i="16"/>
  <c r="R90" i="16"/>
  <c r="Q90" i="16"/>
  <c r="P90" i="16"/>
  <c r="O90" i="16"/>
  <c r="M90" i="16"/>
  <c r="L90" i="16"/>
  <c r="K90" i="16"/>
  <c r="J90" i="16"/>
  <c r="I90" i="16"/>
  <c r="BW89" i="16"/>
  <c r="AA89" i="16" s="1"/>
  <c r="CB89" i="16" s="1"/>
  <c r="CG89" i="16" s="1"/>
  <c r="BU89" i="16"/>
  <c r="BM89" i="16"/>
  <c r="BE89" i="16"/>
  <c r="R89" i="16"/>
  <c r="Q89" i="16"/>
  <c r="P89" i="16"/>
  <c r="O89" i="16"/>
  <c r="M89" i="16"/>
  <c r="L89" i="16"/>
  <c r="K89" i="16"/>
  <c r="J89" i="16"/>
  <c r="I89" i="16"/>
  <c r="BW88" i="16"/>
  <c r="BX88" i="16" s="1"/>
  <c r="BU88" i="16"/>
  <c r="BM88" i="16"/>
  <c r="BE88" i="16"/>
  <c r="R88" i="16"/>
  <c r="Q88" i="16"/>
  <c r="P88" i="16"/>
  <c r="O88" i="16"/>
  <c r="M88" i="16"/>
  <c r="L88" i="16"/>
  <c r="K88" i="16"/>
  <c r="J88" i="16"/>
  <c r="I88" i="16"/>
  <c r="BW87" i="16"/>
  <c r="BX87" i="16" s="1"/>
  <c r="BU87" i="16"/>
  <c r="BM87" i="16"/>
  <c r="BE87" i="16"/>
  <c r="R87" i="16"/>
  <c r="Q87" i="16"/>
  <c r="P87" i="16"/>
  <c r="O87" i="16"/>
  <c r="M87" i="16"/>
  <c r="L87" i="16"/>
  <c r="K87" i="16"/>
  <c r="J87" i="16"/>
  <c r="I87" i="16"/>
  <c r="BU86" i="16"/>
  <c r="BM86" i="16"/>
  <c r="BE86" i="16"/>
  <c r="R86" i="16"/>
  <c r="Q86" i="16"/>
  <c r="P86" i="16"/>
  <c r="O86" i="16"/>
  <c r="M86" i="16"/>
  <c r="L86" i="16"/>
  <c r="K86" i="16"/>
  <c r="J86" i="16"/>
  <c r="I86" i="16"/>
  <c r="BT85" i="16"/>
  <c r="BS85" i="16"/>
  <c r="BR85" i="16"/>
  <c r="BQ85" i="16"/>
  <c r="BP85" i="16"/>
  <c r="BO85" i="16"/>
  <c r="BN85" i="16"/>
  <c r="BU85" i="16" s="1"/>
  <c r="BM85" i="16"/>
  <c r="BD85" i="16"/>
  <c r="BC85" i="16"/>
  <c r="BB85" i="16"/>
  <c r="BA85" i="16"/>
  <c r="AZ85" i="16"/>
  <c r="AY85" i="16"/>
  <c r="AX85" i="16"/>
  <c r="BE85" i="16" s="1"/>
  <c r="AB85" i="16"/>
  <c r="Z85" i="16"/>
  <c r="X85" i="16"/>
  <c r="V85" i="16"/>
  <c r="BU84" i="16"/>
  <c r="BM84" i="16"/>
  <c r="BE84" i="16"/>
  <c r="BW83" i="16"/>
  <c r="BU83" i="16"/>
  <c r="BM83" i="16"/>
  <c r="R83" i="16"/>
  <c r="Q83" i="16"/>
  <c r="P83" i="16"/>
  <c r="O83" i="16"/>
  <c r="M83" i="16"/>
  <c r="L83" i="16"/>
  <c r="K83" i="16"/>
  <c r="J83" i="16"/>
  <c r="I83" i="16"/>
  <c r="BW82" i="16"/>
  <c r="BU82" i="16"/>
  <c r="BM82" i="16"/>
  <c r="R82" i="16"/>
  <c r="Q82" i="16"/>
  <c r="P82" i="16"/>
  <c r="O82" i="16"/>
  <c r="M82" i="16"/>
  <c r="L82" i="16"/>
  <c r="K82" i="16"/>
  <c r="J82" i="16"/>
  <c r="I82" i="16"/>
  <c r="BW81" i="16"/>
  <c r="BU81" i="16"/>
  <c r="BM81" i="16"/>
  <c r="R81" i="16"/>
  <c r="Q81" i="16"/>
  <c r="P81" i="16"/>
  <c r="O81" i="16"/>
  <c r="M81" i="16"/>
  <c r="L81" i="16"/>
  <c r="K81" i="16"/>
  <c r="J81" i="16"/>
  <c r="I81" i="16"/>
  <c r="BW80" i="16"/>
  <c r="BU80" i="16"/>
  <c r="BM80" i="16"/>
  <c r="R80" i="16"/>
  <c r="Q80" i="16"/>
  <c r="P80" i="16"/>
  <c r="O80" i="16"/>
  <c r="M80" i="16"/>
  <c r="L80" i="16"/>
  <c r="K80" i="16"/>
  <c r="J80" i="16"/>
  <c r="I80" i="16"/>
  <c r="BW79" i="16"/>
  <c r="BU79" i="16"/>
  <c r="BM79" i="16"/>
  <c r="R79" i="16"/>
  <c r="Q79" i="16"/>
  <c r="P79" i="16"/>
  <c r="O79" i="16"/>
  <c r="M79" i="16"/>
  <c r="L79" i="16"/>
  <c r="K79" i="16"/>
  <c r="J79" i="16"/>
  <c r="I79" i="16"/>
  <c r="BW78" i="16"/>
  <c r="BU78" i="16"/>
  <c r="BM78" i="16"/>
  <c r="R78" i="16"/>
  <c r="Q78" i="16"/>
  <c r="P78" i="16"/>
  <c r="O78" i="16"/>
  <c r="M78" i="16"/>
  <c r="L78" i="16"/>
  <c r="K78" i="16"/>
  <c r="J78" i="16"/>
  <c r="I78" i="16"/>
  <c r="BW77" i="16"/>
  <c r="BX77" i="16" s="1"/>
  <c r="BU77" i="16"/>
  <c r="BM77" i="16"/>
  <c r="R77" i="16"/>
  <c r="Q77" i="16"/>
  <c r="P77" i="16"/>
  <c r="O77" i="16"/>
  <c r="M77" i="16"/>
  <c r="L77" i="16"/>
  <c r="K77" i="16"/>
  <c r="J77" i="16"/>
  <c r="I77" i="16"/>
  <c r="BW76" i="16"/>
  <c r="BX76" i="16" s="1"/>
  <c r="BU76" i="16"/>
  <c r="BM76" i="16"/>
  <c r="R76" i="16"/>
  <c r="Q76" i="16"/>
  <c r="P76" i="16"/>
  <c r="O76" i="16"/>
  <c r="M76" i="16"/>
  <c r="L76" i="16"/>
  <c r="K76" i="16"/>
  <c r="J76" i="16"/>
  <c r="I76" i="16"/>
  <c r="BW75" i="16"/>
  <c r="BU75" i="16"/>
  <c r="BM75" i="16"/>
  <c r="R75" i="16"/>
  <c r="Q75" i="16"/>
  <c r="P75" i="16"/>
  <c r="O75" i="16"/>
  <c r="M75" i="16"/>
  <c r="L75" i="16"/>
  <c r="K75" i="16"/>
  <c r="J75" i="16"/>
  <c r="I75" i="16"/>
  <c r="BT74" i="16"/>
  <c r="BS74" i="16"/>
  <c r="BR74" i="16"/>
  <c r="BQ74" i="16"/>
  <c r="BP74" i="16"/>
  <c r="BO74" i="16"/>
  <c r="BN74" i="16"/>
  <c r="BU74" i="16" s="1"/>
  <c r="BM74" i="16"/>
  <c r="BD74" i="16"/>
  <c r="BC74" i="16"/>
  <c r="BB74" i="16"/>
  <c r="BA74" i="16"/>
  <c r="AZ74" i="16"/>
  <c r="AY74" i="16"/>
  <c r="AX74" i="16"/>
  <c r="BE74" i="16" s="1"/>
  <c r="AB74" i="16"/>
  <c r="Z74" i="16"/>
  <c r="X74" i="16"/>
  <c r="V74" i="16"/>
  <c r="BW73" i="16"/>
  <c r="AA73" i="16" s="1"/>
  <c r="CB73" i="16" s="1"/>
  <c r="CG73" i="16" s="1"/>
  <c r="BU73" i="16"/>
  <c r="BM73" i="16"/>
  <c r="BE73" i="16"/>
  <c r="R73" i="16"/>
  <c r="Q73" i="16"/>
  <c r="P73" i="16"/>
  <c r="O73" i="16"/>
  <c r="M73" i="16"/>
  <c r="L73" i="16"/>
  <c r="K73" i="16"/>
  <c r="J73" i="16"/>
  <c r="I73" i="16"/>
  <c r="BW72" i="16"/>
  <c r="BX72" i="16" s="1"/>
  <c r="BU72" i="16"/>
  <c r="BM72" i="16"/>
  <c r="BE72" i="16"/>
  <c r="R72" i="16"/>
  <c r="Q72" i="16"/>
  <c r="P72" i="16"/>
  <c r="O72" i="16"/>
  <c r="M72" i="16"/>
  <c r="L72" i="16"/>
  <c r="K72" i="16"/>
  <c r="J72" i="16"/>
  <c r="I72" i="16"/>
  <c r="BW71" i="16"/>
  <c r="BU71" i="16"/>
  <c r="BM71" i="16"/>
  <c r="BE71" i="16"/>
  <c r="R71" i="16"/>
  <c r="Q71" i="16"/>
  <c r="P71" i="16"/>
  <c r="O71" i="16"/>
  <c r="M71" i="16"/>
  <c r="L71" i="16"/>
  <c r="K71" i="16"/>
  <c r="J71" i="16"/>
  <c r="I71" i="16"/>
  <c r="BW70" i="16"/>
  <c r="BU70" i="16"/>
  <c r="BM70" i="16"/>
  <c r="BE70" i="16"/>
  <c r="R70" i="16"/>
  <c r="Q70" i="16"/>
  <c r="P70" i="16"/>
  <c r="O70" i="16"/>
  <c r="M70" i="16"/>
  <c r="L70" i="16"/>
  <c r="K70" i="16"/>
  <c r="J70" i="16"/>
  <c r="I70" i="16"/>
  <c r="BW69" i="16"/>
  <c r="AA69" i="16" s="1"/>
  <c r="CB69" i="16" s="1"/>
  <c r="CG69" i="16" s="1"/>
  <c r="BU69" i="16"/>
  <c r="BM69" i="16"/>
  <c r="BE69" i="16"/>
  <c r="R69" i="16"/>
  <c r="Q69" i="16"/>
  <c r="P69" i="16"/>
  <c r="O69" i="16"/>
  <c r="M69" i="16"/>
  <c r="L69" i="16"/>
  <c r="K69" i="16"/>
  <c r="J69" i="16"/>
  <c r="I69" i="16"/>
  <c r="BW68" i="16"/>
  <c r="BX68" i="16" s="1"/>
  <c r="BU68" i="16"/>
  <c r="BM68" i="16"/>
  <c r="BE68" i="16"/>
  <c r="R68" i="16"/>
  <c r="Q68" i="16"/>
  <c r="P68" i="16"/>
  <c r="O68" i="16"/>
  <c r="M68" i="16"/>
  <c r="L68" i="16"/>
  <c r="K68" i="16"/>
  <c r="J68" i="16"/>
  <c r="I68" i="16"/>
  <c r="BU67" i="16"/>
  <c r="BM67" i="16"/>
  <c r="BE67" i="16"/>
  <c r="BW67" i="16"/>
  <c r="BX67" i="16" s="1"/>
  <c r="R67" i="16"/>
  <c r="Q67" i="16"/>
  <c r="P67" i="16"/>
  <c r="O67" i="16"/>
  <c r="M67" i="16"/>
  <c r="L67" i="16"/>
  <c r="K67" i="16"/>
  <c r="J67" i="16"/>
  <c r="I67" i="16"/>
  <c r="BW66" i="16"/>
  <c r="BX66" i="16" s="1"/>
  <c r="BU66" i="16"/>
  <c r="BM66" i="16"/>
  <c r="BE66" i="16"/>
  <c r="R66" i="16"/>
  <c r="Q66" i="16"/>
  <c r="P66" i="16"/>
  <c r="O66" i="16"/>
  <c r="M66" i="16"/>
  <c r="L66" i="16"/>
  <c r="K66" i="16"/>
  <c r="J66" i="16"/>
  <c r="I66" i="16"/>
  <c r="BW65" i="16"/>
  <c r="AA65" i="16" s="1"/>
  <c r="CB65" i="16" s="1"/>
  <c r="CG65" i="16" s="1"/>
  <c r="BU65" i="16"/>
  <c r="BM65" i="16"/>
  <c r="BE65" i="16"/>
  <c r="R65" i="16"/>
  <c r="Q65" i="16"/>
  <c r="P65" i="16"/>
  <c r="O65" i="16"/>
  <c r="M65" i="16"/>
  <c r="L65" i="16"/>
  <c r="K65" i="16"/>
  <c r="J65" i="16"/>
  <c r="I65" i="16"/>
  <c r="BW64" i="16"/>
  <c r="BX64" i="16" s="1"/>
  <c r="BU64" i="16"/>
  <c r="BM64" i="16"/>
  <c r="BE64" i="16"/>
  <c r="R64" i="16"/>
  <c r="Q64" i="16"/>
  <c r="P64" i="16"/>
  <c r="O64" i="16"/>
  <c r="M64" i="16"/>
  <c r="L64" i="16"/>
  <c r="K64" i="16"/>
  <c r="J64" i="16"/>
  <c r="I64" i="16"/>
  <c r="BW63" i="16"/>
  <c r="BX63" i="16" s="1"/>
  <c r="BU63" i="16"/>
  <c r="BM63" i="16"/>
  <c r="BE63" i="16"/>
  <c r="R63" i="16"/>
  <c r="Q63" i="16"/>
  <c r="P63" i="16"/>
  <c r="O63" i="16"/>
  <c r="M63" i="16"/>
  <c r="L63" i="16"/>
  <c r="K63" i="16"/>
  <c r="J63" i="16"/>
  <c r="I63" i="16"/>
  <c r="BW62" i="16"/>
  <c r="BX62" i="16" s="1"/>
  <c r="BU62" i="16"/>
  <c r="BM62" i="16"/>
  <c r="BE62" i="16"/>
  <c r="R62" i="16"/>
  <c r="Q62" i="16"/>
  <c r="P62" i="16"/>
  <c r="O62" i="16"/>
  <c r="M62" i="16"/>
  <c r="L62" i="16"/>
  <c r="K62" i="16"/>
  <c r="J62" i="16"/>
  <c r="I62" i="16"/>
  <c r="BW61" i="16"/>
  <c r="BX61" i="16" s="1"/>
  <c r="BU61" i="16"/>
  <c r="BM61" i="16"/>
  <c r="BE61" i="16"/>
  <c r="R61" i="16"/>
  <c r="Q61" i="16"/>
  <c r="P61" i="16"/>
  <c r="O61" i="16"/>
  <c r="M61" i="16"/>
  <c r="L61" i="16"/>
  <c r="K61" i="16"/>
  <c r="J61" i="16"/>
  <c r="I61" i="16"/>
  <c r="BW60" i="16"/>
  <c r="BX60" i="16" s="1"/>
  <c r="BU60" i="16"/>
  <c r="BM60" i="16"/>
  <c r="BE60" i="16"/>
  <c r="R60" i="16"/>
  <c r="Q60" i="16"/>
  <c r="P60" i="16"/>
  <c r="O60" i="16"/>
  <c r="M60" i="16"/>
  <c r="L60" i="16"/>
  <c r="K60" i="16"/>
  <c r="J60" i="16"/>
  <c r="I60" i="16"/>
  <c r="BW59" i="16"/>
  <c r="BX59" i="16" s="1"/>
  <c r="BU59" i="16"/>
  <c r="BM59" i="16"/>
  <c r="BE59" i="16"/>
  <c r="R59" i="16"/>
  <c r="Q59" i="16"/>
  <c r="P59" i="16"/>
  <c r="O59" i="16"/>
  <c r="M59" i="16"/>
  <c r="L59" i="16"/>
  <c r="K59" i="16"/>
  <c r="J59" i="16"/>
  <c r="I59" i="16"/>
  <c r="BU58" i="16"/>
  <c r="BM58" i="16"/>
  <c r="BE58" i="16"/>
  <c r="BW58" i="16"/>
  <c r="BX58" i="16" s="1"/>
  <c r="R58" i="16"/>
  <c r="Q58" i="16"/>
  <c r="P58" i="16"/>
  <c r="O58" i="16"/>
  <c r="M58" i="16"/>
  <c r="L58" i="16"/>
  <c r="K58" i="16"/>
  <c r="J58" i="16"/>
  <c r="I58" i="16"/>
  <c r="BW57" i="16"/>
  <c r="BX57" i="16" s="1"/>
  <c r="BU57" i="16"/>
  <c r="BM57" i="16"/>
  <c r="BE57" i="16"/>
  <c r="R57" i="16"/>
  <c r="Q57" i="16"/>
  <c r="P57" i="16"/>
  <c r="O57" i="16"/>
  <c r="M57" i="16"/>
  <c r="L57" i="16"/>
  <c r="K57" i="16"/>
  <c r="J57" i="16"/>
  <c r="I57" i="16"/>
  <c r="BW56" i="16"/>
  <c r="BX56" i="16" s="1"/>
  <c r="BU56" i="16"/>
  <c r="BM56" i="16"/>
  <c r="BE56" i="16"/>
  <c r="R56" i="16"/>
  <c r="Q56" i="16"/>
  <c r="P56" i="16"/>
  <c r="O56" i="16"/>
  <c r="M56" i="16"/>
  <c r="L56" i="16"/>
  <c r="K56" i="16"/>
  <c r="J56" i="16"/>
  <c r="I56" i="16"/>
  <c r="BW55" i="16"/>
  <c r="BX55" i="16" s="1"/>
  <c r="BU55" i="16"/>
  <c r="BM55" i="16"/>
  <c r="BE55" i="16"/>
  <c r="R55" i="16"/>
  <c r="Q55" i="16"/>
  <c r="P55" i="16"/>
  <c r="O55" i="16"/>
  <c r="M55" i="16"/>
  <c r="L55" i="16"/>
  <c r="K55" i="16"/>
  <c r="J55" i="16"/>
  <c r="I55" i="16"/>
  <c r="BW54" i="16"/>
  <c r="BX54" i="16" s="1"/>
  <c r="BU54" i="16"/>
  <c r="BM54" i="16"/>
  <c r="BE54" i="16"/>
  <c r="R54" i="16"/>
  <c r="Q54" i="16"/>
  <c r="P54" i="16"/>
  <c r="O54" i="16"/>
  <c r="M54" i="16"/>
  <c r="L54" i="16"/>
  <c r="K54" i="16"/>
  <c r="J54" i="16"/>
  <c r="I54" i="16"/>
  <c r="BU53" i="16"/>
  <c r="BM53" i="16"/>
  <c r="BE53" i="16"/>
  <c r="R53" i="16"/>
  <c r="Q53" i="16"/>
  <c r="P53" i="16"/>
  <c r="O53" i="16"/>
  <c r="M53" i="16"/>
  <c r="L53" i="16"/>
  <c r="K53" i="16"/>
  <c r="J53" i="16"/>
  <c r="I53" i="16"/>
  <c r="BW52" i="16"/>
  <c r="BX52" i="16" s="1"/>
  <c r="BU52" i="16"/>
  <c r="BM52" i="16"/>
  <c r="BE52" i="16"/>
  <c r="R52" i="16"/>
  <c r="Q52" i="16"/>
  <c r="P52" i="16"/>
  <c r="O52" i="16"/>
  <c r="M52" i="16"/>
  <c r="L52" i="16"/>
  <c r="K52" i="16"/>
  <c r="J52" i="16"/>
  <c r="I52" i="16"/>
  <c r="BU51" i="16"/>
  <c r="BM51" i="16"/>
  <c r="BE51" i="16"/>
  <c r="R51" i="16"/>
  <c r="Q51" i="16"/>
  <c r="P51" i="16"/>
  <c r="O51" i="16"/>
  <c r="M51" i="16"/>
  <c r="L51" i="16"/>
  <c r="K51" i="16"/>
  <c r="J51" i="16"/>
  <c r="I51" i="16"/>
  <c r="BW50" i="16"/>
  <c r="BT50" i="16"/>
  <c r="BS50" i="16"/>
  <c r="BR50" i="16"/>
  <c r="BQ50" i="16"/>
  <c r="BP50" i="16"/>
  <c r="BO50" i="16"/>
  <c r="BN50" i="16"/>
  <c r="BU50" i="16" s="1"/>
  <c r="BM50" i="16"/>
  <c r="BD50" i="16"/>
  <c r="BC50" i="16"/>
  <c r="BB50" i="16"/>
  <c r="BA50" i="16"/>
  <c r="AZ50" i="16"/>
  <c r="AY50" i="16"/>
  <c r="AX50" i="16"/>
  <c r="BE50" i="16" s="1"/>
  <c r="AB50" i="16"/>
  <c r="Z50" i="16"/>
  <c r="X50" i="16"/>
  <c r="V50" i="16"/>
  <c r="BW49" i="16"/>
  <c r="BU49" i="16"/>
  <c r="BM49" i="16"/>
  <c r="BE49" i="16"/>
  <c r="BW47" i="16"/>
  <c r="BU47" i="16"/>
  <c r="BM47" i="16"/>
  <c r="BE47" i="16"/>
  <c r="BU46" i="16"/>
  <c r="BM46" i="16"/>
  <c r="BE46" i="16"/>
  <c r="BW46" i="16"/>
  <c r="BX46" i="16" s="1"/>
  <c r="R46" i="16"/>
  <c r="Q46" i="16"/>
  <c r="P46" i="16"/>
  <c r="O46" i="16"/>
  <c r="M46" i="16"/>
  <c r="L46" i="16"/>
  <c r="K46" i="16"/>
  <c r="J46" i="16"/>
  <c r="I46" i="16"/>
  <c r="BW45" i="16"/>
  <c r="BX45" i="16" s="1"/>
  <c r="BU45" i="16"/>
  <c r="BM45" i="16"/>
  <c r="BE45" i="16"/>
  <c r="R45" i="16"/>
  <c r="Q45" i="16"/>
  <c r="P45" i="16"/>
  <c r="O45" i="16"/>
  <c r="M45" i="16"/>
  <c r="L45" i="16"/>
  <c r="K45" i="16"/>
  <c r="J45" i="16"/>
  <c r="I45" i="16"/>
  <c r="BW44" i="16"/>
  <c r="BX44" i="16" s="1"/>
  <c r="BU44" i="16"/>
  <c r="BM44" i="16"/>
  <c r="BE44" i="16"/>
  <c r="R44" i="16"/>
  <c r="Q44" i="16"/>
  <c r="P44" i="16"/>
  <c r="O44" i="16"/>
  <c r="M44" i="16"/>
  <c r="L44" i="16"/>
  <c r="K44" i="16"/>
  <c r="J44" i="16"/>
  <c r="I44" i="16"/>
  <c r="BW43" i="16"/>
  <c r="BX43" i="16" s="1"/>
  <c r="BU43" i="16"/>
  <c r="BM43" i="16"/>
  <c r="BE43" i="16"/>
  <c r="R43" i="16"/>
  <c r="Q43" i="16"/>
  <c r="P43" i="16"/>
  <c r="O43" i="16"/>
  <c r="M43" i="16"/>
  <c r="L43" i="16"/>
  <c r="K43" i="16"/>
  <c r="J43" i="16"/>
  <c r="I43" i="16"/>
  <c r="BW42" i="16"/>
  <c r="BT42" i="16"/>
  <c r="BS42" i="16"/>
  <c r="BR42" i="16"/>
  <c r="BQ42" i="16"/>
  <c r="BP42" i="16"/>
  <c r="BO42" i="16"/>
  <c r="BN42" i="16"/>
  <c r="BU42" i="16" s="1"/>
  <c r="BM42" i="16"/>
  <c r="BD42" i="16"/>
  <c r="BC42" i="16"/>
  <c r="BB42" i="16"/>
  <c r="BA42" i="16"/>
  <c r="AZ42" i="16"/>
  <c r="AY42" i="16"/>
  <c r="AX42" i="16"/>
  <c r="BE42" i="16" s="1"/>
  <c r="AB42" i="16"/>
  <c r="Z42" i="16"/>
  <c r="X42" i="16"/>
  <c r="V42" i="16"/>
  <c r="BW41" i="16"/>
  <c r="BX41" i="16" s="1"/>
  <c r="BU41" i="16"/>
  <c r="BM41" i="16"/>
  <c r="BE41" i="16"/>
  <c r="R41" i="16"/>
  <c r="Q41" i="16"/>
  <c r="P41" i="16"/>
  <c r="O41" i="16"/>
  <c r="M41" i="16"/>
  <c r="L41" i="16"/>
  <c r="K41" i="16"/>
  <c r="J41" i="16"/>
  <c r="I41" i="16"/>
  <c r="BW40" i="16"/>
  <c r="BX40" i="16" s="1"/>
  <c r="BU40" i="16"/>
  <c r="BM40" i="16"/>
  <c r="BE40" i="16"/>
  <c r="R40" i="16"/>
  <c r="Q40" i="16"/>
  <c r="P40" i="16"/>
  <c r="O40" i="16"/>
  <c r="M40" i="16"/>
  <c r="L40" i="16"/>
  <c r="K40" i="16"/>
  <c r="J40" i="16"/>
  <c r="I40" i="16"/>
  <c r="BW39" i="16"/>
  <c r="BX39" i="16" s="1"/>
  <c r="BU39" i="16"/>
  <c r="BM39" i="16"/>
  <c r="BE39" i="16"/>
  <c r="R39" i="16"/>
  <c r="Q39" i="16"/>
  <c r="P39" i="16"/>
  <c r="O39" i="16"/>
  <c r="M39" i="16"/>
  <c r="L39" i="16"/>
  <c r="K39" i="16"/>
  <c r="J39" i="16"/>
  <c r="I39" i="16"/>
  <c r="BW38" i="16"/>
  <c r="BX38" i="16" s="1"/>
  <c r="BU38" i="16"/>
  <c r="BM38" i="16"/>
  <c r="BE38" i="16"/>
  <c r="R38" i="16"/>
  <c r="Q38" i="16"/>
  <c r="P38" i="16"/>
  <c r="O38" i="16"/>
  <c r="M38" i="16"/>
  <c r="L38" i="16"/>
  <c r="K38" i="16"/>
  <c r="J38" i="16"/>
  <c r="I38" i="16"/>
  <c r="BW37" i="16"/>
  <c r="BX37" i="16" s="1"/>
  <c r="BU37" i="16"/>
  <c r="BM37" i="16"/>
  <c r="BE37" i="16"/>
  <c r="R37" i="16"/>
  <c r="Q37" i="16"/>
  <c r="P37" i="16"/>
  <c r="O37" i="16"/>
  <c r="M37" i="16"/>
  <c r="L37" i="16"/>
  <c r="K37" i="16"/>
  <c r="J37" i="16"/>
  <c r="I37" i="16"/>
  <c r="BW36" i="16"/>
  <c r="BX36" i="16" s="1"/>
  <c r="BU36" i="16"/>
  <c r="BM36" i="16"/>
  <c r="BE36" i="16"/>
  <c r="R36" i="16"/>
  <c r="Q36" i="16"/>
  <c r="P36" i="16"/>
  <c r="O36" i="16"/>
  <c r="M36" i="16"/>
  <c r="L36" i="16"/>
  <c r="K36" i="16"/>
  <c r="J36" i="16"/>
  <c r="I36" i="16"/>
  <c r="BW35" i="16"/>
  <c r="BX35" i="16" s="1"/>
  <c r="BU35" i="16"/>
  <c r="BM35" i="16"/>
  <c r="BE35" i="16"/>
  <c r="R35" i="16"/>
  <c r="Q35" i="16"/>
  <c r="P35" i="16"/>
  <c r="O35" i="16"/>
  <c r="M35" i="16"/>
  <c r="L35" i="16"/>
  <c r="K35" i="16"/>
  <c r="J35" i="16"/>
  <c r="I35" i="16"/>
  <c r="BW34" i="16"/>
  <c r="BX34" i="16" s="1"/>
  <c r="BU34" i="16"/>
  <c r="BM34" i="16"/>
  <c r="BE34" i="16"/>
  <c r="R34" i="16"/>
  <c r="Q34" i="16"/>
  <c r="P34" i="16"/>
  <c r="O34" i="16"/>
  <c r="M34" i="16"/>
  <c r="L34" i="16"/>
  <c r="K34" i="16"/>
  <c r="J34" i="16"/>
  <c r="I34" i="16"/>
  <c r="BW33" i="16"/>
  <c r="BX33" i="16" s="1"/>
  <c r="BU33" i="16"/>
  <c r="BM33" i="16"/>
  <c r="BE33" i="16"/>
  <c r="R33" i="16"/>
  <c r="Q33" i="16"/>
  <c r="P33" i="16"/>
  <c r="O33" i="16"/>
  <c r="M33" i="16"/>
  <c r="L33" i="16"/>
  <c r="K33" i="16"/>
  <c r="J33" i="16"/>
  <c r="I33" i="16"/>
  <c r="BW32" i="16"/>
  <c r="BX32" i="16" s="1"/>
  <c r="BU32" i="16"/>
  <c r="BM32" i="16"/>
  <c r="BE32" i="16"/>
  <c r="R32" i="16"/>
  <c r="Q32" i="16"/>
  <c r="P32" i="16"/>
  <c r="O32" i="16"/>
  <c r="M32" i="16"/>
  <c r="L32" i="16"/>
  <c r="K32" i="16"/>
  <c r="J32" i="16"/>
  <c r="I32" i="16"/>
  <c r="BW31" i="16"/>
  <c r="BX31" i="16" s="1"/>
  <c r="BU31" i="16"/>
  <c r="BM31" i="16"/>
  <c r="BE31" i="16"/>
  <c r="R31" i="16"/>
  <c r="Q31" i="16"/>
  <c r="P31" i="16"/>
  <c r="O31" i="16"/>
  <c r="M31" i="16"/>
  <c r="L31" i="16"/>
  <c r="K31" i="16"/>
  <c r="J31" i="16"/>
  <c r="I31" i="16"/>
  <c r="BW30" i="16"/>
  <c r="BX30" i="16" s="1"/>
  <c r="BU30" i="16"/>
  <c r="BM30" i="16"/>
  <c r="BE30" i="16"/>
  <c r="R30" i="16"/>
  <c r="Q30" i="16"/>
  <c r="P30" i="16"/>
  <c r="O30" i="16"/>
  <c r="M30" i="16"/>
  <c r="L30" i="16"/>
  <c r="K30" i="16"/>
  <c r="J30" i="16"/>
  <c r="I30" i="16"/>
  <c r="BW29" i="16"/>
  <c r="BX29" i="16" s="1"/>
  <c r="BU29" i="16"/>
  <c r="BM29" i="16"/>
  <c r="BE29" i="16"/>
  <c r="R29" i="16"/>
  <c r="Q29" i="16"/>
  <c r="P29" i="16"/>
  <c r="O29" i="16"/>
  <c r="M29" i="16"/>
  <c r="L29" i="16"/>
  <c r="K29" i="16"/>
  <c r="J29" i="16"/>
  <c r="I29" i="16"/>
  <c r="BW28" i="16"/>
  <c r="BX28" i="16" s="1"/>
  <c r="BU28" i="16"/>
  <c r="BM28" i="16"/>
  <c r="BE28" i="16"/>
  <c r="R28" i="16"/>
  <c r="Q28" i="16"/>
  <c r="P28" i="16"/>
  <c r="O28" i="16"/>
  <c r="M28" i="16"/>
  <c r="L28" i="16"/>
  <c r="K28" i="16"/>
  <c r="J28" i="16"/>
  <c r="I28" i="16"/>
  <c r="BW27" i="16"/>
  <c r="BX27" i="16" s="1"/>
  <c r="BU27" i="16"/>
  <c r="BM27" i="16"/>
  <c r="BE27" i="16"/>
  <c r="R27" i="16"/>
  <c r="Q27" i="16"/>
  <c r="P27" i="16"/>
  <c r="O27" i="16"/>
  <c r="M27" i="16"/>
  <c r="L27" i="16"/>
  <c r="K27" i="16"/>
  <c r="J27" i="16"/>
  <c r="I27" i="16"/>
  <c r="BW26" i="16"/>
  <c r="BX26" i="16" s="1"/>
  <c r="BU26" i="16"/>
  <c r="BM26" i="16"/>
  <c r="BE26" i="16"/>
  <c r="R26" i="16"/>
  <c r="Q26" i="16"/>
  <c r="P26" i="16"/>
  <c r="O26" i="16"/>
  <c r="M26" i="16"/>
  <c r="L26" i="16"/>
  <c r="K26" i="16"/>
  <c r="J26" i="16"/>
  <c r="I26" i="16"/>
  <c r="BW25" i="16"/>
  <c r="BX25" i="16" s="1"/>
  <c r="BU25" i="16"/>
  <c r="BM25" i="16"/>
  <c r="BE25" i="16"/>
  <c r="R25" i="16"/>
  <c r="Q25" i="16"/>
  <c r="P25" i="16"/>
  <c r="O25" i="16"/>
  <c r="M25" i="16"/>
  <c r="L25" i="16"/>
  <c r="K25" i="16"/>
  <c r="J25" i="16"/>
  <c r="I25" i="16"/>
  <c r="BW24" i="16"/>
  <c r="BX24" i="16" s="1"/>
  <c r="BU24" i="16"/>
  <c r="BM24" i="16"/>
  <c r="BE24" i="16"/>
  <c r="R24" i="16"/>
  <c r="Q24" i="16"/>
  <c r="P24" i="16"/>
  <c r="O24" i="16"/>
  <c r="M24" i="16"/>
  <c r="L24" i="16"/>
  <c r="K24" i="16"/>
  <c r="J24" i="16"/>
  <c r="I24" i="16"/>
  <c r="BT23" i="16"/>
  <c r="BS23" i="16"/>
  <c r="BR23" i="16"/>
  <c r="BQ23" i="16"/>
  <c r="BP23" i="16"/>
  <c r="BO23" i="16"/>
  <c r="BN23" i="16"/>
  <c r="BU23" i="16" s="1"/>
  <c r="BM23" i="16"/>
  <c r="BD23" i="16"/>
  <c r="BC23" i="16"/>
  <c r="BB23" i="16"/>
  <c r="BA23" i="16"/>
  <c r="AZ23" i="16"/>
  <c r="AY23" i="16"/>
  <c r="AX23" i="16"/>
  <c r="BE23" i="16" s="1"/>
  <c r="AB23" i="16"/>
  <c r="Z23" i="16"/>
  <c r="X23" i="16"/>
  <c r="V23" i="16"/>
  <c r="BW22" i="16"/>
  <c r="BX22" i="16" s="1"/>
  <c r="BU22" i="16"/>
  <c r="BM22" i="16"/>
  <c r="BE22" i="16"/>
  <c r="R22" i="16"/>
  <c r="Q22" i="16"/>
  <c r="P22" i="16"/>
  <c r="O22" i="16"/>
  <c r="M22" i="16"/>
  <c r="L22" i="16"/>
  <c r="K22" i="16"/>
  <c r="J22" i="16"/>
  <c r="I22" i="16"/>
  <c r="BW21" i="16"/>
  <c r="BX21" i="16" s="1"/>
  <c r="BU21" i="16"/>
  <c r="BM21" i="16"/>
  <c r="BE21" i="16"/>
  <c r="R21" i="16"/>
  <c r="Q21" i="16"/>
  <c r="P21" i="16"/>
  <c r="O21" i="16"/>
  <c r="M21" i="16"/>
  <c r="L21" i="16"/>
  <c r="K21" i="16"/>
  <c r="J21" i="16"/>
  <c r="I21" i="16"/>
  <c r="BW20" i="16"/>
  <c r="BU20" i="16"/>
  <c r="BM20" i="16"/>
  <c r="BE20" i="16"/>
  <c r="R20" i="16"/>
  <c r="Q20" i="16"/>
  <c r="P20" i="16"/>
  <c r="O20" i="16"/>
  <c r="M20" i="16"/>
  <c r="L20" i="16"/>
  <c r="K20" i="16"/>
  <c r="J20" i="16"/>
  <c r="I20" i="16"/>
  <c r="BW19" i="16"/>
  <c r="BX19" i="16" s="1"/>
  <c r="BU19" i="16"/>
  <c r="BM19" i="16"/>
  <c r="BE19" i="16"/>
  <c r="R19" i="16"/>
  <c r="Q19" i="16"/>
  <c r="P19" i="16"/>
  <c r="O19" i="16"/>
  <c r="M19" i="16"/>
  <c r="L19" i="16"/>
  <c r="K19" i="16"/>
  <c r="J19" i="16"/>
  <c r="I19" i="16"/>
  <c r="BW18" i="16"/>
  <c r="AA18" i="16" s="1"/>
  <c r="CB18" i="16" s="1"/>
  <c r="CG18" i="16" s="1"/>
  <c r="BU18" i="16"/>
  <c r="BM18" i="16"/>
  <c r="BE18" i="16"/>
  <c r="R18" i="16"/>
  <c r="Q18" i="16"/>
  <c r="P18" i="16"/>
  <c r="O18" i="16"/>
  <c r="M18" i="16"/>
  <c r="L18" i="16"/>
  <c r="K18" i="16"/>
  <c r="J18" i="16"/>
  <c r="I18" i="16"/>
  <c r="BW17" i="16"/>
  <c r="BX17" i="16" s="1"/>
  <c r="BU17" i="16"/>
  <c r="BM17" i="16"/>
  <c r="BE17" i="16"/>
  <c r="R17" i="16"/>
  <c r="Q17" i="16"/>
  <c r="P17" i="16"/>
  <c r="O17" i="16"/>
  <c r="M17" i="16"/>
  <c r="L17" i="16"/>
  <c r="K17" i="16"/>
  <c r="J17" i="16"/>
  <c r="I17" i="16"/>
  <c r="BW16" i="16"/>
  <c r="BX16" i="16" s="1"/>
  <c r="BU16" i="16"/>
  <c r="BM16" i="16"/>
  <c r="BE16" i="16"/>
  <c r="R16" i="16"/>
  <c r="Q16" i="16"/>
  <c r="P16" i="16"/>
  <c r="O16" i="16"/>
  <c r="M16" i="16"/>
  <c r="L16" i="16"/>
  <c r="K16" i="16"/>
  <c r="J16" i="16"/>
  <c r="I16" i="16"/>
  <c r="BW15" i="16"/>
  <c r="BX15" i="16" s="1"/>
  <c r="BU15" i="16"/>
  <c r="BM15" i="16"/>
  <c r="BE15" i="16"/>
  <c r="R15" i="16"/>
  <c r="Q15" i="16"/>
  <c r="P15" i="16"/>
  <c r="O15" i="16"/>
  <c r="M15" i="16"/>
  <c r="L15" i="16"/>
  <c r="K15" i="16"/>
  <c r="J15" i="16"/>
  <c r="I15" i="16"/>
  <c r="BW14" i="16"/>
  <c r="BX14" i="16" s="1"/>
  <c r="BU14" i="16"/>
  <c r="BM14" i="16"/>
  <c r="BE14" i="16"/>
  <c r="R14" i="16"/>
  <c r="Q14" i="16"/>
  <c r="P14" i="16"/>
  <c r="O14" i="16"/>
  <c r="M14" i="16"/>
  <c r="L14" i="16"/>
  <c r="K14" i="16"/>
  <c r="J14" i="16"/>
  <c r="I14" i="16"/>
  <c r="BW13" i="16"/>
  <c r="BX13" i="16" s="1"/>
  <c r="BU13" i="16"/>
  <c r="BM13" i="16"/>
  <c r="BE13" i="16"/>
  <c r="R13" i="16"/>
  <c r="Q13" i="16"/>
  <c r="O13" i="16"/>
  <c r="M13" i="16"/>
  <c r="L13" i="16"/>
  <c r="K13" i="16"/>
  <c r="J13" i="16"/>
  <c r="I13" i="16"/>
  <c r="BW12" i="16"/>
  <c r="AA12" i="16" s="1"/>
  <c r="CB12" i="16" s="1"/>
  <c r="CG12" i="16" s="1"/>
  <c r="BU12" i="16"/>
  <c r="BM12" i="16"/>
  <c r="BE12" i="16"/>
  <c r="R12" i="16"/>
  <c r="Q12" i="16"/>
  <c r="P12" i="16"/>
  <c r="O12" i="16"/>
  <c r="M12" i="16"/>
  <c r="L12" i="16"/>
  <c r="K12" i="16"/>
  <c r="J12" i="16"/>
  <c r="I12" i="16"/>
  <c r="BW11" i="16"/>
  <c r="BU11" i="16"/>
  <c r="BM11" i="16"/>
  <c r="BE11" i="16"/>
  <c r="R11" i="16"/>
  <c r="Q11" i="16"/>
  <c r="P11" i="16"/>
  <c r="O11" i="16"/>
  <c r="M11" i="16"/>
  <c r="L11" i="16"/>
  <c r="K11" i="16"/>
  <c r="J11" i="16"/>
  <c r="I11" i="16"/>
  <c r="BW10" i="16"/>
  <c r="BU10" i="16"/>
  <c r="BM10" i="16"/>
  <c r="BE10" i="16"/>
  <c r="R10" i="16"/>
  <c r="Q10" i="16"/>
  <c r="P10" i="16"/>
  <c r="O10" i="16"/>
  <c r="M10" i="16"/>
  <c r="L10" i="16"/>
  <c r="K10" i="16"/>
  <c r="J10" i="16"/>
  <c r="I10" i="16"/>
  <c r="BW9" i="16"/>
  <c r="BX9" i="16" s="1"/>
  <c r="BU9" i="16"/>
  <c r="BM9" i="16"/>
  <c r="BE9" i="16"/>
  <c r="R9" i="16"/>
  <c r="Q9" i="16"/>
  <c r="P9" i="16"/>
  <c r="O9" i="16"/>
  <c r="M9" i="16"/>
  <c r="L9" i="16"/>
  <c r="K9" i="16"/>
  <c r="J9" i="16"/>
  <c r="I9" i="16"/>
  <c r="BW8" i="16"/>
  <c r="AA8" i="16" s="1"/>
  <c r="CB8" i="16" s="1"/>
  <c r="CG8" i="16" s="1"/>
  <c r="BU8" i="16"/>
  <c r="BM8" i="16"/>
  <c r="BE8" i="16"/>
  <c r="R8" i="16"/>
  <c r="Q8" i="16"/>
  <c r="P8" i="16"/>
  <c r="O8" i="16"/>
  <c r="M8" i="16"/>
  <c r="L8" i="16"/>
  <c r="K8" i="16"/>
  <c r="J8" i="16"/>
  <c r="I8" i="16"/>
  <c r="BT7" i="16"/>
  <c r="BS7" i="16"/>
  <c r="BR7" i="16"/>
  <c r="BQ7" i="16"/>
  <c r="BP7" i="16"/>
  <c r="BO7" i="16"/>
  <c r="BN7" i="16"/>
  <c r="BU7" i="16" s="1"/>
  <c r="BL7" i="16"/>
  <c r="BK7" i="16"/>
  <c r="BJ7" i="16"/>
  <c r="BI7" i="16"/>
  <c r="BH7" i="16"/>
  <c r="BG7" i="16"/>
  <c r="BF7" i="16"/>
  <c r="BM7" i="16" s="1"/>
  <c r="BD7" i="16"/>
  <c r="BC7" i="16"/>
  <c r="BB7" i="16"/>
  <c r="BA7" i="16"/>
  <c r="AZ7" i="16"/>
  <c r="AY7" i="16"/>
  <c r="AX7" i="16"/>
  <c r="BE7" i="16" s="1"/>
  <c r="AV7" i="16"/>
  <c r="AU7" i="16"/>
  <c r="AT7" i="16"/>
  <c r="AS7" i="16"/>
  <c r="AR7" i="16"/>
  <c r="AQ7" i="16"/>
  <c r="AP7" i="16"/>
  <c r="AW7" i="16" s="1"/>
  <c r="AB7" i="16"/>
  <c r="Z7" i="16"/>
  <c r="X7" i="16"/>
  <c r="V7" i="16"/>
  <c r="BU6" i="16"/>
  <c r="BM6" i="16"/>
  <c r="BE6" i="16"/>
  <c r="AW6" i="16"/>
  <c r="BU5" i="16"/>
  <c r="BM5" i="16"/>
  <c r="BE5" i="16"/>
  <c r="AW5" i="16"/>
  <c r="BW441" i="16"/>
  <c r="BX441" i="16" s="1"/>
  <c r="BW188" i="16"/>
  <c r="BX188" i="16" s="1"/>
  <c r="BW114" i="16"/>
  <c r="BX114" i="16" s="1"/>
  <c r="BW128" i="16"/>
  <c r="BX128" i="16" s="1"/>
  <c r="BW304" i="16"/>
  <c r="BX304" i="16" s="1"/>
  <c r="I8" i="15"/>
  <c r="N139" i="13"/>
  <c r="N140" i="13"/>
  <c r="J14" i="15"/>
  <c r="AD117" i="13"/>
  <c r="I11" i="15"/>
  <c r="H11" i="15"/>
  <c r="G11" i="15"/>
  <c r="K21" i="22"/>
  <c r="AV418" i="13"/>
  <c r="AW418" i="13" s="1"/>
  <c r="AV99" i="13"/>
  <c r="AU99" i="13"/>
  <c r="AT99" i="13"/>
  <c r="AS99" i="13"/>
  <c r="AR99" i="13"/>
  <c r="AQ99" i="13"/>
  <c r="AP99" i="13"/>
  <c r="AV43" i="13"/>
  <c r="AU43" i="13"/>
  <c r="AT43" i="13"/>
  <c r="AS43" i="13"/>
  <c r="AR43" i="13"/>
  <c r="AQ43" i="13"/>
  <c r="AP43" i="13"/>
  <c r="AW43" i="13" s="1"/>
  <c r="AV24" i="13"/>
  <c r="AU24" i="13"/>
  <c r="AT24" i="13"/>
  <c r="AS24" i="13"/>
  <c r="AR24" i="13"/>
  <c r="AQ24" i="13"/>
  <c r="AP24" i="13"/>
  <c r="AQ10" i="13"/>
  <c r="AW10" i="13" s="1"/>
  <c r="AQ422" i="13"/>
  <c r="AQ178" i="13"/>
  <c r="AW178" i="13" s="1"/>
  <c r="AQ177" i="13"/>
  <c r="AW177" i="13" s="1"/>
  <c r="AQ176" i="13"/>
  <c r="AQ174" i="13"/>
  <c r="AW174" i="13" s="1"/>
  <c r="AP173" i="13"/>
  <c r="AW173" i="13" s="1"/>
  <c r="AQ172" i="13"/>
  <c r="AW172" i="13" s="1"/>
  <c r="AQ165" i="13"/>
  <c r="AW165" i="13" s="1"/>
  <c r="AQ164" i="13"/>
  <c r="AQ160" i="13"/>
  <c r="AW160" i="13" s="1"/>
  <c r="AQ158" i="13"/>
  <c r="AW158" i="13" s="1"/>
  <c r="P11" i="13"/>
  <c r="P400" i="13"/>
  <c r="P96" i="13"/>
  <c r="AD135" i="13"/>
  <c r="AV154" i="13"/>
  <c r="AW154" i="13" s="1"/>
  <c r="AV144" i="13"/>
  <c r="AW144" i="13" s="1"/>
  <c r="AP131" i="13"/>
  <c r="AW131" i="13" s="1"/>
  <c r="AV125" i="13"/>
  <c r="AQ240" i="13"/>
  <c r="P353" i="13"/>
  <c r="BY91" i="13"/>
  <c r="BY90" i="13"/>
  <c r="P80" i="13"/>
  <c r="P269" i="13"/>
  <c r="G18" i="15"/>
  <c r="AR111" i="13"/>
  <c r="BZ113" i="13"/>
  <c r="AQ366" i="13"/>
  <c r="AW366" i="13" s="1"/>
  <c r="BY359" i="13"/>
  <c r="BY358" i="13"/>
  <c r="BY347" i="13"/>
  <c r="P52" i="13"/>
  <c r="BY36" i="13"/>
  <c r="BZ12" i="13"/>
  <c r="AW278" i="13"/>
  <c r="AW61" i="13"/>
  <c r="AW60" i="13"/>
  <c r="AW59" i="13"/>
  <c r="AW58" i="13"/>
  <c r="AW57" i="13"/>
  <c r="AW56" i="13"/>
  <c r="AW55" i="13"/>
  <c r="AW54" i="13"/>
  <c r="AW53" i="13"/>
  <c r="AW52" i="13"/>
  <c r="AW67" i="13"/>
  <c r="AW68" i="13"/>
  <c r="AW77" i="13"/>
  <c r="AW79" i="13"/>
  <c r="AW81" i="13"/>
  <c r="AW83" i="13"/>
  <c r="AW15" i="13"/>
  <c r="AW14" i="13"/>
  <c r="AW13" i="13"/>
  <c r="AW12" i="13"/>
  <c r="AW11" i="13"/>
  <c r="AW9" i="13"/>
  <c r="BZ445" i="13"/>
  <c r="AW153" i="13"/>
  <c r="AW137" i="13"/>
  <c r="AW132" i="13"/>
  <c r="AP125" i="13"/>
  <c r="AP133" i="13"/>
  <c r="AW133" i="13" s="1"/>
  <c r="AW317" i="13"/>
  <c r="AW451" i="13"/>
  <c r="AW452" i="13"/>
  <c r="AW453" i="13"/>
  <c r="AW454" i="13"/>
  <c r="AW455" i="13"/>
  <c r="AW456" i="13"/>
  <c r="AW457" i="13"/>
  <c r="AW458" i="13"/>
  <c r="AW459" i="13"/>
  <c r="AW460" i="13"/>
  <c r="AW461" i="13"/>
  <c r="AW462" i="13"/>
  <c r="AW463" i="13"/>
  <c r="AW464" i="13"/>
  <c r="AW465" i="13"/>
  <c r="AW466" i="13"/>
  <c r="AW467" i="13"/>
  <c r="AW468" i="13"/>
  <c r="AW469" i="13"/>
  <c r="AW471" i="13"/>
  <c r="AW473" i="13"/>
  <c r="AW474" i="13"/>
  <c r="AW475" i="13"/>
  <c r="AW476" i="13"/>
  <c r="AW477" i="13"/>
  <c r="AW478" i="13"/>
  <c r="AW479" i="13"/>
  <c r="AW480" i="13"/>
  <c r="AW450" i="13"/>
  <c r="J22" i="15"/>
  <c r="J21" i="15"/>
  <c r="J20" i="15"/>
  <c r="J19" i="15"/>
  <c r="J18" i="15"/>
  <c r="F18" i="15" s="1"/>
  <c r="J16" i="15"/>
  <c r="J15" i="15"/>
  <c r="J13" i="15"/>
  <c r="J12" i="15"/>
  <c r="J11" i="15"/>
  <c r="F11" i="15" s="1"/>
  <c r="J10" i="15"/>
  <c r="J9" i="15"/>
  <c r="I22" i="15"/>
  <c r="I21" i="15"/>
  <c r="I20" i="15"/>
  <c r="I19" i="15"/>
  <c r="I18" i="15"/>
  <c r="I16" i="15"/>
  <c r="I15" i="15"/>
  <c r="I14" i="15"/>
  <c r="I13" i="15"/>
  <c r="I12" i="15"/>
  <c r="I10" i="15"/>
  <c r="I9" i="15"/>
  <c r="H22" i="15"/>
  <c r="H21" i="15"/>
  <c r="H20" i="15"/>
  <c r="H19" i="15"/>
  <c r="H18" i="15"/>
  <c r="H16" i="15"/>
  <c r="H15" i="15"/>
  <c r="G15" i="15"/>
  <c r="H14" i="15"/>
  <c r="H13" i="15"/>
  <c r="H12" i="15"/>
  <c r="H10" i="15"/>
  <c r="H9" i="15"/>
  <c r="H8" i="15"/>
  <c r="N7" i="15"/>
  <c r="G22" i="15"/>
  <c r="G21" i="15"/>
  <c r="G20" i="15"/>
  <c r="G19" i="15"/>
  <c r="G16" i="15"/>
  <c r="K16" i="15" s="1"/>
  <c r="G14" i="15"/>
  <c r="G13" i="15"/>
  <c r="G12" i="15"/>
  <c r="G10" i="15"/>
  <c r="G9" i="15"/>
  <c r="J8" i="15"/>
  <c r="F8" i="15" s="1"/>
  <c r="G8" i="15"/>
  <c r="J6" i="15"/>
  <c r="I6" i="15"/>
  <c r="H6" i="15"/>
  <c r="G6" i="15"/>
  <c r="D23" i="15"/>
  <c r="F7" i="15"/>
  <c r="K7" i="15"/>
  <c r="L7" i="15"/>
  <c r="M7" i="15"/>
  <c r="AW199" i="13"/>
  <c r="AW198" i="13"/>
  <c r="AW197" i="13"/>
  <c r="BZ146" i="13"/>
  <c r="AV75" i="13"/>
  <c r="AU75" i="13"/>
  <c r="AT75" i="13"/>
  <c r="AS75" i="13"/>
  <c r="AR75" i="13"/>
  <c r="AQ75" i="13"/>
  <c r="AP75" i="13"/>
  <c r="P111" i="13"/>
  <c r="P405" i="13"/>
  <c r="AF379" i="6"/>
  <c r="AF378" i="6"/>
  <c r="AF377" i="6"/>
  <c r="AF376" i="6"/>
  <c r="AF375" i="6"/>
  <c r="AF374" i="6"/>
  <c r="AF373" i="6"/>
  <c r="AF372" i="6"/>
  <c r="AF371" i="6"/>
  <c r="AF370" i="6"/>
  <c r="AF369" i="6"/>
  <c r="BL490" i="6"/>
  <c r="AP366" i="8"/>
  <c r="AO311" i="8"/>
  <c r="G16" i="9"/>
  <c r="K7" i="9"/>
  <c r="Q25" i="9"/>
  <c r="AP392" i="8"/>
  <c r="AC349" i="8"/>
  <c r="AC348" i="8"/>
  <c r="AC349" i="13"/>
  <c r="BY349" i="13" s="1"/>
  <c r="AC348" i="13"/>
  <c r="AP391" i="8"/>
  <c r="AV391" i="8" s="1"/>
  <c r="AC176" i="13"/>
  <c r="BY176" i="13" s="1"/>
  <c r="AC158" i="13"/>
  <c r="AP178" i="8"/>
  <c r="AP169" i="8"/>
  <c r="AP167" i="8"/>
  <c r="AP164" i="8"/>
  <c r="AP158" i="8"/>
  <c r="AC236" i="13"/>
  <c r="BW236" i="13" s="1"/>
  <c r="BX236" i="13" s="1"/>
  <c r="AC191" i="13"/>
  <c r="AV329" i="8"/>
  <c r="AV328" i="8"/>
  <c r="AV327" i="8"/>
  <c r="AV326" i="8"/>
  <c r="AV325" i="8"/>
  <c r="AV324" i="8"/>
  <c r="AV323" i="8"/>
  <c r="AV322" i="8"/>
  <c r="AV321" i="8"/>
  <c r="AV320" i="8"/>
  <c r="AV319" i="8"/>
  <c r="AV318" i="8"/>
  <c r="AV317" i="8"/>
  <c r="AV316" i="8"/>
  <c r="AV315" i="8"/>
  <c r="AV314" i="8"/>
  <c r="AV313" i="8"/>
  <c r="AV312" i="8"/>
  <c r="AU311" i="8"/>
  <c r="AV310" i="8"/>
  <c r="AV309" i="8"/>
  <c r="AV308" i="8"/>
  <c r="AV307" i="8"/>
  <c r="AV306" i="8"/>
  <c r="AV305" i="8"/>
  <c r="AV304" i="8"/>
  <c r="AV303" i="8"/>
  <c r="AV302" i="8"/>
  <c r="AV301" i="8"/>
  <c r="AV300" i="8"/>
  <c r="AC311" i="8"/>
  <c r="AC308" i="8"/>
  <c r="AC305" i="13"/>
  <c r="BY305" i="13" s="1"/>
  <c r="AC306" i="13"/>
  <c r="AC308" i="13"/>
  <c r="BW308" i="13" s="1"/>
  <c r="BX308" i="13" s="1"/>
  <c r="AC311" i="13"/>
  <c r="AC450" i="13"/>
  <c r="BW450" i="13" s="1"/>
  <c r="BX450" i="13" s="1"/>
  <c r="AC132" i="13"/>
  <c r="BW132" i="13" s="1"/>
  <c r="BX132" i="13" s="1"/>
  <c r="AU470" i="8"/>
  <c r="AO470" i="8"/>
  <c r="AC450" i="8"/>
  <c r="AP52" i="8"/>
  <c r="AO52" i="8"/>
  <c r="CB500" i="13"/>
  <c r="CA500" i="13"/>
  <c r="BZ500" i="13"/>
  <c r="BY500" i="13"/>
  <c r="BW500" i="13"/>
  <c r="BX500" i="13" s="1"/>
  <c r="BU500" i="13"/>
  <c r="BM500" i="13"/>
  <c r="BE500" i="13"/>
  <c r="AW500" i="13"/>
  <c r="R500" i="13"/>
  <c r="Q500" i="13"/>
  <c r="P500" i="13"/>
  <c r="O500" i="13"/>
  <c r="L500" i="13"/>
  <c r="K500" i="13"/>
  <c r="J500" i="13"/>
  <c r="I500" i="13"/>
  <c r="B500" i="13"/>
  <c r="CB499" i="13"/>
  <c r="CA499" i="13"/>
  <c r="BZ499" i="13"/>
  <c r="BY499" i="13"/>
  <c r="BW499" i="13"/>
  <c r="BX499" i="13" s="1"/>
  <c r="BU499" i="13"/>
  <c r="BM499" i="13"/>
  <c r="BE499" i="13"/>
  <c r="AW499" i="13"/>
  <c r="R499" i="13"/>
  <c r="Q499" i="13"/>
  <c r="P499" i="13"/>
  <c r="O499" i="13"/>
  <c r="L499" i="13"/>
  <c r="K499" i="13"/>
  <c r="J499" i="13"/>
  <c r="I499" i="13"/>
  <c r="B499" i="13"/>
  <c r="CB498" i="13"/>
  <c r="CA498" i="13"/>
  <c r="BZ498" i="13"/>
  <c r="BY498" i="13"/>
  <c r="BW498" i="13"/>
  <c r="BX498" i="13" s="1"/>
  <c r="BU498" i="13"/>
  <c r="BM498" i="13"/>
  <c r="BE498" i="13"/>
  <c r="AW498" i="13"/>
  <c r="R498" i="13"/>
  <c r="Q498" i="13"/>
  <c r="P498" i="13"/>
  <c r="O498" i="13"/>
  <c r="L498" i="13"/>
  <c r="K498" i="13"/>
  <c r="J498" i="13"/>
  <c r="I498" i="13"/>
  <c r="B498" i="13"/>
  <c r="CB497" i="13"/>
  <c r="CA497" i="13"/>
  <c r="BZ497" i="13"/>
  <c r="BY497" i="13"/>
  <c r="BW497" i="13"/>
  <c r="BX497" i="13" s="1"/>
  <c r="BU497" i="13"/>
  <c r="BM497" i="13"/>
  <c r="BE497" i="13"/>
  <c r="AW497" i="13"/>
  <c r="R497" i="13"/>
  <c r="Q497" i="13"/>
  <c r="P497" i="13"/>
  <c r="O497" i="13"/>
  <c r="L497" i="13"/>
  <c r="K497" i="13"/>
  <c r="J497" i="13"/>
  <c r="I497" i="13"/>
  <c r="B497" i="13"/>
  <c r="CB496" i="13"/>
  <c r="CA496" i="13"/>
  <c r="BZ496" i="13"/>
  <c r="BY496" i="13"/>
  <c r="BW496" i="13"/>
  <c r="BX496" i="13" s="1"/>
  <c r="BU496" i="13"/>
  <c r="BM496" i="13"/>
  <c r="BE496" i="13"/>
  <c r="AW496" i="13"/>
  <c r="R496" i="13"/>
  <c r="Q496" i="13"/>
  <c r="P496" i="13"/>
  <c r="O496" i="13"/>
  <c r="L496" i="13"/>
  <c r="K496" i="13"/>
  <c r="J496" i="13"/>
  <c r="I496" i="13"/>
  <c r="B496" i="13"/>
  <c r="CB495" i="13"/>
  <c r="CA495" i="13"/>
  <c r="BZ495" i="13"/>
  <c r="BY495" i="13"/>
  <c r="BW495" i="13"/>
  <c r="BX495" i="13" s="1"/>
  <c r="BU495" i="13"/>
  <c r="BM495" i="13"/>
  <c r="BE495" i="13"/>
  <c r="R495" i="13"/>
  <c r="Q495" i="13"/>
  <c r="P495" i="13"/>
  <c r="O495" i="13"/>
  <c r="L495" i="13"/>
  <c r="K495" i="13"/>
  <c r="J495" i="13"/>
  <c r="I495" i="13"/>
  <c r="B495" i="13"/>
  <c r="CB494" i="13"/>
  <c r="CA494" i="13"/>
  <c r="BZ494" i="13"/>
  <c r="BY494" i="13"/>
  <c r="BW494" i="13"/>
  <c r="BX494" i="13" s="1"/>
  <c r="BU494" i="13"/>
  <c r="BM494" i="13"/>
  <c r="BE494" i="13"/>
  <c r="AW494" i="13"/>
  <c r="R494" i="13"/>
  <c r="Q494" i="13"/>
  <c r="P494" i="13"/>
  <c r="O494" i="13"/>
  <c r="L494" i="13"/>
  <c r="K494" i="13"/>
  <c r="J494" i="13"/>
  <c r="I494" i="13"/>
  <c r="B494" i="13"/>
  <c r="CB493" i="13"/>
  <c r="CA493" i="13"/>
  <c r="BZ493" i="13"/>
  <c r="BY493" i="13"/>
  <c r="BW493" i="13"/>
  <c r="BX493" i="13" s="1"/>
  <c r="BT493" i="13"/>
  <c r="BS493" i="13"/>
  <c r="BR493" i="13"/>
  <c r="BQ493" i="13"/>
  <c r="BP493" i="13"/>
  <c r="BO493" i="13"/>
  <c r="BN493" i="13"/>
  <c r="BU493" i="13" s="1"/>
  <c r="BL493" i="13"/>
  <c r="BK493" i="13"/>
  <c r="BJ493" i="13"/>
  <c r="BI493" i="13"/>
  <c r="BH493" i="13"/>
  <c r="BG493" i="13"/>
  <c r="BF493" i="13"/>
  <c r="BM493" i="13" s="1"/>
  <c r="BD493" i="13"/>
  <c r="BC493" i="13"/>
  <c r="BB493" i="13"/>
  <c r="BA493" i="13"/>
  <c r="AZ493" i="13"/>
  <c r="AY493" i="13"/>
  <c r="AX493" i="13"/>
  <c r="BE493" i="13" s="1"/>
  <c r="AV493" i="13"/>
  <c r="AU493" i="13"/>
  <c r="AT493" i="13"/>
  <c r="AS493" i="13"/>
  <c r="AR493" i="13"/>
  <c r="AQ493" i="13"/>
  <c r="AP493" i="13"/>
  <c r="AW493" i="13" s="1"/>
  <c r="AB493" i="13"/>
  <c r="Z493" i="13"/>
  <c r="X493" i="13"/>
  <c r="V493" i="13"/>
  <c r="B493" i="13"/>
  <c r="CB492" i="13"/>
  <c r="CA492" i="13"/>
  <c r="BZ492" i="13"/>
  <c r="BY492" i="13"/>
  <c r="BW492" i="13"/>
  <c r="BX492" i="13" s="1"/>
  <c r="BU492" i="13"/>
  <c r="BM492" i="13"/>
  <c r="BE492" i="13"/>
  <c r="AW492" i="13"/>
  <c r="R492" i="13"/>
  <c r="Q492" i="13"/>
  <c r="P492" i="13"/>
  <c r="O492" i="13"/>
  <c r="L492" i="13"/>
  <c r="K492" i="13"/>
  <c r="J492" i="13"/>
  <c r="I492" i="13"/>
  <c r="B492" i="13"/>
  <c r="CB491" i="13"/>
  <c r="CA491" i="13"/>
  <c r="BZ491" i="13"/>
  <c r="BY491" i="13"/>
  <c r="BW491" i="13"/>
  <c r="BX491" i="13" s="1"/>
  <c r="BU491" i="13"/>
  <c r="BM491" i="13"/>
  <c r="BE491" i="13"/>
  <c r="AW491" i="13"/>
  <c r="R491" i="13"/>
  <c r="Q491" i="13"/>
  <c r="P491" i="13"/>
  <c r="O491" i="13"/>
  <c r="L491" i="13"/>
  <c r="K491" i="13"/>
  <c r="J491" i="13"/>
  <c r="I491" i="13"/>
  <c r="B491" i="13"/>
  <c r="CB490" i="13"/>
  <c r="CA490" i="13"/>
  <c r="BZ490" i="13"/>
  <c r="BY490" i="13"/>
  <c r="BW490" i="13"/>
  <c r="BX490" i="13" s="1"/>
  <c r="BU490" i="13"/>
  <c r="BM490" i="13"/>
  <c r="BE490" i="13"/>
  <c r="AW490" i="13"/>
  <c r="R490" i="13"/>
  <c r="Q490" i="13"/>
  <c r="P490" i="13"/>
  <c r="O490" i="13"/>
  <c r="L490" i="13"/>
  <c r="K490" i="13"/>
  <c r="J490" i="13"/>
  <c r="I490" i="13"/>
  <c r="B490" i="13"/>
  <c r="CB489" i="13"/>
  <c r="CA489" i="13"/>
  <c r="BZ489" i="13"/>
  <c r="BY489" i="13"/>
  <c r="BW489" i="13"/>
  <c r="BX489" i="13" s="1"/>
  <c r="BU489" i="13"/>
  <c r="BM489" i="13"/>
  <c r="BE489" i="13"/>
  <c r="R489" i="13"/>
  <c r="Q489" i="13"/>
  <c r="P489" i="13"/>
  <c r="O489" i="13"/>
  <c r="L489" i="13"/>
  <c r="K489" i="13"/>
  <c r="J489" i="13"/>
  <c r="I489" i="13"/>
  <c r="B489" i="13"/>
  <c r="CB488" i="13"/>
  <c r="CA488" i="13"/>
  <c r="BZ488" i="13"/>
  <c r="BY488" i="13"/>
  <c r="BW488" i="13"/>
  <c r="BX488" i="13" s="1"/>
  <c r="BU488" i="13"/>
  <c r="BM488" i="13"/>
  <c r="BE488" i="13"/>
  <c r="AW488" i="13"/>
  <c r="R488" i="13"/>
  <c r="Q488" i="13"/>
  <c r="P488" i="13"/>
  <c r="O488" i="13"/>
  <c r="L488" i="13"/>
  <c r="K488" i="13"/>
  <c r="J488" i="13"/>
  <c r="I488" i="13"/>
  <c r="B488" i="13"/>
  <c r="CB487" i="13"/>
  <c r="CA487" i="13"/>
  <c r="BZ487" i="13"/>
  <c r="BY487" i="13"/>
  <c r="BW487" i="13"/>
  <c r="BX487" i="13" s="1"/>
  <c r="BU487" i="13"/>
  <c r="BM487" i="13"/>
  <c r="BE487" i="13"/>
  <c r="AW487" i="13"/>
  <c r="R487" i="13"/>
  <c r="Q487" i="13"/>
  <c r="P487" i="13"/>
  <c r="O487" i="13"/>
  <c r="L487" i="13"/>
  <c r="K487" i="13"/>
  <c r="J487" i="13"/>
  <c r="I487" i="13"/>
  <c r="B487" i="13"/>
  <c r="CB486" i="13"/>
  <c r="CA486" i="13"/>
  <c r="BZ486" i="13"/>
  <c r="BY486" i="13"/>
  <c r="BW486" i="13"/>
  <c r="BX486" i="13" s="1"/>
  <c r="BU486" i="13"/>
  <c r="BM486" i="13"/>
  <c r="BE486" i="13"/>
  <c r="AW486" i="13"/>
  <c r="R486" i="13"/>
  <c r="Q486" i="13"/>
  <c r="P486" i="13"/>
  <c r="O486" i="13"/>
  <c r="L486" i="13"/>
  <c r="K486" i="13"/>
  <c r="J486" i="13"/>
  <c r="I486" i="13"/>
  <c r="B486" i="13"/>
  <c r="CB485" i="13"/>
  <c r="CA485" i="13"/>
  <c r="BZ485" i="13"/>
  <c r="BY485" i="13"/>
  <c r="BW485" i="13"/>
  <c r="BX485" i="13" s="1"/>
  <c r="BT485" i="13"/>
  <c r="BS485" i="13"/>
  <c r="BR485" i="13"/>
  <c r="BQ485" i="13"/>
  <c r="BP485" i="13"/>
  <c r="BO485" i="13"/>
  <c r="BN485" i="13"/>
  <c r="BU485" i="13" s="1"/>
  <c r="BL485" i="13"/>
  <c r="BK485" i="13"/>
  <c r="BJ485" i="13"/>
  <c r="BI485" i="13"/>
  <c r="BH485" i="13"/>
  <c r="BG485" i="13"/>
  <c r="BF485" i="13"/>
  <c r="BM485" i="13" s="1"/>
  <c r="BD485" i="13"/>
  <c r="BC485" i="13"/>
  <c r="BB485" i="13"/>
  <c r="BA485" i="13"/>
  <c r="AZ485" i="13"/>
  <c r="AY485" i="13"/>
  <c r="AX485" i="13"/>
  <c r="BE485" i="13" s="1"/>
  <c r="AV485" i="13"/>
  <c r="AU485" i="13"/>
  <c r="AT485" i="13"/>
  <c r="AS485" i="13"/>
  <c r="AR485" i="13"/>
  <c r="AQ485" i="13"/>
  <c r="AP485" i="13"/>
  <c r="AW485" i="13" s="1"/>
  <c r="AB485" i="13"/>
  <c r="Z485" i="13"/>
  <c r="X485" i="13"/>
  <c r="V485" i="13"/>
  <c r="B485" i="13"/>
  <c r="CB484" i="13"/>
  <c r="CA484" i="13"/>
  <c r="BZ484" i="13"/>
  <c r="BY484" i="13"/>
  <c r="BW484" i="13"/>
  <c r="BX484" i="13" s="1"/>
  <c r="BU484" i="13"/>
  <c r="BM484" i="13"/>
  <c r="BE484" i="13"/>
  <c r="AW484" i="13"/>
  <c r="CB483" i="13"/>
  <c r="CA483" i="13"/>
  <c r="BZ483" i="13"/>
  <c r="BY483" i="13"/>
  <c r="BW483" i="13"/>
  <c r="BX483" i="13" s="1"/>
  <c r="BU483" i="13"/>
  <c r="BM483" i="13"/>
  <c r="BE483" i="13"/>
  <c r="AW483" i="13"/>
  <c r="B483" i="13"/>
  <c r="CB482" i="13"/>
  <c r="CA482" i="13"/>
  <c r="BZ482" i="13"/>
  <c r="BY482" i="13"/>
  <c r="BW482" i="13"/>
  <c r="BX482" i="13" s="1"/>
  <c r="BU482" i="13"/>
  <c r="BM482" i="13"/>
  <c r="BE482" i="13"/>
  <c r="AW482" i="13"/>
  <c r="B482" i="13"/>
  <c r="CB481" i="13"/>
  <c r="CA481" i="13"/>
  <c r="BZ481" i="13"/>
  <c r="BY481" i="13"/>
  <c r="BW481" i="13"/>
  <c r="BX481" i="13" s="1"/>
  <c r="BU481" i="13"/>
  <c r="BM481" i="13"/>
  <c r="BE481" i="13"/>
  <c r="R481" i="13"/>
  <c r="Q481" i="13"/>
  <c r="P481" i="13"/>
  <c r="O481" i="13"/>
  <c r="N481" i="13"/>
  <c r="M481" i="13"/>
  <c r="L481" i="13"/>
  <c r="K481" i="13"/>
  <c r="J481" i="13"/>
  <c r="I481" i="13"/>
  <c r="B481" i="13"/>
  <c r="CB480" i="13"/>
  <c r="BZ480" i="13"/>
  <c r="BY480" i="13"/>
  <c r="BU480" i="13"/>
  <c r="BM480" i="13"/>
  <c r="BE480" i="13"/>
  <c r="R480" i="13"/>
  <c r="Q480" i="13"/>
  <c r="P480" i="13"/>
  <c r="O480" i="13"/>
  <c r="N480" i="13"/>
  <c r="M480" i="13"/>
  <c r="L480" i="13"/>
  <c r="K480" i="13"/>
  <c r="J480" i="13"/>
  <c r="I480" i="13"/>
  <c r="B480" i="13"/>
  <c r="CB479" i="13"/>
  <c r="CA479" i="13"/>
  <c r="BZ479" i="13"/>
  <c r="BY479" i="13"/>
  <c r="BW479" i="13"/>
  <c r="BX479" i="13" s="1"/>
  <c r="BU479" i="13"/>
  <c r="BM479" i="13"/>
  <c r="BE479" i="13"/>
  <c r="R479" i="13"/>
  <c r="Q479" i="13"/>
  <c r="P479" i="13"/>
  <c r="O479" i="13"/>
  <c r="N479" i="13"/>
  <c r="M479" i="13"/>
  <c r="L479" i="13"/>
  <c r="K479" i="13"/>
  <c r="J479" i="13"/>
  <c r="I479" i="13"/>
  <c r="B479" i="13"/>
  <c r="CB478" i="13"/>
  <c r="CA478" i="13"/>
  <c r="BZ478" i="13"/>
  <c r="BY478" i="13"/>
  <c r="BW478" i="13"/>
  <c r="BX478" i="13" s="1"/>
  <c r="BU478" i="13"/>
  <c r="BM478" i="13"/>
  <c r="BE478" i="13"/>
  <c r="R478" i="13"/>
  <c r="Q478" i="13"/>
  <c r="P478" i="13"/>
  <c r="O478" i="13"/>
  <c r="N478" i="13"/>
  <c r="M478" i="13"/>
  <c r="L478" i="13"/>
  <c r="K478" i="13"/>
  <c r="J478" i="13"/>
  <c r="I478" i="13"/>
  <c r="B478" i="13"/>
  <c r="CB477" i="13"/>
  <c r="CA477" i="13"/>
  <c r="BZ477" i="13"/>
  <c r="BY477" i="13"/>
  <c r="BW477" i="13"/>
  <c r="BX477" i="13" s="1"/>
  <c r="BU477" i="13"/>
  <c r="BM477" i="13"/>
  <c r="BE477" i="13"/>
  <c r="R477" i="13"/>
  <c r="Q477" i="13"/>
  <c r="P477" i="13"/>
  <c r="O477" i="13"/>
  <c r="N477" i="13"/>
  <c r="M477" i="13"/>
  <c r="L477" i="13"/>
  <c r="K477" i="13"/>
  <c r="J477" i="13"/>
  <c r="I477" i="13"/>
  <c r="B477" i="13"/>
  <c r="CB476" i="13"/>
  <c r="CA476" i="13"/>
  <c r="BZ476" i="13"/>
  <c r="BY476" i="13"/>
  <c r="BW476" i="13"/>
  <c r="BX476" i="13" s="1"/>
  <c r="BU476" i="13"/>
  <c r="BM476" i="13"/>
  <c r="BE476" i="13"/>
  <c r="R476" i="13"/>
  <c r="Q476" i="13"/>
  <c r="P476" i="13"/>
  <c r="O476" i="13"/>
  <c r="N476" i="13"/>
  <c r="M476" i="13"/>
  <c r="L476" i="13"/>
  <c r="K476" i="13"/>
  <c r="J476" i="13"/>
  <c r="I476" i="13"/>
  <c r="B476" i="13"/>
  <c r="CB475" i="13"/>
  <c r="CA475" i="13"/>
  <c r="BZ475" i="13"/>
  <c r="BY475" i="13"/>
  <c r="BW475" i="13"/>
  <c r="BX475" i="13" s="1"/>
  <c r="BU475" i="13"/>
  <c r="BM475" i="13"/>
  <c r="BE475" i="13"/>
  <c r="R475" i="13"/>
  <c r="Q475" i="13"/>
  <c r="P475" i="13"/>
  <c r="O475" i="13"/>
  <c r="N475" i="13"/>
  <c r="M475" i="13"/>
  <c r="L475" i="13"/>
  <c r="K475" i="13"/>
  <c r="J475" i="13"/>
  <c r="I475" i="13"/>
  <c r="B475" i="13"/>
  <c r="CB474" i="13"/>
  <c r="CA474" i="13"/>
  <c r="BZ474" i="13"/>
  <c r="BY474" i="13"/>
  <c r="BW474" i="13"/>
  <c r="BX474" i="13" s="1"/>
  <c r="BU474" i="13"/>
  <c r="BM474" i="13"/>
  <c r="BE474" i="13"/>
  <c r="R474" i="13"/>
  <c r="Q474" i="13"/>
  <c r="P474" i="13"/>
  <c r="O474" i="13"/>
  <c r="N474" i="13"/>
  <c r="M474" i="13"/>
  <c r="L474" i="13"/>
  <c r="K474" i="13"/>
  <c r="J474" i="13"/>
  <c r="I474" i="13"/>
  <c r="B474" i="13"/>
  <c r="CB473" i="13"/>
  <c r="CA473" i="13"/>
  <c r="BZ473" i="13"/>
  <c r="BY473" i="13"/>
  <c r="BW473" i="13"/>
  <c r="BX473" i="13" s="1"/>
  <c r="BU473" i="13"/>
  <c r="BM473" i="13"/>
  <c r="BE473" i="13"/>
  <c r="R473" i="13"/>
  <c r="Q473" i="13"/>
  <c r="P473" i="13"/>
  <c r="O473" i="13"/>
  <c r="N473" i="13"/>
  <c r="M473" i="13"/>
  <c r="L473" i="13"/>
  <c r="K473" i="13"/>
  <c r="J473" i="13"/>
  <c r="I473" i="13"/>
  <c r="B473" i="13"/>
  <c r="CB472" i="13"/>
  <c r="CA472" i="13"/>
  <c r="BZ472" i="13"/>
  <c r="BY472" i="13"/>
  <c r="BW472" i="13"/>
  <c r="BX472" i="13" s="1"/>
  <c r="BU472" i="13"/>
  <c r="BM472" i="13"/>
  <c r="BE472" i="13"/>
  <c r="R472" i="13"/>
  <c r="Q472" i="13"/>
  <c r="P472" i="13"/>
  <c r="O472" i="13"/>
  <c r="N472" i="13"/>
  <c r="M472" i="13"/>
  <c r="L472" i="13"/>
  <c r="K472" i="13"/>
  <c r="J472" i="13"/>
  <c r="I472" i="13"/>
  <c r="B472" i="13"/>
  <c r="CB471" i="13"/>
  <c r="CA471" i="13"/>
  <c r="BZ471" i="13"/>
  <c r="BY471" i="13"/>
  <c r="BW471" i="13"/>
  <c r="BX471" i="13" s="1"/>
  <c r="BU471" i="13"/>
  <c r="BM471" i="13"/>
  <c r="BE471" i="13"/>
  <c r="R471" i="13"/>
  <c r="Q471" i="13"/>
  <c r="P471" i="13"/>
  <c r="O471" i="13"/>
  <c r="N471" i="13"/>
  <c r="M471" i="13"/>
  <c r="L471" i="13"/>
  <c r="K471" i="13"/>
  <c r="J471" i="13"/>
  <c r="I471" i="13"/>
  <c r="B471" i="13"/>
  <c r="CB470" i="13"/>
  <c r="CA470" i="13"/>
  <c r="BZ470" i="13"/>
  <c r="BY470" i="13"/>
  <c r="BW470" i="13"/>
  <c r="BX470" i="13" s="1"/>
  <c r="BU470" i="13"/>
  <c r="BM470" i="13"/>
  <c r="BE470" i="13"/>
  <c r="R470" i="13"/>
  <c r="Q470" i="13"/>
  <c r="P470" i="13"/>
  <c r="O470" i="13"/>
  <c r="N470" i="13"/>
  <c r="M470" i="13"/>
  <c r="L470" i="13"/>
  <c r="K470" i="13"/>
  <c r="J470" i="13"/>
  <c r="I470" i="13"/>
  <c r="B470" i="13"/>
  <c r="CB469" i="13"/>
  <c r="CA469" i="13"/>
  <c r="BZ469" i="13"/>
  <c r="BY469" i="13"/>
  <c r="BW469" i="13"/>
  <c r="BX469" i="13" s="1"/>
  <c r="BU469" i="13"/>
  <c r="BM469" i="13"/>
  <c r="BE469" i="13"/>
  <c r="R469" i="13"/>
  <c r="Q469" i="13"/>
  <c r="P469" i="13"/>
  <c r="O469" i="13"/>
  <c r="N469" i="13"/>
  <c r="M469" i="13"/>
  <c r="L469" i="13"/>
  <c r="K469" i="13"/>
  <c r="J469" i="13"/>
  <c r="I469" i="13"/>
  <c r="B469" i="13"/>
  <c r="CB468" i="13"/>
  <c r="CA468" i="13"/>
  <c r="BZ468" i="13"/>
  <c r="BY468" i="13"/>
  <c r="BW468" i="13"/>
  <c r="BX468" i="13" s="1"/>
  <c r="BU468" i="13"/>
  <c r="BM468" i="13"/>
  <c r="BE468" i="13"/>
  <c r="R468" i="13"/>
  <c r="Q468" i="13"/>
  <c r="P468" i="13"/>
  <c r="O468" i="13"/>
  <c r="N468" i="13"/>
  <c r="M468" i="13"/>
  <c r="L468" i="13"/>
  <c r="K468" i="13"/>
  <c r="J468" i="13"/>
  <c r="I468" i="13"/>
  <c r="B468" i="13"/>
  <c r="CB467" i="13"/>
  <c r="CA467" i="13"/>
  <c r="BZ467" i="13"/>
  <c r="BY467" i="13"/>
  <c r="BW467" i="13"/>
  <c r="BX467" i="13" s="1"/>
  <c r="BU467" i="13"/>
  <c r="BM467" i="13"/>
  <c r="BE467" i="13"/>
  <c r="R467" i="13"/>
  <c r="Q467" i="13"/>
  <c r="P467" i="13"/>
  <c r="O467" i="13"/>
  <c r="N467" i="13"/>
  <c r="M467" i="13"/>
  <c r="L467" i="13"/>
  <c r="K467" i="13"/>
  <c r="J467" i="13"/>
  <c r="I467" i="13"/>
  <c r="B467" i="13"/>
  <c r="CB466" i="13"/>
  <c r="CA466" i="13"/>
  <c r="BZ466" i="13"/>
  <c r="BY466" i="13"/>
  <c r="BW466" i="13"/>
  <c r="BX466" i="13" s="1"/>
  <c r="BU466" i="13"/>
  <c r="BM466" i="13"/>
  <c r="BE466" i="13"/>
  <c r="R466" i="13"/>
  <c r="Q466" i="13"/>
  <c r="P466" i="13"/>
  <c r="O466" i="13"/>
  <c r="N466" i="13"/>
  <c r="M466" i="13"/>
  <c r="L466" i="13"/>
  <c r="K466" i="13"/>
  <c r="J466" i="13"/>
  <c r="I466" i="13"/>
  <c r="B466" i="13"/>
  <c r="CB465" i="13"/>
  <c r="CA465" i="13"/>
  <c r="BZ465" i="13"/>
  <c r="BY465" i="13"/>
  <c r="BW465" i="13"/>
  <c r="BX465" i="13" s="1"/>
  <c r="BU465" i="13"/>
  <c r="BM465" i="13"/>
  <c r="BE465" i="13"/>
  <c r="R465" i="13"/>
  <c r="Q465" i="13"/>
  <c r="P465" i="13"/>
  <c r="O465" i="13"/>
  <c r="N465" i="13"/>
  <c r="M465" i="13"/>
  <c r="L465" i="13"/>
  <c r="K465" i="13"/>
  <c r="J465" i="13"/>
  <c r="I465" i="13"/>
  <c r="B465" i="13"/>
  <c r="CB464" i="13"/>
  <c r="CA464" i="13"/>
  <c r="BZ464" i="13"/>
  <c r="BY464" i="13"/>
  <c r="BW464" i="13"/>
  <c r="BX464" i="13" s="1"/>
  <c r="BU464" i="13"/>
  <c r="BM464" i="13"/>
  <c r="BE464" i="13"/>
  <c r="R464" i="13"/>
  <c r="Q464" i="13"/>
  <c r="P464" i="13"/>
  <c r="O464" i="13"/>
  <c r="N464" i="13"/>
  <c r="M464" i="13"/>
  <c r="L464" i="13"/>
  <c r="K464" i="13"/>
  <c r="J464" i="13"/>
  <c r="I464" i="13"/>
  <c r="B464" i="13"/>
  <c r="CB463" i="13"/>
  <c r="CA463" i="13"/>
  <c r="BZ463" i="13"/>
  <c r="BY463" i="13"/>
  <c r="BW463" i="13"/>
  <c r="BX463" i="13" s="1"/>
  <c r="BU463" i="13"/>
  <c r="BM463" i="13"/>
  <c r="BE463" i="13"/>
  <c r="R463" i="13"/>
  <c r="Q463" i="13"/>
  <c r="P463" i="13"/>
  <c r="O463" i="13"/>
  <c r="N463" i="13"/>
  <c r="M463" i="13"/>
  <c r="L463" i="13"/>
  <c r="K463" i="13"/>
  <c r="J463" i="13"/>
  <c r="I463" i="13"/>
  <c r="B463" i="13"/>
  <c r="CB462" i="13"/>
  <c r="CA462" i="13"/>
  <c r="BZ462" i="13"/>
  <c r="BY462" i="13"/>
  <c r="BW462" i="13"/>
  <c r="BX462" i="13" s="1"/>
  <c r="BU462" i="13"/>
  <c r="BM462" i="13"/>
  <c r="BE462" i="13"/>
  <c r="R462" i="13"/>
  <c r="Q462" i="13"/>
  <c r="P462" i="13"/>
  <c r="O462" i="13"/>
  <c r="N462" i="13"/>
  <c r="M462" i="13"/>
  <c r="L462" i="13"/>
  <c r="K462" i="13"/>
  <c r="J462" i="13"/>
  <c r="I462" i="13"/>
  <c r="B462" i="13"/>
  <c r="CB461" i="13"/>
  <c r="CA461" i="13"/>
  <c r="BZ461" i="13"/>
  <c r="BY461" i="13"/>
  <c r="BW461" i="13"/>
  <c r="BX461" i="13" s="1"/>
  <c r="BU461" i="13"/>
  <c r="BM461" i="13"/>
  <c r="BE461" i="13"/>
  <c r="R461" i="13"/>
  <c r="Q461" i="13"/>
  <c r="P461" i="13"/>
  <c r="O461" i="13"/>
  <c r="N461" i="13"/>
  <c r="M461" i="13"/>
  <c r="L461" i="13"/>
  <c r="K461" i="13"/>
  <c r="J461" i="13"/>
  <c r="I461" i="13"/>
  <c r="B461" i="13"/>
  <c r="CB460" i="13"/>
  <c r="CA460" i="13"/>
  <c r="BZ460" i="13"/>
  <c r="BY460" i="13"/>
  <c r="BW460" i="13"/>
  <c r="BX460" i="13" s="1"/>
  <c r="BU460" i="13"/>
  <c r="BM460" i="13"/>
  <c r="BE460" i="13"/>
  <c r="R460" i="13"/>
  <c r="Q460" i="13"/>
  <c r="P460" i="13"/>
  <c r="O460" i="13"/>
  <c r="N460" i="13"/>
  <c r="M460" i="13"/>
  <c r="L460" i="13"/>
  <c r="K460" i="13"/>
  <c r="J460" i="13"/>
  <c r="I460" i="13"/>
  <c r="B460" i="13"/>
  <c r="CB459" i="13"/>
  <c r="CA459" i="13"/>
  <c r="BZ459" i="13"/>
  <c r="BY459" i="13"/>
  <c r="BW459" i="13"/>
  <c r="BX459" i="13" s="1"/>
  <c r="BU459" i="13"/>
  <c r="BM459" i="13"/>
  <c r="BE459" i="13"/>
  <c r="R459" i="13"/>
  <c r="Q459" i="13"/>
  <c r="P459" i="13"/>
  <c r="O459" i="13"/>
  <c r="N459" i="13"/>
  <c r="M459" i="13"/>
  <c r="L459" i="13"/>
  <c r="K459" i="13"/>
  <c r="J459" i="13"/>
  <c r="I459" i="13"/>
  <c r="B459" i="13"/>
  <c r="CB458" i="13"/>
  <c r="CA458" i="13"/>
  <c r="BZ458" i="13"/>
  <c r="BY458" i="13"/>
  <c r="BW458" i="13"/>
  <c r="BX458" i="13" s="1"/>
  <c r="BU458" i="13"/>
  <c r="BM458" i="13"/>
  <c r="BE458" i="13"/>
  <c r="R458" i="13"/>
  <c r="Q458" i="13"/>
  <c r="P458" i="13"/>
  <c r="O458" i="13"/>
  <c r="N458" i="13"/>
  <c r="M458" i="13"/>
  <c r="L458" i="13"/>
  <c r="K458" i="13"/>
  <c r="J458" i="13"/>
  <c r="I458" i="13"/>
  <c r="B458" i="13"/>
  <c r="CB457" i="13"/>
  <c r="CA457" i="13"/>
  <c r="BY457" i="13"/>
  <c r="BW457" i="13"/>
  <c r="BX457" i="13" s="1"/>
  <c r="BU457" i="13"/>
  <c r="BM457" i="13"/>
  <c r="BE457" i="13"/>
  <c r="R457" i="13"/>
  <c r="Q457" i="13"/>
  <c r="P457" i="13"/>
  <c r="O457" i="13"/>
  <c r="N457" i="13"/>
  <c r="M457" i="13"/>
  <c r="L457" i="13"/>
  <c r="K457" i="13"/>
  <c r="J457" i="13"/>
  <c r="I457" i="13"/>
  <c r="B457" i="13"/>
  <c r="CB456" i="13"/>
  <c r="CA456" i="13"/>
  <c r="BZ456" i="13"/>
  <c r="BY456" i="13"/>
  <c r="BW456" i="13"/>
  <c r="BX456" i="13" s="1"/>
  <c r="BU456" i="13"/>
  <c r="BM456" i="13"/>
  <c r="BE456" i="13"/>
  <c r="R456" i="13"/>
  <c r="Q456" i="13"/>
  <c r="P456" i="13"/>
  <c r="O456" i="13"/>
  <c r="N456" i="13"/>
  <c r="M456" i="13"/>
  <c r="L456" i="13"/>
  <c r="K456" i="13"/>
  <c r="J456" i="13"/>
  <c r="I456" i="13"/>
  <c r="B456" i="13"/>
  <c r="CB455" i="13"/>
  <c r="CA455" i="13"/>
  <c r="BZ455" i="13"/>
  <c r="BY455" i="13"/>
  <c r="BW455" i="13"/>
  <c r="BX455" i="13" s="1"/>
  <c r="BU455" i="13"/>
  <c r="BM455" i="13"/>
  <c r="BE455" i="13"/>
  <c r="R455" i="13"/>
  <c r="Q455" i="13"/>
  <c r="P455" i="13"/>
  <c r="O455" i="13"/>
  <c r="N455" i="13"/>
  <c r="M455" i="13"/>
  <c r="L455" i="13"/>
  <c r="K455" i="13"/>
  <c r="J455" i="13"/>
  <c r="I455" i="13"/>
  <c r="B455" i="13"/>
  <c r="CB454" i="13"/>
  <c r="CA454" i="13"/>
  <c r="BZ454" i="13"/>
  <c r="BY454" i="13"/>
  <c r="BW454" i="13"/>
  <c r="BX454" i="13" s="1"/>
  <c r="BU454" i="13"/>
  <c r="BM454" i="13"/>
  <c r="BE454" i="13"/>
  <c r="R454" i="13"/>
  <c r="Q454" i="13"/>
  <c r="P454" i="13"/>
  <c r="O454" i="13"/>
  <c r="N454" i="13"/>
  <c r="M454" i="13"/>
  <c r="L454" i="13"/>
  <c r="K454" i="13"/>
  <c r="J454" i="13"/>
  <c r="I454" i="13"/>
  <c r="B454" i="13"/>
  <c r="CB453" i="13"/>
  <c r="CA453" i="13"/>
  <c r="BZ453" i="13"/>
  <c r="BY453" i="13"/>
  <c r="BW453" i="13"/>
  <c r="BX453" i="13" s="1"/>
  <c r="BU453" i="13"/>
  <c r="BM453" i="13"/>
  <c r="BE453" i="13"/>
  <c r="R453" i="13"/>
  <c r="Q453" i="13"/>
  <c r="P453" i="13"/>
  <c r="O453" i="13"/>
  <c r="N453" i="13"/>
  <c r="M453" i="13"/>
  <c r="L453" i="13"/>
  <c r="K453" i="13"/>
  <c r="J453" i="13"/>
  <c r="I453" i="13"/>
  <c r="B453" i="13"/>
  <c r="CB452" i="13"/>
  <c r="CA452" i="13"/>
  <c r="BZ452" i="13"/>
  <c r="BY452" i="13"/>
  <c r="BW452" i="13"/>
  <c r="BX452" i="13" s="1"/>
  <c r="BU452" i="13"/>
  <c r="BM452" i="13"/>
  <c r="BE452" i="13"/>
  <c r="R452" i="13"/>
  <c r="Q452" i="13"/>
  <c r="P452" i="13"/>
  <c r="O452" i="13"/>
  <c r="N452" i="13"/>
  <c r="M452" i="13"/>
  <c r="L452" i="13"/>
  <c r="K452" i="13"/>
  <c r="J452" i="13"/>
  <c r="I452" i="13"/>
  <c r="B452" i="13"/>
  <c r="CB451" i="13"/>
  <c r="CA451" i="13"/>
  <c r="BZ451" i="13"/>
  <c r="BY451" i="13"/>
  <c r="BW451" i="13"/>
  <c r="BX451" i="13" s="1"/>
  <c r="BU451" i="13"/>
  <c r="BM451" i="13"/>
  <c r="BE451" i="13"/>
  <c r="R451" i="13"/>
  <c r="Q451" i="13"/>
  <c r="P451" i="13"/>
  <c r="O451" i="13"/>
  <c r="N451" i="13"/>
  <c r="M451" i="13"/>
  <c r="L451" i="13"/>
  <c r="K451" i="13"/>
  <c r="J451" i="13"/>
  <c r="I451" i="13"/>
  <c r="B451" i="13"/>
  <c r="CB450" i="13"/>
  <c r="CA450" i="13"/>
  <c r="BZ450" i="13"/>
  <c r="BU450" i="13"/>
  <c r="BM450" i="13"/>
  <c r="BE450" i="13"/>
  <c r="R450" i="13"/>
  <c r="Q450" i="13"/>
  <c r="P450" i="13"/>
  <c r="O450" i="13"/>
  <c r="N450" i="13"/>
  <c r="M450" i="13"/>
  <c r="L450" i="13"/>
  <c r="K450" i="13"/>
  <c r="J450" i="13"/>
  <c r="I450" i="13"/>
  <c r="B450" i="13"/>
  <c r="CB449" i="13"/>
  <c r="CA449" i="13"/>
  <c r="BZ449" i="13"/>
  <c r="BY449" i="13"/>
  <c r="BW449" i="13"/>
  <c r="BX449" i="13" s="1"/>
  <c r="BT449" i="13"/>
  <c r="BS449" i="13"/>
  <c r="BR449" i="13"/>
  <c r="BQ449" i="13"/>
  <c r="BP449" i="13"/>
  <c r="BO449" i="13"/>
  <c r="BN449" i="13"/>
  <c r="BU449" i="13" s="1"/>
  <c r="BL449" i="13"/>
  <c r="BK449" i="13"/>
  <c r="BJ449" i="13"/>
  <c r="BI449" i="13"/>
  <c r="BH449" i="13"/>
  <c r="BG449" i="13"/>
  <c r="BF449" i="13"/>
  <c r="BM449" i="13" s="1"/>
  <c r="BD449" i="13"/>
  <c r="BC449" i="13"/>
  <c r="BB449" i="13"/>
  <c r="BA449" i="13"/>
  <c r="AZ449" i="13"/>
  <c r="AY449" i="13"/>
  <c r="AX449" i="13"/>
  <c r="BE449" i="13" s="1"/>
  <c r="AV449" i="13"/>
  <c r="AU449" i="13"/>
  <c r="AT449" i="13"/>
  <c r="AS449" i="13"/>
  <c r="AR449" i="13"/>
  <c r="AQ449" i="13"/>
  <c r="AP449" i="13"/>
  <c r="AW449" i="13" s="1"/>
  <c r="AB449" i="13"/>
  <c r="Z449" i="13"/>
  <c r="X449" i="13"/>
  <c r="V449" i="13"/>
  <c r="B449" i="13"/>
  <c r="CB448" i="13"/>
  <c r="CA448" i="13"/>
  <c r="BZ448" i="13"/>
  <c r="BY448" i="13"/>
  <c r="BW448" i="13"/>
  <c r="BX448" i="13" s="1"/>
  <c r="BU448" i="13"/>
  <c r="BM448" i="13"/>
  <c r="BE448" i="13"/>
  <c r="AW448" i="13"/>
  <c r="CB447" i="13"/>
  <c r="CA447" i="13"/>
  <c r="BZ447" i="13"/>
  <c r="BY447" i="13"/>
  <c r="BW447" i="13"/>
  <c r="BX447" i="13" s="1"/>
  <c r="BU447" i="13"/>
  <c r="BM447" i="13"/>
  <c r="BE447" i="13"/>
  <c r="AW447" i="13"/>
  <c r="B447" i="13"/>
  <c r="CB446" i="13"/>
  <c r="CA446" i="13"/>
  <c r="BZ446" i="13"/>
  <c r="BY446" i="13"/>
  <c r="BW446" i="13"/>
  <c r="BX446" i="13" s="1"/>
  <c r="BU446" i="13"/>
  <c r="BM446" i="13"/>
  <c r="BE446" i="13"/>
  <c r="AW446" i="13"/>
  <c r="CB445" i="13"/>
  <c r="CA445" i="13"/>
  <c r="BY445" i="13"/>
  <c r="BW445" i="13"/>
  <c r="BX445" i="13" s="1"/>
  <c r="BU445" i="13"/>
  <c r="BM445" i="13"/>
  <c r="BE445" i="13"/>
  <c r="AW445" i="13"/>
  <c r="R445" i="13"/>
  <c r="Q445" i="13"/>
  <c r="P445" i="13"/>
  <c r="O445" i="13"/>
  <c r="M445" i="13"/>
  <c r="L445" i="13"/>
  <c r="K445" i="13"/>
  <c r="J445" i="13"/>
  <c r="I445" i="13"/>
  <c r="B445" i="13"/>
  <c r="CB444" i="13"/>
  <c r="CA444" i="13"/>
  <c r="BZ444" i="13"/>
  <c r="BY444" i="13"/>
  <c r="BW444" i="13"/>
  <c r="BX444" i="13" s="1"/>
  <c r="BU444" i="13"/>
  <c r="BM444" i="13"/>
  <c r="BE444" i="13"/>
  <c r="R444" i="13"/>
  <c r="Q444" i="13"/>
  <c r="P444" i="13"/>
  <c r="O444" i="13"/>
  <c r="M444" i="13"/>
  <c r="L444" i="13"/>
  <c r="K444" i="13"/>
  <c r="J444" i="13"/>
  <c r="I444" i="13"/>
  <c r="B444" i="13"/>
  <c r="CB443" i="13"/>
  <c r="CA443" i="13"/>
  <c r="BZ443" i="13"/>
  <c r="BY443" i="13"/>
  <c r="BW443" i="13"/>
  <c r="BX443" i="13" s="1"/>
  <c r="BU443" i="13"/>
  <c r="BM443" i="13"/>
  <c r="BE443" i="13"/>
  <c r="AW443" i="13"/>
  <c r="R443" i="13"/>
  <c r="Q443" i="13"/>
  <c r="P443" i="13"/>
  <c r="O443" i="13"/>
  <c r="M443" i="13"/>
  <c r="L443" i="13"/>
  <c r="K443" i="13"/>
  <c r="J443" i="13"/>
  <c r="I443" i="13"/>
  <c r="B443" i="13"/>
  <c r="CB442" i="13"/>
  <c r="CA442" i="13"/>
  <c r="BZ442" i="13"/>
  <c r="BY442" i="13"/>
  <c r="BW442" i="13"/>
  <c r="BX442" i="13" s="1"/>
  <c r="BU442" i="13"/>
  <c r="BM442" i="13"/>
  <c r="BE442" i="13"/>
  <c r="AW442" i="13"/>
  <c r="R442" i="13"/>
  <c r="Q442" i="13"/>
  <c r="P442" i="13"/>
  <c r="O442" i="13"/>
  <c r="M442" i="13"/>
  <c r="L442" i="13"/>
  <c r="K442" i="13"/>
  <c r="J442" i="13"/>
  <c r="I442" i="13"/>
  <c r="B442" i="13"/>
  <c r="CB441" i="13"/>
  <c r="CA441" i="13"/>
  <c r="BZ441" i="13"/>
  <c r="BY441" i="13"/>
  <c r="BW441" i="13"/>
  <c r="BX441" i="13" s="1"/>
  <c r="BU441" i="13"/>
  <c r="BM441" i="13"/>
  <c r="BE441" i="13"/>
  <c r="AW441" i="13"/>
  <c r="R441" i="13"/>
  <c r="Q441" i="13"/>
  <c r="P441" i="13"/>
  <c r="O441" i="13"/>
  <c r="M441" i="13"/>
  <c r="L441" i="13"/>
  <c r="K441" i="13"/>
  <c r="J441" i="13"/>
  <c r="I441" i="13"/>
  <c r="B441" i="13"/>
  <c r="CB440" i="13"/>
  <c r="CA440" i="13"/>
  <c r="BZ440" i="13"/>
  <c r="BY440" i="13"/>
  <c r="BW440" i="13"/>
  <c r="BX440" i="13" s="1"/>
  <c r="BU440" i="13"/>
  <c r="BM440" i="13"/>
  <c r="BE440" i="13"/>
  <c r="AW440" i="13"/>
  <c r="R440" i="13"/>
  <c r="Q440" i="13"/>
  <c r="P440" i="13"/>
  <c r="O440" i="13"/>
  <c r="M440" i="13"/>
  <c r="L440" i="13"/>
  <c r="K440" i="13"/>
  <c r="J440" i="13"/>
  <c r="I440" i="13"/>
  <c r="B440" i="13"/>
  <c r="CB439" i="13"/>
  <c r="CA439" i="13"/>
  <c r="BZ439" i="13"/>
  <c r="BY439" i="13"/>
  <c r="BW439" i="13"/>
  <c r="BX439" i="13" s="1"/>
  <c r="BU439" i="13"/>
  <c r="BM439" i="13"/>
  <c r="BE439" i="13"/>
  <c r="AW439" i="13"/>
  <c r="R439" i="13"/>
  <c r="Q439" i="13"/>
  <c r="P439" i="13"/>
  <c r="O439" i="13"/>
  <c r="M439" i="13"/>
  <c r="L439" i="13"/>
  <c r="K439" i="13"/>
  <c r="J439" i="13"/>
  <c r="I439" i="13"/>
  <c r="B439" i="13"/>
  <c r="CB438" i="13"/>
  <c r="CA438" i="13"/>
  <c r="BZ438" i="13"/>
  <c r="BY438" i="13"/>
  <c r="BW438" i="13"/>
  <c r="BX438" i="13" s="1"/>
  <c r="BU438" i="13"/>
  <c r="BM438" i="13"/>
  <c r="BE438" i="13"/>
  <c r="AW438" i="13"/>
  <c r="R438" i="13"/>
  <c r="Q438" i="13"/>
  <c r="P438" i="13"/>
  <c r="O438" i="13"/>
  <c r="M438" i="13"/>
  <c r="L438" i="13"/>
  <c r="K438" i="13"/>
  <c r="J438" i="13"/>
  <c r="I438" i="13"/>
  <c r="B438" i="13"/>
  <c r="CB437" i="13"/>
  <c r="CA437" i="13"/>
  <c r="BZ437" i="13"/>
  <c r="BY437" i="13"/>
  <c r="BW437" i="13"/>
  <c r="BX437" i="13" s="1"/>
  <c r="BU437" i="13"/>
  <c r="BM437" i="13"/>
  <c r="BE437" i="13"/>
  <c r="AW437" i="13"/>
  <c r="R437" i="13"/>
  <c r="Q437" i="13"/>
  <c r="P437" i="13"/>
  <c r="O437" i="13"/>
  <c r="M437" i="13"/>
  <c r="L437" i="13"/>
  <c r="K437" i="13"/>
  <c r="J437" i="13"/>
  <c r="I437" i="13"/>
  <c r="B437" i="13"/>
  <c r="CB436" i="13"/>
  <c r="CA436" i="13"/>
  <c r="BZ436" i="13"/>
  <c r="BY436" i="13"/>
  <c r="BW436" i="13"/>
  <c r="BX436" i="13" s="1"/>
  <c r="BU436" i="13"/>
  <c r="BM436" i="13"/>
  <c r="BE436" i="13"/>
  <c r="AW436" i="13"/>
  <c r="R436" i="13"/>
  <c r="Q436" i="13"/>
  <c r="P436" i="13"/>
  <c r="O436" i="13"/>
  <c r="M436" i="13"/>
  <c r="L436" i="13"/>
  <c r="K436" i="13"/>
  <c r="J436" i="13"/>
  <c r="I436" i="13"/>
  <c r="B436" i="13"/>
  <c r="CB435" i="13"/>
  <c r="CA435" i="13"/>
  <c r="BZ435" i="13"/>
  <c r="BY435" i="13"/>
  <c r="BW435" i="13"/>
  <c r="BX435" i="13" s="1"/>
  <c r="BU435" i="13"/>
  <c r="BM435" i="13"/>
  <c r="BE435" i="13"/>
  <c r="AW435" i="13"/>
  <c r="R435" i="13"/>
  <c r="Q435" i="13"/>
  <c r="P435" i="13"/>
  <c r="O435" i="13"/>
  <c r="M435" i="13"/>
  <c r="L435" i="13"/>
  <c r="K435" i="13"/>
  <c r="J435" i="13"/>
  <c r="I435" i="13"/>
  <c r="B435" i="13"/>
  <c r="CB434" i="13"/>
  <c r="CA434" i="13"/>
  <c r="BZ434" i="13"/>
  <c r="BY434" i="13"/>
  <c r="BW434" i="13"/>
  <c r="BX434" i="13" s="1"/>
  <c r="BU434" i="13"/>
  <c r="BM434" i="13"/>
  <c r="BE434" i="13"/>
  <c r="AW434" i="13"/>
  <c r="R434" i="13"/>
  <c r="Q434" i="13"/>
  <c r="P434" i="13"/>
  <c r="O434" i="13"/>
  <c r="M434" i="13"/>
  <c r="L434" i="13"/>
  <c r="K434" i="13"/>
  <c r="J434" i="13"/>
  <c r="I434" i="13"/>
  <c r="B434" i="13"/>
  <c r="CB433" i="13"/>
  <c r="CA433" i="13"/>
  <c r="BZ433" i="13"/>
  <c r="BY433" i="13"/>
  <c r="BW433" i="13"/>
  <c r="BX433" i="13" s="1"/>
  <c r="BU433" i="13"/>
  <c r="BM433" i="13"/>
  <c r="BE433" i="13"/>
  <c r="AW433" i="13"/>
  <c r="R433" i="13"/>
  <c r="Q433" i="13"/>
  <c r="P433" i="13"/>
  <c r="O433" i="13"/>
  <c r="M433" i="13"/>
  <c r="L433" i="13"/>
  <c r="K433" i="13"/>
  <c r="J433" i="13"/>
  <c r="I433" i="13"/>
  <c r="B433" i="13"/>
  <c r="CB432" i="13"/>
  <c r="CA432" i="13"/>
  <c r="BZ432" i="13"/>
  <c r="BY432" i="13"/>
  <c r="BW432" i="13"/>
  <c r="BX432" i="13" s="1"/>
  <c r="BT432" i="13"/>
  <c r="BS432" i="13"/>
  <c r="BR432" i="13"/>
  <c r="BQ432" i="13"/>
  <c r="BP432" i="13"/>
  <c r="BO432" i="13"/>
  <c r="BN432" i="13"/>
  <c r="BU432" i="13" s="1"/>
  <c r="BL432" i="13"/>
  <c r="BK432" i="13"/>
  <c r="BJ432" i="13"/>
  <c r="BI432" i="13"/>
  <c r="BH432" i="13"/>
  <c r="BG432" i="13"/>
  <c r="BF432" i="13"/>
  <c r="BM432" i="13" s="1"/>
  <c r="BD432" i="13"/>
  <c r="BC432" i="13"/>
  <c r="BB432" i="13"/>
  <c r="BA432" i="13"/>
  <c r="AZ432" i="13"/>
  <c r="AY432" i="13"/>
  <c r="AX432" i="13"/>
  <c r="BE432" i="13" s="1"/>
  <c r="AV432" i="13"/>
  <c r="AU432" i="13"/>
  <c r="AT432" i="13"/>
  <c r="AS432" i="13"/>
  <c r="AR432" i="13"/>
  <c r="AQ432" i="13"/>
  <c r="AP432" i="13"/>
  <c r="AW432" i="13" s="1"/>
  <c r="AB432" i="13"/>
  <c r="Z432" i="13"/>
  <c r="X432" i="13"/>
  <c r="V432" i="13"/>
  <c r="B432" i="13"/>
  <c r="CB431" i="13"/>
  <c r="CA431" i="13"/>
  <c r="BZ431" i="13"/>
  <c r="BY431" i="13"/>
  <c r="BW431" i="13"/>
  <c r="BX431" i="13" s="1"/>
  <c r="BU431" i="13"/>
  <c r="BM431" i="13"/>
  <c r="BE431" i="13"/>
  <c r="AW431" i="13"/>
  <c r="R431" i="13"/>
  <c r="Q431" i="13"/>
  <c r="P431" i="13"/>
  <c r="O431" i="13"/>
  <c r="M431" i="13"/>
  <c r="L431" i="13"/>
  <c r="K431" i="13"/>
  <c r="J431" i="13"/>
  <c r="I431" i="13"/>
  <c r="B431" i="13"/>
  <c r="CB430" i="13"/>
  <c r="CA430" i="13"/>
  <c r="BZ430" i="13"/>
  <c r="BY430" i="13"/>
  <c r="BW430" i="13"/>
  <c r="BX430" i="13" s="1"/>
  <c r="BU430" i="13"/>
  <c r="BM430" i="13"/>
  <c r="BE430" i="13"/>
  <c r="AW430" i="13"/>
  <c r="R430" i="13"/>
  <c r="Q430" i="13"/>
  <c r="P430" i="13"/>
  <c r="O430" i="13"/>
  <c r="M430" i="13"/>
  <c r="L430" i="13"/>
  <c r="K430" i="13"/>
  <c r="J430" i="13"/>
  <c r="I430" i="13"/>
  <c r="B430" i="13"/>
  <c r="CB429" i="13"/>
  <c r="CA429" i="13"/>
  <c r="BZ429" i="13"/>
  <c r="BY429" i="13"/>
  <c r="BW429" i="13"/>
  <c r="BX429" i="13" s="1"/>
  <c r="BU429" i="13"/>
  <c r="BM429" i="13"/>
  <c r="BE429" i="13"/>
  <c r="AW429" i="13"/>
  <c r="R429" i="13"/>
  <c r="Q429" i="13"/>
  <c r="P429" i="13"/>
  <c r="O429" i="13"/>
  <c r="M429" i="13"/>
  <c r="L429" i="13"/>
  <c r="K429" i="13"/>
  <c r="J429" i="13"/>
  <c r="I429" i="13"/>
  <c r="B429" i="13"/>
  <c r="CB428" i="13"/>
  <c r="CA428" i="13"/>
  <c r="BZ428" i="13"/>
  <c r="BY428" i="13"/>
  <c r="BW428" i="13"/>
  <c r="BX428" i="13" s="1"/>
  <c r="BU428" i="13"/>
  <c r="BM428" i="13"/>
  <c r="BE428" i="13"/>
  <c r="AW428" i="13"/>
  <c r="R428" i="13"/>
  <c r="Q428" i="13"/>
  <c r="P428" i="13"/>
  <c r="O428" i="13"/>
  <c r="M428" i="13"/>
  <c r="L428" i="13"/>
  <c r="K428" i="13"/>
  <c r="J428" i="13"/>
  <c r="I428" i="13"/>
  <c r="B428" i="13"/>
  <c r="CB427" i="13"/>
  <c r="CA427" i="13"/>
  <c r="BZ427" i="13"/>
  <c r="BY427" i="13"/>
  <c r="BW427" i="13"/>
  <c r="BX427" i="13" s="1"/>
  <c r="BU427" i="13"/>
  <c r="BM427" i="13"/>
  <c r="BE427" i="13"/>
  <c r="AW427" i="13"/>
  <c r="R427" i="13"/>
  <c r="Q427" i="13"/>
  <c r="P427" i="13"/>
  <c r="O427" i="13"/>
  <c r="M427" i="13"/>
  <c r="L427" i="13"/>
  <c r="K427" i="13"/>
  <c r="J427" i="13"/>
  <c r="I427" i="13"/>
  <c r="B427" i="13"/>
  <c r="CB426" i="13"/>
  <c r="CA426" i="13"/>
  <c r="BZ426" i="13"/>
  <c r="BY426" i="13"/>
  <c r="BW426" i="13"/>
  <c r="BX426" i="13" s="1"/>
  <c r="BU426" i="13"/>
  <c r="BM426" i="13"/>
  <c r="BE426" i="13"/>
  <c r="AW426" i="13"/>
  <c r="R426" i="13"/>
  <c r="Q426" i="13"/>
  <c r="P426" i="13"/>
  <c r="O426" i="13"/>
  <c r="M426" i="13"/>
  <c r="L426" i="13"/>
  <c r="K426" i="13"/>
  <c r="J426" i="13"/>
  <c r="I426" i="13"/>
  <c r="B426" i="13"/>
  <c r="CB425" i="13"/>
  <c r="CA425" i="13"/>
  <c r="BZ425" i="13"/>
  <c r="BY425" i="13"/>
  <c r="BW425" i="13"/>
  <c r="BX425" i="13" s="1"/>
  <c r="BU425" i="13"/>
  <c r="BM425" i="13"/>
  <c r="BE425" i="13"/>
  <c r="R425" i="13"/>
  <c r="Q425" i="13"/>
  <c r="P425" i="13"/>
  <c r="O425" i="13"/>
  <c r="M425" i="13"/>
  <c r="L425" i="13"/>
  <c r="K425" i="13"/>
  <c r="J425" i="13"/>
  <c r="I425" i="13"/>
  <c r="B425" i="13"/>
  <c r="CB424" i="13"/>
  <c r="CA424" i="13"/>
  <c r="BZ424" i="13"/>
  <c r="BY424" i="13"/>
  <c r="BW424" i="13"/>
  <c r="BX424" i="13" s="1"/>
  <c r="BU424" i="13"/>
  <c r="BM424" i="13"/>
  <c r="BE424" i="13"/>
  <c r="AW424" i="13"/>
  <c r="R424" i="13"/>
  <c r="Q424" i="13"/>
  <c r="P424" i="13"/>
  <c r="O424" i="13"/>
  <c r="M424" i="13"/>
  <c r="L424" i="13"/>
  <c r="K424" i="13"/>
  <c r="J424" i="13"/>
  <c r="I424" i="13"/>
  <c r="B424" i="13"/>
  <c r="CB423" i="13"/>
  <c r="CA423" i="13"/>
  <c r="BZ423" i="13"/>
  <c r="BY423" i="13"/>
  <c r="BW423" i="13"/>
  <c r="BX423" i="13" s="1"/>
  <c r="BU423" i="13"/>
  <c r="BM423" i="13"/>
  <c r="BE423" i="13"/>
  <c r="AW423" i="13"/>
  <c r="R423" i="13"/>
  <c r="Q423" i="13"/>
  <c r="P423" i="13"/>
  <c r="O423" i="13"/>
  <c r="M423" i="13"/>
  <c r="L423" i="13"/>
  <c r="K423" i="13"/>
  <c r="J423" i="13"/>
  <c r="I423" i="13"/>
  <c r="B423" i="13"/>
  <c r="CB422" i="13"/>
  <c r="CA422" i="13"/>
  <c r="BZ422" i="13"/>
  <c r="BU422" i="13"/>
  <c r="BM422" i="13"/>
  <c r="BE422" i="13"/>
  <c r="AW422" i="13"/>
  <c r="BW422" i="13"/>
  <c r="BX422" i="13" s="1"/>
  <c r="R422" i="13"/>
  <c r="Q422" i="13"/>
  <c r="P422" i="13"/>
  <c r="O422" i="13"/>
  <c r="M422" i="13"/>
  <c r="L422" i="13"/>
  <c r="K422" i="13"/>
  <c r="J422" i="13"/>
  <c r="I422" i="13"/>
  <c r="B422" i="13"/>
  <c r="CB421" i="13"/>
  <c r="CA421" i="13"/>
  <c r="BZ421" i="13"/>
  <c r="BY421" i="13"/>
  <c r="BW421" i="13"/>
  <c r="BX421" i="13" s="1"/>
  <c r="BU421" i="13"/>
  <c r="BM421" i="13"/>
  <c r="BE421" i="13"/>
  <c r="AW421" i="13"/>
  <c r="R421" i="13"/>
  <c r="Q421" i="13"/>
  <c r="P421" i="13"/>
  <c r="O421" i="13"/>
  <c r="M421" i="13"/>
  <c r="L421" i="13"/>
  <c r="K421" i="13"/>
  <c r="J421" i="13"/>
  <c r="I421" i="13"/>
  <c r="B421" i="13"/>
  <c r="CB420" i="13"/>
  <c r="CA420" i="13"/>
  <c r="BZ420" i="13"/>
  <c r="BY420" i="13"/>
  <c r="BW420" i="13"/>
  <c r="BX420" i="13" s="1"/>
  <c r="BU420" i="13"/>
  <c r="BM420" i="13"/>
  <c r="BE420" i="13"/>
  <c r="AW420" i="13"/>
  <c r="R420" i="13"/>
  <c r="Q420" i="13"/>
  <c r="P420" i="13"/>
  <c r="O420" i="13"/>
  <c r="M420" i="13"/>
  <c r="L420" i="13"/>
  <c r="K420" i="13"/>
  <c r="J420" i="13"/>
  <c r="I420" i="13"/>
  <c r="B420" i="13"/>
  <c r="CB419" i="13"/>
  <c r="CA419" i="13"/>
  <c r="BZ419" i="13"/>
  <c r="BY419" i="13"/>
  <c r="BW419" i="13"/>
  <c r="BX419" i="13" s="1"/>
  <c r="BU419" i="13"/>
  <c r="BM419" i="13"/>
  <c r="BE419" i="13"/>
  <c r="AW419" i="13"/>
  <c r="R419" i="13"/>
  <c r="Q419" i="13"/>
  <c r="P419" i="13"/>
  <c r="O419" i="13"/>
  <c r="M419" i="13"/>
  <c r="L419" i="13"/>
  <c r="K419" i="13"/>
  <c r="J419" i="13"/>
  <c r="I419" i="13"/>
  <c r="B419" i="13"/>
  <c r="CB418" i="13"/>
  <c r="CA418" i="13"/>
  <c r="BZ418" i="13"/>
  <c r="BY418" i="13"/>
  <c r="BW418" i="13"/>
  <c r="BX418" i="13" s="1"/>
  <c r="BU418" i="13"/>
  <c r="BM418" i="13"/>
  <c r="BE418" i="13"/>
  <c r="R418" i="13"/>
  <c r="Q418" i="13"/>
  <c r="P418" i="13"/>
  <c r="O418" i="13"/>
  <c r="M418" i="13"/>
  <c r="L418" i="13"/>
  <c r="K418" i="13"/>
  <c r="J418" i="13"/>
  <c r="I418" i="13"/>
  <c r="B418" i="13"/>
  <c r="CB417" i="13"/>
  <c r="CA417" i="13"/>
  <c r="BZ417" i="13"/>
  <c r="BY417" i="13"/>
  <c r="BW417" i="13"/>
  <c r="BX417" i="13" s="1"/>
  <c r="BT417" i="13"/>
  <c r="BS417" i="13"/>
  <c r="BR417" i="13"/>
  <c r="BQ417" i="13"/>
  <c r="BP417" i="13"/>
  <c r="BO417" i="13"/>
  <c r="BN417" i="13"/>
  <c r="BU417" i="13" s="1"/>
  <c r="BL417" i="13"/>
  <c r="BK417" i="13"/>
  <c r="BJ417" i="13"/>
  <c r="BI417" i="13"/>
  <c r="BH417" i="13"/>
  <c r="BG417" i="13"/>
  <c r="BF417" i="13"/>
  <c r="BM417" i="13" s="1"/>
  <c r="BD417" i="13"/>
  <c r="BC417" i="13"/>
  <c r="BB417" i="13"/>
  <c r="BA417" i="13"/>
  <c r="AZ417" i="13"/>
  <c r="AY417" i="13"/>
  <c r="AX417" i="13"/>
  <c r="BE417" i="13" s="1"/>
  <c r="AV417" i="13"/>
  <c r="AU417" i="13"/>
  <c r="AT417" i="13"/>
  <c r="AS417" i="13"/>
  <c r="AR417" i="13"/>
  <c r="AQ417" i="13"/>
  <c r="AP417" i="13"/>
  <c r="AW417" i="13" s="1"/>
  <c r="AB417" i="13"/>
  <c r="Z417" i="13"/>
  <c r="X417" i="13"/>
  <c r="V417" i="13"/>
  <c r="B417" i="13"/>
  <c r="CB416" i="13"/>
  <c r="CA416" i="13"/>
  <c r="BZ416" i="13"/>
  <c r="BY416" i="13"/>
  <c r="BW416" i="13"/>
  <c r="BX416" i="13" s="1"/>
  <c r="BU416" i="13"/>
  <c r="BM416" i="13"/>
  <c r="BE416" i="13"/>
  <c r="AW416" i="13"/>
  <c r="CB415" i="13"/>
  <c r="CA415" i="13"/>
  <c r="BZ415" i="13"/>
  <c r="BY415" i="13"/>
  <c r="BW415" i="13"/>
  <c r="BX415" i="13" s="1"/>
  <c r="BU415" i="13"/>
  <c r="BM415" i="13"/>
  <c r="BE415" i="13"/>
  <c r="AW415" i="13"/>
  <c r="R415" i="13"/>
  <c r="Q415" i="13"/>
  <c r="P415" i="13"/>
  <c r="O415" i="13"/>
  <c r="N415" i="13"/>
  <c r="M415" i="13"/>
  <c r="L415" i="13"/>
  <c r="K415" i="13"/>
  <c r="J415" i="13"/>
  <c r="I415" i="13"/>
  <c r="B415" i="13"/>
  <c r="CB414" i="13"/>
  <c r="CA414" i="13"/>
  <c r="BZ414" i="13"/>
  <c r="BY414" i="13"/>
  <c r="BW414" i="13"/>
  <c r="BX414" i="13" s="1"/>
  <c r="BU414" i="13"/>
  <c r="BM414" i="13"/>
  <c r="BE414" i="13"/>
  <c r="AW414" i="13"/>
  <c r="R414" i="13"/>
  <c r="Q414" i="13"/>
  <c r="P414" i="13"/>
  <c r="O414" i="13"/>
  <c r="N414" i="13"/>
  <c r="M414" i="13"/>
  <c r="L414" i="13"/>
  <c r="K414" i="13"/>
  <c r="J414" i="13"/>
  <c r="I414" i="13"/>
  <c r="B414" i="13"/>
  <c r="CB413" i="13"/>
  <c r="CA413" i="13"/>
  <c r="BZ413" i="13"/>
  <c r="BY413" i="13"/>
  <c r="BW413" i="13"/>
  <c r="BX413" i="13" s="1"/>
  <c r="BU413" i="13"/>
  <c r="BM413" i="13"/>
  <c r="BE413" i="13"/>
  <c r="AW413" i="13"/>
  <c r="R413" i="13"/>
  <c r="Q413" i="13"/>
  <c r="P413" i="13"/>
  <c r="O413" i="13"/>
  <c r="N413" i="13"/>
  <c r="M413" i="13"/>
  <c r="L413" i="13"/>
  <c r="K413" i="13"/>
  <c r="J413" i="13"/>
  <c r="I413" i="13"/>
  <c r="B413" i="13"/>
  <c r="CB412" i="13"/>
  <c r="CA412" i="13"/>
  <c r="BZ412" i="13"/>
  <c r="BY412" i="13"/>
  <c r="BW412" i="13"/>
  <c r="BX412" i="13" s="1"/>
  <c r="BU412" i="13"/>
  <c r="BM412" i="13"/>
  <c r="BE412" i="13"/>
  <c r="AW412" i="13"/>
  <c r="R412" i="13"/>
  <c r="Q412" i="13"/>
  <c r="P412" i="13"/>
  <c r="O412" i="13"/>
  <c r="N412" i="13"/>
  <c r="M412" i="13"/>
  <c r="L412" i="13"/>
  <c r="K412" i="13"/>
  <c r="J412" i="13"/>
  <c r="I412" i="13"/>
  <c r="B412" i="13"/>
  <c r="CB411" i="13"/>
  <c r="CA411" i="13"/>
  <c r="BZ411" i="13"/>
  <c r="BY411" i="13"/>
  <c r="BW411" i="13"/>
  <c r="BX411" i="13" s="1"/>
  <c r="BU411" i="13"/>
  <c r="BM411" i="13"/>
  <c r="BE411" i="13"/>
  <c r="AW411" i="13"/>
  <c r="R411" i="13"/>
  <c r="Q411" i="13"/>
  <c r="P411" i="13"/>
  <c r="O411" i="13"/>
  <c r="N411" i="13"/>
  <c r="M411" i="13"/>
  <c r="L411" i="13"/>
  <c r="K411" i="13"/>
  <c r="J411" i="13"/>
  <c r="I411" i="13"/>
  <c r="B411" i="13"/>
  <c r="CB410" i="13"/>
  <c r="CA410" i="13"/>
  <c r="BZ410" i="13"/>
  <c r="BY410" i="13"/>
  <c r="BW410" i="13"/>
  <c r="BX410" i="13" s="1"/>
  <c r="BU410" i="13"/>
  <c r="BM410" i="13"/>
  <c r="BE410" i="13"/>
  <c r="AW410" i="13"/>
  <c r="R410" i="13"/>
  <c r="Q410" i="13"/>
  <c r="P410" i="13"/>
  <c r="O410" i="13"/>
  <c r="N410" i="13"/>
  <c r="M410" i="13"/>
  <c r="L410" i="13"/>
  <c r="K410" i="13"/>
  <c r="J410" i="13"/>
  <c r="I410" i="13"/>
  <c r="B410" i="13"/>
  <c r="CB409" i="13"/>
  <c r="CA409" i="13"/>
  <c r="BZ409" i="13"/>
  <c r="BY409" i="13"/>
  <c r="BW409" i="13"/>
  <c r="BX409" i="13" s="1"/>
  <c r="BU409" i="13"/>
  <c r="BM409" i="13"/>
  <c r="BE409" i="13"/>
  <c r="AW409" i="13"/>
  <c r="R409" i="13"/>
  <c r="Q409" i="13"/>
  <c r="P409" i="13"/>
  <c r="O409" i="13"/>
  <c r="N409" i="13"/>
  <c r="M409" i="13"/>
  <c r="L409" i="13"/>
  <c r="K409" i="13"/>
  <c r="J409" i="13"/>
  <c r="I409" i="13"/>
  <c r="B409" i="13"/>
  <c r="CB408" i="13"/>
  <c r="CA408" i="13"/>
  <c r="BZ408" i="13"/>
  <c r="BY408" i="13"/>
  <c r="BW408" i="13"/>
  <c r="BX408" i="13" s="1"/>
  <c r="BU408" i="13"/>
  <c r="BM408" i="13"/>
  <c r="BE408" i="13"/>
  <c r="AW408" i="13"/>
  <c r="R408" i="13"/>
  <c r="Q408" i="13"/>
  <c r="P408" i="13"/>
  <c r="O408" i="13"/>
  <c r="N408" i="13"/>
  <c r="M408" i="13"/>
  <c r="L408" i="13"/>
  <c r="K408" i="13"/>
  <c r="J408" i="13"/>
  <c r="I408" i="13"/>
  <c r="B408" i="13"/>
  <c r="CB407" i="13"/>
  <c r="CA407" i="13"/>
  <c r="BZ407" i="13"/>
  <c r="BY407" i="13"/>
  <c r="BW407" i="13"/>
  <c r="BX407" i="13" s="1"/>
  <c r="BU407" i="13"/>
  <c r="BM407" i="13"/>
  <c r="BE407" i="13"/>
  <c r="AW407" i="13"/>
  <c r="R407" i="13"/>
  <c r="Q407" i="13"/>
  <c r="P407" i="13"/>
  <c r="O407" i="13"/>
  <c r="N407" i="13"/>
  <c r="M407" i="13"/>
  <c r="L407" i="13"/>
  <c r="K407" i="13"/>
  <c r="J407" i="13"/>
  <c r="I407" i="13"/>
  <c r="B407" i="13"/>
  <c r="CB406" i="13"/>
  <c r="CA406" i="13"/>
  <c r="BZ406" i="13"/>
  <c r="BY406" i="13"/>
  <c r="BW406" i="13"/>
  <c r="BX406" i="13" s="1"/>
  <c r="BU406" i="13"/>
  <c r="BM406" i="13"/>
  <c r="BE406" i="13"/>
  <c r="AW406" i="13"/>
  <c r="R406" i="13"/>
  <c r="Q406" i="13"/>
  <c r="P406" i="13"/>
  <c r="O406" i="13"/>
  <c r="N406" i="13"/>
  <c r="M406" i="13"/>
  <c r="L406" i="13"/>
  <c r="K406" i="13"/>
  <c r="J406" i="13"/>
  <c r="I406" i="13"/>
  <c r="B406" i="13"/>
  <c r="CB405" i="13"/>
  <c r="CA405" i="13"/>
  <c r="BZ405" i="13"/>
  <c r="BY405" i="13"/>
  <c r="BW405" i="13"/>
  <c r="BX405" i="13" s="1"/>
  <c r="BU405" i="13"/>
  <c r="BM405" i="13"/>
  <c r="BE405" i="13"/>
  <c r="AW405" i="13"/>
  <c r="R405" i="13"/>
  <c r="Q405" i="13"/>
  <c r="O405" i="13"/>
  <c r="N405" i="13"/>
  <c r="M405" i="13"/>
  <c r="L405" i="13"/>
  <c r="K405" i="13"/>
  <c r="J405" i="13"/>
  <c r="I405" i="13"/>
  <c r="B405" i="13"/>
  <c r="CB404" i="13"/>
  <c r="CA404" i="13"/>
  <c r="BZ404" i="13"/>
  <c r="BY404" i="13"/>
  <c r="BW404" i="13"/>
  <c r="BX404" i="13" s="1"/>
  <c r="BT404" i="13"/>
  <c r="BS404" i="13"/>
  <c r="BR404" i="13"/>
  <c r="BQ404" i="13"/>
  <c r="BP404" i="13"/>
  <c r="BO404" i="13"/>
  <c r="BN404" i="13"/>
  <c r="BU404" i="13" s="1"/>
  <c r="BL404" i="13"/>
  <c r="BK404" i="13"/>
  <c r="BJ404" i="13"/>
  <c r="BI404" i="13"/>
  <c r="BH404" i="13"/>
  <c r="BG404" i="13"/>
  <c r="BF404" i="13"/>
  <c r="BM404" i="13" s="1"/>
  <c r="BD404" i="13"/>
  <c r="BC404" i="13"/>
  <c r="BB404" i="13"/>
  <c r="BA404" i="13"/>
  <c r="AZ404" i="13"/>
  <c r="AY404" i="13"/>
  <c r="AX404" i="13"/>
  <c r="BE404" i="13" s="1"/>
  <c r="AV404" i="13"/>
  <c r="AU404" i="13"/>
  <c r="AT404" i="13"/>
  <c r="AS404" i="13"/>
  <c r="AR404" i="13"/>
  <c r="AQ404" i="13"/>
  <c r="AP404" i="13"/>
  <c r="AW404" i="13" s="1"/>
  <c r="AB404" i="13"/>
  <c r="Z404" i="13"/>
  <c r="X404" i="13"/>
  <c r="V404" i="13"/>
  <c r="B404" i="13"/>
  <c r="CB403" i="13"/>
  <c r="CA403" i="13"/>
  <c r="BZ403" i="13"/>
  <c r="BY403" i="13"/>
  <c r="BW403" i="13"/>
  <c r="BX403" i="13" s="1"/>
  <c r="BU403" i="13"/>
  <c r="BM403" i="13"/>
  <c r="BE403" i="13"/>
  <c r="AW403" i="13"/>
  <c r="B403" i="13"/>
  <c r="CB402" i="13"/>
  <c r="CA402" i="13"/>
  <c r="BZ402" i="13"/>
  <c r="BY402" i="13"/>
  <c r="BW402" i="13"/>
  <c r="BX402" i="13" s="1"/>
  <c r="BU402" i="13"/>
  <c r="BM402" i="13"/>
  <c r="BE402" i="13"/>
  <c r="AW402" i="13"/>
  <c r="R402" i="13"/>
  <c r="Q402" i="13"/>
  <c r="P402" i="13"/>
  <c r="O402" i="13"/>
  <c r="M402" i="13"/>
  <c r="L402" i="13"/>
  <c r="K402" i="13"/>
  <c r="J402" i="13"/>
  <c r="I402" i="13"/>
  <c r="B402" i="13"/>
  <c r="CB401" i="13"/>
  <c r="CA401" i="13"/>
  <c r="BZ401" i="13"/>
  <c r="BY401" i="13"/>
  <c r="BW401" i="13"/>
  <c r="BX401" i="13" s="1"/>
  <c r="BU401" i="13"/>
  <c r="BM401" i="13"/>
  <c r="BE401" i="13"/>
  <c r="AW401" i="13"/>
  <c r="R401" i="13"/>
  <c r="Q401" i="13"/>
  <c r="P401" i="13"/>
  <c r="O401" i="13"/>
  <c r="M401" i="13"/>
  <c r="L401" i="13"/>
  <c r="K401" i="13"/>
  <c r="J401" i="13"/>
  <c r="I401" i="13"/>
  <c r="B401" i="13"/>
  <c r="CB400" i="13"/>
  <c r="CA400" i="13"/>
  <c r="BZ400" i="13"/>
  <c r="BY400" i="13"/>
  <c r="BW400" i="13"/>
  <c r="BX400" i="13" s="1"/>
  <c r="BU400" i="13"/>
  <c r="BM400" i="13"/>
  <c r="BE400" i="13"/>
  <c r="AW400" i="13"/>
  <c r="R400" i="13"/>
  <c r="Q400" i="13"/>
  <c r="O400" i="13"/>
  <c r="M400" i="13"/>
  <c r="L400" i="13"/>
  <c r="K400" i="13"/>
  <c r="J400" i="13"/>
  <c r="I400" i="13"/>
  <c r="B400" i="13"/>
  <c r="CB399" i="13"/>
  <c r="CA399" i="13"/>
  <c r="BZ399" i="13"/>
  <c r="BY399" i="13"/>
  <c r="BW399" i="13"/>
  <c r="BX399" i="13" s="1"/>
  <c r="BU399" i="13"/>
  <c r="BM399" i="13"/>
  <c r="BE399" i="13"/>
  <c r="AW399" i="13"/>
  <c r="R399" i="13"/>
  <c r="Q399" i="13"/>
  <c r="P399" i="13"/>
  <c r="O399" i="13"/>
  <c r="M399" i="13"/>
  <c r="L399" i="13"/>
  <c r="K399" i="13"/>
  <c r="J399" i="13"/>
  <c r="I399" i="13"/>
  <c r="B399" i="13"/>
  <c r="CB398" i="13"/>
  <c r="CA398" i="13"/>
  <c r="BZ398" i="13"/>
  <c r="BY398" i="13"/>
  <c r="BW398" i="13"/>
  <c r="BX398" i="13" s="1"/>
  <c r="BU398" i="13"/>
  <c r="BM398" i="13"/>
  <c r="BE398" i="13"/>
  <c r="AW398" i="13"/>
  <c r="R398" i="13"/>
  <c r="Q398" i="13"/>
  <c r="P398" i="13"/>
  <c r="O398" i="13"/>
  <c r="M398" i="13"/>
  <c r="L398" i="13"/>
  <c r="K398" i="13"/>
  <c r="J398" i="13"/>
  <c r="I398" i="13"/>
  <c r="B398" i="13"/>
  <c r="CB397" i="13"/>
  <c r="CA397" i="13"/>
  <c r="BZ397" i="13"/>
  <c r="BY397" i="13"/>
  <c r="BW397" i="13"/>
  <c r="BX397" i="13" s="1"/>
  <c r="BU397" i="13"/>
  <c r="BM397" i="13"/>
  <c r="BE397" i="13"/>
  <c r="AW397" i="13"/>
  <c r="R397" i="13"/>
  <c r="Q397" i="13"/>
  <c r="P397" i="13"/>
  <c r="O397" i="13"/>
  <c r="M397" i="13"/>
  <c r="L397" i="13"/>
  <c r="K397" i="13"/>
  <c r="J397" i="13"/>
  <c r="I397" i="13"/>
  <c r="B397" i="13"/>
  <c r="CB396" i="13"/>
  <c r="CA396" i="13"/>
  <c r="BZ396" i="13"/>
  <c r="BY396" i="13"/>
  <c r="BW396" i="13"/>
  <c r="BX396" i="13" s="1"/>
  <c r="BU396" i="13"/>
  <c r="BM396" i="13"/>
  <c r="BE396" i="13"/>
  <c r="AW396" i="13"/>
  <c r="R396" i="13"/>
  <c r="Q396" i="13"/>
  <c r="P396" i="13"/>
  <c r="O396" i="13"/>
  <c r="M396" i="13"/>
  <c r="L396" i="13"/>
  <c r="K396" i="13"/>
  <c r="J396" i="13"/>
  <c r="I396" i="13"/>
  <c r="B396" i="13"/>
  <c r="CB395" i="13"/>
  <c r="CA395" i="13"/>
  <c r="BZ395" i="13"/>
  <c r="BY395" i="13"/>
  <c r="BW395" i="13"/>
  <c r="BX395" i="13" s="1"/>
  <c r="BU395" i="13"/>
  <c r="BM395" i="13"/>
  <c r="BE395" i="13"/>
  <c r="AW395" i="13"/>
  <c r="R395" i="13"/>
  <c r="Q395" i="13"/>
  <c r="P395" i="13"/>
  <c r="O395" i="13"/>
  <c r="M395" i="13"/>
  <c r="L395" i="13"/>
  <c r="K395" i="13"/>
  <c r="J395" i="13"/>
  <c r="I395" i="13"/>
  <c r="B395" i="13"/>
  <c r="CB394" i="13"/>
  <c r="CA394" i="13"/>
  <c r="BZ394" i="13"/>
  <c r="BY394" i="13"/>
  <c r="BW394" i="13"/>
  <c r="BX394" i="13" s="1"/>
  <c r="BU394" i="13"/>
  <c r="BM394" i="13"/>
  <c r="BE394" i="13"/>
  <c r="AW394" i="13"/>
  <c r="R394" i="13"/>
  <c r="Q394" i="13"/>
  <c r="P394" i="13"/>
  <c r="O394" i="13"/>
  <c r="M394" i="13"/>
  <c r="L394" i="13"/>
  <c r="K394" i="13"/>
  <c r="J394" i="13"/>
  <c r="I394" i="13"/>
  <c r="B394" i="13"/>
  <c r="CB393" i="13"/>
  <c r="CA393" i="13"/>
  <c r="BZ393" i="13"/>
  <c r="BY393" i="13"/>
  <c r="BW393" i="13"/>
  <c r="BX393" i="13" s="1"/>
  <c r="BU393" i="13"/>
  <c r="BM393" i="13"/>
  <c r="BE393" i="13"/>
  <c r="AW393" i="13"/>
  <c r="R393" i="13"/>
  <c r="Q393" i="13"/>
  <c r="P393" i="13"/>
  <c r="O393" i="13"/>
  <c r="M393" i="13"/>
  <c r="L393" i="13"/>
  <c r="K393" i="13"/>
  <c r="J393" i="13"/>
  <c r="I393" i="13"/>
  <c r="B393" i="13"/>
  <c r="CB392" i="13"/>
  <c r="CA392" i="13"/>
  <c r="BZ392" i="13"/>
  <c r="BY392" i="13"/>
  <c r="BW392" i="13"/>
  <c r="BX392" i="13" s="1"/>
  <c r="BU392" i="13"/>
  <c r="BM392" i="13"/>
  <c r="BE392" i="13"/>
  <c r="AW392" i="13"/>
  <c r="R392" i="13"/>
  <c r="Q392" i="13"/>
  <c r="P392" i="13"/>
  <c r="O392" i="13"/>
  <c r="M392" i="13"/>
  <c r="L392" i="13"/>
  <c r="K392" i="13"/>
  <c r="J392" i="13"/>
  <c r="I392" i="13"/>
  <c r="B392" i="13"/>
  <c r="CB391" i="13"/>
  <c r="CA391" i="13"/>
  <c r="BZ391" i="13"/>
  <c r="BY391" i="13"/>
  <c r="BW391" i="13"/>
  <c r="BX391" i="13" s="1"/>
  <c r="BU391" i="13"/>
  <c r="BM391" i="13"/>
  <c r="BE391" i="13"/>
  <c r="AW391" i="13"/>
  <c r="R391" i="13"/>
  <c r="Q391" i="13"/>
  <c r="P391" i="13"/>
  <c r="O391" i="13"/>
  <c r="M391" i="13"/>
  <c r="L391" i="13"/>
  <c r="K391" i="13"/>
  <c r="J391" i="13"/>
  <c r="I391" i="13"/>
  <c r="B391" i="13"/>
  <c r="CB390" i="13"/>
  <c r="CA390" i="13"/>
  <c r="BZ390" i="13"/>
  <c r="BY390" i="13"/>
  <c r="BW390" i="13"/>
  <c r="BX390" i="13" s="1"/>
  <c r="BU390" i="13"/>
  <c r="BM390" i="13"/>
  <c r="BE390" i="13"/>
  <c r="AW390" i="13"/>
  <c r="R390" i="13"/>
  <c r="Q390" i="13"/>
  <c r="P390" i="13"/>
  <c r="O390" i="13"/>
  <c r="M390" i="13"/>
  <c r="L390" i="13"/>
  <c r="K390" i="13"/>
  <c r="J390" i="13"/>
  <c r="I390" i="13"/>
  <c r="B390" i="13"/>
  <c r="CB389" i="13"/>
  <c r="CA389" i="13"/>
  <c r="BZ389" i="13"/>
  <c r="BY389" i="13"/>
  <c r="BW389" i="13"/>
  <c r="BX389" i="13" s="1"/>
  <c r="BU389" i="13"/>
  <c r="BM389" i="13"/>
  <c r="BE389" i="13"/>
  <c r="AW389" i="13"/>
  <c r="R389" i="13"/>
  <c r="Q389" i="13"/>
  <c r="P389" i="13"/>
  <c r="O389" i="13"/>
  <c r="M389" i="13"/>
  <c r="L389" i="13"/>
  <c r="K389" i="13"/>
  <c r="J389" i="13"/>
  <c r="I389" i="13"/>
  <c r="B389" i="13"/>
  <c r="CB388" i="13"/>
  <c r="CA388" i="13"/>
  <c r="BZ388" i="13"/>
  <c r="BY388" i="13"/>
  <c r="BW388" i="13"/>
  <c r="BX388" i="13" s="1"/>
  <c r="BU388" i="13"/>
  <c r="BM388" i="13"/>
  <c r="BE388" i="13"/>
  <c r="AW388" i="13"/>
  <c r="R388" i="13"/>
  <c r="Q388" i="13"/>
  <c r="P388" i="13"/>
  <c r="O388" i="13"/>
  <c r="M388" i="13"/>
  <c r="L388" i="13"/>
  <c r="K388" i="13"/>
  <c r="J388" i="13"/>
  <c r="I388" i="13"/>
  <c r="B388" i="13"/>
  <c r="CB387" i="13"/>
  <c r="CA387" i="13"/>
  <c r="BZ387" i="13"/>
  <c r="BY387" i="13"/>
  <c r="BW387" i="13"/>
  <c r="BX387" i="13" s="1"/>
  <c r="BU387" i="13"/>
  <c r="BM387" i="13"/>
  <c r="BE387" i="13"/>
  <c r="AW387" i="13"/>
  <c r="R387" i="13"/>
  <c r="Q387" i="13"/>
  <c r="P387" i="13"/>
  <c r="O387" i="13"/>
  <c r="M387" i="13"/>
  <c r="L387" i="13"/>
  <c r="K387" i="13"/>
  <c r="J387" i="13"/>
  <c r="I387" i="13"/>
  <c r="B387" i="13"/>
  <c r="CB386" i="13"/>
  <c r="CA386" i="13"/>
  <c r="BZ386" i="13"/>
  <c r="BY386" i="13"/>
  <c r="BW386" i="13"/>
  <c r="BX386" i="13" s="1"/>
  <c r="BU386" i="13"/>
  <c r="BM386" i="13"/>
  <c r="BE386" i="13"/>
  <c r="AW386" i="13"/>
  <c r="R386" i="13"/>
  <c r="Q386" i="13"/>
  <c r="P386" i="13"/>
  <c r="O386" i="13"/>
  <c r="M386" i="13"/>
  <c r="L386" i="13"/>
  <c r="K386" i="13"/>
  <c r="J386" i="13"/>
  <c r="I386" i="13"/>
  <c r="B386" i="13"/>
  <c r="CB385" i="13"/>
  <c r="CA385" i="13"/>
  <c r="BZ385" i="13"/>
  <c r="BY385" i="13"/>
  <c r="BW385" i="13"/>
  <c r="BX385" i="13" s="1"/>
  <c r="BU385" i="13"/>
  <c r="BM385" i="13"/>
  <c r="BE385" i="13"/>
  <c r="AW385" i="13"/>
  <c r="R385" i="13"/>
  <c r="Q385" i="13"/>
  <c r="P385" i="13"/>
  <c r="O385" i="13"/>
  <c r="M385" i="13"/>
  <c r="L385" i="13"/>
  <c r="K385" i="13"/>
  <c r="J385" i="13"/>
  <c r="I385" i="13"/>
  <c r="B385" i="13"/>
  <c r="CB384" i="13"/>
  <c r="CA384" i="13"/>
  <c r="BZ384" i="13"/>
  <c r="BY384" i="13"/>
  <c r="BW384" i="13"/>
  <c r="BX384" i="13" s="1"/>
  <c r="BU384" i="13"/>
  <c r="BM384" i="13"/>
  <c r="BE384" i="13"/>
  <c r="R384" i="13"/>
  <c r="Q384" i="13"/>
  <c r="P384" i="13"/>
  <c r="O384" i="13"/>
  <c r="M384" i="13"/>
  <c r="L384" i="13"/>
  <c r="K384" i="13"/>
  <c r="J384" i="13"/>
  <c r="I384" i="13"/>
  <c r="B384" i="13"/>
  <c r="CB383" i="13"/>
  <c r="CA383" i="13"/>
  <c r="BZ383" i="13"/>
  <c r="BY383" i="13"/>
  <c r="BW383" i="13"/>
  <c r="BX383" i="13" s="1"/>
  <c r="BU383" i="13"/>
  <c r="BM383" i="13"/>
  <c r="BE383" i="13"/>
  <c r="AW383" i="13"/>
  <c r="R383" i="13"/>
  <c r="Q383" i="13"/>
  <c r="P383" i="13"/>
  <c r="O383" i="13"/>
  <c r="M383" i="13"/>
  <c r="L383" i="13"/>
  <c r="K383" i="13"/>
  <c r="J383" i="13"/>
  <c r="I383" i="13"/>
  <c r="B383" i="13"/>
  <c r="CB382" i="13"/>
  <c r="CA382" i="13"/>
  <c r="BZ382" i="13"/>
  <c r="BY382" i="13"/>
  <c r="BW382" i="13"/>
  <c r="BX382" i="13" s="1"/>
  <c r="BU382" i="13"/>
  <c r="BM382" i="13"/>
  <c r="BE382" i="13"/>
  <c r="AW382" i="13"/>
  <c r="R382" i="13"/>
  <c r="Q382" i="13"/>
  <c r="P382" i="13"/>
  <c r="O382" i="13"/>
  <c r="M382" i="13"/>
  <c r="L382" i="13"/>
  <c r="K382" i="13"/>
  <c r="J382" i="13"/>
  <c r="I382" i="13"/>
  <c r="B382" i="13"/>
  <c r="CB381" i="13"/>
  <c r="CA381" i="13"/>
  <c r="BZ381" i="13"/>
  <c r="BY381" i="13"/>
  <c r="BW381" i="13"/>
  <c r="BX381" i="13" s="1"/>
  <c r="BU381" i="13"/>
  <c r="BM381" i="13"/>
  <c r="BE381" i="13"/>
  <c r="R381" i="13"/>
  <c r="Q381" i="13"/>
  <c r="P381" i="13"/>
  <c r="O381" i="13"/>
  <c r="M381" i="13"/>
  <c r="L381" i="13"/>
  <c r="K381" i="13"/>
  <c r="J381" i="13"/>
  <c r="I381" i="13"/>
  <c r="B381" i="13"/>
  <c r="CB380" i="13"/>
  <c r="CA380" i="13"/>
  <c r="BZ380" i="13"/>
  <c r="BY380" i="13"/>
  <c r="BW380" i="13"/>
  <c r="BX380" i="13" s="1"/>
  <c r="BU380" i="13"/>
  <c r="BM380" i="13"/>
  <c r="BE380" i="13"/>
  <c r="R380" i="13"/>
  <c r="Q380" i="13"/>
  <c r="P380" i="13"/>
  <c r="O380" i="13"/>
  <c r="M380" i="13"/>
  <c r="L380" i="13"/>
  <c r="K380" i="13"/>
  <c r="J380" i="13"/>
  <c r="I380" i="13"/>
  <c r="B380" i="13"/>
  <c r="CB379" i="13"/>
  <c r="CA379" i="13"/>
  <c r="BZ379" i="13"/>
  <c r="BY379" i="13"/>
  <c r="BW379" i="13"/>
  <c r="BX379" i="13" s="1"/>
  <c r="BU379" i="13"/>
  <c r="BM379" i="13"/>
  <c r="BE379" i="13"/>
  <c r="R379" i="13"/>
  <c r="Q379" i="13"/>
  <c r="P379" i="13"/>
  <c r="O379" i="13"/>
  <c r="M379" i="13"/>
  <c r="L379" i="13"/>
  <c r="K379" i="13"/>
  <c r="J379" i="13"/>
  <c r="I379" i="13"/>
  <c r="B379" i="13"/>
  <c r="CB378" i="13"/>
  <c r="CA378" i="13"/>
  <c r="BZ378" i="13"/>
  <c r="BY378" i="13"/>
  <c r="BW378" i="13"/>
  <c r="BX378" i="13" s="1"/>
  <c r="BU378" i="13"/>
  <c r="BM378" i="13"/>
  <c r="BE378" i="13"/>
  <c r="R378" i="13"/>
  <c r="Q378" i="13"/>
  <c r="P378" i="13"/>
  <c r="O378" i="13"/>
  <c r="M378" i="13"/>
  <c r="L378" i="13"/>
  <c r="K378" i="13"/>
  <c r="J378" i="13"/>
  <c r="I378" i="13"/>
  <c r="B378" i="13"/>
  <c r="CB377" i="13"/>
  <c r="CA377" i="13"/>
  <c r="BZ377" i="13"/>
  <c r="BY377" i="13"/>
  <c r="BW377" i="13"/>
  <c r="BX377" i="13" s="1"/>
  <c r="BT377" i="13"/>
  <c r="BS377" i="13"/>
  <c r="BR377" i="13"/>
  <c r="BQ377" i="13"/>
  <c r="BP377" i="13"/>
  <c r="BO377" i="13"/>
  <c r="BN377" i="13"/>
  <c r="BU377" i="13" s="1"/>
  <c r="BL377" i="13"/>
  <c r="BK377" i="13"/>
  <c r="BJ377" i="13"/>
  <c r="BI377" i="13"/>
  <c r="BH377" i="13"/>
  <c r="BG377" i="13"/>
  <c r="BF377" i="13"/>
  <c r="BM377" i="13" s="1"/>
  <c r="BD377" i="13"/>
  <c r="BC377" i="13"/>
  <c r="BB377" i="13"/>
  <c r="BA377" i="13"/>
  <c r="AZ377" i="13"/>
  <c r="AY377" i="13"/>
  <c r="AX377" i="13"/>
  <c r="BE377" i="13" s="1"/>
  <c r="AV377" i="13"/>
  <c r="AU377" i="13"/>
  <c r="AT377" i="13"/>
  <c r="AS377" i="13"/>
  <c r="AR377" i="13"/>
  <c r="AQ377" i="13"/>
  <c r="AP377" i="13"/>
  <c r="AW377" i="13" s="1"/>
  <c r="AB377" i="13"/>
  <c r="Z377" i="13"/>
  <c r="X377" i="13"/>
  <c r="V377" i="13"/>
  <c r="B377" i="13"/>
  <c r="CB376" i="13"/>
  <c r="CA376" i="13"/>
  <c r="BZ376" i="13"/>
  <c r="BY376" i="13"/>
  <c r="BW376" i="13"/>
  <c r="BX376" i="13" s="1"/>
  <c r="BU376" i="13"/>
  <c r="BM376" i="13"/>
  <c r="BE376" i="13"/>
  <c r="AW376" i="13"/>
  <c r="B376" i="13"/>
  <c r="CB375" i="13"/>
  <c r="CA375" i="13"/>
  <c r="BZ375" i="13"/>
  <c r="BY375" i="13"/>
  <c r="BW375" i="13"/>
  <c r="BX375" i="13" s="1"/>
  <c r="BU375" i="13"/>
  <c r="BM375" i="13"/>
  <c r="BE375" i="13"/>
  <c r="AW375" i="13"/>
  <c r="B375" i="13"/>
  <c r="CB374" i="13"/>
  <c r="CA374" i="13"/>
  <c r="BZ374" i="13"/>
  <c r="BY374" i="13"/>
  <c r="BW374" i="13"/>
  <c r="BX374" i="13" s="1"/>
  <c r="BU374" i="13"/>
  <c r="BM374" i="13"/>
  <c r="BE374" i="13"/>
  <c r="AW374" i="13"/>
  <c r="R374" i="13"/>
  <c r="Q374" i="13"/>
  <c r="P374" i="13"/>
  <c r="O374" i="13"/>
  <c r="M374" i="13"/>
  <c r="L374" i="13"/>
  <c r="K374" i="13"/>
  <c r="J374" i="13"/>
  <c r="I374" i="13"/>
  <c r="B374" i="13"/>
  <c r="CB373" i="13"/>
  <c r="CA373" i="13"/>
  <c r="BZ373" i="13"/>
  <c r="BY373" i="13"/>
  <c r="BW373" i="13"/>
  <c r="BX373" i="13" s="1"/>
  <c r="BU373" i="13"/>
  <c r="BM373" i="13"/>
  <c r="BE373" i="13"/>
  <c r="AW373" i="13"/>
  <c r="R373" i="13"/>
  <c r="Q373" i="13"/>
  <c r="P373" i="13"/>
  <c r="O373" i="13"/>
  <c r="M373" i="13"/>
  <c r="L373" i="13"/>
  <c r="K373" i="13"/>
  <c r="J373" i="13"/>
  <c r="I373" i="13"/>
  <c r="B373" i="13"/>
  <c r="CB372" i="13"/>
  <c r="CA372" i="13"/>
  <c r="BZ372" i="13"/>
  <c r="BY372" i="13"/>
  <c r="BW372" i="13"/>
  <c r="BX372" i="13" s="1"/>
  <c r="BU372" i="13"/>
  <c r="BM372" i="13"/>
  <c r="BE372" i="13"/>
  <c r="AW372" i="13"/>
  <c r="R372" i="13"/>
  <c r="Q372" i="13"/>
  <c r="P372" i="13"/>
  <c r="O372" i="13"/>
  <c r="M372" i="13"/>
  <c r="L372" i="13"/>
  <c r="K372" i="13"/>
  <c r="J372" i="13"/>
  <c r="I372" i="13"/>
  <c r="B372" i="13"/>
  <c r="CB371" i="13"/>
  <c r="CA371" i="13"/>
  <c r="BZ371" i="13"/>
  <c r="BY371" i="13"/>
  <c r="BW371" i="13"/>
  <c r="BX371" i="13" s="1"/>
  <c r="BU371" i="13"/>
  <c r="BM371" i="13"/>
  <c r="BE371" i="13"/>
  <c r="AW371" i="13"/>
  <c r="R371" i="13"/>
  <c r="Q371" i="13"/>
  <c r="P371" i="13"/>
  <c r="O371" i="13"/>
  <c r="M371" i="13"/>
  <c r="L371" i="13"/>
  <c r="K371" i="13"/>
  <c r="J371" i="13"/>
  <c r="I371" i="13"/>
  <c r="B371" i="13"/>
  <c r="CB370" i="13"/>
  <c r="CA370" i="13"/>
  <c r="BZ370" i="13"/>
  <c r="BY370" i="13"/>
  <c r="BW370" i="13"/>
  <c r="BX370" i="13" s="1"/>
  <c r="BU370" i="13"/>
  <c r="BM370" i="13"/>
  <c r="BE370" i="13"/>
  <c r="AW370" i="13"/>
  <c r="R370" i="13"/>
  <c r="Q370" i="13"/>
  <c r="P370" i="13"/>
  <c r="O370" i="13"/>
  <c r="M370" i="13"/>
  <c r="L370" i="13"/>
  <c r="K370" i="13"/>
  <c r="J370" i="13"/>
  <c r="I370" i="13"/>
  <c r="B370" i="13"/>
  <c r="CB369" i="13"/>
  <c r="CA369" i="13"/>
  <c r="BZ369" i="13"/>
  <c r="BY369" i="13"/>
  <c r="BW369" i="13"/>
  <c r="BX369" i="13" s="1"/>
  <c r="BU369" i="13"/>
  <c r="BM369" i="13"/>
  <c r="BE369" i="13"/>
  <c r="AW369" i="13"/>
  <c r="R369" i="13"/>
  <c r="Q369" i="13"/>
  <c r="P369" i="13"/>
  <c r="O369" i="13"/>
  <c r="M369" i="13"/>
  <c r="L369" i="13"/>
  <c r="K369" i="13"/>
  <c r="J369" i="13"/>
  <c r="I369" i="13"/>
  <c r="B369" i="13"/>
  <c r="CB368" i="13"/>
  <c r="CA368" i="13"/>
  <c r="BZ368" i="13"/>
  <c r="BY368" i="13"/>
  <c r="BW368" i="13"/>
  <c r="BX368" i="13" s="1"/>
  <c r="BU368" i="13"/>
  <c r="BM368" i="13"/>
  <c r="BE368" i="13"/>
  <c r="AW368" i="13"/>
  <c r="R368" i="13"/>
  <c r="Q368" i="13"/>
  <c r="P368" i="13"/>
  <c r="O368" i="13"/>
  <c r="M368" i="13"/>
  <c r="L368" i="13"/>
  <c r="K368" i="13"/>
  <c r="J368" i="13"/>
  <c r="I368" i="13"/>
  <c r="B368" i="13"/>
  <c r="CB367" i="13"/>
  <c r="CA367" i="13"/>
  <c r="BZ367" i="13"/>
  <c r="BY367" i="13"/>
  <c r="BW367" i="13"/>
  <c r="BX367" i="13" s="1"/>
  <c r="BU367" i="13"/>
  <c r="BM367" i="13"/>
  <c r="BE367" i="13"/>
  <c r="AW367" i="13"/>
  <c r="R367" i="13"/>
  <c r="Q367" i="13"/>
  <c r="P367" i="13"/>
  <c r="O367" i="13"/>
  <c r="M367" i="13"/>
  <c r="L367" i="13"/>
  <c r="K367" i="13"/>
  <c r="J367" i="13"/>
  <c r="I367" i="13"/>
  <c r="B367" i="13"/>
  <c r="CB366" i="13"/>
  <c r="CA366" i="13"/>
  <c r="BZ366" i="13"/>
  <c r="BY366" i="13"/>
  <c r="BW366" i="13"/>
  <c r="BX366" i="13" s="1"/>
  <c r="BU366" i="13"/>
  <c r="BM366" i="13"/>
  <c r="BE366" i="13"/>
  <c r="R366" i="13"/>
  <c r="Q366" i="13"/>
  <c r="P366" i="13"/>
  <c r="O366" i="13"/>
  <c r="M366" i="13"/>
  <c r="L366" i="13"/>
  <c r="K366" i="13"/>
  <c r="J366" i="13"/>
  <c r="I366" i="13"/>
  <c r="B366" i="13"/>
  <c r="CB365" i="13"/>
  <c r="CA365" i="13"/>
  <c r="BZ365" i="13"/>
  <c r="BY365" i="13"/>
  <c r="BW365" i="13"/>
  <c r="BX365" i="13" s="1"/>
  <c r="BT365" i="13"/>
  <c r="BS365" i="13"/>
  <c r="BR365" i="13"/>
  <c r="BQ365" i="13"/>
  <c r="BP365" i="13"/>
  <c r="BO365" i="13"/>
  <c r="BN365" i="13"/>
  <c r="BU365" i="13" s="1"/>
  <c r="BL365" i="13"/>
  <c r="BK365" i="13"/>
  <c r="BJ365" i="13"/>
  <c r="BI365" i="13"/>
  <c r="BH365" i="13"/>
  <c r="BG365" i="13"/>
  <c r="BF365" i="13"/>
  <c r="BM365" i="13" s="1"/>
  <c r="BD365" i="13"/>
  <c r="BC365" i="13"/>
  <c r="BB365" i="13"/>
  <c r="BA365" i="13"/>
  <c r="AZ365" i="13"/>
  <c r="AY365" i="13"/>
  <c r="AX365" i="13"/>
  <c r="BE365" i="13" s="1"/>
  <c r="AV365" i="13"/>
  <c r="AU365" i="13"/>
  <c r="AT365" i="13"/>
  <c r="AS365" i="13"/>
  <c r="AR365" i="13"/>
  <c r="AQ365" i="13"/>
  <c r="AP365" i="13"/>
  <c r="AW365" i="13" s="1"/>
  <c r="AB365" i="13"/>
  <c r="Z365" i="13"/>
  <c r="X365" i="13"/>
  <c r="V365" i="13"/>
  <c r="B365" i="13"/>
  <c r="CB364" i="13"/>
  <c r="CA364" i="13"/>
  <c r="BZ364" i="13"/>
  <c r="BY364" i="13"/>
  <c r="BW364" i="13"/>
  <c r="BX364" i="13" s="1"/>
  <c r="BU364" i="13"/>
  <c r="BM364" i="13"/>
  <c r="BE364" i="13"/>
  <c r="AW364" i="13"/>
  <c r="B364" i="13"/>
  <c r="CB363" i="13"/>
  <c r="CA363" i="13"/>
  <c r="BZ363" i="13"/>
  <c r="BY363" i="13"/>
  <c r="BW363" i="13"/>
  <c r="BX363" i="13" s="1"/>
  <c r="BU363" i="13"/>
  <c r="BM363" i="13"/>
  <c r="BE363" i="13"/>
  <c r="AW363" i="13"/>
  <c r="B363" i="13"/>
  <c r="CB362" i="13"/>
  <c r="CA362" i="13"/>
  <c r="BZ362" i="13"/>
  <c r="BY362" i="13"/>
  <c r="BW362" i="13"/>
  <c r="BX362" i="13" s="1"/>
  <c r="BU362" i="13"/>
  <c r="BM362" i="13"/>
  <c r="BE362" i="13"/>
  <c r="AW362" i="13"/>
  <c r="B362" i="13"/>
  <c r="CB361" i="13"/>
  <c r="CA361" i="13"/>
  <c r="BZ361" i="13"/>
  <c r="BY361" i="13"/>
  <c r="BW361" i="13"/>
  <c r="BX361" i="13" s="1"/>
  <c r="BU361" i="13"/>
  <c r="BM361" i="13"/>
  <c r="BE361" i="13"/>
  <c r="AW361" i="13"/>
  <c r="R361" i="13"/>
  <c r="Q361" i="13"/>
  <c r="P361" i="13"/>
  <c r="O361" i="13"/>
  <c r="M361" i="13"/>
  <c r="L361" i="13"/>
  <c r="K361" i="13"/>
  <c r="J361" i="13"/>
  <c r="I361" i="13"/>
  <c r="B361" i="13"/>
  <c r="CB360" i="13"/>
  <c r="CA360" i="13"/>
  <c r="BZ360" i="13"/>
  <c r="BY360" i="13"/>
  <c r="BW360" i="13"/>
  <c r="BX360" i="13" s="1"/>
  <c r="BN360" i="13"/>
  <c r="BU360" i="13" s="1"/>
  <c r="BF360" i="13"/>
  <c r="BM360" i="13" s="1"/>
  <c r="AX360" i="13"/>
  <c r="BE360" i="13" s="1"/>
  <c r="AW360" i="13"/>
  <c r="B360" i="13"/>
  <c r="CB359" i="13"/>
  <c r="CA359" i="13"/>
  <c r="BZ359" i="13"/>
  <c r="BW359" i="13"/>
  <c r="BX359" i="13" s="1"/>
  <c r="BU359" i="13"/>
  <c r="BM359" i="13"/>
  <c r="BE359" i="13"/>
  <c r="R359" i="13"/>
  <c r="Q359" i="13"/>
  <c r="P359" i="13"/>
  <c r="O359" i="13"/>
  <c r="M359" i="13"/>
  <c r="L359" i="13"/>
  <c r="K359" i="13"/>
  <c r="J359" i="13"/>
  <c r="I359" i="13"/>
  <c r="B359" i="13"/>
  <c r="CB358" i="13"/>
  <c r="CA358" i="13"/>
  <c r="BU358" i="13"/>
  <c r="BM358" i="13"/>
  <c r="BE358" i="13"/>
  <c r="R358" i="13"/>
  <c r="Q358" i="13"/>
  <c r="P358" i="13"/>
  <c r="O358" i="13"/>
  <c r="M358" i="13"/>
  <c r="L358" i="13"/>
  <c r="K358" i="13"/>
  <c r="J358" i="13"/>
  <c r="I358" i="13"/>
  <c r="B358" i="13"/>
  <c r="CB357" i="13"/>
  <c r="CA357" i="13"/>
  <c r="BZ357" i="13"/>
  <c r="BY357" i="13"/>
  <c r="BW357" i="13"/>
  <c r="BX357" i="13" s="1"/>
  <c r="BT357" i="13"/>
  <c r="BS357" i="13"/>
  <c r="BR357" i="13"/>
  <c r="BQ357" i="13"/>
  <c r="BP357" i="13"/>
  <c r="BO357" i="13"/>
  <c r="BN357" i="13"/>
  <c r="BU357" i="13" s="1"/>
  <c r="BL357" i="13"/>
  <c r="BK357" i="13"/>
  <c r="BJ357" i="13"/>
  <c r="BI357" i="13"/>
  <c r="BH357" i="13"/>
  <c r="BG357" i="13"/>
  <c r="BF357" i="13"/>
  <c r="BM357" i="13" s="1"/>
  <c r="BD357" i="13"/>
  <c r="BC357" i="13"/>
  <c r="BB357" i="13"/>
  <c r="BA357" i="13"/>
  <c r="AZ357" i="13"/>
  <c r="AY357" i="13"/>
  <c r="AX357" i="13"/>
  <c r="BE357" i="13" s="1"/>
  <c r="AV357" i="13"/>
  <c r="AU357" i="13"/>
  <c r="AT357" i="13"/>
  <c r="AS357" i="13"/>
  <c r="AR357" i="13"/>
  <c r="AQ357" i="13"/>
  <c r="AP357" i="13"/>
  <c r="AW357" i="13" s="1"/>
  <c r="AB357" i="13"/>
  <c r="Z357" i="13"/>
  <c r="X357" i="13"/>
  <c r="V357" i="13"/>
  <c r="B357" i="13"/>
  <c r="CB356" i="13"/>
  <c r="CA356" i="13"/>
  <c r="BZ356" i="13"/>
  <c r="BY356" i="13"/>
  <c r="BW356" i="13"/>
  <c r="BX356" i="13" s="1"/>
  <c r="BU356" i="13"/>
  <c r="BM356" i="13"/>
  <c r="BE356" i="13"/>
  <c r="AW356" i="13"/>
  <c r="B356" i="13"/>
  <c r="CB355" i="13"/>
  <c r="CA355" i="13"/>
  <c r="BZ355" i="13"/>
  <c r="BY355" i="13"/>
  <c r="BW355" i="13"/>
  <c r="BX355" i="13" s="1"/>
  <c r="BU355" i="13"/>
  <c r="BM355" i="13"/>
  <c r="BE355" i="13"/>
  <c r="AW355" i="13"/>
  <c r="B355" i="13"/>
  <c r="CB354" i="13"/>
  <c r="CA354" i="13"/>
  <c r="BZ354" i="13"/>
  <c r="BY354" i="13"/>
  <c r="BW354" i="13"/>
  <c r="BX354" i="13" s="1"/>
  <c r="BU354" i="13"/>
  <c r="BM354" i="13"/>
  <c r="BE354" i="13"/>
  <c r="R354" i="13"/>
  <c r="Q354" i="13"/>
  <c r="P354" i="13"/>
  <c r="O354" i="13"/>
  <c r="M354" i="13"/>
  <c r="L354" i="13"/>
  <c r="K354" i="13"/>
  <c r="J354" i="13"/>
  <c r="I354" i="13"/>
  <c r="B354" i="13"/>
  <c r="CB353" i="13"/>
  <c r="CA353" i="13"/>
  <c r="BZ353" i="13"/>
  <c r="BY353" i="13"/>
  <c r="BW353" i="13"/>
  <c r="BX353" i="13" s="1"/>
  <c r="BU353" i="13"/>
  <c r="BM353" i="13"/>
  <c r="BE353" i="13"/>
  <c r="R353" i="13"/>
  <c r="Q353" i="13"/>
  <c r="O353" i="13"/>
  <c r="M353" i="13"/>
  <c r="L353" i="13"/>
  <c r="K353" i="13"/>
  <c r="J353" i="13"/>
  <c r="I353" i="13"/>
  <c r="B353" i="13"/>
  <c r="CB352" i="13"/>
  <c r="CA352" i="13"/>
  <c r="BZ352" i="13"/>
  <c r="BY352" i="13"/>
  <c r="BW352" i="13"/>
  <c r="BX352" i="13" s="1"/>
  <c r="BU352" i="13"/>
  <c r="BM352" i="13"/>
  <c r="BE352" i="13"/>
  <c r="R352" i="13"/>
  <c r="Q352" i="13"/>
  <c r="P352" i="13"/>
  <c r="O352" i="13"/>
  <c r="M352" i="13"/>
  <c r="L352" i="13"/>
  <c r="K352" i="13"/>
  <c r="J352" i="13"/>
  <c r="I352" i="13"/>
  <c r="B352" i="13"/>
  <c r="CB351" i="13"/>
  <c r="CA351" i="13"/>
  <c r="BZ351" i="13"/>
  <c r="BW351" i="13"/>
  <c r="BX351" i="13" s="1"/>
  <c r="BU351" i="13"/>
  <c r="BM351" i="13"/>
  <c r="BE351" i="13"/>
  <c r="R351" i="13"/>
  <c r="Q351" i="13"/>
  <c r="P351" i="13"/>
  <c r="O351" i="13"/>
  <c r="M351" i="13"/>
  <c r="L351" i="13"/>
  <c r="K351" i="13"/>
  <c r="J351" i="13"/>
  <c r="I351" i="13"/>
  <c r="B351" i="13"/>
  <c r="CB350" i="13"/>
  <c r="CA350" i="13"/>
  <c r="BZ350" i="13"/>
  <c r="BY350" i="13"/>
  <c r="BW350" i="13"/>
  <c r="BX350" i="13" s="1"/>
  <c r="BU350" i="13"/>
  <c r="BM350" i="13"/>
  <c r="BE350" i="13"/>
  <c r="R350" i="13"/>
  <c r="Q350" i="13"/>
  <c r="P350" i="13"/>
  <c r="O350" i="13"/>
  <c r="M350" i="13"/>
  <c r="L350" i="13"/>
  <c r="K350" i="13"/>
  <c r="J350" i="13"/>
  <c r="I350" i="13"/>
  <c r="B350" i="13"/>
  <c r="CB349" i="13"/>
  <c r="CA349" i="13"/>
  <c r="BZ349" i="13"/>
  <c r="BU349" i="13"/>
  <c r="BM349" i="13"/>
  <c r="BE349" i="13"/>
  <c r="R349" i="13"/>
  <c r="Q349" i="13"/>
  <c r="P349" i="13"/>
  <c r="O349" i="13"/>
  <c r="M349" i="13"/>
  <c r="L349" i="13"/>
  <c r="K349" i="13"/>
  <c r="J349" i="13"/>
  <c r="I349" i="13"/>
  <c r="B349" i="13"/>
  <c r="CB348" i="13"/>
  <c r="CA348" i="13"/>
  <c r="BU348" i="13"/>
  <c r="BM348" i="13"/>
  <c r="BE348" i="13"/>
  <c r="R348" i="13"/>
  <c r="Q348" i="13"/>
  <c r="P348" i="13"/>
  <c r="O348" i="13"/>
  <c r="M348" i="13"/>
  <c r="L348" i="13"/>
  <c r="K348" i="13"/>
  <c r="J348" i="13"/>
  <c r="I348" i="13"/>
  <c r="B348" i="13"/>
  <c r="CB347" i="13"/>
  <c r="CA347" i="13"/>
  <c r="BZ347" i="13"/>
  <c r="BW347" i="13"/>
  <c r="BX347" i="13" s="1"/>
  <c r="BU347" i="13"/>
  <c r="BM347" i="13"/>
  <c r="BE347" i="13"/>
  <c r="R347" i="13"/>
  <c r="Q347" i="13"/>
  <c r="P347" i="13"/>
  <c r="O347" i="13"/>
  <c r="M347" i="13"/>
  <c r="L347" i="13"/>
  <c r="K347" i="13"/>
  <c r="J347" i="13"/>
  <c r="I347" i="13"/>
  <c r="B347" i="13"/>
  <c r="CB346" i="13"/>
  <c r="CA346" i="13"/>
  <c r="BZ346" i="13"/>
  <c r="BY346" i="13"/>
  <c r="BW346" i="13"/>
  <c r="BX346" i="13" s="1"/>
  <c r="BU346" i="13"/>
  <c r="BM346" i="13"/>
  <c r="BE346" i="13"/>
  <c r="R346" i="13"/>
  <c r="Q346" i="13"/>
  <c r="P346" i="13"/>
  <c r="O346" i="13"/>
  <c r="M346" i="13"/>
  <c r="L346" i="13"/>
  <c r="K346" i="13"/>
  <c r="J346" i="13"/>
  <c r="I346" i="13"/>
  <c r="B346" i="13"/>
  <c r="CB345" i="13"/>
  <c r="CA345" i="13"/>
  <c r="BZ345" i="13"/>
  <c r="BY345" i="13"/>
  <c r="BW345" i="13"/>
  <c r="BX345" i="13" s="1"/>
  <c r="BU345" i="13"/>
  <c r="BM345" i="13"/>
  <c r="BE345" i="13"/>
  <c r="R345" i="13"/>
  <c r="Q345" i="13"/>
  <c r="P345" i="13"/>
  <c r="O345" i="13"/>
  <c r="M345" i="13"/>
  <c r="L345" i="13"/>
  <c r="K345" i="13"/>
  <c r="J345" i="13"/>
  <c r="I345" i="13"/>
  <c r="B345" i="13"/>
  <c r="CB343" i="13"/>
  <c r="CA343" i="13"/>
  <c r="BZ343" i="13"/>
  <c r="BY343" i="13"/>
  <c r="BW343" i="13"/>
  <c r="BX343" i="13" s="1"/>
  <c r="BU343" i="13"/>
  <c r="BM343" i="13"/>
  <c r="BE343" i="13"/>
  <c r="AW343" i="13"/>
  <c r="R343" i="13"/>
  <c r="Q343" i="13"/>
  <c r="P343" i="13"/>
  <c r="O343" i="13"/>
  <c r="N343" i="13"/>
  <c r="M343" i="13"/>
  <c r="L343" i="13"/>
  <c r="K343" i="13"/>
  <c r="J343" i="13"/>
  <c r="I343" i="13"/>
  <c r="B343" i="13"/>
  <c r="CB342" i="13"/>
  <c r="CA342" i="13"/>
  <c r="BZ342" i="13"/>
  <c r="BY342" i="13"/>
  <c r="BW342" i="13"/>
  <c r="BX342" i="13" s="1"/>
  <c r="BU342" i="13"/>
  <c r="BM342" i="13"/>
  <c r="BE342" i="13"/>
  <c r="AW342" i="13"/>
  <c r="R342" i="13"/>
  <c r="Q342" i="13"/>
  <c r="P342" i="13"/>
  <c r="O342" i="13"/>
  <c r="N342" i="13"/>
  <c r="M342" i="13"/>
  <c r="L342" i="13"/>
  <c r="K342" i="13"/>
  <c r="J342" i="13"/>
  <c r="I342" i="13"/>
  <c r="B342" i="13"/>
  <c r="CB341" i="13"/>
  <c r="CA341" i="13"/>
  <c r="BZ341" i="13"/>
  <c r="BY341" i="13"/>
  <c r="BW341" i="13"/>
  <c r="BX341" i="13" s="1"/>
  <c r="BU341" i="13"/>
  <c r="BM341" i="13"/>
  <c r="BE341" i="13"/>
  <c r="AW341" i="13"/>
  <c r="R341" i="13"/>
  <c r="Q341" i="13"/>
  <c r="P341" i="13"/>
  <c r="O341" i="13"/>
  <c r="N341" i="13"/>
  <c r="M341" i="13"/>
  <c r="L341" i="13"/>
  <c r="K341" i="13"/>
  <c r="J341" i="13"/>
  <c r="I341" i="13"/>
  <c r="B341" i="13"/>
  <c r="CB340" i="13"/>
  <c r="CA340" i="13"/>
  <c r="BZ340" i="13"/>
  <c r="BY340" i="13"/>
  <c r="BW340" i="13"/>
  <c r="BX340" i="13" s="1"/>
  <c r="BU340" i="13"/>
  <c r="BM340" i="13"/>
  <c r="BE340" i="13"/>
  <c r="R340" i="13"/>
  <c r="Q340" i="13"/>
  <c r="P340" i="13"/>
  <c r="O340" i="13"/>
  <c r="N340" i="13"/>
  <c r="M340" i="13"/>
  <c r="L340" i="13"/>
  <c r="K340" i="13"/>
  <c r="J340" i="13"/>
  <c r="I340" i="13"/>
  <c r="B340" i="13"/>
  <c r="CB339" i="13"/>
  <c r="CA339" i="13"/>
  <c r="BZ339" i="13"/>
  <c r="BY339" i="13"/>
  <c r="BW339" i="13"/>
  <c r="BX339" i="13" s="1"/>
  <c r="BU339" i="13"/>
  <c r="BM339" i="13"/>
  <c r="BE339" i="13"/>
  <c r="AW339" i="13"/>
  <c r="R339" i="13"/>
  <c r="Q339" i="13"/>
  <c r="P339" i="13"/>
  <c r="O339" i="13"/>
  <c r="N339" i="13"/>
  <c r="M339" i="13"/>
  <c r="L339" i="13"/>
  <c r="K339" i="13"/>
  <c r="J339" i="13"/>
  <c r="I339" i="13"/>
  <c r="B339" i="13"/>
  <c r="CB338" i="13"/>
  <c r="CA338" i="13"/>
  <c r="BZ338" i="13"/>
  <c r="BY338" i="13"/>
  <c r="BW338" i="13"/>
  <c r="BX338" i="13" s="1"/>
  <c r="BU338" i="13"/>
  <c r="BM338" i="13"/>
  <c r="BE338" i="13"/>
  <c r="AW338" i="13"/>
  <c r="R338" i="13"/>
  <c r="Q338" i="13"/>
  <c r="P338" i="13"/>
  <c r="O338" i="13"/>
  <c r="N338" i="13"/>
  <c r="M338" i="13"/>
  <c r="L338" i="13"/>
  <c r="K338" i="13"/>
  <c r="J338" i="13"/>
  <c r="I338" i="13"/>
  <c r="B338" i="13"/>
  <c r="CB337" i="13"/>
  <c r="CA337" i="13"/>
  <c r="BZ337" i="13"/>
  <c r="BY337" i="13"/>
  <c r="BW337" i="13"/>
  <c r="BX337" i="13" s="1"/>
  <c r="BU337" i="13"/>
  <c r="BM337" i="13"/>
  <c r="BE337" i="13"/>
  <c r="AW337" i="13"/>
  <c r="R337" i="13"/>
  <c r="Q337" i="13"/>
  <c r="P337" i="13"/>
  <c r="O337" i="13"/>
  <c r="N337" i="13"/>
  <c r="M337" i="13"/>
  <c r="L337" i="13"/>
  <c r="K337" i="13"/>
  <c r="J337" i="13"/>
  <c r="I337" i="13"/>
  <c r="B337" i="13"/>
  <c r="CB336" i="13"/>
  <c r="CA336" i="13"/>
  <c r="BZ336" i="13"/>
  <c r="BY336" i="13"/>
  <c r="BW336" i="13"/>
  <c r="BX336" i="13" s="1"/>
  <c r="BU336" i="13"/>
  <c r="BM336" i="13"/>
  <c r="BE336" i="13"/>
  <c r="R336" i="13"/>
  <c r="Q336" i="13"/>
  <c r="P336" i="13"/>
  <c r="O336" i="13"/>
  <c r="N336" i="13"/>
  <c r="M336" i="13"/>
  <c r="L336" i="13"/>
  <c r="K336" i="13"/>
  <c r="J336" i="13"/>
  <c r="I336" i="13"/>
  <c r="B336" i="13"/>
  <c r="CB335" i="13"/>
  <c r="CA335" i="13"/>
  <c r="BZ335" i="13"/>
  <c r="BY335" i="13"/>
  <c r="BW335" i="13"/>
  <c r="BX335" i="13" s="1"/>
  <c r="BU335" i="13"/>
  <c r="BM335" i="13"/>
  <c r="BE335" i="13"/>
  <c r="AW335" i="13"/>
  <c r="R335" i="13"/>
  <c r="Q335" i="13"/>
  <c r="P335" i="13"/>
  <c r="O335" i="13"/>
  <c r="N335" i="13"/>
  <c r="M335" i="13"/>
  <c r="L335" i="13"/>
  <c r="K335" i="13"/>
  <c r="J335" i="13"/>
  <c r="I335" i="13"/>
  <c r="B335" i="13"/>
  <c r="CB334" i="13"/>
  <c r="CA334" i="13"/>
  <c r="BZ334" i="13"/>
  <c r="BY334" i="13"/>
  <c r="BW334" i="13"/>
  <c r="BX334" i="13" s="1"/>
  <c r="BU334" i="13"/>
  <c r="BM334" i="13"/>
  <c r="BE334" i="13"/>
  <c r="AW334" i="13"/>
  <c r="R334" i="13"/>
  <c r="Q334" i="13"/>
  <c r="P334" i="13"/>
  <c r="O334" i="13"/>
  <c r="N334" i="13"/>
  <c r="M334" i="13"/>
  <c r="L334" i="13"/>
  <c r="K334" i="13"/>
  <c r="J334" i="13"/>
  <c r="I334" i="13"/>
  <c r="B334" i="13"/>
  <c r="CB333" i="13"/>
  <c r="CA333" i="13"/>
  <c r="BZ333" i="13"/>
  <c r="BY333" i="13"/>
  <c r="BW333" i="13"/>
  <c r="BX333" i="13" s="1"/>
  <c r="BU333" i="13"/>
  <c r="BM333" i="13"/>
  <c r="BE333" i="13"/>
  <c r="AW333" i="13"/>
  <c r="R333" i="13"/>
  <c r="Q333" i="13"/>
  <c r="P333" i="13"/>
  <c r="O333" i="13"/>
  <c r="N333" i="13"/>
  <c r="M333" i="13"/>
  <c r="L333" i="13"/>
  <c r="K333" i="13"/>
  <c r="J333" i="13"/>
  <c r="I333" i="13"/>
  <c r="B333" i="13"/>
  <c r="CB332" i="13"/>
  <c r="CA332" i="13"/>
  <c r="BZ332" i="13"/>
  <c r="BY332" i="13"/>
  <c r="BW332" i="13"/>
  <c r="BX332" i="13" s="1"/>
  <c r="BT332" i="13"/>
  <c r="BS332" i="13"/>
  <c r="BR332" i="13"/>
  <c r="BQ332" i="13"/>
  <c r="BP332" i="13"/>
  <c r="BO332" i="13"/>
  <c r="BN332" i="13"/>
  <c r="BU332" i="13" s="1"/>
  <c r="BL332" i="13"/>
  <c r="BK332" i="13"/>
  <c r="BJ332" i="13"/>
  <c r="BI332" i="13"/>
  <c r="BH332" i="13"/>
  <c r="BG332" i="13"/>
  <c r="BF332" i="13"/>
  <c r="BM332" i="13" s="1"/>
  <c r="BD332" i="13"/>
  <c r="BC332" i="13"/>
  <c r="BB332" i="13"/>
  <c r="BA332" i="13"/>
  <c r="AZ332" i="13"/>
  <c r="AY332" i="13"/>
  <c r="AX332" i="13"/>
  <c r="BE332" i="13" s="1"/>
  <c r="AV332" i="13"/>
  <c r="AU332" i="13"/>
  <c r="AT332" i="13"/>
  <c r="AS332" i="13"/>
  <c r="AR332" i="13"/>
  <c r="AQ332" i="13"/>
  <c r="AP332" i="13"/>
  <c r="AW332" i="13" s="1"/>
  <c r="AB332" i="13"/>
  <c r="Z332" i="13"/>
  <c r="X332" i="13"/>
  <c r="V332" i="13"/>
  <c r="B332" i="13"/>
  <c r="CB331" i="13"/>
  <c r="CA331" i="13"/>
  <c r="BZ331" i="13"/>
  <c r="BY331" i="13"/>
  <c r="BW331" i="13"/>
  <c r="BX331" i="13" s="1"/>
  <c r="BU331" i="13"/>
  <c r="BM331" i="13"/>
  <c r="BE331" i="13"/>
  <c r="AW331" i="13"/>
  <c r="B331" i="13"/>
  <c r="CB330" i="13"/>
  <c r="CA330" i="13"/>
  <c r="BZ330" i="13"/>
  <c r="BY330" i="13"/>
  <c r="BW330" i="13"/>
  <c r="BX330" i="13" s="1"/>
  <c r="BU330" i="13"/>
  <c r="BM330" i="13"/>
  <c r="BE330" i="13"/>
  <c r="AW330" i="13"/>
  <c r="B330" i="13"/>
  <c r="CB329" i="13"/>
  <c r="CA329" i="13"/>
  <c r="BZ329" i="13"/>
  <c r="BY329" i="13"/>
  <c r="BW329" i="13"/>
  <c r="BX329" i="13" s="1"/>
  <c r="BU329" i="13"/>
  <c r="BM329" i="13"/>
  <c r="BE329" i="13"/>
  <c r="AW329" i="13"/>
  <c r="R329" i="13"/>
  <c r="Q329" i="13"/>
  <c r="P329" i="13"/>
  <c r="O329" i="13"/>
  <c r="N329" i="13"/>
  <c r="M329" i="13"/>
  <c r="L329" i="13"/>
  <c r="K329" i="13"/>
  <c r="J329" i="13"/>
  <c r="I329" i="13"/>
  <c r="B329" i="13"/>
  <c r="CB328" i="13"/>
  <c r="CA328" i="13"/>
  <c r="BZ328" i="13"/>
  <c r="BY328" i="13"/>
  <c r="BW328" i="13"/>
  <c r="BX328" i="13" s="1"/>
  <c r="BU328" i="13"/>
  <c r="BM328" i="13"/>
  <c r="BE328" i="13"/>
  <c r="AW328" i="13"/>
  <c r="R328" i="13"/>
  <c r="Q328" i="13"/>
  <c r="P328" i="13"/>
  <c r="O328" i="13"/>
  <c r="N328" i="13"/>
  <c r="M328" i="13"/>
  <c r="L328" i="13"/>
  <c r="K328" i="13"/>
  <c r="J328" i="13"/>
  <c r="I328" i="13"/>
  <c r="B328" i="13"/>
  <c r="CB327" i="13"/>
  <c r="CA327" i="13"/>
  <c r="BZ327" i="13"/>
  <c r="BY327" i="13"/>
  <c r="BW327" i="13"/>
  <c r="BX327" i="13" s="1"/>
  <c r="BU327" i="13"/>
  <c r="BM327" i="13"/>
  <c r="BE327" i="13"/>
  <c r="AW327" i="13"/>
  <c r="R327" i="13"/>
  <c r="Q327" i="13"/>
  <c r="P327" i="13"/>
  <c r="O327" i="13"/>
  <c r="N327" i="13"/>
  <c r="M327" i="13"/>
  <c r="L327" i="13"/>
  <c r="K327" i="13"/>
  <c r="J327" i="13"/>
  <c r="I327" i="13"/>
  <c r="B327" i="13"/>
  <c r="CB326" i="13"/>
  <c r="CA326" i="13"/>
  <c r="BZ326" i="13"/>
  <c r="BY326" i="13"/>
  <c r="BW326" i="13"/>
  <c r="BX326" i="13" s="1"/>
  <c r="BU326" i="13"/>
  <c r="BM326" i="13"/>
  <c r="BE326" i="13"/>
  <c r="AW326" i="13"/>
  <c r="R326" i="13"/>
  <c r="Q326" i="13"/>
  <c r="P326" i="13"/>
  <c r="O326" i="13"/>
  <c r="N326" i="13"/>
  <c r="M326" i="13"/>
  <c r="L326" i="13"/>
  <c r="K326" i="13"/>
  <c r="J326" i="13"/>
  <c r="I326" i="13"/>
  <c r="B326" i="13"/>
  <c r="CB325" i="13"/>
  <c r="CA325" i="13"/>
  <c r="BZ325" i="13"/>
  <c r="BY325" i="13"/>
  <c r="BW325" i="13"/>
  <c r="BX325" i="13" s="1"/>
  <c r="BU325" i="13"/>
  <c r="BM325" i="13"/>
  <c r="BE325" i="13"/>
  <c r="AW325" i="13"/>
  <c r="R325" i="13"/>
  <c r="Q325" i="13"/>
  <c r="P325" i="13"/>
  <c r="O325" i="13"/>
  <c r="N325" i="13"/>
  <c r="M325" i="13"/>
  <c r="L325" i="13"/>
  <c r="K325" i="13"/>
  <c r="J325" i="13"/>
  <c r="I325" i="13"/>
  <c r="B325" i="13"/>
  <c r="CB324" i="13"/>
  <c r="CA324" i="13"/>
  <c r="BZ324" i="13"/>
  <c r="BY324" i="13"/>
  <c r="BW324" i="13"/>
  <c r="BX324" i="13" s="1"/>
  <c r="BU324" i="13"/>
  <c r="BM324" i="13"/>
  <c r="BE324" i="13"/>
  <c r="AW324" i="13"/>
  <c r="R324" i="13"/>
  <c r="Q324" i="13"/>
  <c r="P324" i="13"/>
  <c r="O324" i="13"/>
  <c r="N324" i="13"/>
  <c r="M324" i="13"/>
  <c r="L324" i="13"/>
  <c r="K324" i="13"/>
  <c r="J324" i="13"/>
  <c r="I324" i="13"/>
  <c r="B324" i="13"/>
  <c r="CB323" i="13"/>
  <c r="CA323" i="13"/>
  <c r="BZ323" i="13"/>
  <c r="BY323" i="13"/>
  <c r="BW323" i="13"/>
  <c r="BX323" i="13" s="1"/>
  <c r="BU323" i="13"/>
  <c r="BM323" i="13"/>
  <c r="BE323" i="13"/>
  <c r="AW323" i="13"/>
  <c r="R323" i="13"/>
  <c r="Q323" i="13"/>
  <c r="P323" i="13"/>
  <c r="O323" i="13"/>
  <c r="N323" i="13"/>
  <c r="M323" i="13"/>
  <c r="L323" i="13"/>
  <c r="K323" i="13"/>
  <c r="J323" i="13"/>
  <c r="I323" i="13"/>
  <c r="B323" i="13"/>
  <c r="CB322" i="13"/>
  <c r="CA322" i="13"/>
  <c r="BZ322" i="13"/>
  <c r="BY322" i="13"/>
  <c r="BW322" i="13"/>
  <c r="BX322" i="13" s="1"/>
  <c r="BU322" i="13"/>
  <c r="BM322" i="13"/>
  <c r="BE322" i="13"/>
  <c r="AW322" i="13"/>
  <c r="R322" i="13"/>
  <c r="Q322" i="13"/>
  <c r="P322" i="13"/>
  <c r="O322" i="13"/>
  <c r="N322" i="13"/>
  <c r="M322" i="13"/>
  <c r="L322" i="13"/>
  <c r="K322" i="13"/>
  <c r="J322" i="13"/>
  <c r="I322" i="13"/>
  <c r="B322" i="13"/>
  <c r="CB321" i="13"/>
  <c r="CA321" i="13"/>
  <c r="BZ321" i="13"/>
  <c r="BY321" i="13"/>
  <c r="BW321" i="13"/>
  <c r="BX321" i="13" s="1"/>
  <c r="BU321" i="13"/>
  <c r="BM321" i="13"/>
  <c r="BE321" i="13"/>
  <c r="AW321" i="13"/>
  <c r="R321" i="13"/>
  <c r="Q321" i="13"/>
  <c r="P321" i="13"/>
  <c r="O321" i="13"/>
  <c r="N321" i="13"/>
  <c r="M321" i="13"/>
  <c r="L321" i="13"/>
  <c r="K321" i="13"/>
  <c r="J321" i="13"/>
  <c r="I321" i="13"/>
  <c r="B321" i="13"/>
  <c r="CB320" i="13"/>
  <c r="CA320" i="13"/>
  <c r="BZ320" i="13"/>
  <c r="BY320" i="13"/>
  <c r="BW320" i="13"/>
  <c r="BX320" i="13" s="1"/>
  <c r="BU320" i="13"/>
  <c r="BM320" i="13"/>
  <c r="BE320" i="13"/>
  <c r="R320" i="13"/>
  <c r="Q320" i="13"/>
  <c r="P320" i="13"/>
  <c r="O320" i="13"/>
  <c r="N320" i="13"/>
  <c r="M320" i="13"/>
  <c r="L320" i="13"/>
  <c r="K320" i="13"/>
  <c r="J320" i="13"/>
  <c r="I320" i="13"/>
  <c r="B320" i="13"/>
  <c r="CB319" i="13"/>
  <c r="CA319" i="13"/>
  <c r="BZ319" i="13"/>
  <c r="BY319" i="13"/>
  <c r="BW319" i="13"/>
  <c r="BX319" i="13" s="1"/>
  <c r="BU319" i="13"/>
  <c r="BM319" i="13"/>
  <c r="BE319" i="13"/>
  <c r="R319" i="13"/>
  <c r="Q319" i="13"/>
  <c r="P319" i="13"/>
  <c r="O319" i="13"/>
  <c r="N319" i="13"/>
  <c r="M319" i="13"/>
  <c r="L319" i="13"/>
  <c r="K319" i="13"/>
  <c r="J319" i="13"/>
  <c r="I319" i="13"/>
  <c r="B319" i="13"/>
  <c r="CB318" i="13"/>
  <c r="CA318" i="13"/>
  <c r="BZ318" i="13"/>
  <c r="BY318" i="13"/>
  <c r="BW318" i="13"/>
  <c r="BX318" i="13" s="1"/>
  <c r="BU318" i="13"/>
  <c r="BM318" i="13"/>
  <c r="BE318" i="13"/>
  <c r="R318" i="13"/>
  <c r="Q318" i="13"/>
  <c r="P318" i="13"/>
  <c r="O318" i="13"/>
  <c r="N318" i="13"/>
  <c r="M318" i="13"/>
  <c r="L318" i="13"/>
  <c r="K318" i="13"/>
  <c r="J318" i="13"/>
  <c r="I318" i="13"/>
  <c r="B318" i="13"/>
  <c r="CB317" i="13"/>
  <c r="CA317" i="13"/>
  <c r="BZ317" i="13"/>
  <c r="BY317" i="13"/>
  <c r="BW317" i="13"/>
  <c r="BX317" i="13" s="1"/>
  <c r="BU317" i="13"/>
  <c r="BM317" i="13"/>
  <c r="BE317" i="13"/>
  <c r="R317" i="13"/>
  <c r="Q317" i="13"/>
  <c r="P317" i="13"/>
  <c r="O317" i="13"/>
  <c r="N317" i="13"/>
  <c r="M317" i="13"/>
  <c r="L317" i="13"/>
  <c r="K317" i="13"/>
  <c r="J317" i="13"/>
  <c r="I317" i="13"/>
  <c r="B317" i="13"/>
  <c r="CB316" i="13"/>
  <c r="CA316" i="13"/>
  <c r="BZ316" i="13"/>
  <c r="BY316" i="13"/>
  <c r="BW316" i="13"/>
  <c r="BX316" i="13" s="1"/>
  <c r="BU316" i="13"/>
  <c r="BM316" i="13"/>
  <c r="BE316" i="13"/>
  <c r="R316" i="13"/>
  <c r="Q316" i="13"/>
  <c r="P316" i="13"/>
  <c r="O316" i="13"/>
  <c r="N316" i="13"/>
  <c r="M316" i="13"/>
  <c r="L316" i="13"/>
  <c r="K316" i="13"/>
  <c r="J316" i="13"/>
  <c r="I316" i="13"/>
  <c r="B316" i="13"/>
  <c r="CB315" i="13"/>
  <c r="CA315" i="13"/>
  <c r="BZ315" i="13"/>
  <c r="BY315" i="13"/>
  <c r="BW315" i="13"/>
  <c r="BX315" i="13" s="1"/>
  <c r="BU315" i="13"/>
  <c r="BM315" i="13"/>
  <c r="BE315" i="13"/>
  <c r="AW315" i="13"/>
  <c r="R315" i="13"/>
  <c r="Q315" i="13"/>
  <c r="P315" i="13"/>
  <c r="O315" i="13"/>
  <c r="N315" i="13"/>
  <c r="M315" i="13"/>
  <c r="L315" i="13"/>
  <c r="K315" i="13"/>
  <c r="J315" i="13"/>
  <c r="I315" i="13"/>
  <c r="B315" i="13"/>
  <c r="CB314" i="13"/>
  <c r="CA314" i="13"/>
  <c r="BZ314" i="13"/>
  <c r="BY314" i="13"/>
  <c r="BW314" i="13"/>
  <c r="BX314" i="13" s="1"/>
  <c r="BU314" i="13"/>
  <c r="BM314" i="13"/>
  <c r="BE314" i="13"/>
  <c r="AW314" i="13"/>
  <c r="R314" i="13"/>
  <c r="Q314" i="13"/>
  <c r="P314" i="13"/>
  <c r="O314" i="13"/>
  <c r="N314" i="13"/>
  <c r="M314" i="13"/>
  <c r="L314" i="13"/>
  <c r="K314" i="13"/>
  <c r="J314" i="13"/>
  <c r="I314" i="13"/>
  <c r="B314" i="13"/>
  <c r="CB313" i="13"/>
  <c r="CA313" i="13"/>
  <c r="BZ313" i="13"/>
  <c r="BY313" i="13"/>
  <c r="BW313" i="13"/>
  <c r="BX313" i="13" s="1"/>
  <c r="BU313" i="13"/>
  <c r="BM313" i="13"/>
  <c r="BE313" i="13"/>
  <c r="AW313" i="13"/>
  <c r="R313" i="13"/>
  <c r="Q313" i="13"/>
  <c r="P313" i="13"/>
  <c r="O313" i="13"/>
  <c r="N313" i="13"/>
  <c r="M313" i="13"/>
  <c r="L313" i="13"/>
  <c r="K313" i="13"/>
  <c r="J313" i="13"/>
  <c r="I313" i="13"/>
  <c r="B313" i="13"/>
  <c r="CB312" i="13"/>
  <c r="CA312" i="13"/>
  <c r="BZ312" i="13"/>
  <c r="BY312" i="13"/>
  <c r="BW312" i="13"/>
  <c r="BX312" i="13" s="1"/>
  <c r="BU312" i="13"/>
  <c r="BM312" i="13"/>
  <c r="BE312" i="13"/>
  <c r="AW312" i="13"/>
  <c r="R312" i="13"/>
  <c r="Q312" i="13"/>
  <c r="P312" i="13"/>
  <c r="O312" i="13"/>
  <c r="N312" i="13"/>
  <c r="M312" i="13"/>
  <c r="L312" i="13"/>
  <c r="K312" i="13"/>
  <c r="J312" i="13"/>
  <c r="I312" i="13"/>
  <c r="B312" i="13"/>
  <c r="CB311" i="13"/>
  <c r="CA311" i="13"/>
  <c r="BZ311" i="13"/>
  <c r="BU311" i="13"/>
  <c r="BM311" i="13"/>
  <c r="BE311" i="13"/>
  <c r="AW311" i="13"/>
  <c r="R311" i="13"/>
  <c r="Q311" i="13"/>
  <c r="P311" i="13"/>
  <c r="O311" i="13"/>
  <c r="N311" i="13"/>
  <c r="M311" i="13"/>
  <c r="L311" i="13"/>
  <c r="K311" i="13"/>
  <c r="J311" i="13"/>
  <c r="I311" i="13"/>
  <c r="B311" i="13"/>
  <c r="CB310" i="13"/>
  <c r="CA310" i="13"/>
  <c r="BZ310" i="13"/>
  <c r="BY310" i="13"/>
  <c r="BW310" i="13"/>
  <c r="BX310" i="13" s="1"/>
  <c r="BU310" i="13"/>
  <c r="BM310" i="13"/>
  <c r="BE310" i="13"/>
  <c r="R310" i="13"/>
  <c r="Q310" i="13"/>
  <c r="P310" i="13"/>
  <c r="O310" i="13"/>
  <c r="N310" i="13"/>
  <c r="M310" i="13"/>
  <c r="L310" i="13"/>
  <c r="K310" i="13"/>
  <c r="J310" i="13"/>
  <c r="I310" i="13"/>
  <c r="B310" i="13"/>
  <c r="CB309" i="13"/>
  <c r="CA309" i="13"/>
  <c r="BZ309" i="13"/>
  <c r="BY309" i="13"/>
  <c r="BW309" i="13"/>
  <c r="BX309" i="13" s="1"/>
  <c r="BU309" i="13"/>
  <c r="BM309" i="13"/>
  <c r="BE309" i="13"/>
  <c r="R309" i="13"/>
  <c r="Q309" i="13"/>
  <c r="P309" i="13"/>
  <c r="O309" i="13"/>
  <c r="N309" i="13"/>
  <c r="M309" i="13"/>
  <c r="L309" i="13"/>
  <c r="K309" i="13"/>
  <c r="J309" i="13"/>
  <c r="I309" i="13"/>
  <c r="B309" i="13"/>
  <c r="CB308" i="13"/>
  <c r="CA308" i="13"/>
  <c r="BZ308" i="13"/>
  <c r="BY308" i="13"/>
  <c r="BU308" i="13"/>
  <c r="BM308" i="13"/>
  <c r="BE308" i="13"/>
  <c r="R308" i="13"/>
  <c r="Q308" i="13"/>
  <c r="P308" i="13"/>
  <c r="O308" i="13"/>
  <c r="N308" i="13"/>
  <c r="M308" i="13"/>
  <c r="L308" i="13"/>
  <c r="K308" i="13"/>
  <c r="J308" i="13"/>
  <c r="I308" i="13"/>
  <c r="B308" i="13"/>
  <c r="CB307" i="13"/>
  <c r="CA307" i="13"/>
  <c r="BZ307" i="13"/>
  <c r="BY307" i="13"/>
  <c r="BW307" i="13"/>
  <c r="BX307" i="13" s="1"/>
  <c r="BU307" i="13"/>
  <c r="BM307" i="13"/>
  <c r="BE307" i="13"/>
  <c r="R307" i="13"/>
  <c r="Q307" i="13"/>
  <c r="P307" i="13"/>
  <c r="O307" i="13"/>
  <c r="N307" i="13"/>
  <c r="M307" i="13"/>
  <c r="L307" i="13"/>
  <c r="K307" i="13"/>
  <c r="J307" i="13"/>
  <c r="I307" i="13"/>
  <c r="B307" i="13"/>
  <c r="CB306" i="13"/>
  <c r="CA306" i="13"/>
  <c r="BZ306" i="13"/>
  <c r="BU306" i="13"/>
  <c r="BM306" i="13"/>
  <c r="BE306" i="13"/>
  <c r="AW306" i="13"/>
  <c r="R306" i="13"/>
  <c r="Q306" i="13"/>
  <c r="P306" i="13"/>
  <c r="O306" i="13"/>
  <c r="N306" i="13"/>
  <c r="M306" i="13"/>
  <c r="L306" i="13"/>
  <c r="K306" i="13"/>
  <c r="J306" i="13"/>
  <c r="I306" i="13"/>
  <c r="B306" i="13"/>
  <c r="CB305" i="13"/>
  <c r="CA305" i="13"/>
  <c r="BZ305" i="13"/>
  <c r="BU305" i="13"/>
  <c r="BM305" i="13"/>
  <c r="BE305" i="13"/>
  <c r="AW305" i="13"/>
  <c r="R305" i="13"/>
  <c r="Q305" i="13"/>
  <c r="P305" i="13"/>
  <c r="O305" i="13"/>
  <c r="N305" i="13"/>
  <c r="M305" i="13"/>
  <c r="L305" i="13"/>
  <c r="K305" i="13"/>
  <c r="J305" i="13"/>
  <c r="I305" i="13"/>
  <c r="B305" i="13"/>
  <c r="CB304" i="13"/>
  <c r="CA304" i="13"/>
  <c r="BZ304" i="13"/>
  <c r="BY304" i="13"/>
  <c r="BW304" i="13"/>
  <c r="BX304" i="13" s="1"/>
  <c r="BU304" i="13"/>
  <c r="BM304" i="13"/>
  <c r="BE304" i="13"/>
  <c r="AW304" i="13"/>
  <c r="R304" i="13"/>
  <c r="Q304" i="13"/>
  <c r="P304" i="13"/>
  <c r="O304" i="13"/>
  <c r="N304" i="13"/>
  <c r="M304" i="13"/>
  <c r="L304" i="13"/>
  <c r="K304" i="13"/>
  <c r="J304" i="13"/>
  <c r="I304" i="13"/>
  <c r="B304" i="13"/>
  <c r="CB303" i="13"/>
  <c r="CA303" i="13"/>
  <c r="BZ303" i="13"/>
  <c r="BY303" i="13"/>
  <c r="BW303" i="13"/>
  <c r="BX303" i="13" s="1"/>
  <c r="BU303" i="13"/>
  <c r="BM303" i="13"/>
  <c r="BE303" i="13"/>
  <c r="AW303" i="13"/>
  <c r="R303" i="13"/>
  <c r="Q303" i="13"/>
  <c r="P303" i="13"/>
  <c r="O303" i="13"/>
  <c r="N303" i="13"/>
  <c r="M303" i="13"/>
  <c r="L303" i="13"/>
  <c r="K303" i="13"/>
  <c r="J303" i="13"/>
  <c r="I303" i="13"/>
  <c r="B303" i="13"/>
  <c r="CB302" i="13"/>
  <c r="CA302" i="13"/>
  <c r="BZ302" i="13"/>
  <c r="BY302" i="13"/>
  <c r="BW302" i="13"/>
  <c r="BX302" i="13" s="1"/>
  <c r="BU302" i="13"/>
  <c r="BM302" i="13"/>
  <c r="BE302" i="13"/>
  <c r="AW302" i="13"/>
  <c r="R302" i="13"/>
  <c r="Q302" i="13"/>
  <c r="P302" i="13"/>
  <c r="O302" i="13"/>
  <c r="N302" i="13"/>
  <c r="M302" i="13"/>
  <c r="L302" i="13"/>
  <c r="K302" i="13"/>
  <c r="J302" i="13"/>
  <c r="I302" i="13"/>
  <c r="B302" i="13"/>
  <c r="CB301" i="13"/>
  <c r="CA301" i="13"/>
  <c r="BZ301" i="13"/>
  <c r="BY301" i="13"/>
  <c r="BW301" i="13"/>
  <c r="BX301" i="13" s="1"/>
  <c r="BU301" i="13"/>
  <c r="BM301" i="13"/>
  <c r="BE301" i="13"/>
  <c r="AW301" i="13"/>
  <c r="R301" i="13"/>
  <c r="Q301" i="13"/>
  <c r="P301" i="13"/>
  <c r="O301" i="13"/>
  <c r="N301" i="13"/>
  <c r="M301" i="13"/>
  <c r="L301" i="13"/>
  <c r="K301" i="13"/>
  <c r="J301" i="13"/>
  <c r="I301" i="13"/>
  <c r="B301" i="13"/>
  <c r="CB300" i="13"/>
  <c r="CA300" i="13"/>
  <c r="BZ300" i="13"/>
  <c r="BY300" i="13"/>
  <c r="BW300" i="13"/>
  <c r="BX300" i="13" s="1"/>
  <c r="BU300" i="13"/>
  <c r="BM300" i="13"/>
  <c r="BE300" i="13"/>
  <c r="AW300" i="13"/>
  <c r="R300" i="13"/>
  <c r="Q300" i="13"/>
  <c r="P300" i="13"/>
  <c r="O300" i="13"/>
  <c r="N300" i="13"/>
  <c r="M300" i="13"/>
  <c r="L300" i="13"/>
  <c r="K300" i="13"/>
  <c r="J300" i="13"/>
  <c r="I300" i="13"/>
  <c r="B300" i="13"/>
  <c r="CB299" i="13"/>
  <c r="CA299" i="13"/>
  <c r="BZ299" i="13"/>
  <c r="BY299" i="13"/>
  <c r="BW299" i="13"/>
  <c r="BX299" i="13" s="1"/>
  <c r="BU299" i="13"/>
  <c r="BM299" i="13"/>
  <c r="BE299" i="13"/>
  <c r="AW299" i="13"/>
  <c r="R299" i="13"/>
  <c r="Q299" i="13"/>
  <c r="P299" i="13"/>
  <c r="O299" i="13"/>
  <c r="N299" i="13"/>
  <c r="M299" i="13"/>
  <c r="L299" i="13"/>
  <c r="K299" i="13"/>
  <c r="J299" i="13"/>
  <c r="I299" i="13"/>
  <c r="B299" i="13"/>
  <c r="CB298" i="13"/>
  <c r="CA298" i="13"/>
  <c r="BZ298" i="13"/>
  <c r="BY298" i="13"/>
  <c r="BW298" i="13"/>
  <c r="BX298" i="13" s="1"/>
  <c r="BU298" i="13"/>
  <c r="BM298" i="13"/>
  <c r="BE298" i="13"/>
  <c r="AW298" i="13"/>
  <c r="R298" i="13"/>
  <c r="Q298" i="13"/>
  <c r="P298" i="13"/>
  <c r="O298" i="13"/>
  <c r="N298" i="13"/>
  <c r="M298" i="13"/>
  <c r="L298" i="13"/>
  <c r="K298" i="13"/>
  <c r="J298" i="13"/>
  <c r="I298" i="13"/>
  <c r="B298" i="13"/>
  <c r="CB297" i="13"/>
  <c r="CA297" i="13"/>
  <c r="BZ297" i="13"/>
  <c r="BY297" i="13"/>
  <c r="BW297" i="13"/>
  <c r="BX297" i="13" s="1"/>
  <c r="BU297" i="13"/>
  <c r="BM297" i="13"/>
  <c r="BE297" i="13"/>
  <c r="AW297" i="13"/>
  <c r="R297" i="13"/>
  <c r="Q297" i="13"/>
  <c r="P297" i="13"/>
  <c r="O297" i="13"/>
  <c r="N297" i="13"/>
  <c r="M297" i="13"/>
  <c r="L297" i="13"/>
  <c r="K297" i="13"/>
  <c r="J297" i="13"/>
  <c r="I297" i="13"/>
  <c r="B297" i="13"/>
  <c r="CB296" i="13"/>
  <c r="CA296" i="13"/>
  <c r="BZ296" i="13"/>
  <c r="BY296" i="13"/>
  <c r="BW296" i="13"/>
  <c r="BX296" i="13" s="1"/>
  <c r="BT296" i="13"/>
  <c r="BS296" i="13"/>
  <c r="BR296" i="13"/>
  <c r="BQ296" i="13"/>
  <c r="BP296" i="13"/>
  <c r="BO296" i="13"/>
  <c r="BN296" i="13"/>
  <c r="BU296" i="13"/>
  <c r="BL296" i="13"/>
  <c r="BK296" i="13"/>
  <c r="BJ296" i="13"/>
  <c r="BI296" i="13"/>
  <c r="BH296" i="13"/>
  <c r="BG296" i="13"/>
  <c r="BF296" i="13"/>
  <c r="BM296" i="13"/>
  <c r="BD296" i="13"/>
  <c r="BC296" i="13"/>
  <c r="BB296" i="13"/>
  <c r="BA296" i="13"/>
  <c r="AZ296" i="13"/>
  <c r="AY296" i="13"/>
  <c r="AX296" i="13"/>
  <c r="BE296" i="13"/>
  <c r="AV296" i="13"/>
  <c r="AU296" i="13"/>
  <c r="AT296" i="13"/>
  <c r="AS296" i="13"/>
  <c r="AR296" i="13"/>
  <c r="AQ296" i="13"/>
  <c r="AP296" i="13"/>
  <c r="AW296" i="13"/>
  <c r="AB296" i="13"/>
  <c r="Z296" i="13"/>
  <c r="X296" i="13"/>
  <c r="V296" i="13"/>
  <c r="B296" i="13"/>
  <c r="CB295" i="13"/>
  <c r="CA295" i="13"/>
  <c r="BZ295" i="13"/>
  <c r="BY295" i="13"/>
  <c r="BW295" i="13"/>
  <c r="BX295" i="13" s="1"/>
  <c r="BU295" i="13"/>
  <c r="BM295" i="13"/>
  <c r="BE295" i="13"/>
  <c r="AW295" i="13"/>
  <c r="B295" i="13"/>
  <c r="CB294" i="13"/>
  <c r="CA294" i="13"/>
  <c r="BZ294" i="13"/>
  <c r="BY294" i="13"/>
  <c r="BW294" i="13"/>
  <c r="BX294" i="13" s="1"/>
  <c r="BU294" i="13"/>
  <c r="BM294" i="13"/>
  <c r="BE294" i="13"/>
  <c r="AW294" i="13"/>
  <c r="B294" i="13"/>
  <c r="CB293" i="13"/>
  <c r="CA293" i="13"/>
  <c r="BZ293" i="13"/>
  <c r="BY293" i="13"/>
  <c r="BW293" i="13"/>
  <c r="BX293" i="13" s="1"/>
  <c r="BU293" i="13"/>
  <c r="BM293" i="13"/>
  <c r="BE293" i="13"/>
  <c r="AW293" i="13"/>
  <c r="R293" i="13"/>
  <c r="Q293" i="13"/>
  <c r="P293" i="13"/>
  <c r="O293" i="13"/>
  <c r="L293" i="13"/>
  <c r="K293" i="13"/>
  <c r="J293" i="13"/>
  <c r="I293" i="13"/>
  <c r="B293" i="13"/>
  <c r="CT292" i="13"/>
  <c r="CS292" i="13"/>
  <c r="CN292" i="13"/>
  <c r="CB292" i="13"/>
  <c r="CR292" i="13" s="1"/>
  <c r="CA292" i="13"/>
  <c r="CQ292" i="13" s="1"/>
  <c r="BZ292" i="13"/>
  <c r="CP292" i="13" s="1"/>
  <c r="BY292" i="13"/>
  <c r="CO292" i="13" s="1"/>
  <c r="BW292" i="13"/>
  <c r="BX292" i="13" s="1"/>
  <c r="BU292" i="13"/>
  <c r="BM292" i="13"/>
  <c r="BE292" i="13"/>
  <c r="AW292" i="13"/>
  <c r="CU292" i="13" s="1"/>
  <c r="R292" i="13"/>
  <c r="Q292" i="13"/>
  <c r="P292" i="13"/>
  <c r="O292" i="13"/>
  <c r="L292" i="13"/>
  <c r="K292" i="13"/>
  <c r="J292" i="13"/>
  <c r="I292" i="13"/>
  <c r="B292" i="13"/>
  <c r="CB291" i="13"/>
  <c r="CA291" i="13"/>
  <c r="BZ291" i="13"/>
  <c r="BY291" i="13"/>
  <c r="BW291" i="13"/>
  <c r="BX291" i="13" s="1"/>
  <c r="BU291" i="13"/>
  <c r="BM291" i="13"/>
  <c r="BE291" i="13"/>
  <c r="AW291" i="13"/>
  <c r="R291" i="13"/>
  <c r="Q291" i="13"/>
  <c r="P291" i="13"/>
  <c r="O291" i="13"/>
  <c r="L291" i="13"/>
  <c r="K291" i="13"/>
  <c r="J291" i="13"/>
  <c r="I291" i="13"/>
  <c r="B291" i="13"/>
  <c r="CB290" i="13"/>
  <c r="CA290" i="13"/>
  <c r="BZ290" i="13"/>
  <c r="BY290" i="13"/>
  <c r="BW290" i="13"/>
  <c r="BX290" i="13" s="1"/>
  <c r="BU290" i="13"/>
  <c r="BM290" i="13"/>
  <c r="BE290" i="13"/>
  <c r="AW290" i="13"/>
  <c r="R290" i="13"/>
  <c r="Q290" i="13"/>
  <c r="P290" i="13"/>
  <c r="O290" i="13"/>
  <c r="L290" i="13"/>
  <c r="K290" i="13"/>
  <c r="J290" i="13"/>
  <c r="I290" i="13"/>
  <c r="B290" i="13"/>
  <c r="CM289" i="13"/>
  <c r="CL289" i="13"/>
  <c r="CK289" i="13"/>
  <c r="AV289" i="13"/>
  <c r="AN289" i="13"/>
  <c r="H17" i="15" s="1"/>
  <c r="CJ289" i="13"/>
  <c r="CB289" i="13"/>
  <c r="CA289" i="13"/>
  <c r="BZ289" i="13"/>
  <c r="BY289" i="13"/>
  <c r="BW289" i="13"/>
  <c r="BX289" i="13" s="1"/>
  <c r="BT289" i="13"/>
  <c r="BS289" i="13"/>
  <c r="BR289" i="13"/>
  <c r="BQ289" i="13"/>
  <c r="BP289" i="13"/>
  <c r="BO289" i="13"/>
  <c r="BN289" i="13"/>
  <c r="BU289" i="13" s="1"/>
  <c r="BL289" i="13"/>
  <c r="BK289" i="13"/>
  <c r="BJ289" i="13"/>
  <c r="BI289" i="13"/>
  <c r="BH289" i="13"/>
  <c r="BG289" i="13"/>
  <c r="BF289" i="13"/>
  <c r="BM289" i="13" s="1"/>
  <c r="BD289" i="13"/>
  <c r="BC289" i="13"/>
  <c r="BB289" i="13"/>
  <c r="BA289" i="13"/>
  <c r="AZ289" i="13"/>
  <c r="AY289" i="13"/>
  <c r="AX289" i="13"/>
  <c r="BE289" i="13" s="1"/>
  <c r="AU289" i="13"/>
  <c r="AT289" i="13"/>
  <c r="AS289" i="13"/>
  <c r="AR289" i="13"/>
  <c r="AQ289" i="13"/>
  <c r="AP289" i="13"/>
  <c r="AW289" i="13" s="1"/>
  <c r="AO289" i="13"/>
  <c r="AM289" i="13"/>
  <c r="AL289" i="13"/>
  <c r="AK289" i="13"/>
  <c r="AJ289" i="13"/>
  <c r="AB289" i="13"/>
  <c r="Z289" i="13"/>
  <c r="X289" i="13"/>
  <c r="B289" i="13"/>
  <c r="CB288" i="13"/>
  <c r="CA288" i="13"/>
  <c r="BZ288" i="13"/>
  <c r="BY288" i="13"/>
  <c r="BW288" i="13"/>
  <c r="BX288" i="13" s="1"/>
  <c r="BU288" i="13"/>
  <c r="BM288" i="13"/>
  <c r="BE288" i="13"/>
  <c r="AW288" i="13"/>
  <c r="R288" i="13"/>
  <c r="Q288" i="13"/>
  <c r="P288" i="13"/>
  <c r="O288" i="13"/>
  <c r="N288" i="13"/>
  <c r="M288" i="13"/>
  <c r="L288" i="13"/>
  <c r="K288" i="13"/>
  <c r="J288" i="13"/>
  <c r="I288" i="13"/>
  <c r="B288" i="13"/>
  <c r="CB287" i="13"/>
  <c r="CA287" i="13"/>
  <c r="BZ287" i="13"/>
  <c r="BY287" i="13"/>
  <c r="BW287" i="13"/>
  <c r="BX287" i="13" s="1"/>
  <c r="BU287" i="13"/>
  <c r="BM287" i="13"/>
  <c r="BE287" i="13"/>
  <c r="AW287" i="13"/>
  <c r="R287" i="13"/>
  <c r="Q287" i="13"/>
  <c r="P287" i="13"/>
  <c r="O287" i="13"/>
  <c r="N287" i="13"/>
  <c r="M287" i="13"/>
  <c r="L287" i="13"/>
  <c r="K287" i="13"/>
  <c r="J287" i="13"/>
  <c r="I287" i="13"/>
  <c r="B287" i="13"/>
  <c r="CB286" i="13"/>
  <c r="CA286" i="13"/>
  <c r="BZ286" i="13"/>
  <c r="BY286" i="13"/>
  <c r="BW286" i="13"/>
  <c r="BX286" i="13" s="1"/>
  <c r="BU286" i="13"/>
  <c r="BM286" i="13"/>
  <c r="BE286" i="13"/>
  <c r="R286" i="13"/>
  <c r="Q286" i="13"/>
  <c r="P286" i="13"/>
  <c r="O286" i="13"/>
  <c r="N286" i="13"/>
  <c r="M286" i="13"/>
  <c r="L286" i="13"/>
  <c r="K286" i="13"/>
  <c r="J286" i="13"/>
  <c r="I286" i="13"/>
  <c r="B286" i="13"/>
  <c r="CB285" i="13"/>
  <c r="CA285" i="13"/>
  <c r="BZ285" i="13"/>
  <c r="BY285" i="13"/>
  <c r="BW285" i="13"/>
  <c r="BX285" i="13" s="1"/>
  <c r="BU285" i="13"/>
  <c r="BM285" i="13"/>
  <c r="BE285" i="13"/>
  <c r="AW285" i="13"/>
  <c r="R285" i="13"/>
  <c r="Q285" i="13"/>
  <c r="P285" i="13"/>
  <c r="O285" i="13"/>
  <c r="N285" i="13"/>
  <c r="M285" i="13"/>
  <c r="L285" i="13"/>
  <c r="K285" i="13"/>
  <c r="J285" i="13"/>
  <c r="I285" i="13"/>
  <c r="B285" i="13"/>
  <c r="CB284" i="13"/>
  <c r="CA284" i="13"/>
  <c r="BZ284" i="13"/>
  <c r="BY284" i="13"/>
  <c r="BW284" i="13"/>
  <c r="BX284" i="13" s="1"/>
  <c r="BU284" i="13"/>
  <c r="BM284" i="13"/>
  <c r="BE284" i="13"/>
  <c r="AW284" i="13"/>
  <c r="R284" i="13"/>
  <c r="Q284" i="13"/>
  <c r="P284" i="13"/>
  <c r="O284" i="13"/>
  <c r="N284" i="13"/>
  <c r="M284" i="13"/>
  <c r="L284" i="13"/>
  <c r="K284" i="13"/>
  <c r="J284" i="13"/>
  <c r="I284" i="13"/>
  <c r="B284" i="13"/>
  <c r="CB283" i="13"/>
  <c r="CA283" i="13"/>
  <c r="BZ283" i="13"/>
  <c r="BY283" i="13"/>
  <c r="BW283" i="13"/>
  <c r="BX283" i="13" s="1"/>
  <c r="BU283" i="13"/>
  <c r="BM283" i="13"/>
  <c r="BE283" i="13"/>
  <c r="AW283" i="13"/>
  <c r="R283" i="13"/>
  <c r="Q283" i="13"/>
  <c r="P283" i="13"/>
  <c r="O283" i="13"/>
  <c r="N283" i="13"/>
  <c r="M283" i="13"/>
  <c r="L283" i="13"/>
  <c r="K283" i="13"/>
  <c r="J283" i="13"/>
  <c r="I283" i="13"/>
  <c r="B283" i="13"/>
  <c r="CB282" i="13"/>
  <c r="CA282" i="13"/>
  <c r="BZ282" i="13"/>
  <c r="BY282" i="13"/>
  <c r="BW282" i="13"/>
  <c r="BX282" i="13" s="1"/>
  <c r="BU282" i="13"/>
  <c r="BM282" i="13"/>
  <c r="BE282" i="13"/>
  <c r="AW282" i="13"/>
  <c r="R282" i="13"/>
  <c r="Q282" i="13"/>
  <c r="P282" i="13"/>
  <c r="O282" i="13"/>
  <c r="N282" i="13"/>
  <c r="M282" i="13"/>
  <c r="L282" i="13"/>
  <c r="K282" i="13"/>
  <c r="J282" i="13"/>
  <c r="I282" i="13"/>
  <c r="B282" i="13"/>
  <c r="CB281" i="13"/>
  <c r="CA281" i="13"/>
  <c r="BZ281" i="13"/>
  <c r="BY281" i="13"/>
  <c r="BW281" i="13"/>
  <c r="BX281" i="13" s="1"/>
  <c r="BU281" i="13"/>
  <c r="BM281" i="13"/>
  <c r="BE281" i="13"/>
  <c r="AW281" i="13"/>
  <c r="R281" i="13"/>
  <c r="Q281" i="13"/>
  <c r="P281" i="13"/>
  <c r="O281" i="13"/>
  <c r="N281" i="13"/>
  <c r="M281" i="13"/>
  <c r="L281" i="13"/>
  <c r="K281" i="13"/>
  <c r="J281" i="13"/>
  <c r="I281" i="13"/>
  <c r="B281" i="13"/>
  <c r="CB280" i="13"/>
  <c r="CA280" i="13"/>
  <c r="BZ280" i="13"/>
  <c r="BY280" i="13"/>
  <c r="BW280" i="13"/>
  <c r="BX280" i="13" s="1"/>
  <c r="BU280" i="13"/>
  <c r="BM280" i="13"/>
  <c r="BE280" i="13"/>
  <c r="AW280" i="13"/>
  <c r="R280" i="13"/>
  <c r="Q280" i="13"/>
  <c r="P280" i="13"/>
  <c r="O280" i="13"/>
  <c r="N280" i="13"/>
  <c r="M280" i="13"/>
  <c r="L280" i="13"/>
  <c r="K280" i="13"/>
  <c r="J280" i="13"/>
  <c r="I280" i="13"/>
  <c r="B280" i="13"/>
  <c r="CB279" i="13"/>
  <c r="CA279" i="13"/>
  <c r="BZ279" i="13"/>
  <c r="BY279" i="13"/>
  <c r="BW279" i="13"/>
  <c r="BX279" i="13" s="1"/>
  <c r="BU279" i="13"/>
  <c r="BM279" i="13"/>
  <c r="BE279" i="13"/>
  <c r="AW279" i="13"/>
  <c r="R279" i="13"/>
  <c r="Q279" i="13"/>
  <c r="P279" i="13"/>
  <c r="O279" i="13"/>
  <c r="N279" i="13"/>
  <c r="M279" i="13"/>
  <c r="L279" i="13"/>
  <c r="K279" i="13"/>
  <c r="J279" i="13"/>
  <c r="I279" i="13"/>
  <c r="B279" i="13"/>
  <c r="CB278" i="13"/>
  <c r="CA278" i="13"/>
  <c r="BZ278" i="13"/>
  <c r="BY278" i="13"/>
  <c r="BW278" i="13"/>
  <c r="BX278" i="13" s="1"/>
  <c r="BU278" i="13"/>
  <c r="BM278" i="13"/>
  <c r="BE278" i="13"/>
  <c r="R278" i="13"/>
  <c r="Q278" i="13"/>
  <c r="P278" i="13"/>
  <c r="O278" i="13"/>
  <c r="N278" i="13"/>
  <c r="M278" i="13"/>
  <c r="L278" i="13"/>
  <c r="K278" i="13"/>
  <c r="J278" i="13"/>
  <c r="I278" i="13"/>
  <c r="B278" i="13"/>
  <c r="CB277" i="13"/>
  <c r="CA277" i="13"/>
  <c r="BZ277" i="13"/>
  <c r="BY277" i="13"/>
  <c r="BW277" i="13"/>
  <c r="BX277" i="13" s="1"/>
  <c r="BU277" i="13"/>
  <c r="BM277" i="13"/>
  <c r="BE277" i="13"/>
  <c r="AW277" i="13"/>
  <c r="R277" i="13"/>
  <c r="Q277" i="13"/>
  <c r="P277" i="13"/>
  <c r="O277" i="13"/>
  <c r="N277" i="13"/>
  <c r="M277" i="13"/>
  <c r="L277" i="13"/>
  <c r="K277" i="13"/>
  <c r="J277" i="13"/>
  <c r="I277" i="13"/>
  <c r="B277" i="13"/>
  <c r="CB276" i="13"/>
  <c r="CA276" i="13"/>
  <c r="BZ276" i="13"/>
  <c r="BY276" i="13"/>
  <c r="BW276" i="13"/>
  <c r="BX276" i="13" s="1"/>
  <c r="BT276" i="13"/>
  <c r="BS276" i="13"/>
  <c r="BR276" i="13"/>
  <c r="BQ276" i="13"/>
  <c r="BP276" i="13"/>
  <c r="BO276" i="13"/>
  <c r="BN276" i="13"/>
  <c r="BU276" i="13" s="1"/>
  <c r="BL276" i="13"/>
  <c r="BK276" i="13"/>
  <c r="BJ276" i="13"/>
  <c r="BI276" i="13"/>
  <c r="BH276" i="13"/>
  <c r="BG276" i="13"/>
  <c r="BF276" i="13"/>
  <c r="BM276" i="13" s="1"/>
  <c r="BD276" i="13"/>
  <c r="BC276" i="13"/>
  <c r="BB276" i="13"/>
  <c r="BA276" i="13"/>
  <c r="AZ276" i="13"/>
  <c r="AY276" i="13"/>
  <c r="AX276" i="13"/>
  <c r="BE276" i="13" s="1"/>
  <c r="AV276" i="13"/>
  <c r="AU276" i="13"/>
  <c r="AT276" i="13"/>
  <c r="AS276" i="13"/>
  <c r="AR276" i="13"/>
  <c r="AQ276" i="13"/>
  <c r="AP276" i="13"/>
  <c r="AW276" i="13" s="1"/>
  <c r="AB276" i="13"/>
  <c r="Z276" i="13"/>
  <c r="X276" i="13"/>
  <c r="V276" i="13"/>
  <c r="B276" i="13"/>
  <c r="CB275" i="13"/>
  <c r="CA275" i="13"/>
  <c r="BZ275" i="13"/>
  <c r="BY275" i="13"/>
  <c r="BW275" i="13"/>
  <c r="BX275" i="13" s="1"/>
  <c r="BU275" i="13"/>
  <c r="BM275" i="13"/>
  <c r="BE275" i="13"/>
  <c r="AW275" i="13"/>
  <c r="R275" i="13"/>
  <c r="Q275" i="13"/>
  <c r="P275" i="13"/>
  <c r="O275" i="13"/>
  <c r="M275" i="13"/>
  <c r="L275" i="13"/>
  <c r="K275" i="13"/>
  <c r="J275" i="13"/>
  <c r="I275" i="13"/>
  <c r="B275" i="13"/>
  <c r="CB274" i="13"/>
  <c r="CA274" i="13"/>
  <c r="BZ274" i="13"/>
  <c r="BY274" i="13"/>
  <c r="BW274" i="13"/>
  <c r="BX274" i="13" s="1"/>
  <c r="BU274" i="13"/>
  <c r="BM274" i="13"/>
  <c r="BE274" i="13"/>
  <c r="AW274" i="13"/>
  <c r="R274" i="13"/>
  <c r="Q274" i="13"/>
  <c r="P274" i="13"/>
  <c r="O274" i="13"/>
  <c r="M274" i="13"/>
  <c r="L274" i="13"/>
  <c r="K274" i="13"/>
  <c r="J274" i="13"/>
  <c r="I274" i="13"/>
  <c r="B274" i="13"/>
  <c r="CB273" i="13"/>
  <c r="CA273" i="13"/>
  <c r="BZ273" i="13"/>
  <c r="BY273" i="13"/>
  <c r="BW273" i="13"/>
  <c r="BX273" i="13" s="1"/>
  <c r="BU273" i="13"/>
  <c r="BM273" i="13"/>
  <c r="BE273" i="13"/>
  <c r="AW273" i="13"/>
  <c r="R273" i="13"/>
  <c r="Q273" i="13"/>
  <c r="P273" i="13"/>
  <c r="O273" i="13"/>
  <c r="M273" i="13"/>
  <c r="L273" i="13"/>
  <c r="K273" i="13"/>
  <c r="J273" i="13"/>
  <c r="I273" i="13"/>
  <c r="B273" i="13"/>
  <c r="CB272" i="13"/>
  <c r="CA272" i="13"/>
  <c r="BZ272" i="13"/>
  <c r="BY272" i="13"/>
  <c r="BW272" i="13"/>
  <c r="BX272" i="13" s="1"/>
  <c r="BU272" i="13"/>
  <c r="BM272" i="13"/>
  <c r="BE272" i="13"/>
  <c r="AW272" i="13"/>
  <c r="R272" i="13"/>
  <c r="Q272" i="13"/>
  <c r="P272" i="13"/>
  <c r="O272" i="13"/>
  <c r="M272" i="13"/>
  <c r="L272" i="13"/>
  <c r="K272" i="13"/>
  <c r="J272" i="13"/>
  <c r="I272" i="13"/>
  <c r="B272" i="13"/>
  <c r="CB271" i="13"/>
  <c r="CA271" i="13"/>
  <c r="BZ271" i="13"/>
  <c r="BY271" i="13"/>
  <c r="BW271" i="13"/>
  <c r="BX271" i="13" s="1"/>
  <c r="BU271" i="13"/>
  <c r="BM271" i="13"/>
  <c r="BE271" i="13"/>
  <c r="AW271" i="13"/>
  <c r="R271" i="13"/>
  <c r="Q271" i="13"/>
  <c r="P271" i="13"/>
  <c r="O271" i="13"/>
  <c r="M271" i="13"/>
  <c r="L271" i="13"/>
  <c r="K271" i="13"/>
  <c r="J271" i="13"/>
  <c r="I271" i="13"/>
  <c r="B271" i="13"/>
  <c r="CB270" i="13"/>
  <c r="CA270" i="13"/>
  <c r="BZ270" i="13"/>
  <c r="BY270" i="13"/>
  <c r="BW270" i="13"/>
  <c r="BX270" i="13" s="1"/>
  <c r="BU270" i="13"/>
  <c r="BM270" i="13"/>
  <c r="BE270" i="13"/>
  <c r="AW270" i="13"/>
  <c r="R270" i="13"/>
  <c r="Q270" i="13"/>
  <c r="P270" i="13"/>
  <c r="O270" i="13"/>
  <c r="M270" i="13"/>
  <c r="L270" i="13"/>
  <c r="K270" i="13"/>
  <c r="J270" i="13"/>
  <c r="I270" i="13"/>
  <c r="B270" i="13"/>
  <c r="CB269" i="13"/>
  <c r="CA269" i="13"/>
  <c r="BY269" i="13"/>
  <c r="BW269" i="13"/>
  <c r="BX269" i="13" s="1"/>
  <c r="BU269" i="13"/>
  <c r="BM269" i="13"/>
  <c r="BE269" i="13"/>
  <c r="AW269" i="13"/>
  <c r="R269" i="13"/>
  <c r="Q269" i="13"/>
  <c r="O269" i="13"/>
  <c r="M269" i="13"/>
  <c r="L269" i="13"/>
  <c r="K269" i="13"/>
  <c r="J269" i="13"/>
  <c r="I269" i="13"/>
  <c r="B269" i="13"/>
  <c r="CB268" i="13"/>
  <c r="CA268" i="13"/>
  <c r="BZ268" i="13"/>
  <c r="BY268" i="13"/>
  <c r="BW268" i="13"/>
  <c r="BX268" i="13" s="1"/>
  <c r="BU268" i="13"/>
  <c r="BM268" i="13"/>
  <c r="BE268" i="13"/>
  <c r="AW268" i="13"/>
  <c r="R268" i="13"/>
  <c r="Q268" i="13"/>
  <c r="P268" i="13"/>
  <c r="O268" i="13"/>
  <c r="M268" i="13"/>
  <c r="L268" i="13"/>
  <c r="K268" i="13"/>
  <c r="J268" i="13"/>
  <c r="I268" i="13"/>
  <c r="B268" i="13"/>
  <c r="CB267" i="13"/>
  <c r="CA267" i="13"/>
  <c r="BZ267" i="13"/>
  <c r="BY267" i="13"/>
  <c r="BW267" i="13"/>
  <c r="BX267" i="13" s="1"/>
  <c r="BU267" i="13"/>
  <c r="BM267" i="13"/>
  <c r="BE267" i="13"/>
  <c r="AW267" i="13"/>
  <c r="R267" i="13"/>
  <c r="Q267" i="13"/>
  <c r="P267" i="13"/>
  <c r="O267" i="13"/>
  <c r="M267" i="13"/>
  <c r="L267" i="13"/>
  <c r="K267" i="13"/>
  <c r="J267" i="13"/>
  <c r="I267" i="13"/>
  <c r="B267" i="13"/>
  <c r="CB266" i="13"/>
  <c r="CA266" i="13"/>
  <c r="BZ266" i="13"/>
  <c r="BY266" i="13"/>
  <c r="BW266" i="13"/>
  <c r="BX266" i="13" s="1"/>
  <c r="BU266" i="13"/>
  <c r="BM266" i="13"/>
  <c r="BE266" i="13"/>
  <c r="AW266" i="13"/>
  <c r="R266" i="13"/>
  <c r="Q266" i="13"/>
  <c r="P266" i="13"/>
  <c r="O266" i="13"/>
  <c r="M266" i="13"/>
  <c r="L266" i="13"/>
  <c r="K266" i="13"/>
  <c r="J266" i="13"/>
  <c r="I266" i="13"/>
  <c r="B266" i="13"/>
  <c r="CB265" i="13"/>
  <c r="CA265" i="13"/>
  <c r="BZ265" i="13"/>
  <c r="BY265" i="13"/>
  <c r="BW265" i="13"/>
  <c r="BX265" i="13" s="1"/>
  <c r="BU265" i="13"/>
  <c r="BM265" i="13"/>
  <c r="BE265" i="13"/>
  <c r="AW265" i="13"/>
  <c r="R265" i="13"/>
  <c r="Q265" i="13"/>
  <c r="P265" i="13"/>
  <c r="O265" i="13"/>
  <c r="M265" i="13"/>
  <c r="L265" i="13"/>
  <c r="K265" i="13"/>
  <c r="J265" i="13"/>
  <c r="I265" i="13"/>
  <c r="B265" i="13"/>
  <c r="CB264" i="13"/>
  <c r="CA264" i="13"/>
  <c r="BZ264" i="13"/>
  <c r="BY264" i="13"/>
  <c r="BW264" i="13"/>
  <c r="BX264" i="13" s="1"/>
  <c r="BT264" i="13"/>
  <c r="BS264" i="13"/>
  <c r="BR264" i="13"/>
  <c r="BQ264" i="13"/>
  <c r="BP264" i="13"/>
  <c r="BO264" i="13"/>
  <c r="BN264" i="13"/>
  <c r="BU264" i="13" s="1"/>
  <c r="BL264" i="13"/>
  <c r="BK264" i="13"/>
  <c r="BJ264" i="13"/>
  <c r="BI264" i="13"/>
  <c r="BH264" i="13"/>
  <c r="BG264" i="13"/>
  <c r="BF264" i="13"/>
  <c r="BM264" i="13" s="1"/>
  <c r="BD264" i="13"/>
  <c r="BC264" i="13"/>
  <c r="BB264" i="13"/>
  <c r="BA264" i="13"/>
  <c r="AZ264" i="13"/>
  <c r="AY264" i="13"/>
  <c r="AX264" i="13"/>
  <c r="BE264" i="13" s="1"/>
  <c r="AV264" i="13"/>
  <c r="AU264" i="13"/>
  <c r="AT264" i="13"/>
  <c r="AS264" i="13"/>
  <c r="AR264" i="13"/>
  <c r="AQ264" i="13"/>
  <c r="AP264" i="13"/>
  <c r="AW264" i="13" s="1"/>
  <c r="AB264" i="13"/>
  <c r="Z264" i="13"/>
  <c r="X264" i="13"/>
  <c r="V264" i="13"/>
  <c r="B264" i="13"/>
  <c r="CB263" i="13"/>
  <c r="CA263" i="13"/>
  <c r="BZ263" i="13"/>
  <c r="BY263" i="13"/>
  <c r="BW263" i="13"/>
  <c r="BX263" i="13" s="1"/>
  <c r="BU263" i="13"/>
  <c r="BM263" i="13"/>
  <c r="BE263" i="13"/>
  <c r="AW263" i="13"/>
  <c r="B263" i="13"/>
  <c r="CB262" i="13"/>
  <c r="CA262" i="13"/>
  <c r="BZ262" i="13"/>
  <c r="BY262" i="13"/>
  <c r="BW262" i="13"/>
  <c r="BX262" i="13" s="1"/>
  <c r="BU262" i="13"/>
  <c r="BM262" i="13"/>
  <c r="BE262" i="13"/>
  <c r="AW262" i="13"/>
  <c r="B262" i="13"/>
  <c r="CB261" i="13"/>
  <c r="CA261" i="13"/>
  <c r="BZ261" i="13"/>
  <c r="BY261" i="13"/>
  <c r="BW261" i="13"/>
  <c r="BX261" i="13" s="1"/>
  <c r="BU261" i="13"/>
  <c r="BM261" i="13"/>
  <c r="BE261" i="13"/>
  <c r="AW261" i="13"/>
  <c r="CB260" i="13"/>
  <c r="CA260" i="13"/>
  <c r="BZ260" i="13"/>
  <c r="BY260" i="13"/>
  <c r="BW260" i="13"/>
  <c r="BX260" i="13" s="1"/>
  <c r="BU260" i="13"/>
  <c r="BM260" i="13"/>
  <c r="BE260" i="13"/>
  <c r="AW260" i="13"/>
  <c r="R260" i="13"/>
  <c r="Q260" i="13"/>
  <c r="P260" i="13"/>
  <c r="O260" i="13"/>
  <c r="M260" i="13"/>
  <c r="L260" i="13"/>
  <c r="K260" i="13"/>
  <c r="J260" i="13"/>
  <c r="I260" i="13"/>
  <c r="B260" i="13"/>
  <c r="CB259" i="13"/>
  <c r="CA259" i="13"/>
  <c r="BZ259" i="13"/>
  <c r="BY259" i="13"/>
  <c r="BW259" i="13"/>
  <c r="BX259" i="13" s="1"/>
  <c r="BU259" i="13"/>
  <c r="BM259" i="13"/>
  <c r="BE259" i="13"/>
  <c r="AW259" i="13"/>
  <c r="R259" i="13"/>
  <c r="Q259" i="13"/>
  <c r="P259" i="13"/>
  <c r="O259" i="13"/>
  <c r="M259" i="13"/>
  <c r="L259" i="13"/>
  <c r="K259" i="13"/>
  <c r="J259" i="13"/>
  <c r="I259" i="13"/>
  <c r="B259" i="13"/>
  <c r="CB258" i="13"/>
  <c r="CA258" i="13"/>
  <c r="BZ258" i="13"/>
  <c r="BY258" i="13"/>
  <c r="BW258" i="13"/>
  <c r="BX258" i="13" s="1"/>
  <c r="BU258" i="13"/>
  <c r="BM258" i="13"/>
  <c r="BE258" i="13"/>
  <c r="AW258" i="13"/>
  <c r="R258" i="13"/>
  <c r="Q258" i="13"/>
  <c r="P258" i="13"/>
  <c r="O258" i="13"/>
  <c r="M258" i="13"/>
  <c r="L258" i="13"/>
  <c r="K258" i="13"/>
  <c r="J258" i="13"/>
  <c r="I258" i="13"/>
  <c r="B258" i="13"/>
  <c r="CB257" i="13"/>
  <c r="CA257" i="13"/>
  <c r="BZ257" i="13"/>
  <c r="BY257" i="13"/>
  <c r="BW257" i="13"/>
  <c r="BX257" i="13" s="1"/>
  <c r="BU257" i="13"/>
  <c r="BM257" i="13"/>
  <c r="BE257" i="13"/>
  <c r="AW257" i="13"/>
  <c r="R257" i="13"/>
  <c r="Q257" i="13"/>
  <c r="P257" i="13"/>
  <c r="O257" i="13"/>
  <c r="M257" i="13"/>
  <c r="L257" i="13"/>
  <c r="K257" i="13"/>
  <c r="J257" i="13"/>
  <c r="I257" i="13"/>
  <c r="B257" i="13"/>
  <c r="CB256" i="13"/>
  <c r="CA256" i="13"/>
  <c r="BZ256" i="13"/>
  <c r="BY256" i="13"/>
  <c r="BW256" i="13"/>
  <c r="BX256" i="13" s="1"/>
  <c r="BU256" i="13"/>
  <c r="BM256" i="13"/>
  <c r="BE256" i="13"/>
  <c r="AW256" i="13"/>
  <c r="R256" i="13"/>
  <c r="Q256" i="13"/>
  <c r="P256" i="13"/>
  <c r="O256" i="13"/>
  <c r="M256" i="13"/>
  <c r="L256" i="13"/>
  <c r="K256" i="13"/>
  <c r="J256" i="13"/>
  <c r="I256" i="13"/>
  <c r="B256" i="13"/>
  <c r="CB255" i="13"/>
  <c r="CA255" i="13"/>
  <c r="BZ255" i="13"/>
  <c r="BY255" i="13"/>
  <c r="BW255" i="13"/>
  <c r="BX255" i="13" s="1"/>
  <c r="BU255" i="13"/>
  <c r="BM255" i="13"/>
  <c r="BE255" i="13"/>
  <c r="AW255" i="13"/>
  <c r="R255" i="13"/>
  <c r="Q255" i="13"/>
  <c r="P255" i="13"/>
  <c r="O255" i="13"/>
  <c r="M255" i="13"/>
  <c r="L255" i="13"/>
  <c r="K255" i="13"/>
  <c r="J255" i="13"/>
  <c r="I255" i="13"/>
  <c r="B255" i="13"/>
  <c r="CB254" i="13"/>
  <c r="CA254" i="13"/>
  <c r="BZ254" i="13"/>
  <c r="BY254" i="13"/>
  <c r="BW254" i="13"/>
  <c r="BX254" i="13" s="1"/>
  <c r="BU254" i="13"/>
  <c r="BM254" i="13"/>
  <c r="BE254" i="13"/>
  <c r="AW254" i="13"/>
  <c r="R254" i="13"/>
  <c r="Q254" i="13"/>
  <c r="P254" i="13"/>
  <c r="O254" i="13"/>
  <c r="M254" i="13"/>
  <c r="L254" i="13"/>
  <c r="K254" i="13"/>
  <c r="J254" i="13"/>
  <c r="I254" i="13"/>
  <c r="B254" i="13"/>
  <c r="CB253" i="13"/>
  <c r="CA253" i="13"/>
  <c r="BZ253" i="13"/>
  <c r="BY253" i="13"/>
  <c r="BW253" i="13"/>
  <c r="BX253" i="13" s="1"/>
  <c r="BU253" i="13"/>
  <c r="BM253" i="13"/>
  <c r="BE253" i="13"/>
  <c r="AW253" i="13"/>
  <c r="R253" i="13"/>
  <c r="Q253" i="13"/>
  <c r="P253" i="13"/>
  <c r="O253" i="13"/>
  <c r="M253" i="13"/>
  <c r="L253" i="13"/>
  <c r="K253" i="13"/>
  <c r="J253" i="13"/>
  <c r="I253" i="13"/>
  <c r="B253" i="13"/>
  <c r="CB252" i="13"/>
  <c r="CA252" i="13"/>
  <c r="BZ252" i="13"/>
  <c r="BY252" i="13"/>
  <c r="BW252" i="13"/>
  <c r="BX252" i="13" s="1"/>
  <c r="BU252" i="13"/>
  <c r="BM252" i="13"/>
  <c r="BE252" i="13"/>
  <c r="AW252" i="13"/>
  <c r="R252" i="13"/>
  <c r="Q252" i="13"/>
  <c r="P252" i="13"/>
  <c r="O252" i="13"/>
  <c r="M252" i="13"/>
  <c r="L252" i="13"/>
  <c r="K252" i="13"/>
  <c r="J252" i="13"/>
  <c r="I252" i="13"/>
  <c r="B252" i="13"/>
  <c r="CB251" i="13"/>
  <c r="CA251" i="13"/>
  <c r="BZ251" i="13"/>
  <c r="BY251" i="13"/>
  <c r="BW251" i="13"/>
  <c r="BX251" i="13" s="1"/>
  <c r="BU251" i="13"/>
  <c r="BM251" i="13"/>
  <c r="BE251" i="13"/>
  <c r="AW251" i="13"/>
  <c r="R251" i="13"/>
  <c r="Q251" i="13"/>
  <c r="P251" i="13"/>
  <c r="O251" i="13"/>
  <c r="M251" i="13"/>
  <c r="L251" i="13"/>
  <c r="K251" i="13"/>
  <c r="J251" i="13"/>
  <c r="I251" i="13"/>
  <c r="B251" i="13"/>
  <c r="CB250" i="13"/>
  <c r="CA250" i="13"/>
  <c r="BZ250" i="13"/>
  <c r="BY250" i="13"/>
  <c r="BW250" i="13"/>
  <c r="BX250" i="13" s="1"/>
  <c r="BU250" i="13"/>
  <c r="BM250" i="13"/>
  <c r="BE250" i="13"/>
  <c r="AW250" i="13"/>
  <c r="R250" i="13"/>
  <c r="Q250" i="13"/>
  <c r="P250" i="13"/>
  <c r="O250" i="13"/>
  <c r="M250" i="13"/>
  <c r="L250" i="13"/>
  <c r="K250" i="13"/>
  <c r="J250" i="13"/>
  <c r="I250" i="13"/>
  <c r="B250" i="13"/>
  <c r="CB249" i="13"/>
  <c r="CA249" i="13"/>
  <c r="BZ249" i="13"/>
  <c r="BY249" i="13"/>
  <c r="BW249" i="13"/>
  <c r="BX249" i="13" s="1"/>
  <c r="BU249" i="13"/>
  <c r="BM249" i="13"/>
  <c r="BE249" i="13"/>
  <c r="AW249" i="13"/>
  <c r="R249" i="13"/>
  <c r="Q249" i="13"/>
  <c r="P249" i="13"/>
  <c r="O249" i="13"/>
  <c r="M249" i="13"/>
  <c r="L249" i="13"/>
  <c r="K249" i="13"/>
  <c r="J249" i="13"/>
  <c r="I249" i="13"/>
  <c r="B249" i="13"/>
  <c r="CB248" i="13"/>
  <c r="CA248" i="13"/>
  <c r="BZ248" i="13"/>
  <c r="BY248" i="13"/>
  <c r="BW248" i="13"/>
  <c r="BX248" i="13" s="1"/>
  <c r="BU248" i="13"/>
  <c r="BM248" i="13"/>
  <c r="BE248" i="13"/>
  <c r="AW248" i="13"/>
  <c r="R248" i="13"/>
  <c r="Q248" i="13"/>
  <c r="P248" i="13"/>
  <c r="O248" i="13"/>
  <c r="M248" i="13"/>
  <c r="L248" i="13"/>
  <c r="K248" i="13"/>
  <c r="J248" i="13"/>
  <c r="I248" i="13"/>
  <c r="B248" i="13"/>
  <c r="CB247" i="13"/>
  <c r="CA247" i="13"/>
  <c r="BZ247" i="13"/>
  <c r="BY247" i="13"/>
  <c r="BW247" i="13"/>
  <c r="BX247" i="13" s="1"/>
  <c r="BU247" i="13"/>
  <c r="BM247" i="13"/>
  <c r="BE247" i="13"/>
  <c r="AW247" i="13"/>
  <c r="R247" i="13"/>
  <c r="Q247" i="13"/>
  <c r="P247" i="13"/>
  <c r="O247" i="13"/>
  <c r="M247" i="13"/>
  <c r="L247" i="13"/>
  <c r="K247" i="13"/>
  <c r="J247" i="13"/>
  <c r="I247" i="13"/>
  <c r="B247" i="13"/>
  <c r="CB246" i="13"/>
  <c r="CA246" i="13"/>
  <c r="BZ246" i="13"/>
  <c r="BY246" i="13"/>
  <c r="BW246" i="13"/>
  <c r="BX246" i="13" s="1"/>
  <c r="BU246" i="13"/>
  <c r="BM246" i="13"/>
  <c r="BE246" i="13"/>
  <c r="AW246" i="13"/>
  <c r="R246" i="13"/>
  <c r="Q246" i="13"/>
  <c r="P246" i="13"/>
  <c r="O246" i="13"/>
  <c r="M246" i="13"/>
  <c r="L246" i="13"/>
  <c r="K246" i="13"/>
  <c r="J246" i="13"/>
  <c r="I246" i="13"/>
  <c r="B246" i="13"/>
  <c r="CB245" i="13"/>
  <c r="CA245" i="13"/>
  <c r="BZ245" i="13"/>
  <c r="BY245" i="13"/>
  <c r="BW245" i="13"/>
  <c r="BX245" i="13" s="1"/>
  <c r="BU245" i="13"/>
  <c r="BM245" i="13"/>
  <c r="BE245" i="13"/>
  <c r="AW245" i="13"/>
  <c r="R245" i="13"/>
  <c r="Q245" i="13"/>
  <c r="P245" i="13"/>
  <c r="O245" i="13"/>
  <c r="M245" i="13"/>
  <c r="L245" i="13"/>
  <c r="K245" i="13"/>
  <c r="J245" i="13"/>
  <c r="I245" i="13"/>
  <c r="B245" i="13"/>
  <c r="CB244" i="13"/>
  <c r="CA244" i="13"/>
  <c r="BZ244" i="13"/>
  <c r="BW244" i="13"/>
  <c r="BX244" i="13" s="1"/>
  <c r="BU244" i="13"/>
  <c r="BM244" i="13"/>
  <c r="BE244" i="13"/>
  <c r="AW244" i="13"/>
  <c r="BY244" i="13"/>
  <c r="R244" i="13"/>
  <c r="Q244" i="13"/>
  <c r="P244" i="13"/>
  <c r="O244" i="13"/>
  <c r="M244" i="13"/>
  <c r="L244" i="13"/>
  <c r="K244" i="13"/>
  <c r="J244" i="13"/>
  <c r="I244" i="13"/>
  <c r="B244" i="13"/>
  <c r="CB243" i="13"/>
  <c r="CA243" i="13"/>
  <c r="BZ243" i="13"/>
  <c r="BY243" i="13"/>
  <c r="BW243" i="13"/>
  <c r="BX243" i="13" s="1"/>
  <c r="BT243" i="13"/>
  <c r="BS243" i="13"/>
  <c r="BR243" i="13"/>
  <c r="BQ243" i="13"/>
  <c r="BP243" i="13"/>
  <c r="BO243" i="13"/>
  <c r="BN243" i="13"/>
  <c r="BU243" i="13" s="1"/>
  <c r="BL243" i="13"/>
  <c r="BK243" i="13"/>
  <c r="BJ243" i="13"/>
  <c r="BI243" i="13"/>
  <c r="BH243" i="13"/>
  <c r="BG243" i="13"/>
  <c r="BF243" i="13"/>
  <c r="BM243" i="13" s="1"/>
  <c r="BD243" i="13"/>
  <c r="BC243" i="13"/>
  <c r="BB243" i="13"/>
  <c r="BA243" i="13"/>
  <c r="AZ243" i="13"/>
  <c r="AY243" i="13"/>
  <c r="AX243" i="13"/>
  <c r="BE243" i="13" s="1"/>
  <c r="AV243" i="13"/>
  <c r="AU243" i="13"/>
  <c r="AT243" i="13"/>
  <c r="AS243" i="13"/>
  <c r="AR243" i="13"/>
  <c r="AQ243" i="13"/>
  <c r="AP243" i="13"/>
  <c r="AW243" i="13" s="1"/>
  <c r="AB243" i="13"/>
  <c r="Z243" i="13"/>
  <c r="X243" i="13"/>
  <c r="V243" i="13"/>
  <c r="B243" i="13"/>
  <c r="CB242" i="13"/>
  <c r="CA242" i="13"/>
  <c r="BZ242" i="13"/>
  <c r="BY242" i="13"/>
  <c r="BW242" i="13"/>
  <c r="BX242" i="13" s="1"/>
  <c r="BU242" i="13"/>
  <c r="BM242" i="13"/>
  <c r="BE242" i="13"/>
  <c r="AW242" i="13"/>
  <c r="B242" i="13"/>
  <c r="CB241" i="13"/>
  <c r="CA241" i="13"/>
  <c r="BZ241" i="13"/>
  <c r="BY241" i="13"/>
  <c r="BW241" i="13"/>
  <c r="BX241" i="13" s="1"/>
  <c r="BU241" i="13"/>
  <c r="BM241" i="13"/>
  <c r="BE241" i="13"/>
  <c r="R241" i="13"/>
  <c r="Q241" i="13"/>
  <c r="P241" i="13"/>
  <c r="O241" i="13"/>
  <c r="M241" i="13"/>
  <c r="L241" i="13"/>
  <c r="K241" i="13"/>
  <c r="J241" i="13"/>
  <c r="I241" i="13"/>
  <c r="B241" i="13"/>
  <c r="CB240" i="13"/>
  <c r="CA240" i="13"/>
  <c r="BZ240" i="13"/>
  <c r="BY240" i="13"/>
  <c r="BW240" i="13"/>
  <c r="BX240" i="13" s="1"/>
  <c r="BU240" i="13"/>
  <c r="BM240" i="13"/>
  <c r="BE240" i="13"/>
  <c r="R240" i="13"/>
  <c r="Q240" i="13"/>
  <c r="P240" i="13"/>
  <c r="O240" i="13"/>
  <c r="M240" i="13"/>
  <c r="L240" i="13"/>
  <c r="K240" i="13"/>
  <c r="J240" i="13"/>
  <c r="I240" i="13"/>
  <c r="B240" i="13"/>
  <c r="CB239" i="13"/>
  <c r="CA239" i="13"/>
  <c r="BZ239" i="13"/>
  <c r="BY239" i="13"/>
  <c r="BW239" i="13"/>
  <c r="BX239" i="13" s="1"/>
  <c r="BU239" i="13"/>
  <c r="BM239" i="13"/>
  <c r="BE239" i="13"/>
  <c r="R239" i="13"/>
  <c r="Q239" i="13"/>
  <c r="P239" i="13"/>
  <c r="O239" i="13"/>
  <c r="M239" i="13"/>
  <c r="L239" i="13"/>
  <c r="K239" i="13"/>
  <c r="J239" i="13"/>
  <c r="I239" i="13"/>
  <c r="B239" i="13"/>
  <c r="CB238" i="13"/>
  <c r="CA238" i="13"/>
  <c r="BZ238" i="13"/>
  <c r="BY238" i="13"/>
  <c r="BW238" i="13"/>
  <c r="BX238" i="13" s="1"/>
  <c r="BU238" i="13"/>
  <c r="BM238" i="13"/>
  <c r="BE238" i="13"/>
  <c r="AW238" i="13"/>
  <c r="R238" i="13"/>
  <c r="Q238" i="13"/>
  <c r="P238" i="13"/>
  <c r="O238" i="13"/>
  <c r="M238" i="13"/>
  <c r="L238" i="13"/>
  <c r="K238" i="13"/>
  <c r="J238" i="13"/>
  <c r="I238" i="13"/>
  <c r="B238" i="13"/>
  <c r="CB237" i="13"/>
  <c r="CA237" i="13"/>
  <c r="BZ237" i="13"/>
  <c r="BY237" i="13"/>
  <c r="BW237" i="13"/>
  <c r="BX237" i="13" s="1"/>
  <c r="BU237" i="13"/>
  <c r="BM237" i="13"/>
  <c r="BE237" i="13"/>
  <c r="AW237" i="13"/>
  <c r="R237" i="13"/>
  <c r="Q237" i="13"/>
  <c r="P237" i="13"/>
  <c r="O237" i="13"/>
  <c r="M237" i="13"/>
  <c r="L237" i="13"/>
  <c r="K237" i="13"/>
  <c r="J237" i="13"/>
  <c r="I237" i="13"/>
  <c r="B237" i="13"/>
  <c r="CB236" i="13"/>
  <c r="CA236" i="13"/>
  <c r="BZ236" i="13"/>
  <c r="BY236" i="13"/>
  <c r="BU236" i="13"/>
  <c r="BM236" i="13"/>
  <c r="BE236" i="13"/>
  <c r="AW236" i="13"/>
  <c r="R236" i="13"/>
  <c r="Q236" i="13"/>
  <c r="P236" i="13"/>
  <c r="O236" i="13"/>
  <c r="M236" i="13"/>
  <c r="L236" i="13"/>
  <c r="K236" i="13"/>
  <c r="J236" i="13"/>
  <c r="I236" i="13"/>
  <c r="B236" i="13"/>
  <c r="CB235" i="13"/>
  <c r="CA235" i="13"/>
  <c r="BZ235" i="13"/>
  <c r="BY235" i="13"/>
  <c r="BW235" i="13"/>
  <c r="BX235" i="13" s="1"/>
  <c r="BT235" i="13"/>
  <c r="BS235" i="13"/>
  <c r="BR235" i="13"/>
  <c r="BQ235" i="13"/>
  <c r="BP235" i="13"/>
  <c r="BO235" i="13"/>
  <c r="BN235" i="13"/>
  <c r="BU235" i="13" s="1"/>
  <c r="BL235" i="13"/>
  <c r="BK235" i="13"/>
  <c r="BJ235" i="13"/>
  <c r="BI235" i="13"/>
  <c r="BH235" i="13"/>
  <c r="BG235" i="13"/>
  <c r="BF235" i="13"/>
  <c r="BM235" i="13" s="1"/>
  <c r="BD235" i="13"/>
  <c r="BC235" i="13"/>
  <c r="BB235" i="13"/>
  <c r="BA235" i="13"/>
  <c r="AZ235" i="13"/>
  <c r="AY235" i="13"/>
  <c r="AX235" i="13"/>
  <c r="BE235" i="13" s="1"/>
  <c r="AV235" i="13"/>
  <c r="AU235" i="13"/>
  <c r="AT235" i="13"/>
  <c r="AS235" i="13"/>
  <c r="AR235" i="13"/>
  <c r="AQ235" i="13"/>
  <c r="AP235" i="13"/>
  <c r="AW235" i="13" s="1"/>
  <c r="AB235" i="13"/>
  <c r="Z235" i="13"/>
  <c r="X235" i="13"/>
  <c r="V235" i="13"/>
  <c r="B235" i="13"/>
  <c r="CB234" i="13"/>
  <c r="CA234" i="13"/>
  <c r="BZ234" i="13"/>
  <c r="BY234" i="13"/>
  <c r="BW234" i="13"/>
  <c r="BX234" i="13" s="1"/>
  <c r="BU234" i="13"/>
  <c r="BM234" i="13"/>
  <c r="BE234" i="13"/>
  <c r="AW234" i="13"/>
  <c r="R234" i="13"/>
  <c r="Q234" i="13"/>
  <c r="P234" i="13"/>
  <c r="O234" i="13"/>
  <c r="M234" i="13"/>
  <c r="L234" i="13"/>
  <c r="K234" i="13"/>
  <c r="J234" i="13"/>
  <c r="I234" i="13"/>
  <c r="B234" i="13"/>
  <c r="CB233" i="13"/>
  <c r="CA233" i="13"/>
  <c r="BZ233" i="13"/>
  <c r="BY233" i="13"/>
  <c r="BW233" i="13"/>
  <c r="BX233" i="13" s="1"/>
  <c r="BU233" i="13"/>
  <c r="BM233" i="13"/>
  <c r="BE233" i="13"/>
  <c r="AW233" i="13"/>
  <c r="R233" i="13"/>
  <c r="Q233" i="13"/>
  <c r="P233" i="13"/>
  <c r="O233" i="13"/>
  <c r="M233" i="13"/>
  <c r="L233" i="13"/>
  <c r="K233" i="13"/>
  <c r="J233" i="13"/>
  <c r="I233" i="13"/>
  <c r="B233" i="13"/>
  <c r="CB232" i="13"/>
  <c r="CA232" i="13"/>
  <c r="BZ232" i="13"/>
  <c r="BY232" i="13"/>
  <c r="BW232" i="13"/>
  <c r="BX232" i="13" s="1"/>
  <c r="BU232" i="13"/>
  <c r="BM232" i="13"/>
  <c r="BE232" i="13"/>
  <c r="AW232" i="13"/>
  <c r="R232" i="13"/>
  <c r="Q232" i="13"/>
  <c r="P232" i="13"/>
  <c r="O232" i="13"/>
  <c r="M232" i="13"/>
  <c r="L232" i="13"/>
  <c r="K232" i="13"/>
  <c r="J232" i="13"/>
  <c r="I232" i="13"/>
  <c r="B232" i="13"/>
  <c r="CB231" i="13"/>
  <c r="CA231" i="13"/>
  <c r="BZ231" i="13"/>
  <c r="BY231" i="13"/>
  <c r="BW231" i="13"/>
  <c r="BX231" i="13" s="1"/>
  <c r="BU231" i="13"/>
  <c r="BM231" i="13"/>
  <c r="BE231" i="13"/>
  <c r="R231" i="13"/>
  <c r="Q231" i="13"/>
  <c r="P231" i="13"/>
  <c r="O231" i="13"/>
  <c r="M231" i="13"/>
  <c r="L231" i="13"/>
  <c r="K231" i="13"/>
  <c r="J231" i="13"/>
  <c r="I231" i="13"/>
  <c r="B231" i="13"/>
  <c r="CB230" i="13"/>
  <c r="CA230" i="13"/>
  <c r="BZ230" i="13"/>
  <c r="BY230" i="13"/>
  <c r="BW230" i="13"/>
  <c r="BX230" i="13" s="1"/>
  <c r="BU230" i="13"/>
  <c r="BM230" i="13"/>
  <c r="BE230" i="13"/>
  <c r="AW230" i="13"/>
  <c r="R230" i="13"/>
  <c r="Q230" i="13"/>
  <c r="P230" i="13"/>
  <c r="O230" i="13"/>
  <c r="M230" i="13"/>
  <c r="L230" i="13"/>
  <c r="K230" i="13"/>
  <c r="J230" i="13"/>
  <c r="I230" i="13"/>
  <c r="B230" i="13"/>
  <c r="CB229" i="13"/>
  <c r="CA229" i="13"/>
  <c r="BZ229" i="13"/>
  <c r="BY229" i="13"/>
  <c r="BW229" i="13"/>
  <c r="BX229" i="13" s="1"/>
  <c r="BU229" i="13"/>
  <c r="BM229" i="13"/>
  <c r="BE229" i="13"/>
  <c r="AW229" i="13"/>
  <c r="R229" i="13"/>
  <c r="Q229" i="13"/>
  <c r="P229" i="13"/>
  <c r="O229" i="13"/>
  <c r="M229" i="13"/>
  <c r="L229" i="13"/>
  <c r="K229" i="13"/>
  <c r="J229" i="13"/>
  <c r="I229" i="13"/>
  <c r="B229" i="13"/>
  <c r="CB228" i="13"/>
  <c r="CA228" i="13"/>
  <c r="BZ228" i="13"/>
  <c r="BY228" i="13"/>
  <c r="BW228" i="13"/>
  <c r="BX228" i="13" s="1"/>
  <c r="BU228" i="13"/>
  <c r="BM228" i="13"/>
  <c r="BE228" i="13"/>
  <c r="R228" i="13"/>
  <c r="Q228" i="13"/>
  <c r="P228" i="13"/>
  <c r="O228" i="13"/>
  <c r="M228" i="13"/>
  <c r="L228" i="13"/>
  <c r="K228" i="13"/>
  <c r="J228" i="13"/>
  <c r="I228" i="13"/>
  <c r="B228" i="13"/>
  <c r="CB227" i="13"/>
  <c r="CA227" i="13"/>
  <c r="BZ227" i="13"/>
  <c r="BY227" i="13"/>
  <c r="BW227" i="13"/>
  <c r="BX227" i="13" s="1"/>
  <c r="BT227" i="13"/>
  <c r="BS227" i="13"/>
  <c r="BR227" i="13"/>
  <c r="BQ227" i="13"/>
  <c r="BP227" i="13"/>
  <c r="BO227" i="13"/>
  <c r="BN227" i="13"/>
  <c r="BU227" i="13" s="1"/>
  <c r="BL227" i="13"/>
  <c r="BK227" i="13"/>
  <c r="BJ227" i="13"/>
  <c r="BI227" i="13"/>
  <c r="BH227" i="13"/>
  <c r="BG227" i="13"/>
  <c r="BF227" i="13"/>
  <c r="BM227" i="13" s="1"/>
  <c r="BD227" i="13"/>
  <c r="BC227" i="13"/>
  <c r="BB227" i="13"/>
  <c r="BA227" i="13"/>
  <c r="AZ227" i="13"/>
  <c r="AY227" i="13"/>
  <c r="AX227" i="13"/>
  <c r="BE227" i="13" s="1"/>
  <c r="AV227" i="13"/>
  <c r="AU227" i="13"/>
  <c r="AT227" i="13"/>
  <c r="AS227" i="13"/>
  <c r="AR227" i="13"/>
  <c r="AQ227" i="13"/>
  <c r="AP227" i="13"/>
  <c r="AW227" i="13" s="1"/>
  <c r="AB227" i="13"/>
  <c r="Z227" i="13"/>
  <c r="X227" i="13"/>
  <c r="V227" i="13"/>
  <c r="B227" i="13"/>
  <c r="CB226" i="13"/>
  <c r="CA226" i="13"/>
  <c r="BZ226" i="13"/>
  <c r="BY226" i="13"/>
  <c r="BW226" i="13"/>
  <c r="BX226" i="13" s="1"/>
  <c r="BU226" i="13"/>
  <c r="BM226" i="13"/>
  <c r="BE226" i="13"/>
  <c r="AW226" i="13"/>
  <c r="R226" i="13"/>
  <c r="Q226" i="13"/>
  <c r="P226" i="13"/>
  <c r="O226" i="13"/>
  <c r="M226" i="13"/>
  <c r="L226" i="13"/>
  <c r="K226" i="13"/>
  <c r="J226" i="13"/>
  <c r="I226" i="13"/>
  <c r="B226" i="13"/>
  <c r="CB225" i="13"/>
  <c r="CA225" i="13"/>
  <c r="BZ225" i="13"/>
  <c r="BY225" i="13"/>
  <c r="BW225" i="13"/>
  <c r="BX225" i="13" s="1"/>
  <c r="BU225" i="13"/>
  <c r="BM225" i="13"/>
  <c r="BE225" i="13"/>
  <c r="AW225" i="13"/>
  <c r="R225" i="13"/>
  <c r="Q225" i="13"/>
  <c r="P225" i="13"/>
  <c r="O225" i="13"/>
  <c r="M225" i="13"/>
  <c r="L225" i="13"/>
  <c r="K225" i="13"/>
  <c r="J225" i="13"/>
  <c r="I225" i="13"/>
  <c r="B225" i="13"/>
  <c r="CB224" i="13"/>
  <c r="CA224" i="13"/>
  <c r="BZ224" i="13"/>
  <c r="BY224" i="13"/>
  <c r="BW224" i="13"/>
  <c r="BX224" i="13" s="1"/>
  <c r="BU224" i="13"/>
  <c r="BM224" i="13"/>
  <c r="BE224" i="13"/>
  <c r="AW224" i="13"/>
  <c r="R224" i="13"/>
  <c r="Q224" i="13"/>
  <c r="P224" i="13"/>
  <c r="O224" i="13"/>
  <c r="M224" i="13"/>
  <c r="L224" i="13"/>
  <c r="K224" i="13"/>
  <c r="J224" i="13"/>
  <c r="I224" i="13"/>
  <c r="B224" i="13"/>
  <c r="CB223" i="13"/>
  <c r="CA223" i="13"/>
  <c r="BZ223" i="13"/>
  <c r="BY223" i="13"/>
  <c r="BW223" i="13"/>
  <c r="BX223" i="13" s="1"/>
  <c r="BU223" i="13"/>
  <c r="BM223" i="13"/>
  <c r="BE223" i="13"/>
  <c r="AW223" i="13"/>
  <c r="R223" i="13"/>
  <c r="Q223" i="13"/>
  <c r="P223" i="13"/>
  <c r="O223" i="13"/>
  <c r="M223" i="13"/>
  <c r="L223" i="13"/>
  <c r="K223" i="13"/>
  <c r="J223" i="13"/>
  <c r="I223" i="13"/>
  <c r="B223" i="13"/>
  <c r="CB222" i="13"/>
  <c r="CA222" i="13"/>
  <c r="BZ222" i="13"/>
  <c r="BY222" i="13"/>
  <c r="BW222" i="13"/>
  <c r="BX222" i="13" s="1"/>
  <c r="BU222" i="13"/>
  <c r="BM222" i="13"/>
  <c r="BE222" i="13"/>
  <c r="AW222" i="13"/>
  <c r="R222" i="13"/>
  <c r="Q222" i="13"/>
  <c r="P222" i="13"/>
  <c r="O222" i="13"/>
  <c r="M222" i="13"/>
  <c r="L222" i="13"/>
  <c r="K222" i="13"/>
  <c r="J222" i="13"/>
  <c r="I222" i="13"/>
  <c r="B222" i="13"/>
  <c r="CB221" i="13"/>
  <c r="CA221" i="13"/>
  <c r="BZ221" i="13"/>
  <c r="BY221" i="13"/>
  <c r="BW221" i="13"/>
  <c r="BX221" i="13" s="1"/>
  <c r="BT221" i="13"/>
  <c r="BS221" i="13"/>
  <c r="BR221" i="13"/>
  <c r="BQ221" i="13"/>
  <c r="BP221" i="13"/>
  <c r="BO221" i="13"/>
  <c r="BN221" i="13"/>
  <c r="BU221" i="13" s="1"/>
  <c r="BL221" i="13"/>
  <c r="BK221" i="13"/>
  <c r="BJ221" i="13"/>
  <c r="BI221" i="13"/>
  <c r="BH221" i="13"/>
  <c r="BG221" i="13"/>
  <c r="BF221" i="13"/>
  <c r="BM221" i="13" s="1"/>
  <c r="BD221" i="13"/>
  <c r="BC221" i="13"/>
  <c r="BB221" i="13"/>
  <c r="BA221" i="13"/>
  <c r="AZ221" i="13"/>
  <c r="AY221" i="13"/>
  <c r="AX221" i="13"/>
  <c r="BE221" i="13" s="1"/>
  <c r="AV221" i="13"/>
  <c r="AU221" i="13"/>
  <c r="AT221" i="13"/>
  <c r="AS221" i="13"/>
  <c r="AR221" i="13"/>
  <c r="AQ221" i="13"/>
  <c r="AP221" i="13"/>
  <c r="AW221" i="13" s="1"/>
  <c r="AB221" i="13"/>
  <c r="Z221" i="13"/>
  <c r="X221" i="13"/>
  <c r="V221" i="13"/>
  <c r="B221" i="13"/>
  <c r="CB220" i="13"/>
  <c r="CA220" i="13"/>
  <c r="BZ220" i="13"/>
  <c r="BY220" i="13"/>
  <c r="BW220" i="13"/>
  <c r="BX220" i="13" s="1"/>
  <c r="BU220" i="13"/>
  <c r="BM220" i="13"/>
  <c r="BE220" i="13"/>
  <c r="AW220" i="13"/>
  <c r="R220" i="13"/>
  <c r="Q220" i="13"/>
  <c r="P220" i="13"/>
  <c r="O220" i="13"/>
  <c r="M220" i="13"/>
  <c r="L220" i="13"/>
  <c r="K220" i="13"/>
  <c r="J220" i="13"/>
  <c r="I220" i="13"/>
  <c r="B220" i="13"/>
  <c r="CB219" i="13"/>
  <c r="CA219" i="13"/>
  <c r="BZ219" i="13"/>
  <c r="BY219" i="13"/>
  <c r="BW219" i="13"/>
  <c r="BX219" i="13" s="1"/>
  <c r="BU219" i="13"/>
  <c r="BM219" i="13"/>
  <c r="BE219" i="13"/>
  <c r="AW219" i="13"/>
  <c r="R219" i="13"/>
  <c r="Q219" i="13"/>
  <c r="P219" i="13"/>
  <c r="O219" i="13"/>
  <c r="M219" i="13"/>
  <c r="L219" i="13"/>
  <c r="K219" i="13"/>
  <c r="J219" i="13"/>
  <c r="I219" i="13"/>
  <c r="B219" i="13"/>
  <c r="CB218" i="13"/>
  <c r="CA218" i="13"/>
  <c r="BZ218" i="13"/>
  <c r="BY218" i="13"/>
  <c r="BW218" i="13"/>
  <c r="BX218" i="13" s="1"/>
  <c r="BU218" i="13"/>
  <c r="BM218" i="13"/>
  <c r="BE218" i="13"/>
  <c r="AW218" i="13"/>
  <c r="R218" i="13"/>
  <c r="Q218" i="13"/>
  <c r="P218" i="13"/>
  <c r="O218" i="13"/>
  <c r="M218" i="13"/>
  <c r="L218" i="13"/>
  <c r="K218" i="13"/>
  <c r="J218" i="13"/>
  <c r="I218" i="13"/>
  <c r="B218" i="13"/>
  <c r="CB217" i="13"/>
  <c r="CA217" i="13"/>
  <c r="BZ217" i="13"/>
  <c r="BY217" i="13"/>
  <c r="BW217" i="13"/>
  <c r="BX217" i="13" s="1"/>
  <c r="BU217" i="13"/>
  <c r="BM217" i="13"/>
  <c r="BE217" i="13"/>
  <c r="AW217" i="13"/>
  <c r="R217" i="13"/>
  <c r="Q217" i="13"/>
  <c r="P217" i="13"/>
  <c r="O217" i="13"/>
  <c r="M217" i="13"/>
  <c r="L217" i="13"/>
  <c r="K217" i="13"/>
  <c r="J217" i="13"/>
  <c r="I217" i="13"/>
  <c r="B217" i="13"/>
  <c r="CB216" i="13"/>
  <c r="CA216" i="13"/>
  <c r="BZ216" i="13"/>
  <c r="BY216" i="13"/>
  <c r="BW216" i="13"/>
  <c r="BX216" i="13" s="1"/>
  <c r="BU216" i="13"/>
  <c r="BM216" i="13"/>
  <c r="BE216" i="13"/>
  <c r="AW216" i="13"/>
  <c r="R216" i="13"/>
  <c r="Q216" i="13"/>
  <c r="P216" i="13"/>
  <c r="O216" i="13"/>
  <c r="M216" i="13"/>
  <c r="L216" i="13"/>
  <c r="K216" i="13"/>
  <c r="J216" i="13"/>
  <c r="I216" i="13"/>
  <c r="B216" i="13"/>
  <c r="CB215" i="13"/>
  <c r="CA215" i="13"/>
  <c r="BZ215" i="13"/>
  <c r="BY215" i="13"/>
  <c r="BW215" i="13"/>
  <c r="BX215" i="13" s="1"/>
  <c r="BU215" i="13"/>
  <c r="BM215" i="13"/>
  <c r="BE215" i="13"/>
  <c r="AW215" i="13"/>
  <c r="R215" i="13"/>
  <c r="Q215" i="13"/>
  <c r="P215" i="13"/>
  <c r="O215" i="13"/>
  <c r="M215" i="13"/>
  <c r="L215" i="13"/>
  <c r="K215" i="13"/>
  <c r="J215" i="13"/>
  <c r="I215" i="13"/>
  <c r="B215" i="13"/>
  <c r="CB214" i="13"/>
  <c r="CA214" i="13"/>
  <c r="BZ214" i="13"/>
  <c r="BY214" i="13"/>
  <c r="BW214" i="13"/>
  <c r="BX214" i="13" s="1"/>
  <c r="BU214" i="13"/>
  <c r="BM214" i="13"/>
  <c r="BE214" i="13"/>
  <c r="AW214" i="13"/>
  <c r="R214" i="13"/>
  <c r="Q214" i="13"/>
  <c r="P214" i="13"/>
  <c r="O214" i="13"/>
  <c r="M214" i="13"/>
  <c r="L214" i="13"/>
  <c r="K214" i="13"/>
  <c r="J214" i="13"/>
  <c r="I214" i="13"/>
  <c r="B214" i="13"/>
  <c r="CB213" i="13"/>
  <c r="CA213" i="13"/>
  <c r="BZ213" i="13"/>
  <c r="BY213" i="13"/>
  <c r="BW213" i="13"/>
  <c r="BX213" i="13" s="1"/>
  <c r="BU213" i="13"/>
  <c r="BM213" i="13"/>
  <c r="BE213" i="13"/>
  <c r="AW213" i="13"/>
  <c r="R213" i="13"/>
  <c r="Q213" i="13"/>
  <c r="P213" i="13"/>
  <c r="O213" i="13"/>
  <c r="M213" i="13"/>
  <c r="L213" i="13"/>
  <c r="K213" i="13"/>
  <c r="J213" i="13"/>
  <c r="I213" i="13"/>
  <c r="B213" i="13"/>
  <c r="CB212" i="13"/>
  <c r="CA212" i="13"/>
  <c r="BZ212" i="13"/>
  <c r="BY212" i="13"/>
  <c r="BW212" i="13"/>
  <c r="BX212" i="13" s="1"/>
  <c r="BT212" i="13"/>
  <c r="BS212" i="13"/>
  <c r="BR212" i="13"/>
  <c r="BQ212" i="13"/>
  <c r="BP212" i="13"/>
  <c r="BO212" i="13"/>
  <c r="BN212" i="13"/>
  <c r="BU212" i="13" s="1"/>
  <c r="BL212" i="13"/>
  <c r="BK212" i="13"/>
  <c r="BJ212" i="13"/>
  <c r="BI212" i="13"/>
  <c r="BH212" i="13"/>
  <c r="BG212" i="13"/>
  <c r="BF212" i="13"/>
  <c r="BM212" i="13" s="1"/>
  <c r="BD212" i="13"/>
  <c r="BC212" i="13"/>
  <c r="BB212" i="13"/>
  <c r="BA212" i="13"/>
  <c r="AZ212" i="13"/>
  <c r="AY212" i="13"/>
  <c r="AX212" i="13"/>
  <c r="BE212" i="13" s="1"/>
  <c r="AV212" i="13"/>
  <c r="AU212" i="13"/>
  <c r="AT212" i="13"/>
  <c r="AS212" i="13"/>
  <c r="AR212" i="13"/>
  <c r="AQ212" i="13"/>
  <c r="AP212" i="13"/>
  <c r="AW212" i="13" s="1"/>
  <c r="AB212" i="13"/>
  <c r="Z212" i="13"/>
  <c r="X212" i="13"/>
  <c r="V212" i="13"/>
  <c r="B212" i="13"/>
  <c r="CB211" i="13"/>
  <c r="CA211" i="13"/>
  <c r="BZ211" i="13"/>
  <c r="BY211" i="13"/>
  <c r="BW211" i="13"/>
  <c r="BX211" i="13" s="1"/>
  <c r="BU211" i="13"/>
  <c r="BM211" i="13"/>
  <c r="BE211" i="13"/>
  <c r="R211" i="13"/>
  <c r="Q211" i="13"/>
  <c r="P211" i="13"/>
  <c r="O211" i="13"/>
  <c r="M211" i="13"/>
  <c r="L211" i="13"/>
  <c r="K211" i="13"/>
  <c r="J211" i="13"/>
  <c r="I211" i="13"/>
  <c r="B211" i="13"/>
  <c r="CB210" i="13"/>
  <c r="CA210" i="13"/>
  <c r="BZ210" i="13"/>
  <c r="BY210" i="13"/>
  <c r="BW210" i="13"/>
  <c r="BX210" i="13" s="1"/>
  <c r="BU210" i="13"/>
  <c r="BM210" i="13"/>
  <c r="BE210" i="13"/>
  <c r="R210" i="13"/>
  <c r="Q210" i="13"/>
  <c r="P210" i="13"/>
  <c r="O210" i="13"/>
  <c r="M210" i="13"/>
  <c r="L210" i="13"/>
  <c r="K210" i="13"/>
  <c r="J210" i="13"/>
  <c r="I210" i="13"/>
  <c r="B210" i="13"/>
  <c r="CB209" i="13"/>
  <c r="CA209" i="13"/>
  <c r="BZ209" i="13"/>
  <c r="BY209" i="13"/>
  <c r="BW209" i="13"/>
  <c r="BX209" i="13" s="1"/>
  <c r="BU209" i="13"/>
  <c r="BM209" i="13"/>
  <c r="BE209" i="13"/>
  <c r="R209" i="13"/>
  <c r="Q209" i="13"/>
  <c r="P209" i="13"/>
  <c r="O209" i="13"/>
  <c r="M209" i="13"/>
  <c r="L209" i="13"/>
  <c r="K209" i="13"/>
  <c r="J209" i="13"/>
  <c r="I209" i="13"/>
  <c r="B209" i="13"/>
  <c r="CB208" i="13"/>
  <c r="CA208" i="13"/>
  <c r="BZ208" i="13"/>
  <c r="BY208" i="13"/>
  <c r="BW208" i="13"/>
  <c r="BX208" i="13" s="1"/>
  <c r="BU208" i="13"/>
  <c r="BM208" i="13"/>
  <c r="BE208" i="13"/>
  <c r="R208" i="13"/>
  <c r="Q208" i="13"/>
  <c r="P208" i="13"/>
  <c r="O208" i="13"/>
  <c r="M208" i="13"/>
  <c r="L208" i="13"/>
  <c r="K208" i="13"/>
  <c r="J208" i="13"/>
  <c r="I208" i="13"/>
  <c r="B208" i="13"/>
  <c r="CB207" i="13"/>
  <c r="CA207" i="13"/>
  <c r="BZ207" i="13"/>
  <c r="BY207" i="13"/>
  <c r="BW207" i="13"/>
  <c r="BX207" i="13" s="1"/>
  <c r="BU207" i="13"/>
  <c r="BM207" i="13"/>
  <c r="BE207" i="13"/>
  <c r="R207" i="13"/>
  <c r="Q207" i="13"/>
  <c r="P207" i="13"/>
  <c r="O207" i="13"/>
  <c r="M207" i="13"/>
  <c r="L207" i="13"/>
  <c r="K207" i="13"/>
  <c r="J207" i="13"/>
  <c r="I207" i="13"/>
  <c r="B207" i="13"/>
  <c r="CB206" i="13"/>
  <c r="CA206" i="13"/>
  <c r="BY206" i="13"/>
  <c r="BW206" i="13"/>
  <c r="BX206" i="13" s="1"/>
  <c r="BU206" i="13"/>
  <c r="BM206" i="13"/>
  <c r="BE206" i="13"/>
  <c r="R206" i="13"/>
  <c r="Q206" i="13"/>
  <c r="P206" i="13"/>
  <c r="O206" i="13"/>
  <c r="M206" i="13"/>
  <c r="L206" i="13"/>
  <c r="K206" i="13"/>
  <c r="J206" i="13"/>
  <c r="I206" i="13"/>
  <c r="B206" i="13"/>
  <c r="CB205" i="13"/>
  <c r="CA205" i="13"/>
  <c r="BZ205" i="13"/>
  <c r="BY205" i="13"/>
  <c r="BW205" i="13"/>
  <c r="BX205" i="13" s="1"/>
  <c r="BU205" i="13"/>
  <c r="BM205" i="13"/>
  <c r="BE205" i="13"/>
  <c r="R205" i="13"/>
  <c r="Q205" i="13"/>
  <c r="P205" i="13"/>
  <c r="O205" i="13"/>
  <c r="M205" i="13"/>
  <c r="L205" i="13"/>
  <c r="K205" i="13"/>
  <c r="J205" i="13"/>
  <c r="I205" i="13"/>
  <c r="B205" i="13"/>
  <c r="CB204" i="13"/>
  <c r="CA204" i="13"/>
  <c r="BY204" i="13"/>
  <c r="BW204" i="13"/>
  <c r="BX204" i="13" s="1"/>
  <c r="BU204" i="13"/>
  <c r="BM204" i="13"/>
  <c r="BE204" i="13"/>
  <c r="R204" i="13"/>
  <c r="Q204" i="13"/>
  <c r="P204" i="13"/>
  <c r="O204" i="13"/>
  <c r="M204" i="13"/>
  <c r="L204" i="13"/>
  <c r="K204" i="13"/>
  <c r="J204" i="13"/>
  <c r="I204" i="13"/>
  <c r="B204" i="13"/>
  <c r="CB203" i="13"/>
  <c r="CA203" i="13"/>
  <c r="BZ203" i="13"/>
  <c r="BY203" i="13"/>
  <c r="BW203" i="13"/>
  <c r="BX203" i="13" s="1"/>
  <c r="BU203" i="13"/>
  <c r="BM203" i="13"/>
  <c r="BE203" i="13"/>
  <c r="R203" i="13"/>
  <c r="Q203" i="13"/>
  <c r="O203" i="13"/>
  <c r="M203" i="13"/>
  <c r="L203" i="13"/>
  <c r="K203" i="13"/>
  <c r="J203" i="13"/>
  <c r="I203" i="13"/>
  <c r="B203" i="13"/>
  <c r="CB202" i="13"/>
  <c r="CA202" i="13"/>
  <c r="BZ202" i="13"/>
  <c r="BY202" i="13"/>
  <c r="BW202" i="13"/>
  <c r="BX202" i="13" s="1"/>
  <c r="BU202" i="13"/>
  <c r="BM202" i="13"/>
  <c r="BE202" i="13"/>
  <c r="R202" i="13"/>
  <c r="Q202" i="13"/>
  <c r="P202" i="13"/>
  <c r="O202" i="13"/>
  <c r="M202" i="13"/>
  <c r="L202" i="13"/>
  <c r="K202" i="13"/>
  <c r="J202" i="13"/>
  <c r="I202" i="13"/>
  <c r="B202" i="13"/>
  <c r="CB201" i="13"/>
  <c r="CA201" i="13"/>
  <c r="BZ201" i="13"/>
  <c r="BY201" i="13"/>
  <c r="BW201" i="13"/>
  <c r="BX201" i="13" s="1"/>
  <c r="BT201" i="13"/>
  <c r="BS201" i="13"/>
  <c r="BR201" i="13"/>
  <c r="BQ201" i="13"/>
  <c r="BP201" i="13"/>
  <c r="BO201" i="13"/>
  <c r="BN201" i="13"/>
  <c r="BU201" i="13" s="1"/>
  <c r="BL201" i="13"/>
  <c r="BK201" i="13"/>
  <c r="BJ201" i="13"/>
  <c r="BI201" i="13"/>
  <c r="BH201" i="13"/>
  <c r="BG201" i="13"/>
  <c r="BF201" i="13"/>
  <c r="BM201" i="13" s="1"/>
  <c r="BD201" i="13"/>
  <c r="BC201" i="13"/>
  <c r="BB201" i="13"/>
  <c r="BA201" i="13"/>
  <c r="AZ201" i="13"/>
  <c r="AY201" i="13"/>
  <c r="AX201" i="13"/>
  <c r="BE201" i="13" s="1"/>
  <c r="AV201" i="13"/>
  <c r="AU201" i="13"/>
  <c r="AT201" i="13"/>
  <c r="AS201" i="13"/>
  <c r="AR201" i="13"/>
  <c r="AQ201" i="13"/>
  <c r="AP201" i="13"/>
  <c r="AB201" i="13"/>
  <c r="Z201" i="13"/>
  <c r="X201" i="13"/>
  <c r="V201" i="13"/>
  <c r="B201" i="13"/>
  <c r="CB200" i="13"/>
  <c r="CA200" i="13"/>
  <c r="BZ200" i="13"/>
  <c r="BY200" i="13"/>
  <c r="BW200" i="13"/>
  <c r="BX200" i="13" s="1"/>
  <c r="BU200" i="13"/>
  <c r="BM200" i="13"/>
  <c r="BE200" i="13"/>
  <c r="R200" i="13"/>
  <c r="Q200" i="13"/>
  <c r="P200" i="13"/>
  <c r="O200" i="13"/>
  <c r="M200" i="13"/>
  <c r="L200" i="13"/>
  <c r="K200" i="13"/>
  <c r="J200" i="13"/>
  <c r="I200" i="13"/>
  <c r="B200" i="13"/>
  <c r="CB199" i="13"/>
  <c r="CA199" i="13"/>
  <c r="BZ199" i="13"/>
  <c r="BY199" i="13"/>
  <c r="BW199" i="13"/>
  <c r="BX199" i="13" s="1"/>
  <c r="BU199" i="13"/>
  <c r="BM199" i="13"/>
  <c r="BE199" i="13"/>
  <c r="R199" i="13"/>
  <c r="Q199" i="13"/>
  <c r="P199" i="13"/>
  <c r="O199" i="13"/>
  <c r="M199" i="13"/>
  <c r="L199" i="13"/>
  <c r="K199" i="13"/>
  <c r="J199" i="13"/>
  <c r="I199" i="13"/>
  <c r="B199" i="13"/>
  <c r="CB198" i="13"/>
  <c r="CA198" i="13"/>
  <c r="BZ198" i="13"/>
  <c r="BY198" i="13"/>
  <c r="BW198" i="13"/>
  <c r="BX198" i="13" s="1"/>
  <c r="BU198" i="13"/>
  <c r="BM198" i="13"/>
  <c r="BE198" i="13"/>
  <c r="R198" i="13"/>
  <c r="Q198" i="13"/>
  <c r="P198" i="13"/>
  <c r="O198" i="13"/>
  <c r="M198" i="13"/>
  <c r="L198" i="13"/>
  <c r="K198" i="13"/>
  <c r="J198" i="13"/>
  <c r="I198" i="13"/>
  <c r="B198" i="13"/>
  <c r="CB197" i="13"/>
  <c r="CA197" i="13"/>
  <c r="BZ197" i="13"/>
  <c r="BY197" i="13"/>
  <c r="BW197" i="13"/>
  <c r="BX197" i="13" s="1"/>
  <c r="BU197" i="13"/>
  <c r="BM197" i="13"/>
  <c r="BE197" i="13"/>
  <c r="R197" i="13"/>
  <c r="Q197" i="13"/>
  <c r="P197" i="13"/>
  <c r="O197" i="13"/>
  <c r="M197" i="13"/>
  <c r="L197" i="13"/>
  <c r="K197" i="13"/>
  <c r="J197" i="13"/>
  <c r="I197" i="13"/>
  <c r="B197" i="13"/>
  <c r="CB196" i="13"/>
  <c r="CA196" i="13"/>
  <c r="BZ196" i="13"/>
  <c r="BY196" i="13"/>
  <c r="BW196" i="13"/>
  <c r="BX196" i="13" s="1"/>
  <c r="BU196" i="13"/>
  <c r="BM196" i="13"/>
  <c r="BE196" i="13"/>
  <c r="R196" i="13"/>
  <c r="Q196" i="13"/>
  <c r="P196" i="13"/>
  <c r="O196" i="13"/>
  <c r="M196" i="13"/>
  <c r="L196" i="13"/>
  <c r="K196" i="13"/>
  <c r="J196" i="13"/>
  <c r="I196" i="13"/>
  <c r="B196" i="13"/>
  <c r="CB195" i="13"/>
  <c r="CA195" i="13"/>
  <c r="BZ195" i="13"/>
  <c r="BY195" i="13"/>
  <c r="BW195" i="13"/>
  <c r="BX195" i="13" s="1"/>
  <c r="BU195" i="13"/>
  <c r="BM195" i="13"/>
  <c r="BE195" i="13"/>
  <c r="R195" i="13"/>
  <c r="Q195" i="13"/>
  <c r="P195" i="13"/>
  <c r="O195" i="13"/>
  <c r="M195" i="13"/>
  <c r="L195" i="13"/>
  <c r="K195" i="13"/>
  <c r="J195" i="13"/>
  <c r="I195" i="13"/>
  <c r="B195" i="13"/>
  <c r="CB194" i="13"/>
  <c r="CA194" i="13"/>
  <c r="BZ194" i="13"/>
  <c r="BY194" i="13"/>
  <c r="BW194" i="13"/>
  <c r="BX194" i="13" s="1"/>
  <c r="BU194" i="13"/>
  <c r="BM194" i="13"/>
  <c r="BE194" i="13"/>
  <c r="R194" i="13"/>
  <c r="Q194" i="13"/>
  <c r="P194" i="13"/>
  <c r="O194" i="13"/>
  <c r="M194" i="13"/>
  <c r="L194" i="13"/>
  <c r="K194" i="13"/>
  <c r="J194" i="13"/>
  <c r="I194" i="13"/>
  <c r="B194" i="13"/>
  <c r="CB193" i="13"/>
  <c r="CA193" i="13"/>
  <c r="BZ193" i="13"/>
  <c r="BY193" i="13"/>
  <c r="BW193" i="13"/>
  <c r="BX193" i="13" s="1"/>
  <c r="BT193" i="13"/>
  <c r="BS193" i="13"/>
  <c r="BR193" i="13"/>
  <c r="BQ193" i="13"/>
  <c r="BP193" i="13"/>
  <c r="BO193" i="13"/>
  <c r="BN193" i="13"/>
  <c r="BU193" i="13" s="1"/>
  <c r="BL193" i="13"/>
  <c r="BK193" i="13"/>
  <c r="BJ193" i="13"/>
  <c r="BI193" i="13"/>
  <c r="BH193" i="13"/>
  <c r="BG193" i="13"/>
  <c r="BF193" i="13"/>
  <c r="BM193" i="13" s="1"/>
  <c r="BD193" i="13"/>
  <c r="BC193" i="13"/>
  <c r="BB193" i="13"/>
  <c r="BA193" i="13"/>
  <c r="AZ193" i="13"/>
  <c r="AY193" i="13"/>
  <c r="AX193" i="13"/>
  <c r="BE193" i="13" s="1"/>
  <c r="AV193" i="13"/>
  <c r="AU193" i="13"/>
  <c r="AT193" i="13"/>
  <c r="AS193" i="13"/>
  <c r="AR193" i="13"/>
  <c r="AQ193" i="13"/>
  <c r="AP193" i="13"/>
  <c r="AW193" i="13" s="1"/>
  <c r="AB193" i="13"/>
  <c r="Z193" i="13"/>
  <c r="X193" i="13"/>
  <c r="V193" i="13"/>
  <c r="B193" i="13"/>
  <c r="CB192" i="13"/>
  <c r="CA192" i="13"/>
  <c r="BZ192" i="13"/>
  <c r="BY192" i="13"/>
  <c r="BW192" i="13"/>
  <c r="BX192" i="13" s="1"/>
  <c r="BU192" i="13"/>
  <c r="BM192" i="13"/>
  <c r="BE192" i="13"/>
  <c r="AW192" i="13"/>
  <c r="R192" i="13"/>
  <c r="Q192" i="13"/>
  <c r="P192" i="13"/>
  <c r="O192" i="13"/>
  <c r="M192" i="13"/>
  <c r="L192" i="13"/>
  <c r="K192" i="13"/>
  <c r="J192" i="13"/>
  <c r="I192" i="13"/>
  <c r="B192" i="13"/>
  <c r="CB191" i="13"/>
  <c r="CA191" i="13"/>
  <c r="BZ191" i="13"/>
  <c r="BU191" i="13"/>
  <c r="BM191" i="13"/>
  <c r="BE191" i="13"/>
  <c r="AW191" i="13"/>
  <c r="R191" i="13"/>
  <c r="Q191" i="13"/>
  <c r="P191" i="13"/>
  <c r="O191" i="13"/>
  <c r="M191" i="13"/>
  <c r="L191" i="13"/>
  <c r="K191" i="13"/>
  <c r="J191" i="13"/>
  <c r="I191" i="13"/>
  <c r="B191" i="13"/>
  <c r="CB190" i="13"/>
  <c r="CA190" i="13"/>
  <c r="BZ190" i="13"/>
  <c r="BY190" i="13"/>
  <c r="BW190" i="13"/>
  <c r="BX190" i="13" s="1"/>
  <c r="BU190" i="13"/>
  <c r="BM190" i="13"/>
  <c r="BE190" i="13"/>
  <c r="AW190" i="13"/>
  <c r="R190" i="13"/>
  <c r="Q190" i="13"/>
  <c r="P190" i="13"/>
  <c r="O190" i="13"/>
  <c r="M190" i="13"/>
  <c r="L190" i="13"/>
  <c r="K190" i="13"/>
  <c r="J190" i="13"/>
  <c r="I190" i="13"/>
  <c r="B190" i="13"/>
  <c r="CB189" i="13"/>
  <c r="CA189" i="13"/>
  <c r="BZ189" i="13"/>
  <c r="BY189" i="13"/>
  <c r="BW189" i="13"/>
  <c r="BX189" i="13" s="1"/>
  <c r="BU189" i="13"/>
  <c r="BM189" i="13"/>
  <c r="BE189" i="13"/>
  <c r="AW189" i="13"/>
  <c r="R189" i="13"/>
  <c r="Q189" i="13"/>
  <c r="P189" i="13"/>
  <c r="O189" i="13"/>
  <c r="M189" i="13"/>
  <c r="L189" i="13"/>
  <c r="K189" i="13"/>
  <c r="J189" i="13"/>
  <c r="I189" i="13"/>
  <c r="B189" i="13"/>
  <c r="CB188" i="13"/>
  <c r="CA188" i="13"/>
  <c r="BZ188" i="13"/>
  <c r="BY188" i="13"/>
  <c r="BW188" i="13"/>
  <c r="BX188" i="13" s="1"/>
  <c r="BU188" i="13"/>
  <c r="BM188" i="13"/>
  <c r="BE188" i="13"/>
  <c r="AW188" i="13"/>
  <c r="R188" i="13"/>
  <c r="Q188" i="13"/>
  <c r="P188" i="13"/>
  <c r="O188" i="13"/>
  <c r="M188" i="13"/>
  <c r="L188" i="13"/>
  <c r="K188" i="13"/>
  <c r="J188" i="13"/>
  <c r="I188" i="13"/>
  <c r="B188" i="13"/>
  <c r="CB187" i="13"/>
  <c r="CA187" i="13"/>
  <c r="BZ187" i="13"/>
  <c r="BY187" i="13"/>
  <c r="BW187" i="13"/>
  <c r="BX187" i="13" s="1"/>
  <c r="BU187" i="13"/>
  <c r="BM187" i="13"/>
  <c r="BE187" i="13"/>
  <c r="AW187" i="13"/>
  <c r="R187" i="13"/>
  <c r="Q187" i="13"/>
  <c r="P187" i="13"/>
  <c r="O187" i="13"/>
  <c r="M187" i="13"/>
  <c r="L187" i="13"/>
  <c r="K187" i="13"/>
  <c r="J187" i="13"/>
  <c r="I187" i="13"/>
  <c r="B187" i="13"/>
  <c r="CB186" i="13"/>
  <c r="CA186" i="13"/>
  <c r="BZ186" i="13"/>
  <c r="BY186" i="13"/>
  <c r="BW186" i="13"/>
  <c r="BX186" i="13" s="1"/>
  <c r="BU186" i="13"/>
  <c r="BM186" i="13"/>
  <c r="BE186" i="13"/>
  <c r="AW186" i="13"/>
  <c r="R186" i="13"/>
  <c r="Q186" i="13"/>
  <c r="P186" i="13"/>
  <c r="O186" i="13"/>
  <c r="M186" i="13"/>
  <c r="L186" i="13"/>
  <c r="K186" i="13"/>
  <c r="J186" i="13"/>
  <c r="I186" i="13"/>
  <c r="B186" i="13"/>
  <c r="CB185" i="13"/>
  <c r="CA185" i="13"/>
  <c r="BZ185" i="13"/>
  <c r="BY185" i="13"/>
  <c r="BW185" i="13"/>
  <c r="BX185" i="13" s="1"/>
  <c r="BU185" i="13"/>
  <c r="BM185" i="13"/>
  <c r="BE185" i="13"/>
  <c r="AW185" i="13"/>
  <c r="R185" i="13"/>
  <c r="Q185" i="13"/>
  <c r="P185" i="13"/>
  <c r="O185" i="13"/>
  <c r="M185" i="13"/>
  <c r="L185" i="13"/>
  <c r="K185" i="13"/>
  <c r="J185" i="13"/>
  <c r="I185" i="13"/>
  <c r="B185" i="13"/>
  <c r="CB184" i="13"/>
  <c r="CA184" i="13"/>
  <c r="BZ184" i="13"/>
  <c r="BY184" i="13"/>
  <c r="BW184" i="13"/>
  <c r="BX184" i="13" s="1"/>
  <c r="BU184" i="13"/>
  <c r="BM184" i="13"/>
  <c r="BE184" i="13"/>
  <c r="AW184" i="13"/>
  <c r="R184" i="13"/>
  <c r="Q184" i="13"/>
  <c r="P184" i="13"/>
  <c r="O184" i="13"/>
  <c r="M184" i="13"/>
  <c r="L184" i="13"/>
  <c r="K184" i="13"/>
  <c r="J184" i="13"/>
  <c r="I184" i="13"/>
  <c r="B184" i="13"/>
  <c r="CB183" i="13"/>
  <c r="CA183" i="13"/>
  <c r="BZ183" i="13"/>
  <c r="BY183" i="13"/>
  <c r="BW183" i="13"/>
  <c r="BX183" i="13" s="1"/>
  <c r="BU183" i="13"/>
  <c r="BM183" i="13"/>
  <c r="BE183" i="13"/>
  <c r="AW183" i="13"/>
  <c r="R183" i="13"/>
  <c r="Q183" i="13"/>
  <c r="P183" i="13"/>
  <c r="O183" i="13"/>
  <c r="M183" i="13"/>
  <c r="L183" i="13"/>
  <c r="K183" i="13"/>
  <c r="J183" i="13"/>
  <c r="I183" i="13"/>
  <c r="B183" i="13"/>
  <c r="CB182" i="13"/>
  <c r="CA182" i="13"/>
  <c r="BZ182" i="13"/>
  <c r="BY182" i="13"/>
  <c r="BW182" i="13"/>
  <c r="BX182" i="13" s="1"/>
  <c r="BT182" i="13"/>
  <c r="BS182" i="13"/>
  <c r="BR182" i="13"/>
  <c r="BQ182" i="13"/>
  <c r="BP182" i="13"/>
  <c r="BO182" i="13"/>
  <c r="BN182" i="13"/>
  <c r="BU182" i="13" s="1"/>
  <c r="BL182" i="13"/>
  <c r="BK182" i="13"/>
  <c r="BJ182" i="13"/>
  <c r="BI182" i="13"/>
  <c r="BH182" i="13"/>
  <c r="BG182" i="13"/>
  <c r="BF182" i="13"/>
  <c r="BM182" i="13" s="1"/>
  <c r="BD182" i="13"/>
  <c r="BC182" i="13"/>
  <c r="BB182" i="13"/>
  <c r="BA182" i="13"/>
  <c r="AZ182" i="13"/>
  <c r="AY182" i="13"/>
  <c r="AX182" i="13"/>
  <c r="BE182" i="13" s="1"/>
  <c r="AV182" i="13"/>
  <c r="AU182" i="13"/>
  <c r="AT182" i="13"/>
  <c r="AS182" i="13"/>
  <c r="AR182" i="13"/>
  <c r="AQ182" i="13"/>
  <c r="AP182" i="13"/>
  <c r="AW182" i="13" s="1"/>
  <c r="AB182" i="13"/>
  <c r="Z182" i="13"/>
  <c r="X182" i="13"/>
  <c r="V182" i="13"/>
  <c r="B182" i="13"/>
  <c r="CB181" i="13"/>
  <c r="CA181" i="13"/>
  <c r="BZ181" i="13"/>
  <c r="BY181" i="13"/>
  <c r="BW181" i="13"/>
  <c r="BX181" i="13" s="1"/>
  <c r="BU181" i="13"/>
  <c r="BM181" i="13"/>
  <c r="BE181" i="13"/>
  <c r="AW181" i="13"/>
  <c r="R181" i="13"/>
  <c r="Q181" i="13"/>
  <c r="P181" i="13"/>
  <c r="O181" i="13"/>
  <c r="L181" i="13"/>
  <c r="K181" i="13"/>
  <c r="J181" i="13"/>
  <c r="I181" i="13"/>
  <c r="B181" i="13"/>
  <c r="CB180" i="13"/>
  <c r="CA180" i="13"/>
  <c r="BZ180" i="13"/>
  <c r="BY180" i="13"/>
  <c r="BW180" i="13"/>
  <c r="BX180" i="13" s="1"/>
  <c r="BU180" i="13"/>
  <c r="BM180" i="13"/>
  <c r="BE180" i="13"/>
  <c r="AW180" i="13"/>
  <c r="R180" i="13"/>
  <c r="Q180" i="13"/>
  <c r="P180" i="13"/>
  <c r="O180" i="13"/>
  <c r="L180" i="13"/>
  <c r="K180" i="13"/>
  <c r="J180" i="13"/>
  <c r="I180" i="13"/>
  <c r="B180" i="13"/>
  <c r="CB179" i="13"/>
  <c r="CA179" i="13"/>
  <c r="BZ179" i="13"/>
  <c r="BY179" i="13"/>
  <c r="BW179" i="13"/>
  <c r="BX179" i="13" s="1"/>
  <c r="BU179" i="13"/>
  <c r="BM179" i="13"/>
  <c r="BE179" i="13"/>
  <c r="AW179" i="13"/>
  <c r="R179" i="13"/>
  <c r="Q179" i="13"/>
  <c r="P179" i="13"/>
  <c r="O179" i="13"/>
  <c r="L179" i="13"/>
  <c r="K179" i="13"/>
  <c r="J179" i="13"/>
  <c r="I179" i="13"/>
  <c r="B179" i="13"/>
  <c r="CB178" i="13"/>
  <c r="CA178" i="13"/>
  <c r="BZ178" i="13"/>
  <c r="BY178" i="13"/>
  <c r="BW178" i="13"/>
  <c r="BX178" i="13" s="1"/>
  <c r="BU178" i="13"/>
  <c r="BM178" i="13"/>
  <c r="BE178" i="13"/>
  <c r="R178" i="13"/>
  <c r="Q178" i="13"/>
  <c r="P178" i="13"/>
  <c r="O178" i="13"/>
  <c r="L178" i="13"/>
  <c r="K178" i="13"/>
  <c r="J178" i="13"/>
  <c r="I178" i="13"/>
  <c r="B178" i="13"/>
  <c r="CB177" i="13"/>
  <c r="CA177" i="13"/>
  <c r="BZ177" i="13"/>
  <c r="BY177" i="13"/>
  <c r="BW177" i="13"/>
  <c r="BX177" i="13" s="1"/>
  <c r="BU177" i="13"/>
  <c r="BM177" i="13"/>
  <c r="BE177" i="13"/>
  <c r="R177" i="13"/>
  <c r="Q177" i="13"/>
  <c r="P177" i="13"/>
  <c r="O177" i="13"/>
  <c r="L177" i="13"/>
  <c r="K177" i="13"/>
  <c r="J177" i="13"/>
  <c r="I177" i="13"/>
  <c r="B177" i="13"/>
  <c r="CB176" i="13"/>
  <c r="CA176" i="13"/>
  <c r="BZ176" i="13"/>
  <c r="BU176" i="13"/>
  <c r="BM176" i="13"/>
  <c r="BE176" i="13"/>
  <c r="AW176" i="13"/>
  <c r="R176" i="13"/>
  <c r="Q176" i="13"/>
  <c r="P176" i="13"/>
  <c r="O176" i="13"/>
  <c r="L176" i="13"/>
  <c r="K176" i="13"/>
  <c r="J176" i="13"/>
  <c r="I176" i="13"/>
  <c r="B176" i="13"/>
  <c r="CB175" i="13"/>
  <c r="CA175" i="13"/>
  <c r="BZ175" i="13"/>
  <c r="BY175" i="13"/>
  <c r="BW175" i="13"/>
  <c r="BX175" i="13" s="1"/>
  <c r="BU175" i="13"/>
  <c r="BM175" i="13"/>
  <c r="BE175" i="13"/>
  <c r="AW175" i="13"/>
  <c r="R175" i="13"/>
  <c r="Q175" i="13"/>
  <c r="P175" i="13"/>
  <c r="O175" i="13"/>
  <c r="L175" i="13"/>
  <c r="K175" i="13"/>
  <c r="J175" i="13"/>
  <c r="I175" i="13"/>
  <c r="B175" i="13"/>
  <c r="CB174" i="13"/>
  <c r="CA174" i="13"/>
  <c r="BZ174" i="13"/>
  <c r="BY174" i="13"/>
  <c r="BW174" i="13"/>
  <c r="BX174" i="13" s="1"/>
  <c r="BU174" i="13"/>
  <c r="BM174" i="13"/>
  <c r="BE174" i="13"/>
  <c r="R174" i="13"/>
  <c r="Q174" i="13"/>
  <c r="P174" i="13"/>
  <c r="O174" i="13"/>
  <c r="L174" i="13"/>
  <c r="K174" i="13"/>
  <c r="J174" i="13"/>
  <c r="I174" i="13"/>
  <c r="B174" i="13"/>
  <c r="CB173" i="13"/>
  <c r="CA173" i="13"/>
  <c r="BZ173" i="13"/>
  <c r="BY173" i="13"/>
  <c r="BW173" i="13"/>
  <c r="BX173" i="13" s="1"/>
  <c r="BU173" i="13"/>
  <c r="BM173" i="13"/>
  <c r="BE173" i="13"/>
  <c r="R173" i="13"/>
  <c r="Q173" i="13"/>
  <c r="P173" i="13"/>
  <c r="O173" i="13"/>
  <c r="L173" i="13"/>
  <c r="K173" i="13"/>
  <c r="J173" i="13"/>
  <c r="I173" i="13"/>
  <c r="B173" i="13"/>
  <c r="CB172" i="13"/>
  <c r="CA172" i="13"/>
  <c r="BZ172" i="13"/>
  <c r="BY172" i="13"/>
  <c r="BW172" i="13"/>
  <c r="BX172" i="13" s="1"/>
  <c r="BU172" i="13"/>
  <c r="BM172" i="13"/>
  <c r="BE172" i="13"/>
  <c r="R172" i="13"/>
  <c r="Q172" i="13"/>
  <c r="P172" i="13"/>
  <c r="O172" i="13"/>
  <c r="L172" i="13"/>
  <c r="K172" i="13"/>
  <c r="J172" i="13"/>
  <c r="I172" i="13"/>
  <c r="B172" i="13"/>
  <c r="CB171" i="13"/>
  <c r="CA171" i="13"/>
  <c r="BZ171" i="13"/>
  <c r="BY171" i="13"/>
  <c r="BW171" i="13"/>
  <c r="BX171" i="13" s="1"/>
  <c r="BU171" i="13"/>
  <c r="BM171" i="13"/>
  <c r="BE171" i="13"/>
  <c r="AW171" i="13"/>
  <c r="R171" i="13"/>
  <c r="Q171" i="13"/>
  <c r="P171" i="13"/>
  <c r="O171" i="13"/>
  <c r="L171" i="13"/>
  <c r="K171" i="13"/>
  <c r="J171" i="13"/>
  <c r="I171" i="13"/>
  <c r="B171" i="13"/>
  <c r="CB170" i="13"/>
  <c r="CA170" i="13"/>
  <c r="BZ170" i="13"/>
  <c r="BY170" i="13"/>
  <c r="BW170" i="13"/>
  <c r="BX170" i="13" s="1"/>
  <c r="BU170" i="13"/>
  <c r="BM170" i="13"/>
  <c r="BE170" i="13"/>
  <c r="AW170" i="13"/>
  <c r="R170" i="13"/>
  <c r="Q170" i="13"/>
  <c r="P170" i="13"/>
  <c r="O170" i="13"/>
  <c r="L170" i="13"/>
  <c r="K170" i="13"/>
  <c r="J170" i="13"/>
  <c r="I170" i="13"/>
  <c r="B170" i="13"/>
  <c r="CB169" i="13"/>
  <c r="CA169" i="13"/>
  <c r="BZ169" i="13"/>
  <c r="BY169" i="13"/>
  <c r="BW169" i="13"/>
  <c r="BX169" i="13" s="1"/>
  <c r="BU169" i="13"/>
  <c r="BM169" i="13"/>
  <c r="BE169" i="13"/>
  <c r="AW169" i="13"/>
  <c r="R169" i="13"/>
  <c r="Q169" i="13"/>
  <c r="P169" i="13"/>
  <c r="O169" i="13"/>
  <c r="L169" i="13"/>
  <c r="K169" i="13"/>
  <c r="J169" i="13"/>
  <c r="I169" i="13"/>
  <c r="B169" i="13"/>
  <c r="CB168" i="13"/>
  <c r="CA168" i="13"/>
  <c r="BZ168" i="13"/>
  <c r="BY168" i="13"/>
  <c r="BW168" i="13"/>
  <c r="BX168" i="13" s="1"/>
  <c r="BU168" i="13"/>
  <c r="BM168" i="13"/>
  <c r="BE168" i="13"/>
  <c r="AW168" i="13"/>
  <c r="R168" i="13"/>
  <c r="Q168" i="13"/>
  <c r="P168" i="13"/>
  <c r="O168" i="13"/>
  <c r="L168" i="13"/>
  <c r="K168" i="13"/>
  <c r="J168" i="13"/>
  <c r="I168" i="13"/>
  <c r="B168" i="13"/>
  <c r="CB167" i="13"/>
  <c r="CA167" i="13"/>
  <c r="BZ167" i="13"/>
  <c r="BY167" i="13"/>
  <c r="BW167" i="13"/>
  <c r="BX167" i="13" s="1"/>
  <c r="BU167" i="13"/>
  <c r="BM167" i="13"/>
  <c r="BE167" i="13"/>
  <c r="AW167" i="13"/>
  <c r="R167" i="13"/>
  <c r="Q167" i="13"/>
  <c r="P167" i="13"/>
  <c r="O167" i="13"/>
  <c r="L167" i="13"/>
  <c r="K167" i="13"/>
  <c r="J167" i="13"/>
  <c r="I167" i="13"/>
  <c r="B167" i="13"/>
  <c r="CB166" i="13"/>
  <c r="CA166" i="13"/>
  <c r="BZ166" i="13"/>
  <c r="BY166" i="13"/>
  <c r="BW166" i="13"/>
  <c r="BX166" i="13" s="1"/>
  <c r="BU166" i="13"/>
  <c r="BM166" i="13"/>
  <c r="BE166" i="13"/>
  <c r="AW166" i="13"/>
  <c r="R166" i="13"/>
  <c r="Q166" i="13"/>
  <c r="P166" i="13"/>
  <c r="O166" i="13"/>
  <c r="L166" i="13"/>
  <c r="K166" i="13"/>
  <c r="J166" i="13"/>
  <c r="I166" i="13"/>
  <c r="B166" i="13"/>
  <c r="CB165" i="13"/>
  <c r="CA165" i="13"/>
  <c r="BZ165" i="13"/>
  <c r="BY165" i="13"/>
  <c r="BW165" i="13"/>
  <c r="BX165" i="13" s="1"/>
  <c r="BU165" i="13"/>
  <c r="BM165" i="13"/>
  <c r="BE165" i="13"/>
  <c r="R165" i="13"/>
  <c r="Q165" i="13"/>
  <c r="P165" i="13"/>
  <c r="O165" i="13"/>
  <c r="L165" i="13"/>
  <c r="K165" i="13"/>
  <c r="J165" i="13"/>
  <c r="I165" i="13"/>
  <c r="B165" i="13"/>
  <c r="CB164" i="13"/>
  <c r="CA164" i="13"/>
  <c r="BZ164" i="13"/>
  <c r="BY164" i="13"/>
  <c r="BW164" i="13"/>
  <c r="BX164" i="13" s="1"/>
  <c r="BU164" i="13"/>
  <c r="BM164" i="13"/>
  <c r="BE164" i="13"/>
  <c r="AW164" i="13"/>
  <c r="R164" i="13"/>
  <c r="Q164" i="13"/>
  <c r="P164" i="13"/>
  <c r="O164" i="13"/>
  <c r="L164" i="13"/>
  <c r="K164" i="13"/>
  <c r="J164" i="13"/>
  <c r="I164" i="13"/>
  <c r="B164" i="13"/>
  <c r="CB163" i="13"/>
  <c r="CA163" i="13"/>
  <c r="BZ163" i="13"/>
  <c r="BY163" i="13"/>
  <c r="BW163" i="13"/>
  <c r="BX163" i="13" s="1"/>
  <c r="BU163" i="13"/>
  <c r="BM163" i="13"/>
  <c r="BE163" i="13"/>
  <c r="AW163" i="13"/>
  <c r="R163" i="13"/>
  <c r="Q163" i="13"/>
  <c r="P163" i="13"/>
  <c r="O163" i="13"/>
  <c r="L163" i="13"/>
  <c r="K163" i="13"/>
  <c r="J163" i="13"/>
  <c r="I163" i="13"/>
  <c r="B163" i="13"/>
  <c r="CB162" i="13"/>
  <c r="CA162" i="13"/>
  <c r="BZ162" i="13"/>
  <c r="BY162" i="13"/>
  <c r="BW162" i="13"/>
  <c r="BX162" i="13" s="1"/>
  <c r="BU162" i="13"/>
  <c r="BM162" i="13"/>
  <c r="BE162" i="13"/>
  <c r="R162" i="13"/>
  <c r="Q162" i="13"/>
  <c r="P162" i="13"/>
  <c r="O162" i="13"/>
  <c r="L162" i="13"/>
  <c r="K162" i="13"/>
  <c r="J162" i="13"/>
  <c r="I162" i="13"/>
  <c r="B162" i="13"/>
  <c r="CB161" i="13"/>
  <c r="CA161" i="13"/>
  <c r="BZ161" i="13"/>
  <c r="BY161" i="13"/>
  <c r="BX161" i="13"/>
  <c r="BU161" i="13"/>
  <c r="BM161" i="13"/>
  <c r="BE161" i="13"/>
  <c r="AW161" i="13"/>
  <c r="R161" i="13"/>
  <c r="Q161" i="13"/>
  <c r="P161" i="13"/>
  <c r="O161" i="13"/>
  <c r="L161" i="13"/>
  <c r="K161" i="13"/>
  <c r="J161" i="13"/>
  <c r="I161" i="13"/>
  <c r="B161" i="13"/>
  <c r="CB160" i="13"/>
  <c r="CA160" i="13"/>
  <c r="BZ160" i="13"/>
  <c r="BY160" i="13"/>
  <c r="BW160" i="13"/>
  <c r="BX160" i="13" s="1"/>
  <c r="BU160" i="13"/>
  <c r="BM160" i="13"/>
  <c r="BE160" i="13"/>
  <c r="R160" i="13"/>
  <c r="Q160" i="13"/>
  <c r="P160" i="13"/>
  <c r="O160" i="13"/>
  <c r="L160" i="13"/>
  <c r="K160" i="13"/>
  <c r="J160" i="13"/>
  <c r="I160" i="13"/>
  <c r="B160" i="13"/>
  <c r="CB159" i="13"/>
  <c r="CA159" i="13"/>
  <c r="BZ159" i="13"/>
  <c r="BY159" i="13"/>
  <c r="BW159" i="13"/>
  <c r="BX159" i="13" s="1"/>
  <c r="BU159" i="13"/>
  <c r="BM159" i="13"/>
  <c r="BE159" i="13"/>
  <c r="AW159" i="13"/>
  <c r="R159" i="13"/>
  <c r="Q159" i="13"/>
  <c r="P159" i="13"/>
  <c r="O159" i="13"/>
  <c r="L159" i="13"/>
  <c r="K159" i="13"/>
  <c r="J159" i="13"/>
  <c r="I159" i="13"/>
  <c r="B159" i="13"/>
  <c r="CB158" i="13"/>
  <c r="CA158" i="13"/>
  <c r="BZ158" i="13"/>
  <c r="BW158" i="13"/>
  <c r="BX158" i="13" s="1"/>
  <c r="BU158" i="13"/>
  <c r="BM158" i="13"/>
  <c r="BE158" i="13"/>
  <c r="BY158" i="13"/>
  <c r="R158" i="13"/>
  <c r="Q158" i="13"/>
  <c r="P158" i="13"/>
  <c r="O158" i="13"/>
  <c r="L158" i="13"/>
  <c r="K158" i="13"/>
  <c r="J158" i="13"/>
  <c r="I158" i="13"/>
  <c r="B158" i="13"/>
  <c r="CB157" i="13"/>
  <c r="CA157" i="13"/>
  <c r="BZ157" i="13"/>
  <c r="BY157" i="13"/>
  <c r="BW157" i="13"/>
  <c r="BX157" i="13" s="1"/>
  <c r="BT157" i="13"/>
  <c r="BS157" i="13"/>
  <c r="BR157" i="13"/>
  <c r="BQ157" i="13"/>
  <c r="BP157" i="13"/>
  <c r="BO157" i="13"/>
  <c r="BN157" i="13"/>
  <c r="BU157" i="13" s="1"/>
  <c r="BL157" i="13"/>
  <c r="BK157" i="13"/>
  <c r="BJ157" i="13"/>
  <c r="BI157" i="13"/>
  <c r="BH157" i="13"/>
  <c r="BG157" i="13"/>
  <c r="BF157" i="13"/>
  <c r="BM157" i="13" s="1"/>
  <c r="BD157" i="13"/>
  <c r="BC157" i="13"/>
  <c r="BB157" i="13"/>
  <c r="BA157" i="13"/>
  <c r="AZ157" i="13"/>
  <c r="AY157" i="13"/>
  <c r="AX157" i="13"/>
  <c r="BE157" i="13" s="1"/>
  <c r="AV157" i="13"/>
  <c r="AU157" i="13"/>
  <c r="AT157" i="13"/>
  <c r="AS157" i="13"/>
  <c r="AR157" i="13"/>
  <c r="AP157" i="13"/>
  <c r="AB157" i="13"/>
  <c r="Z157" i="13"/>
  <c r="X157" i="13"/>
  <c r="V157" i="13"/>
  <c r="B157" i="13"/>
  <c r="CB156" i="13"/>
  <c r="CA156" i="13"/>
  <c r="BZ156" i="13"/>
  <c r="BY156" i="13"/>
  <c r="BW156" i="13"/>
  <c r="BX156" i="13" s="1"/>
  <c r="BU156" i="13"/>
  <c r="BM156" i="13"/>
  <c r="BE156" i="13"/>
  <c r="AW156" i="13"/>
  <c r="B156" i="13"/>
  <c r="CB155" i="13"/>
  <c r="CA155" i="13"/>
  <c r="BZ155" i="13"/>
  <c r="BY155" i="13"/>
  <c r="BW155" i="13"/>
  <c r="BX155" i="13" s="1"/>
  <c r="BU155" i="13"/>
  <c r="BM155" i="13"/>
  <c r="BE155" i="13"/>
  <c r="R155" i="13"/>
  <c r="Q155" i="13"/>
  <c r="P155" i="13"/>
  <c r="O155" i="13"/>
  <c r="N155" i="13"/>
  <c r="M155" i="13"/>
  <c r="L155" i="13"/>
  <c r="K155" i="13"/>
  <c r="J155" i="13"/>
  <c r="I155" i="13"/>
  <c r="B155" i="13"/>
  <c r="CB154" i="13"/>
  <c r="CA154" i="13"/>
  <c r="BZ154" i="13"/>
  <c r="BY154" i="13"/>
  <c r="BW154" i="13"/>
  <c r="BX154" i="13" s="1"/>
  <c r="BU154" i="13"/>
  <c r="BM154" i="13"/>
  <c r="BE154" i="13"/>
  <c r="R154" i="13"/>
  <c r="Q154" i="13"/>
  <c r="P154" i="13"/>
  <c r="O154" i="13"/>
  <c r="N154" i="13"/>
  <c r="M154" i="13"/>
  <c r="L154" i="13"/>
  <c r="K154" i="13"/>
  <c r="J154" i="13"/>
  <c r="I154" i="13"/>
  <c r="B154" i="13"/>
  <c r="CB153" i="13"/>
  <c r="CA153" i="13"/>
  <c r="BZ153" i="13"/>
  <c r="BY153" i="13"/>
  <c r="BW153" i="13"/>
  <c r="BX153" i="13" s="1"/>
  <c r="BU153" i="13"/>
  <c r="BM153" i="13"/>
  <c r="BE153" i="13"/>
  <c r="R153" i="13"/>
  <c r="Q153" i="13"/>
  <c r="P153" i="13"/>
  <c r="O153" i="13"/>
  <c r="N153" i="13"/>
  <c r="M153" i="13"/>
  <c r="L153" i="13"/>
  <c r="K153" i="13"/>
  <c r="J153" i="13"/>
  <c r="I153" i="13"/>
  <c r="B153" i="13"/>
  <c r="CB152" i="13"/>
  <c r="CA152" i="13"/>
  <c r="BZ152" i="13"/>
  <c r="BY152" i="13"/>
  <c r="BW152" i="13"/>
  <c r="BX152" i="13" s="1"/>
  <c r="BU152" i="13"/>
  <c r="BM152" i="13"/>
  <c r="BE152" i="13"/>
  <c r="R152" i="13"/>
  <c r="Q152" i="13"/>
  <c r="P152" i="13"/>
  <c r="O152" i="13"/>
  <c r="N152" i="13"/>
  <c r="M152" i="13"/>
  <c r="L152" i="13"/>
  <c r="K152" i="13"/>
  <c r="J152" i="13"/>
  <c r="I152" i="13"/>
  <c r="B152" i="13"/>
  <c r="CB151" i="13"/>
  <c r="CA151" i="13"/>
  <c r="BZ151" i="13"/>
  <c r="BY151" i="13"/>
  <c r="BW151" i="13"/>
  <c r="BX151" i="13" s="1"/>
  <c r="BU151" i="13"/>
  <c r="BM151" i="13"/>
  <c r="BE151" i="13"/>
  <c r="R151" i="13"/>
  <c r="Q151" i="13"/>
  <c r="P151" i="13"/>
  <c r="O151" i="13"/>
  <c r="M151" i="13"/>
  <c r="L151" i="13"/>
  <c r="K151" i="13"/>
  <c r="J151" i="13"/>
  <c r="I151" i="13"/>
  <c r="B151" i="13"/>
  <c r="CB150" i="13"/>
  <c r="CA150" i="13"/>
  <c r="BZ150" i="13"/>
  <c r="BY150" i="13"/>
  <c r="BW150" i="13"/>
  <c r="BX150" i="13" s="1"/>
  <c r="BU150" i="13"/>
  <c r="BM150" i="13"/>
  <c r="BE150" i="13"/>
  <c r="AW150" i="13"/>
  <c r="R150" i="13"/>
  <c r="Q150" i="13"/>
  <c r="P150" i="13"/>
  <c r="O150" i="13"/>
  <c r="N150" i="13"/>
  <c r="M150" i="13"/>
  <c r="L150" i="13"/>
  <c r="K150" i="13"/>
  <c r="J150" i="13"/>
  <c r="I150" i="13"/>
  <c r="B150" i="13"/>
  <c r="CB149" i="13"/>
  <c r="CA149" i="13"/>
  <c r="BZ149" i="13"/>
  <c r="BY149" i="13"/>
  <c r="BW149" i="13"/>
  <c r="BX149" i="13" s="1"/>
  <c r="BU149" i="13"/>
  <c r="BM149" i="13"/>
  <c r="BE149" i="13"/>
  <c r="R149" i="13"/>
  <c r="Q149" i="13"/>
  <c r="P149" i="13"/>
  <c r="O149" i="13"/>
  <c r="M149" i="13"/>
  <c r="L149" i="13"/>
  <c r="K149" i="13"/>
  <c r="J149" i="13"/>
  <c r="I149" i="13"/>
  <c r="B149" i="13"/>
  <c r="CB148" i="13"/>
  <c r="CA148" i="13"/>
  <c r="BZ148" i="13"/>
  <c r="BY148" i="13"/>
  <c r="BW148" i="13"/>
  <c r="BX148" i="13" s="1"/>
  <c r="BT148" i="13"/>
  <c r="BS148" i="13"/>
  <c r="BR148" i="13"/>
  <c r="BQ148" i="13"/>
  <c r="BP148" i="13"/>
  <c r="BO148" i="13"/>
  <c r="BN148" i="13"/>
  <c r="BU148" i="13" s="1"/>
  <c r="BL148" i="13"/>
  <c r="BK148" i="13"/>
  <c r="BJ148" i="13"/>
  <c r="BI148" i="13"/>
  <c r="BH148" i="13"/>
  <c r="BG148" i="13"/>
  <c r="BF148" i="13"/>
  <c r="BM148" i="13" s="1"/>
  <c r="BD148" i="13"/>
  <c r="BC148" i="13"/>
  <c r="BB148" i="13"/>
  <c r="BA148" i="13"/>
  <c r="AZ148" i="13"/>
  <c r="AY148" i="13"/>
  <c r="AX148" i="13"/>
  <c r="BE148" i="13" s="1"/>
  <c r="AV148" i="13"/>
  <c r="AU148" i="13"/>
  <c r="AT148" i="13"/>
  <c r="AS148" i="13"/>
  <c r="AR148" i="13"/>
  <c r="AQ148" i="13"/>
  <c r="AP148" i="13"/>
  <c r="AW148" i="13" s="1"/>
  <c r="AB148" i="13"/>
  <c r="Z148" i="13"/>
  <c r="X148" i="13"/>
  <c r="V148" i="13"/>
  <c r="B148" i="13"/>
  <c r="CB147" i="13"/>
  <c r="CA147" i="13"/>
  <c r="BZ147" i="13"/>
  <c r="BY147" i="13"/>
  <c r="BW147" i="13"/>
  <c r="BX147" i="13" s="1"/>
  <c r="BU147" i="13"/>
  <c r="BM147" i="13"/>
  <c r="BE147" i="13"/>
  <c r="AW147" i="13"/>
  <c r="R147" i="13"/>
  <c r="Q147" i="13"/>
  <c r="P147" i="13"/>
  <c r="O147" i="13"/>
  <c r="M147" i="13"/>
  <c r="L147" i="13"/>
  <c r="K147" i="13"/>
  <c r="J147" i="13"/>
  <c r="I147" i="13"/>
  <c r="B147" i="13"/>
  <c r="CB146" i="13"/>
  <c r="CA146" i="13"/>
  <c r="BY146" i="13"/>
  <c r="BW146" i="13"/>
  <c r="BX146" i="13" s="1"/>
  <c r="BU146" i="13"/>
  <c r="BM146" i="13"/>
  <c r="BE146" i="13"/>
  <c r="AW146" i="13"/>
  <c r="R146" i="13"/>
  <c r="Q146" i="13"/>
  <c r="P146" i="13"/>
  <c r="O146" i="13"/>
  <c r="N146" i="13"/>
  <c r="M146" i="13"/>
  <c r="L146" i="13"/>
  <c r="K146" i="13"/>
  <c r="J146" i="13"/>
  <c r="I146" i="13"/>
  <c r="B146" i="13"/>
  <c r="CB145" i="13"/>
  <c r="CA145" i="13"/>
  <c r="BZ145" i="13"/>
  <c r="BY145" i="13"/>
  <c r="BW145" i="13"/>
  <c r="BX145" i="13" s="1"/>
  <c r="BU145" i="13"/>
  <c r="BM145" i="13"/>
  <c r="BE145" i="13"/>
  <c r="R145" i="13"/>
  <c r="Q145" i="13"/>
  <c r="P145" i="13"/>
  <c r="O145" i="13"/>
  <c r="N145" i="13"/>
  <c r="M145" i="13"/>
  <c r="L145" i="13"/>
  <c r="K145" i="13"/>
  <c r="J145" i="13"/>
  <c r="I145" i="13"/>
  <c r="B145" i="13"/>
  <c r="CB144" i="13"/>
  <c r="CA144" i="13"/>
  <c r="BZ144" i="13"/>
  <c r="BY144" i="13"/>
  <c r="BW144" i="13"/>
  <c r="BX144" i="13" s="1"/>
  <c r="BU144" i="13"/>
  <c r="BM144" i="13"/>
  <c r="BE144" i="13"/>
  <c r="R144" i="13"/>
  <c r="Q144" i="13"/>
  <c r="P144" i="13"/>
  <c r="O144" i="13"/>
  <c r="N144" i="13"/>
  <c r="M144" i="13"/>
  <c r="L144" i="13"/>
  <c r="K144" i="13"/>
  <c r="J144" i="13"/>
  <c r="I144" i="13"/>
  <c r="B144" i="13"/>
  <c r="CB143" i="13"/>
  <c r="CA143" i="13"/>
  <c r="BZ143" i="13"/>
  <c r="BY143" i="13"/>
  <c r="BW143" i="13"/>
  <c r="BX143" i="13" s="1"/>
  <c r="BU143" i="13"/>
  <c r="BM143" i="13"/>
  <c r="BE143" i="13"/>
  <c r="AW143" i="13"/>
  <c r="R143" i="13"/>
  <c r="Q143" i="13"/>
  <c r="P143" i="13"/>
  <c r="O143" i="13"/>
  <c r="N143" i="13"/>
  <c r="M143" i="13"/>
  <c r="L143" i="13"/>
  <c r="K143" i="13"/>
  <c r="J143" i="13"/>
  <c r="I143" i="13"/>
  <c r="B143" i="13"/>
  <c r="CB142" i="13"/>
  <c r="CA142" i="13"/>
  <c r="BZ142" i="13"/>
  <c r="BY142" i="13"/>
  <c r="BW142" i="13"/>
  <c r="BX142" i="13" s="1"/>
  <c r="BU142" i="13"/>
  <c r="BM142" i="13"/>
  <c r="BE142" i="13"/>
  <c r="AW142" i="13"/>
  <c r="R142" i="13"/>
  <c r="Q142" i="13"/>
  <c r="P142" i="13"/>
  <c r="O142" i="13"/>
  <c r="N142" i="13"/>
  <c r="M142" i="13"/>
  <c r="L142" i="13"/>
  <c r="K142" i="13"/>
  <c r="J142" i="13"/>
  <c r="I142" i="13"/>
  <c r="B142" i="13"/>
  <c r="CB141" i="13"/>
  <c r="CA141" i="13"/>
  <c r="BZ141" i="13"/>
  <c r="BY141" i="13"/>
  <c r="BW141" i="13"/>
  <c r="BX141" i="13" s="1"/>
  <c r="BU141" i="13"/>
  <c r="BM141" i="13"/>
  <c r="BE141" i="13"/>
  <c r="AW141" i="13"/>
  <c r="R141" i="13"/>
  <c r="Q141" i="13"/>
  <c r="P141" i="13"/>
  <c r="O141" i="13"/>
  <c r="N141" i="13"/>
  <c r="M141" i="13"/>
  <c r="L141" i="13"/>
  <c r="K141" i="13"/>
  <c r="J141" i="13"/>
  <c r="I141" i="13"/>
  <c r="B141" i="13"/>
  <c r="CB140" i="13"/>
  <c r="CA140" i="13"/>
  <c r="BZ140" i="13"/>
  <c r="BY140" i="13"/>
  <c r="BW140" i="13"/>
  <c r="BX140" i="13" s="1"/>
  <c r="BU140" i="13"/>
  <c r="BM140" i="13"/>
  <c r="BE140" i="13"/>
  <c r="AW140" i="13"/>
  <c r="R140" i="13"/>
  <c r="Q140" i="13"/>
  <c r="P140" i="13"/>
  <c r="O140" i="13"/>
  <c r="M140" i="13"/>
  <c r="L140" i="13"/>
  <c r="K140" i="13"/>
  <c r="J140" i="13"/>
  <c r="I140" i="13"/>
  <c r="B140" i="13"/>
  <c r="CB139" i="13"/>
  <c r="CA139" i="13"/>
  <c r="BZ139" i="13"/>
  <c r="BY139" i="13"/>
  <c r="BU139" i="13"/>
  <c r="BM139" i="13"/>
  <c r="BE139" i="13"/>
  <c r="AW139" i="13"/>
  <c r="R139" i="13"/>
  <c r="Q139" i="13"/>
  <c r="P139" i="13"/>
  <c r="O139" i="13"/>
  <c r="M139" i="13"/>
  <c r="L139" i="13"/>
  <c r="K139" i="13"/>
  <c r="J139" i="13"/>
  <c r="I139" i="13"/>
  <c r="B139" i="13"/>
  <c r="CB138" i="13"/>
  <c r="CA138" i="13"/>
  <c r="BZ138" i="13"/>
  <c r="BY138" i="13"/>
  <c r="BW138" i="13"/>
  <c r="BX138" i="13" s="1"/>
  <c r="BT138" i="13"/>
  <c r="BS138" i="13"/>
  <c r="BR138" i="13"/>
  <c r="BQ138" i="13"/>
  <c r="BP138" i="13"/>
  <c r="BO138" i="13"/>
  <c r="BN138" i="13"/>
  <c r="BU138" i="13" s="1"/>
  <c r="BL138" i="13"/>
  <c r="BK138" i="13"/>
  <c r="BJ138" i="13"/>
  <c r="BI138" i="13"/>
  <c r="BH138" i="13"/>
  <c r="BG138" i="13"/>
  <c r="BF138" i="13"/>
  <c r="BM138" i="13" s="1"/>
  <c r="BD138" i="13"/>
  <c r="BC138" i="13"/>
  <c r="BB138" i="13"/>
  <c r="BA138" i="13"/>
  <c r="AZ138" i="13"/>
  <c r="AY138" i="13"/>
  <c r="AX138" i="13"/>
  <c r="BE138" i="13" s="1"/>
  <c r="AV138" i="13"/>
  <c r="AU138" i="13"/>
  <c r="AT138" i="13"/>
  <c r="AS138" i="13"/>
  <c r="AR138" i="13"/>
  <c r="AQ138" i="13"/>
  <c r="AP138" i="13"/>
  <c r="AW138" i="13" s="1"/>
  <c r="AB138" i="13"/>
  <c r="Z138" i="13"/>
  <c r="X138" i="13"/>
  <c r="V138" i="13"/>
  <c r="B138" i="13"/>
  <c r="CB137" i="13"/>
  <c r="CA137" i="13"/>
  <c r="BZ137" i="13"/>
  <c r="BY137" i="13"/>
  <c r="BW137" i="13"/>
  <c r="BX137" i="13" s="1"/>
  <c r="BU137" i="13"/>
  <c r="BM137" i="13"/>
  <c r="BE137" i="13"/>
  <c r="R137" i="13"/>
  <c r="Q137" i="13"/>
  <c r="P137" i="13"/>
  <c r="O137" i="13"/>
  <c r="M137" i="13"/>
  <c r="L137" i="13"/>
  <c r="K137" i="13"/>
  <c r="J137" i="13"/>
  <c r="I137" i="13"/>
  <c r="B137" i="13"/>
  <c r="CB136" i="13"/>
  <c r="CA136" i="13"/>
  <c r="BZ136" i="13"/>
  <c r="BY136" i="13"/>
  <c r="BW136" i="13"/>
  <c r="BX136" i="13" s="1"/>
  <c r="BU136" i="13"/>
  <c r="BM136" i="13"/>
  <c r="BE136" i="13"/>
  <c r="AW136" i="13"/>
  <c r="R136" i="13"/>
  <c r="Q136" i="13"/>
  <c r="P136" i="13"/>
  <c r="O136" i="13"/>
  <c r="M136" i="13"/>
  <c r="L136" i="13"/>
  <c r="K136" i="13"/>
  <c r="J136" i="13"/>
  <c r="I136" i="13"/>
  <c r="B136" i="13"/>
  <c r="CB135" i="13"/>
  <c r="CA135" i="13"/>
  <c r="BZ135" i="13"/>
  <c r="BY135" i="13"/>
  <c r="BW135" i="13"/>
  <c r="BX135" i="13" s="1"/>
  <c r="BU135" i="13"/>
  <c r="BM135" i="13"/>
  <c r="BE135" i="13"/>
  <c r="AW135" i="13"/>
  <c r="R135" i="13"/>
  <c r="Q135" i="13"/>
  <c r="P135" i="13"/>
  <c r="O135" i="13"/>
  <c r="M135" i="13"/>
  <c r="L135" i="13"/>
  <c r="K135" i="13"/>
  <c r="J135" i="13"/>
  <c r="I135" i="13"/>
  <c r="B135" i="13"/>
  <c r="CB134" i="13"/>
  <c r="CA134" i="13"/>
  <c r="BZ134" i="13"/>
  <c r="BY134" i="13"/>
  <c r="BW134" i="13"/>
  <c r="BX134" i="13" s="1"/>
  <c r="BU134" i="13"/>
  <c r="BM134" i="13"/>
  <c r="BE134" i="13"/>
  <c r="AW134" i="13"/>
  <c r="R134" i="13"/>
  <c r="Q134" i="13"/>
  <c r="P134" i="13"/>
  <c r="O134" i="13"/>
  <c r="N134" i="13"/>
  <c r="M134" i="13"/>
  <c r="L134" i="13"/>
  <c r="K134" i="13"/>
  <c r="J134" i="13"/>
  <c r="I134" i="13"/>
  <c r="B134" i="13"/>
  <c r="CB133" i="13"/>
  <c r="CA133" i="13"/>
  <c r="BZ133" i="13"/>
  <c r="BY133" i="13"/>
  <c r="BW133" i="13"/>
  <c r="BX133" i="13" s="1"/>
  <c r="BU133" i="13"/>
  <c r="BM133" i="13"/>
  <c r="BE133" i="13"/>
  <c r="R133" i="13"/>
  <c r="Q133" i="13"/>
  <c r="P133" i="13"/>
  <c r="O133" i="13"/>
  <c r="N133" i="13"/>
  <c r="M133" i="13"/>
  <c r="L133" i="13"/>
  <c r="K133" i="13"/>
  <c r="J133" i="13"/>
  <c r="I133" i="13"/>
  <c r="B133" i="13"/>
  <c r="CB132" i="13"/>
  <c r="CA132" i="13"/>
  <c r="BZ132" i="13"/>
  <c r="BU132" i="13"/>
  <c r="BM132" i="13"/>
  <c r="BE132" i="13"/>
  <c r="R132" i="13"/>
  <c r="Q132" i="13"/>
  <c r="P132" i="13"/>
  <c r="O132" i="13"/>
  <c r="N132" i="13"/>
  <c r="M132" i="13"/>
  <c r="L132" i="13"/>
  <c r="K132" i="13"/>
  <c r="J132" i="13"/>
  <c r="I132" i="13"/>
  <c r="B132" i="13"/>
  <c r="CB131" i="13"/>
  <c r="CA131" i="13"/>
  <c r="BZ131" i="13"/>
  <c r="BY131" i="13"/>
  <c r="BW131" i="13"/>
  <c r="BX131" i="13" s="1"/>
  <c r="BU131" i="13"/>
  <c r="BM131" i="13"/>
  <c r="BE131" i="13"/>
  <c r="R131" i="13"/>
  <c r="Q131" i="13"/>
  <c r="P131" i="13"/>
  <c r="O131" i="13"/>
  <c r="N131" i="13"/>
  <c r="M131" i="13"/>
  <c r="L131" i="13"/>
  <c r="K131" i="13"/>
  <c r="J131" i="13"/>
  <c r="I131" i="13"/>
  <c r="B131" i="13"/>
  <c r="CB130" i="13"/>
  <c r="CA130" i="13"/>
  <c r="BZ130" i="13"/>
  <c r="BY130" i="13"/>
  <c r="BW130" i="13"/>
  <c r="BX130" i="13" s="1"/>
  <c r="BU130" i="13"/>
  <c r="BM130" i="13"/>
  <c r="BE130" i="13"/>
  <c r="AW130" i="13"/>
  <c r="R130" i="13"/>
  <c r="Q130" i="13"/>
  <c r="P130" i="13"/>
  <c r="O130" i="13"/>
  <c r="N130" i="13"/>
  <c r="M130" i="13"/>
  <c r="L130" i="13"/>
  <c r="K130" i="13"/>
  <c r="J130" i="13"/>
  <c r="I130" i="13"/>
  <c r="B130" i="13"/>
  <c r="CB129" i="13"/>
  <c r="CA129" i="13"/>
  <c r="BZ129" i="13"/>
  <c r="BY129" i="13"/>
  <c r="BW129" i="13"/>
  <c r="BX129" i="13" s="1"/>
  <c r="BU129" i="13"/>
  <c r="BM129" i="13"/>
  <c r="BE129" i="13"/>
  <c r="AW129" i="13"/>
  <c r="R129" i="13"/>
  <c r="Q129" i="13"/>
  <c r="P129" i="13"/>
  <c r="O129" i="13"/>
  <c r="N129" i="13"/>
  <c r="M129" i="13"/>
  <c r="L129" i="13"/>
  <c r="K129" i="13"/>
  <c r="J129" i="13"/>
  <c r="I129" i="13"/>
  <c r="B129" i="13"/>
  <c r="CB128" i="13"/>
  <c r="CA128" i="13"/>
  <c r="BZ128" i="13"/>
  <c r="BY128" i="13"/>
  <c r="BW128" i="13"/>
  <c r="BX128" i="13" s="1"/>
  <c r="BU128" i="13"/>
  <c r="BM128" i="13"/>
  <c r="BE128" i="13"/>
  <c r="AW128" i="13"/>
  <c r="R128" i="13"/>
  <c r="Q128" i="13"/>
  <c r="P128" i="13"/>
  <c r="O128" i="13"/>
  <c r="N128" i="13"/>
  <c r="M128" i="13"/>
  <c r="L128" i="13"/>
  <c r="K128" i="13"/>
  <c r="J128" i="13"/>
  <c r="I128" i="13"/>
  <c r="B128" i="13"/>
  <c r="CB127" i="13"/>
  <c r="CA127" i="13"/>
  <c r="BZ127" i="13"/>
  <c r="BY127" i="13"/>
  <c r="BW127" i="13"/>
  <c r="BX127" i="13" s="1"/>
  <c r="BU127" i="13"/>
  <c r="BM127" i="13"/>
  <c r="BE127" i="13"/>
  <c r="AW127" i="13"/>
  <c r="R127" i="13"/>
  <c r="Q127" i="13"/>
  <c r="P127" i="13"/>
  <c r="O127" i="13"/>
  <c r="N127" i="13"/>
  <c r="M127" i="13"/>
  <c r="L127" i="13"/>
  <c r="K127" i="13"/>
  <c r="J127" i="13"/>
  <c r="I127" i="13"/>
  <c r="B127" i="13"/>
  <c r="CB126" i="13"/>
  <c r="CA126" i="13"/>
  <c r="BZ126" i="13"/>
  <c r="BY126" i="13"/>
  <c r="BW126" i="13"/>
  <c r="BX126" i="13" s="1"/>
  <c r="BU126" i="13"/>
  <c r="BM126" i="13"/>
  <c r="BE126" i="13"/>
  <c r="AW126" i="13"/>
  <c r="R126" i="13"/>
  <c r="Q126" i="13"/>
  <c r="P126" i="13"/>
  <c r="O126" i="13"/>
  <c r="N126" i="13"/>
  <c r="M126" i="13"/>
  <c r="L126" i="13"/>
  <c r="K126" i="13"/>
  <c r="J126" i="13"/>
  <c r="I126" i="13"/>
  <c r="B126" i="13"/>
  <c r="CB125" i="13"/>
  <c r="CA125" i="13"/>
  <c r="BZ125" i="13"/>
  <c r="BY125" i="13"/>
  <c r="BW125" i="13"/>
  <c r="BX125" i="13" s="1"/>
  <c r="BU125" i="13"/>
  <c r="BM125" i="13"/>
  <c r="BE125" i="13"/>
  <c r="R125" i="13"/>
  <c r="Q125" i="13"/>
  <c r="P125" i="13"/>
  <c r="O125" i="13"/>
  <c r="N125" i="13"/>
  <c r="M125" i="13"/>
  <c r="L125" i="13"/>
  <c r="K125" i="13"/>
  <c r="J125" i="13"/>
  <c r="I125" i="13"/>
  <c r="B125" i="13"/>
  <c r="CB124" i="13"/>
  <c r="CA124" i="13"/>
  <c r="BZ124" i="13"/>
  <c r="BY124" i="13"/>
  <c r="BW124" i="13"/>
  <c r="BX124" i="13" s="1"/>
  <c r="BU124" i="13"/>
  <c r="BM124" i="13"/>
  <c r="BE124" i="13"/>
  <c r="AW124" i="13"/>
  <c r="R124" i="13"/>
  <c r="Q124" i="13"/>
  <c r="P124" i="13"/>
  <c r="O124" i="13"/>
  <c r="N124" i="13"/>
  <c r="M124" i="13"/>
  <c r="L124" i="13"/>
  <c r="K124" i="13"/>
  <c r="J124" i="13"/>
  <c r="I124" i="13"/>
  <c r="B124" i="13"/>
  <c r="CB123" i="13"/>
  <c r="CA123" i="13"/>
  <c r="BZ123" i="13"/>
  <c r="BY123" i="13"/>
  <c r="BW123" i="13"/>
  <c r="BX123" i="13" s="1"/>
  <c r="BT123" i="13"/>
  <c r="BS123" i="13"/>
  <c r="BR123" i="13"/>
  <c r="BQ123" i="13"/>
  <c r="BP123" i="13"/>
  <c r="BO123" i="13"/>
  <c r="BN123" i="13"/>
  <c r="BU123" i="13" s="1"/>
  <c r="BL123" i="13"/>
  <c r="BK123" i="13"/>
  <c r="BJ123" i="13"/>
  <c r="BI123" i="13"/>
  <c r="BH123" i="13"/>
  <c r="BG123" i="13"/>
  <c r="BF123" i="13"/>
  <c r="BM123" i="13" s="1"/>
  <c r="BD123" i="13"/>
  <c r="BC123" i="13"/>
  <c r="BB123" i="13"/>
  <c r="BA123" i="13"/>
  <c r="AZ123" i="13"/>
  <c r="AY123" i="13"/>
  <c r="AX123" i="13"/>
  <c r="BE123" i="13" s="1"/>
  <c r="AV123" i="13"/>
  <c r="AU123" i="13"/>
  <c r="AT123" i="13"/>
  <c r="AS123" i="13"/>
  <c r="AR123" i="13"/>
  <c r="AQ123" i="13"/>
  <c r="AP123" i="13"/>
  <c r="AW123" i="13" s="1"/>
  <c r="AB123" i="13"/>
  <c r="Z123" i="13"/>
  <c r="X123" i="13"/>
  <c r="V123" i="13"/>
  <c r="B123" i="13"/>
  <c r="CB122" i="13"/>
  <c r="CA122" i="13"/>
  <c r="BZ122" i="13"/>
  <c r="BY122" i="13"/>
  <c r="BW122" i="13"/>
  <c r="BX122" i="13" s="1"/>
  <c r="BU122" i="13"/>
  <c r="BM122" i="13"/>
  <c r="BE122" i="13"/>
  <c r="AW122" i="13"/>
  <c r="CB121" i="13"/>
  <c r="CA121" i="13"/>
  <c r="BZ121" i="13"/>
  <c r="BY121" i="13"/>
  <c r="BW121" i="13"/>
  <c r="BX121" i="13" s="1"/>
  <c r="BU121" i="13"/>
  <c r="BM121" i="13"/>
  <c r="BE121" i="13"/>
  <c r="AW121" i="13"/>
  <c r="B121" i="13"/>
  <c r="CB120" i="13"/>
  <c r="CA120" i="13"/>
  <c r="BZ120" i="13"/>
  <c r="BY120" i="13"/>
  <c r="BW120" i="13"/>
  <c r="BX120" i="13" s="1"/>
  <c r="BU120" i="13"/>
  <c r="BM120" i="13"/>
  <c r="BE120" i="13"/>
  <c r="AW120" i="13"/>
  <c r="R120" i="13"/>
  <c r="Q120" i="13"/>
  <c r="P120" i="13"/>
  <c r="O120" i="13"/>
  <c r="M120" i="13"/>
  <c r="L120" i="13"/>
  <c r="K120" i="13"/>
  <c r="J120" i="13"/>
  <c r="I120" i="13"/>
  <c r="B120" i="13"/>
  <c r="CB119" i="13"/>
  <c r="CA119" i="13"/>
  <c r="BZ119" i="13"/>
  <c r="BY119" i="13"/>
  <c r="BW119" i="13"/>
  <c r="BX119" i="13" s="1"/>
  <c r="BU119" i="13"/>
  <c r="BM119" i="13"/>
  <c r="BE119" i="13"/>
  <c r="AW119" i="13"/>
  <c r="R119" i="13"/>
  <c r="Q119" i="13"/>
  <c r="P119" i="13"/>
  <c r="O119" i="13"/>
  <c r="M119" i="13"/>
  <c r="L119" i="13"/>
  <c r="K119" i="13"/>
  <c r="J119" i="13"/>
  <c r="I119" i="13"/>
  <c r="B119" i="13"/>
  <c r="CB118" i="13"/>
  <c r="CA118" i="13"/>
  <c r="BZ118" i="13"/>
  <c r="BY118" i="13"/>
  <c r="BW118" i="13"/>
  <c r="BX118" i="13" s="1"/>
  <c r="BU118" i="13"/>
  <c r="BM118" i="13"/>
  <c r="BE118" i="13"/>
  <c r="AW118" i="13"/>
  <c r="R118" i="13"/>
  <c r="Q118" i="13"/>
  <c r="P118" i="13"/>
  <c r="O118" i="13"/>
  <c r="M118" i="13"/>
  <c r="L118" i="13"/>
  <c r="K118" i="13"/>
  <c r="J118" i="13"/>
  <c r="I118" i="13"/>
  <c r="B118" i="13"/>
  <c r="CB117" i="13"/>
  <c r="CA117" i="13"/>
  <c r="BU117" i="13"/>
  <c r="BM117" i="13"/>
  <c r="BE117" i="13"/>
  <c r="AW117" i="13"/>
  <c r="R117" i="13"/>
  <c r="Q117" i="13"/>
  <c r="P117" i="13"/>
  <c r="O117" i="13"/>
  <c r="M117" i="13"/>
  <c r="L117" i="13"/>
  <c r="K117" i="13"/>
  <c r="J117" i="13"/>
  <c r="I117" i="13"/>
  <c r="B117" i="13"/>
  <c r="CB116" i="13"/>
  <c r="CA116" i="13"/>
  <c r="BZ116" i="13"/>
  <c r="BY116" i="13"/>
  <c r="BW116" i="13"/>
  <c r="BX116" i="13" s="1"/>
  <c r="BT116" i="13"/>
  <c r="BS116" i="13"/>
  <c r="BR116" i="13"/>
  <c r="BQ116" i="13"/>
  <c r="BP116" i="13"/>
  <c r="BO116" i="13"/>
  <c r="BN116" i="13"/>
  <c r="BU116" i="13" s="1"/>
  <c r="BL116" i="13"/>
  <c r="BK116" i="13"/>
  <c r="BJ116" i="13"/>
  <c r="BI116" i="13"/>
  <c r="BH116" i="13"/>
  <c r="BG116" i="13"/>
  <c r="BF116" i="13"/>
  <c r="BM116" i="13" s="1"/>
  <c r="BD116" i="13"/>
  <c r="BC116" i="13"/>
  <c r="BB116" i="13"/>
  <c r="BA116" i="13"/>
  <c r="AZ116" i="13"/>
  <c r="AY116" i="13"/>
  <c r="AX116" i="13"/>
  <c r="BE116" i="13" s="1"/>
  <c r="AV116" i="13"/>
  <c r="AU116" i="13"/>
  <c r="AT116" i="13"/>
  <c r="AS116" i="13"/>
  <c r="AR116" i="13"/>
  <c r="AQ116" i="13"/>
  <c r="AP116" i="13"/>
  <c r="AW116" i="13" s="1"/>
  <c r="AB116" i="13"/>
  <c r="Z116" i="13"/>
  <c r="X116" i="13"/>
  <c r="V116" i="13"/>
  <c r="B116" i="13"/>
  <c r="CB115" i="13"/>
  <c r="CA115" i="13"/>
  <c r="BZ115" i="13"/>
  <c r="BY115" i="13"/>
  <c r="BW115" i="13"/>
  <c r="BX115" i="13" s="1"/>
  <c r="BU115" i="13"/>
  <c r="BM115" i="13"/>
  <c r="BE115" i="13"/>
  <c r="AW115" i="13"/>
  <c r="R115" i="13"/>
  <c r="Q115" i="13"/>
  <c r="P115" i="13"/>
  <c r="O115" i="13"/>
  <c r="M115" i="13"/>
  <c r="L115" i="13"/>
  <c r="K115" i="13"/>
  <c r="J115" i="13"/>
  <c r="I115" i="13"/>
  <c r="B115" i="13"/>
  <c r="CB114" i="13"/>
  <c r="CA114" i="13"/>
  <c r="BZ114" i="13"/>
  <c r="BY114" i="13"/>
  <c r="BW114" i="13"/>
  <c r="BX114" i="13" s="1"/>
  <c r="BU114" i="13"/>
  <c r="BM114" i="13"/>
  <c r="BE114" i="13"/>
  <c r="AW114" i="13"/>
  <c r="R114" i="13"/>
  <c r="Q114" i="13"/>
  <c r="P114" i="13"/>
  <c r="O114" i="13"/>
  <c r="M114" i="13"/>
  <c r="L114" i="13"/>
  <c r="K114" i="13"/>
  <c r="J114" i="13"/>
  <c r="I114" i="13"/>
  <c r="B114" i="13"/>
  <c r="CB113" i="13"/>
  <c r="CA113" i="13"/>
  <c r="BY113" i="13"/>
  <c r="BW113" i="13"/>
  <c r="BX113" i="13" s="1"/>
  <c r="BU113" i="13"/>
  <c r="BM113" i="13"/>
  <c r="BE113" i="13"/>
  <c r="AW113" i="13"/>
  <c r="R113" i="13"/>
  <c r="Q113" i="13"/>
  <c r="P113" i="13"/>
  <c r="O113" i="13"/>
  <c r="M113" i="13"/>
  <c r="L113" i="13"/>
  <c r="K113" i="13"/>
  <c r="J113" i="13"/>
  <c r="I113" i="13"/>
  <c r="B113" i="13"/>
  <c r="CB112" i="13"/>
  <c r="CA112" i="13"/>
  <c r="BZ112" i="13"/>
  <c r="BY112" i="13"/>
  <c r="BW112" i="13"/>
  <c r="BX112" i="13" s="1"/>
  <c r="BU112" i="13"/>
  <c r="BM112" i="13"/>
  <c r="BE112" i="13"/>
  <c r="AW112" i="13"/>
  <c r="R112" i="13"/>
  <c r="Q112" i="13"/>
  <c r="P112" i="13"/>
  <c r="O112" i="13"/>
  <c r="M112" i="13"/>
  <c r="L112" i="13"/>
  <c r="K112" i="13"/>
  <c r="J112" i="13"/>
  <c r="I112" i="13"/>
  <c r="B112" i="13"/>
  <c r="CB111" i="13"/>
  <c r="CA111" i="13"/>
  <c r="BZ111" i="13"/>
  <c r="BY111" i="13"/>
  <c r="BW111" i="13"/>
  <c r="BX111" i="13" s="1"/>
  <c r="BU111" i="13"/>
  <c r="BM111" i="13"/>
  <c r="BE111" i="13"/>
  <c r="AW111" i="13"/>
  <c r="R111" i="13"/>
  <c r="Q111" i="13"/>
  <c r="O111" i="13"/>
  <c r="M111" i="13"/>
  <c r="L111" i="13"/>
  <c r="K111" i="13"/>
  <c r="J111" i="13"/>
  <c r="I111" i="13"/>
  <c r="B111" i="13"/>
  <c r="CB110" i="13"/>
  <c r="CA110" i="13"/>
  <c r="BZ110" i="13"/>
  <c r="BY110" i="13"/>
  <c r="BW110" i="13"/>
  <c r="BX110" i="13" s="1"/>
  <c r="BT110" i="13"/>
  <c r="BS110" i="13"/>
  <c r="BR110" i="13"/>
  <c r="BQ110" i="13"/>
  <c r="BP110" i="13"/>
  <c r="BO110" i="13"/>
  <c r="BN110" i="13"/>
  <c r="BU110" i="13" s="1"/>
  <c r="BL110" i="13"/>
  <c r="BK110" i="13"/>
  <c r="BJ110" i="13"/>
  <c r="BI110" i="13"/>
  <c r="BH110" i="13"/>
  <c r="BG110" i="13"/>
  <c r="BF110" i="13"/>
  <c r="BM110" i="13" s="1"/>
  <c r="BD110" i="13"/>
  <c r="BC110" i="13"/>
  <c r="BB110" i="13"/>
  <c r="BA110" i="13"/>
  <c r="AZ110" i="13"/>
  <c r="AY110" i="13"/>
  <c r="AX110" i="13"/>
  <c r="BE110" i="13" s="1"/>
  <c r="AV110" i="13"/>
  <c r="AU110" i="13"/>
  <c r="AT110" i="13"/>
  <c r="AS110" i="13"/>
  <c r="AR110" i="13"/>
  <c r="AQ110" i="13"/>
  <c r="AP110" i="13"/>
  <c r="AW110" i="13" s="1"/>
  <c r="AB110" i="13"/>
  <c r="Z110" i="13"/>
  <c r="X110" i="13"/>
  <c r="B110" i="13"/>
  <c r="CB109" i="13"/>
  <c r="CA109" i="13"/>
  <c r="BZ109" i="13"/>
  <c r="BY109" i="13"/>
  <c r="BW109" i="13"/>
  <c r="BX109" i="13" s="1"/>
  <c r="BU109" i="13"/>
  <c r="BM109" i="13"/>
  <c r="BE109" i="13"/>
  <c r="AW109" i="13"/>
  <c r="CB108" i="13"/>
  <c r="CA108" i="13"/>
  <c r="BZ108" i="13"/>
  <c r="BY108" i="13"/>
  <c r="BW108" i="13"/>
  <c r="BX108" i="13" s="1"/>
  <c r="BU108" i="13"/>
  <c r="BM108" i="13"/>
  <c r="BE108" i="13"/>
  <c r="AW108" i="13"/>
  <c r="B108" i="13"/>
  <c r="CB107" i="13"/>
  <c r="CA107" i="13"/>
  <c r="BZ107" i="13"/>
  <c r="BY107" i="13"/>
  <c r="BW107" i="13"/>
  <c r="BX107" i="13" s="1"/>
  <c r="BU107" i="13"/>
  <c r="BM107" i="13"/>
  <c r="BE107" i="13"/>
  <c r="AW107" i="13"/>
  <c r="R107" i="13"/>
  <c r="Q107" i="13"/>
  <c r="P107" i="13"/>
  <c r="O107" i="13"/>
  <c r="N107" i="13"/>
  <c r="M107" i="13"/>
  <c r="L107" i="13"/>
  <c r="K107" i="13"/>
  <c r="J107" i="13"/>
  <c r="I107" i="13"/>
  <c r="B107" i="13"/>
  <c r="CB106" i="13"/>
  <c r="CA106" i="13"/>
  <c r="BZ106" i="13"/>
  <c r="BY106" i="13"/>
  <c r="BW106" i="13"/>
  <c r="BX106" i="13" s="1"/>
  <c r="BU106" i="13"/>
  <c r="BM106" i="13"/>
  <c r="BE106" i="13"/>
  <c r="AW106" i="13"/>
  <c r="R106" i="13"/>
  <c r="Q106" i="13"/>
  <c r="P106" i="13"/>
  <c r="O106" i="13"/>
  <c r="N106" i="13"/>
  <c r="M106" i="13"/>
  <c r="L106" i="13"/>
  <c r="K106" i="13"/>
  <c r="J106" i="13"/>
  <c r="I106" i="13"/>
  <c r="B106" i="13"/>
  <c r="CB105" i="13"/>
  <c r="CA105" i="13"/>
  <c r="BZ105" i="13"/>
  <c r="BY105" i="13"/>
  <c r="BW105" i="13"/>
  <c r="BX105" i="13" s="1"/>
  <c r="BU105" i="13"/>
  <c r="BM105" i="13"/>
  <c r="BE105" i="13"/>
  <c r="AW105" i="13"/>
  <c r="R105" i="13"/>
  <c r="Q105" i="13"/>
  <c r="P105" i="13"/>
  <c r="O105" i="13"/>
  <c r="N105" i="13"/>
  <c r="M105" i="13"/>
  <c r="L105" i="13"/>
  <c r="K105" i="13"/>
  <c r="J105" i="13"/>
  <c r="I105" i="13"/>
  <c r="B105" i="13"/>
  <c r="CB104" i="13"/>
  <c r="CA104" i="13"/>
  <c r="BZ104" i="13"/>
  <c r="BY104" i="13"/>
  <c r="BW104" i="13"/>
  <c r="BX104" i="13" s="1"/>
  <c r="BU104" i="13"/>
  <c r="BM104" i="13"/>
  <c r="BE104" i="13"/>
  <c r="AW104" i="13"/>
  <c r="R104" i="13"/>
  <c r="Q104" i="13"/>
  <c r="P104" i="13"/>
  <c r="O104" i="13"/>
  <c r="N104" i="13"/>
  <c r="M104" i="13"/>
  <c r="L104" i="13"/>
  <c r="K104" i="13"/>
  <c r="J104" i="13"/>
  <c r="I104" i="13"/>
  <c r="B104" i="13"/>
  <c r="CB103" i="13"/>
  <c r="CA103" i="13"/>
  <c r="BZ103" i="13"/>
  <c r="BY103" i="13"/>
  <c r="BW103" i="13"/>
  <c r="BX103" i="13" s="1"/>
  <c r="BU103" i="13"/>
  <c r="BM103" i="13"/>
  <c r="BE103" i="13"/>
  <c r="AW103" i="13"/>
  <c r="R103" i="13"/>
  <c r="Q103" i="13"/>
  <c r="P103" i="13"/>
  <c r="O103" i="13"/>
  <c r="N103" i="13"/>
  <c r="M103" i="13"/>
  <c r="L103" i="13"/>
  <c r="K103" i="13"/>
  <c r="J103" i="13"/>
  <c r="I103" i="13"/>
  <c r="B103" i="13"/>
  <c r="CB102" i="13"/>
  <c r="CA102" i="13"/>
  <c r="BZ102" i="13"/>
  <c r="BY102" i="13"/>
  <c r="BW102" i="13"/>
  <c r="BX102" i="13" s="1"/>
  <c r="BU102" i="13"/>
  <c r="BM102" i="13"/>
  <c r="BE102" i="13"/>
  <c r="AW102" i="13"/>
  <c r="R102" i="13"/>
  <c r="Q102" i="13"/>
  <c r="P102" i="13"/>
  <c r="O102" i="13"/>
  <c r="N102" i="13"/>
  <c r="M102" i="13"/>
  <c r="L102" i="13"/>
  <c r="K102" i="13"/>
  <c r="J102" i="13"/>
  <c r="I102" i="13"/>
  <c r="B102" i="13"/>
  <c r="CB101" i="13"/>
  <c r="CA101" i="13"/>
  <c r="BZ101" i="13"/>
  <c r="BY101" i="13"/>
  <c r="BW101" i="13"/>
  <c r="BX101" i="13" s="1"/>
  <c r="BU101" i="13"/>
  <c r="BM101" i="13"/>
  <c r="BE101" i="13"/>
  <c r="AW101" i="13"/>
  <c r="R101" i="13"/>
  <c r="Q101" i="13"/>
  <c r="P101" i="13"/>
  <c r="O101" i="13"/>
  <c r="N101" i="13"/>
  <c r="M101" i="13"/>
  <c r="L101" i="13"/>
  <c r="K101" i="13"/>
  <c r="J101" i="13"/>
  <c r="I101" i="13"/>
  <c r="B101" i="13"/>
  <c r="CB100" i="13"/>
  <c r="CA100" i="13"/>
  <c r="BZ100" i="13"/>
  <c r="BY100" i="13"/>
  <c r="BW100" i="13"/>
  <c r="BX100" i="13" s="1"/>
  <c r="BU100" i="13"/>
  <c r="BM100" i="13"/>
  <c r="BE100" i="13"/>
  <c r="AW100" i="13"/>
  <c r="R100" i="13"/>
  <c r="Q100" i="13"/>
  <c r="P100" i="13"/>
  <c r="O100" i="13"/>
  <c r="N100" i="13"/>
  <c r="M100" i="13"/>
  <c r="L100" i="13"/>
  <c r="K100" i="13"/>
  <c r="J100" i="13"/>
  <c r="I100" i="13"/>
  <c r="B100" i="13"/>
  <c r="CB99" i="13"/>
  <c r="CA99" i="13"/>
  <c r="BZ99" i="13"/>
  <c r="BY99" i="13"/>
  <c r="BW99" i="13"/>
  <c r="BX99" i="13" s="1"/>
  <c r="BT99" i="13"/>
  <c r="BS99" i="13"/>
  <c r="BR99" i="13"/>
  <c r="BQ99" i="13"/>
  <c r="BP99" i="13"/>
  <c r="BO99" i="13"/>
  <c r="BN99" i="13"/>
  <c r="BU99" i="13" s="1"/>
  <c r="BL99" i="13"/>
  <c r="BK99" i="13"/>
  <c r="BJ99" i="13"/>
  <c r="BI99" i="13"/>
  <c r="BH99" i="13"/>
  <c r="BG99" i="13"/>
  <c r="BF99" i="13"/>
  <c r="BM99" i="13" s="1"/>
  <c r="BD99" i="13"/>
  <c r="BC99" i="13"/>
  <c r="BB99" i="13"/>
  <c r="BA99" i="13"/>
  <c r="AZ99" i="13"/>
  <c r="AY99" i="13"/>
  <c r="AX99" i="13"/>
  <c r="BE99" i="13" s="1"/>
  <c r="AB99" i="13"/>
  <c r="Z99" i="13"/>
  <c r="X99" i="13"/>
  <c r="V99" i="13"/>
  <c r="B99" i="13"/>
  <c r="CB98" i="13"/>
  <c r="CA98" i="13"/>
  <c r="BZ98" i="13"/>
  <c r="BY98" i="13"/>
  <c r="BW98" i="13"/>
  <c r="BX98" i="13" s="1"/>
  <c r="BU98" i="13"/>
  <c r="BM98" i="13"/>
  <c r="BE98" i="13"/>
  <c r="AW98" i="13"/>
  <c r="R98" i="13"/>
  <c r="Q98" i="13"/>
  <c r="P98" i="13"/>
  <c r="O98" i="13"/>
  <c r="N98" i="13"/>
  <c r="M98" i="13"/>
  <c r="L98" i="13"/>
  <c r="K98" i="13"/>
  <c r="J98" i="13"/>
  <c r="I98" i="13"/>
  <c r="B98" i="13"/>
  <c r="CB97" i="13"/>
  <c r="CA97" i="13"/>
  <c r="BZ97" i="13"/>
  <c r="BY97" i="13"/>
  <c r="BW97" i="13"/>
  <c r="BX97" i="13" s="1"/>
  <c r="BU97" i="13"/>
  <c r="BM97" i="13"/>
  <c r="BE97" i="13"/>
  <c r="AW97" i="13"/>
  <c r="R97" i="13"/>
  <c r="Q97" i="13"/>
  <c r="P97" i="13"/>
  <c r="O97" i="13"/>
  <c r="N97" i="13"/>
  <c r="M97" i="13"/>
  <c r="L97" i="13"/>
  <c r="K97" i="13"/>
  <c r="J97" i="13"/>
  <c r="I97" i="13"/>
  <c r="B97" i="13"/>
  <c r="CB96" i="13"/>
  <c r="CA96" i="13"/>
  <c r="BZ96" i="13"/>
  <c r="BY96" i="13"/>
  <c r="BW96" i="13"/>
  <c r="BX96" i="13" s="1"/>
  <c r="BU96" i="13"/>
  <c r="BM96" i="13"/>
  <c r="BE96" i="13"/>
  <c r="AW96" i="13"/>
  <c r="R96" i="13"/>
  <c r="Q96" i="13"/>
  <c r="O96" i="13"/>
  <c r="N96" i="13"/>
  <c r="M96" i="13"/>
  <c r="L96" i="13"/>
  <c r="K96" i="13"/>
  <c r="J96" i="13"/>
  <c r="I96" i="13"/>
  <c r="B96" i="13"/>
  <c r="CB95" i="13"/>
  <c r="CA95" i="13"/>
  <c r="BZ95" i="13"/>
  <c r="BY95" i="13"/>
  <c r="BW95" i="13"/>
  <c r="BX95" i="13" s="1"/>
  <c r="BU95" i="13"/>
  <c r="BM95" i="13"/>
  <c r="BE95" i="13"/>
  <c r="AW95" i="13"/>
  <c r="R95" i="13"/>
  <c r="Q95" i="13"/>
  <c r="P95" i="13"/>
  <c r="O95" i="13"/>
  <c r="N95" i="13"/>
  <c r="M95" i="13"/>
  <c r="L95" i="13"/>
  <c r="K95" i="13"/>
  <c r="J95" i="13"/>
  <c r="I95" i="13"/>
  <c r="B95" i="13"/>
  <c r="CB94" i="13"/>
  <c r="CA94" i="13"/>
  <c r="BZ94" i="13"/>
  <c r="BY94" i="13"/>
  <c r="BW94" i="13"/>
  <c r="BX94" i="13" s="1"/>
  <c r="BU94" i="13"/>
  <c r="BM94" i="13"/>
  <c r="BE94" i="13"/>
  <c r="AW94" i="13"/>
  <c r="R94" i="13"/>
  <c r="Q94" i="13"/>
  <c r="P94" i="13"/>
  <c r="O94" i="13"/>
  <c r="N94" i="13"/>
  <c r="M94" i="13"/>
  <c r="L94" i="13"/>
  <c r="K94" i="13"/>
  <c r="J94" i="13"/>
  <c r="I94" i="13"/>
  <c r="B94" i="13"/>
  <c r="CB93" i="13"/>
  <c r="CA93" i="13"/>
  <c r="BZ93" i="13"/>
  <c r="BY93" i="13"/>
  <c r="BW93" i="13"/>
  <c r="BX93" i="13" s="1"/>
  <c r="BU93" i="13"/>
  <c r="BM93" i="13"/>
  <c r="BE93" i="13"/>
  <c r="AW93" i="13"/>
  <c r="R93" i="13"/>
  <c r="Q93" i="13"/>
  <c r="P93" i="13"/>
  <c r="O93" i="13"/>
  <c r="N93" i="13"/>
  <c r="M93" i="13"/>
  <c r="L93" i="13"/>
  <c r="K93" i="13"/>
  <c r="J93" i="13"/>
  <c r="I93" i="13"/>
  <c r="B93" i="13"/>
  <c r="CB92" i="13"/>
  <c r="CA92" i="13"/>
  <c r="BZ92" i="13"/>
  <c r="BY92" i="13"/>
  <c r="BW92" i="13"/>
  <c r="BX92" i="13" s="1"/>
  <c r="BU92" i="13"/>
  <c r="BM92" i="13"/>
  <c r="BE92" i="13"/>
  <c r="AW92" i="13"/>
  <c r="R92" i="13"/>
  <c r="Q92" i="13"/>
  <c r="P92" i="13"/>
  <c r="O92" i="13"/>
  <c r="N92" i="13"/>
  <c r="M92" i="13"/>
  <c r="L92" i="13"/>
  <c r="K92" i="13"/>
  <c r="J92" i="13"/>
  <c r="I92" i="13"/>
  <c r="B92" i="13"/>
  <c r="CB91" i="13"/>
  <c r="CA91" i="13"/>
  <c r="BZ91" i="13"/>
  <c r="BW91" i="13"/>
  <c r="BX91" i="13" s="1"/>
  <c r="BU91" i="13"/>
  <c r="BM91" i="13"/>
  <c r="BE91" i="13"/>
  <c r="AW91" i="13"/>
  <c r="R91" i="13"/>
  <c r="Q91" i="13"/>
  <c r="P91" i="13"/>
  <c r="O91" i="13"/>
  <c r="N91" i="13"/>
  <c r="M91" i="13"/>
  <c r="L91" i="13"/>
  <c r="K91" i="13"/>
  <c r="J91" i="13"/>
  <c r="I91" i="13"/>
  <c r="B91" i="13"/>
  <c r="CB90" i="13"/>
  <c r="CA90" i="13"/>
  <c r="BZ90" i="13"/>
  <c r="BW90" i="13"/>
  <c r="BX90" i="13" s="1"/>
  <c r="BU90" i="13"/>
  <c r="BM90" i="13"/>
  <c r="BE90" i="13"/>
  <c r="AW90" i="13"/>
  <c r="R90" i="13"/>
  <c r="Q90" i="13"/>
  <c r="P90" i="13"/>
  <c r="O90" i="13"/>
  <c r="N90" i="13"/>
  <c r="M90" i="13"/>
  <c r="L90" i="13"/>
  <c r="K90" i="13"/>
  <c r="J90" i="13"/>
  <c r="I90" i="13"/>
  <c r="B90" i="13"/>
  <c r="CB89" i="13"/>
  <c r="CA89" i="13"/>
  <c r="BZ89" i="13"/>
  <c r="BY89" i="13"/>
  <c r="BW89" i="13"/>
  <c r="BX89" i="13" s="1"/>
  <c r="BU89" i="13"/>
  <c r="BM89" i="13"/>
  <c r="BE89" i="13"/>
  <c r="AW89" i="13"/>
  <c r="R89" i="13"/>
  <c r="Q89" i="13"/>
  <c r="P89" i="13"/>
  <c r="O89" i="13"/>
  <c r="N89" i="13"/>
  <c r="M89" i="13"/>
  <c r="L89" i="13"/>
  <c r="K89" i="13"/>
  <c r="J89" i="13"/>
  <c r="I89" i="13"/>
  <c r="B89" i="13"/>
  <c r="CB88" i="13"/>
  <c r="CA88" i="13"/>
  <c r="BZ88" i="13"/>
  <c r="BY88" i="13"/>
  <c r="BW88" i="13"/>
  <c r="BX88" i="13" s="1"/>
  <c r="BU88" i="13"/>
  <c r="BM88" i="13"/>
  <c r="BE88" i="13"/>
  <c r="AW88" i="13"/>
  <c r="R88" i="13"/>
  <c r="Q88" i="13"/>
  <c r="P88" i="13"/>
  <c r="O88" i="13"/>
  <c r="N88" i="13"/>
  <c r="M88" i="13"/>
  <c r="L88" i="13"/>
  <c r="K88" i="13"/>
  <c r="J88" i="13"/>
  <c r="I88" i="13"/>
  <c r="B88" i="13"/>
  <c r="CB87" i="13"/>
  <c r="CA87" i="13"/>
  <c r="BZ87" i="13"/>
  <c r="BY87" i="13"/>
  <c r="BW87" i="13"/>
  <c r="BX87" i="13" s="1"/>
  <c r="BT87" i="13"/>
  <c r="BS87" i="13"/>
  <c r="BR87" i="13"/>
  <c r="BQ87" i="13"/>
  <c r="BP87" i="13"/>
  <c r="BO87" i="13"/>
  <c r="BN87" i="13"/>
  <c r="BU87" i="13" s="1"/>
  <c r="BL87" i="13"/>
  <c r="BK87" i="13"/>
  <c r="BJ87" i="13"/>
  <c r="BI87" i="13"/>
  <c r="BH87" i="13"/>
  <c r="BG87" i="13"/>
  <c r="BF87" i="13"/>
  <c r="BM87" i="13" s="1"/>
  <c r="BD87" i="13"/>
  <c r="BC87" i="13"/>
  <c r="BB87" i="13"/>
  <c r="BA87" i="13"/>
  <c r="AZ87" i="13"/>
  <c r="AY87" i="13"/>
  <c r="AX87" i="13"/>
  <c r="BE87" i="13" s="1"/>
  <c r="AV87" i="13"/>
  <c r="AU87" i="13"/>
  <c r="AT87" i="13"/>
  <c r="AS87" i="13"/>
  <c r="AR87" i="13"/>
  <c r="AQ87" i="13"/>
  <c r="AP87" i="13"/>
  <c r="AB87" i="13"/>
  <c r="Z87" i="13"/>
  <c r="X87" i="13"/>
  <c r="V87" i="13"/>
  <c r="B87" i="13"/>
  <c r="CB86" i="13"/>
  <c r="CA86" i="13"/>
  <c r="BZ86" i="13"/>
  <c r="BY86" i="13"/>
  <c r="BW86" i="13"/>
  <c r="BX86" i="13" s="1"/>
  <c r="BU86" i="13"/>
  <c r="BM86" i="13"/>
  <c r="BE86" i="13"/>
  <c r="CB85" i="13"/>
  <c r="CA85" i="13"/>
  <c r="BZ85" i="13"/>
  <c r="BY85" i="13"/>
  <c r="BW85" i="13"/>
  <c r="BX85" i="13" s="1"/>
  <c r="BU85" i="13"/>
  <c r="BM85" i="13"/>
  <c r="BE85" i="13"/>
  <c r="AW85" i="13"/>
  <c r="B85" i="13"/>
  <c r="CB84" i="13"/>
  <c r="CA84" i="13"/>
  <c r="BZ84" i="13"/>
  <c r="BY84" i="13"/>
  <c r="BW84" i="13"/>
  <c r="BX84" i="13" s="1"/>
  <c r="BU84" i="13"/>
  <c r="BM84" i="13"/>
  <c r="BE84" i="13"/>
  <c r="R84" i="13"/>
  <c r="Q84" i="13"/>
  <c r="P84" i="13"/>
  <c r="O84" i="13"/>
  <c r="N84" i="13"/>
  <c r="M84" i="13"/>
  <c r="L84" i="13"/>
  <c r="K84" i="13"/>
  <c r="J84" i="13"/>
  <c r="I84" i="13"/>
  <c r="B84" i="13"/>
  <c r="CB83" i="13"/>
  <c r="CA83" i="13"/>
  <c r="BZ83" i="13"/>
  <c r="BY83" i="13"/>
  <c r="BW83" i="13"/>
  <c r="BX83" i="13" s="1"/>
  <c r="BU83" i="13"/>
  <c r="BM83" i="13"/>
  <c r="BE83" i="13"/>
  <c r="R83" i="13"/>
  <c r="Q83" i="13"/>
  <c r="P83" i="13"/>
  <c r="O83" i="13"/>
  <c r="N83" i="13"/>
  <c r="M83" i="13"/>
  <c r="L83" i="13"/>
  <c r="K83" i="13"/>
  <c r="J83" i="13"/>
  <c r="I83" i="13"/>
  <c r="B83" i="13"/>
  <c r="CB82" i="13"/>
  <c r="CA82" i="13"/>
  <c r="BZ82" i="13"/>
  <c r="BY82" i="13"/>
  <c r="BW82" i="13"/>
  <c r="BX82" i="13" s="1"/>
  <c r="BU82" i="13"/>
  <c r="BM82" i="13"/>
  <c r="BE82" i="13"/>
  <c r="R82" i="13"/>
  <c r="Q82" i="13"/>
  <c r="P82" i="13"/>
  <c r="O82" i="13"/>
  <c r="N82" i="13"/>
  <c r="M82" i="13"/>
  <c r="L82" i="13"/>
  <c r="K82" i="13"/>
  <c r="J82" i="13"/>
  <c r="I82" i="13"/>
  <c r="B82" i="13"/>
  <c r="CB81" i="13"/>
  <c r="CA81" i="13"/>
  <c r="BZ81" i="13"/>
  <c r="BY81" i="13"/>
  <c r="BW81" i="13"/>
  <c r="BX81" i="13" s="1"/>
  <c r="BU81" i="13"/>
  <c r="BM81" i="13"/>
  <c r="BE81" i="13"/>
  <c r="R81" i="13"/>
  <c r="Q81" i="13"/>
  <c r="P81" i="13"/>
  <c r="O81" i="13"/>
  <c r="N81" i="13"/>
  <c r="M81" i="13"/>
  <c r="L81" i="13"/>
  <c r="K81" i="13"/>
  <c r="J81" i="13"/>
  <c r="I81" i="13"/>
  <c r="B81" i="13"/>
  <c r="CB80" i="13"/>
  <c r="CA80" i="13"/>
  <c r="BZ80" i="13"/>
  <c r="BY80" i="13"/>
  <c r="BW80" i="13"/>
  <c r="BX80" i="13" s="1"/>
  <c r="BU80" i="13"/>
  <c r="BM80" i="13"/>
  <c r="BE80" i="13"/>
  <c r="R80" i="13"/>
  <c r="Q80" i="13"/>
  <c r="O80" i="13"/>
  <c r="N80" i="13"/>
  <c r="M80" i="13"/>
  <c r="L80" i="13"/>
  <c r="K80" i="13"/>
  <c r="J80" i="13"/>
  <c r="I80" i="13"/>
  <c r="B80" i="13"/>
  <c r="CB79" i="13"/>
  <c r="CA79" i="13"/>
  <c r="BZ79" i="13"/>
  <c r="BY79" i="13"/>
  <c r="BW79" i="13"/>
  <c r="BX79" i="13" s="1"/>
  <c r="BU79" i="13"/>
  <c r="BM79" i="13"/>
  <c r="BE79" i="13"/>
  <c r="R79" i="13"/>
  <c r="Q79" i="13"/>
  <c r="P79" i="13"/>
  <c r="O79" i="13"/>
  <c r="N79" i="13"/>
  <c r="M79" i="13"/>
  <c r="L79" i="13"/>
  <c r="K79" i="13"/>
  <c r="J79" i="13"/>
  <c r="I79" i="13"/>
  <c r="B79" i="13"/>
  <c r="CB78" i="13"/>
  <c r="CA78" i="13"/>
  <c r="BZ78" i="13"/>
  <c r="BY78" i="13"/>
  <c r="BW78" i="13"/>
  <c r="BX78" i="13" s="1"/>
  <c r="BU78" i="13"/>
  <c r="BM78" i="13"/>
  <c r="BE78" i="13"/>
  <c r="R78" i="13"/>
  <c r="Q78" i="13"/>
  <c r="P78" i="13"/>
  <c r="O78" i="13"/>
  <c r="N78" i="13"/>
  <c r="M78" i="13"/>
  <c r="L78" i="13"/>
  <c r="K78" i="13"/>
  <c r="J78" i="13"/>
  <c r="I78" i="13"/>
  <c r="B78" i="13"/>
  <c r="CB77" i="13"/>
  <c r="CA77" i="13"/>
  <c r="BZ77" i="13"/>
  <c r="BY77" i="13"/>
  <c r="BW77" i="13"/>
  <c r="BX77" i="13" s="1"/>
  <c r="BU77" i="13"/>
  <c r="BM77" i="13"/>
  <c r="BE77" i="13"/>
  <c r="R77" i="13"/>
  <c r="Q77" i="13"/>
  <c r="P77" i="13"/>
  <c r="O77" i="13"/>
  <c r="N77" i="13"/>
  <c r="M77" i="13"/>
  <c r="L77" i="13"/>
  <c r="K77" i="13"/>
  <c r="J77" i="13"/>
  <c r="I77" i="13"/>
  <c r="B77" i="13"/>
  <c r="CB76" i="13"/>
  <c r="CA76" i="13"/>
  <c r="BZ76" i="13"/>
  <c r="BY76" i="13"/>
  <c r="BW76" i="13"/>
  <c r="BX76" i="13" s="1"/>
  <c r="BU76" i="13"/>
  <c r="BM76" i="13"/>
  <c r="BE76" i="13"/>
  <c r="R76" i="13"/>
  <c r="Q76" i="13"/>
  <c r="P76" i="13"/>
  <c r="O76" i="13"/>
  <c r="N76" i="13"/>
  <c r="M76" i="13"/>
  <c r="L76" i="13"/>
  <c r="K76" i="13"/>
  <c r="J76" i="13"/>
  <c r="I76" i="13"/>
  <c r="B76" i="13"/>
  <c r="CB75" i="13"/>
  <c r="CA75" i="13"/>
  <c r="BZ75" i="13"/>
  <c r="BY75" i="13"/>
  <c r="BW75" i="13"/>
  <c r="BX75" i="13" s="1"/>
  <c r="BT75" i="13"/>
  <c r="BS75" i="13"/>
  <c r="BR75" i="13"/>
  <c r="BQ75" i="13"/>
  <c r="BP75" i="13"/>
  <c r="BO75" i="13"/>
  <c r="BN75" i="13"/>
  <c r="BU75" i="13" s="1"/>
  <c r="BL75" i="13"/>
  <c r="BK75" i="13"/>
  <c r="BJ75" i="13"/>
  <c r="BI75" i="13"/>
  <c r="BH75" i="13"/>
  <c r="BG75" i="13"/>
  <c r="BF75" i="13"/>
  <c r="BM75" i="13" s="1"/>
  <c r="BD75" i="13"/>
  <c r="BC75" i="13"/>
  <c r="BB75" i="13"/>
  <c r="BA75" i="13"/>
  <c r="AZ75" i="13"/>
  <c r="AY75" i="13"/>
  <c r="AX75" i="13"/>
  <c r="BE75" i="13" s="1"/>
  <c r="AB75" i="13"/>
  <c r="Z75" i="13"/>
  <c r="X75" i="13"/>
  <c r="V75" i="13"/>
  <c r="B75" i="13"/>
  <c r="CB74" i="13"/>
  <c r="CA74" i="13"/>
  <c r="BZ74" i="13"/>
  <c r="BY74" i="13"/>
  <c r="BW74" i="13"/>
  <c r="BX74" i="13" s="1"/>
  <c r="BU74" i="13"/>
  <c r="BM74" i="13"/>
  <c r="BE74" i="13"/>
  <c r="R74" i="13"/>
  <c r="Q74" i="13"/>
  <c r="P74" i="13"/>
  <c r="O74" i="13"/>
  <c r="N74" i="13"/>
  <c r="M74" i="13"/>
  <c r="L74" i="13"/>
  <c r="K74" i="13"/>
  <c r="J74" i="13"/>
  <c r="I74" i="13"/>
  <c r="B74" i="13"/>
  <c r="CB73" i="13"/>
  <c r="CA73" i="13"/>
  <c r="BZ73" i="13"/>
  <c r="BY73" i="13"/>
  <c r="BW73" i="13"/>
  <c r="BX73" i="13" s="1"/>
  <c r="BU73" i="13"/>
  <c r="BM73" i="13"/>
  <c r="BE73" i="13"/>
  <c r="R73" i="13"/>
  <c r="Q73" i="13"/>
  <c r="P73" i="13"/>
  <c r="O73" i="13"/>
  <c r="N73" i="13"/>
  <c r="M73" i="13"/>
  <c r="L73" i="13"/>
  <c r="K73" i="13"/>
  <c r="J73" i="13"/>
  <c r="I73" i="13"/>
  <c r="B73" i="13"/>
  <c r="CB72" i="13"/>
  <c r="CA72" i="13"/>
  <c r="BZ72" i="13"/>
  <c r="BY72" i="13"/>
  <c r="BW72" i="13"/>
  <c r="BX72" i="13" s="1"/>
  <c r="BU72" i="13"/>
  <c r="BM72" i="13"/>
  <c r="BE72" i="13"/>
  <c r="R72" i="13"/>
  <c r="Q72" i="13"/>
  <c r="P72" i="13"/>
  <c r="O72" i="13"/>
  <c r="N72" i="13"/>
  <c r="M72" i="13"/>
  <c r="L72" i="13"/>
  <c r="K72" i="13"/>
  <c r="J72" i="13"/>
  <c r="I72" i="13"/>
  <c r="B72" i="13"/>
  <c r="CB71" i="13"/>
  <c r="CA71" i="13"/>
  <c r="BZ71" i="13"/>
  <c r="BY71" i="13"/>
  <c r="BW71" i="13"/>
  <c r="BX71" i="13" s="1"/>
  <c r="BU71" i="13"/>
  <c r="BM71" i="13"/>
  <c r="BE71" i="13"/>
  <c r="R71" i="13"/>
  <c r="Q71" i="13"/>
  <c r="P71" i="13"/>
  <c r="O71" i="13"/>
  <c r="N71" i="13"/>
  <c r="M71" i="13"/>
  <c r="L71" i="13"/>
  <c r="K71" i="13"/>
  <c r="J71" i="13"/>
  <c r="I71" i="13"/>
  <c r="B71" i="13"/>
  <c r="CB70" i="13"/>
  <c r="CA70" i="13"/>
  <c r="BZ70" i="13"/>
  <c r="BY70" i="13"/>
  <c r="BW70" i="13"/>
  <c r="BX70" i="13" s="1"/>
  <c r="BU70" i="13"/>
  <c r="BM70" i="13"/>
  <c r="BE70" i="13"/>
  <c r="R70" i="13"/>
  <c r="Q70" i="13"/>
  <c r="P70" i="13"/>
  <c r="O70" i="13"/>
  <c r="N70" i="13"/>
  <c r="M70" i="13"/>
  <c r="L70" i="13"/>
  <c r="K70" i="13"/>
  <c r="J70" i="13"/>
  <c r="I70" i="13"/>
  <c r="B70" i="13"/>
  <c r="CB69" i="13"/>
  <c r="CA69" i="13"/>
  <c r="BZ69" i="13"/>
  <c r="BY69" i="13"/>
  <c r="BW69" i="13"/>
  <c r="BX69" i="13" s="1"/>
  <c r="BU69" i="13"/>
  <c r="BM69" i="13"/>
  <c r="BE69" i="13"/>
  <c r="R69" i="13"/>
  <c r="Q69" i="13"/>
  <c r="P69" i="13"/>
  <c r="O69" i="13"/>
  <c r="N69" i="13"/>
  <c r="M69" i="13"/>
  <c r="L69" i="13"/>
  <c r="K69" i="13"/>
  <c r="J69" i="13"/>
  <c r="I69" i="13"/>
  <c r="B69" i="13"/>
  <c r="CB68" i="13"/>
  <c r="CA68" i="13"/>
  <c r="BZ68" i="13"/>
  <c r="BU68" i="13"/>
  <c r="BM68" i="13"/>
  <c r="BE68" i="13"/>
  <c r="AC68" i="13"/>
  <c r="R68" i="13"/>
  <c r="Q68" i="13"/>
  <c r="P68" i="13"/>
  <c r="O68" i="13"/>
  <c r="N68" i="13"/>
  <c r="M68" i="13"/>
  <c r="L68" i="13"/>
  <c r="K68" i="13"/>
  <c r="J68" i="13"/>
  <c r="I68" i="13"/>
  <c r="B68" i="13"/>
  <c r="CB67" i="13"/>
  <c r="CA67" i="13"/>
  <c r="BZ67" i="13"/>
  <c r="BY67" i="13"/>
  <c r="BW67" i="13"/>
  <c r="BX67" i="13" s="1"/>
  <c r="BU67" i="13"/>
  <c r="BM67" i="13"/>
  <c r="BE67" i="13"/>
  <c r="R67" i="13"/>
  <c r="Q67" i="13"/>
  <c r="P67" i="13"/>
  <c r="O67" i="13"/>
  <c r="N67" i="13"/>
  <c r="M67" i="13"/>
  <c r="L67" i="13"/>
  <c r="K67" i="13"/>
  <c r="J67" i="13"/>
  <c r="I67" i="13"/>
  <c r="B67" i="13"/>
  <c r="CB66" i="13"/>
  <c r="CA66" i="13"/>
  <c r="BZ66" i="13"/>
  <c r="BY66" i="13"/>
  <c r="BW66" i="13"/>
  <c r="BX66" i="13" s="1"/>
  <c r="BU66" i="13"/>
  <c r="BM66" i="13"/>
  <c r="BE66" i="13"/>
  <c r="R66" i="13"/>
  <c r="Q66" i="13"/>
  <c r="P66" i="13"/>
  <c r="O66" i="13"/>
  <c r="N66" i="13"/>
  <c r="M66" i="13"/>
  <c r="L66" i="13"/>
  <c r="K66" i="13"/>
  <c r="J66" i="13"/>
  <c r="I66" i="13"/>
  <c r="B66" i="13"/>
  <c r="CB65" i="13"/>
  <c r="CA65" i="13"/>
  <c r="BZ65" i="13"/>
  <c r="BY65" i="13"/>
  <c r="BW65" i="13"/>
  <c r="BX65" i="13" s="1"/>
  <c r="BU65" i="13"/>
  <c r="BM65" i="13"/>
  <c r="BE65" i="13"/>
  <c r="R65" i="13"/>
  <c r="Q65" i="13"/>
  <c r="P65" i="13"/>
  <c r="O65" i="13"/>
  <c r="N65" i="13"/>
  <c r="M65" i="13"/>
  <c r="L65" i="13"/>
  <c r="K65" i="13"/>
  <c r="J65" i="13"/>
  <c r="I65" i="13"/>
  <c r="B65" i="13"/>
  <c r="CB64" i="13"/>
  <c r="CA64" i="13"/>
  <c r="BZ64" i="13"/>
  <c r="BY64" i="13"/>
  <c r="BW64" i="13"/>
  <c r="BX64" i="13" s="1"/>
  <c r="BU64" i="13"/>
  <c r="BM64" i="13"/>
  <c r="BE64" i="13"/>
  <c r="R64" i="13"/>
  <c r="Q64" i="13"/>
  <c r="P64" i="13"/>
  <c r="O64" i="13"/>
  <c r="N64" i="13"/>
  <c r="M64" i="13"/>
  <c r="L64" i="13"/>
  <c r="K64" i="13"/>
  <c r="J64" i="13"/>
  <c r="I64" i="13"/>
  <c r="B64" i="13"/>
  <c r="CB63" i="13"/>
  <c r="CA63" i="13"/>
  <c r="BZ63" i="13"/>
  <c r="BY63" i="13"/>
  <c r="BW63" i="13"/>
  <c r="BX63" i="13" s="1"/>
  <c r="BU63" i="13"/>
  <c r="BM63" i="13"/>
  <c r="BE63" i="13"/>
  <c r="R63" i="13"/>
  <c r="Q63" i="13"/>
  <c r="P63" i="13"/>
  <c r="O63" i="13"/>
  <c r="N63" i="13"/>
  <c r="M63" i="13"/>
  <c r="L63" i="13"/>
  <c r="K63" i="13"/>
  <c r="J63" i="13"/>
  <c r="I63" i="13"/>
  <c r="B63" i="13"/>
  <c r="CB62" i="13"/>
  <c r="CA62" i="13"/>
  <c r="BZ62" i="13"/>
  <c r="BY62" i="13"/>
  <c r="BW62" i="13"/>
  <c r="BX62" i="13" s="1"/>
  <c r="BU62" i="13"/>
  <c r="BM62" i="13"/>
  <c r="BE62" i="13"/>
  <c r="R62" i="13"/>
  <c r="Q62" i="13"/>
  <c r="P62" i="13"/>
  <c r="O62" i="13"/>
  <c r="N62" i="13"/>
  <c r="M62" i="13"/>
  <c r="L62" i="13"/>
  <c r="K62" i="13"/>
  <c r="J62" i="13"/>
  <c r="I62" i="13"/>
  <c r="B62" i="13"/>
  <c r="CB61" i="13"/>
  <c r="CA61" i="13"/>
  <c r="BZ61" i="13"/>
  <c r="BY61" i="13"/>
  <c r="BW61" i="13"/>
  <c r="BX61" i="13" s="1"/>
  <c r="BU61" i="13"/>
  <c r="BM61" i="13"/>
  <c r="BE61" i="13"/>
  <c r="R61" i="13"/>
  <c r="Q61" i="13"/>
  <c r="P61" i="13"/>
  <c r="O61" i="13"/>
  <c r="N61" i="13"/>
  <c r="M61" i="13"/>
  <c r="L61" i="13"/>
  <c r="K61" i="13"/>
  <c r="J61" i="13"/>
  <c r="I61" i="13"/>
  <c r="B61" i="13"/>
  <c r="CB60" i="13"/>
  <c r="CA60" i="13"/>
  <c r="BZ60" i="13"/>
  <c r="BY60" i="13"/>
  <c r="BW60" i="13"/>
  <c r="BX60" i="13" s="1"/>
  <c r="BU60" i="13"/>
  <c r="BM60" i="13"/>
  <c r="BE60" i="13"/>
  <c r="R60" i="13"/>
  <c r="Q60" i="13"/>
  <c r="P60" i="13"/>
  <c r="O60" i="13"/>
  <c r="N60" i="13"/>
  <c r="M60" i="13"/>
  <c r="L60" i="13"/>
  <c r="K60" i="13"/>
  <c r="J60" i="13"/>
  <c r="I60" i="13"/>
  <c r="B60" i="13"/>
  <c r="CB59" i="13"/>
  <c r="CA59" i="13"/>
  <c r="BZ59" i="13"/>
  <c r="BU59" i="13"/>
  <c r="BM59" i="13"/>
  <c r="BE59" i="13"/>
  <c r="AC59" i="13"/>
  <c r="BW59" i="13" s="1"/>
  <c r="BX59" i="13" s="1"/>
  <c r="R59" i="13"/>
  <c r="Q59" i="13"/>
  <c r="P59" i="13"/>
  <c r="O59" i="13"/>
  <c r="N59" i="13"/>
  <c r="M59" i="13"/>
  <c r="L59" i="13"/>
  <c r="K59" i="13"/>
  <c r="J59" i="13"/>
  <c r="I59" i="13"/>
  <c r="B59" i="13"/>
  <c r="CB58" i="13"/>
  <c r="CA58" i="13"/>
  <c r="BZ58" i="13"/>
  <c r="BY58" i="13"/>
  <c r="BW58" i="13"/>
  <c r="BX58" i="13" s="1"/>
  <c r="BU58" i="13"/>
  <c r="BM58" i="13"/>
  <c r="BE58" i="13"/>
  <c r="R58" i="13"/>
  <c r="Q58" i="13"/>
  <c r="P58" i="13"/>
  <c r="O58" i="13"/>
  <c r="N58" i="13"/>
  <c r="M58" i="13"/>
  <c r="L58" i="13"/>
  <c r="K58" i="13"/>
  <c r="J58" i="13"/>
  <c r="I58" i="13"/>
  <c r="B58" i="13"/>
  <c r="CB57" i="13"/>
  <c r="CA57" i="13"/>
  <c r="BZ57" i="13"/>
  <c r="BY57" i="13"/>
  <c r="BW57" i="13"/>
  <c r="BX57" i="13" s="1"/>
  <c r="BU57" i="13"/>
  <c r="BM57" i="13"/>
  <c r="BE57" i="13"/>
  <c r="R57" i="13"/>
  <c r="Q57" i="13"/>
  <c r="P57" i="13"/>
  <c r="O57" i="13"/>
  <c r="N57" i="13"/>
  <c r="M57" i="13"/>
  <c r="L57" i="13"/>
  <c r="K57" i="13"/>
  <c r="J57" i="13"/>
  <c r="I57" i="13"/>
  <c r="B57" i="13"/>
  <c r="CB56" i="13"/>
  <c r="CA56" i="13"/>
  <c r="BZ56" i="13"/>
  <c r="BY56" i="13"/>
  <c r="BW56" i="13"/>
  <c r="BX56" i="13" s="1"/>
  <c r="BU56" i="13"/>
  <c r="BM56" i="13"/>
  <c r="BE56" i="13"/>
  <c r="R56" i="13"/>
  <c r="Q56" i="13"/>
  <c r="P56" i="13"/>
  <c r="O56" i="13"/>
  <c r="N56" i="13"/>
  <c r="M56" i="13"/>
  <c r="L56" i="13"/>
  <c r="K56" i="13"/>
  <c r="J56" i="13"/>
  <c r="I56" i="13"/>
  <c r="B56" i="13"/>
  <c r="CB55" i="13"/>
  <c r="CA55" i="13"/>
  <c r="BZ55" i="13"/>
  <c r="BY55" i="13"/>
  <c r="BW55" i="13"/>
  <c r="BX55" i="13" s="1"/>
  <c r="BU55" i="13"/>
  <c r="BM55" i="13"/>
  <c r="BE55" i="13"/>
  <c r="R55" i="13"/>
  <c r="Q55" i="13"/>
  <c r="P55" i="13"/>
  <c r="O55" i="13"/>
  <c r="N55" i="13"/>
  <c r="M55" i="13"/>
  <c r="L55" i="13"/>
  <c r="K55" i="13"/>
  <c r="J55" i="13"/>
  <c r="I55" i="13"/>
  <c r="B55" i="13"/>
  <c r="CB54" i="13"/>
  <c r="CA54" i="13"/>
  <c r="BZ54" i="13"/>
  <c r="BU54" i="13"/>
  <c r="BM54" i="13"/>
  <c r="BE54" i="13"/>
  <c r="AC54" i="13"/>
  <c r="BY54" i="13" s="1"/>
  <c r="R54" i="13"/>
  <c r="Q54" i="13"/>
  <c r="P54" i="13"/>
  <c r="O54" i="13"/>
  <c r="N54" i="13"/>
  <c r="M54" i="13"/>
  <c r="L54" i="13"/>
  <c r="K54" i="13"/>
  <c r="J54" i="13"/>
  <c r="I54" i="13"/>
  <c r="B54" i="13"/>
  <c r="CB53" i="13"/>
  <c r="CA53" i="13"/>
  <c r="BZ53" i="13"/>
  <c r="BY53" i="13"/>
  <c r="BW53" i="13"/>
  <c r="BX53" i="13" s="1"/>
  <c r="BU53" i="13"/>
  <c r="BM53" i="13"/>
  <c r="BE53" i="13"/>
  <c r="R53" i="13"/>
  <c r="Q53" i="13"/>
  <c r="P53" i="13"/>
  <c r="O53" i="13"/>
  <c r="N53" i="13"/>
  <c r="M53" i="13"/>
  <c r="L53" i="13"/>
  <c r="K53" i="13"/>
  <c r="J53" i="13"/>
  <c r="I53" i="13"/>
  <c r="B53" i="13"/>
  <c r="CB52" i="13"/>
  <c r="CA52" i="13"/>
  <c r="BZ52" i="13"/>
  <c r="BU52" i="13"/>
  <c r="BM52" i="13"/>
  <c r="BE52" i="13"/>
  <c r="AC52" i="13"/>
  <c r="BY52" i="13" s="1"/>
  <c r="R52" i="13"/>
  <c r="Q52" i="13"/>
  <c r="O52" i="13"/>
  <c r="N52" i="13"/>
  <c r="M52" i="13"/>
  <c r="L52" i="13"/>
  <c r="K52" i="13"/>
  <c r="J52" i="13"/>
  <c r="I52" i="13"/>
  <c r="B52" i="13"/>
  <c r="CB51" i="13"/>
  <c r="CA51" i="13"/>
  <c r="BZ51" i="13"/>
  <c r="BY51" i="13"/>
  <c r="BW51" i="13"/>
  <c r="BX51" i="13" s="1"/>
  <c r="BT51" i="13"/>
  <c r="BS51" i="13"/>
  <c r="BR51" i="13"/>
  <c r="BQ51" i="13"/>
  <c r="BP51" i="13"/>
  <c r="BO51" i="13"/>
  <c r="BN51" i="13"/>
  <c r="BU51" i="13" s="1"/>
  <c r="BL51" i="13"/>
  <c r="BK51" i="13"/>
  <c r="BJ51" i="13"/>
  <c r="BI51" i="13"/>
  <c r="BH51" i="13"/>
  <c r="BG51" i="13"/>
  <c r="BF51" i="13"/>
  <c r="BM51" i="13" s="1"/>
  <c r="BD51" i="13"/>
  <c r="BC51" i="13"/>
  <c r="BB51" i="13"/>
  <c r="BA51" i="13"/>
  <c r="AZ51" i="13"/>
  <c r="AY51" i="13"/>
  <c r="AX51" i="13"/>
  <c r="BE51" i="13" s="1"/>
  <c r="AV51" i="13"/>
  <c r="AU51" i="13"/>
  <c r="AT51" i="13"/>
  <c r="AS51" i="13"/>
  <c r="AR51" i="13"/>
  <c r="AQ51" i="13"/>
  <c r="AP51" i="13"/>
  <c r="AB51" i="13"/>
  <c r="Z51" i="13"/>
  <c r="X51" i="13"/>
  <c r="V51" i="13"/>
  <c r="CB50" i="13"/>
  <c r="CA50" i="13"/>
  <c r="BZ50" i="13"/>
  <c r="BY50" i="13"/>
  <c r="BW50" i="13"/>
  <c r="BX50" i="13" s="1"/>
  <c r="BU50" i="13"/>
  <c r="BM50" i="13"/>
  <c r="BE50" i="13"/>
  <c r="CB49" i="13"/>
  <c r="CA49" i="13"/>
  <c r="BZ49" i="13"/>
  <c r="BY49" i="13"/>
  <c r="BW49" i="13"/>
  <c r="BX49" i="13" s="1"/>
  <c r="BU49" i="13"/>
  <c r="BM49" i="13"/>
  <c r="BE49" i="13"/>
  <c r="AW49" i="13"/>
  <c r="B49" i="13"/>
  <c r="CB48" i="13"/>
  <c r="CA48" i="13"/>
  <c r="BZ48" i="13"/>
  <c r="BY48" i="13"/>
  <c r="BW48" i="13"/>
  <c r="BX48" i="13" s="1"/>
  <c r="BU48" i="13"/>
  <c r="BM48" i="13"/>
  <c r="BE48" i="13"/>
  <c r="AW48" i="13"/>
  <c r="CB47" i="13"/>
  <c r="CA47" i="13"/>
  <c r="BZ47" i="13"/>
  <c r="BU47" i="13"/>
  <c r="BM47" i="13"/>
  <c r="BE47" i="13"/>
  <c r="AW47" i="13"/>
  <c r="AC47" i="13"/>
  <c r="BW47" i="13" s="1"/>
  <c r="BX47" i="13" s="1"/>
  <c r="R47" i="13"/>
  <c r="Q47" i="13"/>
  <c r="P47" i="13"/>
  <c r="O47" i="13"/>
  <c r="N47" i="13"/>
  <c r="M47" i="13"/>
  <c r="L47" i="13"/>
  <c r="K47" i="13"/>
  <c r="J47" i="13"/>
  <c r="I47" i="13"/>
  <c r="B47" i="13"/>
  <c r="CB46" i="13"/>
  <c r="CA46" i="13"/>
  <c r="BZ46" i="13"/>
  <c r="BY46" i="13"/>
  <c r="BW46" i="13"/>
  <c r="BX46" i="13" s="1"/>
  <c r="BU46" i="13"/>
  <c r="BM46" i="13"/>
  <c r="BE46" i="13"/>
  <c r="AW46" i="13"/>
  <c r="R46" i="13"/>
  <c r="Q46" i="13"/>
  <c r="P46" i="13"/>
  <c r="O46" i="13"/>
  <c r="N46" i="13"/>
  <c r="M46" i="13"/>
  <c r="L46" i="13"/>
  <c r="K46" i="13"/>
  <c r="J46" i="13"/>
  <c r="I46" i="13"/>
  <c r="B46" i="13"/>
  <c r="CB45" i="13"/>
  <c r="CA45" i="13"/>
  <c r="BZ45" i="13"/>
  <c r="BW45" i="13"/>
  <c r="BX45" i="13" s="1"/>
  <c r="BU45" i="13"/>
  <c r="BM45" i="13"/>
  <c r="BE45" i="13"/>
  <c r="AW45" i="13"/>
  <c r="BY45" i="13"/>
  <c r="R45" i="13"/>
  <c r="Q45" i="13"/>
  <c r="P45" i="13"/>
  <c r="O45" i="13"/>
  <c r="N45" i="13"/>
  <c r="M45" i="13"/>
  <c r="L45" i="13"/>
  <c r="K45" i="13"/>
  <c r="J45" i="13"/>
  <c r="I45" i="13"/>
  <c r="B45" i="13"/>
  <c r="CB44" i="13"/>
  <c r="CA44" i="13"/>
  <c r="BZ44" i="13"/>
  <c r="BY44" i="13"/>
  <c r="BW44" i="13"/>
  <c r="BX44" i="13" s="1"/>
  <c r="BU44" i="13"/>
  <c r="BM44" i="13"/>
  <c r="BE44" i="13"/>
  <c r="AW44" i="13"/>
  <c r="R44" i="13"/>
  <c r="Q44" i="13"/>
  <c r="P44" i="13"/>
  <c r="O44" i="13"/>
  <c r="N44" i="13"/>
  <c r="M44" i="13"/>
  <c r="L44" i="13"/>
  <c r="K44" i="13"/>
  <c r="J44" i="13"/>
  <c r="I44" i="13"/>
  <c r="B44" i="13"/>
  <c r="CB43" i="13"/>
  <c r="CA43" i="13"/>
  <c r="BZ43" i="13"/>
  <c r="BY43" i="13"/>
  <c r="BW43" i="13"/>
  <c r="BX43" i="13" s="1"/>
  <c r="BT43" i="13"/>
  <c r="BS43" i="13"/>
  <c r="BR43" i="13"/>
  <c r="BQ43" i="13"/>
  <c r="BP43" i="13"/>
  <c r="BO43" i="13"/>
  <c r="BN43" i="13"/>
  <c r="BU43" i="13" s="1"/>
  <c r="BL43" i="13"/>
  <c r="BK43" i="13"/>
  <c r="BJ43" i="13"/>
  <c r="BI43" i="13"/>
  <c r="BH43" i="13"/>
  <c r="BG43" i="13"/>
  <c r="BF43" i="13"/>
  <c r="BM43" i="13" s="1"/>
  <c r="BD43" i="13"/>
  <c r="BC43" i="13"/>
  <c r="BB43" i="13"/>
  <c r="BA43" i="13"/>
  <c r="AZ43" i="13"/>
  <c r="AY43" i="13"/>
  <c r="AX43" i="13"/>
  <c r="BE43" i="13" s="1"/>
  <c r="AB43" i="13"/>
  <c r="Z43" i="13"/>
  <c r="X43" i="13"/>
  <c r="V43" i="13"/>
  <c r="B43" i="13"/>
  <c r="CB42" i="13"/>
  <c r="CA42" i="13"/>
  <c r="BZ42" i="13"/>
  <c r="BY42" i="13"/>
  <c r="BW42" i="13"/>
  <c r="BX42" i="13" s="1"/>
  <c r="BU42" i="13"/>
  <c r="BM42" i="13"/>
  <c r="BE42" i="13"/>
  <c r="AW42" i="13"/>
  <c r="R42" i="13"/>
  <c r="Q42" i="13"/>
  <c r="P42" i="13"/>
  <c r="O42" i="13"/>
  <c r="N42" i="13"/>
  <c r="M42" i="13"/>
  <c r="L42" i="13"/>
  <c r="K42" i="13"/>
  <c r="J42" i="13"/>
  <c r="I42" i="13"/>
  <c r="B42" i="13"/>
  <c r="CB41" i="13"/>
  <c r="CA41" i="13"/>
  <c r="BW41" i="13"/>
  <c r="BX41" i="13" s="1"/>
  <c r="BU41" i="13"/>
  <c r="BM41" i="13"/>
  <c r="BE41" i="13"/>
  <c r="AW41" i="13"/>
  <c r="R41" i="13"/>
  <c r="Q41" i="13"/>
  <c r="P41" i="13"/>
  <c r="O41" i="13"/>
  <c r="N41" i="13"/>
  <c r="M41" i="13"/>
  <c r="L41" i="13"/>
  <c r="K41" i="13"/>
  <c r="J41" i="13"/>
  <c r="I41" i="13"/>
  <c r="B41" i="13"/>
  <c r="CB40" i="13"/>
  <c r="CA40" i="13"/>
  <c r="BZ40" i="13"/>
  <c r="BY40" i="13"/>
  <c r="BW40" i="13"/>
  <c r="BX40" i="13" s="1"/>
  <c r="BU40" i="13"/>
  <c r="BM40" i="13"/>
  <c r="BE40" i="13"/>
  <c r="AW40" i="13"/>
  <c r="R40" i="13"/>
  <c r="Q40" i="13"/>
  <c r="P40" i="13"/>
  <c r="O40" i="13"/>
  <c r="N40" i="13"/>
  <c r="M40" i="13"/>
  <c r="L40" i="13"/>
  <c r="K40" i="13"/>
  <c r="J40" i="13"/>
  <c r="I40" i="13"/>
  <c r="B40" i="13"/>
  <c r="CB39" i="13"/>
  <c r="CA39" i="13"/>
  <c r="BZ39" i="13"/>
  <c r="BY39" i="13"/>
  <c r="BW39" i="13"/>
  <c r="BX39" i="13" s="1"/>
  <c r="BU39" i="13"/>
  <c r="BM39" i="13"/>
  <c r="BE39" i="13"/>
  <c r="AW39" i="13"/>
  <c r="R39" i="13"/>
  <c r="Q39" i="13"/>
  <c r="P39" i="13"/>
  <c r="O39" i="13"/>
  <c r="N39" i="13"/>
  <c r="M39" i="13"/>
  <c r="L39" i="13"/>
  <c r="K39" i="13"/>
  <c r="J39" i="13"/>
  <c r="I39" i="13"/>
  <c r="B39" i="13"/>
  <c r="CB38" i="13"/>
  <c r="CA38" i="13"/>
  <c r="BZ38" i="13"/>
  <c r="BY38" i="13"/>
  <c r="BW38" i="13"/>
  <c r="BX38" i="13" s="1"/>
  <c r="BU38" i="13"/>
  <c r="BM38" i="13"/>
  <c r="BE38" i="13"/>
  <c r="AW38" i="13"/>
  <c r="R38" i="13"/>
  <c r="Q38" i="13"/>
  <c r="P38" i="13"/>
  <c r="O38" i="13"/>
  <c r="N38" i="13"/>
  <c r="M38" i="13"/>
  <c r="L38" i="13"/>
  <c r="K38" i="13"/>
  <c r="J38" i="13"/>
  <c r="I38" i="13"/>
  <c r="B38" i="13"/>
  <c r="CB37" i="13"/>
  <c r="CA37" i="13"/>
  <c r="BZ37" i="13"/>
  <c r="BY37" i="13"/>
  <c r="BW37" i="13"/>
  <c r="BX37" i="13" s="1"/>
  <c r="BU37" i="13"/>
  <c r="BM37" i="13"/>
  <c r="BE37" i="13"/>
  <c r="AW37" i="13"/>
  <c r="R37" i="13"/>
  <c r="Q37" i="13"/>
  <c r="P37" i="13"/>
  <c r="O37" i="13"/>
  <c r="N37" i="13"/>
  <c r="M37" i="13"/>
  <c r="L37" i="13"/>
  <c r="K37" i="13"/>
  <c r="J37" i="13"/>
  <c r="I37" i="13"/>
  <c r="B37" i="13"/>
  <c r="CB36" i="13"/>
  <c r="CA36" i="13"/>
  <c r="BZ36" i="13"/>
  <c r="BW36" i="13"/>
  <c r="BX36" i="13" s="1"/>
  <c r="BU36" i="13"/>
  <c r="BM36" i="13"/>
  <c r="BE36" i="13"/>
  <c r="AW36" i="13"/>
  <c r="R36" i="13"/>
  <c r="Q36" i="13"/>
  <c r="P36" i="13"/>
  <c r="O36" i="13"/>
  <c r="N36" i="13"/>
  <c r="M36" i="13"/>
  <c r="L36" i="13"/>
  <c r="K36" i="13"/>
  <c r="J36" i="13"/>
  <c r="I36" i="13"/>
  <c r="B36" i="13"/>
  <c r="CB35" i="13"/>
  <c r="CA35" i="13"/>
  <c r="BZ35" i="13"/>
  <c r="BY35" i="13"/>
  <c r="BW35" i="13"/>
  <c r="BX35" i="13" s="1"/>
  <c r="BU35" i="13"/>
  <c r="BM35" i="13"/>
  <c r="BE35" i="13"/>
  <c r="AW35" i="13"/>
  <c r="R35" i="13"/>
  <c r="Q35" i="13"/>
  <c r="P35" i="13"/>
  <c r="O35" i="13"/>
  <c r="N35" i="13"/>
  <c r="M35" i="13"/>
  <c r="L35" i="13"/>
  <c r="K35" i="13"/>
  <c r="J35" i="13"/>
  <c r="I35" i="13"/>
  <c r="B35" i="13"/>
  <c r="CB34" i="13"/>
  <c r="CA34" i="13"/>
  <c r="BZ34" i="13"/>
  <c r="BY34" i="13"/>
  <c r="BW34" i="13"/>
  <c r="BX34" i="13" s="1"/>
  <c r="BU34" i="13"/>
  <c r="BM34" i="13"/>
  <c r="BE34" i="13"/>
  <c r="AW34" i="13"/>
  <c r="R34" i="13"/>
  <c r="Q34" i="13"/>
  <c r="P34" i="13"/>
  <c r="O34" i="13"/>
  <c r="N34" i="13"/>
  <c r="M34" i="13"/>
  <c r="L34" i="13"/>
  <c r="K34" i="13"/>
  <c r="J34" i="13"/>
  <c r="I34" i="13"/>
  <c r="B34" i="13"/>
  <c r="CB33" i="13"/>
  <c r="CA33" i="13"/>
  <c r="BZ33" i="13"/>
  <c r="BU33" i="13"/>
  <c r="BM33" i="13"/>
  <c r="BE33" i="13"/>
  <c r="AW33" i="13"/>
  <c r="BY33" i="13"/>
  <c r="R33" i="13"/>
  <c r="Q33" i="13"/>
  <c r="P33" i="13"/>
  <c r="O33" i="13"/>
  <c r="N33" i="13"/>
  <c r="M33" i="13"/>
  <c r="L33" i="13"/>
  <c r="K33" i="13"/>
  <c r="J33" i="13"/>
  <c r="I33" i="13"/>
  <c r="B33" i="13"/>
  <c r="CB32" i="13"/>
  <c r="CA32" i="13"/>
  <c r="BZ32" i="13"/>
  <c r="BY32" i="13"/>
  <c r="BW32" i="13"/>
  <c r="BX32" i="13" s="1"/>
  <c r="BU32" i="13"/>
  <c r="BM32" i="13"/>
  <c r="BE32" i="13"/>
  <c r="AW32" i="13"/>
  <c r="R32" i="13"/>
  <c r="Q32" i="13"/>
  <c r="P32" i="13"/>
  <c r="O32" i="13"/>
  <c r="N32" i="13"/>
  <c r="M32" i="13"/>
  <c r="L32" i="13"/>
  <c r="K32" i="13"/>
  <c r="J32" i="13"/>
  <c r="I32" i="13"/>
  <c r="B32" i="13"/>
  <c r="CB31" i="13"/>
  <c r="CA31" i="13"/>
  <c r="BZ31" i="13"/>
  <c r="BY31" i="13"/>
  <c r="BW31" i="13"/>
  <c r="BX31" i="13" s="1"/>
  <c r="BU31" i="13"/>
  <c r="BM31" i="13"/>
  <c r="BE31" i="13"/>
  <c r="AW31" i="13"/>
  <c r="R31" i="13"/>
  <c r="Q31" i="13"/>
  <c r="P31" i="13"/>
  <c r="O31" i="13"/>
  <c r="N31" i="13"/>
  <c r="M31" i="13"/>
  <c r="L31" i="13"/>
  <c r="K31" i="13"/>
  <c r="J31" i="13"/>
  <c r="I31" i="13"/>
  <c r="B31" i="13"/>
  <c r="CB30" i="13"/>
  <c r="CA30" i="13"/>
  <c r="BZ30" i="13"/>
  <c r="BY30" i="13"/>
  <c r="BW30" i="13"/>
  <c r="BX30" i="13" s="1"/>
  <c r="BU30" i="13"/>
  <c r="BM30" i="13"/>
  <c r="BE30" i="13"/>
  <c r="AW30" i="13"/>
  <c r="R30" i="13"/>
  <c r="Q30" i="13"/>
  <c r="P30" i="13"/>
  <c r="O30" i="13"/>
  <c r="N30" i="13"/>
  <c r="M30" i="13"/>
  <c r="L30" i="13"/>
  <c r="K30" i="13"/>
  <c r="J30" i="13"/>
  <c r="I30" i="13"/>
  <c r="B30" i="13"/>
  <c r="CB29" i="13"/>
  <c r="CA29" i="13"/>
  <c r="BZ29" i="13"/>
  <c r="BY29" i="13"/>
  <c r="BW29" i="13"/>
  <c r="BX29" i="13" s="1"/>
  <c r="BU29" i="13"/>
  <c r="BM29" i="13"/>
  <c r="BE29" i="13"/>
  <c r="AW29" i="13"/>
  <c r="R29" i="13"/>
  <c r="Q29" i="13"/>
  <c r="P29" i="13"/>
  <c r="O29" i="13"/>
  <c r="N29" i="13"/>
  <c r="M29" i="13"/>
  <c r="L29" i="13"/>
  <c r="K29" i="13"/>
  <c r="J29" i="13"/>
  <c r="I29" i="13"/>
  <c r="B29" i="13"/>
  <c r="CB28" i="13"/>
  <c r="CA28" i="13"/>
  <c r="BZ28" i="13"/>
  <c r="BY28" i="13"/>
  <c r="BW28" i="13"/>
  <c r="BX28" i="13" s="1"/>
  <c r="BU28" i="13"/>
  <c r="BM28" i="13"/>
  <c r="BE28" i="13"/>
  <c r="AW28" i="13"/>
  <c r="R28" i="13"/>
  <c r="Q28" i="13"/>
  <c r="P28" i="13"/>
  <c r="O28" i="13"/>
  <c r="N28" i="13"/>
  <c r="M28" i="13"/>
  <c r="L28" i="13"/>
  <c r="K28" i="13"/>
  <c r="J28" i="13"/>
  <c r="I28" i="13"/>
  <c r="B28" i="13"/>
  <c r="CB27" i="13"/>
  <c r="CA27" i="13"/>
  <c r="BZ27" i="13"/>
  <c r="BY27" i="13"/>
  <c r="BW27" i="13"/>
  <c r="BX27" i="13" s="1"/>
  <c r="BU27" i="13"/>
  <c r="BM27" i="13"/>
  <c r="BE27" i="13"/>
  <c r="AW27" i="13"/>
  <c r="R27" i="13"/>
  <c r="Q27" i="13"/>
  <c r="P27" i="13"/>
  <c r="O27" i="13"/>
  <c r="N27" i="13"/>
  <c r="M27" i="13"/>
  <c r="L27" i="13"/>
  <c r="K27" i="13"/>
  <c r="J27" i="13"/>
  <c r="I27" i="13"/>
  <c r="B27" i="13"/>
  <c r="CB26" i="13"/>
  <c r="CA26" i="13"/>
  <c r="BY26" i="13"/>
  <c r="BW26" i="13"/>
  <c r="BX26" i="13" s="1"/>
  <c r="BU26" i="13"/>
  <c r="BM26" i="13"/>
  <c r="BE26" i="13"/>
  <c r="AW26" i="13"/>
  <c r="R26" i="13"/>
  <c r="Q26" i="13"/>
  <c r="P26" i="13"/>
  <c r="O26" i="13"/>
  <c r="N26" i="13"/>
  <c r="M26" i="13"/>
  <c r="L26" i="13"/>
  <c r="K26" i="13"/>
  <c r="J26" i="13"/>
  <c r="I26" i="13"/>
  <c r="B26" i="13"/>
  <c r="CB25" i="13"/>
  <c r="CA25" i="13"/>
  <c r="BZ25" i="13"/>
  <c r="BY25" i="13"/>
  <c r="BW25" i="13"/>
  <c r="BX25" i="13" s="1"/>
  <c r="BU25" i="13"/>
  <c r="BM25" i="13"/>
  <c r="BE25" i="13"/>
  <c r="AW25" i="13"/>
  <c r="R25" i="13"/>
  <c r="Q25" i="13"/>
  <c r="P25" i="13"/>
  <c r="O25" i="13"/>
  <c r="N25" i="13"/>
  <c r="M25" i="13"/>
  <c r="L25" i="13"/>
  <c r="K25" i="13"/>
  <c r="J25" i="13"/>
  <c r="I25" i="13"/>
  <c r="B25" i="13"/>
  <c r="CB24" i="13"/>
  <c r="CA24" i="13"/>
  <c r="BZ24" i="13"/>
  <c r="BY24" i="13"/>
  <c r="BW24" i="13"/>
  <c r="BX24" i="13" s="1"/>
  <c r="BT24" i="13"/>
  <c r="BS24" i="13"/>
  <c r="BR24" i="13"/>
  <c r="BQ24" i="13"/>
  <c r="BP24" i="13"/>
  <c r="BO24" i="13"/>
  <c r="BN24" i="13"/>
  <c r="BU24" i="13" s="1"/>
  <c r="BL24" i="13"/>
  <c r="BK24" i="13"/>
  <c r="BJ24" i="13"/>
  <c r="BI24" i="13"/>
  <c r="BH24" i="13"/>
  <c r="BG24" i="13"/>
  <c r="BF24" i="13"/>
  <c r="BM24" i="13" s="1"/>
  <c r="BD24" i="13"/>
  <c r="BC24" i="13"/>
  <c r="BB24" i="13"/>
  <c r="BA24" i="13"/>
  <c r="AZ24" i="13"/>
  <c r="AY24" i="13"/>
  <c r="AX24" i="13"/>
  <c r="BE24" i="13" s="1"/>
  <c r="AW24" i="13"/>
  <c r="AB24" i="13"/>
  <c r="Z24" i="13"/>
  <c r="X24" i="13"/>
  <c r="V24" i="13"/>
  <c r="B24" i="13"/>
  <c r="CB23" i="13"/>
  <c r="CA23" i="13"/>
  <c r="BZ23" i="13"/>
  <c r="BY23" i="13"/>
  <c r="BW23" i="13"/>
  <c r="BX23" i="13" s="1"/>
  <c r="BU23" i="13"/>
  <c r="BM23" i="13"/>
  <c r="BE23" i="13"/>
  <c r="AW23" i="13"/>
  <c r="R23" i="13"/>
  <c r="Q23" i="13"/>
  <c r="P23" i="13"/>
  <c r="O23" i="13"/>
  <c r="N23" i="13"/>
  <c r="M23" i="13"/>
  <c r="L23" i="13"/>
  <c r="K23" i="13"/>
  <c r="J23" i="13"/>
  <c r="I23" i="13"/>
  <c r="B23" i="13"/>
  <c r="CB22" i="13"/>
  <c r="CA22" i="13"/>
  <c r="BZ22" i="13"/>
  <c r="BY22" i="13"/>
  <c r="BW22" i="13"/>
  <c r="BX22" i="13" s="1"/>
  <c r="BU22" i="13"/>
  <c r="BM22" i="13"/>
  <c r="BE22" i="13"/>
  <c r="AW22" i="13"/>
  <c r="R22" i="13"/>
  <c r="Q22" i="13"/>
  <c r="P22" i="13"/>
  <c r="O22" i="13"/>
  <c r="N22" i="13"/>
  <c r="M22" i="13"/>
  <c r="L22" i="13"/>
  <c r="K22" i="13"/>
  <c r="J22" i="13"/>
  <c r="I22" i="13"/>
  <c r="B22" i="13"/>
  <c r="CB21" i="13"/>
  <c r="CA21" i="13"/>
  <c r="BZ21" i="13"/>
  <c r="BY21" i="13"/>
  <c r="BW21" i="13"/>
  <c r="BX21" i="13" s="1"/>
  <c r="BU21" i="13"/>
  <c r="BM21" i="13"/>
  <c r="BE21" i="13"/>
  <c r="AW21" i="13"/>
  <c r="R21" i="13"/>
  <c r="Q21" i="13"/>
  <c r="P21" i="13"/>
  <c r="O21" i="13"/>
  <c r="N21" i="13"/>
  <c r="M21" i="13"/>
  <c r="L21" i="13"/>
  <c r="K21" i="13"/>
  <c r="J21" i="13"/>
  <c r="I21" i="13"/>
  <c r="B21" i="13"/>
  <c r="CB20" i="13"/>
  <c r="CA20" i="13"/>
  <c r="BZ20" i="13"/>
  <c r="BY20" i="13"/>
  <c r="BW20" i="13"/>
  <c r="BX20" i="13" s="1"/>
  <c r="BU20" i="13"/>
  <c r="BM20" i="13"/>
  <c r="BE20" i="13"/>
  <c r="AW20" i="13"/>
  <c r="R20" i="13"/>
  <c r="Q20" i="13"/>
  <c r="P20" i="13"/>
  <c r="O20" i="13"/>
  <c r="N20" i="13"/>
  <c r="M20" i="13"/>
  <c r="L20" i="13"/>
  <c r="K20" i="13"/>
  <c r="J20" i="13"/>
  <c r="I20" i="13"/>
  <c r="B20" i="13"/>
  <c r="CB19" i="13"/>
  <c r="CA19" i="13"/>
  <c r="BZ19" i="13"/>
  <c r="BY19" i="13"/>
  <c r="BW19" i="13"/>
  <c r="BX19" i="13" s="1"/>
  <c r="BU19" i="13"/>
  <c r="BM19" i="13"/>
  <c r="BE19" i="13"/>
  <c r="AW19" i="13"/>
  <c r="R19" i="13"/>
  <c r="Q19" i="13"/>
  <c r="P19" i="13"/>
  <c r="O19" i="13"/>
  <c r="N19" i="13"/>
  <c r="M19" i="13"/>
  <c r="L19" i="13"/>
  <c r="K19" i="13"/>
  <c r="J19" i="13"/>
  <c r="I19" i="13"/>
  <c r="B19" i="13"/>
  <c r="CB18" i="13"/>
  <c r="CA18" i="13"/>
  <c r="BZ18" i="13"/>
  <c r="BY18" i="13"/>
  <c r="BW18" i="13"/>
  <c r="BX18" i="13" s="1"/>
  <c r="BU18" i="13"/>
  <c r="BM18" i="13"/>
  <c r="BE18" i="13"/>
  <c r="AW18" i="13"/>
  <c r="R18" i="13"/>
  <c r="Q18" i="13"/>
  <c r="P18" i="13"/>
  <c r="O18" i="13"/>
  <c r="N18" i="13"/>
  <c r="M18" i="13"/>
  <c r="L18" i="13"/>
  <c r="K18" i="13"/>
  <c r="J18" i="13"/>
  <c r="I18" i="13"/>
  <c r="B18" i="13"/>
  <c r="CB17" i="13"/>
  <c r="CA17" i="13"/>
  <c r="BZ17" i="13"/>
  <c r="BY17" i="13"/>
  <c r="BW17" i="13"/>
  <c r="BX17" i="13" s="1"/>
  <c r="BU17" i="13"/>
  <c r="BM17" i="13"/>
  <c r="BE17" i="13"/>
  <c r="AW17" i="13"/>
  <c r="R17" i="13"/>
  <c r="Q17" i="13"/>
  <c r="P17" i="13"/>
  <c r="O17" i="13"/>
  <c r="N17" i="13"/>
  <c r="M17" i="13"/>
  <c r="L17" i="13"/>
  <c r="K17" i="13"/>
  <c r="J17" i="13"/>
  <c r="I17" i="13"/>
  <c r="B17" i="13"/>
  <c r="CB16" i="13"/>
  <c r="CA16" i="13"/>
  <c r="BZ16" i="13"/>
  <c r="BY16" i="13"/>
  <c r="BW16" i="13"/>
  <c r="BX16" i="13" s="1"/>
  <c r="BU16" i="13"/>
  <c r="BM16" i="13"/>
  <c r="BE16" i="13"/>
  <c r="AW16" i="13"/>
  <c r="R16" i="13"/>
  <c r="Q16" i="13"/>
  <c r="P16" i="13"/>
  <c r="O16" i="13"/>
  <c r="N16" i="13"/>
  <c r="M16" i="13"/>
  <c r="L16" i="13"/>
  <c r="K16" i="13"/>
  <c r="J16" i="13"/>
  <c r="I16" i="13"/>
  <c r="B16" i="13"/>
  <c r="CB15" i="13"/>
  <c r="CA15" i="13"/>
  <c r="BZ15" i="13"/>
  <c r="BY15" i="13"/>
  <c r="BW15" i="13"/>
  <c r="BX15" i="13" s="1"/>
  <c r="BU15" i="13"/>
  <c r="BM15" i="13"/>
  <c r="BE15" i="13"/>
  <c r="R15" i="13"/>
  <c r="Q15" i="13"/>
  <c r="P15" i="13"/>
  <c r="O15" i="13"/>
  <c r="N15" i="13"/>
  <c r="M15" i="13"/>
  <c r="L15" i="13"/>
  <c r="K15" i="13"/>
  <c r="J15" i="13"/>
  <c r="I15" i="13"/>
  <c r="B15" i="13"/>
  <c r="CB14" i="13"/>
  <c r="CA14" i="13"/>
  <c r="BZ14" i="13"/>
  <c r="BY14" i="13"/>
  <c r="BW14" i="13"/>
  <c r="BX14" i="13" s="1"/>
  <c r="BU14" i="13"/>
  <c r="BM14" i="13"/>
  <c r="BE14" i="13"/>
  <c r="R14" i="13"/>
  <c r="Q14" i="13"/>
  <c r="P14" i="13"/>
  <c r="O14" i="13"/>
  <c r="N14" i="13"/>
  <c r="M14" i="13"/>
  <c r="L14" i="13"/>
  <c r="K14" i="13"/>
  <c r="J14" i="13"/>
  <c r="I14" i="13"/>
  <c r="B14" i="13"/>
  <c r="CB13" i="13"/>
  <c r="CA13" i="13"/>
  <c r="BZ13" i="13"/>
  <c r="BY13" i="13"/>
  <c r="BW13" i="13"/>
  <c r="BX13" i="13" s="1"/>
  <c r="BU13" i="13"/>
  <c r="BM13" i="13"/>
  <c r="BE13" i="13"/>
  <c r="R13" i="13"/>
  <c r="Q13" i="13"/>
  <c r="P13" i="13"/>
  <c r="O13" i="13"/>
  <c r="N13" i="13"/>
  <c r="M13" i="13"/>
  <c r="L13" i="13"/>
  <c r="K13" i="13"/>
  <c r="J13" i="13"/>
  <c r="I13" i="13"/>
  <c r="B13" i="13"/>
  <c r="CB12" i="13"/>
  <c r="CA12" i="13"/>
  <c r="BY12" i="13"/>
  <c r="BW12" i="13"/>
  <c r="BX12" i="13" s="1"/>
  <c r="BU12" i="13"/>
  <c r="BM12" i="13"/>
  <c r="BE12" i="13"/>
  <c r="R12" i="13"/>
  <c r="Q12" i="13"/>
  <c r="P12" i="13"/>
  <c r="O12" i="13"/>
  <c r="N12" i="13"/>
  <c r="M12" i="13"/>
  <c r="L12" i="13"/>
  <c r="K12" i="13"/>
  <c r="J12" i="13"/>
  <c r="I12" i="13"/>
  <c r="B12" i="13"/>
  <c r="CB11" i="13"/>
  <c r="CA11" i="13"/>
  <c r="BZ11" i="13"/>
  <c r="BY11" i="13"/>
  <c r="BW11" i="13"/>
  <c r="BX11" i="13" s="1"/>
  <c r="BU11" i="13"/>
  <c r="BM11" i="13"/>
  <c r="BE11" i="13"/>
  <c r="R11" i="13"/>
  <c r="Q11" i="13"/>
  <c r="O11" i="13"/>
  <c r="N11" i="13"/>
  <c r="M11" i="13"/>
  <c r="L11" i="13"/>
  <c r="K11" i="13"/>
  <c r="J11" i="13"/>
  <c r="I11" i="13"/>
  <c r="B11" i="13"/>
  <c r="CB10" i="13"/>
  <c r="CA10" i="13"/>
  <c r="BZ10" i="13"/>
  <c r="BY10" i="13"/>
  <c r="BW10" i="13"/>
  <c r="BX10" i="13" s="1"/>
  <c r="BU10" i="13"/>
  <c r="BM10" i="13"/>
  <c r="BE10" i="13"/>
  <c r="R10" i="13"/>
  <c r="Q10" i="13"/>
  <c r="P10" i="13"/>
  <c r="O10" i="13"/>
  <c r="N10" i="13"/>
  <c r="M10" i="13"/>
  <c r="L10" i="13"/>
  <c r="K10" i="13"/>
  <c r="J10" i="13"/>
  <c r="I10" i="13"/>
  <c r="B10" i="13"/>
  <c r="CB9" i="13"/>
  <c r="CA9" i="13"/>
  <c r="BZ9" i="13"/>
  <c r="BY9" i="13"/>
  <c r="BW9" i="13"/>
  <c r="BX9" i="13" s="1"/>
  <c r="BU9" i="13"/>
  <c r="BM9" i="13"/>
  <c r="BE9" i="13"/>
  <c r="R9" i="13"/>
  <c r="Q9" i="13"/>
  <c r="P9" i="13"/>
  <c r="O9" i="13"/>
  <c r="M9" i="13"/>
  <c r="L9" i="13"/>
  <c r="K9" i="13"/>
  <c r="J9" i="13"/>
  <c r="I9" i="13"/>
  <c r="B9" i="13"/>
  <c r="BT8" i="13"/>
  <c r="BS8" i="13"/>
  <c r="BR8" i="13"/>
  <c r="BQ8" i="13"/>
  <c r="BP8" i="13"/>
  <c r="BO8" i="13"/>
  <c r="BN8" i="13"/>
  <c r="BU8" i="13" s="1"/>
  <c r="BL8" i="13"/>
  <c r="BK8" i="13"/>
  <c r="BJ8" i="13"/>
  <c r="BI8" i="13"/>
  <c r="BH8" i="13"/>
  <c r="BG8" i="13"/>
  <c r="BF8" i="13"/>
  <c r="BM8" i="13" s="1"/>
  <c r="BD8" i="13"/>
  <c r="BC8" i="13"/>
  <c r="BB8" i="13"/>
  <c r="BA8" i="13"/>
  <c r="AZ8" i="13"/>
  <c r="AY8" i="13"/>
  <c r="AX8" i="13"/>
  <c r="BE8" i="13" s="1"/>
  <c r="AV8" i="13"/>
  <c r="AU8" i="13"/>
  <c r="AT8" i="13"/>
  <c r="AS8" i="13"/>
  <c r="AR8" i="13"/>
  <c r="AQ8" i="13"/>
  <c r="AP8" i="13"/>
  <c r="AW8" i="13" s="1"/>
  <c r="AB8" i="13"/>
  <c r="Z8" i="13"/>
  <c r="X8" i="13"/>
  <c r="V8" i="13"/>
  <c r="BU7" i="13"/>
  <c r="BM7" i="13"/>
  <c r="BE7" i="13"/>
  <c r="AW7" i="13"/>
  <c r="BU6" i="13"/>
  <c r="BM6" i="13"/>
  <c r="BE6" i="13"/>
  <c r="AW6" i="13"/>
  <c r="BU5" i="13"/>
  <c r="BM5" i="13"/>
  <c r="BE5" i="13"/>
  <c r="AW5" i="13"/>
  <c r="AC236" i="8"/>
  <c r="BW33" i="13"/>
  <c r="BX33" i="13" s="1"/>
  <c r="AW162" i="13"/>
  <c r="BW305" i="13"/>
  <c r="BX305" i="13" s="1"/>
  <c r="BY117" i="13"/>
  <c r="BY450" i="13"/>
  <c r="AW444" i="13"/>
  <c r="BY422" i="13"/>
  <c r="AC191" i="8"/>
  <c r="X114" i="6"/>
  <c r="AF114" i="6"/>
  <c r="AM114" i="6"/>
  <c r="AU114" i="6"/>
  <c r="BC114" i="6"/>
  <c r="X115" i="6"/>
  <c r="AF115" i="6"/>
  <c r="AM115" i="6"/>
  <c r="AU115" i="6"/>
  <c r="BC115" i="6"/>
  <c r="X116" i="6"/>
  <c r="AF116" i="6"/>
  <c r="AM116" i="6"/>
  <c r="AU116" i="6"/>
  <c r="BC116" i="6"/>
  <c r="X117" i="6"/>
  <c r="AF117" i="6"/>
  <c r="AM117" i="6"/>
  <c r="AU117" i="6"/>
  <c r="BC117" i="6"/>
  <c r="BC112" i="6"/>
  <c r="AU112" i="6"/>
  <c r="AM112" i="6"/>
  <c r="BC111" i="6"/>
  <c r="AU111" i="6"/>
  <c r="AM111" i="6"/>
  <c r="X112" i="6"/>
  <c r="X111" i="6"/>
  <c r="BC110" i="6"/>
  <c r="AU110" i="6"/>
  <c r="AM110" i="6"/>
  <c r="F18" i="9"/>
  <c r="AC158" i="8"/>
  <c r="BV158" i="8" s="1"/>
  <c r="BW158" i="8" s="1"/>
  <c r="AC117" i="8"/>
  <c r="BX117" i="8" s="1"/>
  <c r="N7" i="9"/>
  <c r="G8" i="9"/>
  <c r="J8" i="9"/>
  <c r="I8" i="9"/>
  <c r="H8" i="9"/>
  <c r="G9" i="9"/>
  <c r="J9" i="9"/>
  <c r="I9" i="9"/>
  <c r="H9" i="9"/>
  <c r="G10" i="9"/>
  <c r="J10" i="9"/>
  <c r="I10" i="9"/>
  <c r="H10" i="9"/>
  <c r="G11" i="9"/>
  <c r="J11" i="9"/>
  <c r="I11" i="9"/>
  <c r="H11" i="9"/>
  <c r="G12" i="9"/>
  <c r="J12" i="9"/>
  <c r="I12" i="9"/>
  <c r="H12" i="9"/>
  <c r="G13" i="9"/>
  <c r="J13" i="9"/>
  <c r="I13" i="9"/>
  <c r="H13" i="9"/>
  <c r="G14" i="9"/>
  <c r="J14" i="9"/>
  <c r="I14" i="9"/>
  <c r="H14" i="9"/>
  <c r="G15" i="9"/>
  <c r="J15" i="9"/>
  <c r="I15" i="9"/>
  <c r="H15" i="9"/>
  <c r="J16" i="9"/>
  <c r="I16" i="9"/>
  <c r="H16" i="9"/>
  <c r="AM289" i="8"/>
  <c r="G17" i="9" s="1"/>
  <c r="N18" i="9"/>
  <c r="G19" i="9"/>
  <c r="J19" i="9"/>
  <c r="I19" i="9"/>
  <c r="H19" i="9"/>
  <c r="G20" i="9"/>
  <c r="J20" i="9"/>
  <c r="I20" i="9"/>
  <c r="H20" i="9"/>
  <c r="G21" i="9"/>
  <c r="J21" i="9"/>
  <c r="I21" i="9"/>
  <c r="H21" i="9"/>
  <c r="G22" i="9"/>
  <c r="J22" i="9"/>
  <c r="I22" i="9"/>
  <c r="H22" i="9"/>
  <c r="G6" i="9"/>
  <c r="J6" i="9"/>
  <c r="I6" i="9"/>
  <c r="H6" i="9"/>
  <c r="M7" i="9"/>
  <c r="M18" i="9"/>
  <c r="AC132" i="8"/>
  <c r="L7" i="9"/>
  <c r="L18" i="9"/>
  <c r="AO241" i="8"/>
  <c r="AP98" i="8"/>
  <c r="AV98" i="8" s="1"/>
  <c r="AQ51" i="8"/>
  <c r="AQ75" i="8"/>
  <c r="AR51" i="8"/>
  <c r="AR75" i="8"/>
  <c r="AS51" i="8"/>
  <c r="AS75" i="8"/>
  <c r="AT51" i="8"/>
  <c r="AT75" i="8"/>
  <c r="AU51" i="8"/>
  <c r="AU75" i="8"/>
  <c r="AC68" i="8"/>
  <c r="AC52" i="8"/>
  <c r="AP400" i="8"/>
  <c r="F7" i="9"/>
  <c r="AV91" i="8"/>
  <c r="AV93" i="8"/>
  <c r="AV95" i="8"/>
  <c r="AV97" i="8"/>
  <c r="AV89" i="8"/>
  <c r="AV88" i="8"/>
  <c r="AV92" i="8"/>
  <c r="AV94" i="8"/>
  <c r="AV96" i="8"/>
  <c r="AV100" i="8"/>
  <c r="AV102" i="8"/>
  <c r="AV103" i="8"/>
  <c r="AV105" i="8"/>
  <c r="AV106" i="8"/>
  <c r="AV107" i="8"/>
  <c r="AV101" i="8"/>
  <c r="AV104" i="8"/>
  <c r="AP99" i="8"/>
  <c r="AQ99" i="8"/>
  <c r="AR99" i="8"/>
  <c r="AS99" i="8"/>
  <c r="AT99" i="8"/>
  <c r="AU99" i="8"/>
  <c r="AO99" i="8"/>
  <c r="AQ87" i="8"/>
  <c r="AR87" i="8"/>
  <c r="AS87" i="8"/>
  <c r="AT87" i="8"/>
  <c r="AU87" i="8"/>
  <c r="AO87" i="8"/>
  <c r="AP75" i="8"/>
  <c r="AV76" i="8"/>
  <c r="AV77" i="8"/>
  <c r="AV81" i="8"/>
  <c r="AV82" i="8"/>
  <c r="AV83" i="8"/>
  <c r="AV78" i="8"/>
  <c r="AV79" i="8"/>
  <c r="AV80" i="8"/>
  <c r="AV84" i="8"/>
  <c r="AO75" i="8"/>
  <c r="AP51" i="8"/>
  <c r="AO51" i="8"/>
  <c r="AC59" i="8"/>
  <c r="AC54" i="8"/>
  <c r="AC47" i="8"/>
  <c r="AC45" i="8"/>
  <c r="BX45" i="8" s="1"/>
  <c r="AO492" i="8"/>
  <c r="AV492" i="8" s="1"/>
  <c r="AP489" i="8"/>
  <c r="AP485" i="8" s="1"/>
  <c r="AO489" i="8"/>
  <c r="P135" i="8"/>
  <c r="AO494" i="8"/>
  <c r="AO244" i="8"/>
  <c r="AO444" i="8"/>
  <c r="AP444" i="8"/>
  <c r="AO422" i="8"/>
  <c r="AO442" i="8"/>
  <c r="AP162" i="8"/>
  <c r="AO162" i="8"/>
  <c r="AO157" i="8" s="1"/>
  <c r="AP180" i="8"/>
  <c r="AP177" i="8"/>
  <c r="AC176" i="8"/>
  <c r="AP174" i="8"/>
  <c r="AP168" i="8"/>
  <c r="AP166" i="8"/>
  <c r="AP163" i="8"/>
  <c r="AO209" i="8"/>
  <c r="AO201" i="8" s="1"/>
  <c r="AP201" i="8"/>
  <c r="AQ201" i="8"/>
  <c r="AR201" i="8"/>
  <c r="AS201" i="8"/>
  <c r="AT201" i="8"/>
  <c r="AU201" i="8"/>
  <c r="BK499" i="1"/>
  <c r="BJ499" i="1"/>
  <c r="BI499" i="1"/>
  <c r="BH499" i="1"/>
  <c r="BG499" i="1"/>
  <c r="BF499" i="1"/>
  <c r="BE499" i="1"/>
  <c r="BD499" i="1"/>
  <c r="AV499" i="1"/>
  <c r="AN499" i="1"/>
  <c r="AG499" i="1"/>
  <c r="BK498" i="1"/>
  <c r="BJ498" i="1"/>
  <c r="BI498" i="1"/>
  <c r="BH498" i="1"/>
  <c r="BG498" i="1"/>
  <c r="BF498" i="1"/>
  <c r="BE498" i="1"/>
  <c r="BD498" i="1"/>
  <c r="AV498" i="1"/>
  <c r="AN498" i="1"/>
  <c r="AG498" i="1"/>
  <c r="BK497" i="1"/>
  <c r="BJ497" i="1"/>
  <c r="BI497" i="1"/>
  <c r="BH497" i="1"/>
  <c r="BG497" i="1"/>
  <c r="BF497" i="1"/>
  <c r="BE497" i="1"/>
  <c r="BD497" i="1"/>
  <c r="AV497" i="1"/>
  <c r="AN497" i="1"/>
  <c r="AG497" i="1"/>
  <c r="BD496" i="1"/>
  <c r="AV496" i="1"/>
  <c r="AN496" i="1"/>
  <c r="BK495" i="1"/>
  <c r="BJ495" i="1"/>
  <c r="BI495" i="1"/>
  <c r="BH495" i="1"/>
  <c r="BG495" i="1"/>
  <c r="BF495" i="1"/>
  <c r="BE495" i="1"/>
  <c r="BD495" i="1"/>
  <c r="AV495" i="1"/>
  <c r="AN495" i="1"/>
  <c r="AG495" i="1"/>
  <c r="BK494" i="1"/>
  <c r="BJ494" i="1"/>
  <c r="BI494" i="1"/>
  <c r="BH494" i="1"/>
  <c r="BG494" i="1"/>
  <c r="BF494" i="1"/>
  <c r="BE494" i="1"/>
  <c r="BD494" i="1"/>
  <c r="AV494" i="1"/>
  <c r="AN494" i="1"/>
  <c r="AG494" i="1"/>
  <c r="BK493" i="1"/>
  <c r="BJ493" i="1"/>
  <c r="BI493" i="1"/>
  <c r="BH493" i="1"/>
  <c r="BG493" i="1"/>
  <c r="BF493" i="1"/>
  <c r="BE493" i="1"/>
  <c r="BD493" i="1"/>
  <c r="AV493" i="1"/>
  <c r="AN493" i="1"/>
  <c r="AG493" i="1"/>
  <c r="BC492" i="1"/>
  <c r="BB492" i="1"/>
  <c r="BA492" i="1"/>
  <c r="AZ492" i="1"/>
  <c r="AY492" i="1"/>
  <c r="AX492" i="1"/>
  <c r="AW492" i="1"/>
  <c r="AU492" i="1"/>
  <c r="AT492" i="1"/>
  <c r="AS492" i="1"/>
  <c r="AR492" i="1"/>
  <c r="AQ492" i="1"/>
  <c r="AP492" i="1"/>
  <c r="AO492" i="1"/>
  <c r="AM492" i="1"/>
  <c r="AL492" i="1"/>
  <c r="AK492" i="1"/>
  <c r="AJ492" i="1"/>
  <c r="AI492" i="1"/>
  <c r="AH492" i="1"/>
  <c r="AF492" i="1"/>
  <c r="AE492" i="1"/>
  <c r="AD492" i="1"/>
  <c r="AC492" i="1"/>
  <c r="AB492" i="1"/>
  <c r="AA492" i="1"/>
  <c r="Z492" i="1"/>
  <c r="BK491" i="1"/>
  <c r="BJ491" i="1"/>
  <c r="BI491" i="1"/>
  <c r="BH491" i="1"/>
  <c r="BG491" i="1"/>
  <c r="BF491" i="1"/>
  <c r="BE491" i="1"/>
  <c r="BD491" i="1"/>
  <c r="AV491" i="1"/>
  <c r="AN491" i="1"/>
  <c r="AG491" i="1"/>
  <c r="Y491" i="1"/>
  <c r="BK490" i="1"/>
  <c r="BJ490" i="1"/>
  <c r="BI490" i="1"/>
  <c r="BH490" i="1"/>
  <c r="BG490" i="1"/>
  <c r="BF490" i="1"/>
  <c r="BE490" i="1"/>
  <c r="BD490" i="1"/>
  <c r="AV490" i="1"/>
  <c r="AN490" i="1"/>
  <c r="AG490" i="1"/>
  <c r="Y490" i="1"/>
  <c r="BK489" i="1"/>
  <c r="BJ489" i="1"/>
  <c r="BI489" i="1"/>
  <c r="BH489" i="1"/>
  <c r="BG489" i="1"/>
  <c r="BF489" i="1"/>
  <c r="BE489" i="1"/>
  <c r="BD489" i="1"/>
  <c r="AV489" i="1"/>
  <c r="AN489" i="1"/>
  <c r="AG489" i="1"/>
  <c r="Y489" i="1"/>
  <c r="BK488" i="1"/>
  <c r="BJ488" i="1"/>
  <c r="BI488" i="1"/>
  <c r="BH488" i="1"/>
  <c r="BG488" i="1"/>
  <c r="BF488" i="1"/>
  <c r="BE488" i="1"/>
  <c r="BD488" i="1"/>
  <c r="AV488" i="1"/>
  <c r="AN488" i="1"/>
  <c r="AG488" i="1"/>
  <c r="BJ487" i="1"/>
  <c r="AG487" i="1"/>
  <c r="BK486" i="1"/>
  <c r="BJ486" i="1"/>
  <c r="BI486" i="1"/>
  <c r="BH486" i="1"/>
  <c r="BG486" i="1"/>
  <c r="BF486" i="1"/>
  <c r="BE486" i="1"/>
  <c r="BD486" i="1"/>
  <c r="AV486" i="1"/>
  <c r="AN486" i="1"/>
  <c r="AG486" i="1"/>
  <c r="Y486" i="1"/>
  <c r="BK485" i="1"/>
  <c r="BJ485" i="1"/>
  <c r="BI485" i="1"/>
  <c r="BH485" i="1"/>
  <c r="BG485" i="1"/>
  <c r="BF485" i="1"/>
  <c r="BE485" i="1"/>
  <c r="BD485" i="1"/>
  <c r="AV485" i="1"/>
  <c r="AN485" i="1"/>
  <c r="AG485" i="1"/>
  <c r="Y485" i="1"/>
  <c r="BC484" i="1"/>
  <c r="BB484" i="1"/>
  <c r="BB483" i="1" s="1"/>
  <c r="BA484" i="1"/>
  <c r="BA483" i="1" s="1"/>
  <c r="AZ484" i="1"/>
  <c r="AY484" i="1"/>
  <c r="AX484" i="1"/>
  <c r="AW484" i="1"/>
  <c r="AU484" i="1"/>
  <c r="AT484" i="1"/>
  <c r="AS484" i="1"/>
  <c r="AS483" i="1" s="1"/>
  <c r="AR484" i="1"/>
  <c r="AQ484" i="1"/>
  <c r="AP484" i="1"/>
  <c r="AO484" i="1"/>
  <c r="AM484" i="1"/>
  <c r="AL484" i="1"/>
  <c r="AK484" i="1"/>
  <c r="AJ484" i="1"/>
  <c r="AI484" i="1"/>
  <c r="AH484" i="1"/>
  <c r="AF484" i="1"/>
  <c r="AE484" i="1"/>
  <c r="AD484" i="1"/>
  <c r="AC484" i="1"/>
  <c r="AB484" i="1"/>
  <c r="AA484" i="1"/>
  <c r="Z484" i="1"/>
  <c r="Z448" i="1"/>
  <c r="Z447" i="1" s="1"/>
  <c r="BL482" i="1"/>
  <c r="AT482" i="1"/>
  <c r="BB482" i="1" s="1"/>
  <c r="BJ482" i="1" s="1"/>
  <c r="AM482" i="1"/>
  <c r="BK482" i="1" s="1"/>
  <c r="AL482" i="1"/>
  <c r="AS482" i="1" s="1"/>
  <c r="BA482" i="1" s="1"/>
  <c r="BI482" i="1" s="1"/>
  <c r="AK482" i="1"/>
  <c r="AR482" i="1" s="1"/>
  <c r="AZ482" i="1" s="1"/>
  <c r="BH482" i="1" s="1"/>
  <c r="AJ482" i="1"/>
  <c r="AQ482" i="1" s="1"/>
  <c r="AY482" i="1" s="1"/>
  <c r="BG482" i="1" s="1"/>
  <c r="AI482" i="1"/>
  <c r="AP482" i="1" s="1"/>
  <c r="AX482" i="1" s="1"/>
  <c r="BF482" i="1" s="1"/>
  <c r="AH482" i="1"/>
  <c r="AO482" i="1" s="1"/>
  <c r="AW482" i="1" s="1"/>
  <c r="BE482" i="1" s="1"/>
  <c r="BK481" i="1"/>
  <c r="BJ481" i="1"/>
  <c r="BI481" i="1"/>
  <c r="BH481" i="1"/>
  <c r="BG481" i="1"/>
  <c r="BF481" i="1"/>
  <c r="BE481" i="1"/>
  <c r="AG481" i="1"/>
  <c r="BL481" i="1" s="1"/>
  <c r="AV480" i="1"/>
  <c r="AN479" i="1"/>
  <c r="BK478" i="1"/>
  <c r="BJ478" i="1"/>
  <c r="BI478" i="1"/>
  <c r="BH478" i="1"/>
  <c r="BG478" i="1"/>
  <c r="BF478" i="1"/>
  <c r="BE478" i="1"/>
  <c r="BD478" i="1"/>
  <c r="AV478" i="1"/>
  <c r="AN478" i="1"/>
  <c r="AG478" i="1"/>
  <c r="BD477" i="1"/>
  <c r="AV477" i="1"/>
  <c r="AN477" i="1"/>
  <c r="AG477" i="1"/>
  <c r="BK476" i="1"/>
  <c r="BJ476" i="1"/>
  <c r="BI476" i="1"/>
  <c r="BH476" i="1"/>
  <c r="BG476" i="1"/>
  <c r="BF476" i="1"/>
  <c r="BE476" i="1"/>
  <c r="BD476" i="1"/>
  <c r="AV476" i="1"/>
  <c r="AN476" i="1"/>
  <c r="AG476" i="1"/>
  <c r="BK475" i="1"/>
  <c r="BJ475" i="1"/>
  <c r="BI475" i="1"/>
  <c r="BH475" i="1"/>
  <c r="BG475" i="1"/>
  <c r="BF475" i="1"/>
  <c r="BE475" i="1"/>
  <c r="BD475" i="1"/>
  <c r="AV475" i="1"/>
  <c r="AN475" i="1"/>
  <c r="AG475" i="1"/>
  <c r="BK474" i="1"/>
  <c r="BJ474" i="1"/>
  <c r="BI474" i="1"/>
  <c r="BH474" i="1"/>
  <c r="BG474" i="1"/>
  <c r="BF474" i="1"/>
  <c r="BE474" i="1"/>
  <c r="BD474" i="1"/>
  <c r="AV474" i="1"/>
  <c r="AN474" i="1"/>
  <c r="AG474" i="1"/>
  <c r="BK473" i="1"/>
  <c r="BJ473" i="1"/>
  <c r="BI473" i="1"/>
  <c r="BH473" i="1"/>
  <c r="BG473" i="1"/>
  <c r="BF473" i="1"/>
  <c r="BE473" i="1"/>
  <c r="BD473" i="1"/>
  <c r="AV473" i="1"/>
  <c r="AN473" i="1"/>
  <c r="AG473" i="1"/>
  <c r="BK472" i="1"/>
  <c r="BJ472" i="1"/>
  <c r="BI472" i="1"/>
  <c r="BH472" i="1"/>
  <c r="BG472" i="1"/>
  <c r="BF472" i="1"/>
  <c r="BE472" i="1"/>
  <c r="BD472" i="1"/>
  <c r="AV472" i="1"/>
  <c r="AN472" i="1"/>
  <c r="AG472" i="1"/>
  <c r="BK471" i="1"/>
  <c r="BJ471" i="1"/>
  <c r="BI471" i="1"/>
  <c r="BH471" i="1"/>
  <c r="BG471" i="1"/>
  <c r="BF471" i="1"/>
  <c r="BE471" i="1"/>
  <c r="BD471" i="1"/>
  <c r="AV471" i="1"/>
  <c r="AN471" i="1"/>
  <c r="AG471" i="1"/>
  <c r="BK470" i="1"/>
  <c r="BJ470" i="1"/>
  <c r="BI470" i="1"/>
  <c r="BH470" i="1"/>
  <c r="BG470" i="1"/>
  <c r="BF470" i="1"/>
  <c r="BE470" i="1"/>
  <c r="BD470" i="1"/>
  <c r="AV470" i="1"/>
  <c r="AN470" i="1"/>
  <c r="AG470" i="1"/>
  <c r="BK469" i="1"/>
  <c r="BJ469" i="1"/>
  <c r="BI469" i="1"/>
  <c r="BH469" i="1"/>
  <c r="BG469" i="1"/>
  <c r="BF469" i="1"/>
  <c r="BE469" i="1"/>
  <c r="BD469" i="1"/>
  <c r="AV469" i="1"/>
  <c r="AN469" i="1"/>
  <c r="AG469" i="1"/>
  <c r="BK468" i="1"/>
  <c r="BJ468" i="1"/>
  <c r="BI468" i="1"/>
  <c r="BH468" i="1"/>
  <c r="BG468" i="1"/>
  <c r="BF468" i="1"/>
  <c r="BE468" i="1"/>
  <c r="BD468" i="1"/>
  <c r="AV468" i="1"/>
  <c r="AN468" i="1"/>
  <c r="AG468" i="1"/>
  <c r="BK467" i="1"/>
  <c r="BJ467" i="1"/>
  <c r="BI467" i="1"/>
  <c r="BH467" i="1"/>
  <c r="BG467" i="1"/>
  <c r="BF467" i="1"/>
  <c r="BE467" i="1"/>
  <c r="BD467" i="1"/>
  <c r="AV467" i="1"/>
  <c r="AN467" i="1"/>
  <c r="AG467" i="1"/>
  <c r="BK466" i="1"/>
  <c r="BJ466" i="1"/>
  <c r="BI466" i="1"/>
  <c r="BH466" i="1"/>
  <c r="BG466" i="1"/>
  <c r="BF466" i="1"/>
  <c r="BE466" i="1"/>
  <c r="BD466" i="1"/>
  <c r="AV466" i="1"/>
  <c r="AN466" i="1"/>
  <c r="AG466" i="1"/>
  <c r="BK465" i="1"/>
  <c r="BJ465" i="1"/>
  <c r="BI465" i="1"/>
  <c r="BH465" i="1"/>
  <c r="BG465" i="1"/>
  <c r="BF465" i="1"/>
  <c r="BE465" i="1"/>
  <c r="BD465" i="1"/>
  <c r="AV465" i="1"/>
  <c r="AN465" i="1"/>
  <c r="AG465" i="1"/>
  <c r="BK464" i="1"/>
  <c r="BJ464" i="1"/>
  <c r="BI464" i="1"/>
  <c r="BH464" i="1"/>
  <c r="BG464" i="1"/>
  <c r="BF464" i="1"/>
  <c r="BE464" i="1"/>
  <c r="BD464" i="1"/>
  <c r="AV464" i="1"/>
  <c r="AN464" i="1"/>
  <c r="AG464" i="1"/>
  <c r="BK463" i="1"/>
  <c r="BJ463" i="1"/>
  <c r="BI463" i="1"/>
  <c r="BH463" i="1"/>
  <c r="BG463" i="1"/>
  <c r="BF463" i="1"/>
  <c r="BE463" i="1"/>
  <c r="BD463" i="1"/>
  <c r="AV463" i="1"/>
  <c r="AN463" i="1"/>
  <c r="AG463" i="1"/>
  <c r="BK462" i="1"/>
  <c r="BJ462" i="1"/>
  <c r="BI462" i="1"/>
  <c r="BH462" i="1"/>
  <c r="BG462" i="1"/>
  <c r="BF462" i="1"/>
  <c r="BE462" i="1"/>
  <c r="BD462" i="1"/>
  <c r="AV462" i="1"/>
  <c r="AN462" i="1"/>
  <c r="AG462" i="1"/>
  <c r="BK461" i="1"/>
  <c r="BJ461" i="1"/>
  <c r="BI461" i="1"/>
  <c r="BH461" i="1"/>
  <c r="BG461" i="1"/>
  <c r="BF461" i="1"/>
  <c r="BE461" i="1"/>
  <c r="BD461" i="1"/>
  <c r="AV461" i="1"/>
  <c r="AN461" i="1"/>
  <c r="AG461" i="1"/>
  <c r="BK460" i="1"/>
  <c r="BJ460" i="1"/>
  <c r="BI460" i="1"/>
  <c r="BH460" i="1"/>
  <c r="BG460" i="1"/>
  <c r="BF460" i="1"/>
  <c r="BE460" i="1"/>
  <c r="BD460" i="1"/>
  <c r="AV460" i="1"/>
  <c r="AN460" i="1"/>
  <c r="AG460" i="1"/>
  <c r="BK459" i="1"/>
  <c r="BJ459" i="1"/>
  <c r="BI459" i="1"/>
  <c r="BH459" i="1"/>
  <c r="BG459" i="1"/>
  <c r="BF459" i="1"/>
  <c r="BE459" i="1"/>
  <c r="BD459" i="1"/>
  <c r="AV459" i="1"/>
  <c r="AN459" i="1"/>
  <c r="AG459" i="1"/>
  <c r="BK458" i="1"/>
  <c r="BJ458" i="1"/>
  <c r="BI458" i="1"/>
  <c r="BH458" i="1"/>
  <c r="BG458" i="1"/>
  <c r="BF458" i="1"/>
  <c r="BE458" i="1"/>
  <c r="BD458" i="1"/>
  <c r="AV458" i="1"/>
  <c r="AN458" i="1"/>
  <c r="AG458" i="1"/>
  <c r="BK457" i="1"/>
  <c r="BJ457" i="1"/>
  <c r="BI457" i="1"/>
  <c r="BH457" i="1"/>
  <c r="BG457" i="1"/>
  <c r="BF457" i="1"/>
  <c r="BE457" i="1"/>
  <c r="BD457" i="1"/>
  <c r="AV457" i="1"/>
  <c r="AN457" i="1"/>
  <c r="AG457" i="1"/>
  <c r="BK456" i="1"/>
  <c r="BJ456" i="1"/>
  <c r="BI456" i="1"/>
  <c r="BH456" i="1"/>
  <c r="BG456" i="1"/>
  <c r="BF456" i="1"/>
  <c r="BE456" i="1"/>
  <c r="BD456" i="1"/>
  <c r="AV456" i="1"/>
  <c r="AN456" i="1"/>
  <c r="AG456" i="1"/>
  <c r="BK455" i="1"/>
  <c r="BJ455" i="1"/>
  <c r="BI455" i="1"/>
  <c r="BH455" i="1"/>
  <c r="BG455" i="1"/>
  <c r="BF455" i="1"/>
  <c r="BE455" i="1"/>
  <c r="BD455" i="1"/>
  <c r="AV455" i="1"/>
  <c r="AN455" i="1"/>
  <c r="AG455" i="1"/>
  <c r="BK454" i="1"/>
  <c r="BJ454" i="1"/>
  <c r="BI454" i="1"/>
  <c r="BH454" i="1"/>
  <c r="BG454" i="1"/>
  <c r="BF454" i="1"/>
  <c r="BE454" i="1"/>
  <c r="BD454" i="1"/>
  <c r="AV454" i="1"/>
  <c r="AN454" i="1"/>
  <c r="AG454" i="1"/>
  <c r="BK453" i="1"/>
  <c r="BJ453" i="1"/>
  <c r="BI453" i="1"/>
  <c r="BH453" i="1"/>
  <c r="BG453" i="1"/>
  <c r="BF453" i="1"/>
  <c r="BE453" i="1"/>
  <c r="BD453" i="1"/>
  <c r="AV453" i="1"/>
  <c r="AN453" i="1"/>
  <c r="AG453" i="1"/>
  <c r="BK452" i="1"/>
  <c r="BJ452" i="1"/>
  <c r="BI452" i="1"/>
  <c r="BH452" i="1"/>
  <c r="BG452" i="1"/>
  <c r="BF452" i="1"/>
  <c r="BE452" i="1"/>
  <c r="BD452" i="1"/>
  <c r="AV452" i="1"/>
  <c r="AN452" i="1"/>
  <c r="AG452" i="1"/>
  <c r="BK451" i="1"/>
  <c r="BJ451" i="1"/>
  <c r="BI451" i="1"/>
  <c r="BH451" i="1"/>
  <c r="BG451" i="1"/>
  <c r="BF451" i="1"/>
  <c r="BE451" i="1"/>
  <c r="BD451" i="1"/>
  <c r="AV451" i="1"/>
  <c r="AN451" i="1"/>
  <c r="AG451" i="1"/>
  <c r="BK450" i="1"/>
  <c r="BJ450" i="1"/>
  <c r="BI450" i="1"/>
  <c r="BH450" i="1"/>
  <c r="BG450" i="1"/>
  <c r="BF450" i="1"/>
  <c r="BE450" i="1"/>
  <c r="BD450" i="1"/>
  <c r="AV450" i="1"/>
  <c r="AN450" i="1"/>
  <c r="AG450" i="1"/>
  <c r="BK449" i="1"/>
  <c r="BJ449" i="1"/>
  <c r="BI449" i="1"/>
  <c r="BH449" i="1"/>
  <c r="BG449" i="1"/>
  <c r="BF449" i="1"/>
  <c r="BE449" i="1"/>
  <c r="BD449" i="1"/>
  <c r="AV449" i="1"/>
  <c r="AN449" i="1"/>
  <c r="AG449" i="1"/>
  <c r="BC448" i="1"/>
  <c r="BB448" i="1"/>
  <c r="BB447" i="1" s="1"/>
  <c r="BA448" i="1"/>
  <c r="BA447" i="1" s="1"/>
  <c r="AZ448" i="1"/>
  <c r="AY448" i="1"/>
  <c r="AY447" i="1" s="1"/>
  <c r="AX448" i="1"/>
  <c r="AX447" i="1" s="1"/>
  <c r="AW448" i="1"/>
  <c r="AU448" i="1"/>
  <c r="AU447" i="1" s="1"/>
  <c r="AT448" i="1"/>
  <c r="AT447" i="1" s="1"/>
  <c r="AS448" i="1"/>
  <c r="AR448" i="1"/>
  <c r="AR447" i="1" s="1"/>
  <c r="AQ448" i="1"/>
  <c r="AQ447" i="1" s="1"/>
  <c r="AP448" i="1"/>
  <c r="AO448" i="1"/>
  <c r="AO447" i="1" s="1"/>
  <c r="AM448" i="1"/>
  <c r="AM447" i="1" s="1"/>
  <c r="AL448" i="1"/>
  <c r="AL447" i="1" s="1"/>
  <c r="AK448" i="1"/>
  <c r="AK447" i="1" s="1"/>
  <c r="AJ448" i="1"/>
  <c r="AJ447" i="1" s="1"/>
  <c r="AI448" i="1"/>
  <c r="AH448" i="1"/>
  <c r="AH447" i="1" s="1"/>
  <c r="AF448" i="1"/>
  <c r="AF447" i="1" s="1"/>
  <c r="AE448" i="1"/>
  <c r="AE447" i="1" s="1"/>
  <c r="AD448" i="1"/>
  <c r="AD447" i="1" s="1"/>
  <c r="AC448" i="1"/>
  <c r="AC447" i="1" s="1"/>
  <c r="AB448" i="1"/>
  <c r="AB447" i="1" s="1"/>
  <c r="AA448" i="1"/>
  <c r="BL446" i="1"/>
  <c r="BK446" i="1"/>
  <c r="BJ446" i="1"/>
  <c r="BI446" i="1"/>
  <c r="BH446" i="1"/>
  <c r="AJ446" i="1"/>
  <c r="AQ446" i="1" s="1"/>
  <c r="AY446" i="1" s="1"/>
  <c r="BG446" i="1" s="1"/>
  <c r="AI446" i="1"/>
  <c r="AP446" i="1" s="1"/>
  <c r="AX446" i="1" s="1"/>
  <c r="BF446" i="1" s="1"/>
  <c r="AH446" i="1"/>
  <c r="AO446" i="1" s="1"/>
  <c r="AW446" i="1" s="1"/>
  <c r="BE446" i="1" s="1"/>
  <c r="BK444" i="1"/>
  <c r="BJ444" i="1"/>
  <c r="BI444" i="1"/>
  <c r="BH444" i="1"/>
  <c r="BG444" i="1"/>
  <c r="BF444" i="1"/>
  <c r="BE444" i="1"/>
  <c r="BD444" i="1"/>
  <c r="AV444" i="1"/>
  <c r="AN444" i="1"/>
  <c r="AG444" i="1"/>
  <c r="BK443" i="1"/>
  <c r="BJ443" i="1"/>
  <c r="BI443" i="1"/>
  <c r="BH443" i="1"/>
  <c r="BG443" i="1"/>
  <c r="BF443" i="1"/>
  <c r="BE443" i="1"/>
  <c r="BD443" i="1"/>
  <c r="AV443" i="1"/>
  <c r="AN443" i="1"/>
  <c r="AG443" i="1"/>
  <c r="BK442" i="1"/>
  <c r="BJ442" i="1"/>
  <c r="BI442" i="1"/>
  <c r="BH442" i="1"/>
  <c r="BG442" i="1"/>
  <c r="BF442" i="1"/>
  <c r="BE442" i="1"/>
  <c r="BD442" i="1"/>
  <c r="AV442" i="1"/>
  <c r="AN442" i="1"/>
  <c r="AG442" i="1"/>
  <c r="BK441" i="1"/>
  <c r="BJ441" i="1"/>
  <c r="BI441" i="1"/>
  <c r="BH441" i="1"/>
  <c r="BG441" i="1"/>
  <c r="BF441" i="1"/>
  <c r="BE441" i="1"/>
  <c r="BD441" i="1"/>
  <c r="AV441" i="1"/>
  <c r="AN441" i="1"/>
  <c r="AG441" i="1"/>
  <c r="BK440" i="1"/>
  <c r="BJ440" i="1"/>
  <c r="BI440" i="1"/>
  <c r="BH440" i="1"/>
  <c r="BG440" i="1"/>
  <c r="BF440" i="1"/>
  <c r="BE440" i="1"/>
  <c r="BD440" i="1"/>
  <c r="AV440" i="1"/>
  <c r="AN440" i="1"/>
  <c r="AG440" i="1"/>
  <c r="BK439" i="1"/>
  <c r="BJ439" i="1"/>
  <c r="BI439" i="1"/>
  <c r="BH439" i="1"/>
  <c r="BG439" i="1"/>
  <c r="BF439" i="1"/>
  <c r="BE439" i="1"/>
  <c r="BD439" i="1"/>
  <c r="AV439" i="1"/>
  <c r="AN439" i="1"/>
  <c r="AG439" i="1"/>
  <c r="BK438" i="1"/>
  <c r="BJ438" i="1"/>
  <c r="BI438" i="1"/>
  <c r="BH438" i="1"/>
  <c r="BG438" i="1"/>
  <c r="BF438" i="1"/>
  <c r="BE438" i="1"/>
  <c r="BD438" i="1"/>
  <c r="AV438" i="1"/>
  <c r="AN438" i="1"/>
  <c r="AG438" i="1"/>
  <c r="BK437" i="1"/>
  <c r="BJ437" i="1"/>
  <c r="BI437" i="1"/>
  <c r="BH437" i="1"/>
  <c r="BG437" i="1"/>
  <c r="BF437" i="1"/>
  <c r="BE437" i="1"/>
  <c r="BD437" i="1"/>
  <c r="AV437" i="1"/>
  <c r="AN437" i="1"/>
  <c r="AG437" i="1"/>
  <c r="BK436" i="1"/>
  <c r="BJ436" i="1"/>
  <c r="BI436" i="1"/>
  <c r="BH436" i="1"/>
  <c r="BG436" i="1"/>
  <c r="BF436" i="1"/>
  <c r="BE436" i="1"/>
  <c r="BD436" i="1"/>
  <c r="AV436" i="1"/>
  <c r="AN436" i="1"/>
  <c r="AG436" i="1"/>
  <c r="BK435" i="1"/>
  <c r="BJ435" i="1"/>
  <c r="BI435" i="1"/>
  <c r="BH435" i="1"/>
  <c r="BG435" i="1"/>
  <c r="BF435" i="1"/>
  <c r="BE435" i="1"/>
  <c r="BD435" i="1"/>
  <c r="AV435" i="1"/>
  <c r="AN435" i="1"/>
  <c r="AG435" i="1"/>
  <c r="BK434" i="1"/>
  <c r="BJ434" i="1"/>
  <c r="BI434" i="1"/>
  <c r="BH434" i="1"/>
  <c r="BG434" i="1"/>
  <c r="BF434" i="1"/>
  <c r="BE434" i="1"/>
  <c r="BD434" i="1"/>
  <c r="AV434" i="1"/>
  <c r="AN434" i="1"/>
  <c r="AG434" i="1"/>
  <c r="BK433" i="1"/>
  <c r="BJ433" i="1"/>
  <c r="BI433" i="1"/>
  <c r="BH433" i="1"/>
  <c r="BG433" i="1"/>
  <c r="BF433" i="1"/>
  <c r="BD433" i="1"/>
  <c r="BE433" i="1" s="1"/>
  <c r="BM433" i="1" s="1"/>
  <c r="AV433" i="1"/>
  <c r="AN433" i="1"/>
  <c r="AG433" i="1"/>
  <c r="BK432" i="1"/>
  <c r="BJ432" i="1"/>
  <c r="BI432" i="1"/>
  <c r="BH432" i="1"/>
  <c r="BG432" i="1"/>
  <c r="BF432" i="1"/>
  <c r="BE432" i="1"/>
  <c r="BD432" i="1"/>
  <c r="AV432" i="1"/>
  <c r="AN432" i="1"/>
  <c r="AG432" i="1"/>
  <c r="BC431" i="1"/>
  <c r="BB431" i="1"/>
  <c r="BA431" i="1"/>
  <c r="AZ431" i="1"/>
  <c r="AY431" i="1"/>
  <c r="AX431" i="1"/>
  <c r="AW431" i="1"/>
  <c r="AU431" i="1"/>
  <c r="AT431" i="1"/>
  <c r="AS431" i="1"/>
  <c r="AR431" i="1"/>
  <c r="AQ431" i="1"/>
  <c r="AP431" i="1"/>
  <c r="AO431" i="1"/>
  <c r="AM431" i="1"/>
  <c r="AL431" i="1"/>
  <c r="AK431" i="1"/>
  <c r="AJ431" i="1"/>
  <c r="AI431" i="1"/>
  <c r="AH431" i="1"/>
  <c r="AF431" i="1"/>
  <c r="AE431" i="1"/>
  <c r="AE416" i="1"/>
  <c r="AD431" i="1"/>
  <c r="AC431" i="1"/>
  <c r="AB431" i="1"/>
  <c r="AA431" i="1"/>
  <c r="Z431" i="1"/>
  <c r="BK430" i="1"/>
  <c r="BJ430" i="1"/>
  <c r="BI430" i="1"/>
  <c r="BH430" i="1"/>
  <c r="BG430" i="1"/>
  <c r="BF430" i="1"/>
  <c r="BE430" i="1"/>
  <c r="BD430" i="1"/>
  <c r="AV430" i="1"/>
  <c r="AN430" i="1"/>
  <c r="AG430" i="1"/>
  <c r="BK429" i="1"/>
  <c r="BJ429" i="1"/>
  <c r="BI429" i="1"/>
  <c r="BH429" i="1"/>
  <c r="BG429" i="1"/>
  <c r="BF429" i="1"/>
  <c r="BE429" i="1"/>
  <c r="BD429" i="1"/>
  <c r="AN429" i="1"/>
  <c r="AG429" i="1"/>
  <c r="BK428" i="1"/>
  <c r="BJ428" i="1"/>
  <c r="BI428" i="1"/>
  <c r="BH428" i="1"/>
  <c r="BG428" i="1"/>
  <c r="BF428" i="1"/>
  <c r="BE428" i="1"/>
  <c r="BD428" i="1"/>
  <c r="AV428" i="1"/>
  <c r="AN428" i="1"/>
  <c r="AG428" i="1"/>
  <c r="BK427" i="1"/>
  <c r="BJ427" i="1"/>
  <c r="BI427" i="1"/>
  <c r="BH427" i="1"/>
  <c r="BG427" i="1"/>
  <c r="BF427" i="1"/>
  <c r="BE427" i="1"/>
  <c r="BD427" i="1"/>
  <c r="AV427" i="1"/>
  <c r="AN427" i="1"/>
  <c r="AG427" i="1"/>
  <c r="BK426" i="1"/>
  <c r="BJ426" i="1"/>
  <c r="BI426" i="1"/>
  <c r="BH426" i="1"/>
  <c r="BG426" i="1"/>
  <c r="BF426" i="1"/>
  <c r="BE426" i="1"/>
  <c r="BD426" i="1"/>
  <c r="AV426" i="1"/>
  <c r="AN426" i="1"/>
  <c r="AG426" i="1"/>
  <c r="BK425" i="1"/>
  <c r="BJ425" i="1"/>
  <c r="BI425" i="1"/>
  <c r="BH425" i="1"/>
  <c r="BG425" i="1"/>
  <c r="BF425" i="1"/>
  <c r="BE425" i="1"/>
  <c r="BD425" i="1"/>
  <c r="AV425" i="1"/>
  <c r="AN425" i="1"/>
  <c r="AG425" i="1"/>
  <c r="BK424" i="1"/>
  <c r="BJ424" i="1"/>
  <c r="BI424" i="1"/>
  <c r="BH424" i="1"/>
  <c r="BG424" i="1"/>
  <c r="BF424" i="1"/>
  <c r="BE424" i="1"/>
  <c r="BD424" i="1"/>
  <c r="AV424" i="1"/>
  <c r="AN424" i="1"/>
  <c r="AG424" i="1"/>
  <c r="BK423" i="1"/>
  <c r="BJ423" i="1"/>
  <c r="BI423" i="1"/>
  <c r="BH423" i="1"/>
  <c r="BG423" i="1"/>
  <c r="BF423" i="1"/>
  <c r="BE423" i="1"/>
  <c r="BD423" i="1"/>
  <c r="AV423" i="1"/>
  <c r="AN423" i="1"/>
  <c r="AG423" i="1"/>
  <c r="BK422" i="1"/>
  <c r="BJ422" i="1"/>
  <c r="BI422" i="1"/>
  <c r="BH422" i="1"/>
  <c r="BG422" i="1"/>
  <c r="BF422" i="1"/>
  <c r="BE422" i="1"/>
  <c r="BD422" i="1"/>
  <c r="AV422" i="1"/>
  <c r="AN422" i="1"/>
  <c r="AG422" i="1"/>
  <c r="BK421" i="1"/>
  <c r="BJ421" i="1"/>
  <c r="BI421" i="1"/>
  <c r="BH421" i="1"/>
  <c r="BG421" i="1"/>
  <c r="BF421" i="1"/>
  <c r="BE421" i="1"/>
  <c r="BD421" i="1"/>
  <c r="AV421" i="1"/>
  <c r="AN421" i="1"/>
  <c r="AG421" i="1"/>
  <c r="BK420" i="1"/>
  <c r="BJ420" i="1"/>
  <c r="BI420" i="1"/>
  <c r="BH420" i="1"/>
  <c r="BG420" i="1"/>
  <c r="BF420" i="1"/>
  <c r="BE420" i="1"/>
  <c r="BD420" i="1"/>
  <c r="AV420" i="1"/>
  <c r="AN420" i="1"/>
  <c r="AG420" i="1"/>
  <c r="BK419" i="1"/>
  <c r="BJ419" i="1"/>
  <c r="BI419" i="1"/>
  <c r="BH419" i="1"/>
  <c r="BG419" i="1"/>
  <c r="BF419" i="1"/>
  <c r="BE419" i="1"/>
  <c r="BD419" i="1"/>
  <c r="AV419" i="1"/>
  <c r="AN419" i="1"/>
  <c r="AG419" i="1"/>
  <c r="BK418" i="1"/>
  <c r="BJ418" i="1"/>
  <c r="BI418" i="1"/>
  <c r="BH418" i="1"/>
  <c r="BG418" i="1"/>
  <c r="BF418" i="1"/>
  <c r="BE418" i="1"/>
  <c r="BD418" i="1"/>
  <c r="AV418" i="1"/>
  <c r="AN418" i="1"/>
  <c r="AG418" i="1"/>
  <c r="BK417" i="1"/>
  <c r="BJ417" i="1"/>
  <c r="BI417" i="1"/>
  <c r="BH417" i="1"/>
  <c r="BG417" i="1"/>
  <c r="BF417" i="1"/>
  <c r="BE417" i="1"/>
  <c r="BD417" i="1"/>
  <c r="AV417" i="1"/>
  <c r="AN417" i="1"/>
  <c r="AG417" i="1"/>
  <c r="BC416" i="1"/>
  <c r="BB416" i="1"/>
  <c r="BA416" i="1"/>
  <c r="AZ416" i="1"/>
  <c r="AY416" i="1"/>
  <c r="AX416" i="1"/>
  <c r="AW416" i="1"/>
  <c r="AU416" i="1"/>
  <c r="AT416" i="1"/>
  <c r="AS416" i="1"/>
  <c r="AR416" i="1"/>
  <c r="AQ416" i="1"/>
  <c r="AJ416" i="1"/>
  <c r="AB416" i="1"/>
  <c r="AP416" i="1"/>
  <c r="AO416" i="1"/>
  <c r="AM416" i="1"/>
  <c r="AL416" i="1"/>
  <c r="AK416" i="1"/>
  <c r="AI416" i="1"/>
  <c r="AH416" i="1"/>
  <c r="AF416" i="1"/>
  <c r="AD416" i="1"/>
  <c r="AC416" i="1"/>
  <c r="AA416" i="1"/>
  <c r="Z416" i="1"/>
  <c r="BK414" i="1"/>
  <c r="BJ414" i="1"/>
  <c r="BI414" i="1"/>
  <c r="BH414" i="1"/>
  <c r="BG414" i="1"/>
  <c r="BF414" i="1"/>
  <c r="BE414" i="1"/>
  <c r="BD414" i="1"/>
  <c r="AV414" i="1"/>
  <c r="AN414" i="1"/>
  <c r="AG414" i="1"/>
  <c r="BK413" i="1"/>
  <c r="BJ413" i="1"/>
  <c r="BI413" i="1"/>
  <c r="BH413" i="1"/>
  <c r="BG413" i="1"/>
  <c r="BF413" i="1"/>
  <c r="BE413" i="1"/>
  <c r="BD413" i="1"/>
  <c r="AV413" i="1"/>
  <c r="AN413" i="1"/>
  <c r="AG413" i="1"/>
  <c r="BK412" i="1"/>
  <c r="BJ412" i="1"/>
  <c r="BI412" i="1"/>
  <c r="BH412" i="1"/>
  <c r="BG412" i="1"/>
  <c r="BF412" i="1"/>
  <c r="BE412" i="1"/>
  <c r="BD412" i="1"/>
  <c r="AV412" i="1"/>
  <c r="AN412" i="1"/>
  <c r="AG412" i="1"/>
  <c r="BK411" i="1"/>
  <c r="BJ411" i="1"/>
  <c r="BI411" i="1"/>
  <c r="BH411" i="1"/>
  <c r="BG411" i="1"/>
  <c r="BF411" i="1"/>
  <c r="BE411" i="1"/>
  <c r="BD411" i="1"/>
  <c r="AV411" i="1"/>
  <c r="AN411" i="1"/>
  <c r="AG411" i="1"/>
  <c r="BK410" i="1"/>
  <c r="BJ410" i="1"/>
  <c r="BI410" i="1"/>
  <c r="BH410" i="1"/>
  <c r="BG410" i="1"/>
  <c r="BF410" i="1"/>
  <c r="BE410" i="1"/>
  <c r="BD410" i="1"/>
  <c r="AV410" i="1"/>
  <c r="AN410" i="1"/>
  <c r="AG410" i="1"/>
  <c r="BK409" i="1"/>
  <c r="BJ409" i="1"/>
  <c r="BI409" i="1"/>
  <c r="BH409" i="1"/>
  <c r="BG409" i="1"/>
  <c r="BF409" i="1"/>
  <c r="BE409" i="1"/>
  <c r="BD409" i="1"/>
  <c r="AV409" i="1"/>
  <c r="AN409" i="1"/>
  <c r="AG409" i="1"/>
  <c r="BK408" i="1"/>
  <c r="BJ408" i="1"/>
  <c r="BI408" i="1"/>
  <c r="BH408" i="1"/>
  <c r="BG408" i="1"/>
  <c r="BF408" i="1"/>
  <c r="BE408" i="1"/>
  <c r="BD408" i="1"/>
  <c r="AV408" i="1"/>
  <c r="AN408" i="1"/>
  <c r="AG408" i="1"/>
  <c r="BK407" i="1"/>
  <c r="BJ407" i="1"/>
  <c r="BI407" i="1"/>
  <c r="BH407" i="1"/>
  <c r="BG407" i="1"/>
  <c r="BF407" i="1"/>
  <c r="BE407" i="1"/>
  <c r="BD407" i="1"/>
  <c r="AV407" i="1"/>
  <c r="AN407" i="1"/>
  <c r="AG407" i="1"/>
  <c r="BK406" i="1"/>
  <c r="BJ406" i="1"/>
  <c r="BI406" i="1"/>
  <c r="BH406" i="1"/>
  <c r="BG406" i="1"/>
  <c r="BF406" i="1"/>
  <c r="BE406" i="1"/>
  <c r="BD406" i="1"/>
  <c r="AV406" i="1"/>
  <c r="AN406" i="1"/>
  <c r="AG406" i="1"/>
  <c r="BK405" i="1"/>
  <c r="BJ405" i="1"/>
  <c r="BI405" i="1"/>
  <c r="BH405" i="1"/>
  <c r="BG405" i="1"/>
  <c r="BF405" i="1"/>
  <c r="BE405" i="1"/>
  <c r="BD405" i="1"/>
  <c r="AV405" i="1"/>
  <c r="AN405" i="1"/>
  <c r="AG405" i="1"/>
  <c r="BK404" i="1"/>
  <c r="BJ404" i="1"/>
  <c r="BI404" i="1"/>
  <c r="BH404" i="1"/>
  <c r="BG404" i="1"/>
  <c r="BF404" i="1"/>
  <c r="BE404" i="1"/>
  <c r="BD404" i="1"/>
  <c r="AV404" i="1"/>
  <c r="AN404" i="1"/>
  <c r="AG404" i="1"/>
  <c r="BC403" i="1"/>
  <c r="BB403" i="1"/>
  <c r="BB402" i="1" s="1"/>
  <c r="BA403" i="1"/>
  <c r="AZ403" i="1"/>
  <c r="AZ402" i="1" s="1"/>
  <c r="AY403" i="1"/>
  <c r="AY402" i="1" s="1"/>
  <c r="AX403" i="1"/>
  <c r="AW403" i="1"/>
  <c r="AW402" i="1" s="1"/>
  <c r="AU403" i="1"/>
  <c r="AU402" i="1" s="1"/>
  <c r="AT403" i="1"/>
  <c r="AT402" i="1" s="1"/>
  <c r="AS403" i="1"/>
  <c r="AS402" i="1" s="1"/>
  <c r="AR403" i="1"/>
  <c r="AR402" i="1" s="1"/>
  <c r="AQ403" i="1"/>
  <c r="AQ402" i="1" s="1"/>
  <c r="AP403" i="1"/>
  <c r="AP402" i="1" s="1"/>
  <c r="AO403" i="1"/>
  <c r="AO402" i="1" s="1"/>
  <c r="AM403" i="1"/>
  <c r="AM402" i="1" s="1"/>
  <c r="AL403" i="1"/>
  <c r="AL402" i="1" s="1"/>
  <c r="AK403" i="1"/>
  <c r="AK402" i="1" s="1"/>
  <c r="AJ403" i="1"/>
  <c r="AJ402" i="1" s="1"/>
  <c r="AI403" i="1"/>
  <c r="AI402" i="1" s="1"/>
  <c r="AH403" i="1"/>
  <c r="AH402" i="1" s="1"/>
  <c r="AF403" i="1"/>
  <c r="AF402" i="1" s="1"/>
  <c r="AE403" i="1"/>
  <c r="AE402" i="1" s="1"/>
  <c r="AD403" i="1"/>
  <c r="AD402" i="1" s="1"/>
  <c r="AC403" i="1"/>
  <c r="AC402" i="1" s="1"/>
  <c r="AB403" i="1"/>
  <c r="AA403" i="1"/>
  <c r="AA402" i="1" s="1"/>
  <c r="Z403" i="1"/>
  <c r="BK401" i="1"/>
  <c r="BJ401" i="1"/>
  <c r="BI401" i="1"/>
  <c r="BH401" i="1"/>
  <c r="BG401" i="1"/>
  <c r="BF401" i="1"/>
  <c r="BE401" i="1"/>
  <c r="BD401" i="1"/>
  <c r="AV401" i="1"/>
  <c r="AN401" i="1"/>
  <c r="AG401" i="1"/>
  <c r="Y401" i="1"/>
  <c r="BK400" i="1"/>
  <c r="BJ400" i="1"/>
  <c r="BI400" i="1"/>
  <c r="BH400" i="1"/>
  <c r="BG400" i="1"/>
  <c r="BF400" i="1"/>
  <c r="BE400" i="1"/>
  <c r="BD400" i="1"/>
  <c r="AV400" i="1"/>
  <c r="AN400" i="1"/>
  <c r="AG400" i="1"/>
  <c r="Y400" i="1"/>
  <c r="BK399" i="1"/>
  <c r="BJ399" i="1"/>
  <c r="BI399" i="1"/>
  <c r="BH399" i="1"/>
  <c r="BG399" i="1"/>
  <c r="BF399" i="1"/>
  <c r="BE399" i="1"/>
  <c r="BD399" i="1"/>
  <c r="AV399" i="1"/>
  <c r="AN399" i="1"/>
  <c r="AG399" i="1"/>
  <c r="Y399" i="1"/>
  <c r="BJ398" i="1"/>
  <c r="BD398" i="1"/>
  <c r="AN398" i="1"/>
  <c r="BK397" i="1"/>
  <c r="BJ397" i="1"/>
  <c r="BI397" i="1"/>
  <c r="BH397" i="1"/>
  <c r="BG397" i="1"/>
  <c r="BF397" i="1"/>
  <c r="BE397" i="1"/>
  <c r="BD397" i="1"/>
  <c r="AV397" i="1"/>
  <c r="AN397" i="1"/>
  <c r="AG397" i="1"/>
  <c r="Y397" i="1"/>
  <c r="BK396" i="1"/>
  <c r="BJ396" i="1"/>
  <c r="BI396" i="1"/>
  <c r="BH396" i="1"/>
  <c r="BG396" i="1"/>
  <c r="BF396" i="1"/>
  <c r="BE396" i="1"/>
  <c r="BD396" i="1"/>
  <c r="AV396" i="1"/>
  <c r="AN396" i="1"/>
  <c r="AG396" i="1"/>
  <c r="Y396" i="1"/>
  <c r="BK395" i="1"/>
  <c r="BJ395" i="1"/>
  <c r="BI395" i="1"/>
  <c r="BH395" i="1"/>
  <c r="BG395" i="1"/>
  <c r="BF395" i="1"/>
  <c r="BE395" i="1"/>
  <c r="BD395" i="1"/>
  <c r="AV395" i="1"/>
  <c r="AN395" i="1"/>
  <c r="AG395" i="1"/>
  <c r="Y395" i="1"/>
  <c r="BK394" i="1"/>
  <c r="BJ394" i="1"/>
  <c r="BI394" i="1"/>
  <c r="BH394" i="1"/>
  <c r="BG394" i="1"/>
  <c r="BF394" i="1"/>
  <c r="BE394" i="1"/>
  <c r="BD394" i="1"/>
  <c r="AV394" i="1"/>
  <c r="AN394" i="1"/>
  <c r="AG394" i="1"/>
  <c r="Y394" i="1"/>
  <c r="BK393" i="1"/>
  <c r="BJ393" i="1"/>
  <c r="BI393" i="1"/>
  <c r="BH393" i="1"/>
  <c r="BG393" i="1"/>
  <c r="BF393" i="1"/>
  <c r="BE393" i="1"/>
  <c r="BD393" i="1"/>
  <c r="AV393" i="1"/>
  <c r="AN393" i="1"/>
  <c r="AG393" i="1"/>
  <c r="Y393" i="1"/>
  <c r="BK392" i="1"/>
  <c r="BJ392" i="1"/>
  <c r="BI392" i="1"/>
  <c r="BH392" i="1"/>
  <c r="BG392" i="1"/>
  <c r="BF392" i="1"/>
  <c r="BE392" i="1"/>
  <c r="BD392" i="1"/>
  <c r="AV392" i="1"/>
  <c r="AN392" i="1"/>
  <c r="AG392" i="1"/>
  <c r="BK391" i="1"/>
  <c r="BJ391" i="1"/>
  <c r="BI391" i="1"/>
  <c r="BH391" i="1"/>
  <c r="BG391" i="1"/>
  <c r="BF391" i="1"/>
  <c r="BE391" i="1"/>
  <c r="BD391" i="1"/>
  <c r="AV391" i="1"/>
  <c r="AN391" i="1"/>
  <c r="AG391" i="1"/>
  <c r="BK390" i="1"/>
  <c r="BJ390" i="1"/>
  <c r="BI390" i="1"/>
  <c r="BH390" i="1"/>
  <c r="BG390" i="1"/>
  <c r="BF390" i="1"/>
  <c r="BD390" i="1"/>
  <c r="AV390" i="1"/>
  <c r="AN390" i="1"/>
  <c r="Z390" i="1"/>
  <c r="Y390" i="1"/>
  <c r="BK389" i="1"/>
  <c r="BJ389" i="1"/>
  <c r="BI389" i="1"/>
  <c r="BH389" i="1"/>
  <c r="BG389" i="1"/>
  <c r="BF389" i="1"/>
  <c r="BE389" i="1"/>
  <c r="BD389" i="1"/>
  <c r="AV389" i="1"/>
  <c r="AN389" i="1"/>
  <c r="AG389" i="1"/>
  <c r="BK388" i="1"/>
  <c r="BJ388" i="1"/>
  <c r="BI388" i="1"/>
  <c r="BH388" i="1"/>
  <c r="BG388" i="1"/>
  <c r="BF388" i="1"/>
  <c r="BE388" i="1"/>
  <c r="BD388" i="1"/>
  <c r="AV388" i="1"/>
  <c r="AN388" i="1"/>
  <c r="AG388" i="1"/>
  <c r="BK387" i="1"/>
  <c r="BJ387" i="1"/>
  <c r="BI387" i="1"/>
  <c r="BH387" i="1"/>
  <c r="BG387" i="1"/>
  <c r="BF387" i="1"/>
  <c r="BE387" i="1"/>
  <c r="AN387" i="1"/>
  <c r="BL387" i="1" s="1"/>
  <c r="Y387" i="1"/>
  <c r="BK386" i="1"/>
  <c r="BJ386" i="1"/>
  <c r="BI386" i="1"/>
  <c r="BH386" i="1"/>
  <c r="BG386" i="1"/>
  <c r="BF386" i="1"/>
  <c r="BE386" i="1"/>
  <c r="BD386" i="1"/>
  <c r="AV386" i="1"/>
  <c r="AN386" i="1"/>
  <c r="AG386" i="1"/>
  <c r="BK385" i="1"/>
  <c r="BJ385" i="1"/>
  <c r="BI385" i="1"/>
  <c r="BH385" i="1"/>
  <c r="BG385" i="1"/>
  <c r="BF385" i="1"/>
  <c r="BE385" i="1"/>
  <c r="BD385" i="1"/>
  <c r="AV385" i="1"/>
  <c r="AN385" i="1"/>
  <c r="AG385" i="1"/>
  <c r="BK384" i="1"/>
  <c r="BJ384" i="1"/>
  <c r="BI384" i="1"/>
  <c r="BH384" i="1"/>
  <c r="BG384" i="1"/>
  <c r="BF384" i="1"/>
  <c r="BE384" i="1"/>
  <c r="BD384" i="1"/>
  <c r="AV384" i="1"/>
  <c r="AN384" i="1"/>
  <c r="AG384" i="1"/>
  <c r="Y384" i="1"/>
  <c r="BK383" i="1"/>
  <c r="BJ383" i="1"/>
  <c r="BI383" i="1"/>
  <c r="BH383" i="1"/>
  <c r="BF383" i="1"/>
  <c r="BE383" i="1"/>
  <c r="BD383" i="1"/>
  <c r="AV383" i="1"/>
  <c r="AN383" i="1"/>
  <c r="AB383" i="1"/>
  <c r="AB376" i="1" s="1"/>
  <c r="BK382" i="1"/>
  <c r="BJ382" i="1"/>
  <c r="BI382" i="1"/>
  <c r="BH382" i="1"/>
  <c r="BG382" i="1"/>
  <c r="BF382" i="1"/>
  <c r="BE382" i="1"/>
  <c r="BD382" i="1"/>
  <c r="AV382" i="1"/>
  <c r="AN382" i="1"/>
  <c r="AG382" i="1"/>
  <c r="Y382" i="1"/>
  <c r="BK381" i="1"/>
  <c r="BJ381" i="1"/>
  <c r="BI381" i="1"/>
  <c r="BH381" i="1"/>
  <c r="BG381" i="1"/>
  <c r="BF381" i="1"/>
  <c r="BE381" i="1"/>
  <c r="BD381" i="1"/>
  <c r="AV381" i="1"/>
  <c r="AN381" i="1"/>
  <c r="AG381" i="1"/>
  <c r="Y381" i="1"/>
  <c r="BK380" i="1"/>
  <c r="BJ380" i="1"/>
  <c r="BI380" i="1"/>
  <c r="BH380" i="1"/>
  <c r="BG380" i="1"/>
  <c r="BF380" i="1"/>
  <c r="BE380" i="1"/>
  <c r="BD380" i="1"/>
  <c r="AV380" i="1"/>
  <c r="AN380" i="1"/>
  <c r="AG380" i="1"/>
  <c r="BK379" i="1"/>
  <c r="BJ379" i="1"/>
  <c r="BI379" i="1"/>
  <c r="BH379" i="1"/>
  <c r="BG379" i="1"/>
  <c r="BF379" i="1"/>
  <c r="BE379" i="1"/>
  <c r="BD379" i="1"/>
  <c r="AV379" i="1"/>
  <c r="AN379" i="1"/>
  <c r="AG379" i="1"/>
  <c r="Y379" i="1"/>
  <c r="BK378" i="1"/>
  <c r="BJ378" i="1"/>
  <c r="BI378" i="1"/>
  <c r="BH378" i="1"/>
  <c r="BG378" i="1"/>
  <c r="BF378" i="1"/>
  <c r="BE378" i="1"/>
  <c r="BD378" i="1"/>
  <c r="AV378" i="1"/>
  <c r="AN378" i="1"/>
  <c r="AG378" i="1"/>
  <c r="Y378" i="1"/>
  <c r="BK377" i="1"/>
  <c r="BJ377" i="1"/>
  <c r="BI377" i="1"/>
  <c r="BH377" i="1"/>
  <c r="BG377" i="1"/>
  <c r="BF377" i="1"/>
  <c r="BD377" i="1"/>
  <c r="AV377" i="1"/>
  <c r="AN377" i="1"/>
  <c r="Z377" i="1"/>
  <c r="Y377" i="1"/>
  <c r="BC376" i="1"/>
  <c r="BB376" i="1"/>
  <c r="BB375" i="1" s="1"/>
  <c r="BA376" i="1"/>
  <c r="BA375" i="1" s="1"/>
  <c r="AZ376" i="1"/>
  <c r="AZ375" i="1" s="1"/>
  <c r="AY376" i="1"/>
  <c r="AY375" i="1" s="1"/>
  <c r="AX376" i="1"/>
  <c r="AW376" i="1"/>
  <c r="AW375" i="1" s="1"/>
  <c r="AU376" i="1"/>
  <c r="AU375" i="1" s="1"/>
  <c r="AT376" i="1"/>
  <c r="AT375" i="1" s="1"/>
  <c r="AS376" i="1"/>
  <c r="AS375" i="1" s="1"/>
  <c r="AR376" i="1"/>
  <c r="AR375" i="1" s="1"/>
  <c r="AQ376" i="1"/>
  <c r="AQ375" i="1" s="1"/>
  <c r="AP376" i="1"/>
  <c r="AO376" i="1"/>
  <c r="AO375" i="1" s="1"/>
  <c r="AM376" i="1"/>
  <c r="AM375" i="1" s="1"/>
  <c r="AL376" i="1"/>
  <c r="AL375" i="1" s="1"/>
  <c r="AK376" i="1"/>
  <c r="AK375" i="1" s="1"/>
  <c r="AJ376" i="1"/>
  <c r="AJ375" i="1" s="1"/>
  <c r="AI376" i="1"/>
  <c r="AI375" i="1" s="1"/>
  <c r="AH376" i="1"/>
  <c r="AH375" i="1" s="1"/>
  <c r="AF376" i="1"/>
  <c r="AF375" i="1" s="1"/>
  <c r="AE376" i="1"/>
  <c r="AD376" i="1"/>
  <c r="AD375" i="1" s="1"/>
  <c r="AC376" i="1"/>
  <c r="AC375" i="1" s="1"/>
  <c r="AA376" i="1"/>
  <c r="AA375" i="1" s="1"/>
  <c r="BK374" i="1"/>
  <c r="BJ374" i="1"/>
  <c r="BI374" i="1"/>
  <c r="BH374" i="1"/>
  <c r="BF374" i="1"/>
  <c r="AJ374" i="1"/>
  <c r="AQ374" i="1" s="1"/>
  <c r="AY374" i="1" s="1"/>
  <c r="BG374" i="1" s="1"/>
  <c r="AH374" i="1"/>
  <c r="AO374" i="1" s="1"/>
  <c r="AW374" i="1" s="1"/>
  <c r="BE374" i="1" s="1"/>
  <c r="AG374" i="1"/>
  <c r="BL374" i="1" s="1"/>
  <c r="BK373" i="1"/>
  <c r="BJ373" i="1"/>
  <c r="BI373" i="1"/>
  <c r="BH373" i="1"/>
  <c r="BG373" i="1"/>
  <c r="BF373" i="1"/>
  <c r="BE373" i="1"/>
  <c r="BD373" i="1"/>
  <c r="AV373" i="1"/>
  <c r="AN373" i="1"/>
  <c r="AG373" i="1"/>
  <c r="BK372" i="1"/>
  <c r="BJ372" i="1"/>
  <c r="BI372" i="1"/>
  <c r="BH372" i="1"/>
  <c r="BG372" i="1"/>
  <c r="BF372" i="1"/>
  <c r="BE372" i="1"/>
  <c r="BD372" i="1"/>
  <c r="AV372" i="1"/>
  <c r="AN372" i="1"/>
  <c r="AG372" i="1"/>
  <c r="Y372" i="1"/>
  <c r="BK371" i="1"/>
  <c r="BJ371" i="1"/>
  <c r="BI371" i="1"/>
  <c r="BH371" i="1"/>
  <c r="BG371" i="1"/>
  <c r="BF371" i="1"/>
  <c r="BE371" i="1"/>
  <c r="BD371" i="1"/>
  <c r="AV371" i="1"/>
  <c r="AN371" i="1"/>
  <c r="AG371" i="1"/>
  <c r="BK370" i="1"/>
  <c r="BJ370" i="1"/>
  <c r="BI370" i="1"/>
  <c r="BH370" i="1"/>
  <c r="BG370" i="1"/>
  <c r="BF370" i="1"/>
  <c r="BE370" i="1"/>
  <c r="BD370" i="1"/>
  <c r="AV370" i="1"/>
  <c r="AN370" i="1"/>
  <c r="AG370" i="1"/>
  <c r="Y370" i="1"/>
  <c r="BK369" i="1"/>
  <c r="BJ369" i="1"/>
  <c r="BI369" i="1"/>
  <c r="BH369" i="1"/>
  <c r="BG369" i="1"/>
  <c r="BF369" i="1"/>
  <c r="BE369" i="1"/>
  <c r="BD369" i="1"/>
  <c r="AV369" i="1"/>
  <c r="AN369" i="1"/>
  <c r="AG369" i="1"/>
  <c r="Y369" i="1"/>
  <c r="BK368" i="1"/>
  <c r="BJ368" i="1"/>
  <c r="BI368" i="1"/>
  <c r="BH368" i="1"/>
  <c r="BG368" i="1"/>
  <c r="BF368" i="1"/>
  <c r="BE368" i="1"/>
  <c r="BD368" i="1"/>
  <c r="AV368" i="1"/>
  <c r="AN368" i="1"/>
  <c r="AG368" i="1"/>
  <c r="Y368" i="1"/>
  <c r="BK367" i="1"/>
  <c r="BJ367" i="1"/>
  <c r="BI367" i="1"/>
  <c r="BH367" i="1"/>
  <c r="BG367" i="1"/>
  <c r="BF367" i="1"/>
  <c r="BE367" i="1"/>
  <c r="BD367" i="1"/>
  <c r="AV367" i="1"/>
  <c r="AN367" i="1"/>
  <c r="AG367" i="1"/>
  <c r="Y367" i="1"/>
  <c r="BK366" i="1"/>
  <c r="BI366" i="1"/>
  <c r="BH366" i="1"/>
  <c r="BG366" i="1"/>
  <c r="BF366" i="1"/>
  <c r="BE366" i="1"/>
  <c r="BD366" i="1"/>
  <c r="AV366" i="1"/>
  <c r="AN366" i="1"/>
  <c r="AE366" i="1"/>
  <c r="Y366" i="1"/>
  <c r="BK365" i="1"/>
  <c r="BJ365" i="1"/>
  <c r="BI365" i="1"/>
  <c r="BH365" i="1"/>
  <c r="BG365" i="1"/>
  <c r="BF365" i="1"/>
  <c r="BE365" i="1"/>
  <c r="BD365" i="1"/>
  <c r="AV365" i="1"/>
  <c r="AN365" i="1"/>
  <c r="AG365" i="1"/>
  <c r="Y365" i="1"/>
  <c r="BC364" i="1"/>
  <c r="BC363" i="1"/>
  <c r="BB364" i="1"/>
  <c r="BB363" i="1"/>
  <c r="BA364" i="1"/>
  <c r="AZ364" i="1"/>
  <c r="AZ363" i="1" s="1"/>
  <c r="AY364" i="1"/>
  <c r="AY363" i="1" s="1"/>
  <c r="AX364" i="1"/>
  <c r="AW364" i="1"/>
  <c r="AW363" i="1"/>
  <c r="AU364" i="1"/>
  <c r="AU363" i="1"/>
  <c r="AT364" i="1"/>
  <c r="AT363" i="1"/>
  <c r="AS364" i="1"/>
  <c r="AS363" i="1"/>
  <c r="AR364" i="1"/>
  <c r="AR363" i="1"/>
  <c r="AQ364" i="1"/>
  <c r="AQ363" i="1"/>
  <c r="AP364" i="1"/>
  <c r="AP363" i="1"/>
  <c r="AO364" i="1"/>
  <c r="AM364" i="1"/>
  <c r="AM363" i="1" s="1"/>
  <c r="AL364" i="1"/>
  <c r="AL363" i="1" s="1"/>
  <c r="AK364" i="1"/>
  <c r="AJ364" i="1"/>
  <c r="AJ363" i="1"/>
  <c r="AI364" i="1"/>
  <c r="AI363" i="1"/>
  <c r="AH364" i="1"/>
  <c r="AH363" i="1"/>
  <c r="AF364" i="1"/>
  <c r="AF363" i="1"/>
  <c r="AD364" i="1"/>
  <c r="AC364" i="1"/>
  <c r="AC363" i="1" s="1"/>
  <c r="AB364" i="1"/>
  <c r="AB363" i="1" s="1"/>
  <c r="AA364" i="1"/>
  <c r="AA363" i="1" s="1"/>
  <c r="Z364" i="1"/>
  <c r="BK362" i="1"/>
  <c r="BJ362" i="1"/>
  <c r="BI362" i="1"/>
  <c r="BH362" i="1"/>
  <c r="AJ362" i="1"/>
  <c r="AI362" i="1"/>
  <c r="AP362" i="1" s="1"/>
  <c r="AX362" i="1" s="1"/>
  <c r="BF362" i="1" s="1"/>
  <c r="AH362" i="1"/>
  <c r="AO362" i="1" s="1"/>
  <c r="AW362" i="1" s="1"/>
  <c r="BE362" i="1" s="1"/>
  <c r="AG362" i="1"/>
  <c r="BK360" i="1"/>
  <c r="BJ360" i="1"/>
  <c r="BI360" i="1"/>
  <c r="BH360" i="1"/>
  <c r="BG360" i="1"/>
  <c r="BF360" i="1"/>
  <c r="BE360" i="1"/>
  <c r="BD360" i="1"/>
  <c r="AV360" i="1"/>
  <c r="AN360" i="1"/>
  <c r="AG360" i="1"/>
  <c r="BC359" i="1"/>
  <c r="BB359" i="1"/>
  <c r="BA359" i="1"/>
  <c r="AZ359" i="1"/>
  <c r="AY359" i="1"/>
  <c r="AX359" i="1"/>
  <c r="AW359" i="1"/>
  <c r="AU359" i="1"/>
  <c r="AT359" i="1"/>
  <c r="AS359" i="1"/>
  <c r="AR359" i="1"/>
  <c r="AQ359" i="1"/>
  <c r="AP359" i="1"/>
  <c r="AO359" i="1"/>
  <c r="AM359" i="1"/>
  <c r="AL359" i="1"/>
  <c r="AK359" i="1"/>
  <c r="AJ359" i="1"/>
  <c r="AI359" i="1"/>
  <c r="AH359" i="1"/>
  <c r="AF359" i="1"/>
  <c r="AE359" i="1"/>
  <c r="AD359" i="1"/>
  <c r="AC359" i="1"/>
  <c r="AB359" i="1"/>
  <c r="AA359" i="1"/>
  <c r="Z359" i="1"/>
  <c r="Z356" i="1"/>
  <c r="Z355" i="1" s="1"/>
  <c r="BJ358" i="1"/>
  <c r="BI358" i="1"/>
  <c r="BH358" i="1"/>
  <c r="BG358" i="1"/>
  <c r="BF358" i="1"/>
  <c r="BE358" i="1"/>
  <c r="AM358" i="1"/>
  <c r="AN358" i="1" s="1"/>
  <c r="AG358" i="1"/>
  <c r="BK357" i="1"/>
  <c r="BI357" i="1"/>
  <c r="BH357" i="1"/>
  <c r="BG357" i="1"/>
  <c r="BF357" i="1"/>
  <c r="BE357" i="1"/>
  <c r="BD357" i="1"/>
  <c r="AV357" i="1"/>
  <c r="AN357" i="1"/>
  <c r="AE357" i="1"/>
  <c r="BB356" i="1"/>
  <c r="BA356" i="1"/>
  <c r="AS356" i="1"/>
  <c r="AL356" i="1"/>
  <c r="AD356" i="1"/>
  <c r="AZ356" i="1"/>
  <c r="AY356" i="1"/>
  <c r="AX356" i="1"/>
  <c r="AW356" i="1"/>
  <c r="AT356" i="1"/>
  <c r="AR356" i="1"/>
  <c r="AQ356" i="1"/>
  <c r="AP356" i="1"/>
  <c r="AO356" i="1"/>
  <c r="AK356" i="1"/>
  <c r="AJ356" i="1"/>
  <c r="AI356" i="1"/>
  <c r="AI355" i="1" s="1"/>
  <c r="AH356" i="1"/>
  <c r="AF356" i="1"/>
  <c r="AC356" i="1"/>
  <c r="AB356" i="1"/>
  <c r="AB355" i="1" s="1"/>
  <c r="AA356" i="1"/>
  <c r="BL354" i="1"/>
  <c r="BK354" i="1"/>
  <c r="BJ354" i="1"/>
  <c r="BI354" i="1"/>
  <c r="BH354" i="1"/>
  <c r="AJ354" i="1"/>
  <c r="AQ354" i="1" s="1"/>
  <c r="AY354" i="1" s="1"/>
  <c r="BG354" i="1" s="1"/>
  <c r="AI354" i="1"/>
  <c r="AP354" i="1" s="1"/>
  <c r="AX354" i="1" s="1"/>
  <c r="BF354" i="1" s="1"/>
  <c r="AH354" i="1"/>
  <c r="AO354" i="1" s="1"/>
  <c r="AW354" i="1" s="1"/>
  <c r="BE354" i="1" s="1"/>
  <c r="BK353" i="1"/>
  <c r="BJ353" i="1"/>
  <c r="BI353" i="1"/>
  <c r="BH353" i="1"/>
  <c r="BG353" i="1"/>
  <c r="BF353" i="1"/>
  <c r="BE353" i="1"/>
  <c r="BD353" i="1"/>
  <c r="AV353" i="1"/>
  <c r="AN353" i="1"/>
  <c r="AG353" i="1"/>
  <c r="BK352" i="1"/>
  <c r="BJ352" i="1"/>
  <c r="BI352" i="1"/>
  <c r="BH352" i="1"/>
  <c r="BG352" i="1"/>
  <c r="BF352" i="1"/>
  <c r="BE352" i="1"/>
  <c r="BD352" i="1"/>
  <c r="AV352" i="1"/>
  <c r="AN352" i="1"/>
  <c r="AG352" i="1"/>
  <c r="BK351" i="1"/>
  <c r="BJ351" i="1"/>
  <c r="BI351" i="1"/>
  <c r="BH351" i="1"/>
  <c r="BG351" i="1"/>
  <c r="BF351" i="1"/>
  <c r="BE351" i="1"/>
  <c r="BD351" i="1"/>
  <c r="AV351" i="1"/>
  <c r="AN351" i="1"/>
  <c r="AG351" i="1"/>
  <c r="BK350" i="1"/>
  <c r="BJ350" i="1"/>
  <c r="BI350" i="1"/>
  <c r="BH350" i="1"/>
  <c r="BG350" i="1"/>
  <c r="BF350" i="1"/>
  <c r="BE350" i="1"/>
  <c r="BD350" i="1"/>
  <c r="AV350" i="1"/>
  <c r="AN350" i="1"/>
  <c r="AG350" i="1"/>
  <c r="BK349" i="1"/>
  <c r="BJ349" i="1"/>
  <c r="BI349" i="1"/>
  <c r="BH349" i="1"/>
  <c r="BG349" i="1"/>
  <c r="BF349" i="1"/>
  <c r="BE349" i="1"/>
  <c r="BD349" i="1"/>
  <c r="AV349" i="1"/>
  <c r="AN349" i="1"/>
  <c r="AG349" i="1"/>
  <c r="BK348" i="1"/>
  <c r="BJ348" i="1"/>
  <c r="BI348" i="1"/>
  <c r="BH348" i="1"/>
  <c r="BG348" i="1"/>
  <c r="BF348" i="1"/>
  <c r="BE348" i="1"/>
  <c r="BD348" i="1"/>
  <c r="AV348" i="1"/>
  <c r="AN348" i="1"/>
  <c r="AG348" i="1"/>
  <c r="BK347" i="1"/>
  <c r="BJ347" i="1"/>
  <c r="BI347" i="1"/>
  <c r="BH347" i="1"/>
  <c r="BG347" i="1"/>
  <c r="BF347" i="1"/>
  <c r="BE347" i="1"/>
  <c r="BD347" i="1"/>
  <c r="AV347" i="1"/>
  <c r="AN347" i="1"/>
  <c r="AG347" i="1"/>
  <c r="BK346" i="1"/>
  <c r="BJ346" i="1"/>
  <c r="BI346" i="1"/>
  <c r="BH346" i="1"/>
  <c r="BG346" i="1"/>
  <c r="BF346" i="1"/>
  <c r="BE346" i="1"/>
  <c r="BD346" i="1"/>
  <c r="AV346" i="1"/>
  <c r="AN346" i="1"/>
  <c r="AG346" i="1"/>
  <c r="BK345" i="1"/>
  <c r="BJ345" i="1"/>
  <c r="BI345" i="1"/>
  <c r="BH345" i="1"/>
  <c r="BG345" i="1"/>
  <c r="BF345" i="1"/>
  <c r="BE345" i="1"/>
  <c r="BD345" i="1"/>
  <c r="AV345" i="1"/>
  <c r="AN345" i="1"/>
  <c r="AG345" i="1"/>
  <c r="BK344" i="1"/>
  <c r="BJ344" i="1"/>
  <c r="BI344" i="1"/>
  <c r="BH344" i="1"/>
  <c r="BG344" i="1"/>
  <c r="BF344" i="1"/>
  <c r="BE344" i="1"/>
  <c r="BD344" i="1"/>
  <c r="AV344" i="1"/>
  <c r="AN344" i="1"/>
  <c r="AG344" i="1"/>
  <c r="BK343" i="1"/>
  <c r="BJ343" i="1"/>
  <c r="BI343" i="1"/>
  <c r="BH343" i="1"/>
  <c r="BG343" i="1"/>
  <c r="BF343" i="1"/>
  <c r="BE343" i="1"/>
  <c r="BD343" i="1"/>
  <c r="AV343" i="1"/>
  <c r="AN343" i="1"/>
  <c r="AG343" i="1"/>
  <c r="BK342" i="1"/>
  <c r="BJ342" i="1"/>
  <c r="BI342" i="1"/>
  <c r="BH342" i="1"/>
  <c r="BG342" i="1"/>
  <c r="BF342" i="1"/>
  <c r="BE342" i="1"/>
  <c r="BD342" i="1"/>
  <c r="AV342" i="1"/>
  <c r="AN342" i="1"/>
  <c r="AG342" i="1"/>
  <c r="BK341" i="1"/>
  <c r="BJ341" i="1"/>
  <c r="BI341" i="1"/>
  <c r="BH341" i="1"/>
  <c r="BG341" i="1"/>
  <c r="BF341" i="1"/>
  <c r="BE341" i="1"/>
  <c r="BD341" i="1"/>
  <c r="AV341" i="1"/>
  <c r="AN341" i="1"/>
  <c r="AG341" i="1"/>
  <c r="BK340" i="1"/>
  <c r="BJ340" i="1"/>
  <c r="BI340" i="1"/>
  <c r="BH340" i="1"/>
  <c r="BG340" i="1"/>
  <c r="BF340" i="1"/>
  <c r="BE340" i="1"/>
  <c r="BD340" i="1"/>
  <c r="AV340" i="1"/>
  <c r="AN340" i="1"/>
  <c r="AG340" i="1"/>
  <c r="BK339" i="1"/>
  <c r="BJ339" i="1"/>
  <c r="BI339" i="1"/>
  <c r="BH339" i="1"/>
  <c r="BG339" i="1"/>
  <c r="BF339" i="1"/>
  <c r="BE339" i="1"/>
  <c r="BD339" i="1"/>
  <c r="AV339" i="1"/>
  <c r="AN339" i="1"/>
  <c r="AG339" i="1"/>
  <c r="BK338" i="1"/>
  <c r="BJ338" i="1"/>
  <c r="BI338" i="1"/>
  <c r="BH338" i="1"/>
  <c r="BG338" i="1"/>
  <c r="BF338" i="1"/>
  <c r="BE338" i="1"/>
  <c r="BD338" i="1"/>
  <c r="AV338" i="1"/>
  <c r="AN338" i="1"/>
  <c r="AG338" i="1"/>
  <c r="BK337" i="1"/>
  <c r="BJ337" i="1"/>
  <c r="BI337" i="1"/>
  <c r="BH337" i="1"/>
  <c r="BG337" i="1"/>
  <c r="BF337" i="1"/>
  <c r="BE337" i="1"/>
  <c r="BD337" i="1"/>
  <c r="AV337" i="1"/>
  <c r="AN337" i="1"/>
  <c r="AG337" i="1"/>
  <c r="BK336" i="1"/>
  <c r="BJ336" i="1"/>
  <c r="BI336" i="1"/>
  <c r="BH336" i="1"/>
  <c r="BG336" i="1"/>
  <c r="BF336" i="1"/>
  <c r="BE336" i="1"/>
  <c r="BD336" i="1"/>
  <c r="AV336" i="1"/>
  <c r="AN336" i="1"/>
  <c r="AG336" i="1"/>
  <c r="BJ335" i="1"/>
  <c r="BD335" i="1"/>
  <c r="AV335" i="1"/>
  <c r="AN335" i="1"/>
  <c r="AG335" i="1"/>
  <c r="BK334" i="1"/>
  <c r="BJ334" i="1"/>
  <c r="BI334" i="1"/>
  <c r="BH334" i="1"/>
  <c r="BG334" i="1"/>
  <c r="BF334" i="1"/>
  <c r="BE334" i="1"/>
  <c r="BD334" i="1"/>
  <c r="AV334" i="1"/>
  <c r="AN334" i="1"/>
  <c r="AG334" i="1"/>
  <c r="BK333" i="1"/>
  <c r="BJ333" i="1"/>
  <c r="BI333" i="1"/>
  <c r="BH333" i="1"/>
  <c r="BG333" i="1"/>
  <c r="BF333" i="1"/>
  <c r="BE333" i="1"/>
  <c r="BD333" i="1"/>
  <c r="AV333" i="1"/>
  <c r="AN333" i="1"/>
  <c r="AG333" i="1"/>
  <c r="BC332" i="1"/>
  <c r="BC331" i="1" s="1"/>
  <c r="BB332" i="1"/>
  <c r="BB331" i="1" s="1"/>
  <c r="BA332" i="1"/>
  <c r="BA331" i="1" s="1"/>
  <c r="AZ332" i="1"/>
  <c r="AZ331" i="1" s="1"/>
  <c r="AY332" i="1"/>
  <c r="AY331" i="1" s="1"/>
  <c r="AX332" i="1"/>
  <c r="AX331" i="1" s="1"/>
  <c r="AW332" i="1"/>
  <c r="AW331" i="1" s="1"/>
  <c r="AU332" i="1"/>
  <c r="AU331" i="1" s="1"/>
  <c r="AT332" i="1"/>
  <c r="AT331" i="1" s="1"/>
  <c r="AS332" i="1"/>
  <c r="AS331" i="1"/>
  <c r="AR332" i="1"/>
  <c r="AQ332" i="1"/>
  <c r="AQ331" i="1" s="1"/>
  <c r="AP332" i="1"/>
  <c r="AO332" i="1"/>
  <c r="AO331" i="1" s="1"/>
  <c r="AM332" i="1"/>
  <c r="AM331" i="1" s="1"/>
  <c r="AL332" i="1"/>
  <c r="AL331" i="1" s="1"/>
  <c r="AK332" i="1"/>
  <c r="AK331" i="1" s="1"/>
  <c r="AJ332" i="1"/>
  <c r="AJ331" i="1" s="1"/>
  <c r="AI332" i="1"/>
  <c r="AI331" i="1" s="1"/>
  <c r="AH332" i="1"/>
  <c r="AF332" i="1"/>
  <c r="AF331" i="1"/>
  <c r="AE332" i="1"/>
  <c r="AD332" i="1"/>
  <c r="AD331" i="1" s="1"/>
  <c r="AC332" i="1"/>
  <c r="AC331" i="1" s="1"/>
  <c r="AB332" i="1"/>
  <c r="AA332" i="1"/>
  <c r="Z332" i="1"/>
  <c r="Z331" i="1" s="1"/>
  <c r="BK330" i="1"/>
  <c r="BJ330" i="1"/>
  <c r="BI330" i="1"/>
  <c r="BH330" i="1"/>
  <c r="BF330" i="1"/>
  <c r="BE330" i="1"/>
  <c r="AJ330" i="1"/>
  <c r="AQ330" i="1" s="1"/>
  <c r="BG330" i="1" s="1"/>
  <c r="AG330" i="1"/>
  <c r="BL330" i="1" s="1"/>
  <c r="BK329" i="1"/>
  <c r="BJ329" i="1"/>
  <c r="BI329" i="1"/>
  <c r="BH329" i="1"/>
  <c r="BG329" i="1"/>
  <c r="BF329" i="1"/>
  <c r="BE329" i="1"/>
  <c r="BD329" i="1"/>
  <c r="AV329" i="1"/>
  <c r="AN329" i="1"/>
  <c r="AG329" i="1"/>
  <c r="BK328" i="1"/>
  <c r="BJ328" i="1"/>
  <c r="BI328" i="1"/>
  <c r="BH328" i="1"/>
  <c r="BG328" i="1"/>
  <c r="BF328" i="1"/>
  <c r="BE328" i="1"/>
  <c r="BD328" i="1"/>
  <c r="AV328" i="1"/>
  <c r="AN328" i="1"/>
  <c r="AG328" i="1"/>
  <c r="BK327" i="1"/>
  <c r="BJ327" i="1"/>
  <c r="BI327" i="1"/>
  <c r="BH327" i="1"/>
  <c r="BG327" i="1"/>
  <c r="BF327" i="1"/>
  <c r="BE327" i="1"/>
  <c r="BD327" i="1"/>
  <c r="AV327" i="1"/>
  <c r="AN327" i="1"/>
  <c r="AG327" i="1"/>
  <c r="BD326" i="1"/>
  <c r="AV326" i="1"/>
  <c r="AN326" i="1"/>
  <c r="BK325" i="1"/>
  <c r="BJ325" i="1"/>
  <c r="BI325" i="1"/>
  <c r="BH325" i="1"/>
  <c r="BG325" i="1"/>
  <c r="BF325" i="1"/>
  <c r="BE325" i="1"/>
  <c r="BD325" i="1"/>
  <c r="AV325" i="1"/>
  <c r="AN325" i="1"/>
  <c r="AG325" i="1"/>
  <c r="BK324" i="1"/>
  <c r="BJ324" i="1"/>
  <c r="BI324" i="1"/>
  <c r="BH324" i="1"/>
  <c r="BG324" i="1"/>
  <c r="BF324" i="1"/>
  <c r="BE324" i="1"/>
  <c r="BD324" i="1"/>
  <c r="AV324" i="1"/>
  <c r="AN324" i="1"/>
  <c r="AG324" i="1"/>
  <c r="BK323" i="1"/>
  <c r="BJ323" i="1"/>
  <c r="BI323" i="1"/>
  <c r="BH323" i="1"/>
  <c r="BG323" i="1"/>
  <c r="BF323" i="1"/>
  <c r="BE323" i="1"/>
  <c r="BD323" i="1"/>
  <c r="AV323" i="1"/>
  <c r="AN323" i="1"/>
  <c r="AG323" i="1"/>
  <c r="BK322" i="1"/>
  <c r="BJ322" i="1"/>
  <c r="BI322" i="1"/>
  <c r="BH322" i="1"/>
  <c r="BG322" i="1"/>
  <c r="BF322" i="1"/>
  <c r="BE322" i="1"/>
  <c r="BD322" i="1"/>
  <c r="AV322" i="1"/>
  <c r="AN322" i="1"/>
  <c r="AG322" i="1"/>
  <c r="BK321" i="1"/>
  <c r="BJ321" i="1"/>
  <c r="BI321" i="1"/>
  <c r="BH321" i="1"/>
  <c r="BG321" i="1"/>
  <c r="BF321" i="1"/>
  <c r="BE321" i="1"/>
  <c r="BD321" i="1"/>
  <c r="AV321" i="1"/>
  <c r="AN321" i="1"/>
  <c r="AG321" i="1"/>
  <c r="BK320" i="1"/>
  <c r="BJ320" i="1"/>
  <c r="BI320" i="1"/>
  <c r="BH320" i="1"/>
  <c r="BG320" i="1"/>
  <c r="BF320" i="1"/>
  <c r="BE320" i="1"/>
  <c r="BD320" i="1"/>
  <c r="AV320" i="1"/>
  <c r="AN320" i="1"/>
  <c r="AG320" i="1"/>
  <c r="BK319" i="1"/>
  <c r="BJ319" i="1"/>
  <c r="BI319" i="1"/>
  <c r="BH319" i="1"/>
  <c r="BG319" i="1"/>
  <c r="BF319" i="1"/>
  <c r="BE319" i="1"/>
  <c r="BD319" i="1"/>
  <c r="AV319" i="1"/>
  <c r="AN319" i="1"/>
  <c r="AG319" i="1"/>
  <c r="BK318" i="1"/>
  <c r="BJ318" i="1"/>
  <c r="BI318" i="1"/>
  <c r="BH318" i="1"/>
  <c r="BG318" i="1"/>
  <c r="BF318" i="1"/>
  <c r="BE318" i="1"/>
  <c r="BD318" i="1"/>
  <c r="AV318" i="1"/>
  <c r="AN318" i="1"/>
  <c r="AG318" i="1"/>
  <c r="BK317" i="1"/>
  <c r="BJ317" i="1"/>
  <c r="BI317" i="1"/>
  <c r="BH317" i="1"/>
  <c r="BG317" i="1"/>
  <c r="BF317" i="1"/>
  <c r="BE317" i="1"/>
  <c r="BD317" i="1"/>
  <c r="AV317" i="1"/>
  <c r="AN317" i="1"/>
  <c r="AG317" i="1"/>
  <c r="BK316" i="1"/>
  <c r="BJ316" i="1"/>
  <c r="BI316" i="1"/>
  <c r="BH316" i="1"/>
  <c r="BG316" i="1"/>
  <c r="BF316" i="1"/>
  <c r="BE316" i="1"/>
  <c r="BD316" i="1"/>
  <c r="AV316" i="1"/>
  <c r="AN316" i="1"/>
  <c r="AG316" i="1"/>
  <c r="BK315" i="1"/>
  <c r="BJ315" i="1"/>
  <c r="BI315" i="1"/>
  <c r="BH315" i="1"/>
  <c r="BG315" i="1"/>
  <c r="BF315" i="1"/>
  <c r="BE315" i="1"/>
  <c r="BD315" i="1"/>
  <c r="AV315" i="1"/>
  <c r="AN315" i="1"/>
  <c r="AG315" i="1"/>
  <c r="BK314" i="1"/>
  <c r="BJ314" i="1"/>
  <c r="BI314" i="1"/>
  <c r="BH314" i="1"/>
  <c r="BG314" i="1"/>
  <c r="BF314" i="1"/>
  <c r="BE314" i="1"/>
  <c r="BD314" i="1"/>
  <c r="AV314" i="1"/>
  <c r="AN314" i="1"/>
  <c r="AG314" i="1"/>
  <c r="BK313" i="1"/>
  <c r="BJ313" i="1"/>
  <c r="BI313" i="1"/>
  <c r="BH313" i="1"/>
  <c r="BG313" i="1"/>
  <c r="BF313" i="1"/>
  <c r="BE313" i="1"/>
  <c r="BD313" i="1"/>
  <c r="AV313" i="1"/>
  <c r="AN313" i="1"/>
  <c r="AG313" i="1"/>
  <c r="BK312" i="1"/>
  <c r="BJ312" i="1"/>
  <c r="BI312" i="1"/>
  <c r="BH312" i="1"/>
  <c r="BG312" i="1"/>
  <c r="BF312" i="1"/>
  <c r="BE312" i="1"/>
  <c r="BD312" i="1"/>
  <c r="AV312" i="1"/>
  <c r="AN312" i="1"/>
  <c r="AG312" i="1"/>
  <c r="BK311" i="1"/>
  <c r="BJ311" i="1"/>
  <c r="BI311" i="1"/>
  <c r="BH311" i="1"/>
  <c r="BG311" i="1"/>
  <c r="BF311" i="1"/>
  <c r="BE311" i="1"/>
  <c r="BD311" i="1"/>
  <c r="AV311" i="1"/>
  <c r="AN311" i="1"/>
  <c r="AG311" i="1"/>
  <c r="BK310" i="1"/>
  <c r="BJ310" i="1"/>
  <c r="BI310" i="1"/>
  <c r="BH310" i="1"/>
  <c r="BG310" i="1"/>
  <c r="BF310" i="1"/>
  <c r="BE310" i="1"/>
  <c r="BD310" i="1"/>
  <c r="AV310" i="1"/>
  <c r="AN310" i="1"/>
  <c r="AG310" i="1"/>
  <c r="BK309" i="1"/>
  <c r="BJ309" i="1"/>
  <c r="BI309" i="1"/>
  <c r="BH309" i="1"/>
  <c r="BG309" i="1"/>
  <c r="BF309" i="1"/>
  <c r="BE309" i="1"/>
  <c r="BD309" i="1"/>
  <c r="AV309" i="1"/>
  <c r="AN309" i="1"/>
  <c r="AG309" i="1"/>
  <c r="BK308" i="1"/>
  <c r="BJ308" i="1"/>
  <c r="BI308" i="1"/>
  <c r="BH308" i="1"/>
  <c r="BG308" i="1"/>
  <c r="BF308" i="1"/>
  <c r="BE308" i="1"/>
  <c r="BD308" i="1"/>
  <c r="AV308" i="1"/>
  <c r="AN308" i="1"/>
  <c r="AG308" i="1"/>
  <c r="BK307" i="1"/>
  <c r="BJ307" i="1"/>
  <c r="BI307" i="1"/>
  <c r="BH307" i="1"/>
  <c r="BG307" i="1"/>
  <c r="BF307" i="1"/>
  <c r="BE307" i="1"/>
  <c r="BD307" i="1"/>
  <c r="AV307" i="1"/>
  <c r="AN307" i="1"/>
  <c r="AG307" i="1"/>
  <c r="BK306" i="1"/>
  <c r="BJ306" i="1"/>
  <c r="BI306" i="1"/>
  <c r="BH306" i="1"/>
  <c r="BG306" i="1"/>
  <c r="BF306" i="1"/>
  <c r="BE306" i="1"/>
  <c r="BD306" i="1"/>
  <c r="AV306" i="1"/>
  <c r="AN306" i="1"/>
  <c r="AG306" i="1"/>
  <c r="BK305" i="1"/>
  <c r="BJ305" i="1"/>
  <c r="BI305" i="1"/>
  <c r="BH305" i="1"/>
  <c r="BG305" i="1"/>
  <c r="BF305" i="1"/>
  <c r="BE305" i="1"/>
  <c r="BD305" i="1"/>
  <c r="AV305" i="1"/>
  <c r="AN305" i="1"/>
  <c r="AG305" i="1"/>
  <c r="BK304" i="1"/>
  <c r="BJ304" i="1"/>
  <c r="BI304" i="1"/>
  <c r="BH304" i="1"/>
  <c r="BG304" i="1"/>
  <c r="BF304" i="1"/>
  <c r="BE304" i="1"/>
  <c r="BD304" i="1"/>
  <c r="AV304" i="1"/>
  <c r="AN304" i="1"/>
  <c r="AG304" i="1"/>
  <c r="BK303" i="1"/>
  <c r="BJ303" i="1"/>
  <c r="BI303" i="1"/>
  <c r="BH303" i="1"/>
  <c r="BG303" i="1"/>
  <c r="BF303" i="1"/>
  <c r="BE303" i="1"/>
  <c r="BD303" i="1"/>
  <c r="AV303" i="1"/>
  <c r="AN303" i="1"/>
  <c r="AG303" i="1"/>
  <c r="BK302" i="1"/>
  <c r="BJ302" i="1"/>
  <c r="BI302" i="1"/>
  <c r="BH302" i="1"/>
  <c r="BG302" i="1"/>
  <c r="BF302" i="1"/>
  <c r="BE302" i="1"/>
  <c r="BD302" i="1"/>
  <c r="AV302" i="1"/>
  <c r="AN302" i="1"/>
  <c r="AG302" i="1"/>
  <c r="BK301" i="1"/>
  <c r="BJ301" i="1"/>
  <c r="BI301" i="1"/>
  <c r="BH301" i="1"/>
  <c r="BG301" i="1"/>
  <c r="BF301" i="1"/>
  <c r="BE301" i="1"/>
  <c r="BD301" i="1"/>
  <c r="AV301" i="1"/>
  <c r="AN301" i="1"/>
  <c r="AG301" i="1"/>
  <c r="BK300" i="1"/>
  <c r="BJ300" i="1"/>
  <c r="BI300" i="1"/>
  <c r="BH300" i="1"/>
  <c r="BG300" i="1"/>
  <c r="BF300" i="1"/>
  <c r="BE300" i="1"/>
  <c r="BD300" i="1"/>
  <c r="AV300" i="1"/>
  <c r="AN300" i="1"/>
  <c r="AG300" i="1"/>
  <c r="BK299" i="1"/>
  <c r="BJ299" i="1"/>
  <c r="BI299" i="1"/>
  <c r="BH299" i="1"/>
  <c r="BG299" i="1"/>
  <c r="BF299" i="1"/>
  <c r="BE299" i="1"/>
  <c r="BD299" i="1"/>
  <c r="AV299" i="1"/>
  <c r="AN299" i="1"/>
  <c r="AG299" i="1"/>
  <c r="BK298" i="1"/>
  <c r="BJ298" i="1"/>
  <c r="BI298" i="1"/>
  <c r="BH298" i="1"/>
  <c r="BG298" i="1"/>
  <c r="BF298" i="1"/>
  <c r="BE298" i="1"/>
  <c r="BD298" i="1"/>
  <c r="AV298" i="1"/>
  <c r="AN298" i="1"/>
  <c r="AG298" i="1"/>
  <c r="BK297" i="1"/>
  <c r="BJ297" i="1"/>
  <c r="BI297" i="1"/>
  <c r="BH297" i="1"/>
  <c r="BG297" i="1"/>
  <c r="BF297" i="1"/>
  <c r="BE297" i="1"/>
  <c r="BD297" i="1"/>
  <c r="AV297" i="1"/>
  <c r="AN297" i="1"/>
  <c r="AG297" i="1"/>
  <c r="BC296" i="1"/>
  <c r="BC295" i="1" s="1"/>
  <c r="BB296" i="1"/>
  <c r="BA296" i="1"/>
  <c r="BA295" i="1" s="1"/>
  <c r="BA289" i="1" s="1"/>
  <c r="AZ296" i="1"/>
  <c r="AY296" i="1"/>
  <c r="AY295" i="1" s="1"/>
  <c r="AX296" i="1"/>
  <c r="AW296" i="1"/>
  <c r="AW295" i="1" s="1"/>
  <c r="AU296" i="1"/>
  <c r="AU295" i="1" s="1"/>
  <c r="AU289" i="1" s="1"/>
  <c r="AT296" i="1"/>
  <c r="AS296" i="1"/>
  <c r="AR296" i="1"/>
  <c r="AR295" i="1" s="1"/>
  <c r="AQ296" i="1"/>
  <c r="AQ295" i="1" s="1"/>
  <c r="AP296" i="1"/>
  <c r="AP295" i="1" s="1"/>
  <c r="AP289" i="1" s="1"/>
  <c r="AO296" i="1"/>
  <c r="AM296" i="1"/>
  <c r="AM295" i="1" s="1"/>
  <c r="AM289" i="1" s="1"/>
  <c r="AL296" i="1"/>
  <c r="AL295" i="1" s="1"/>
  <c r="AL289" i="1" s="1"/>
  <c r="AK296" i="1"/>
  <c r="AK295" i="1" s="1"/>
  <c r="AJ296" i="1"/>
  <c r="AI296" i="1"/>
  <c r="AI295" i="1" s="1"/>
  <c r="AI289" i="1" s="1"/>
  <c r="AH296" i="1"/>
  <c r="AH295" i="1" s="1"/>
  <c r="AF296" i="1"/>
  <c r="AE296" i="1"/>
  <c r="AE295" i="1" s="1"/>
  <c r="AD296" i="1"/>
  <c r="AD295" i="1" s="1"/>
  <c r="AD289" i="1" s="1"/>
  <c r="AC296" i="1"/>
  <c r="AC295" i="1" s="1"/>
  <c r="AC289" i="1" s="1"/>
  <c r="AB296" i="1"/>
  <c r="AB295" i="1" s="1"/>
  <c r="AA296" i="1"/>
  <c r="AA295" i="1" s="1"/>
  <c r="Z296" i="1"/>
  <c r="Z295" i="1" s="1"/>
  <c r="BL294" i="1"/>
  <c r="BK294" i="1"/>
  <c r="BJ294" i="1"/>
  <c r="BI294" i="1"/>
  <c r="BH294" i="1"/>
  <c r="BF294" i="1"/>
  <c r="AJ294" i="1"/>
  <c r="AQ294" i="1" s="1"/>
  <c r="AY294" i="1" s="1"/>
  <c r="BG294" i="1" s="1"/>
  <c r="AH294" i="1"/>
  <c r="AO294" i="1" s="1"/>
  <c r="AW294" i="1" s="1"/>
  <c r="BE294" i="1" s="1"/>
  <c r="AN293" i="1"/>
  <c r="BK292" i="1"/>
  <c r="BJ292" i="1"/>
  <c r="BI292" i="1"/>
  <c r="BH292" i="1"/>
  <c r="BG292" i="1"/>
  <c r="BF292" i="1"/>
  <c r="BE292" i="1"/>
  <c r="BD292" i="1"/>
  <c r="AV292" i="1"/>
  <c r="AN292" i="1"/>
  <c r="AG292" i="1"/>
  <c r="AN291" i="1"/>
  <c r="BE289" i="1"/>
  <c r="AY289" i="1"/>
  <c r="AQ289" i="1"/>
  <c r="AJ289" i="1"/>
  <c r="BK288" i="1"/>
  <c r="BJ288" i="1"/>
  <c r="BI288" i="1"/>
  <c r="BH288" i="1"/>
  <c r="BG288" i="1"/>
  <c r="BF288" i="1"/>
  <c r="BE288" i="1"/>
  <c r="BD288" i="1"/>
  <c r="AV288" i="1"/>
  <c r="AN288" i="1"/>
  <c r="AG288" i="1"/>
  <c r="BK287" i="1"/>
  <c r="BJ287" i="1"/>
  <c r="BI287" i="1"/>
  <c r="BH287" i="1"/>
  <c r="BG287" i="1"/>
  <c r="BF287" i="1"/>
  <c r="BE287" i="1"/>
  <c r="BD287" i="1"/>
  <c r="AV287" i="1"/>
  <c r="AN287" i="1"/>
  <c r="AG287" i="1"/>
  <c r="BK286" i="1"/>
  <c r="BJ286" i="1"/>
  <c r="BI286" i="1"/>
  <c r="BH286" i="1"/>
  <c r="BG286" i="1"/>
  <c r="BF286" i="1"/>
  <c r="BE286" i="1"/>
  <c r="BD286" i="1"/>
  <c r="AV286" i="1"/>
  <c r="AN286" i="1"/>
  <c r="AG286" i="1"/>
  <c r="BK285" i="1"/>
  <c r="BJ285" i="1"/>
  <c r="BI285" i="1"/>
  <c r="BH285" i="1"/>
  <c r="BG285" i="1"/>
  <c r="BF285" i="1"/>
  <c r="BE285" i="1"/>
  <c r="BD285" i="1"/>
  <c r="AV285" i="1"/>
  <c r="AN285" i="1"/>
  <c r="AG285" i="1"/>
  <c r="BK284" i="1"/>
  <c r="BJ284" i="1"/>
  <c r="BI284" i="1"/>
  <c r="BH284" i="1"/>
  <c r="BG284" i="1"/>
  <c r="BF284" i="1"/>
  <c r="BE284" i="1"/>
  <c r="BD284" i="1"/>
  <c r="AV284" i="1"/>
  <c r="AN284" i="1"/>
  <c r="AG284" i="1"/>
  <c r="BK283" i="1"/>
  <c r="BJ283" i="1"/>
  <c r="BI283" i="1"/>
  <c r="BH283" i="1"/>
  <c r="BG283" i="1"/>
  <c r="BF283" i="1"/>
  <c r="BE283" i="1"/>
  <c r="BD283" i="1"/>
  <c r="AV283" i="1"/>
  <c r="AN283" i="1"/>
  <c r="AG283" i="1"/>
  <c r="BK282" i="1"/>
  <c r="BJ282" i="1"/>
  <c r="BI282" i="1"/>
  <c r="BH282" i="1"/>
  <c r="BG282" i="1"/>
  <c r="BF282" i="1"/>
  <c r="BE282" i="1"/>
  <c r="BD282" i="1"/>
  <c r="AV282" i="1"/>
  <c r="AN282" i="1"/>
  <c r="AG282" i="1"/>
  <c r="BK281" i="1"/>
  <c r="BJ281" i="1"/>
  <c r="BI281" i="1"/>
  <c r="BH281" i="1"/>
  <c r="BG281" i="1"/>
  <c r="BF281" i="1"/>
  <c r="BE281" i="1"/>
  <c r="BD281" i="1"/>
  <c r="AV281" i="1"/>
  <c r="AN281" i="1"/>
  <c r="AG281" i="1"/>
  <c r="BK280" i="1"/>
  <c r="BJ280" i="1"/>
  <c r="BI280" i="1"/>
  <c r="BH280" i="1"/>
  <c r="BG280" i="1"/>
  <c r="BF280" i="1"/>
  <c r="BE280" i="1"/>
  <c r="BD280" i="1"/>
  <c r="AV280" i="1"/>
  <c r="AN280" i="1"/>
  <c r="AG280" i="1"/>
  <c r="BK279" i="1"/>
  <c r="BJ279" i="1"/>
  <c r="BI279" i="1"/>
  <c r="BH279" i="1"/>
  <c r="BG279" i="1"/>
  <c r="BF279" i="1"/>
  <c r="BE279" i="1"/>
  <c r="BD279" i="1"/>
  <c r="AV279" i="1"/>
  <c r="AN279" i="1"/>
  <c r="AG279" i="1"/>
  <c r="BK278" i="1"/>
  <c r="BJ278" i="1"/>
  <c r="BI278" i="1"/>
  <c r="BH278" i="1"/>
  <c r="BG278" i="1"/>
  <c r="BF278" i="1"/>
  <c r="BE278" i="1"/>
  <c r="BD278" i="1"/>
  <c r="AV278" i="1"/>
  <c r="AN278" i="1"/>
  <c r="AG278" i="1"/>
  <c r="BK277" i="1"/>
  <c r="BJ277" i="1"/>
  <c r="BI277" i="1"/>
  <c r="BH277" i="1"/>
  <c r="BG277" i="1"/>
  <c r="BF277" i="1"/>
  <c r="BE277" i="1"/>
  <c r="BD277" i="1"/>
  <c r="AV277" i="1"/>
  <c r="AN277" i="1"/>
  <c r="AG277" i="1"/>
  <c r="BC276" i="1"/>
  <c r="BB276" i="1"/>
  <c r="BA276" i="1"/>
  <c r="AZ276" i="1"/>
  <c r="AY276" i="1"/>
  <c r="AX276" i="1"/>
  <c r="AW276" i="1"/>
  <c r="AU276" i="1"/>
  <c r="AT276" i="1"/>
  <c r="AS276" i="1"/>
  <c r="AR276" i="1"/>
  <c r="AQ276" i="1"/>
  <c r="AP276" i="1"/>
  <c r="AO276" i="1"/>
  <c r="AM276" i="1"/>
  <c r="AL276" i="1"/>
  <c r="AK276" i="1"/>
  <c r="AJ276" i="1"/>
  <c r="AJ264" i="1"/>
  <c r="AI276" i="1"/>
  <c r="AH276" i="1"/>
  <c r="AF276" i="1"/>
  <c r="AE276" i="1"/>
  <c r="AD276" i="1"/>
  <c r="AC276" i="1"/>
  <c r="AB276" i="1"/>
  <c r="AA276" i="1"/>
  <c r="Z276" i="1"/>
  <c r="BK275" i="1"/>
  <c r="BJ275" i="1"/>
  <c r="BI275" i="1"/>
  <c r="BH275" i="1"/>
  <c r="BG275" i="1"/>
  <c r="BF275" i="1"/>
  <c r="BE275" i="1"/>
  <c r="BD275" i="1"/>
  <c r="AV275" i="1"/>
  <c r="AN275" i="1"/>
  <c r="AG275" i="1"/>
  <c r="BK274" i="1"/>
  <c r="BJ274" i="1"/>
  <c r="BI274" i="1"/>
  <c r="BH274" i="1"/>
  <c r="BG274" i="1"/>
  <c r="BF274" i="1"/>
  <c r="BE274" i="1"/>
  <c r="BD274" i="1"/>
  <c r="AV274" i="1"/>
  <c r="AN274" i="1"/>
  <c r="AG274" i="1"/>
  <c r="BK273" i="1"/>
  <c r="BJ273" i="1"/>
  <c r="BI273" i="1"/>
  <c r="BH273" i="1"/>
  <c r="BG273" i="1"/>
  <c r="BF273" i="1"/>
  <c r="BE273" i="1"/>
  <c r="BD273" i="1"/>
  <c r="AV273" i="1"/>
  <c r="AN273" i="1"/>
  <c r="AG273" i="1"/>
  <c r="BK272" i="1"/>
  <c r="BJ272" i="1"/>
  <c r="BI272" i="1"/>
  <c r="BH272" i="1"/>
  <c r="BG272" i="1"/>
  <c r="BF272" i="1"/>
  <c r="BE272" i="1"/>
  <c r="BD272" i="1"/>
  <c r="AV272" i="1"/>
  <c r="AN272" i="1"/>
  <c r="AG272" i="1"/>
  <c r="BK271" i="1"/>
  <c r="BJ271" i="1"/>
  <c r="BI271" i="1"/>
  <c r="BH271" i="1"/>
  <c r="BG271" i="1"/>
  <c r="BF271" i="1"/>
  <c r="BE271" i="1"/>
  <c r="BD271" i="1"/>
  <c r="AV271" i="1"/>
  <c r="AN271" i="1"/>
  <c r="AG271" i="1"/>
  <c r="BK270" i="1"/>
  <c r="BJ270" i="1"/>
  <c r="BI270" i="1"/>
  <c r="BH270" i="1"/>
  <c r="BG270" i="1"/>
  <c r="BF270" i="1"/>
  <c r="BE270" i="1"/>
  <c r="BD270" i="1"/>
  <c r="AV270" i="1"/>
  <c r="AN270" i="1"/>
  <c r="AG270" i="1"/>
  <c r="BK269" i="1"/>
  <c r="BJ269" i="1"/>
  <c r="BI269" i="1"/>
  <c r="BH269" i="1"/>
  <c r="BG269" i="1"/>
  <c r="BF269" i="1"/>
  <c r="BE269" i="1"/>
  <c r="BD269" i="1"/>
  <c r="AV269" i="1"/>
  <c r="AN269" i="1"/>
  <c r="AG269" i="1"/>
  <c r="BK268" i="1"/>
  <c r="BJ268" i="1"/>
  <c r="BI268" i="1"/>
  <c r="BH268" i="1"/>
  <c r="BG268" i="1"/>
  <c r="BF268" i="1"/>
  <c r="BE268" i="1"/>
  <c r="BD268" i="1"/>
  <c r="AV268" i="1"/>
  <c r="AN268" i="1"/>
  <c r="AG268" i="1"/>
  <c r="BK267" i="1"/>
  <c r="BJ267" i="1"/>
  <c r="BI267" i="1"/>
  <c r="BH267" i="1"/>
  <c r="BG267" i="1"/>
  <c r="BF267" i="1"/>
  <c r="BE267" i="1"/>
  <c r="BD267" i="1"/>
  <c r="AV267" i="1"/>
  <c r="AN267" i="1"/>
  <c r="AG267" i="1"/>
  <c r="BK266" i="1"/>
  <c r="BJ266" i="1"/>
  <c r="BI266" i="1"/>
  <c r="BH266" i="1"/>
  <c r="BG266" i="1"/>
  <c r="BF266" i="1"/>
  <c r="BE266" i="1"/>
  <c r="BD266" i="1"/>
  <c r="AV266" i="1"/>
  <c r="AN266" i="1"/>
  <c r="AG266" i="1"/>
  <c r="BK265" i="1"/>
  <c r="BJ265" i="1"/>
  <c r="BI265" i="1"/>
  <c r="BH265" i="1"/>
  <c r="BG265" i="1"/>
  <c r="BF265" i="1"/>
  <c r="BE265" i="1"/>
  <c r="BD265" i="1"/>
  <c r="AV265" i="1"/>
  <c r="AN265" i="1"/>
  <c r="AG265" i="1"/>
  <c r="BC264" i="1"/>
  <c r="BB264" i="1"/>
  <c r="AE264" i="1"/>
  <c r="AT264" i="1"/>
  <c r="BA264" i="1"/>
  <c r="AZ264" i="1"/>
  <c r="AY264" i="1"/>
  <c r="AX264" i="1"/>
  <c r="AW264" i="1"/>
  <c r="AU264" i="1"/>
  <c r="AS264" i="1"/>
  <c r="AR264" i="1"/>
  <c r="AQ264" i="1"/>
  <c r="AP264" i="1"/>
  <c r="AO264" i="1"/>
  <c r="AM264" i="1"/>
  <c r="AL264" i="1"/>
  <c r="AK264" i="1"/>
  <c r="AI264" i="1"/>
  <c r="AH264" i="1"/>
  <c r="AF264" i="1"/>
  <c r="AD264" i="1"/>
  <c r="AC264" i="1"/>
  <c r="AB264" i="1"/>
  <c r="AA264" i="1"/>
  <c r="Z264" i="1"/>
  <c r="BL262" i="1"/>
  <c r="BK262" i="1"/>
  <c r="BJ262" i="1"/>
  <c r="BI262" i="1"/>
  <c r="BH262" i="1"/>
  <c r="BF262" i="1"/>
  <c r="AJ262" i="1"/>
  <c r="AQ262" i="1" s="1"/>
  <c r="BG262" i="1" s="1"/>
  <c r="AH262" i="1"/>
  <c r="AO262" i="1" s="1"/>
  <c r="BE262" i="1" s="1"/>
  <c r="BK260" i="1"/>
  <c r="BJ260" i="1"/>
  <c r="BI260" i="1"/>
  <c r="BH260" i="1"/>
  <c r="BG260" i="1"/>
  <c r="BF260" i="1"/>
  <c r="BE260" i="1"/>
  <c r="BD260" i="1"/>
  <c r="AV260" i="1"/>
  <c r="AN260" i="1"/>
  <c r="AG260" i="1"/>
  <c r="BK259" i="1"/>
  <c r="BJ259" i="1"/>
  <c r="BI259" i="1"/>
  <c r="BH259" i="1"/>
  <c r="BG259" i="1"/>
  <c r="BF259" i="1"/>
  <c r="BE259" i="1"/>
  <c r="BD259" i="1"/>
  <c r="AV259" i="1"/>
  <c r="AN259" i="1"/>
  <c r="AG259" i="1"/>
  <c r="BK258" i="1"/>
  <c r="BJ258" i="1"/>
  <c r="BI258" i="1"/>
  <c r="BH258" i="1"/>
  <c r="BG258" i="1"/>
  <c r="BF258" i="1"/>
  <c r="BE258" i="1"/>
  <c r="BD258" i="1"/>
  <c r="AV258" i="1"/>
  <c r="AN258" i="1"/>
  <c r="AG258" i="1"/>
  <c r="BK257" i="1"/>
  <c r="BJ257" i="1"/>
  <c r="BI257" i="1"/>
  <c r="BH257" i="1"/>
  <c r="BG257" i="1"/>
  <c r="BF257" i="1"/>
  <c r="BE257" i="1"/>
  <c r="BD257" i="1"/>
  <c r="AV257" i="1"/>
  <c r="AN257" i="1"/>
  <c r="AG257" i="1"/>
  <c r="BK256" i="1"/>
  <c r="BJ256" i="1"/>
  <c r="BI256" i="1"/>
  <c r="BH256" i="1"/>
  <c r="BG256" i="1"/>
  <c r="BF256" i="1"/>
  <c r="BE256" i="1"/>
  <c r="BD256" i="1"/>
  <c r="AV256" i="1"/>
  <c r="AN256" i="1"/>
  <c r="AG256" i="1"/>
  <c r="BK255" i="1"/>
  <c r="BJ255" i="1"/>
  <c r="BI255" i="1"/>
  <c r="BH255" i="1"/>
  <c r="BG255" i="1"/>
  <c r="BF255" i="1"/>
  <c r="BE255" i="1"/>
  <c r="BD255" i="1"/>
  <c r="AV255" i="1"/>
  <c r="AN255" i="1"/>
  <c r="AG255" i="1"/>
  <c r="BK254" i="1"/>
  <c r="BJ254" i="1"/>
  <c r="BI254" i="1"/>
  <c r="BH254" i="1"/>
  <c r="BG254" i="1"/>
  <c r="BF254" i="1"/>
  <c r="BE254" i="1"/>
  <c r="BD254" i="1"/>
  <c r="AV254" i="1"/>
  <c r="AN254" i="1"/>
  <c r="AG254" i="1"/>
  <c r="BK253" i="1"/>
  <c r="BJ253" i="1"/>
  <c r="BI253" i="1"/>
  <c r="BH253" i="1"/>
  <c r="BG253" i="1"/>
  <c r="BF253" i="1"/>
  <c r="BE253" i="1"/>
  <c r="BD253" i="1"/>
  <c r="AV253" i="1"/>
  <c r="AN253" i="1"/>
  <c r="AG253" i="1"/>
  <c r="BK252" i="1"/>
  <c r="BJ252" i="1"/>
  <c r="BI252" i="1"/>
  <c r="BH252" i="1"/>
  <c r="BG252" i="1"/>
  <c r="BF252" i="1"/>
  <c r="BE252" i="1"/>
  <c r="BD252" i="1"/>
  <c r="AV252" i="1"/>
  <c r="AN252" i="1"/>
  <c r="AG252" i="1"/>
  <c r="BJ251" i="1"/>
  <c r="BD251" i="1"/>
  <c r="AV251" i="1"/>
  <c r="AN251" i="1"/>
  <c r="AG251" i="1"/>
  <c r="BK250" i="1"/>
  <c r="BJ250" i="1"/>
  <c r="BI250" i="1"/>
  <c r="BH250" i="1"/>
  <c r="BG250" i="1"/>
  <c r="BF250" i="1"/>
  <c r="BE250" i="1"/>
  <c r="BD250" i="1"/>
  <c r="AV250" i="1"/>
  <c r="AN250" i="1"/>
  <c r="AG250" i="1"/>
  <c r="BK249" i="1"/>
  <c r="BJ249" i="1"/>
  <c r="BI249" i="1"/>
  <c r="BH249" i="1"/>
  <c r="BG249" i="1"/>
  <c r="BF249" i="1"/>
  <c r="BE249" i="1"/>
  <c r="BD249" i="1"/>
  <c r="AV249" i="1"/>
  <c r="AN249" i="1"/>
  <c r="AG249" i="1"/>
  <c r="BK248" i="1"/>
  <c r="BJ248" i="1"/>
  <c r="BI248" i="1"/>
  <c r="BH248" i="1"/>
  <c r="BG248" i="1"/>
  <c r="BF248" i="1"/>
  <c r="BE248" i="1"/>
  <c r="BD248" i="1"/>
  <c r="AV248" i="1"/>
  <c r="AN248" i="1"/>
  <c r="AG248" i="1"/>
  <c r="BK247" i="1"/>
  <c r="BJ247" i="1"/>
  <c r="BI247" i="1"/>
  <c r="BH247" i="1"/>
  <c r="BG247" i="1"/>
  <c r="BF247" i="1"/>
  <c r="BE247" i="1"/>
  <c r="BD247" i="1"/>
  <c r="AV247" i="1"/>
  <c r="AN247" i="1"/>
  <c r="AG247" i="1"/>
  <c r="BK246" i="1"/>
  <c r="BJ246" i="1"/>
  <c r="BI246" i="1"/>
  <c r="BH246" i="1"/>
  <c r="BG246" i="1"/>
  <c r="BF246" i="1"/>
  <c r="BE246" i="1"/>
  <c r="BD246" i="1"/>
  <c r="AV246" i="1"/>
  <c r="AN246" i="1"/>
  <c r="AG246" i="1"/>
  <c r="BK245" i="1"/>
  <c r="BJ245" i="1"/>
  <c r="BI245" i="1"/>
  <c r="BH245" i="1"/>
  <c r="BG245" i="1"/>
  <c r="BF245" i="1"/>
  <c r="BE245" i="1"/>
  <c r="BD245" i="1"/>
  <c r="AV245" i="1"/>
  <c r="AN245" i="1"/>
  <c r="AG245" i="1"/>
  <c r="BK244" i="1"/>
  <c r="BJ244" i="1"/>
  <c r="BI244" i="1"/>
  <c r="BH244" i="1"/>
  <c r="BG244" i="1"/>
  <c r="BF244" i="1"/>
  <c r="BE244" i="1"/>
  <c r="BD244" i="1"/>
  <c r="AV244" i="1"/>
  <c r="AN244" i="1"/>
  <c r="AG244" i="1"/>
  <c r="BC243" i="1"/>
  <c r="BB243" i="1"/>
  <c r="BA243" i="1"/>
  <c r="AZ243" i="1"/>
  <c r="AY243" i="1"/>
  <c r="AX243" i="1"/>
  <c r="AW243" i="1"/>
  <c r="AU243" i="1"/>
  <c r="AT243" i="1"/>
  <c r="AS243" i="1"/>
  <c r="AR243" i="1"/>
  <c r="AQ243" i="1"/>
  <c r="AP243" i="1"/>
  <c r="AO243" i="1"/>
  <c r="AM243" i="1"/>
  <c r="AL243" i="1"/>
  <c r="AK243" i="1"/>
  <c r="AJ243" i="1"/>
  <c r="AI243" i="1"/>
  <c r="AH243" i="1"/>
  <c r="AF243" i="1"/>
  <c r="AE243" i="1"/>
  <c r="AD243" i="1"/>
  <c r="AC243" i="1"/>
  <c r="AB243" i="1"/>
  <c r="AA243" i="1"/>
  <c r="Z243" i="1"/>
  <c r="BK242" i="1"/>
  <c r="BJ242" i="1"/>
  <c r="BI242" i="1"/>
  <c r="BH242" i="1"/>
  <c r="BF242" i="1"/>
  <c r="AJ242" i="1"/>
  <c r="AQ242" i="1" s="1"/>
  <c r="AH242" i="1"/>
  <c r="AO242" i="1" s="1"/>
  <c r="AW242" i="1" s="1"/>
  <c r="BE242" i="1" s="1"/>
  <c r="AG242" i="1"/>
  <c r="BK241" i="1"/>
  <c r="BJ241" i="1"/>
  <c r="BI241" i="1"/>
  <c r="BH241" i="1"/>
  <c r="BG241" i="1"/>
  <c r="BF241" i="1"/>
  <c r="BE241" i="1"/>
  <c r="BD241" i="1"/>
  <c r="AV241" i="1"/>
  <c r="AN241" i="1"/>
  <c r="AG241" i="1"/>
  <c r="BK240" i="1"/>
  <c r="BJ240" i="1"/>
  <c r="BI240" i="1"/>
  <c r="BH240" i="1"/>
  <c r="BG240" i="1"/>
  <c r="BF240" i="1"/>
  <c r="BE240" i="1"/>
  <c r="BD240" i="1"/>
  <c r="AV240" i="1"/>
  <c r="AN240" i="1"/>
  <c r="AG240" i="1"/>
  <c r="BK239" i="1"/>
  <c r="BJ239" i="1"/>
  <c r="BI239" i="1"/>
  <c r="BH239" i="1"/>
  <c r="BG239" i="1"/>
  <c r="BF239" i="1"/>
  <c r="BE239" i="1"/>
  <c r="BD239" i="1"/>
  <c r="AV239" i="1"/>
  <c r="AN239" i="1"/>
  <c r="AG239" i="1"/>
  <c r="BK238" i="1"/>
  <c r="BJ238" i="1"/>
  <c r="BI238" i="1"/>
  <c r="BH238" i="1"/>
  <c r="BG238" i="1"/>
  <c r="BF238" i="1"/>
  <c r="BE238" i="1"/>
  <c r="BD238" i="1"/>
  <c r="AV238" i="1"/>
  <c r="AN238" i="1"/>
  <c r="AG238" i="1"/>
  <c r="BK237" i="1"/>
  <c r="BJ237" i="1"/>
  <c r="BI237" i="1"/>
  <c r="BH237" i="1"/>
  <c r="BG237" i="1"/>
  <c r="BF237" i="1"/>
  <c r="BE237" i="1"/>
  <c r="BD237" i="1"/>
  <c r="AV237" i="1"/>
  <c r="AN237" i="1"/>
  <c r="AG237" i="1"/>
  <c r="BK236" i="1"/>
  <c r="BJ236" i="1"/>
  <c r="BI236" i="1"/>
  <c r="BH236" i="1"/>
  <c r="BG236" i="1"/>
  <c r="BF236" i="1"/>
  <c r="BE236" i="1"/>
  <c r="BD236" i="1"/>
  <c r="AV236" i="1"/>
  <c r="AN236" i="1"/>
  <c r="AG236" i="1"/>
  <c r="BC235" i="1"/>
  <c r="BB235" i="1"/>
  <c r="BA235" i="1"/>
  <c r="AZ235" i="1"/>
  <c r="AY235" i="1"/>
  <c r="AX235" i="1"/>
  <c r="AW235" i="1"/>
  <c r="AU235" i="1"/>
  <c r="AT235" i="1"/>
  <c r="AS235" i="1"/>
  <c r="AR235" i="1"/>
  <c r="AQ235" i="1"/>
  <c r="AP235" i="1"/>
  <c r="AO235" i="1"/>
  <c r="AM235" i="1"/>
  <c r="AL235" i="1"/>
  <c r="AK235" i="1"/>
  <c r="AJ235" i="1"/>
  <c r="AI235" i="1"/>
  <c r="AH235" i="1"/>
  <c r="AF235" i="1"/>
  <c r="AE235" i="1"/>
  <c r="AD235" i="1"/>
  <c r="AC235" i="1"/>
  <c r="AB235" i="1"/>
  <c r="AA235" i="1"/>
  <c r="Z235" i="1"/>
  <c r="BK234" i="1"/>
  <c r="BJ234" i="1"/>
  <c r="BI234" i="1"/>
  <c r="BH234" i="1"/>
  <c r="BG234" i="1"/>
  <c r="BF234" i="1"/>
  <c r="BE234" i="1"/>
  <c r="BD234" i="1"/>
  <c r="AV234" i="1"/>
  <c r="AN234" i="1"/>
  <c r="AG234" i="1"/>
  <c r="BK233" i="1"/>
  <c r="BJ233" i="1"/>
  <c r="BI233" i="1"/>
  <c r="BH233" i="1"/>
  <c r="BG233" i="1"/>
  <c r="BF233" i="1"/>
  <c r="BE233" i="1"/>
  <c r="BD233" i="1"/>
  <c r="AV233" i="1"/>
  <c r="AN233" i="1"/>
  <c r="AG233" i="1"/>
  <c r="BK232" i="1"/>
  <c r="BJ232" i="1"/>
  <c r="BI232" i="1"/>
  <c r="BH232" i="1"/>
  <c r="BG232" i="1"/>
  <c r="BF232" i="1"/>
  <c r="BE232" i="1"/>
  <c r="BD232" i="1"/>
  <c r="AV232" i="1"/>
  <c r="AN232" i="1"/>
  <c r="AG232" i="1"/>
  <c r="BK231" i="1"/>
  <c r="BJ231" i="1"/>
  <c r="BI231" i="1"/>
  <c r="BH231" i="1"/>
  <c r="BG231" i="1"/>
  <c r="BF231" i="1"/>
  <c r="BE231" i="1"/>
  <c r="BD231" i="1"/>
  <c r="AV231" i="1"/>
  <c r="AN231" i="1"/>
  <c r="AG231" i="1"/>
  <c r="BK230" i="1"/>
  <c r="BJ230" i="1"/>
  <c r="BI230" i="1"/>
  <c r="BH230" i="1"/>
  <c r="BG230" i="1"/>
  <c r="BF230" i="1"/>
  <c r="BE230" i="1"/>
  <c r="BD230" i="1"/>
  <c r="AV230" i="1"/>
  <c r="AN230" i="1"/>
  <c r="AG230" i="1"/>
  <c r="BK229" i="1"/>
  <c r="BJ229" i="1"/>
  <c r="BI229" i="1"/>
  <c r="BH229" i="1"/>
  <c r="BG229" i="1"/>
  <c r="BF229" i="1"/>
  <c r="BE229" i="1"/>
  <c r="BD229" i="1"/>
  <c r="AV229" i="1"/>
  <c r="AN229" i="1"/>
  <c r="AG229" i="1"/>
  <c r="BK228" i="1"/>
  <c r="BJ228" i="1"/>
  <c r="BI228" i="1"/>
  <c r="BH228" i="1"/>
  <c r="BG228" i="1"/>
  <c r="BF228" i="1"/>
  <c r="BE228" i="1"/>
  <c r="BD228" i="1"/>
  <c r="AV228" i="1"/>
  <c r="AN228" i="1"/>
  <c r="AG228" i="1"/>
  <c r="BC227" i="1"/>
  <c r="BB227" i="1"/>
  <c r="BA227" i="1"/>
  <c r="AZ227" i="1"/>
  <c r="AY227" i="1"/>
  <c r="AX227" i="1"/>
  <c r="AW227" i="1"/>
  <c r="AU227" i="1"/>
  <c r="AT227" i="1"/>
  <c r="AS227" i="1"/>
  <c r="AR227" i="1"/>
  <c r="AQ227" i="1"/>
  <c r="AP227" i="1"/>
  <c r="AO227" i="1"/>
  <c r="AM227" i="1"/>
  <c r="AL227" i="1"/>
  <c r="AK227" i="1"/>
  <c r="AJ227" i="1"/>
  <c r="AI227" i="1"/>
  <c r="AH227" i="1"/>
  <c r="AF227" i="1"/>
  <c r="AE227" i="1"/>
  <c r="AD227" i="1"/>
  <c r="AC227" i="1"/>
  <c r="AB227" i="1"/>
  <c r="AA227" i="1"/>
  <c r="Z227" i="1"/>
  <c r="BK226" i="1"/>
  <c r="BJ226" i="1"/>
  <c r="BI226" i="1"/>
  <c r="BH226" i="1"/>
  <c r="BG226" i="1"/>
  <c r="BF226" i="1"/>
  <c r="BE226" i="1"/>
  <c r="BD226" i="1"/>
  <c r="AV226" i="1"/>
  <c r="AN226" i="1"/>
  <c r="AG226" i="1"/>
  <c r="BK225" i="1"/>
  <c r="BJ225" i="1"/>
  <c r="BI225" i="1"/>
  <c r="BH225" i="1"/>
  <c r="BG225" i="1"/>
  <c r="BF225" i="1"/>
  <c r="BE225" i="1"/>
  <c r="BD225" i="1"/>
  <c r="AV225" i="1"/>
  <c r="AN225" i="1"/>
  <c r="AG225" i="1"/>
  <c r="BK224" i="1"/>
  <c r="BJ224" i="1"/>
  <c r="BI224" i="1"/>
  <c r="BH224" i="1"/>
  <c r="BG224" i="1"/>
  <c r="BF224" i="1"/>
  <c r="BE224" i="1"/>
  <c r="BD224" i="1"/>
  <c r="AV224" i="1"/>
  <c r="AN224" i="1"/>
  <c r="AG224" i="1"/>
  <c r="BK223" i="1"/>
  <c r="BJ223" i="1"/>
  <c r="BI223" i="1"/>
  <c r="BH223" i="1"/>
  <c r="BG223" i="1"/>
  <c r="BF223" i="1"/>
  <c r="BE223" i="1"/>
  <c r="BD223" i="1"/>
  <c r="AV223" i="1"/>
  <c r="AN223" i="1"/>
  <c r="AG223" i="1"/>
  <c r="BK222" i="1"/>
  <c r="BJ222" i="1"/>
  <c r="BI222" i="1"/>
  <c r="BH222" i="1"/>
  <c r="BG222" i="1"/>
  <c r="BF222" i="1"/>
  <c r="BE222" i="1"/>
  <c r="BD222" i="1"/>
  <c r="AV222" i="1"/>
  <c r="AN222" i="1"/>
  <c r="AG222" i="1"/>
  <c r="BC221" i="1"/>
  <c r="BB221" i="1"/>
  <c r="BA221" i="1"/>
  <c r="AZ221" i="1"/>
  <c r="AY221" i="1"/>
  <c r="AX221" i="1"/>
  <c r="AW221" i="1"/>
  <c r="AU221" i="1"/>
  <c r="AT221" i="1"/>
  <c r="AS221" i="1"/>
  <c r="AR221" i="1"/>
  <c r="AQ221" i="1"/>
  <c r="AP221" i="1"/>
  <c r="AO221" i="1"/>
  <c r="AM221" i="1"/>
  <c r="AL221" i="1"/>
  <c r="AK221" i="1"/>
  <c r="AJ221" i="1"/>
  <c r="AI221" i="1"/>
  <c r="AH221" i="1"/>
  <c r="AF221" i="1"/>
  <c r="AE221" i="1"/>
  <c r="AD221" i="1"/>
  <c r="AC221" i="1"/>
  <c r="AB221" i="1"/>
  <c r="AA221" i="1"/>
  <c r="Z221" i="1"/>
  <c r="BK220" i="1"/>
  <c r="BJ220" i="1"/>
  <c r="BI220" i="1"/>
  <c r="BH220" i="1"/>
  <c r="BG220" i="1"/>
  <c r="BF220" i="1"/>
  <c r="BE220" i="1"/>
  <c r="BD220" i="1"/>
  <c r="AV220" i="1"/>
  <c r="AN220" i="1"/>
  <c r="AG220" i="1"/>
  <c r="BK219" i="1"/>
  <c r="BJ219" i="1"/>
  <c r="BI219" i="1"/>
  <c r="BH219" i="1"/>
  <c r="BG219" i="1"/>
  <c r="BF219" i="1"/>
  <c r="BE219" i="1"/>
  <c r="BD219" i="1"/>
  <c r="AV219" i="1"/>
  <c r="AN219" i="1"/>
  <c r="AG219" i="1"/>
  <c r="BK218" i="1"/>
  <c r="BJ218" i="1"/>
  <c r="BI218" i="1"/>
  <c r="BH218" i="1"/>
  <c r="BG218" i="1"/>
  <c r="BF218" i="1"/>
  <c r="BE218" i="1"/>
  <c r="BD218" i="1"/>
  <c r="AV218" i="1"/>
  <c r="AN218" i="1"/>
  <c r="AG218" i="1"/>
  <c r="BK217" i="1"/>
  <c r="BJ217" i="1"/>
  <c r="BI217" i="1"/>
  <c r="BH217" i="1"/>
  <c r="BG217" i="1"/>
  <c r="BF217" i="1"/>
  <c r="BE217" i="1"/>
  <c r="BD217" i="1"/>
  <c r="AV217" i="1"/>
  <c r="AN217" i="1"/>
  <c r="AG217" i="1"/>
  <c r="BK216" i="1"/>
  <c r="BJ216" i="1"/>
  <c r="BI216" i="1"/>
  <c r="BH216" i="1"/>
  <c r="BG216" i="1"/>
  <c r="BF216" i="1"/>
  <c r="BE216" i="1"/>
  <c r="BD216" i="1"/>
  <c r="AV216" i="1"/>
  <c r="AN216" i="1"/>
  <c r="AG216" i="1"/>
  <c r="BK215" i="1"/>
  <c r="BJ215" i="1"/>
  <c r="BI215" i="1"/>
  <c r="BH215" i="1"/>
  <c r="BG215" i="1"/>
  <c r="BF215" i="1"/>
  <c r="BE215" i="1"/>
  <c r="BD215" i="1"/>
  <c r="AV215" i="1"/>
  <c r="AN215" i="1"/>
  <c r="AG215" i="1"/>
  <c r="BK214" i="1"/>
  <c r="BJ214" i="1"/>
  <c r="BI214" i="1"/>
  <c r="BH214" i="1"/>
  <c r="BG214" i="1"/>
  <c r="BF214" i="1"/>
  <c r="BE214" i="1"/>
  <c r="BD214" i="1"/>
  <c r="AV214" i="1"/>
  <c r="AN214" i="1"/>
  <c r="AG214" i="1"/>
  <c r="BK213" i="1"/>
  <c r="BJ213" i="1"/>
  <c r="BI213" i="1"/>
  <c r="BH213" i="1"/>
  <c r="BG213" i="1"/>
  <c r="BF213" i="1"/>
  <c r="BE213" i="1"/>
  <c r="BD213" i="1"/>
  <c r="AV213" i="1"/>
  <c r="AN213" i="1"/>
  <c r="AG213" i="1"/>
  <c r="BC212" i="1"/>
  <c r="BB212" i="1"/>
  <c r="BA212" i="1"/>
  <c r="AZ212" i="1"/>
  <c r="AY212" i="1"/>
  <c r="AX212" i="1"/>
  <c r="AW212" i="1"/>
  <c r="AU212" i="1"/>
  <c r="AT212" i="1"/>
  <c r="AS212" i="1"/>
  <c r="AR212" i="1"/>
  <c r="AQ212" i="1"/>
  <c r="AP212" i="1"/>
  <c r="AO212" i="1"/>
  <c r="AM212" i="1"/>
  <c r="AL212" i="1"/>
  <c r="AK212" i="1"/>
  <c r="AJ212" i="1"/>
  <c r="AI212" i="1"/>
  <c r="AH212" i="1"/>
  <c r="AF212" i="1"/>
  <c r="AE212" i="1"/>
  <c r="AD212" i="1"/>
  <c r="AC212" i="1"/>
  <c r="AB212" i="1"/>
  <c r="AA212" i="1"/>
  <c r="Z212" i="1"/>
  <c r="BK211" i="1"/>
  <c r="BJ211" i="1"/>
  <c r="BI211" i="1"/>
  <c r="BH211" i="1"/>
  <c r="BG211" i="1"/>
  <c r="BF211" i="1"/>
  <c r="BE211" i="1"/>
  <c r="BD211" i="1"/>
  <c r="AV211" i="1"/>
  <c r="AN211" i="1"/>
  <c r="AG211" i="1"/>
  <c r="BK210" i="1"/>
  <c r="BJ210" i="1"/>
  <c r="BI210" i="1"/>
  <c r="BH210" i="1"/>
  <c r="BG210" i="1"/>
  <c r="BF210" i="1"/>
  <c r="BE210" i="1"/>
  <c r="BD210" i="1"/>
  <c r="AV210" i="1"/>
  <c r="AN210" i="1"/>
  <c r="AG210" i="1"/>
  <c r="BK209" i="1"/>
  <c r="BJ209" i="1"/>
  <c r="BI209" i="1"/>
  <c r="BH209" i="1"/>
  <c r="BG209" i="1"/>
  <c r="BF209" i="1"/>
  <c r="BE209" i="1"/>
  <c r="BD209" i="1"/>
  <c r="AV209" i="1"/>
  <c r="AN209" i="1"/>
  <c r="AG209" i="1"/>
  <c r="BK208" i="1"/>
  <c r="BJ208" i="1"/>
  <c r="BI208" i="1"/>
  <c r="BH208" i="1"/>
  <c r="BG208" i="1"/>
  <c r="BF208" i="1"/>
  <c r="BE208" i="1"/>
  <c r="BD208" i="1"/>
  <c r="AV208" i="1"/>
  <c r="AN208" i="1"/>
  <c r="AG208" i="1"/>
  <c r="BK207" i="1"/>
  <c r="BJ207" i="1"/>
  <c r="BI207" i="1"/>
  <c r="BH207" i="1"/>
  <c r="BG207" i="1"/>
  <c r="BF207" i="1"/>
  <c r="BE207" i="1"/>
  <c r="BD207" i="1"/>
  <c r="AV207" i="1"/>
  <c r="AN207" i="1"/>
  <c r="AG207" i="1"/>
  <c r="BK206" i="1"/>
  <c r="BJ206" i="1"/>
  <c r="BI206" i="1"/>
  <c r="BH206" i="1"/>
  <c r="BG206" i="1"/>
  <c r="BF206" i="1"/>
  <c r="BE206" i="1"/>
  <c r="BD206" i="1"/>
  <c r="AV206" i="1"/>
  <c r="AN206" i="1"/>
  <c r="AG206" i="1"/>
  <c r="BK205" i="1"/>
  <c r="BJ205" i="1"/>
  <c r="BI205" i="1"/>
  <c r="BH205" i="1"/>
  <c r="BG205" i="1"/>
  <c r="BF205" i="1"/>
  <c r="BE205" i="1"/>
  <c r="BD205" i="1"/>
  <c r="AV205" i="1"/>
  <c r="AN205" i="1"/>
  <c r="AG205" i="1"/>
  <c r="BK204" i="1"/>
  <c r="BJ204" i="1"/>
  <c r="BI204" i="1"/>
  <c r="BH204" i="1"/>
  <c r="BG204" i="1"/>
  <c r="BF204" i="1"/>
  <c r="BE204" i="1"/>
  <c r="BD204" i="1"/>
  <c r="AV204" i="1"/>
  <c r="AN204" i="1"/>
  <c r="AG204" i="1"/>
  <c r="BK203" i="1"/>
  <c r="BJ203" i="1"/>
  <c r="BI203" i="1"/>
  <c r="BH203" i="1"/>
  <c r="BG203" i="1"/>
  <c r="BF203" i="1"/>
  <c r="BE203" i="1"/>
  <c r="BD203" i="1"/>
  <c r="AV203" i="1"/>
  <c r="AN203" i="1"/>
  <c r="AG203" i="1"/>
  <c r="BK202" i="1"/>
  <c r="BJ202" i="1"/>
  <c r="BI202" i="1"/>
  <c r="BH202" i="1"/>
  <c r="BG202" i="1"/>
  <c r="BF202" i="1"/>
  <c r="BE202" i="1"/>
  <c r="BD202" i="1"/>
  <c r="AV202" i="1"/>
  <c r="AN202" i="1"/>
  <c r="AG202" i="1"/>
  <c r="BC201" i="1"/>
  <c r="BB201" i="1"/>
  <c r="BA201" i="1"/>
  <c r="AZ201" i="1"/>
  <c r="AY201" i="1"/>
  <c r="AX201" i="1"/>
  <c r="AW201" i="1"/>
  <c r="AU201" i="1"/>
  <c r="AT201" i="1"/>
  <c r="AS201" i="1"/>
  <c r="AR201" i="1"/>
  <c r="AQ201" i="1"/>
  <c r="AP201" i="1"/>
  <c r="AO201" i="1"/>
  <c r="AM201" i="1"/>
  <c r="AL201" i="1"/>
  <c r="AK201" i="1"/>
  <c r="AJ201" i="1"/>
  <c r="AI201" i="1"/>
  <c r="AH201" i="1"/>
  <c r="AF201" i="1"/>
  <c r="AE201" i="1"/>
  <c r="AD201" i="1"/>
  <c r="AC201" i="1"/>
  <c r="AB201" i="1"/>
  <c r="AA201" i="1"/>
  <c r="Z201" i="1"/>
  <c r="BK200" i="1"/>
  <c r="BJ200" i="1"/>
  <c r="BI200" i="1"/>
  <c r="BH200" i="1"/>
  <c r="BG200" i="1"/>
  <c r="BF200" i="1"/>
  <c r="BE200" i="1"/>
  <c r="BD200" i="1"/>
  <c r="AV200" i="1"/>
  <c r="AN200" i="1"/>
  <c r="AG200" i="1"/>
  <c r="BK199" i="1"/>
  <c r="BJ199" i="1"/>
  <c r="BI199" i="1"/>
  <c r="BH199" i="1"/>
  <c r="BG199" i="1"/>
  <c r="BF199" i="1"/>
  <c r="BE199" i="1"/>
  <c r="BD199" i="1"/>
  <c r="AV199" i="1"/>
  <c r="AN199" i="1"/>
  <c r="AG199" i="1"/>
  <c r="BK198" i="1"/>
  <c r="BJ198" i="1"/>
  <c r="BI198" i="1"/>
  <c r="BH198" i="1"/>
  <c r="BG198" i="1"/>
  <c r="BF198" i="1"/>
  <c r="BE198" i="1"/>
  <c r="BD198" i="1"/>
  <c r="AV198" i="1"/>
  <c r="AN198" i="1"/>
  <c r="AG198" i="1"/>
  <c r="BK197" i="1"/>
  <c r="BJ197" i="1"/>
  <c r="BI197" i="1"/>
  <c r="BH197" i="1"/>
  <c r="BG197" i="1"/>
  <c r="BF197" i="1"/>
  <c r="BE197" i="1"/>
  <c r="BD197" i="1"/>
  <c r="AV197" i="1"/>
  <c r="AN197" i="1"/>
  <c r="AG197" i="1"/>
  <c r="BK196" i="1"/>
  <c r="BJ196" i="1"/>
  <c r="BI196" i="1"/>
  <c r="BH196" i="1"/>
  <c r="BG196" i="1"/>
  <c r="BF196" i="1"/>
  <c r="BE196" i="1"/>
  <c r="BD196" i="1"/>
  <c r="AV196" i="1"/>
  <c r="AN196" i="1"/>
  <c r="AG196" i="1"/>
  <c r="BK195" i="1"/>
  <c r="BJ195" i="1"/>
  <c r="BI195" i="1"/>
  <c r="BH195" i="1"/>
  <c r="BG195" i="1"/>
  <c r="BF195" i="1"/>
  <c r="BE195" i="1"/>
  <c r="BD195" i="1"/>
  <c r="AV195" i="1"/>
  <c r="AN195" i="1"/>
  <c r="AG195" i="1"/>
  <c r="BK194" i="1"/>
  <c r="BJ194" i="1"/>
  <c r="BI194" i="1"/>
  <c r="BH194" i="1"/>
  <c r="BG194" i="1"/>
  <c r="BF194" i="1"/>
  <c r="BE194" i="1"/>
  <c r="BD194" i="1"/>
  <c r="AV194" i="1"/>
  <c r="AN194" i="1"/>
  <c r="AG194" i="1"/>
  <c r="BC193" i="1"/>
  <c r="BB193" i="1"/>
  <c r="BA193" i="1"/>
  <c r="AZ193" i="1"/>
  <c r="AY193" i="1"/>
  <c r="AX193" i="1"/>
  <c r="AW193" i="1"/>
  <c r="AU193" i="1"/>
  <c r="AT193" i="1"/>
  <c r="AS193" i="1"/>
  <c r="AR193" i="1"/>
  <c r="AQ193" i="1"/>
  <c r="AP193" i="1"/>
  <c r="AO193" i="1"/>
  <c r="AM193" i="1"/>
  <c r="AL193" i="1"/>
  <c r="AK193" i="1"/>
  <c r="AJ193" i="1"/>
  <c r="AI193" i="1"/>
  <c r="AH193" i="1"/>
  <c r="AF193" i="1"/>
  <c r="AE193" i="1"/>
  <c r="AD193" i="1"/>
  <c r="AC193" i="1"/>
  <c r="AB193" i="1"/>
  <c r="AA193" i="1"/>
  <c r="Z193" i="1"/>
  <c r="BK192" i="1"/>
  <c r="BJ192" i="1"/>
  <c r="BI192" i="1"/>
  <c r="BH192" i="1"/>
  <c r="BG192" i="1"/>
  <c r="BF192" i="1"/>
  <c r="BE192" i="1"/>
  <c r="BD192" i="1"/>
  <c r="AV192" i="1"/>
  <c r="AN192" i="1"/>
  <c r="AG192" i="1"/>
  <c r="BK191" i="1"/>
  <c r="BJ191" i="1"/>
  <c r="BI191" i="1"/>
  <c r="BH191" i="1"/>
  <c r="BG191" i="1"/>
  <c r="BF191" i="1"/>
  <c r="BE191" i="1"/>
  <c r="BD191" i="1"/>
  <c r="AV191" i="1"/>
  <c r="AN191" i="1"/>
  <c r="AG191" i="1"/>
  <c r="BK190" i="1"/>
  <c r="BJ190" i="1"/>
  <c r="BI190" i="1"/>
  <c r="BH190" i="1"/>
  <c r="BG190" i="1"/>
  <c r="BF190" i="1"/>
  <c r="BE190" i="1"/>
  <c r="BD190" i="1"/>
  <c r="AV190" i="1"/>
  <c r="AN190" i="1"/>
  <c r="AG190" i="1"/>
  <c r="BK189" i="1"/>
  <c r="BJ189" i="1"/>
  <c r="BI189" i="1"/>
  <c r="BI183" i="1"/>
  <c r="BI184" i="1"/>
  <c r="BI185" i="1"/>
  <c r="BI186" i="1"/>
  <c r="BI187" i="1"/>
  <c r="BI188" i="1"/>
  <c r="BH189" i="1"/>
  <c r="BG189" i="1"/>
  <c r="BF189" i="1"/>
  <c r="BE189" i="1"/>
  <c r="BD189" i="1"/>
  <c r="AV189" i="1"/>
  <c r="AN189" i="1"/>
  <c r="AG189" i="1"/>
  <c r="BK188" i="1"/>
  <c r="BJ188" i="1"/>
  <c r="BH188" i="1"/>
  <c r="BG188" i="1"/>
  <c r="BF188" i="1"/>
  <c r="BE188" i="1"/>
  <c r="BD188" i="1"/>
  <c r="AV188" i="1"/>
  <c r="AN188" i="1"/>
  <c r="AG188" i="1"/>
  <c r="BK187" i="1"/>
  <c r="BJ187" i="1"/>
  <c r="BH187" i="1"/>
  <c r="BG187" i="1"/>
  <c r="BF187" i="1"/>
  <c r="BE187" i="1"/>
  <c r="BD187" i="1"/>
  <c r="AV187" i="1"/>
  <c r="AN187" i="1"/>
  <c r="AG187" i="1"/>
  <c r="BK186" i="1"/>
  <c r="BJ186" i="1"/>
  <c r="BH186" i="1"/>
  <c r="BG186" i="1"/>
  <c r="BF186" i="1"/>
  <c r="BE186" i="1"/>
  <c r="BD186" i="1"/>
  <c r="AV186" i="1"/>
  <c r="AN186" i="1"/>
  <c r="AG186" i="1"/>
  <c r="BK185" i="1"/>
  <c r="BJ185" i="1"/>
  <c r="BH185" i="1"/>
  <c r="BG185" i="1"/>
  <c r="BF185" i="1"/>
  <c r="BE185" i="1"/>
  <c r="BD185" i="1"/>
  <c r="AV185" i="1"/>
  <c r="AN185" i="1"/>
  <c r="AG185" i="1"/>
  <c r="BK184" i="1"/>
  <c r="BJ184" i="1"/>
  <c r="BH184" i="1"/>
  <c r="BG184" i="1"/>
  <c r="BF184" i="1"/>
  <c r="BE184" i="1"/>
  <c r="BD184" i="1"/>
  <c r="AV184" i="1"/>
  <c r="AN184" i="1"/>
  <c r="AG184" i="1"/>
  <c r="BK183" i="1"/>
  <c r="BJ183" i="1"/>
  <c r="BH183" i="1"/>
  <c r="BG183" i="1"/>
  <c r="BF183" i="1"/>
  <c r="BE183" i="1"/>
  <c r="BD183" i="1"/>
  <c r="AV183" i="1"/>
  <c r="AN183" i="1"/>
  <c r="AG183" i="1"/>
  <c r="BC182" i="1"/>
  <c r="BB182" i="1"/>
  <c r="BA182" i="1"/>
  <c r="AZ182" i="1"/>
  <c r="AY182" i="1"/>
  <c r="AX182" i="1"/>
  <c r="AW182" i="1"/>
  <c r="AU182" i="1"/>
  <c r="AT182" i="1"/>
  <c r="AS182" i="1"/>
  <c r="AR182" i="1"/>
  <c r="AQ182" i="1"/>
  <c r="AP182" i="1"/>
  <c r="AO182" i="1"/>
  <c r="AM182" i="1"/>
  <c r="AL182" i="1"/>
  <c r="AK182" i="1"/>
  <c r="AJ182" i="1"/>
  <c r="AI182" i="1"/>
  <c r="AH182" i="1"/>
  <c r="AF182" i="1"/>
  <c r="AE182" i="1"/>
  <c r="AD182" i="1"/>
  <c r="AC182" i="1"/>
  <c r="AB182" i="1"/>
  <c r="AA182" i="1"/>
  <c r="Z182" i="1"/>
  <c r="BK181" i="1"/>
  <c r="BJ181" i="1"/>
  <c r="BI181" i="1"/>
  <c r="BH181" i="1"/>
  <c r="BG181" i="1"/>
  <c r="BF181" i="1"/>
  <c r="BE181" i="1"/>
  <c r="BD181" i="1"/>
  <c r="AV181" i="1"/>
  <c r="AN181" i="1"/>
  <c r="AG181" i="1"/>
  <c r="BK180" i="1"/>
  <c r="BJ180" i="1"/>
  <c r="BI180" i="1"/>
  <c r="BH180" i="1"/>
  <c r="BG180" i="1"/>
  <c r="BF180" i="1"/>
  <c r="BE180" i="1"/>
  <c r="BD180" i="1"/>
  <c r="AV180" i="1"/>
  <c r="AN180" i="1"/>
  <c r="AG180" i="1"/>
  <c r="BK179" i="1"/>
  <c r="BJ179" i="1"/>
  <c r="BI179" i="1"/>
  <c r="BH179" i="1"/>
  <c r="BG179" i="1"/>
  <c r="BF179" i="1"/>
  <c r="BE179" i="1"/>
  <c r="BD179" i="1"/>
  <c r="AV179" i="1"/>
  <c r="AN179" i="1"/>
  <c r="AG179" i="1"/>
  <c r="BK178" i="1"/>
  <c r="BJ178" i="1"/>
  <c r="BI178" i="1"/>
  <c r="BH178" i="1"/>
  <c r="BG178" i="1"/>
  <c r="BF178" i="1"/>
  <c r="BE178" i="1"/>
  <c r="BD178" i="1"/>
  <c r="AV178" i="1"/>
  <c r="AN178" i="1"/>
  <c r="AG178" i="1"/>
  <c r="BK177" i="1"/>
  <c r="BJ177" i="1"/>
  <c r="BI177" i="1"/>
  <c r="BH177" i="1"/>
  <c r="BG177" i="1"/>
  <c r="BF177" i="1"/>
  <c r="BE177" i="1"/>
  <c r="BD177" i="1"/>
  <c r="AV177" i="1"/>
  <c r="AN177" i="1"/>
  <c r="AG177" i="1"/>
  <c r="BK176" i="1"/>
  <c r="BJ176" i="1"/>
  <c r="BI176" i="1"/>
  <c r="BH176" i="1"/>
  <c r="BG176" i="1"/>
  <c r="BF176" i="1"/>
  <c r="BE176" i="1"/>
  <c r="BD176" i="1"/>
  <c r="AV176" i="1"/>
  <c r="AN176" i="1"/>
  <c r="AG176" i="1"/>
  <c r="BK175" i="1"/>
  <c r="BJ175" i="1"/>
  <c r="BI175" i="1"/>
  <c r="BH175" i="1"/>
  <c r="BG175" i="1"/>
  <c r="BF175" i="1"/>
  <c r="BE175" i="1"/>
  <c r="BD175" i="1"/>
  <c r="AV175" i="1"/>
  <c r="AN175" i="1"/>
  <c r="AG175" i="1"/>
  <c r="BK174" i="1"/>
  <c r="BJ174" i="1"/>
  <c r="BI174" i="1"/>
  <c r="BH174" i="1"/>
  <c r="BG174" i="1"/>
  <c r="BF174" i="1"/>
  <c r="BE174" i="1"/>
  <c r="BD174" i="1"/>
  <c r="AV174" i="1"/>
  <c r="AN174" i="1"/>
  <c r="AG174" i="1"/>
  <c r="BK173" i="1"/>
  <c r="BJ173" i="1"/>
  <c r="BI173" i="1"/>
  <c r="BH173" i="1"/>
  <c r="BG173" i="1"/>
  <c r="BF173" i="1"/>
  <c r="BE173" i="1"/>
  <c r="BD173" i="1"/>
  <c r="AV173" i="1"/>
  <c r="AN173" i="1"/>
  <c r="AG173" i="1"/>
  <c r="BK172" i="1"/>
  <c r="BJ172" i="1"/>
  <c r="BI172" i="1"/>
  <c r="BH172" i="1"/>
  <c r="BG172" i="1"/>
  <c r="BF172" i="1"/>
  <c r="BE172" i="1"/>
  <c r="BD172" i="1"/>
  <c r="AV172" i="1"/>
  <c r="AN172" i="1"/>
  <c r="AG172" i="1"/>
  <c r="BC171" i="1"/>
  <c r="BB171" i="1"/>
  <c r="BA171" i="1"/>
  <c r="BI171" i="1" s="1"/>
  <c r="AZ171" i="1"/>
  <c r="BH171" i="1" s="1"/>
  <c r="AY171" i="1"/>
  <c r="BG171" i="1" s="1"/>
  <c r="AX171" i="1"/>
  <c r="BF171" i="1" s="1"/>
  <c r="AW171" i="1"/>
  <c r="AV171" i="1"/>
  <c r="AN171" i="1"/>
  <c r="AG171" i="1"/>
  <c r="BK170" i="1"/>
  <c r="BJ170" i="1"/>
  <c r="BE170" i="1"/>
  <c r="BA170" i="1"/>
  <c r="AZ170" i="1"/>
  <c r="BH170" i="1" s="1"/>
  <c r="AY170" i="1"/>
  <c r="BG170" i="1" s="1"/>
  <c r="AX170" i="1"/>
  <c r="BF170" i="1" s="1"/>
  <c r="AV170" i="1"/>
  <c r="AN170" i="1"/>
  <c r="AG170" i="1"/>
  <c r="BK169" i="1"/>
  <c r="BJ169" i="1"/>
  <c r="BI169" i="1"/>
  <c r="BH169" i="1"/>
  <c r="BG169" i="1"/>
  <c r="BF169" i="1"/>
  <c r="BE169" i="1"/>
  <c r="BD169" i="1"/>
  <c r="AV169" i="1"/>
  <c r="AN169" i="1"/>
  <c r="AG169" i="1"/>
  <c r="BK168" i="1"/>
  <c r="BJ168" i="1"/>
  <c r="BI168" i="1"/>
  <c r="BH168" i="1"/>
  <c r="BG168" i="1"/>
  <c r="BF168" i="1"/>
  <c r="BE168" i="1"/>
  <c r="BD168" i="1"/>
  <c r="AV168" i="1"/>
  <c r="AN168" i="1"/>
  <c r="AG168" i="1"/>
  <c r="BK167" i="1"/>
  <c r="BJ167" i="1"/>
  <c r="BI167" i="1"/>
  <c r="BH167" i="1"/>
  <c r="BG167" i="1"/>
  <c r="BF167" i="1"/>
  <c r="BE167" i="1"/>
  <c r="BD167" i="1"/>
  <c r="AV167" i="1"/>
  <c r="AN167" i="1"/>
  <c r="AG167" i="1"/>
  <c r="BK166" i="1"/>
  <c r="BJ166" i="1"/>
  <c r="BA166" i="1"/>
  <c r="BI166" i="1" s="1"/>
  <c r="AZ166" i="1"/>
  <c r="BH166" i="1" s="1"/>
  <c r="AY166" i="1"/>
  <c r="BG166" i="1" s="1"/>
  <c r="AX166" i="1"/>
  <c r="BF166" i="1" s="1"/>
  <c r="AW166" i="1"/>
  <c r="AV166" i="1"/>
  <c r="AN166" i="1"/>
  <c r="AG166" i="1"/>
  <c r="BK165" i="1"/>
  <c r="BJ165" i="1"/>
  <c r="BI165" i="1"/>
  <c r="BH165" i="1"/>
  <c r="BG165" i="1"/>
  <c r="BF165" i="1"/>
  <c r="BE165" i="1"/>
  <c r="BD165" i="1"/>
  <c r="AV165" i="1"/>
  <c r="AN165" i="1"/>
  <c r="AG165" i="1"/>
  <c r="BK164" i="1"/>
  <c r="BJ164" i="1"/>
  <c r="BI164" i="1"/>
  <c r="BH164" i="1"/>
  <c r="BG164" i="1"/>
  <c r="BF164" i="1"/>
  <c r="BE164" i="1"/>
  <c r="BD164" i="1"/>
  <c r="AV164" i="1"/>
  <c r="AN164" i="1"/>
  <c r="AG164" i="1"/>
  <c r="BD163" i="1"/>
  <c r="AV163" i="1"/>
  <c r="AN163" i="1"/>
  <c r="AG163" i="1"/>
  <c r="BK162" i="1"/>
  <c r="BJ162" i="1"/>
  <c r="BI162" i="1"/>
  <c r="BH162" i="1"/>
  <c r="BG162" i="1"/>
  <c r="BF162" i="1"/>
  <c r="BE162" i="1"/>
  <c r="BD162" i="1"/>
  <c r="AV162" i="1"/>
  <c r="AN162" i="1"/>
  <c r="AG162" i="1"/>
  <c r="BK161" i="1"/>
  <c r="BJ161" i="1"/>
  <c r="BI161" i="1"/>
  <c r="BH161" i="1"/>
  <c r="BG161" i="1"/>
  <c r="BF161" i="1"/>
  <c r="BE161" i="1"/>
  <c r="BD161" i="1"/>
  <c r="AV161" i="1"/>
  <c r="AN161" i="1"/>
  <c r="AG161" i="1"/>
  <c r="BK160" i="1"/>
  <c r="BJ160" i="1"/>
  <c r="BI160" i="1"/>
  <c r="BH160" i="1"/>
  <c r="BG160" i="1"/>
  <c r="BF160" i="1"/>
  <c r="BE160" i="1"/>
  <c r="BD160" i="1"/>
  <c r="AV160" i="1"/>
  <c r="AN160" i="1"/>
  <c r="AG160" i="1"/>
  <c r="BK159" i="1"/>
  <c r="BJ159" i="1"/>
  <c r="BI159" i="1"/>
  <c r="BH159" i="1"/>
  <c r="BG159" i="1"/>
  <c r="BF159" i="1"/>
  <c r="BE159" i="1"/>
  <c r="BD159" i="1"/>
  <c r="AV159" i="1"/>
  <c r="AN159" i="1"/>
  <c r="AG159" i="1"/>
  <c r="BE158" i="1"/>
  <c r="BC158" i="1"/>
  <c r="BK158" i="1" s="1"/>
  <c r="BB158" i="1"/>
  <c r="BJ158" i="1" s="1"/>
  <c r="BA158" i="1"/>
  <c r="BI158" i="1" s="1"/>
  <c r="AZ158" i="1"/>
  <c r="BH158" i="1" s="1"/>
  <c r="AY158" i="1"/>
  <c r="AX158" i="1"/>
  <c r="AV158" i="1"/>
  <c r="AN158" i="1"/>
  <c r="AG158" i="1"/>
  <c r="AU157" i="1"/>
  <c r="AT157" i="1"/>
  <c r="AS157" i="1"/>
  <c r="AR157" i="1"/>
  <c r="AQ157" i="1"/>
  <c r="AP157" i="1"/>
  <c r="AO157" i="1"/>
  <c r="AM157" i="1"/>
  <c r="AL157" i="1"/>
  <c r="AK157" i="1"/>
  <c r="AJ157" i="1"/>
  <c r="AI157" i="1"/>
  <c r="AH157" i="1"/>
  <c r="AF157" i="1"/>
  <c r="AE157" i="1"/>
  <c r="AD157" i="1"/>
  <c r="AC157" i="1"/>
  <c r="AB157" i="1"/>
  <c r="AA157" i="1"/>
  <c r="Z157" i="1"/>
  <c r="BK155" i="1"/>
  <c r="BJ155" i="1"/>
  <c r="BI155" i="1"/>
  <c r="BH155" i="1"/>
  <c r="BF155" i="1"/>
  <c r="BE155" i="1"/>
  <c r="AY155" i="1"/>
  <c r="AV155" i="1"/>
  <c r="AN155" i="1"/>
  <c r="AG155" i="1"/>
  <c r="BK154" i="1"/>
  <c r="BJ154" i="1"/>
  <c r="BI154" i="1"/>
  <c r="BH154" i="1"/>
  <c r="BG154" i="1"/>
  <c r="BF154" i="1"/>
  <c r="BE154" i="1"/>
  <c r="BD154" i="1"/>
  <c r="AV154" i="1"/>
  <c r="AN154" i="1"/>
  <c r="AG154" i="1"/>
  <c r="X154" i="1"/>
  <c r="W154" i="1"/>
  <c r="V154" i="1"/>
  <c r="BK153" i="1"/>
  <c r="BJ153" i="1"/>
  <c r="BI153" i="1"/>
  <c r="BH153" i="1"/>
  <c r="BF153" i="1"/>
  <c r="BE153" i="1"/>
  <c r="AJ153" i="1"/>
  <c r="AQ153" i="1" s="1"/>
  <c r="AG153" i="1"/>
  <c r="BK152" i="1"/>
  <c r="BJ152" i="1"/>
  <c r="BI152" i="1"/>
  <c r="BH152" i="1"/>
  <c r="BG152" i="1"/>
  <c r="BF152" i="1"/>
  <c r="BE152" i="1"/>
  <c r="BD152" i="1"/>
  <c r="AV152" i="1"/>
  <c r="AN152" i="1"/>
  <c r="AG152" i="1"/>
  <c r="BK151" i="1"/>
  <c r="BJ151" i="1"/>
  <c r="BI151" i="1"/>
  <c r="BH151" i="1"/>
  <c r="BF151" i="1"/>
  <c r="BE151" i="1"/>
  <c r="AJ151" i="1"/>
  <c r="AG151" i="1"/>
  <c r="BK150" i="1"/>
  <c r="BJ150" i="1"/>
  <c r="BI150" i="1"/>
  <c r="BH150" i="1"/>
  <c r="BF150" i="1"/>
  <c r="BE150" i="1"/>
  <c r="AQ150" i="1"/>
  <c r="AN150" i="1"/>
  <c r="AG150" i="1"/>
  <c r="BK149" i="1"/>
  <c r="BJ149" i="1"/>
  <c r="BI149" i="1"/>
  <c r="BH149" i="1"/>
  <c r="BG149" i="1"/>
  <c r="BF149" i="1"/>
  <c r="BE149" i="1"/>
  <c r="BD149" i="1"/>
  <c r="AV149" i="1"/>
  <c r="AN149" i="1"/>
  <c r="AG149" i="1"/>
  <c r="BC148" i="1"/>
  <c r="BB148" i="1"/>
  <c r="BA148" i="1"/>
  <c r="AZ148" i="1"/>
  <c r="AX148" i="1"/>
  <c r="AW148" i="1"/>
  <c r="AU148" i="1"/>
  <c r="AT148" i="1"/>
  <c r="AS148" i="1"/>
  <c r="AR148" i="1"/>
  <c r="AP148" i="1"/>
  <c r="AO148" i="1"/>
  <c r="AM148" i="1"/>
  <c r="AL148" i="1"/>
  <c r="AK148" i="1"/>
  <c r="AI148" i="1"/>
  <c r="AH148" i="1"/>
  <c r="AF148" i="1"/>
  <c r="AE148" i="1"/>
  <c r="AD148" i="1"/>
  <c r="AC148" i="1"/>
  <c r="AB148" i="1"/>
  <c r="AB123" i="1"/>
  <c r="AB143" i="1"/>
  <c r="AA148" i="1"/>
  <c r="Z148" i="1"/>
  <c r="BK147" i="1"/>
  <c r="BJ147" i="1"/>
  <c r="BI147" i="1"/>
  <c r="BH147" i="1"/>
  <c r="BG147" i="1"/>
  <c r="BF147" i="1"/>
  <c r="BE147" i="1"/>
  <c r="BD147" i="1"/>
  <c r="AV147" i="1"/>
  <c r="AN147" i="1"/>
  <c r="AG147" i="1"/>
  <c r="BK146" i="1"/>
  <c r="BJ146" i="1"/>
  <c r="BI146" i="1"/>
  <c r="BH146" i="1"/>
  <c r="BF146" i="1"/>
  <c r="BE146" i="1"/>
  <c r="AJ146" i="1"/>
  <c r="AG146" i="1"/>
  <c r="BK145" i="1"/>
  <c r="BJ145" i="1"/>
  <c r="BI145" i="1"/>
  <c r="BH145" i="1"/>
  <c r="BG145" i="1"/>
  <c r="BF145" i="1"/>
  <c r="BE145" i="1"/>
  <c r="BD145" i="1"/>
  <c r="AV145" i="1"/>
  <c r="AN145" i="1"/>
  <c r="AG145" i="1"/>
  <c r="BK144" i="1"/>
  <c r="BJ144" i="1"/>
  <c r="BI144" i="1"/>
  <c r="BH144" i="1"/>
  <c r="BG144" i="1"/>
  <c r="BF144" i="1"/>
  <c r="BE144" i="1"/>
  <c r="BD144" i="1"/>
  <c r="AV144" i="1"/>
  <c r="AN144" i="1"/>
  <c r="AG144" i="1"/>
  <c r="X144" i="1"/>
  <c r="W144" i="1"/>
  <c r="V144" i="1"/>
  <c r="BK143" i="1"/>
  <c r="BJ143" i="1"/>
  <c r="BI143" i="1"/>
  <c r="BH143" i="1"/>
  <c r="BF143" i="1"/>
  <c r="BE143" i="1"/>
  <c r="AQ143" i="1"/>
  <c r="AN143" i="1"/>
  <c r="BK142" i="1"/>
  <c r="BJ142" i="1"/>
  <c r="BI142" i="1"/>
  <c r="BH142" i="1"/>
  <c r="BG142" i="1"/>
  <c r="BF142" i="1"/>
  <c r="BE142" i="1"/>
  <c r="BD142" i="1"/>
  <c r="AV142" i="1"/>
  <c r="AN142" i="1"/>
  <c r="AG142" i="1"/>
  <c r="BK141" i="1"/>
  <c r="BJ141" i="1"/>
  <c r="BI141" i="1"/>
  <c r="BH141" i="1"/>
  <c r="BG141" i="1"/>
  <c r="BF141" i="1"/>
  <c r="BE141" i="1"/>
  <c r="BD141" i="1"/>
  <c r="AV141" i="1"/>
  <c r="AN141" i="1"/>
  <c r="AG141" i="1"/>
  <c r="BK140" i="1"/>
  <c r="BJ140" i="1"/>
  <c r="BI140" i="1"/>
  <c r="BH140" i="1"/>
  <c r="BG140" i="1"/>
  <c r="BF140" i="1"/>
  <c r="BE140" i="1"/>
  <c r="BD140" i="1"/>
  <c r="AV140" i="1"/>
  <c r="AN140" i="1"/>
  <c r="AG140" i="1"/>
  <c r="BK139" i="1"/>
  <c r="BJ139" i="1"/>
  <c r="BI139" i="1"/>
  <c r="BH139" i="1"/>
  <c r="BG139" i="1"/>
  <c r="BF139" i="1"/>
  <c r="BE139" i="1"/>
  <c r="BD139" i="1"/>
  <c r="AV139" i="1"/>
  <c r="AN139" i="1"/>
  <c r="AG139" i="1"/>
  <c r="BC138" i="1"/>
  <c r="BB138" i="1"/>
  <c r="BA138" i="1"/>
  <c r="AZ138" i="1"/>
  <c r="AX138" i="1"/>
  <c r="AW138" i="1"/>
  <c r="AU138" i="1"/>
  <c r="AT138" i="1"/>
  <c r="AS138" i="1"/>
  <c r="AL138" i="1"/>
  <c r="AD138" i="1"/>
  <c r="AR138" i="1"/>
  <c r="AP138" i="1"/>
  <c r="AO138" i="1"/>
  <c r="AM138" i="1"/>
  <c r="AK138" i="1"/>
  <c r="AI138" i="1"/>
  <c r="AH138" i="1"/>
  <c r="AF138" i="1"/>
  <c r="AE138" i="1"/>
  <c r="AC138" i="1"/>
  <c r="AA138" i="1"/>
  <c r="Z138" i="1"/>
  <c r="BK137" i="1"/>
  <c r="BJ137" i="1"/>
  <c r="BI137" i="1"/>
  <c r="BH137" i="1"/>
  <c r="BF137" i="1"/>
  <c r="BE137" i="1"/>
  <c r="AQ137" i="1"/>
  <c r="AN137" i="1"/>
  <c r="AG137" i="1"/>
  <c r="BK136" i="1"/>
  <c r="BJ136" i="1"/>
  <c r="BI136" i="1"/>
  <c r="BH136" i="1"/>
  <c r="BG136" i="1"/>
  <c r="BF136" i="1"/>
  <c r="BE136" i="1"/>
  <c r="BD136" i="1"/>
  <c r="AV136" i="1"/>
  <c r="AN136" i="1"/>
  <c r="AG136" i="1"/>
  <c r="BK135" i="1"/>
  <c r="BJ135" i="1"/>
  <c r="BI135" i="1"/>
  <c r="BH135" i="1"/>
  <c r="BG135" i="1"/>
  <c r="BF135" i="1"/>
  <c r="BE135" i="1"/>
  <c r="BD135" i="1"/>
  <c r="AV135" i="1"/>
  <c r="AN135" i="1"/>
  <c r="AG135" i="1"/>
  <c r="BK134" i="1"/>
  <c r="BJ134" i="1"/>
  <c r="BI134" i="1"/>
  <c r="BH134" i="1"/>
  <c r="BG134" i="1"/>
  <c r="BF134" i="1"/>
  <c r="BE134" i="1"/>
  <c r="BD134" i="1"/>
  <c r="AV134" i="1"/>
  <c r="AN134" i="1"/>
  <c r="AG134" i="1"/>
  <c r="BK133" i="1"/>
  <c r="BJ133" i="1"/>
  <c r="BI133" i="1"/>
  <c r="BH133" i="1"/>
  <c r="BF133" i="1"/>
  <c r="BE133" i="1"/>
  <c r="AJ133" i="1"/>
  <c r="AJ128" i="1"/>
  <c r="AN128" i="1" s="1"/>
  <c r="AJ129" i="1"/>
  <c r="AJ130" i="1"/>
  <c r="AG133" i="1"/>
  <c r="BK132" i="1"/>
  <c r="BJ132" i="1"/>
  <c r="BI132" i="1"/>
  <c r="BH132" i="1"/>
  <c r="BG132" i="1"/>
  <c r="BF132" i="1"/>
  <c r="BE132" i="1"/>
  <c r="BD132" i="1"/>
  <c r="AV132" i="1"/>
  <c r="AN132" i="1"/>
  <c r="AG132" i="1"/>
  <c r="BK131" i="1"/>
  <c r="BJ131" i="1"/>
  <c r="BI131" i="1"/>
  <c r="BH131" i="1"/>
  <c r="BG131" i="1"/>
  <c r="BF131" i="1"/>
  <c r="BE131" i="1"/>
  <c r="BD131" i="1"/>
  <c r="AV131" i="1"/>
  <c r="AN131" i="1"/>
  <c r="AG131" i="1"/>
  <c r="BK130" i="1"/>
  <c r="BJ130" i="1"/>
  <c r="BI130" i="1"/>
  <c r="BH130" i="1"/>
  <c r="BF130" i="1"/>
  <c r="BE130" i="1"/>
  <c r="AG130" i="1"/>
  <c r="BK129" i="1"/>
  <c r="BJ129" i="1"/>
  <c r="BI129" i="1"/>
  <c r="BH129" i="1"/>
  <c r="BF129" i="1"/>
  <c r="BE129" i="1"/>
  <c r="AQ129" i="1"/>
  <c r="AY129" i="1" s="1"/>
  <c r="AG129" i="1"/>
  <c r="BK128" i="1"/>
  <c r="BJ128" i="1"/>
  <c r="BI128" i="1"/>
  <c r="BH128" i="1"/>
  <c r="BF128" i="1"/>
  <c r="BE128" i="1"/>
  <c r="AG128" i="1"/>
  <c r="BK127" i="1"/>
  <c r="BJ127" i="1"/>
  <c r="BI127" i="1"/>
  <c r="BH127" i="1"/>
  <c r="BG127" i="1"/>
  <c r="BF127" i="1"/>
  <c r="BE127" i="1"/>
  <c r="BD127" i="1"/>
  <c r="AV127" i="1"/>
  <c r="AN127" i="1"/>
  <c r="AG127" i="1"/>
  <c r="BK126" i="1"/>
  <c r="BJ126" i="1"/>
  <c r="BI126" i="1"/>
  <c r="BH126" i="1"/>
  <c r="BG126" i="1"/>
  <c r="BF126" i="1"/>
  <c r="BE126" i="1"/>
  <c r="BD126" i="1"/>
  <c r="AV126" i="1"/>
  <c r="AN126" i="1"/>
  <c r="AG126" i="1"/>
  <c r="BK125" i="1"/>
  <c r="BJ125" i="1"/>
  <c r="BI125" i="1"/>
  <c r="BH125" i="1"/>
  <c r="BF125" i="1"/>
  <c r="BE125" i="1"/>
  <c r="AQ125" i="1"/>
  <c r="AN125" i="1"/>
  <c r="AG125" i="1"/>
  <c r="BK124" i="1"/>
  <c r="BJ124" i="1"/>
  <c r="BI124" i="1"/>
  <c r="BH124" i="1"/>
  <c r="BG124" i="1"/>
  <c r="BF124" i="1"/>
  <c r="BE124" i="1"/>
  <c r="BD124" i="1"/>
  <c r="AV124" i="1"/>
  <c r="AN124" i="1"/>
  <c r="AG124" i="1"/>
  <c r="BC123" i="1"/>
  <c r="BB123" i="1"/>
  <c r="BA123" i="1"/>
  <c r="AZ123" i="1"/>
  <c r="AX123" i="1"/>
  <c r="AW123" i="1"/>
  <c r="AU123" i="1"/>
  <c r="AT123" i="1"/>
  <c r="AS123" i="1"/>
  <c r="AR123" i="1"/>
  <c r="AP123" i="1"/>
  <c r="AO123" i="1"/>
  <c r="AM123" i="1"/>
  <c r="AF123" i="1"/>
  <c r="AL123" i="1"/>
  <c r="AK123" i="1"/>
  <c r="AI123" i="1"/>
  <c r="AH123" i="1"/>
  <c r="AE123" i="1"/>
  <c r="AD123" i="1"/>
  <c r="AC123" i="1"/>
  <c r="AA123" i="1"/>
  <c r="Z123" i="1"/>
  <c r="BL121" i="1"/>
  <c r="BK121" i="1"/>
  <c r="BJ121" i="1"/>
  <c r="BI121" i="1"/>
  <c r="BH121" i="1"/>
  <c r="BF121" i="1"/>
  <c r="BE121" i="1"/>
  <c r="BK120" i="1"/>
  <c r="BJ120" i="1"/>
  <c r="BI120" i="1"/>
  <c r="BH120" i="1"/>
  <c r="BG120" i="1"/>
  <c r="BF120" i="1"/>
  <c r="BE120" i="1"/>
  <c r="BD120" i="1"/>
  <c r="AV120" i="1"/>
  <c r="AN120" i="1"/>
  <c r="AG120" i="1"/>
  <c r="Y120" i="1"/>
  <c r="BK119" i="1"/>
  <c r="BJ119" i="1"/>
  <c r="BI119" i="1"/>
  <c r="BH119" i="1"/>
  <c r="BG119" i="1"/>
  <c r="BF119" i="1"/>
  <c r="BE119" i="1"/>
  <c r="BD119" i="1"/>
  <c r="AV119" i="1"/>
  <c r="AN119" i="1"/>
  <c r="AG119" i="1"/>
  <c r="Y119" i="1"/>
  <c r="BK118" i="1"/>
  <c r="BJ118" i="1"/>
  <c r="BI118" i="1"/>
  <c r="BH118" i="1"/>
  <c r="BG118" i="1"/>
  <c r="BF118" i="1"/>
  <c r="BE118" i="1"/>
  <c r="BD118" i="1"/>
  <c r="AV118" i="1"/>
  <c r="AN118" i="1"/>
  <c r="AG118" i="1"/>
  <c r="Y118" i="1"/>
  <c r="BK117" i="1"/>
  <c r="BJ117" i="1"/>
  <c r="BI117" i="1"/>
  <c r="BH117" i="1"/>
  <c r="BG117" i="1"/>
  <c r="BF117" i="1"/>
  <c r="BE117" i="1"/>
  <c r="BD117" i="1"/>
  <c r="AV117" i="1"/>
  <c r="AN117" i="1"/>
  <c r="AG117" i="1"/>
  <c r="Y117" i="1"/>
  <c r="BC116" i="1"/>
  <c r="BB116" i="1"/>
  <c r="BA116" i="1"/>
  <c r="AZ116" i="1"/>
  <c r="AY116" i="1"/>
  <c r="AY110" i="1"/>
  <c r="AX116" i="1"/>
  <c r="AW116" i="1"/>
  <c r="AU116" i="1"/>
  <c r="AT116" i="1"/>
  <c r="AS116" i="1"/>
  <c r="AR116" i="1"/>
  <c r="AQ116" i="1"/>
  <c r="AP116" i="1"/>
  <c r="AO116" i="1"/>
  <c r="AM116" i="1"/>
  <c r="AL116" i="1"/>
  <c r="AK116" i="1"/>
  <c r="AJ116" i="1"/>
  <c r="AI116" i="1"/>
  <c r="AH116" i="1"/>
  <c r="AF116" i="1"/>
  <c r="AE116" i="1"/>
  <c r="AD116" i="1"/>
  <c r="AC116" i="1"/>
  <c r="AC110" i="1"/>
  <c r="AB116" i="1"/>
  <c r="AA116" i="1"/>
  <c r="Z116" i="1"/>
  <c r="BK115" i="1"/>
  <c r="BJ115" i="1"/>
  <c r="BI115" i="1"/>
  <c r="BH115" i="1"/>
  <c r="BG115" i="1"/>
  <c r="BF115" i="1"/>
  <c r="BE115" i="1"/>
  <c r="BD115" i="1"/>
  <c r="AV115" i="1"/>
  <c r="AN115" i="1"/>
  <c r="AG115" i="1"/>
  <c r="Y115" i="1"/>
  <c r="BK114" i="1"/>
  <c r="BJ114" i="1"/>
  <c r="BI114" i="1"/>
  <c r="BH114" i="1"/>
  <c r="BG114" i="1"/>
  <c r="BF114" i="1"/>
  <c r="BE114" i="1"/>
  <c r="BD114" i="1"/>
  <c r="AV114" i="1"/>
  <c r="AN114" i="1"/>
  <c r="AG114" i="1"/>
  <c r="Y114" i="1"/>
  <c r="BK113" i="1"/>
  <c r="BJ113" i="1"/>
  <c r="BI113" i="1"/>
  <c r="BH113" i="1"/>
  <c r="BG113" i="1"/>
  <c r="BF113" i="1"/>
  <c r="BE113" i="1"/>
  <c r="BD113" i="1"/>
  <c r="AV113" i="1"/>
  <c r="AN113" i="1"/>
  <c r="AG113" i="1"/>
  <c r="Y113" i="1"/>
  <c r="BK112" i="1"/>
  <c r="BJ112" i="1"/>
  <c r="BI112" i="1"/>
  <c r="BH112" i="1"/>
  <c r="BG112" i="1"/>
  <c r="BF112" i="1"/>
  <c r="BE112" i="1"/>
  <c r="BD112" i="1"/>
  <c r="AV112" i="1"/>
  <c r="AN112" i="1"/>
  <c r="AG112" i="1"/>
  <c r="Y112" i="1"/>
  <c r="BK111" i="1"/>
  <c r="BJ111" i="1"/>
  <c r="BI111" i="1"/>
  <c r="BH111" i="1"/>
  <c r="BG111" i="1"/>
  <c r="BF111" i="1"/>
  <c r="BE111" i="1"/>
  <c r="BD111" i="1"/>
  <c r="AV111" i="1"/>
  <c r="AN111" i="1"/>
  <c r="AG111" i="1"/>
  <c r="Y111" i="1"/>
  <c r="BC110" i="1"/>
  <c r="BB110" i="1"/>
  <c r="BA110" i="1"/>
  <c r="AZ110" i="1"/>
  <c r="AX110" i="1"/>
  <c r="AW110" i="1"/>
  <c r="AO110" i="1"/>
  <c r="AH110" i="1"/>
  <c r="Z110" i="1"/>
  <c r="AU110" i="1"/>
  <c r="AT110" i="1"/>
  <c r="AS110" i="1"/>
  <c r="AR110" i="1"/>
  <c r="AQ110" i="1"/>
  <c r="AP110" i="1"/>
  <c r="AM110" i="1"/>
  <c r="AL110" i="1"/>
  <c r="AK110" i="1"/>
  <c r="AJ110" i="1"/>
  <c r="AI110" i="1"/>
  <c r="AF110" i="1"/>
  <c r="AE110" i="1"/>
  <c r="AD110" i="1"/>
  <c r="AB110" i="1"/>
  <c r="AA110" i="1"/>
  <c r="BK108" i="1"/>
  <c r="BJ108" i="1"/>
  <c r="BI108" i="1"/>
  <c r="BH108" i="1"/>
  <c r="BF108" i="1"/>
  <c r="AJ108" i="1"/>
  <c r="AQ108" i="1" s="1"/>
  <c r="AY108" i="1" s="1"/>
  <c r="BG108" i="1" s="1"/>
  <c r="AH108" i="1"/>
  <c r="AO108" i="1" s="1"/>
  <c r="AW108" i="1" s="1"/>
  <c r="BE108" i="1" s="1"/>
  <c r="AG108" i="1"/>
  <c r="BL108" i="1" s="1"/>
  <c r="BK107" i="1"/>
  <c r="BJ107" i="1"/>
  <c r="BI107" i="1"/>
  <c r="BH107" i="1"/>
  <c r="BG107" i="1"/>
  <c r="BF107" i="1"/>
  <c r="BE107" i="1"/>
  <c r="BD107" i="1"/>
  <c r="AV107" i="1"/>
  <c r="AN107" i="1"/>
  <c r="AG107" i="1"/>
  <c r="BK106" i="1"/>
  <c r="BJ106" i="1"/>
  <c r="BI106" i="1"/>
  <c r="BH106" i="1"/>
  <c r="BG106" i="1"/>
  <c r="BF106" i="1"/>
  <c r="BE106" i="1"/>
  <c r="BD106" i="1"/>
  <c r="AV106" i="1"/>
  <c r="AN106" i="1"/>
  <c r="AG106" i="1"/>
  <c r="BK105" i="1"/>
  <c r="BJ105" i="1"/>
  <c r="BI105" i="1"/>
  <c r="BH105" i="1"/>
  <c r="BG105" i="1"/>
  <c r="BF105" i="1"/>
  <c r="BE105" i="1"/>
  <c r="BD105" i="1"/>
  <c r="AV105" i="1"/>
  <c r="AN105" i="1"/>
  <c r="AG105" i="1"/>
  <c r="BK104" i="1"/>
  <c r="BJ104" i="1"/>
  <c r="BI104" i="1"/>
  <c r="BH104" i="1"/>
  <c r="BG104" i="1"/>
  <c r="BF104" i="1"/>
  <c r="BE104" i="1"/>
  <c r="BD104" i="1"/>
  <c r="AV104" i="1"/>
  <c r="AN104" i="1"/>
  <c r="AG104" i="1"/>
  <c r="BK103" i="1"/>
  <c r="BJ103" i="1"/>
  <c r="BI103" i="1"/>
  <c r="BH103" i="1"/>
  <c r="BG103" i="1"/>
  <c r="BF103" i="1"/>
  <c r="BE103" i="1"/>
  <c r="BD103" i="1"/>
  <c r="AV103" i="1"/>
  <c r="AN103" i="1"/>
  <c r="AG103" i="1"/>
  <c r="BK102" i="1"/>
  <c r="BJ102" i="1"/>
  <c r="BI102" i="1"/>
  <c r="BH102" i="1"/>
  <c r="BG102" i="1"/>
  <c r="BF102" i="1"/>
  <c r="BE102" i="1"/>
  <c r="BD102" i="1"/>
  <c r="AV102" i="1"/>
  <c r="AN102" i="1"/>
  <c r="AG102" i="1"/>
  <c r="BK101" i="1"/>
  <c r="BJ101" i="1"/>
  <c r="BI101" i="1"/>
  <c r="BH101" i="1"/>
  <c r="BG101" i="1"/>
  <c r="BF101" i="1"/>
  <c r="BE101" i="1"/>
  <c r="BD101" i="1"/>
  <c r="AV101" i="1"/>
  <c r="AN101" i="1"/>
  <c r="AG101" i="1"/>
  <c r="BK100" i="1"/>
  <c r="BJ100" i="1"/>
  <c r="BI100" i="1"/>
  <c r="BH100" i="1"/>
  <c r="BG100" i="1"/>
  <c r="BF100" i="1"/>
  <c r="BE100" i="1"/>
  <c r="BD100" i="1"/>
  <c r="AV100" i="1"/>
  <c r="AN100" i="1"/>
  <c r="AG100" i="1"/>
  <c r="BC99" i="1"/>
  <c r="BB99" i="1"/>
  <c r="BA99" i="1"/>
  <c r="BA87" i="1"/>
  <c r="AZ99" i="1"/>
  <c r="AY99" i="1"/>
  <c r="AX99" i="1"/>
  <c r="AW99" i="1"/>
  <c r="AU99" i="1"/>
  <c r="AT99" i="1"/>
  <c r="AS99" i="1"/>
  <c r="AR99" i="1"/>
  <c r="AQ99" i="1"/>
  <c r="AP99" i="1"/>
  <c r="AO99" i="1"/>
  <c r="AM99" i="1"/>
  <c r="AL99" i="1"/>
  <c r="AK99" i="1"/>
  <c r="AJ99" i="1"/>
  <c r="AI99" i="1"/>
  <c r="AH99" i="1"/>
  <c r="AF99" i="1"/>
  <c r="AE99" i="1"/>
  <c r="AD99" i="1"/>
  <c r="AC99" i="1"/>
  <c r="AB99" i="1"/>
  <c r="AA99" i="1"/>
  <c r="Z99" i="1"/>
  <c r="BK98" i="1"/>
  <c r="BJ98" i="1"/>
  <c r="BI98" i="1"/>
  <c r="BH98" i="1"/>
  <c r="BG98" i="1"/>
  <c r="BF98" i="1"/>
  <c r="BE98" i="1"/>
  <c r="BD98" i="1"/>
  <c r="AV98" i="1"/>
  <c r="AN98" i="1"/>
  <c r="AG98" i="1"/>
  <c r="BK97" i="1"/>
  <c r="BJ97" i="1"/>
  <c r="BI97" i="1"/>
  <c r="BH97" i="1"/>
  <c r="BG97" i="1"/>
  <c r="BF97" i="1"/>
  <c r="BE97" i="1"/>
  <c r="BD97" i="1"/>
  <c r="AV97" i="1"/>
  <c r="AN97" i="1"/>
  <c r="AG97" i="1"/>
  <c r="BK96" i="1"/>
  <c r="BJ96" i="1"/>
  <c r="BI96" i="1"/>
  <c r="BH96" i="1"/>
  <c r="BG96" i="1"/>
  <c r="BF96" i="1"/>
  <c r="BE96" i="1"/>
  <c r="BD96" i="1"/>
  <c r="AV96" i="1"/>
  <c r="AN96" i="1"/>
  <c r="AG96" i="1"/>
  <c r="BK95" i="1"/>
  <c r="BJ95" i="1"/>
  <c r="BI95" i="1"/>
  <c r="BH95" i="1"/>
  <c r="BG95" i="1"/>
  <c r="BF95" i="1"/>
  <c r="BE95" i="1"/>
  <c r="BD95" i="1"/>
  <c r="AV95" i="1"/>
  <c r="AN95" i="1"/>
  <c r="AG95" i="1"/>
  <c r="BK94" i="1"/>
  <c r="BJ94" i="1"/>
  <c r="BI94" i="1"/>
  <c r="BH94" i="1"/>
  <c r="BG94" i="1"/>
  <c r="BF94" i="1"/>
  <c r="BE94" i="1"/>
  <c r="BD94" i="1"/>
  <c r="AV94" i="1"/>
  <c r="AN94" i="1"/>
  <c r="AG94" i="1"/>
  <c r="BK93" i="1"/>
  <c r="BJ93" i="1"/>
  <c r="BI93" i="1"/>
  <c r="BH93" i="1"/>
  <c r="BG93" i="1"/>
  <c r="BF93" i="1"/>
  <c r="BE93" i="1"/>
  <c r="BD93" i="1"/>
  <c r="AV93" i="1"/>
  <c r="AN93" i="1"/>
  <c r="AG93" i="1"/>
  <c r="BK92" i="1"/>
  <c r="BJ92" i="1"/>
  <c r="BI92" i="1"/>
  <c r="BH92" i="1"/>
  <c r="BG92" i="1"/>
  <c r="BF92" i="1"/>
  <c r="BE92" i="1"/>
  <c r="BD92" i="1"/>
  <c r="AV92" i="1"/>
  <c r="AN92" i="1"/>
  <c r="AG92" i="1"/>
  <c r="BK91" i="1"/>
  <c r="BJ91" i="1"/>
  <c r="BI91" i="1"/>
  <c r="BH91" i="1"/>
  <c r="BG91" i="1"/>
  <c r="BF91" i="1"/>
  <c r="BE91" i="1"/>
  <c r="BD91" i="1"/>
  <c r="AV91" i="1"/>
  <c r="AN91" i="1"/>
  <c r="AG91" i="1"/>
  <c r="BK90" i="1"/>
  <c r="BJ90" i="1"/>
  <c r="BI90" i="1"/>
  <c r="BH90" i="1"/>
  <c r="BG90" i="1"/>
  <c r="BF90" i="1"/>
  <c r="BE90" i="1"/>
  <c r="BD90" i="1"/>
  <c r="AV90" i="1"/>
  <c r="AN90" i="1"/>
  <c r="AG90" i="1"/>
  <c r="BK89" i="1"/>
  <c r="BJ89" i="1"/>
  <c r="BI89" i="1"/>
  <c r="BH89" i="1"/>
  <c r="BG89" i="1"/>
  <c r="BF89" i="1"/>
  <c r="BE89" i="1"/>
  <c r="BD89" i="1"/>
  <c r="AV89" i="1"/>
  <c r="AN89" i="1"/>
  <c r="AG89" i="1"/>
  <c r="BK88" i="1"/>
  <c r="BJ88" i="1"/>
  <c r="BI88" i="1"/>
  <c r="BH88" i="1"/>
  <c r="BG88" i="1"/>
  <c r="BF88" i="1"/>
  <c r="BE88" i="1"/>
  <c r="BD88" i="1"/>
  <c r="AV88" i="1"/>
  <c r="AN88" i="1"/>
  <c r="AG88" i="1"/>
  <c r="BC87" i="1"/>
  <c r="BB87" i="1"/>
  <c r="AZ87" i="1"/>
  <c r="AY87" i="1"/>
  <c r="AX87" i="1"/>
  <c r="AW87" i="1"/>
  <c r="AU87" i="1"/>
  <c r="AT87" i="1"/>
  <c r="AS87" i="1"/>
  <c r="AR87" i="1"/>
  <c r="AQ87" i="1"/>
  <c r="AP87" i="1"/>
  <c r="AO87" i="1"/>
  <c r="AM87" i="1"/>
  <c r="AL87" i="1"/>
  <c r="AK87" i="1"/>
  <c r="AJ87" i="1"/>
  <c r="AI87" i="1"/>
  <c r="AH87" i="1"/>
  <c r="AF87" i="1"/>
  <c r="AE87" i="1"/>
  <c r="AD87" i="1"/>
  <c r="AC87" i="1"/>
  <c r="AB87" i="1"/>
  <c r="AA87" i="1"/>
  <c r="Z87" i="1"/>
  <c r="BK85" i="1"/>
  <c r="BJ85" i="1"/>
  <c r="BI85" i="1"/>
  <c r="BH85" i="1"/>
  <c r="BF85" i="1"/>
  <c r="BE85" i="1"/>
  <c r="AJ85" i="1"/>
  <c r="AQ85" i="1" s="1"/>
  <c r="AY85" i="1" s="1"/>
  <c r="BG85" i="1" s="1"/>
  <c r="AG85" i="1"/>
  <c r="BL85" i="1" s="1"/>
  <c r="BK84" i="1"/>
  <c r="BJ84" i="1"/>
  <c r="BI84" i="1"/>
  <c r="BH84" i="1"/>
  <c r="BG84" i="1"/>
  <c r="BF84" i="1"/>
  <c r="BE84" i="1"/>
  <c r="BD84" i="1"/>
  <c r="AV84" i="1"/>
  <c r="AN84" i="1"/>
  <c r="AG84" i="1"/>
  <c r="BK83" i="1"/>
  <c r="BJ83" i="1"/>
  <c r="BI83" i="1"/>
  <c r="BH83" i="1"/>
  <c r="BG83" i="1"/>
  <c r="BF83" i="1"/>
  <c r="BE83" i="1"/>
  <c r="BD83" i="1"/>
  <c r="AV83" i="1"/>
  <c r="AN83" i="1"/>
  <c r="AG83" i="1"/>
  <c r="BK82" i="1"/>
  <c r="BJ82" i="1"/>
  <c r="BI82" i="1"/>
  <c r="BH82" i="1"/>
  <c r="BG82" i="1"/>
  <c r="BF82" i="1"/>
  <c r="BE82" i="1"/>
  <c r="BD82" i="1"/>
  <c r="AV82" i="1"/>
  <c r="AN82" i="1"/>
  <c r="AG82" i="1"/>
  <c r="BK81" i="1"/>
  <c r="BJ81" i="1"/>
  <c r="BI81" i="1"/>
  <c r="BH81" i="1"/>
  <c r="BG81" i="1"/>
  <c r="BF81" i="1"/>
  <c r="BE81" i="1"/>
  <c r="BD81" i="1"/>
  <c r="AV81" i="1"/>
  <c r="AN81" i="1"/>
  <c r="AG81" i="1"/>
  <c r="BK80" i="1"/>
  <c r="BJ80" i="1"/>
  <c r="BI80" i="1"/>
  <c r="BH80" i="1"/>
  <c r="BG80" i="1"/>
  <c r="BF80" i="1"/>
  <c r="BE80" i="1"/>
  <c r="BD80" i="1"/>
  <c r="AV80" i="1"/>
  <c r="AN80" i="1"/>
  <c r="AG80" i="1"/>
  <c r="BK79" i="1"/>
  <c r="BJ79" i="1"/>
  <c r="BI79" i="1"/>
  <c r="BH79" i="1"/>
  <c r="BG79" i="1"/>
  <c r="BF79" i="1"/>
  <c r="BE79" i="1"/>
  <c r="BD79" i="1"/>
  <c r="AV79" i="1"/>
  <c r="AN79" i="1"/>
  <c r="AG79" i="1"/>
  <c r="BK78" i="1"/>
  <c r="BJ78" i="1"/>
  <c r="BI78" i="1"/>
  <c r="BH78" i="1"/>
  <c r="BG78" i="1"/>
  <c r="BF78" i="1"/>
  <c r="BE78" i="1"/>
  <c r="BD78" i="1"/>
  <c r="AV78" i="1"/>
  <c r="AN78" i="1"/>
  <c r="AG78" i="1"/>
  <c r="BK77" i="1"/>
  <c r="BJ77" i="1"/>
  <c r="BI77" i="1"/>
  <c r="BH77" i="1"/>
  <c r="BG77" i="1"/>
  <c r="BF77" i="1"/>
  <c r="BE77" i="1"/>
  <c r="BD77" i="1"/>
  <c r="AV77" i="1"/>
  <c r="AN77" i="1"/>
  <c r="AG77" i="1"/>
  <c r="BK76" i="1"/>
  <c r="BJ76" i="1"/>
  <c r="BI76" i="1"/>
  <c r="BH76" i="1"/>
  <c r="BG76" i="1"/>
  <c r="BF76" i="1"/>
  <c r="BE76" i="1"/>
  <c r="BD76" i="1"/>
  <c r="AV76" i="1"/>
  <c r="AN76" i="1"/>
  <c r="AG76" i="1"/>
  <c r="BC75" i="1"/>
  <c r="BC51" i="1" s="1"/>
  <c r="BC50" i="1" s="1"/>
  <c r="BB75" i="1"/>
  <c r="BB51" i="1" s="1"/>
  <c r="BB50" i="1" s="1"/>
  <c r="BA75" i="1"/>
  <c r="AZ75" i="1"/>
  <c r="AZ51" i="1" s="1"/>
  <c r="AY75" i="1"/>
  <c r="AX75" i="1"/>
  <c r="AW75" i="1"/>
  <c r="AW51" i="1" s="1"/>
  <c r="AU75" i="1"/>
  <c r="AT75" i="1"/>
  <c r="AS75" i="1"/>
  <c r="AS51" i="1" s="1"/>
  <c r="AS50" i="1" s="1"/>
  <c r="AR75" i="1"/>
  <c r="AR51" i="1" s="1"/>
  <c r="AR50" i="1" s="1"/>
  <c r="AQ75" i="1"/>
  <c r="AQ51" i="1"/>
  <c r="AP75" i="1"/>
  <c r="AO75" i="1"/>
  <c r="AO51" i="1" s="1"/>
  <c r="AM75" i="1"/>
  <c r="AM51" i="1" s="1"/>
  <c r="AM50" i="1" s="1"/>
  <c r="AL75" i="1"/>
  <c r="AK75" i="1"/>
  <c r="AK51" i="1" s="1"/>
  <c r="AK50" i="1" s="1"/>
  <c r="AJ75" i="1"/>
  <c r="AI75" i="1"/>
  <c r="AH75" i="1"/>
  <c r="AH51" i="1" s="1"/>
  <c r="AF75" i="1"/>
  <c r="AE75" i="1"/>
  <c r="AD75" i="1"/>
  <c r="AC75" i="1"/>
  <c r="AB75" i="1"/>
  <c r="AA75" i="1"/>
  <c r="Z75" i="1"/>
  <c r="BK74" i="1"/>
  <c r="BJ74" i="1"/>
  <c r="BI74" i="1"/>
  <c r="BH74" i="1"/>
  <c r="BG74" i="1"/>
  <c r="BF74" i="1"/>
  <c r="BE74" i="1"/>
  <c r="BD74" i="1"/>
  <c r="AV74" i="1"/>
  <c r="AN74" i="1"/>
  <c r="AG74" i="1"/>
  <c r="BK73" i="1"/>
  <c r="BJ73" i="1"/>
  <c r="BI73" i="1"/>
  <c r="BH73" i="1"/>
  <c r="BG73" i="1"/>
  <c r="BF73" i="1"/>
  <c r="BE73" i="1"/>
  <c r="BD73" i="1"/>
  <c r="AV73" i="1"/>
  <c r="AN73" i="1"/>
  <c r="AG73" i="1"/>
  <c r="BK72" i="1"/>
  <c r="BJ72" i="1"/>
  <c r="BI72" i="1"/>
  <c r="BH72" i="1"/>
  <c r="BG72" i="1"/>
  <c r="BF72" i="1"/>
  <c r="BE72" i="1"/>
  <c r="BD72" i="1"/>
  <c r="AV72" i="1"/>
  <c r="AN72" i="1"/>
  <c r="AG72" i="1"/>
  <c r="BK71" i="1"/>
  <c r="BJ71" i="1"/>
  <c r="BI71" i="1"/>
  <c r="BH71" i="1"/>
  <c r="BG71" i="1"/>
  <c r="BF71" i="1"/>
  <c r="BE71" i="1"/>
  <c r="BD71" i="1"/>
  <c r="AV71" i="1"/>
  <c r="AN71" i="1"/>
  <c r="AG71" i="1"/>
  <c r="BK70" i="1"/>
  <c r="BJ70" i="1"/>
  <c r="BI70" i="1"/>
  <c r="BH70" i="1"/>
  <c r="BG70" i="1"/>
  <c r="BF70" i="1"/>
  <c r="BE70" i="1"/>
  <c r="BD70" i="1"/>
  <c r="AV70" i="1"/>
  <c r="AN70" i="1"/>
  <c r="AG70" i="1"/>
  <c r="BK69" i="1"/>
  <c r="BJ69" i="1"/>
  <c r="BI69" i="1"/>
  <c r="BH69" i="1"/>
  <c r="BG69" i="1"/>
  <c r="BF69" i="1"/>
  <c r="BE69" i="1"/>
  <c r="BD69" i="1"/>
  <c r="AV69" i="1"/>
  <c r="AN69" i="1"/>
  <c r="AG69" i="1"/>
  <c r="BK68" i="1"/>
  <c r="BJ68" i="1"/>
  <c r="BI68" i="1"/>
  <c r="BH68" i="1"/>
  <c r="BG68" i="1"/>
  <c r="BF68" i="1"/>
  <c r="BE68" i="1"/>
  <c r="BD68" i="1"/>
  <c r="AV68" i="1"/>
  <c r="AN68" i="1"/>
  <c r="AG68" i="1"/>
  <c r="BK67" i="1"/>
  <c r="BJ67" i="1"/>
  <c r="BI67" i="1"/>
  <c r="BH67" i="1"/>
  <c r="BG67" i="1"/>
  <c r="BF67" i="1"/>
  <c r="BE67" i="1"/>
  <c r="BD67" i="1"/>
  <c r="AV67" i="1"/>
  <c r="AN67" i="1"/>
  <c r="AG67" i="1"/>
  <c r="BK66" i="1"/>
  <c r="BJ66" i="1"/>
  <c r="BI66" i="1"/>
  <c r="BH66" i="1"/>
  <c r="BG66" i="1"/>
  <c r="BF66" i="1"/>
  <c r="BE66" i="1"/>
  <c r="BD66" i="1"/>
  <c r="AV66" i="1"/>
  <c r="AN66" i="1"/>
  <c r="AG66" i="1"/>
  <c r="BK65" i="1"/>
  <c r="BJ65" i="1"/>
  <c r="BI65" i="1"/>
  <c r="BH65" i="1"/>
  <c r="BG65" i="1"/>
  <c r="BF65" i="1"/>
  <c r="BE65" i="1"/>
  <c r="BD65" i="1"/>
  <c r="AV65" i="1"/>
  <c r="AN65" i="1"/>
  <c r="AG65" i="1"/>
  <c r="BK64" i="1"/>
  <c r="BJ64" i="1"/>
  <c r="BI64" i="1"/>
  <c r="BH64" i="1"/>
  <c r="BG64" i="1"/>
  <c r="BF64" i="1"/>
  <c r="BE64" i="1"/>
  <c r="BD64" i="1"/>
  <c r="AV64" i="1"/>
  <c r="AN64" i="1"/>
  <c r="AG64" i="1"/>
  <c r="BK63" i="1"/>
  <c r="BJ63" i="1"/>
  <c r="BI63" i="1"/>
  <c r="BH63" i="1"/>
  <c r="BG63" i="1"/>
  <c r="BF63" i="1"/>
  <c r="BE63" i="1"/>
  <c r="BD63" i="1"/>
  <c r="AV63" i="1"/>
  <c r="AN63" i="1"/>
  <c r="AG63" i="1"/>
  <c r="BK62" i="1"/>
  <c r="BJ62" i="1"/>
  <c r="BI62" i="1"/>
  <c r="BH62" i="1"/>
  <c r="BG62" i="1"/>
  <c r="BF62" i="1"/>
  <c r="BE62" i="1"/>
  <c r="BD62" i="1"/>
  <c r="AV62" i="1"/>
  <c r="AN62" i="1"/>
  <c r="AG62" i="1"/>
  <c r="BK61" i="1"/>
  <c r="BJ61" i="1"/>
  <c r="BI61" i="1"/>
  <c r="BH61" i="1"/>
  <c r="BG61" i="1"/>
  <c r="BF61" i="1"/>
  <c r="BE61" i="1"/>
  <c r="BD61" i="1"/>
  <c r="AV61" i="1"/>
  <c r="AN61" i="1"/>
  <c r="AG61" i="1"/>
  <c r="BJ60" i="1"/>
  <c r="BD60" i="1"/>
  <c r="AV60" i="1"/>
  <c r="AN60" i="1"/>
  <c r="AG60" i="1"/>
  <c r="BK59" i="1"/>
  <c r="BJ59" i="1"/>
  <c r="BI59" i="1"/>
  <c r="BH59" i="1"/>
  <c r="BG59" i="1"/>
  <c r="BF59" i="1"/>
  <c r="BE59" i="1"/>
  <c r="BD59" i="1"/>
  <c r="AV59" i="1"/>
  <c r="AN59" i="1"/>
  <c r="AG59" i="1"/>
  <c r="BK58" i="1"/>
  <c r="BJ58" i="1"/>
  <c r="BI58" i="1"/>
  <c r="BH58" i="1"/>
  <c r="BG58" i="1"/>
  <c r="BF58" i="1"/>
  <c r="BE58" i="1"/>
  <c r="BD58" i="1"/>
  <c r="AV58" i="1"/>
  <c r="AN58" i="1"/>
  <c r="AG58" i="1"/>
  <c r="BK57" i="1"/>
  <c r="BJ57" i="1"/>
  <c r="BI57" i="1"/>
  <c r="BH57" i="1"/>
  <c r="BG57" i="1"/>
  <c r="BF57" i="1"/>
  <c r="BE57" i="1"/>
  <c r="BD57" i="1"/>
  <c r="AV57" i="1"/>
  <c r="AN57" i="1"/>
  <c r="AG57" i="1"/>
  <c r="BK56" i="1"/>
  <c r="BJ56" i="1"/>
  <c r="BI56" i="1"/>
  <c r="BH56" i="1"/>
  <c r="BG56" i="1"/>
  <c r="BF56" i="1"/>
  <c r="BE56" i="1"/>
  <c r="BD56" i="1"/>
  <c r="AV56" i="1"/>
  <c r="AN56" i="1"/>
  <c r="AG56" i="1"/>
  <c r="BK55" i="1"/>
  <c r="BJ55" i="1"/>
  <c r="BH55" i="1"/>
  <c r="BG55" i="1"/>
  <c r="BF55" i="1"/>
  <c r="BE55" i="1"/>
  <c r="BA55" i="1"/>
  <c r="BA51" i="1" s="1"/>
  <c r="AV55" i="1"/>
  <c r="AN55" i="1"/>
  <c r="AG55" i="1"/>
  <c r="BK54" i="1"/>
  <c r="BJ54" i="1"/>
  <c r="BI54" i="1"/>
  <c r="BH54" i="1"/>
  <c r="BG54" i="1"/>
  <c r="BF54" i="1"/>
  <c r="BE54" i="1"/>
  <c r="BD54" i="1"/>
  <c r="AV54" i="1"/>
  <c r="AN54" i="1"/>
  <c r="AG54" i="1"/>
  <c r="BK53" i="1"/>
  <c r="BJ53" i="1"/>
  <c r="BI53" i="1"/>
  <c r="BH53" i="1"/>
  <c r="BG53" i="1"/>
  <c r="BF53" i="1"/>
  <c r="BE53" i="1"/>
  <c r="BD53" i="1"/>
  <c r="AV53" i="1"/>
  <c r="AN53" i="1"/>
  <c r="AG53" i="1"/>
  <c r="BK52" i="1"/>
  <c r="BJ52" i="1"/>
  <c r="BI52" i="1"/>
  <c r="BH52" i="1"/>
  <c r="BG52" i="1"/>
  <c r="BF52" i="1"/>
  <c r="BE52" i="1"/>
  <c r="BD52" i="1"/>
  <c r="AV52" i="1"/>
  <c r="AN52" i="1"/>
  <c r="AG52" i="1"/>
  <c r="AY51" i="1"/>
  <c r="AX51" i="1"/>
  <c r="AP51" i="1"/>
  <c r="AI51" i="1"/>
  <c r="AA51" i="1"/>
  <c r="AJ51" i="1"/>
  <c r="AJ50" i="1" s="1"/>
  <c r="AF51" i="1"/>
  <c r="AE51" i="1"/>
  <c r="AE50" i="1" s="1"/>
  <c r="AD51" i="1"/>
  <c r="AC51" i="1"/>
  <c r="AB51" i="1"/>
  <c r="AA50" i="1"/>
  <c r="Z51" i="1"/>
  <c r="BK49" i="1"/>
  <c r="BJ49" i="1"/>
  <c r="BI49" i="1"/>
  <c r="BH49" i="1"/>
  <c r="BE49" i="1"/>
  <c r="AJ49" i="1"/>
  <c r="AQ49" i="1" s="1"/>
  <c r="AY49" i="1" s="1"/>
  <c r="BG49" i="1" s="1"/>
  <c r="AI49" i="1"/>
  <c r="AP49" i="1" s="1"/>
  <c r="AX49" i="1" s="1"/>
  <c r="BF49" i="1" s="1"/>
  <c r="AG49" i="1"/>
  <c r="BG48" i="1"/>
  <c r="BE48" i="1"/>
  <c r="BC48" i="1"/>
  <c r="AU48" i="1"/>
  <c r="AM48" i="1"/>
  <c r="AF48" i="1"/>
  <c r="AG48" i="1" s="1"/>
  <c r="AL48" i="1"/>
  <c r="AK48" i="1"/>
  <c r="AR48" i="1" s="1"/>
  <c r="AZ48" i="1" s="1"/>
  <c r="BH48" i="1" s="1"/>
  <c r="AI48" i="1"/>
  <c r="AP48" i="1" s="1"/>
  <c r="AX48" i="1" s="1"/>
  <c r="BF48" i="1" s="1"/>
  <c r="BK47" i="1"/>
  <c r="BJ47" i="1"/>
  <c r="BI47" i="1"/>
  <c r="BH47" i="1"/>
  <c r="BG47" i="1"/>
  <c r="BF47" i="1"/>
  <c r="BE47" i="1"/>
  <c r="BD47" i="1"/>
  <c r="AV47" i="1"/>
  <c r="AN47" i="1"/>
  <c r="AG47" i="1"/>
  <c r="BK46" i="1"/>
  <c r="BJ46" i="1"/>
  <c r="BI46" i="1"/>
  <c r="BH46" i="1"/>
  <c r="BG46" i="1"/>
  <c r="BF46" i="1"/>
  <c r="BE46" i="1"/>
  <c r="BD46" i="1"/>
  <c r="AV46" i="1"/>
  <c r="AN46" i="1"/>
  <c r="AG46" i="1"/>
  <c r="BK45" i="1"/>
  <c r="BJ45" i="1"/>
  <c r="BI45" i="1"/>
  <c r="BH45" i="1"/>
  <c r="BG45" i="1"/>
  <c r="BF45" i="1"/>
  <c r="BE45" i="1"/>
  <c r="BD45" i="1"/>
  <c r="AV45" i="1"/>
  <c r="AN45" i="1"/>
  <c r="AG45" i="1"/>
  <c r="BK44" i="1"/>
  <c r="BJ44" i="1"/>
  <c r="BI44" i="1"/>
  <c r="BH44" i="1"/>
  <c r="BG44" i="1"/>
  <c r="BF44" i="1"/>
  <c r="BE44" i="1"/>
  <c r="BD44" i="1"/>
  <c r="AV44" i="1"/>
  <c r="AN44" i="1"/>
  <c r="AG44" i="1"/>
  <c r="BC43" i="1"/>
  <c r="AU43" i="1"/>
  <c r="AM43" i="1"/>
  <c r="AF43" i="1"/>
  <c r="BB43" i="1"/>
  <c r="BA43" i="1"/>
  <c r="AZ43" i="1"/>
  <c r="AY43" i="1"/>
  <c r="AX43" i="1"/>
  <c r="AW43" i="1"/>
  <c r="AT43" i="1"/>
  <c r="AS43" i="1"/>
  <c r="AR43" i="1"/>
  <c r="AQ43" i="1"/>
  <c r="AP43" i="1"/>
  <c r="AO43" i="1"/>
  <c r="AL43" i="1"/>
  <c r="AD43" i="1"/>
  <c r="AK43" i="1"/>
  <c r="AJ43" i="1"/>
  <c r="AI43" i="1"/>
  <c r="AH43" i="1"/>
  <c r="AE43" i="1"/>
  <c r="AC43" i="1"/>
  <c r="AB43" i="1"/>
  <c r="AA43" i="1"/>
  <c r="Z43" i="1"/>
  <c r="AN42" i="1"/>
  <c r="AV41" i="1"/>
  <c r="BK40" i="1"/>
  <c r="BJ40" i="1"/>
  <c r="BI40" i="1"/>
  <c r="BH40" i="1"/>
  <c r="BG40" i="1"/>
  <c r="BF40" i="1"/>
  <c r="BE40" i="1"/>
  <c r="BD40" i="1"/>
  <c r="AV40" i="1"/>
  <c r="AN40" i="1"/>
  <c r="AG40" i="1"/>
  <c r="BK39" i="1"/>
  <c r="BJ39" i="1"/>
  <c r="BI39" i="1"/>
  <c r="BH39" i="1"/>
  <c r="BG39" i="1"/>
  <c r="BF39" i="1"/>
  <c r="BE39" i="1"/>
  <c r="BD39" i="1"/>
  <c r="AV39" i="1"/>
  <c r="AN39" i="1"/>
  <c r="AG39" i="1"/>
  <c r="BK38" i="1"/>
  <c r="BJ38" i="1"/>
  <c r="BI38" i="1"/>
  <c r="BH38" i="1"/>
  <c r="BG38" i="1"/>
  <c r="BF38" i="1"/>
  <c r="BE38" i="1"/>
  <c r="BD38" i="1"/>
  <c r="AV38" i="1"/>
  <c r="AN38" i="1"/>
  <c r="AG38" i="1"/>
  <c r="BK37" i="1"/>
  <c r="BJ37" i="1"/>
  <c r="BI37" i="1"/>
  <c r="BH37" i="1"/>
  <c r="BG37" i="1"/>
  <c r="BF37" i="1"/>
  <c r="BE37" i="1"/>
  <c r="BD37" i="1"/>
  <c r="AV37" i="1"/>
  <c r="AN37" i="1"/>
  <c r="AG37" i="1"/>
  <c r="BK36" i="1"/>
  <c r="BJ36" i="1"/>
  <c r="BI36" i="1"/>
  <c r="BH36" i="1"/>
  <c r="BG36" i="1"/>
  <c r="BF36" i="1"/>
  <c r="BE36" i="1"/>
  <c r="BD36" i="1"/>
  <c r="AV36" i="1"/>
  <c r="AN36" i="1"/>
  <c r="AG36" i="1"/>
  <c r="BK35" i="1"/>
  <c r="BJ35" i="1"/>
  <c r="BI35" i="1"/>
  <c r="BH35" i="1"/>
  <c r="BG35" i="1"/>
  <c r="BF35" i="1"/>
  <c r="BE35" i="1"/>
  <c r="BD35" i="1"/>
  <c r="AV35" i="1"/>
  <c r="AN35" i="1"/>
  <c r="AG35" i="1"/>
  <c r="BD34" i="1"/>
  <c r="AV34" i="1"/>
  <c r="AN34" i="1"/>
  <c r="BK33" i="1"/>
  <c r="BJ33" i="1"/>
  <c r="BI33" i="1"/>
  <c r="BH33" i="1"/>
  <c r="BG33" i="1"/>
  <c r="BF33" i="1"/>
  <c r="BE33" i="1"/>
  <c r="BD33" i="1"/>
  <c r="AV33" i="1"/>
  <c r="AN33" i="1"/>
  <c r="AG33" i="1"/>
  <c r="BK32" i="1"/>
  <c r="BJ32" i="1"/>
  <c r="BI32" i="1"/>
  <c r="BH32" i="1"/>
  <c r="BG32" i="1"/>
  <c r="BF32" i="1"/>
  <c r="BE32" i="1"/>
  <c r="BD32" i="1"/>
  <c r="AV32" i="1"/>
  <c r="AN32" i="1"/>
  <c r="AG32" i="1"/>
  <c r="BK31" i="1"/>
  <c r="BJ31" i="1"/>
  <c r="BI31" i="1"/>
  <c r="BH31" i="1"/>
  <c r="BG31" i="1"/>
  <c r="BF31" i="1"/>
  <c r="BE31" i="1"/>
  <c r="BD31" i="1"/>
  <c r="AV31" i="1"/>
  <c r="AN31" i="1"/>
  <c r="AG31" i="1"/>
  <c r="BK30" i="1"/>
  <c r="BJ30" i="1"/>
  <c r="BI30" i="1"/>
  <c r="BH30" i="1"/>
  <c r="BG30" i="1"/>
  <c r="BF30" i="1"/>
  <c r="BE30" i="1"/>
  <c r="BD30" i="1"/>
  <c r="AV30" i="1"/>
  <c r="AN30" i="1"/>
  <c r="AG30" i="1"/>
  <c r="BK29" i="1"/>
  <c r="BJ29" i="1"/>
  <c r="BI29" i="1"/>
  <c r="BH29" i="1"/>
  <c r="BG29" i="1"/>
  <c r="BF29" i="1"/>
  <c r="BE29" i="1"/>
  <c r="BD29" i="1"/>
  <c r="AV29" i="1"/>
  <c r="AN29" i="1"/>
  <c r="AG29" i="1"/>
  <c r="BK28" i="1"/>
  <c r="BJ28" i="1"/>
  <c r="BI28" i="1"/>
  <c r="BH28" i="1"/>
  <c r="BG28" i="1"/>
  <c r="BF28" i="1"/>
  <c r="BE28" i="1"/>
  <c r="BD28" i="1"/>
  <c r="AV28" i="1"/>
  <c r="AN28" i="1"/>
  <c r="AG28" i="1"/>
  <c r="BK27" i="1"/>
  <c r="BJ27" i="1"/>
  <c r="BI27" i="1"/>
  <c r="BH27" i="1"/>
  <c r="BG27" i="1"/>
  <c r="BF27" i="1"/>
  <c r="BE27" i="1"/>
  <c r="BD27" i="1"/>
  <c r="AV27" i="1"/>
  <c r="AN27" i="1"/>
  <c r="AG27" i="1"/>
  <c r="BK26" i="1"/>
  <c r="BJ26" i="1"/>
  <c r="BI26" i="1"/>
  <c r="BH26" i="1"/>
  <c r="BG26" i="1"/>
  <c r="BF26" i="1"/>
  <c r="BE26" i="1"/>
  <c r="BD26" i="1"/>
  <c r="AV26" i="1"/>
  <c r="AN26" i="1"/>
  <c r="AG26" i="1"/>
  <c r="BK25" i="1"/>
  <c r="BJ25" i="1"/>
  <c r="BI25" i="1"/>
  <c r="BH25" i="1"/>
  <c r="BG25" i="1"/>
  <c r="BF25" i="1"/>
  <c r="BE25" i="1"/>
  <c r="BD25" i="1"/>
  <c r="AV25" i="1"/>
  <c r="AN25" i="1"/>
  <c r="AG25" i="1"/>
  <c r="BC24" i="1"/>
  <c r="BB24" i="1"/>
  <c r="BA24" i="1"/>
  <c r="AZ24" i="1"/>
  <c r="AY24" i="1"/>
  <c r="AX24" i="1"/>
  <c r="AW24" i="1"/>
  <c r="AU24" i="1"/>
  <c r="AT24" i="1"/>
  <c r="AS24" i="1"/>
  <c r="AR24" i="1"/>
  <c r="AQ24" i="1"/>
  <c r="AP24" i="1"/>
  <c r="AO24" i="1"/>
  <c r="AM24" i="1"/>
  <c r="AL24" i="1"/>
  <c r="AL8" i="1"/>
  <c r="AK24" i="1"/>
  <c r="AJ24" i="1"/>
  <c r="AI24" i="1"/>
  <c r="AH24" i="1"/>
  <c r="AF24" i="1"/>
  <c r="AE24" i="1"/>
  <c r="AD24" i="1"/>
  <c r="AC24" i="1"/>
  <c r="AB24" i="1"/>
  <c r="AA24" i="1"/>
  <c r="Z24" i="1"/>
  <c r="BK23" i="1"/>
  <c r="BJ23" i="1"/>
  <c r="BI23" i="1"/>
  <c r="BH23" i="1"/>
  <c r="BG23" i="1"/>
  <c r="BF23" i="1"/>
  <c r="BE23" i="1"/>
  <c r="BD23" i="1"/>
  <c r="AV23" i="1"/>
  <c r="AN23" i="1"/>
  <c r="AG23" i="1"/>
  <c r="BK22" i="1"/>
  <c r="BJ22" i="1"/>
  <c r="BI22" i="1"/>
  <c r="BH22" i="1"/>
  <c r="BG22" i="1"/>
  <c r="BF22" i="1"/>
  <c r="BE22" i="1"/>
  <c r="BD22" i="1"/>
  <c r="AV22" i="1"/>
  <c r="AN22" i="1"/>
  <c r="AG22" i="1"/>
  <c r="BK21" i="1"/>
  <c r="BJ21" i="1"/>
  <c r="BI21" i="1"/>
  <c r="BH21" i="1"/>
  <c r="BG21" i="1"/>
  <c r="BF21" i="1"/>
  <c r="BE21" i="1"/>
  <c r="BD21" i="1"/>
  <c r="AV21" i="1"/>
  <c r="AN21" i="1"/>
  <c r="AG21" i="1"/>
  <c r="BK20" i="1"/>
  <c r="BJ20" i="1"/>
  <c r="BI20" i="1"/>
  <c r="BH20" i="1"/>
  <c r="BG20" i="1"/>
  <c r="BF20" i="1"/>
  <c r="BE20" i="1"/>
  <c r="BD20" i="1"/>
  <c r="AV20" i="1"/>
  <c r="AN20" i="1"/>
  <c r="AG20" i="1"/>
  <c r="BK19" i="1"/>
  <c r="BJ19" i="1"/>
  <c r="BI19" i="1"/>
  <c r="BH19" i="1"/>
  <c r="BG19" i="1"/>
  <c r="BF19" i="1"/>
  <c r="BE19" i="1"/>
  <c r="BD19" i="1"/>
  <c r="AV19" i="1"/>
  <c r="AN19" i="1"/>
  <c r="AG19" i="1"/>
  <c r="BK18" i="1"/>
  <c r="BJ18" i="1"/>
  <c r="BI18" i="1"/>
  <c r="BH18" i="1"/>
  <c r="BG18" i="1"/>
  <c r="BF18" i="1"/>
  <c r="BE18" i="1"/>
  <c r="BD18" i="1"/>
  <c r="AV18" i="1"/>
  <c r="AN18" i="1"/>
  <c r="AG18" i="1"/>
  <c r="BK17" i="1"/>
  <c r="BJ17" i="1"/>
  <c r="BI17" i="1"/>
  <c r="BH17" i="1"/>
  <c r="BG17" i="1"/>
  <c r="BF17" i="1"/>
  <c r="BE17" i="1"/>
  <c r="BD17" i="1"/>
  <c r="AV17" i="1"/>
  <c r="AN17" i="1"/>
  <c r="AG17" i="1"/>
  <c r="BK16" i="1"/>
  <c r="BJ16" i="1"/>
  <c r="BI16" i="1"/>
  <c r="BH16" i="1"/>
  <c r="BG16" i="1"/>
  <c r="BF16" i="1"/>
  <c r="BE16" i="1"/>
  <c r="BD16" i="1"/>
  <c r="AV16" i="1"/>
  <c r="AN16" i="1"/>
  <c r="AG16" i="1"/>
  <c r="BK15" i="1"/>
  <c r="BJ15" i="1"/>
  <c r="BI15" i="1"/>
  <c r="BH15" i="1"/>
  <c r="BG15" i="1"/>
  <c r="BF15" i="1"/>
  <c r="BE15" i="1"/>
  <c r="BD15" i="1"/>
  <c r="AV15" i="1"/>
  <c r="AN15" i="1"/>
  <c r="AG15" i="1"/>
  <c r="BK14" i="1"/>
  <c r="BJ14" i="1"/>
  <c r="BI14" i="1"/>
  <c r="BH14" i="1"/>
  <c r="BG14" i="1"/>
  <c r="BF14" i="1"/>
  <c r="BE14" i="1"/>
  <c r="BD14" i="1"/>
  <c r="AV14" i="1"/>
  <c r="AN14" i="1"/>
  <c r="AG14" i="1"/>
  <c r="BK13" i="1"/>
  <c r="BJ13" i="1"/>
  <c r="BI13" i="1"/>
  <c r="BH13" i="1"/>
  <c r="BG13" i="1"/>
  <c r="BF13" i="1"/>
  <c r="BE13" i="1"/>
  <c r="BD13" i="1"/>
  <c r="AV13" i="1"/>
  <c r="AN13" i="1"/>
  <c r="AG13" i="1"/>
  <c r="BK12" i="1"/>
  <c r="BJ12" i="1"/>
  <c r="BI12" i="1"/>
  <c r="BH12" i="1"/>
  <c r="BG12" i="1"/>
  <c r="BF12" i="1"/>
  <c r="BE12" i="1"/>
  <c r="BD12" i="1"/>
  <c r="AV12" i="1"/>
  <c r="AN12" i="1"/>
  <c r="AG12" i="1"/>
  <c r="BK11" i="1"/>
  <c r="BJ11" i="1"/>
  <c r="BI11" i="1"/>
  <c r="BH11" i="1"/>
  <c r="BG11" i="1"/>
  <c r="BF11" i="1"/>
  <c r="BE11" i="1"/>
  <c r="BD11" i="1"/>
  <c r="AV11" i="1"/>
  <c r="AG11" i="1"/>
  <c r="BK10" i="1"/>
  <c r="BJ10" i="1"/>
  <c r="BI10" i="1"/>
  <c r="BH10" i="1"/>
  <c r="BG10" i="1"/>
  <c r="BF10" i="1"/>
  <c r="BE10" i="1"/>
  <c r="BD10" i="1"/>
  <c r="AV10" i="1"/>
  <c r="AN10" i="1"/>
  <c r="AG10" i="1"/>
  <c r="BK9" i="1"/>
  <c r="BJ9" i="1"/>
  <c r="BI9" i="1"/>
  <c r="BH9" i="1"/>
  <c r="BG9" i="1"/>
  <c r="BF9" i="1"/>
  <c r="BE9" i="1"/>
  <c r="BD9" i="1"/>
  <c r="AV9" i="1"/>
  <c r="AN9" i="1"/>
  <c r="AG9" i="1"/>
  <c r="BC8" i="1"/>
  <c r="BB8" i="1"/>
  <c r="BA8" i="1"/>
  <c r="AZ8" i="1"/>
  <c r="AY8" i="1"/>
  <c r="AX8" i="1"/>
  <c r="AW8" i="1"/>
  <c r="AU8" i="1"/>
  <c r="AT8" i="1"/>
  <c r="AS8" i="1"/>
  <c r="AR8" i="1"/>
  <c r="AQ8" i="1"/>
  <c r="AP8" i="1"/>
  <c r="AO8" i="1"/>
  <c r="AM8" i="1"/>
  <c r="AK8" i="1"/>
  <c r="AJ8" i="1"/>
  <c r="AI8" i="1"/>
  <c r="AH8" i="1"/>
  <c r="AF8" i="1"/>
  <c r="AE8" i="1"/>
  <c r="AD8" i="1"/>
  <c r="AC8" i="1"/>
  <c r="AB8" i="1"/>
  <c r="AA8" i="1"/>
  <c r="Z8" i="1"/>
  <c r="AB6" i="1"/>
  <c r="AZ263" i="1"/>
  <c r="AY355" i="1"/>
  <c r="AA331" i="1"/>
  <c r="AO363" i="1"/>
  <c r="BA363" i="1"/>
  <c r="AP483" i="1"/>
  <c r="AM320" i="2"/>
  <c r="AP149" i="8"/>
  <c r="AH448" i="2"/>
  <c r="AH447" i="2" s="1"/>
  <c r="AM358" i="6"/>
  <c r="AH440" i="6"/>
  <c r="AH439" i="6" s="1"/>
  <c r="AI286" i="6"/>
  <c r="AI273" i="6"/>
  <c r="AI261" i="6"/>
  <c r="AI260" i="6" s="1"/>
  <c r="AI292" i="6"/>
  <c r="AI291" i="6"/>
  <c r="AI327" i="6"/>
  <c r="AI326" i="6" s="1"/>
  <c r="AI350" i="6"/>
  <c r="AI349" i="6"/>
  <c r="AI113" i="6"/>
  <c r="AI107" i="6"/>
  <c r="AI482" i="6"/>
  <c r="AI474" i="6"/>
  <c r="AI473" i="6" s="1"/>
  <c r="AI440" i="6"/>
  <c r="AI439" i="6" s="1"/>
  <c r="AI241" i="6"/>
  <c r="AI233" i="6"/>
  <c r="AI225" i="6"/>
  <c r="AI219" i="6"/>
  <c r="AI210" i="6"/>
  <c r="AI199" i="6"/>
  <c r="AI191" i="6"/>
  <c r="AI153" i="6"/>
  <c r="AI179" i="6"/>
  <c r="AI424" i="6"/>
  <c r="AI408" i="6"/>
  <c r="AI395" i="6"/>
  <c r="AI368" i="6"/>
  <c r="AI367" i="6" s="1"/>
  <c r="AI357" i="6"/>
  <c r="AI356" i="6" s="1"/>
  <c r="BJ499" i="2"/>
  <c r="BI499" i="2"/>
  <c r="BH499" i="2"/>
  <c r="BG499" i="2"/>
  <c r="BF499" i="2"/>
  <c r="BE499" i="2"/>
  <c r="BD499" i="2"/>
  <c r="BC499" i="2"/>
  <c r="AU499" i="2"/>
  <c r="AM499" i="2"/>
  <c r="AF499" i="2"/>
  <c r="BJ498" i="2"/>
  <c r="BI498" i="2"/>
  <c r="BH498" i="2"/>
  <c r="BG498" i="2"/>
  <c r="BF498" i="2"/>
  <c r="BE498" i="2"/>
  <c r="BD498" i="2"/>
  <c r="BC498" i="2"/>
  <c r="AU498" i="2"/>
  <c r="AM498" i="2"/>
  <c r="AF498" i="2"/>
  <c r="BJ497" i="2"/>
  <c r="BI497" i="2"/>
  <c r="BH497" i="2"/>
  <c r="BG497" i="2"/>
  <c r="BF497" i="2"/>
  <c r="BE497" i="2"/>
  <c r="BD497" i="2"/>
  <c r="BC497" i="2"/>
  <c r="AU497" i="2"/>
  <c r="AM497" i="2"/>
  <c r="AF497" i="2"/>
  <c r="BC496" i="2"/>
  <c r="AU496" i="2"/>
  <c r="AM496" i="2"/>
  <c r="BJ495" i="2"/>
  <c r="BI495" i="2"/>
  <c r="BH495" i="2"/>
  <c r="BG495" i="2"/>
  <c r="BF495" i="2"/>
  <c r="BE495" i="2"/>
  <c r="BD495" i="2"/>
  <c r="BC495" i="2"/>
  <c r="AU495" i="2"/>
  <c r="AM495" i="2"/>
  <c r="AF495" i="2"/>
  <c r="BJ494" i="2"/>
  <c r="BI494" i="2"/>
  <c r="BH494" i="2"/>
  <c r="BG494" i="2"/>
  <c r="BF494" i="2"/>
  <c r="BE494" i="2"/>
  <c r="BD494" i="2"/>
  <c r="BC494" i="2"/>
  <c r="AU494" i="2"/>
  <c r="AM494" i="2"/>
  <c r="AF494" i="2"/>
  <c r="BJ493" i="2"/>
  <c r="BI493" i="2"/>
  <c r="BH493" i="2"/>
  <c r="BG493" i="2"/>
  <c r="BF493" i="2"/>
  <c r="BE493" i="2"/>
  <c r="BD493" i="2"/>
  <c r="BC493" i="2"/>
  <c r="AU493" i="2"/>
  <c r="AM493" i="2"/>
  <c r="AF493" i="2"/>
  <c r="BB492" i="2"/>
  <c r="AT492" i="2"/>
  <c r="AL492" i="2"/>
  <c r="AE492" i="2"/>
  <c r="BA492" i="2"/>
  <c r="BA484" i="2"/>
  <c r="AZ492" i="2"/>
  <c r="AY492" i="2"/>
  <c r="AX492" i="2"/>
  <c r="AW492" i="2"/>
  <c r="AV492" i="2"/>
  <c r="AS492" i="2"/>
  <c r="AR492" i="2"/>
  <c r="AQ492" i="2"/>
  <c r="AP492" i="2"/>
  <c r="AO492" i="2"/>
  <c r="AN492" i="2"/>
  <c r="AK492" i="2"/>
  <c r="AJ492" i="2"/>
  <c r="AI492" i="2"/>
  <c r="AH492" i="2"/>
  <c r="AG492" i="2"/>
  <c r="AG483" i="2" s="1"/>
  <c r="AE484" i="2"/>
  <c r="AD492" i="2"/>
  <c r="BI492" i="2" s="1"/>
  <c r="AC492" i="2"/>
  <c r="AB492" i="2"/>
  <c r="AA492" i="2"/>
  <c r="Z492" i="2"/>
  <c r="Y492" i="2"/>
  <c r="BJ491" i="2"/>
  <c r="BI491" i="2"/>
  <c r="BH491" i="2"/>
  <c r="BG491" i="2"/>
  <c r="BF491" i="2"/>
  <c r="BE491" i="2"/>
  <c r="BD491" i="2"/>
  <c r="BC491" i="2"/>
  <c r="AU491" i="2"/>
  <c r="AM491" i="2"/>
  <c r="AF491" i="2"/>
  <c r="X491" i="2"/>
  <c r="BJ490" i="2"/>
  <c r="BI490" i="2"/>
  <c r="BH490" i="2"/>
  <c r="BG490" i="2"/>
  <c r="BF490" i="2"/>
  <c r="BE490" i="2"/>
  <c r="BD490" i="2"/>
  <c r="BC490" i="2"/>
  <c r="AU490" i="2"/>
  <c r="AM490" i="2"/>
  <c r="AF490" i="2"/>
  <c r="X490" i="2"/>
  <c r="BJ489" i="2"/>
  <c r="BI489" i="2"/>
  <c r="BH489" i="2"/>
  <c r="BG489" i="2"/>
  <c r="BF489" i="2"/>
  <c r="BE489" i="2"/>
  <c r="BD489" i="2"/>
  <c r="BC489" i="2"/>
  <c r="AU489" i="2"/>
  <c r="AM489" i="2"/>
  <c r="AF489" i="2"/>
  <c r="X489" i="2"/>
  <c r="BJ488" i="2"/>
  <c r="BI488" i="2"/>
  <c r="BH488" i="2"/>
  <c r="BG488" i="2"/>
  <c r="BF488" i="2"/>
  <c r="BE488" i="2"/>
  <c r="BD488" i="2"/>
  <c r="BC488" i="2"/>
  <c r="AU488" i="2"/>
  <c r="AM488" i="2"/>
  <c r="AF488" i="2"/>
  <c r="BI487" i="2"/>
  <c r="AF487" i="2"/>
  <c r="BJ486" i="2"/>
  <c r="BI486" i="2"/>
  <c r="BH486" i="2"/>
  <c r="BG486" i="2"/>
  <c r="BF486" i="2"/>
  <c r="BE486" i="2"/>
  <c r="BD486" i="2"/>
  <c r="BC486" i="2"/>
  <c r="AU486" i="2"/>
  <c r="AM486" i="2"/>
  <c r="AF486" i="2"/>
  <c r="X486" i="2"/>
  <c r="BJ485" i="2"/>
  <c r="BI485" i="2"/>
  <c r="BH485" i="2"/>
  <c r="BG485" i="2"/>
  <c r="BF485" i="2"/>
  <c r="BE485" i="2"/>
  <c r="BD485" i="2"/>
  <c r="BC485" i="2"/>
  <c r="AU485" i="2"/>
  <c r="AM485" i="2"/>
  <c r="AF485" i="2"/>
  <c r="X485" i="2"/>
  <c r="BB484" i="2"/>
  <c r="AZ484" i="2"/>
  <c r="AZ483" i="2" s="1"/>
  <c r="AY484" i="2"/>
  <c r="AX484" i="2"/>
  <c r="AW484" i="2"/>
  <c r="AV484" i="2"/>
  <c r="AT484" i="2"/>
  <c r="AT448" i="2"/>
  <c r="AT447" i="2" s="1"/>
  <c r="AS484" i="2"/>
  <c r="AR484" i="2"/>
  <c r="AQ484" i="2"/>
  <c r="AP484" i="2"/>
  <c r="AO484" i="2"/>
  <c r="AN484" i="2"/>
  <c r="AG484" i="2"/>
  <c r="Y484" i="2"/>
  <c r="AL484" i="2"/>
  <c r="AK484" i="2"/>
  <c r="AJ484" i="2"/>
  <c r="AI484" i="2"/>
  <c r="AH484" i="2"/>
  <c r="AD484" i="2"/>
  <c r="BI484" i="2" s="1"/>
  <c r="AC484" i="2"/>
  <c r="AC483" i="2" s="1"/>
  <c r="AB484" i="2"/>
  <c r="AA484" i="2"/>
  <c r="Z484" i="2"/>
  <c r="BK482" i="2"/>
  <c r="AS482" i="2"/>
  <c r="AL482" i="2"/>
  <c r="BJ482" i="2" s="1"/>
  <c r="AK482" i="2"/>
  <c r="AR482" i="2" s="1"/>
  <c r="AZ482" i="2" s="1"/>
  <c r="BH482" i="2" s="1"/>
  <c r="AJ482" i="2"/>
  <c r="AQ482" i="2" s="1"/>
  <c r="AY482" i="2" s="1"/>
  <c r="BG482" i="2" s="1"/>
  <c r="AI482" i="2"/>
  <c r="AP482" i="2" s="1"/>
  <c r="AX482" i="2" s="1"/>
  <c r="BF482" i="2" s="1"/>
  <c r="AH482" i="2"/>
  <c r="AO482" i="2" s="1"/>
  <c r="AW482" i="2" s="1"/>
  <c r="BE482" i="2" s="1"/>
  <c r="AG482" i="2"/>
  <c r="AN482" i="2" s="1"/>
  <c r="AV482" i="2" s="1"/>
  <c r="BD482" i="2" s="1"/>
  <c r="BJ481" i="2"/>
  <c r="BI481" i="2"/>
  <c r="BH481" i="2"/>
  <c r="BG481" i="2"/>
  <c r="BF481" i="2"/>
  <c r="BE481" i="2"/>
  <c r="BD481" i="2"/>
  <c r="AF481" i="2"/>
  <c r="BK481" i="2" s="1"/>
  <c r="AU480" i="2"/>
  <c r="AM479" i="2"/>
  <c r="BJ478" i="2"/>
  <c r="BI478" i="2"/>
  <c r="BH478" i="2"/>
  <c r="BG478" i="2"/>
  <c r="BF478" i="2"/>
  <c r="BE478" i="2"/>
  <c r="BD478" i="2"/>
  <c r="BC478" i="2"/>
  <c r="AU478" i="2"/>
  <c r="AM478" i="2"/>
  <c r="AF478" i="2"/>
  <c r="BC477" i="2"/>
  <c r="AU477" i="2"/>
  <c r="AM477" i="2"/>
  <c r="AF477" i="2"/>
  <c r="BJ476" i="2"/>
  <c r="BI476" i="2"/>
  <c r="BH476" i="2"/>
  <c r="BG476" i="2"/>
  <c r="BF476" i="2"/>
  <c r="BE476" i="2"/>
  <c r="BD476" i="2"/>
  <c r="BC476" i="2"/>
  <c r="AU476" i="2"/>
  <c r="AM476" i="2"/>
  <c r="AF476" i="2"/>
  <c r="BJ475" i="2"/>
  <c r="BI475" i="2"/>
  <c r="BH475" i="2"/>
  <c r="BG475" i="2"/>
  <c r="BF475" i="2"/>
  <c r="BE475" i="2"/>
  <c r="BD475" i="2"/>
  <c r="BC475" i="2"/>
  <c r="AU475" i="2"/>
  <c r="AM475" i="2"/>
  <c r="AF475" i="2"/>
  <c r="BJ474" i="2"/>
  <c r="BI474" i="2"/>
  <c r="BH474" i="2"/>
  <c r="BG474" i="2"/>
  <c r="BF474" i="2"/>
  <c r="BE474" i="2"/>
  <c r="BD474" i="2"/>
  <c r="BC474" i="2"/>
  <c r="AU474" i="2"/>
  <c r="AM474" i="2"/>
  <c r="AF474" i="2"/>
  <c r="BJ473" i="2"/>
  <c r="BI473" i="2"/>
  <c r="BH473" i="2"/>
  <c r="BG473" i="2"/>
  <c r="BF473" i="2"/>
  <c r="BE473" i="2"/>
  <c r="BD473" i="2"/>
  <c r="BC473" i="2"/>
  <c r="AU473" i="2"/>
  <c r="AM473" i="2"/>
  <c r="AF473" i="2"/>
  <c r="BJ472" i="2"/>
  <c r="BI472" i="2"/>
  <c r="BH472" i="2"/>
  <c r="BG472" i="2"/>
  <c r="BF472" i="2"/>
  <c r="BE472" i="2"/>
  <c r="BD472" i="2"/>
  <c r="BC472" i="2"/>
  <c r="AU472" i="2"/>
  <c r="AM472" i="2"/>
  <c r="AF472" i="2"/>
  <c r="BJ471" i="2"/>
  <c r="BI471" i="2"/>
  <c r="BH471" i="2"/>
  <c r="BG471" i="2"/>
  <c r="BF471" i="2"/>
  <c r="BE471" i="2"/>
  <c r="BD471" i="2"/>
  <c r="BC471" i="2"/>
  <c r="AU471" i="2"/>
  <c r="AM471" i="2"/>
  <c r="AF471" i="2"/>
  <c r="BJ470" i="2"/>
  <c r="BI470" i="2"/>
  <c r="BH470" i="2"/>
  <c r="BG470" i="2"/>
  <c r="BF470" i="2"/>
  <c r="BE470" i="2"/>
  <c r="BD470" i="2"/>
  <c r="BC470" i="2"/>
  <c r="AU470" i="2"/>
  <c r="AM470" i="2"/>
  <c r="AF470" i="2"/>
  <c r="BJ469" i="2"/>
  <c r="BI469" i="2"/>
  <c r="BH469" i="2"/>
  <c r="BG469" i="2"/>
  <c r="BF469" i="2"/>
  <c r="BE469" i="2"/>
  <c r="BD469" i="2"/>
  <c r="BC469" i="2"/>
  <c r="AU469" i="2"/>
  <c r="AM469" i="2"/>
  <c r="AF469" i="2"/>
  <c r="BJ468" i="2"/>
  <c r="BI468" i="2"/>
  <c r="BH468" i="2"/>
  <c r="BG468" i="2"/>
  <c r="BF468" i="2"/>
  <c r="BE468" i="2"/>
  <c r="BD468" i="2"/>
  <c r="BC468" i="2"/>
  <c r="AU468" i="2"/>
  <c r="BK468" i="2" s="1"/>
  <c r="AM468" i="2"/>
  <c r="AF468" i="2"/>
  <c r="BJ467" i="2"/>
  <c r="BI467" i="2"/>
  <c r="BH467" i="2"/>
  <c r="BG467" i="2"/>
  <c r="BF467" i="2"/>
  <c r="BE467" i="2"/>
  <c r="BD467" i="2"/>
  <c r="BC467" i="2"/>
  <c r="AU467" i="2"/>
  <c r="AM467" i="2"/>
  <c r="AF467" i="2"/>
  <c r="BJ466" i="2"/>
  <c r="BI466" i="2"/>
  <c r="BH466" i="2"/>
  <c r="BG466" i="2"/>
  <c r="BF466" i="2"/>
  <c r="BE466" i="2"/>
  <c r="BD466" i="2"/>
  <c r="BC466" i="2"/>
  <c r="AU466" i="2"/>
  <c r="AM466" i="2"/>
  <c r="AF466" i="2"/>
  <c r="BJ465" i="2"/>
  <c r="BI465" i="2"/>
  <c r="BH465" i="2"/>
  <c r="BG465" i="2"/>
  <c r="BF465" i="2"/>
  <c r="BE465" i="2"/>
  <c r="BD465" i="2"/>
  <c r="BC465" i="2"/>
  <c r="AU465" i="2"/>
  <c r="AM465" i="2"/>
  <c r="AF465" i="2"/>
  <c r="BJ464" i="2"/>
  <c r="BI464" i="2"/>
  <c r="BH464" i="2"/>
  <c r="BG464" i="2"/>
  <c r="BF464" i="2"/>
  <c r="BE464" i="2"/>
  <c r="BD464" i="2"/>
  <c r="BC464" i="2"/>
  <c r="AU464" i="2"/>
  <c r="AM464" i="2"/>
  <c r="AF464" i="2"/>
  <c r="BJ463" i="2"/>
  <c r="BI463" i="2"/>
  <c r="BH463" i="2"/>
  <c r="BG463" i="2"/>
  <c r="BF463" i="2"/>
  <c r="BE463" i="2"/>
  <c r="BD463" i="2"/>
  <c r="BC463" i="2"/>
  <c r="AU463" i="2"/>
  <c r="AM463" i="2"/>
  <c r="AF463" i="2"/>
  <c r="BJ462" i="2"/>
  <c r="BI462" i="2"/>
  <c r="BH462" i="2"/>
  <c r="BG462" i="2"/>
  <c r="BF462" i="2"/>
  <c r="BE462" i="2"/>
  <c r="BD462" i="2"/>
  <c r="BC462" i="2"/>
  <c r="AU462" i="2"/>
  <c r="AM462" i="2"/>
  <c r="AF462" i="2"/>
  <c r="BJ461" i="2"/>
  <c r="BI461" i="2"/>
  <c r="BH461" i="2"/>
  <c r="BG461" i="2"/>
  <c r="BF461" i="2"/>
  <c r="BE461" i="2"/>
  <c r="BD461" i="2"/>
  <c r="BC461" i="2"/>
  <c r="AU461" i="2"/>
  <c r="AM461" i="2"/>
  <c r="AF461" i="2"/>
  <c r="BJ460" i="2"/>
  <c r="BI460" i="2"/>
  <c r="BH460" i="2"/>
  <c r="BG460" i="2"/>
  <c r="BF460" i="2"/>
  <c r="BE460" i="2"/>
  <c r="BD460" i="2"/>
  <c r="BC460" i="2"/>
  <c r="AU460" i="2"/>
  <c r="AM460" i="2"/>
  <c r="AF460" i="2"/>
  <c r="BJ459" i="2"/>
  <c r="BI459" i="2"/>
  <c r="BH459" i="2"/>
  <c r="BG459" i="2"/>
  <c r="BF459" i="2"/>
  <c r="BE459" i="2"/>
  <c r="BD459" i="2"/>
  <c r="BC459" i="2"/>
  <c r="AU459" i="2"/>
  <c r="AM459" i="2"/>
  <c r="AF459" i="2"/>
  <c r="BJ458" i="2"/>
  <c r="BI458" i="2"/>
  <c r="BH458" i="2"/>
  <c r="BG458" i="2"/>
  <c r="BF458" i="2"/>
  <c r="BE458" i="2"/>
  <c r="BD458" i="2"/>
  <c r="BC458" i="2"/>
  <c r="AU458" i="2"/>
  <c r="AM458" i="2"/>
  <c r="AF458" i="2"/>
  <c r="BJ457" i="2"/>
  <c r="BI457" i="2"/>
  <c r="BH457" i="2"/>
  <c r="BG457" i="2"/>
  <c r="BF457" i="2"/>
  <c r="BE457" i="2"/>
  <c r="BD457" i="2"/>
  <c r="BC457" i="2"/>
  <c r="AU457" i="2"/>
  <c r="AM457" i="2"/>
  <c r="AF457" i="2"/>
  <c r="BK457" i="2"/>
  <c r="BJ456" i="2"/>
  <c r="BI456" i="2"/>
  <c r="BH456" i="2"/>
  <c r="BG456" i="2"/>
  <c r="BF456" i="2"/>
  <c r="BE456" i="2"/>
  <c r="BD456" i="2"/>
  <c r="BC456" i="2"/>
  <c r="AU456" i="2"/>
  <c r="AM456" i="2"/>
  <c r="AF456" i="2"/>
  <c r="BJ455" i="2"/>
  <c r="BI455" i="2"/>
  <c r="BH455" i="2"/>
  <c r="BG455" i="2"/>
  <c r="BF455" i="2"/>
  <c r="BE455" i="2"/>
  <c r="BD455" i="2"/>
  <c r="BC455" i="2"/>
  <c r="AU455" i="2"/>
  <c r="AM455" i="2"/>
  <c r="AF455" i="2"/>
  <c r="BJ454" i="2"/>
  <c r="BI454" i="2"/>
  <c r="BH454" i="2"/>
  <c r="BG454" i="2"/>
  <c r="BF454" i="2"/>
  <c r="BE454" i="2"/>
  <c r="BD454" i="2"/>
  <c r="BC454" i="2"/>
  <c r="AU454" i="2"/>
  <c r="AM454" i="2"/>
  <c r="AF454" i="2"/>
  <c r="BK454" i="2"/>
  <c r="BJ453" i="2"/>
  <c r="BI453" i="2"/>
  <c r="BH453" i="2"/>
  <c r="BG453" i="2"/>
  <c r="BF453" i="2"/>
  <c r="BE453" i="2"/>
  <c r="BD453" i="2"/>
  <c r="BC453" i="2"/>
  <c r="AU453" i="2"/>
  <c r="AM453" i="2"/>
  <c r="AF453" i="2"/>
  <c r="BK453" i="2"/>
  <c r="BJ452" i="2"/>
  <c r="BI452" i="2"/>
  <c r="BH452" i="2"/>
  <c r="BG452" i="2"/>
  <c r="BF452" i="2"/>
  <c r="BE452" i="2"/>
  <c r="BD452" i="2"/>
  <c r="BC452" i="2"/>
  <c r="AU452" i="2"/>
  <c r="AM452" i="2"/>
  <c r="AF452" i="2"/>
  <c r="BJ451" i="2"/>
  <c r="BI451" i="2"/>
  <c r="BH451" i="2"/>
  <c r="BG451" i="2"/>
  <c r="BF451" i="2"/>
  <c r="BE451" i="2"/>
  <c r="BD451" i="2"/>
  <c r="BC451" i="2"/>
  <c r="AU451" i="2"/>
  <c r="AM451" i="2"/>
  <c r="AF451" i="2"/>
  <c r="BJ450" i="2"/>
  <c r="BI450" i="2"/>
  <c r="BH450" i="2"/>
  <c r="BG450" i="2"/>
  <c r="BF450" i="2"/>
  <c r="BE450" i="2"/>
  <c r="BD450" i="2"/>
  <c r="BC450" i="2"/>
  <c r="AU450" i="2"/>
  <c r="AM450" i="2"/>
  <c r="AF450" i="2"/>
  <c r="BJ449" i="2"/>
  <c r="BI449" i="2"/>
  <c r="BH449" i="2"/>
  <c r="BG449" i="2"/>
  <c r="BF449" i="2"/>
  <c r="BE449" i="2"/>
  <c r="BD449" i="2"/>
  <c r="BC449" i="2"/>
  <c r="AU449" i="2"/>
  <c r="AM449" i="2"/>
  <c r="AF449" i="2"/>
  <c r="BB448" i="2"/>
  <c r="BB447" i="2" s="1"/>
  <c r="BA448" i="2"/>
  <c r="BA447" i="2" s="1"/>
  <c r="AZ448" i="2"/>
  <c r="AY448" i="2"/>
  <c r="AX448" i="2"/>
  <c r="AX447" i="2" s="1"/>
  <c r="AW448" i="2"/>
  <c r="AW447" i="2" s="1"/>
  <c r="AV448" i="2"/>
  <c r="AS448" i="2"/>
  <c r="AS447" i="2" s="1"/>
  <c r="AR448" i="2"/>
  <c r="AR447" i="2" s="1"/>
  <c r="AQ448" i="2"/>
  <c r="AP448" i="2"/>
  <c r="AP447" i="2" s="1"/>
  <c r="AO448" i="2"/>
  <c r="AO447" i="2" s="1"/>
  <c r="AN448" i="2"/>
  <c r="AL448" i="2"/>
  <c r="AL447" i="2" s="1"/>
  <c r="AK448" i="2"/>
  <c r="AK447" i="2" s="1"/>
  <c r="AJ448" i="2"/>
  <c r="AJ447" i="2" s="1"/>
  <c r="AI448" i="2"/>
  <c r="AG448" i="2"/>
  <c r="AE448" i="2"/>
  <c r="AE447" i="2" s="1"/>
  <c r="AD448" i="2"/>
  <c r="AD447" i="2" s="1"/>
  <c r="BI447" i="2" s="1"/>
  <c r="AC448" i="2"/>
  <c r="AC447" i="2" s="1"/>
  <c r="AB448" i="2"/>
  <c r="AB447" i="2" s="1"/>
  <c r="AA448" i="2"/>
  <c r="AA447" i="2" s="1"/>
  <c r="Z448" i="2"/>
  <c r="Z447" i="2" s="1"/>
  <c r="Y448" i="2"/>
  <c r="Y447" i="2" s="1"/>
  <c r="BK446" i="2"/>
  <c r="BJ446" i="2"/>
  <c r="BI446" i="2"/>
  <c r="BH446" i="2"/>
  <c r="BG446" i="2"/>
  <c r="AI446" i="2"/>
  <c r="AP446" i="2" s="1"/>
  <c r="AX446" i="2" s="1"/>
  <c r="BF446" i="2" s="1"/>
  <c r="AH446" i="2"/>
  <c r="AO446" i="2" s="1"/>
  <c r="AW446" i="2" s="1"/>
  <c r="BE446" i="2" s="1"/>
  <c r="AG446" i="2"/>
  <c r="AN446" i="2" s="1"/>
  <c r="AV446" i="2" s="1"/>
  <c r="BD446" i="2" s="1"/>
  <c r="BJ444" i="2"/>
  <c r="BI444" i="2"/>
  <c r="BH444" i="2"/>
  <c r="BG444" i="2"/>
  <c r="BF444" i="2"/>
  <c r="BE444" i="2"/>
  <c r="BD444" i="2"/>
  <c r="BC444" i="2"/>
  <c r="AU444" i="2"/>
  <c r="AM444" i="2"/>
  <c r="AF444" i="2"/>
  <c r="BJ443" i="2"/>
  <c r="BI443" i="2"/>
  <c r="BH443" i="2"/>
  <c r="BG443" i="2"/>
  <c r="BF443" i="2"/>
  <c r="BE443" i="2"/>
  <c r="BD443" i="2"/>
  <c r="BC443" i="2"/>
  <c r="BK443" i="2" s="1"/>
  <c r="AU443" i="2"/>
  <c r="AM443" i="2"/>
  <c r="AF443" i="2"/>
  <c r="BJ442" i="2"/>
  <c r="BI442" i="2"/>
  <c r="BH442" i="2"/>
  <c r="BG442" i="2"/>
  <c r="BF442" i="2"/>
  <c r="BE442" i="2"/>
  <c r="BD442" i="2"/>
  <c r="BC442" i="2"/>
  <c r="AU442" i="2"/>
  <c r="AM442" i="2"/>
  <c r="AF442" i="2"/>
  <c r="BJ441" i="2"/>
  <c r="BI441" i="2"/>
  <c r="BH441" i="2"/>
  <c r="BG441" i="2"/>
  <c r="BF441" i="2"/>
  <c r="BE441" i="2"/>
  <c r="BD441" i="2"/>
  <c r="BC441" i="2"/>
  <c r="AU441" i="2"/>
  <c r="AM441" i="2"/>
  <c r="AF441" i="2"/>
  <c r="BJ440" i="2"/>
  <c r="BI440" i="2"/>
  <c r="BH440" i="2"/>
  <c r="BG440" i="2"/>
  <c r="BF440" i="2"/>
  <c r="BE440" i="2"/>
  <c r="BD440" i="2"/>
  <c r="BC440" i="2"/>
  <c r="AU440" i="2"/>
  <c r="AM440" i="2"/>
  <c r="AF440" i="2"/>
  <c r="BJ439" i="2"/>
  <c r="BI439" i="2"/>
  <c r="BH439" i="2"/>
  <c r="BG439" i="2"/>
  <c r="BF439" i="2"/>
  <c r="BE439" i="2"/>
  <c r="BD439" i="2"/>
  <c r="BC439" i="2"/>
  <c r="AU439" i="2"/>
  <c r="AM439" i="2"/>
  <c r="AF439" i="2"/>
  <c r="BJ438" i="2"/>
  <c r="BI438" i="2"/>
  <c r="BH438" i="2"/>
  <c r="BG438" i="2"/>
  <c r="BF438" i="2"/>
  <c r="BE438" i="2"/>
  <c r="BD438" i="2"/>
  <c r="BC438" i="2"/>
  <c r="AU438" i="2"/>
  <c r="AM438" i="2"/>
  <c r="AF438" i="2"/>
  <c r="BJ437" i="2"/>
  <c r="BI437" i="2"/>
  <c r="BH437" i="2"/>
  <c r="BG437" i="2"/>
  <c r="BF437" i="2"/>
  <c r="BE437" i="2"/>
  <c r="BD437" i="2"/>
  <c r="BC437" i="2"/>
  <c r="AU437" i="2"/>
  <c r="AM437" i="2"/>
  <c r="AF437" i="2"/>
  <c r="BJ436" i="2"/>
  <c r="BI436" i="2"/>
  <c r="BH436" i="2"/>
  <c r="BG436" i="2"/>
  <c r="BF436" i="2"/>
  <c r="BE436" i="2"/>
  <c r="BD436" i="2"/>
  <c r="BC436" i="2"/>
  <c r="AU436" i="2"/>
  <c r="AM436" i="2"/>
  <c r="AF436" i="2"/>
  <c r="BJ435" i="2"/>
  <c r="BI435" i="2"/>
  <c r="BH435" i="2"/>
  <c r="BG435" i="2"/>
  <c r="BF435" i="2"/>
  <c r="BE435" i="2"/>
  <c r="BD435" i="2"/>
  <c r="BC435" i="2"/>
  <c r="AU435" i="2"/>
  <c r="AM435" i="2"/>
  <c r="AF435" i="2"/>
  <c r="BJ434" i="2"/>
  <c r="BI434" i="2"/>
  <c r="BH434" i="2"/>
  <c r="BG434" i="2"/>
  <c r="BF434" i="2"/>
  <c r="BE434" i="2"/>
  <c r="BD434" i="2"/>
  <c r="BC434" i="2"/>
  <c r="AU434" i="2"/>
  <c r="AM434" i="2"/>
  <c r="AF434" i="2"/>
  <c r="BJ433" i="2"/>
  <c r="BI433" i="2"/>
  <c r="BH433" i="2"/>
  <c r="BG433" i="2"/>
  <c r="BF433" i="2"/>
  <c r="BE433" i="2"/>
  <c r="BC433" i="2"/>
  <c r="BD433" i="2" s="1"/>
  <c r="BL433" i="2" s="1"/>
  <c r="AU433" i="2"/>
  <c r="AM433" i="2"/>
  <c r="AF433" i="2"/>
  <c r="BJ432" i="2"/>
  <c r="BI432" i="2"/>
  <c r="BH432" i="2"/>
  <c r="BG432" i="2"/>
  <c r="BF432" i="2"/>
  <c r="BE432" i="2"/>
  <c r="BD432" i="2"/>
  <c r="BC432" i="2"/>
  <c r="AU432" i="2"/>
  <c r="AM432" i="2"/>
  <c r="AF432" i="2"/>
  <c r="BB431" i="2"/>
  <c r="BA431" i="2"/>
  <c r="AZ431" i="2"/>
  <c r="AY431" i="2"/>
  <c r="AX431" i="2"/>
  <c r="AW431" i="2"/>
  <c r="AV431" i="2"/>
  <c r="AT431" i="2"/>
  <c r="AS431" i="2"/>
  <c r="AR431" i="2"/>
  <c r="AQ431" i="2"/>
  <c r="AP431" i="2"/>
  <c r="AO431" i="2"/>
  <c r="AN431" i="2"/>
  <c r="AL431" i="2"/>
  <c r="AK431" i="2"/>
  <c r="AJ431" i="2"/>
  <c r="AI431" i="2"/>
  <c r="AH431" i="2"/>
  <c r="AG431" i="2"/>
  <c r="AE431" i="2"/>
  <c r="AD431" i="2"/>
  <c r="AC431" i="2"/>
  <c r="AC415" i="2" s="1"/>
  <c r="AB431" i="2"/>
  <c r="AA431" i="2"/>
  <c r="Z431" i="2"/>
  <c r="Y431" i="2"/>
  <c r="BJ430" i="2"/>
  <c r="BI430" i="2"/>
  <c r="BH430" i="2"/>
  <c r="BG430" i="2"/>
  <c r="BF430" i="2"/>
  <c r="BE430" i="2"/>
  <c r="BD430" i="2"/>
  <c r="BC430" i="2"/>
  <c r="AU430" i="2"/>
  <c r="AM430" i="2"/>
  <c r="AF430" i="2"/>
  <c r="BJ429" i="2"/>
  <c r="BI429" i="2"/>
  <c r="BH429" i="2"/>
  <c r="BG429" i="2"/>
  <c r="BF429" i="2"/>
  <c r="BE429" i="2"/>
  <c r="BD429" i="2"/>
  <c r="BC429" i="2"/>
  <c r="AM429" i="2"/>
  <c r="AF429" i="2"/>
  <c r="BJ428" i="2"/>
  <c r="BI428" i="2"/>
  <c r="BH428" i="2"/>
  <c r="BG428" i="2"/>
  <c r="BF428" i="2"/>
  <c r="BE428" i="2"/>
  <c r="BD428" i="2"/>
  <c r="BC428" i="2"/>
  <c r="AU428" i="2"/>
  <c r="AM428" i="2"/>
  <c r="AF428" i="2"/>
  <c r="BJ427" i="2"/>
  <c r="BI427" i="2"/>
  <c r="BH427" i="2"/>
  <c r="BG427" i="2"/>
  <c r="BF427" i="2"/>
  <c r="BE427" i="2"/>
  <c r="BD427" i="2"/>
  <c r="BC427" i="2"/>
  <c r="AU427" i="2"/>
  <c r="AM427" i="2"/>
  <c r="AF427" i="2"/>
  <c r="BJ426" i="2"/>
  <c r="BI426" i="2"/>
  <c r="BH426" i="2"/>
  <c r="BG426" i="2"/>
  <c r="BF426" i="2"/>
  <c r="BE426" i="2"/>
  <c r="BD426" i="2"/>
  <c r="BC426" i="2"/>
  <c r="AU426" i="2"/>
  <c r="AM426" i="2"/>
  <c r="AF426" i="2"/>
  <c r="BJ425" i="2"/>
  <c r="BI425" i="2"/>
  <c r="BH425" i="2"/>
  <c r="BG425" i="2"/>
  <c r="BF425" i="2"/>
  <c r="BE425" i="2"/>
  <c r="BD425" i="2"/>
  <c r="BC425" i="2"/>
  <c r="AU425" i="2"/>
  <c r="AM425" i="2"/>
  <c r="AF425" i="2"/>
  <c r="BJ424" i="2"/>
  <c r="BI424" i="2"/>
  <c r="BH424" i="2"/>
  <c r="BG424" i="2"/>
  <c r="BF424" i="2"/>
  <c r="BE424" i="2"/>
  <c r="BD424" i="2"/>
  <c r="BC424" i="2"/>
  <c r="AU424" i="2"/>
  <c r="AM424" i="2"/>
  <c r="AF424" i="2"/>
  <c r="BJ423" i="2"/>
  <c r="BI423" i="2"/>
  <c r="BH423" i="2"/>
  <c r="BG423" i="2"/>
  <c r="BF423" i="2"/>
  <c r="BE423" i="2"/>
  <c r="BD423" i="2"/>
  <c r="BC423" i="2"/>
  <c r="AU423" i="2"/>
  <c r="AM423" i="2"/>
  <c r="AF423" i="2"/>
  <c r="BJ422" i="2"/>
  <c r="BI422" i="2"/>
  <c r="BH422" i="2"/>
  <c r="BG422" i="2"/>
  <c r="BF422" i="2"/>
  <c r="BE422" i="2"/>
  <c r="BD422" i="2"/>
  <c r="BC422" i="2"/>
  <c r="AU422" i="2"/>
  <c r="AM422" i="2"/>
  <c r="AF422" i="2"/>
  <c r="BJ421" i="2"/>
  <c r="BI421" i="2"/>
  <c r="BH421" i="2"/>
  <c r="BG421" i="2"/>
  <c r="BF421" i="2"/>
  <c r="BE421" i="2"/>
  <c r="BD421" i="2"/>
  <c r="BC421" i="2"/>
  <c r="AU421" i="2"/>
  <c r="AM421" i="2"/>
  <c r="AF421" i="2"/>
  <c r="BJ420" i="2"/>
  <c r="BI420" i="2"/>
  <c r="BH420" i="2"/>
  <c r="BG420" i="2"/>
  <c r="BF420" i="2"/>
  <c r="BE420" i="2"/>
  <c r="BD420" i="2"/>
  <c r="BC420" i="2"/>
  <c r="AU420" i="2"/>
  <c r="AM420" i="2"/>
  <c r="AF420" i="2"/>
  <c r="BJ419" i="2"/>
  <c r="BI419" i="2"/>
  <c r="BH419" i="2"/>
  <c r="BG419" i="2"/>
  <c r="BF419" i="2"/>
  <c r="BE419" i="2"/>
  <c r="BD419" i="2"/>
  <c r="BC419" i="2"/>
  <c r="AU419" i="2"/>
  <c r="AM419" i="2"/>
  <c r="AF419" i="2"/>
  <c r="BJ418" i="2"/>
  <c r="BI418" i="2"/>
  <c r="BH418" i="2"/>
  <c r="BG418" i="2"/>
  <c r="BF418" i="2"/>
  <c r="BE418" i="2"/>
  <c r="BD418" i="2"/>
  <c r="BC418" i="2"/>
  <c r="AU418" i="2"/>
  <c r="AM418" i="2"/>
  <c r="AF418" i="2"/>
  <c r="BJ417" i="2"/>
  <c r="BI417" i="2"/>
  <c r="BH417" i="2"/>
  <c r="BG417" i="2"/>
  <c r="BF417" i="2"/>
  <c r="BE417" i="2"/>
  <c r="BD417" i="2"/>
  <c r="BC417" i="2"/>
  <c r="AU417" i="2"/>
  <c r="AM417" i="2"/>
  <c r="AM416" i="2" s="1"/>
  <c r="AF417" i="2"/>
  <c r="BB416" i="2"/>
  <c r="BA416" i="2"/>
  <c r="AZ416" i="2"/>
  <c r="AR416" i="2"/>
  <c r="AK416" i="2"/>
  <c r="AC416" i="2"/>
  <c r="BH416" i="2"/>
  <c r="AY416" i="2"/>
  <c r="AY415" i="2"/>
  <c r="AX416" i="2"/>
  <c r="AW416" i="2"/>
  <c r="AV416" i="2"/>
  <c r="AV415" i="2"/>
  <c r="AT416" i="2"/>
  <c r="AS416" i="2"/>
  <c r="AQ416" i="2"/>
  <c r="AP416" i="2"/>
  <c r="AP415" i="2" s="1"/>
  <c r="AO416" i="2"/>
  <c r="AO415" i="2"/>
  <c r="AN416" i="2"/>
  <c r="AL416" i="2"/>
  <c r="AL415" i="2" s="1"/>
  <c r="AL364" i="2"/>
  <c r="AL363" i="2" s="1"/>
  <c r="AL376" i="2"/>
  <c r="AL375" i="2" s="1"/>
  <c r="AL403" i="2"/>
  <c r="AL402" i="2" s="1"/>
  <c r="AJ416" i="2"/>
  <c r="AI416" i="2"/>
  <c r="AH416" i="2"/>
  <c r="AH415" i="2" s="1"/>
  <c r="AG416" i="2"/>
  <c r="AE416" i="2"/>
  <c r="AE415" i="2" s="1"/>
  <c r="AD416" i="2"/>
  <c r="AB416" i="2"/>
  <c r="AA416" i="2"/>
  <c r="Z416" i="2"/>
  <c r="Y416" i="2"/>
  <c r="BJ414" i="2"/>
  <c r="BI414" i="2"/>
  <c r="BH414" i="2"/>
  <c r="BG414" i="2"/>
  <c r="BF414" i="2"/>
  <c r="BE414" i="2"/>
  <c r="BD414" i="2"/>
  <c r="BC414" i="2"/>
  <c r="AU414" i="2"/>
  <c r="AM414" i="2"/>
  <c r="AF414" i="2"/>
  <c r="BJ413" i="2"/>
  <c r="BI413" i="2"/>
  <c r="BH413" i="2"/>
  <c r="BG413" i="2"/>
  <c r="BF413" i="2"/>
  <c r="BE413" i="2"/>
  <c r="BD413" i="2"/>
  <c r="BC413" i="2"/>
  <c r="AU413" i="2"/>
  <c r="AM413" i="2"/>
  <c r="AF413" i="2"/>
  <c r="BJ412" i="2"/>
  <c r="BI412" i="2"/>
  <c r="BH412" i="2"/>
  <c r="BG412" i="2"/>
  <c r="BF412" i="2"/>
  <c r="BE412" i="2"/>
  <c r="BD412" i="2"/>
  <c r="BC412" i="2"/>
  <c r="AU412" i="2"/>
  <c r="AM412" i="2"/>
  <c r="AF412" i="2"/>
  <c r="BJ411" i="2"/>
  <c r="BI411" i="2"/>
  <c r="BH411" i="2"/>
  <c r="BG411" i="2"/>
  <c r="BF411" i="2"/>
  <c r="BE411" i="2"/>
  <c r="BD411" i="2"/>
  <c r="BC411" i="2"/>
  <c r="AU411" i="2"/>
  <c r="AM411" i="2"/>
  <c r="AF411" i="2"/>
  <c r="BJ410" i="2"/>
  <c r="BI410" i="2"/>
  <c r="BH410" i="2"/>
  <c r="BG410" i="2"/>
  <c r="BF410" i="2"/>
  <c r="BE410" i="2"/>
  <c r="BD410" i="2"/>
  <c r="BC410" i="2"/>
  <c r="AU410" i="2"/>
  <c r="AM410" i="2"/>
  <c r="AF410" i="2"/>
  <c r="BJ409" i="2"/>
  <c r="BI409" i="2"/>
  <c r="BH409" i="2"/>
  <c r="BG409" i="2"/>
  <c r="BF409" i="2"/>
  <c r="BE409" i="2"/>
  <c r="BD409" i="2"/>
  <c r="BC409" i="2"/>
  <c r="AU409" i="2"/>
  <c r="AM409" i="2"/>
  <c r="AF409" i="2"/>
  <c r="BJ408" i="2"/>
  <c r="BI408" i="2"/>
  <c r="BH408" i="2"/>
  <c r="BG408" i="2"/>
  <c r="BF408" i="2"/>
  <c r="BE408" i="2"/>
  <c r="BD408" i="2"/>
  <c r="BC408" i="2"/>
  <c r="AU408" i="2"/>
  <c r="AM408" i="2"/>
  <c r="AF408" i="2"/>
  <c r="BJ407" i="2"/>
  <c r="BI407" i="2"/>
  <c r="BH407" i="2"/>
  <c r="BG407" i="2"/>
  <c r="BF407" i="2"/>
  <c r="BE407" i="2"/>
  <c r="BD407" i="2"/>
  <c r="BC407" i="2"/>
  <c r="AU407" i="2"/>
  <c r="AM407" i="2"/>
  <c r="AF407" i="2"/>
  <c r="BJ406" i="2"/>
  <c r="BI406" i="2"/>
  <c r="BH406" i="2"/>
  <c r="BG406" i="2"/>
  <c r="BF406" i="2"/>
  <c r="BE406" i="2"/>
  <c r="BD406" i="2"/>
  <c r="BC406" i="2"/>
  <c r="AU406" i="2"/>
  <c r="AM406" i="2"/>
  <c r="AF406" i="2"/>
  <c r="BJ405" i="2"/>
  <c r="BI405" i="2"/>
  <c r="BH405" i="2"/>
  <c r="BG405" i="2"/>
  <c r="BF405" i="2"/>
  <c r="BE405" i="2"/>
  <c r="BD405" i="2"/>
  <c r="BC405" i="2"/>
  <c r="AU405" i="2"/>
  <c r="AM405" i="2"/>
  <c r="AF405" i="2"/>
  <c r="BJ404" i="2"/>
  <c r="BI404" i="2"/>
  <c r="BH404" i="2"/>
  <c r="BG404" i="2"/>
  <c r="BF404" i="2"/>
  <c r="BE404" i="2"/>
  <c r="BD404" i="2"/>
  <c r="BC404" i="2"/>
  <c r="AU404" i="2"/>
  <c r="AM404" i="2"/>
  <c r="AF404" i="2"/>
  <c r="BB403" i="2"/>
  <c r="BB402" i="2" s="1"/>
  <c r="BA403" i="2"/>
  <c r="BA402" i="2" s="1"/>
  <c r="AZ403" i="2"/>
  <c r="AY403" i="2"/>
  <c r="AY402" i="2" s="1"/>
  <c r="AX403" i="2"/>
  <c r="AX402" i="2" s="1"/>
  <c r="AW403" i="2"/>
  <c r="AW402" i="2" s="1"/>
  <c r="AV403" i="2"/>
  <c r="AT403" i="2"/>
  <c r="AT402" i="2" s="1"/>
  <c r="AS403" i="2"/>
  <c r="AS402" i="2" s="1"/>
  <c r="AR403" i="2"/>
  <c r="AR402" i="2" s="1"/>
  <c r="AQ403" i="2"/>
  <c r="AQ402" i="2" s="1"/>
  <c r="AP403" i="2"/>
  <c r="AP402" i="2" s="1"/>
  <c r="AI403" i="2"/>
  <c r="AI402" i="2" s="1"/>
  <c r="AA403" i="2"/>
  <c r="AA402" i="2" s="1"/>
  <c r="AO403" i="2"/>
  <c r="AO402" i="2" s="1"/>
  <c r="AN403" i="2"/>
  <c r="AN402" i="2" s="1"/>
  <c r="AK403" i="2"/>
  <c r="AK402" i="2" s="1"/>
  <c r="AJ403" i="2"/>
  <c r="AJ402" i="2" s="1"/>
  <c r="AH403" i="2"/>
  <c r="AH402" i="2" s="1"/>
  <c r="AG403" i="2"/>
  <c r="AE403" i="2"/>
  <c r="AD403" i="2"/>
  <c r="AD402" i="2" s="1"/>
  <c r="AC403" i="2"/>
  <c r="AC402" i="2" s="1"/>
  <c r="AB403" i="2"/>
  <c r="AB402" i="2" s="1"/>
  <c r="Z403" i="2"/>
  <c r="Z402" i="2" s="1"/>
  <c r="Y403" i="2"/>
  <c r="Y402" i="2" s="1"/>
  <c r="BJ401" i="2"/>
  <c r="BI401" i="2"/>
  <c r="BH401" i="2"/>
  <c r="BG401" i="2"/>
  <c r="BF401" i="2"/>
  <c r="BE401" i="2"/>
  <c r="BD401" i="2"/>
  <c r="BC401" i="2"/>
  <c r="AU401" i="2"/>
  <c r="AM401" i="2"/>
  <c r="AF401" i="2"/>
  <c r="X401" i="2"/>
  <c r="BJ400" i="2"/>
  <c r="BI400" i="2"/>
  <c r="BH400" i="2"/>
  <c r="BG400" i="2"/>
  <c r="BF400" i="2"/>
  <c r="BE400" i="2"/>
  <c r="BD400" i="2"/>
  <c r="BC400" i="2"/>
  <c r="AU400" i="2"/>
  <c r="AM400" i="2"/>
  <c r="AF400" i="2"/>
  <c r="X400" i="2"/>
  <c r="BJ399" i="2"/>
  <c r="BI399" i="2"/>
  <c r="BH399" i="2"/>
  <c r="BG399" i="2"/>
  <c r="BF399" i="2"/>
  <c r="BE399" i="2"/>
  <c r="BD399" i="2"/>
  <c r="BC399" i="2"/>
  <c r="AU399" i="2"/>
  <c r="AM399" i="2"/>
  <c r="AF399" i="2"/>
  <c r="X399" i="2"/>
  <c r="BI398" i="2"/>
  <c r="BC398" i="2"/>
  <c r="AM398" i="2"/>
  <c r="BJ397" i="2"/>
  <c r="BI397" i="2"/>
  <c r="BH397" i="2"/>
  <c r="BG397" i="2"/>
  <c r="BF397" i="2"/>
  <c r="BE397" i="2"/>
  <c r="BD397" i="2"/>
  <c r="BC397" i="2"/>
  <c r="AU397" i="2"/>
  <c r="AM397" i="2"/>
  <c r="AF397" i="2"/>
  <c r="X397" i="2"/>
  <c r="BJ396" i="2"/>
  <c r="BI396" i="2"/>
  <c r="BH396" i="2"/>
  <c r="BG396" i="2"/>
  <c r="BF396" i="2"/>
  <c r="BE396" i="2"/>
  <c r="BD396" i="2"/>
  <c r="BC396" i="2"/>
  <c r="AU396" i="2"/>
  <c r="AM396" i="2"/>
  <c r="AF396" i="2"/>
  <c r="X396" i="2"/>
  <c r="BJ395" i="2"/>
  <c r="BI395" i="2"/>
  <c r="BH395" i="2"/>
  <c r="BG395" i="2"/>
  <c r="BF395" i="2"/>
  <c r="BE395" i="2"/>
  <c r="BD395" i="2"/>
  <c r="BC395" i="2"/>
  <c r="AU395" i="2"/>
  <c r="AM395" i="2"/>
  <c r="AF395" i="2"/>
  <c r="X395" i="2"/>
  <c r="BJ394" i="2"/>
  <c r="BI394" i="2"/>
  <c r="BH394" i="2"/>
  <c r="BG394" i="2"/>
  <c r="BF394" i="2"/>
  <c r="BE394" i="2"/>
  <c r="BD394" i="2"/>
  <c r="BC394" i="2"/>
  <c r="AU394" i="2"/>
  <c r="AM394" i="2"/>
  <c r="AF394" i="2"/>
  <c r="X394" i="2"/>
  <c r="BJ393" i="2"/>
  <c r="BI393" i="2"/>
  <c r="BH393" i="2"/>
  <c r="BG393" i="2"/>
  <c r="BF393" i="2"/>
  <c r="BE393" i="2"/>
  <c r="BD393" i="2"/>
  <c r="BC393" i="2"/>
  <c r="AU393" i="2"/>
  <c r="AM393" i="2"/>
  <c r="AF393" i="2"/>
  <c r="X393" i="2"/>
  <c r="BJ392" i="2"/>
  <c r="BI392" i="2"/>
  <c r="BH392" i="2"/>
  <c r="BG392" i="2"/>
  <c r="BF392" i="2"/>
  <c r="BE392" i="2"/>
  <c r="BD392" i="2"/>
  <c r="BC392" i="2"/>
  <c r="AU392" i="2"/>
  <c r="AM392" i="2"/>
  <c r="AF392" i="2"/>
  <c r="BJ391" i="2"/>
  <c r="BI391" i="2"/>
  <c r="BH391" i="2"/>
  <c r="BG391" i="2"/>
  <c r="BF391" i="2"/>
  <c r="BE391" i="2"/>
  <c r="BD391" i="2"/>
  <c r="BC391" i="2"/>
  <c r="AU391" i="2"/>
  <c r="AM391" i="2"/>
  <c r="AF391" i="2"/>
  <c r="BJ390" i="2"/>
  <c r="BI390" i="2"/>
  <c r="BH390" i="2"/>
  <c r="BG390" i="2"/>
  <c r="BF390" i="2"/>
  <c r="BE390" i="2"/>
  <c r="BC390" i="2"/>
  <c r="AU390" i="2"/>
  <c r="AM390" i="2"/>
  <c r="Y390" i="2"/>
  <c r="BD390" i="2" s="1"/>
  <c r="X390" i="2"/>
  <c r="BJ389" i="2"/>
  <c r="BI389" i="2"/>
  <c r="BH389" i="2"/>
  <c r="BG389" i="2"/>
  <c r="BF389" i="2"/>
  <c r="BE389" i="2"/>
  <c r="BD389" i="2"/>
  <c r="BC389" i="2"/>
  <c r="AU389" i="2"/>
  <c r="AM389" i="2"/>
  <c r="AF389" i="2"/>
  <c r="BJ388" i="2"/>
  <c r="BI388" i="2"/>
  <c r="BH388" i="2"/>
  <c r="BG388" i="2"/>
  <c r="BF388" i="2"/>
  <c r="BE388" i="2"/>
  <c r="BD388" i="2"/>
  <c r="BC388" i="2"/>
  <c r="AU388" i="2"/>
  <c r="AM388" i="2"/>
  <c r="AF388" i="2"/>
  <c r="BJ387" i="2"/>
  <c r="BI387" i="2"/>
  <c r="BH387" i="2"/>
  <c r="BG387" i="2"/>
  <c r="BF387" i="2"/>
  <c r="BE387" i="2"/>
  <c r="BD387" i="2"/>
  <c r="AM387" i="2"/>
  <c r="BK387" i="2" s="1"/>
  <c r="X387" i="2"/>
  <c r="BJ386" i="2"/>
  <c r="BI386" i="2"/>
  <c r="BH386" i="2"/>
  <c r="BG386" i="2"/>
  <c r="BF386" i="2"/>
  <c r="BE386" i="2"/>
  <c r="BD386" i="2"/>
  <c r="BC386" i="2"/>
  <c r="AU386" i="2"/>
  <c r="AM386" i="2"/>
  <c r="AF386" i="2"/>
  <c r="BJ385" i="2"/>
  <c r="BI385" i="2"/>
  <c r="BH385" i="2"/>
  <c r="BG385" i="2"/>
  <c r="BF385" i="2"/>
  <c r="BE385" i="2"/>
  <c r="BD385" i="2"/>
  <c r="BC385" i="2"/>
  <c r="AU385" i="2"/>
  <c r="AM385" i="2"/>
  <c r="AF385" i="2"/>
  <c r="BJ384" i="2"/>
  <c r="BI384" i="2"/>
  <c r="BH384" i="2"/>
  <c r="BG384" i="2"/>
  <c r="BF384" i="2"/>
  <c r="BE384" i="2"/>
  <c r="BD384" i="2"/>
  <c r="BC384" i="2"/>
  <c r="AU384" i="2"/>
  <c r="AM384" i="2"/>
  <c r="AF384" i="2"/>
  <c r="X384" i="2"/>
  <c r="BJ383" i="2"/>
  <c r="BI383" i="2"/>
  <c r="BH383" i="2"/>
  <c r="BG383" i="2"/>
  <c r="BE383" i="2"/>
  <c r="BD383" i="2"/>
  <c r="BC383" i="2"/>
  <c r="AU383" i="2"/>
  <c r="AM383" i="2"/>
  <c r="AA383" i="2"/>
  <c r="AF383" i="2" s="1"/>
  <c r="BJ382" i="2"/>
  <c r="BI382" i="2"/>
  <c r="BH382" i="2"/>
  <c r="BG382" i="2"/>
  <c r="BF382" i="2"/>
  <c r="BE382" i="2"/>
  <c r="BD382" i="2"/>
  <c r="BC382" i="2"/>
  <c r="AU382" i="2"/>
  <c r="AM382" i="2"/>
  <c r="AF382" i="2"/>
  <c r="X382" i="2"/>
  <c r="BJ381" i="2"/>
  <c r="BI381" i="2"/>
  <c r="BH381" i="2"/>
  <c r="BG381" i="2"/>
  <c r="BF381" i="2"/>
  <c r="BE381" i="2"/>
  <c r="BD381" i="2"/>
  <c r="BC381" i="2"/>
  <c r="AU381" i="2"/>
  <c r="AM381" i="2"/>
  <c r="AF381" i="2"/>
  <c r="X381" i="2"/>
  <c r="BJ380" i="2"/>
  <c r="BI380" i="2"/>
  <c r="BH380" i="2"/>
  <c r="BG380" i="2"/>
  <c r="BF380" i="2"/>
  <c r="BE380" i="2"/>
  <c r="BD380" i="2"/>
  <c r="BC380" i="2"/>
  <c r="AU380" i="2"/>
  <c r="AM380" i="2"/>
  <c r="AF380" i="2"/>
  <c r="BJ379" i="2"/>
  <c r="BI379" i="2"/>
  <c r="BH379" i="2"/>
  <c r="BG379" i="2"/>
  <c r="BF379" i="2"/>
  <c r="BE379" i="2"/>
  <c r="BD379" i="2"/>
  <c r="BC379" i="2"/>
  <c r="AU379" i="2"/>
  <c r="AM379" i="2"/>
  <c r="AF379" i="2"/>
  <c r="X379" i="2"/>
  <c r="BJ378" i="2"/>
  <c r="BI378" i="2"/>
  <c r="BH378" i="2"/>
  <c r="BG378" i="2"/>
  <c r="BF378" i="2"/>
  <c r="BE378" i="2"/>
  <c r="BD378" i="2"/>
  <c r="BC378" i="2"/>
  <c r="AU378" i="2"/>
  <c r="AM378" i="2"/>
  <c r="AF378" i="2"/>
  <c r="X378" i="2"/>
  <c r="BJ377" i="2"/>
  <c r="BI377" i="2"/>
  <c r="BH377" i="2"/>
  <c r="BG377" i="2"/>
  <c r="BF377" i="2"/>
  <c r="BE377" i="2"/>
  <c r="BC377" i="2"/>
  <c r="AU377" i="2"/>
  <c r="AM377" i="2"/>
  <c r="Y377" i="2"/>
  <c r="AF377" i="2" s="1"/>
  <c r="X377" i="2"/>
  <c r="BB376" i="2"/>
  <c r="BA376" i="2"/>
  <c r="BA375" i="2" s="1"/>
  <c r="AZ376" i="2"/>
  <c r="AY376" i="2"/>
  <c r="AY375" i="2"/>
  <c r="AY364" i="2"/>
  <c r="AY363" i="2"/>
  <c r="AX376" i="2"/>
  <c r="AX375" i="2" s="1"/>
  <c r="AW376" i="2"/>
  <c r="AW375" i="2" s="1"/>
  <c r="AV376" i="2"/>
  <c r="AV375" i="2"/>
  <c r="AT376" i="2"/>
  <c r="AS376" i="2"/>
  <c r="AD376" i="2"/>
  <c r="BI376" i="2"/>
  <c r="AR376" i="2"/>
  <c r="AR375" i="2"/>
  <c r="AQ376" i="2"/>
  <c r="AP376" i="2"/>
  <c r="AP375" i="2" s="1"/>
  <c r="AO376" i="2"/>
  <c r="AN376" i="2"/>
  <c r="AN375" i="2" s="1"/>
  <c r="AK376" i="2"/>
  <c r="AK375" i="2" s="1"/>
  <c r="AJ376" i="2"/>
  <c r="AJ375" i="2" s="1"/>
  <c r="AI376" i="2"/>
  <c r="AI375" i="2" s="1"/>
  <c r="AH376" i="2"/>
  <c r="AH375" i="2" s="1"/>
  <c r="AG376" i="2"/>
  <c r="AG375" i="2" s="1"/>
  <c r="AE376" i="2"/>
  <c r="AE375" i="2" s="1"/>
  <c r="AD375" i="2"/>
  <c r="AC376" i="2"/>
  <c r="AB376" i="2"/>
  <c r="AB375" i="2" s="1"/>
  <c r="Z376" i="2"/>
  <c r="Z375" i="2" s="1"/>
  <c r="AT375" i="2"/>
  <c r="BJ374" i="2"/>
  <c r="BI374" i="2"/>
  <c r="BH374" i="2"/>
  <c r="BG374" i="2"/>
  <c r="BE374" i="2"/>
  <c r="AI374" i="2"/>
  <c r="AP374" i="2" s="1"/>
  <c r="AX374" i="2" s="1"/>
  <c r="BF374" i="2" s="1"/>
  <c r="AG374" i="2"/>
  <c r="AN374" i="2" s="1"/>
  <c r="AV374" i="2" s="1"/>
  <c r="BD374" i="2" s="1"/>
  <c r="AF374" i="2"/>
  <c r="BK374" i="2" s="1"/>
  <c r="BJ373" i="2"/>
  <c r="BI373" i="2"/>
  <c r="BH373" i="2"/>
  <c r="BG373" i="2"/>
  <c r="BF373" i="2"/>
  <c r="BE373" i="2"/>
  <c r="BD373" i="2"/>
  <c r="BC373" i="2"/>
  <c r="AU373" i="2"/>
  <c r="AM373" i="2"/>
  <c r="AF373" i="2"/>
  <c r="BJ372" i="2"/>
  <c r="BI372" i="2"/>
  <c r="BH372" i="2"/>
  <c r="BG372" i="2"/>
  <c r="BF372" i="2"/>
  <c r="BE372" i="2"/>
  <c r="BD372" i="2"/>
  <c r="BC372" i="2"/>
  <c r="AU372" i="2"/>
  <c r="AM372" i="2"/>
  <c r="AF372" i="2"/>
  <c r="X372" i="2"/>
  <c r="BJ371" i="2"/>
  <c r="BI371" i="2"/>
  <c r="BH371" i="2"/>
  <c r="BG371" i="2"/>
  <c r="BF371" i="2"/>
  <c r="BE371" i="2"/>
  <c r="BD371" i="2"/>
  <c r="BC371" i="2"/>
  <c r="AU371" i="2"/>
  <c r="AM371" i="2"/>
  <c r="AF371" i="2"/>
  <c r="BJ370" i="2"/>
  <c r="BI370" i="2"/>
  <c r="BH370" i="2"/>
  <c r="BG370" i="2"/>
  <c r="BF370" i="2"/>
  <c r="BE370" i="2"/>
  <c r="BD370" i="2"/>
  <c r="BC370" i="2"/>
  <c r="AU370" i="2"/>
  <c r="BK370" i="2" s="1"/>
  <c r="AM370" i="2"/>
  <c r="AF370" i="2"/>
  <c r="X370" i="2"/>
  <c r="BJ369" i="2"/>
  <c r="BI369" i="2"/>
  <c r="BH369" i="2"/>
  <c r="BG369" i="2"/>
  <c r="BF369" i="2"/>
  <c r="BE369" i="2"/>
  <c r="BD369" i="2"/>
  <c r="BC369" i="2"/>
  <c r="AU369" i="2"/>
  <c r="AM369" i="2"/>
  <c r="AF369" i="2"/>
  <c r="X369" i="2"/>
  <c r="BJ368" i="2"/>
  <c r="BI368" i="2"/>
  <c r="BH368" i="2"/>
  <c r="BG368" i="2"/>
  <c r="BF368" i="2"/>
  <c r="BE368" i="2"/>
  <c r="BD368" i="2"/>
  <c r="BC368" i="2"/>
  <c r="AU368" i="2"/>
  <c r="AM368" i="2"/>
  <c r="AF368" i="2"/>
  <c r="X368" i="2"/>
  <c r="BJ367" i="2"/>
  <c r="BI367" i="2"/>
  <c r="BH367" i="2"/>
  <c r="BG367" i="2"/>
  <c r="BF367" i="2"/>
  <c r="BE367" i="2"/>
  <c r="BD367" i="2"/>
  <c r="BC367" i="2"/>
  <c r="AU367" i="2"/>
  <c r="AM367" i="2"/>
  <c r="AF367" i="2"/>
  <c r="X367" i="2"/>
  <c r="BJ366" i="2"/>
  <c r="BH366" i="2"/>
  <c r="BG366" i="2"/>
  <c r="BF366" i="2"/>
  <c r="BE366" i="2"/>
  <c r="BD366" i="2"/>
  <c r="BC366" i="2"/>
  <c r="AU366" i="2"/>
  <c r="AM366" i="2"/>
  <c r="AD366" i="2"/>
  <c r="BI366" i="2" s="1"/>
  <c r="X366" i="2"/>
  <c r="BJ365" i="2"/>
  <c r="BI365" i="2"/>
  <c r="BH365" i="2"/>
  <c r="BG365" i="2"/>
  <c r="BF365" i="2"/>
  <c r="BE365" i="2"/>
  <c r="BD365" i="2"/>
  <c r="BC365" i="2"/>
  <c r="AU365" i="2"/>
  <c r="AM365" i="2"/>
  <c r="AF365" i="2"/>
  <c r="X365" i="2"/>
  <c r="BB364" i="2"/>
  <c r="BA364" i="2"/>
  <c r="BA363" i="2" s="1"/>
  <c r="AZ364" i="2"/>
  <c r="AZ363" i="2" s="1"/>
  <c r="AX364" i="2"/>
  <c r="AX363" i="2" s="1"/>
  <c r="AW364" i="2"/>
  <c r="AW363" i="2"/>
  <c r="AV364" i="2"/>
  <c r="AT364" i="2"/>
  <c r="AT363" i="2" s="1"/>
  <c r="AS364" i="2"/>
  <c r="AS363" i="2" s="1"/>
  <c r="AR364" i="2"/>
  <c r="AQ364" i="2"/>
  <c r="AQ363" i="2"/>
  <c r="AP364" i="2"/>
  <c r="AP363" i="2"/>
  <c r="AO364" i="2"/>
  <c r="AN364" i="2"/>
  <c r="AK364" i="2"/>
  <c r="AK363" i="2"/>
  <c r="AJ364" i="2"/>
  <c r="AJ363" i="2"/>
  <c r="AI364" i="2"/>
  <c r="AH364" i="2"/>
  <c r="AH363" i="2" s="1"/>
  <c r="AG364" i="2"/>
  <c r="AG363" i="2" s="1"/>
  <c r="AE364" i="2"/>
  <c r="AE363" i="2" s="1"/>
  <c r="AC364" i="2"/>
  <c r="AC363" i="2" s="1"/>
  <c r="AB364" i="2"/>
  <c r="AA364" i="2"/>
  <c r="AA363" i="2"/>
  <c r="Z364" i="2"/>
  <c r="Z363" i="2"/>
  <c r="Y364" i="2"/>
  <c r="AR363" i="2"/>
  <c r="BJ362" i="2"/>
  <c r="BI362" i="2"/>
  <c r="BH362" i="2"/>
  <c r="BG362" i="2"/>
  <c r="AI362" i="2"/>
  <c r="AP362" i="2"/>
  <c r="AX362" i="2" s="1"/>
  <c r="BF362" i="2" s="1"/>
  <c r="AH362" i="2"/>
  <c r="AG362" i="2"/>
  <c r="AN362" i="2" s="1"/>
  <c r="AV362" i="2" s="1"/>
  <c r="BD362" i="2" s="1"/>
  <c r="AF362" i="2"/>
  <c r="BJ360" i="2"/>
  <c r="BI360" i="2"/>
  <c r="BH360" i="2"/>
  <c r="BG360" i="2"/>
  <c r="BF360" i="2"/>
  <c r="BE360" i="2"/>
  <c r="BD360" i="2"/>
  <c r="BC360" i="2"/>
  <c r="AU360" i="2"/>
  <c r="AM360" i="2"/>
  <c r="AF360" i="2"/>
  <c r="BB359" i="2"/>
  <c r="AT359" i="2"/>
  <c r="AL359" i="2"/>
  <c r="AE359" i="2"/>
  <c r="BA359" i="2"/>
  <c r="AZ359" i="2"/>
  <c r="AY359" i="2"/>
  <c r="AX359" i="2"/>
  <c r="AW359" i="2"/>
  <c r="AV359" i="2"/>
  <c r="AS359" i="2"/>
  <c r="AS356" i="2"/>
  <c r="AR359" i="2"/>
  <c r="AQ359" i="2"/>
  <c r="AP359" i="2"/>
  <c r="AO359" i="2"/>
  <c r="AN359" i="2"/>
  <c r="AK359" i="2"/>
  <c r="AJ359" i="2"/>
  <c r="AI359" i="2"/>
  <c r="AH359" i="2"/>
  <c r="AG359" i="2"/>
  <c r="AD359" i="2"/>
  <c r="AC359" i="2"/>
  <c r="AB359" i="2"/>
  <c r="AA359" i="2"/>
  <c r="Z359" i="2"/>
  <c r="Y359" i="2"/>
  <c r="BI358" i="2"/>
  <c r="BH358" i="2"/>
  <c r="BG358" i="2"/>
  <c r="BF358" i="2"/>
  <c r="BE358" i="2"/>
  <c r="BD358" i="2"/>
  <c r="AL358" i="2"/>
  <c r="AM358" i="2" s="1"/>
  <c r="AF358" i="2"/>
  <c r="BJ357" i="2"/>
  <c r="BH357" i="2"/>
  <c r="BG357" i="2"/>
  <c r="BF357" i="2"/>
  <c r="BE357" i="2"/>
  <c r="BD357" i="2"/>
  <c r="BC357" i="2"/>
  <c r="AU357" i="2"/>
  <c r="AM357" i="2"/>
  <c r="AD357" i="2"/>
  <c r="AF357" i="2" s="1"/>
  <c r="BA356" i="2"/>
  <c r="AZ356" i="2"/>
  <c r="AY356" i="2"/>
  <c r="AX356" i="2"/>
  <c r="BF356" i="2" s="1"/>
  <c r="AW356" i="2"/>
  <c r="AV356" i="2"/>
  <c r="AR356" i="2"/>
  <c r="AQ356" i="2"/>
  <c r="AP356" i="2"/>
  <c r="AP355" i="2" s="1"/>
  <c r="AO356" i="2"/>
  <c r="AN356" i="2"/>
  <c r="AK356" i="2"/>
  <c r="AJ356" i="2"/>
  <c r="AI356" i="2"/>
  <c r="AI355" i="2" s="1"/>
  <c r="AH356" i="2"/>
  <c r="AG356" i="2"/>
  <c r="AE356" i="2"/>
  <c r="AC356" i="2"/>
  <c r="AC355" i="2" s="1"/>
  <c r="AB356" i="2"/>
  <c r="AA356" i="2"/>
  <c r="Z356" i="2"/>
  <c r="Y356" i="2"/>
  <c r="BK354" i="2"/>
  <c r="BJ354" i="2"/>
  <c r="BI354" i="2"/>
  <c r="BH354" i="2"/>
  <c r="BG354" i="2"/>
  <c r="AI354" i="2"/>
  <c r="AP354" i="2" s="1"/>
  <c r="AX354" i="2" s="1"/>
  <c r="BF354" i="2" s="1"/>
  <c r="AH354" i="2"/>
  <c r="AO354" i="2" s="1"/>
  <c r="AW354" i="2" s="1"/>
  <c r="BE354" i="2" s="1"/>
  <c r="AG354" i="2"/>
  <c r="AN354" i="2" s="1"/>
  <c r="AV354" i="2" s="1"/>
  <c r="BD354" i="2" s="1"/>
  <c r="BJ353" i="2"/>
  <c r="BI353" i="2"/>
  <c r="BH353" i="2"/>
  <c r="BG353" i="2"/>
  <c r="BF353" i="2"/>
  <c r="BE353" i="2"/>
  <c r="BD353" i="2"/>
  <c r="BC353" i="2"/>
  <c r="AU353" i="2"/>
  <c r="AM353" i="2"/>
  <c r="AF353" i="2"/>
  <c r="BJ352" i="2"/>
  <c r="BI352" i="2"/>
  <c r="BH352" i="2"/>
  <c r="BG352" i="2"/>
  <c r="BF352" i="2"/>
  <c r="BE352" i="2"/>
  <c r="BD352" i="2"/>
  <c r="BC352" i="2"/>
  <c r="AU352" i="2"/>
  <c r="AM352" i="2"/>
  <c r="AF352" i="2"/>
  <c r="BJ351" i="2"/>
  <c r="BI351" i="2"/>
  <c r="BH351" i="2"/>
  <c r="BG351" i="2"/>
  <c r="BF351" i="2"/>
  <c r="BE351" i="2"/>
  <c r="BD351" i="2"/>
  <c r="BC351" i="2"/>
  <c r="AU351" i="2"/>
  <c r="AM351" i="2"/>
  <c r="AF351" i="2"/>
  <c r="BJ350" i="2"/>
  <c r="BI350" i="2"/>
  <c r="BH350" i="2"/>
  <c r="BG350" i="2"/>
  <c r="BF350" i="2"/>
  <c r="BE350" i="2"/>
  <c r="BD350" i="2"/>
  <c r="BC350" i="2"/>
  <c r="AU350" i="2"/>
  <c r="AM350" i="2"/>
  <c r="AF350" i="2"/>
  <c r="BJ349" i="2"/>
  <c r="BI349" i="2"/>
  <c r="BH349" i="2"/>
  <c r="BG349" i="2"/>
  <c r="BF349" i="2"/>
  <c r="BE349" i="2"/>
  <c r="BD349" i="2"/>
  <c r="BC349" i="2"/>
  <c r="AU349" i="2"/>
  <c r="AM349" i="2"/>
  <c r="AF349" i="2"/>
  <c r="BJ348" i="2"/>
  <c r="BI348" i="2"/>
  <c r="BH348" i="2"/>
  <c r="BG348" i="2"/>
  <c r="BF348" i="2"/>
  <c r="BE348" i="2"/>
  <c r="BD348" i="2"/>
  <c r="BC348" i="2"/>
  <c r="AU348" i="2"/>
  <c r="AM348" i="2"/>
  <c r="AF348" i="2"/>
  <c r="BJ347" i="2"/>
  <c r="BI347" i="2"/>
  <c r="BH347" i="2"/>
  <c r="BG347" i="2"/>
  <c r="BF347" i="2"/>
  <c r="BE347" i="2"/>
  <c r="BD347" i="2"/>
  <c r="BC347" i="2"/>
  <c r="AU347" i="2"/>
  <c r="AM347" i="2"/>
  <c r="AF347" i="2"/>
  <c r="BJ346" i="2"/>
  <c r="BI346" i="2"/>
  <c r="BH346" i="2"/>
  <c r="BG346" i="2"/>
  <c r="BF346" i="2"/>
  <c r="BE346" i="2"/>
  <c r="BD346" i="2"/>
  <c r="BC346" i="2"/>
  <c r="AU346" i="2"/>
  <c r="AM346" i="2"/>
  <c r="AF346" i="2"/>
  <c r="BJ345" i="2"/>
  <c r="BI345" i="2"/>
  <c r="BH345" i="2"/>
  <c r="BG345" i="2"/>
  <c r="BF345" i="2"/>
  <c r="BE345" i="2"/>
  <c r="BD345" i="2"/>
  <c r="BC345" i="2"/>
  <c r="AU345" i="2"/>
  <c r="AM345" i="2"/>
  <c r="AF345" i="2"/>
  <c r="BJ344" i="2"/>
  <c r="BI344" i="2"/>
  <c r="BH344" i="2"/>
  <c r="BG344" i="2"/>
  <c r="BF344" i="2"/>
  <c r="BE344" i="2"/>
  <c r="BD344" i="2"/>
  <c r="BC344" i="2"/>
  <c r="AU344" i="2"/>
  <c r="AM344" i="2"/>
  <c r="AF344" i="2"/>
  <c r="BJ343" i="2"/>
  <c r="BI343" i="2"/>
  <c r="BH343" i="2"/>
  <c r="BG343" i="2"/>
  <c r="BF343" i="2"/>
  <c r="BE343" i="2"/>
  <c r="BD343" i="2"/>
  <c r="BC343" i="2"/>
  <c r="AU343" i="2"/>
  <c r="AM343" i="2"/>
  <c r="AF343" i="2"/>
  <c r="BJ342" i="2"/>
  <c r="BI342" i="2"/>
  <c r="BH342" i="2"/>
  <c r="BG342" i="2"/>
  <c r="BF342" i="2"/>
  <c r="BE342" i="2"/>
  <c r="BD342" i="2"/>
  <c r="BC342" i="2"/>
  <c r="AU342" i="2"/>
  <c r="AM342" i="2"/>
  <c r="AF342" i="2"/>
  <c r="BJ341" i="2"/>
  <c r="BI341" i="2"/>
  <c r="BH341" i="2"/>
  <c r="BG341" i="2"/>
  <c r="BF341" i="2"/>
  <c r="BE341" i="2"/>
  <c r="BD341" i="2"/>
  <c r="BC341" i="2"/>
  <c r="AU341" i="2"/>
  <c r="AM341" i="2"/>
  <c r="AF341" i="2"/>
  <c r="BJ340" i="2"/>
  <c r="BI340" i="2"/>
  <c r="BH340" i="2"/>
  <c r="BG340" i="2"/>
  <c r="BF340" i="2"/>
  <c r="BE340" i="2"/>
  <c r="BD340" i="2"/>
  <c r="BC340" i="2"/>
  <c r="AU340" i="2"/>
  <c r="AM340" i="2"/>
  <c r="AF340" i="2"/>
  <c r="BJ339" i="2"/>
  <c r="BI339" i="2"/>
  <c r="BH339" i="2"/>
  <c r="BG339" i="2"/>
  <c r="BF339" i="2"/>
  <c r="BE339" i="2"/>
  <c r="BD339" i="2"/>
  <c r="BC339" i="2"/>
  <c r="AU339" i="2"/>
  <c r="AM339" i="2"/>
  <c r="AF339" i="2"/>
  <c r="BJ338" i="2"/>
  <c r="BI338" i="2"/>
  <c r="BH338" i="2"/>
  <c r="BG338" i="2"/>
  <c r="BF338" i="2"/>
  <c r="BE338" i="2"/>
  <c r="BD338" i="2"/>
  <c r="BC338" i="2"/>
  <c r="AU338" i="2"/>
  <c r="AM338" i="2"/>
  <c r="AF338" i="2"/>
  <c r="BJ337" i="2"/>
  <c r="BI337" i="2"/>
  <c r="BH337" i="2"/>
  <c r="BG337" i="2"/>
  <c r="BF337" i="2"/>
  <c r="BE337" i="2"/>
  <c r="BD337" i="2"/>
  <c r="BC337" i="2"/>
  <c r="AU337" i="2"/>
  <c r="AM337" i="2"/>
  <c r="AF337" i="2"/>
  <c r="BJ336" i="2"/>
  <c r="BI336" i="2"/>
  <c r="BH336" i="2"/>
  <c r="BG336" i="2"/>
  <c r="BF336" i="2"/>
  <c r="BE336" i="2"/>
  <c r="BD336" i="2"/>
  <c r="BC336" i="2"/>
  <c r="AU336" i="2"/>
  <c r="AM336" i="2"/>
  <c r="AF336" i="2"/>
  <c r="BI335" i="2"/>
  <c r="BC335" i="2"/>
  <c r="AU335" i="2"/>
  <c r="AM335" i="2"/>
  <c r="AF335" i="2"/>
  <c r="BJ334" i="2"/>
  <c r="BI334" i="2"/>
  <c r="BH334" i="2"/>
  <c r="BG334" i="2"/>
  <c r="BF334" i="2"/>
  <c r="BE334" i="2"/>
  <c r="BD334" i="2"/>
  <c r="BC334" i="2"/>
  <c r="AU334" i="2"/>
  <c r="AM334" i="2"/>
  <c r="AF334" i="2"/>
  <c r="BJ333" i="2"/>
  <c r="BI333" i="2"/>
  <c r="BH333" i="2"/>
  <c r="BG333" i="2"/>
  <c r="BF333" i="2"/>
  <c r="BE333" i="2"/>
  <c r="BD333" i="2"/>
  <c r="BC333" i="2"/>
  <c r="AU333" i="2"/>
  <c r="AM333" i="2"/>
  <c r="AF333" i="2"/>
  <c r="BB332" i="2"/>
  <c r="BB331" i="2" s="1"/>
  <c r="BA332" i="2"/>
  <c r="BA331" i="2" s="1"/>
  <c r="AZ332" i="2"/>
  <c r="AZ331" i="2" s="1"/>
  <c r="AY332" i="2"/>
  <c r="AY331" i="2" s="1"/>
  <c r="AX332" i="2"/>
  <c r="AX331" i="2" s="1"/>
  <c r="AW332" i="2"/>
  <c r="AW331" i="2" s="1"/>
  <c r="AV332" i="2"/>
  <c r="AN332" i="2"/>
  <c r="AG332" i="2"/>
  <c r="AG331" i="2" s="1"/>
  <c r="Y332" i="2"/>
  <c r="AT332" i="2"/>
  <c r="AS332" i="2"/>
  <c r="AS331" i="2" s="1"/>
  <c r="AR332" i="2"/>
  <c r="AQ332" i="2"/>
  <c r="AQ331" i="2" s="1"/>
  <c r="AP332" i="2"/>
  <c r="AO332" i="2"/>
  <c r="AO331" i="2" s="1"/>
  <c r="AL332" i="2"/>
  <c r="AL331" i="2" s="1"/>
  <c r="AK332" i="2"/>
  <c r="AK331" i="2" s="1"/>
  <c r="AJ332" i="2"/>
  <c r="AJ331" i="2" s="1"/>
  <c r="AI332" i="2"/>
  <c r="AI331" i="2" s="1"/>
  <c r="AH332" i="2"/>
  <c r="AH331" i="2" s="1"/>
  <c r="AE332" i="2"/>
  <c r="AE331" i="2" s="1"/>
  <c r="AD332" i="2"/>
  <c r="AD331" i="2" s="1"/>
  <c r="AC332" i="2"/>
  <c r="AC331" i="2" s="1"/>
  <c r="AB332" i="2"/>
  <c r="AA332" i="2"/>
  <c r="AA331" i="2"/>
  <c r="Z332" i="2"/>
  <c r="Z331" i="2"/>
  <c r="BJ330" i="2"/>
  <c r="BI330" i="2"/>
  <c r="BH330" i="2"/>
  <c r="BG330" i="2"/>
  <c r="BE330" i="2"/>
  <c r="BD330" i="2"/>
  <c r="AI330" i="2"/>
  <c r="AP330" i="2" s="1"/>
  <c r="BF330" i="2" s="1"/>
  <c r="AF330" i="2"/>
  <c r="BK330" i="2" s="1"/>
  <c r="BJ329" i="2"/>
  <c r="BI329" i="2"/>
  <c r="BH329" i="2"/>
  <c r="BG329" i="2"/>
  <c r="BF329" i="2"/>
  <c r="BE329" i="2"/>
  <c r="BD329" i="2"/>
  <c r="BC329" i="2"/>
  <c r="AU329" i="2"/>
  <c r="AM329" i="2"/>
  <c r="AF329" i="2"/>
  <c r="BJ328" i="2"/>
  <c r="BI328" i="2"/>
  <c r="BH328" i="2"/>
  <c r="BG328" i="2"/>
  <c r="BF328" i="2"/>
  <c r="BE328" i="2"/>
  <c r="BD328" i="2"/>
  <c r="BC328" i="2"/>
  <c r="AU328" i="2"/>
  <c r="AM328" i="2"/>
  <c r="AF328" i="2"/>
  <c r="BJ327" i="2"/>
  <c r="BI327" i="2"/>
  <c r="BH327" i="2"/>
  <c r="BG327" i="2"/>
  <c r="BF327" i="2"/>
  <c r="BE327" i="2"/>
  <c r="BD327" i="2"/>
  <c r="BC327" i="2"/>
  <c r="AU327" i="2"/>
  <c r="AM327" i="2"/>
  <c r="AF327" i="2"/>
  <c r="BC326" i="2"/>
  <c r="AU326" i="2"/>
  <c r="AM326" i="2"/>
  <c r="BJ325" i="2"/>
  <c r="BI325" i="2"/>
  <c r="BH325" i="2"/>
  <c r="BG325" i="2"/>
  <c r="BF325" i="2"/>
  <c r="BE325" i="2"/>
  <c r="BD325" i="2"/>
  <c r="BC325" i="2"/>
  <c r="AU325" i="2"/>
  <c r="AM325" i="2"/>
  <c r="AF325" i="2"/>
  <c r="BJ324" i="2"/>
  <c r="BI324" i="2"/>
  <c r="BH324" i="2"/>
  <c r="BG324" i="2"/>
  <c r="BF324" i="2"/>
  <c r="BE324" i="2"/>
  <c r="BD324" i="2"/>
  <c r="BC324" i="2"/>
  <c r="AU324" i="2"/>
  <c r="AM324" i="2"/>
  <c r="AF324" i="2"/>
  <c r="BJ323" i="2"/>
  <c r="BI323" i="2"/>
  <c r="BH323" i="2"/>
  <c r="BG323" i="2"/>
  <c r="BF323" i="2"/>
  <c r="BE323" i="2"/>
  <c r="BD323" i="2"/>
  <c r="BC323" i="2"/>
  <c r="AU323" i="2"/>
  <c r="AM323" i="2"/>
  <c r="AF323" i="2"/>
  <c r="BJ322" i="2"/>
  <c r="BI322" i="2"/>
  <c r="BH322" i="2"/>
  <c r="BG322" i="2"/>
  <c r="BF322" i="2"/>
  <c r="BE322" i="2"/>
  <c r="BD322" i="2"/>
  <c r="BC322" i="2"/>
  <c r="AU322" i="2"/>
  <c r="AM322" i="2"/>
  <c r="AF322" i="2"/>
  <c r="BJ321" i="2"/>
  <c r="BI321" i="2"/>
  <c r="BH321" i="2"/>
  <c r="BG321" i="2"/>
  <c r="BF321" i="2"/>
  <c r="BE321" i="2"/>
  <c r="BD321" i="2"/>
  <c r="BC321" i="2"/>
  <c r="AU321" i="2"/>
  <c r="AM321" i="2"/>
  <c r="AF321" i="2"/>
  <c r="BJ320" i="2"/>
  <c r="BI320" i="2"/>
  <c r="BH320" i="2"/>
  <c r="BG320" i="2"/>
  <c r="BF320" i="2"/>
  <c r="BE320" i="2"/>
  <c r="BD320" i="2"/>
  <c r="BC320" i="2"/>
  <c r="AU320" i="2"/>
  <c r="AF320" i="2"/>
  <c r="BJ319" i="2"/>
  <c r="BI319" i="2"/>
  <c r="BH319" i="2"/>
  <c r="BG319" i="2"/>
  <c r="BF319" i="2"/>
  <c r="BE319" i="2"/>
  <c r="BD319" i="2"/>
  <c r="BC319" i="2"/>
  <c r="AU319" i="2"/>
  <c r="AM319" i="2"/>
  <c r="AF319" i="2"/>
  <c r="BJ318" i="2"/>
  <c r="BI318" i="2"/>
  <c r="BH318" i="2"/>
  <c r="BG318" i="2"/>
  <c r="BF318" i="2"/>
  <c r="BE318" i="2"/>
  <c r="BD318" i="2"/>
  <c r="BC318" i="2"/>
  <c r="AU318" i="2"/>
  <c r="AM318" i="2"/>
  <c r="AF318" i="2"/>
  <c r="BJ317" i="2"/>
  <c r="BI317" i="2"/>
  <c r="BH317" i="2"/>
  <c r="BG317" i="2"/>
  <c r="BF317" i="2"/>
  <c r="BE317" i="2"/>
  <c r="BD317" i="2"/>
  <c r="BC317" i="2"/>
  <c r="AU317" i="2"/>
  <c r="AM317" i="2"/>
  <c r="AF317" i="2"/>
  <c r="BJ316" i="2"/>
  <c r="BI316" i="2"/>
  <c r="BH316" i="2"/>
  <c r="BG316" i="2"/>
  <c r="BF316" i="2"/>
  <c r="BE316" i="2"/>
  <c r="BD316" i="2"/>
  <c r="BC316" i="2"/>
  <c r="AU316" i="2"/>
  <c r="AM316" i="2"/>
  <c r="AF316" i="2"/>
  <c r="BJ315" i="2"/>
  <c r="BI315" i="2"/>
  <c r="BH315" i="2"/>
  <c r="BG315" i="2"/>
  <c r="BF315" i="2"/>
  <c r="BE315" i="2"/>
  <c r="BD315" i="2"/>
  <c r="BC315" i="2"/>
  <c r="AU315" i="2"/>
  <c r="AM315" i="2"/>
  <c r="AF315" i="2"/>
  <c r="BJ314" i="2"/>
  <c r="BI314" i="2"/>
  <c r="BH314" i="2"/>
  <c r="BG314" i="2"/>
  <c r="BF314" i="2"/>
  <c r="BE314" i="2"/>
  <c r="BD314" i="2"/>
  <c r="BC314" i="2"/>
  <c r="AU314" i="2"/>
  <c r="AM314" i="2"/>
  <c r="AF314" i="2"/>
  <c r="BJ313" i="2"/>
  <c r="BI313" i="2"/>
  <c r="BH313" i="2"/>
  <c r="BG313" i="2"/>
  <c r="BF313" i="2"/>
  <c r="BE313" i="2"/>
  <c r="BD313" i="2"/>
  <c r="BC313" i="2"/>
  <c r="AU313" i="2"/>
  <c r="AM313" i="2"/>
  <c r="AF313" i="2"/>
  <c r="BJ312" i="2"/>
  <c r="BI312" i="2"/>
  <c r="BH312" i="2"/>
  <c r="BG312" i="2"/>
  <c r="BF312" i="2"/>
  <c r="BE312" i="2"/>
  <c r="BD312" i="2"/>
  <c r="BC312" i="2"/>
  <c r="AU312" i="2"/>
  <c r="AM312" i="2"/>
  <c r="AF312" i="2"/>
  <c r="BJ311" i="2"/>
  <c r="BI311" i="2"/>
  <c r="BH311" i="2"/>
  <c r="BG311" i="2"/>
  <c r="BF311" i="2"/>
  <c r="BE311" i="2"/>
  <c r="BD311" i="2"/>
  <c r="BC311" i="2"/>
  <c r="AU311" i="2"/>
  <c r="AM311" i="2"/>
  <c r="AF311" i="2"/>
  <c r="BJ310" i="2"/>
  <c r="BI310" i="2"/>
  <c r="BH310" i="2"/>
  <c r="BG310" i="2"/>
  <c r="BF310" i="2"/>
  <c r="BE310" i="2"/>
  <c r="BD310" i="2"/>
  <c r="BC310" i="2"/>
  <c r="AU310" i="2"/>
  <c r="AM310" i="2"/>
  <c r="AF310" i="2"/>
  <c r="BJ309" i="2"/>
  <c r="BI309" i="2"/>
  <c r="BH309" i="2"/>
  <c r="BG309" i="2"/>
  <c r="BF309" i="2"/>
  <c r="BE309" i="2"/>
  <c r="BD309" i="2"/>
  <c r="BC309" i="2"/>
  <c r="AU309" i="2"/>
  <c r="AM309" i="2"/>
  <c r="AF309" i="2"/>
  <c r="BJ308" i="2"/>
  <c r="BI308" i="2"/>
  <c r="BH308" i="2"/>
  <c r="BG308" i="2"/>
  <c r="BF308" i="2"/>
  <c r="BE308" i="2"/>
  <c r="BD308" i="2"/>
  <c r="BC308" i="2"/>
  <c r="AU308" i="2"/>
  <c r="AM308" i="2"/>
  <c r="AF308" i="2"/>
  <c r="BJ307" i="2"/>
  <c r="BI307" i="2"/>
  <c r="BH307" i="2"/>
  <c r="BG307" i="2"/>
  <c r="BF307" i="2"/>
  <c r="BE307" i="2"/>
  <c r="BD307" i="2"/>
  <c r="BC307" i="2"/>
  <c r="AU307" i="2"/>
  <c r="AM307" i="2"/>
  <c r="AF307" i="2"/>
  <c r="BJ306" i="2"/>
  <c r="BI306" i="2"/>
  <c r="BH306" i="2"/>
  <c r="BG306" i="2"/>
  <c r="BF306" i="2"/>
  <c r="BE306" i="2"/>
  <c r="BD306" i="2"/>
  <c r="BC306" i="2"/>
  <c r="AU306" i="2"/>
  <c r="AM306" i="2"/>
  <c r="AF306" i="2"/>
  <c r="BJ305" i="2"/>
  <c r="BI305" i="2"/>
  <c r="BH305" i="2"/>
  <c r="BG305" i="2"/>
  <c r="BF305" i="2"/>
  <c r="BE305" i="2"/>
  <c r="BD305" i="2"/>
  <c r="BC305" i="2"/>
  <c r="AU305" i="2"/>
  <c r="AM305" i="2"/>
  <c r="AF305" i="2"/>
  <c r="BJ304" i="2"/>
  <c r="BI304" i="2"/>
  <c r="BH304" i="2"/>
  <c r="BG304" i="2"/>
  <c r="BF304" i="2"/>
  <c r="BE304" i="2"/>
  <c r="BD304" i="2"/>
  <c r="BC304" i="2"/>
  <c r="AU304" i="2"/>
  <c r="AM304" i="2"/>
  <c r="AF304" i="2"/>
  <c r="BJ303" i="2"/>
  <c r="BI303" i="2"/>
  <c r="BH303" i="2"/>
  <c r="BG303" i="2"/>
  <c r="BF303" i="2"/>
  <c r="BE303" i="2"/>
  <c r="BD303" i="2"/>
  <c r="BC303" i="2"/>
  <c r="AU303" i="2"/>
  <c r="AM303" i="2"/>
  <c r="AF303" i="2"/>
  <c r="BJ302" i="2"/>
  <c r="BI302" i="2"/>
  <c r="BH302" i="2"/>
  <c r="BG302" i="2"/>
  <c r="BF302" i="2"/>
  <c r="BE302" i="2"/>
  <c r="BD302" i="2"/>
  <c r="BC302" i="2"/>
  <c r="AU302" i="2"/>
  <c r="AM302" i="2"/>
  <c r="AF302" i="2"/>
  <c r="BJ301" i="2"/>
  <c r="BI301" i="2"/>
  <c r="BH301" i="2"/>
  <c r="BG301" i="2"/>
  <c r="BF301" i="2"/>
  <c r="BE301" i="2"/>
  <c r="BD301" i="2"/>
  <c r="BC301" i="2"/>
  <c r="AU301" i="2"/>
  <c r="AM301" i="2"/>
  <c r="AF301" i="2"/>
  <c r="BJ300" i="2"/>
  <c r="BI300" i="2"/>
  <c r="BH300" i="2"/>
  <c r="BG300" i="2"/>
  <c r="BF300" i="2"/>
  <c r="BE300" i="2"/>
  <c r="BD300" i="2"/>
  <c r="BC300" i="2"/>
  <c r="AU300" i="2"/>
  <c r="AM300" i="2"/>
  <c r="AF300" i="2"/>
  <c r="BJ299" i="2"/>
  <c r="BI299" i="2"/>
  <c r="BH299" i="2"/>
  <c r="BG299" i="2"/>
  <c r="BF299" i="2"/>
  <c r="BE299" i="2"/>
  <c r="BD299" i="2"/>
  <c r="BC299" i="2"/>
  <c r="AU299" i="2"/>
  <c r="AM299" i="2"/>
  <c r="AF299" i="2"/>
  <c r="BJ298" i="2"/>
  <c r="BI298" i="2"/>
  <c r="BH298" i="2"/>
  <c r="BG298" i="2"/>
  <c r="BF298" i="2"/>
  <c r="BE298" i="2"/>
  <c r="BD298" i="2"/>
  <c r="BC298" i="2"/>
  <c r="AU298" i="2"/>
  <c r="AM298" i="2"/>
  <c r="AF298" i="2"/>
  <c r="BJ297" i="2"/>
  <c r="BI297" i="2"/>
  <c r="BH297" i="2"/>
  <c r="BG297" i="2"/>
  <c r="BF297" i="2"/>
  <c r="BE297" i="2"/>
  <c r="BD297" i="2"/>
  <c r="BC297" i="2"/>
  <c r="AU297" i="2"/>
  <c r="AM297" i="2"/>
  <c r="AF297" i="2"/>
  <c r="BB296" i="2"/>
  <c r="BB295" i="2" s="1"/>
  <c r="BB289" i="2" s="1"/>
  <c r="BA296" i="2"/>
  <c r="BA295" i="2" s="1"/>
  <c r="AZ296" i="2"/>
  <c r="AY296" i="2"/>
  <c r="AY295" i="2" s="1"/>
  <c r="AY289" i="2" s="1"/>
  <c r="AX296" i="2"/>
  <c r="AX295" i="2" s="1"/>
  <c r="AW296" i="2"/>
  <c r="AW295" i="2" s="1"/>
  <c r="AW289" i="2" s="1"/>
  <c r="AV296" i="2"/>
  <c r="AV295" i="2" s="1"/>
  <c r="AT296" i="2"/>
  <c r="AT295" i="2" s="1"/>
  <c r="AT289" i="2" s="1"/>
  <c r="AL296" i="2"/>
  <c r="AL295" i="2" s="1"/>
  <c r="AL289" i="2" s="1"/>
  <c r="AS296" i="2"/>
  <c r="AS295" i="2" s="1"/>
  <c r="AS289" i="2" s="1"/>
  <c r="AR296" i="2"/>
  <c r="AR295" i="2" s="1"/>
  <c r="AR289" i="2" s="1"/>
  <c r="AQ296" i="2"/>
  <c r="AP296" i="2"/>
  <c r="AP295" i="2" s="1"/>
  <c r="AO296" i="2"/>
  <c r="AO295" i="2" s="1"/>
  <c r="AO289" i="2" s="1"/>
  <c r="AN296" i="2"/>
  <c r="AK296" i="2"/>
  <c r="AK295" i="2" s="1"/>
  <c r="AK289" i="2" s="1"/>
  <c r="AJ296" i="2"/>
  <c r="AJ295" i="2" s="1"/>
  <c r="AI296" i="2"/>
  <c r="AI295" i="2" s="1"/>
  <c r="AH296" i="2"/>
  <c r="AH295" i="2" s="1"/>
  <c r="AH289" i="2" s="1"/>
  <c r="AG296" i="2"/>
  <c r="AE296" i="2"/>
  <c r="AD296" i="2"/>
  <c r="AD295" i="2" s="1"/>
  <c r="AC296" i="2"/>
  <c r="AC295" i="2" s="1"/>
  <c r="AC289" i="2" s="1"/>
  <c r="AB296" i="2"/>
  <c r="AB295" i="2" s="1"/>
  <c r="AB289" i="2" s="1"/>
  <c r="AA296" i="2"/>
  <c r="Z296" i="2"/>
  <c r="Z295" i="2" s="1"/>
  <c r="Y296" i="2"/>
  <c r="Y295" i="2" s="1"/>
  <c r="BK294" i="2"/>
  <c r="BJ294" i="2"/>
  <c r="BI294" i="2"/>
  <c r="BH294" i="2"/>
  <c r="BG294" i="2"/>
  <c r="BE294" i="2"/>
  <c r="AI294" i="2"/>
  <c r="AP294" i="2" s="1"/>
  <c r="AX294" i="2" s="1"/>
  <c r="BF294" i="2" s="1"/>
  <c r="AG294" i="2"/>
  <c r="AN294" i="2" s="1"/>
  <c r="AV294" i="2" s="1"/>
  <c r="BD294" i="2" s="1"/>
  <c r="AM293" i="2"/>
  <c r="BJ292" i="2"/>
  <c r="BI292" i="2"/>
  <c r="BH292" i="2"/>
  <c r="BG292" i="2"/>
  <c r="BF292" i="2"/>
  <c r="BE292" i="2"/>
  <c r="BD292" i="2"/>
  <c r="BC292" i="2"/>
  <c r="AU292" i="2"/>
  <c r="AM292" i="2"/>
  <c r="AF292" i="2"/>
  <c r="AM291" i="2"/>
  <c r="BD289" i="2"/>
  <c r="AX289" i="2"/>
  <c r="AP289" i="2"/>
  <c r="AI289" i="2"/>
  <c r="BJ288" i="2"/>
  <c r="BI288" i="2"/>
  <c r="BH288" i="2"/>
  <c r="BG288" i="2"/>
  <c r="BF288" i="2"/>
  <c r="BE288" i="2"/>
  <c r="BD288" i="2"/>
  <c r="BC288" i="2"/>
  <c r="AU288" i="2"/>
  <c r="AM288" i="2"/>
  <c r="AF288" i="2"/>
  <c r="BJ287" i="2"/>
  <c r="BI287" i="2"/>
  <c r="BH287" i="2"/>
  <c r="BG287" i="2"/>
  <c r="BF287" i="2"/>
  <c r="BE287" i="2"/>
  <c r="BD287" i="2"/>
  <c r="BC287" i="2"/>
  <c r="AU287" i="2"/>
  <c r="AM287" i="2"/>
  <c r="AF287" i="2"/>
  <c r="BJ286" i="2"/>
  <c r="BI286" i="2"/>
  <c r="BH286" i="2"/>
  <c r="BG286" i="2"/>
  <c r="BF286" i="2"/>
  <c r="BE286" i="2"/>
  <c r="BD286" i="2"/>
  <c r="BC286" i="2"/>
  <c r="AU286" i="2"/>
  <c r="AM286" i="2"/>
  <c r="AF286" i="2"/>
  <c r="BJ285" i="2"/>
  <c r="BI285" i="2"/>
  <c r="BH285" i="2"/>
  <c r="BG285" i="2"/>
  <c r="BF285" i="2"/>
  <c r="BE285" i="2"/>
  <c r="BD285" i="2"/>
  <c r="BC285" i="2"/>
  <c r="AU285" i="2"/>
  <c r="AM285" i="2"/>
  <c r="AF285" i="2"/>
  <c r="BJ284" i="2"/>
  <c r="BI284" i="2"/>
  <c r="BH284" i="2"/>
  <c r="BG284" i="2"/>
  <c r="BF284" i="2"/>
  <c r="BE284" i="2"/>
  <c r="BD284" i="2"/>
  <c r="BC284" i="2"/>
  <c r="AU284" i="2"/>
  <c r="AM284" i="2"/>
  <c r="AF284" i="2"/>
  <c r="BJ283" i="2"/>
  <c r="BI283" i="2"/>
  <c r="BH283" i="2"/>
  <c r="BG283" i="2"/>
  <c r="BF283" i="2"/>
  <c r="BE283" i="2"/>
  <c r="BD283" i="2"/>
  <c r="BC283" i="2"/>
  <c r="AU283" i="2"/>
  <c r="AM283" i="2"/>
  <c r="AF283" i="2"/>
  <c r="BJ282" i="2"/>
  <c r="BI282" i="2"/>
  <c r="BH282" i="2"/>
  <c r="BG282" i="2"/>
  <c r="BF282" i="2"/>
  <c r="BE282" i="2"/>
  <c r="BD282" i="2"/>
  <c r="BC282" i="2"/>
  <c r="AU282" i="2"/>
  <c r="AM282" i="2"/>
  <c r="AF282" i="2"/>
  <c r="BJ281" i="2"/>
  <c r="BI281" i="2"/>
  <c r="BH281" i="2"/>
  <c r="BG281" i="2"/>
  <c r="BF281" i="2"/>
  <c r="BE281" i="2"/>
  <c r="BD281" i="2"/>
  <c r="BC281" i="2"/>
  <c r="AU281" i="2"/>
  <c r="AM281" i="2"/>
  <c r="AF281" i="2"/>
  <c r="BJ280" i="2"/>
  <c r="BI280" i="2"/>
  <c r="BH280" i="2"/>
  <c r="BG280" i="2"/>
  <c r="BF280" i="2"/>
  <c r="BE280" i="2"/>
  <c r="BD280" i="2"/>
  <c r="BC280" i="2"/>
  <c r="AU280" i="2"/>
  <c r="AM280" i="2"/>
  <c r="AF280" i="2"/>
  <c r="BJ279" i="2"/>
  <c r="BI279" i="2"/>
  <c r="BH279" i="2"/>
  <c r="BG279" i="2"/>
  <c r="BF279" i="2"/>
  <c r="BE279" i="2"/>
  <c r="BD279" i="2"/>
  <c r="BC279" i="2"/>
  <c r="AU279" i="2"/>
  <c r="AM279" i="2"/>
  <c r="AF279" i="2"/>
  <c r="BJ278" i="2"/>
  <c r="BI278" i="2"/>
  <c r="BH278" i="2"/>
  <c r="BG278" i="2"/>
  <c r="BF278" i="2"/>
  <c r="BE278" i="2"/>
  <c r="BD278" i="2"/>
  <c r="BC278" i="2"/>
  <c r="AU278" i="2"/>
  <c r="AM278" i="2"/>
  <c r="AF278" i="2"/>
  <c r="BJ277" i="2"/>
  <c r="BI277" i="2"/>
  <c r="BH277" i="2"/>
  <c r="BG277" i="2"/>
  <c r="BF277" i="2"/>
  <c r="BE277" i="2"/>
  <c r="BD277" i="2"/>
  <c r="BC277" i="2"/>
  <c r="AU277" i="2"/>
  <c r="AM277" i="2"/>
  <c r="AF277" i="2"/>
  <c r="BB276" i="2"/>
  <c r="BA276" i="2"/>
  <c r="AZ276" i="2"/>
  <c r="AY276" i="2"/>
  <c r="AX276" i="2"/>
  <c r="AW276" i="2"/>
  <c r="AV276" i="2"/>
  <c r="AT276" i="2"/>
  <c r="AS276" i="2"/>
  <c r="AR276" i="2"/>
  <c r="AQ276" i="2"/>
  <c r="AP276" i="2"/>
  <c r="AO276" i="2"/>
  <c r="AN276" i="2"/>
  <c r="AL276" i="2"/>
  <c r="AK276" i="2"/>
  <c r="AJ276" i="2"/>
  <c r="AI276" i="2"/>
  <c r="AH276" i="2"/>
  <c r="AG276" i="2"/>
  <c r="AE276" i="2"/>
  <c r="AD276" i="2"/>
  <c r="AC276" i="2"/>
  <c r="AB276" i="2"/>
  <c r="AA276" i="2"/>
  <c r="Z276" i="2"/>
  <c r="Y276" i="2"/>
  <c r="BJ275" i="2"/>
  <c r="BI275" i="2"/>
  <c r="BH275" i="2"/>
  <c r="BG275" i="2"/>
  <c r="BF275" i="2"/>
  <c r="BE275" i="2"/>
  <c r="BD275" i="2"/>
  <c r="BC275" i="2"/>
  <c r="AU275" i="2"/>
  <c r="AM275" i="2"/>
  <c r="AF275" i="2"/>
  <c r="BJ274" i="2"/>
  <c r="BI274" i="2"/>
  <c r="BH274" i="2"/>
  <c r="BG274" i="2"/>
  <c r="BF274" i="2"/>
  <c r="BE274" i="2"/>
  <c r="BD274" i="2"/>
  <c r="BC274" i="2"/>
  <c r="AU274" i="2"/>
  <c r="AM274" i="2"/>
  <c r="AF274" i="2"/>
  <c r="BJ273" i="2"/>
  <c r="BI273" i="2"/>
  <c r="BH273" i="2"/>
  <c r="BG273" i="2"/>
  <c r="BF273" i="2"/>
  <c r="BE273" i="2"/>
  <c r="BD273" i="2"/>
  <c r="BC273" i="2"/>
  <c r="AU273" i="2"/>
  <c r="AM273" i="2"/>
  <c r="AF273" i="2"/>
  <c r="BJ272" i="2"/>
  <c r="BI272" i="2"/>
  <c r="BH272" i="2"/>
  <c r="BG272" i="2"/>
  <c r="BF272" i="2"/>
  <c r="BE272" i="2"/>
  <c r="BD272" i="2"/>
  <c r="BC272" i="2"/>
  <c r="AU272" i="2"/>
  <c r="AM272" i="2"/>
  <c r="AF272" i="2"/>
  <c r="BJ271" i="2"/>
  <c r="BI271" i="2"/>
  <c r="BH271" i="2"/>
  <c r="BG271" i="2"/>
  <c r="BF271" i="2"/>
  <c r="BE271" i="2"/>
  <c r="BD271" i="2"/>
  <c r="BC271" i="2"/>
  <c r="AU271" i="2"/>
  <c r="AM271" i="2"/>
  <c r="AF271" i="2"/>
  <c r="BJ270" i="2"/>
  <c r="BI270" i="2"/>
  <c r="BH270" i="2"/>
  <c r="BG270" i="2"/>
  <c r="BF270" i="2"/>
  <c r="BE270" i="2"/>
  <c r="BD270" i="2"/>
  <c r="BC270" i="2"/>
  <c r="AU270" i="2"/>
  <c r="AM270" i="2"/>
  <c r="AF270" i="2"/>
  <c r="BJ269" i="2"/>
  <c r="BI269" i="2"/>
  <c r="BH269" i="2"/>
  <c r="BG269" i="2"/>
  <c r="BF269" i="2"/>
  <c r="BE269" i="2"/>
  <c r="BD269" i="2"/>
  <c r="BC269" i="2"/>
  <c r="AU269" i="2"/>
  <c r="AM269" i="2"/>
  <c r="AF269" i="2"/>
  <c r="BJ268" i="2"/>
  <c r="BI268" i="2"/>
  <c r="BH268" i="2"/>
  <c r="BG268" i="2"/>
  <c r="BF268" i="2"/>
  <c r="BE268" i="2"/>
  <c r="BD268" i="2"/>
  <c r="BC268" i="2"/>
  <c r="AU268" i="2"/>
  <c r="AM268" i="2"/>
  <c r="AF268" i="2"/>
  <c r="BJ267" i="2"/>
  <c r="BI267" i="2"/>
  <c r="BH267" i="2"/>
  <c r="BG267" i="2"/>
  <c r="BF267" i="2"/>
  <c r="BE267" i="2"/>
  <c r="BD267" i="2"/>
  <c r="BC267" i="2"/>
  <c r="AU267" i="2"/>
  <c r="AM267" i="2"/>
  <c r="AF267" i="2"/>
  <c r="BJ266" i="2"/>
  <c r="BI266" i="2"/>
  <c r="BH266" i="2"/>
  <c r="BG266" i="2"/>
  <c r="BF266" i="2"/>
  <c r="BE266" i="2"/>
  <c r="BD266" i="2"/>
  <c r="BC266" i="2"/>
  <c r="AU266" i="2"/>
  <c r="AM266" i="2"/>
  <c r="AF266" i="2"/>
  <c r="BJ265" i="2"/>
  <c r="BI265" i="2"/>
  <c r="BH265" i="2"/>
  <c r="BG265" i="2"/>
  <c r="BF265" i="2"/>
  <c r="BE265" i="2"/>
  <c r="BD265" i="2"/>
  <c r="BC265" i="2"/>
  <c r="AU265" i="2"/>
  <c r="AM265" i="2"/>
  <c r="AF265" i="2"/>
  <c r="BB264" i="2"/>
  <c r="BA264" i="2"/>
  <c r="AZ264" i="2"/>
  <c r="AY264" i="2"/>
  <c r="AX264" i="2"/>
  <c r="AW264" i="2"/>
  <c r="AV264" i="2"/>
  <c r="AT264" i="2"/>
  <c r="AS264" i="2"/>
  <c r="AR264" i="2"/>
  <c r="AQ264" i="2"/>
  <c r="AP264" i="2"/>
  <c r="AO264" i="2"/>
  <c r="AN264" i="2"/>
  <c r="AN263" i="2" s="1"/>
  <c r="AL264" i="2"/>
  <c r="AL263" i="2" s="1"/>
  <c r="AK264" i="2"/>
  <c r="AJ264" i="2"/>
  <c r="AJ263" i="2" s="1"/>
  <c r="AI264" i="2"/>
  <c r="AH264" i="2"/>
  <c r="AG264" i="2"/>
  <c r="AE264" i="2"/>
  <c r="AD264" i="2"/>
  <c r="AD263" i="2" s="1"/>
  <c r="AC264" i="2"/>
  <c r="AB264" i="2"/>
  <c r="AA264" i="2"/>
  <c r="AA263" i="2" s="1"/>
  <c r="Z264" i="2"/>
  <c r="Z263" i="2" s="1"/>
  <c r="Y264" i="2"/>
  <c r="BK262" i="2"/>
  <c r="BJ262" i="2"/>
  <c r="BI262" i="2"/>
  <c r="BH262" i="2"/>
  <c r="BG262" i="2"/>
  <c r="BE262" i="2"/>
  <c r="AI262" i="2"/>
  <c r="AP262" i="2" s="1"/>
  <c r="BF262" i="2" s="1"/>
  <c r="AG262" i="2"/>
  <c r="AN262" i="2" s="1"/>
  <c r="BD262" i="2" s="1"/>
  <c r="BJ260" i="2"/>
  <c r="BI260" i="2"/>
  <c r="BH260" i="2"/>
  <c r="BG260" i="2"/>
  <c r="BF260" i="2"/>
  <c r="BE260" i="2"/>
  <c r="BD260" i="2"/>
  <c r="BC260" i="2"/>
  <c r="AU260" i="2"/>
  <c r="AM260" i="2"/>
  <c r="AF260" i="2"/>
  <c r="BJ259" i="2"/>
  <c r="BI259" i="2"/>
  <c r="BH259" i="2"/>
  <c r="BG259" i="2"/>
  <c r="BF259" i="2"/>
  <c r="BE259" i="2"/>
  <c r="BD259" i="2"/>
  <c r="BC259" i="2"/>
  <c r="AU259" i="2"/>
  <c r="AM259" i="2"/>
  <c r="AF259" i="2"/>
  <c r="BJ258" i="2"/>
  <c r="BI258" i="2"/>
  <c r="BH258" i="2"/>
  <c r="BG258" i="2"/>
  <c r="BF258" i="2"/>
  <c r="BE258" i="2"/>
  <c r="BD258" i="2"/>
  <c r="BC258" i="2"/>
  <c r="AU258" i="2"/>
  <c r="AM258" i="2"/>
  <c r="AF258" i="2"/>
  <c r="BJ257" i="2"/>
  <c r="BI257" i="2"/>
  <c r="BH257" i="2"/>
  <c r="BG257" i="2"/>
  <c r="BF257" i="2"/>
  <c r="BE257" i="2"/>
  <c r="BD257" i="2"/>
  <c r="BC257" i="2"/>
  <c r="AU257" i="2"/>
  <c r="AM257" i="2"/>
  <c r="AF257" i="2"/>
  <c r="BJ256" i="2"/>
  <c r="BI256" i="2"/>
  <c r="BH256" i="2"/>
  <c r="BG256" i="2"/>
  <c r="BF256" i="2"/>
  <c r="BE256" i="2"/>
  <c r="BD256" i="2"/>
  <c r="BC256" i="2"/>
  <c r="AU256" i="2"/>
  <c r="AM256" i="2"/>
  <c r="AF256" i="2"/>
  <c r="BJ255" i="2"/>
  <c r="BI255" i="2"/>
  <c r="BH255" i="2"/>
  <c r="BG255" i="2"/>
  <c r="BF255" i="2"/>
  <c r="BE255" i="2"/>
  <c r="BD255" i="2"/>
  <c r="BC255" i="2"/>
  <c r="AU255" i="2"/>
  <c r="AM255" i="2"/>
  <c r="AF255" i="2"/>
  <c r="BJ254" i="2"/>
  <c r="BI254" i="2"/>
  <c r="BH254" i="2"/>
  <c r="BG254" i="2"/>
  <c r="BF254" i="2"/>
  <c r="BE254" i="2"/>
  <c r="BD254" i="2"/>
  <c r="BC254" i="2"/>
  <c r="AU254" i="2"/>
  <c r="AM254" i="2"/>
  <c r="AF254" i="2"/>
  <c r="BJ253" i="2"/>
  <c r="BI253" i="2"/>
  <c r="BH253" i="2"/>
  <c r="BG253" i="2"/>
  <c r="BF253" i="2"/>
  <c r="BE253" i="2"/>
  <c r="BD253" i="2"/>
  <c r="BC253" i="2"/>
  <c r="AU253" i="2"/>
  <c r="AM253" i="2"/>
  <c r="AF253" i="2"/>
  <c r="BJ252" i="2"/>
  <c r="BI252" i="2"/>
  <c r="BH252" i="2"/>
  <c r="BG252" i="2"/>
  <c r="BF252" i="2"/>
  <c r="BE252" i="2"/>
  <c r="BD252" i="2"/>
  <c r="BC252" i="2"/>
  <c r="AU252" i="2"/>
  <c r="AM252" i="2"/>
  <c r="AF252" i="2"/>
  <c r="BI251" i="2"/>
  <c r="BC251" i="2"/>
  <c r="AU251" i="2"/>
  <c r="AM251" i="2"/>
  <c r="AF251" i="2"/>
  <c r="BJ250" i="2"/>
  <c r="BI250" i="2"/>
  <c r="BH250" i="2"/>
  <c r="BG250" i="2"/>
  <c r="BF250" i="2"/>
  <c r="BE250" i="2"/>
  <c r="BD250" i="2"/>
  <c r="BC250" i="2"/>
  <c r="AU250" i="2"/>
  <c r="AM250" i="2"/>
  <c r="AF250" i="2"/>
  <c r="BJ249" i="2"/>
  <c r="BI249" i="2"/>
  <c r="BH249" i="2"/>
  <c r="BG249" i="2"/>
  <c r="BF249" i="2"/>
  <c r="BE249" i="2"/>
  <c r="BD249" i="2"/>
  <c r="BC249" i="2"/>
  <c r="AU249" i="2"/>
  <c r="AM249" i="2"/>
  <c r="AF249" i="2"/>
  <c r="BJ248" i="2"/>
  <c r="BI248" i="2"/>
  <c r="BH248" i="2"/>
  <c r="BG248" i="2"/>
  <c r="BF248" i="2"/>
  <c r="BE248" i="2"/>
  <c r="BD248" i="2"/>
  <c r="BC248" i="2"/>
  <c r="AU248" i="2"/>
  <c r="AM248" i="2"/>
  <c r="AF248" i="2"/>
  <c r="BJ247" i="2"/>
  <c r="BI247" i="2"/>
  <c r="BH247" i="2"/>
  <c r="BG247" i="2"/>
  <c r="BF247" i="2"/>
  <c r="BE247" i="2"/>
  <c r="BD247" i="2"/>
  <c r="BC247" i="2"/>
  <c r="AU247" i="2"/>
  <c r="AM247" i="2"/>
  <c r="AF247" i="2"/>
  <c r="BJ246" i="2"/>
  <c r="BI246" i="2"/>
  <c r="BH246" i="2"/>
  <c r="BG246" i="2"/>
  <c r="BF246" i="2"/>
  <c r="BE246" i="2"/>
  <c r="BD246" i="2"/>
  <c r="BC246" i="2"/>
  <c r="AU246" i="2"/>
  <c r="AM246" i="2"/>
  <c r="AF246" i="2"/>
  <c r="BJ245" i="2"/>
  <c r="BI245" i="2"/>
  <c r="BH245" i="2"/>
  <c r="BG245" i="2"/>
  <c r="BF245" i="2"/>
  <c r="BE245" i="2"/>
  <c r="BD245" i="2"/>
  <c r="BC245" i="2"/>
  <c r="AU245" i="2"/>
  <c r="AM245" i="2"/>
  <c r="AF245" i="2"/>
  <c r="BJ244" i="2"/>
  <c r="BI244" i="2"/>
  <c r="BH244" i="2"/>
  <c r="BG244" i="2"/>
  <c r="BF244" i="2"/>
  <c r="BE244" i="2"/>
  <c r="BD244" i="2"/>
  <c r="BC244" i="2"/>
  <c r="AU244" i="2"/>
  <c r="AM244" i="2"/>
  <c r="AF244" i="2"/>
  <c r="BB243" i="2"/>
  <c r="BA243" i="2"/>
  <c r="AZ243" i="2"/>
  <c r="AY243" i="2"/>
  <c r="AX243" i="2"/>
  <c r="AW243" i="2"/>
  <c r="AV243" i="2"/>
  <c r="AT243" i="2"/>
  <c r="AS243" i="2"/>
  <c r="AR243" i="2"/>
  <c r="AQ243" i="2"/>
  <c r="AP243" i="2"/>
  <c r="AO243" i="2"/>
  <c r="AN243" i="2"/>
  <c r="AL243" i="2"/>
  <c r="AK243" i="2"/>
  <c r="AJ243" i="2"/>
  <c r="AI243" i="2"/>
  <c r="AH243" i="2"/>
  <c r="AG243" i="2"/>
  <c r="AE243" i="2"/>
  <c r="AD243" i="2"/>
  <c r="AC243" i="2"/>
  <c r="AB243" i="2"/>
  <c r="AA243" i="2"/>
  <c r="Z243" i="2"/>
  <c r="Y243" i="2"/>
  <c r="BJ242" i="2"/>
  <c r="BI242" i="2"/>
  <c r="BH242" i="2"/>
  <c r="BG242" i="2"/>
  <c r="BE242" i="2"/>
  <c r="AI242" i="2"/>
  <c r="AP242" i="2" s="1"/>
  <c r="AX242" i="2" s="1"/>
  <c r="BF242" i="2" s="1"/>
  <c r="AG242" i="2"/>
  <c r="AN242" i="2" s="1"/>
  <c r="AF242" i="2"/>
  <c r="BJ241" i="2"/>
  <c r="BI241" i="2"/>
  <c r="BH241" i="2"/>
  <c r="BG241" i="2"/>
  <c r="BF241" i="2"/>
  <c r="BE241" i="2"/>
  <c r="BD241" i="2"/>
  <c r="BC241" i="2"/>
  <c r="AU241" i="2"/>
  <c r="AM241" i="2"/>
  <c r="AF241" i="2"/>
  <c r="BJ240" i="2"/>
  <c r="BI240" i="2"/>
  <c r="BH240" i="2"/>
  <c r="BG240" i="2"/>
  <c r="BF240" i="2"/>
  <c r="BE240" i="2"/>
  <c r="BD240" i="2"/>
  <c r="BC240" i="2"/>
  <c r="AU240" i="2"/>
  <c r="AM240" i="2"/>
  <c r="AF240" i="2"/>
  <c r="BJ239" i="2"/>
  <c r="BI239" i="2"/>
  <c r="BH239" i="2"/>
  <c r="BG239" i="2"/>
  <c r="BF239" i="2"/>
  <c r="BE239" i="2"/>
  <c r="BD239" i="2"/>
  <c r="BC239" i="2"/>
  <c r="AU239" i="2"/>
  <c r="AM239" i="2"/>
  <c r="AF239" i="2"/>
  <c r="BJ238" i="2"/>
  <c r="BI238" i="2"/>
  <c r="BH238" i="2"/>
  <c r="BG238" i="2"/>
  <c r="BF238" i="2"/>
  <c r="BF236" i="2"/>
  <c r="BF237" i="2"/>
  <c r="BE238" i="2"/>
  <c r="BD238" i="2"/>
  <c r="BC238" i="2"/>
  <c r="AU238" i="2"/>
  <c r="AM238" i="2"/>
  <c r="AF238" i="2"/>
  <c r="BJ237" i="2"/>
  <c r="BI237" i="2"/>
  <c r="BH237" i="2"/>
  <c r="BG237" i="2"/>
  <c r="BE237" i="2"/>
  <c r="BD237" i="2"/>
  <c r="BC237" i="2"/>
  <c r="AU237" i="2"/>
  <c r="AM237" i="2"/>
  <c r="AF237" i="2"/>
  <c r="BJ236" i="2"/>
  <c r="BI236" i="2"/>
  <c r="BH236" i="2"/>
  <c r="BG236" i="2"/>
  <c r="BE236" i="2"/>
  <c r="BD236" i="2"/>
  <c r="BC236" i="2"/>
  <c r="AU236" i="2"/>
  <c r="AM236" i="2"/>
  <c r="AF236" i="2"/>
  <c r="BB235" i="2"/>
  <c r="BA235" i="2"/>
  <c r="AZ235" i="2"/>
  <c r="AY235" i="2"/>
  <c r="AX235" i="2"/>
  <c r="AW235" i="2"/>
  <c r="AV235" i="2"/>
  <c r="AT235" i="2"/>
  <c r="AS235" i="2"/>
  <c r="AR235" i="2"/>
  <c r="AQ235" i="2"/>
  <c r="AP235" i="2"/>
  <c r="AO235" i="2"/>
  <c r="AN235" i="2"/>
  <c r="AL235" i="2"/>
  <c r="AK235" i="2"/>
  <c r="AJ235" i="2"/>
  <c r="AI235" i="2"/>
  <c r="AH235" i="2"/>
  <c r="AG235" i="2"/>
  <c r="AE235" i="2"/>
  <c r="AD235" i="2"/>
  <c r="AC235" i="2"/>
  <c r="AB235" i="2"/>
  <c r="AA235" i="2"/>
  <c r="Z235" i="2"/>
  <c r="Y235" i="2"/>
  <c r="BJ234" i="2"/>
  <c r="BI234" i="2"/>
  <c r="BH234" i="2"/>
  <c r="BG234" i="2"/>
  <c r="BF234" i="2"/>
  <c r="BE234" i="2"/>
  <c r="BD234" i="2"/>
  <c r="BC234" i="2"/>
  <c r="AU234" i="2"/>
  <c r="AM234" i="2"/>
  <c r="AF234" i="2"/>
  <c r="BJ233" i="2"/>
  <c r="BI233" i="2"/>
  <c r="BH233" i="2"/>
  <c r="BG233" i="2"/>
  <c r="BF233" i="2"/>
  <c r="BE233" i="2"/>
  <c r="BD233" i="2"/>
  <c r="BC233" i="2"/>
  <c r="AU233" i="2"/>
  <c r="AM233" i="2"/>
  <c r="AF233" i="2"/>
  <c r="BJ232" i="2"/>
  <c r="BI232" i="2"/>
  <c r="BH232" i="2"/>
  <c r="BG232" i="2"/>
  <c r="BF232" i="2"/>
  <c r="BE232" i="2"/>
  <c r="BD232" i="2"/>
  <c r="BC232" i="2"/>
  <c r="AU232" i="2"/>
  <c r="AM232" i="2"/>
  <c r="AF232" i="2"/>
  <c r="BJ231" i="2"/>
  <c r="BI231" i="2"/>
  <c r="BH231" i="2"/>
  <c r="BG231" i="2"/>
  <c r="BF231" i="2"/>
  <c r="BE231" i="2"/>
  <c r="BD231" i="2"/>
  <c r="BC231" i="2"/>
  <c r="AU231" i="2"/>
  <c r="AM231" i="2"/>
  <c r="AF231" i="2"/>
  <c r="BJ230" i="2"/>
  <c r="BI230" i="2"/>
  <c r="BH230" i="2"/>
  <c r="BG230" i="2"/>
  <c r="BF230" i="2"/>
  <c r="BE230" i="2"/>
  <c r="BD230" i="2"/>
  <c r="BC230" i="2"/>
  <c r="AU230" i="2"/>
  <c r="AM230" i="2"/>
  <c r="AF230" i="2"/>
  <c r="BJ229" i="2"/>
  <c r="BI229" i="2"/>
  <c r="BH229" i="2"/>
  <c r="BG229" i="2"/>
  <c r="BF229" i="2"/>
  <c r="BE229" i="2"/>
  <c r="BD229" i="2"/>
  <c r="BC229" i="2"/>
  <c r="AU229" i="2"/>
  <c r="AM229" i="2"/>
  <c r="AF229" i="2"/>
  <c r="BJ228" i="2"/>
  <c r="BI228" i="2"/>
  <c r="BH228" i="2"/>
  <c r="BG228" i="2"/>
  <c r="BF228" i="2"/>
  <c r="BE228" i="2"/>
  <c r="BD228" i="2"/>
  <c r="BC228" i="2"/>
  <c r="AU228" i="2"/>
  <c r="AM228" i="2"/>
  <c r="AF228" i="2"/>
  <c r="BB227" i="2"/>
  <c r="BA227" i="2"/>
  <c r="AZ227" i="2"/>
  <c r="AY227" i="2"/>
  <c r="AX227" i="2"/>
  <c r="AW227" i="2"/>
  <c r="AV227" i="2"/>
  <c r="AT227" i="2"/>
  <c r="AS227" i="2"/>
  <c r="AD227" i="2"/>
  <c r="AR227" i="2"/>
  <c r="AQ227" i="2"/>
  <c r="AP227" i="2"/>
  <c r="AO227" i="2"/>
  <c r="AN227" i="2"/>
  <c r="AL227" i="2"/>
  <c r="AK227" i="2"/>
  <c r="AJ227" i="2"/>
  <c r="AI227" i="2"/>
  <c r="AH227" i="2"/>
  <c r="AG227" i="2"/>
  <c r="AE227" i="2"/>
  <c r="AC227" i="2"/>
  <c r="AB227" i="2"/>
  <c r="AA227" i="2"/>
  <c r="Z227" i="2"/>
  <c r="Y227" i="2"/>
  <c r="BJ226" i="2"/>
  <c r="BI226" i="2"/>
  <c r="BH226" i="2"/>
  <c r="BG226" i="2"/>
  <c r="BF226" i="2"/>
  <c r="BE226" i="2"/>
  <c r="BD226" i="2"/>
  <c r="BC226" i="2"/>
  <c r="AU226" i="2"/>
  <c r="AM226" i="2"/>
  <c r="AF226" i="2"/>
  <c r="BJ225" i="2"/>
  <c r="BI225" i="2"/>
  <c r="BH225" i="2"/>
  <c r="BG225" i="2"/>
  <c r="BF225" i="2"/>
  <c r="BE225" i="2"/>
  <c r="BD225" i="2"/>
  <c r="BC225" i="2"/>
  <c r="AU225" i="2"/>
  <c r="AM225" i="2"/>
  <c r="AF225" i="2"/>
  <c r="BJ224" i="2"/>
  <c r="BI224" i="2"/>
  <c r="BH224" i="2"/>
  <c r="BG224" i="2"/>
  <c r="BF224" i="2"/>
  <c r="BE224" i="2"/>
  <c r="BD224" i="2"/>
  <c r="BC224" i="2"/>
  <c r="AU224" i="2"/>
  <c r="AM224" i="2"/>
  <c r="AF224" i="2"/>
  <c r="BJ223" i="2"/>
  <c r="BI223" i="2"/>
  <c r="BH223" i="2"/>
  <c r="BG223" i="2"/>
  <c r="BF223" i="2"/>
  <c r="BE223" i="2"/>
  <c r="BD223" i="2"/>
  <c r="BC223" i="2"/>
  <c r="AU223" i="2"/>
  <c r="AM223" i="2"/>
  <c r="AF223" i="2"/>
  <c r="BJ222" i="2"/>
  <c r="BI222" i="2"/>
  <c r="BH222" i="2"/>
  <c r="BG222" i="2"/>
  <c r="BF222" i="2"/>
  <c r="BE222" i="2"/>
  <c r="BD222" i="2"/>
  <c r="BC222" i="2"/>
  <c r="AU222" i="2"/>
  <c r="AM222" i="2"/>
  <c r="AF222" i="2"/>
  <c r="BB221" i="2"/>
  <c r="BA221" i="2"/>
  <c r="AZ221" i="2"/>
  <c r="AY221" i="2"/>
  <c r="AX221" i="2"/>
  <c r="AW221" i="2"/>
  <c r="AV221" i="2"/>
  <c r="AT221" i="2"/>
  <c r="AS221" i="2"/>
  <c r="AR221" i="2"/>
  <c r="AQ221" i="2"/>
  <c r="AP221" i="2"/>
  <c r="AO221" i="2"/>
  <c r="AN221" i="2"/>
  <c r="AL221" i="2"/>
  <c r="AK221" i="2"/>
  <c r="AJ221" i="2"/>
  <c r="AI221" i="2"/>
  <c r="AH221" i="2"/>
  <c r="AG221" i="2"/>
  <c r="AE221" i="2"/>
  <c r="AD221" i="2"/>
  <c r="AC221" i="2"/>
  <c r="AB221" i="2"/>
  <c r="AA221" i="2"/>
  <c r="Z221" i="2"/>
  <c r="Y221" i="2"/>
  <c r="BJ220" i="2"/>
  <c r="BI220" i="2"/>
  <c r="BH220" i="2"/>
  <c r="BG220" i="2"/>
  <c r="BF220" i="2"/>
  <c r="BE220" i="2"/>
  <c r="BD220" i="2"/>
  <c r="BC220" i="2"/>
  <c r="AU220" i="2"/>
  <c r="AM220" i="2"/>
  <c r="AF220" i="2"/>
  <c r="BJ219" i="2"/>
  <c r="BI219" i="2"/>
  <c r="BH219" i="2"/>
  <c r="BG219" i="2"/>
  <c r="BF219" i="2"/>
  <c r="BE219" i="2"/>
  <c r="BD219" i="2"/>
  <c r="BC219" i="2"/>
  <c r="AU219" i="2"/>
  <c r="AM219" i="2"/>
  <c r="AF219" i="2"/>
  <c r="BJ218" i="2"/>
  <c r="BI218" i="2"/>
  <c r="BH218" i="2"/>
  <c r="BG218" i="2"/>
  <c r="BF218" i="2"/>
  <c r="BE218" i="2"/>
  <c r="BD218" i="2"/>
  <c r="BC218" i="2"/>
  <c r="AU218" i="2"/>
  <c r="AM218" i="2"/>
  <c r="AF218" i="2"/>
  <c r="BJ217" i="2"/>
  <c r="BI217" i="2"/>
  <c r="BH217" i="2"/>
  <c r="BG217" i="2"/>
  <c r="BF217" i="2"/>
  <c r="BE217" i="2"/>
  <c r="BD217" i="2"/>
  <c r="BC217" i="2"/>
  <c r="AU217" i="2"/>
  <c r="AM217" i="2"/>
  <c r="AF217" i="2"/>
  <c r="BJ216" i="2"/>
  <c r="BI216" i="2"/>
  <c r="BH216" i="2"/>
  <c r="BG216" i="2"/>
  <c r="BF216" i="2"/>
  <c r="BE216" i="2"/>
  <c r="BD216" i="2"/>
  <c r="BC216" i="2"/>
  <c r="AU216" i="2"/>
  <c r="AM216" i="2"/>
  <c r="AF216" i="2"/>
  <c r="BJ215" i="2"/>
  <c r="BI215" i="2"/>
  <c r="BH215" i="2"/>
  <c r="BG215" i="2"/>
  <c r="BF215" i="2"/>
  <c r="BE215" i="2"/>
  <c r="BD215" i="2"/>
  <c r="BC215" i="2"/>
  <c r="BC213" i="2"/>
  <c r="BC214" i="2"/>
  <c r="AU215" i="2"/>
  <c r="AM215" i="2"/>
  <c r="AF215" i="2"/>
  <c r="BJ214" i="2"/>
  <c r="BI214" i="2"/>
  <c r="BH214" i="2"/>
  <c r="BG214" i="2"/>
  <c r="BF214" i="2"/>
  <c r="BF213" i="2"/>
  <c r="BE214" i="2"/>
  <c r="BD214" i="2"/>
  <c r="AU214" i="2"/>
  <c r="AM214" i="2"/>
  <c r="AF214" i="2"/>
  <c r="BJ213" i="2"/>
  <c r="BI213" i="2"/>
  <c r="BH213" i="2"/>
  <c r="BG213" i="2"/>
  <c r="BE213" i="2"/>
  <c r="BD213" i="2"/>
  <c r="AU213" i="2"/>
  <c r="AM213" i="2"/>
  <c r="AF213" i="2"/>
  <c r="BB212" i="2"/>
  <c r="BA212" i="2"/>
  <c r="AZ212" i="2"/>
  <c r="AY212" i="2"/>
  <c r="AX212" i="2"/>
  <c r="AW212" i="2"/>
  <c r="AV212" i="2"/>
  <c r="AT212" i="2"/>
  <c r="AS212" i="2"/>
  <c r="AR212" i="2"/>
  <c r="AQ212" i="2"/>
  <c r="AP212" i="2"/>
  <c r="AO212" i="2"/>
  <c r="AN212" i="2"/>
  <c r="AL212" i="2"/>
  <c r="AK212" i="2"/>
  <c r="AJ212" i="2"/>
  <c r="AI212" i="2"/>
  <c r="AH212" i="2"/>
  <c r="AG212" i="2"/>
  <c r="AE212" i="2"/>
  <c r="AD212" i="2"/>
  <c r="AC212" i="2"/>
  <c r="AB212" i="2"/>
  <c r="AA212" i="2"/>
  <c r="Z212" i="2"/>
  <c r="Y212" i="2"/>
  <c r="BJ211" i="2"/>
  <c r="BI211" i="2"/>
  <c r="BH211" i="2"/>
  <c r="BG211" i="2"/>
  <c r="BF211" i="2"/>
  <c r="BE211" i="2"/>
  <c r="BD211" i="2"/>
  <c r="BC211" i="2"/>
  <c r="AU211" i="2"/>
  <c r="AM211" i="2"/>
  <c r="AF211" i="2"/>
  <c r="BJ210" i="2"/>
  <c r="BI210" i="2"/>
  <c r="BH210" i="2"/>
  <c r="BG210" i="2"/>
  <c r="BF210" i="2"/>
  <c r="BE210" i="2"/>
  <c r="BD210" i="2"/>
  <c r="BC210" i="2"/>
  <c r="AU210" i="2"/>
  <c r="AM210" i="2"/>
  <c r="AF210" i="2"/>
  <c r="BJ209" i="2"/>
  <c r="BI209" i="2"/>
  <c r="BH209" i="2"/>
  <c r="BG209" i="2"/>
  <c r="BF209" i="2"/>
  <c r="BE209" i="2"/>
  <c r="BD209" i="2"/>
  <c r="BC209" i="2"/>
  <c r="AU209" i="2"/>
  <c r="AM209" i="2"/>
  <c r="AF209" i="2"/>
  <c r="BJ208" i="2"/>
  <c r="BI208" i="2"/>
  <c r="BH208" i="2"/>
  <c r="BG208" i="2"/>
  <c r="BF208" i="2"/>
  <c r="BE208" i="2"/>
  <c r="BD208" i="2"/>
  <c r="BC208" i="2"/>
  <c r="AU208" i="2"/>
  <c r="AM208" i="2"/>
  <c r="AF208" i="2"/>
  <c r="BJ207" i="2"/>
  <c r="BI207" i="2"/>
  <c r="BH207" i="2"/>
  <c r="BG207" i="2"/>
  <c r="BF207" i="2"/>
  <c r="BE207" i="2"/>
  <c r="BD207" i="2"/>
  <c r="BC207" i="2"/>
  <c r="AU207" i="2"/>
  <c r="AM207" i="2"/>
  <c r="AF207" i="2"/>
  <c r="BJ206" i="2"/>
  <c r="BI206" i="2"/>
  <c r="BH206" i="2"/>
  <c r="BG206" i="2"/>
  <c r="BF206" i="2"/>
  <c r="BE206" i="2"/>
  <c r="BD206" i="2"/>
  <c r="BC206" i="2"/>
  <c r="AU206" i="2"/>
  <c r="AM206" i="2"/>
  <c r="AF206" i="2"/>
  <c r="BJ205" i="2"/>
  <c r="BI205" i="2"/>
  <c r="BH205" i="2"/>
  <c r="BG205" i="2"/>
  <c r="BF205" i="2"/>
  <c r="BE205" i="2"/>
  <c r="BD205" i="2"/>
  <c r="BC205" i="2"/>
  <c r="AU205" i="2"/>
  <c r="AM205" i="2"/>
  <c r="AF205" i="2"/>
  <c r="BJ204" i="2"/>
  <c r="BI204" i="2"/>
  <c r="BH204" i="2"/>
  <c r="BG204" i="2"/>
  <c r="BF204" i="2"/>
  <c r="BE204" i="2"/>
  <c r="BD204" i="2"/>
  <c r="BC204" i="2"/>
  <c r="AU204" i="2"/>
  <c r="AM204" i="2"/>
  <c r="AF204" i="2"/>
  <c r="BJ203" i="2"/>
  <c r="BI203" i="2"/>
  <c r="BH203" i="2"/>
  <c r="BG203" i="2"/>
  <c r="BF203" i="2"/>
  <c r="BE203" i="2"/>
  <c r="BD203" i="2"/>
  <c r="BC203" i="2"/>
  <c r="AU203" i="2"/>
  <c r="AM203" i="2"/>
  <c r="AF203" i="2"/>
  <c r="BJ202" i="2"/>
  <c r="BI202" i="2"/>
  <c r="BH202" i="2"/>
  <c r="BG202" i="2"/>
  <c r="BF202" i="2"/>
  <c r="BE202" i="2"/>
  <c r="BD202" i="2"/>
  <c r="BC202" i="2"/>
  <c r="AU202" i="2"/>
  <c r="AM202" i="2"/>
  <c r="AF202" i="2"/>
  <c r="BB201" i="2"/>
  <c r="BA201" i="2"/>
  <c r="AZ201" i="2"/>
  <c r="AY201" i="2"/>
  <c r="AX201" i="2"/>
  <c r="AW201" i="2"/>
  <c r="AV201" i="2"/>
  <c r="AT201" i="2"/>
  <c r="AS201" i="2"/>
  <c r="AR201" i="2"/>
  <c r="AQ201" i="2"/>
  <c r="AP201" i="2"/>
  <c r="AO201" i="2"/>
  <c r="AN201" i="2"/>
  <c r="AL201" i="2"/>
  <c r="AK201" i="2"/>
  <c r="AJ201" i="2"/>
  <c r="AI201" i="2"/>
  <c r="AH201" i="2"/>
  <c r="AG201" i="2"/>
  <c r="AE201" i="2"/>
  <c r="AD201" i="2"/>
  <c r="AC201" i="2"/>
  <c r="AB201" i="2"/>
  <c r="AA201" i="2"/>
  <c r="Z201" i="2"/>
  <c r="Y201" i="2"/>
  <c r="BJ200" i="2"/>
  <c r="BI200" i="2"/>
  <c r="BH200" i="2"/>
  <c r="BG200" i="2"/>
  <c r="BF200" i="2"/>
  <c r="BE200" i="2"/>
  <c r="BD200" i="2"/>
  <c r="BC200" i="2"/>
  <c r="AU200" i="2"/>
  <c r="AM200" i="2"/>
  <c r="AF200" i="2"/>
  <c r="BJ199" i="2"/>
  <c r="BI199" i="2"/>
  <c r="BH199" i="2"/>
  <c r="BG199" i="2"/>
  <c r="BF199" i="2"/>
  <c r="BE199" i="2"/>
  <c r="BD199" i="2"/>
  <c r="BC199" i="2"/>
  <c r="AU199" i="2"/>
  <c r="AM199" i="2"/>
  <c r="AF199" i="2"/>
  <c r="BJ198" i="2"/>
  <c r="BI198" i="2"/>
  <c r="BH198" i="2"/>
  <c r="BG198" i="2"/>
  <c r="BF198" i="2"/>
  <c r="BE198" i="2"/>
  <c r="BD198" i="2"/>
  <c r="BC198" i="2"/>
  <c r="AU198" i="2"/>
  <c r="AM198" i="2"/>
  <c r="AF198" i="2"/>
  <c r="BJ197" i="2"/>
  <c r="BI197" i="2"/>
  <c r="BH197" i="2"/>
  <c r="BG197" i="2"/>
  <c r="BF197" i="2"/>
  <c r="BE197" i="2"/>
  <c r="BD197" i="2"/>
  <c r="BC197" i="2"/>
  <c r="AU197" i="2"/>
  <c r="AM197" i="2"/>
  <c r="AF197" i="2"/>
  <c r="BJ196" i="2"/>
  <c r="BI196" i="2"/>
  <c r="BH196" i="2"/>
  <c r="BG196" i="2"/>
  <c r="BF196" i="2"/>
  <c r="BE196" i="2"/>
  <c r="BD196" i="2"/>
  <c r="BC196" i="2"/>
  <c r="AU196" i="2"/>
  <c r="AM196" i="2"/>
  <c r="AF196" i="2"/>
  <c r="BJ195" i="2"/>
  <c r="BI195" i="2"/>
  <c r="BH195" i="2"/>
  <c r="BG195" i="2"/>
  <c r="BF195" i="2"/>
  <c r="BE195" i="2"/>
  <c r="BD195" i="2"/>
  <c r="BC195" i="2"/>
  <c r="AU195" i="2"/>
  <c r="AM195" i="2"/>
  <c r="AF195" i="2"/>
  <c r="BJ194" i="2"/>
  <c r="BI194" i="2"/>
  <c r="BH194" i="2"/>
  <c r="BG194" i="2"/>
  <c r="BF194" i="2"/>
  <c r="BE194" i="2"/>
  <c r="BD194" i="2"/>
  <c r="BC194" i="2"/>
  <c r="AU194" i="2"/>
  <c r="AM194" i="2"/>
  <c r="AF194" i="2"/>
  <c r="BB193" i="2"/>
  <c r="BA193" i="2"/>
  <c r="AZ193" i="2"/>
  <c r="AY193" i="2"/>
  <c r="AX193" i="2"/>
  <c r="AW193" i="2"/>
  <c r="AV193" i="2"/>
  <c r="AT193" i="2"/>
  <c r="AS193" i="2"/>
  <c r="AR193" i="2"/>
  <c r="AQ193" i="2"/>
  <c r="AP193" i="2"/>
  <c r="AO193" i="2"/>
  <c r="AN193" i="2"/>
  <c r="AL193" i="2"/>
  <c r="AK193" i="2"/>
  <c r="AJ193" i="2"/>
  <c r="AI193" i="2"/>
  <c r="AH193" i="2"/>
  <c r="AG193" i="2"/>
  <c r="AE193" i="2"/>
  <c r="AD193" i="2"/>
  <c r="AC193" i="2"/>
  <c r="AB193" i="2"/>
  <c r="AA193" i="2"/>
  <c r="Z193" i="2"/>
  <c r="Y193" i="2"/>
  <c r="BJ192" i="2"/>
  <c r="BI192" i="2"/>
  <c r="BH192" i="2"/>
  <c r="BG192" i="2"/>
  <c r="BF192" i="2"/>
  <c r="BE192" i="2"/>
  <c r="BD192" i="2"/>
  <c r="BC192" i="2"/>
  <c r="AU192" i="2"/>
  <c r="AM192" i="2"/>
  <c r="AF192" i="2"/>
  <c r="BJ191" i="2"/>
  <c r="BI191" i="2"/>
  <c r="BH191" i="2"/>
  <c r="BG191" i="2"/>
  <c r="BF191" i="2"/>
  <c r="BE191" i="2"/>
  <c r="BD191" i="2"/>
  <c r="BC191" i="2"/>
  <c r="AU191" i="2"/>
  <c r="AM191" i="2"/>
  <c r="AF191" i="2"/>
  <c r="BJ190" i="2"/>
  <c r="BI190" i="2"/>
  <c r="BH190" i="2"/>
  <c r="BG190" i="2"/>
  <c r="BF190" i="2"/>
  <c r="BE190" i="2"/>
  <c r="BD190" i="2"/>
  <c r="BC190" i="2"/>
  <c r="AU190" i="2"/>
  <c r="AM190" i="2"/>
  <c r="AF190" i="2"/>
  <c r="BJ189" i="2"/>
  <c r="BI189" i="2"/>
  <c r="BH189" i="2"/>
  <c r="BG189" i="2"/>
  <c r="BF189" i="2"/>
  <c r="BE189" i="2"/>
  <c r="BD189" i="2"/>
  <c r="BC189" i="2"/>
  <c r="AU189" i="2"/>
  <c r="AM189" i="2"/>
  <c r="AF189" i="2"/>
  <c r="BJ188" i="2"/>
  <c r="BI188" i="2"/>
  <c r="BH188" i="2"/>
  <c r="BG188" i="2"/>
  <c r="BF188" i="2"/>
  <c r="BE188" i="2"/>
  <c r="BD188" i="2"/>
  <c r="BC188" i="2"/>
  <c r="AU188" i="2"/>
  <c r="AM188" i="2"/>
  <c r="AF188" i="2"/>
  <c r="BJ187" i="2"/>
  <c r="BI187" i="2"/>
  <c r="BH187" i="2"/>
  <c r="BG187" i="2"/>
  <c r="BF187" i="2"/>
  <c r="BE187" i="2"/>
  <c r="BD187" i="2"/>
  <c r="BC187" i="2"/>
  <c r="AU187" i="2"/>
  <c r="AM187" i="2"/>
  <c r="AF187" i="2"/>
  <c r="BJ186" i="2"/>
  <c r="BI186" i="2"/>
  <c r="BH186" i="2"/>
  <c r="BG186" i="2"/>
  <c r="BF186" i="2"/>
  <c r="BE186" i="2"/>
  <c r="BD186" i="2"/>
  <c r="BC186" i="2"/>
  <c r="AU186" i="2"/>
  <c r="AM186" i="2"/>
  <c r="AF186" i="2"/>
  <c r="BJ185" i="2"/>
  <c r="BI185" i="2"/>
  <c r="BH185" i="2"/>
  <c r="BG185" i="2"/>
  <c r="BF185" i="2"/>
  <c r="BE185" i="2"/>
  <c r="BD185" i="2"/>
  <c r="BC185" i="2"/>
  <c r="AU185" i="2"/>
  <c r="AM185" i="2"/>
  <c r="AF185" i="2"/>
  <c r="BJ184" i="2"/>
  <c r="BI184" i="2"/>
  <c r="BH184" i="2"/>
  <c r="BG184" i="2"/>
  <c r="BF184" i="2"/>
  <c r="BE184" i="2"/>
  <c r="BD184" i="2"/>
  <c r="BC184" i="2"/>
  <c r="AU184" i="2"/>
  <c r="AM184" i="2"/>
  <c r="AF184" i="2"/>
  <c r="BJ183" i="2"/>
  <c r="BI183" i="2"/>
  <c r="BH183" i="2"/>
  <c r="BG183" i="2"/>
  <c r="BF183" i="2"/>
  <c r="BE183" i="2"/>
  <c r="BD183" i="2"/>
  <c r="BC183" i="2"/>
  <c r="AU183" i="2"/>
  <c r="AM183" i="2"/>
  <c r="AF183" i="2"/>
  <c r="BB182" i="2"/>
  <c r="BA182" i="2"/>
  <c r="AZ182" i="2"/>
  <c r="AY182" i="2"/>
  <c r="AX182" i="2"/>
  <c r="AW182" i="2"/>
  <c r="AV182" i="2"/>
  <c r="AT182" i="2"/>
  <c r="AS182" i="2"/>
  <c r="AR182" i="2"/>
  <c r="AQ182" i="2"/>
  <c r="AP182" i="2"/>
  <c r="AO182" i="2"/>
  <c r="AN182" i="2"/>
  <c r="AL182" i="2"/>
  <c r="AK182" i="2"/>
  <c r="AJ182" i="2"/>
  <c r="AI182" i="2"/>
  <c r="AH182" i="2"/>
  <c r="AG182" i="2"/>
  <c r="AE182" i="2"/>
  <c r="AD182" i="2"/>
  <c r="AC182" i="2"/>
  <c r="AB182" i="2"/>
  <c r="AA182" i="2"/>
  <c r="Z182" i="2"/>
  <c r="Y182" i="2"/>
  <c r="BJ181" i="2"/>
  <c r="BI181" i="2"/>
  <c r="BH181" i="2"/>
  <c r="BG181" i="2"/>
  <c r="BF181" i="2"/>
  <c r="BE181" i="2"/>
  <c r="BD181" i="2"/>
  <c r="BC181" i="2"/>
  <c r="AU181" i="2"/>
  <c r="AM181" i="2"/>
  <c r="AF181" i="2"/>
  <c r="BJ180" i="2"/>
  <c r="BI180" i="2"/>
  <c r="BH180" i="2"/>
  <c r="BG180" i="2"/>
  <c r="BF180" i="2"/>
  <c r="BE180" i="2"/>
  <c r="BD180" i="2"/>
  <c r="BC180" i="2"/>
  <c r="AU180" i="2"/>
  <c r="AM180" i="2"/>
  <c r="AF180" i="2"/>
  <c r="BJ179" i="2"/>
  <c r="BI179" i="2"/>
  <c r="BH179" i="2"/>
  <c r="BG179" i="2"/>
  <c r="BF179" i="2"/>
  <c r="BE179" i="2"/>
  <c r="BD179" i="2"/>
  <c r="BC179" i="2"/>
  <c r="AU179" i="2"/>
  <c r="AM179" i="2"/>
  <c r="AF179" i="2"/>
  <c r="BJ178" i="2"/>
  <c r="BI178" i="2"/>
  <c r="BH178" i="2"/>
  <c r="BG178" i="2"/>
  <c r="BF178" i="2"/>
  <c r="BE178" i="2"/>
  <c r="BD178" i="2"/>
  <c r="BC178" i="2"/>
  <c r="AU178" i="2"/>
  <c r="AM178" i="2"/>
  <c r="AF178" i="2"/>
  <c r="BJ177" i="2"/>
  <c r="BI177" i="2"/>
  <c r="BH177" i="2"/>
  <c r="BG177" i="2"/>
  <c r="BF177" i="2"/>
  <c r="BE177" i="2"/>
  <c r="BD177" i="2"/>
  <c r="BC177" i="2"/>
  <c r="AU177" i="2"/>
  <c r="AM177" i="2"/>
  <c r="AF177" i="2"/>
  <c r="BJ176" i="2"/>
  <c r="BI176" i="2"/>
  <c r="BH176" i="2"/>
  <c r="BG176" i="2"/>
  <c r="BF176" i="2"/>
  <c r="BE176" i="2"/>
  <c r="BD176" i="2"/>
  <c r="BC176" i="2"/>
  <c r="AU176" i="2"/>
  <c r="AM176" i="2"/>
  <c r="AF176" i="2"/>
  <c r="BJ175" i="2"/>
  <c r="BI175" i="2"/>
  <c r="BH175" i="2"/>
  <c r="BG175" i="2"/>
  <c r="BF175" i="2"/>
  <c r="BE175" i="2"/>
  <c r="BD175" i="2"/>
  <c r="BC175" i="2"/>
  <c r="AU175" i="2"/>
  <c r="AM175" i="2"/>
  <c r="AF175" i="2"/>
  <c r="BJ174" i="2"/>
  <c r="BI174" i="2"/>
  <c r="BH174" i="2"/>
  <c r="BG174" i="2"/>
  <c r="BF174" i="2"/>
  <c r="BE174" i="2"/>
  <c r="BD174" i="2"/>
  <c r="BC174" i="2"/>
  <c r="AU174" i="2"/>
  <c r="AM174" i="2"/>
  <c r="AF174" i="2"/>
  <c r="BJ173" i="2"/>
  <c r="BI173" i="2"/>
  <c r="BH173" i="2"/>
  <c r="BG173" i="2"/>
  <c r="BF173" i="2"/>
  <c r="BE173" i="2"/>
  <c r="BD173" i="2"/>
  <c r="BC173" i="2"/>
  <c r="AU173" i="2"/>
  <c r="AM173" i="2"/>
  <c r="AF173" i="2"/>
  <c r="BJ172" i="2"/>
  <c r="BI172" i="2"/>
  <c r="BH172" i="2"/>
  <c r="BG172" i="2"/>
  <c r="BF172" i="2"/>
  <c r="BE172" i="2"/>
  <c r="BD172" i="2"/>
  <c r="BC172" i="2"/>
  <c r="AU172" i="2"/>
  <c r="AM172" i="2"/>
  <c r="AF172" i="2"/>
  <c r="BB171" i="2"/>
  <c r="BJ171" i="2" s="1"/>
  <c r="BA171" i="2"/>
  <c r="AZ171" i="2"/>
  <c r="BH171" i="2" s="1"/>
  <c r="AY171" i="2"/>
  <c r="BG171" i="2" s="1"/>
  <c r="AX171" i="2"/>
  <c r="BF171" i="2" s="1"/>
  <c r="AW171" i="2"/>
  <c r="BE171" i="2" s="1"/>
  <c r="AV171" i="2"/>
  <c r="BD171" i="2" s="1"/>
  <c r="AU171" i="2"/>
  <c r="AM171" i="2"/>
  <c r="AF171" i="2"/>
  <c r="BJ170" i="2"/>
  <c r="BI170" i="2"/>
  <c r="BD170" i="2"/>
  <c r="AZ170" i="2"/>
  <c r="AY170" i="2"/>
  <c r="BG170" i="2" s="1"/>
  <c r="AX170" i="2"/>
  <c r="AW170" i="2"/>
  <c r="BE170" i="2" s="1"/>
  <c r="AU170" i="2"/>
  <c r="AM170" i="2"/>
  <c r="AF170" i="2"/>
  <c r="BJ169" i="2"/>
  <c r="BI169" i="2"/>
  <c r="BH169" i="2"/>
  <c r="BG169" i="2"/>
  <c r="BF169" i="2"/>
  <c r="BE169" i="2"/>
  <c r="BD169" i="2"/>
  <c r="BC169" i="2"/>
  <c r="AU169" i="2"/>
  <c r="AM169" i="2"/>
  <c r="AF169" i="2"/>
  <c r="BJ168" i="2"/>
  <c r="BI168" i="2"/>
  <c r="BH168" i="2"/>
  <c r="BG168" i="2"/>
  <c r="BF168" i="2"/>
  <c r="BE168" i="2"/>
  <c r="BD168" i="2"/>
  <c r="BC168" i="2"/>
  <c r="AU168" i="2"/>
  <c r="AM168" i="2"/>
  <c r="AF168" i="2"/>
  <c r="BJ167" i="2"/>
  <c r="BI167" i="2"/>
  <c r="BH167" i="2"/>
  <c r="BG167" i="2"/>
  <c r="BF167" i="2"/>
  <c r="BE167" i="2"/>
  <c r="BD167" i="2"/>
  <c r="BC167" i="2"/>
  <c r="AU167" i="2"/>
  <c r="AM167" i="2"/>
  <c r="AF167" i="2"/>
  <c r="BJ166" i="2"/>
  <c r="BI166" i="2"/>
  <c r="AZ166" i="2"/>
  <c r="BH166" i="2" s="1"/>
  <c r="AY166" i="2"/>
  <c r="BG166" i="2" s="1"/>
  <c r="AX166" i="2"/>
  <c r="BF166" i="2" s="1"/>
  <c r="AW166" i="2"/>
  <c r="BE166" i="2" s="1"/>
  <c r="AV166" i="2"/>
  <c r="BD166" i="2" s="1"/>
  <c r="AU166" i="2"/>
  <c r="AM166" i="2"/>
  <c r="AF166" i="2"/>
  <c r="BJ165" i="2"/>
  <c r="BI165" i="2"/>
  <c r="BH165" i="2"/>
  <c r="BG165" i="2"/>
  <c r="BF165" i="2"/>
  <c r="BE165" i="2"/>
  <c r="BD165" i="2"/>
  <c r="BC165" i="2"/>
  <c r="AU165" i="2"/>
  <c r="AM165" i="2"/>
  <c r="AF165" i="2"/>
  <c r="BJ164" i="2"/>
  <c r="BI164" i="2"/>
  <c r="BH164" i="2"/>
  <c r="BG164" i="2"/>
  <c r="BF164" i="2"/>
  <c r="BE164" i="2"/>
  <c r="BD164" i="2"/>
  <c r="BC164" i="2"/>
  <c r="AU164" i="2"/>
  <c r="AM164" i="2"/>
  <c r="AF164" i="2"/>
  <c r="BC163" i="2"/>
  <c r="AU163" i="2"/>
  <c r="AM163" i="2"/>
  <c r="AF163" i="2"/>
  <c r="BJ162" i="2"/>
  <c r="BI162" i="2"/>
  <c r="BH162" i="2"/>
  <c r="BG162" i="2"/>
  <c r="BF162" i="2"/>
  <c r="BE162" i="2"/>
  <c r="BD162" i="2"/>
  <c r="BC162" i="2"/>
  <c r="AU162" i="2"/>
  <c r="AM162" i="2"/>
  <c r="AF162" i="2"/>
  <c r="BJ161" i="2"/>
  <c r="BI161" i="2"/>
  <c r="BH161" i="2"/>
  <c r="BG161" i="2"/>
  <c r="BF161" i="2"/>
  <c r="BE161" i="2"/>
  <c r="BD161" i="2"/>
  <c r="BC161" i="2"/>
  <c r="AU161" i="2"/>
  <c r="AM161" i="2"/>
  <c r="AF161" i="2"/>
  <c r="BJ160" i="2"/>
  <c r="BI160" i="2"/>
  <c r="BH160" i="2"/>
  <c r="BG160" i="2"/>
  <c r="BF160" i="2"/>
  <c r="BE160" i="2"/>
  <c r="BD160" i="2"/>
  <c r="BC160" i="2"/>
  <c r="AU160" i="2"/>
  <c r="AM160" i="2"/>
  <c r="AF160" i="2"/>
  <c r="BJ159" i="2"/>
  <c r="BI159" i="2"/>
  <c r="BH159" i="2"/>
  <c r="BG159" i="2"/>
  <c r="BF159" i="2"/>
  <c r="BE159" i="2"/>
  <c r="BD159" i="2"/>
  <c r="BC159" i="2"/>
  <c r="AU159" i="2"/>
  <c r="AM159" i="2"/>
  <c r="AF159" i="2"/>
  <c r="BD158" i="2"/>
  <c r="BB158" i="2"/>
  <c r="BJ158" i="2" s="1"/>
  <c r="BA158" i="2"/>
  <c r="BI158" i="2" s="1"/>
  <c r="AZ158" i="2"/>
  <c r="AY158" i="2"/>
  <c r="BG158" i="2" s="1"/>
  <c r="AX158" i="2"/>
  <c r="BF158" i="2" s="1"/>
  <c r="AW158" i="2"/>
  <c r="BE158" i="2" s="1"/>
  <c r="AU158" i="2"/>
  <c r="AM158" i="2"/>
  <c r="AF158" i="2"/>
  <c r="AT157" i="2"/>
  <c r="AS157" i="2"/>
  <c r="AR157" i="2"/>
  <c r="AQ157" i="2"/>
  <c r="AP157" i="2"/>
  <c r="AO157" i="2"/>
  <c r="AN157" i="2"/>
  <c r="AL157" i="2"/>
  <c r="AK157" i="2"/>
  <c r="AJ157" i="2"/>
  <c r="AI157" i="2"/>
  <c r="AH157" i="2"/>
  <c r="AG157" i="2"/>
  <c r="AE157" i="2"/>
  <c r="AD157" i="2"/>
  <c r="AC157" i="2"/>
  <c r="AB157" i="2"/>
  <c r="AA157" i="2"/>
  <c r="Z157" i="2"/>
  <c r="Y157" i="2"/>
  <c r="BJ155" i="2"/>
  <c r="BI155" i="2"/>
  <c r="BH155" i="2"/>
  <c r="BG155" i="2"/>
  <c r="BE155" i="2"/>
  <c r="BD155" i="2"/>
  <c r="AX155" i="2"/>
  <c r="BC155" i="2" s="1"/>
  <c r="AU155" i="2"/>
  <c r="AM155" i="2"/>
  <c r="AF155" i="2"/>
  <c r="BJ154" i="2"/>
  <c r="BI154" i="2"/>
  <c r="BH154" i="2"/>
  <c r="BG154" i="2"/>
  <c r="BF154" i="2"/>
  <c r="BE154" i="2"/>
  <c r="BD154" i="2"/>
  <c r="BC154" i="2"/>
  <c r="AU154" i="2"/>
  <c r="AM154" i="2"/>
  <c r="AF154" i="2"/>
  <c r="W154" i="2"/>
  <c r="V154" i="2"/>
  <c r="U154" i="2"/>
  <c r="BJ153" i="2"/>
  <c r="BI153" i="2"/>
  <c r="BH153" i="2"/>
  <c r="BG153" i="2"/>
  <c r="BE153" i="2"/>
  <c r="BD153" i="2"/>
  <c r="AI153" i="2"/>
  <c r="AF153" i="2"/>
  <c r="BJ152" i="2"/>
  <c r="BI152" i="2"/>
  <c r="BH152" i="2"/>
  <c r="BG152" i="2"/>
  <c r="BF152" i="2"/>
  <c r="BE152" i="2"/>
  <c r="BD152" i="2"/>
  <c r="BC152" i="2"/>
  <c r="AU152" i="2"/>
  <c r="AM152" i="2"/>
  <c r="AF152" i="2"/>
  <c r="BJ151" i="2"/>
  <c r="BI151" i="2"/>
  <c r="BH151" i="2"/>
  <c r="BG151" i="2"/>
  <c r="BE151" i="2"/>
  <c r="BD151" i="2"/>
  <c r="AI151" i="2"/>
  <c r="AM151" i="2" s="1"/>
  <c r="AF151" i="2"/>
  <c r="BJ150" i="2"/>
  <c r="BI150" i="2"/>
  <c r="BH150" i="2"/>
  <c r="BG150" i="2"/>
  <c r="BE150" i="2"/>
  <c r="BD150" i="2"/>
  <c r="AP150" i="2"/>
  <c r="AX150" i="2" s="1"/>
  <c r="BC150" i="2" s="1"/>
  <c r="AF150" i="2"/>
  <c r="BJ149" i="2"/>
  <c r="BI149" i="2"/>
  <c r="BH149" i="2"/>
  <c r="BG149" i="2"/>
  <c r="BF149" i="2"/>
  <c r="BE149" i="2"/>
  <c r="BD149" i="2"/>
  <c r="BC149" i="2"/>
  <c r="AU149" i="2"/>
  <c r="AM149" i="2"/>
  <c r="AF149" i="2"/>
  <c r="BB148" i="2"/>
  <c r="BA148" i="2"/>
  <c r="AZ148" i="2"/>
  <c r="AY148" i="2"/>
  <c r="AW148" i="2"/>
  <c r="AV148" i="2"/>
  <c r="AT148" i="2"/>
  <c r="AS148" i="2"/>
  <c r="AD148" i="2"/>
  <c r="AR148" i="2"/>
  <c r="AQ148" i="2"/>
  <c r="AO148" i="2"/>
  <c r="AN148" i="2"/>
  <c r="AL148" i="2"/>
  <c r="AK148" i="2"/>
  <c r="AJ148" i="2"/>
  <c r="AH148" i="2"/>
  <c r="AG148" i="2"/>
  <c r="AE148" i="2"/>
  <c r="AC148" i="2"/>
  <c r="AB148" i="2"/>
  <c r="AA148" i="2"/>
  <c r="Z148" i="2"/>
  <c r="Y148" i="2"/>
  <c r="BJ147" i="2"/>
  <c r="BI147" i="2"/>
  <c r="BH147" i="2"/>
  <c r="BG147" i="2"/>
  <c r="BF147" i="2"/>
  <c r="BE147" i="2"/>
  <c r="BD147" i="2"/>
  <c r="BC147" i="2"/>
  <c r="AU147" i="2"/>
  <c r="AM147" i="2"/>
  <c r="AF147" i="2"/>
  <c r="BJ146" i="2"/>
  <c r="BI146" i="2"/>
  <c r="BH146" i="2"/>
  <c r="BG146" i="2"/>
  <c r="BE146" i="2"/>
  <c r="BD146" i="2"/>
  <c r="AI146" i="2"/>
  <c r="AM146" i="2" s="1"/>
  <c r="AF146" i="2"/>
  <c r="BJ145" i="2"/>
  <c r="BI145" i="2"/>
  <c r="BH145" i="2"/>
  <c r="BG145" i="2"/>
  <c r="BF145" i="2"/>
  <c r="BE145" i="2"/>
  <c r="BD145" i="2"/>
  <c r="BC145" i="2"/>
  <c r="AU145" i="2"/>
  <c r="AM145" i="2"/>
  <c r="AF145" i="2"/>
  <c r="BJ144" i="2"/>
  <c r="BI144" i="2"/>
  <c r="BH144" i="2"/>
  <c r="BG144" i="2"/>
  <c r="BF144" i="2"/>
  <c r="BE144" i="2"/>
  <c r="BD144" i="2"/>
  <c r="BC144" i="2"/>
  <c r="AU144" i="2"/>
  <c r="AM144" i="2"/>
  <c r="AF144" i="2"/>
  <c r="W144" i="2"/>
  <c r="V144" i="2"/>
  <c r="U144" i="2"/>
  <c r="BJ143" i="2"/>
  <c r="BI143" i="2"/>
  <c r="BH143" i="2"/>
  <c r="BG143" i="2"/>
  <c r="BE143" i="2"/>
  <c r="BD143" i="2"/>
  <c r="AP143" i="2"/>
  <c r="AX143" i="2" s="1"/>
  <c r="BC143" i="2" s="1"/>
  <c r="AM143" i="2"/>
  <c r="AA143" i="2"/>
  <c r="BJ142" i="2"/>
  <c r="BI142" i="2"/>
  <c r="BH142" i="2"/>
  <c r="BG142" i="2"/>
  <c r="BF142" i="2"/>
  <c r="BE142" i="2"/>
  <c r="BD142" i="2"/>
  <c r="BC142" i="2"/>
  <c r="AU142" i="2"/>
  <c r="AM142" i="2"/>
  <c r="AF142" i="2"/>
  <c r="BJ141" i="2"/>
  <c r="BI141" i="2"/>
  <c r="BH141" i="2"/>
  <c r="BG141" i="2"/>
  <c r="BF141" i="2"/>
  <c r="BE141" i="2"/>
  <c r="BD141" i="2"/>
  <c r="BC141" i="2"/>
  <c r="AU141" i="2"/>
  <c r="AM141" i="2"/>
  <c r="AF141" i="2"/>
  <c r="BJ140" i="2"/>
  <c r="BI140" i="2"/>
  <c r="BH140" i="2"/>
  <c r="BG140" i="2"/>
  <c r="BF140" i="2"/>
  <c r="BE140" i="2"/>
  <c r="BD140" i="2"/>
  <c r="BC140" i="2"/>
  <c r="AU140" i="2"/>
  <c r="AM140" i="2"/>
  <c r="AF140" i="2"/>
  <c r="BJ139" i="2"/>
  <c r="BI139" i="2"/>
  <c r="BH139" i="2"/>
  <c r="BG139" i="2"/>
  <c r="BF139" i="2"/>
  <c r="BE139" i="2"/>
  <c r="BD139" i="2"/>
  <c r="BC139" i="2"/>
  <c r="AU139" i="2"/>
  <c r="AM139" i="2"/>
  <c r="AF139" i="2"/>
  <c r="BB138" i="2"/>
  <c r="BA138" i="2"/>
  <c r="AZ138" i="2"/>
  <c r="AR138" i="2"/>
  <c r="AK138" i="2"/>
  <c r="AC138" i="2"/>
  <c r="AY138" i="2"/>
  <c r="AW138" i="2"/>
  <c r="AV138" i="2"/>
  <c r="AT138" i="2"/>
  <c r="AS138" i="2"/>
  <c r="AQ138" i="2"/>
  <c r="AO138" i="2"/>
  <c r="AN138" i="2"/>
  <c r="AL138" i="2"/>
  <c r="AJ138" i="2"/>
  <c r="AH138" i="2"/>
  <c r="AG138" i="2"/>
  <c r="AG123" i="2"/>
  <c r="AE138" i="2"/>
  <c r="AD138" i="2"/>
  <c r="AB138" i="2"/>
  <c r="Z138" i="2"/>
  <c r="Y138" i="2"/>
  <c r="BJ137" i="2"/>
  <c r="BI137" i="2"/>
  <c r="BH137" i="2"/>
  <c r="BG137" i="2"/>
  <c r="BE137" i="2"/>
  <c r="BD137" i="2"/>
  <c r="AM137" i="2"/>
  <c r="AF137" i="2"/>
  <c r="BJ136" i="2"/>
  <c r="BI136" i="2"/>
  <c r="BH136" i="2"/>
  <c r="BG136" i="2"/>
  <c r="BF136" i="2"/>
  <c r="BE136" i="2"/>
  <c r="BD136" i="2"/>
  <c r="BC136" i="2"/>
  <c r="AU136" i="2"/>
  <c r="AM136" i="2"/>
  <c r="AF136" i="2"/>
  <c r="BJ135" i="2"/>
  <c r="BI135" i="2"/>
  <c r="BH135" i="2"/>
  <c r="BG135" i="2"/>
  <c r="BF135" i="2"/>
  <c r="BE135" i="2"/>
  <c r="BD135" i="2"/>
  <c r="BC135" i="2"/>
  <c r="AU135" i="2"/>
  <c r="AM135" i="2"/>
  <c r="AF135" i="2"/>
  <c r="BJ134" i="2"/>
  <c r="BI134" i="2"/>
  <c r="BH134" i="2"/>
  <c r="BG134" i="2"/>
  <c r="BF134" i="2"/>
  <c r="BE134" i="2"/>
  <c r="BD134" i="2"/>
  <c r="BC134" i="2"/>
  <c r="AU134" i="2"/>
  <c r="AM134" i="2"/>
  <c r="AF134" i="2"/>
  <c r="BJ133" i="2"/>
  <c r="BI133" i="2"/>
  <c r="BH133" i="2"/>
  <c r="BG133" i="2"/>
  <c r="BE133" i="2"/>
  <c r="BD133" i="2"/>
  <c r="AI133" i="2"/>
  <c r="AP133" i="2" s="1"/>
  <c r="AF133" i="2"/>
  <c r="BJ132" i="2"/>
  <c r="BI132" i="2"/>
  <c r="BH132" i="2"/>
  <c r="BG132" i="2"/>
  <c r="BF132" i="2"/>
  <c r="BE132" i="2"/>
  <c r="BD132" i="2"/>
  <c r="BC132" i="2"/>
  <c r="AU132" i="2"/>
  <c r="AM132" i="2"/>
  <c r="AF132" i="2"/>
  <c r="BJ131" i="2"/>
  <c r="BI131" i="2"/>
  <c r="BH131" i="2"/>
  <c r="BG131" i="2"/>
  <c r="BF131" i="2"/>
  <c r="BE131" i="2"/>
  <c r="BD131" i="2"/>
  <c r="BC131" i="2"/>
  <c r="AU131" i="2"/>
  <c r="AM131" i="2"/>
  <c r="AF131" i="2"/>
  <c r="BJ130" i="2"/>
  <c r="BI130" i="2"/>
  <c r="BH130" i="2"/>
  <c r="BG130" i="2"/>
  <c r="BE130" i="2"/>
  <c r="BD130" i="2"/>
  <c r="AI130" i="2"/>
  <c r="AM130" i="2" s="1"/>
  <c r="AF130" i="2"/>
  <c r="BJ129" i="2"/>
  <c r="BI129" i="2"/>
  <c r="BH129" i="2"/>
  <c r="BG129" i="2"/>
  <c r="BE129" i="2"/>
  <c r="BD129" i="2"/>
  <c r="AI129" i="2"/>
  <c r="AF129" i="2"/>
  <c r="BJ128" i="2"/>
  <c r="BI128" i="2"/>
  <c r="BH128" i="2"/>
  <c r="BG128" i="2"/>
  <c r="BE128" i="2"/>
  <c r="BD128" i="2"/>
  <c r="AI128" i="2"/>
  <c r="AP128" i="2" s="1"/>
  <c r="AF128" i="2"/>
  <c r="BJ127" i="2"/>
  <c r="BI127" i="2"/>
  <c r="BH127" i="2"/>
  <c r="BG127" i="2"/>
  <c r="BF127" i="2"/>
  <c r="BE127" i="2"/>
  <c r="BD127" i="2"/>
  <c r="BC127" i="2"/>
  <c r="AU127" i="2"/>
  <c r="AM127" i="2"/>
  <c r="AF127" i="2"/>
  <c r="BJ126" i="2"/>
  <c r="BI126" i="2"/>
  <c r="BH126" i="2"/>
  <c r="BG126" i="2"/>
  <c r="BF126" i="2"/>
  <c r="BE126" i="2"/>
  <c r="BD126" i="2"/>
  <c r="BC126" i="2"/>
  <c r="AU126" i="2"/>
  <c r="AM126" i="2"/>
  <c r="AF126" i="2"/>
  <c r="BJ125" i="2"/>
  <c r="BI125" i="2"/>
  <c r="BH125" i="2"/>
  <c r="BG125" i="2"/>
  <c r="BE125" i="2"/>
  <c r="BD125" i="2"/>
  <c r="AP125" i="2"/>
  <c r="AM125" i="2"/>
  <c r="AF125" i="2"/>
  <c r="BJ124" i="2"/>
  <c r="BI124" i="2"/>
  <c r="BH124" i="2"/>
  <c r="BG124" i="2"/>
  <c r="BF124" i="2"/>
  <c r="BE124" i="2"/>
  <c r="BD124" i="2"/>
  <c r="BC124" i="2"/>
  <c r="AU124" i="2"/>
  <c r="AM124" i="2"/>
  <c r="AF124" i="2"/>
  <c r="BB123" i="2"/>
  <c r="BA123" i="2"/>
  <c r="AZ123" i="2"/>
  <c r="AY123" i="2"/>
  <c r="AW123" i="2"/>
  <c r="AV123" i="2"/>
  <c r="AN123" i="2"/>
  <c r="Y123" i="2"/>
  <c r="AT123" i="2"/>
  <c r="AS123" i="2"/>
  <c r="AR123" i="2"/>
  <c r="AQ123" i="2"/>
  <c r="AO123" i="2"/>
  <c r="AL123" i="2"/>
  <c r="AK123" i="2"/>
  <c r="AJ123" i="2"/>
  <c r="AH123" i="2"/>
  <c r="AE123" i="2"/>
  <c r="AD123" i="2"/>
  <c r="AC123" i="2"/>
  <c r="AB123" i="2"/>
  <c r="AA123" i="2"/>
  <c r="Z123" i="2"/>
  <c r="BK121" i="2"/>
  <c r="BJ121" i="2"/>
  <c r="BI121" i="2"/>
  <c r="BH121" i="2"/>
  <c r="BG121" i="2"/>
  <c r="BE121" i="2"/>
  <c r="BD121" i="2"/>
  <c r="BJ120" i="2"/>
  <c r="BI120" i="2"/>
  <c r="BH120" i="2"/>
  <c r="BG120" i="2"/>
  <c r="BF120" i="2"/>
  <c r="BE120" i="2"/>
  <c r="BD120" i="2"/>
  <c r="BC120" i="2"/>
  <c r="AU120" i="2"/>
  <c r="AM120" i="2"/>
  <c r="AF120" i="2"/>
  <c r="X120" i="2"/>
  <c r="BJ119" i="2"/>
  <c r="BI119" i="2"/>
  <c r="BH119" i="2"/>
  <c r="BG119" i="2"/>
  <c r="BF119" i="2"/>
  <c r="BE119" i="2"/>
  <c r="BD119" i="2"/>
  <c r="BC119" i="2"/>
  <c r="AU119" i="2"/>
  <c r="AM119" i="2"/>
  <c r="AF119" i="2"/>
  <c r="X119" i="2"/>
  <c r="BJ118" i="2"/>
  <c r="BI118" i="2"/>
  <c r="BH118" i="2"/>
  <c r="BG118" i="2"/>
  <c r="BF118" i="2"/>
  <c r="BE118" i="2"/>
  <c r="BD118" i="2"/>
  <c r="BC118" i="2"/>
  <c r="AU118" i="2"/>
  <c r="AM118" i="2"/>
  <c r="AF118" i="2"/>
  <c r="X118" i="2"/>
  <c r="BJ117" i="2"/>
  <c r="BI117" i="2"/>
  <c r="BH117" i="2"/>
  <c r="BG117" i="2"/>
  <c r="BF117" i="2"/>
  <c r="BE117" i="2"/>
  <c r="BD117" i="2"/>
  <c r="BC117" i="2"/>
  <c r="AU117" i="2"/>
  <c r="AM117" i="2"/>
  <c r="AF117" i="2"/>
  <c r="X117" i="2"/>
  <c r="BB116" i="2"/>
  <c r="BA116" i="2"/>
  <c r="AZ116" i="2"/>
  <c r="AY116" i="2"/>
  <c r="AX116" i="2"/>
  <c r="AW116" i="2"/>
  <c r="AV116" i="2"/>
  <c r="AN116" i="2"/>
  <c r="AG116" i="2"/>
  <c r="Y116" i="2"/>
  <c r="AT116" i="2"/>
  <c r="AS116" i="2"/>
  <c r="AR116" i="2"/>
  <c r="AQ116" i="2"/>
  <c r="AP116" i="2"/>
  <c r="AO116" i="2"/>
  <c r="AL116" i="2"/>
  <c r="AE116" i="2"/>
  <c r="AK116" i="2"/>
  <c r="AJ116" i="2"/>
  <c r="AI116" i="2"/>
  <c r="AH116" i="2"/>
  <c r="AD116" i="2"/>
  <c r="AC116" i="2"/>
  <c r="AB116" i="2"/>
  <c r="AA116" i="2"/>
  <c r="Z116" i="2"/>
  <c r="BJ115" i="2"/>
  <c r="BI115" i="2"/>
  <c r="BH115" i="2"/>
  <c r="BG115" i="2"/>
  <c r="BF115" i="2"/>
  <c r="BE115" i="2"/>
  <c r="BD115" i="2"/>
  <c r="BC115" i="2"/>
  <c r="AU115" i="2"/>
  <c r="AM115" i="2"/>
  <c r="AF115" i="2"/>
  <c r="X115" i="2"/>
  <c r="BJ114" i="2"/>
  <c r="BI114" i="2"/>
  <c r="BH114" i="2"/>
  <c r="BG114" i="2"/>
  <c r="BF114" i="2"/>
  <c r="BE114" i="2"/>
  <c r="BD114" i="2"/>
  <c r="BC114" i="2"/>
  <c r="AU114" i="2"/>
  <c r="AM114" i="2"/>
  <c r="AF114" i="2"/>
  <c r="X114" i="2"/>
  <c r="BJ113" i="2"/>
  <c r="BI113" i="2"/>
  <c r="BH113" i="2"/>
  <c r="BG113" i="2"/>
  <c r="BF113" i="2"/>
  <c r="BE113" i="2"/>
  <c r="BD113" i="2"/>
  <c r="BC113" i="2"/>
  <c r="AU113" i="2"/>
  <c r="AM113" i="2"/>
  <c r="AF113" i="2"/>
  <c r="X113" i="2"/>
  <c r="BJ112" i="2"/>
  <c r="BI112" i="2"/>
  <c r="BH112" i="2"/>
  <c r="BG112" i="2"/>
  <c r="BF112" i="2"/>
  <c r="BE112" i="2"/>
  <c r="BD112" i="2"/>
  <c r="BC112" i="2"/>
  <c r="AU112" i="2"/>
  <c r="AM112" i="2"/>
  <c r="AF112" i="2"/>
  <c r="X112" i="2"/>
  <c r="BJ111" i="2"/>
  <c r="BI111" i="2"/>
  <c r="BH111" i="2"/>
  <c r="BG111" i="2"/>
  <c r="BF111" i="2"/>
  <c r="BE111" i="2"/>
  <c r="BD111" i="2"/>
  <c r="BC111" i="2"/>
  <c r="AU111" i="2"/>
  <c r="AM111" i="2"/>
  <c r="AF111" i="2"/>
  <c r="X111" i="2"/>
  <c r="BB110" i="2"/>
  <c r="BA110" i="2"/>
  <c r="AZ110" i="2"/>
  <c r="AY110" i="2"/>
  <c r="AX110" i="2"/>
  <c r="AW110" i="2"/>
  <c r="AV110" i="2"/>
  <c r="AT110" i="2"/>
  <c r="AS110" i="2"/>
  <c r="AR110" i="2"/>
  <c r="AQ110" i="2"/>
  <c r="AP110" i="2"/>
  <c r="AO110" i="2"/>
  <c r="AN110" i="2"/>
  <c r="AL110" i="2"/>
  <c r="AK110" i="2"/>
  <c r="AJ110" i="2"/>
  <c r="AI110" i="2"/>
  <c r="AI109" i="2" s="1"/>
  <c r="AH110" i="2"/>
  <c r="AG110" i="2"/>
  <c r="AG109" i="2" s="1"/>
  <c r="AE110" i="2"/>
  <c r="AD110" i="2"/>
  <c r="AC110" i="2"/>
  <c r="AB110" i="2"/>
  <c r="AA110" i="2"/>
  <c r="Z110" i="2"/>
  <c r="Y110" i="2"/>
  <c r="BJ108" i="2"/>
  <c r="BI108" i="2"/>
  <c r="BH108" i="2"/>
  <c r="BG108" i="2"/>
  <c r="BE108" i="2"/>
  <c r="AI108" i="2"/>
  <c r="AP108" i="2" s="1"/>
  <c r="AX108" i="2" s="1"/>
  <c r="BF108" i="2" s="1"/>
  <c r="AG108" i="2"/>
  <c r="AN108" i="2" s="1"/>
  <c r="AV108" i="2" s="1"/>
  <c r="BD108" i="2" s="1"/>
  <c r="AF108" i="2"/>
  <c r="BK108" i="2" s="1"/>
  <c r="BJ107" i="2"/>
  <c r="BI107" i="2"/>
  <c r="BH107" i="2"/>
  <c r="BG107" i="2"/>
  <c r="BF107" i="2"/>
  <c r="BE107" i="2"/>
  <c r="BD107" i="2"/>
  <c r="BC107" i="2"/>
  <c r="AU107" i="2"/>
  <c r="AM107" i="2"/>
  <c r="AF107" i="2"/>
  <c r="BJ106" i="2"/>
  <c r="BI106" i="2"/>
  <c r="BH106" i="2"/>
  <c r="BG106" i="2"/>
  <c r="BF106" i="2"/>
  <c r="BE106" i="2"/>
  <c r="BD106" i="2"/>
  <c r="BC106" i="2"/>
  <c r="AU106" i="2"/>
  <c r="AM106" i="2"/>
  <c r="AF106" i="2"/>
  <c r="BJ105" i="2"/>
  <c r="BI105" i="2"/>
  <c r="BH105" i="2"/>
  <c r="BG105" i="2"/>
  <c r="BF105" i="2"/>
  <c r="BE105" i="2"/>
  <c r="BD105" i="2"/>
  <c r="BC105" i="2"/>
  <c r="AU105" i="2"/>
  <c r="AM105" i="2"/>
  <c r="AF105" i="2"/>
  <c r="BJ104" i="2"/>
  <c r="BI104" i="2"/>
  <c r="BH104" i="2"/>
  <c r="BG104" i="2"/>
  <c r="BF104" i="2"/>
  <c r="BE104" i="2"/>
  <c r="BD104" i="2"/>
  <c r="BC104" i="2"/>
  <c r="AU104" i="2"/>
  <c r="AM104" i="2"/>
  <c r="AF104" i="2"/>
  <c r="BJ103" i="2"/>
  <c r="BI103" i="2"/>
  <c r="BH103" i="2"/>
  <c r="BG103" i="2"/>
  <c r="BF103" i="2"/>
  <c r="BE103" i="2"/>
  <c r="BD103" i="2"/>
  <c r="BC103" i="2"/>
  <c r="AU103" i="2"/>
  <c r="AM103" i="2"/>
  <c r="AF103" i="2"/>
  <c r="BJ102" i="2"/>
  <c r="BI102" i="2"/>
  <c r="BH102" i="2"/>
  <c r="BG102" i="2"/>
  <c r="BF102" i="2"/>
  <c r="BE102" i="2"/>
  <c r="BD102" i="2"/>
  <c r="BC102" i="2"/>
  <c r="AU102" i="2"/>
  <c r="AM102" i="2"/>
  <c r="AF102" i="2"/>
  <c r="BJ101" i="2"/>
  <c r="BI101" i="2"/>
  <c r="BH101" i="2"/>
  <c r="BG101" i="2"/>
  <c r="BF101" i="2"/>
  <c r="BE101" i="2"/>
  <c r="BD101" i="2"/>
  <c r="BC101" i="2"/>
  <c r="AU101" i="2"/>
  <c r="AM101" i="2"/>
  <c r="AF101" i="2"/>
  <c r="BJ100" i="2"/>
  <c r="BI100" i="2"/>
  <c r="BH100" i="2"/>
  <c r="BG100" i="2"/>
  <c r="BF100" i="2"/>
  <c r="BE100" i="2"/>
  <c r="BD100" i="2"/>
  <c r="BC100" i="2"/>
  <c r="AU100" i="2"/>
  <c r="AM100" i="2"/>
  <c r="AF100" i="2"/>
  <c r="BB99" i="2"/>
  <c r="BA99" i="2"/>
  <c r="AZ99" i="2"/>
  <c r="AY99" i="2"/>
  <c r="AX99" i="2"/>
  <c r="AW99" i="2"/>
  <c r="AV99" i="2"/>
  <c r="AT99" i="2"/>
  <c r="AS99" i="2"/>
  <c r="AR99" i="2"/>
  <c r="AQ99" i="2"/>
  <c r="AP99" i="2"/>
  <c r="AO99" i="2"/>
  <c r="AN99" i="2"/>
  <c r="AL99" i="2"/>
  <c r="AK99" i="2"/>
  <c r="AJ99" i="2"/>
  <c r="AI99" i="2"/>
  <c r="AH99" i="2"/>
  <c r="AG99" i="2"/>
  <c r="AE99" i="2"/>
  <c r="AD99" i="2"/>
  <c r="AC99" i="2"/>
  <c r="AB99" i="2"/>
  <c r="AA99" i="2"/>
  <c r="Z99" i="2"/>
  <c r="Z87" i="2"/>
  <c r="Y99" i="2"/>
  <c r="BJ98" i="2"/>
  <c r="BI98" i="2"/>
  <c r="BH98" i="2"/>
  <c r="BG98" i="2"/>
  <c r="BF98" i="2"/>
  <c r="BE98" i="2"/>
  <c r="BD98" i="2"/>
  <c r="BC98" i="2"/>
  <c r="AU98" i="2"/>
  <c r="AM98" i="2"/>
  <c r="AF98" i="2"/>
  <c r="BJ97" i="2"/>
  <c r="BI97" i="2"/>
  <c r="BH97" i="2"/>
  <c r="BG97" i="2"/>
  <c r="BF97" i="2"/>
  <c r="BE97" i="2"/>
  <c r="BD97" i="2"/>
  <c r="BC97" i="2"/>
  <c r="AU97" i="2"/>
  <c r="AM97" i="2"/>
  <c r="AF97" i="2"/>
  <c r="BJ96" i="2"/>
  <c r="BI96" i="2"/>
  <c r="BH96" i="2"/>
  <c r="BG96" i="2"/>
  <c r="BF96" i="2"/>
  <c r="BE96" i="2"/>
  <c r="BD96" i="2"/>
  <c r="BC96" i="2"/>
  <c r="AU96" i="2"/>
  <c r="AM96" i="2"/>
  <c r="AF96" i="2"/>
  <c r="BJ95" i="2"/>
  <c r="BI95" i="2"/>
  <c r="BH95" i="2"/>
  <c r="BG95" i="2"/>
  <c r="BF95" i="2"/>
  <c r="BE95" i="2"/>
  <c r="BD95" i="2"/>
  <c r="BC95" i="2"/>
  <c r="AU95" i="2"/>
  <c r="AM95" i="2"/>
  <c r="AF95" i="2"/>
  <c r="BJ94" i="2"/>
  <c r="BI94" i="2"/>
  <c r="BH94" i="2"/>
  <c r="BG94" i="2"/>
  <c r="BF94" i="2"/>
  <c r="BE94" i="2"/>
  <c r="BD94" i="2"/>
  <c r="BC94" i="2"/>
  <c r="AU94" i="2"/>
  <c r="AM94" i="2"/>
  <c r="AF94" i="2"/>
  <c r="BJ93" i="2"/>
  <c r="BI93" i="2"/>
  <c r="BH93" i="2"/>
  <c r="BG93" i="2"/>
  <c r="BF93" i="2"/>
  <c r="BE93" i="2"/>
  <c r="BD93" i="2"/>
  <c r="BC93" i="2"/>
  <c r="AU93" i="2"/>
  <c r="AM93" i="2"/>
  <c r="AF93" i="2"/>
  <c r="BJ92" i="2"/>
  <c r="BI92" i="2"/>
  <c r="BH92" i="2"/>
  <c r="BG92" i="2"/>
  <c r="BF92" i="2"/>
  <c r="BE92" i="2"/>
  <c r="BD92" i="2"/>
  <c r="BC92" i="2"/>
  <c r="AU92" i="2"/>
  <c r="AM92" i="2"/>
  <c r="AF92" i="2"/>
  <c r="BJ91" i="2"/>
  <c r="BI91" i="2"/>
  <c r="BH91" i="2"/>
  <c r="BG91" i="2"/>
  <c r="BF91" i="2"/>
  <c r="BE91" i="2"/>
  <c r="BD91" i="2"/>
  <c r="BC91" i="2"/>
  <c r="AU91" i="2"/>
  <c r="AM91" i="2"/>
  <c r="AF91" i="2"/>
  <c r="BJ90" i="2"/>
  <c r="BI90" i="2"/>
  <c r="BH90" i="2"/>
  <c r="BG90" i="2"/>
  <c r="BF90" i="2"/>
  <c r="BE90" i="2"/>
  <c r="BD90" i="2"/>
  <c r="BC90" i="2"/>
  <c r="AU90" i="2"/>
  <c r="AM90" i="2"/>
  <c r="AF90" i="2"/>
  <c r="BJ89" i="2"/>
  <c r="BI89" i="2"/>
  <c r="BH89" i="2"/>
  <c r="BG89" i="2"/>
  <c r="BF89" i="2"/>
  <c r="BE89" i="2"/>
  <c r="BD89" i="2"/>
  <c r="BC89" i="2"/>
  <c r="AU89" i="2"/>
  <c r="AM89" i="2"/>
  <c r="AF89" i="2"/>
  <c r="BJ88" i="2"/>
  <c r="BI88" i="2"/>
  <c r="BH88" i="2"/>
  <c r="BG88" i="2"/>
  <c r="BF88" i="2"/>
  <c r="BE88" i="2"/>
  <c r="BD88" i="2"/>
  <c r="BC88" i="2"/>
  <c r="AU88" i="2"/>
  <c r="AM88" i="2"/>
  <c r="AF88" i="2"/>
  <c r="BB87" i="2"/>
  <c r="BA87" i="2"/>
  <c r="AZ87" i="2"/>
  <c r="AR87" i="2"/>
  <c r="AK87" i="2"/>
  <c r="AC87" i="2"/>
  <c r="AY87" i="2"/>
  <c r="AX87" i="2"/>
  <c r="AW87" i="2"/>
  <c r="AV87" i="2"/>
  <c r="AT87" i="2"/>
  <c r="AS87" i="2"/>
  <c r="AQ87" i="2"/>
  <c r="AP87" i="2"/>
  <c r="AO87" i="2"/>
  <c r="AN87" i="2"/>
  <c r="AL87" i="2"/>
  <c r="AJ87" i="2"/>
  <c r="AI87" i="2"/>
  <c r="AH87" i="2"/>
  <c r="AG87" i="2"/>
  <c r="AE87" i="2"/>
  <c r="AE86" i="2" s="1"/>
  <c r="AD87" i="2"/>
  <c r="AB87" i="2"/>
  <c r="AA87" i="2"/>
  <c r="Y87" i="2"/>
  <c r="BJ85" i="2"/>
  <c r="BI85" i="2"/>
  <c r="BH85" i="2"/>
  <c r="BG85" i="2"/>
  <c r="BE85" i="2"/>
  <c r="BD85" i="2"/>
  <c r="AI85" i="2"/>
  <c r="AP85" i="2" s="1"/>
  <c r="AX85" i="2" s="1"/>
  <c r="BF85" i="2" s="1"/>
  <c r="AF85" i="2"/>
  <c r="BK85" i="2" s="1"/>
  <c r="BJ84" i="2"/>
  <c r="BI84" i="2"/>
  <c r="BH84" i="2"/>
  <c r="BG84" i="2"/>
  <c r="BF84" i="2"/>
  <c r="BE84" i="2"/>
  <c r="BD84" i="2"/>
  <c r="BC84" i="2"/>
  <c r="AU84" i="2"/>
  <c r="AM84" i="2"/>
  <c r="AF84" i="2"/>
  <c r="BJ83" i="2"/>
  <c r="BI83" i="2"/>
  <c r="BH83" i="2"/>
  <c r="BG83" i="2"/>
  <c r="BF83" i="2"/>
  <c r="BE83" i="2"/>
  <c r="BD83" i="2"/>
  <c r="BC83" i="2"/>
  <c r="AU83" i="2"/>
  <c r="AM83" i="2"/>
  <c r="AF83" i="2"/>
  <c r="BJ82" i="2"/>
  <c r="BI82" i="2"/>
  <c r="BH82" i="2"/>
  <c r="BG82" i="2"/>
  <c r="BF82" i="2"/>
  <c r="BE82" i="2"/>
  <c r="BD82" i="2"/>
  <c r="BC82" i="2"/>
  <c r="AU82" i="2"/>
  <c r="AM82" i="2"/>
  <c r="AF82" i="2"/>
  <c r="BJ81" i="2"/>
  <c r="BI81" i="2"/>
  <c r="BH81" i="2"/>
  <c r="BG81" i="2"/>
  <c r="BF81" i="2"/>
  <c r="BE81" i="2"/>
  <c r="BD81" i="2"/>
  <c r="BC81" i="2"/>
  <c r="AU81" i="2"/>
  <c r="AM81" i="2"/>
  <c r="AF81" i="2"/>
  <c r="BJ80" i="2"/>
  <c r="BI80" i="2"/>
  <c r="BH80" i="2"/>
  <c r="BG80" i="2"/>
  <c r="BF80" i="2"/>
  <c r="BE80" i="2"/>
  <c r="BD80" i="2"/>
  <c r="BC80" i="2"/>
  <c r="AU80" i="2"/>
  <c r="AM80" i="2"/>
  <c r="AF80" i="2"/>
  <c r="BJ79" i="2"/>
  <c r="BI79" i="2"/>
  <c r="BH79" i="2"/>
  <c r="BG79" i="2"/>
  <c r="BF79" i="2"/>
  <c r="BE79" i="2"/>
  <c r="BD79" i="2"/>
  <c r="BC79" i="2"/>
  <c r="AU79" i="2"/>
  <c r="AM79" i="2"/>
  <c r="AF79" i="2"/>
  <c r="BJ78" i="2"/>
  <c r="BI78" i="2"/>
  <c r="BH78" i="2"/>
  <c r="BG78" i="2"/>
  <c r="BF78" i="2"/>
  <c r="BE78" i="2"/>
  <c r="BD78" i="2"/>
  <c r="BC78" i="2"/>
  <c r="AU78" i="2"/>
  <c r="AM78" i="2"/>
  <c r="AF78" i="2"/>
  <c r="BJ77" i="2"/>
  <c r="BI77" i="2"/>
  <c r="BH77" i="2"/>
  <c r="BG77" i="2"/>
  <c r="BF77" i="2"/>
  <c r="BE77" i="2"/>
  <c r="BD77" i="2"/>
  <c r="BC77" i="2"/>
  <c r="AU77" i="2"/>
  <c r="AM77" i="2"/>
  <c r="AF77" i="2"/>
  <c r="BJ76" i="2"/>
  <c r="BI76" i="2"/>
  <c r="BH76" i="2"/>
  <c r="BG76" i="2"/>
  <c r="BF76" i="2"/>
  <c r="BE76" i="2"/>
  <c r="BD76" i="2"/>
  <c r="BC76" i="2"/>
  <c r="AU76" i="2"/>
  <c r="AM76" i="2"/>
  <c r="AF76" i="2"/>
  <c r="BB75" i="2"/>
  <c r="BA75" i="2"/>
  <c r="BA51" i="2" s="1"/>
  <c r="AZ75" i="2"/>
  <c r="AY75" i="2"/>
  <c r="AX75" i="2"/>
  <c r="AX51" i="2"/>
  <c r="AW75" i="2"/>
  <c r="AV75" i="2"/>
  <c r="AV51" i="2" s="1"/>
  <c r="AT75" i="2"/>
  <c r="AT51" i="2" s="1"/>
  <c r="AT50" i="2" s="1"/>
  <c r="AS75" i="2"/>
  <c r="AS51" i="2" s="1"/>
  <c r="AS50" i="2" s="1"/>
  <c r="AR75" i="2"/>
  <c r="AR51" i="2" s="1"/>
  <c r="AR50" i="2" s="1"/>
  <c r="AQ75" i="2"/>
  <c r="AQ51" i="2" s="1"/>
  <c r="AQ50" i="2" s="1"/>
  <c r="AP75" i="2"/>
  <c r="AI75" i="2"/>
  <c r="AA75" i="2"/>
  <c r="AO75" i="2"/>
  <c r="AN75" i="2"/>
  <c r="AL75" i="2"/>
  <c r="AL51" i="2" s="1"/>
  <c r="AL50" i="2" s="1"/>
  <c r="AK75" i="2"/>
  <c r="AK51" i="2" s="1"/>
  <c r="AK50" i="2" s="1"/>
  <c r="AJ75" i="2"/>
  <c r="AJ51" i="2" s="1"/>
  <c r="AJ50" i="2" s="1"/>
  <c r="AH75" i="2"/>
  <c r="AG75" i="2"/>
  <c r="AG51" i="2" s="1"/>
  <c r="AG50" i="2" s="1"/>
  <c r="AE75" i="2"/>
  <c r="AD75" i="2"/>
  <c r="AC75" i="2"/>
  <c r="AB75" i="2"/>
  <c r="Z75" i="2"/>
  <c r="Y75" i="2"/>
  <c r="BJ74" i="2"/>
  <c r="BI74" i="2"/>
  <c r="BH74" i="2"/>
  <c r="BG74" i="2"/>
  <c r="BF74" i="2"/>
  <c r="BE74" i="2"/>
  <c r="BD74" i="2"/>
  <c r="BC74" i="2"/>
  <c r="AU74" i="2"/>
  <c r="AM74" i="2"/>
  <c r="AF74" i="2"/>
  <c r="BJ73" i="2"/>
  <c r="BI73" i="2"/>
  <c r="BH73" i="2"/>
  <c r="BG73" i="2"/>
  <c r="BF73" i="2"/>
  <c r="BE73" i="2"/>
  <c r="BD73" i="2"/>
  <c r="BC73" i="2"/>
  <c r="AU73" i="2"/>
  <c r="AM73" i="2"/>
  <c r="AF73" i="2"/>
  <c r="BJ72" i="2"/>
  <c r="BI72" i="2"/>
  <c r="BH72" i="2"/>
  <c r="BG72" i="2"/>
  <c r="BF72" i="2"/>
  <c r="BE72" i="2"/>
  <c r="BD72" i="2"/>
  <c r="BC72" i="2"/>
  <c r="AU72" i="2"/>
  <c r="AM72" i="2"/>
  <c r="AF72" i="2"/>
  <c r="BJ71" i="2"/>
  <c r="BI71" i="2"/>
  <c r="BH71" i="2"/>
  <c r="BG71" i="2"/>
  <c r="BF71" i="2"/>
  <c r="BE71" i="2"/>
  <c r="BD71" i="2"/>
  <c r="BC71" i="2"/>
  <c r="AU71" i="2"/>
  <c r="AM71" i="2"/>
  <c r="AF71" i="2"/>
  <c r="BJ70" i="2"/>
  <c r="BI70" i="2"/>
  <c r="BH70" i="2"/>
  <c r="BG70" i="2"/>
  <c r="BF70" i="2"/>
  <c r="BE70" i="2"/>
  <c r="BD70" i="2"/>
  <c r="BC70" i="2"/>
  <c r="AU70" i="2"/>
  <c r="AM70" i="2"/>
  <c r="AF70" i="2"/>
  <c r="BJ69" i="2"/>
  <c r="BI69" i="2"/>
  <c r="BH69" i="2"/>
  <c r="BG69" i="2"/>
  <c r="BF69" i="2"/>
  <c r="BE69" i="2"/>
  <c r="BD69" i="2"/>
  <c r="BC69" i="2"/>
  <c r="AU69" i="2"/>
  <c r="AM69" i="2"/>
  <c r="AF69" i="2"/>
  <c r="BJ68" i="2"/>
  <c r="BI68" i="2"/>
  <c r="BH68" i="2"/>
  <c r="BG68" i="2"/>
  <c r="BF68" i="2"/>
  <c r="BE68" i="2"/>
  <c r="BD68" i="2"/>
  <c r="BC68" i="2"/>
  <c r="AU68" i="2"/>
  <c r="AM68" i="2"/>
  <c r="AF68" i="2"/>
  <c r="BJ67" i="2"/>
  <c r="BI67" i="2"/>
  <c r="BH67" i="2"/>
  <c r="BG67" i="2"/>
  <c r="BF67" i="2"/>
  <c r="BE67" i="2"/>
  <c r="BD67" i="2"/>
  <c r="BC67" i="2"/>
  <c r="AU67" i="2"/>
  <c r="AM67" i="2"/>
  <c r="AF67" i="2"/>
  <c r="BJ66" i="2"/>
  <c r="BI66" i="2"/>
  <c r="BH66" i="2"/>
  <c r="BG66" i="2"/>
  <c r="BF66" i="2"/>
  <c r="BE66" i="2"/>
  <c r="BD66" i="2"/>
  <c r="BC66" i="2"/>
  <c r="AU66" i="2"/>
  <c r="AM66" i="2"/>
  <c r="AF66" i="2"/>
  <c r="BJ65" i="2"/>
  <c r="BI65" i="2"/>
  <c r="BH65" i="2"/>
  <c r="BG65" i="2"/>
  <c r="BF65" i="2"/>
  <c r="BE65" i="2"/>
  <c r="BD65" i="2"/>
  <c r="BC65" i="2"/>
  <c r="AU65" i="2"/>
  <c r="AM65" i="2"/>
  <c r="AF65" i="2"/>
  <c r="BJ64" i="2"/>
  <c r="BI64" i="2"/>
  <c r="BH64" i="2"/>
  <c r="BG64" i="2"/>
  <c r="BF64" i="2"/>
  <c r="BE64" i="2"/>
  <c r="BD64" i="2"/>
  <c r="BC64" i="2"/>
  <c r="AU64" i="2"/>
  <c r="AM64" i="2"/>
  <c r="AF64" i="2"/>
  <c r="BJ63" i="2"/>
  <c r="BI63" i="2"/>
  <c r="BH63" i="2"/>
  <c r="BG63" i="2"/>
  <c r="BF63" i="2"/>
  <c r="BE63" i="2"/>
  <c r="BD63" i="2"/>
  <c r="BC63" i="2"/>
  <c r="AU63" i="2"/>
  <c r="AM63" i="2"/>
  <c r="AF63" i="2"/>
  <c r="BJ62" i="2"/>
  <c r="BI62" i="2"/>
  <c r="BH62" i="2"/>
  <c r="BG62" i="2"/>
  <c r="BF62" i="2"/>
  <c r="BE62" i="2"/>
  <c r="BD62" i="2"/>
  <c r="BC62" i="2"/>
  <c r="AU62" i="2"/>
  <c r="AM62" i="2"/>
  <c r="AF62" i="2"/>
  <c r="BJ61" i="2"/>
  <c r="BI61" i="2"/>
  <c r="BH61" i="2"/>
  <c r="BG61" i="2"/>
  <c r="BF61" i="2"/>
  <c r="BE61" i="2"/>
  <c r="BD61" i="2"/>
  <c r="BC61" i="2"/>
  <c r="AU61" i="2"/>
  <c r="AM61" i="2"/>
  <c r="AF61" i="2"/>
  <c r="BI60" i="2"/>
  <c r="BC60" i="2"/>
  <c r="AU60" i="2"/>
  <c r="AM60" i="2"/>
  <c r="AF60" i="2"/>
  <c r="BJ59" i="2"/>
  <c r="BI59" i="2"/>
  <c r="BH59" i="2"/>
  <c r="BG59" i="2"/>
  <c r="BF59" i="2"/>
  <c r="BE59" i="2"/>
  <c r="BD59" i="2"/>
  <c r="BC59" i="2"/>
  <c r="AU59" i="2"/>
  <c r="AM59" i="2"/>
  <c r="AF59" i="2"/>
  <c r="BJ58" i="2"/>
  <c r="BI58" i="2"/>
  <c r="BH58" i="2"/>
  <c r="BG58" i="2"/>
  <c r="BF58" i="2"/>
  <c r="BE58" i="2"/>
  <c r="BD58" i="2"/>
  <c r="BC58" i="2"/>
  <c r="AU58" i="2"/>
  <c r="AM58" i="2"/>
  <c r="AF58" i="2"/>
  <c r="BJ57" i="2"/>
  <c r="BI57" i="2"/>
  <c r="BH57" i="2"/>
  <c r="BG57" i="2"/>
  <c r="BF57" i="2"/>
  <c r="BE57" i="2"/>
  <c r="BD57" i="2"/>
  <c r="BC57" i="2"/>
  <c r="AU57" i="2"/>
  <c r="AM57" i="2"/>
  <c r="AF57" i="2"/>
  <c r="BJ56" i="2"/>
  <c r="BI56" i="2"/>
  <c r="BH56" i="2"/>
  <c r="BG56" i="2"/>
  <c r="BF56" i="2"/>
  <c r="BE56" i="2"/>
  <c r="BD56" i="2"/>
  <c r="BC56" i="2"/>
  <c r="AU56" i="2"/>
  <c r="AM56" i="2"/>
  <c r="AF56" i="2"/>
  <c r="BJ55" i="2"/>
  <c r="BI55" i="2"/>
  <c r="BG55" i="2"/>
  <c r="BF55" i="2"/>
  <c r="BE55" i="2"/>
  <c r="BD55" i="2"/>
  <c r="AZ55" i="2"/>
  <c r="AU55" i="2"/>
  <c r="AM55" i="2"/>
  <c r="AF55" i="2"/>
  <c r="BJ54" i="2"/>
  <c r="BI54" i="2"/>
  <c r="BH54" i="2"/>
  <c r="BG54" i="2"/>
  <c r="BF54" i="2"/>
  <c r="BE54" i="2"/>
  <c r="BD54" i="2"/>
  <c r="BC54" i="2"/>
  <c r="AU54" i="2"/>
  <c r="AM54" i="2"/>
  <c r="AF54" i="2"/>
  <c r="BJ53" i="2"/>
  <c r="BI53" i="2"/>
  <c r="BH53" i="2"/>
  <c r="BG53" i="2"/>
  <c r="BF53" i="2"/>
  <c r="BE53" i="2"/>
  <c r="BD53" i="2"/>
  <c r="BC53" i="2"/>
  <c r="AU53" i="2"/>
  <c r="AM53" i="2"/>
  <c r="AF53" i="2"/>
  <c r="BJ52" i="2"/>
  <c r="BI52" i="2"/>
  <c r="BH52" i="2"/>
  <c r="BG52" i="2"/>
  <c r="BF52" i="2"/>
  <c r="BE52" i="2"/>
  <c r="BD52" i="2"/>
  <c r="BC52" i="2"/>
  <c r="AU52" i="2"/>
  <c r="AM52" i="2"/>
  <c r="AF52" i="2"/>
  <c r="AW51" i="2"/>
  <c r="AP51" i="2"/>
  <c r="AO51" i="2"/>
  <c r="AI51" i="2"/>
  <c r="AH51" i="2"/>
  <c r="AE51" i="2"/>
  <c r="AD51" i="2"/>
  <c r="AC51" i="2"/>
  <c r="AB51" i="2"/>
  <c r="AB50" i="2" s="1"/>
  <c r="AA51" i="2"/>
  <c r="Z51" i="2"/>
  <c r="Y51" i="2"/>
  <c r="BJ49" i="2"/>
  <c r="BI49" i="2"/>
  <c r="BH49" i="2"/>
  <c r="BG49" i="2"/>
  <c r="BD49" i="2"/>
  <c r="AI49" i="2"/>
  <c r="AP49" i="2" s="1"/>
  <c r="AX49" i="2"/>
  <c r="BF49" i="2" s="1"/>
  <c r="AH49" i="2"/>
  <c r="AO49" i="2" s="1"/>
  <c r="AW49" i="2"/>
  <c r="BE49" i="2" s="1"/>
  <c r="AF49" i="2"/>
  <c r="BF48" i="2"/>
  <c r="BD48" i="2"/>
  <c r="BB48" i="2"/>
  <c r="AT48" i="2"/>
  <c r="AL48" i="2"/>
  <c r="AK48" i="2"/>
  <c r="AJ48" i="2"/>
  <c r="AQ48" i="2" s="1"/>
  <c r="AY48" i="2" s="1"/>
  <c r="BG48" i="2" s="1"/>
  <c r="AH48" i="2"/>
  <c r="AO48" i="2"/>
  <c r="AW48" i="2" s="1"/>
  <c r="AE48" i="2"/>
  <c r="AF48" i="2" s="1"/>
  <c r="BJ47" i="2"/>
  <c r="BI47" i="2"/>
  <c r="BH47" i="2"/>
  <c r="BG47" i="2"/>
  <c r="BF47" i="2"/>
  <c r="BE47" i="2"/>
  <c r="BD47" i="2"/>
  <c r="BC47" i="2"/>
  <c r="AU47" i="2"/>
  <c r="AM47" i="2"/>
  <c r="AF47" i="2"/>
  <c r="BJ46" i="2"/>
  <c r="BI46" i="2"/>
  <c r="BH46" i="2"/>
  <c r="BG46" i="2"/>
  <c r="BF46" i="2"/>
  <c r="BE46" i="2"/>
  <c r="BD46" i="2"/>
  <c r="BC46" i="2"/>
  <c r="AU46" i="2"/>
  <c r="AM46" i="2"/>
  <c r="AF46" i="2"/>
  <c r="BJ45" i="2"/>
  <c r="BI45" i="2"/>
  <c r="BH45" i="2"/>
  <c r="BG45" i="2"/>
  <c r="BF45" i="2"/>
  <c r="BE45" i="2"/>
  <c r="BD45" i="2"/>
  <c r="BC45" i="2"/>
  <c r="AU45" i="2"/>
  <c r="AM45" i="2"/>
  <c r="AF45" i="2"/>
  <c r="BJ44" i="2"/>
  <c r="BI44" i="2"/>
  <c r="BH44" i="2"/>
  <c r="BG44" i="2"/>
  <c r="BF44" i="2"/>
  <c r="BE44" i="2"/>
  <c r="BD44" i="2"/>
  <c r="BC44" i="2"/>
  <c r="AU44" i="2"/>
  <c r="AM44" i="2"/>
  <c r="AF44" i="2"/>
  <c r="BB43" i="2"/>
  <c r="BA43" i="2"/>
  <c r="AZ43" i="2"/>
  <c r="AY43" i="2"/>
  <c r="AX43" i="2"/>
  <c r="AW43" i="2"/>
  <c r="AV43" i="2"/>
  <c r="AT43" i="2"/>
  <c r="AS43" i="2"/>
  <c r="AR43" i="2"/>
  <c r="AK43" i="2"/>
  <c r="AC43" i="2"/>
  <c r="AQ43" i="2"/>
  <c r="AP43" i="2"/>
  <c r="AO43" i="2"/>
  <c r="AN43" i="2"/>
  <c r="AG43" i="2"/>
  <c r="Y43" i="2"/>
  <c r="AL43" i="2"/>
  <c r="AJ43" i="2"/>
  <c r="AI43" i="2"/>
  <c r="AH43" i="2"/>
  <c r="AE43" i="2"/>
  <c r="AD43" i="2"/>
  <c r="AB43" i="2"/>
  <c r="AA43" i="2"/>
  <c r="Z43" i="2"/>
  <c r="AM42" i="2"/>
  <c r="AU41" i="2"/>
  <c r="BJ40" i="2"/>
  <c r="BI40" i="2"/>
  <c r="BH40" i="2"/>
  <c r="BG40" i="2"/>
  <c r="BF40" i="2"/>
  <c r="BE40" i="2"/>
  <c r="BD40" i="2"/>
  <c r="BC40" i="2"/>
  <c r="AU40" i="2"/>
  <c r="AM40" i="2"/>
  <c r="AF40" i="2"/>
  <c r="BJ39" i="2"/>
  <c r="BI39" i="2"/>
  <c r="BH39" i="2"/>
  <c r="BG39" i="2"/>
  <c r="BF39" i="2"/>
  <c r="BE39" i="2"/>
  <c r="BD39" i="2"/>
  <c r="BC39" i="2"/>
  <c r="AU39" i="2"/>
  <c r="AM39" i="2"/>
  <c r="AF39" i="2"/>
  <c r="BJ38" i="2"/>
  <c r="BI38" i="2"/>
  <c r="BH38" i="2"/>
  <c r="BG38" i="2"/>
  <c r="BF38" i="2"/>
  <c r="BE38" i="2"/>
  <c r="BD38" i="2"/>
  <c r="BC38" i="2"/>
  <c r="AU38" i="2"/>
  <c r="AM38" i="2"/>
  <c r="AF38" i="2"/>
  <c r="BJ37" i="2"/>
  <c r="BI37" i="2"/>
  <c r="BH37" i="2"/>
  <c r="BG37" i="2"/>
  <c r="BF37" i="2"/>
  <c r="BE37" i="2"/>
  <c r="BD37" i="2"/>
  <c r="BC37" i="2"/>
  <c r="AU37" i="2"/>
  <c r="AM37" i="2"/>
  <c r="AF37" i="2"/>
  <c r="BJ36" i="2"/>
  <c r="BI36" i="2"/>
  <c r="BH36" i="2"/>
  <c r="BG36" i="2"/>
  <c r="BF36" i="2"/>
  <c r="BE36" i="2"/>
  <c r="BD36" i="2"/>
  <c r="BC36" i="2"/>
  <c r="AU36" i="2"/>
  <c r="AM36" i="2"/>
  <c r="AF36" i="2"/>
  <c r="BJ35" i="2"/>
  <c r="BI35" i="2"/>
  <c r="BH35" i="2"/>
  <c r="BG35" i="2"/>
  <c r="BF35" i="2"/>
  <c r="BE35" i="2"/>
  <c r="BD35" i="2"/>
  <c r="BC35" i="2"/>
  <c r="AU35" i="2"/>
  <c r="AM35" i="2"/>
  <c r="AF35" i="2"/>
  <c r="BC34" i="2"/>
  <c r="AU34" i="2"/>
  <c r="AM34" i="2"/>
  <c r="BJ33" i="2"/>
  <c r="BI33" i="2"/>
  <c r="BH33" i="2"/>
  <c r="BG33" i="2"/>
  <c r="BF33" i="2"/>
  <c r="BE33" i="2"/>
  <c r="BD33" i="2"/>
  <c r="BC33" i="2"/>
  <c r="AU33" i="2"/>
  <c r="AM33" i="2"/>
  <c r="AF33" i="2"/>
  <c r="BJ32" i="2"/>
  <c r="BI32" i="2"/>
  <c r="BH32" i="2"/>
  <c r="BG32" i="2"/>
  <c r="BF32" i="2"/>
  <c r="BE32" i="2"/>
  <c r="BD32" i="2"/>
  <c r="BC32" i="2"/>
  <c r="AU32" i="2"/>
  <c r="AM32" i="2"/>
  <c r="AF32" i="2"/>
  <c r="BJ31" i="2"/>
  <c r="BI31" i="2"/>
  <c r="BH31" i="2"/>
  <c r="BG31" i="2"/>
  <c r="BF31" i="2"/>
  <c r="BE31" i="2"/>
  <c r="BD31" i="2"/>
  <c r="BC31" i="2"/>
  <c r="AU31" i="2"/>
  <c r="AM31" i="2"/>
  <c r="AF31" i="2"/>
  <c r="BJ30" i="2"/>
  <c r="BI30" i="2"/>
  <c r="BH30" i="2"/>
  <c r="BG30" i="2"/>
  <c r="BF30" i="2"/>
  <c r="BE30" i="2"/>
  <c r="BD30" i="2"/>
  <c r="BC30" i="2"/>
  <c r="AU30" i="2"/>
  <c r="AM30" i="2"/>
  <c r="AF30" i="2"/>
  <c r="BJ29" i="2"/>
  <c r="BI29" i="2"/>
  <c r="BH29" i="2"/>
  <c r="BG29" i="2"/>
  <c r="BF29" i="2"/>
  <c r="BE29" i="2"/>
  <c r="BD29" i="2"/>
  <c r="BC29" i="2"/>
  <c r="AU29" i="2"/>
  <c r="AM29" i="2"/>
  <c r="AF29" i="2"/>
  <c r="BJ28" i="2"/>
  <c r="BI28" i="2"/>
  <c r="BH28" i="2"/>
  <c r="BG28" i="2"/>
  <c r="BF28" i="2"/>
  <c r="BE28" i="2"/>
  <c r="BD28" i="2"/>
  <c r="BC28" i="2"/>
  <c r="AU28" i="2"/>
  <c r="AM28" i="2"/>
  <c r="AF28" i="2"/>
  <c r="BJ27" i="2"/>
  <c r="BI27" i="2"/>
  <c r="BH27" i="2"/>
  <c r="BG27" i="2"/>
  <c r="BF27" i="2"/>
  <c r="BE27" i="2"/>
  <c r="BD27" i="2"/>
  <c r="BC27" i="2"/>
  <c r="AU27" i="2"/>
  <c r="AM27" i="2"/>
  <c r="AF27" i="2"/>
  <c r="BJ26" i="2"/>
  <c r="BI26" i="2"/>
  <c r="BH26" i="2"/>
  <c r="BG26" i="2"/>
  <c r="BF26" i="2"/>
  <c r="BE26" i="2"/>
  <c r="BD26" i="2"/>
  <c r="BC26" i="2"/>
  <c r="AU26" i="2"/>
  <c r="AM26" i="2"/>
  <c r="AF26" i="2"/>
  <c r="BJ25" i="2"/>
  <c r="BI25" i="2"/>
  <c r="BH25" i="2"/>
  <c r="BG25" i="2"/>
  <c r="BF25" i="2"/>
  <c r="BE25" i="2"/>
  <c r="BD25" i="2"/>
  <c r="BC25" i="2"/>
  <c r="AU25" i="2"/>
  <c r="AM25" i="2"/>
  <c r="AF25" i="2"/>
  <c r="BB24" i="2"/>
  <c r="BA24" i="2"/>
  <c r="AZ24" i="2"/>
  <c r="AY24" i="2"/>
  <c r="AX24" i="2"/>
  <c r="AW24" i="2"/>
  <c r="AV24" i="2"/>
  <c r="AT24" i="2"/>
  <c r="AS24" i="2"/>
  <c r="AD24" i="2"/>
  <c r="AR24" i="2"/>
  <c r="AQ24" i="2"/>
  <c r="AP24" i="2"/>
  <c r="AO24" i="2"/>
  <c r="AO8" i="2"/>
  <c r="AN24" i="2"/>
  <c r="AL24" i="2"/>
  <c r="AK24" i="2"/>
  <c r="AJ24" i="2"/>
  <c r="AB24" i="2"/>
  <c r="AI24" i="2"/>
  <c r="AH24" i="2"/>
  <c r="AG24" i="2"/>
  <c r="AE24" i="2"/>
  <c r="AC24" i="2"/>
  <c r="AA24" i="2"/>
  <c r="Z24" i="2"/>
  <c r="Y24" i="2"/>
  <c r="BJ23" i="2"/>
  <c r="BI23" i="2"/>
  <c r="BH23" i="2"/>
  <c r="BG23" i="2"/>
  <c r="BF23" i="2"/>
  <c r="BE23" i="2"/>
  <c r="BD23" i="2"/>
  <c r="BC23" i="2"/>
  <c r="AU23" i="2"/>
  <c r="AM23" i="2"/>
  <c r="AF23" i="2"/>
  <c r="BJ22" i="2"/>
  <c r="BI22" i="2"/>
  <c r="BH22" i="2"/>
  <c r="BG22" i="2"/>
  <c r="BF22" i="2"/>
  <c r="BE22" i="2"/>
  <c r="BD22" i="2"/>
  <c r="BC22" i="2"/>
  <c r="AU22" i="2"/>
  <c r="AM22" i="2"/>
  <c r="AF22" i="2"/>
  <c r="BJ21" i="2"/>
  <c r="BI21" i="2"/>
  <c r="BH21" i="2"/>
  <c r="BG21" i="2"/>
  <c r="BF21" i="2"/>
  <c r="BE21" i="2"/>
  <c r="BD21" i="2"/>
  <c r="BC21" i="2"/>
  <c r="AU21" i="2"/>
  <c r="AM21" i="2"/>
  <c r="AF21" i="2"/>
  <c r="BJ20" i="2"/>
  <c r="BI20" i="2"/>
  <c r="BH20" i="2"/>
  <c r="BG20" i="2"/>
  <c r="BF20" i="2"/>
  <c r="BE20" i="2"/>
  <c r="BD20" i="2"/>
  <c r="BC20" i="2"/>
  <c r="AU20" i="2"/>
  <c r="AM20" i="2"/>
  <c r="AF20" i="2"/>
  <c r="BJ19" i="2"/>
  <c r="BI19" i="2"/>
  <c r="BH19" i="2"/>
  <c r="BG19" i="2"/>
  <c r="BF19" i="2"/>
  <c r="BE19" i="2"/>
  <c r="BD19" i="2"/>
  <c r="BC19" i="2"/>
  <c r="AU19" i="2"/>
  <c r="AM19" i="2"/>
  <c r="AF19" i="2"/>
  <c r="BJ18" i="2"/>
  <c r="BI18" i="2"/>
  <c r="BH18" i="2"/>
  <c r="BG18" i="2"/>
  <c r="BF18" i="2"/>
  <c r="BE18" i="2"/>
  <c r="BD18" i="2"/>
  <c r="BC18" i="2"/>
  <c r="AU18" i="2"/>
  <c r="AM18" i="2"/>
  <c r="AF18" i="2"/>
  <c r="BJ17" i="2"/>
  <c r="BI17" i="2"/>
  <c r="BH17" i="2"/>
  <c r="BG17" i="2"/>
  <c r="BF17" i="2"/>
  <c r="BE17" i="2"/>
  <c r="BD17" i="2"/>
  <c r="BC17" i="2"/>
  <c r="AU17" i="2"/>
  <c r="AM17" i="2"/>
  <c r="AF17" i="2"/>
  <c r="BJ16" i="2"/>
  <c r="BI16" i="2"/>
  <c r="BH16" i="2"/>
  <c r="BG16" i="2"/>
  <c r="BF16" i="2"/>
  <c r="BE16" i="2"/>
  <c r="BD16" i="2"/>
  <c r="BC16" i="2"/>
  <c r="AU16" i="2"/>
  <c r="AM16" i="2"/>
  <c r="AF16" i="2"/>
  <c r="BJ15" i="2"/>
  <c r="BI15" i="2"/>
  <c r="BH15" i="2"/>
  <c r="BG15" i="2"/>
  <c r="BF15" i="2"/>
  <c r="BE15" i="2"/>
  <c r="BD15" i="2"/>
  <c r="BC15" i="2"/>
  <c r="AU15" i="2"/>
  <c r="AM15" i="2"/>
  <c r="AF15" i="2"/>
  <c r="BJ14" i="2"/>
  <c r="BI14" i="2"/>
  <c r="BH14" i="2"/>
  <c r="BG14" i="2"/>
  <c r="BF14" i="2"/>
  <c r="BE14" i="2"/>
  <c r="BD14" i="2"/>
  <c r="BC14" i="2"/>
  <c r="AU14" i="2"/>
  <c r="AM14" i="2"/>
  <c r="AF14" i="2"/>
  <c r="BJ13" i="2"/>
  <c r="BI13" i="2"/>
  <c r="BH13" i="2"/>
  <c r="BG13" i="2"/>
  <c r="BF13" i="2"/>
  <c r="BE13" i="2"/>
  <c r="BD13" i="2"/>
  <c r="BC13" i="2"/>
  <c r="AU13" i="2"/>
  <c r="AM13" i="2"/>
  <c r="AF13" i="2"/>
  <c r="BJ12" i="2"/>
  <c r="BI12" i="2"/>
  <c r="BH12" i="2"/>
  <c r="BG12" i="2"/>
  <c r="BF12" i="2"/>
  <c r="BE12" i="2"/>
  <c r="BD12" i="2"/>
  <c r="BC12" i="2"/>
  <c r="AU12" i="2"/>
  <c r="AM12" i="2"/>
  <c r="AF12" i="2"/>
  <c r="BJ11" i="2"/>
  <c r="BI11" i="2"/>
  <c r="BH11" i="2"/>
  <c r="BG11" i="2"/>
  <c r="BF11" i="2"/>
  <c r="BE11" i="2"/>
  <c r="BD11" i="2"/>
  <c r="BC11" i="2"/>
  <c r="AU11" i="2"/>
  <c r="AF11" i="2"/>
  <c r="BJ10" i="2"/>
  <c r="BI10" i="2"/>
  <c r="BH10" i="2"/>
  <c r="BG10" i="2"/>
  <c r="BF10" i="2"/>
  <c r="BE10" i="2"/>
  <c r="BD10" i="2"/>
  <c r="BC10" i="2"/>
  <c r="AU10" i="2"/>
  <c r="AM10" i="2"/>
  <c r="AF10" i="2"/>
  <c r="BJ9" i="2"/>
  <c r="BI9" i="2"/>
  <c r="BH9" i="2"/>
  <c r="BG9" i="2"/>
  <c r="BF9" i="2"/>
  <c r="BE9" i="2"/>
  <c r="BD9" i="2"/>
  <c r="BC9" i="2"/>
  <c r="AU9" i="2"/>
  <c r="AM9" i="2"/>
  <c r="AF9" i="2"/>
  <c r="BB8" i="2"/>
  <c r="BA8" i="2"/>
  <c r="AZ8" i="2"/>
  <c r="AY8" i="2"/>
  <c r="AX8" i="2"/>
  <c r="AW8" i="2"/>
  <c r="AV8" i="2"/>
  <c r="AT8" i="2"/>
  <c r="AS8" i="2"/>
  <c r="AR8" i="2"/>
  <c r="AQ8" i="2"/>
  <c r="AP8" i="2"/>
  <c r="AN8" i="2"/>
  <c r="AG8" i="2"/>
  <c r="Y8" i="2"/>
  <c r="AL8" i="2"/>
  <c r="AK8" i="2"/>
  <c r="AJ8" i="2"/>
  <c r="AI8" i="2"/>
  <c r="AH8" i="2"/>
  <c r="AE8" i="2"/>
  <c r="AD8" i="2"/>
  <c r="BI8" i="2" s="1"/>
  <c r="AC8" i="2"/>
  <c r="AB8" i="2"/>
  <c r="AA8" i="2"/>
  <c r="Z8" i="2"/>
  <c r="AA6" i="2"/>
  <c r="AT415" i="2"/>
  <c r="BA355" i="2"/>
  <c r="BH448" i="2"/>
  <c r="AY447" i="2"/>
  <c r="BK470" i="2"/>
  <c r="AP137" i="2"/>
  <c r="AX137" i="2" s="1"/>
  <c r="AP130" i="2"/>
  <c r="AX130" i="2" s="1"/>
  <c r="AM150" i="2"/>
  <c r="BF155" i="2"/>
  <c r="AN295" i="2"/>
  <c r="AG355" i="2"/>
  <c r="Y363" i="2"/>
  <c r="BD364" i="2"/>
  <c r="BB363" i="2"/>
  <c r="AF366" i="2"/>
  <c r="BK433" i="2"/>
  <c r="AN447" i="2"/>
  <c r="AV447" i="2"/>
  <c r="AZ447" i="2"/>
  <c r="BA482" i="2"/>
  <c r="BI482" i="2" s="1"/>
  <c r="AB99" i="8"/>
  <c r="Z99" i="8"/>
  <c r="X99" i="8"/>
  <c r="V99" i="8"/>
  <c r="AB87" i="8"/>
  <c r="Z87" i="8"/>
  <c r="X87" i="8"/>
  <c r="V87" i="8"/>
  <c r="AB75" i="8"/>
  <c r="Z75" i="8"/>
  <c r="X75" i="8"/>
  <c r="V75" i="8"/>
  <c r="AB51" i="8"/>
  <c r="Z51" i="8"/>
  <c r="AX50" i="6"/>
  <c r="AW50" i="6"/>
  <c r="AP50" i="6"/>
  <c r="AO50" i="6"/>
  <c r="AH50" i="6"/>
  <c r="X51" i="8"/>
  <c r="V51" i="8"/>
  <c r="AB43" i="8"/>
  <c r="Z43" i="8"/>
  <c r="X43" i="8"/>
  <c r="V43" i="8"/>
  <c r="AB24" i="8"/>
  <c r="BC33" i="6"/>
  <c r="BC25" i="6"/>
  <c r="Z24" i="8"/>
  <c r="AU25" i="6"/>
  <c r="AV23" i="6"/>
  <c r="AU40" i="6"/>
  <c r="BL40" i="6" s="1"/>
  <c r="AP23" i="6"/>
  <c r="X24" i="8"/>
  <c r="AM41" i="6"/>
  <c r="BL41" i="6" s="1"/>
  <c r="AM33" i="6"/>
  <c r="AM25" i="6"/>
  <c r="V24" i="8"/>
  <c r="AB8" i="8"/>
  <c r="BC10" i="6"/>
  <c r="Z8" i="8"/>
  <c r="AU10" i="6"/>
  <c r="X8" i="8"/>
  <c r="V8" i="8"/>
  <c r="AU33" i="6"/>
  <c r="AB493" i="8"/>
  <c r="Z493" i="8"/>
  <c r="X493" i="8"/>
  <c r="V493" i="8"/>
  <c r="AB485" i="8"/>
  <c r="Z485" i="8"/>
  <c r="X485" i="8"/>
  <c r="V485" i="8"/>
  <c r="BC486" i="6"/>
  <c r="AU486" i="6"/>
  <c r="AM486" i="6"/>
  <c r="AB449" i="8"/>
  <c r="BC469" i="6"/>
  <c r="BC451" i="6"/>
  <c r="Z449" i="8"/>
  <c r="AU472" i="6"/>
  <c r="BL472" i="6" s="1"/>
  <c r="AU469" i="6"/>
  <c r="AU451" i="6"/>
  <c r="X449" i="8"/>
  <c r="AM471" i="6"/>
  <c r="BL471" i="6" s="1"/>
  <c r="AM469" i="6"/>
  <c r="V449" i="8"/>
  <c r="AB432" i="8"/>
  <c r="BC434" i="6"/>
  <c r="BC426" i="6"/>
  <c r="BD426" i="6" s="1"/>
  <c r="Z432" i="8"/>
  <c r="AU434" i="6"/>
  <c r="AM434" i="6"/>
  <c r="AF434" i="6"/>
  <c r="X432" i="8"/>
  <c r="V432" i="8"/>
  <c r="AB417" i="8"/>
  <c r="Z417" i="8"/>
  <c r="X417" i="8"/>
  <c r="V417" i="8"/>
  <c r="AB404" i="8"/>
  <c r="Z404" i="8"/>
  <c r="X404" i="8"/>
  <c r="V404" i="8"/>
  <c r="AM405" i="6"/>
  <c r="AB377" i="8"/>
  <c r="BC390" i="6"/>
  <c r="BC375" i="6"/>
  <c r="AU375" i="6"/>
  <c r="AM375" i="6"/>
  <c r="Z377" i="8"/>
  <c r="X377" i="8"/>
  <c r="AM390" i="6"/>
  <c r="AM379" i="6"/>
  <c r="V377" i="8"/>
  <c r="BX381" i="8"/>
  <c r="AG357" i="6"/>
  <c r="AG356" i="6" s="1"/>
  <c r="AB365" i="8"/>
  <c r="Z365" i="8"/>
  <c r="X365" i="8"/>
  <c r="V365" i="8"/>
  <c r="AB357" i="8"/>
  <c r="Z357" i="8"/>
  <c r="X357" i="8"/>
  <c r="V357" i="8"/>
  <c r="AL352" i="6"/>
  <c r="AM352" i="6" s="1"/>
  <c r="AB332" i="8"/>
  <c r="Z332" i="8"/>
  <c r="AU329" i="6"/>
  <c r="AU330" i="6"/>
  <c r="AU331" i="6"/>
  <c r="AU332" i="6"/>
  <c r="AU333" i="6"/>
  <c r="AU334" i="6"/>
  <c r="AU335" i="6"/>
  <c r="AU336" i="6"/>
  <c r="AU337" i="6"/>
  <c r="AU338" i="6"/>
  <c r="AU339" i="6"/>
  <c r="AU340" i="6"/>
  <c r="AU341" i="6"/>
  <c r="AU342" i="6"/>
  <c r="AU343" i="6"/>
  <c r="AU344" i="6"/>
  <c r="AU345" i="6"/>
  <c r="AU346" i="6"/>
  <c r="AU347" i="6"/>
  <c r="AU348" i="6"/>
  <c r="BC348" i="6"/>
  <c r="AM348" i="6"/>
  <c r="AF348" i="6"/>
  <c r="AU328" i="6"/>
  <c r="X332" i="8"/>
  <c r="AM341" i="6"/>
  <c r="AM340" i="6"/>
  <c r="AM329" i="6"/>
  <c r="AM330" i="6"/>
  <c r="AM331" i="6"/>
  <c r="AM332" i="6"/>
  <c r="AM333" i="6"/>
  <c r="AM334" i="6"/>
  <c r="AM335" i="6"/>
  <c r="AM336" i="6"/>
  <c r="AM337" i="6"/>
  <c r="AM338" i="6"/>
  <c r="AM339" i="6"/>
  <c r="AM342" i="6"/>
  <c r="AM343" i="6"/>
  <c r="AM344" i="6"/>
  <c r="AM345" i="6"/>
  <c r="AM346" i="6"/>
  <c r="AM347" i="6"/>
  <c r="AM328" i="6"/>
  <c r="V332" i="8"/>
  <c r="BC330" i="6"/>
  <c r="BC331" i="6"/>
  <c r="BC332" i="6"/>
  <c r="BC333" i="6"/>
  <c r="BC334" i="6"/>
  <c r="BC335" i="6"/>
  <c r="BC336" i="6"/>
  <c r="BC337" i="6"/>
  <c r="BC338" i="6"/>
  <c r="BC339" i="6"/>
  <c r="BC340" i="6"/>
  <c r="BC341" i="6"/>
  <c r="BC342" i="6"/>
  <c r="BC343" i="6"/>
  <c r="BC344" i="6"/>
  <c r="BC345" i="6"/>
  <c r="BC346" i="6"/>
  <c r="BC347" i="6"/>
  <c r="BC329" i="6"/>
  <c r="BC328" i="6"/>
  <c r="AB296" i="8"/>
  <c r="Z296" i="8"/>
  <c r="X296" i="8"/>
  <c r="V296" i="8"/>
  <c r="BC322" i="6"/>
  <c r="AU322" i="6"/>
  <c r="AM322" i="6"/>
  <c r="AB289" i="8"/>
  <c r="Z289" i="8"/>
  <c r="X289" i="8"/>
  <c r="AX286" i="6"/>
  <c r="AP286" i="6"/>
  <c r="AM290" i="6"/>
  <c r="BL290" i="6" s="1"/>
  <c r="AM288" i="6"/>
  <c r="BL288" i="6" s="1"/>
  <c r="BJ499" i="3"/>
  <c r="BI499" i="3"/>
  <c r="BH499" i="3"/>
  <c r="BG499" i="3"/>
  <c r="BF499" i="3"/>
  <c r="BE499" i="3"/>
  <c r="BD499" i="3"/>
  <c r="BC499" i="3"/>
  <c r="AU499" i="3"/>
  <c r="AM499" i="3"/>
  <c r="AF499" i="3"/>
  <c r="BJ498" i="3"/>
  <c r="BI498" i="3"/>
  <c r="BH498" i="3"/>
  <c r="BG498" i="3"/>
  <c r="BF498" i="3"/>
  <c r="BE498" i="3"/>
  <c r="BD498" i="3"/>
  <c r="BC498" i="3"/>
  <c r="AU498" i="3"/>
  <c r="AM498" i="3"/>
  <c r="AF498" i="3"/>
  <c r="BJ497" i="3"/>
  <c r="BI497" i="3"/>
  <c r="BH497" i="3"/>
  <c r="BG497" i="3"/>
  <c r="BF497" i="3"/>
  <c r="BE497" i="3"/>
  <c r="BD497" i="3"/>
  <c r="BC497" i="3"/>
  <c r="AU497" i="3"/>
  <c r="AM497" i="3"/>
  <c r="AF497" i="3"/>
  <c r="BJ495" i="3"/>
  <c r="BI495" i="3"/>
  <c r="BH495" i="3"/>
  <c r="BG495" i="3"/>
  <c r="BF495" i="3"/>
  <c r="BE495" i="3"/>
  <c r="BD495" i="3"/>
  <c r="BC495" i="3"/>
  <c r="AU495" i="3"/>
  <c r="AM495" i="3"/>
  <c r="AF495" i="3"/>
  <c r="BJ494" i="3"/>
  <c r="BI494" i="3"/>
  <c r="BH494" i="3"/>
  <c r="BG494" i="3"/>
  <c r="BF494" i="3"/>
  <c r="BE494" i="3"/>
  <c r="BD494" i="3"/>
  <c r="BC494" i="3"/>
  <c r="AU494" i="3"/>
  <c r="AM494" i="3"/>
  <c r="AF494" i="3"/>
  <c r="BJ493" i="3"/>
  <c r="BI493" i="3"/>
  <c r="BH493" i="3"/>
  <c r="BG493" i="3"/>
  <c r="BF493" i="3"/>
  <c r="BE493" i="3"/>
  <c r="BD493" i="3"/>
  <c r="BC493" i="3"/>
  <c r="AU493" i="3"/>
  <c r="AM493" i="3"/>
  <c r="AF493" i="3"/>
  <c r="BB492" i="3"/>
  <c r="BB484" i="3"/>
  <c r="BA492" i="3"/>
  <c r="AZ492" i="3"/>
  <c r="AY492" i="3"/>
  <c r="AX492" i="3"/>
  <c r="AW492" i="3"/>
  <c r="AV492" i="3"/>
  <c r="AT492" i="3"/>
  <c r="AS492" i="3"/>
  <c r="AD492" i="3"/>
  <c r="AR492" i="3"/>
  <c r="AQ492" i="3"/>
  <c r="AP492" i="3"/>
  <c r="AO492" i="3"/>
  <c r="AH492" i="3"/>
  <c r="Z492" i="3"/>
  <c r="AN492" i="3"/>
  <c r="AL492" i="3"/>
  <c r="AK492" i="3"/>
  <c r="AJ492" i="3"/>
  <c r="AI492" i="3"/>
  <c r="AG492" i="3"/>
  <c r="AE492" i="3"/>
  <c r="AE484" i="3"/>
  <c r="AC492" i="3"/>
  <c r="AB492" i="3"/>
  <c r="AA492" i="3"/>
  <c r="Y492" i="3"/>
  <c r="BJ491" i="3"/>
  <c r="BI491" i="3"/>
  <c r="BH491" i="3"/>
  <c r="BG491" i="3"/>
  <c r="BF491" i="3"/>
  <c r="BE491" i="3"/>
  <c r="BD491" i="3"/>
  <c r="BC491" i="3"/>
  <c r="AU491" i="3"/>
  <c r="AM491" i="3"/>
  <c r="AF491" i="3"/>
  <c r="X491" i="3"/>
  <c r="BJ490" i="3"/>
  <c r="BI490" i="3"/>
  <c r="BH490" i="3"/>
  <c r="BG490" i="3"/>
  <c r="BE490" i="3"/>
  <c r="BD490" i="3"/>
  <c r="BC490" i="3"/>
  <c r="AU490" i="3"/>
  <c r="AM490" i="3"/>
  <c r="AA490" i="3"/>
  <c r="AF490" i="3" s="1"/>
  <c r="X490" i="3"/>
  <c r="BJ489" i="3"/>
  <c r="BI489" i="3"/>
  <c r="BH489" i="3"/>
  <c r="BG489" i="3"/>
  <c r="BF489" i="3"/>
  <c r="BE489" i="3"/>
  <c r="BD489" i="3"/>
  <c r="BC489" i="3"/>
  <c r="AU489" i="3"/>
  <c r="AM489" i="3"/>
  <c r="AF489" i="3"/>
  <c r="X489" i="3"/>
  <c r="BJ488" i="3"/>
  <c r="BI488" i="3"/>
  <c r="BH488" i="3"/>
  <c r="BG488" i="3"/>
  <c r="BF488" i="3"/>
  <c r="BE488" i="3"/>
  <c r="BD488" i="3"/>
  <c r="BC488" i="3"/>
  <c r="AU488" i="3"/>
  <c r="AM488" i="3"/>
  <c r="AF488" i="3"/>
  <c r="BI487" i="3"/>
  <c r="AF487" i="3"/>
  <c r="BJ486" i="3"/>
  <c r="BI486" i="3"/>
  <c r="BH486" i="3"/>
  <c r="BG486" i="3"/>
  <c r="BF486" i="3"/>
  <c r="BE486" i="3"/>
  <c r="BD486" i="3"/>
  <c r="BC486" i="3"/>
  <c r="AU486" i="3"/>
  <c r="AM486" i="3"/>
  <c r="AF486" i="3"/>
  <c r="X486" i="3"/>
  <c r="BJ485" i="3"/>
  <c r="BI485" i="3"/>
  <c r="BH485" i="3"/>
  <c r="BG485" i="3"/>
  <c r="BF485" i="3"/>
  <c r="BE485" i="3"/>
  <c r="BD485" i="3"/>
  <c r="BC485" i="3"/>
  <c r="AU485" i="3"/>
  <c r="AM485" i="3"/>
  <c r="AF485" i="3"/>
  <c r="X485" i="3"/>
  <c r="BA484" i="3"/>
  <c r="AZ484" i="3"/>
  <c r="AZ483" i="3" s="1"/>
  <c r="AY484" i="3"/>
  <c r="AX484" i="3"/>
  <c r="AW484" i="3"/>
  <c r="AV484" i="3"/>
  <c r="AT484" i="3"/>
  <c r="AS484" i="3"/>
  <c r="AR484" i="3"/>
  <c r="AQ484" i="3"/>
  <c r="AP484" i="3"/>
  <c r="AO484" i="3"/>
  <c r="AN484" i="3"/>
  <c r="AL484" i="3"/>
  <c r="AK484" i="3"/>
  <c r="AJ484" i="3"/>
  <c r="AI484" i="3"/>
  <c r="AH484" i="3"/>
  <c r="AG484" i="3"/>
  <c r="AD484" i="3"/>
  <c r="AC484" i="3"/>
  <c r="AB484" i="3"/>
  <c r="Z484" i="3"/>
  <c r="Y484" i="3"/>
  <c r="BK482" i="3"/>
  <c r="AS482" i="3"/>
  <c r="BA482" i="3" s="1"/>
  <c r="BI482" i="3" s="1"/>
  <c r="AL482" i="3"/>
  <c r="BJ482" i="3" s="1"/>
  <c r="AK482" i="3"/>
  <c r="AR482" i="3" s="1"/>
  <c r="AZ482" i="3" s="1"/>
  <c r="BH482" i="3" s="1"/>
  <c r="AJ482" i="3"/>
  <c r="AQ482" i="3" s="1"/>
  <c r="AY482" i="3" s="1"/>
  <c r="BG482" i="3" s="1"/>
  <c r="AI482" i="3"/>
  <c r="AP482" i="3" s="1"/>
  <c r="AX482" i="3" s="1"/>
  <c r="BF482" i="3" s="1"/>
  <c r="AH482" i="3"/>
  <c r="AO482" i="3" s="1"/>
  <c r="AW482" i="3" s="1"/>
  <c r="BE482" i="3"/>
  <c r="AG482" i="3"/>
  <c r="AN482" i="3"/>
  <c r="AV482" i="3" s="1"/>
  <c r="BD482" i="3" s="1"/>
  <c r="BJ481" i="3"/>
  <c r="BI481" i="3"/>
  <c r="BH481" i="3"/>
  <c r="BG481" i="3"/>
  <c r="BF481" i="3"/>
  <c r="BE481" i="3"/>
  <c r="BD481" i="3"/>
  <c r="AF481" i="3"/>
  <c r="BK481" i="3" s="1"/>
  <c r="BJ478" i="3"/>
  <c r="BI478" i="3"/>
  <c r="BH478" i="3"/>
  <c r="BG478" i="3"/>
  <c r="BF478" i="3"/>
  <c r="BE478" i="3"/>
  <c r="BD478" i="3"/>
  <c r="BC478" i="3"/>
  <c r="AU478" i="3"/>
  <c r="AM478" i="3"/>
  <c r="AF478" i="3"/>
  <c r="AF477" i="3"/>
  <c r="BJ476" i="3"/>
  <c r="BI476" i="3"/>
  <c r="BH476" i="3"/>
  <c r="BG476" i="3"/>
  <c r="BF476" i="3"/>
  <c r="BE476" i="3"/>
  <c r="BD476" i="3"/>
  <c r="BC476" i="3"/>
  <c r="AU476" i="3"/>
  <c r="AM476" i="3"/>
  <c r="AF476" i="3"/>
  <c r="BJ475" i="3"/>
  <c r="BI475" i="3"/>
  <c r="BH475" i="3"/>
  <c r="BG475" i="3"/>
  <c r="BF475" i="3"/>
  <c r="BE475" i="3"/>
  <c r="BD475" i="3"/>
  <c r="BC475" i="3"/>
  <c r="AU475" i="3"/>
  <c r="AM475" i="3"/>
  <c r="AF475" i="3"/>
  <c r="BJ474" i="3"/>
  <c r="BI474" i="3"/>
  <c r="BH474" i="3"/>
  <c r="BG474" i="3"/>
  <c r="BF474" i="3"/>
  <c r="BE474" i="3"/>
  <c r="BD474" i="3"/>
  <c r="BC474" i="3"/>
  <c r="AU474" i="3"/>
  <c r="AM474" i="3"/>
  <c r="AF474" i="3"/>
  <c r="BJ473" i="3"/>
  <c r="BI473" i="3"/>
  <c r="BH473" i="3"/>
  <c r="BG473" i="3"/>
  <c r="BF473" i="3"/>
  <c r="BE473" i="3"/>
  <c r="BD473" i="3"/>
  <c r="BC473" i="3"/>
  <c r="AU473" i="3"/>
  <c r="AM473" i="3"/>
  <c r="AF473" i="3"/>
  <c r="BJ472" i="3"/>
  <c r="BI472" i="3"/>
  <c r="BH472" i="3"/>
  <c r="BG472" i="3"/>
  <c r="BF472" i="3"/>
  <c r="BE472" i="3"/>
  <c r="BD472" i="3"/>
  <c r="BC472" i="3"/>
  <c r="AU472" i="3"/>
  <c r="AM472" i="3"/>
  <c r="AF472" i="3"/>
  <c r="BJ471" i="3"/>
  <c r="BI471" i="3"/>
  <c r="BH471" i="3"/>
  <c r="BG471" i="3"/>
  <c r="BF471" i="3"/>
  <c r="BE471" i="3"/>
  <c r="BD471" i="3"/>
  <c r="BC471" i="3"/>
  <c r="AU471" i="3"/>
  <c r="AM471" i="3"/>
  <c r="AF471" i="3"/>
  <c r="BJ470" i="3"/>
  <c r="BI470" i="3"/>
  <c r="BH470" i="3"/>
  <c r="BG470" i="3"/>
  <c r="BF470" i="3"/>
  <c r="BE470" i="3"/>
  <c r="BD470" i="3"/>
  <c r="BC470" i="3"/>
  <c r="AU470" i="3"/>
  <c r="AM470" i="3"/>
  <c r="AF470" i="3"/>
  <c r="BJ469" i="3"/>
  <c r="BI469" i="3"/>
  <c r="BH469" i="3"/>
  <c r="BG469" i="3"/>
  <c r="BF469" i="3"/>
  <c r="BE469" i="3"/>
  <c r="BD469" i="3"/>
  <c r="BC469" i="3"/>
  <c r="AU469" i="3"/>
  <c r="AM469" i="3"/>
  <c r="AF469" i="3"/>
  <c r="BJ468" i="3"/>
  <c r="BI468" i="3"/>
  <c r="BH468" i="3"/>
  <c r="BG468" i="3"/>
  <c r="BF468" i="3"/>
  <c r="BE468" i="3"/>
  <c r="BD468" i="3"/>
  <c r="BC468" i="3"/>
  <c r="AU468" i="3"/>
  <c r="AM468" i="3"/>
  <c r="AF468" i="3"/>
  <c r="BJ467" i="3"/>
  <c r="BI467" i="3"/>
  <c r="BH467" i="3"/>
  <c r="BG467" i="3"/>
  <c r="BF467" i="3"/>
  <c r="BE467" i="3"/>
  <c r="BD467" i="3"/>
  <c r="BC467" i="3"/>
  <c r="AU467" i="3"/>
  <c r="AM467" i="3"/>
  <c r="AF467" i="3"/>
  <c r="BJ466" i="3"/>
  <c r="BI466" i="3"/>
  <c r="BH466" i="3"/>
  <c r="BG466" i="3"/>
  <c r="BF466" i="3"/>
  <c r="BE466" i="3"/>
  <c r="BD466" i="3"/>
  <c r="BC466" i="3"/>
  <c r="AU466" i="3"/>
  <c r="AM466" i="3"/>
  <c r="AF466" i="3"/>
  <c r="BJ465" i="3"/>
  <c r="BI465" i="3"/>
  <c r="BH465" i="3"/>
  <c r="BG465" i="3"/>
  <c r="BF465" i="3"/>
  <c r="BE465" i="3"/>
  <c r="BD465" i="3"/>
  <c r="BC465" i="3"/>
  <c r="AU465" i="3"/>
  <c r="AM465" i="3"/>
  <c r="AF465" i="3"/>
  <c r="BJ464" i="3"/>
  <c r="BI464" i="3"/>
  <c r="BH464" i="3"/>
  <c r="BG464" i="3"/>
  <c r="BF464" i="3"/>
  <c r="BE464" i="3"/>
  <c r="BD464" i="3"/>
  <c r="BC464" i="3"/>
  <c r="AU464" i="3"/>
  <c r="AM464" i="3"/>
  <c r="AF464" i="3"/>
  <c r="BJ463" i="3"/>
  <c r="BI463" i="3"/>
  <c r="BH463" i="3"/>
  <c r="BG463" i="3"/>
  <c r="BF463" i="3"/>
  <c r="BE463" i="3"/>
  <c r="BD463" i="3"/>
  <c r="BC463" i="3"/>
  <c r="AU463" i="3"/>
  <c r="AM463" i="3"/>
  <c r="AF463" i="3"/>
  <c r="BJ462" i="3"/>
  <c r="BI462" i="3"/>
  <c r="BH462" i="3"/>
  <c r="BG462" i="3"/>
  <c r="BF462" i="3"/>
  <c r="BE462" i="3"/>
  <c r="BD462" i="3"/>
  <c r="BC462" i="3"/>
  <c r="AU462" i="3"/>
  <c r="AM462" i="3"/>
  <c r="AF462" i="3"/>
  <c r="BJ461" i="3"/>
  <c r="BI461" i="3"/>
  <c r="BH461" i="3"/>
  <c r="BG461" i="3"/>
  <c r="BF461" i="3"/>
  <c r="BE461" i="3"/>
  <c r="BD461" i="3"/>
  <c r="BC461" i="3"/>
  <c r="AU461" i="3"/>
  <c r="AM461" i="3"/>
  <c r="AF461" i="3"/>
  <c r="BJ460" i="3"/>
  <c r="BI460" i="3"/>
  <c r="BH460" i="3"/>
  <c r="BG460" i="3"/>
  <c r="BF460" i="3"/>
  <c r="BE460" i="3"/>
  <c r="BD460" i="3"/>
  <c r="BC460" i="3"/>
  <c r="AU460" i="3"/>
  <c r="AM460" i="3"/>
  <c r="AF460" i="3"/>
  <c r="BJ459" i="3"/>
  <c r="BI459" i="3"/>
  <c r="BH459" i="3"/>
  <c r="BG459" i="3"/>
  <c r="BF459" i="3"/>
  <c r="BE459" i="3"/>
  <c r="BD459" i="3"/>
  <c r="AM459" i="3"/>
  <c r="AF459" i="3"/>
  <c r="BJ458" i="3"/>
  <c r="BI458" i="3"/>
  <c r="BH458" i="3"/>
  <c r="BG458" i="3"/>
  <c r="BF458" i="3"/>
  <c r="BE458" i="3"/>
  <c r="BD458" i="3"/>
  <c r="BC458" i="3"/>
  <c r="AU458" i="3"/>
  <c r="AM458" i="3"/>
  <c r="AF458" i="3"/>
  <c r="BJ457" i="3"/>
  <c r="BI457" i="3"/>
  <c r="BH457" i="3"/>
  <c r="BG457" i="3"/>
  <c r="BF457" i="3"/>
  <c r="BE457" i="3"/>
  <c r="BD457" i="3"/>
  <c r="BC457" i="3"/>
  <c r="AU457" i="3"/>
  <c r="AM457" i="3"/>
  <c r="AF457" i="3"/>
  <c r="BJ456" i="3"/>
  <c r="BI456" i="3"/>
  <c r="BH456" i="3"/>
  <c r="BG456" i="3"/>
  <c r="BF456" i="3"/>
  <c r="BE456" i="3"/>
  <c r="BD456" i="3"/>
  <c r="BC456" i="3"/>
  <c r="AU456" i="3"/>
  <c r="AM456" i="3"/>
  <c r="AF456" i="3"/>
  <c r="BJ455" i="3"/>
  <c r="BI455" i="3"/>
  <c r="BH455" i="3"/>
  <c r="BG455" i="3"/>
  <c r="BF455" i="3"/>
  <c r="BE455" i="3"/>
  <c r="BD455" i="3"/>
  <c r="BC455" i="3"/>
  <c r="AU455" i="3"/>
  <c r="AM455" i="3"/>
  <c r="AF455" i="3"/>
  <c r="BJ454" i="3"/>
  <c r="BI454" i="3"/>
  <c r="BH454" i="3"/>
  <c r="BG454" i="3"/>
  <c r="BF454" i="3"/>
  <c r="BE454" i="3"/>
  <c r="BD454" i="3"/>
  <c r="BC454" i="3"/>
  <c r="AU454" i="3"/>
  <c r="AM454" i="3"/>
  <c r="AF454" i="3"/>
  <c r="BJ453" i="3"/>
  <c r="BI453" i="3"/>
  <c r="BH453" i="3"/>
  <c r="BG453" i="3"/>
  <c r="BF453" i="3"/>
  <c r="BE453" i="3"/>
  <c r="BD453" i="3"/>
  <c r="BC453" i="3"/>
  <c r="AU453" i="3"/>
  <c r="AM453" i="3"/>
  <c r="AF453" i="3"/>
  <c r="BJ452" i="3"/>
  <c r="BI452" i="3"/>
  <c r="BH452" i="3"/>
  <c r="BG452" i="3"/>
  <c r="BF452" i="3"/>
  <c r="BE452" i="3"/>
  <c r="BD452" i="3"/>
  <c r="BC452" i="3"/>
  <c r="AU452" i="3"/>
  <c r="AM452" i="3"/>
  <c r="AF452" i="3"/>
  <c r="BJ451" i="3"/>
  <c r="BI451" i="3"/>
  <c r="BH451" i="3"/>
  <c r="BG451" i="3"/>
  <c r="BF451" i="3"/>
  <c r="BE451" i="3"/>
  <c r="BD451" i="3"/>
  <c r="BC451" i="3"/>
  <c r="AU451" i="3"/>
  <c r="AM451" i="3"/>
  <c r="AF451" i="3"/>
  <c r="BJ450" i="3"/>
  <c r="BI450" i="3"/>
  <c r="BH450" i="3"/>
  <c r="BG450" i="3"/>
  <c r="BF450" i="3"/>
  <c r="BE450" i="3"/>
  <c r="BD450" i="3"/>
  <c r="BC450" i="3"/>
  <c r="AU450" i="3"/>
  <c r="AM450" i="3"/>
  <c r="AF450" i="3"/>
  <c r="BJ449" i="3"/>
  <c r="BI449" i="3"/>
  <c r="BH449" i="3"/>
  <c r="BG449" i="3"/>
  <c r="BF449" i="3"/>
  <c r="BE449" i="3"/>
  <c r="BD449" i="3"/>
  <c r="BC449" i="3"/>
  <c r="AU449" i="3"/>
  <c r="AM449" i="3"/>
  <c r="AF449" i="3"/>
  <c r="BB448" i="3"/>
  <c r="BB447" i="3" s="1"/>
  <c r="BA448" i="3"/>
  <c r="BA447" i="3" s="1"/>
  <c r="AZ448" i="3"/>
  <c r="AZ447" i="3" s="1"/>
  <c r="AY448" i="3"/>
  <c r="AY447" i="3" s="1"/>
  <c r="AX448" i="3"/>
  <c r="AX447" i="3" s="1"/>
  <c r="AW448" i="3"/>
  <c r="AW447" i="3" s="1"/>
  <c r="AV448" i="3"/>
  <c r="AT448" i="3"/>
  <c r="AS448" i="3"/>
  <c r="AS447" i="3"/>
  <c r="AR448" i="3"/>
  <c r="AR447" i="3"/>
  <c r="AQ448" i="3"/>
  <c r="AQ447" i="3"/>
  <c r="AP448" i="3"/>
  <c r="AP447" i="3"/>
  <c r="AO448" i="3"/>
  <c r="AO447" i="3"/>
  <c r="AN448" i="3"/>
  <c r="AL448" i="3"/>
  <c r="AL447" i="3" s="1"/>
  <c r="AK448" i="3"/>
  <c r="AJ448" i="3"/>
  <c r="AJ447" i="3" s="1"/>
  <c r="AI448" i="3"/>
  <c r="AI447" i="3" s="1"/>
  <c r="AH448" i="3"/>
  <c r="AH447" i="3" s="1"/>
  <c r="AG448" i="3"/>
  <c r="AG447" i="3" s="1"/>
  <c r="AE448" i="3"/>
  <c r="AE447" i="3" s="1"/>
  <c r="AD448" i="3"/>
  <c r="AD447" i="3" s="1"/>
  <c r="AC448" i="3"/>
  <c r="AC447" i="3" s="1"/>
  <c r="AB448" i="3"/>
  <c r="AB447" i="3" s="1"/>
  <c r="AA448" i="3"/>
  <c r="AA447" i="3" s="1"/>
  <c r="Z448" i="3"/>
  <c r="Z447" i="3" s="1"/>
  <c r="Y448" i="3"/>
  <c r="Y447" i="3" s="1"/>
  <c r="BK446" i="3"/>
  <c r="BJ446" i="3"/>
  <c r="BI446" i="3"/>
  <c r="BH446" i="3"/>
  <c r="BG446" i="3"/>
  <c r="AI446" i="3"/>
  <c r="AP446" i="3" s="1"/>
  <c r="AX446" i="3" s="1"/>
  <c r="BF446" i="3" s="1"/>
  <c r="AH446" i="3"/>
  <c r="AO446" i="3"/>
  <c r="AW446" i="3" s="1"/>
  <c r="BE446" i="3" s="1"/>
  <c r="AG446" i="3"/>
  <c r="AN446" i="3"/>
  <c r="AV446" i="3" s="1"/>
  <c r="BD446" i="3" s="1"/>
  <c r="BJ444" i="3"/>
  <c r="BI444" i="3"/>
  <c r="BH444" i="3"/>
  <c r="BG444" i="3"/>
  <c r="BF444" i="3"/>
  <c r="BE444" i="3"/>
  <c r="BD444" i="3"/>
  <c r="BC444" i="3"/>
  <c r="AU444" i="3"/>
  <c r="AM444" i="3"/>
  <c r="AF444" i="3"/>
  <c r="BJ443" i="3"/>
  <c r="BI443" i="3"/>
  <c r="BH443" i="3"/>
  <c r="BG443" i="3"/>
  <c r="BF443" i="3"/>
  <c r="BE443" i="3"/>
  <c r="BD443" i="3"/>
  <c r="BC443" i="3"/>
  <c r="AU443" i="3"/>
  <c r="AM443" i="3"/>
  <c r="AF443" i="3"/>
  <c r="BJ442" i="3"/>
  <c r="BI442" i="3"/>
  <c r="BH442" i="3"/>
  <c r="BG442" i="3"/>
  <c r="BF442" i="3"/>
  <c r="BE442" i="3"/>
  <c r="BD442" i="3"/>
  <c r="BC442" i="3"/>
  <c r="AU442" i="3"/>
  <c r="AM442" i="3"/>
  <c r="AF442" i="3"/>
  <c r="BK441" i="3"/>
  <c r="BJ441" i="3"/>
  <c r="BI441" i="3"/>
  <c r="BH441" i="3"/>
  <c r="BG441" i="3"/>
  <c r="BF441" i="3"/>
  <c r="BE441" i="3"/>
  <c r="BD441" i="3"/>
  <c r="BJ440" i="3"/>
  <c r="BI440" i="3"/>
  <c r="BH440" i="3"/>
  <c r="BG440" i="3"/>
  <c r="BF440" i="3"/>
  <c r="BE440" i="3"/>
  <c r="BD440" i="3"/>
  <c r="BC440" i="3"/>
  <c r="AU440" i="3"/>
  <c r="AM440" i="3"/>
  <c r="AF440" i="3"/>
  <c r="BJ439" i="3"/>
  <c r="BI439" i="3"/>
  <c r="BH439" i="3"/>
  <c r="BG439" i="3"/>
  <c r="BF439" i="3"/>
  <c r="BE439" i="3"/>
  <c r="BD439" i="3"/>
  <c r="BC439" i="3"/>
  <c r="AU439" i="3"/>
  <c r="AM439" i="3"/>
  <c r="AF439" i="3"/>
  <c r="BJ438" i="3"/>
  <c r="BI438" i="3"/>
  <c r="BH438" i="3"/>
  <c r="BG438" i="3"/>
  <c r="BF438" i="3"/>
  <c r="BE438" i="3"/>
  <c r="BD438" i="3"/>
  <c r="BC438" i="3"/>
  <c r="AU438" i="3"/>
  <c r="AM438" i="3"/>
  <c r="AF438" i="3"/>
  <c r="BJ437" i="3"/>
  <c r="BI437" i="3"/>
  <c r="BH437" i="3"/>
  <c r="BG437" i="3"/>
  <c r="BF437" i="3"/>
  <c r="BE437" i="3"/>
  <c r="BD437" i="3"/>
  <c r="BC437" i="3"/>
  <c r="AU437" i="3"/>
  <c r="AM437" i="3"/>
  <c r="AF437" i="3"/>
  <c r="BJ436" i="3"/>
  <c r="BI436" i="3"/>
  <c r="BH436" i="3"/>
  <c r="BG436" i="3"/>
  <c r="BF436" i="3"/>
  <c r="BE436" i="3"/>
  <c r="BD436" i="3"/>
  <c r="BC436" i="3"/>
  <c r="AU436" i="3"/>
  <c r="AM436" i="3"/>
  <c r="AF436" i="3"/>
  <c r="BJ435" i="3"/>
  <c r="BI435" i="3"/>
  <c r="BH435" i="3"/>
  <c r="BG435" i="3"/>
  <c r="BF435" i="3"/>
  <c r="BE435" i="3"/>
  <c r="BD435" i="3"/>
  <c r="BC435" i="3"/>
  <c r="AU435" i="3"/>
  <c r="AM435" i="3"/>
  <c r="AF435" i="3"/>
  <c r="BJ434" i="3"/>
  <c r="BI434" i="3"/>
  <c r="BH434" i="3"/>
  <c r="BG434" i="3"/>
  <c r="BF434" i="3"/>
  <c r="BE434" i="3"/>
  <c r="BD434" i="3"/>
  <c r="BC434" i="3"/>
  <c r="AU434" i="3"/>
  <c r="AM434" i="3"/>
  <c r="AF434" i="3"/>
  <c r="BJ433" i="3"/>
  <c r="BI433" i="3"/>
  <c r="BH433" i="3"/>
  <c r="BG433" i="3"/>
  <c r="BF433" i="3"/>
  <c r="BE433" i="3"/>
  <c r="BD433" i="3"/>
  <c r="BL433" i="3" s="1"/>
  <c r="AU433" i="3"/>
  <c r="AM433" i="3"/>
  <c r="AF433" i="3"/>
  <c r="BJ432" i="3"/>
  <c r="BI432" i="3"/>
  <c r="BH432" i="3"/>
  <c r="BG432" i="3"/>
  <c r="BF432" i="3"/>
  <c r="BE432" i="3"/>
  <c r="BD432" i="3"/>
  <c r="BC432" i="3"/>
  <c r="AU432" i="3"/>
  <c r="AM432" i="3"/>
  <c r="AF432" i="3"/>
  <c r="BB431" i="3"/>
  <c r="BA431" i="3"/>
  <c r="AZ431" i="3"/>
  <c r="AY431" i="3"/>
  <c r="AQ431" i="3"/>
  <c r="AJ431" i="3"/>
  <c r="AB431" i="3"/>
  <c r="AX431" i="3"/>
  <c r="AW431" i="3"/>
  <c r="AV431" i="3"/>
  <c r="AT431" i="3"/>
  <c r="AS431" i="3"/>
  <c r="AR431" i="3"/>
  <c r="AP431" i="3"/>
  <c r="AO431" i="3"/>
  <c r="AN431" i="3"/>
  <c r="AL431" i="3"/>
  <c r="AK431" i="3"/>
  <c r="AI431" i="3"/>
  <c r="AH431" i="3"/>
  <c r="AG431" i="3"/>
  <c r="AE431" i="3"/>
  <c r="AD431" i="3"/>
  <c r="AC431" i="3"/>
  <c r="AA431" i="3"/>
  <c r="Z431" i="3"/>
  <c r="Y431" i="3"/>
  <c r="BJ430" i="3"/>
  <c r="BI430" i="3"/>
  <c r="BH430" i="3"/>
  <c r="BG430" i="3"/>
  <c r="BF430" i="3"/>
  <c r="BE430" i="3"/>
  <c r="BD430" i="3"/>
  <c r="BC430" i="3"/>
  <c r="AU430" i="3"/>
  <c r="AM430" i="3"/>
  <c r="AF430" i="3"/>
  <c r="BJ429" i="3"/>
  <c r="BI429" i="3"/>
  <c r="BH429" i="3"/>
  <c r="BG429" i="3"/>
  <c r="BF429" i="3"/>
  <c r="BE429" i="3"/>
  <c r="BD429" i="3"/>
  <c r="BC429" i="3"/>
  <c r="AM429" i="3"/>
  <c r="AF429" i="3"/>
  <c r="BJ428" i="3"/>
  <c r="BI428" i="3"/>
  <c r="BH428" i="3"/>
  <c r="BG428" i="3"/>
  <c r="BF428" i="3"/>
  <c r="BE428" i="3"/>
  <c r="BD428" i="3"/>
  <c r="BC428" i="3"/>
  <c r="AU428" i="3"/>
  <c r="AM428" i="3"/>
  <c r="AF428" i="3"/>
  <c r="BJ427" i="3"/>
  <c r="BI427" i="3"/>
  <c r="BH427" i="3"/>
  <c r="BG427" i="3"/>
  <c r="BF427" i="3"/>
  <c r="BE427" i="3"/>
  <c r="BD427" i="3"/>
  <c r="BC427" i="3"/>
  <c r="AU427" i="3"/>
  <c r="AM427" i="3"/>
  <c r="AF427" i="3"/>
  <c r="BJ426" i="3"/>
  <c r="BI426" i="3"/>
  <c r="BH426" i="3"/>
  <c r="BG426" i="3"/>
  <c r="BF426" i="3"/>
  <c r="BE426" i="3"/>
  <c r="BD426" i="3"/>
  <c r="BC426" i="3"/>
  <c r="AU426" i="3"/>
  <c r="AM426" i="3"/>
  <c r="AF426" i="3"/>
  <c r="BJ425" i="3"/>
  <c r="BI425" i="3"/>
  <c r="BH425" i="3"/>
  <c r="BG425" i="3"/>
  <c r="BF425" i="3"/>
  <c r="BE425" i="3"/>
  <c r="BD425" i="3"/>
  <c r="BC425" i="3"/>
  <c r="AU425" i="3"/>
  <c r="AM425" i="3"/>
  <c r="AF425" i="3"/>
  <c r="BJ424" i="3"/>
  <c r="BI424" i="3"/>
  <c r="BH424" i="3"/>
  <c r="BG424" i="3"/>
  <c r="BF424" i="3"/>
  <c r="BE424" i="3"/>
  <c r="BD424" i="3"/>
  <c r="BC424" i="3"/>
  <c r="AU424" i="3"/>
  <c r="AM424" i="3"/>
  <c r="AF424" i="3"/>
  <c r="BJ423" i="3"/>
  <c r="BI423" i="3"/>
  <c r="BH423" i="3"/>
  <c r="BG423" i="3"/>
  <c r="BF423" i="3"/>
  <c r="BE423" i="3"/>
  <c r="BD423" i="3"/>
  <c r="BC423" i="3"/>
  <c r="AU423" i="3"/>
  <c r="AM423" i="3"/>
  <c r="AF423" i="3"/>
  <c r="BJ422" i="3"/>
  <c r="BI422" i="3"/>
  <c r="BH422" i="3"/>
  <c r="BG422" i="3"/>
  <c r="BF422" i="3"/>
  <c r="BE422" i="3"/>
  <c r="BD422" i="3"/>
  <c r="BC422" i="3"/>
  <c r="AU422" i="3"/>
  <c r="AM422" i="3"/>
  <c r="AF422" i="3"/>
  <c r="BJ421" i="3"/>
  <c r="BI421" i="3"/>
  <c r="BH421" i="3"/>
  <c r="BG421" i="3"/>
  <c r="BF421" i="3"/>
  <c r="BE421" i="3"/>
  <c r="BD421" i="3"/>
  <c r="BC421" i="3"/>
  <c r="AU421" i="3"/>
  <c r="AM421" i="3"/>
  <c r="AF421" i="3"/>
  <c r="BJ420" i="3"/>
  <c r="BI420" i="3"/>
  <c r="BH420" i="3"/>
  <c r="BG420" i="3"/>
  <c r="BF420" i="3"/>
  <c r="BE420" i="3"/>
  <c r="BD420" i="3"/>
  <c r="BC420" i="3"/>
  <c r="AU420" i="3"/>
  <c r="AM420" i="3"/>
  <c r="AF420" i="3"/>
  <c r="BJ419" i="3"/>
  <c r="BI419" i="3"/>
  <c r="BH419" i="3"/>
  <c r="BG419" i="3"/>
  <c r="BF419" i="3"/>
  <c r="BE419" i="3"/>
  <c r="BD419" i="3"/>
  <c r="BC419" i="3"/>
  <c r="AU419" i="3"/>
  <c r="AM419" i="3"/>
  <c r="AF419" i="3"/>
  <c r="BJ418" i="3"/>
  <c r="BI418" i="3"/>
  <c r="BH418" i="3"/>
  <c r="BG418" i="3"/>
  <c r="BF418" i="3"/>
  <c r="BE418" i="3"/>
  <c r="BD418" i="3"/>
  <c r="BC418" i="3"/>
  <c r="AU418" i="3"/>
  <c r="AM418" i="3"/>
  <c r="AF418" i="3"/>
  <c r="BJ417" i="3"/>
  <c r="BI417" i="3"/>
  <c r="BH417" i="3"/>
  <c r="BG417" i="3"/>
  <c r="BF417" i="3"/>
  <c r="BE417" i="3"/>
  <c r="BD417" i="3"/>
  <c r="BC417" i="3"/>
  <c r="AU417" i="3"/>
  <c r="AM417" i="3"/>
  <c r="AF417" i="3"/>
  <c r="BB416" i="3"/>
  <c r="BB415" i="3" s="1"/>
  <c r="BA416" i="3"/>
  <c r="AZ416" i="3"/>
  <c r="AY416" i="3"/>
  <c r="AX416" i="3"/>
  <c r="AW416" i="3"/>
  <c r="AV416" i="3"/>
  <c r="AT416" i="3"/>
  <c r="AS416" i="3"/>
  <c r="AR416" i="3"/>
  <c r="AQ416" i="3"/>
  <c r="AJ416" i="3"/>
  <c r="AB416" i="3"/>
  <c r="AP416" i="3"/>
  <c r="AO416" i="3"/>
  <c r="AN416" i="3"/>
  <c r="AN415" i="3" s="1"/>
  <c r="AL416" i="3"/>
  <c r="AK416" i="3"/>
  <c r="AI416" i="3"/>
  <c r="AH416" i="3"/>
  <c r="AG416" i="3"/>
  <c r="AE416" i="3"/>
  <c r="AD416" i="3"/>
  <c r="AC416" i="3"/>
  <c r="AA416" i="3"/>
  <c r="Z416" i="3"/>
  <c r="Y416" i="3"/>
  <c r="Y415" i="3" s="1"/>
  <c r="BJ414" i="3"/>
  <c r="BI414" i="3"/>
  <c r="BH414" i="3"/>
  <c r="BG414" i="3"/>
  <c r="BF414" i="3"/>
  <c r="BE414" i="3"/>
  <c r="BD414" i="3"/>
  <c r="BC414" i="3"/>
  <c r="AU414" i="3"/>
  <c r="AM414" i="3"/>
  <c r="AF414" i="3"/>
  <c r="BJ413" i="3"/>
  <c r="BI413" i="3"/>
  <c r="BH413" i="3"/>
  <c r="BG413" i="3"/>
  <c r="BF413" i="3"/>
  <c r="BE413" i="3"/>
  <c r="BD413" i="3"/>
  <c r="BC413" i="3"/>
  <c r="AU413" i="3"/>
  <c r="AF413" i="3"/>
  <c r="BJ412" i="3"/>
  <c r="BI412" i="3"/>
  <c r="BH412" i="3"/>
  <c r="BG412" i="3"/>
  <c r="BF412" i="3"/>
  <c r="BE412" i="3"/>
  <c r="BD412" i="3"/>
  <c r="BC412" i="3"/>
  <c r="AU412" i="3"/>
  <c r="AM412" i="3"/>
  <c r="AF412" i="3"/>
  <c r="BJ411" i="3"/>
  <c r="BI411" i="3"/>
  <c r="BH411" i="3"/>
  <c r="BG411" i="3"/>
  <c r="BF411" i="3"/>
  <c r="BE411" i="3"/>
  <c r="BD411" i="3"/>
  <c r="BC411" i="3"/>
  <c r="AU411" i="3"/>
  <c r="AM411" i="3"/>
  <c r="AF411" i="3"/>
  <c r="BJ410" i="3"/>
  <c r="BI410" i="3"/>
  <c r="BH410" i="3"/>
  <c r="BG410" i="3"/>
  <c r="BF410" i="3"/>
  <c r="BE410" i="3"/>
  <c r="BD410" i="3"/>
  <c r="BC410" i="3"/>
  <c r="AU410" i="3"/>
  <c r="AM410" i="3"/>
  <c r="AF410" i="3"/>
  <c r="BJ409" i="3"/>
  <c r="BI409" i="3"/>
  <c r="BH409" i="3"/>
  <c r="BG409" i="3"/>
  <c r="BF409" i="3"/>
  <c r="BE409" i="3"/>
  <c r="BD409" i="3"/>
  <c r="BC409" i="3"/>
  <c r="AU409" i="3"/>
  <c r="AM409" i="3"/>
  <c r="AF409" i="3"/>
  <c r="BJ408" i="3"/>
  <c r="BI408" i="3"/>
  <c r="BH408" i="3"/>
  <c r="BG408" i="3"/>
  <c r="BF408" i="3"/>
  <c r="BE408" i="3"/>
  <c r="BD408" i="3"/>
  <c r="BC408" i="3"/>
  <c r="AU408" i="3"/>
  <c r="AM408" i="3"/>
  <c r="AF408" i="3"/>
  <c r="BJ407" i="3"/>
  <c r="BI407" i="3"/>
  <c r="BH407" i="3"/>
  <c r="BG407" i="3"/>
  <c r="BF407" i="3"/>
  <c r="BE407" i="3"/>
  <c r="BD407" i="3"/>
  <c r="BC407" i="3"/>
  <c r="AU407" i="3"/>
  <c r="AM407" i="3"/>
  <c r="AF407" i="3"/>
  <c r="BJ406" i="3"/>
  <c r="BI406" i="3"/>
  <c r="BH406" i="3"/>
  <c r="BG406" i="3"/>
  <c r="BF406" i="3"/>
  <c r="BE406" i="3"/>
  <c r="BD406" i="3"/>
  <c r="BC406" i="3"/>
  <c r="AU406" i="3"/>
  <c r="AM406" i="3"/>
  <c r="AF406" i="3"/>
  <c r="BJ405" i="3"/>
  <c r="BI405" i="3"/>
  <c r="BH405" i="3"/>
  <c r="BG405" i="3"/>
  <c r="BF405" i="3"/>
  <c r="BE405" i="3"/>
  <c r="BD405" i="3"/>
  <c r="BC405" i="3"/>
  <c r="AU405" i="3"/>
  <c r="AM405" i="3"/>
  <c r="AF405" i="3"/>
  <c r="BJ404" i="3"/>
  <c r="BI404" i="3"/>
  <c r="BH404" i="3"/>
  <c r="BG404" i="3"/>
  <c r="BF404" i="3"/>
  <c r="BE404" i="3"/>
  <c r="BD404" i="3"/>
  <c r="BC404" i="3"/>
  <c r="AU404" i="3"/>
  <c r="AM404" i="3"/>
  <c r="AF404" i="3"/>
  <c r="BB403" i="3"/>
  <c r="BB402" i="3" s="1"/>
  <c r="BA403" i="3"/>
  <c r="BA402" i="3" s="1"/>
  <c r="AZ403" i="3"/>
  <c r="AY403" i="3"/>
  <c r="AY402" i="3" s="1"/>
  <c r="AX403" i="3"/>
  <c r="AX402" i="3" s="1"/>
  <c r="AW403" i="3"/>
  <c r="AW402" i="3" s="1"/>
  <c r="AV403" i="3"/>
  <c r="AV402" i="3" s="1"/>
  <c r="AT403" i="3"/>
  <c r="AT402" i="3" s="1"/>
  <c r="AS403" i="3"/>
  <c r="AS402" i="3" s="1"/>
  <c r="AR403" i="3"/>
  <c r="AR402" i="3" s="1"/>
  <c r="AQ403" i="3"/>
  <c r="AP403" i="3"/>
  <c r="AP402" i="3" s="1"/>
  <c r="AO403" i="3"/>
  <c r="AO402" i="3" s="1"/>
  <c r="AN403" i="3"/>
  <c r="AN402" i="3" s="1"/>
  <c r="AL403" i="3"/>
  <c r="AL402" i="3" s="1"/>
  <c r="AE403" i="3"/>
  <c r="AE402" i="3" s="1"/>
  <c r="AK403" i="3"/>
  <c r="AJ403" i="3"/>
  <c r="AJ402" i="3" s="1"/>
  <c r="AI403" i="3"/>
  <c r="AI402" i="3" s="1"/>
  <c r="AH403" i="3"/>
  <c r="AH402" i="3" s="1"/>
  <c r="AG403" i="3"/>
  <c r="AG402" i="3" s="1"/>
  <c r="AD403" i="3"/>
  <c r="AD402" i="3" s="1"/>
  <c r="AC403" i="3"/>
  <c r="AC402" i="3" s="1"/>
  <c r="AB403" i="3"/>
  <c r="AB402" i="3" s="1"/>
  <c r="AA403" i="3"/>
  <c r="AA402" i="3" s="1"/>
  <c r="Z403" i="3"/>
  <c r="Z402" i="3" s="1"/>
  <c r="Y403" i="3"/>
  <c r="Y402" i="3" s="1"/>
  <c r="AK402" i="3"/>
  <c r="BJ401" i="3"/>
  <c r="BI401" i="3"/>
  <c r="BH401" i="3"/>
  <c r="BG401" i="3"/>
  <c r="BF401" i="3"/>
  <c r="BE401" i="3"/>
  <c r="BD401" i="3"/>
  <c r="BC401" i="3"/>
  <c r="AU401" i="3"/>
  <c r="AM401" i="3"/>
  <c r="AF401" i="3"/>
  <c r="X401" i="3"/>
  <c r="BJ400" i="3"/>
  <c r="BI400" i="3"/>
  <c r="BH400" i="3"/>
  <c r="BG400" i="3"/>
  <c r="BF400" i="3"/>
  <c r="BE400" i="3"/>
  <c r="BD400" i="3"/>
  <c r="BC400" i="3"/>
  <c r="AU400" i="3"/>
  <c r="AM400" i="3"/>
  <c r="AF400" i="3"/>
  <c r="X400" i="3"/>
  <c r="BJ399" i="3"/>
  <c r="BI399" i="3"/>
  <c r="BH399" i="3"/>
  <c r="BG399" i="3"/>
  <c r="BF399" i="3"/>
  <c r="BE399" i="3"/>
  <c r="BD399" i="3"/>
  <c r="BC399" i="3"/>
  <c r="AU399" i="3"/>
  <c r="AM399" i="3"/>
  <c r="AF399" i="3"/>
  <c r="X399" i="3"/>
  <c r="BI398" i="3"/>
  <c r="BJ397" i="3"/>
  <c r="BI397" i="3"/>
  <c r="BH397" i="3"/>
  <c r="BG397" i="3"/>
  <c r="BF397" i="3"/>
  <c r="BE397" i="3"/>
  <c r="BD397" i="3"/>
  <c r="BC397" i="3"/>
  <c r="AU397" i="3"/>
  <c r="AM397" i="3"/>
  <c r="AF397" i="3"/>
  <c r="X397" i="3"/>
  <c r="BJ396" i="3"/>
  <c r="BI396" i="3"/>
  <c r="BH396" i="3"/>
  <c r="BG396" i="3"/>
  <c r="BF396" i="3"/>
  <c r="BE396" i="3"/>
  <c r="BD396" i="3"/>
  <c r="BC396" i="3"/>
  <c r="AU396" i="3"/>
  <c r="AM396" i="3"/>
  <c r="AF396" i="3"/>
  <c r="X396" i="3"/>
  <c r="BJ395" i="3"/>
  <c r="BI395" i="3"/>
  <c r="BH395" i="3"/>
  <c r="BG395" i="3"/>
  <c r="BF395" i="3"/>
  <c r="BE395" i="3"/>
  <c r="BD395" i="3"/>
  <c r="BC395" i="3"/>
  <c r="AU395" i="3"/>
  <c r="AM395" i="3"/>
  <c r="AF395" i="3"/>
  <c r="X395" i="3"/>
  <c r="BJ394" i="3"/>
  <c r="BI394" i="3"/>
  <c r="BH394" i="3"/>
  <c r="BG394" i="3"/>
  <c r="BF394" i="3"/>
  <c r="BE394" i="3"/>
  <c r="BD394" i="3"/>
  <c r="BC394" i="3"/>
  <c r="AU394" i="3"/>
  <c r="AM394" i="3"/>
  <c r="AF394" i="3"/>
  <c r="X394" i="3"/>
  <c r="BJ393" i="3"/>
  <c r="BI393" i="3"/>
  <c r="BH393" i="3"/>
  <c r="BG393" i="3"/>
  <c r="BF393" i="3"/>
  <c r="BE393" i="3"/>
  <c r="BD393" i="3"/>
  <c r="BC393" i="3"/>
  <c r="AU393" i="3"/>
  <c r="AM393" i="3"/>
  <c r="AF393" i="3"/>
  <c r="X393" i="3"/>
  <c r="BJ392" i="3"/>
  <c r="BI392" i="3"/>
  <c r="BH392" i="3"/>
  <c r="BG392" i="3"/>
  <c r="BF392" i="3"/>
  <c r="BE392" i="3"/>
  <c r="BD392" i="3"/>
  <c r="BC392" i="3"/>
  <c r="AU392" i="3"/>
  <c r="AM392" i="3"/>
  <c r="AF392" i="3"/>
  <c r="BJ391" i="3"/>
  <c r="BI391" i="3"/>
  <c r="BH391" i="3"/>
  <c r="BG391" i="3"/>
  <c r="BF391" i="3"/>
  <c r="BE391" i="3"/>
  <c r="BD391" i="3"/>
  <c r="BC391" i="3"/>
  <c r="AU391" i="3"/>
  <c r="AM391" i="3"/>
  <c r="AF391" i="3"/>
  <c r="BJ390" i="3"/>
  <c r="BI390" i="3"/>
  <c r="BH390" i="3"/>
  <c r="BG390" i="3"/>
  <c r="BF390" i="3"/>
  <c r="BE390" i="3"/>
  <c r="BC390" i="3"/>
  <c r="AU390" i="3"/>
  <c r="AM390" i="3"/>
  <c r="Y390" i="3"/>
  <c r="X390" i="3"/>
  <c r="BJ389" i="3"/>
  <c r="BI389" i="3"/>
  <c r="BH389" i="3"/>
  <c r="BG389" i="3"/>
  <c r="BF389" i="3"/>
  <c r="BE389" i="3"/>
  <c r="BD389" i="3"/>
  <c r="BC389" i="3"/>
  <c r="AU389" i="3"/>
  <c r="AM389" i="3"/>
  <c r="AF389" i="3"/>
  <c r="BJ388" i="3"/>
  <c r="BI388" i="3"/>
  <c r="BH388" i="3"/>
  <c r="BG388" i="3"/>
  <c r="BF388" i="3"/>
  <c r="BE388" i="3"/>
  <c r="BD388" i="3"/>
  <c r="BC388" i="3"/>
  <c r="AU388" i="3"/>
  <c r="AM388" i="3"/>
  <c r="AF388" i="3"/>
  <c r="BK387" i="3"/>
  <c r="BJ387" i="3"/>
  <c r="BI387" i="3"/>
  <c r="BH387" i="3"/>
  <c r="BG387" i="3"/>
  <c r="BF387" i="3"/>
  <c r="BE387" i="3"/>
  <c r="BD387" i="3"/>
  <c r="X387" i="3"/>
  <c r="BJ386" i="3"/>
  <c r="BI386" i="3"/>
  <c r="BH386" i="3"/>
  <c r="BG386" i="3"/>
  <c r="BF386" i="3"/>
  <c r="BE386" i="3"/>
  <c r="BD386" i="3"/>
  <c r="BC386" i="3"/>
  <c r="AU386" i="3"/>
  <c r="AM386" i="3"/>
  <c r="AF386" i="3"/>
  <c r="BJ385" i="3"/>
  <c r="BI385" i="3"/>
  <c r="BH385" i="3"/>
  <c r="BG385" i="3"/>
  <c r="BF385" i="3"/>
  <c r="BE385" i="3"/>
  <c r="BD385" i="3"/>
  <c r="BC385" i="3"/>
  <c r="AU385" i="3"/>
  <c r="AM385" i="3"/>
  <c r="AF385" i="3"/>
  <c r="BJ384" i="3"/>
  <c r="BI384" i="3"/>
  <c r="BH384" i="3"/>
  <c r="BG384" i="3"/>
  <c r="BF384" i="3"/>
  <c r="BE384" i="3"/>
  <c r="BD384" i="3"/>
  <c r="BC384" i="3"/>
  <c r="AU384" i="3"/>
  <c r="AM384" i="3"/>
  <c r="AF384" i="3"/>
  <c r="X384" i="3"/>
  <c r="BK383" i="3"/>
  <c r="BJ383" i="3"/>
  <c r="BI383" i="3"/>
  <c r="BH383" i="3"/>
  <c r="BG383" i="3"/>
  <c r="BE383" i="3"/>
  <c r="BD383" i="3"/>
  <c r="AA383" i="3"/>
  <c r="BF383" i="3" s="1"/>
  <c r="BJ382" i="3"/>
  <c r="BI382" i="3"/>
  <c r="BH382" i="3"/>
  <c r="BG382" i="3"/>
  <c r="BF382" i="3"/>
  <c r="BE382" i="3"/>
  <c r="BD382" i="3"/>
  <c r="BC382" i="3"/>
  <c r="AU382" i="3"/>
  <c r="AM382" i="3"/>
  <c r="AF382" i="3"/>
  <c r="X382" i="3"/>
  <c r="BJ381" i="3"/>
  <c r="BI381" i="3"/>
  <c r="BH381" i="3"/>
  <c r="BG381" i="3"/>
  <c r="BF381" i="3"/>
  <c r="BE381" i="3"/>
  <c r="BD381" i="3"/>
  <c r="BC381" i="3"/>
  <c r="AU381" i="3"/>
  <c r="AM381" i="3"/>
  <c r="AF381" i="3"/>
  <c r="X381" i="3"/>
  <c r="BJ380" i="3"/>
  <c r="BI380" i="3"/>
  <c r="BH380" i="3"/>
  <c r="BG380" i="3"/>
  <c r="BF380" i="3"/>
  <c r="BE380" i="3"/>
  <c r="BD380" i="3"/>
  <c r="BC380" i="3"/>
  <c r="AU380" i="3"/>
  <c r="AM380" i="3"/>
  <c r="AF380" i="3"/>
  <c r="BJ379" i="3"/>
  <c r="BI379" i="3"/>
  <c r="BH379" i="3"/>
  <c r="BG379" i="3"/>
  <c r="BF379" i="3"/>
  <c r="BE379" i="3"/>
  <c r="BD379" i="3"/>
  <c r="BC379" i="3"/>
  <c r="AU379" i="3"/>
  <c r="AM379" i="3"/>
  <c r="AF379" i="3"/>
  <c r="X379" i="3"/>
  <c r="BJ378" i="3"/>
  <c r="BI378" i="3"/>
  <c r="BH378" i="3"/>
  <c r="BG378" i="3"/>
  <c r="BF378" i="3"/>
  <c r="BE378" i="3"/>
  <c r="BD378" i="3"/>
  <c r="BC378" i="3"/>
  <c r="AU378" i="3"/>
  <c r="AM378" i="3"/>
  <c r="AF378" i="3"/>
  <c r="X378" i="3"/>
  <c r="BJ377" i="3"/>
  <c r="BI377" i="3"/>
  <c r="BH377" i="3"/>
  <c r="BG377" i="3"/>
  <c r="BF377" i="3"/>
  <c r="BE377" i="3"/>
  <c r="BC377" i="3"/>
  <c r="AU377" i="3"/>
  <c r="AM377" i="3"/>
  <c r="Y377" i="3"/>
  <c r="X377" i="3"/>
  <c r="BB376" i="3"/>
  <c r="BA376" i="3"/>
  <c r="BA375" i="3" s="1"/>
  <c r="AZ376" i="3"/>
  <c r="AY376" i="3"/>
  <c r="AY375" i="3"/>
  <c r="AX376" i="3"/>
  <c r="AW376" i="3"/>
  <c r="AW375" i="3" s="1"/>
  <c r="AV376" i="3"/>
  <c r="AT376" i="3"/>
  <c r="AT375" i="3" s="1"/>
  <c r="AS376" i="3"/>
  <c r="AS375" i="3" s="1"/>
  <c r="AR376" i="3"/>
  <c r="AR375" i="3" s="1"/>
  <c r="AQ376" i="3"/>
  <c r="AQ375" i="3" s="1"/>
  <c r="AP376" i="3"/>
  <c r="AP375" i="3" s="1"/>
  <c r="AO376" i="3"/>
  <c r="AN376" i="3"/>
  <c r="AN375" i="3" s="1"/>
  <c r="AL376" i="3"/>
  <c r="AL375" i="3" s="1"/>
  <c r="AK376" i="3"/>
  <c r="AK375" i="3" s="1"/>
  <c r="AJ376" i="3"/>
  <c r="AJ375" i="3" s="1"/>
  <c r="AI376" i="3"/>
  <c r="AI375" i="3" s="1"/>
  <c r="AH376" i="3"/>
  <c r="AH375" i="3" s="1"/>
  <c r="AG376" i="3"/>
  <c r="AE376" i="3"/>
  <c r="AE375" i="3" s="1"/>
  <c r="AD376" i="3"/>
  <c r="AD375" i="3" s="1"/>
  <c r="AC376" i="3"/>
  <c r="AC375" i="3" s="1"/>
  <c r="AB376" i="3"/>
  <c r="AB375" i="3" s="1"/>
  <c r="Z376" i="3"/>
  <c r="Z375" i="3" s="1"/>
  <c r="BJ374" i="3"/>
  <c r="BI374" i="3"/>
  <c r="BH374" i="3"/>
  <c r="BG374" i="3"/>
  <c r="BE374" i="3"/>
  <c r="AI374" i="3"/>
  <c r="AP374" i="3" s="1"/>
  <c r="AX374" i="3" s="1"/>
  <c r="BF374" i="3" s="1"/>
  <c r="AG374" i="3"/>
  <c r="AN374" i="3" s="1"/>
  <c r="AV374" i="3" s="1"/>
  <c r="BD374" i="3" s="1"/>
  <c r="AF374" i="3"/>
  <c r="BK374" i="3"/>
  <c r="BJ373" i="3"/>
  <c r="BI373" i="3"/>
  <c r="BH373" i="3"/>
  <c r="BG373" i="3"/>
  <c r="BF373" i="3"/>
  <c r="BE373" i="3"/>
  <c r="BD373" i="3"/>
  <c r="BC373" i="3"/>
  <c r="AU373" i="3"/>
  <c r="AM373" i="3"/>
  <c r="AF373" i="3"/>
  <c r="BJ372" i="3"/>
  <c r="BI372" i="3"/>
  <c r="BH372" i="3"/>
  <c r="BG372" i="3"/>
  <c r="BF372" i="3"/>
  <c r="BE372" i="3"/>
  <c r="BD372" i="3"/>
  <c r="BC372" i="3"/>
  <c r="AU372" i="3"/>
  <c r="AM372" i="3"/>
  <c r="AF372" i="3"/>
  <c r="X372" i="3"/>
  <c r="BJ371" i="3"/>
  <c r="BI371" i="3"/>
  <c r="BH371" i="3"/>
  <c r="BG371" i="3"/>
  <c r="BF371" i="3"/>
  <c r="BE371" i="3"/>
  <c r="BD371" i="3"/>
  <c r="BC371" i="3"/>
  <c r="AU371" i="3"/>
  <c r="AM371" i="3"/>
  <c r="AF371" i="3"/>
  <c r="BJ370" i="3"/>
  <c r="BI370" i="3"/>
  <c r="BH370" i="3"/>
  <c r="BG370" i="3"/>
  <c r="BF370" i="3"/>
  <c r="BE370" i="3"/>
  <c r="BD370" i="3"/>
  <c r="BC370" i="3"/>
  <c r="AU370" i="3"/>
  <c r="AM370" i="3"/>
  <c r="AF370" i="3"/>
  <c r="X370" i="3"/>
  <c r="BJ369" i="3"/>
  <c r="BI369" i="3"/>
  <c r="BH369" i="3"/>
  <c r="BG369" i="3"/>
  <c r="BF369" i="3"/>
  <c r="BE369" i="3"/>
  <c r="BD369" i="3"/>
  <c r="BC369" i="3"/>
  <c r="AU369" i="3"/>
  <c r="AM369" i="3"/>
  <c r="AF369" i="3"/>
  <c r="X369" i="3"/>
  <c r="BJ368" i="3"/>
  <c r="BI368" i="3"/>
  <c r="BH368" i="3"/>
  <c r="BG368" i="3"/>
  <c r="BF368" i="3"/>
  <c r="BE368" i="3"/>
  <c r="BD368" i="3"/>
  <c r="BC368" i="3"/>
  <c r="AU368" i="3"/>
  <c r="AM368" i="3"/>
  <c r="AF368" i="3"/>
  <c r="X368" i="3"/>
  <c r="BJ367" i="3"/>
  <c r="BI367" i="3"/>
  <c r="BH367" i="3"/>
  <c r="BG367" i="3"/>
  <c r="BF367" i="3"/>
  <c r="BE367" i="3"/>
  <c r="BD367" i="3"/>
  <c r="BC367" i="3"/>
  <c r="AU367" i="3"/>
  <c r="AM367" i="3"/>
  <c r="AF367" i="3"/>
  <c r="X367" i="3"/>
  <c r="BJ366" i="3"/>
  <c r="BH366" i="3"/>
  <c r="BG366" i="3"/>
  <c r="BF366" i="3"/>
  <c r="BE366" i="3"/>
  <c r="BD366" i="3"/>
  <c r="BC366" i="3"/>
  <c r="AU366" i="3"/>
  <c r="AM366" i="3"/>
  <c r="AD366" i="3"/>
  <c r="X366" i="3"/>
  <c r="BJ365" i="3"/>
  <c r="BI365" i="3"/>
  <c r="BH365" i="3"/>
  <c r="BG365" i="3"/>
  <c r="BF365" i="3"/>
  <c r="BE365" i="3"/>
  <c r="BD365" i="3"/>
  <c r="BC365" i="3"/>
  <c r="AU365" i="3"/>
  <c r="AM365" i="3"/>
  <c r="AF365" i="3"/>
  <c r="X365" i="3"/>
  <c r="BB364" i="3"/>
  <c r="BB363" i="3" s="1"/>
  <c r="BA364" i="3"/>
  <c r="BA363" i="3" s="1"/>
  <c r="AZ364" i="3"/>
  <c r="AY364" i="3"/>
  <c r="AY363" i="3"/>
  <c r="AX364" i="3"/>
  <c r="AP364" i="3"/>
  <c r="AP363" i="3" s="1"/>
  <c r="AI364" i="3"/>
  <c r="AI363" i="3" s="1"/>
  <c r="AA364" i="3"/>
  <c r="AW364" i="3"/>
  <c r="AV364" i="3"/>
  <c r="AV363" i="3" s="1"/>
  <c r="AT364" i="3"/>
  <c r="AT363" i="3" s="1"/>
  <c r="AS364" i="3"/>
  <c r="AS363" i="3" s="1"/>
  <c r="AR364" i="3"/>
  <c r="AR363" i="3" s="1"/>
  <c r="AQ364" i="3"/>
  <c r="AO364" i="3"/>
  <c r="AO363" i="3"/>
  <c r="AN364" i="3"/>
  <c r="AN363" i="3"/>
  <c r="AL364" i="3"/>
  <c r="AL363" i="3"/>
  <c r="AK364" i="3"/>
  <c r="AK363" i="3"/>
  <c r="AJ364" i="3"/>
  <c r="AH364" i="3"/>
  <c r="AH363" i="3" s="1"/>
  <c r="AG364" i="3"/>
  <c r="AG363" i="3" s="1"/>
  <c r="Y364" i="3"/>
  <c r="Y363" i="3" s="1"/>
  <c r="AE364" i="3"/>
  <c r="AE363" i="3"/>
  <c r="AC364" i="3"/>
  <c r="AC363" i="3"/>
  <c r="AB364" i="3"/>
  <c r="AB363" i="3"/>
  <c r="Z364" i="3"/>
  <c r="Z363" i="3"/>
  <c r="BJ362" i="3"/>
  <c r="BI362" i="3"/>
  <c r="BH362" i="3"/>
  <c r="BG362" i="3"/>
  <c r="AI362" i="3"/>
  <c r="AP362" i="3"/>
  <c r="AX362" i="3" s="1"/>
  <c r="BF362" i="3" s="1"/>
  <c r="AH362" i="3"/>
  <c r="AO362" i="3"/>
  <c r="AW362" i="3" s="1"/>
  <c r="BE362" i="3" s="1"/>
  <c r="AG362" i="3"/>
  <c r="AF362" i="3"/>
  <c r="BJ360" i="3"/>
  <c r="BI360" i="3"/>
  <c r="BH360" i="3"/>
  <c r="BG360" i="3"/>
  <c r="BF360" i="3"/>
  <c r="BE360" i="3"/>
  <c r="BD360" i="3"/>
  <c r="BC360" i="3"/>
  <c r="AU360" i="3"/>
  <c r="AM360" i="3"/>
  <c r="AF360" i="3"/>
  <c r="BB359" i="3"/>
  <c r="AV359" i="3"/>
  <c r="AV356" i="3"/>
  <c r="AV355" i="3" s="1"/>
  <c r="AW359" i="3"/>
  <c r="AX359" i="3"/>
  <c r="AY359" i="3"/>
  <c r="AZ359" i="3"/>
  <c r="AZ356" i="3"/>
  <c r="BA359" i="3"/>
  <c r="AT359" i="3"/>
  <c r="AS359" i="3"/>
  <c r="AR359" i="3"/>
  <c r="AQ359" i="3"/>
  <c r="AP359" i="3"/>
  <c r="AO359" i="3"/>
  <c r="AN359" i="3"/>
  <c r="AL359" i="3"/>
  <c r="AK359" i="3"/>
  <c r="AJ359" i="3"/>
  <c r="AI359" i="3"/>
  <c r="AI356" i="3"/>
  <c r="AH359" i="3"/>
  <c r="AG359" i="3"/>
  <c r="Y359" i="3"/>
  <c r="AE359" i="3"/>
  <c r="AD359" i="3"/>
  <c r="AC359" i="3"/>
  <c r="AB359" i="3"/>
  <c r="AA359" i="3"/>
  <c r="Z359" i="3"/>
  <c r="BI358" i="3"/>
  <c r="BH358" i="3"/>
  <c r="BG358" i="3"/>
  <c r="BF358" i="3"/>
  <c r="BE358" i="3"/>
  <c r="BD358" i="3"/>
  <c r="AL358" i="3"/>
  <c r="AM358" i="3" s="1"/>
  <c r="AF358" i="3"/>
  <c r="BJ357" i="3"/>
  <c r="BH357" i="3"/>
  <c r="BG357" i="3"/>
  <c r="BF357" i="3"/>
  <c r="BE357" i="3"/>
  <c r="BD357" i="3"/>
  <c r="BC357" i="3"/>
  <c r="AU357" i="3"/>
  <c r="AM357" i="3"/>
  <c r="AD357" i="3"/>
  <c r="AD356" i="3" s="1"/>
  <c r="BA356" i="3"/>
  <c r="AY356" i="3"/>
  <c r="AX356" i="3"/>
  <c r="AW356" i="3"/>
  <c r="AS356" i="3"/>
  <c r="AR356" i="3"/>
  <c r="AQ356" i="3"/>
  <c r="AP356" i="3"/>
  <c r="AO356" i="3"/>
  <c r="AN356" i="3"/>
  <c r="AK356" i="3"/>
  <c r="AJ356" i="3"/>
  <c r="AJ355" i="3"/>
  <c r="AH356" i="3"/>
  <c r="AG356" i="3"/>
  <c r="AE356" i="3"/>
  <c r="AC356" i="3"/>
  <c r="AB356" i="3"/>
  <c r="AA356" i="3"/>
  <c r="Z356" i="3"/>
  <c r="Y356" i="3"/>
  <c r="BK354" i="3"/>
  <c r="BJ354" i="3"/>
  <c r="BI354" i="3"/>
  <c r="BH354" i="3"/>
  <c r="BG354" i="3"/>
  <c r="AI354" i="3"/>
  <c r="AP354" i="3" s="1"/>
  <c r="AX354" i="3" s="1"/>
  <c r="BF354" i="3" s="1"/>
  <c r="AH354" i="3"/>
  <c r="AO354" i="3" s="1"/>
  <c r="AW354" i="3" s="1"/>
  <c r="BE354" i="3" s="1"/>
  <c r="AG354" i="3"/>
  <c r="AN354" i="3" s="1"/>
  <c r="AV354" i="3" s="1"/>
  <c r="BD354" i="3" s="1"/>
  <c r="BJ353" i="3"/>
  <c r="BI353" i="3"/>
  <c r="BH353" i="3"/>
  <c r="BG353" i="3"/>
  <c r="BF353" i="3"/>
  <c r="BE353" i="3"/>
  <c r="BD353" i="3"/>
  <c r="AF353" i="3"/>
  <c r="BK353" i="3" s="1"/>
  <c r="BJ352" i="3"/>
  <c r="BI352" i="3"/>
  <c r="BH352" i="3"/>
  <c r="BG352" i="3"/>
  <c r="BF352" i="3"/>
  <c r="BE352" i="3"/>
  <c r="BD352" i="3"/>
  <c r="AF352" i="3"/>
  <c r="BK352" i="3" s="1"/>
  <c r="BJ351" i="3"/>
  <c r="BI351" i="3"/>
  <c r="BH351" i="3"/>
  <c r="BG351" i="3"/>
  <c r="BF351" i="3"/>
  <c r="BE351" i="3"/>
  <c r="BD351" i="3"/>
  <c r="AF351" i="3"/>
  <c r="BK351" i="3" s="1"/>
  <c r="BJ350" i="3"/>
  <c r="BI350" i="3"/>
  <c r="BH350" i="3"/>
  <c r="BG350" i="3"/>
  <c r="BF350" i="3"/>
  <c r="BE350" i="3"/>
  <c r="BD350" i="3"/>
  <c r="AF350" i="3"/>
  <c r="BK350" i="3" s="1"/>
  <c r="BJ349" i="3"/>
  <c r="BI349" i="3"/>
  <c r="BH349" i="3"/>
  <c r="BG349" i="3"/>
  <c r="BF349" i="3"/>
  <c r="BE349" i="3"/>
  <c r="BD349" i="3"/>
  <c r="AF349" i="3"/>
  <c r="BK349" i="3" s="1"/>
  <c r="BJ348" i="3"/>
  <c r="BI348" i="3"/>
  <c r="BH348" i="3"/>
  <c r="BG348" i="3"/>
  <c r="BF348" i="3"/>
  <c r="BE348" i="3"/>
  <c r="BD348" i="3"/>
  <c r="AF348" i="3"/>
  <c r="BK348" i="3" s="1"/>
  <c r="BJ347" i="3"/>
  <c r="BI347" i="3"/>
  <c r="BH347" i="3"/>
  <c r="BG347" i="3"/>
  <c r="BF347" i="3"/>
  <c r="BE347" i="3"/>
  <c r="Y347" i="3"/>
  <c r="AF347" i="3" s="1"/>
  <c r="BK347" i="3" s="1"/>
  <c r="BJ346" i="3"/>
  <c r="BI346" i="3"/>
  <c r="BH346" i="3"/>
  <c r="BG346" i="3"/>
  <c r="BF346" i="3"/>
  <c r="BE346" i="3"/>
  <c r="BD346" i="3"/>
  <c r="AF346" i="3"/>
  <c r="BK346" i="3" s="1"/>
  <c r="BJ345" i="3"/>
  <c r="BI345" i="3"/>
  <c r="BH345" i="3"/>
  <c r="BG345" i="3"/>
  <c r="BF345" i="3"/>
  <c r="BE345" i="3"/>
  <c r="BD345" i="3"/>
  <c r="AF345" i="3"/>
  <c r="BK345" i="3" s="1"/>
  <c r="BJ344" i="3"/>
  <c r="BI344" i="3"/>
  <c r="BH344" i="3"/>
  <c r="BG344" i="3"/>
  <c r="BF344" i="3"/>
  <c r="BE344" i="3"/>
  <c r="BD344" i="3"/>
  <c r="AF344" i="3"/>
  <c r="BK344" i="3" s="1"/>
  <c r="BJ343" i="3"/>
  <c r="BI343" i="3"/>
  <c r="BH343" i="3"/>
  <c r="BG343" i="3"/>
  <c r="BF343" i="3"/>
  <c r="BE343" i="3"/>
  <c r="BD343" i="3"/>
  <c r="AF343" i="3"/>
  <c r="BK343" i="3" s="1"/>
  <c r="BJ342" i="3"/>
  <c r="BI342" i="3"/>
  <c r="BH342" i="3"/>
  <c r="BG342" i="3"/>
  <c r="BF342" i="3"/>
  <c r="BE342" i="3"/>
  <c r="BD342" i="3"/>
  <c r="AF342" i="3"/>
  <c r="BK342" i="3" s="1"/>
  <c r="BJ341" i="3"/>
  <c r="BI341" i="3"/>
  <c r="BH341" i="3"/>
  <c r="BG341" i="3"/>
  <c r="BF341" i="3"/>
  <c r="BE341" i="3"/>
  <c r="BD341" i="3"/>
  <c r="AF341" i="3"/>
  <c r="BK341" i="3" s="1"/>
  <c r="BJ340" i="3"/>
  <c r="BI340" i="3"/>
  <c r="BH340" i="3"/>
  <c r="BG340" i="3"/>
  <c r="BF340" i="3"/>
  <c r="BE340" i="3"/>
  <c r="BD340" i="3"/>
  <c r="AF340" i="3"/>
  <c r="BK340" i="3" s="1"/>
  <c r="BJ339" i="3"/>
  <c r="BI339" i="3"/>
  <c r="BH339" i="3"/>
  <c r="BG339" i="3"/>
  <c r="BF339" i="3"/>
  <c r="BE339" i="3"/>
  <c r="BD339" i="3"/>
  <c r="AF339" i="3"/>
  <c r="BK339" i="3"/>
  <c r="BJ338" i="3"/>
  <c r="BI338" i="3"/>
  <c r="BH338" i="3"/>
  <c r="BG338" i="3"/>
  <c r="BF338" i="3"/>
  <c r="BE338" i="3"/>
  <c r="BD338" i="3"/>
  <c r="AF338" i="3"/>
  <c r="BK338" i="3" s="1"/>
  <c r="BJ337" i="3"/>
  <c r="BI337" i="3"/>
  <c r="BH337" i="3"/>
  <c r="BG337" i="3"/>
  <c r="BF337" i="3"/>
  <c r="BE337" i="3"/>
  <c r="BD337" i="3"/>
  <c r="AF337" i="3"/>
  <c r="BK337" i="3" s="1"/>
  <c r="BJ336" i="3"/>
  <c r="BI336" i="3"/>
  <c r="BH336" i="3"/>
  <c r="BG336" i="3"/>
  <c r="BF336" i="3"/>
  <c r="BE336" i="3"/>
  <c r="BD336" i="3"/>
  <c r="AF336" i="3"/>
  <c r="BK336" i="3" s="1"/>
  <c r="BI335" i="3"/>
  <c r="AF335" i="3"/>
  <c r="BJ334" i="3"/>
  <c r="BI334" i="3"/>
  <c r="BH334" i="3"/>
  <c r="BG334" i="3"/>
  <c r="BF334" i="3"/>
  <c r="BE334" i="3"/>
  <c r="BD334" i="3"/>
  <c r="AF334" i="3"/>
  <c r="BK334" i="3" s="1"/>
  <c r="BJ333" i="3"/>
  <c r="BI333" i="3"/>
  <c r="BH333" i="3"/>
  <c r="BG333" i="3"/>
  <c r="BF333" i="3"/>
  <c r="BE333" i="3"/>
  <c r="BD333" i="3"/>
  <c r="AF333" i="3"/>
  <c r="BK333" i="3" s="1"/>
  <c r="BB332" i="3"/>
  <c r="BB331" i="3" s="1"/>
  <c r="BA332" i="3"/>
  <c r="BA331" i="3" s="1"/>
  <c r="AZ332" i="3"/>
  <c r="AZ331" i="3" s="1"/>
  <c r="AY332" i="3"/>
  <c r="AX332" i="3"/>
  <c r="AX331" i="3" s="1"/>
  <c r="AW332" i="3"/>
  <c r="AW331" i="3" s="1"/>
  <c r="AV332" i="3"/>
  <c r="AT332" i="3"/>
  <c r="AS332" i="3"/>
  <c r="AS331" i="3" s="1"/>
  <c r="AR332" i="3"/>
  <c r="AR331" i="3" s="1"/>
  <c r="AQ332" i="3"/>
  <c r="AQ331" i="3" s="1"/>
  <c r="AP332" i="3"/>
  <c r="AP331" i="3" s="1"/>
  <c r="AO332" i="3"/>
  <c r="AN332" i="3"/>
  <c r="AN331" i="3" s="1"/>
  <c r="AL332" i="3"/>
  <c r="AL331" i="3" s="1"/>
  <c r="AK332" i="3"/>
  <c r="AK331" i="3" s="1"/>
  <c r="AJ332" i="3"/>
  <c r="AJ331" i="3" s="1"/>
  <c r="AI332" i="3"/>
  <c r="AI331" i="3" s="1"/>
  <c r="AH332" i="3"/>
  <c r="AG332" i="3"/>
  <c r="AG331" i="3" s="1"/>
  <c r="AE332" i="3"/>
  <c r="AE331" i="3" s="1"/>
  <c r="AD332" i="3"/>
  <c r="AC332" i="3"/>
  <c r="AC331" i="3" s="1"/>
  <c r="AB332" i="3"/>
  <c r="AB331" i="3" s="1"/>
  <c r="AA332" i="3"/>
  <c r="AA331" i="3" s="1"/>
  <c r="Z332" i="3"/>
  <c r="Z331" i="3" s="1"/>
  <c r="BJ330" i="3"/>
  <c r="BI330" i="3"/>
  <c r="BH330" i="3"/>
  <c r="BG330" i="3"/>
  <c r="BE330" i="3"/>
  <c r="BD330" i="3"/>
  <c r="AI330" i="3"/>
  <c r="AP330" i="3" s="1"/>
  <c r="BF330" i="3" s="1"/>
  <c r="AF330" i="3"/>
  <c r="BK330" i="3" s="1"/>
  <c r="BJ329" i="3"/>
  <c r="BI329" i="3"/>
  <c r="BH329" i="3"/>
  <c r="BG329" i="3"/>
  <c r="BF329" i="3"/>
  <c r="BE329" i="3"/>
  <c r="BD329" i="3"/>
  <c r="BC329" i="3"/>
  <c r="AU329" i="3"/>
  <c r="AM329" i="3"/>
  <c r="AF329" i="3"/>
  <c r="BJ328" i="3"/>
  <c r="BI328" i="3"/>
  <c r="BH328" i="3"/>
  <c r="BG328" i="3"/>
  <c r="BF328" i="3"/>
  <c r="BE328" i="3"/>
  <c r="BD328" i="3"/>
  <c r="BC328" i="3"/>
  <c r="AU328" i="3"/>
  <c r="AM328" i="3"/>
  <c r="AF328" i="3"/>
  <c r="BJ327" i="3"/>
  <c r="BI327" i="3"/>
  <c r="BH327" i="3"/>
  <c r="BG327" i="3"/>
  <c r="BF327" i="3"/>
  <c r="BE327" i="3"/>
  <c r="BD327" i="3"/>
  <c r="BC327" i="3"/>
  <c r="AU327" i="3"/>
  <c r="AM327" i="3"/>
  <c r="AF327" i="3"/>
  <c r="BJ325" i="3"/>
  <c r="BI325" i="3"/>
  <c r="BH325" i="3"/>
  <c r="BG325" i="3"/>
  <c r="BF325" i="3"/>
  <c r="BE325" i="3"/>
  <c r="BD325" i="3"/>
  <c r="BC325" i="3"/>
  <c r="AU325" i="3"/>
  <c r="AM325" i="3"/>
  <c r="AF325" i="3"/>
  <c r="BJ324" i="3"/>
  <c r="BI324" i="3"/>
  <c r="BH324" i="3"/>
  <c r="BG324" i="3"/>
  <c r="BF324" i="3"/>
  <c r="BE324" i="3"/>
  <c r="BD324" i="3"/>
  <c r="BC324" i="3"/>
  <c r="AU324" i="3"/>
  <c r="AM324" i="3"/>
  <c r="AF324" i="3"/>
  <c r="BJ323" i="3"/>
  <c r="BI323" i="3"/>
  <c r="BH323" i="3"/>
  <c r="BG323" i="3"/>
  <c r="BF323" i="3"/>
  <c r="BE323" i="3"/>
  <c r="BD323" i="3"/>
  <c r="BC323" i="3"/>
  <c r="AU323" i="3"/>
  <c r="AM323" i="3"/>
  <c r="AF323" i="3"/>
  <c r="BJ322" i="3"/>
  <c r="BI322" i="3"/>
  <c r="BH322" i="3"/>
  <c r="BG322" i="3"/>
  <c r="BF322" i="3"/>
  <c r="BE322" i="3"/>
  <c r="BD322" i="3"/>
  <c r="BC322" i="3"/>
  <c r="AU322" i="3"/>
  <c r="AM322" i="3"/>
  <c r="AF322" i="3"/>
  <c r="BJ321" i="3"/>
  <c r="BI321" i="3"/>
  <c r="BH321" i="3"/>
  <c r="BG321" i="3"/>
  <c r="BF321" i="3"/>
  <c r="BE321" i="3"/>
  <c r="BD321" i="3"/>
  <c r="BC321" i="3"/>
  <c r="AU321" i="3"/>
  <c r="AM321" i="3"/>
  <c r="AF321" i="3"/>
  <c r="BJ320" i="3"/>
  <c r="BI320" i="3"/>
  <c r="BH320" i="3"/>
  <c r="BG320" i="3"/>
  <c r="BF320" i="3"/>
  <c r="BE320" i="3"/>
  <c r="BD320" i="3"/>
  <c r="BC320" i="3"/>
  <c r="AU320" i="3"/>
  <c r="AM320" i="3"/>
  <c r="AF320" i="3"/>
  <c r="BJ319" i="3"/>
  <c r="BI319" i="3"/>
  <c r="BH319" i="3"/>
  <c r="BG319" i="3"/>
  <c r="BF319" i="3"/>
  <c r="BE319" i="3"/>
  <c r="BD319" i="3"/>
  <c r="BC319" i="3"/>
  <c r="AU319" i="3"/>
  <c r="AM319" i="3"/>
  <c r="AF319" i="3"/>
  <c r="BJ318" i="3"/>
  <c r="BI318" i="3"/>
  <c r="BH318" i="3"/>
  <c r="BG318" i="3"/>
  <c r="BF318" i="3"/>
  <c r="BE318" i="3"/>
  <c r="BD318" i="3"/>
  <c r="BC318" i="3"/>
  <c r="AU318" i="3"/>
  <c r="AM318" i="3"/>
  <c r="AF318" i="3"/>
  <c r="BJ317" i="3"/>
  <c r="BI317" i="3"/>
  <c r="BH317" i="3"/>
  <c r="BG317" i="3"/>
  <c r="BF317" i="3"/>
  <c r="BE317" i="3"/>
  <c r="BD317" i="3"/>
  <c r="BC317" i="3"/>
  <c r="AU317" i="3"/>
  <c r="AM317" i="3"/>
  <c r="AF317" i="3"/>
  <c r="BJ316" i="3"/>
  <c r="BI316" i="3"/>
  <c r="BH316" i="3"/>
  <c r="BG316" i="3"/>
  <c r="BF316" i="3"/>
  <c r="BE316" i="3"/>
  <c r="BD316" i="3"/>
  <c r="BC316" i="3"/>
  <c r="AU316" i="3"/>
  <c r="AM316" i="3"/>
  <c r="AF316" i="3"/>
  <c r="BJ315" i="3"/>
  <c r="BI315" i="3"/>
  <c r="BH315" i="3"/>
  <c r="BG315" i="3"/>
  <c r="BF315" i="3"/>
  <c r="BE315" i="3"/>
  <c r="BD315" i="3"/>
  <c r="BC315" i="3"/>
  <c r="AU315" i="3"/>
  <c r="AM315" i="3"/>
  <c r="AF315" i="3"/>
  <c r="BJ314" i="3"/>
  <c r="BI314" i="3"/>
  <c r="BH314" i="3"/>
  <c r="BG314" i="3"/>
  <c r="BF314" i="3"/>
  <c r="BE314" i="3"/>
  <c r="BD314" i="3"/>
  <c r="BC314" i="3"/>
  <c r="AU314" i="3"/>
  <c r="AM314" i="3"/>
  <c r="AF314" i="3"/>
  <c r="BJ313" i="3"/>
  <c r="BI313" i="3"/>
  <c r="BH313" i="3"/>
  <c r="BG313" i="3"/>
  <c r="BF313" i="3"/>
  <c r="BE313" i="3"/>
  <c r="BD313" i="3"/>
  <c r="BC313" i="3"/>
  <c r="AU313" i="3"/>
  <c r="AM313" i="3"/>
  <c r="AF313" i="3"/>
  <c r="BJ312" i="3"/>
  <c r="BI312" i="3"/>
  <c r="BH312" i="3"/>
  <c r="BG312" i="3"/>
  <c r="BF312" i="3"/>
  <c r="BE312" i="3"/>
  <c r="BD312" i="3"/>
  <c r="BC312" i="3"/>
  <c r="AU312" i="3"/>
  <c r="AM312" i="3"/>
  <c r="AF312" i="3"/>
  <c r="BJ311" i="3"/>
  <c r="BI311" i="3"/>
  <c r="BH311" i="3"/>
  <c r="BG311" i="3"/>
  <c r="BF311" i="3"/>
  <c r="BE311" i="3"/>
  <c r="BD311" i="3"/>
  <c r="BC311" i="3"/>
  <c r="AU311" i="3"/>
  <c r="AM311" i="3"/>
  <c r="AF311" i="3"/>
  <c r="BJ310" i="3"/>
  <c r="BI310" i="3"/>
  <c r="BH310" i="3"/>
  <c r="BG310" i="3"/>
  <c r="BF310" i="3"/>
  <c r="BE310" i="3"/>
  <c r="BD310" i="3"/>
  <c r="BC310" i="3"/>
  <c r="AU310" i="3"/>
  <c r="AM310" i="3"/>
  <c r="AF310" i="3"/>
  <c r="BJ309" i="3"/>
  <c r="BI309" i="3"/>
  <c r="BH309" i="3"/>
  <c r="BG309" i="3"/>
  <c r="BF309" i="3"/>
  <c r="BE309" i="3"/>
  <c r="BD309" i="3"/>
  <c r="BC309" i="3"/>
  <c r="AU309" i="3"/>
  <c r="AM309" i="3"/>
  <c r="AF309" i="3"/>
  <c r="BJ308" i="3"/>
  <c r="BI308" i="3"/>
  <c r="BH308" i="3"/>
  <c r="BG308" i="3"/>
  <c r="BF308" i="3"/>
  <c r="BE308" i="3"/>
  <c r="BD308" i="3"/>
  <c r="BC308" i="3"/>
  <c r="AU308" i="3"/>
  <c r="AM308" i="3"/>
  <c r="AF308" i="3"/>
  <c r="BJ307" i="3"/>
  <c r="BI307" i="3"/>
  <c r="BH307" i="3"/>
  <c r="BG307" i="3"/>
  <c r="BF307" i="3"/>
  <c r="BE307" i="3"/>
  <c r="BD307" i="3"/>
  <c r="BC307" i="3"/>
  <c r="AU307" i="3"/>
  <c r="AM307" i="3"/>
  <c r="AF307" i="3"/>
  <c r="BJ306" i="3"/>
  <c r="BI306" i="3"/>
  <c r="BH306" i="3"/>
  <c r="BG306" i="3"/>
  <c r="BF306" i="3"/>
  <c r="BE306" i="3"/>
  <c r="BD306" i="3"/>
  <c r="BC306" i="3"/>
  <c r="AU306" i="3"/>
  <c r="AM306" i="3"/>
  <c r="AF306" i="3"/>
  <c r="BJ305" i="3"/>
  <c r="BI305" i="3"/>
  <c r="BH305" i="3"/>
  <c r="BG305" i="3"/>
  <c r="BF305" i="3"/>
  <c r="BE305" i="3"/>
  <c r="BD305" i="3"/>
  <c r="BC305" i="3"/>
  <c r="AU305" i="3"/>
  <c r="AM305" i="3"/>
  <c r="AF305" i="3"/>
  <c r="BJ304" i="3"/>
  <c r="BI304" i="3"/>
  <c r="BH304" i="3"/>
  <c r="BG304" i="3"/>
  <c r="BF304" i="3"/>
  <c r="BE304" i="3"/>
  <c r="BD304" i="3"/>
  <c r="BC304" i="3"/>
  <c r="AU304" i="3"/>
  <c r="AM304" i="3"/>
  <c r="AF304" i="3"/>
  <c r="BJ303" i="3"/>
  <c r="BI303" i="3"/>
  <c r="BH303" i="3"/>
  <c r="BG303" i="3"/>
  <c r="BF303" i="3"/>
  <c r="BE303" i="3"/>
  <c r="BD303" i="3"/>
  <c r="BC303" i="3"/>
  <c r="AU303" i="3"/>
  <c r="AM303" i="3"/>
  <c r="AF303" i="3"/>
  <c r="BJ302" i="3"/>
  <c r="BI302" i="3"/>
  <c r="BH302" i="3"/>
  <c r="BG302" i="3"/>
  <c r="BF302" i="3"/>
  <c r="BE302" i="3"/>
  <c r="BD302" i="3"/>
  <c r="BC302" i="3"/>
  <c r="AU302" i="3"/>
  <c r="AM302" i="3"/>
  <c r="AF302" i="3"/>
  <c r="BJ301" i="3"/>
  <c r="BI301" i="3"/>
  <c r="BH301" i="3"/>
  <c r="BG301" i="3"/>
  <c r="BF301" i="3"/>
  <c r="BE301" i="3"/>
  <c r="BD301" i="3"/>
  <c r="BC301" i="3"/>
  <c r="AU301" i="3"/>
  <c r="AM301" i="3"/>
  <c r="AF301" i="3"/>
  <c r="BJ300" i="3"/>
  <c r="BI300" i="3"/>
  <c r="BH300" i="3"/>
  <c r="BG300" i="3"/>
  <c r="BF300" i="3"/>
  <c r="BE300" i="3"/>
  <c r="BD300" i="3"/>
  <c r="BC300" i="3"/>
  <c r="AU300" i="3"/>
  <c r="AM300" i="3"/>
  <c r="AF300" i="3"/>
  <c r="BJ299" i="3"/>
  <c r="BI299" i="3"/>
  <c r="BH299" i="3"/>
  <c r="BG299" i="3"/>
  <c r="BF299" i="3"/>
  <c r="BE299" i="3"/>
  <c r="BD299" i="3"/>
  <c r="BC299" i="3"/>
  <c r="AU299" i="3"/>
  <c r="AM299" i="3"/>
  <c r="AF299" i="3"/>
  <c r="BJ298" i="3"/>
  <c r="BI298" i="3"/>
  <c r="BH298" i="3"/>
  <c r="BG298" i="3"/>
  <c r="BF298" i="3"/>
  <c r="BE298" i="3"/>
  <c r="BD298" i="3"/>
  <c r="BC298" i="3"/>
  <c r="AU298" i="3"/>
  <c r="AM298" i="3"/>
  <c r="AF298" i="3"/>
  <c r="BJ297" i="3"/>
  <c r="BI297" i="3"/>
  <c r="BH297" i="3"/>
  <c r="BG297" i="3"/>
  <c r="BF297" i="3"/>
  <c r="BE297" i="3"/>
  <c r="BD297" i="3"/>
  <c r="BC297" i="3"/>
  <c r="AU297" i="3"/>
  <c r="AM297" i="3"/>
  <c r="AF297" i="3"/>
  <c r="BB296" i="3"/>
  <c r="BB295" i="3" s="1"/>
  <c r="BA296" i="3"/>
  <c r="BA295" i="3" s="1"/>
  <c r="AZ296" i="3"/>
  <c r="AZ295" i="3" s="1"/>
  <c r="AY296" i="3"/>
  <c r="AX296" i="3"/>
  <c r="AX295" i="3" s="1"/>
  <c r="AW296" i="3"/>
  <c r="AW295" i="3" s="1"/>
  <c r="AV296" i="3"/>
  <c r="AT296" i="3"/>
  <c r="AS296" i="3"/>
  <c r="AS295" i="3" s="1"/>
  <c r="AR296" i="3"/>
  <c r="AR295" i="3" s="1"/>
  <c r="AR289" i="3" s="1"/>
  <c r="AQ296" i="3"/>
  <c r="AQ295" i="3" s="1"/>
  <c r="AQ289" i="3" s="1"/>
  <c r="AP296" i="3"/>
  <c r="AP295" i="3" s="1"/>
  <c r="AO296" i="3"/>
  <c r="AN296" i="3"/>
  <c r="AN295" i="3" s="1"/>
  <c r="AL296" i="3"/>
  <c r="AL295" i="3" s="1"/>
  <c r="AL289" i="3" s="1"/>
  <c r="AK296" i="3"/>
  <c r="AJ296" i="3"/>
  <c r="AJ295" i="3"/>
  <c r="AJ289" i="3" s="1"/>
  <c r="AI296" i="3"/>
  <c r="AI295" i="3" s="1"/>
  <c r="AH296" i="3"/>
  <c r="AH295" i="3" s="1"/>
  <c r="AH289" i="3" s="1"/>
  <c r="AG296" i="3"/>
  <c r="AG295" i="3"/>
  <c r="AE296" i="3"/>
  <c r="AD296" i="3"/>
  <c r="AD295" i="3" s="1"/>
  <c r="AC296" i="3"/>
  <c r="AC295" i="3" s="1"/>
  <c r="AB296" i="3"/>
  <c r="AB295" i="3" s="1"/>
  <c r="AB289" i="3" s="1"/>
  <c r="AA296" i="3"/>
  <c r="AA295" i="3"/>
  <c r="AA289" i="3" s="1"/>
  <c r="Z296" i="3"/>
  <c r="Z295" i="3" s="1"/>
  <c r="Z289" i="3" s="1"/>
  <c r="Y296" i="3"/>
  <c r="Y295" i="3" s="1"/>
  <c r="Y289" i="3" s="1"/>
  <c r="BK294" i="3"/>
  <c r="BJ294" i="3"/>
  <c r="BI294" i="3"/>
  <c r="BH294" i="3"/>
  <c r="BG294" i="3"/>
  <c r="BE294" i="3"/>
  <c r="AI294" i="3"/>
  <c r="AP294" i="3" s="1"/>
  <c r="AG294" i="3"/>
  <c r="AN294" i="3" s="1"/>
  <c r="BJ292" i="3"/>
  <c r="BI292" i="3"/>
  <c r="BH292" i="3"/>
  <c r="BG292" i="3"/>
  <c r="BF292" i="3"/>
  <c r="BE292" i="3"/>
  <c r="BD292" i="3"/>
  <c r="BC292" i="3"/>
  <c r="AU292" i="3"/>
  <c r="AM292" i="3"/>
  <c r="AF292" i="3"/>
  <c r="BJ288" i="3"/>
  <c r="BI288" i="3"/>
  <c r="BH288" i="3"/>
  <c r="BG288" i="3"/>
  <c r="BF288" i="3"/>
  <c r="BE288" i="3"/>
  <c r="BD288" i="3"/>
  <c r="BC288" i="3"/>
  <c r="AU288" i="3"/>
  <c r="AM288" i="3"/>
  <c r="AF288" i="3"/>
  <c r="BJ287" i="3"/>
  <c r="BI287" i="3"/>
  <c r="BH287" i="3"/>
  <c r="BG287" i="3"/>
  <c r="BF287" i="3"/>
  <c r="BE287" i="3"/>
  <c r="BD287" i="3"/>
  <c r="BC287" i="3"/>
  <c r="AU287" i="3"/>
  <c r="AM287" i="3"/>
  <c r="AF287" i="3"/>
  <c r="BJ286" i="3"/>
  <c r="BI286" i="3"/>
  <c r="BH286" i="3"/>
  <c r="BG286" i="3"/>
  <c r="BF286" i="3"/>
  <c r="BE286" i="3"/>
  <c r="BD286" i="3"/>
  <c r="BC286" i="3"/>
  <c r="AU286" i="3"/>
  <c r="AM286" i="3"/>
  <c r="AF286" i="3"/>
  <c r="BJ285" i="3"/>
  <c r="BI285" i="3"/>
  <c r="BH285" i="3"/>
  <c r="BG285" i="3"/>
  <c r="BF285" i="3"/>
  <c r="BE285" i="3"/>
  <c r="BD285" i="3"/>
  <c r="BC285" i="3"/>
  <c r="AU285" i="3"/>
  <c r="AM285" i="3"/>
  <c r="AF285" i="3"/>
  <c r="BJ284" i="3"/>
  <c r="BI284" i="3"/>
  <c r="BH284" i="3"/>
  <c r="BG284" i="3"/>
  <c r="BF284" i="3"/>
  <c r="BE284" i="3"/>
  <c r="BD284" i="3"/>
  <c r="BC284" i="3"/>
  <c r="AU284" i="3"/>
  <c r="AM284" i="3"/>
  <c r="AF284" i="3"/>
  <c r="BJ283" i="3"/>
  <c r="BI283" i="3"/>
  <c r="BH283" i="3"/>
  <c r="BG283" i="3"/>
  <c r="BF283" i="3"/>
  <c r="BE283" i="3"/>
  <c r="BD283" i="3"/>
  <c r="BC283" i="3"/>
  <c r="AU283" i="3"/>
  <c r="AM283" i="3"/>
  <c r="AF283" i="3"/>
  <c r="BJ282" i="3"/>
  <c r="BI282" i="3"/>
  <c r="BH282" i="3"/>
  <c r="BG282" i="3"/>
  <c r="BF282" i="3"/>
  <c r="BE282" i="3"/>
  <c r="BD282" i="3"/>
  <c r="BC282" i="3"/>
  <c r="AU282" i="3"/>
  <c r="AM282" i="3"/>
  <c r="AF282" i="3"/>
  <c r="BJ281" i="3"/>
  <c r="BI281" i="3"/>
  <c r="BH281" i="3"/>
  <c r="BG281" i="3"/>
  <c r="BF281" i="3"/>
  <c r="BE281" i="3"/>
  <c r="BD281" i="3"/>
  <c r="BC281" i="3"/>
  <c r="AU281" i="3"/>
  <c r="AM281" i="3"/>
  <c r="AF281" i="3"/>
  <c r="BJ280" i="3"/>
  <c r="BI280" i="3"/>
  <c r="BH280" i="3"/>
  <c r="BG280" i="3"/>
  <c r="BF280" i="3"/>
  <c r="BE280" i="3"/>
  <c r="BD280" i="3"/>
  <c r="BC280" i="3"/>
  <c r="AU280" i="3"/>
  <c r="AM280" i="3"/>
  <c r="AF280" i="3"/>
  <c r="BJ279" i="3"/>
  <c r="BI279" i="3"/>
  <c r="BH279" i="3"/>
  <c r="BG279" i="3"/>
  <c r="BF279" i="3"/>
  <c r="BE279" i="3"/>
  <c r="BD279" i="3"/>
  <c r="BC279" i="3"/>
  <c r="AU279" i="3"/>
  <c r="AM279" i="3"/>
  <c r="AF279" i="3"/>
  <c r="BJ278" i="3"/>
  <c r="BI278" i="3"/>
  <c r="BH278" i="3"/>
  <c r="BG278" i="3"/>
  <c r="BF278" i="3"/>
  <c r="BE278" i="3"/>
  <c r="BD278" i="3"/>
  <c r="BC278" i="3"/>
  <c r="AU278" i="3"/>
  <c r="AM278" i="3"/>
  <c r="AF278" i="3"/>
  <c r="BJ277" i="3"/>
  <c r="BI277" i="3"/>
  <c r="BH277" i="3"/>
  <c r="BG277" i="3"/>
  <c r="BF277" i="3"/>
  <c r="BE277" i="3"/>
  <c r="BD277" i="3"/>
  <c r="BC277" i="3"/>
  <c r="AU277" i="3"/>
  <c r="AM277" i="3"/>
  <c r="AF277" i="3"/>
  <c r="BB276" i="3"/>
  <c r="BA276" i="3"/>
  <c r="AZ276" i="3"/>
  <c r="AY276" i="3"/>
  <c r="AX276" i="3"/>
  <c r="AW276" i="3"/>
  <c r="AV276" i="3"/>
  <c r="AT276" i="3"/>
  <c r="AS276" i="3"/>
  <c r="AD276" i="3"/>
  <c r="AR276" i="3"/>
  <c r="AQ276" i="3"/>
  <c r="AP276" i="3"/>
  <c r="AO276" i="3"/>
  <c r="AN276" i="3"/>
  <c r="AL276" i="3"/>
  <c r="AK276" i="3"/>
  <c r="AJ276" i="3"/>
  <c r="AI276" i="3"/>
  <c r="AH276" i="3"/>
  <c r="AG276" i="3"/>
  <c r="AE276" i="3"/>
  <c r="AC276" i="3"/>
  <c r="AB276" i="3"/>
  <c r="AA276" i="3"/>
  <c r="Z276" i="3"/>
  <c r="Y276" i="3"/>
  <c r="BJ275" i="3"/>
  <c r="BI275" i="3"/>
  <c r="BH275" i="3"/>
  <c r="BG275" i="3"/>
  <c r="BF275" i="3"/>
  <c r="BE275" i="3"/>
  <c r="BD275" i="3"/>
  <c r="BC275" i="3"/>
  <c r="AU275" i="3"/>
  <c r="AM275" i="3"/>
  <c r="AF275" i="3"/>
  <c r="BJ274" i="3"/>
  <c r="BI274" i="3"/>
  <c r="BH274" i="3"/>
  <c r="BG274" i="3"/>
  <c r="BF274" i="3"/>
  <c r="BE274" i="3"/>
  <c r="BD274" i="3"/>
  <c r="BC274" i="3"/>
  <c r="AU274" i="3"/>
  <c r="AM274" i="3"/>
  <c r="AF274" i="3"/>
  <c r="BJ273" i="3"/>
  <c r="BI273" i="3"/>
  <c r="BH273" i="3"/>
  <c r="BG273" i="3"/>
  <c r="BF273" i="3"/>
  <c r="BE273" i="3"/>
  <c r="BD273" i="3"/>
  <c r="BC273" i="3"/>
  <c r="AU273" i="3"/>
  <c r="AM273" i="3"/>
  <c r="AF273" i="3"/>
  <c r="BJ272" i="3"/>
  <c r="BI272" i="3"/>
  <c r="BH272" i="3"/>
  <c r="BG272" i="3"/>
  <c r="BF272" i="3"/>
  <c r="BE272" i="3"/>
  <c r="BD272" i="3"/>
  <c r="BC272" i="3"/>
  <c r="AU272" i="3"/>
  <c r="AM272" i="3"/>
  <c r="AF272" i="3"/>
  <c r="BJ271" i="3"/>
  <c r="BI271" i="3"/>
  <c r="BH271" i="3"/>
  <c r="BG271" i="3"/>
  <c r="BF271" i="3"/>
  <c r="BE271" i="3"/>
  <c r="BD271" i="3"/>
  <c r="BC271" i="3"/>
  <c r="AU271" i="3"/>
  <c r="AM271" i="3"/>
  <c r="AF271" i="3"/>
  <c r="BJ270" i="3"/>
  <c r="BI270" i="3"/>
  <c r="BH270" i="3"/>
  <c r="BG270" i="3"/>
  <c r="BF270" i="3"/>
  <c r="BE270" i="3"/>
  <c r="BD270" i="3"/>
  <c r="BC270" i="3"/>
  <c r="AU270" i="3"/>
  <c r="AM270" i="3"/>
  <c r="AF270" i="3"/>
  <c r="BJ269" i="3"/>
  <c r="BI269" i="3"/>
  <c r="BH269" i="3"/>
  <c r="BG269" i="3"/>
  <c r="BF269" i="3"/>
  <c r="BE269" i="3"/>
  <c r="BD269" i="3"/>
  <c r="BC269" i="3"/>
  <c r="AU269" i="3"/>
  <c r="AM269" i="3"/>
  <c r="AF269" i="3"/>
  <c r="BJ268" i="3"/>
  <c r="BI268" i="3"/>
  <c r="BH268" i="3"/>
  <c r="BG268" i="3"/>
  <c r="BF268" i="3"/>
  <c r="BE268" i="3"/>
  <c r="BD268" i="3"/>
  <c r="BC268" i="3"/>
  <c r="AU268" i="3"/>
  <c r="AM268" i="3"/>
  <c r="AF268" i="3"/>
  <c r="BJ267" i="3"/>
  <c r="BI267" i="3"/>
  <c r="BH267" i="3"/>
  <c r="BG267" i="3"/>
  <c r="BF267" i="3"/>
  <c r="BE267" i="3"/>
  <c r="BD267" i="3"/>
  <c r="BC267" i="3"/>
  <c r="AU267" i="3"/>
  <c r="AM267" i="3"/>
  <c r="AF267" i="3"/>
  <c r="BJ266" i="3"/>
  <c r="BI266" i="3"/>
  <c r="BH266" i="3"/>
  <c r="BG266" i="3"/>
  <c r="BF266" i="3"/>
  <c r="BE266" i="3"/>
  <c r="BD266" i="3"/>
  <c r="BC266" i="3"/>
  <c r="AU266" i="3"/>
  <c r="AM266" i="3"/>
  <c r="AF266" i="3"/>
  <c r="BJ265" i="3"/>
  <c r="BI265" i="3"/>
  <c r="BH265" i="3"/>
  <c r="BG265" i="3"/>
  <c r="BF265" i="3"/>
  <c r="BE265" i="3"/>
  <c r="BD265" i="3"/>
  <c r="BC265" i="3"/>
  <c r="AU265" i="3"/>
  <c r="AM265" i="3"/>
  <c r="AF265" i="3"/>
  <c r="BB264" i="3"/>
  <c r="BA264" i="3"/>
  <c r="BA263" i="3" s="1"/>
  <c r="AZ264" i="3"/>
  <c r="AY264" i="3"/>
  <c r="AX264" i="3"/>
  <c r="AW264" i="3"/>
  <c r="AV264" i="3"/>
  <c r="AV263" i="3" s="1"/>
  <c r="AT264" i="3"/>
  <c r="AS264" i="3"/>
  <c r="AR264" i="3"/>
  <c r="AQ264" i="3"/>
  <c r="AP264" i="3"/>
  <c r="AO264" i="3"/>
  <c r="AN264" i="3"/>
  <c r="AL264" i="3"/>
  <c r="AK264" i="3"/>
  <c r="AJ264" i="3"/>
  <c r="AI264" i="3"/>
  <c r="AH264" i="3"/>
  <c r="Z264" i="3"/>
  <c r="AG264" i="3"/>
  <c r="AE264" i="3"/>
  <c r="AD264" i="3"/>
  <c r="AC264" i="3"/>
  <c r="AB264" i="3"/>
  <c r="AA264" i="3"/>
  <c r="Y264" i="3"/>
  <c r="BK262" i="3"/>
  <c r="BJ262" i="3"/>
  <c r="BI262" i="3"/>
  <c r="BH262" i="3"/>
  <c r="BG262" i="3"/>
  <c r="BE262" i="3"/>
  <c r="AI262" i="3"/>
  <c r="AP262" i="3" s="1"/>
  <c r="BF262" i="3" s="1"/>
  <c r="AG262" i="3"/>
  <c r="AN262" i="3" s="1"/>
  <c r="BD262" i="3" s="1"/>
  <c r="BJ260" i="3"/>
  <c r="BI260" i="3"/>
  <c r="BH260" i="3"/>
  <c r="BG260" i="3"/>
  <c r="BF260" i="3"/>
  <c r="BE260" i="3"/>
  <c r="BD260" i="3"/>
  <c r="BC260" i="3"/>
  <c r="AU260" i="3"/>
  <c r="AM260" i="3"/>
  <c r="AF260" i="3"/>
  <c r="BJ259" i="3"/>
  <c r="BI259" i="3"/>
  <c r="BH259" i="3"/>
  <c r="BG259" i="3"/>
  <c r="BF259" i="3"/>
  <c r="BE259" i="3"/>
  <c r="BD259" i="3"/>
  <c r="BC259" i="3"/>
  <c r="AU259" i="3"/>
  <c r="AM259" i="3"/>
  <c r="AF259" i="3"/>
  <c r="BJ258" i="3"/>
  <c r="BI258" i="3"/>
  <c r="BH258" i="3"/>
  <c r="BG258" i="3"/>
  <c r="BF258" i="3"/>
  <c r="BE258" i="3"/>
  <c r="BD258" i="3"/>
  <c r="BC258" i="3"/>
  <c r="AU258" i="3"/>
  <c r="AM258" i="3"/>
  <c r="AF258" i="3"/>
  <c r="BJ257" i="3"/>
  <c r="BI257" i="3"/>
  <c r="BH257" i="3"/>
  <c r="BG257" i="3"/>
  <c r="BF257" i="3"/>
  <c r="BE257" i="3"/>
  <c r="BD257" i="3"/>
  <c r="BC257" i="3"/>
  <c r="AU257" i="3"/>
  <c r="AM257" i="3"/>
  <c r="AF257" i="3"/>
  <c r="BJ256" i="3"/>
  <c r="BI256" i="3"/>
  <c r="BH256" i="3"/>
  <c r="BG256" i="3"/>
  <c r="BF256" i="3"/>
  <c r="BE256" i="3"/>
  <c r="BD256" i="3"/>
  <c r="BC256" i="3"/>
  <c r="AU256" i="3"/>
  <c r="AM256" i="3"/>
  <c r="AF256" i="3"/>
  <c r="BJ255" i="3"/>
  <c r="BI255" i="3"/>
  <c r="BH255" i="3"/>
  <c r="BG255" i="3"/>
  <c r="BF255" i="3"/>
  <c r="BE255" i="3"/>
  <c r="BD255" i="3"/>
  <c r="BC255" i="3"/>
  <c r="AU255" i="3"/>
  <c r="AM255" i="3"/>
  <c r="AF255" i="3"/>
  <c r="BJ254" i="3"/>
  <c r="BI254" i="3"/>
  <c r="BH254" i="3"/>
  <c r="BG254" i="3"/>
  <c r="BF254" i="3"/>
  <c r="BE254" i="3"/>
  <c r="BD254" i="3"/>
  <c r="BC254" i="3"/>
  <c r="AU254" i="3"/>
  <c r="AM254" i="3"/>
  <c r="AF254" i="3"/>
  <c r="BJ253" i="3"/>
  <c r="BI253" i="3"/>
  <c r="BH253" i="3"/>
  <c r="BG253" i="3"/>
  <c r="BF253" i="3"/>
  <c r="BE253" i="3"/>
  <c r="BD253" i="3"/>
  <c r="BC253" i="3"/>
  <c r="AU253" i="3"/>
  <c r="AM253" i="3"/>
  <c r="AF253" i="3"/>
  <c r="BJ252" i="3"/>
  <c r="BI252" i="3"/>
  <c r="BH252" i="3"/>
  <c r="BG252" i="3"/>
  <c r="BF252" i="3"/>
  <c r="BE252" i="3"/>
  <c r="BD252" i="3"/>
  <c r="BC252" i="3"/>
  <c r="AU252" i="3"/>
  <c r="AM252" i="3"/>
  <c r="AF252" i="3"/>
  <c r="BI251" i="3"/>
  <c r="BC251" i="3"/>
  <c r="AU251" i="3"/>
  <c r="AM251" i="3"/>
  <c r="AF251" i="3"/>
  <c r="BJ250" i="3"/>
  <c r="BI250" i="3"/>
  <c r="BH250" i="3"/>
  <c r="BG250" i="3"/>
  <c r="BF250" i="3"/>
  <c r="BE250" i="3"/>
  <c r="BD250" i="3"/>
  <c r="BC250" i="3"/>
  <c r="AU250" i="3"/>
  <c r="AM250" i="3"/>
  <c r="AF250" i="3"/>
  <c r="BJ249" i="3"/>
  <c r="BI249" i="3"/>
  <c r="BH249" i="3"/>
  <c r="BG249" i="3"/>
  <c r="BF249" i="3"/>
  <c r="BE249" i="3"/>
  <c r="BD249" i="3"/>
  <c r="BC249" i="3"/>
  <c r="AU249" i="3"/>
  <c r="AM249" i="3"/>
  <c r="AF249" i="3"/>
  <c r="BJ248" i="3"/>
  <c r="BI248" i="3"/>
  <c r="BH248" i="3"/>
  <c r="BG248" i="3"/>
  <c r="BF248" i="3"/>
  <c r="BE248" i="3"/>
  <c r="BD248" i="3"/>
  <c r="BC248" i="3"/>
  <c r="AU248" i="3"/>
  <c r="AM248" i="3"/>
  <c r="AF248" i="3"/>
  <c r="BJ247" i="3"/>
  <c r="BI247" i="3"/>
  <c r="BH247" i="3"/>
  <c r="BG247" i="3"/>
  <c r="BF247" i="3"/>
  <c r="BE247" i="3"/>
  <c r="BD247" i="3"/>
  <c r="BC247" i="3"/>
  <c r="AU247" i="3"/>
  <c r="AM247" i="3"/>
  <c r="AF247" i="3"/>
  <c r="BJ246" i="3"/>
  <c r="BI246" i="3"/>
  <c r="BH246" i="3"/>
  <c r="BG246" i="3"/>
  <c r="BF246" i="3"/>
  <c r="BE246" i="3"/>
  <c r="BD246" i="3"/>
  <c r="BC246" i="3"/>
  <c r="AU246" i="3"/>
  <c r="AM246" i="3"/>
  <c r="AF246" i="3"/>
  <c r="BJ245" i="3"/>
  <c r="BI245" i="3"/>
  <c r="BH245" i="3"/>
  <c r="BG245" i="3"/>
  <c r="BF245" i="3"/>
  <c r="BE245" i="3"/>
  <c r="BD245" i="3"/>
  <c r="BC245" i="3"/>
  <c r="AU245" i="3"/>
  <c r="AM245" i="3"/>
  <c r="AF245" i="3"/>
  <c r="BJ244" i="3"/>
  <c r="BI244" i="3"/>
  <c r="BH244" i="3"/>
  <c r="BG244" i="3"/>
  <c r="BF244" i="3"/>
  <c r="BE244" i="3"/>
  <c r="BD244" i="3"/>
  <c r="BC244" i="3"/>
  <c r="AU244" i="3"/>
  <c r="AM244" i="3"/>
  <c r="AF244" i="3"/>
  <c r="BB243" i="3"/>
  <c r="BA243" i="3"/>
  <c r="AZ243" i="3"/>
  <c r="AY243" i="3"/>
  <c r="AX243" i="3"/>
  <c r="AW243" i="3"/>
  <c r="AV243" i="3"/>
  <c r="AT243" i="3"/>
  <c r="AS243" i="3"/>
  <c r="AR243" i="3"/>
  <c r="AQ243" i="3"/>
  <c r="AP243" i="3"/>
  <c r="AO243" i="3"/>
  <c r="AN243" i="3"/>
  <c r="AL243" i="3"/>
  <c r="AK243" i="3"/>
  <c r="AJ243" i="3"/>
  <c r="AI243" i="3"/>
  <c r="AH243" i="3"/>
  <c r="AG243" i="3"/>
  <c r="AE243" i="3"/>
  <c r="AD243" i="3"/>
  <c r="AC243" i="3"/>
  <c r="AB243" i="3"/>
  <c r="AA243" i="3"/>
  <c r="Z243" i="3"/>
  <c r="Y243" i="3"/>
  <c r="BJ242" i="3"/>
  <c r="BI242" i="3"/>
  <c r="BH242" i="3"/>
  <c r="BG242" i="3"/>
  <c r="BE242" i="3"/>
  <c r="AI242" i="3"/>
  <c r="AP242" i="3" s="1"/>
  <c r="AX242" i="3" s="1"/>
  <c r="BF242" i="3" s="1"/>
  <c r="AG242" i="3"/>
  <c r="AF242" i="3"/>
  <c r="BJ241" i="3"/>
  <c r="BI241" i="3"/>
  <c r="BH241" i="3"/>
  <c r="BG241" i="3"/>
  <c r="BF241" i="3"/>
  <c r="BE241" i="3"/>
  <c r="BD241" i="3"/>
  <c r="BC241" i="3"/>
  <c r="AU241" i="3"/>
  <c r="AM241" i="3"/>
  <c r="AF241" i="3"/>
  <c r="BJ240" i="3"/>
  <c r="BI240" i="3"/>
  <c r="BH240" i="3"/>
  <c r="BG240" i="3"/>
  <c r="BF240" i="3"/>
  <c r="BE240" i="3"/>
  <c r="BD240" i="3"/>
  <c r="BC240" i="3"/>
  <c r="AU240" i="3"/>
  <c r="AM240" i="3"/>
  <c r="AF240" i="3"/>
  <c r="BJ239" i="3"/>
  <c r="BI239" i="3"/>
  <c r="BH239" i="3"/>
  <c r="BG239" i="3"/>
  <c r="BF239" i="3"/>
  <c r="BE239" i="3"/>
  <c r="BD239" i="3"/>
  <c r="BC239" i="3"/>
  <c r="AU239" i="3"/>
  <c r="AM239" i="3"/>
  <c r="AF239" i="3"/>
  <c r="BJ238" i="3"/>
  <c r="BI238" i="3"/>
  <c r="BH238" i="3"/>
  <c r="BG238" i="3"/>
  <c r="BF238" i="3"/>
  <c r="BE238" i="3"/>
  <c r="BD238" i="3"/>
  <c r="BC238" i="3"/>
  <c r="BC236" i="3"/>
  <c r="BC237" i="3"/>
  <c r="AU238" i="3"/>
  <c r="AM238" i="3"/>
  <c r="AF238" i="3"/>
  <c r="BJ237" i="3"/>
  <c r="BI237" i="3"/>
  <c r="BH237" i="3"/>
  <c r="BG237" i="3"/>
  <c r="BF237" i="3"/>
  <c r="BE237" i="3"/>
  <c r="BD237" i="3"/>
  <c r="AU237" i="3"/>
  <c r="AM237" i="3"/>
  <c r="AF237" i="3"/>
  <c r="BJ236" i="3"/>
  <c r="BI236" i="3"/>
  <c r="BH236" i="3"/>
  <c r="BG236" i="3"/>
  <c r="BF236" i="3"/>
  <c r="BE236" i="3"/>
  <c r="BD236" i="3"/>
  <c r="AU236" i="3"/>
  <c r="AM236" i="3"/>
  <c r="AF236" i="3"/>
  <c r="BB235" i="3"/>
  <c r="BA235" i="3"/>
  <c r="AZ235" i="3"/>
  <c r="AY235" i="3"/>
  <c r="AX235" i="3"/>
  <c r="AW235" i="3"/>
  <c r="AV235" i="3"/>
  <c r="AT235" i="3"/>
  <c r="AS235" i="3"/>
  <c r="AR235" i="3"/>
  <c r="AQ235" i="3"/>
  <c r="AP235" i="3"/>
  <c r="AO235" i="3"/>
  <c r="AN235" i="3"/>
  <c r="AL235" i="3"/>
  <c r="AK235" i="3"/>
  <c r="AJ235" i="3"/>
  <c r="AI235" i="3"/>
  <c r="AH235" i="3"/>
  <c r="AG235" i="3"/>
  <c r="AE235" i="3"/>
  <c r="AD235" i="3"/>
  <c r="AC235" i="3"/>
  <c r="AB235" i="3"/>
  <c r="AA235" i="3"/>
  <c r="Z235" i="3"/>
  <c r="Y235" i="3"/>
  <c r="BJ234" i="3"/>
  <c r="BI234" i="3"/>
  <c r="BH234" i="3"/>
  <c r="BG234" i="3"/>
  <c r="BF234" i="3"/>
  <c r="BE234" i="3"/>
  <c r="BD234" i="3"/>
  <c r="BC234" i="3"/>
  <c r="AU234" i="3"/>
  <c r="AM234" i="3"/>
  <c r="AF234" i="3"/>
  <c r="BJ233" i="3"/>
  <c r="BI233" i="3"/>
  <c r="BH233" i="3"/>
  <c r="BG233" i="3"/>
  <c r="BF233" i="3"/>
  <c r="BE233" i="3"/>
  <c r="BD233" i="3"/>
  <c r="BC233" i="3"/>
  <c r="AU233" i="3"/>
  <c r="AM233" i="3"/>
  <c r="AF233" i="3"/>
  <c r="BJ232" i="3"/>
  <c r="BI232" i="3"/>
  <c r="BH232" i="3"/>
  <c r="BG232" i="3"/>
  <c r="BF232" i="3"/>
  <c r="BE232" i="3"/>
  <c r="BD232" i="3"/>
  <c r="BC232" i="3"/>
  <c r="AU232" i="3"/>
  <c r="AM232" i="3"/>
  <c r="AF232" i="3"/>
  <c r="BJ231" i="3"/>
  <c r="BI231" i="3"/>
  <c r="BH231" i="3"/>
  <c r="BG231" i="3"/>
  <c r="BF231" i="3"/>
  <c r="BE231" i="3"/>
  <c r="BD231" i="3"/>
  <c r="BC231" i="3"/>
  <c r="AU231" i="3"/>
  <c r="AM231" i="3"/>
  <c r="AF231" i="3"/>
  <c r="BJ230" i="3"/>
  <c r="BI230" i="3"/>
  <c r="BH230" i="3"/>
  <c r="BG230" i="3"/>
  <c r="BF230" i="3"/>
  <c r="BE230" i="3"/>
  <c r="BD230" i="3"/>
  <c r="BD228" i="3"/>
  <c r="BD229" i="3"/>
  <c r="BC230" i="3"/>
  <c r="AU230" i="3"/>
  <c r="AM230" i="3"/>
  <c r="AF230" i="3"/>
  <c r="BJ229" i="3"/>
  <c r="BI229" i="3"/>
  <c r="BH229" i="3"/>
  <c r="BG229" i="3"/>
  <c r="BF229" i="3"/>
  <c r="BE229" i="3"/>
  <c r="BC229" i="3"/>
  <c r="AU229" i="3"/>
  <c r="AM229" i="3"/>
  <c r="AF229" i="3"/>
  <c r="BJ228" i="3"/>
  <c r="BI228" i="3"/>
  <c r="BH228" i="3"/>
  <c r="BG228" i="3"/>
  <c r="BF228" i="3"/>
  <c r="BE228" i="3"/>
  <c r="BC228" i="3"/>
  <c r="AU228" i="3"/>
  <c r="AM228" i="3"/>
  <c r="AF228" i="3"/>
  <c r="BB227" i="3"/>
  <c r="BA227" i="3"/>
  <c r="AZ227" i="3"/>
  <c r="AY227" i="3"/>
  <c r="AX227" i="3"/>
  <c r="AW227" i="3"/>
  <c r="AV227" i="3"/>
  <c r="AT227" i="3"/>
  <c r="AS227" i="3"/>
  <c r="AR227" i="3"/>
  <c r="AQ227" i="3"/>
  <c r="AP227" i="3"/>
  <c r="AO227" i="3"/>
  <c r="AN227" i="3"/>
  <c r="AL227" i="3"/>
  <c r="AK227" i="3"/>
  <c r="AJ227" i="3"/>
  <c r="AI227" i="3"/>
  <c r="AH227" i="3"/>
  <c r="AG227" i="3"/>
  <c r="AE227" i="3"/>
  <c r="AD227" i="3"/>
  <c r="AC227" i="3"/>
  <c r="AB227" i="3"/>
  <c r="AA227" i="3"/>
  <c r="Z227" i="3"/>
  <c r="Y227" i="3"/>
  <c r="BJ226" i="3"/>
  <c r="BI226" i="3"/>
  <c r="BH226" i="3"/>
  <c r="BG226" i="3"/>
  <c r="BF226" i="3"/>
  <c r="BE226" i="3"/>
  <c r="BD226" i="3"/>
  <c r="BC226" i="3"/>
  <c r="AU226" i="3"/>
  <c r="AM226" i="3"/>
  <c r="AF226" i="3"/>
  <c r="BJ225" i="3"/>
  <c r="BI225" i="3"/>
  <c r="BH225" i="3"/>
  <c r="BG225" i="3"/>
  <c r="BF225" i="3"/>
  <c r="BE225" i="3"/>
  <c r="BD225" i="3"/>
  <c r="BC225" i="3"/>
  <c r="AU225" i="3"/>
  <c r="AM225" i="3"/>
  <c r="AF225" i="3"/>
  <c r="BJ224" i="3"/>
  <c r="BI224" i="3"/>
  <c r="BH224" i="3"/>
  <c r="BG224" i="3"/>
  <c r="BF224" i="3"/>
  <c r="BE224" i="3"/>
  <c r="BD224" i="3"/>
  <c r="BC224" i="3"/>
  <c r="BC222" i="3"/>
  <c r="BC223" i="3"/>
  <c r="AU224" i="3"/>
  <c r="AM224" i="3"/>
  <c r="AF224" i="3"/>
  <c r="BJ223" i="3"/>
  <c r="BI223" i="3"/>
  <c r="BH223" i="3"/>
  <c r="BG223" i="3"/>
  <c r="BF223" i="3"/>
  <c r="BE223" i="3"/>
  <c r="BD223" i="3"/>
  <c r="AU223" i="3"/>
  <c r="AM223" i="3"/>
  <c r="AF223" i="3"/>
  <c r="BJ222" i="3"/>
  <c r="BI222" i="3"/>
  <c r="BH222" i="3"/>
  <c r="BG222" i="3"/>
  <c r="BF222" i="3"/>
  <c r="BE222" i="3"/>
  <c r="BD222" i="3"/>
  <c r="AU222" i="3"/>
  <c r="AM222" i="3"/>
  <c r="AF222" i="3"/>
  <c r="BB221" i="3"/>
  <c r="BA221" i="3"/>
  <c r="AZ221" i="3"/>
  <c r="AY221" i="3"/>
  <c r="AX221" i="3"/>
  <c r="AW221" i="3"/>
  <c r="AV221" i="3"/>
  <c r="AT221" i="3"/>
  <c r="AS221" i="3"/>
  <c r="AR221" i="3"/>
  <c r="AQ221" i="3"/>
  <c r="AP221" i="3"/>
  <c r="AO221" i="3"/>
  <c r="AN221" i="3"/>
  <c r="AL221" i="3"/>
  <c r="AK221" i="3"/>
  <c r="AJ221" i="3"/>
  <c r="AI221" i="3"/>
  <c r="AH221" i="3"/>
  <c r="AG221" i="3"/>
  <c r="AE221" i="3"/>
  <c r="AD221" i="3"/>
  <c r="AC221" i="3"/>
  <c r="AB221" i="3"/>
  <c r="AA221" i="3"/>
  <c r="Z221" i="3"/>
  <c r="Y221" i="3"/>
  <c r="BJ220" i="3"/>
  <c r="BI220" i="3"/>
  <c r="BH220" i="3"/>
  <c r="BG220" i="3"/>
  <c r="BF220" i="3"/>
  <c r="BE220" i="3"/>
  <c r="BD220" i="3"/>
  <c r="BC220" i="3"/>
  <c r="AU220" i="3"/>
  <c r="AM220" i="3"/>
  <c r="AF220" i="3"/>
  <c r="BJ219" i="3"/>
  <c r="BI219" i="3"/>
  <c r="BH219" i="3"/>
  <c r="BG219" i="3"/>
  <c r="BF219" i="3"/>
  <c r="BE219" i="3"/>
  <c r="BD219" i="3"/>
  <c r="BC219" i="3"/>
  <c r="AU219" i="3"/>
  <c r="AM219" i="3"/>
  <c r="AF219" i="3"/>
  <c r="BJ218" i="3"/>
  <c r="BI218" i="3"/>
  <c r="BH218" i="3"/>
  <c r="BG218" i="3"/>
  <c r="BF218" i="3"/>
  <c r="BE218" i="3"/>
  <c r="BD218" i="3"/>
  <c r="BC218" i="3"/>
  <c r="AU218" i="3"/>
  <c r="AM218" i="3"/>
  <c r="AF218" i="3"/>
  <c r="BJ217" i="3"/>
  <c r="BI217" i="3"/>
  <c r="BH217" i="3"/>
  <c r="BG217" i="3"/>
  <c r="BF217" i="3"/>
  <c r="BE217" i="3"/>
  <c r="BD217" i="3"/>
  <c r="BC217" i="3"/>
  <c r="AU217" i="3"/>
  <c r="AM217" i="3"/>
  <c r="AF217" i="3"/>
  <c r="BJ216" i="3"/>
  <c r="BI216" i="3"/>
  <c r="BH216" i="3"/>
  <c r="BG216" i="3"/>
  <c r="BF216" i="3"/>
  <c r="BE216" i="3"/>
  <c r="BD216" i="3"/>
  <c r="BC216" i="3"/>
  <c r="AU216" i="3"/>
  <c r="AM216" i="3"/>
  <c r="AF216" i="3"/>
  <c r="BJ215" i="3"/>
  <c r="BI215" i="3"/>
  <c r="BH215" i="3"/>
  <c r="BG215" i="3"/>
  <c r="BF215" i="3"/>
  <c r="BE215" i="3"/>
  <c r="BD215" i="3"/>
  <c r="BC215" i="3"/>
  <c r="AU215" i="3"/>
  <c r="AM215" i="3"/>
  <c r="AF215" i="3"/>
  <c r="BJ214" i="3"/>
  <c r="BI214" i="3"/>
  <c r="BH214" i="3"/>
  <c r="BG214" i="3"/>
  <c r="BF214" i="3"/>
  <c r="BE214" i="3"/>
  <c r="BD214" i="3"/>
  <c r="BC214" i="3"/>
  <c r="AU214" i="3"/>
  <c r="AM214" i="3"/>
  <c r="AF214" i="3"/>
  <c r="BJ213" i="3"/>
  <c r="BI213" i="3"/>
  <c r="BH213" i="3"/>
  <c r="BG213" i="3"/>
  <c r="BF213" i="3"/>
  <c r="BE213" i="3"/>
  <c r="BD213" i="3"/>
  <c r="BC213" i="3"/>
  <c r="AU213" i="3"/>
  <c r="AM213" i="3"/>
  <c r="AF213" i="3"/>
  <c r="BB212" i="3"/>
  <c r="BA212" i="3"/>
  <c r="AZ212" i="3"/>
  <c r="AY212" i="3"/>
  <c r="AX212" i="3"/>
  <c r="AW212" i="3"/>
  <c r="AV212" i="3"/>
  <c r="AT212" i="3"/>
  <c r="AS212" i="3"/>
  <c r="AR212" i="3"/>
  <c r="AQ212" i="3"/>
  <c r="AP212" i="3"/>
  <c r="AO212" i="3"/>
  <c r="AN212" i="3"/>
  <c r="AL212" i="3"/>
  <c r="AK212" i="3"/>
  <c r="AJ212" i="3"/>
  <c r="AI212" i="3"/>
  <c r="AH212" i="3"/>
  <c r="AG212" i="3"/>
  <c r="AE212" i="3"/>
  <c r="AD212" i="3"/>
  <c r="AC212" i="3"/>
  <c r="AB212" i="3"/>
  <c r="AA212" i="3"/>
  <c r="Z212" i="3"/>
  <c r="Y212" i="3"/>
  <c r="BJ211" i="3"/>
  <c r="BI211" i="3"/>
  <c r="BH211" i="3"/>
  <c r="BG211" i="3"/>
  <c r="BF211" i="3"/>
  <c r="BE211" i="3"/>
  <c r="BD211" i="3"/>
  <c r="BC211" i="3"/>
  <c r="AU211" i="3"/>
  <c r="AM211" i="3"/>
  <c r="AF211" i="3"/>
  <c r="BJ210" i="3"/>
  <c r="BI210" i="3"/>
  <c r="BH210" i="3"/>
  <c r="BG210" i="3"/>
  <c r="BF210" i="3"/>
  <c r="BE210" i="3"/>
  <c r="BD210" i="3"/>
  <c r="BC210" i="3"/>
  <c r="AU210" i="3"/>
  <c r="AM210" i="3"/>
  <c r="AF210" i="3"/>
  <c r="BJ209" i="3"/>
  <c r="BI209" i="3"/>
  <c r="BH209" i="3"/>
  <c r="BG209" i="3"/>
  <c r="BF209" i="3"/>
  <c r="BE209" i="3"/>
  <c r="BD209" i="3"/>
  <c r="BC209" i="3"/>
  <c r="AU209" i="3"/>
  <c r="AM209" i="3"/>
  <c r="AF209" i="3"/>
  <c r="BJ208" i="3"/>
  <c r="BI208" i="3"/>
  <c r="BH208" i="3"/>
  <c r="BG208" i="3"/>
  <c r="BF208" i="3"/>
  <c r="BE208" i="3"/>
  <c r="BD208" i="3"/>
  <c r="BC208" i="3"/>
  <c r="AU208" i="3"/>
  <c r="AM208" i="3"/>
  <c r="AF208" i="3"/>
  <c r="BJ207" i="3"/>
  <c r="BI207" i="3"/>
  <c r="BH207" i="3"/>
  <c r="BG207" i="3"/>
  <c r="BF207" i="3"/>
  <c r="BE207" i="3"/>
  <c r="BD207" i="3"/>
  <c r="BC207" i="3"/>
  <c r="AU207" i="3"/>
  <c r="AM207" i="3"/>
  <c r="AF207" i="3"/>
  <c r="BJ206" i="3"/>
  <c r="BI206" i="3"/>
  <c r="BH206" i="3"/>
  <c r="BG206" i="3"/>
  <c r="BF206" i="3"/>
  <c r="BE206" i="3"/>
  <c r="BD206" i="3"/>
  <c r="BC206" i="3"/>
  <c r="AU206" i="3"/>
  <c r="AM206" i="3"/>
  <c r="AF206" i="3"/>
  <c r="BJ205" i="3"/>
  <c r="BI205" i="3"/>
  <c r="BH205" i="3"/>
  <c r="BG205" i="3"/>
  <c r="BF205" i="3"/>
  <c r="BE205" i="3"/>
  <c r="BD205" i="3"/>
  <c r="BC205" i="3"/>
  <c r="AU205" i="3"/>
  <c r="AM205" i="3"/>
  <c r="AF205" i="3"/>
  <c r="BJ204" i="3"/>
  <c r="BI204" i="3"/>
  <c r="BH204" i="3"/>
  <c r="BG204" i="3"/>
  <c r="BF204" i="3"/>
  <c r="BE204" i="3"/>
  <c r="BD204" i="3"/>
  <c r="BC204" i="3"/>
  <c r="AU204" i="3"/>
  <c r="AM204" i="3"/>
  <c r="AF204" i="3"/>
  <c r="BJ203" i="3"/>
  <c r="BI203" i="3"/>
  <c r="BH203" i="3"/>
  <c r="BG203" i="3"/>
  <c r="BF203" i="3"/>
  <c r="BE203" i="3"/>
  <c r="BD203" i="3"/>
  <c r="BC203" i="3"/>
  <c r="AU203" i="3"/>
  <c r="AM203" i="3"/>
  <c r="AF203" i="3"/>
  <c r="BJ202" i="3"/>
  <c r="BI202" i="3"/>
  <c r="BH202" i="3"/>
  <c r="BG202" i="3"/>
  <c r="BF202" i="3"/>
  <c r="BE202" i="3"/>
  <c r="BD202" i="3"/>
  <c r="BC202" i="3"/>
  <c r="AU202" i="3"/>
  <c r="AM202" i="3"/>
  <c r="AF202" i="3"/>
  <c r="BB201" i="3"/>
  <c r="BA201" i="3"/>
  <c r="AZ201" i="3"/>
  <c r="AY201" i="3"/>
  <c r="AX201" i="3"/>
  <c r="AW201" i="3"/>
  <c r="AV201" i="3"/>
  <c r="AT201" i="3"/>
  <c r="AS201" i="3"/>
  <c r="AR201" i="3"/>
  <c r="AQ201" i="3"/>
  <c r="AP201" i="3"/>
  <c r="AO201" i="3"/>
  <c r="AN201" i="3"/>
  <c r="AL201" i="3"/>
  <c r="AK201" i="3"/>
  <c r="AJ201" i="3"/>
  <c r="AI201" i="3"/>
  <c r="AH201" i="3"/>
  <c r="AG201" i="3"/>
  <c r="AE201" i="3"/>
  <c r="AD201" i="3"/>
  <c r="AC201" i="3"/>
  <c r="AB201" i="3"/>
  <c r="AA201" i="3"/>
  <c r="Z201" i="3"/>
  <c r="Y201" i="3"/>
  <c r="BJ200" i="3"/>
  <c r="BI200" i="3"/>
  <c r="BH200" i="3"/>
  <c r="BG200" i="3"/>
  <c r="BF200" i="3"/>
  <c r="BE200" i="3"/>
  <c r="BD200" i="3"/>
  <c r="BC200" i="3"/>
  <c r="AU200" i="3"/>
  <c r="AM200" i="3"/>
  <c r="AF200" i="3"/>
  <c r="BJ199" i="3"/>
  <c r="BI199" i="3"/>
  <c r="BH199" i="3"/>
  <c r="BG199" i="3"/>
  <c r="BF199" i="3"/>
  <c r="BE199" i="3"/>
  <c r="BD199" i="3"/>
  <c r="BC199" i="3"/>
  <c r="AU199" i="3"/>
  <c r="AM199" i="3"/>
  <c r="AF199" i="3"/>
  <c r="BJ198" i="3"/>
  <c r="BI198" i="3"/>
  <c r="BH198" i="3"/>
  <c r="BG198" i="3"/>
  <c r="BF198" i="3"/>
  <c r="BE198" i="3"/>
  <c r="BD198" i="3"/>
  <c r="BC198" i="3"/>
  <c r="AU198" i="3"/>
  <c r="AM198" i="3"/>
  <c r="AF198" i="3"/>
  <c r="BJ197" i="3"/>
  <c r="BI197" i="3"/>
  <c r="BH197" i="3"/>
  <c r="BG197" i="3"/>
  <c r="BF197" i="3"/>
  <c r="BE197" i="3"/>
  <c r="BD197" i="3"/>
  <c r="BC197" i="3"/>
  <c r="AU197" i="3"/>
  <c r="AM197" i="3"/>
  <c r="AF197" i="3"/>
  <c r="BJ196" i="3"/>
  <c r="BI196" i="3"/>
  <c r="BH196" i="3"/>
  <c r="BH194" i="3"/>
  <c r="BH195" i="3"/>
  <c r="BG196" i="3"/>
  <c r="BF196" i="3"/>
  <c r="BE196" i="3"/>
  <c r="BD196" i="3"/>
  <c r="BC196" i="3"/>
  <c r="AU196" i="3"/>
  <c r="AM196" i="3"/>
  <c r="AF196" i="3"/>
  <c r="BJ195" i="3"/>
  <c r="BI195" i="3"/>
  <c r="BG195" i="3"/>
  <c r="BF195" i="3"/>
  <c r="BE195" i="3"/>
  <c r="BD195" i="3"/>
  <c r="BC195" i="3"/>
  <c r="AU195" i="3"/>
  <c r="AM195" i="3"/>
  <c r="AF195" i="3"/>
  <c r="BJ194" i="3"/>
  <c r="BI194" i="3"/>
  <c r="BG194" i="3"/>
  <c r="BF194" i="3"/>
  <c r="BE194" i="3"/>
  <c r="BD194" i="3"/>
  <c r="BC194" i="3"/>
  <c r="AU194" i="3"/>
  <c r="AM194" i="3"/>
  <c r="AF194" i="3"/>
  <c r="BB193" i="3"/>
  <c r="BA193" i="3"/>
  <c r="AZ193" i="3"/>
  <c r="AY193" i="3"/>
  <c r="AX193" i="3"/>
  <c r="AW193" i="3"/>
  <c r="AV193" i="3"/>
  <c r="AT193" i="3"/>
  <c r="AS193" i="3"/>
  <c r="AR193" i="3"/>
  <c r="AQ193" i="3"/>
  <c r="AP193" i="3"/>
  <c r="AO193" i="3"/>
  <c r="AN193" i="3"/>
  <c r="AL193" i="3"/>
  <c r="AK193" i="3"/>
  <c r="AJ193" i="3"/>
  <c r="AI193" i="3"/>
  <c r="AH193" i="3"/>
  <c r="AG193" i="3"/>
  <c r="AE193" i="3"/>
  <c r="AD193" i="3"/>
  <c r="AC193" i="3"/>
  <c r="AB193" i="3"/>
  <c r="AA193" i="3"/>
  <c r="Z193" i="3"/>
  <c r="Y193" i="3"/>
  <c r="BJ192" i="3"/>
  <c r="BI192" i="3"/>
  <c r="BH192" i="3"/>
  <c r="BG192" i="3"/>
  <c r="BF192" i="3"/>
  <c r="BE192" i="3"/>
  <c r="BD192" i="3"/>
  <c r="BC192" i="3"/>
  <c r="AU192" i="3"/>
  <c r="AM192" i="3"/>
  <c r="AF192" i="3"/>
  <c r="BJ191" i="3"/>
  <c r="BI191" i="3"/>
  <c r="BH191" i="3"/>
  <c r="BG191" i="3"/>
  <c r="BF191" i="3"/>
  <c r="BE191" i="3"/>
  <c r="BD191" i="3"/>
  <c r="BC191" i="3"/>
  <c r="AU191" i="3"/>
  <c r="AM191" i="3"/>
  <c r="AF191" i="3"/>
  <c r="BJ190" i="3"/>
  <c r="BI190" i="3"/>
  <c r="BH190" i="3"/>
  <c r="BG190" i="3"/>
  <c r="BF190" i="3"/>
  <c r="BE190" i="3"/>
  <c r="BD190" i="3"/>
  <c r="BC190" i="3"/>
  <c r="AU190" i="3"/>
  <c r="AM190" i="3"/>
  <c r="AF190" i="3"/>
  <c r="BJ189" i="3"/>
  <c r="BI189" i="3"/>
  <c r="BH189" i="3"/>
  <c r="BG189" i="3"/>
  <c r="BF189" i="3"/>
  <c r="BE189" i="3"/>
  <c r="BD189" i="3"/>
  <c r="BC189" i="3"/>
  <c r="AU189" i="3"/>
  <c r="AM189" i="3"/>
  <c r="AF189" i="3"/>
  <c r="BJ188" i="3"/>
  <c r="BI188" i="3"/>
  <c r="BH188" i="3"/>
  <c r="BG188" i="3"/>
  <c r="BF188" i="3"/>
  <c r="BE188" i="3"/>
  <c r="BD188" i="3"/>
  <c r="BC188" i="3"/>
  <c r="AU188" i="3"/>
  <c r="AM188" i="3"/>
  <c r="AF188" i="3"/>
  <c r="BJ187" i="3"/>
  <c r="BI187" i="3"/>
  <c r="BH187" i="3"/>
  <c r="BG187" i="3"/>
  <c r="BF187" i="3"/>
  <c r="BE187" i="3"/>
  <c r="BD187" i="3"/>
  <c r="BC187" i="3"/>
  <c r="AU187" i="3"/>
  <c r="AM187" i="3"/>
  <c r="AF187" i="3"/>
  <c r="BJ186" i="3"/>
  <c r="BI186" i="3"/>
  <c r="BH186" i="3"/>
  <c r="BG186" i="3"/>
  <c r="BF186" i="3"/>
  <c r="BE186" i="3"/>
  <c r="BD186" i="3"/>
  <c r="BC186" i="3"/>
  <c r="AU186" i="3"/>
  <c r="AM186" i="3"/>
  <c r="AF186" i="3"/>
  <c r="BJ185" i="3"/>
  <c r="BI185" i="3"/>
  <c r="BH185" i="3"/>
  <c r="BG185" i="3"/>
  <c r="BF185" i="3"/>
  <c r="BE185" i="3"/>
  <c r="BD185" i="3"/>
  <c r="BC185" i="3"/>
  <c r="AU185" i="3"/>
  <c r="AM185" i="3"/>
  <c r="AF185" i="3"/>
  <c r="BJ184" i="3"/>
  <c r="BI184" i="3"/>
  <c r="BH184" i="3"/>
  <c r="BG184" i="3"/>
  <c r="BF184" i="3"/>
  <c r="BE184" i="3"/>
  <c r="BD184" i="3"/>
  <c r="BC184" i="3"/>
  <c r="AU184" i="3"/>
  <c r="AM184" i="3"/>
  <c r="AF184" i="3"/>
  <c r="BJ183" i="3"/>
  <c r="BI183" i="3"/>
  <c r="BH183" i="3"/>
  <c r="BG183" i="3"/>
  <c r="BF183" i="3"/>
  <c r="BE183" i="3"/>
  <c r="BD183" i="3"/>
  <c r="BC183" i="3"/>
  <c r="AU183" i="3"/>
  <c r="AM183" i="3"/>
  <c r="AF183" i="3"/>
  <c r="BB182" i="3"/>
  <c r="BA182" i="3"/>
  <c r="AZ182" i="3"/>
  <c r="AY182" i="3"/>
  <c r="AX182" i="3"/>
  <c r="AW182" i="3"/>
  <c r="AV182" i="3"/>
  <c r="AT182" i="3"/>
  <c r="AS182" i="3"/>
  <c r="AR182" i="3"/>
  <c r="AQ182" i="3"/>
  <c r="AP182" i="3"/>
  <c r="AO182" i="3"/>
  <c r="AN182" i="3"/>
  <c r="AL182" i="3"/>
  <c r="AK182" i="3"/>
  <c r="AJ182" i="3"/>
  <c r="AI182" i="3"/>
  <c r="AH182" i="3"/>
  <c r="AG182" i="3"/>
  <c r="AE182" i="3"/>
  <c r="AD182" i="3"/>
  <c r="AC182" i="3"/>
  <c r="AB182" i="3"/>
  <c r="AA182" i="3"/>
  <c r="Z182" i="3"/>
  <c r="Y182" i="3"/>
  <c r="BJ181" i="3"/>
  <c r="BI181" i="3"/>
  <c r="BH181" i="3"/>
  <c r="BG181" i="3"/>
  <c r="BF181" i="3"/>
  <c r="BE181" i="3"/>
  <c r="BD181" i="3"/>
  <c r="BC181" i="3"/>
  <c r="AU181" i="3"/>
  <c r="AM181" i="3"/>
  <c r="AF181" i="3"/>
  <c r="BJ180" i="3"/>
  <c r="BI180" i="3"/>
  <c r="BH180" i="3"/>
  <c r="BG180" i="3"/>
  <c r="BF180" i="3"/>
  <c r="BE180" i="3"/>
  <c r="BD180" i="3"/>
  <c r="BC180" i="3"/>
  <c r="AU180" i="3"/>
  <c r="AM180" i="3"/>
  <c r="AF180" i="3"/>
  <c r="BJ179" i="3"/>
  <c r="BI179" i="3"/>
  <c r="BH179" i="3"/>
  <c r="BG179" i="3"/>
  <c r="BF179" i="3"/>
  <c r="BE179" i="3"/>
  <c r="BD179" i="3"/>
  <c r="BC179" i="3"/>
  <c r="AU179" i="3"/>
  <c r="AM179" i="3"/>
  <c r="AF179" i="3"/>
  <c r="BJ178" i="3"/>
  <c r="BI178" i="3"/>
  <c r="BH178" i="3"/>
  <c r="BG178" i="3"/>
  <c r="BF178" i="3"/>
  <c r="BE178" i="3"/>
  <c r="BD178" i="3"/>
  <c r="BC178" i="3"/>
  <c r="AU178" i="3"/>
  <c r="AM178" i="3"/>
  <c r="AF178" i="3"/>
  <c r="BJ177" i="3"/>
  <c r="BI177" i="3"/>
  <c r="BH177" i="3"/>
  <c r="BG177" i="3"/>
  <c r="BF177" i="3"/>
  <c r="BE177" i="3"/>
  <c r="BD177" i="3"/>
  <c r="BC177" i="3"/>
  <c r="AU177" i="3"/>
  <c r="AM177" i="3"/>
  <c r="AF177" i="3"/>
  <c r="BJ176" i="3"/>
  <c r="BI176" i="3"/>
  <c r="BH176" i="3"/>
  <c r="BG176" i="3"/>
  <c r="BF176" i="3"/>
  <c r="BE176" i="3"/>
  <c r="BD176" i="3"/>
  <c r="BC176" i="3"/>
  <c r="AU176" i="3"/>
  <c r="AM176" i="3"/>
  <c r="AF176" i="3"/>
  <c r="BJ175" i="3"/>
  <c r="BI175" i="3"/>
  <c r="BH175" i="3"/>
  <c r="BG175" i="3"/>
  <c r="BF175" i="3"/>
  <c r="BE175" i="3"/>
  <c r="BD175" i="3"/>
  <c r="BC175" i="3"/>
  <c r="AU175" i="3"/>
  <c r="AM175" i="3"/>
  <c r="AF175" i="3"/>
  <c r="BJ174" i="3"/>
  <c r="BI174" i="3"/>
  <c r="BH174" i="3"/>
  <c r="BG174" i="3"/>
  <c r="BF174" i="3"/>
  <c r="BE174" i="3"/>
  <c r="BD174" i="3"/>
  <c r="BC174" i="3"/>
  <c r="AU174" i="3"/>
  <c r="AM174" i="3"/>
  <c r="AF174" i="3"/>
  <c r="BJ173" i="3"/>
  <c r="BI173" i="3"/>
  <c r="BH173" i="3"/>
  <c r="BG173" i="3"/>
  <c r="BF173" i="3"/>
  <c r="BE173" i="3"/>
  <c r="BD173" i="3"/>
  <c r="BC173" i="3"/>
  <c r="AU173" i="3"/>
  <c r="AM173" i="3"/>
  <c r="AF173" i="3"/>
  <c r="BJ172" i="3"/>
  <c r="BI172" i="3"/>
  <c r="BH172" i="3"/>
  <c r="BG172" i="3"/>
  <c r="BF172" i="3"/>
  <c r="BE172" i="3"/>
  <c r="BD172" i="3"/>
  <c r="BC172" i="3"/>
  <c r="AU172" i="3"/>
  <c r="AM172" i="3"/>
  <c r="AF172" i="3"/>
  <c r="BB171" i="3"/>
  <c r="BJ171" i="3" s="1"/>
  <c r="BA171" i="3"/>
  <c r="BI171" i="3" s="1"/>
  <c r="AZ171" i="3"/>
  <c r="BH171" i="3" s="1"/>
  <c r="AY171" i="3"/>
  <c r="AX171" i="3"/>
  <c r="BF171" i="3" s="1"/>
  <c r="AW171" i="3"/>
  <c r="BE171" i="3" s="1"/>
  <c r="AV171" i="3"/>
  <c r="BD171" i="3" s="1"/>
  <c r="AU171" i="3"/>
  <c r="AM171" i="3"/>
  <c r="AF171" i="3"/>
  <c r="BJ170" i="3"/>
  <c r="BI170" i="3"/>
  <c r="AY170" i="3"/>
  <c r="BG170" i="3" s="1"/>
  <c r="BD170" i="3"/>
  <c r="AZ170" i="3"/>
  <c r="BH170" i="3" s="1"/>
  <c r="AX170" i="3"/>
  <c r="BF170" i="3" s="1"/>
  <c r="AW170" i="3"/>
  <c r="BE170" i="3" s="1"/>
  <c r="AU170" i="3"/>
  <c r="AM170" i="3"/>
  <c r="AF170" i="3"/>
  <c r="BJ169" i="3"/>
  <c r="BI169" i="3"/>
  <c r="BH169" i="3"/>
  <c r="BG169" i="3"/>
  <c r="BF169" i="3"/>
  <c r="BE169" i="3"/>
  <c r="BD169" i="3"/>
  <c r="BC169" i="3"/>
  <c r="AU169" i="3"/>
  <c r="AM169" i="3"/>
  <c r="AF169" i="3"/>
  <c r="BJ168" i="3"/>
  <c r="BI168" i="3"/>
  <c r="BH168" i="3"/>
  <c r="BG168" i="3"/>
  <c r="BF168" i="3"/>
  <c r="BE168" i="3"/>
  <c r="BD168" i="3"/>
  <c r="BC168" i="3"/>
  <c r="AU168" i="3"/>
  <c r="AM168" i="3"/>
  <c r="AF168" i="3"/>
  <c r="BJ167" i="3"/>
  <c r="BI167" i="3"/>
  <c r="BH167" i="3"/>
  <c r="BG167" i="3"/>
  <c r="BF167" i="3"/>
  <c r="BE167" i="3"/>
  <c r="BD167" i="3"/>
  <c r="BC167" i="3"/>
  <c r="AU167" i="3"/>
  <c r="AM167" i="3"/>
  <c r="AF167" i="3"/>
  <c r="BJ166" i="3"/>
  <c r="BI166" i="3"/>
  <c r="AZ166" i="3"/>
  <c r="AY166" i="3"/>
  <c r="BG166" i="3" s="1"/>
  <c r="AX166" i="3"/>
  <c r="BF166" i="3" s="1"/>
  <c r="AW166" i="3"/>
  <c r="AV166" i="3"/>
  <c r="BD166" i="3" s="1"/>
  <c r="AU166" i="3"/>
  <c r="AM166" i="3"/>
  <c r="AF166" i="3"/>
  <c r="BJ165" i="3"/>
  <c r="BI165" i="3"/>
  <c r="BH165" i="3"/>
  <c r="BG165" i="3"/>
  <c r="BF165" i="3"/>
  <c r="BE165" i="3"/>
  <c r="BD165" i="3"/>
  <c r="BC165" i="3"/>
  <c r="AU165" i="3"/>
  <c r="AM165" i="3"/>
  <c r="AF165" i="3"/>
  <c r="BJ164" i="3"/>
  <c r="BI164" i="3"/>
  <c r="BH164" i="3"/>
  <c r="BG164" i="3"/>
  <c r="BF164" i="3"/>
  <c r="BE164" i="3"/>
  <c r="BD164" i="3"/>
  <c r="BC164" i="3"/>
  <c r="AU164" i="3"/>
  <c r="AM164" i="3"/>
  <c r="AF164" i="3"/>
  <c r="BC163" i="3"/>
  <c r="AU163" i="3"/>
  <c r="AM163" i="3"/>
  <c r="AF163" i="3"/>
  <c r="BJ162" i="3"/>
  <c r="BI162" i="3"/>
  <c r="BH162" i="3"/>
  <c r="BG162" i="3"/>
  <c r="BF162" i="3"/>
  <c r="BE162" i="3"/>
  <c r="BD162" i="3"/>
  <c r="BC162" i="3"/>
  <c r="AU162" i="3"/>
  <c r="AM162" i="3"/>
  <c r="AF162" i="3"/>
  <c r="BJ161" i="3"/>
  <c r="BI161" i="3"/>
  <c r="BH161" i="3"/>
  <c r="BG161" i="3"/>
  <c r="BF161" i="3"/>
  <c r="BE161" i="3"/>
  <c r="BD161" i="3"/>
  <c r="BC161" i="3"/>
  <c r="AU161" i="3"/>
  <c r="AM161" i="3"/>
  <c r="AF161" i="3"/>
  <c r="BJ160" i="3"/>
  <c r="BI160" i="3"/>
  <c r="BH160" i="3"/>
  <c r="BG160" i="3"/>
  <c r="BF160" i="3"/>
  <c r="BE160" i="3"/>
  <c r="BD160" i="3"/>
  <c r="BC160" i="3"/>
  <c r="AU160" i="3"/>
  <c r="AM160" i="3"/>
  <c r="AF160" i="3"/>
  <c r="BJ159" i="3"/>
  <c r="BI159" i="3"/>
  <c r="BH159" i="3"/>
  <c r="BG159" i="3"/>
  <c r="BF159" i="3"/>
  <c r="BE159" i="3"/>
  <c r="BD159" i="3"/>
  <c r="BC159" i="3"/>
  <c r="AU159" i="3"/>
  <c r="AM159" i="3"/>
  <c r="AF159" i="3"/>
  <c r="BD158" i="3"/>
  <c r="BB158" i="3"/>
  <c r="BA158" i="3"/>
  <c r="BI158" i="3" s="1"/>
  <c r="AZ158" i="3"/>
  <c r="BH158" i="3" s="1"/>
  <c r="AY158" i="3"/>
  <c r="BG158" i="3" s="1"/>
  <c r="AX158" i="3"/>
  <c r="AW158" i="3"/>
  <c r="AU158" i="3"/>
  <c r="AM158" i="3"/>
  <c r="AF158" i="3"/>
  <c r="AT157" i="3"/>
  <c r="AS157" i="3"/>
  <c r="AR157" i="3"/>
  <c r="AQ157" i="3"/>
  <c r="AP157" i="3"/>
  <c r="AO157" i="3"/>
  <c r="AN157" i="3"/>
  <c r="AL157" i="3"/>
  <c r="AK157" i="3"/>
  <c r="AJ157" i="3"/>
  <c r="AI157" i="3"/>
  <c r="AH157" i="3"/>
  <c r="AG157" i="3"/>
  <c r="AE157" i="3"/>
  <c r="AD157" i="3"/>
  <c r="AC157" i="3"/>
  <c r="AB157" i="3"/>
  <c r="AA157" i="3"/>
  <c r="Z157" i="3"/>
  <c r="Y157" i="3"/>
  <c r="BJ155" i="3"/>
  <c r="BI155" i="3"/>
  <c r="BH155" i="3"/>
  <c r="BG155" i="3"/>
  <c r="BE155" i="3"/>
  <c r="BD155" i="3"/>
  <c r="AX155" i="3"/>
  <c r="BF155" i="3" s="1"/>
  <c r="AU155" i="3"/>
  <c r="AM155" i="3"/>
  <c r="AF155" i="3"/>
  <c r="BJ154" i="3"/>
  <c r="BI154" i="3"/>
  <c r="BH154" i="3"/>
  <c r="BG154" i="3"/>
  <c r="BF154" i="3"/>
  <c r="BE154" i="3"/>
  <c r="BD154" i="3"/>
  <c r="BC154" i="3"/>
  <c r="AU154" i="3"/>
  <c r="AM154" i="3"/>
  <c r="AF154" i="3"/>
  <c r="W154" i="3"/>
  <c r="V154" i="3"/>
  <c r="U154" i="3"/>
  <c r="BJ153" i="3"/>
  <c r="BI153" i="3"/>
  <c r="BH153" i="3"/>
  <c r="BG153" i="3"/>
  <c r="BE153" i="3"/>
  <c r="BD153" i="3"/>
  <c r="AI153" i="3"/>
  <c r="AF153" i="3"/>
  <c r="BJ152" i="3"/>
  <c r="BI152" i="3"/>
  <c r="BH152" i="3"/>
  <c r="BG152" i="3"/>
  <c r="BF152" i="3"/>
  <c r="BE152" i="3"/>
  <c r="BD152" i="3"/>
  <c r="BC152" i="3"/>
  <c r="AU152" i="3"/>
  <c r="AM152" i="3"/>
  <c r="AF152" i="3"/>
  <c r="BJ151" i="3"/>
  <c r="BI151" i="3"/>
  <c r="BH151" i="3"/>
  <c r="BG151" i="3"/>
  <c r="BE151" i="3"/>
  <c r="BD151" i="3"/>
  <c r="AI151" i="3"/>
  <c r="AP151" i="3" s="1"/>
  <c r="AF151" i="3"/>
  <c r="BJ150" i="3"/>
  <c r="BI150" i="3"/>
  <c r="BH150" i="3"/>
  <c r="BG150" i="3"/>
  <c r="BE150" i="3"/>
  <c r="BD150" i="3"/>
  <c r="AI150" i="3"/>
  <c r="AM150" i="3" s="1"/>
  <c r="AF150" i="3"/>
  <c r="BJ149" i="3"/>
  <c r="BI149" i="3"/>
  <c r="BH149" i="3"/>
  <c r="BG149" i="3"/>
  <c r="BF149" i="3"/>
  <c r="BE149" i="3"/>
  <c r="BD149" i="3"/>
  <c r="BC149" i="3"/>
  <c r="AU149" i="3"/>
  <c r="AM149" i="3"/>
  <c r="AF149" i="3"/>
  <c r="BB148" i="3"/>
  <c r="BA148" i="3"/>
  <c r="AZ148" i="3"/>
  <c r="AR148" i="3"/>
  <c r="AK148" i="3"/>
  <c r="AC148" i="3"/>
  <c r="AY148" i="3"/>
  <c r="AW148" i="3"/>
  <c r="AV148" i="3"/>
  <c r="AN148" i="3"/>
  <c r="AG148" i="3"/>
  <c r="Y148" i="3"/>
  <c r="AT148" i="3"/>
  <c r="AS148" i="3"/>
  <c r="AQ148" i="3"/>
  <c r="AO148" i="3"/>
  <c r="AL148" i="3"/>
  <c r="AK123" i="3"/>
  <c r="AK138" i="3"/>
  <c r="AJ148" i="3"/>
  <c r="AH148" i="3"/>
  <c r="AE148" i="3"/>
  <c r="AD148" i="3"/>
  <c r="AB148" i="3"/>
  <c r="AA148" i="3"/>
  <c r="Z148" i="3"/>
  <c r="BJ147" i="3"/>
  <c r="BI147" i="3"/>
  <c r="BH147" i="3"/>
  <c r="BG147" i="3"/>
  <c r="BF147" i="3"/>
  <c r="BE147" i="3"/>
  <c r="BD147" i="3"/>
  <c r="BC147" i="3"/>
  <c r="AU147" i="3"/>
  <c r="AM147" i="3"/>
  <c r="AF147" i="3"/>
  <c r="BJ146" i="3"/>
  <c r="BI146" i="3"/>
  <c r="BH146" i="3"/>
  <c r="BG146" i="3"/>
  <c r="BE146" i="3"/>
  <c r="BD146" i="3"/>
  <c r="AI146" i="3"/>
  <c r="AI138" i="3" s="1"/>
  <c r="AF146" i="3"/>
  <c r="BJ145" i="3"/>
  <c r="BI145" i="3"/>
  <c r="BH145" i="3"/>
  <c r="BG145" i="3"/>
  <c r="BF145" i="3"/>
  <c r="BE145" i="3"/>
  <c r="BD145" i="3"/>
  <c r="BC145" i="3"/>
  <c r="AU145" i="3"/>
  <c r="AM145" i="3"/>
  <c r="AF145" i="3"/>
  <c r="BJ144" i="3"/>
  <c r="BI144" i="3"/>
  <c r="BH144" i="3"/>
  <c r="BG144" i="3"/>
  <c r="BF144" i="3"/>
  <c r="BE144" i="3"/>
  <c r="BD144" i="3"/>
  <c r="BC144" i="3"/>
  <c r="AU144" i="3"/>
  <c r="AM144" i="3"/>
  <c r="AF144" i="3"/>
  <c r="W144" i="3"/>
  <c r="V144" i="3"/>
  <c r="U144" i="3"/>
  <c r="BJ143" i="3"/>
  <c r="BI143" i="3"/>
  <c r="BH143" i="3"/>
  <c r="BG143" i="3"/>
  <c r="BE143" i="3"/>
  <c r="BD143" i="3"/>
  <c r="AP143" i="3"/>
  <c r="AU143" i="3" s="1"/>
  <c r="AM143" i="3"/>
  <c r="AA143" i="3"/>
  <c r="AA138" i="3" s="1"/>
  <c r="BJ142" i="3"/>
  <c r="BI142" i="3"/>
  <c r="BH142" i="3"/>
  <c r="BG142" i="3"/>
  <c r="BF142" i="3"/>
  <c r="BE142" i="3"/>
  <c r="BD142" i="3"/>
  <c r="BC142" i="3"/>
  <c r="AU142" i="3"/>
  <c r="AM142" i="3"/>
  <c r="AF142" i="3"/>
  <c r="BJ141" i="3"/>
  <c r="BI141" i="3"/>
  <c r="BH141" i="3"/>
  <c r="BG141" i="3"/>
  <c r="BF141" i="3"/>
  <c r="BE141" i="3"/>
  <c r="BD141" i="3"/>
  <c r="BC141" i="3"/>
  <c r="AU141" i="3"/>
  <c r="AM141" i="3"/>
  <c r="AF141" i="3"/>
  <c r="BJ140" i="3"/>
  <c r="BI140" i="3"/>
  <c r="BH140" i="3"/>
  <c r="BG140" i="3"/>
  <c r="BF140" i="3"/>
  <c r="BE140" i="3"/>
  <c r="BD140" i="3"/>
  <c r="BC140" i="3"/>
  <c r="AU140" i="3"/>
  <c r="AM140" i="3"/>
  <c r="AF140" i="3"/>
  <c r="BJ139" i="3"/>
  <c r="BI139" i="3"/>
  <c r="BH139" i="3"/>
  <c r="BG139" i="3"/>
  <c r="BF139" i="3"/>
  <c r="BE139" i="3"/>
  <c r="BD139" i="3"/>
  <c r="BC139" i="3"/>
  <c r="AU139" i="3"/>
  <c r="AM139" i="3"/>
  <c r="AF139" i="3"/>
  <c r="BB138" i="3"/>
  <c r="BA138" i="3"/>
  <c r="AZ138" i="3"/>
  <c r="AY138" i="3"/>
  <c r="AW138" i="3"/>
  <c r="AV138" i="3"/>
  <c r="AT138" i="3"/>
  <c r="AS138" i="3"/>
  <c r="AR138" i="3"/>
  <c r="AQ138" i="3"/>
  <c r="AO138" i="3"/>
  <c r="AN138" i="3"/>
  <c r="AL138" i="3"/>
  <c r="AJ138" i="3"/>
  <c r="AH138" i="3"/>
  <c r="AG138" i="3"/>
  <c r="AE138" i="3"/>
  <c r="AD138" i="3"/>
  <c r="AC138" i="3"/>
  <c r="AB138" i="3"/>
  <c r="Z138" i="3"/>
  <c r="Y138" i="3"/>
  <c r="BJ137" i="3"/>
  <c r="BI137" i="3"/>
  <c r="BH137" i="3"/>
  <c r="BG137" i="3"/>
  <c r="BE137" i="3"/>
  <c r="BD137" i="3"/>
  <c r="AI137" i="3"/>
  <c r="AF137" i="3"/>
  <c r="BJ136" i="3"/>
  <c r="BI136" i="3"/>
  <c r="BH136" i="3"/>
  <c r="BG136" i="3"/>
  <c r="BF136" i="3"/>
  <c r="BE136" i="3"/>
  <c r="BD136" i="3"/>
  <c r="BC136" i="3"/>
  <c r="AU136" i="3"/>
  <c r="AM136" i="3"/>
  <c r="AF136" i="3"/>
  <c r="BJ135" i="3"/>
  <c r="BI135" i="3"/>
  <c r="BH135" i="3"/>
  <c r="BG135" i="3"/>
  <c r="BF135" i="3"/>
  <c r="BE135" i="3"/>
  <c r="BD135" i="3"/>
  <c r="BC135" i="3"/>
  <c r="AU135" i="3"/>
  <c r="AM135" i="3"/>
  <c r="AF135" i="3"/>
  <c r="BJ134" i="3"/>
  <c r="BI134" i="3"/>
  <c r="BH134" i="3"/>
  <c r="BG134" i="3"/>
  <c r="BF134" i="3"/>
  <c r="BE134" i="3"/>
  <c r="BD134" i="3"/>
  <c r="BC134" i="3"/>
  <c r="AU134" i="3"/>
  <c r="AM134" i="3"/>
  <c r="AF134" i="3"/>
  <c r="BJ133" i="3"/>
  <c r="BI133" i="3"/>
  <c r="BH133" i="3"/>
  <c r="BG133" i="3"/>
  <c r="BE133" i="3"/>
  <c r="BD133" i="3"/>
  <c r="AI133" i="3"/>
  <c r="AM133" i="3" s="1"/>
  <c r="AF133" i="3"/>
  <c r="BJ132" i="3"/>
  <c r="BI132" i="3"/>
  <c r="BH132" i="3"/>
  <c r="BG132" i="3"/>
  <c r="BF132" i="3"/>
  <c r="BE132" i="3"/>
  <c r="BD132" i="3"/>
  <c r="BC132" i="3"/>
  <c r="AU132" i="3"/>
  <c r="AM132" i="3"/>
  <c r="AF132" i="3"/>
  <c r="BJ131" i="3"/>
  <c r="BI131" i="3"/>
  <c r="BH131" i="3"/>
  <c r="BG131" i="3"/>
  <c r="BF131" i="3"/>
  <c r="BE131" i="3"/>
  <c r="BD131" i="3"/>
  <c r="BC131" i="3"/>
  <c r="AU131" i="3"/>
  <c r="AM131" i="3"/>
  <c r="AF131" i="3"/>
  <c r="BJ130" i="3"/>
  <c r="BI130" i="3"/>
  <c r="BH130" i="3"/>
  <c r="BG130" i="3"/>
  <c r="BE130" i="3"/>
  <c r="BD130" i="3"/>
  <c r="AI130" i="3"/>
  <c r="AP130" i="3" s="1"/>
  <c r="AF130" i="3"/>
  <c r="BJ129" i="3"/>
  <c r="BI129" i="3"/>
  <c r="BH129" i="3"/>
  <c r="BG129" i="3"/>
  <c r="BE129" i="3"/>
  <c r="BD129" i="3"/>
  <c r="AI129" i="3"/>
  <c r="AF129" i="3"/>
  <c r="BJ128" i="3"/>
  <c r="BI128" i="3"/>
  <c r="BH128" i="3"/>
  <c r="BG128" i="3"/>
  <c r="BE128" i="3"/>
  <c r="BD128" i="3"/>
  <c r="AI128" i="3"/>
  <c r="AF128" i="3"/>
  <c r="BJ127" i="3"/>
  <c r="BI127" i="3"/>
  <c r="BH127" i="3"/>
  <c r="BG127" i="3"/>
  <c r="BF127" i="3"/>
  <c r="BE127" i="3"/>
  <c r="BD127" i="3"/>
  <c r="BC127" i="3"/>
  <c r="AU127" i="3"/>
  <c r="AM127" i="3"/>
  <c r="AF127" i="3"/>
  <c r="BJ126" i="3"/>
  <c r="BI126" i="3"/>
  <c r="BH126" i="3"/>
  <c r="BG126" i="3"/>
  <c r="BF126" i="3"/>
  <c r="BE126" i="3"/>
  <c r="BD126" i="3"/>
  <c r="BC126" i="3"/>
  <c r="AU126" i="3"/>
  <c r="AM126" i="3"/>
  <c r="AF126" i="3"/>
  <c r="BJ125" i="3"/>
  <c r="BI125" i="3"/>
  <c r="BH125" i="3"/>
  <c r="BG125" i="3"/>
  <c r="BE125" i="3"/>
  <c r="BD125" i="3"/>
  <c r="AP125" i="3"/>
  <c r="AM125" i="3"/>
  <c r="AF125" i="3"/>
  <c r="BJ124" i="3"/>
  <c r="BI124" i="3"/>
  <c r="BH124" i="3"/>
  <c r="BG124" i="3"/>
  <c r="BF124" i="3"/>
  <c r="BE124" i="3"/>
  <c r="BD124" i="3"/>
  <c r="BC124" i="3"/>
  <c r="AU124" i="3"/>
  <c r="AM124" i="3"/>
  <c r="AF124" i="3"/>
  <c r="BB123" i="3"/>
  <c r="BA123" i="3"/>
  <c r="AZ123" i="3"/>
  <c r="AY123" i="3"/>
  <c r="AW123" i="3"/>
  <c r="AV123" i="3"/>
  <c r="AT123" i="3"/>
  <c r="AS123" i="3"/>
  <c r="AR123" i="3"/>
  <c r="AQ123" i="3"/>
  <c r="AO123" i="3"/>
  <c r="AN123" i="3"/>
  <c r="AL123" i="3"/>
  <c r="AJ123" i="3"/>
  <c r="AH123" i="3"/>
  <c r="AG123" i="3"/>
  <c r="AE123" i="3"/>
  <c r="AD123" i="3"/>
  <c r="AC123" i="3"/>
  <c r="AB123" i="3"/>
  <c r="AA123" i="3"/>
  <c r="Z123" i="3"/>
  <c r="Y123" i="3"/>
  <c r="BK121" i="3"/>
  <c r="BJ121" i="3"/>
  <c r="BI121" i="3"/>
  <c r="BH121" i="3"/>
  <c r="BG121" i="3"/>
  <c r="BE121" i="3"/>
  <c r="BD121" i="3"/>
  <c r="BJ120" i="3"/>
  <c r="BI120" i="3"/>
  <c r="BH120" i="3"/>
  <c r="BG120" i="3"/>
  <c r="BF120" i="3"/>
  <c r="BE120" i="3"/>
  <c r="BD120" i="3"/>
  <c r="BC120" i="3"/>
  <c r="AU120" i="3"/>
  <c r="AM120" i="3"/>
  <c r="AF120" i="3"/>
  <c r="X120" i="3"/>
  <c r="BJ119" i="3"/>
  <c r="BI119" i="3"/>
  <c r="BH119" i="3"/>
  <c r="BG119" i="3"/>
  <c r="BF119" i="3"/>
  <c r="BE119" i="3"/>
  <c r="BD119" i="3"/>
  <c r="BC119" i="3"/>
  <c r="AU119" i="3"/>
  <c r="AM119" i="3"/>
  <c r="AF119" i="3"/>
  <c r="X119" i="3"/>
  <c r="BJ118" i="3"/>
  <c r="BI118" i="3"/>
  <c r="BH118" i="3"/>
  <c r="BG118" i="3"/>
  <c r="BF118" i="3"/>
  <c r="BE118" i="3"/>
  <c r="BD118" i="3"/>
  <c r="BC118" i="3"/>
  <c r="AU118" i="3"/>
  <c r="AM118" i="3"/>
  <c r="AF118" i="3"/>
  <c r="X118" i="3"/>
  <c r="BJ117" i="3"/>
  <c r="BI117" i="3"/>
  <c r="BH117" i="3"/>
  <c r="BG117" i="3"/>
  <c r="BF117" i="3"/>
  <c r="BE117" i="3"/>
  <c r="BD117" i="3"/>
  <c r="BC117" i="3"/>
  <c r="AU117" i="3"/>
  <c r="AM117" i="3"/>
  <c r="AF117" i="3"/>
  <c r="X117" i="3"/>
  <c r="BB116" i="3"/>
  <c r="BA116" i="3"/>
  <c r="AZ116" i="3"/>
  <c r="AY116" i="3"/>
  <c r="AX116" i="3"/>
  <c r="AW116" i="3"/>
  <c r="AV116" i="3"/>
  <c r="AT116" i="3"/>
  <c r="AS116" i="3"/>
  <c r="AR116" i="3"/>
  <c r="AR110" i="3"/>
  <c r="AQ116" i="3"/>
  <c r="AP116" i="3"/>
  <c r="AO116" i="3"/>
  <c r="AN116" i="3"/>
  <c r="AL116" i="3"/>
  <c r="AK116" i="3"/>
  <c r="AJ116" i="3"/>
  <c r="AI116" i="3"/>
  <c r="AH116" i="3"/>
  <c r="AH110" i="3"/>
  <c r="AG116" i="3"/>
  <c r="AE116" i="3"/>
  <c r="AD116" i="3"/>
  <c r="AC116" i="3"/>
  <c r="AB116" i="3"/>
  <c r="AA116" i="3"/>
  <c r="Z116" i="3"/>
  <c r="Y116" i="3"/>
  <c r="BJ115" i="3"/>
  <c r="BI115" i="3"/>
  <c r="BH115" i="3"/>
  <c r="BG115" i="3"/>
  <c r="BF115" i="3"/>
  <c r="BE115" i="3"/>
  <c r="BD115" i="3"/>
  <c r="BC115" i="3"/>
  <c r="AU115" i="3"/>
  <c r="AM115" i="3"/>
  <c r="AF115" i="3"/>
  <c r="X115" i="3"/>
  <c r="BJ114" i="3"/>
  <c r="BI114" i="3"/>
  <c r="BH114" i="3"/>
  <c r="BG114" i="3"/>
  <c r="BF114" i="3"/>
  <c r="BE114" i="3"/>
  <c r="BD114" i="3"/>
  <c r="BC114" i="3"/>
  <c r="AU114" i="3"/>
  <c r="AM114" i="3"/>
  <c r="AF114" i="3"/>
  <c r="X114" i="3"/>
  <c r="BJ113" i="3"/>
  <c r="BI113" i="3"/>
  <c r="BH113" i="3"/>
  <c r="BG113" i="3"/>
  <c r="BF113" i="3"/>
  <c r="BE113" i="3"/>
  <c r="BD113" i="3"/>
  <c r="BC113" i="3"/>
  <c r="AU113" i="3"/>
  <c r="AM113" i="3"/>
  <c r="AF113" i="3"/>
  <c r="X113" i="3"/>
  <c r="BJ112" i="3"/>
  <c r="BI112" i="3"/>
  <c r="BH112" i="3"/>
  <c r="BG112" i="3"/>
  <c r="BF112" i="3"/>
  <c r="BE112" i="3"/>
  <c r="BD112" i="3"/>
  <c r="BC112" i="3"/>
  <c r="AU112" i="3"/>
  <c r="AM112" i="3"/>
  <c r="AF112" i="3"/>
  <c r="X112" i="3"/>
  <c r="BJ111" i="3"/>
  <c r="BI111" i="3"/>
  <c r="BH111" i="3"/>
  <c r="BG111" i="3"/>
  <c r="BF111" i="3"/>
  <c r="BE111" i="3"/>
  <c r="BD111" i="3"/>
  <c r="BC111" i="3"/>
  <c r="AU111" i="3"/>
  <c r="AM111" i="3"/>
  <c r="AF111" i="3"/>
  <c r="X111" i="3"/>
  <c r="BB110" i="3"/>
  <c r="BA110" i="3"/>
  <c r="AZ110" i="3"/>
  <c r="AY110" i="3"/>
  <c r="AX110" i="3"/>
  <c r="AW110" i="3"/>
  <c r="AV110" i="3"/>
  <c r="AT110" i="3"/>
  <c r="AS110" i="3"/>
  <c r="AQ110" i="3"/>
  <c r="AP110" i="3"/>
  <c r="AO110" i="3"/>
  <c r="AN110" i="3"/>
  <c r="AL110" i="3"/>
  <c r="AK110" i="3"/>
  <c r="AJ110" i="3"/>
  <c r="AI110" i="3"/>
  <c r="AG110" i="3"/>
  <c r="AE110" i="3"/>
  <c r="AD110" i="3"/>
  <c r="AC110" i="3"/>
  <c r="AB110" i="3"/>
  <c r="AA110" i="3"/>
  <c r="Z110" i="3"/>
  <c r="Y110" i="3"/>
  <c r="BJ108" i="3"/>
  <c r="BI108" i="3"/>
  <c r="BH108" i="3"/>
  <c r="BG108" i="3"/>
  <c r="BE108" i="3"/>
  <c r="AI108" i="3"/>
  <c r="AP108" i="3" s="1"/>
  <c r="AX108" i="3" s="1"/>
  <c r="BF108" i="3" s="1"/>
  <c r="AG108" i="3"/>
  <c r="AN108" i="3" s="1"/>
  <c r="AV108" i="3" s="1"/>
  <c r="BD108" i="3" s="1"/>
  <c r="AF108" i="3"/>
  <c r="BK108" i="3" s="1"/>
  <c r="BJ107" i="3"/>
  <c r="BI107" i="3"/>
  <c r="BH107" i="3"/>
  <c r="BG107" i="3"/>
  <c r="BF107" i="3"/>
  <c r="BE107" i="3"/>
  <c r="BD107" i="3"/>
  <c r="BC107" i="3"/>
  <c r="AU107" i="3"/>
  <c r="AM107" i="3"/>
  <c r="AF107" i="3"/>
  <c r="BJ106" i="3"/>
  <c r="BI106" i="3"/>
  <c r="BH106" i="3"/>
  <c r="BG106" i="3"/>
  <c r="BF106" i="3"/>
  <c r="BE106" i="3"/>
  <c r="BD106" i="3"/>
  <c r="BC106" i="3"/>
  <c r="AU106" i="3"/>
  <c r="AM106" i="3"/>
  <c r="AF106" i="3"/>
  <c r="BJ105" i="3"/>
  <c r="BI105" i="3"/>
  <c r="BH105" i="3"/>
  <c r="BG105" i="3"/>
  <c r="BF105" i="3"/>
  <c r="BE105" i="3"/>
  <c r="BD105" i="3"/>
  <c r="BC105" i="3"/>
  <c r="AU105" i="3"/>
  <c r="AM105" i="3"/>
  <c r="AF105" i="3"/>
  <c r="BJ104" i="3"/>
  <c r="BI104" i="3"/>
  <c r="BH104" i="3"/>
  <c r="BG104" i="3"/>
  <c r="BF104" i="3"/>
  <c r="BE104" i="3"/>
  <c r="BD104" i="3"/>
  <c r="BC104" i="3"/>
  <c r="AU104" i="3"/>
  <c r="AM104" i="3"/>
  <c r="AF104" i="3"/>
  <c r="BJ103" i="3"/>
  <c r="BI103" i="3"/>
  <c r="BH103" i="3"/>
  <c r="BG103" i="3"/>
  <c r="BF103" i="3"/>
  <c r="BE103" i="3"/>
  <c r="BD103" i="3"/>
  <c r="BC103" i="3"/>
  <c r="AU103" i="3"/>
  <c r="AM103" i="3"/>
  <c r="AF103" i="3"/>
  <c r="BJ102" i="3"/>
  <c r="BI102" i="3"/>
  <c r="BH102" i="3"/>
  <c r="BG102" i="3"/>
  <c r="BF102" i="3"/>
  <c r="BE102" i="3"/>
  <c r="BD102" i="3"/>
  <c r="BC102" i="3"/>
  <c r="AU102" i="3"/>
  <c r="AM102" i="3"/>
  <c r="AF102" i="3"/>
  <c r="BJ101" i="3"/>
  <c r="BI101" i="3"/>
  <c r="BH101" i="3"/>
  <c r="BG101" i="3"/>
  <c r="BF101" i="3"/>
  <c r="BE101" i="3"/>
  <c r="BD101" i="3"/>
  <c r="BC101" i="3"/>
  <c r="AU101" i="3"/>
  <c r="AM101" i="3"/>
  <c r="AF101" i="3"/>
  <c r="BJ100" i="3"/>
  <c r="BI100" i="3"/>
  <c r="BH100" i="3"/>
  <c r="BG100" i="3"/>
  <c r="BF100" i="3"/>
  <c r="BE100" i="3"/>
  <c r="BD100" i="3"/>
  <c r="BC100" i="3"/>
  <c r="AU100" i="3"/>
  <c r="AM100" i="3"/>
  <c r="AF100" i="3"/>
  <c r="BB99" i="3"/>
  <c r="BA99" i="3"/>
  <c r="AZ99" i="3"/>
  <c r="AY99" i="3"/>
  <c r="AX99" i="3"/>
  <c r="AW99" i="3"/>
  <c r="AV99" i="3"/>
  <c r="AT99" i="3"/>
  <c r="AS99" i="3"/>
  <c r="AR99" i="3"/>
  <c r="AQ99" i="3"/>
  <c r="AP99" i="3"/>
  <c r="AO99" i="3"/>
  <c r="AN99" i="3"/>
  <c r="AL99" i="3"/>
  <c r="AK99" i="3"/>
  <c r="AJ99" i="3"/>
  <c r="AI99" i="3"/>
  <c r="AH99" i="3"/>
  <c r="AG99" i="3"/>
  <c r="AE99" i="3"/>
  <c r="AD99" i="3"/>
  <c r="AC99" i="3"/>
  <c r="AB99" i="3"/>
  <c r="AA99" i="3"/>
  <c r="Z99" i="3"/>
  <c r="Y99" i="3"/>
  <c r="BJ98" i="3"/>
  <c r="BI98" i="3"/>
  <c r="BH98" i="3"/>
  <c r="BG98" i="3"/>
  <c r="BF98" i="3"/>
  <c r="BE98" i="3"/>
  <c r="BD98" i="3"/>
  <c r="BC98" i="3"/>
  <c r="AU98" i="3"/>
  <c r="AM98" i="3"/>
  <c r="AF98" i="3"/>
  <c r="BJ97" i="3"/>
  <c r="BI97" i="3"/>
  <c r="BH97" i="3"/>
  <c r="BG97" i="3"/>
  <c r="BF97" i="3"/>
  <c r="BE97" i="3"/>
  <c r="BD97" i="3"/>
  <c r="BC97" i="3"/>
  <c r="AU97" i="3"/>
  <c r="AM97" i="3"/>
  <c r="AF97" i="3"/>
  <c r="BJ96" i="3"/>
  <c r="BI96" i="3"/>
  <c r="BH96" i="3"/>
  <c r="BG96" i="3"/>
  <c r="BF96" i="3"/>
  <c r="BE96" i="3"/>
  <c r="BD96" i="3"/>
  <c r="BC96" i="3"/>
  <c r="AU96" i="3"/>
  <c r="AM96" i="3"/>
  <c r="AF96" i="3"/>
  <c r="BJ95" i="3"/>
  <c r="BI95" i="3"/>
  <c r="BH95" i="3"/>
  <c r="BG95" i="3"/>
  <c r="BF95" i="3"/>
  <c r="BE95" i="3"/>
  <c r="BD95" i="3"/>
  <c r="BC95" i="3"/>
  <c r="AU95" i="3"/>
  <c r="AM95" i="3"/>
  <c r="AF95" i="3"/>
  <c r="BJ94" i="3"/>
  <c r="BI94" i="3"/>
  <c r="BH94" i="3"/>
  <c r="BG94" i="3"/>
  <c r="BF94" i="3"/>
  <c r="BE94" i="3"/>
  <c r="BD94" i="3"/>
  <c r="BC94" i="3"/>
  <c r="AU94" i="3"/>
  <c r="AM94" i="3"/>
  <c r="AF94" i="3"/>
  <c r="BJ93" i="3"/>
  <c r="BI93" i="3"/>
  <c r="BH93" i="3"/>
  <c r="BG93" i="3"/>
  <c r="BF93" i="3"/>
  <c r="BE93" i="3"/>
  <c r="BD93" i="3"/>
  <c r="BC93" i="3"/>
  <c r="AU93" i="3"/>
  <c r="AM93" i="3"/>
  <c r="AF93" i="3"/>
  <c r="BJ92" i="3"/>
  <c r="BI92" i="3"/>
  <c r="BH92" i="3"/>
  <c r="BG92" i="3"/>
  <c r="BF92" i="3"/>
  <c r="BE92" i="3"/>
  <c r="BD92" i="3"/>
  <c r="BC92" i="3"/>
  <c r="AU92" i="3"/>
  <c r="AM92" i="3"/>
  <c r="AF92" i="3"/>
  <c r="BJ91" i="3"/>
  <c r="BI91" i="3"/>
  <c r="BH91" i="3"/>
  <c r="BG91" i="3"/>
  <c r="BF91" i="3"/>
  <c r="BE91" i="3"/>
  <c r="BD91" i="3"/>
  <c r="BC91" i="3"/>
  <c r="AU91" i="3"/>
  <c r="AM91" i="3"/>
  <c r="AF91" i="3"/>
  <c r="BJ90" i="3"/>
  <c r="BI90" i="3"/>
  <c r="BH90" i="3"/>
  <c r="BG90" i="3"/>
  <c r="BF90" i="3"/>
  <c r="BE90" i="3"/>
  <c r="BD90" i="3"/>
  <c r="BC90" i="3"/>
  <c r="AU90" i="3"/>
  <c r="AM90" i="3"/>
  <c r="AF90" i="3"/>
  <c r="BJ89" i="3"/>
  <c r="BI89" i="3"/>
  <c r="BH89" i="3"/>
  <c r="BG89" i="3"/>
  <c r="BF89" i="3"/>
  <c r="BE89" i="3"/>
  <c r="BD89" i="3"/>
  <c r="BC89" i="3"/>
  <c r="AU89" i="3"/>
  <c r="AM89" i="3"/>
  <c r="AF89" i="3"/>
  <c r="BJ88" i="3"/>
  <c r="BI88" i="3"/>
  <c r="BH88" i="3"/>
  <c r="BG88" i="3"/>
  <c r="BF88" i="3"/>
  <c r="BE88" i="3"/>
  <c r="BD88" i="3"/>
  <c r="BC88" i="3"/>
  <c r="AU88" i="3"/>
  <c r="AM88" i="3"/>
  <c r="AF88" i="3"/>
  <c r="BB87" i="3"/>
  <c r="BA87" i="3"/>
  <c r="BA86" i="3" s="1"/>
  <c r="AZ87" i="3"/>
  <c r="AZ86" i="3" s="1"/>
  <c r="AY87" i="3"/>
  <c r="AY86" i="3" s="1"/>
  <c r="AX87" i="3"/>
  <c r="AX86" i="3" s="1"/>
  <c r="AW87" i="3"/>
  <c r="AV87" i="3"/>
  <c r="AT87" i="3"/>
  <c r="AS87" i="3"/>
  <c r="AR87" i="3"/>
  <c r="AQ87" i="3"/>
  <c r="AP87" i="3"/>
  <c r="AO87" i="3"/>
  <c r="AO86" i="3" s="1"/>
  <c r="AN87" i="3"/>
  <c r="AN86" i="3" s="1"/>
  <c r="AL87" i="3"/>
  <c r="AK87" i="3"/>
  <c r="AJ87" i="3"/>
  <c r="AI87" i="3"/>
  <c r="AH87" i="3"/>
  <c r="AG87" i="3"/>
  <c r="AE87" i="3"/>
  <c r="AD87" i="3"/>
  <c r="AC87" i="3"/>
  <c r="AB87" i="3"/>
  <c r="AA87" i="3"/>
  <c r="Z87" i="3"/>
  <c r="Y87" i="3"/>
  <c r="BJ85" i="3"/>
  <c r="BI85" i="3"/>
  <c r="BH85" i="3"/>
  <c r="BG85" i="3"/>
  <c r="BE85" i="3"/>
  <c r="BD85" i="3"/>
  <c r="AI85" i="3"/>
  <c r="AP85" i="3" s="1"/>
  <c r="AX85" i="3" s="1"/>
  <c r="BF85" i="3" s="1"/>
  <c r="AF85" i="3"/>
  <c r="BK85" i="3" s="1"/>
  <c r="BJ84" i="3"/>
  <c r="BI84" i="3"/>
  <c r="BH84" i="3"/>
  <c r="BG84" i="3"/>
  <c r="BF84" i="3"/>
  <c r="BE84" i="3"/>
  <c r="BD84" i="3"/>
  <c r="BC84" i="3"/>
  <c r="AU84" i="3"/>
  <c r="AM84" i="3"/>
  <c r="AF84" i="3"/>
  <c r="BJ83" i="3"/>
  <c r="BI83" i="3"/>
  <c r="BH83" i="3"/>
  <c r="BG83" i="3"/>
  <c r="BF83" i="3"/>
  <c r="BE83" i="3"/>
  <c r="BD83" i="3"/>
  <c r="BC83" i="3"/>
  <c r="AU83" i="3"/>
  <c r="AM83" i="3"/>
  <c r="AF83" i="3"/>
  <c r="BJ82" i="3"/>
  <c r="BI82" i="3"/>
  <c r="BH82" i="3"/>
  <c r="BG82" i="3"/>
  <c r="BF82" i="3"/>
  <c r="BE82" i="3"/>
  <c r="BD82" i="3"/>
  <c r="BC82" i="3"/>
  <c r="AU82" i="3"/>
  <c r="AM82" i="3"/>
  <c r="AF82" i="3"/>
  <c r="BJ81" i="3"/>
  <c r="BI81" i="3"/>
  <c r="BH81" i="3"/>
  <c r="BG81" i="3"/>
  <c r="BF81" i="3"/>
  <c r="BE81" i="3"/>
  <c r="BD81" i="3"/>
  <c r="BC81" i="3"/>
  <c r="AU81" i="3"/>
  <c r="AM81" i="3"/>
  <c r="AF81" i="3"/>
  <c r="BJ80" i="3"/>
  <c r="BI80" i="3"/>
  <c r="BH80" i="3"/>
  <c r="BG80" i="3"/>
  <c r="BF80" i="3"/>
  <c r="BE80" i="3"/>
  <c r="BD80" i="3"/>
  <c r="BC80" i="3"/>
  <c r="AU80" i="3"/>
  <c r="AM80" i="3"/>
  <c r="AF80" i="3"/>
  <c r="BJ79" i="3"/>
  <c r="BI79" i="3"/>
  <c r="BH79" i="3"/>
  <c r="BG79" i="3"/>
  <c r="BF79" i="3"/>
  <c r="BE79" i="3"/>
  <c r="BD79" i="3"/>
  <c r="BC79" i="3"/>
  <c r="AU79" i="3"/>
  <c r="AM79" i="3"/>
  <c r="AF79" i="3"/>
  <c r="BJ78" i="3"/>
  <c r="BI78" i="3"/>
  <c r="BH78" i="3"/>
  <c r="BG78" i="3"/>
  <c r="BF78" i="3"/>
  <c r="BE78" i="3"/>
  <c r="BD78" i="3"/>
  <c r="BC78" i="3"/>
  <c r="AU78" i="3"/>
  <c r="AM78" i="3"/>
  <c r="AF78" i="3"/>
  <c r="BJ77" i="3"/>
  <c r="BI77" i="3"/>
  <c r="BH77" i="3"/>
  <c r="BG77" i="3"/>
  <c r="BF77" i="3"/>
  <c r="BE77" i="3"/>
  <c r="BD77" i="3"/>
  <c r="BC77" i="3"/>
  <c r="AU77" i="3"/>
  <c r="AM77" i="3"/>
  <c r="AF77" i="3"/>
  <c r="BJ76" i="3"/>
  <c r="BI76" i="3"/>
  <c r="BH76" i="3"/>
  <c r="BG76" i="3"/>
  <c r="BF76" i="3"/>
  <c r="BE76" i="3"/>
  <c r="BD76" i="3"/>
  <c r="BC76" i="3"/>
  <c r="AU76" i="3"/>
  <c r="AM76" i="3"/>
  <c r="AF76" i="3"/>
  <c r="BB75" i="3"/>
  <c r="BB51" i="3" s="1"/>
  <c r="BB50" i="3" s="1"/>
  <c r="BA75" i="3"/>
  <c r="BA51" i="3" s="1"/>
  <c r="BA50" i="3" s="1"/>
  <c r="AZ75" i="3"/>
  <c r="AY75" i="3"/>
  <c r="AX75" i="3"/>
  <c r="AX51" i="3" s="1"/>
  <c r="AX50" i="3" s="1"/>
  <c r="AW75" i="3"/>
  <c r="AV75" i="3"/>
  <c r="AV51" i="3" s="1"/>
  <c r="AV50" i="3" s="1"/>
  <c r="AT75" i="3"/>
  <c r="AT51" i="3" s="1"/>
  <c r="AS75" i="3"/>
  <c r="AS51" i="3" s="1"/>
  <c r="AR75" i="3"/>
  <c r="AR51" i="3" s="1"/>
  <c r="AQ75" i="3"/>
  <c r="AQ51" i="3" s="1"/>
  <c r="AQ50" i="3" s="1"/>
  <c r="AP75" i="3"/>
  <c r="AP51" i="3" s="1"/>
  <c r="AP50" i="3" s="1"/>
  <c r="AO75" i="3"/>
  <c r="AO51" i="3" s="1"/>
  <c r="AO50" i="3" s="1"/>
  <c r="AN75" i="3"/>
  <c r="AN51" i="3" s="1"/>
  <c r="AL75" i="3"/>
  <c r="AL51" i="3" s="1"/>
  <c r="AL50" i="3" s="1"/>
  <c r="AK75" i="3"/>
  <c r="AK51" i="3" s="1"/>
  <c r="AK50" i="3" s="1"/>
  <c r="AJ75" i="3"/>
  <c r="AJ51" i="3" s="1"/>
  <c r="AJ50" i="3" s="1"/>
  <c r="AI75" i="3"/>
  <c r="AI51" i="3" s="1"/>
  <c r="AI50" i="3" s="1"/>
  <c r="AA51" i="3"/>
  <c r="AA75" i="3"/>
  <c r="AH75" i="3"/>
  <c r="AH51" i="3" s="1"/>
  <c r="AG75" i="3"/>
  <c r="AG51" i="3" s="1"/>
  <c r="AG50" i="3" s="1"/>
  <c r="AE75" i="3"/>
  <c r="AD75" i="3"/>
  <c r="AC75" i="3"/>
  <c r="AB75" i="3"/>
  <c r="Z75" i="3"/>
  <c r="Y75" i="3"/>
  <c r="BJ74" i="3"/>
  <c r="BI74" i="3"/>
  <c r="BH74" i="3"/>
  <c r="BG74" i="3"/>
  <c r="BF74" i="3"/>
  <c r="BE74" i="3"/>
  <c r="BD74" i="3"/>
  <c r="BC74" i="3"/>
  <c r="AU74" i="3"/>
  <c r="AM74" i="3"/>
  <c r="AF74" i="3"/>
  <c r="BJ73" i="3"/>
  <c r="BI73" i="3"/>
  <c r="BH73" i="3"/>
  <c r="BG73" i="3"/>
  <c r="BF73" i="3"/>
  <c r="BE73" i="3"/>
  <c r="BD73" i="3"/>
  <c r="BC73" i="3"/>
  <c r="AU73" i="3"/>
  <c r="AM73" i="3"/>
  <c r="AF73" i="3"/>
  <c r="BJ72" i="3"/>
  <c r="BI72" i="3"/>
  <c r="BH72" i="3"/>
  <c r="BG72" i="3"/>
  <c r="BF72" i="3"/>
  <c r="BE72" i="3"/>
  <c r="BD72" i="3"/>
  <c r="BC72" i="3"/>
  <c r="AU72" i="3"/>
  <c r="AM72" i="3"/>
  <c r="AF72" i="3"/>
  <c r="BJ71" i="3"/>
  <c r="BI71" i="3"/>
  <c r="BH71" i="3"/>
  <c r="BG71" i="3"/>
  <c r="BF71" i="3"/>
  <c r="BE71" i="3"/>
  <c r="BD71" i="3"/>
  <c r="BC71" i="3"/>
  <c r="AU71" i="3"/>
  <c r="AM71" i="3"/>
  <c r="AF71" i="3"/>
  <c r="BJ70" i="3"/>
  <c r="BI70" i="3"/>
  <c r="BH70" i="3"/>
  <c r="BG70" i="3"/>
  <c r="BF70" i="3"/>
  <c r="BE70" i="3"/>
  <c r="BD70" i="3"/>
  <c r="BC70" i="3"/>
  <c r="AU70" i="3"/>
  <c r="AM70" i="3"/>
  <c r="AF70" i="3"/>
  <c r="BJ69" i="3"/>
  <c r="BI69" i="3"/>
  <c r="BH69" i="3"/>
  <c r="BG69" i="3"/>
  <c r="BF69" i="3"/>
  <c r="BE69" i="3"/>
  <c r="BD69" i="3"/>
  <c r="BC69" i="3"/>
  <c r="AU69" i="3"/>
  <c r="AM69" i="3"/>
  <c r="AF69" i="3"/>
  <c r="BJ68" i="3"/>
  <c r="BI68" i="3"/>
  <c r="BH68" i="3"/>
  <c r="BG68" i="3"/>
  <c r="BF68" i="3"/>
  <c r="BE68" i="3"/>
  <c r="BD68" i="3"/>
  <c r="BC68" i="3"/>
  <c r="AU68" i="3"/>
  <c r="AM68" i="3"/>
  <c r="AF68" i="3"/>
  <c r="BJ67" i="3"/>
  <c r="BI67" i="3"/>
  <c r="BH67" i="3"/>
  <c r="BG67" i="3"/>
  <c r="BF67" i="3"/>
  <c r="BE67" i="3"/>
  <c r="BD67" i="3"/>
  <c r="BC67" i="3"/>
  <c r="AU67" i="3"/>
  <c r="AM67" i="3"/>
  <c r="AF67" i="3"/>
  <c r="BJ66" i="3"/>
  <c r="BI66" i="3"/>
  <c r="BH66" i="3"/>
  <c r="BG66" i="3"/>
  <c r="BF66" i="3"/>
  <c r="BE66" i="3"/>
  <c r="BD66" i="3"/>
  <c r="BC66" i="3"/>
  <c r="AU66" i="3"/>
  <c r="AM66" i="3"/>
  <c r="AF66" i="3"/>
  <c r="BJ65" i="3"/>
  <c r="BI65" i="3"/>
  <c r="BH65" i="3"/>
  <c r="BG65" i="3"/>
  <c r="BF65" i="3"/>
  <c r="BE65" i="3"/>
  <c r="BD65" i="3"/>
  <c r="BC65" i="3"/>
  <c r="AU65" i="3"/>
  <c r="AM65" i="3"/>
  <c r="AF65" i="3"/>
  <c r="BJ64" i="3"/>
  <c r="BI64" i="3"/>
  <c r="BH64" i="3"/>
  <c r="BG64" i="3"/>
  <c r="BF64" i="3"/>
  <c r="BE64" i="3"/>
  <c r="BD64" i="3"/>
  <c r="BC64" i="3"/>
  <c r="AU64" i="3"/>
  <c r="AM64" i="3"/>
  <c r="AF64" i="3"/>
  <c r="BJ63" i="3"/>
  <c r="BI63" i="3"/>
  <c r="BH63" i="3"/>
  <c r="BG63" i="3"/>
  <c r="BF63" i="3"/>
  <c r="BE63" i="3"/>
  <c r="BD63" i="3"/>
  <c r="BC63" i="3"/>
  <c r="AU63" i="3"/>
  <c r="AM63" i="3"/>
  <c r="AF63" i="3"/>
  <c r="BJ62" i="3"/>
  <c r="BI62" i="3"/>
  <c r="BH62" i="3"/>
  <c r="BG62" i="3"/>
  <c r="BF62" i="3"/>
  <c r="BE62" i="3"/>
  <c r="BD62" i="3"/>
  <c r="BC62" i="3"/>
  <c r="AU62" i="3"/>
  <c r="AM62" i="3"/>
  <c r="AF62" i="3"/>
  <c r="BJ61" i="3"/>
  <c r="BI61" i="3"/>
  <c r="BH61" i="3"/>
  <c r="BG61" i="3"/>
  <c r="BF61" i="3"/>
  <c r="BE61" i="3"/>
  <c r="BD61" i="3"/>
  <c r="BC61" i="3"/>
  <c r="AU61" i="3"/>
  <c r="AM61" i="3"/>
  <c r="AF61" i="3"/>
  <c r="BI60" i="3"/>
  <c r="BC60" i="3"/>
  <c r="AU60" i="3"/>
  <c r="AM60" i="3"/>
  <c r="AF60" i="3"/>
  <c r="BJ59" i="3"/>
  <c r="BI59" i="3"/>
  <c r="BH59" i="3"/>
  <c r="BG59" i="3"/>
  <c r="BF59" i="3"/>
  <c r="BE59" i="3"/>
  <c r="BD59" i="3"/>
  <c r="BC59" i="3"/>
  <c r="AU59" i="3"/>
  <c r="AM59" i="3"/>
  <c r="AF59" i="3"/>
  <c r="BJ58" i="3"/>
  <c r="BI58" i="3"/>
  <c r="BH58" i="3"/>
  <c r="BG58" i="3"/>
  <c r="BF58" i="3"/>
  <c r="BE58" i="3"/>
  <c r="BD58" i="3"/>
  <c r="BC58" i="3"/>
  <c r="AU58" i="3"/>
  <c r="AM58" i="3"/>
  <c r="AF58" i="3"/>
  <c r="BJ57" i="3"/>
  <c r="BI57" i="3"/>
  <c r="BH57" i="3"/>
  <c r="BG57" i="3"/>
  <c r="BF57" i="3"/>
  <c r="BE57" i="3"/>
  <c r="BD57" i="3"/>
  <c r="BC57" i="3"/>
  <c r="AU57" i="3"/>
  <c r="AM57" i="3"/>
  <c r="AF57" i="3"/>
  <c r="BJ56" i="3"/>
  <c r="BI56" i="3"/>
  <c r="BH56" i="3"/>
  <c r="BG56" i="3"/>
  <c r="BF56" i="3"/>
  <c r="BE56" i="3"/>
  <c r="BD56" i="3"/>
  <c r="BC56" i="3"/>
  <c r="AU56" i="3"/>
  <c r="AM56" i="3"/>
  <c r="AF56" i="3"/>
  <c r="BJ55" i="3"/>
  <c r="BI55" i="3"/>
  <c r="BG55" i="3"/>
  <c r="BF55" i="3"/>
  <c r="BE55" i="3"/>
  <c r="BD55" i="3"/>
  <c r="AZ55" i="3"/>
  <c r="AU55" i="3"/>
  <c r="AM55" i="3"/>
  <c r="AF55" i="3"/>
  <c r="BJ54" i="3"/>
  <c r="BI54" i="3"/>
  <c r="BH54" i="3"/>
  <c r="BG54" i="3"/>
  <c r="BF54" i="3"/>
  <c r="BE54" i="3"/>
  <c r="BD54" i="3"/>
  <c r="BC54" i="3"/>
  <c r="AU54" i="3"/>
  <c r="AM54" i="3"/>
  <c r="AF54" i="3"/>
  <c r="BJ53" i="3"/>
  <c r="BI53" i="3"/>
  <c r="BH53" i="3"/>
  <c r="BG53" i="3"/>
  <c r="BF53" i="3"/>
  <c r="BE53" i="3"/>
  <c r="BD53" i="3"/>
  <c r="BC53" i="3"/>
  <c r="AU53" i="3"/>
  <c r="AM53" i="3"/>
  <c r="AF53" i="3"/>
  <c r="AF52" i="3"/>
  <c r="BJ52" i="3"/>
  <c r="BI52" i="3"/>
  <c r="BH52" i="3"/>
  <c r="BG52" i="3"/>
  <c r="BF52" i="3"/>
  <c r="BE52" i="3"/>
  <c r="BD52" i="3"/>
  <c r="BC52" i="3"/>
  <c r="AU52" i="3"/>
  <c r="AM52" i="3"/>
  <c r="AW51" i="3"/>
  <c r="AE51" i="3"/>
  <c r="AD51" i="3"/>
  <c r="AC51" i="3"/>
  <c r="AB51" i="3"/>
  <c r="Z51" i="3"/>
  <c r="Y51" i="3"/>
  <c r="BJ49" i="3"/>
  <c r="BI49" i="3"/>
  <c r="BH49" i="3"/>
  <c r="BG49" i="3"/>
  <c r="BD49" i="3"/>
  <c r="AI49" i="3"/>
  <c r="AP49" i="3" s="1"/>
  <c r="AX49" i="3" s="1"/>
  <c r="BF49" i="3" s="1"/>
  <c r="AH49" i="3"/>
  <c r="AO49" i="3" s="1"/>
  <c r="AW49" i="3" s="1"/>
  <c r="BE49" i="3" s="1"/>
  <c r="AF49" i="3"/>
  <c r="BF48" i="3"/>
  <c r="BD48" i="3"/>
  <c r="BB48" i="3"/>
  <c r="AT48" i="3"/>
  <c r="AL48" i="3"/>
  <c r="AK48" i="3"/>
  <c r="AJ48" i="3"/>
  <c r="AQ48" i="3" s="1"/>
  <c r="AH48" i="3"/>
  <c r="AO48" i="3" s="1"/>
  <c r="AW48" i="3" s="1"/>
  <c r="AE48" i="3"/>
  <c r="AF48" i="3" s="1"/>
  <c r="BJ47" i="3"/>
  <c r="BI47" i="3"/>
  <c r="BH47" i="3"/>
  <c r="BG47" i="3"/>
  <c r="BF47" i="3"/>
  <c r="BE47" i="3"/>
  <c r="BD47" i="3"/>
  <c r="BC47" i="3"/>
  <c r="AU47" i="3"/>
  <c r="AM47" i="3"/>
  <c r="AF47" i="3"/>
  <c r="BJ46" i="3"/>
  <c r="BI46" i="3"/>
  <c r="BH46" i="3"/>
  <c r="BG46" i="3"/>
  <c r="BF46" i="3"/>
  <c r="BE46" i="3"/>
  <c r="BD46" i="3"/>
  <c r="BC46" i="3"/>
  <c r="AU46" i="3"/>
  <c r="AM46" i="3"/>
  <c r="AF46" i="3"/>
  <c r="BJ45" i="3"/>
  <c r="BI45" i="3"/>
  <c r="BH45" i="3"/>
  <c r="BG45" i="3"/>
  <c r="BF45" i="3"/>
  <c r="BE45" i="3"/>
  <c r="BD45" i="3"/>
  <c r="BC45" i="3"/>
  <c r="AU45" i="3"/>
  <c r="AM45" i="3"/>
  <c r="AF45" i="3"/>
  <c r="BJ44" i="3"/>
  <c r="BI44" i="3"/>
  <c r="BH44" i="3"/>
  <c r="BG44" i="3"/>
  <c r="BF44" i="3"/>
  <c r="BE44" i="3"/>
  <c r="BD44" i="3"/>
  <c r="BC44" i="3"/>
  <c r="AU44" i="3"/>
  <c r="AM44" i="3"/>
  <c r="AF44" i="3"/>
  <c r="BB43" i="3"/>
  <c r="BA43" i="3"/>
  <c r="AZ43" i="3"/>
  <c r="AR43" i="3"/>
  <c r="AK43" i="3"/>
  <c r="AC43" i="3"/>
  <c r="AY43" i="3"/>
  <c r="AX43" i="3"/>
  <c r="AW43" i="3"/>
  <c r="AV43" i="3"/>
  <c r="AT43" i="3"/>
  <c r="AS43" i="3"/>
  <c r="AQ43" i="3"/>
  <c r="AP43" i="3"/>
  <c r="AO43" i="3"/>
  <c r="AN43" i="3"/>
  <c r="AL43" i="3"/>
  <c r="AJ43" i="3"/>
  <c r="AI43" i="3"/>
  <c r="AI8" i="3"/>
  <c r="AI24" i="3"/>
  <c r="AH43" i="3"/>
  <c r="AG43" i="3"/>
  <c r="AE43" i="3"/>
  <c r="AD43" i="3"/>
  <c r="AB43" i="3"/>
  <c r="AA43" i="3"/>
  <c r="Z43" i="3"/>
  <c r="Y43" i="3"/>
  <c r="BJ40" i="3"/>
  <c r="BI40" i="3"/>
  <c r="BH40" i="3"/>
  <c r="BG40" i="3"/>
  <c r="BF40" i="3"/>
  <c r="BE40" i="3"/>
  <c r="BD40" i="3"/>
  <c r="BC40" i="3"/>
  <c r="AU40" i="3"/>
  <c r="AM40" i="3"/>
  <c r="AF40" i="3"/>
  <c r="BJ39" i="3"/>
  <c r="BI39" i="3"/>
  <c r="BH39" i="3"/>
  <c r="BG39" i="3"/>
  <c r="BF39" i="3"/>
  <c r="BE39" i="3"/>
  <c r="BD39" i="3"/>
  <c r="BC39" i="3"/>
  <c r="AU39" i="3"/>
  <c r="AM39" i="3"/>
  <c r="AF39" i="3"/>
  <c r="BJ38" i="3"/>
  <c r="BI38" i="3"/>
  <c r="BH38" i="3"/>
  <c r="BG38" i="3"/>
  <c r="BF38" i="3"/>
  <c r="BE38" i="3"/>
  <c r="BD38" i="3"/>
  <c r="BC38" i="3"/>
  <c r="AU38" i="3"/>
  <c r="AM38" i="3"/>
  <c r="AF38" i="3"/>
  <c r="BJ37" i="3"/>
  <c r="BI37" i="3"/>
  <c r="BH37" i="3"/>
  <c r="BG37" i="3"/>
  <c r="BF37" i="3"/>
  <c r="BE37" i="3"/>
  <c r="BD37" i="3"/>
  <c r="BC37" i="3"/>
  <c r="AU37" i="3"/>
  <c r="AM37" i="3"/>
  <c r="AF37" i="3"/>
  <c r="BJ36" i="3"/>
  <c r="BI36" i="3"/>
  <c r="BH36" i="3"/>
  <c r="BG36" i="3"/>
  <c r="BF36" i="3"/>
  <c r="BE36" i="3"/>
  <c r="BD36" i="3"/>
  <c r="BC36" i="3"/>
  <c r="AU36" i="3"/>
  <c r="AM36" i="3"/>
  <c r="AF36" i="3"/>
  <c r="BJ35" i="3"/>
  <c r="BI35" i="3"/>
  <c r="BH35" i="3"/>
  <c r="BG35" i="3"/>
  <c r="BF35" i="3"/>
  <c r="BE35" i="3"/>
  <c r="BD35" i="3"/>
  <c r="BC35" i="3"/>
  <c r="AU35" i="3"/>
  <c r="AM35" i="3"/>
  <c r="AF35" i="3"/>
  <c r="BJ33" i="3"/>
  <c r="BI33" i="3"/>
  <c r="BH33" i="3"/>
  <c r="BG33" i="3"/>
  <c r="BF33" i="3"/>
  <c r="BE33" i="3"/>
  <c r="BD33" i="3"/>
  <c r="BC33" i="3"/>
  <c r="AU33" i="3"/>
  <c r="AM33" i="3"/>
  <c r="AF33" i="3"/>
  <c r="BJ32" i="3"/>
  <c r="BI32" i="3"/>
  <c r="BH32" i="3"/>
  <c r="BG32" i="3"/>
  <c r="BF32" i="3"/>
  <c r="BE32" i="3"/>
  <c r="BD32" i="3"/>
  <c r="BC32" i="3"/>
  <c r="AU32" i="3"/>
  <c r="AM32" i="3"/>
  <c r="AF32" i="3"/>
  <c r="BJ31" i="3"/>
  <c r="BI31" i="3"/>
  <c r="BH31" i="3"/>
  <c r="BG31" i="3"/>
  <c r="BF31" i="3"/>
  <c r="BE31" i="3"/>
  <c r="BD31" i="3"/>
  <c r="BC31" i="3"/>
  <c r="AU31" i="3"/>
  <c r="AM31" i="3"/>
  <c r="AF31" i="3"/>
  <c r="BJ30" i="3"/>
  <c r="BI30" i="3"/>
  <c r="BH30" i="3"/>
  <c r="BG30" i="3"/>
  <c r="BF30" i="3"/>
  <c r="BE30" i="3"/>
  <c r="BD30" i="3"/>
  <c r="BC30" i="3"/>
  <c r="AU30" i="3"/>
  <c r="AM30" i="3"/>
  <c r="AF30" i="3"/>
  <c r="BJ29" i="3"/>
  <c r="BI29" i="3"/>
  <c r="BH29" i="3"/>
  <c r="BG29" i="3"/>
  <c r="BF29" i="3"/>
  <c r="BE29" i="3"/>
  <c r="BD29" i="3"/>
  <c r="BC29" i="3"/>
  <c r="AU29" i="3"/>
  <c r="AM29" i="3"/>
  <c r="AF29" i="3"/>
  <c r="BJ28" i="3"/>
  <c r="BI28" i="3"/>
  <c r="BH28" i="3"/>
  <c r="BG28" i="3"/>
  <c r="BF28" i="3"/>
  <c r="BE28" i="3"/>
  <c r="BD28" i="3"/>
  <c r="BC28" i="3"/>
  <c r="AU28" i="3"/>
  <c r="AM28" i="3"/>
  <c r="AF28" i="3"/>
  <c r="BJ27" i="3"/>
  <c r="BI27" i="3"/>
  <c r="BH27" i="3"/>
  <c r="BG27" i="3"/>
  <c r="BF27" i="3"/>
  <c r="BE27" i="3"/>
  <c r="BD27" i="3"/>
  <c r="BC27" i="3"/>
  <c r="AU27" i="3"/>
  <c r="AM27" i="3"/>
  <c r="AF27" i="3"/>
  <c r="BJ26" i="3"/>
  <c r="BI26" i="3"/>
  <c r="BH26" i="3"/>
  <c r="BG26" i="3"/>
  <c r="BF26" i="3"/>
  <c r="BE26" i="3"/>
  <c r="BD26" i="3"/>
  <c r="AF26" i="3"/>
  <c r="BK26" i="3" s="1"/>
  <c r="BJ25" i="3"/>
  <c r="BI25" i="3"/>
  <c r="BH25" i="3"/>
  <c r="BG25" i="3"/>
  <c r="BF25" i="3"/>
  <c r="BE25" i="3"/>
  <c r="BD25" i="3"/>
  <c r="BC25" i="3"/>
  <c r="AU25" i="3"/>
  <c r="AM25" i="3"/>
  <c r="AF25" i="3"/>
  <c r="BB24" i="3"/>
  <c r="BA24" i="3"/>
  <c r="AZ24" i="3"/>
  <c r="AY24" i="3"/>
  <c r="AX24" i="3"/>
  <c r="AW24" i="3"/>
  <c r="AV24" i="3"/>
  <c r="AT24" i="3"/>
  <c r="AS24" i="3"/>
  <c r="AR24" i="3"/>
  <c r="AQ24" i="3"/>
  <c r="AP24" i="3"/>
  <c r="AO24" i="3"/>
  <c r="AN24" i="3"/>
  <c r="AL24" i="3"/>
  <c r="AK24" i="3"/>
  <c r="AJ24" i="3"/>
  <c r="AH24" i="3"/>
  <c r="AH8" i="3"/>
  <c r="AG24" i="3"/>
  <c r="AE24" i="3"/>
  <c r="AD24" i="3"/>
  <c r="AC24" i="3"/>
  <c r="AB24" i="3"/>
  <c r="AA24" i="3"/>
  <c r="Z24" i="3"/>
  <c r="Y24" i="3"/>
  <c r="BJ23" i="3"/>
  <c r="BI23" i="3"/>
  <c r="BH23" i="3"/>
  <c r="BG23" i="3"/>
  <c r="BF23" i="3"/>
  <c r="BE23" i="3"/>
  <c r="BD23" i="3"/>
  <c r="BC23" i="3"/>
  <c r="AU23" i="3"/>
  <c r="AM23" i="3"/>
  <c r="AF23" i="3"/>
  <c r="BJ22" i="3"/>
  <c r="BI22" i="3"/>
  <c r="BH22" i="3"/>
  <c r="BG22" i="3"/>
  <c r="BF22" i="3"/>
  <c r="BE22" i="3"/>
  <c r="BD22" i="3"/>
  <c r="BC22" i="3"/>
  <c r="AU22" i="3"/>
  <c r="AM22" i="3"/>
  <c r="AF22" i="3"/>
  <c r="BJ21" i="3"/>
  <c r="BI21" i="3"/>
  <c r="BH21" i="3"/>
  <c r="BG21" i="3"/>
  <c r="BF21" i="3"/>
  <c r="BE21" i="3"/>
  <c r="BD21" i="3"/>
  <c r="BC21" i="3"/>
  <c r="AU21" i="3"/>
  <c r="AM21" i="3"/>
  <c r="AF21" i="3"/>
  <c r="BJ20" i="3"/>
  <c r="BI20" i="3"/>
  <c r="BH20" i="3"/>
  <c r="BG20" i="3"/>
  <c r="BF20" i="3"/>
  <c r="BE20" i="3"/>
  <c r="BD20" i="3"/>
  <c r="BC20" i="3"/>
  <c r="AU20" i="3"/>
  <c r="AM20" i="3"/>
  <c r="AF20" i="3"/>
  <c r="BJ19" i="3"/>
  <c r="BI19" i="3"/>
  <c r="BH19" i="3"/>
  <c r="BG19" i="3"/>
  <c r="BF19" i="3"/>
  <c r="BE19" i="3"/>
  <c r="BD19" i="3"/>
  <c r="BC19" i="3"/>
  <c r="AU19" i="3"/>
  <c r="AM19" i="3"/>
  <c r="AF19" i="3"/>
  <c r="BJ18" i="3"/>
  <c r="BI18" i="3"/>
  <c r="BH18" i="3"/>
  <c r="BG18" i="3"/>
  <c r="BF18" i="3"/>
  <c r="BE18" i="3"/>
  <c r="BD18" i="3"/>
  <c r="BC18" i="3"/>
  <c r="AU18" i="3"/>
  <c r="AM18" i="3"/>
  <c r="AF18" i="3"/>
  <c r="BJ17" i="3"/>
  <c r="BI17" i="3"/>
  <c r="BH17" i="3"/>
  <c r="BG17" i="3"/>
  <c r="BF17" i="3"/>
  <c r="BE17" i="3"/>
  <c r="BD17" i="3"/>
  <c r="BC17" i="3"/>
  <c r="AU17" i="3"/>
  <c r="AM17" i="3"/>
  <c r="AF17" i="3"/>
  <c r="BJ16" i="3"/>
  <c r="BI16" i="3"/>
  <c r="BH16" i="3"/>
  <c r="BG16" i="3"/>
  <c r="BF16" i="3"/>
  <c r="BE16" i="3"/>
  <c r="BD16" i="3"/>
  <c r="BC16" i="3"/>
  <c r="AU16" i="3"/>
  <c r="AM16" i="3"/>
  <c r="AF16" i="3"/>
  <c r="BJ15" i="3"/>
  <c r="BI15" i="3"/>
  <c r="BH15" i="3"/>
  <c r="BG15" i="3"/>
  <c r="BF15" i="3"/>
  <c r="BE15" i="3"/>
  <c r="BD15" i="3"/>
  <c r="BC15" i="3"/>
  <c r="AU15" i="3"/>
  <c r="AM15" i="3"/>
  <c r="AF15" i="3"/>
  <c r="BJ14" i="3"/>
  <c r="BI14" i="3"/>
  <c r="BH14" i="3"/>
  <c r="BG14" i="3"/>
  <c r="BF14" i="3"/>
  <c r="BE14" i="3"/>
  <c r="BD14" i="3"/>
  <c r="BC14" i="3"/>
  <c r="AU14" i="3"/>
  <c r="AM14" i="3"/>
  <c r="AF14" i="3"/>
  <c r="BJ13" i="3"/>
  <c r="BI13" i="3"/>
  <c r="BH13" i="3"/>
  <c r="BG13" i="3"/>
  <c r="BF13" i="3"/>
  <c r="BE13" i="3"/>
  <c r="BD13" i="3"/>
  <c r="BC13" i="3"/>
  <c r="AU13" i="3"/>
  <c r="AM13" i="3"/>
  <c r="AF13" i="3"/>
  <c r="BJ12" i="3"/>
  <c r="BI12" i="3"/>
  <c r="BH12" i="3"/>
  <c r="BG12" i="3"/>
  <c r="BF12" i="3"/>
  <c r="BE12" i="3"/>
  <c r="BD12" i="3"/>
  <c r="BC12" i="3"/>
  <c r="AU12" i="3"/>
  <c r="AM12" i="3"/>
  <c r="AF12" i="3"/>
  <c r="BJ11" i="3"/>
  <c r="BI11" i="3"/>
  <c r="BH11" i="3"/>
  <c r="BG11" i="3"/>
  <c r="BF11" i="3"/>
  <c r="BE11" i="3"/>
  <c r="BD11" i="3"/>
  <c r="AF11" i="3"/>
  <c r="BK11" i="3" s="1"/>
  <c r="BJ10" i="3"/>
  <c r="BI10" i="3"/>
  <c r="BH10" i="3"/>
  <c r="BG10" i="3"/>
  <c r="BF10" i="3"/>
  <c r="BE10" i="3"/>
  <c r="BD10" i="3"/>
  <c r="BC10" i="3"/>
  <c r="AU10" i="3"/>
  <c r="AM10" i="3"/>
  <c r="AF10" i="3"/>
  <c r="BJ9" i="3"/>
  <c r="BI9" i="3"/>
  <c r="BH9" i="3"/>
  <c r="BG9" i="3"/>
  <c r="BF9" i="3"/>
  <c r="BE9" i="3"/>
  <c r="BD9" i="3"/>
  <c r="BC9" i="3"/>
  <c r="AU9" i="3"/>
  <c r="AM9" i="3"/>
  <c r="AF9" i="3"/>
  <c r="BB8" i="3"/>
  <c r="BA8" i="3"/>
  <c r="AD8" i="3"/>
  <c r="AS8" i="3"/>
  <c r="AZ8" i="3"/>
  <c r="AY8" i="3"/>
  <c r="AX8" i="3"/>
  <c r="AW8" i="3"/>
  <c r="AV8" i="3"/>
  <c r="AT8" i="3"/>
  <c r="AR8" i="3"/>
  <c r="AQ8" i="3"/>
  <c r="AP8" i="3"/>
  <c r="AO8" i="3"/>
  <c r="AN8" i="3"/>
  <c r="AN7" i="3" s="1"/>
  <c r="AL8" i="3"/>
  <c r="AK8" i="3"/>
  <c r="AJ8" i="3"/>
  <c r="AJ7" i="3" s="1"/>
  <c r="AG8" i="3"/>
  <c r="AE8" i="3"/>
  <c r="AC8" i="3"/>
  <c r="AB8" i="3"/>
  <c r="Y8" i="3"/>
  <c r="AF8" i="3" s="1"/>
  <c r="Z8" i="3"/>
  <c r="AA8" i="3"/>
  <c r="AA6" i="3"/>
  <c r="AI6" i="3" s="1"/>
  <c r="AP6" i="3" s="1"/>
  <c r="AX6" i="3" s="1"/>
  <c r="BF6" i="3" s="1"/>
  <c r="AF357" i="3"/>
  <c r="AX375" i="3"/>
  <c r="AO295" i="3"/>
  <c r="AO289" i="3" s="1"/>
  <c r="AB276" i="8"/>
  <c r="Z276" i="8"/>
  <c r="X276" i="8"/>
  <c r="V276" i="8"/>
  <c r="AB264" i="8"/>
  <c r="Z264" i="8"/>
  <c r="X264" i="8"/>
  <c r="V264" i="8"/>
  <c r="AB243" i="8"/>
  <c r="Z243" i="8"/>
  <c r="X243" i="8"/>
  <c r="V243" i="8"/>
  <c r="AB235" i="8"/>
  <c r="Z235" i="8"/>
  <c r="X235" i="8"/>
  <c r="V235" i="8"/>
  <c r="AB227" i="8"/>
  <c r="Z227" i="8"/>
  <c r="X227" i="8"/>
  <c r="V227" i="8"/>
  <c r="AB221" i="8"/>
  <c r="Z221" i="8"/>
  <c r="X221" i="8"/>
  <c r="V221" i="8"/>
  <c r="AB212" i="8"/>
  <c r="Z212" i="8"/>
  <c r="X212" i="8"/>
  <c r="V212" i="8"/>
  <c r="AB201" i="8"/>
  <c r="Z201" i="8"/>
  <c r="X201" i="8"/>
  <c r="V201" i="8"/>
  <c r="AB193" i="8"/>
  <c r="Z193" i="8"/>
  <c r="X193" i="8"/>
  <c r="V193" i="8"/>
  <c r="AB182" i="8"/>
  <c r="Z182" i="8"/>
  <c r="X182" i="8"/>
  <c r="V182" i="8"/>
  <c r="AB157" i="8"/>
  <c r="Z157" i="8"/>
  <c r="X157" i="8"/>
  <c r="V157" i="8"/>
  <c r="AM159" i="6"/>
  <c r="BC159" i="6"/>
  <c r="AU159" i="6"/>
  <c r="AF159" i="6"/>
  <c r="AB148" i="8"/>
  <c r="Z148" i="8"/>
  <c r="X148" i="8"/>
  <c r="V148" i="8"/>
  <c r="AB138" i="8"/>
  <c r="Z138" i="8"/>
  <c r="X138" i="8"/>
  <c r="V138" i="8"/>
  <c r="AB110" i="8"/>
  <c r="Z110" i="8"/>
  <c r="X110" i="8"/>
  <c r="AB123" i="8"/>
  <c r="Z123" i="8"/>
  <c r="X123" i="8"/>
  <c r="V123" i="8"/>
  <c r="AB116" i="8"/>
  <c r="Z116" i="8"/>
  <c r="X116" i="8"/>
  <c r="V116" i="8"/>
  <c r="BZ10" i="8"/>
  <c r="CA10" i="8"/>
  <c r="BZ11" i="8"/>
  <c r="CA11" i="8"/>
  <c r="BZ12" i="8"/>
  <c r="CA12" i="8"/>
  <c r="BZ13" i="8"/>
  <c r="CA13" i="8"/>
  <c r="BZ14" i="8"/>
  <c r="CA14" i="8"/>
  <c r="BZ15" i="8"/>
  <c r="CA15" i="8"/>
  <c r="BZ16" i="8"/>
  <c r="CA16" i="8"/>
  <c r="BZ17" i="8"/>
  <c r="CA17" i="8"/>
  <c r="BZ18" i="8"/>
  <c r="CA18" i="8"/>
  <c r="BZ19" i="8"/>
  <c r="CA19" i="8"/>
  <c r="BZ20" i="8"/>
  <c r="CA20" i="8"/>
  <c r="BZ21" i="8"/>
  <c r="CA21" i="8"/>
  <c r="BZ22" i="8"/>
  <c r="CA22" i="8"/>
  <c r="BZ23" i="8"/>
  <c r="CA23" i="8"/>
  <c r="BZ24" i="8"/>
  <c r="CA24" i="8"/>
  <c r="BZ25" i="8"/>
  <c r="CA25" i="8"/>
  <c r="BZ26" i="8"/>
  <c r="CA26" i="8"/>
  <c r="BZ27" i="8"/>
  <c r="CA27" i="8"/>
  <c r="BZ28" i="8"/>
  <c r="CA28" i="8"/>
  <c r="BZ29" i="8"/>
  <c r="CA29" i="8"/>
  <c r="BZ30" i="8"/>
  <c r="CA30" i="8"/>
  <c r="BZ31" i="8"/>
  <c r="CA31" i="8"/>
  <c r="BZ32" i="8"/>
  <c r="CA32" i="8"/>
  <c r="BZ33" i="8"/>
  <c r="CA33" i="8"/>
  <c r="BZ34" i="8"/>
  <c r="CA34" i="8"/>
  <c r="BZ35" i="8"/>
  <c r="CA35" i="8"/>
  <c r="BZ36" i="8"/>
  <c r="CA36" i="8"/>
  <c r="BZ37" i="8"/>
  <c r="CA37" i="8"/>
  <c r="BZ38" i="8"/>
  <c r="CA38" i="8"/>
  <c r="BZ39" i="8"/>
  <c r="CA39" i="8"/>
  <c r="BZ40" i="8"/>
  <c r="CA40" i="8"/>
  <c r="BZ41" i="8"/>
  <c r="CA41" i="8"/>
  <c r="BZ42" i="8"/>
  <c r="CA42" i="8"/>
  <c r="BZ43" i="8"/>
  <c r="CA43" i="8"/>
  <c r="BZ44" i="8"/>
  <c r="CA44" i="8"/>
  <c r="BZ45" i="8"/>
  <c r="CA45" i="8"/>
  <c r="BZ46" i="8"/>
  <c r="CA46" i="8"/>
  <c r="BZ47" i="8"/>
  <c r="CA47" i="8"/>
  <c r="BZ48" i="8"/>
  <c r="CA48" i="8"/>
  <c r="BZ49" i="8"/>
  <c r="CA49" i="8"/>
  <c r="BZ50" i="8"/>
  <c r="CA50" i="8"/>
  <c r="BZ51" i="8"/>
  <c r="CA51" i="8"/>
  <c r="BZ52" i="8"/>
  <c r="CA52" i="8"/>
  <c r="BZ53" i="8"/>
  <c r="CA53" i="8"/>
  <c r="BZ54" i="8"/>
  <c r="CA54" i="8"/>
  <c r="BZ55" i="8"/>
  <c r="CA55" i="8"/>
  <c r="BZ56" i="8"/>
  <c r="CA56" i="8"/>
  <c r="BZ57" i="8"/>
  <c r="CA57" i="8"/>
  <c r="BZ58" i="8"/>
  <c r="CA58" i="8"/>
  <c r="BZ59" i="8"/>
  <c r="CA59" i="8"/>
  <c r="BZ60" i="8"/>
  <c r="CA60" i="8"/>
  <c r="BZ61" i="8"/>
  <c r="CA61" i="8"/>
  <c r="BZ62" i="8"/>
  <c r="CA62" i="8"/>
  <c r="BZ63" i="8"/>
  <c r="CA63" i="8"/>
  <c r="BZ64" i="8"/>
  <c r="CA64" i="8"/>
  <c r="BZ65" i="8"/>
  <c r="CA65" i="8"/>
  <c r="BZ66" i="8"/>
  <c r="CA66" i="8"/>
  <c r="BZ67" i="8"/>
  <c r="CA67" i="8"/>
  <c r="BZ68" i="8"/>
  <c r="CA68" i="8"/>
  <c r="BZ69" i="8"/>
  <c r="CA69" i="8"/>
  <c r="BZ70" i="8"/>
  <c r="CA70" i="8"/>
  <c r="BZ71" i="8"/>
  <c r="CA71" i="8"/>
  <c r="BZ72" i="8"/>
  <c r="CA72" i="8"/>
  <c r="BZ73" i="8"/>
  <c r="CA73" i="8"/>
  <c r="BZ74" i="8"/>
  <c r="CA74" i="8"/>
  <c r="BZ75" i="8"/>
  <c r="CA75" i="8"/>
  <c r="BZ76" i="8"/>
  <c r="CA76" i="8"/>
  <c r="BZ77" i="8"/>
  <c r="CA77" i="8"/>
  <c r="BZ78" i="8"/>
  <c r="CA78" i="8"/>
  <c r="BZ79" i="8"/>
  <c r="CA79" i="8"/>
  <c r="BZ80" i="8"/>
  <c r="CA80" i="8"/>
  <c r="BZ81" i="8"/>
  <c r="CA81" i="8"/>
  <c r="BZ82" i="8"/>
  <c r="CA82" i="8"/>
  <c r="BZ83" i="8"/>
  <c r="CA83" i="8"/>
  <c r="BZ84" i="8"/>
  <c r="CA84" i="8"/>
  <c r="BZ85" i="8"/>
  <c r="CA85" i="8"/>
  <c r="BZ86" i="8"/>
  <c r="CA86" i="8"/>
  <c r="BZ87" i="8"/>
  <c r="CA87" i="8"/>
  <c r="BZ88" i="8"/>
  <c r="CA88" i="8"/>
  <c r="BZ89" i="8"/>
  <c r="CA89" i="8"/>
  <c r="BZ90" i="8"/>
  <c r="CA90" i="8"/>
  <c r="BZ91" i="8"/>
  <c r="CA91" i="8"/>
  <c r="BZ92" i="8"/>
  <c r="CA92" i="8"/>
  <c r="BZ93" i="8"/>
  <c r="CA93" i="8"/>
  <c r="BZ94" i="8"/>
  <c r="CA94" i="8"/>
  <c r="BZ95" i="8"/>
  <c r="CA95" i="8"/>
  <c r="BZ96" i="8"/>
  <c r="CA96" i="8"/>
  <c r="BZ97" i="8"/>
  <c r="CA97" i="8"/>
  <c r="BZ98" i="8"/>
  <c r="CA98" i="8"/>
  <c r="BZ99" i="8"/>
  <c r="CA99" i="8"/>
  <c r="BZ100" i="8"/>
  <c r="CA100" i="8"/>
  <c r="BZ101" i="8"/>
  <c r="CA101" i="8"/>
  <c r="BZ102" i="8"/>
  <c r="CA102" i="8"/>
  <c r="BZ103" i="8"/>
  <c r="CA103" i="8"/>
  <c r="BZ104" i="8"/>
  <c r="CA104" i="8"/>
  <c r="BZ105" i="8"/>
  <c r="CA105" i="8"/>
  <c r="BZ106" i="8"/>
  <c r="CA106" i="8"/>
  <c r="BZ107" i="8"/>
  <c r="CA107" i="8"/>
  <c r="BZ108" i="8"/>
  <c r="CA108" i="8"/>
  <c r="BZ109" i="8"/>
  <c r="CA109" i="8"/>
  <c r="BZ110" i="8"/>
  <c r="CA110" i="8"/>
  <c r="BZ111" i="8"/>
  <c r="CA111" i="8"/>
  <c r="BZ112" i="8"/>
  <c r="CA112" i="8"/>
  <c r="BZ113" i="8"/>
  <c r="CA113" i="8"/>
  <c r="BZ114" i="8"/>
  <c r="CA114" i="8"/>
  <c r="BZ115" i="8"/>
  <c r="CA115" i="8"/>
  <c r="BZ116" i="8"/>
  <c r="CA116" i="8"/>
  <c r="BZ117" i="8"/>
  <c r="CA117" i="8"/>
  <c r="BZ118" i="8"/>
  <c r="CA118" i="8"/>
  <c r="BZ119" i="8"/>
  <c r="CA119" i="8"/>
  <c r="BZ120" i="8"/>
  <c r="CA120" i="8"/>
  <c r="BZ121" i="8"/>
  <c r="CA121" i="8"/>
  <c r="BZ122" i="8"/>
  <c r="CA122" i="8"/>
  <c r="BZ123" i="8"/>
  <c r="CA123" i="8"/>
  <c r="BZ124" i="8"/>
  <c r="CA124" i="8"/>
  <c r="BZ125" i="8"/>
  <c r="CA125" i="8"/>
  <c r="BZ126" i="8"/>
  <c r="CA126" i="8"/>
  <c r="BZ127" i="8"/>
  <c r="CA127" i="8"/>
  <c r="BZ128" i="8"/>
  <c r="CA128" i="8"/>
  <c r="BZ129" i="8"/>
  <c r="CA129" i="8"/>
  <c r="BZ130" i="8"/>
  <c r="CA130" i="8"/>
  <c r="BZ131" i="8"/>
  <c r="CA131" i="8"/>
  <c r="BZ132" i="8"/>
  <c r="CA132" i="8"/>
  <c r="BZ133" i="8"/>
  <c r="CA133" i="8"/>
  <c r="BZ134" i="8"/>
  <c r="CA134" i="8"/>
  <c r="BZ135" i="8"/>
  <c r="CA135" i="8"/>
  <c r="BZ136" i="8"/>
  <c r="CA136" i="8"/>
  <c r="BZ137" i="8"/>
  <c r="CA137" i="8"/>
  <c r="BZ138" i="8"/>
  <c r="CA138" i="8"/>
  <c r="BZ139" i="8"/>
  <c r="CA139" i="8"/>
  <c r="BZ140" i="8"/>
  <c r="CA140" i="8"/>
  <c r="BZ141" i="8"/>
  <c r="CA141" i="8"/>
  <c r="BZ142" i="8"/>
  <c r="CA142" i="8"/>
  <c r="BZ143" i="8"/>
  <c r="CA143" i="8"/>
  <c r="BZ144" i="8"/>
  <c r="CA144" i="8"/>
  <c r="BZ145" i="8"/>
  <c r="CA145" i="8"/>
  <c r="BZ146" i="8"/>
  <c r="CA146" i="8"/>
  <c r="BZ147" i="8"/>
  <c r="CA147" i="8"/>
  <c r="BZ148" i="8"/>
  <c r="CA148" i="8"/>
  <c r="BZ149" i="8"/>
  <c r="CA149" i="8"/>
  <c r="BZ150" i="8"/>
  <c r="CA150" i="8"/>
  <c r="BZ151" i="8"/>
  <c r="CA151" i="8"/>
  <c r="BZ152" i="8"/>
  <c r="CA152" i="8"/>
  <c r="BZ153" i="8"/>
  <c r="CA153" i="8"/>
  <c r="BZ154" i="8"/>
  <c r="CA154" i="8"/>
  <c r="BZ155" i="8"/>
  <c r="CA155" i="8"/>
  <c r="BZ156" i="8"/>
  <c r="CA156" i="8"/>
  <c r="BZ157" i="8"/>
  <c r="CA157" i="8"/>
  <c r="BZ158" i="8"/>
  <c r="CA158" i="8"/>
  <c r="BZ159" i="8"/>
  <c r="CA159" i="8"/>
  <c r="BZ160" i="8"/>
  <c r="CA160" i="8"/>
  <c r="BZ161" i="8"/>
  <c r="CA161" i="8"/>
  <c r="BZ162" i="8"/>
  <c r="CA162" i="8"/>
  <c r="BZ163" i="8"/>
  <c r="CA163" i="8"/>
  <c r="BZ164" i="8"/>
  <c r="CA164" i="8"/>
  <c r="BZ165" i="8"/>
  <c r="CA165" i="8"/>
  <c r="BZ166" i="8"/>
  <c r="CA166" i="8"/>
  <c r="BZ167" i="8"/>
  <c r="CA167" i="8"/>
  <c r="BZ168" i="8"/>
  <c r="CA168" i="8"/>
  <c r="BZ169" i="8"/>
  <c r="CA169" i="8"/>
  <c r="BZ170" i="8"/>
  <c r="CA170" i="8"/>
  <c r="BZ171" i="8"/>
  <c r="CA171" i="8"/>
  <c r="BZ172" i="8"/>
  <c r="CA172" i="8"/>
  <c r="BZ173" i="8"/>
  <c r="CA173" i="8"/>
  <c r="BZ174" i="8"/>
  <c r="CA174" i="8"/>
  <c r="BZ175" i="8"/>
  <c r="CA175" i="8"/>
  <c r="BZ176" i="8"/>
  <c r="CA176" i="8"/>
  <c r="BZ177" i="8"/>
  <c r="CA177" i="8"/>
  <c r="BZ178" i="8"/>
  <c r="CA178" i="8"/>
  <c r="BZ179" i="8"/>
  <c r="CA179" i="8"/>
  <c r="BZ180" i="8"/>
  <c r="CA180" i="8"/>
  <c r="BZ181" i="8"/>
  <c r="CA181" i="8"/>
  <c r="BZ182" i="8"/>
  <c r="CA182" i="8"/>
  <c r="BZ183" i="8"/>
  <c r="CA183" i="8"/>
  <c r="BZ184" i="8"/>
  <c r="CA184" i="8"/>
  <c r="BZ185" i="8"/>
  <c r="CA185" i="8"/>
  <c r="BZ186" i="8"/>
  <c r="CA186" i="8"/>
  <c r="BZ187" i="8"/>
  <c r="CA187" i="8"/>
  <c r="BZ188" i="8"/>
  <c r="CA188" i="8"/>
  <c r="BZ189" i="8"/>
  <c r="CA189" i="8"/>
  <c r="BZ190" i="8"/>
  <c r="CA190" i="8"/>
  <c r="BZ191" i="8"/>
  <c r="CA191" i="8"/>
  <c r="BZ192" i="8"/>
  <c r="CA192" i="8"/>
  <c r="BZ193" i="8"/>
  <c r="CA193" i="8"/>
  <c r="BZ194" i="8"/>
  <c r="CA194" i="8"/>
  <c r="BZ195" i="8"/>
  <c r="CA195" i="8"/>
  <c r="BZ196" i="8"/>
  <c r="CA196" i="8"/>
  <c r="BZ197" i="8"/>
  <c r="CA197" i="8"/>
  <c r="BZ198" i="8"/>
  <c r="CA198" i="8"/>
  <c r="BZ199" i="8"/>
  <c r="CA199" i="8"/>
  <c r="BZ200" i="8"/>
  <c r="CA200" i="8"/>
  <c r="BZ201" i="8"/>
  <c r="CA201" i="8"/>
  <c r="BZ202" i="8"/>
  <c r="CA202" i="8"/>
  <c r="BZ203" i="8"/>
  <c r="CA203" i="8"/>
  <c r="BZ204" i="8"/>
  <c r="CA204" i="8"/>
  <c r="BZ205" i="8"/>
  <c r="CA205" i="8"/>
  <c r="BZ206" i="8"/>
  <c r="CA206" i="8"/>
  <c r="BZ207" i="8"/>
  <c r="CA207" i="8"/>
  <c r="BZ208" i="8"/>
  <c r="CA208" i="8"/>
  <c r="BZ209" i="8"/>
  <c r="CA209" i="8"/>
  <c r="BZ210" i="8"/>
  <c r="CA210" i="8"/>
  <c r="BZ211" i="8"/>
  <c r="CA211" i="8"/>
  <c r="BZ212" i="8"/>
  <c r="CA212" i="8"/>
  <c r="BZ213" i="8"/>
  <c r="CA213" i="8"/>
  <c r="BZ214" i="8"/>
  <c r="CA214" i="8"/>
  <c r="BZ215" i="8"/>
  <c r="CA215" i="8"/>
  <c r="BZ216" i="8"/>
  <c r="CA216" i="8"/>
  <c r="BZ217" i="8"/>
  <c r="CA217" i="8"/>
  <c r="BZ218" i="8"/>
  <c r="CA218" i="8"/>
  <c r="BZ219" i="8"/>
  <c r="CA219" i="8"/>
  <c r="BZ220" i="8"/>
  <c r="CA220" i="8"/>
  <c r="BZ221" i="8"/>
  <c r="CA221" i="8"/>
  <c r="BZ222" i="8"/>
  <c r="CA222" i="8"/>
  <c r="BZ223" i="8"/>
  <c r="CA223" i="8"/>
  <c r="BZ224" i="8"/>
  <c r="CA224" i="8"/>
  <c r="BZ225" i="8"/>
  <c r="CA225" i="8"/>
  <c r="BZ226" i="8"/>
  <c r="CA226" i="8"/>
  <c r="BZ227" i="8"/>
  <c r="CA227" i="8"/>
  <c r="BZ228" i="8"/>
  <c r="CA228" i="8"/>
  <c r="BZ229" i="8"/>
  <c r="CA229" i="8"/>
  <c r="BZ230" i="8"/>
  <c r="CA230" i="8"/>
  <c r="BZ231" i="8"/>
  <c r="CA231" i="8"/>
  <c r="BZ232" i="8"/>
  <c r="CA232" i="8"/>
  <c r="BZ233" i="8"/>
  <c r="CA233" i="8"/>
  <c r="BZ234" i="8"/>
  <c r="CA234" i="8"/>
  <c r="BZ235" i="8"/>
  <c r="CA235" i="8"/>
  <c r="BZ236" i="8"/>
  <c r="CA236" i="8"/>
  <c r="BZ237" i="8"/>
  <c r="CA237" i="8"/>
  <c r="BZ238" i="8"/>
  <c r="CA238" i="8"/>
  <c r="BZ239" i="8"/>
  <c r="CA239" i="8"/>
  <c r="BZ240" i="8"/>
  <c r="CA240" i="8"/>
  <c r="BZ241" i="8"/>
  <c r="CA241" i="8"/>
  <c r="BZ242" i="8"/>
  <c r="CA242" i="8"/>
  <c r="BZ243" i="8"/>
  <c r="CA243" i="8"/>
  <c r="BZ244" i="8"/>
  <c r="CA244" i="8"/>
  <c r="BZ245" i="8"/>
  <c r="CA245" i="8"/>
  <c r="BZ246" i="8"/>
  <c r="CA246" i="8"/>
  <c r="BZ247" i="8"/>
  <c r="CA247" i="8"/>
  <c r="BZ248" i="8"/>
  <c r="CA248" i="8"/>
  <c r="BZ249" i="8"/>
  <c r="CA249" i="8"/>
  <c r="BZ250" i="8"/>
  <c r="CA250" i="8"/>
  <c r="BZ251" i="8"/>
  <c r="CA251" i="8"/>
  <c r="BZ252" i="8"/>
  <c r="CA252" i="8"/>
  <c r="BZ253" i="8"/>
  <c r="CA253" i="8"/>
  <c r="BZ254" i="8"/>
  <c r="CA254" i="8"/>
  <c r="BZ255" i="8"/>
  <c r="CA255" i="8"/>
  <c r="BZ256" i="8"/>
  <c r="CA256" i="8"/>
  <c r="BZ257" i="8"/>
  <c r="CA257" i="8"/>
  <c r="BZ258" i="8"/>
  <c r="CA258" i="8"/>
  <c r="BZ259" i="8"/>
  <c r="CA259" i="8"/>
  <c r="BZ260" i="8"/>
  <c r="CA260" i="8"/>
  <c r="BZ261" i="8"/>
  <c r="CA261" i="8"/>
  <c r="BZ262" i="8"/>
  <c r="CA262" i="8"/>
  <c r="BZ263" i="8"/>
  <c r="CA263" i="8"/>
  <c r="BZ264" i="8"/>
  <c r="CA264" i="8"/>
  <c r="BZ265" i="8"/>
  <c r="CA265" i="8"/>
  <c r="BZ266" i="8"/>
  <c r="CA266" i="8"/>
  <c r="BZ267" i="8"/>
  <c r="CA267" i="8"/>
  <c r="BZ268" i="8"/>
  <c r="CA268" i="8"/>
  <c r="BZ269" i="8"/>
  <c r="CA269" i="8"/>
  <c r="BZ270" i="8"/>
  <c r="CA270" i="8"/>
  <c r="BZ271" i="8"/>
  <c r="CA271" i="8"/>
  <c r="BZ272" i="8"/>
  <c r="CA272" i="8"/>
  <c r="BZ273" i="8"/>
  <c r="CA273" i="8"/>
  <c r="BZ274" i="8"/>
  <c r="CA274" i="8"/>
  <c r="BZ275" i="8"/>
  <c r="CA275" i="8"/>
  <c r="BZ276" i="8"/>
  <c r="CA276" i="8"/>
  <c r="BZ277" i="8"/>
  <c r="CA277" i="8"/>
  <c r="BZ278" i="8"/>
  <c r="CA278" i="8"/>
  <c r="BZ279" i="8"/>
  <c r="CA279" i="8"/>
  <c r="BZ280" i="8"/>
  <c r="CA280" i="8"/>
  <c r="BZ281" i="8"/>
  <c r="CA281" i="8"/>
  <c r="BZ282" i="8"/>
  <c r="CA282" i="8"/>
  <c r="BZ283" i="8"/>
  <c r="CA283" i="8"/>
  <c r="BZ284" i="8"/>
  <c r="CA284" i="8"/>
  <c r="BZ285" i="8"/>
  <c r="CA285" i="8"/>
  <c r="BZ286" i="8"/>
  <c r="CA286" i="8"/>
  <c r="BZ287" i="8"/>
  <c r="CA287" i="8"/>
  <c r="BZ288" i="8"/>
  <c r="CA288" i="8"/>
  <c r="BZ289" i="8"/>
  <c r="CA289" i="8"/>
  <c r="BZ290" i="8"/>
  <c r="CA290" i="8"/>
  <c r="BZ291" i="8"/>
  <c r="CA291" i="8"/>
  <c r="BZ292" i="8"/>
  <c r="CP292" i="8" s="1"/>
  <c r="CA292" i="8"/>
  <c r="CQ292" i="8" s="1"/>
  <c r="BZ293" i="8"/>
  <c r="CA293" i="8"/>
  <c r="BZ294" i="8"/>
  <c r="CA294" i="8"/>
  <c r="BZ295" i="8"/>
  <c r="CA295" i="8"/>
  <c r="BZ296" i="8"/>
  <c r="CA296" i="8"/>
  <c r="BZ297" i="8"/>
  <c r="CA297" i="8"/>
  <c r="BZ298" i="8"/>
  <c r="CA298" i="8"/>
  <c r="BZ299" i="8"/>
  <c r="CA299" i="8"/>
  <c r="BZ300" i="8"/>
  <c r="CA300" i="8"/>
  <c r="BZ301" i="8"/>
  <c r="CA301" i="8"/>
  <c r="BZ302" i="8"/>
  <c r="CA302" i="8"/>
  <c r="BZ303" i="8"/>
  <c r="CA303" i="8"/>
  <c r="BZ304" i="8"/>
  <c r="CA304" i="8"/>
  <c r="BZ305" i="8"/>
  <c r="CA305" i="8"/>
  <c r="BZ306" i="8"/>
  <c r="CA306" i="8"/>
  <c r="BZ307" i="8"/>
  <c r="CA307" i="8"/>
  <c r="BZ308" i="8"/>
  <c r="CA308" i="8"/>
  <c r="BZ309" i="8"/>
  <c r="CA309" i="8"/>
  <c r="BZ310" i="8"/>
  <c r="CA310" i="8"/>
  <c r="BZ311" i="8"/>
  <c r="CA311" i="8"/>
  <c r="BZ312" i="8"/>
  <c r="CA312" i="8"/>
  <c r="BZ313" i="8"/>
  <c r="CA313" i="8"/>
  <c r="BZ314" i="8"/>
  <c r="CA314" i="8"/>
  <c r="BZ315" i="8"/>
  <c r="CA315" i="8"/>
  <c r="BZ316" i="8"/>
  <c r="CA316" i="8"/>
  <c r="BZ317" i="8"/>
  <c r="CA317" i="8"/>
  <c r="BZ318" i="8"/>
  <c r="CA318" i="8"/>
  <c r="BZ319" i="8"/>
  <c r="CA319" i="8"/>
  <c r="BZ320" i="8"/>
  <c r="CA320" i="8"/>
  <c r="BZ321" i="8"/>
  <c r="CA321" i="8"/>
  <c r="BZ322" i="8"/>
  <c r="CA322" i="8"/>
  <c r="BZ323" i="8"/>
  <c r="CA323" i="8"/>
  <c r="BZ324" i="8"/>
  <c r="CA324" i="8"/>
  <c r="BZ325" i="8"/>
  <c r="CA325" i="8"/>
  <c r="BZ326" i="8"/>
  <c r="CA326" i="8"/>
  <c r="BZ327" i="8"/>
  <c r="CA327" i="8"/>
  <c r="BZ328" i="8"/>
  <c r="CA328" i="8"/>
  <c r="BZ329" i="8"/>
  <c r="CA329" i="8"/>
  <c r="BZ330" i="8"/>
  <c r="CA330" i="8"/>
  <c r="BZ331" i="8"/>
  <c r="CA331" i="8"/>
  <c r="BZ332" i="8"/>
  <c r="CA332" i="8"/>
  <c r="BZ333" i="8"/>
  <c r="CA333" i="8"/>
  <c r="BZ334" i="8"/>
  <c r="CA334" i="8"/>
  <c r="BZ335" i="8"/>
  <c r="CA335" i="8"/>
  <c r="BZ336" i="8"/>
  <c r="CA336" i="8"/>
  <c r="BZ337" i="8"/>
  <c r="CA337" i="8"/>
  <c r="BZ338" i="8"/>
  <c r="CA338" i="8"/>
  <c r="BZ339" i="8"/>
  <c r="CA339" i="8"/>
  <c r="BZ340" i="8"/>
  <c r="CA340" i="8"/>
  <c r="BZ341" i="8"/>
  <c r="CA341" i="8"/>
  <c r="BZ342" i="8"/>
  <c r="CA342" i="8"/>
  <c r="BZ343" i="8"/>
  <c r="CA343" i="8"/>
  <c r="BZ345" i="8"/>
  <c r="CA345" i="8"/>
  <c r="BZ346" i="8"/>
  <c r="CA346" i="8"/>
  <c r="BZ347" i="8"/>
  <c r="CA347" i="8"/>
  <c r="BZ348" i="8"/>
  <c r="CA348" i="8"/>
  <c r="BZ349" i="8"/>
  <c r="CA349" i="8"/>
  <c r="BZ350" i="8"/>
  <c r="CA350" i="8"/>
  <c r="BZ351" i="8"/>
  <c r="CA351" i="8"/>
  <c r="BZ352" i="8"/>
  <c r="CA352" i="8"/>
  <c r="BZ353" i="8"/>
  <c r="CA353" i="8"/>
  <c r="BZ354" i="8"/>
  <c r="CA354" i="8"/>
  <c r="BZ355" i="8"/>
  <c r="CA355" i="8"/>
  <c r="BZ356" i="8"/>
  <c r="CA356" i="8"/>
  <c r="BZ357" i="8"/>
  <c r="CA357" i="8"/>
  <c r="BZ358" i="8"/>
  <c r="CA358" i="8"/>
  <c r="BZ359" i="8"/>
  <c r="CA359" i="8"/>
  <c r="BZ360" i="8"/>
  <c r="CA360" i="8"/>
  <c r="BZ361" i="8"/>
  <c r="CA361" i="8"/>
  <c r="BZ362" i="8"/>
  <c r="CA362" i="8"/>
  <c r="BZ363" i="8"/>
  <c r="CA363" i="8"/>
  <c r="BZ364" i="8"/>
  <c r="CA364" i="8"/>
  <c r="BZ365" i="8"/>
  <c r="CA365" i="8"/>
  <c r="BZ366" i="8"/>
  <c r="BZ367" i="8"/>
  <c r="BZ368" i="8"/>
  <c r="BZ369" i="8"/>
  <c r="BZ370" i="8"/>
  <c r="BZ371" i="8"/>
  <c r="BZ372" i="8"/>
  <c r="CA372" i="8"/>
  <c r="BZ373" i="8"/>
  <c r="BZ374" i="8"/>
  <c r="CA374" i="8"/>
  <c r="BZ375" i="8"/>
  <c r="CA375" i="8"/>
  <c r="BZ376" i="8"/>
  <c r="CA376" i="8"/>
  <c r="BZ377" i="8"/>
  <c r="CA377" i="8"/>
  <c r="BZ378" i="8"/>
  <c r="BZ379" i="8"/>
  <c r="BZ380" i="8"/>
  <c r="BZ381" i="8"/>
  <c r="CA381" i="8"/>
  <c r="BZ382" i="8"/>
  <c r="BZ383" i="8"/>
  <c r="BZ384" i="8"/>
  <c r="CA384" i="8"/>
  <c r="BZ385" i="8"/>
  <c r="BZ386" i="8"/>
  <c r="CA386" i="8"/>
  <c r="BZ387" i="8"/>
  <c r="CA387" i="8"/>
  <c r="BZ388" i="8"/>
  <c r="BZ389" i="8"/>
  <c r="CA389" i="8"/>
  <c r="BZ390" i="8"/>
  <c r="CA390" i="8"/>
  <c r="BZ391" i="8"/>
  <c r="BZ392" i="8"/>
  <c r="CA392" i="8"/>
  <c r="BZ393" i="8"/>
  <c r="CA393" i="8"/>
  <c r="BZ394" i="8"/>
  <c r="BZ395" i="8"/>
  <c r="BZ396" i="8"/>
  <c r="BZ397" i="8"/>
  <c r="BZ398" i="8"/>
  <c r="BZ399" i="8"/>
  <c r="CA399" i="8"/>
  <c r="BZ400" i="8"/>
  <c r="BZ401" i="8"/>
  <c r="BZ402" i="8"/>
  <c r="BZ403" i="8"/>
  <c r="CA403" i="8"/>
  <c r="BZ404" i="8"/>
  <c r="CA404" i="8"/>
  <c r="BZ405" i="8"/>
  <c r="CA405" i="8"/>
  <c r="BZ406" i="8"/>
  <c r="CA406" i="8"/>
  <c r="BZ407" i="8"/>
  <c r="CA407" i="8"/>
  <c r="BZ408" i="8"/>
  <c r="CA408" i="8"/>
  <c r="BZ409" i="8"/>
  <c r="CA409" i="8"/>
  <c r="BZ410" i="8"/>
  <c r="CA410" i="8"/>
  <c r="BZ411" i="8"/>
  <c r="CA411" i="8"/>
  <c r="BZ412" i="8"/>
  <c r="CA412" i="8"/>
  <c r="BZ413" i="8"/>
  <c r="CA413" i="8"/>
  <c r="BZ414" i="8"/>
  <c r="CA414" i="8"/>
  <c r="BZ415" i="8"/>
  <c r="CA415" i="8"/>
  <c r="BZ416" i="8"/>
  <c r="CA416" i="8"/>
  <c r="BZ417" i="8"/>
  <c r="CA417" i="8"/>
  <c r="BZ418" i="8"/>
  <c r="CA418" i="8"/>
  <c r="BZ419" i="8"/>
  <c r="CA419" i="8"/>
  <c r="BZ420" i="8"/>
  <c r="CA420" i="8"/>
  <c r="BZ421" i="8"/>
  <c r="CA421" i="8"/>
  <c r="BZ422" i="8"/>
  <c r="CA422" i="8"/>
  <c r="BZ423" i="8"/>
  <c r="CA423" i="8"/>
  <c r="BZ424" i="8"/>
  <c r="CA424" i="8"/>
  <c r="BZ425" i="8"/>
  <c r="CA425" i="8"/>
  <c r="BZ426" i="8"/>
  <c r="CA426" i="8"/>
  <c r="BZ427" i="8"/>
  <c r="CA427" i="8"/>
  <c r="BZ428" i="8"/>
  <c r="CA428" i="8"/>
  <c r="BZ429" i="8"/>
  <c r="CA429" i="8"/>
  <c r="BZ430" i="8"/>
  <c r="CA430" i="8"/>
  <c r="BZ431" i="8"/>
  <c r="CA431" i="8"/>
  <c r="BZ432" i="8"/>
  <c r="CA432" i="8"/>
  <c r="BZ433" i="8"/>
  <c r="CA433" i="8"/>
  <c r="BZ434" i="8"/>
  <c r="CA434" i="8"/>
  <c r="BZ435" i="8"/>
  <c r="CA435" i="8"/>
  <c r="BZ436" i="8"/>
  <c r="CA436" i="8"/>
  <c r="BZ437" i="8"/>
  <c r="CA437" i="8"/>
  <c r="BZ438" i="8"/>
  <c r="CA438" i="8"/>
  <c r="BZ439" i="8"/>
  <c r="CA439" i="8"/>
  <c r="BZ440" i="8"/>
  <c r="CA440" i="8"/>
  <c r="BZ441" i="8"/>
  <c r="CA441" i="8"/>
  <c r="BZ442" i="8"/>
  <c r="CA442" i="8"/>
  <c r="BZ443" i="8"/>
  <c r="CA443" i="8"/>
  <c r="BZ444" i="8"/>
  <c r="CA444" i="8"/>
  <c r="BZ445" i="8"/>
  <c r="CA445" i="8"/>
  <c r="BZ446" i="8"/>
  <c r="CA446" i="8"/>
  <c r="BZ447" i="8"/>
  <c r="CA447" i="8"/>
  <c r="BZ448" i="8"/>
  <c r="CA448" i="8"/>
  <c r="BZ449" i="8"/>
  <c r="CA449" i="8"/>
  <c r="BZ450" i="8"/>
  <c r="CA450" i="8"/>
  <c r="BZ451" i="8"/>
  <c r="CA451" i="8"/>
  <c r="BZ452" i="8"/>
  <c r="CA452" i="8"/>
  <c r="BZ453" i="8"/>
  <c r="CA453" i="8"/>
  <c r="BZ454" i="8"/>
  <c r="CA454" i="8"/>
  <c r="BZ455" i="8"/>
  <c r="CA455" i="8"/>
  <c r="BZ456" i="8"/>
  <c r="CA456" i="8"/>
  <c r="BZ457" i="8"/>
  <c r="CA457" i="8"/>
  <c r="BZ458" i="8"/>
  <c r="CA458" i="8"/>
  <c r="BZ459" i="8"/>
  <c r="CA459" i="8"/>
  <c r="BZ460" i="8"/>
  <c r="CA460" i="8"/>
  <c r="BZ461" i="8"/>
  <c r="CA461" i="8"/>
  <c r="BZ462" i="8"/>
  <c r="CA462" i="8"/>
  <c r="BZ463" i="8"/>
  <c r="CA463" i="8"/>
  <c r="BZ464" i="8"/>
  <c r="CA464" i="8"/>
  <c r="BZ465" i="8"/>
  <c r="CA465" i="8"/>
  <c r="BZ466" i="8"/>
  <c r="CA466" i="8"/>
  <c r="BZ467" i="8"/>
  <c r="CA467" i="8"/>
  <c r="BZ468" i="8"/>
  <c r="CA468" i="8"/>
  <c r="BZ469" i="8"/>
  <c r="CA469" i="8"/>
  <c r="BZ470" i="8"/>
  <c r="CA470" i="8"/>
  <c r="BZ471" i="8"/>
  <c r="CA471" i="8"/>
  <c r="BZ472" i="8"/>
  <c r="CA472" i="8"/>
  <c r="BZ473" i="8"/>
  <c r="CA473" i="8"/>
  <c r="BZ474" i="8"/>
  <c r="CA474" i="8"/>
  <c r="BZ475" i="8"/>
  <c r="CA475" i="8"/>
  <c r="BZ476" i="8"/>
  <c r="BZ477" i="8"/>
  <c r="CA477" i="8"/>
  <c r="BZ478" i="8"/>
  <c r="CA478" i="8"/>
  <c r="BZ479" i="8"/>
  <c r="CA479" i="8"/>
  <c r="BZ480" i="8"/>
  <c r="CA480" i="8"/>
  <c r="BZ481" i="8"/>
  <c r="CA481" i="8"/>
  <c r="BZ482" i="8"/>
  <c r="CA482" i="8"/>
  <c r="BZ483" i="8"/>
  <c r="CA483" i="8"/>
  <c r="BZ484" i="8"/>
  <c r="CA484" i="8"/>
  <c r="BZ485" i="8"/>
  <c r="CA485" i="8"/>
  <c r="BZ486" i="8"/>
  <c r="BZ487" i="8"/>
  <c r="BZ488" i="8"/>
  <c r="CA488" i="8"/>
  <c r="BZ489" i="8"/>
  <c r="CA489" i="8"/>
  <c r="BZ490" i="8"/>
  <c r="BZ491" i="8"/>
  <c r="BZ492" i="8"/>
  <c r="BZ493" i="8"/>
  <c r="CA493" i="8"/>
  <c r="BZ494" i="8"/>
  <c r="CA494" i="8"/>
  <c r="BZ495" i="8"/>
  <c r="CA495" i="8"/>
  <c r="BZ496" i="8"/>
  <c r="CA496" i="8"/>
  <c r="BZ497" i="8"/>
  <c r="CA497" i="8"/>
  <c r="BZ498" i="8"/>
  <c r="CA498" i="8"/>
  <c r="BZ499" i="8"/>
  <c r="CA499" i="8"/>
  <c r="BZ500" i="8"/>
  <c r="CA500" i="8"/>
  <c r="CA9" i="8"/>
  <c r="BZ9" i="8"/>
  <c r="BY10" i="8"/>
  <c r="BY11" i="8"/>
  <c r="BY12" i="8"/>
  <c r="BY13" i="8"/>
  <c r="BY14" i="8"/>
  <c r="BY15" i="8"/>
  <c r="BY16" i="8"/>
  <c r="BY17" i="8"/>
  <c r="BY18" i="8"/>
  <c r="BY19" i="8"/>
  <c r="BY20" i="8"/>
  <c r="BY21" i="8"/>
  <c r="BY22" i="8"/>
  <c r="BY23" i="8"/>
  <c r="BY24" i="8"/>
  <c r="BY25" i="8"/>
  <c r="BY26" i="8"/>
  <c r="BY27" i="8"/>
  <c r="BY28" i="8"/>
  <c r="BY29" i="8"/>
  <c r="BY30" i="8"/>
  <c r="BY31" i="8"/>
  <c r="BY32" i="8"/>
  <c r="BY33" i="8"/>
  <c r="BY34" i="8"/>
  <c r="BY35" i="8"/>
  <c r="BY36" i="8"/>
  <c r="BY37" i="8"/>
  <c r="BY38" i="8"/>
  <c r="BY39" i="8"/>
  <c r="BY40" i="8"/>
  <c r="BY41" i="8"/>
  <c r="BY42" i="8"/>
  <c r="BY43" i="8"/>
  <c r="BY44" i="8"/>
  <c r="BY45" i="8"/>
  <c r="BY46" i="8"/>
  <c r="BY47" i="8"/>
  <c r="BY48" i="8"/>
  <c r="BY49" i="8"/>
  <c r="BY50" i="8"/>
  <c r="BY51" i="8"/>
  <c r="BY52" i="8"/>
  <c r="BY53" i="8"/>
  <c r="BY54" i="8"/>
  <c r="BY55" i="8"/>
  <c r="BY56" i="8"/>
  <c r="BY57" i="8"/>
  <c r="BY58" i="8"/>
  <c r="BY59" i="8"/>
  <c r="BY60" i="8"/>
  <c r="BY61" i="8"/>
  <c r="BY62" i="8"/>
  <c r="BY63" i="8"/>
  <c r="BY64" i="8"/>
  <c r="BY65" i="8"/>
  <c r="BY66" i="8"/>
  <c r="BY67" i="8"/>
  <c r="BY68" i="8"/>
  <c r="BY69" i="8"/>
  <c r="BY70" i="8"/>
  <c r="BY71" i="8"/>
  <c r="BY72" i="8"/>
  <c r="BY73" i="8"/>
  <c r="BY74" i="8"/>
  <c r="BY75" i="8"/>
  <c r="BY76" i="8"/>
  <c r="BY77" i="8"/>
  <c r="BY78" i="8"/>
  <c r="BY79" i="8"/>
  <c r="BY80" i="8"/>
  <c r="BY81" i="8"/>
  <c r="BY82" i="8"/>
  <c r="BY83" i="8"/>
  <c r="BY84" i="8"/>
  <c r="BY85" i="8"/>
  <c r="BY86" i="8"/>
  <c r="BY87" i="8"/>
  <c r="BY88" i="8"/>
  <c r="BY89" i="8"/>
  <c r="BY90" i="8"/>
  <c r="BY91" i="8"/>
  <c r="BY92" i="8"/>
  <c r="BY93" i="8"/>
  <c r="BY94" i="8"/>
  <c r="BY95" i="8"/>
  <c r="BY96" i="8"/>
  <c r="BY97" i="8"/>
  <c r="BY98" i="8"/>
  <c r="BY99" i="8"/>
  <c r="BY100" i="8"/>
  <c r="BY101" i="8"/>
  <c r="BY102" i="8"/>
  <c r="BY103" i="8"/>
  <c r="BY104" i="8"/>
  <c r="BY105" i="8"/>
  <c r="BY106" i="8"/>
  <c r="BY107" i="8"/>
  <c r="BY108" i="8"/>
  <c r="BY109" i="8"/>
  <c r="BY110" i="8"/>
  <c r="BY111" i="8"/>
  <c r="BY112" i="8"/>
  <c r="BY113" i="8"/>
  <c r="BY114" i="8"/>
  <c r="BY115" i="8"/>
  <c r="BY116" i="8"/>
  <c r="BY117" i="8"/>
  <c r="BY118" i="8"/>
  <c r="BY119" i="8"/>
  <c r="BY120" i="8"/>
  <c r="BY121" i="8"/>
  <c r="BY122" i="8"/>
  <c r="BY123" i="8"/>
  <c r="BY124" i="8"/>
  <c r="BY125" i="8"/>
  <c r="BY126" i="8"/>
  <c r="BY127" i="8"/>
  <c r="BY128" i="8"/>
  <c r="BY129" i="8"/>
  <c r="BY130" i="8"/>
  <c r="BY131" i="8"/>
  <c r="BY132" i="8"/>
  <c r="BY133" i="8"/>
  <c r="BY134" i="8"/>
  <c r="BY135" i="8"/>
  <c r="BY136" i="8"/>
  <c r="BY137" i="8"/>
  <c r="BY138" i="8"/>
  <c r="BY139" i="8"/>
  <c r="BY140" i="8"/>
  <c r="BY141" i="8"/>
  <c r="BY142" i="8"/>
  <c r="BY143" i="8"/>
  <c r="BY144" i="8"/>
  <c r="BY145" i="8"/>
  <c r="BY146" i="8"/>
  <c r="BY147" i="8"/>
  <c r="BY148" i="8"/>
  <c r="BY149" i="8"/>
  <c r="BY150" i="8"/>
  <c r="BY151" i="8"/>
  <c r="BY152" i="8"/>
  <c r="BY153" i="8"/>
  <c r="BY154" i="8"/>
  <c r="BY155" i="8"/>
  <c r="BY156" i="8"/>
  <c r="BY157" i="8"/>
  <c r="BY158" i="8"/>
  <c r="BY159" i="8"/>
  <c r="BY160" i="8"/>
  <c r="BY161" i="8"/>
  <c r="BY162" i="8"/>
  <c r="BY163" i="8"/>
  <c r="BY164" i="8"/>
  <c r="BY165" i="8"/>
  <c r="BY166" i="8"/>
  <c r="BY167" i="8"/>
  <c r="BY168" i="8"/>
  <c r="BY169" i="8"/>
  <c r="BY170" i="8"/>
  <c r="BY171" i="8"/>
  <c r="BY172" i="8"/>
  <c r="BY173" i="8"/>
  <c r="BY174" i="8"/>
  <c r="BY175" i="8"/>
  <c r="BY176" i="8"/>
  <c r="BY177" i="8"/>
  <c r="BY178" i="8"/>
  <c r="BY179" i="8"/>
  <c r="BY180" i="8"/>
  <c r="BY181" i="8"/>
  <c r="BY182" i="8"/>
  <c r="BY183" i="8"/>
  <c r="BY184" i="8"/>
  <c r="BY185" i="8"/>
  <c r="BY186" i="8"/>
  <c r="BY187" i="8"/>
  <c r="BY188" i="8"/>
  <c r="BY189" i="8"/>
  <c r="BY190" i="8"/>
  <c r="BY191" i="8"/>
  <c r="BY192" i="8"/>
  <c r="BY193" i="8"/>
  <c r="BY194" i="8"/>
  <c r="BY195" i="8"/>
  <c r="BY196" i="8"/>
  <c r="BY197" i="8"/>
  <c r="BY198" i="8"/>
  <c r="BY199" i="8"/>
  <c r="BY200" i="8"/>
  <c r="BY201" i="8"/>
  <c r="BY202" i="8"/>
  <c r="BY203" i="8"/>
  <c r="BY204" i="8"/>
  <c r="BY205" i="8"/>
  <c r="BY206" i="8"/>
  <c r="BY207" i="8"/>
  <c r="BY208" i="8"/>
  <c r="BY209" i="8"/>
  <c r="BY210" i="8"/>
  <c r="BY211" i="8"/>
  <c r="BY212" i="8"/>
  <c r="BY213" i="8"/>
  <c r="BY214" i="8"/>
  <c r="BY215" i="8"/>
  <c r="BY216" i="8"/>
  <c r="BY217" i="8"/>
  <c r="BY218" i="8"/>
  <c r="BY219" i="8"/>
  <c r="BY220" i="8"/>
  <c r="BY221" i="8"/>
  <c r="BY222" i="8"/>
  <c r="BY223" i="8"/>
  <c r="BY224" i="8"/>
  <c r="BY225" i="8"/>
  <c r="BY226" i="8"/>
  <c r="BY227" i="8"/>
  <c r="BY228" i="8"/>
  <c r="BY229" i="8"/>
  <c r="BY230" i="8"/>
  <c r="BY231" i="8"/>
  <c r="BY232" i="8"/>
  <c r="BY233" i="8"/>
  <c r="BY234" i="8"/>
  <c r="BY235" i="8"/>
  <c r="BY236" i="8"/>
  <c r="BY237" i="8"/>
  <c r="BY238" i="8"/>
  <c r="BY239" i="8"/>
  <c r="BY240" i="8"/>
  <c r="BY241" i="8"/>
  <c r="BY242" i="8"/>
  <c r="BY243" i="8"/>
  <c r="BY244" i="8"/>
  <c r="BY245" i="8"/>
  <c r="BY246" i="8"/>
  <c r="BY247" i="8"/>
  <c r="BY248" i="8"/>
  <c r="BY249" i="8"/>
  <c r="BY250" i="8"/>
  <c r="BY251" i="8"/>
  <c r="BY252" i="8"/>
  <c r="BY253" i="8"/>
  <c r="BY254" i="8"/>
  <c r="BY255" i="8"/>
  <c r="BY256" i="8"/>
  <c r="BY257" i="8"/>
  <c r="BY258" i="8"/>
  <c r="BY259" i="8"/>
  <c r="BY260" i="8"/>
  <c r="BY261" i="8"/>
  <c r="BY262" i="8"/>
  <c r="BY263" i="8"/>
  <c r="BY264" i="8"/>
  <c r="BY265" i="8"/>
  <c r="BY266" i="8"/>
  <c r="BY267" i="8"/>
  <c r="BY268" i="8"/>
  <c r="BY269" i="8"/>
  <c r="BY270" i="8"/>
  <c r="BY271" i="8"/>
  <c r="BY272" i="8"/>
  <c r="BY273" i="8"/>
  <c r="BY274" i="8"/>
  <c r="BY275" i="8"/>
  <c r="BY276" i="8"/>
  <c r="BY277" i="8"/>
  <c r="BY278" i="8"/>
  <c r="BY279" i="8"/>
  <c r="BY280" i="8"/>
  <c r="BY281" i="8"/>
  <c r="BY282" i="8"/>
  <c r="BY283" i="8"/>
  <c r="BY284" i="8"/>
  <c r="BY285" i="8"/>
  <c r="BY286" i="8"/>
  <c r="BY287" i="8"/>
  <c r="BY288" i="8"/>
  <c r="BY289" i="8"/>
  <c r="BY290" i="8"/>
  <c r="BY291" i="8"/>
  <c r="BY292" i="8"/>
  <c r="CO292" i="8" s="1"/>
  <c r="BY293" i="8"/>
  <c r="BY294" i="8"/>
  <c r="BY295" i="8"/>
  <c r="BY296" i="8"/>
  <c r="BY297" i="8"/>
  <c r="BY298" i="8"/>
  <c r="BY299" i="8"/>
  <c r="BY300" i="8"/>
  <c r="BY301" i="8"/>
  <c r="BY302" i="8"/>
  <c r="BY303" i="8"/>
  <c r="BY304" i="8"/>
  <c r="BY305" i="8"/>
  <c r="BY306" i="8"/>
  <c r="BY307" i="8"/>
  <c r="BY308" i="8"/>
  <c r="BY309" i="8"/>
  <c r="BY310" i="8"/>
  <c r="BY311" i="8"/>
  <c r="BY312" i="8"/>
  <c r="BY313" i="8"/>
  <c r="BY314" i="8"/>
  <c r="BY315" i="8"/>
  <c r="BY316" i="8"/>
  <c r="BY317" i="8"/>
  <c r="BY318" i="8"/>
  <c r="BY319" i="8"/>
  <c r="BY320" i="8"/>
  <c r="BY321" i="8"/>
  <c r="BY322" i="8"/>
  <c r="BY323" i="8"/>
  <c r="BY324" i="8"/>
  <c r="BY325" i="8"/>
  <c r="BY326" i="8"/>
  <c r="BY327" i="8"/>
  <c r="BY328" i="8"/>
  <c r="BY329" i="8"/>
  <c r="BY330" i="8"/>
  <c r="BY331" i="8"/>
  <c r="BY332" i="8"/>
  <c r="BY333" i="8"/>
  <c r="BY334" i="8"/>
  <c r="BY335" i="8"/>
  <c r="BY336" i="8"/>
  <c r="BY337" i="8"/>
  <c r="BY338" i="8"/>
  <c r="BY339" i="8"/>
  <c r="BY340" i="8"/>
  <c r="BY341" i="8"/>
  <c r="BY342" i="8"/>
  <c r="BY343" i="8"/>
  <c r="BY345" i="8"/>
  <c r="BY346" i="8"/>
  <c r="BY347" i="8"/>
  <c r="BY348" i="8"/>
  <c r="BY349" i="8"/>
  <c r="BY350" i="8"/>
  <c r="BY351" i="8"/>
  <c r="BY352" i="8"/>
  <c r="BY353" i="8"/>
  <c r="BY354" i="8"/>
  <c r="BY355" i="8"/>
  <c r="BY356" i="8"/>
  <c r="BY357" i="8"/>
  <c r="BY358" i="8"/>
  <c r="BY359" i="8"/>
  <c r="BY360" i="8"/>
  <c r="BY361" i="8"/>
  <c r="BY362" i="8"/>
  <c r="BY363" i="8"/>
  <c r="BY364" i="8"/>
  <c r="BY365" i="8"/>
  <c r="BY366" i="8"/>
  <c r="BY367" i="8"/>
  <c r="BY368" i="8"/>
  <c r="BY369" i="8"/>
  <c r="BY370" i="8"/>
  <c r="BY371" i="8"/>
  <c r="BY372" i="8"/>
  <c r="BY373" i="8"/>
  <c r="BY374" i="8"/>
  <c r="BY375" i="8"/>
  <c r="BY376" i="8"/>
  <c r="BY377" i="8"/>
  <c r="BY378" i="8"/>
  <c r="BY379" i="8"/>
  <c r="BY380" i="8"/>
  <c r="BY381" i="8"/>
  <c r="BY382" i="8"/>
  <c r="BY383" i="8"/>
  <c r="BY384" i="8"/>
  <c r="BY385" i="8"/>
  <c r="BY386" i="8"/>
  <c r="BY387" i="8"/>
  <c r="BY388" i="8"/>
  <c r="BY389" i="8"/>
  <c r="BY390" i="8"/>
  <c r="BY391" i="8"/>
  <c r="BY392" i="8"/>
  <c r="BY393" i="8"/>
  <c r="BY394" i="8"/>
  <c r="BY395" i="8"/>
  <c r="BY396" i="8"/>
  <c r="BY397" i="8"/>
  <c r="BY398" i="8"/>
  <c r="BY399" i="8"/>
  <c r="BY400" i="8"/>
  <c r="BY401" i="8"/>
  <c r="BY402" i="8"/>
  <c r="BY403" i="8"/>
  <c r="BY404" i="8"/>
  <c r="BY405" i="8"/>
  <c r="BY406" i="8"/>
  <c r="BY407" i="8"/>
  <c r="BY408" i="8"/>
  <c r="BY409" i="8"/>
  <c r="BY410" i="8"/>
  <c r="BY411" i="8"/>
  <c r="BY412" i="8"/>
  <c r="BY413" i="8"/>
  <c r="BY414" i="8"/>
  <c r="BY415" i="8"/>
  <c r="BY416" i="8"/>
  <c r="BY417" i="8"/>
  <c r="BY418" i="8"/>
  <c r="BY419" i="8"/>
  <c r="BY420" i="8"/>
  <c r="BY421" i="8"/>
  <c r="BY422" i="8"/>
  <c r="BY423" i="8"/>
  <c r="BY424" i="8"/>
  <c r="BY425" i="8"/>
  <c r="BY426" i="8"/>
  <c r="BY427" i="8"/>
  <c r="BY428" i="8"/>
  <c r="BY429" i="8"/>
  <c r="BY430" i="8"/>
  <c r="BY431" i="8"/>
  <c r="BY432" i="8"/>
  <c r="BY433" i="8"/>
  <c r="BY434" i="8"/>
  <c r="BY435" i="8"/>
  <c r="BY436" i="8"/>
  <c r="BY437" i="8"/>
  <c r="BY438" i="8"/>
  <c r="BY439" i="8"/>
  <c r="BY440" i="8"/>
  <c r="BY441" i="8"/>
  <c r="BY442" i="8"/>
  <c r="BY443" i="8"/>
  <c r="BY444" i="8"/>
  <c r="BY445" i="8"/>
  <c r="BY446" i="8"/>
  <c r="BY447" i="8"/>
  <c r="BY448" i="8"/>
  <c r="BY449" i="8"/>
  <c r="BY450" i="8"/>
  <c r="BY451" i="8"/>
  <c r="BY452" i="8"/>
  <c r="BY453" i="8"/>
  <c r="BY454" i="8"/>
  <c r="BY455" i="8"/>
  <c r="BY456" i="8"/>
  <c r="BY457" i="8"/>
  <c r="BY458" i="8"/>
  <c r="BY459" i="8"/>
  <c r="BY460" i="8"/>
  <c r="BY461" i="8"/>
  <c r="BY462" i="8"/>
  <c r="BY463" i="8"/>
  <c r="BY464" i="8"/>
  <c r="BY465" i="8"/>
  <c r="BY466" i="8"/>
  <c r="BY467" i="8"/>
  <c r="BY468" i="8"/>
  <c r="BY469" i="8"/>
  <c r="BY470" i="8"/>
  <c r="BY471" i="8"/>
  <c r="BY472" i="8"/>
  <c r="BY473" i="8"/>
  <c r="BY474" i="8"/>
  <c r="BY475" i="8"/>
  <c r="BY476" i="8"/>
  <c r="BY477" i="8"/>
  <c r="BY478" i="8"/>
  <c r="BY479" i="8"/>
  <c r="BY480" i="8"/>
  <c r="BY481" i="8"/>
  <c r="BY482" i="8"/>
  <c r="BY483" i="8"/>
  <c r="BY484" i="8"/>
  <c r="BY485" i="8"/>
  <c r="BY486" i="8"/>
  <c r="BY487" i="8"/>
  <c r="BY488" i="8"/>
  <c r="BY489" i="8"/>
  <c r="BY490" i="8"/>
  <c r="BY491" i="8"/>
  <c r="BY492" i="8"/>
  <c r="BY493" i="8"/>
  <c r="BY494" i="8"/>
  <c r="BY495" i="8"/>
  <c r="BY496" i="8"/>
  <c r="BY497" i="8"/>
  <c r="BY498" i="8"/>
  <c r="BY499" i="8"/>
  <c r="BY500" i="8"/>
  <c r="BX9" i="8"/>
  <c r="BY9" i="8"/>
  <c r="BV10" i="8"/>
  <c r="BW10" i="8" s="1"/>
  <c r="BV11" i="8"/>
  <c r="BW11" i="8" s="1"/>
  <c r="BV12" i="8"/>
  <c r="BW12" i="8" s="1"/>
  <c r="BV13" i="8"/>
  <c r="BW13" i="8" s="1"/>
  <c r="BV14" i="8"/>
  <c r="BW14" i="8" s="1"/>
  <c r="BV15" i="8"/>
  <c r="BW15" i="8" s="1"/>
  <c r="BV16" i="8"/>
  <c r="BW16" i="8" s="1"/>
  <c r="BV17" i="8"/>
  <c r="BW17" i="8" s="1"/>
  <c r="BV18" i="8"/>
  <c r="BW18" i="8" s="1"/>
  <c r="BV19" i="8"/>
  <c r="BW19" i="8" s="1"/>
  <c r="BV20" i="8"/>
  <c r="BW20" i="8" s="1"/>
  <c r="BV21" i="8"/>
  <c r="BW21" i="8" s="1"/>
  <c r="BV22" i="8"/>
  <c r="BW22" i="8" s="1"/>
  <c r="BV23" i="8"/>
  <c r="BW23" i="8" s="1"/>
  <c r="BV24" i="8"/>
  <c r="BW24" i="8" s="1"/>
  <c r="BV25" i="8"/>
  <c r="BW25" i="8" s="1"/>
  <c r="BV26" i="8"/>
  <c r="BW26" i="8" s="1"/>
  <c r="BV27" i="8"/>
  <c r="BW27" i="8" s="1"/>
  <c r="BV28" i="8"/>
  <c r="BW28" i="8" s="1"/>
  <c r="BV29" i="8"/>
  <c r="BW29" i="8" s="1"/>
  <c r="BV30" i="8"/>
  <c r="BW30" i="8" s="1"/>
  <c r="BV31" i="8"/>
  <c r="BW31" i="8" s="1"/>
  <c r="BV32" i="8"/>
  <c r="BW32" i="8" s="1"/>
  <c r="BV33" i="8"/>
  <c r="BW33" i="8" s="1"/>
  <c r="BV34" i="8"/>
  <c r="BW34" i="8" s="1"/>
  <c r="BV35" i="8"/>
  <c r="BW35" i="8" s="1"/>
  <c r="BV36" i="8"/>
  <c r="BW36" i="8" s="1"/>
  <c r="BV37" i="8"/>
  <c r="BW37" i="8" s="1"/>
  <c r="BV38" i="8"/>
  <c r="BW38" i="8" s="1"/>
  <c r="BV39" i="8"/>
  <c r="BW39" i="8" s="1"/>
  <c r="BV40" i="8"/>
  <c r="BW40" i="8" s="1"/>
  <c r="BV41" i="8"/>
  <c r="BW41" i="8" s="1"/>
  <c r="BV42" i="8"/>
  <c r="BW42" i="8" s="1"/>
  <c r="BV43" i="8"/>
  <c r="BW43" i="8" s="1"/>
  <c r="BV44" i="8"/>
  <c r="BW44" i="8" s="1"/>
  <c r="BV45" i="8"/>
  <c r="BW45" i="8" s="1"/>
  <c r="BV46" i="8"/>
  <c r="BW46" i="8" s="1"/>
  <c r="BV47" i="8"/>
  <c r="BW47" i="8" s="1"/>
  <c r="BV48" i="8"/>
  <c r="BW48" i="8" s="1"/>
  <c r="BV49" i="8"/>
  <c r="BW49" i="8" s="1"/>
  <c r="BV50" i="8"/>
  <c r="BW50" i="8" s="1"/>
  <c r="BV51" i="8"/>
  <c r="BW51" i="8" s="1"/>
  <c r="BV52" i="8"/>
  <c r="BW52" i="8" s="1"/>
  <c r="BV53" i="8"/>
  <c r="BW53" i="8" s="1"/>
  <c r="BV54" i="8"/>
  <c r="BW54" i="8" s="1"/>
  <c r="BV55" i="8"/>
  <c r="BW55" i="8" s="1"/>
  <c r="BV56" i="8"/>
  <c r="BW56" i="8" s="1"/>
  <c r="BV57" i="8"/>
  <c r="BW57" i="8" s="1"/>
  <c r="BV58" i="8"/>
  <c r="BW58" i="8" s="1"/>
  <c r="BV59" i="8"/>
  <c r="BW59" i="8" s="1"/>
  <c r="BV60" i="8"/>
  <c r="BW60" i="8" s="1"/>
  <c r="BV61" i="8"/>
  <c r="BW61" i="8" s="1"/>
  <c r="BV62" i="8"/>
  <c r="BW62" i="8" s="1"/>
  <c r="BV63" i="8"/>
  <c r="BW63" i="8" s="1"/>
  <c r="BV64" i="8"/>
  <c r="BW64" i="8" s="1"/>
  <c r="BV65" i="8"/>
  <c r="BW65" i="8" s="1"/>
  <c r="BV66" i="8"/>
  <c r="BW66" i="8" s="1"/>
  <c r="BV67" i="8"/>
  <c r="BW67" i="8" s="1"/>
  <c r="BV68" i="8"/>
  <c r="BW68" i="8" s="1"/>
  <c r="BV69" i="8"/>
  <c r="BW69" i="8" s="1"/>
  <c r="BV70" i="8"/>
  <c r="BW70" i="8" s="1"/>
  <c r="BV71" i="8"/>
  <c r="BW71" i="8" s="1"/>
  <c r="BV72" i="8"/>
  <c r="BW72" i="8" s="1"/>
  <c r="BV73" i="8"/>
  <c r="BW73" i="8" s="1"/>
  <c r="BV74" i="8"/>
  <c r="BW74" i="8" s="1"/>
  <c r="BV75" i="8"/>
  <c r="BW75" i="8" s="1"/>
  <c r="BV76" i="8"/>
  <c r="BW76" i="8" s="1"/>
  <c r="BV77" i="8"/>
  <c r="BW77" i="8" s="1"/>
  <c r="BV78" i="8"/>
  <c r="BW78" i="8" s="1"/>
  <c r="BV79" i="8"/>
  <c r="BW79" i="8" s="1"/>
  <c r="BV80" i="8"/>
  <c r="BW80" i="8" s="1"/>
  <c r="BV81" i="8"/>
  <c r="BW81" i="8" s="1"/>
  <c r="BV82" i="8"/>
  <c r="BW82" i="8" s="1"/>
  <c r="BV83" i="8"/>
  <c r="BW83" i="8" s="1"/>
  <c r="BV84" i="8"/>
  <c r="BW84" i="8" s="1"/>
  <c r="BV85" i="8"/>
  <c r="BW85" i="8" s="1"/>
  <c r="BV86" i="8"/>
  <c r="BW86" i="8" s="1"/>
  <c r="BV87" i="8"/>
  <c r="BW87" i="8" s="1"/>
  <c r="BV88" i="8"/>
  <c r="BW88" i="8" s="1"/>
  <c r="BV89" i="8"/>
  <c r="BW89" i="8" s="1"/>
  <c r="BV90" i="8"/>
  <c r="BW90" i="8" s="1"/>
  <c r="BV91" i="8"/>
  <c r="BW91" i="8" s="1"/>
  <c r="BV92" i="8"/>
  <c r="BW92" i="8" s="1"/>
  <c r="BV93" i="8"/>
  <c r="BW93" i="8" s="1"/>
  <c r="BV94" i="8"/>
  <c r="BW94" i="8" s="1"/>
  <c r="BV95" i="8"/>
  <c r="BW95" i="8" s="1"/>
  <c r="BV96" i="8"/>
  <c r="BW96" i="8" s="1"/>
  <c r="BV97" i="8"/>
  <c r="BW97" i="8" s="1"/>
  <c r="BV98" i="8"/>
  <c r="BW98" i="8" s="1"/>
  <c r="BV99" i="8"/>
  <c r="BW99" i="8" s="1"/>
  <c r="BV100" i="8"/>
  <c r="BW100" i="8" s="1"/>
  <c r="BV101" i="8"/>
  <c r="BW101" i="8" s="1"/>
  <c r="BV102" i="8"/>
  <c r="BW102" i="8" s="1"/>
  <c r="BV103" i="8"/>
  <c r="BW103" i="8" s="1"/>
  <c r="BV104" i="8"/>
  <c r="BW104" i="8" s="1"/>
  <c r="BV105" i="8"/>
  <c r="BW105" i="8" s="1"/>
  <c r="BV106" i="8"/>
  <c r="BW106" i="8" s="1"/>
  <c r="BV107" i="8"/>
  <c r="BW107" i="8" s="1"/>
  <c r="BV108" i="8"/>
  <c r="BW108" i="8" s="1"/>
  <c r="BV109" i="8"/>
  <c r="BW109" i="8" s="1"/>
  <c r="BV110" i="8"/>
  <c r="BW110" i="8" s="1"/>
  <c r="BV111" i="8"/>
  <c r="BW111" i="8" s="1"/>
  <c r="BV112" i="8"/>
  <c r="BW112" i="8" s="1"/>
  <c r="BV113" i="8"/>
  <c r="BW113" i="8" s="1"/>
  <c r="BV114" i="8"/>
  <c r="BW114" i="8" s="1"/>
  <c r="BV115" i="8"/>
  <c r="BW115" i="8" s="1"/>
  <c r="BV116" i="8"/>
  <c r="BW116" i="8" s="1"/>
  <c r="BV118" i="8"/>
  <c r="BW118" i="8" s="1"/>
  <c r="BV119" i="8"/>
  <c r="BW119" i="8" s="1"/>
  <c r="BV120" i="8"/>
  <c r="BW120" i="8" s="1"/>
  <c r="BV121" i="8"/>
  <c r="BW121" i="8" s="1"/>
  <c r="BV122" i="8"/>
  <c r="BW122" i="8" s="1"/>
  <c r="BV123" i="8"/>
  <c r="BW123" i="8" s="1"/>
  <c r="BV124" i="8"/>
  <c r="BW124" i="8" s="1"/>
  <c r="BV125" i="8"/>
  <c r="BW125" i="8" s="1"/>
  <c r="BV126" i="8"/>
  <c r="BW126" i="8" s="1"/>
  <c r="BV127" i="8"/>
  <c r="BW127" i="8" s="1"/>
  <c r="BV128" i="8"/>
  <c r="BW128" i="8" s="1"/>
  <c r="BV129" i="8"/>
  <c r="BW129" i="8" s="1"/>
  <c r="BV130" i="8"/>
  <c r="BW130" i="8" s="1"/>
  <c r="BV131" i="8"/>
  <c r="BW131" i="8" s="1"/>
  <c r="BV132" i="8"/>
  <c r="BW132" i="8" s="1"/>
  <c r="BV133" i="8"/>
  <c r="BW133" i="8" s="1"/>
  <c r="BV134" i="8"/>
  <c r="BW134" i="8" s="1"/>
  <c r="BV135" i="8"/>
  <c r="BW135" i="8" s="1"/>
  <c r="BV136" i="8"/>
  <c r="BW136" i="8" s="1"/>
  <c r="BV137" i="8"/>
  <c r="BW137" i="8" s="1"/>
  <c r="BV138" i="8"/>
  <c r="BW138" i="8" s="1"/>
  <c r="BV139" i="8"/>
  <c r="BW139" i="8" s="1"/>
  <c r="BV140" i="8"/>
  <c r="BW140" i="8" s="1"/>
  <c r="BV141" i="8"/>
  <c r="BW141" i="8" s="1"/>
  <c r="BV142" i="8"/>
  <c r="BW142" i="8" s="1"/>
  <c r="BV143" i="8"/>
  <c r="BW143" i="8" s="1"/>
  <c r="BV144" i="8"/>
  <c r="BW144" i="8" s="1"/>
  <c r="BV145" i="8"/>
  <c r="BW145" i="8" s="1"/>
  <c r="BV146" i="8"/>
  <c r="BW146" i="8" s="1"/>
  <c r="BV147" i="8"/>
  <c r="BW147" i="8" s="1"/>
  <c r="BV148" i="8"/>
  <c r="BW148" i="8" s="1"/>
  <c r="BV149" i="8"/>
  <c r="BW149" i="8" s="1"/>
  <c r="BV150" i="8"/>
  <c r="BW150" i="8" s="1"/>
  <c r="BV151" i="8"/>
  <c r="BW151" i="8" s="1"/>
  <c r="BV152" i="8"/>
  <c r="BW152" i="8" s="1"/>
  <c r="BV153" i="8"/>
  <c r="BW153" i="8" s="1"/>
  <c r="BV154" i="8"/>
  <c r="BW154" i="8" s="1"/>
  <c r="BV155" i="8"/>
  <c r="BW155" i="8" s="1"/>
  <c r="BV156" i="8"/>
  <c r="BW156" i="8" s="1"/>
  <c r="BV157" i="8"/>
  <c r="BW157" i="8" s="1"/>
  <c r="BV159" i="8"/>
  <c r="BW159" i="8" s="1"/>
  <c r="BV160" i="8"/>
  <c r="BW160" i="8" s="1"/>
  <c r="BV161" i="8"/>
  <c r="BW161" i="8" s="1"/>
  <c r="BV162" i="8"/>
  <c r="BW162" i="8" s="1"/>
  <c r="BV163" i="8"/>
  <c r="BW163" i="8" s="1"/>
  <c r="BV164" i="8"/>
  <c r="BW164" i="8" s="1"/>
  <c r="BV165" i="8"/>
  <c r="BW165" i="8" s="1"/>
  <c r="BV166" i="8"/>
  <c r="BW166" i="8" s="1"/>
  <c r="BV167" i="8"/>
  <c r="BW167" i="8" s="1"/>
  <c r="BV168" i="8"/>
  <c r="BW168" i="8" s="1"/>
  <c r="BV169" i="8"/>
  <c r="BW169" i="8" s="1"/>
  <c r="BV170" i="8"/>
  <c r="BW170" i="8" s="1"/>
  <c r="BV171" i="8"/>
  <c r="BW171" i="8" s="1"/>
  <c r="BV172" i="8"/>
  <c r="BW172" i="8" s="1"/>
  <c r="BV173" i="8"/>
  <c r="BW173" i="8" s="1"/>
  <c r="BV174" i="8"/>
  <c r="BW174" i="8" s="1"/>
  <c r="BV175" i="8"/>
  <c r="BW175" i="8" s="1"/>
  <c r="BV176" i="8"/>
  <c r="BW176" i="8" s="1"/>
  <c r="BV177" i="8"/>
  <c r="BW177" i="8" s="1"/>
  <c r="BV178" i="8"/>
  <c r="BW178" i="8" s="1"/>
  <c r="BV179" i="8"/>
  <c r="BW179" i="8" s="1"/>
  <c r="BV180" i="8"/>
  <c r="BW180" i="8" s="1"/>
  <c r="BV181" i="8"/>
  <c r="BW181" i="8" s="1"/>
  <c r="BV182" i="8"/>
  <c r="BW182" i="8" s="1"/>
  <c r="BV183" i="8"/>
  <c r="BW183" i="8" s="1"/>
  <c r="BV184" i="8"/>
  <c r="BW184" i="8" s="1"/>
  <c r="BV185" i="8"/>
  <c r="BW185" i="8" s="1"/>
  <c r="BV186" i="8"/>
  <c r="BW186" i="8" s="1"/>
  <c r="BV187" i="8"/>
  <c r="BW187" i="8" s="1"/>
  <c r="BV188" i="8"/>
  <c r="BW188" i="8" s="1"/>
  <c r="BV189" i="8"/>
  <c r="BW189" i="8" s="1"/>
  <c r="BV190" i="8"/>
  <c r="BW190" i="8" s="1"/>
  <c r="BV191" i="8"/>
  <c r="BW191" i="8" s="1"/>
  <c r="BV192" i="8"/>
  <c r="BW192" i="8" s="1"/>
  <c r="BV193" i="8"/>
  <c r="BW193" i="8" s="1"/>
  <c r="BV194" i="8"/>
  <c r="BW194" i="8" s="1"/>
  <c r="BV195" i="8"/>
  <c r="BW195" i="8" s="1"/>
  <c r="BV196" i="8"/>
  <c r="BW196" i="8" s="1"/>
  <c r="BV197" i="8"/>
  <c r="BW197" i="8" s="1"/>
  <c r="BV198" i="8"/>
  <c r="BW198" i="8" s="1"/>
  <c r="BV199" i="8"/>
  <c r="BW199" i="8" s="1"/>
  <c r="BV200" i="8"/>
  <c r="BW200" i="8" s="1"/>
  <c r="BV201" i="8"/>
  <c r="BW201" i="8" s="1"/>
  <c r="BV202" i="8"/>
  <c r="BW202" i="8" s="1"/>
  <c r="BV203" i="8"/>
  <c r="BW203" i="8" s="1"/>
  <c r="BV204" i="8"/>
  <c r="BW204" i="8" s="1"/>
  <c r="BV205" i="8"/>
  <c r="BW205" i="8" s="1"/>
  <c r="BV206" i="8"/>
  <c r="BW206" i="8" s="1"/>
  <c r="BV207" i="8"/>
  <c r="BW207" i="8" s="1"/>
  <c r="BV208" i="8"/>
  <c r="BW208" i="8" s="1"/>
  <c r="BV209" i="8"/>
  <c r="BW209" i="8" s="1"/>
  <c r="BV210" i="8"/>
  <c r="BW210" i="8" s="1"/>
  <c r="BV211" i="8"/>
  <c r="BW211" i="8" s="1"/>
  <c r="BV212" i="8"/>
  <c r="BW212" i="8" s="1"/>
  <c r="BV213" i="8"/>
  <c r="BW213" i="8" s="1"/>
  <c r="BV214" i="8"/>
  <c r="BW214" i="8" s="1"/>
  <c r="BV215" i="8"/>
  <c r="BW215" i="8" s="1"/>
  <c r="BV216" i="8"/>
  <c r="BW216" i="8" s="1"/>
  <c r="BV217" i="8"/>
  <c r="BW217" i="8" s="1"/>
  <c r="BV218" i="8"/>
  <c r="BW218" i="8" s="1"/>
  <c r="BV219" i="8"/>
  <c r="BW219" i="8" s="1"/>
  <c r="BV220" i="8"/>
  <c r="BW220" i="8" s="1"/>
  <c r="BV221" i="8"/>
  <c r="BW221" i="8" s="1"/>
  <c r="BV222" i="8"/>
  <c r="BW222" i="8" s="1"/>
  <c r="BV223" i="8"/>
  <c r="BW223" i="8" s="1"/>
  <c r="BV224" i="8"/>
  <c r="BW224" i="8" s="1"/>
  <c r="BV225" i="8"/>
  <c r="BW225" i="8" s="1"/>
  <c r="BV226" i="8"/>
  <c r="BW226" i="8" s="1"/>
  <c r="BV227" i="8"/>
  <c r="BW227" i="8" s="1"/>
  <c r="BV228" i="8"/>
  <c r="BW228" i="8" s="1"/>
  <c r="BV229" i="8"/>
  <c r="BW229" i="8" s="1"/>
  <c r="BV230" i="8"/>
  <c r="BW230" i="8" s="1"/>
  <c r="BV231" i="8"/>
  <c r="BW231" i="8" s="1"/>
  <c r="BV232" i="8"/>
  <c r="BW232" i="8" s="1"/>
  <c r="BV233" i="8"/>
  <c r="BW233" i="8" s="1"/>
  <c r="BV234" i="8"/>
  <c r="BW234" i="8" s="1"/>
  <c r="BV235" i="8"/>
  <c r="BW235" i="8" s="1"/>
  <c r="BV236" i="8"/>
  <c r="BW236" i="8" s="1"/>
  <c r="BV237" i="8"/>
  <c r="BW237" i="8" s="1"/>
  <c r="BV238" i="8"/>
  <c r="BW238" i="8" s="1"/>
  <c r="BV239" i="8"/>
  <c r="BW239" i="8" s="1"/>
  <c r="BV240" i="8"/>
  <c r="BW240" i="8" s="1"/>
  <c r="BV241" i="8"/>
  <c r="BW241" i="8" s="1"/>
  <c r="BV242" i="8"/>
  <c r="BW242" i="8" s="1"/>
  <c r="BV243" i="8"/>
  <c r="BW243" i="8" s="1"/>
  <c r="BV244" i="8"/>
  <c r="BW244" i="8" s="1"/>
  <c r="BV245" i="8"/>
  <c r="BW245" i="8" s="1"/>
  <c r="BV246" i="8"/>
  <c r="BW246" i="8" s="1"/>
  <c r="BV247" i="8"/>
  <c r="BW247" i="8" s="1"/>
  <c r="BV248" i="8"/>
  <c r="BW248" i="8" s="1"/>
  <c r="BV249" i="8"/>
  <c r="BW249" i="8" s="1"/>
  <c r="BV250" i="8"/>
  <c r="BW250" i="8" s="1"/>
  <c r="BV251" i="8"/>
  <c r="BW251" i="8" s="1"/>
  <c r="BV252" i="8"/>
  <c r="BW252" i="8" s="1"/>
  <c r="BV253" i="8"/>
  <c r="BW253" i="8" s="1"/>
  <c r="BV254" i="8"/>
  <c r="BW254" i="8" s="1"/>
  <c r="BV255" i="8"/>
  <c r="BW255" i="8" s="1"/>
  <c r="BV256" i="8"/>
  <c r="BW256" i="8" s="1"/>
  <c r="BV257" i="8"/>
  <c r="BW257" i="8" s="1"/>
  <c r="BV258" i="8"/>
  <c r="BW258" i="8" s="1"/>
  <c r="BV259" i="8"/>
  <c r="BW259" i="8" s="1"/>
  <c r="BV260" i="8"/>
  <c r="BW260" i="8" s="1"/>
  <c r="BV261" i="8"/>
  <c r="BW261" i="8" s="1"/>
  <c r="BV262" i="8"/>
  <c r="BW262" i="8" s="1"/>
  <c r="BV263" i="8"/>
  <c r="BW263" i="8" s="1"/>
  <c r="BV264" i="8"/>
  <c r="BW264" i="8" s="1"/>
  <c r="BV265" i="8"/>
  <c r="BW265" i="8" s="1"/>
  <c r="BV266" i="8"/>
  <c r="BW266" i="8" s="1"/>
  <c r="BV267" i="8"/>
  <c r="BW267" i="8" s="1"/>
  <c r="BV268" i="8"/>
  <c r="BW268" i="8" s="1"/>
  <c r="BV269" i="8"/>
  <c r="BW269" i="8" s="1"/>
  <c r="BV270" i="8"/>
  <c r="BW270" i="8" s="1"/>
  <c r="BV271" i="8"/>
  <c r="BW271" i="8" s="1"/>
  <c r="BV272" i="8"/>
  <c r="BW272" i="8" s="1"/>
  <c r="BV273" i="8"/>
  <c r="BW273" i="8" s="1"/>
  <c r="BV274" i="8"/>
  <c r="BW274" i="8" s="1"/>
  <c r="BV275" i="8"/>
  <c r="BW275" i="8" s="1"/>
  <c r="BV276" i="8"/>
  <c r="BW276" i="8" s="1"/>
  <c r="BV277" i="8"/>
  <c r="BW277" i="8" s="1"/>
  <c r="BV278" i="8"/>
  <c r="BW278" i="8" s="1"/>
  <c r="BV279" i="8"/>
  <c r="BW279" i="8" s="1"/>
  <c r="BV280" i="8"/>
  <c r="BW280" i="8" s="1"/>
  <c r="BV281" i="8"/>
  <c r="BW281" i="8" s="1"/>
  <c r="BV282" i="8"/>
  <c r="BW282" i="8" s="1"/>
  <c r="BV283" i="8"/>
  <c r="BW283" i="8" s="1"/>
  <c r="BV284" i="8"/>
  <c r="BW284" i="8" s="1"/>
  <c r="BV285" i="8"/>
  <c r="BW285" i="8" s="1"/>
  <c r="BV286" i="8"/>
  <c r="BW286" i="8" s="1"/>
  <c r="BV287" i="8"/>
  <c r="BW287" i="8" s="1"/>
  <c r="BV288" i="8"/>
  <c r="BW288" i="8" s="1"/>
  <c r="BV289" i="8"/>
  <c r="BW289" i="8" s="1"/>
  <c r="BV290" i="8"/>
  <c r="BW290" i="8" s="1"/>
  <c r="BV291" i="8"/>
  <c r="BW291" i="8" s="1"/>
  <c r="BV292" i="8"/>
  <c r="BW292" i="8" s="1"/>
  <c r="BV293" i="8"/>
  <c r="BW293" i="8" s="1"/>
  <c r="BV294" i="8"/>
  <c r="BW294" i="8" s="1"/>
  <c r="BV295" i="8"/>
  <c r="BW295" i="8" s="1"/>
  <c r="BV296" i="8"/>
  <c r="BW296" i="8" s="1"/>
  <c r="BV297" i="8"/>
  <c r="BW297" i="8" s="1"/>
  <c r="BV298" i="8"/>
  <c r="BW298" i="8" s="1"/>
  <c r="BV299" i="8"/>
  <c r="BW299" i="8" s="1"/>
  <c r="BV300" i="8"/>
  <c r="BW300" i="8" s="1"/>
  <c r="BV301" i="8"/>
  <c r="BW301" i="8" s="1"/>
  <c r="BV302" i="8"/>
  <c r="BW302" i="8" s="1"/>
  <c r="BV303" i="8"/>
  <c r="BW303" i="8" s="1"/>
  <c r="BV304" i="8"/>
  <c r="BW304" i="8" s="1"/>
  <c r="BV305" i="8"/>
  <c r="BW305" i="8" s="1"/>
  <c r="BV306" i="8"/>
  <c r="BW306" i="8" s="1"/>
  <c r="BV307" i="8"/>
  <c r="BW307" i="8" s="1"/>
  <c r="BV308" i="8"/>
  <c r="BW308" i="8" s="1"/>
  <c r="BV309" i="8"/>
  <c r="BW309" i="8" s="1"/>
  <c r="BV310" i="8"/>
  <c r="BW310" i="8" s="1"/>
  <c r="BV311" i="8"/>
  <c r="BW311" i="8" s="1"/>
  <c r="BV312" i="8"/>
  <c r="BW312" i="8" s="1"/>
  <c r="BV313" i="8"/>
  <c r="BW313" i="8" s="1"/>
  <c r="BV314" i="8"/>
  <c r="BW314" i="8" s="1"/>
  <c r="BV315" i="8"/>
  <c r="BW315" i="8" s="1"/>
  <c r="BV316" i="8"/>
  <c r="BW316" i="8" s="1"/>
  <c r="BV317" i="8"/>
  <c r="BW317" i="8" s="1"/>
  <c r="BV318" i="8"/>
  <c r="BW318" i="8" s="1"/>
  <c r="BV319" i="8"/>
  <c r="BW319" i="8" s="1"/>
  <c r="BV320" i="8"/>
  <c r="BW320" i="8" s="1"/>
  <c r="BV321" i="8"/>
  <c r="BW321" i="8" s="1"/>
  <c r="BV322" i="8"/>
  <c r="BW322" i="8" s="1"/>
  <c r="BV323" i="8"/>
  <c r="BW323" i="8" s="1"/>
  <c r="BV324" i="8"/>
  <c r="BW324" i="8" s="1"/>
  <c r="BV325" i="8"/>
  <c r="BW325" i="8" s="1"/>
  <c r="BV326" i="8"/>
  <c r="BW326" i="8" s="1"/>
  <c r="BV327" i="8"/>
  <c r="BW327" i="8" s="1"/>
  <c r="BV328" i="8"/>
  <c r="BW328" i="8" s="1"/>
  <c r="BV329" i="8"/>
  <c r="BW329" i="8" s="1"/>
  <c r="BV330" i="8"/>
  <c r="BW330" i="8" s="1"/>
  <c r="BV331" i="8"/>
  <c r="BW331" i="8" s="1"/>
  <c r="BV332" i="8"/>
  <c r="BW332" i="8" s="1"/>
  <c r="BV333" i="8"/>
  <c r="BW333" i="8" s="1"/>
  <c r="BV334" i="8"/>
  <c r="BW334" i="8" s="1"/>
  <c r="BV335" i="8"/>
  <c r="BW335" i="8" s="1"/>
  <c r="BV336" i="8"/>
  <c r="BW336" i="8" s="1"/>
  <c r="BV337" i="8"/>
  <c r="BW337" i="8" s="1"/>
  <c r="BV338" i="8"/>
  <c r="BW338" i="8" s="1"/>
  <c r="BV339" i="8"/>
  <c r="BW339" i="8" s="1"/>
  <c r="BV340" i="8"/>
  <c r="BW340" i="8" s="1"/>
  <c r="BV341" i="8"/>
  <c r="BW341" i="8" s="1"/>
  <c r="BV342" i="8"/>
  <c r="BW342" i="8" s="1"/>
  <c r="BV343" i="8"/>
  <c r="BW343" i="8" s="1"/>
  <c r="BV345" i="8"/>
  <c r="BW345" i="8" s="1"/>
  <c r="BV346" i="8"/>
  <c r="BW346" i="8" s="1"/>
  <c r="BV347" i="8"/>
  <c r="BW347" i="8" s="1"/>
  <c r="BV348" i="8"/>
  <c r="BW348" i="8" s="1"/>
  <c r="BV349" i="8"/>
  <c r="BW349" i="8" s="1"/>
  <c r="BV350" i="8"/>
  <c r="BW350" i="8" s="1"/>
  <c r="BV351" i="8"/>
  <c r="BW351" i="8" s="1"/>
  <c r="BV352" i="8"/>
  <c r="BW352" i="8" s="1"/>
  <c r="BV353" i="8"/>
  <c r="BW353" i="8" s="1"/>
  <c r="BV354" i="8"/>
  <c r="BW354" i="8" s="1"/>
  <c r="BV355" i="8"/>
  <c r="BW355" i="8" s="1"/>
  <c r="BV356" i="8"/>
  <c r="BW356" i="8" s="1"/>
  <c r="BV357" i="8"/>
  <c r="BW357" i="8" s="1"/>
  <c r="BV358" i="8"/>
  <c r="BW358" i="8" s="1"/>
  <c r="BV359" i="8"/>
  <c r="BW359" i="8" s="1"/>
  <c r="BV360" i="8"/>
  <c r="BW360" i="8" s="1"/>
  <c r="BV361" i="8"/>
  <c r="BW361" i="8" s="1"/>
  <c r="BV362" i="8"/>
  <c r="BW362" i="8" s="1"/>
  <c r="BV363" i="8"/>
  <c r="BW363" i="8" s="1"/>
  <c r="BV364" i="8"/>
  <c r="BW364" i="8" s="1"/>
  <c r="BV365" i="8"/>
  <c r="BW365" i="8" s="1"/>
  <c r="BV366" i="8"/>
  <c r="BW366" i="8" s="1"/>
  <c r="BV367" i="8"/>
  <c r="BW367" i="8" s="1"/>
  <c r="BV368" i="8"/>
  <c r="BW368" i="8" s="1"/>
  <c r="BV369" i="8"/>
  <c r="BW369" i="8" s="1"/>
  <c r="BV370" i="8"/>
  <c r="BW370" i="8" s="1"/>
  <c r="BV371" i="8"/>
  <c r="BW371" i="8" s="1"/>
  <c r="BV372" i="8"/>
  <c r="BW372" i="8" s="1"/>
  <c r="BV373" i="8"/>
  <c r="BW373" i="8" s="1"/>
  <c r="BV374" i="8"/>
  <c r="BW374" i="8" s="1"/>
  <c r="BV375" i="8"/>
  <c r="BW375" i="8" s="1"/>
  <c r="BV376" i="8"/>
  <c r="BW376" i="8" s="1"/>
  <c r="BV377" i="8"/>
  <c r="BW377" i="8" s="1"/>
  <c r="BV378" i="8"/>
  <c r="BW378" i="8" s="1"/>
  <c r="BV379" i="8"/>
  <c r="BW379" i="8" s="1"/>
  <c r="BV380" i="8"/>
  <c r="BW380" i="8" s="1"/>
  <c r="BV381" i="8"/>
  <c r="BW381" i="8" s="1"/>
  <c r="BV382" i="8"/>
  <c r="BW382" i="8" s="1"/>
  <c r="BV383" i="8"/>
  <c r="BW383" i="8" s="1"/>
  <c r="BV384" i="8"/>
  <c r="BW384" i="8" s="1"/>
  <c r="BV385" i="8"/>
  <c r="BW385" i="8" s="1"/>
  <c r="BV386" i="8"/>
  <c r="BW386" i="8" s="1"/>
  <c r="BV387" i="8"/>
  <c r="BW387" i="8" s="1"/>
  <c r="BV388" i="8"/>
  <c r="BW388" i="8" s="1"/>
  <c r="BV389" i="8"/>
  <c r="BW389" i="8" s="1"/>
  <c r="BV390" i="8"/>
  <c r="BW390" i="8" s="1"/>
  <c r="BV391" i="8"/>
  <c r="BW391" i="8" s="1"/>
  <c r="BV392" i="8"/>
  <c r="BW392" i="8" s="1"/>
  <c r="BV393" i="8"/>
  <c r="BW393" i="8" s="1"/>
  <c r="BV394" i="8"/>
  <c r="BW394" i="8" s="1"/>
  <c r="BV395" i="8"/>
  <c r="BW395" i="8" s="1"/>
  <c r="BV396" i="8"/>
  <c r="BW396" i="8" s="1"/>
  <c r="BV397" i="8"/>
  <c r="BW397" i="8" s="1"/>
  <c r="BV398" i="8"/>
  <c r="BW398" i="8" s="1"/>
  <c r="BV399" i="8"/>
  <c r="BW399" i="8" s="1"/>
  <c r="BV400" i="8"/>
  <c r="BW400" i="8" s="1"/>
  <c r="BV401" i="8"/>
  <c r="BW401" i="8" s="1"/>
  <c r="BV402" i="8"/>
  <c r="BW402" i="8" s="1"/>
  <c r="BV403" i="8"/>
  <c r="BW403" i="8" s="1"/>
  <c r="BV404" i="8"/>
  <c r="BW404" i="8" s="1"/>
  <c r="BV405" i="8"/>
  <c r="BW405" i="8" s="1"/>
  <c r="BV406" i="8"/>
  <c r="BW406" i="8" s="1"/>
  <c r="BV407" i="8"/>
  <c r="BW407" i="8" s="1"/>
  <c r="BV408" i="8"/>
  <c r="BW408" i="8" s="1"/>
  <c r="BV409" i="8"/>
  <c r="BW409" i="8" s="1"/>
  <c r="BV410" i="8"/>
  <c r="BW410" i="8" s="1"/>
  <c r="BV411" i="8"/>
  <c r="BW411" i="8" s="1"/>
  <c r="BV412" i="8"/>
  <c r="BW412" i="8" s="1"/>
  <c r="BV413" i="8"/>
  <c r="BW413" i="8" s="1"/>
  <c r="BV414" i="8"/>
  <c r="BW414" i="8" s="1"/>
  <c r="BV415" i="8"/>
  <c r="BW415" i="8" s="1"/>
  <c r="BV416" i="8"/>
  <c r="BW416" i="8" s="1"/>
  <c r="BV417" i="8"/>
  <c r="BW417" i="8" s="1"/>
  <c r="BV418" i="8"/>
  <c r="BW418" i="8" s="1"/>
  <c r="BV419" i="8"/>
  <c r="BW419" i="8" s="1"/>
  <c r="BV420" i="8"/>
  <c r="BW420" i="8" s="1"/>
  <c r="BV421" i="8"/>
  <c r="BW421" i="8" s="1"/>
  <c r="BV422" i="8"/>
  <c r="BW422" i="8" s="1"/>
  <c r="BV423" i="8"/>
  <c r="BW423" i="8" s="1"/>
  <c r="BV424" i="8"/>
  <c r="BW424" i="8" s="1"/>
  <c r="BV425" i="8"/>
  <c r="BW425" i="8" s="1"/>
  <c r="BV426" i="8"/>
  <c r="BW426" i="8" s="1"/>
  <c r="BV427" i="8"/>
  <c r="BW427" i="8" s="1"/>
  <c r="BV428" i="8"/>
  <c r="BW428" i="8" s="1"/>
  <c r="BV429" i="8"/>
  <c r="BW429" i="8" s="1"/>
  <c r="BV430" i="8"/>
  <c r="BW430" i="8" s="1"/>
  <c r="BV431" i="8"/>
  <c r="BW431" i="8" s="1"/>
  <c r="BV432" i="8"/>
  <c r="BW432" i="8" s="1"/>
  <c r="BV433" i="8"/>
  <c r="BW433" i="8" s="1"/>
  <c r="BV434" i="8"/>
  <c r="BW434" i="8" s="1"/>
  <c r="BV435" i="8"/>
  <c r="BW435" i="8" s="1"/>
  <c r="BV436" i="8"/>
  <c r="BW436" i="8" s="1"/>
  <c r="BV437" i="8"/>
  <c r="BW437" i="8" s="1"/>
  <c r="BV438" i="8"/>
  <c r="BW438" i="8" s="1"/>
  <c r="BV439" i="8"/>
  <c r="BW439" i="8" s="1"/>
  <c r="BV440" i="8"/>
  <c r="BW440" i="8" s="1"/>
  <c r="BV441" i="8"/>
  <c r="BW441" i="8" s="1"/>
  <c r="BV442" i="8"/>
  <c r="BW442" i="8" s="1"/>
  <c r="BV443" i="8"/>
  <c r="BW443" i="8" s="1"/>
  <c r="BV444" i="8"/>
  <c r="BW444" i="8" s="1"/>
  <c r="BV445" i="8"/>
  <c r="BW445" i="8" s="1"/>
  <c r="BV446" i="8"/>
  <c r="BW446" i="8" s="1"/>
  <c r="BV447" i="8"/>
  <c r="BW447" i="8" s="1"/>
  <c r="BV448" i="8"/>
  <c r="BW448" i="8" s="1"/>
  <c r="BV449" i="8"/>
  <c r="BW449" i="8" s="1"/>
  <c r="BV450" i="8"/>
  <c r="BW450" i="8" s="1"/>
  <c r="BV451" i="8"/>
  <c r="BW451" i="8" s="1"/>
  <c r="BV452" i="8"/>
  <c r="BW452" i="8" s="1"/>
  <c r="BV453" i="8"/>
  <c r="BW453" i="8" s="1"/>
  <c r="BV454" i="8"/>
  <c r="BW454" i="8" s="1"/>
  <c r="BV455" i="8"/>
  <c r="BW455" i="8" s="1"/>
  <c r="BV456" i="8"/>
  <c r="BW456" i="8" s="1"/>
  <c r="BV457" i="8"/>
  <c r="BW457" i="8" s="1"/>
  <c r="BV458" i="8"/>
  <c r="BW458" i="8" s="1"/>
  <c r="BV459" i="8"/>
  <c r="BW459" i="8" s="1"/>
  <c r="BV460" i="8"/>
  <c r="BW460" i="8" s="1"/>
  <c r="BV461" i="8"/>
  <c r="BW461" i="8" s="1"/>
  <c r="BV462" i="8"/>
  <c r="BW462" i="8" s="1"/>
  <c r="BV463" i="8"/>
  <c r="BW463" i="8" s="1"/>
  <c r="BV464" i="8"/>
  <c r="BW464" i="8" s="1"/>
  <c r="BV465" i="8"/>
  <c r="BW465" i="8" s="1"/>
  <c r="BV466" i="8"/>
  <c r="BW466" i="8" s="1"/>
  <c r="BV467" i="8"/>
  <c r="BW467" i="8" s="1"/>
  <c r="BV468" i="8"/>
  <c r="BW468" i="8" s="1"/>
  <c r="BV469" i="8"/>
  <c r="BW469" i="8" s="1"/>
  <c r="BV470" i="8"/>
  <c r="BW470" i="8" s="1"/>
  <c r="BV471" i="8"/>
  <c r="BW471" i="8" s="1"/>
  <c r="BV472" i="8"/>
  <c r="BW472" i="8" s="1"/>
  <c r="BV473" i="8"/>
  <c r="BW473" i="8" s="1"/>
  <c r="BV474" i="8"/>
  <c r="BW474" i="8" s="1"/>
  <c r="BV475" i="8"/>
  <c r="BW475" i="8" s="1"/>
  <c r="BV476" i="8"/>
  <c r="BW476" i="8" s="1"/>
  <c r="BV477" i="8"/>
  <c r="BW477" i="8" s="1"/>
  <c r="BV478" i="8"/>
  <c r="BW478" i="8" s="1"/>
  <c r="BV479" i="8"/>
  <c r="BW479" i="8" s="1"/>
  <c r="BV480" i="8"/>
  <c r="BW480" i="8" s="1"/>
  <c r="BV481" i="8"/>
  <c r="BW481" i="8" s="1"/>
  <c r="BV482" i="8"/>
  <c r="BW482" i="8" s="1"/>
  <c r="BV483" i="8"/>
  <c r="BW483" i="8" s="1"/>
  <c r="BV484" i="8"/>
  <c r="BW484" i="8" s="1"/>
  <c r="BV485" i="8"/>
  <c r="BW485" i="8" s="1"/>
  <c r="BV486" i="8"/>
  <c r="BW486" i="8" s="1"/>
  <c r="BV487" i="8"/>
  <c r="BW487" i="8" s="1"/>
  <c r="BV488" i="8"/>
  <c r="BW488" i="8" s="1"/>
  <c r="BV489" i="8"/>
  <c r="BW489" i="8" s="1"/>
  <c r="BV490" i="8"/>
  <c r="BW490" i="8" s="1"/>
  <c r="BV491" i="8"/>
  <c r="BW491" i="8" s="1"/>
  <c r="BV492" i="8"/>
  <c r="BW492" i="8" s="1"/>
  <c r="BV493" i="8"/>
  <c r="BW493" i="8" s="1"/>
  <c r="BV494" i="8"/>
  <c r="BW494" i="8" s="1"/>
  <c r="BV495" i="8"/>
  <c r="BW495" i="8" s="1"/>
  <c r="BV496" i="8"/>
  <c r="BW496" i="8" s="1"/>
  <c r="BV497" i="8"/>
  <c r="BW497" i="8" s="1"/>
  <c r="BV498" i="8"/>
  <c r="BW498" i="8" s="1"/>
  <c r="BV499" i="8"/>
  <c r="BW499" i="8" s="1"/>
  <c r="BV500" i="8"/>
  <c r="BW500" i="8" s="1"/>
  <c r="BV9" i="8"/>
  <c r="BW9" i="8" s="1"/>
  <c r="BT500" i="8"/>
  <c r="BT499" i="8"/>
  <c r="BT498" i="8"/>
  <c r="BT497" i="8"/>
  <c r="BT496" i="8"/>
  <c r="BT495" i="8"/>
  <c r="BT494" i="8"/>
  <c r="BS493" i="8"/>
  <c r="BR493" i="8"/>
  <c r="BQ493" i="8"/>
  <c r="BP493" i="8"/>
  <c r="BO493" i="8"/>
  <c r="BN493" i="8"/>
  <c r="BM493" i="8"/>
  <c r="BT493" i="8" s="1"/>
  <c r="BT492" i="8"/>
  <c r="BT491" i="8"/>
  <c r="BT490" i="8"/>
  <c r="BT489" i="8"/>
  <c r="BT488" i="8"/>
  <c r="BT487" i="8"/>
  <c r="BT486" i="8"/>
  <c r="BS485" i="8"/>
  <c r="BR485" i="8"/>
  <c r="BQ485" i="8"/>
  <c r="BP485" i="8"/>
  <c r="BO485" i="8"/>
  <c r="BN485" i="8"/>
  <c r="BM485" i="8"/>
  <c r="BT485" i="8" s="1"/>
  <c r="BT484" i="8"/>
  <c r="BT483" i="8"/>
  <c r="BT482" i="8"/>
  <c r="BT481" i="8"/>
  <c r="BT480" i="8"/>
  <c r="BT479" i="8"/>
  <c r="BT478" i="8"/>
  <c r="BT477" i="8"/>
  <c r="BT476" i="8"/>
  <c r="BT475" i="8"/>
  <c r="BT474" i="8"/>
  <c r="BT473" i="8"/>
  <c r="BT472" i="8"/>
  <c r="BT471" i="8"/>
  <c r="BT470" i="8"/>
  <c r="BT469" i="8"/>
  <c r="BT468" i="8"/>
  <c r="BT467" i="8"/>
  <c r="BT466" i="8"/>
  <c r="BT465" i="8"/>
  <c r="BT464" i="8"/>
  <c r="BT463" i="8"/>
  <c r="BT462" i="8"/>
  <c r="BT461" i="8"/>
  <c r="BT460" i="8"/>
  <c r="BT459" i="8"/>
  <c r="BT458" i="8"/>
  <c r="BT457" i="8"/>
  <c r="BT456" i="8"/>
  <c r="BT455" i="8"/>
  <c r="BT454" i="8"/>
  <c r="BT453" i="8"/>
  <c r="BT452" i="8"/>
  <c r="BT451" i="8"/>
  <c r="BT450" i="8"/>
  <c r="BS449" i="8"/>
  <c r="BR449" i="8"/>
  <c r="BQ449" i="8"/>
  <c r="BP449" i="8"/>
  <c r="BO449" i="8"/>
  <c r="BN449" i="8"/>
  <c r="BM449" i="8"/>
  <c r="BT449" i="8" s="1"/>
  <c r="BT448" i="8"/>
  <c r="BT447" i="8"/>
  <c r="BT446" i="8"/>
  <c r="BT445" i="8"/>
  <c r="BT444" i="8"/>
  <c r="BT443" i="8"/>
  <c r="BT442" i="8"/>
  <c r="BT441" i="8"/>
  <c r="BT440" i="8"/>
  <c r="BT439" i="8"/>
  <c r="BT438" i="8"/>
  <c r="BT437" i="8"/>
  <c r="BT436" i="8"/>
  <c r="BT435" i="8"/>
  <c r="BT434" i="8"/>
  <c r="BT433" i="8"/>
  <c r="BS432" i="8"/>
  <c r="BR432" i="8"/>
  <c r="BQ432" i="8"/>
  <c r="BP432" i="8"/>
  <c r="BO432" i="8"/>
  <c r="BN432" i="8"/>
  <c r="BM432" i="8"/>
  <c r="BT432" i="8" s="1"/>
  <c r="BT431" i="8"/>
  <c r="BT430" i="8"/>
  <c r="BT429" i="8"/>
  <c r="BT428" i="8"/>
  <c r="BT427" i="8"/>
  <c r="BT426" i="8"/>
  <c r="BT425" i="8"/>
  <c r="BT424" i="8"/>
  <c r="BT423" i="8"/>
  <c r="BT422" i="8"/>
  <c r="BT421" i="8"/>
  <c r="BT420" i="8"/>
  <c r="BT419" i="8"/>
  <c r="BT418" i="8"/>
  <c r="BM417" i="8"/>
  <c r="BT417" i="8" s="1"/>
  <c r="BS417" i="8"/>
  <c r="BR417" i="8"/>
  <c r="BQ417" i="8"/>
  <c r="BP417" i="8"/>
  <c r="BO417" i="8"/>
  <c r="BN417" i="8"/>
  <c r="BT416" i="8"/>
  <c r="BT415" i="8"/>
  <c r="BT414" i="8"/>
  <c r="BT413" i="8"/>
  <c r="BT412" i="8"/>
  <c r="BT411" i="8"/>
  <c r="BT410" i="8"/>
  <c r="BT409" i="8"/>
  <c r="BT408" i="8"/>
  <c r="BT407" i="8"/>
  <c r="BT406" i="8"/>
  <c r="BT405" i="8"/>
  <c r="BS404" i="8"/>
  <c r="BR404" i="8"/>
  <c r="BQ404" i="8"/>
  <c r="BP404" i="8"/>
  <c r="BO404" i="8"/>
  <c r="BN404" i="8"/>
  <c r="BM404" i="8"/>
  <c r="BT404" i="8" s="1"/>
  <c r="BT403" i="8"/>
  <c r="BT402" i="8"/>
  <c r="BT401" i="8"/>
  <c r="BT400" i="8"/>
  <c r="BT399" i="8"/>
  <c r="BT398" i="8"/>
  <c r="BT397" i="8"/>
  <c r="BT396" i="8"/>
  <c r="BT395" i="8"/>
  <c r="BT394" i="8"/>
  <c r="BT393" i="8"/>
  <c r="BT392" i="8"/>
  <c r="BT391" i="8"/>
  <c r="BT390" i="8"/>
  <c r="BT389" i="8"/>
  <c r="BT388" i="8"/>
  <c r="BT387" i="8"/>
  <c r="BT386" i="8"/>
  <c r="BT385" i="8"/>
  <c r="BT384" i="8"/>
  <c r="BT383" i="8"/>
  <c r="BT382" i="8"/>
  <c r="BT381" i="8"/>
  <c r="BT380" i="8"/>
  <c r="BT379" i="8"/>
  <c r="BT378" i="8"/>
  <c r="BS377" i="8"/>
  <c r="BR377" i="8"/>
  <c r="BQ377" i="8"/>
  <c r="BP377" i="8"/>
  <c r="BO377" i="8"/>
  <c r="BN377" i="8"/>
  <c r="BM377" i="8"/>
  <c r="BT377" i="8" s="1"/>
  <c r="BT376" i="8"/>
  <c r="BT375" i="8"/>
  <c r="BT374" i="8"/>
  <c r="BT373" i="8"/>
  <c r="BT372" i="8"/>
  <c r="BT371" i="8"/>
  <c r="BT370" i="8"/>
  <c r="BT369" i="8"/>
  <c r="BT368" i="8"/>
  <c r="BT367" i="8"/>
  <c r="BT366" i="8"/>
  <c r="BS365" i="8"/>
  <c r="BR365" i="8"/>
  <c r="BQ365" i="8"/>
  <c r="BP365" i="8"/>
  <c r="BO365" i="8"/>
  <c r="BN365" i="8"/>
  <c r="BM365" i="8"/>
  <c r="BT365" i="8" s="1"/>
  <c r="BT364" i="8"/>
  <c r="BT363" i="8"/>
  <c r="BT362" i="8"/>
  <c r="BT361" i="8"/>
  <c r="BM360" i="8"/>
  <c r="BT360" i="8" s="1"/>
  <c r="BT359" i="8"/>
  <c r="BT358" i="8"/>
  <c r="BS357" i="8"/>
  <c r="BR357" i="8"/>
  <c r="BQ357" i="8"/>
  <c r="BP357" i="8"/>
  <c r="BO357" i="8"/>
  <c r="BN357" i="8"/>
  <c r="BM357" i="8"/>
  <c r="BT357" i="8" s="1"/>
  <c r="BT356" i="8"/>
  <c r="BT355" i="8"/>
  <c r="BT354" i="8"/>
  <c r="BT353" i="8"/>
  <c r="BT352" i="8"/>
  <c r="BT351" i="8"/>
  <c r="BT350" i="8"/>
  <c r="BT349" i="8"/>
  <c r="BT348" i="8"/>
  <c r="BT347" i="8"/>
  <c r="BT346" i="8"/>
  <c r="BT345" i="8"/>
  <c r="BT343" i="8"/>
  <c r="BT342" i="8"/>
  <c r="BT341" i="8"/>
  <c r="BT340" i="8"/>
  <c r="BT339" i="8"/>
  <c r="BT338" i="8"/>
  <c r="BT337" i="8"/>
  <c r="BT336" i="8"/>
  <c r="BT335" i="8"/>
  <c r="BT334" i="8"/>
  <c r="BT333" i="8"/>
  <c r="BS332" i="8"/>
  <c r="BR332" i="8"/>
  <c r="BQ332" i="8"/>
  <c r="BP332" i="8"/>
  <c r="BO332" i="8"/>
  <c r="BN332" i="8"/>
  <c r="BM332" i="8"/>
  <c r="BT332" i="8" s="1"/>
  <c r="BT331" i="8"/>
  <c r="BT330" i="8"/>
  <c r="BT329" i="8"/>
  <c r="BT328" i="8"/>
  <c r="BT327" i="8"/>
  <c r="BT326" i="8"/>
  <c r="BT325" i="8"/>
  <c r="BT324" i="8"/>
  <c r="BT323" i="8"/>
  <c r="BT322" i="8"/>
  <c r="BT321" i="8"/>
  <c r="BT320" i="8"/>
  <c r="BT319" i="8"/>
  <c r="BT318" i="8"/>
  <c r="BT317" i="8"/>
  <c r="BT316" i="8"/>
  <c r="BT315" i="8"/>
  <c r="BT314" i="8"/>
  <c r="BT313" i="8"/>
  <c r="BT312" i="8"/>
  <c r="BT311" i="8"/>
  <c r="BT310" i="8"/>
  <c r="BT309" i="8"/>
  <c r="BT308" i="8"/>
  <c r="BT307" i="8"/>
  <c r="BT306" i="8"/>
  <c r="BT305" i="8"/>
  <c r="BT304" i="8"/>
  <c r="BT303" i="8"/>
  <c r="BT302" i="8"/>
  <c r="BT301" i="8"/>
  <c r="BT300" i="8"/>
  <c r="BT299" i="8"/>
  <c r="BT298" i="8"/>
  <c r="BT297" i="8"/>
  <c r="BS296" i="8"/>
  <c r="BR296" i="8"/>
  <c r="BQ296" i="8"/>
  <c r="BP296" i="8"/>
  <c r="BO296" i="8"/>
  <c r="BN296" i="8"/>
  <c r="BM296" i="8"/>
  <c r="BT296" i="8" s="1"/>
  <c r="BT295" i="8"/>
  <c r="BT294" i="8"/>
  <c r="BT293" i="8"/>
  <c r="BT292" i="8"/>
  <c r="BT291" i="8"/>
  <c r="BT290" i="8"/>
  <c r="BS289" i="8"/>
  <c r="BR289" i="8"/>
  <c r="BQ289" i="8"/>
  <c r="BP289" i="8"/>
  <c r="BO289" i="8"/>
  <c r="BN289" i="8"/>
  <c r="BM289" i="8"/>
  <c r="BT289" i="8" s="1"/>
  <c r="BT288" i="8"/>
  <c r="BT287" i="8"/>
  <c r="BT286" i="8"/>
  <c r="BT285" i="8"/>
  <c r="BT284" i="8"/>
  <c r="BT283" i="8"/>
  <c r="BT282" i="8"/>
  <c r="BT281" i="8"/>
  <c r="BT280" i="8"/>
  <c r="BT279" i="8"/>
  <c r="BT278" i="8"/>
  <c r="BT277" i="8"/>
  <c r="BS276" i="8"/>
  <c r="BR276" i="8"/>
  <c r="BQ276" i="8"/>
  <c r="BP276" i="8"/>
  <c r="BO276" i="8"/>
  <c r="BN276" i="8"/>
  <c r="BM276" i="8"/>
  <c r="BT276" i="8" s="1"/>
  <c r="BT275" i="8"/>
  <c r="BT274" i="8"/>
  <c r="BT273" i="8"/>
  <c r="BT272" i="8"/>
  <c r="BT271" i="8"/>
  <c r="BT270" i="8"/>
  <c r="BT269" i="8"/>
  <c r="BT268" i="8"/>
  <c r="BT267" i="8"/>
  <c r="BT266" i="8"/>
  <c r="BT265" i="8"/>
  <c r="BS264" i="8"/>
  <c r="BR264" i="8"/>
  <c r="BQ264" i="8"/>
  <c r="BP264" i="8"/>
  <c r="BO264" i="8"/>
  <c r="BN264" i="8"/>
  <c r="BM264" i="8"/>
  <c r="BT264" i="8" s="1"/>
  <c r="BT263" i="8"/>
  <c r="BT262" i="8"/>
  <c r="BT261" i="8"/>
  <c r="BT260" i="8"/>
  <c r="BT259" i="8"/>
  <c r="BT258" i="8"/>
  <c r="BT257" i="8"/>
  <c r="BT256" i="8"/>
  <c r="BT255" i="8"/>
  <c r="BT254" i="8"/>
  <c r="BT253" i="8"/>
  <c r="BT252" i="8"/>
  <c r="BT251" i="8"/>
  <c r="BT250" i="8"/>
  <c r="BT249" i="8"/>
  <c r="BT248" i="8"/>
  <c r="BT247" i="8"/>
  <c r="BT246" i="8"/>
  <c r="BT245" i="8"/>
  <c r="BT244" i="8"/>
  <c r="BS243" i="8"/>
  <c r="BR243" i="8"/>
  <c r="BQ243" i="8"/>
  <c r="BP243" i="8"/>
  <c r="BO243" i="8"/>
  <c r="BN243" i="8"/>
  <c r="BM243" i="8"/>
  <c r="BT243" i="8" s="1"/>
  <c r="BT242" i="8"/>
  <c r="BT241" i="8"/>
  <c r="BT240" i="8"/>
  <c r="BT239" i="8"/>
  <c r="BT238" i="8"/>
  <c r="BT237" i="8"/>
  <c r="BT236" i="8"/>
  <c r="BS235" i="8"/>
  <c r="BR235" i="8"/>
  <c r="BQ235" i="8"/>
  <c r="BP235" i="8"/>
  <c r="BO235" i="8"/>
  <c r="BN235" i="8"/>
  <c r="BM235" i="8"/>
  <c r="BT235" i="8" s="1"/>
  <c r="BT234" i="8"/>
  <c r="BT233" i="8"/>
  <c r="BT232" i="8"/>
  <c r="BT231" i="8"/>
  <c r="BT230" i="8"/>
  <c r="BT229" i="8"/>
  <c r="BT228" i="8"/>
  <c r="BS227" i="8"/>
  <c r="BR227" i="8"/>
  <c r="BQ227" i="8"/>
  <c r="BP227" i="8"/>
  <c r="BO227" i="8"/>
  <c r="BN227" i="8"/>
  <c r="BM227" i="8"/>
  <c r="BT227" i="8" s="1"/>
  <c r="BT226" i="8"/>
  <c r="BT225" i="8"/>
  <c r="BT224" i="8"/>
  <c r="BT223" i="8"/>
  <c r="BT222" i="8"/>
  <c r="BS221" i="8"/>
  <c r="BR221" i="8"/>
  <c r="BQ221" i="8"/>
  <c r="BP221" i="8"/>
  <c r="BO221" i="8"/>
  <c r="BN221" i="8"/>
  <c r="BM221" i="8"/>
  <c r="BT221" i="8" s="1"/>
  <c r="BT220" i="8"/>
  <c r="BT219" i="8"/>
  <c r="BT218" i="8"/>
  <c r="BT217" i="8"/>
  <c r="BT216" i="8"/>
  <c r="BT215" i="8"/>
  <c r="BT214" i="8"/>
  <c r="BT213" i="8"/>
  <c r="BS212" i="8"/>
  <c r="BR212" i="8"/>
  <c r="BQ212" i="8"/>
  <c r="BP212" i="8"/>
  <c r="BO212" i="8"/>
  <c r="BN212" i="8"/>
  <c r="BM212" i="8"/>
  <c r="BT212" i="8" s="1"/>
  <c r="BT211" i="8"/>
  <c r="BT210" i="8"/>
  <c r="BT209" i="8"/>
  <c r="BT208" i="8"/>
  <c r="BT207" i="8"/>
  <c r="BT206" i="8"/>
  <c r="BT205" i="8"/>
  <c r="BT204" i="8"/>
  <c r="BT203" i="8"/>
  <c r="BT202" i="8"/>
  <c r="BS201" i="8"/>
  <c r="BR201" i="8"/>
  <c r="BQ201" i="8"/>
  <c r="BP201" i="8"/>
  <c r="BO201" i="8"/>
  <c r="BN201" i="8"/>
  <c r="BM201" i="8"/>
  <c r="BT201" i="8" s="1"/>
  <c r="BT200" i="8"/>
  <c r="BT199" i="8"/>
  <c r="BT198" i="8"/>
  <c r="BT197" i="8"/>
  <c r="BT196" i="8"/>
  <c r="BT195" i="8"/>
  <c r="BT194" i="8"/>
  <c r="BS193" i="8"/>
  <c r="BR193" i="8"/>
  <c r="BQ193" i="8"/>
  <c r="BP193" i="8"/>
  <c r="BO193" i="8"/>
  <c r="BN193" i="8"/>
  <c r="BM193" i="8"/>
  <c r="BT193" i="8" s="1"/>
  <c r="BT192" i="8"/>
  <c r="BT191" i="8"/>
  <c r="BT190" i="8"/>
  <c r="BT189" i="8"/>
  <c r="BT188" i="8"/>
  <c r="BT187" i="8"/>
  <c r="BT186" i="8"/>
  <c r="BT185" i="8"/>
  <c r="BT184" i="8"/>
  <c r="BT183" i="8"/>
  <c r="BS182" i="8"/>
  <c r="BR182" i="8"/>
  <c r="BQ182" i="8"/>
  <c r="BP182" i="8"/>
  <c r="BO182" i="8"/>
  <c r="BN182" i="8"/>
  <c r="BM182" i="8"/>
  <c r="BT182" i="8" s="1"/>
  <c r="BT181" i="8"/>
  <c r="BT180" i="8"/>
  <c r="BT179" i="8"/>
  <c r="BT178" i="8"/>
  <c r="BT177" i="8"/>
  <c r="BT176" i="8"/>
  <c r="BT175" i="8"/>
  <c r="BT174" i="8"/>
  <c r="BT173" i="8"/>
  <c r="BT172" i="8"/>
  <c r="BT171" i="8"/>
  <c r="BT170" i="8"/>
  <c r="BT169" i="8"/>
  <c r="BT168" i="8"/>
  <c r="BT167" i="8"/>
  <c r="BT166" i="8"/>
  <c r="BT165" i="8"/>
  <c r="BT164" i="8"/>
  <c r="BT163" i="8"/>
  <c r="BT162" i="8"/>
  <c r="BT161" i="8"/>
  <c r="BT160" i="8"/>
  <c r="BT159" i="8"/>
  <c r="BT158" i="8"/>
  <c r="BS157" i="8"/>
  <c r="BR157" i="8"/>
  <c r="BQ157" i="8"/>
  <c r="BP157" i="8"/>
  <c r="BO157" i="8"/>
  <c r="BN157" i="8"/>
  <c r="BM157" i="8"/>
  <c r="BT157" i="8" s="1"/>
  <c r="BT156" i="8"/>
  <c r="BT155" i="8"/>
  <c r="BT154" i="8"/>
  <c r="BT153" i="8"/>
  <c r="BT152" i="8"/>
  <c r="BT151" i="8"/>
  <c r="BT150" i="8"/>
  <c r="BT149" i="8"/>
  <c r="BS148" i="8"/>
  <c r="BR148" i="8"/>
  <c r="BQ148" i="8"/>
  <c r="BP148" i="8"/>
  <c r="BO148" i="8"/>
  <c r="BN148" i="8"/>
  <c r="BM148" i="8"/>
  <c r="BT148" i="8" s="1"/>
  <c r="BT147" i="8"/>
  <c r="BT146" i="8"/>
  <c r="BT145" i="8"/>
  <c r="BT144" i="8"/>
  <c r="BT143" i="8"/>
  <c r="BT142" i="8"/>
  <c r="BT141" i="8"/>
  <c r="BT140" i="8"/>
  <c r="BT139" i="8"/>
  <c r="BS138" i="8"/>
  <c r="BR138" i="8"/>
  <c r="BQ138" i="8"/>
  <c r="BP138" i="8"/>
  <c r="BO138" i="8"/>
  <c r="BN138" i="8"/>
  <c r="BM138" i="8"/>
  <c r="BT138" i="8" s="1"/>
  <c r="BT137" i="8"/>
  <c r="BT136" i="8"/>
  <c r="BT135" i="8"/>
  <c r="BT134" i="8"/>
  <c r="BT133" i="8"/>
  <c r="BT132" i="8"/>
  <c r="BT131" i="8"/>
  <c r="BT130" i="8"/>
  <c r="BT129" i="8"/>
  <c r="BT128" i="8"/>
  <c r="BT127" i="8"/>
  <c r="BT126" i="8"/>
  <c r="BT125" i="8"/>
  <c r="BT124" i="8"/>
  <c r="BS123" i="8"/>
  <c r="BR123" i="8"/>
  <c r="BQ123" i="8"/>
  <c r="BP123" i="8"/>
  <c r="BO123" i="8"/>
  <c r="BN123" i="8"/>
  <c r="BM123" i="8"/>
  <c r="BT123" i="8" s="1"/>
  <c r="BT122" i="8"/>
  <c r="BT121" i="8"/>
  <c r="BT120" i="8"/>
  <c r="BT119" i="8"/>
  <c r="BT118" i="8"/>
  <c r="BT117" i="8"/>
  <c r="BS116" i="8"/>
  <c r="BR116" i="8"/>
  <c r="BQ116" i="8"/>
  <c r="BP116" i="8"/>
  <c r="BO116" i="8"/>
  <c r="BN116" i="8"/>
  <c r="BM116" i="8"/>
  <c r="BT116" i="8" s="1"/>
  <c r="BT115" i="8"/>
  <c r="BT114" i="8"/>
  <c r="BT113" i="8"/>
  <c r="BT112" i="8"/>
  <c r="BT111" i="8"/>
  <c r="BS110" i="8"/>
  <c r="BR110" i="8"/>
  <c r="BQ110" i="8"/>
  <c r="BP110" i="8"/>
  <c r="BO110" i="8"/>
  <c r="BN110" i="8"/>
  <c r="BM110" i="8"/>
  <c r="BT110" i="8" s="1"/>
  <c r="BT109" i="8"/>
  <c r="BT108" i="8"/>
  <c r="BT107" i="8"/>
  <c r="BT106" i="8"/>
  <c r="BT105" i="8"/>
  <c r="BT104" i="8"/>
  <c r="BT103" i="8"/>
  <c r="BT102" i="8"/>
  <c r="BT101" i="8"/>
  <c r="BT100" i="8"/>
  <c r="BS99" i="8"/>
  <c r="BR99" i="8"/>
  <c r="BQ99" i="8"/>
  <c r="BP99" i="8"/>
  <c r="BO99" i="8"/>
  <c r="BN99" i="8"/>
  <c r="BM99" i="8"/>
  <c r="BT99" i="8" s="1"/>
  <c r="BT98" i="8"/>
  <c r="BT97" i="8"/>
  <c r="BT96" i="8"/>
  <c r="BT95" i="8"/>
  <c r="BT94" i="8"/>
  <c r="BT93" i="8"/>
  <c r="BT92" i="8"/>
  <c r="BT91" i="8"/>
  <c r="BT90" i="8"/>
  <c r="BT89" i="8"/>
  <c r="BT88" i="8"/>
  <c r="BS87" i="8"/>
  <c r="BR87" i="8"/>
  <c r="BQ87" i="8"/>
  <c r="BP87" i="8"/>
  <c r="BO87" i="8"/>
  <c r="BN87" i="8"/>
  <c r="BM87" i="8"/>
  <c r="BT87" i="8" s="1"/>
  <c r="BT86" i="8"/>
  <c r="BT85" i="8"/>
  <c r="BT84" i="8"/>
  <c r="BT83" i="8"/>
  <c r="BT82" i="8"/>
  <c r="BT81" i="8"/>
  <c r="BT80" i="8"/>
  <c r="BT79" i="8"/>
  <c r="BT78" i="8"/>
  <c r="BT77" i="8"/>
  <c r="BT76" i="8"/>
  <c r="BS75" i="8"/>
  <c r="BR75" i="8"/>
  <c r="BQ75" i="8"/>
  <c r="BP75" i="8"/>
  <c r="BO75" i="8"/>
  <c r="BN75" i="8"/>
  <c r="BM75" i="8"/>
  <c r="BT75" i="8" s="1"/>
  <c r="BT74" i="8"/>
  <c r="BT73" i="8"/>
  <c r="BT72" i="8"/>
  <c r="BT71" i="8"/>
  <c r="BT70" i="8"/>
  <c r="BT69" i="8"/>
  <c r="BT68" i="8"/>
  <c r="BT67" i="8"/>
  <c r="BT66" i="8"/>
  <c r="BT65" i="8"/>
  <c r="BT64" i="8"/>
  <c r="BT63" i="8"/>
  <c r="BT62" i="8"/>
  <c r="BT61" i="8"/>
  <c r="BT60" i="8"/>
  <c r="BT59" i="8"/>
  <c r="BT58" i="8"/>
  <c r="BT57" i="8"/>
  <c r="BT56" i="8"/>
  <c r="BT55" i="8"/>
  <c r="BT54" i="8"/>
  <c r="BT53" i="8"/>
  <c r="BT52" i="8"/>
  <c r="BS51" i="8"/>
  <c r="BR51" i="8"/>
  <c r="BQ51" i="8"/>
  <c r="BP51" i="8"/>
  <c r="BO51" i="8"/>
  <c r="BN51" i="8"/>
  <c r="BM51" i="8"/>
  <c r="BT51" i="8" s="1"/>
  <c r="BT50" i="8"/>
  <c r="BT49" i="8"/>
  <c r="BT48" i="8"/>
  <c r="BT47" i="8"/>
  <c r="BT46" i="8"/>
  <c r="BT45" i="8"/>
  <c r="BT44" i="8"/>
  <c r="BS43" i="8"/>
  <c r="BR43" i="8"/>
  <c r="BQ43" i="8"/>
  <c r="BP43" i="8"/>
  <c r="BO43" i="8"/>
  <c r="BN43" i="8"/>
  <c r="BM43" i="8"/>
  <c r="BT43" i="8" s="1"/>
  <c r="BT42" i="8"/>
  <c r="BT41" i="8"/>
  <c r="BT40" i="8"/>
  <c r="BT39" i="8"/>
  <c r="BT38" i="8"/>
  <c r="BT37" i="8"/>
  <c r="BT36" i="8"/>
  <c r="BT35" i="8"/>
  <c r="BT34" i="8"/>
  <c r="BT33" i="8"/>
  <c r="BT32" i="8"/>
  <c r="BT31" i="8"/>
  <c r="BT30" i="8"/>
  <c r="BT29" i="8"/>
  <c r="BT28" i="8"/>
  <c r="BT27" i="8"/>
  <c r="BT26" i="8"/>
  <c r="BT25" i="8"/>
  <c r="BS24" i="8"/>
  <c r="BR24" i="8"/>
  <c r="BQ24" i="8"/>
  <c r="BP24" i="8"/>
  <c r="BO24" i="8"/>
  <c r="BN24" i="8"/>
  <c r="BM24" i="8"/>
  <c r="BT24" i="8" s="1"/>
  <c r="BT23" i="8"/>
  <c r="BT22" i="8"/>
  <c r="BT21" i="8"/>
  <c r="BT20" i="8"/>
  <c r="BT19" i="8"/>
  <c r="BT18" i="8"/>
  <c r="BT17" i="8"/>
  <c r="BT16" i="8"/>
  <c r="BT15" i="8"/>
  <c r="BT14" i="8"/>
  <c r="BT13" i="8"/>
  <c r="BT12" i="8"/>
  <c r="BT11" i="8"/>
  <c r="BT10" i="8"/>
  <c r="BT9" i="8"/>
  <c r="BS8" i="8"/>
  <c r="BR8" i="8"/>
  <c r="BQ8" i="8"/>
  <c r="BP8" i="8"/>
  <c r="BO8" i="8"/>
  <c r="BN8" i="8"/>
  <c r="BM8" i="8"/>
  <c r="BT8" i="8" s="1"/>
  <c r="BT7" i="8"/>
  <c r="BT6" i="8"/>
  <c r="BT5" i="8"/>
  <c r="BL500" i="8"/>
  <c r="BL499" i="8"/>
  <c r="BL498" i="8"/>
  <c r="BL497" i="8"/>
  <c r="BL496" i="8"/>
  <c r="BL495" i="8"/>
  <c r="BL494" i="8"/>
  <c r="BK493" i="8"/>
  <c r="BJ493" i="8"/>
  <c r="BI493" i="8"/>
  <c r="BH493" i="8"/>
  <c r="BG493" i="8"/>
  <c r="BF493" i="8"/>
  <c r="BE493" i="8"/>
  <c r="BL493" i="8" s="1"/>
  <c r="BL492" i="8"/>
  <c r="BL491" i="8"/>
  <c r="BL490" i="8"/>
  <c r="BL489" i="8"/>
  <c r="BL488" i="8"/>
  <c r="BL487" i="8"/>
  <c r="BL486" i="8"/>
  <c r="BK485" i="8"/>
  <c r="BJ485" i="8"/>
  <c r="BI485" i="8"/>
  <c r="BH485" i="8"/>
  <c r="BG485" i="8"/>
  <c r="BF485" i="8"/>
  <c r="BE485" i="8"/>
  <c r="BL485" i="8" s="1"/>
  <c r="BL484" i="8"/>
  <c r="BL483" i="8"/>
  <c r="BL482" i="8"/>
  <c r="BL481" i="8"/>
  <c r="BL480" i="8"/>
  <c r="BL479" i="8"/>
  <c r="BL478" i="8"/>
  <c r="BL477" i="8"/>
  <c r="BL476" i="8"/>
  <c r="BL475" i="8"/>
  <c r="BL474" i="8"/>
  <c r="BL473" i="8"/>
  <c r="BL472" i="8"/>
  <c r="BL471" i="8"/>
  <c r="BL470" i="8"/>
  <c r="BL469" i="8"/>
  <c r="BL468" i="8"/>
  <c r="BL467" i="8"/>
  <c r="BL466" i="8"/>
  <c r="BL465" i="8"/>
  <c r="BL464" i="8"/>
  <c r="BL463" i="8"/>
  <c r="BL462" i="8"/>
  <c r="BL461" i="8"/>
  <c r="BL460" i="8"/>
  <c r="BL459" i="8"/>
  <c r="BL458" i="8"/>
  <c r="BL457" i="8"/>
  <c r="BL456" i="8"/>
  <c r="BL455" i="8"/>
  <c r="BL454" i="8"/>
  <c r="BL453" i="8"/>
  <c r="BL452" i="8"/>
  <c r="BL451" i="8"/>
  <c r="BL450" i="8"/>
  <c r="BK449" i="8"/>
  <c r="BJ449" i="8"/>
  <c r="BI449" i="8"/>
  <c r="BH449" i="8"/>
  <c r="BG449" i="8"/>
  <c r="BF449" i="8"/>
  <c r="BE449" i="8"/>
  <c r="BL449" i="8" s="1"/>
  <c r="BL448" i="8"/>
  <c r="BL447" i="8"/>
  <c r="BL446" i="8"/>
  <c r="BL445" i="8"/>
  <c r="BL444" i="8"/>
  <c r="BL443" i="8"/>
  <c r="BL442" i="8"/>
  <c r="BL441" i="8"/>
  <c r="BL440" i="8"/>
  <c r="BL439" i="8"/>
  <c r="BL438" i="8"/>
  <c r="BL437" i="8"/>
  <c r="BL436" i="8"/>
  <c r="BL435" i="8"/>
  <c r="BL434" i="8"/>
  <c r="BL433" i="8"/>
  <c r="BK432" i="8"/>
  <c r="BJ432" i="8"/>
  <c r="BI432" i="8"/>
  <c r="BH432" i="8"/>
  <c r="BG432" i="8"/>
  <c r="BF432" i="8"/>
  <c r="BE432" i="8"/>
  <c r="BL432" i="8" s="1"/>
  <c r="BL431" i="8"/>
  <c r="BL430" i="8"/>
  <c r="BL429" i="8"/>
  <c r="BL428" i="8"/>
  <c r="BL427" i="8"/>
  <c r="BL426" i="8"/>
  <c r="BL425" i="8"/>
  <c r="BL424" i="8"/>
  <c r="BL423" i="8"/>
  <c r="BL422" i="8"/>
  <c r="BL421" i="8"/>
  <c r="BL420" i="8"/>
  <c r="BL419" i="8"/>
  <c r="BL418" i="8"/>
  <c r="BK417" i="8"/>
  <c r="BJ417" i="8"/>
  <c r="BI417" i="8"/>
  <c r="BH417" i="8"/>
  <c r="BG417" i="8"/>
  <c r="BF417" i="8"/>
  <c r="BE417" i="8"/>
  <c r="BL417" i="8" s="1"/>
  <c r="BL416" i="8"/>
  <c r="BL415" i="8"/>
  <c r="BL414" i="8"/>
  <c r="BL413" i="8"/>
  <c r="BL412" i="8"/>
  <c r="BL411" i="8"/>
  <c r="BL410" i="8"/>
  <c r="BL409" i="8"/>
  <c r="BL408" i="8"/>
  <c r="BL407" i="8"/>
  <c r="BL406" i="8"/>
  <c r="BL405" i="8"/>
  <c r="BK404" i="8"/>
  <c r="BJ404" i="8"/>
  <c r="BI404" i="8"/>
  <c r="BH404" i="8"/>
  <c r="BG404" i="8"/>
  <c r="BF404" i="8"/>
  <c r="BE404" i="8"/>
  <c r="BL404" i="8" s="1"/>
  <c r="BL403" i="8"/>
  <c r="BL402" i="8"/>
  <c r="BL401" i="8"/>
  <c r="BL400" i="8"/>
  <c r="BL399" i="8"/>
  <c r="BL398" i="8"/>
  <c r="BL397" i="8"/>
  <c r="BL396" i="8"/>
  <c r="BL395" i="8"/>
  <c r="BL394" i="8"/>
  <c r="BL393" i="8"/>
  <c r="BL392" i="8"/>
  <c r="BL391" i="8"/>
  <c r="BL390" i="8"/>
  <c r="BL389" i="8"/>
  <c r="BL388" i="8"/>
  <c r="BL387" i="8"/>
  <c r="BL386" i="8"/>
  <c r="BL385" i="8"/>
  <c r="BL384" i="8"/>
  <c r="BL383" i="8"/>
  <c r="BL382" i="8"/>
  <c r="BL381" i="8"/>
  <c r="BL380" i="8"/>
  <c r="BL379" i="8"/>
  <c r="BL378" i="8"/>
  <c r="BK377" i="8"/>
  <c r="BJ377" i="8"/>
  <c r="BI377" i="8"/>
  <c r="BH377" i="8"/>
  <c r="BG377" i="8"/>
  <c r="BF377" i="8"/>
  <c r="BE377" i="8"/>
  <c r="BL377" i="8" s="1"/>
  <c r="BL376" i="8"/>
  <c r="BL375" i="8"/>
  <c r="BL374" i="8"/>
  <c r="BL373" i="8"/>
  <c r="BL372" i="8"/>
  <c r="BL371" i="8"/>
  <c r="BL370" i="8"/>
  <c r="BL369" i="8"/>
  <c r="BL368" i="8"/>
  <c r="BL367" i="8"/>
  <c r="BL366" i="8"/>
  <c r="BK365" i="8"/>
  <c r="BJ365" i="8"/>
  <c r="BI365" i="8"/>
  <c r="BH365" i="8"/>
  <c r="BG365" i="8"/>
  <c r="BF365" i="8"/>
  <c r="BE365" i="8"/>
  <c r="BL365" i="8" s="1"/>
  <c r="BL364" i="8"/>
  <c r="BL363" i="8"/>
  <c r="BL362" i="8"/>
  <c r="BL361" i="8"/>
  <c r="BE360" i="8"/>
  <c r="BL360" i="8" s="1"/>
  <c r="BL359" i="8"/>
  <c r="BL358" i="8"/>
  <c r="BK357" i="8"/>
  <c r="BJ357" i="8"/>
  <c r="BI357" i="8"/>
  <c r="BH357" i="8"/>
  <c r="BG357" i="8"/>
  <c r="BF357" i="8"/>
  <c r="BE357" i="8"/>
  <c r="BL357" i="8" s="1"/>
  <c r="BL356" i="8"/>
  <c r="BL355" i="8"/>
  <c r="BL354" i="8"/>
  <c r="BL353" i="8"/>
  <c r="BL352" i="8"/>
  <c r="BL351" i="8"/>
  <c r="BL350" i="8"/>
  <c r="BL349" i="8"/>
  <c r="BL348" i="8"/>
  <c r="BL347" i="8"/>
  <c r="BL346" i="8"/>
  <c r="BL345" i="8"/>
  <c r="BL343" i="8"/>
  <c r="BL342" i="8"/>
  <c r="BL341" i="8"/>
  <c r="BL340" i="8"/>
  <c r="BL339" i="8"/>
  <c r="BL338" i="8"/>
  <c r="BL337" i="8"/>
  <c r="BL336" i="8"/>
  <c r="BL335" i="8"/>
  <c r="BL334" i="8"/>
  <c r="BL333" i="8"/>
  <c r="BK332" i="8"/>
  <c r="BJ332" i="8"/>
  <c r="BI332" i="8"/>
  <c r="BH332" i="8"/>
  <c r="BG332" i="8"/>
  <c r="BF332" i="8"/>
  <c r="BE332" i="8"/>
  <c r="BL332" i="8" s="1"/>
  <c r="BL331" i="8"/>
  <c r="BL330" i="8"/>
  <c r="BL329" i="8"/>
  <c r="BL328" i="8"/>
  <c r="BL327" i="8"/>
  <c r="BL326" i="8"/>
  <c r="BL325" i="8"/>
  <c r="BL324" i="8"/>
  <c r="BL323" i="8"/>
  <c r="BL322" i="8"/>
  <c r="BL321" i="8"/>
  <c r="BL320" i="8"/>
  <c r="BL319" i="8"/>
  <c r="BL318" i="8"/>
  <c r="BL317" i="8"/>
  <c r="BL316" i="8"/>
  <c r="BL315" i="8"/>
  <c r="BL314" i="8"/>
  <c r="BL313" i="8"/>
  <c r="BL312" i="8"/>
  <c r="BL311" i="8"/>
  <c r="BL310" i="8"/>
  <c r="BL309" i="8"/>
  <c r="BL308" i="8"/>
  <c r="BL307" i="8"/>
  <c r="BL306" i="8"/>
  <c r="BL305" i="8"/>
  <c r="BL304" i="8"/>
  <c r="BL303" i="8"/>
  <c r="BL302" i="8"/>
  <c r="BL301" i="8"/>
  <c r="BL300" i="8"/>
  <c r="BL299" i="8"/>
  <c r="BL298" i="8"/>
  <c r="BL297" i="8"/>
  <c r="BK296" i="8"/>
  <c r="BJ296" i="8"/>
  <c r="BI296" i="8"/>
  <c r="BH296" i="8"/>
  <c r="BG296" i="8"/>
  <c r="BF296" i="8"/>
  <c r="BE296" i="8"/>
  <c r="BL296" i="8"/>
  <c r="BL295" i="8"/>
  <c r="BL294" i="8"/>
  <c r="BL293" i="8"/>
  <c r="BL292" i="8"/>
  <c r="BL291" i="8"/>
  <c r="BL290" i="8"/>
  <c r="BK289" i="8"/>
  <c r="BJ289" i="8"/>
  <c r="BI289" i="8"/>
  <c r="BH289" i="8"/>
  <c r="BG289" i="8"/>
  <c r="BF289" i="8"/>
  <c r="BE289" i="8"/>
  <c r="BL289" i="8"/>
  <c r="BL288" i="8"/>
  <c r="BL287" i="8"/>
  <c r="BL286" i="8"/>
  <c r="BL285" i="8"/>
  <c r="BL284" i="8"/>
  <c r="BL283" i="8"/>
  <c r="BL282" i="8"/>
  <c r="BL281" i="8"/>
  <c r="BL280" i="8"/>
  <c r="BL279" i="8"/>
  <c r="BL278" i="8"/>
  <c r="BL277" i="8"/>
  <c r="BK276" i="8"/>
  <c r="BJ276" i="8"/>
  <c r="BI276" i="8"/>
  <c r="BH276" i="8"/>
  <c r="BG276" i="8"/>
  <c r="BF276" i="8"/>
  <c r="BE276" i="8"/>
  <c r="BL276" i="8"/>
  <c r="BL275" i="8"/>
  <c r="BL274" i="8"/>
  <c r="BL273" i="8"/>
  <c r="BL272" i="8"/>
  <c r="BL271" i="8"/>
  <c r="BL270" i="8"/>
  <c r="BL269" i="8"/>
  <c r="BL268" i="8"/>
  <c r="BL267" i="8"/>
  <c r="BL266" i="8"/>
  <c r="BL265" i="8"/>
  <c r="BK264" i="8"/>
  <c r="BJ264" i="8"/>
  <c r="BI264" i="8"/>
  <c r="BH264" i="8"/>
  <c r="BG264" i="8"/>
  <c r="BF264" i="8"/>
  <c r="BE264" i="8"/>
  <c r="BL264" i="8" s="1"/>
  <c r="BL263" i="8"/>
  <c r="BL262" i="8"/>
  <c r="BL261" i="8"/>
  <c r="BL260" i="8"/>
  <c r="BL259" i="8"/>
  <c r="BL258" i="8"/>
  <c r="BL257" i="8"/>
  <c r="BL256" i="8"/>
  <c r="BL255" i="8"/>
  <c r="BL254" i="8"/>
  <c r="BL253" i="8"/>
  <c r="BL252" i="8"/>
  <c r="BL251" i="8"/>
  <c r="BL250" i="8"/>
  <c r="BL249" i="8"/>
  <c r="BL248" i="8"/>
  <c r="BL247" i="8"/>
  <c r="BL246" i="8"/>
  <c r="BL245" i="8"/>
  <c r="BL244" i="8"/>
  <c r="BK243" i="8"/>
  <c r="BJ243" i="8"/>
  <c r="BI243" i="8"/>
  <c r="BH243" i="8"/>
  <c r="BG243" i="8"/>
  <c r="BF243" i="8"/>
  <c r="BE243" i="8"/>
  <c r="BL243" i="8" s="1"/>
  <c r="BL242" i="8"/>
  <c r="BL241" i="8"/>
  <c r="BL240" i="8"/>
  <c r="BL239" i="8"/>
  <c r="BL238" i="8"/>
  <c r="BL237" i="8"/>
  <c r="BL236" i="8"/>
  <c r="BK235" i="8"/>
  <c r="BJ235" i="8"/>
  <c r="BI235" i="8"/>
  <c r="BH235" i="8"/>
  <c r="BG235" i="8"/>
  <c r="BF235" i="8"/>
  <c r="BE235" i="8"/>
  <c r="BL235" i="8"/>
  <c r="BL234" i="8"/>
  <c r="BL233" i="8"/>
  <c r="BL232" i="8"/>
  <c r="BL231" i="8"/>
  <c r="BL230" i="8"/>
  <c r="BL229" i="8"/>
  <c r="BL228" i="8"/>
  <c r="BK227" i="8"/>
  <c r="BJ227" i="8"/>
  <c r="BI227" i="8"/>
  <c r="BH227" i="8"/>
  <c r="BG227" i="8"/>
  <c r="BF227" i="8"/>
  <c r="BE227" i="8"/>
  <c r="BL227" i="8" s="1"/>
  <c r="BL226" i="8"/>
  <c r="BL225" i="8"/>
  <c r="BL224" i="8"/>
  <c r="BL223" i="8"/>
  <c r="BL222" i="8"/>
  <c r="BK221" i="8"/>
  <c r="BJ221" i="8"/>
  <c r="BI221" i="8"/>
  <c r="BH221" i="8"/>
  <c r="BG221" i="8"/>
  <c r="BF221" i="8"/>
  <c r="BE221" i="8"/>
  <c r="BL221" i="8" s="1"/>
  <c r="BL220" i="8"/>
  <c r="BL219" i="8"/>
  <c r="BL218" i="8"/>
  <c r="BL217" i="8"/>
  <c r="BL216" i="8"/>
  <c r="BL215" i="8"/>
  <c r="BL214" i="8"/>
  <c r="BL213" i="8"/>
  <c r="BK212" i="8"/>
  <c r="BJ212" i="8"/>
  <c r="BI212" i="8"/>
  <c r="BH212" i="8"/>
  <c r="BG212" i="8"/>
  <c r="BF212" i="8"/>
  <c r="BE212" i="8"/>
  <c r="BL212" i="8" s="1"/>
  <c r="BL211" i="8"/>
  <c r="BL210" i="8"/>
  <c r="BL209" i="8"/>
  <c r="BL208" i="8"/>
  <c r="BL207" i="8"/>
  <c r="BL206" i="8"/>
  <c r="BL205" i="8"/>
  <c r="BL204" i="8"/>
  <c r="BL203" i="8"/>
  <c r="BL202" i="8"/>
  <c r="BK201" i="8"/>
  <c r="BJ201" i="8"/>
  <c r="BI201" i="8"/>
  <c r="BH201" i="8"/>
  <c r="BG201" i="8"/>
  <c r="BF201" i="8"/>
  <c r="BE201" i="8"/>
  <c r="BL201" i="8" s="1"/>
  <c r="BL200" i="8"/>
  <c r="BL199" i="8"/>
  <c r="BL198" i="8"/>
  <c r="BL197" i="8"/>
  <c r="BL196" i="8"/>
  <c r="BL195" i="8"/>
  <c r="BL194" i="8"/>
  <c r="BK193" i="8"/>
  <c r="BJ193" i="8"/>
  <c r="BI193" i="8"/>
  <c r="BH193" i="8"/>
  <c r="BG193" i="8"/>
  <c r="BF193" i="8"/>
  <c r="BE193" i="8"/>
  <c r="BL193" i="8" s="1"/>
  <c r="BL192" i="8"/>
  <c r="BL191" i="8"/>
  <c r="BL190" i="8"/>
  <c r="BL189" i="8"/>
  <c r="BL188" i="8"/>
  <c r="BL187" i="8"/>
  <c r="BL186" i="8"/>
  <c r="BL185" i="8"/>
  <c r="BL184" i="8"/>
  <c r="BL183" i="8"/>
  <c r="BK182" i="8"/>
  <c r="BJ182" i="8"/>
  <c r="BI182" i="8"/>
  <c r="BH182" i="8"/>
  <c r="BG182" i="8"/>
  <c r="BF182" i="8"/>
  <c r="BE182" i="8"/>
  <c r="BL182" i="8" s="1"/>
  <c r="BL181" i="8"/>
  <c r="BL180" i="8"/>
  <c r="BL179" i="8"/>
  <c r="BL178" i="8"/>
  <c r="BL177" i="8"/>
  <c r="BL176" i="8"/>
  <c r="BL175" i="8"/>
  <c r="BL174" i="8"/>
  <c r="BL173" i="8"/>
  <c r="BL172" i="8"/>
  <c r="BL171" i="8"/>
  <c r="BL170" i="8"/>
  <c r="BL169" i="8"/>
  <c r="BL168" i="8"/>
  <c r="BL167" i="8"/>
  <c r="BL166" i="8"/>
  <c r="BL165" i="8"/>
  <c r="BL164" i="8"/>
  <c r="BL163" i="8"/>
  <c r="BL162" i="8"/>
  <c r="BL161" i="8"/>
  <c r="BL160" i="8"/>
  <c r="BL159" i="8"/>
  <c r="BL158" i="8"/>
  <c r="BK157" i="8"/>
  <c r="BJ157" i="8"/>
  <c r="BI157" i="8"/>
  <c r="BH157" i="8"/>
  <c r="BG157" i="8"/>
  <c r="BF157" i="8"/>
  <c r="BE157" i="8"/>
  <c r="BL157" i="8" s="1"/>
  <c r="BL156" i="8"/>
  <c r="BL155" i="8"/>
  <c r="BL154" i="8"/>
  <c r="BL153" i="8"/>
  <c r="BL152" i="8"/>
  <c r="BL151" i="8"/>
  <c r="BL150" i="8"/>
  <c r="BL149" i="8"/>
  <c r="BK148" i="8"/>
  <c r="BJ148" i="8"/>
  <c r="BI148" i="8"/>
  <c r="BH148" i="8"/>
  <c r="BG148" i="8"/>
  <c r="BF148" i="8"/>
  <c r="BE148" i="8"/>
  <c r="BL148" i="8" s="1"/>
  <c r="BL147" i="8"/>
  <c r="BL146" i="8"/>
  <c r="BL145" i="8"/>
  <c r="BL144" i="8"/>
  <c r="BL143" i="8"/>
  <c r="BL142" i="8"/>
  <c r="BL141" i="8"/>
  <c r="BL140" i="8"/>
  <c r="BL139" i="8"/>
  <c r="BK138" i="8"/>
  <c r="BJ138" i="8"/>
  <c r="BI138" i="8"/>
  <c r="BH138" i="8"/>
  <c r="BG138" i="8"/>
  <c r="BF138" i="8"/>
  <c r="BE138" i="8"/>
  <c r="BL138" i="8" s="1"/>
  <c r="BL137" i="8"/>
  <c r="BL136" i="8"/>
  <c r="BL135" i="8"/>
  <c r="BL134" i="8"/>
  <c r="BL133" i="8"/>
  <c r="BL132" i="8"/>
  <c r="BL131" i="8"/>
  <c r="BL130" i="8"/>
  <c r="BL129" i="8"/>
  <c r="BL128" i="8"/>
  <c r="BL127" i="8"/>
  <c r="BL126" i="8"/>
  <c r="BL125" i="8"/>
  <c r="BL124" i="8"/>
  <c r="BK123" i="8"/>
  <c r="BJ123" i="8"/>
  <c r="BI123" i="8"/>
  <c r="BH123" i="8"/>
  <c r="BG123" i="8"/>
  <c r="BF123" i="8"/>
  <c r="BE123" i="8"/>
  <c r="BL123" i="8" s="1"/>
  <c r="BL122" i="8"/>
  <c r="BL121" i="8"/>
  <c r="BL120" i="8"/>
  <c r="BL119" i="8"/>
  <c r="BL118" i="8"/>
  <c r="BL117" i="8"/>
  <c r="BK116" i="8"/>
  <c r="BJ116" i="8"/>
  <c r="BI116" i="8"/>
  <c r="BH116" i="8"/>
  <c r="BG116" i="8"/>
  <c r="BF116" i="8"/>
  <c r="BE116" i="8"/>
  <c r="BL116" i="8" s="1"/>
  <c r="BL115" i="8"/>
  <c r="BL114" i="8"/>
  <c r="BL113" i="8"/>
  <c r="BL112" i="8"/>
  <c r="BL111" i="8"/>
  <c r="BK110" i="8"/>
  <c r="BJ110" i="8"/>
  <c r="BI110" i="8"/>
  <c r="BH110" i="8"/>
  <c r="BG110" i="8"/>
  <c r="BF110" i="8"/>
  <c r="BE110" i="8"/>
  <c r="BL110" i="8" s="1"/>
  <c r="BL109" i="8"/>
  <c r="BL108" i="8"/>
  <c r="BL107" i="8"/>
  <c r="BL106" i="8"/>
  <c r="BL105" i="8"/>
  <c r="BL104" i="8"/>
  <c r="BL103" i="8"/>
  <c r="BL102" i="8"/>
  <c r="BL101" i="8"/>
  <c r="BL100" i="8"/>
  <c r="BK99" i="8"/>
  <c r="BJ99" i="8"/>
  <c r="BI99" i="8"/>
  <c r="BH99" i="8"/>
  <c r="BG99" i="8"/>
  <c r="BF99" i="8"/>
  <c r="BE99" i="8"/>
  <c r="BL99" i="8" s="1"/>
  <c r="BL98" i="8"/>
  <c r="BL97" i="8"/>
  <c r="BL96" i="8"/>
  <c r="BL95" i="8"/>
  <c r="BL94" i="8"/>
  <c r="BL93" i="8"/>
  <c r="BL92" i="8"/>
  <c r="BL91" i="8"/>
  <c r="BL90" i="8"/>
  <c r="BL89" i="8"/>
  <c r="BL88" i="8"/>
  <c r="BK87" i="8"/>
  <c r="BJ87" i="8"/>
  <c r="BI87" i="8"/>
  <c r="BH87" i="8"/>
  <c r="BG87" i="8"/>
  <c r="BF87" i="8"/>
  <c r="BE87" i="8"/>
  <c r="BL87" i="8" s="1"/>
  <c r="BL86" i="8"/>
  <c r="BL85" i="8"/>
  <c r="BL84" i="8"/>
  <c r="BL83" i="8"/>
  <c r="BL82" i="8"/>
  <c r="BL81" i="8"/>
  <c r="BL80" i="8"/>
  <c r="BL79" i="8"/>
  <c r="BL78" i="8"/>
  <c r="BL77" i="8"/>
  <c r="BL76" i="8"/>
  <c r="BK75" i="8"/>
  <c r="BJ75" i="8"/>
  <c r="BI75" i="8"/>
  <c r="BH75" i="8"/>
  <c r="BG75" i="8"/>
  <c r="BF75" i="8"/>
  <c r="BE75" i="8"/>
  <c r="BL75" i="8" s="1"/>
  <c r="BL74" i="8"/>
  <c r="BL73" i="8"/>
  <c r="BL72" i="8"/>
  <c r="BL71" i="8"/>
  <c r="BL70" i="8"/>
  <c r="BL69" i="8"/>
  <c r="BL68" i="8"/>
  <c r="BL67" i="8"/>
  <c r="BL66" i="8"/>
  <c r="BL65" i="8"/>
  <c r="BL64" i="8"/>
  <c r="BL63" i="8"/>
  <c r="BL62" i="8"/>
  <c r="BL61" i="8"/>
  <c r="BL60" i="8"/>
  <c r="BL59" i="8"/>
  <c r="BL58" i="8"/>
  <c r="BL57" i="8"/>
  <c r="BL56" i="8"/>
  <c r="BL55" i="8"/>
  <c r="BL54" i="8"/>
  <c r="BL53" i="8"/>
  <c r="BL52" i="8"/>
  <c r="BK51" i="8"/>
  <c r="BJ51" i="8"/>
  <c r="BI51" i="8"/>
  <c r="BH51" i="8"/>
  <c r="BG51" i="8"/>
  <c r="BF51" i="8"/>
  <c r="BE51" i="8"/>
  <c r="BL51" i="8" s="1"/>
  <c r="BL50" i="8"/>
  <c r="BL49" i="8"/>
  <c r="BL48" i="8"/>
  <c r="BL47" i="8"/>
  <c r="BL46" i="8"/>
  <c r="BL45" i="8"/>
  <c r="BL44" i="8"/>
  <c r="BK43" i="8"/>
  <c r="BJ43" i="8"/>
  <c r="BI43" i="8"/>
  <c r="BH43" i="8"/>
  <c r="BG43" i="8"/>
  <c r="BF43" i="8"/>
  <c r="BE43" i="8"/>
  <c r="BL43" i="8" s="1"/>
  <c r="BL42" i="8"/>
  <c r="BL41" i="8"/>
  <c r="BL40" i="8"/>
  <c r="BL39" i="8"/>
  <c r="BL38" i="8"/>
  <c r="BL37" i="8"/>
  <c r="BL36" i="8"/>
  <c r="BL35" i="8"/>
  <c r="BL34" i="8"/>
  <c r="BL33" i="8"/>
  <c r="BL32" i="8"/>
  <c r="BL31" i="8"/>
  <c r="BL30" i="8"/>
  <c r="BL29" i="8"/>
  <c r="BL28" i="8"/>
  <c r="BL27" i="8"/>
  <c r="BL26" i="8"/>
  <c r="BL25" i="8"/>
  <c r="BK24" i="8"/>
  <c r="BJ24" i="8"/>
  <c r="BI24" i="8"/>
  <c r="BH24" i="8"/>
  <c r="BG24" i="8"/>
  <c r="BF24" i="8"/>
  <c r="BE24" i="8"/>
  <c r="BL24" i="8" s="1"/>
  <c r="BL23" i="8"/>
  <c r="BL22" i="8"/>
  <c r="BL21" i="8"/>
  <c r="BL20" i="8"/>
  <c r="BL19" i="8"/>
  <c r="BL18" i="8"/>
  <c r="BL17" i="8"/>
  <c r="BL16" i="8"/>
  <c r="BL15" i="8"/>
  <c r="BL14" i="8"/>
  <c r="BL13" i="8"/>
  <c r="BL12" i="8"/>
  <c r="BL11" i="8"/>
  <c r="BL10" i="8"/>
  <c r="BL9" i="8"/>
  <c r="BK8" i="8"/>
  <c r="BJ8" i="8"/>
  <c r="BI8" i="8"/>
  <c r="BH8" i="8"/>
  <c r="BG8" i="8"/>
  <c r="BF8" i="8"/>
  <c r="BE8" i="8"/>
  <c r="BL8" i="8" s="1"/>
  <c r="BL7" i="8"/>
  <c r="BL6" i="8"/>
  <c r="BL5" i="8"/>
  <c r="BD500" i="8"/>
  <c r="BD499" i="8"/>
  <c r="BD498" i="8"/>
  <c r="BD497" i="8"/>
  <c r="BD496" i="8"/>
  <c r="BD495" i="8"/>
  <c r="BD494" i="8"/>
  <c r="BC493" i="8"/>
  <c r="BB493" i="8"/>
  <c r="BA493" i="8"/>
  <c r="AZ493" i="8"/>
  <c r="AY493" i="8"/>
  <c r="AX493" i="8"/>
  <c r="AW493" i="8"/>
  <c r="BD493" i="8" s="1"/>
  <c r="BD492" i="8"/>
  <c r="BD491" i="8"/>
  <c r="BD490" i="8"/>
  <c r="BD489" i="8"/>
  <c r="BD488" i="8"/>
  <c r="BD487" i="8"/>
  <c r="BD486" i="8"/>
  <c r="BC485" i="8"/>
  <c r="BB485" i="8"/>
  <c r="BA485" i="8"/>
  <c r="AZ485" i="8"/>
  <c r="AY485" i="8"/>
  <c r="AX485" i="8"/>
  <c r="AW485" i="8"/>
  <c r="BD485" i="8" s="1"/>
  <c r="BD484" i="8"/>
  <c r="BD483" i="8"/>
  <c r="BD482" i="8"/>
  <c r="BD481" i="8"/>
  <c r="BD480" i="8"/>
  <c r="BD479" i="8"/>
  <c r="BD478" i="8"/>
  <c r="BD477" i="8"/>
  <c r="BD476" i="8"/>
  <c r="BD475" i="8"/>
  <c r="BD474" i="8"/>
  <c r="BD473" i="8"/>
  <c r="BD472" i="8"/>
  <c r="BD471" i="8"/>
  <c r="BD470" i="8"/>
  <c r="BD469" i="8"/>
  <c r="BD468" i="8"/>
  <c r="BD467" i="8"/>
  <c r="BD466" i="8"/>
  <c r="BD465" i="8"/>
  <c r="BD464" i="8"/>
  <c r="BD463" i="8"/>
  <c r="BD462" i="8"/>
  <c r="BD461" i="8"/>
  <c r="BD460" i="8"/>
  <c r="BD459" i="8"/>
  <c r="BD458" i="8"/>
  <c r="BD457" i="8"/>
  <c r="BD456" i="8"/>
  <c r="BD455" i="8"/>
  <c r="BD454" i="8"/>
  <c r="BD453" i="8"/>
  <c r="BD452" i="8"/>
  <c r="BD451" i="8"/>
  <c r="BD450" i="8"/>
  <c r="BC449" i="8"/>
  <c r="BB449" i="8"/>
  <c r="BA449" i="8"/>
  <c r="AZ449" i="8"/>
  <c r="AY449" i="8"/>
  <c r="AX449" i="8"/>
  <c r="AW449" i="8"/>
  <c r="BD449" i="8" s="1"/>
  <c r="BD448" i="8"/>
  <c r="BD447" i="8"/>
  <c r="BD446" i="8"/>
  <c r="BD445" i="8"/>
  <c r="BD444" i="8"/>
  <c r="BD443" i="8"/>
  <c r="BD442" i="8"/>
  <c r="BD441" i="8"/>
  <c r="BD440" i="8"/>
  <c r="BD439" i="8"/>
  <c r="BD438" i="8"/>
  <c r="BD437" i="8"/>
  <c r="BD436" i="8"/>
  <c r="BD435" i="8"/>
  <c r="BD434" i="8"/>
  <c r="BD433" i="8"/>
  <c r="BC432" i="8"/>
  <c r="BB432" i="8"/>
  <c r="BA432" i="8"/>
  <c r="AZ432" i="8"/>
  <c r="AY432" i="8"/>
  <c r="AX432" i="8"/>
  <c r="AW432" i="8"/>
  <c r="BD432" i="8" s="1"/>
  <c r="BD431" i="8"/>
  <c r="BD430" i="8"/>
  <c r="BD429" i="8"/>
  <c r="BD428" i="8"/>
  <c r="BD427" i="8"/>
  <c r="BD426" i="8"/>
  <c r="BD425" i="8"/>
  <c r="BD424" i="8"/>
  <c r="BD423" i="8"/>
  <c r="BD422" i="8"/>
  <c r="BD421" i="8"/>
  <c r="BD420" i="8"/>
  <c r="BD419" i="8"/>
  <c r="BD418" i="8"/>
  <c r="BC417" i="8"/>
  <c r="BB417" i="8"/>
  <c r="BA417" i="8"/>
  <c r="AZ417" i="8"/>
  <c r="AY417" i="8"/>
  <c r="AX417" i="8"/>
  <c r="AW417" i="8"/>
  <c r="BD417" i="8" s="1"/>
  <c r="BD416" i="8"/>
  <c r="BD415" i="8"/>
  <c r="BD414" i="8"/>
  <c r="BD413" i="8"/>
  <c r="BD412" i="8"/>
  <c r="BD411" i="8"/>
  <c r="BD410" i="8"/>
  <c r="BD409" i="8"/>
  <c r="BD408" i="8"/>
  <c r="BD407" i="8"/>
  <c r="BD406" i="8"/>
  <c r="BD405" i="8"/>
  <c r="BC404" i="8"/>
  <c r="BB404" i="8"/>
  <c r="BA404" i="8"/>
  <c r="AZ404" i="8"/>
  <c r="AY404" i="8"/>
  <c r="AX404" i="8"/>
  <c r="AW404" i="8"/>
  <c r="BD404" i="8" s="1"/>
  <c r="BD403" i="8"/>
  <c r="BD402" i="8"/>
  <c r="BD401" i="8"/>
  <c r="BD400" i="8"/>
  <c r="BD399" i="8"/>
  <c r="BD398" i="8"/>
  <c r="BD397" i="8"/>
  <c r="BD396" i="8"/>
  <c r="BD395" i="8"/>
  <c r="BD394" i="8"/>
  <c r="BD393" i="8"/>
  <c r="BD392" i="8"/>
  <c r="BD391" i="8"/>
  <c r="BD390" i="8"/>
  <c r="BD389" i="8"/>
  <c r="BD388" i="8"/>
  <c r="BD387" i="8"/>
  <c r="BD386" i="8"/>
  <c r="BD385" i="8"/>
  <c r="BD384" i="8"/>
  <c r="BD383" i="8"/>
  <c r="BD382" i="8"/>
  <c r="BD381" i="8"/>
  <c r="BD380" i="8"/>
  <c r="BD379" i="8"/>
  <c r="BD378" i="8"/>
  <c r="BC377" i="8"/>
  <c r="BB377" i="8"/>
  <c r="BA377" i="8"/>
  <c r="AZ377" i="8"/>
  <c r="AY377" i="8"/>
  <c r="AX377" i="8"/>
  <c r="AW377" i="8"/>
  <c r="BD377" i="8" s="1"/>
  <c r="BD376" i="8"/>
  <c r="BD375" i="8"/>
  <c r="BD374" i="8"/>
  <c r="BD373" i="8"/>
  <c r="BD372" i="8"/>
  <c r="BD371" i="8"/>
  <c r="BD370" i="8"/>
  <c r="BD369" i="8"/>
  <c r="BD368" i="8"/>
  <c r="BD367" i="8"/>
  <c r="BD366" i="8"/>
  <c r="BC365" i="8"/>
  <c r="BB365" i="8"/>
  <c r="BA365" i="8"/>
  <c r="AZ365" i="8"/>
  <c r="AY365" i="8"/>
  <c r="AX365" i="8"/>
  <c r="AW365" i="8"/>
  <c r="BD365" i="8" s="1"/>
  <c r="BD364" i="8"/>
  <c r="BD363" i="8"/>
  <c r="BD362" i="8"/>
  <c r="BD361" i="8"/>
  <c r="AW360" i="8"/>
  <c r="BD360" i="8" s="1"/>
  <c r="BD359" i="8"/>
  <c r="BD358" i="8"/>
  <c r="BC357" i="8"/>
  <c r="BB357" i="8"/>
  <c r="BA357" i="8"/>
  <c r="AZ357" i="8"/>
  <c r="AY357" i="8"/>
  <c r="AX357" i="8"/>
  <c r="AW357" i="8"/>
  <c r="BD357" i="8" s="1"/>
  <c r="BD356" i="8"/>
  <c r="BD355" i="8"/>
  <c r="BD354" i="8"/>
  <c r="BD353" i="8"/>
  <c r="BD352" i="8"/>
  <c r="BD351" i="8"/>
  <c r="BD350" i="8"/>
  <c r="BD349" i="8"/>
  <c r="BD348" i="8"/>
  <c r="BD347" i="8"/>
  <c r="BD346" i="8"/>
  <c r="BD345" i="8"/>
  <c r="BD343" i="8"/>
  <c r="BD342" i="8"/>
  <c r="BD341" i="8"/>
  <c r="BD340" i="8"/>
  <c r="BD339" i="8"/>
  <c r="BD338" i="8"/>
  <c r="BD337" i="8"/>
  <c r="BD336" i="8"/>
  <c r="BD335" i="8"/>
  <c r="BD334" i="8"/>
  <c r="BD333" i="8"/>
  <c r="BC332" i="8"/>
  <c r="BB332" i="8"/>
  <c r="BA332" i="8"/>
  <c r="AZ332" i="8"/>
  <c r="AY332" i="8"/>
  <c r="AX332" i="8"/>
  <c r="AW332" i="8"/>
  <c r="BD332" i="8" s="1"/>
  <c r="BD331" i="8"/>
  <c r="BD330" i="8"/>
  <c r="BD329" i="8"/>
  <c r="BD328" i="8"/>
  <c r="BD327" i="8"/>
  <c r="BD326" i="8"/>
  <c r="BD325" i="8"/>
  <c r="BD324" i="8"/>
  <c r="BD323" i="8"/>
  <c r="BD322" i="8"/>
  <c r="BD321" i="8"/>
  <c r="BD320" i="8"/>
  <c r="BD319" i="8"/>
  <c r="BD318" i="8"/>
  <c r="BD317" i="8"/>
  <c r="BD316" i="8"/>
  <c r="BD315" i="8"/>
  <c r="BD314" i="8"/>
  <c r="BD313" i="8"/>
  <c r="BD312" i="8"/>
  <c r="BD311" i="8"/>
  <c r="BD310" i="8"/>
  <c r="BD309" i="8"/>
  <c r="BD308" i="8"/>
  <c r="BD307" i="8"/>
  <c r="BD306" i="8"/>
  <c r="BD305" i="8"/>
  <c r="BD304" i="8"/>
  <c r="BD303" i="8"/>
  <c r="BD302" i="8"/>
  <c r="BD301" i="8"/>
  <c r="BD300" i="8"/>
  <c r="BD299" i="8"/>
  <c r="BD298" i="8"/>
  <c r="BD297" i="8"/>
  <c r="BC296" i="8"/>
  <c r="BB296" i="8"/>
  <c r="BA296" i="8"/>
  <c r="AZ296" i="8"/>
  <c r="AY296" i="8"/>
  <c r="AX296" i="8"/>
  <c r="AW296" i="8"/>
  <c r="BD296" i="8" s="1"/>
  <c r="BD295" i="8"/>
  <c r="BD294" i="8"/>
  <c r="BD293" i="8"/>
  <c r="BD292" i="8"/>
  <c r="BD291" i="8"/>
  <c r="BD290" i="8"/>
  <c r="BC289" i="8"/>
  <c r="BB289" i="8"/>
  <c r="BA289" i="8"/>
  <c r="AZ289" i="8"/>
  <c r="AY289" i="8"/>
  <c r="AX289" i="8"/>
  <c r="AW289" i="8"/>
  <c r="BD289" i="8" s="1"/>
  <c r="BD288" i="8"/>
  <c r="BD287" i="8"/>
  <c r="BD286" i="8"/>
  <c r="BD285" i="8"/>
  <c r="BD284" i="8"/>
  <c r="BD283" i="8"/>
  <c r="BD282" i="8"/>
  <c r="BD281" i="8"/>
  <c r="BD280" i="8"/>
  <c r="BD279" i="8"/>
  <c r="BD278" i="8"/>
  <c r="BD277" i="8"/>
  <c r="BC276" i="8"/>
  <c r="BB276" i="8"/>
  <c r="BA276" i="8"/>
  <c r="AZ276" i="8"/>
  <c r="AY276" i="8"/>
  <c r="AX276" i="8"/>
  <c r="AW276" i="8"/>
  <c r="BD276" i="8" s="1"/>
  <c r="BD275" i="8"/>
  <c r="BD274" i="8"/>
  <c r="BD273" i="8"/>
  <c r="BD272" i="8"/>
  <c r="BD271" i="8"/>
  <c r="BD270" i="8"/>
  <c r="BD269" i="8"/>
  <c r="BD268" i="8"/>
  <c r="BD267" i="8"/>
  <c r="BD266" i="8"/>
  <c r="BD265" i="8"/>
  <c r="BC264" i="8"/>
  <c r="BB264" i="8"/>
  <c r="BA264" i="8"/>
  <c r="AZ264" i="8"/>
  <c r="AY264" i="8"/>
  <c r="AX264" i="8"/>
  <c r="AW264" i="8"/>
  <c r="BD264" i="8" s="1"/>
  <c r="BD263" i="8"/>
  <c r="BD262" i="8"/>
  <c r="BD261" i="8"/>
  <c r="BD260" i="8"/>
  <c r="BD259" i="8"/>
  <c r="BD258" i="8"/>
  <c r="BD257" i="8"/>
  <c r="BD256" i="8"/>
  <c r="BD255" i="8"/>
  <c r="BD254" i="8"/>
  <c r="BD253" i="8"/>
  <c r="BD252" i="8"/>
  <c r="BD251" i="8"/>
  <c r="BD250" i="8"/>
  <c r="BD249" i="8"/>
  <c r="BD248" i="8"/>
  <c r="BD247" i="8"/>
  <c r="BD246" i="8"/>
  <c r="BD245" i="8"/>
  <c r="BD244" i="8"/>
  <c r="BC243" i="8"/>
  <c r="BB243" i="8"/>
  <c r="BA243" i="8"/>
  <c r="AZ243" i="8"/>
  <c r="AY243" i="8"/>
  <c r="AX243" i="8"/>
  <c r="AW243" i="8"/>
  <c r="BD243" i="8" s="1"/>
  <c r="BD242" i="8"/>
  <c r="BD241" i="8"/>
  <c r="BD240" i="8"/>
  <c r="BD239" i="8"/>
  <c r="BD238" i="8"/>
  <c r="BD237" i="8"/>
  <c r="BD236" i="8"/>
  <c r="BC235" i="8"/>
  <c r="BB235" i="8"/>
  <c r="BA235" i="8"/>
  <c r="AZ235" i="8"/>
  <c r="AY235" i="8"/>
  <c r="AX235" i="8"/>
  <c r="AW235" i="8"/>
  <c r="BD235" i="8" s="1"/>
  <c r="BD234" i="8"/>
  <c r="BD233" i="8"/>
  <c r="BD232" i="8"/>
  <c r="BD231" i="8"/>
  <c r="BD230" i="8"/>
  <c r="BD229" i="8"/>
  <c r="BD228" i="8"/>
  <c r="BC227" i="8"/>
  <c r="BB227" i="8"/>
  <c r="BA227" i="8"/>
  <c r="AZ227" i="8"/>
  <c r="AY227" i="8"/>
  <c r="AX227" i="8"/>
  <c r="AW227" i="8"/>
  <c r="BD227" i="8" s="1"/>
  <c r="BD226" i="8"/>
  <c r="BD225" i="8"/>
  <c r="BD224" i="8"/>
  <c r="BD223" i="8"/>
  <c r="BD222" i="8"/>
  <c r="BC221" i="8"/>
  <c r="BB221" i="8"/>
  <c r="BA221" i="8"/>
  <c r="AZ221" i="8"/>
  <c r="AY221" i="8"/>
  <c r="AX221" i="8"/>
  <c r="AW221" i="8"/>
  <c r="BD221" i="8" s="1"/>
  <c r="BD220" i="8"/>
  <c r="BD219" i="8"/>
  <c r="BD218" i="8"/>
  <c r="BD217" i="8"/>
  <c r="BD216" i="8"/>
  <c r="BD215" i="8"/>
  <c r="BD214" i="8"/>
  <c r="BD213" i="8"/>
  <c r="BC212" i="8"/>
  <c r="BB212" i="8"/>
  <c r="BA212" i="8"/>
  <c r="AZ212" i="8"/>
  <c r="AY212" i="8"/>
  <c r="AX212" i="8"/>
  <c r="AW212" i="8"/>
  <c r="BD212" i="8" s="1"/>
  <c r="BD211" i="8"/>
  <c r="BD210" i="8"/>
  <c r="BD209" i="8"/>
  <c r="BD208" i="8"/>
  <c r="BD207" i="8"/>
  <c r="BD206" i="8"/>
  <c r="BD205" i="8"/>
  <c r="BD204" i="8"/>
  <c r="BD203" i="8"/>
  <c r="BD202" i="8"/>
  <c r="BC201" i="8"/>
  <c r="BB201" i="8"/>
  <c r="BA201" i="8"/>
  <c r="AZ201" i="8"/>
  <c r="AY201" i="8"/>
  <c r="AX201" i="8"/>
  <c r="AW201" i="8"/>
  <c r="BD201" i="8" s="1"/>
  <c r="BD200" i="8"/>
  <c r="BD199" i="8"/>
  <c r="BD198" i="8"/>
  <c r="BD197" i="8"/>
  <c r="BD196" i="8"/>
  <c r="BD195" i="8"/>
  <c r="BD194" i="8"/>
  <c r="BC193" i="8"/>
  <c r="BB193" i="8"/>
  <c r="BA193" i="8"/>
  <c r="AZ193" i="8"/>
  <c r="AY193" i="8"/>
  <c r="AX193" i="8"/>
  <c r="AW193" i="8"/>
  <c r="BD193" i="8" s="1"/>
  <c r="BD192" i="8"/>
  <c r="BD191" i="8"/>
  <c r="BD190" i="8"/>
  <c r="BD189" i="8"/>
  <c r="BD188" i="8"/>
  <c r="BD187" i="8"/>
  <c r="BD186" i="8"/>
  <c r="BD185" i="8"/>
  <c r="BD184" i="8"/>
  <c r="BD183" i="8"/>
  <c r="BC182" i="8"/>
  <c r="BB182" i="8"/>
  <c r="BA182" i="8"/>
  <c r="AZ182" i="8"/>
  <c r="AY182" i="8"/>
  <c r="AX182" i="8"/>
  <c r="AW182" i="8"/>
  <c r="BD182" i="8" s="1"/>
  <c r="BD181" i="8"/>
  <c r="BD180" i="8"/>
  <c r="BD179" i="8"/>
  <c r="BD178" i="8"/>
  <c r="BD177" i="8"/>
  <c r="BD176" i="8"/>
  <c r="BD175" i="8"/>
  <c r="BD174" i="8"/>
  <c r="BD173" i="8"/>
  <c r="BD172" i="8"/>
  <c r="BD171" i="8"/>
  <c r="BD170" i="8"/>
  <c r="BD169" i="8"/>
  <c r="BD168" i="8"/>
  <c r="BD167" i="8"/>
  <c r="BD166" i="8"/>
  <c r="BD165" i="8"/>
  <c r="BD164" i="8"/>
  <c r="BD163" i="8"/>
  <c r="BD162" i="8"/>
  <c r="BD161" i="8"/>
  <c r="BD160" i="8"/>
  <c r="BD159" i="8"/>
  <c r="BD158" i="8"/>
  <c r="BC157" i="8"/>
  <c r="BB157" i="8"/>
  <c r="BA157" i="8"/>
  <c r="AZ157" i="8"/>
  <c r="AY157" i="8"/>
  <c r="AX157" i="8"/>
  <c r="AW157" i="8"/>
  <c r="BD157" i="8" s="1"/>
  <c r="BD156" i="8"/>
  <c r="BD155" i="8"/>
  <c r="BD154" i="8"/>
  <c r="BD153" i="8"/>
  <c r="BD152" i="8"/>
  <c r="BD151" i="8"/>
  <c r="BD150" i="8"/>
  <c r="BD149" i="8"/>
  <c r="BC148" i="8"/>
  <c r="BB148" i="8"/>
  <c r="BA148" i="8"/>
  <c r="AZ148" i="8"/>
  <c r="AY148" i="8"/>
  <c r="AX148" i="8"/>
  <c r="AW148" i="8"/>
  <c r="BD148" i="8" s="1"/>
  <c r="BD147" i="8"/>
  <c r="BD146" i="8"/>
  <c r="BD145" i="8"/>
  <c r="BD144" i="8"/>
  <c r="BD143" i="8"/>
  <c r="BD142" i="8"/>
  <c r="BD141" i="8"/>
  <c r="BD140" i="8"/>
  <c r="BD139" i="8"/>
  <c r="BC138" i="8"/>
  <c r="BB138" i="8"/>
  <c r="BA138" i="8"/>
  <c r="AZ138" i="8"/>
  <c r="AY138" i="8"/>
  <c r="AX138" i="8"/>
  <c r="AW138" i="8"/>
  <c r="BD138" i="8" s="1"/>
  <c r="BD137" i="8"/>
  <c r="BD136" i="8"/>
  <c r="BD135" i="8"/>
  <c r="BD134" i="8"/>
  <c r="BD133" i="8"/>
  <c r="BD132" i="8"/>
  <c r="BD131" i="8"/>
  <c r="BD130" i="8"/>
  <c r="BD129" i="8"/>
  <c r="BD128" i="8"/>
  <c r="BD127" i="8"/>
  <c r="BD126" i="8"/>
  <c r="BD125" i="8"/>
  <c r="BD124" i="8"/>
  <c r="BC123" i="8"/>
  <c r="BB123" i="8"/>
  <c r="BA123" i="8"/>
  <c r="AZ123" i="8"/>
  <c r="AY123" i="8"/>
  <c r="AX123" i="8"/>
  <c r="AW123" i="8"/>
  <c r="BD123" i="8" s="1"/>
  <c r="BD122" i="8"/>
  <c r="BD121" i="8"/>
  <c r="BD120" i="8"/>
  <c r="BD119" i="8"/>
  <c r="BD118" i="8"/>
  <c r="BD117" i="8"/>
  <c r="BC116" i="8"/>
  <c r="BB116" i="8"/>
  <c r="BA116" i="8"/>
  <c r="AZ116" i="8"/>
  <c r="AY116" i="8"/>
  <c r="AX116" i="8"/>
  <c r="AW116" i="8"/>
  <c r="BD116" i="8" s="1"/>
  <c r="BD115" i="8"/>
  <c r="BD114" i="8"/>
  <c r="BD113" i="8"/>
  <c r="BD112" i="8"/>
  <c r="BD111" i="8"/>
  <c r="BC110" i="8"/>
  <c r="BB110" i="8"/>
  <c r="BA110" i="8"/>
  <c r="AZ110" i="8"/>
  <c r="AY110" i="8"/>
  <c r="AX110" i="8"/>
  <c r="AW110" i="8"/>
  <c r="BD110" i="8" s="1"/>
  <c r="BD109" i="8"/>
  <c r="BD108" i="8"/>
  <c r="BD107" i="8"/>
  <c r="BD106" i="8"/>
  <c r="BD105" i="8"/>
  <c r="BD104" i="8"/>
  <c r="BD103" i="8"/>
  <c r="BD102" i="8"/>
  <c r="BD101" i="8"/>
  <c r="BD100" i="8"/>
  <c r="BC99" i="8"/>
  <c r="BB99" i="8"/>
  <c r="BA99" i="8"/>
  <c r="AZ99" i="8"/>
  <c r="AY99" i="8"/>
  <c r="AX99" i="8"/>
  <c r="AW99" i="8"/>
  <c r="BD99" i="8" s="1"/>
  <c r="BD98" i="8"/>
  <c r="BD97" i="8"/>
  <c r="BD96" i="8"/>
  <c r="BD95" i="8"/>
  <c r="BD94" i="8"/>
  <c r="BD93" i="8"/>
  <c r="BD92" i="8"/>
  <c r="BD91" i="8"/>
  <c r="BD90" i="8"/>
  <c r="BD89" i="8"/>
  <c r="BD88" i="8"/>
  <c r="BC87" i="8"/>
  <c r="BB87" i="8"/>
  <c r="BA87" i="8"/>
  <c r="AZ87" i="8"/>
  <c r="AY87" i="8"/>
  <c r="AX87" i="8"/>
  <c r="AW87" i="8"/>
  <c r="BD87" i="8" s="1"/>
  <c r="BD86" i="8"/>
  <c r="BD85" i="8"/>
  <c r="BD84" i="8"/>
  <c r="BD83" i="8"/>
  <c r="BD82" i="8"/>
  <c r="BD81" i="8"/>
  <c r="BD80" i="8"/>
  <c r="BD79" i="8"/>
  <c r="BD78" i="8"/>
  <c r="BD77" i="8"/>
  <c r="BD76" i="8"/>
  <c r="BC75" i="8"/>
  <c r="BB75" i="8"/>
  <c r="BA75" i="8"/>
  <c r="AZ75" i="8"/>
  <c r="AY75" i="8"/>
  <c r="AX75" i="8"/>
  <c r="AW75" i="8"/>
  <c r="BD75" i="8" s="1"/>
  <c r="BD74" i="8"/>
  <c r="BD73" i="8"/>
  <c r="BD72" i="8"/>
  <c r="BD71" i="8"/>
  <c r="BD70" i="8"/>
  <c r="BD69" i="8"/>
  <c r="BD68" i="8"/>
  <c r="BD67" i="8"/>
  <c r="BD66" i="8"/>
  <c r="BD65" i="8"/>
  <c r="BD64" i="8"/>
  <c r="BD63" i="8"/>
  <c r="BD62" i="8"/>
  <c r="BD61" i="8"/>
  <c r="BD60" i="8"/>
  <c r="BD59" i="8"/>
  <c r="BD58" i="8"/>
  <c r="BD57" i="8"/>
  <c r="BD56" i="8"/>
  <c r="BD55" i="8"/>
  <c r="BD54" i="8"/>
  <c r="BD53" i="8"/>
  <c r="BD52" i="8"/>
  <c r="BC51" i="8"/>
  <c r="BB51" i="8"/>
  <c r="BA51" i="8"/>
  <c r="AZ51" i="8"/>
  <c r="AY51" i="8"/>
  <c r="AX51" i="8"/>
  <c r="AW51" i="8"/>
  <c r="BD51" i="8" s="1"/>
  <c r="BD50" i="8"/>
  <c r="BD49" i="8"/>
  <c r="BD48" i="8"/>
  <c r="BD47" i="8"/>
  <c r="BD46" i="8"/>
  <c r="BD45" i="8"/>
  <c r="BD44" i="8"/>
  <c r="BC43" i="8"/>
  <c r="BB43" i="8"/>
  <c r="BA43" i="8"/>
  <c r="AZ43" i="8"/>
  <c r="AY43" i="8"/>
  <c r="AX43" i="8"/>
  <c r="AW43" i="8"/>
  <c r="BD43" i="8" s="1"/>
  <c r="BD42" i="8"/>
  <c r="BD41" i="8"/>
  <c r="BD40" i="8"/>
  <c r="BD39" i="8"/>
  <c r="BD38" i="8"/>
  <c r="BD37" i="8"/>
  <c r="BD36" i="8"/>
  <c r="BD35" i="8"/>
  <c r="BD34" i="8"/>
  <c r="BD33" i="8"/>
  <c r="BD32" i="8"/>
  <c r="BD31" i="8"/>
  <c r="BD30" i="8"/>
  <c r="BD29" i="8"/>
  <c r="BD28" i="8"/>
  <c r="BD27" i="8"/>
  <c r="BD26" i="8"/>
  <c r="BD25" i="8"/>
  <c r="BC24" i="8"/>
  <c r="BB24" i="8"/>
  <c r="BA24" i="8"/>
  <c r="AZ24" i="8"/>
  <c r="AY24" i="8"/>
  <c r="AX24" i="8"/>
  <c r="AW24" i="8"/>
  <c r="BD24" i="8" s="1"/>
  <c r="BD23" i="8"/>
  <c r="BD22" i="8"/>
  <c r="BD21" i="8"/>
  <c r="BD20" i="8"/>
  <c r="BD19" i="8"/>
  <c r="BD18" i="8"/>
  <c r="BD17" i="8"/>
  <c r="BD16" i="8"/>
  <c r="BD15" i="8"/>
  <c r="BD14" i="8"/>
  <c r="BD13" i="8"/>
  <c r="BD12" i="8"/>
  <c r="BD11" i="8"/>
  <c r="BD10" i="8"/>
  <c r="BD9" i="8"/>
  <c r="BC8" i="8"/>
  <c r="BB8" i="8"/>
  <c r="BA8" i="8"/>
  <c r="AZ8" i="8"/>
  <c r="AY8" i="8"/>
  <c r="AX8" i="8"/>
  <c r="AW8" i="8"/>
  <c r="BD8" i="8" s="1"/>
  <c r="BD7" i="8"/>
  <c r="BD6" i="8"/>
  <c r="BD5" i="8"/>
  <c r="AP493" i="8"/>
  <c r="AQ493" i="8"/>
  <c r="AR493" i="8"/>
  <c r="AS493" i="8"/>
  <c r="AT493" i="8"/>
  <c r="AU493" i="8"/>
  <c r="AO493" i="8"/>
  <c r="AV493" i="8" s="1"/>
  <c r="AQ485" i="8"/>
  <c r="AR485" i="8"/>
  <c r="AS485" i="8"/>
  <c r="AT485" i="8"/>
  <c r="AU485" i="8"/>
  <c r="AP449" i="8"/>
  <c r="AQ449" i="8"/>
  <c r="AR449" i="8"/>
  <c r="AS449" i="8"/>
  <c r="AT449" i="8"/>
  <c r="AU449" i="8"/>
  <c r="AO449" i="8"/>
  <c r="AV449" i="8" s="1"/>
  <c r="AP432" i="8"/>
  <c r="AQ432" i="8"/>
  <c r="AR432" i="8"/>
  <c r="AS432" i="8"/>
  <c r="AT432" i="8"/>
  <c r="AU432" i="8"/>
  <c r="AO432" i="8"/>
  <c r="AV432" i="8" s="1"/>
  <c r="AP417" i="8"/>
  <c r="AQ417" i="8"/>
  <c r="AR417" i="8"/>
  <c r="AS417" i="8"/>
  <c r="AT417" i="8"/>
  <c r="AU417" i="8"/>
  <c r="AO417" i="8"/>
  <c r="AV417" i="8" s="1"/>
  <c r="AP404" i="8"/>
  <c r="AQ404" i="8"/>
  <c r="AR404" i="8"/>
  <c r="AS404" i="8"/>
  <c r="AT404" i="8"/>
  <c r="AU404" i="8"/>
  <c r="AO404" i="8"/>
  <c r="AV404" i="8" s="1"/>
  <c r="AP377" i="8"/>
  <c r="AQ377" i="8"/>
  <c r="AR377" i="8"/>
  <c r="AS377" i="8"/>
  <c r="AT377" i="8"/>
  <c r="AU377" i="8"/>
  <c r="AO377" i="8"/>
  <c r="AV377" i="8" s="1"/>
  <c r="AP365" i="8"/>
  <c r="AQ365" i="8"/>
  <c r="AR365" i="8"/>
  <c r="AS365" i="8"/>
  <c r="AT365" i="8"/>
  <c r="AU365" i="8"/>
  <c r="AO365" i="8"/>
  <c r="AV365" i="8" s="1"/>
  <c r="AO360" i="8"/>
  <c r="AV360" i="8" s="1"/>
  <c r="AP357" i="8"/>
  <c r="AQ357" i="8"/>
  <c r="AR357" i="8"/>
  <c r="AS357" i="8"/>
  <c r="AT357" i="8"/>
  <c r="AU357" i="8"/>
  <c r="AO357" i="8"/>
  <c r="AV357" i="8" s="1"/>
  <c r="AP332" i="8"/>
  <c r="AQ332" i="8"/>
  <c r="AR332" i="8"/>
  <c r="AS332" i="8"/>
  <c r="AT332" i="8"/>
  <c r="AU332" i="8"/>
  <c r="AO332" i="8"/>
  <c r="AV332" i="8" s="1"/>
  <c r="AP296" i="8"/>
  <c r="AQ296" i="8"/>
  <c r="AR296" i="8"/>
  <c r="AS296" i="8"/>
  <c r="AT296" i="8"/>
  <c r="AU296" i="8"/>
  <c r="AO296" i="8"/>
  <c r="AV296" i="8" s="1"/>
  <c r="AP289" i="8"/>
  <c r="AQ289" i="8"/>
  <c r="AR289" i="8"/>
  <c r="AS289" i="8"/>
  <c r="AT289" i="8"/>
  <c r="AU289" i="8"/>
  <c r="AO289" i="8"/>
  <c r="AV289" i="8" s="1"/>
  <c r="AP276" i="8"/>
  <c r="AQ276" i="8"/>
  <c r="AR276" i="8"/>
  <c r="AS276" i="8"/>
  <c r="AT276" i="8"/>
  <c r="AU276" i="8"/>
  <c r="AO276" i="8"/>
  <c r="AP264" i="8"/>
  <c r="AQ264" i="8"/>
  <c r="AR264" i="8"/>
  <c r="AS264" i="8"/>
  <c r="AT264" i="8"/>
  <c r="AU264" i="8"/>
  <c r="AO264" i="8"/>
  <c r="AV264" i="8" s="1"/>
  <c r="AP243" i="8"/>
  <c r="AQ243" i="8"/>
  <c r="AR243" i="8"/>
  <c r="AS243" i="8"/>
  <c r="AT243" i="8"/>
  <c r="AU243" i="8"/>
  <c r="AO243" i="8"/>
  <c r="AV243" i="8" s="1"/>
  <c r="AP235" i="8"/>
  <c r="AQ235" i="8"/>
  <c r="AR235" i="8"/>
  <c r="AS235" i="8"/>
  <c r="AT235" i="8"/>
  <c r="AU235" i="8"/>
  <c r="AO235" i="8"/>
  <c r="AV235" i="8" s="1"/>
  <c r="AP227" i="8"/>
  <c r="AQ227" i="8"/>
  <c r="AR227" i="8"/>
  <c r="AS227" i="8"/>
  <c r="AT227" i="8"/>
  <c r="AU227" i="8"/>
  <c r="AO227" i="8"/>
  <c r="AV227" i="8" s="1"/>
  <c r="AP221" i="8"/>
  <c r="AQ221" i="8"/>
  <c r="AR221" i="8"/>
  <c r="AS221" i="8"/>
  <c r="AT221" i="8"/>
  <c r="AU221" i="8"/>
  <c r="AO221" i="8"/>
  <c r="AV221" i="8" s="1"/>
  <c r="AP212" i="8"/>
  <c r="AQ212" i="8"/>
  <c r="AR212" i="8"/>
  <c r="AS212" i="8"/>
  <c r="AT212" i="8"/>
  <c r="AU212" i="8"/>
  <c r="AO212" i="8"/>
  <c r="AV212" i="8" s="1"/>
  <c r="AP193" i="8"/>
  <c r="AQ193" i="8"/>
  <c r="AR193" i="8"/>
  <c r="AS193" i="8"/>
  <c r="AT193" i="8"/>
  <c r="AU193" i="8"/>
  <c r="AO193" i="8"/>
  <c r="AV193" i="8" s="1"/>
  <c r="AP182" i="8"/>
  <c r="AQ182" i="8"/>
  <c r="AR182" i="8"/>
  <c r="AS182" i="8"/>
  <c r="AT182" i="8"/>
  <c r="AU182" i="8"/>
  <c r="AO182" i="8"/>
  <c r="AV182" i="8" s="1"/>
  <c r="AQ157" i="8"/>
  <c r="AR157" i="8"/>
  <c r="AS157" i="8"/>
  <c r="AT157" i="8"/>
  <c r="AU157" i="8"/>
  <c r="AP148" i="8"/>
  <c r="AQ148" i="8"/>
  <c r="AR148" i="8"/>
  <c r="AS148" i="8"/>
  <c r="AT148" i="8"/>
  <c r="AU148" i="8"/>
  <c r="AO148" i="8"/>
  <c r="AV148" i="8" s="1"/>
  <c r="AP138" i="8"/>
  <c r="AQ138" i="8"/>
  <c r="AR138" i="8"/>
  <c r="AS138" i="8"/>
  <c r="AT138" i="8"/>
  <c r="AU138" i="8"/>
  <c r="AO138" i="8"/>
  <c r="AV138" i="8" s="1"/>
  <c r="AP123" i="8"/>
  <c r="AQ123" i="8"/>
  <c r="AR123" i="8"/>
  <c r="AS123" i="8"/>
  <c r="AT123" i="8"/>
  <c r="AU123" i="8"/>
  <c r="AO123" i="8"/>
  <c r="AV123" i="8" s="1"/>
  <c r="AP116" i="8"/>
  <c r="AQ116" i="8"/>
  <c r="AR116" i="8"/>
  <c r="AS116" i="8"/>
  <c r="AT116" i="8"/>
  <c r="AU116" i="8"/>
  <c r="AO116" i="8"/>
  <c r="AV116" i="8" s="1"/>
  <c r="AP110" i="8"/>
  <c r="AQ110" i="8"/>
  <c r="AR110" i="8"/>
  <c r="AS110" i="8"/>
  <c r="AT110" i="8"/>
  <c r="AU110" i="8"/>
  <c r="AO110" i="8"/>
  <c r="AP43" i="8"/>
  <c r="AQ43" i="8"/>
  <c r="AR43" i="8"/>
  <c r="AS43" i="8"/>
  <c r="AT43" i="8"/>
  <c r="AU43" i="8"/>
  <c r="AO43" i="8"/>
  <c r="AV43" i="8" s="1"/>
  <c r="AP24" i="8"/>
  <c r="AQ24" i="8"/>
  <c r="AR24" i="8"/>
  <c r="AS24" i="8"/>
  <c r="AT24" i="8"/>
  <c r="AU24" i="8"/>
  <c r="AO24" i="8"/>
  <c r="AV24" i="8" s="1"/>
  <c r="BX10" i="8"/>
  <c r="BX11" i="8"/>
  <c r="BX12" i="8"/>
  <c r="BX13" i="8"/>
  <c r="BX14" i="8"/>
  <c r="BX15" i="8"/>
  <c r="BX16" i="8"/>
  <c r="BX17" i="8"/>
  <c r="BX18" i="8"/>
  <c r="BX19" i="8"/>
  <c r="BX20" i="8"/>
  <c r="BX21" i="8"/>
  <c r="BX22" i="8"/>
  <c r="BX23" i="8"/>
  <c r="BX24" i="8"/>
  <c r="BX25" i="8"/>
  <c r="BX26" i="8"/>
  <c r="BX27" i="8"/>
  <c r="BX28" i="8"/>
  <c r="BX29" i="8"/>
  <c r="BX30" i="8"/>
  <c r="BX31" i="8"/>
  <c r="BX32" i="8"/>
  <c r="BX33" i="8"/>
  <c r="BX34" i="8"/>
  <c r="BX35" i="8"/>
  <c r="BX36" i="8"/>
  <c r="BX37" i="8"/>
  <c r="BX38" i="8"/>
  <c r="BX39" i="8"/>
  <c r="BX40" i="8"/>
  <c r="BX41" i="8"/>
  <c r="BX42" i="8"/>
  <c r="BX43" i="8"/>
  <c r="BX44" i="8"/>
  <c r="BX46" i="8"/>
  <c r="BX47" i="8"/>
  <c r="BX48" i="8"/>
  <c r="BX49" i="8"/>
  <c r="BX50" i="8"/>
  <c r="BX51" i="8"/>
  <c r="BX52" i="8"/>
  <c r="BX53" i="8"/>
  <c r="BX54" i="8"/>
  <c r="BX55" i="8"/>
  <c r="BX56" i="8"/>
  <c r="BX57" i="8"/>
  <c r="BX58" i="8"/>
  <c r="BX59" i="8"/>
  <c r="BX60" i="8"/>
  <c r="BX61" i="8"/>
  <c r="BX62" i="8"/>
  <c r="BX63" i="8"/>
  <c r="BX64" i="8"/>
  <c r="BX65" i="8"/>
  <c r="BX66" i="8"/>
  <c r="BX67" i="8"/>
  <c r="BX68" i="8"/>
  <c r="BX69" i="8"/>
  <c r="BX70" i="8"/>
  <c r="BX71" i="8"/>
  <c r="BX72" i="8"/>
  <c r="BX73" i="8"/>
  <c r="BX74" i="8"/>
  <c r="BX75" i="8"/>
  <c r="BX76" i="8"/>
  <c r="BX77" i="8"/>
  <c r="BX78" i="8"/>
  <c r="BX79" i="8"/>
  <c r="BX80" i="8"/>
  <c r="BX81" i="8"/>
  <c r="BX82" i="8"/>
  <c r="BX83" i="8"/>
  <c r="BX84" i="8"/>
  <c r="BX85" i="8"/>
  <c r="BX86" i="8"/>
  <c r="BX87" i="8"/>
  <c r="BX88" i="8"/>
  <c r="BX89" i="8"/>
  <c r="BX90" i="8"/>
  <c r="BX91" i="8"/>
  <c r="BX92" i="8"/>
  <c r="BX93" i="8"/>
  <c r="BX94" i="8"/>
  <c r="BX95" i="8"/>
  <c r="BX96" i="8"/>
  <c r="BX97" i="8"/>
  <c r="BX98" i="8"/>
  <c r="BX99" i="8"/>
  <c r="BX100" i="8"/>
  <c r="BX101" i="8"/>
  <c r="BX102" i="8"/>
  <c r="BX103" i="8"/>
  <c r="BX104" i="8"/>
  <c r="BX105" i="8"/>
  <c r="BX106" i="8"/>
  <c r="BX107" i="8"/>
  <c r="BX108" i="8"/>
  <c r="BX109" i="8"/>
  <c r="BX110" i="8"/>
  <c r="BX111" i="8"/>
  <c r="BX112" i="8"/>
  <c r="BX113" i="8"/>
  <c r="BX114" i="8"/>
  <c r="BX115" i="8"/>
  <c r="BX116" i="8"/>
  <c r="BX118" i="8"/>
  <c r="BX119" i="8"/>
  <c r="BX120" i="8"/>
  <c r="BX121" i="8"/>
  <c r="BX122" i="8"/>
  <c r="BX123" i="8"/>
  <c r="BX124" i="8"/>
  <c r="BX125" i="8"/>
  <c r="BX126" i="8"/>
  <c r="BX127" i="8"/>
  <c r="BX128" i="8"/>
  <c r="BX129" i="8"/>
  <c r="BX130" i="8"/>
  <c r="BX131" i="8"/>
  <c r="BX132" i="8"/>
  <c r="BX133" i="8"/>
  <c r="BX134" i="8"/>
  <c r="BX135" i="8"/>
  <c r="BX136" i="8"/>
  <c r="BX137" i="8"/>
  <c r="BX138" i="8"/>
  <c r="BX139" i="8"/>
  <c r="BX140" i="8"/>
  <c r="BX141" i="8"/>
  <c r="BX142" i="8"/>
  <c r="BX143" i="8"/>
  <c r="BX144" i="8"/>
  <c r="BX145" i="8"/>
  <c r="BX146" i="8"/>
  <c r="BX147" i="8"/>
  <c r="BX148" i="8"/>
  <c r="BX149" i="8"/>
  <c r="BX150" i="8"/>
  <c r="BX151" i="8"/>
  <c r="BX152" i="8"/>
  <c r="BX153" i="8"/>
  <c r="BX154" i="8"/>
  <c r="BX155" i="8"/>
  <c r="BX156" i="8"/>
  <c r="BX157" i="8"/>
  <c r="BX158" i="8"/>
  <c r="BX159" i="8"/>
  <c r="BX160" i="8"/>
  <c r="BX161" i="8"/>
  <c r="BX162" i="8"/>
  <c r="BX163" i="8"/>
  <c r="BX164" i="8"/>
  <c r="BX165" i="8"/>
  <c r="BX166" i="8"/>
  <c r="BX167" i="8"/>
  <c r="BX168" i="8"/>
  <c r="BX169" i="8"/>
  <c r="BX170" i="8"/>
  <c r="BX171" i="8"/>
  <c r="BX172" i="8"/>
  <c r="BX173" i="8"/>
  <c r="BX174" i="8"/>
  <c r="BX175" i="8"/>
  <c r="BX176" i="8"/>
  <c r="BX177" i="8"/>
  <c r="BX178" i="8"/>
  <c r="BX179" i="8"/>
  <c r="BX180" i="8"/>
  <c r="BX181" i="8"/>
  <c r="BX182" i="8"/>
  <c r="BX183" i="8"/>
  <c r="BX184" i="8"/>
  <c r="BX185" i="8"/>
  <c r="BX186" i="8"/>
  <c r="BX187" i="8"/>
  <c r="BX188" i="8"/>
  <c r="BX189" i="8"/>
  <c r="BX190" i="8"/>
  <c r="BX191" i="8"/>
  <c r="BX192" i="8"/>
  <c r="BX193" i="8"/>
  <c r="BX194" i="8"/>
  <c r="BX195" i="8"/>
  <c r="BX196" i="8"/>
  <c r="BX197" i="8"/>
  <c r="BX198" i="8"/>
  <c r="BX199" i="8"/>
  <c r="BX200" i="8"/>
  <c r="BX201" i="8"/>
  <c r="BX202" i="8"/>
  <c r="BX203" i="8"/>
  <c r="BX204" i="8"/>
  <c r="BX205" i="8"/>
  <c r="BX206" i="8"/>
  <c r="BX207" i="8"/>
  <c r="BX208" i="8"/>
  <c r="BX209" i="8"/>
  <c r="BX210" i="8"/>
  <c r="BX211" i="8"/>
  <c r="BX212" i="8"/>
  <c r="BX213" i="8"/>
  <c r="BX214" i="8"/>
  <c r="BX215" i="8"/>
  <c r="BX216" i="8"/>
  <c r="BX217" i="8"/>
  <c r="BX218" i="8"/>
  <c r="BX219" i="8"/>
  <c r="BX220" i="8"/>
  <c r="BX221" i="8"/>
  <c r="BX222" i="8"/>
  <c r="BX223" i="8"/>
  <c r="BX224" i="8"/>
  <c r="BX225" i="8"/>
  <c r="BX226" i="8"/>
  <c r="BX227" i="8"/>
  <c r="BX228" i="8"/>
  <c r="BX229" i="8"/>
  <c r="BX230" i="8"/>
  <c r="BX231" i="8"/>
  <c r="BX232" i="8"/>
  <c r="BX233" i="8"/>
  <c r="BX234" i="8"/>
  <c r="BX235" i="8"/>
  <c r="BX236" i="8"/>
  <c r="BX237" i="8"/>
  <c r="BX238" i="8"/>
  <c r="BX239" i="8"/>
  <c r="BX240" i="8"/>
  <c r="BX241" i="8"/>
  <c r="BX242" i="8"/>
  <c r="BX243" i="8"/>
  <c r="BX244" i="8"/>
  <c r="BX245" i="8"/>
  <c r="BX246" i="8"/>
  <c r="BX247" i="8"/>
  <c r="BX248" i="8"/>
  <c r="BX249" i="8"/>
  <c r="BX251" i="8"/>
  <c r="BX252" i="8"/>
  <c r="BX253" i="8"/>
  <c r="BX254" i="8"/>
  <c r="BX255" i="8"/>
  <c r="BX256" i="8"/>
  <c r="BX257" i="8"/>
  <c r="BX258" i="8"/>
  <c r="BX259" i="8"/>
  <c r="BX260" i="8"/>
  <c r="BX261" i="8"/>
  <c r="BX262" i="8"/>
  <c r="BX263" i="8"/>
  <c r="BX264" i="8"/>
  <c r="BX265" i="8"/>
  <c r="BX266" i="8"/>
  <c r="BX267" i="8"/>
  <c r="BX268" i="8"/>
  <c r="BX269" i="8"/>
  <c r="BX270" i="8"/>
  <c r="BX271" i="8"/>
  <c r="BX272" i="8"/>
  <c r="BX273" i="8"/>
  <c r="BX274" i="8"/>
  <c r="BX275" i="8"/>
  <c r="BX276" i="8"/>
  <c r="BX277" i="8"/>
  <c r="BX278" i="8"/>
  <c r="BX279" i="8"/>
  <c r="BX280" i="8"/>
  <c r="BX281" i="8"/>
  <c r="BX282" i="8"/>
  <c r="BX283" i="8"/>
  <c r="BX284" i="8"/>
  <c r="BX285" i="8"/>
  <c r="BX286" i="8"/>
  <c r="BX287" i="8"/>
  <c r="BX288" i="8"/>
  <c r="BX289" i="8"/>
  <c r="BX290" i="8"/>
  <c r="BX291" i="8"/>
  <c r="CN292" i="8"/>
  <c r="BX293" i="8"/>
  <c r="BX294" i="8"/>
  <c r="BX295" i="8"/>
  <c r="BX296" i="8"/>
  <c r="BX297" i="8"/>
  <c r="BX298" i="8"/>
  <c r="BX299" i="8"/>
  <c r="BX300" i="8"/>
  <c r="BX301" i="8"/>
  <c r="BX302" i="8"/>
  <c r="BX303" i="8"/>
  <c r="BX304" i="8"/>
  <c r="BX305" i="8"/>
  <c r="BX306" i="8"/>
  <c r="BX307" i="8"/>
  <c r="BX308" i="8"/>
  <c r="BX309" i="8"/>
  <c r="BX310" i="8"/>
  <c r="BX311" i="8"/>
  <c r="BX312" i="8"/>
  <c r="BX313" i="8"/>
  <c r="BX314" i="8"/>
  <c r="BX315" i="8"/>
  <c r="BX316" i="8"/>
  <c r="BX317" i="8"/>
  <c r="BX318" i="8"/>
  <c r="BX319" i="8"/>
  <c r="BX320" i="8"/>
  <c r="BX321" i="8"/>
  <c r="BX322" i="8"/>
  <c r="BX323" i="8"/>
  <c r="BX324" i="8"/>
  <c r="BX325" i="8"/>
  <c r="BX326" i="8"/>
  <c r="BX327" i="8"/>
  <c r="BX328" i="8"/>
  <c r="BX329" i="8"/>
  <c r="BX330" i="8"/>
  <c r="BX331" i="8"/>
  <c r="BX332" i="8"/>
  <c r="BX333" i="8"/>
  <c r="BX334" i="8"/>
  <c r="BX335" i="8"/>
  <c r="BX336" i="8"/>
  <c r="BX337" i="8"/>
  <c r="BX338" i="8"/>
  <c r="BX339" i="8"/>
  <c r="BX340" i="8"/>
  <c r="BX341" i="8"/>
  <c r="BX342" i="8"/>
  <c r="BX343" i="8"/>
  <c r="BX345" i="8"/>
  <c r="BX346" i="8"/>
  <c r="BX347" i="8"/>
  <c r="BX348" i="8"/>
  <c r="BX349" i="8"/>
  <c r="BX350" i="8"/>
  <c r="BX351" i="8"/>
  <c r="BX352" i="8"/>
  <c r="BX353" i="8"/>
  <c r="BX354" i="8"/>
  <c r="BX355" i="8"/>
  <c r="BX356" i="8"/>
  <c r="BX357" i="8"/>
  <c r="BX358" i="8"/>
  <c r="BX359" i="8"/>
  <c r="BX360" i="8"/>
  <c r="BX361" i="8"/>
  <c r="BX362" i="8"/>
  <c r="BX363" i="8"/>
  <c r="BX364" i="8"/>
  <c r="BX365" i="8"/>
  <c r="BX366" i="8"/>
  <c r="BX367" i="8"/>
  <c r="BX368" i="8"/>
  <c r="BX369" i="8"/>
  <c r="BX370" i="8"/>
  <c r="BX371" i="8"/>
  <c r="BX372" i="8"/>
  <c r="BX373" i="8"/>
  <c r="BX374" i="8"/>
  <c r="BX375" i="8"/>
  <c r="BX376" i="8"/>
  <c r="BX377" i="8"/>
  <c r="BX378" i="8"/>
  <c r="BX379" i="8"/>
  <c r="BX380" i="8"/>
  <c r="BX382" i="8"/>
  <c r="BX383" i="8"/>
  <c r="BX384" i="8"/>
  <c r="BX385" i="8"/>
  <c r="BX386" i="8"/>
  <c r="BX387" i="8"/>
  <c r="BX388" i="8"/>
  <c r="BX389" i="8"/>
  <c r="BX390" i="8"/>
  <c r="BX391" i="8"/>
  <c r="BX392" i="8"/>
  <c r="BX393" i="8"/>
  <c r="BX394" i="8"/>
  <c r="BX395" i="8"/>
  <c r="BX396" i="8"/>
  <c r="BX397" i="8"/>
  <c r="BX398" i="8"/>
  <c r="BX399" i="8"/>
  <c r="BX400" i="8"/>
  <c r="BX401" i="8"/>
  <c r="BX402" i="8"/>
  <c r="BX403" i="8"/>
  <c r="BX404" i="8"/>
  <c r="BX405" i="8"/>
  <c r="BX406" i="8"/>
  <c r="BX407" i="8"/>
  <c r="BX408" i="8"/>
  <c r="BX409" i="8"/>
  <c r="BX410" i="8"/>
  <c r="BX411" i="8"/>
  <c r="BX412" i="8"/>
  <c r="BX413" i="8"/>
  <c r="BX414" i="8"/>
  <c r="BX415" i="8"/>
  <c r="BX416" i="8"/>
  <c r="BX417" i="8"/>
  <c r="BX418" i="8"/>
  <c r="BX419" i="8"/>
  <c r="BX420" i="8"/>
  <c r="BX421" i="8"/>
  <c r="BX422" i="8"/>
  <c r="BX423" i="8"/>
  <c r="BX424" i="8"/>
  <c r="BX425" i="8"/>
  <c r="BX426" i="8"/>
  <c r="BX427" i="8"/>
  <c r="BX428" i="8"/>
  <c r="BX429" i="8"/>
  <c r="BX430" i="8"/>
  <c r="BX431" i="8"/>
  <c r="BX432" i="8"/>
  <c r="BX433" i="8"/>
  <c r="BX434" i="8"/>
  <c r="BX435" i="8"/>
  <c r="BX436" i="8"/>
  <c r="BX437" i="8"/>
  <c r="BX438" i="8"/>
  <c r="BX439" i="8"/>
  <c r="BX440" i="8"/>
  <c r="BX441" i="8"/>
  <c r="BX442" i="8"/>
  <c r="BX443" i="8"/>
  <c r="BX444" i="8"/>
  <c r="BX445" i="8"/>
  <c r="BX446" i="8"/>
  <c r="BX447" i="8"/>
  <c r="BX448" i="8"/>
  <c r="BX449" i="8"/>
  <c r="BX450" i="8"/>
  <c r="BX451" i="8"/>
  <c r="BX452" i="8"/>
  <c r="BX453" i="8"/>
  <c r="BX454" i="8"/>
  <c r="BX455" i="8"/>
  <c r="BX456" i="8"/>
  <c r="BX457" i="8"/>
  <c r="BX458" i="8"/>
  <c r="BX459" i="8"/>
  <c r="BX460" i="8"/>
  <c r="BX461" i="8"/>
  <c r="BX462" i="8"/>
  <c r="BX463" i="8"/>
  <c r="BX464" i="8"/>
  <c r="BX465" i="8"/>
  <c r="BX466" i="8"/>
  <c r="BX467" i="8"/>
  <c r="BX468" i="8"/>
  <c r="BX469" i="8"/>
  <c r="BX470" i="8"/>
  <c r="BX471" i="8"/>
  <c r="BX472" i="8"/>
  <c r="BX473" i="8"/>
  <c r="BX474" i="8"/>
  <c r="BX475" i="8"/>
  <c r="BX476" i="8"/>
  <c r="BX477" i="8"/>
  <c r="BX478" i="8"/>
  <c r="BX479" i="8"/>
  <c r="BX480" i="8"/>
  <c r="BX481" i="8"/>
  <c r="BX482" i="8"/>
  <c r="BX483" i="8"/>
  <c r="BX484" i="8"/>
  <c r="BX485" i="8"/>
  <c r="BX486" i="8"/>
  <c r="BX487" i="8"/>
  <c r="BX488" i="8"/>
  <c r="BX489" i="8"/>
  <c r="BX490" i="8"/>
  <c r="BX491" i="8"/>
  <c r="BX492" i="8"/>
  <c r="BX493" i="8"/>
  <c r="BX494" i="8"/>
  <c r="BX495" i="8"/>
  <c r="BX496" i="8"/>
  <c r="BX497" i="8"/>
  <c r="BX498" i="8"/>
  <c r="BX499" i="8"/>
  <c r="BX500" i="8"/>
  <c r="AO8" i="8"/>
  <c r="AV8" i="8" s="1"/>
  <c r="AQ8" i="8"/>
  <c r="AR8" i="8"/>
  <c r="AS8" i="8"/>
  <c r="AT8" i="8"/>
  <c r="AU8" i="8"/>
  <c r="AP8" i="8"/>
  <c r="AF8" i="6"/>
  <c r="AV6" i="8"/>
  <c r="AV7" i="8"/>
  <c r="AV9" i="8"/>
  <c r="AV10" i="8"/>
  <c r="AV11" i="8"/>
  <c r="AV12" i="8"/>
  <c r="AV13" i="8"/>
  <c r="AV14" i="8"/>
  <c r="AV15" i="8"/>
  <c r="AV16" i="8"/>
  <c r="AV17" i="8"/>
  <c r="AV18" i="8"/>
  <c r="AV19" i="8"/>
  <c r="AV20" i="8"/>
  <c r="AV21" i="8"/>
  <c r="AV22" i="8"/>
  <c r="AV23" i="8"/>
  <c r="AV25" i="8"/>
  <c r="AV26" i="8"/>
  <c r="AV27" i="8"/>
  <c r="AV28" i="8"/>
  <c r="AV29" i="8"/>
  <c r="AV30" i="8"/>
  <c r="AV31" i="8"/>
  <c r="AV32" i="8"/>
  <c r="AV33" i="8"/>
  <c r="AV34" i="8"/>
  <c r="AV35" i="8"/>
  <c r="AV36" i="8"/>
  <c r="AV37" i="8"/>
  <c r="AV38" i="8"/>
  <c r="AV39" i="8"/>
  <c r="AV40" i="8"/>
  <c r="AV41" i="8"/>
  <c r="AV42" i="8"/>
  <c r="AV44" i="8"/>
  <c r="AV45" i="8"/>
  <c r="AV46" i="8"/>
  <c r="AV47" i="8"/>
  <c r="AV48" i="8"/>
  <c r="AV49" i="8"/>
  <c r="AV52" i="8"/>
  <c r="AV53" i="8"/>
  <c r="AV54" i="8"/>
  <c r="AV55" i="8"/>
  <c r="AV56" i="8"/>
  <c r="AV57" i="8"/>
  <c r="AV58" i="8"/>
  <c r="AV59" i="8"/>
  <c r="AV60" i="8"/>
  <c r="AV61" i="8"/>
  <c r="AV62" i="8"/>
  <c r="AV63" i="8"/>
  <c r="AV64" i="8"/>
  <c r="AV65" i="8"/>
  <c r="AV66" i="8"/>
  <c r="AV67" i="8"/>
  <c r="AV68" i="8"/>
  <c r="AV69" i="8"/>
  <c r="AV70" i="8"/>
  <c r="AV71" i="8"/>
  <c r="AV72" i="8"/>
  <c r="AV73" i="8"/>
  <c r="AV74" i="8"/>
  <c r="AV85" i="8"/>
  <c r="AV108" i="8"/>
  <c r="AV109" i="8"/>
  <c r="AV110" i="8"/>
  <c r="AV111" i="8"/>
  <c r="AV112" i="8"/>
  <c r="AV113" i="8"/>
  <c r="AV114" i="8"/>
  <c r="AV115" i="8"/>
  <c r="AV117" i="8"/>
  <c r="AV118" i="8"/>
  <c r="AV119" i="8"/>
  <c r="AV120" i="8"/>
  <c r="AV121" i="8"/>
  <c r="AV122" i="8"/>
  <c r="AV124" i="8"/>
  <c r="AV125" i="8"/>
  <c r="AV126" i="8"/>
  <c r="AV127" i="8"/>
  <c r="AV128" i="8"/>
  <c r="AV129" i="8"/>
  <c r="AV130" i="8"/>
  <c r="AV131" i="8"/>
  <c r="AV132" i="8"/>
  <c r="AV133" i="8"/>
  <c r="AV134" i="8"/>
  <c r="AV135" i="8"/>
  <c r="AV136" i="8"/>
  <c r="AV137" i="8"/>
  <c r="AV139" i="8"/>
  <c r="AV140" i="8"/>
  <c r="AV141" i="8"/>
  <c r="AV142" i="8"/>
  <c r="AV143" i="8"/>
  <c r="AV144" i="8"/>
  <c r="AV145" i="8"/>
  <c r="AV146" i="8"/>
  <c r="AV147" i="8"/>
  <c r="AV149" i="8"/>
  <c r="AV150" i="8"/>
  <c r="AV151" i="8"/>
  <c r="AV152" i="8"/>
  <c r="AV153" i="8"/>
  <c r="AV154" i="8"/>
  <c r="AV155" i="8"/>
  <c r="AV156" i="8"/>
  <c r="AV158" i="8"/>
  <c r="AV159" i="8"/>
  <c r="AV160" i="8"/>
  <c r="AV161" i="8"/>
  <c r="AV162" i="8"/>
  <c r="AV163" i="8"/>
  <c r="AV164" i="8"/>
  <c r="AV165" i="8"/>
  <c r="AV166" i="8"/>
  <c r="AV167" i="8"/>
  <c r="AV168" i="8"/>
  <c r="AV169" i="8"/>
  <c r="AV170" i="8"/>
  <c r="AV171" i="8"/>
  <c r="AV172" i="8"/>
  <c r="AV173" i="8"/>
  <c r="AV174" i="8"/>
  <c r="AV175" i="8"/>
  <c r="AV176" i="8"/>
  <c r="AV177" i="8"/>
  <c r="AV178" i="8"/>
  <c r="AV179" i="8"/>
  <c r="AV180" i="8"/>
  <c r="AV181" i="8"/>
  <c r="AV183" i="8"/>
  <c r="AV184" i="8"/>
  <c r="AV185" i="8"/>
  <c r="AV186" i="8"/>
  <c r="AV187" i="8"/>
  <c r="AV188" i="8"/>
  <c r="AV189" i="8"/>
  <c r="AV190" i="8"/>
  <c r="AV191" i="8"/>
  <c r="AV192" i="8"/>
  <c r="AV194" i="8"/>
  <c r="AV195" i="8"/>
  <c r="AV196" i="8"/>
  <c r="AV197" i="8"/>
  <c r="AV198" i="8"/>
  <c r="AV199" i="8"/>
  <c r="AV200" i="8"/>
  <c r="AV202" i="8"/>
  <c r="AV203" i="8"/>
  <c r="AV204" i="8"/>
  <c r="AV205" i="8"/>
  <c r="AV206" i="8"/>
  <c r="AV207" i="8"/>
  <c r="AV208" i="8"/>
  <c r="AV209" i="8"/>
  <c r="AV210" i="8"/>
  <c r="AV211" i="8"/>
  <c r="AV213" i="8"/>
  <c r="AV214" i="8"/>
  <c r="AV215" i="8"/>
  <c r="AV216" i="8"/>
  <c r="AV217" i="8"/>
  <c r="AV218" i="8"/>
  <c r="AV219" i="8"/>
  <c r="AV220" i="8"/>
  <c r="AV222" i="8"/>
  <c r="AV223" i="8"/>
  <c r="AV224" i="8"/>
  <c r="AV225" i="8"/>
  <c r="AV226" i="8"/>
  <c r="AV228" i="8"/>
  <c r="AV229" i="8"/>
  <c r="AV230" i="8"/>
  <c r="AV231" i="8"/>
  <c r="AV232" i="8"/>
  <c r="AV233" i="8"/>
  <c r="AV234" i="8"/>
  <c r="AV236" i="8"/>
  <c r="AV237" i="8"/>
  <c r="AV238" i="8"/>
  <c r="AV239" i="8"/>
  <c r="AV240" i="8"/>
  <c r="AV241" i="8"/>
  <c r="AV242" i="8"/>
  <c r="AV244" i="8"/>
  <c r="AV245" i="8"/>
  <c r="AV246" i="8"/>
  <c r="AV247" i="8"/>
  <c r="AV248" i="8"/>
  <c r="AV249" i="8"/>
  <c r="AV250" i="8"/>
  <c r="AV251" i="8"/>
  <c r="AV252" i="8"/>
  <c r="AV253" i="8"/>
  <c r="AV254" i="8"/>
  <c r="AV255" i="8"/>
  <c r="AV256" i="8"/>
  <c r="AV257" i="8"/>
  <c r="AV258" i="8"/>
  <c r="AV259" i="8"/>
  <c r="AV260" i="8"/>
  <c r="AV261" i="8"/>
  <c r="AV262" i="8"/>
  <c r="AV263" i="8"/>
  <c r="AV265" i="8"/>
  <c r="AV266" i="8"/>
  <c r="AV267" i="8"/>
  <c r="AV268" i="8"/>
  <c r="AV269" i="8"/>
  <c r="AV270" i="8"/>
  <c r="AV271" i="8"/>
  <c r="AV272" i="8"/>
  <c r="AV273" i="8"/>
  <c r="AV274" i="8"/>
  <c r="AV275" i="8"/>
  <c r="AV276" i="8"/>
  <c r="AV277" i="8"/>
  <c r="AV278" i="8"/>
  <c r="AV279" i="8"/>
  <c r="AV280" i="8"/>
  <c r="AV281" i="8"/>
  <c r="AV282" i="8"/>
  <c r="AV283" i="8"/>
  <c r="AV284" i="8"/>
  <c r="AV285" i="8"/>
  <c r="AV286" i="8"/>
  <c r="AV287" i="8"/>
  <c r="AV288" i="8"/>
  <c r="AV290" i="8"/>
  <c r="AV291" i="8"/>
  <c r="AV292" i="8"/>
  <c r="CT292" i="8" s="1"/>
  <c r="AV293" i="8"/>
  <c r="AV294" i="8"/>
  <c r="AV295" i="8"/>
  <c r="AV297" i="8"/>
  <c r="AV298" i="8"/>
  <c r="AV299" i="8"/>
  <c r="AV330" i="8"/>
  <c r="AV331" i="8"/>
  <c r="AV333" i="8"/>
  <c r="AV334" i="8"/>
  <c r="AV335" i="8"/>
  <c r="AV336" i="8"/>
  <c r="AV337" i="8"/>
  <c r="AV338" i="8"/>
  <c r="AV339" i="8"/>
  <c r="AV340" i="8"/>
  <c r="AV341" i="8"/>
  <c r="AV342" i="8"/>
  <c r="AV343" i="8"/>
  <c r="AV345" i="8"/>
  <c r="AV346" i="8"/>
  <c r="AV348" i="8"/>
  <c r="AV349" i="8"/>
  <c r="AV350" i="8"/>
  <c r="AV351" i="8"/>
  <c r="AV352" i="8"/>
  <c r="AV353" i="8"/>
  <c r="AV354" i="8"/>
  <c r="AV355" i="8"/>
  <c r="AV356" i="8"/>
  <c r="AV358" i="8"/>
  <c r="AV359" i="8"/>
  <c r="AV361" i="8"/>
  <c r="AV362" i="8"/>
  <c r="AV363" i="8"/>
  <c r="AV364" i="8"/>
  <c r="AV366" i="8"/>
  <c r="AV367" i="8"/>
  <c r="AV368" i="8"/>
  <c r="AV369" i="8"/>
  <c r="AV370" i="8"/>
  <c r="AV371" i="8"/>
  <c r="AV372" i="8"/>
  <c r="AV373" i="8"/>
  <c r="AV374" i="8"/>
  <c r="AV375" i="8"/>
  <c r="AV376" i="8"/>
  <c r="AV378" i="8"/>
  <c r="AV379" i="8"/>
  <c r="AV380" i="8"/>
  <c r="AV381" i="8"/>
  <c r="AV382" i="8"/>
  <c r="AV383" i="8"/>
  <c r="AV384" i="8"/>
  <c r="AV385" i="8"/>
  <c r="AV386" i="8"/>
  <c r="AV387" i="8"/>
  <c r="AV388" i="8"/>
  <c r="AV389" i="8"/>
  <c r="AV390" i="8"/>
  <c r="AV392" i="8"/>
  <c r="AV393" i="8"/>
  <c r="AV394" i="8"/>
  <c r="AV395" i="8"/>
  <c r="AV396" i="8"/>
  <c r="AV397" i="8"/>
  <c r="AV398" i="8"/>
  <c r="AV399" i="8"/>
  <c r="AV400" i="8"/>
  <c r="AV401" i="8"/>
  <c r="AV402" i="8"/>
  <c r="AV403" i="8"/>
  <c r="AV405" i="8"/>
  <c r="AV406" i="8"/>
  <c r="AV407" i="8"/>
  <c r="AV408" i="8"/>
  <c r="AV409" i="8"/>
  <c r="AV410" i="8"/>
  <c r="AV411" i="8"/>
  <c r="AV412" i="8"/>
  <c r="AV413" i="8"/>
  <c r="AV414" i="8"/>
  <c r="AV415" i="8"/>
  <c r="AV416" i="8"/>
  <c r="AV418" i="8"/>
  <c r="AV419" i="8"/>
  <c r="AV420" i="8"/>
  <c r="AV421" i="8"/>
  <c r="AV422" i="8"/>
  <c r="AV423" i="8"/>
  <c r="AV424" i="8"/>
  <c r="AV425" i="8"/>
  <c r="AV426" i="8"/>
  <c r="AV427" i="8"/>
  <c r="AV428" i="8"/>
  <c r="AV429" i="8"/>
  <c r="AV430" i="8"/>
  <c r="AV431" i="8"/>
  <c r="AV433" i="8"/>
  <c r="AV434" i="8"/>
  <c r="AV435" i="8"/>
  <c r="AV436" i="8"/>
  <c r="AV437" i="8"/>
  <c r="AV438" i="8"/>
  <c r="AV439" i="8"/>
  <c r="AV440" i="8"/>
  <c r="AV441" i="8"/>
  <c r="AV442" i="8"/>
  <c r="AV443" i="8"/>
  <c r="AV444" i="8"/>
  <c r="AV445" i="8"/>
  <c r="AV446" i="8"/>
  <c r="AV447" i="8"/>
  <c r="AV448" i="8"/>
  <c r="AV450" i="8"/>
  <c r="AV451" i="8"/>
  <c r="AV452" i="8"/>
  <c r="AV453" i="8"/>
  <c r="AV454" i="8"/>
  <c r="AV455" i="8"/>
  <c r="AV456" i="8"/>
  <c r="AV457" i="8"/>
  <c r="AV458" i="8"/>
  <c r="AV459" i="8"/>
  <c r="AV460" i="8"/>
  <c r="AV461" i="8"/>
  <c r="AV462" i="8"/>
  <c r="AV463" i="8"/>
  <c r="AV464" i="8"/>
  <c r="AV465" i="8"/>
  <c r="AV466" i="8"/>
  <c r="AV467" i="8"/>
  <c r="AV468" i="8"/>
  <c r="AV469" i="8"/>
  <c r="AV470" i="8"/>
  <c r="AV471" i="8"/>
  <c r="AV472" i="8"/>
  <c r="AV473" i="8"/>
  <c r="AV474" i="8"/>
  <c r="AV475" i="8"/>
  <c r="AV476" i="8"/>
  <c r="AV477" i="8"/>
  <c r="AV478" i="8"/>
  <c r="AV479" i="8"/>
  <c r="AV480" i="8"/>
  <c r="AV481" i="8"/>
  <c r="AV482" i="8"/>
  <c r="AV483" i="8"/>
  <c r="AV484" i="8"/>
  <c r="AV486" i="8"/>
  <c r="AV487" i="8"/>
  <c r="AV488" i="8"/>
  <c r="AV489" i="8"/>
  <c r="AV490" i="8"/>
  <c r="AV491" i="8"/>
  <c r="AV494" i="8"/>
  <c r="AV495" i="8"/>
  <c r="AV496" i="8"/>
  <c r="AV497" i="8"/>
  <c r="AV498" i="8"/>
  <c r="AV499" i="8"/>
  <c r="AV500" i="8"/>
  <c r="AV5" i="8"/>
  <c r="AU468" i="6"/>
  <c r="B297" i="8"/>
  <c r="F679" i="4"/>
  <c r="F658" i="4"/>
  <c r="F625" i="4"/>
  <c r="F614" i="4"/>
  <c r="F595" i="4"/>
  <c r="F555" i="4"/>
  <c r="F496" i="4"/>
  <c r="F486" i="4"/>
  <c r="F477" i="4"/>
  <c r="F475" i="4"/>
  <c r="F466" i="4"/>
  <c r="F438" i="4"/>
  <c r="F434" i="4"/>
  <c r="F345" i="4"/>
  <c r="F327" i="4"/>
  <c r="F287" i="4"/>
  <c r="F269" i="4"/>
  <c r="F256" i="4"/>
  <c r="F204" i="4"/>
  <c r="F3" i="4"/>
  <c r="N334" i="8"/>
  <c r="R500" i="8"/>
  <c r="Q500" i="8"/>
  <c r="P500" i="8"/>
  <c r="O500" i="8"/>
  <c r="L500" i="8"/>
  <c r="K500" i="8"/>
  <c r="J500" i="8"/>
  <c r="I500" i="8"/>
  <c r="R499" i="8"/>
  <c r="Q499" i="8"/>
  <c r="P499" i="8"/>
  <c r="O499" i="8"/>
  <c r="L499" i="8"/>
  <c r="K499" i="8"/>
  <c r="J499" i="8"/>
  <c r="I499" i="8"/>
  <c r="R498" i="8"/>
  <c r="Q498" i="8"/>
  <c r="P498" i="8"/>
  <c r="O498" i="8"/>
  <c r="L498" i="8"/>
  <c r="K498" i="8"/>
  <c r="J498" i="8"/>
  <c r="I498" i="8"/>
  <c r="R497" i="8"/>
  <c r="Q497" i="8"/>
  <c r="P497" i="8"/>
  <c r="O497" i="8"/>
  <c r="L497" i="8"/>
  <c r="K497" i="8"/>
  <c r="J497" i="8"/>
  <c r="I497" i="8"/>
  <c r="R496" i="8"/>
  <c r="Q496" i="8"/>
  <c r="P496" i="8"/>
  <c r="O496" i="8"/>
  <c r="L496" i="8"/>
  <c r="K496" i="8"/>
  <c r="J496" i="8"/>
  <c r="I496" i="8"/>
  <c r="R495" i="8"/>
  <c r="Q495" i="8"/>
  <c r="P495" i="8"/>
  <c r="O495" i="8"/>
  <c r="L495" i="8"/>
  <c r="K495" i="8"/>
  <c r="J495" i="8"/>
  <c r="I495" i="8"/>
  <c r="R494" i="8"/>
  <c r="Q494" i="8"/>
  <c r="P494" i="8"/>
  <c r="O494" i="8"/>
  <c r="L494" i="8"/>
  <c r="K494" i="8"/>
  <c r="J494" i="8"/>
  <c r="I494" i="8"/>
  <c r="R492" i="8"/>
  <c r="Q492" i="8"/>
  <c r="P492" i="8"/>
  <c r="O492" i="8"/>
  <c r="L492" i="8"/>
  <c r="K492" i="8"/>
  <c r="J492" i="8"/>
  <c r="I492" i="8"/>
  <c r="R491" i="8"/>
  <c r="Q491" i="8"/>
  <c r="P491" i="8"/>
  <c r="O491" i="8"/>
  <c r="L491" i="8"/>
  <c r="K491" i="8"/>
  <c r="J491" i="8"/>
  <c r="I491" i="8"/>
  <c r="R490" i="8"/>
  <c r="Q490" i="8"/>
  <c r="P490" i="8"/>
  <c r="O490" i="8"/>
  <c r="L490" i="8"/>
  <c r="K490" i="8"/>
  <c r="J490" i="8"/>
  <c r="I490" i="8"/>
  <c r="R489" i="8"/>
  <c r="Q489" i="8"/>
  <c r="P489" i="8"/>
  <c r="O489" i="8"/>
  <c r="L489" i="8"/>
  <c r="K489" i="8"/>
  <c r="J489" i="8"/>
  <c r="I489" i="8"/>
  <c r="R488" i="8"/>
  <c r="Q488" i="8"/>
  <c r="P488" i="8"/>
  <c r="O488" i="8"/>
  <c r="L488" i="8"/>
  <c r="K488" i="8"/>
  <c r="J488" i="8"/>
  <c r="I488" i="8"/>
  <c r="R487" i="8"/>
  <c r="Q487" i="8"/>
  <c r="P487" i="8"/>
  <c r="O487" i="8"/>
  <c r="L487" i="8"/>
  <c r="K487" i="8"/>
  <c r="J487" i="8"/>
  <c r="I487" i="8"/>
  <c r="R486" i="8"/>
  <c r="Q486" i="8"/>
  <c r="P486" i="8"/>
  <c r="O486" i="8"/>
  <c r="L486" i="8"/>
  <c r="K486" i="8"/>
  <c r="J486" i="8"/>
  <c r="I486" i="8"/>
  <c r="R481" i="8"/>
  <c r="Q481" i="8"/>
  <c r="P481" i="8"/>
  <c r="O481" i="8"/>
  <c r="N481" i="8"/>
  <c r="M481" i="8"/>
  <c r="L481" i="8"/>
  <c r="K481" i="8"/>
  <c r="J481" i="8"/>
  <c r="I481" i="8"/>
  <c r="R480" i="8"/>
  <c r="Q480" i="8"/>
  <c r="P480" i="8"/>
  <c r="O480" i="8"/>
  <c r="N480" i="8"/>
  <c r="M480" i="8"/>
  <c r="L480" i="8"/>
  <c r="K480" i="8"/>
  <c r="J480" i="8"/>
  <c r="I480" i="8"/>
  <c r="R479" i="8"/>
  <c r="Q479" i="8"/>
  <c r="P479" i="8"/>
  <c r="O479" i="8"/>
  <c r="N479" i="8"/>
  <c r="M479" i="8"/>
  <c r="L479" i="8"/>
  <c r="K479" i="8"/>
  <c r="J479" i="8"/>
  <c r="I479" i="8"/>
  <c r="R478" i="8"/>
  <c r="Q478" i="8"/>
  <c r="P478" i="8"/>
  <c r="O478" i="8"/>
  <c r="N478" i="8"/>
  <c r="M478" i="8"/>
  <c r="L478" i="8"/>
  <c r="K478" i="8"/>
  <c r="J478" i="8"/>
  <c r="I478" i="8"/>
  <c r="R477" i="8"/>
  <c r="Q477" i="8"/>
  <c r="P477" i="8"/>
  <c r="O477" i="8"/>
  <c r="N477" i="8"/>
  <c r="M477" i="8"/>
  <c r="L477" i="8"/>
  <c r="K477" i="8"/>
  <c r="J477" i="8"/>
  <c r="I477" i="8"/>
  <c r="R476" i="8"/>
  <c r="Q476" i="8"/>
  <c r="P476" i="8"/>
  <c r="O476" i="8"/>
  <c r="N476" i="8"/>
  <c r="M476" i="8"/>
  <c r="L476" i="8"/>
  <c r="K476" i="8"/>
  <c r="J476" i="8"/>
  <c r="I476" i="8"/>
  <c r="R475" i="8"/>
  <c r="Q475" i="8"/>
  <c r="P475" i="8"/>
  <c r="O475" i="8"/>
  <c r="N475" i="8"/>
  <c r="M475" i="8"/>
  <c r="L475" i="8"/>
  <c r="K475" i="8"/>
  <c r="J475" i="8"/>
  <c r="I475" i="8"/>
  <c r="R474" i="8"/>
  <c r="Q474" i="8"/>
  <c r="P474" i="8"/>
  <c r="O474" i="8"/>
  <c r="N474" i="8"/>
  <c r="M474" i="8"/>
  <c r="L474" i="8"/>
  <c r="K474" i="8"/>
  <c r="J474" i="8"/>
  <c r="I474" i="8"/>
  <c r="R473" i="8"/>
  <c r="Q473" i="8"/>
  <c r="P473" i="8"/>
  <c r="O473" i="8"/>
  <c r="N473" i="8"/>
  <c r="M473" i="8"/>
  <c r="L473" i="8"/>
  <c r="K473" i="8"/>
  <c r="J473" i="8"/>
  <c r="I473" i="8"/>
  <c r="R472" i="8"/>
  <c r="Q472" i="8"/>
  <c r="P472" i="8"/>
  <c r="O472" i="8"/>
  <c r="N472" i="8"/>
  <c r="M472" i="8"/>
  <c r="L472" i="8"/>
  <c r="K472" i="8"/>
  <c r="J472" i="8"/>
  <c r="I472" i="8"/>
  <c r="R471" i="8"/>
  <c r="Q471" i="8"/>
  <c r="P471" i="8"/>
  <c r="O471" i="8"/>
  <c r="N471" i="8"/>
  <c r="M471" i="8"/>
  <c r="L471" i="8"/>
  <c r="K471" i="8"/>
  <c r="J471" i="8"/>
  <c r="I471" i="8"/>
  <c r="R470" i="8"/>
  <c r="Q470" i="8"/>
  <c r="P470" i="8"/>
  <c r="O470" i="8"/>
  <c r="N470" i="8"/>
  <c r="M470" i="8"/>
  <c r="L470" i="8"/>
  <c r="K470" i="8"/>
  <c r="J470" i="8"/>
  <c r="I470" i="8"/>
  <c r="R469" i="8"/>
  <c r="Q469" i="8"/>
  <c r="P469" i="8"/>
  <c r="O469" i="8"/>
  <c r="N469" i="8"/>
  <c r="M469" i="8"/>
  <c r="L469" i="8"/>
  <c r="K469" i="8"/>
  <c r="J469" i="8"/>
  <c r="I469" i="8"/>
  <c r="R468" i="8"/>
  <c r="Q468" i="8"/>
  <c r="P468" i="8"/>
  <c r="O468" i="8"/>
  <c r="N468" i="8"/>
  <c r="M468" i="8"/>
  <c r="L468" i="8"/>
  <c r="K468" i="8"/>
  <c r="J468" i="8"/>
  <c r="I468" i="8"/>
  <c r="R467" i="8"/>
  <c r="Q467" i="8"/>
  <c r="P467" i="8"/>
  <c r="O467" i="8"/>
  <c r="N467" i="8"/>
  <c r="M467" i="8"/>
  <c r="L467" i="8"/>
  <c r="K467" i="8"/>
  <c r="J467" i="8"/>
  <c r="I467" i="8"/>
  <c r="R466" i="8"/>
  <c r="Q466" i="8"/>
  <c r="P466" i="8"/>
  <c r="O466" i="8"/>
  <c r="N466" i="8"/>
  <c r="M466" i="8"/>
  <c r="L466" i="8"/>
  <c r="K466" i="8"/>
  <c r="J466" i="8"/>
  <c r="I466" i="8"/>
  <c r="R465" i="8"/>
  <c r="Q465" i="8"/>
  <c r="P465" i="8"/>
  <c r="O465" i="8"/>
  <c r="N465" i="8"/>
  <c r="M465" i="8"/>
  <c r="L465" i="8"/>
  <c r="K465" i="8"/>
  <c r="J465" i="8"/>
  <c r="I465" i="8"/>
  <c r="R464" i="8"/>
  <c r="Q464" i="8"/>
  <c r="P464" i="8"/>
  <c r="O464" i="8"/>
  <c r="N464" i="8"/>
  <c r="M464" i="8"/>
  <c r="L464" i="8"/>
  <c r="K464" i="8"/>
  <c r="J464" i="8"/>
  <c r="I464" i="8"/>
  <c r="R463" i="8"/>
  <c r="Q463" i="8"/>
  <c r="P463" i="8"/>
  <c r="O463" i="8"/>
  <c r="N463" i="8"/>
  <c r="M463" i="8"/>
  <c r="L463" i="8"/>
  <c r="K463" i="8"/>
  <c r="J463" i="8"/>
  <c r="I463" i="8"/>
  <c r="R462" i="8"/>
  <c r="Q462" i="8"/>
  <c r="P462" i="8"/>
  <c r="O462" i="8"/>
  <c r="N462" i="8"/>
  <c r="M462" i="8"/>
  <c r="L462" i="8"/>
  <c r="K462" i="8"/>
  <c r="J462" i="8"/>
  <c r="I462" i="8"/>
  <c r="R461" i="8"/>
  <c r="Q461" i="8"/>
  <c r="P461" i="8"/>
  <c r="O461" i="8"/>
  <c r="N461" i="8"/>
  <c r="M461" i="8"/>
  <c r="L461" i="8"/>
  <c r="K461" i="8"/>
  <c r="J461" i="8"/>
  <c r="I461" i="8"/>
  <c r="R460" i="8"/>
  <c r="Q460" i="8"/>
  <c r="P460" i="8"/>
  <c r="O460" i="8"/>
  <c r="N460" i="8"/>
  <c r="M460" i="8"/>
  <c r="L460" i="8"/>
  <c r="K460" i="8"/>
  <c r="J460" i="8"/>
  <c r="I460" i="8"/>
  <c r="R459" i="8"/>
  <c r="Q459" i="8"/>
  <c r="P459" i="8"/>
  <c r="O459" i="8"/>
  <c r="N459" i="8"/>
  <c r="M459" i="8"/>
  <c r="L459" i="8"/>
  <c r="K459" i="8"/>
  <c r="J459" i="8"/>
  <c r="I459" i="8"/>
  <c r="R458" i="8"/>
  <c r="Q458" i="8"/>
  <c r="P458" i="8"/>
  <c r="O458" i="8"/>
  <c r="N458" i="8"/>
  <c r="M458" i="8"/>
  <c r="L458" i="8"/>
  <c r="K458" i="8"/>
  <c r="J458" i="8"/>
  <c r="I458" i="8"/>
  <c r="R457" i="8"/>
  <c r="Q457" i="8"/>
  <c r="P457" i="8"/>
  <c r="O457" i="8"/>
  <c r="N457" i="8"/>
  <c r="M457" i="8"/>
  <c r="L457" i="8"/>
  <c r="K457" i="8"/>
  <c r="J457" i="8"/>
  <c r="I457" i="8"/>
  <c r="R456" i="8"/>
  <c r="Q456" i="8"/>
  <c r="P456" i="8"/>
  <c r="O456" i="8"/>
  <c r="N456" i="8"/>
  <c r="M456" i="8"/>
  <c r="L456" i="8"/>
  <c r="K456" i="8"/>
  <c r="J456" i="8"/>
  <c r="I456" i="8"/>
  <c r="R455" i="8"/>
  <c r="Q455" i="8"/>
  <c r="P455" i="8"/>
  <c r="O455" i="8"/>
  <c r="N455" i="8"/>
  <c r="M455" i="8"/>
  <c r="L455" i="8"/>
  <c r="K455" i="8"/>
  <c r="J455" i="8"/>
  <c r="I455" i="8"/>
  <c r="R454" i="8"/>
  <c r="Q454" i="8"/>
  <c r="P454" i="8"/>
  <c r="O454" i="8"/>
  <c r="N454" i="8"/>
  <c r="M454" i="8"/>
  <c r="L454" i="8"/>
  <c r="K454" i="8"/>
  <c r="J454" i="8"/>
  <c r="I454" i="8"/>
  <c r="R453" i="8"/>
  <c r="Q453" i="8"/>
  <c r="P453" i="8"/>
  <c r="O453" i="8"/>
  <c r="N453" i="8"/>
  <c r="M453" i="8"/>
  <c r="L453" i="8"/>
  <c r="K453" i="8"/>
  <c r="J453" i="8"/>
  <c r="I453" i="8"/>
  <c r="R452" i="8"/>
  <c r="Q452" i="8"/>
  <c r="P452" i="8"/>
  <c r="O452" i="8"/>
  <c r="N452" i="8"/>
  <c r="M452" i="8"/>
  <c r="L452" i="8"/>
  <c r="K452" i="8"/>
  <c r="J452" i="8"/>
  <c r="I452" i="8"/>
  <c r="R451" i="8"/>
  <c r="Q451" i="8"/>
  <c r="P451" i="8"/>
  <c r="O451" i="8"/>
  <c r="N451" i="8"/>
  <c r="M451" i="8"/>
  <c r="L451" i="8"/>
  <c r="K451" i="8"/>
  <c r="J451" i="8"/>
  <c r="I451" i="8"/>
  <c r="R450" i="8"/>
  <c r="Q450" i="8"/>
  <c r="P450" i="8"/>
  <c r="O450" i="8"/>
  <c r="N450" i="8"/>
  <c r="M450" i="8"/>
  <c r="L450" i="8"/>
  <c r="K450" i="8"/>
  <c r="J450" i="8"/>
  <c r="I450" i="8"/>
  <c r="R445" i="8"/>
  <c r="Q445" i="8"/>
  <c r="P445" i="8"/>
  <c r="O445" i="8"/>
  <c r="M445" i="8"/>
  <c r="L445" i="8"/>
  <c r="K445" i="8"/>
  <c r="J445" i="8"/>
  <c r="I445" i="8"/>
  <c r="R444" i="8"/>
  <c r="Q444" i="8"/>
  <c r="P444" i="8"/>
  <c r="O444" i="8"/>
  <c r="M444" i="8"/>
  <c r="L444" i="8"/>
  <c r="K444" i="8"/>
  <c r="J444" i="8"/>
  <c r="I444" i="8"/>
  <c r="R443" i="8"/>
  <c r="Q443" i="8"/>
  <c r="P443" i="8"/>
  <c r="O443" i="8"/>
  <c r="M443" i="8"/>
  <c r="L443" i="8"/>
  <c r="K443" i="8"/>
  <c r="J443" i="8"/>
  <c r="I443" i="8"/>
  <c r="R442" i="8"/>
  <c r="Q442" i="8"/>
  <c r="P442" i="8"/>
  <c r="O442" i="8"/>
  <c r="M442" i="8"/>
  <c r="L442" i="8"/>
  <c r="K442" i="8"/>
  <c r="J442" i="8"/>
  <c r="I442" i="8"/>
  <c r="R441" i="8"/>
  <c r="Q441" i="8"/>
  <c r="P441" i="8"/>
  <c r="O441" i="8"/>
  <c r="M441" i="8"/>
  <c r="L441" i="8"/>
  <c r="K441" i="8"/>
  <c r="J441" i="8"/>
  <c r="I441" i="8"/>
  <c r="R440" i="8"/>
  <c r="Q440" i="8"/>
  <c r="P440" i="8"/>
  <c r="O440" i="8"/>
  <c r="M440" i="8"/>
  <c r="L440" i="8"/>
  <c r="K440" i="8"/>
  <c r="J440" i="8"/>
  <c r="I440" i="8"/>
  <c r="R439" i="8"/>
  <c r="Q439" i="8"/>
  <c r="P439" i="8"/>
  <c r="O439" i="8"/>
  <c r="M439" i="8"/>
  <c r="L439" i="8"/>
  <c r="K439" i="8"/>
  <c r="J439" i="8"/>
  <c r="I439" i="8"/>
  <c r="R438" i="8"/>
  <c r="Q438" i="8"/>
  <c r="P438" i="8"/>
  <c r="O438" i="8"/>
  <c r="M438" i="8"/>
  <c r="L438" i="8"/>
  <c r="K438" i="8"/>
  <c r="J438" i="8"/>
  <c r="I438" i="8"/>
  <c r="R437" i="8"/>
  <c r="Q437" i="8"/>
  <c r="P437" i="8"/>
  <c r="O437" i="8"/>
  <c r="M437" i="8"/>
  <c r="L437" i="8"/>
  <c r="K437" i="8"/>
  <c r="J437" i="8"/>
  <c r="I437" i="8"/>
  <c r="R436" i="8"/>
  <c r="Q436" i="8"/>
  <c r="P436" i="8"/>
  <c r="O436" i="8"/>
  <c r="M436" i="8"/>
  <c r="L436" i="8"/>
  <c r="K436" i="8"/>
  <c r="J436" i="8"/>
  <c r="I436" i="8"/>
  <c r="R435" i="8"/>
  <c r="Q435" i="8"/>
  <c r="P435" i="8"/>
  <c r="O435" i="8"/>
  <c r="M435" i="8"/>
  <c r="L435" i="8"/>
  <c r="K435" i="8"/>
  <c r="J435" i="8"/>
  <c r="I435" i="8"/>
  <c r="R434" i="8"/>
  <c r="Q434" i="8"/>
  <c r="P434" i="8"/>
  <c r="O434" i="8"/>
  <c r="M434" i="8"/>
  <c r="L434" i="8"/>
  <c r="K434" i="8"/>
  <c r="J434" i="8"/>
  <c r="I434" i="8"/>
  <c r="R433" i="8"/>
  <c r="Q433" i="8"/>
  <c r="P433" i="8"/>
  <c r="O433" i="8"/>
  <c r="M433" i="8"/>
  <c r="L433" i="8"/>
  <c r="K433" i="8"/>
  <c r="J433" i="8"/>
  <c r="I433" i="8"/>
  <c r="R431" i="8"/>
  <c r="Q431" i="8"/>
  <c r="P431" i="8"/>
  <c r="O431" i="8"/>
  <c r="M431" i="8"/>
  <c r="L431" i="8"/>
  <c r="K431" i="8"/>
  <c r="J431" i="8"/>
  <c r="I431" i="8"/>
  <c r="R430" i="8"/>
  <c r="Q430" i="8"/>
  <c r="P430" i="8"/>
  <c r="O430" i="8"/>
  <c r="M430" i="8"/>
  <c r="L430" i="8"/>
  <c r="K430" i="8"/>
  <c r="J430" i="8"/>
  <c r="I430" i="8"/>
  <c r="R429" i="8"/>
  <c r="Q429" i="8"/>
  <c r="P429" i="8"/>
  <c r="O429" i="8"/>
  <c r="M429" i="8"/>
  <c r="L429" i="8"/>
  <c r="K429" i="8"/>
  <c r="J429" i="8"/>
  <c r="I429" i="8"/>
  <c r="R428" i="8"/>
  <c r="Q428" i="8"/>
  <c r="P428" i="8"/>
  <c r="O428" i="8"/>
  <c r="M428" i="8"/>
  <c r="L428" i="8"/>
  <c r="K428" i="8"/>
  <c r="J428" i="8"/>
  <c r="I428" i="8"/>
  <c r="R427" i="8"/>
  <c r="Q427" i="8"/>
  <c r="P427" i="8"/>
  <c r="O427" i="8"/>
  <c r="M427" i="8"/>
  <c r="L427" i="8"/>
  <c r="K427" i="8"/>
  <c r="J427" i="8"/>
  <c r="I427" i="8"/>
  <c r="R426" i="8"/>
  <c r="Q426" i="8"/>
  <c r="P426" i="8"/>
  <c r="O426" i="8"/>
  <c r="M426" i="8"/>
  <c r="L426" i="8"/>
  <c r="K426" i="8"/>
  <c r="J426" i="8"/>
  <c r="I426" i="8"/>
  <c r="R425" i="8"/>
  <c r="Q425" i="8"/>
  <c r="P425" i="8"/>
  <c r="O425" i="8"/>
  <c r="M425" i="8"/>
  <c r="L425" i="8"/>
  <c r="K425" i="8"/>
  <c r="J425" i="8"/>
  <c r="I425" i="8"/>
  <c r="R424" i="8"/>
  <c r="Q424" i="8"/>
  <c r="P424" i="8"/>
  <c r="O424" i="8"/>
  <c r="M424" i="8"/>
  <c r="L424" i="8"/>
  <c r="K424" i="8"/>
  <c r="J424" i="8"/>
  <c r="I424" i="8"/>
  <c r="R423" i="8"/>
  <c r="Q423" i="8"/>
  <c r="P423" i="8"/>
  <c r="O423" i="8"/>
  <c r="M423" i="8"/>
  <c r="L423" i="8"/>
  <c r="K423" i="8"/>
  <c r="J423" i="8"/>
  <c r="I423" i="8"/>
  <c r="R422" i="8"/>
  <c r="Q422" i="8"/>
  <c r="P422" i="8"/>
  <c r="O422" i="8"/>
  <c r="M422" i="8"/>
  <c r="L422" i="8"/>
  <c r="K422" i="8"/>
  <c r="J422" i="8"/>
  <c r="I422" i="8"/>
  <c r="R421" i="8"/>
  <c r="Q421" i="8"/>
  <c r="P421" i="8"/>
  <c r="O421" i="8"/>
  <c r="M421" i="8"/>
  <c r="L421" i="8"/>
  <c r="K421" i="8"/>
  <c r="J421" i="8"/>
  <c r="I421" i="8"/>
  <c r="R420" i="8"/>
  <c r="Q420" i="8"/>
  <c r="P420" i="8"/>
  <c r="O420" i="8"/>
  <c r="M420" i="8"/>
  <c r="L420" i="8"/>
  <c r="K420" i="8"/>
  <c r="J420" i="8"/>
  <c r="I420" i="8"/>
  <c r="R419" i="8"/>
  <c r="Q419" i="8"/>
  <c r="P419" i="8"/>
  <c r="O419" i="8"/>
  <c r="M419" i="8"/>
  <c r="L419" i="8"/>
  <c r="K419" i="8"/>
  <c r="J419" i="8"/>
  <c r="I419" i="8"/>
  <c r="R418" i="8"/>
  <c r="Q418" i="8"/>
  <c r="P418" i="8"/>
  <c r="O418" i="8"/>
  <c r="M418" i="8"/>
  <c r="L418" i="8"/>
  <c r="K418" i="8"/>
  <c r="J418" i="8"/>
  <c r="I418" i="8"/>
  <c r="R415" i="8"/>
  <c r="Q415" i="8"/>
  <c r="P415" i="8"/>
  <c r="O415" i="8"/>
  <c r="N415" i="8"/>
  <c r="M415" i="8"/>
  <c r="L415" i="8"/>
  <c r="K415" i="8"/>
  <c r="J415" i="8"/>
  <c r="I415" i="8"/>
  <c r="R414" i="8"/>
  <c r="Q414" i="8"/>
  <c r="P414" i="8"/>
  <c r="O414" i="8"/>
  <c r="N414" i="8"/>
  <c r="M414" i="8"/>
  <c r="L414" i="8"/>
  <c r="K414" i="8"/>
  <c r="J414" i="8"/>
  <c r="I414" i="8"/>
  <c r="R413" i="8"/>
  <c r="Q413" i="8"/>
  <c r="P413" i="8"/>
  <c r="O413" i="8"/>
  <c r="N413" i="8"/>
  <c r="M413" i="8"/>
  <c r="L413" i="8"/>
  <c r="K413" i="8"/>
  <c r="J413" i="8"/>
  <c r="I413" i="8"/>
  <c r="R412" i="8"/>
  <c r="Q412" i="8"/>
  <c r="P412" i="8"/>
  <c r="O412" i="8"/>
  <c r="N412" i="8"/>
  <c r="M412" i="8"/>
  <c r="L412" i="8"/>
  <c r="K412" i="8"/>
  <c r="J412" i="8"/>
  <c r="I412" i="8"/>
  <c r="R411" i="8"/>
  <c r="Q411" i="8"/>
  <c r="P411" i="8"/>
  <c r="O411" i="8"/>
  <c r="N411" i="8"/>
  <c r="M411" i="8"/>
  <c r="L411" i="8"/>
  <c r="K411" i="8"/>
  <c r="J411" i="8"/>
  <c r="I411" i="8"/>
  <c r="R410" i="8"/>
  <c r="Q410" i="8"/>
  <c r="P410" i="8"/>
  <c r="O410" i="8"/>
  <c r="N410" i="8"/>
  <c r="M410" i="8"/>
  <c r="L410" i="8"/>
  <c r="K410" i="8"/>
  <c r="J410" i="8"/>
  <c r="I410" i="8"/>
  <c r="R409" i="8"/>
  <c r="Q409" i="8"/>
  <c r="P409" i="8"/>
  <c r="O409" i="8"/>
  <c r="N409" i="8"/>
  <c r="M409" i="8"/>
  <c r="L409" i="8"/>
  <c r="K409" i="8"/>
  <c r="J409" i="8"/>
  <c r="I409" i="8"/>
  <c r="R408" i="8"/>
  <c r="Q408" i="8"/>
  <c r="P408" i="8"/>
  <c r="O408" i="8"/>
  <c r="N408" i="8"/>
  <c r="M408" i="8"/>
  <c r="L408" i="8"/>
  <c r="K408" i="8"/>
  <c r="J408" i="8"/>
  <c r="I408" i="8"/>
  <c r="R407" i="8"/>
  <c r="Q407" i="8"/>
  <c r="P407" i="8"/>
  <c r="O407" i="8"/>
  <c r="N407" i="8"/>
  <c r="M407" i="8"/>
  <c r="L407" i="8"/>
  <c r="K407" i="8"/>
  <c r="J407" i="8"/>
  <c r="I407" i="8"/>
  <c r="R406" i="8"/>
  <c r="Q406" i="8"/>
  <c r="P406" i="8"/>
  <c r="O406" i="8"/>
  <c r="N406" i="8"/>
  <c r="M406" i="8"/>
  <c r="L406" i="8"/>
  <c r="K406" i="8"/>
  <c r="J406" i="8"/>
  <c r="I406" i="8"/>
  <c r="R405" i="8"/>
  <c r="Q405" i="8"/>
  <c r="P405" i="8"/>
  <c r="O405" i="8"/>
  <c r="N405" i="8"/>
  <c r="M405" i="8"/>
  <c r="L405" i="8"/>
  <c r="K405" i="8"/>
  <c r="J405" i="8"/>
  <c r="I405" i="8"/>
  <c r="R402" i="8"/>
  <c r="Q402" i="8"/>
  <c r="P402" i="8"/>
  <c r="O402" i="8"/>
  <c r="M402" i="8"/>
  <c r="L402" i="8"/>
  <c r="K402" i="8"/>
  <c r="J402" i="8"/>
  <c r="I402" i="8"/>
  <c r="R401" i="8"/>
  <c r="Q401" i="8"/>
  <c r="P401" i="8"/>
  <c r="O401" i="8"/>
  <c r="M401" i="8"/>
  <c r="L401" i="8"/>
  <c r="K401" i="8"/>
  <c r="J401" i="8"/>
  <c r="I401" i="8"/>
  <c r="R400" i="8"/>
  <c r="Q400" i="8"/>
  <c r="P400" i="8"/>
  <c r="O400" i="8"/>
  <c r="M400" i="8"/>
  <c r="L400" i="8"/>
  <c r="K400" i="8"/>
  <c r="J400" i="8"/>
  <c r="I400" i="8"/>
  <c r="R399" i="8"/>
  <c r="Q399" i="8"/>
  <c r="P399" i="8"/>
  <c r="O399" i="8"/>
  <c r="M399" i="8"/>
  <c r="L399" i="8"/>
  <c r="K399" i="8"/>
  <c r="J399" i="8"/>
  <c r="I399" i="8"/>
  <c r="R398" i="8"/>
  <c r="Q398" i="8"/>
  <c r="P398" i="8"/>
  <c r="O398" i="8"/>
  <c r="M398" i="8"/>
  <c r="L398" i="8"/>
  <c r="K398" i="8"/>
  <c r="J398" i="8"/>
  <c r="I398" i="8"/>
  <c r="R397" i="8"/>
  <c r="Q397" i="8"/>
  <c r="P397" i="8"/>
  <c r="O397" i="8"/>
  <c r="M397" i="8"/>
  <c r="L397" i="8"/>
  <c r="K397" i="8"/>
  <c r="J397" i="8"/>
  <c r="I397" i="8"/>
  <c r="R396" i="8"/>
  <c r="Q396" i="8"/>
  <c r="P396" i="8"/>
  <c r="O396" i="8"/>
  <c r="M396" i="8"/>
  <c r="L396" i="8"/>
  <c r="K396" i="8"/>
  <c r="J396" i="8"/>
  <c r="I396" i="8"/>
  <c r="R395" i="8"/>
  <c r="Q395" i="8"/>
  <c r="P395" i="8"/>
  <c r="O395" i="8"/>
  <c r="M395" i="8"/>
  <c r="L395" i="8"/>
  <c r="K395" i="8"/>
  <c r="J395" i="8"/>
  <c r="I395" i="8"/>
  <c r="R394" i="8"/>
  <c r="Q394" i="8"/>
  <c r="P394" i="8"/>
  <c r="O394" i="8"/>
  <c r="M394" i="8"/>
  <c r="L394" i="8"/>
  <c r="K394" i="8"/>
  <c r="J394" i="8"/>
  <c r="I394" i="8"/>
  <c r="R393" i="8"/>
  <c r="Q393" i="8"/>
  <c r="P393" i="8"/>
  <c r="O393" i="8"/>
  <c r="M393" i="8"/>
  <c r="L393" i="8"/>
  <c r="K393" i="8"/>
  <c r="J393" i="8"/>
  <c r="I393" i="8"/>
  <c r="R392" i="8"/>
  <c r="Q392" i="8"/>
  <c r="P392" i="8"/>
  <c r="O392" i="8"/>
  <c r="M392" i="8"/>
  <c r="L392" i="8"/>
  <c r="K392" i="8"/>
  <c r="J392" i="8"/>
  <c r="I392" i="8"/>
  <c r="R391" i="8"/>
  <c r="Q391" i="8"/>
  <c r="P391" i="8"/>
  <c r="O391" i="8"/>
  <c r="M391" i="8"/>
  <c r="L391" i="8"/>
  <c r="K391" i="8"/>
  <c r="J391" i="8"/>
  <c r="I391" i="8"/>
  <c r="R390" i="8"/>
  <c r="Q390" i="8"/>
  <c r="P390" i="8"/>
  <c r="O390" i="8"/>
  <c r="M390" i="8"/>
  <c r="L390" i="8"/>
  <c r="K390" i="8"/>
  <c r="J390" i="8"/>
  <c r="I390" i="8"/>
  <c r="R389" i="8"/>
  <c r="Q389" i="8"/>
  <c r="P389" i="8"/>
  <c r="O389" i="8"/>
  <c r="M389" i="8"/>
  <c r="L389" i="8"/>
  <c r="K389" i="8"/>
  <c r="J389" i="8"/>
  <c r="I389" i="8"/>
  <c r="R388" i="8"/>
  <c r="Q388" i="8"/>
  <c r="P388" i="8"/>
  <c r="O388" i="8"/>
  <c r="M388" i="8"/>
  <c r="L388" i="8"/>
  <c r="K388" i="8"/>
  <c r="J388" i="8"/>
  <c r="I388" i="8"/>
  <c r="R387" i="8"/>
  <c r="Q387" i="8"/>
  <c r="P387" i="8"/>
  <c r="O387" i="8"/>
  <c r="M387" i="8"/>
  <c r="L387" i="8"/>
  <c r="K387" i="8"/>
  <c r="J387" i="8"/>
  <c r="I387" i="8"/>
  <c r="R386" i="8"/>
  <c r="Q386" i="8"/>
  <c r="P386" i="8"/>
  <c r="O386" i="8"/>
  <c r="M386" i="8"/>
  <c r="L386" i="8"/>
  <c r="K386" i="8"/>
  <c r="J386" i="8"/>
  <c r="I386" i="8"/>
  <c r="R385" i="8"/>
  <c r="Q385" i="8"/>
  <c r="P385" i="8"/>
  <c r="O385" i="8"/>
  <c r="M385" i="8"/>
  <c r="L385" i="8"/>
  <c r="K385" i="8"/>
  <c r="J385" i="8"/>
  <c r="I385" i="8"/>
  <c r="R384" i="8"/>
  <c r="Q384" i="8"/>
  <c r="P384" i="8"/>
  <c r="O384" i="8"/>
  <c r="M384" i="8"/>
  <c r="L384" i="8"/>
  <c r="K384" i="8"/>
  <c r="J384" i="8"/>
  <c r="I384" i="8"/>
  <c r="R383" i="8"/>
  <c r="Q383" i="8"/>
  <c r="P383" i="8"/>
  <c r="O383" i="8"/>
  <c r="M383" i="8"/>
  <c r="L383" i="8"/>
  <c r="K383" i="8"/>
  <c r="J383" i="8"/>
  <c r="I383" i="8"/>
  <c r="R382" i="8"/>
  <c r="Q382" i="8"/>
  <c r="P382" i="8"/>
  <c r="O382" i="8"/>
  <c r="M382" i="8"/>
  <c r="L382" i="8"/>
  <c r="K382" i="8"/>
  <c r="J382" i="8"/>
  <c r="I382" i="8"/>
  <c r="R381" i="8"/>
  <c r="Q381" i="8"/>
  <c r="P381" i="8"/>
  <c r="O381" i="8"/>
  <c r="M381" i="8"/>
  <c r="L381" i="8"/>
  <c r="K381" i="8"/>
  <c r="J381" i="8"/>
  <c r="I381" i="8"/>
  <c r="R380" i="8"/>
  <c r="Q380" i="8"/>
  <c r="P380" i="8"/>
  <c r="O380" i="8"/>
  <c r="M380" i="8"/>
  <c r="L380" i="8"/>
  <c r="K380" i="8"/>
  <c r="J380" i="8"/>
  <c r="I380" i="8"/>
  <c r="R379" i="8"/>
  <c r="Q379" i="8"/>
  <c r="P379" i="8"/>
  <c r="O379" i="8"/>
  <c r="M379" i="8"/>
  <c r="L379" i="8"/>
  <c r="K379" i="8"/>
  <c r="J379" i="8"/>
  <c r="I379" i="8"/>
  <c r="R378" i="8"/>
  <c r="Q378" i="8"/>
  <c r="P378" i="8"/>
  <c r="O378" i="8"/>
  <c r="M378" i="8"/>
  <c r="L378" i="8"/>
  <c r="K378" i="8"/>
  <c r="J378" i="8"/>
  <c r="I378" i="8"/>
  <c r="R374" i="8"/>
  <c r="Q374" i="8"/>
  <c r="P374" i="8"/>
  <c r="O374" i="8"/>
  <c r="M374" i="8"/>
  <c r="L374" i="8"/>
  <c r="K374" i="8"/>
  <c r="J374" i="8"/>
  <c r="I374" i="8"/>
  <c r="R373" i="8"/>
  <c r="Q373" i="8"/>
  <c r="P373" i="8"/>
  <c r="O373" i="8"/>
  <c r="M373" i="8"/>
  <c r="L373" i="8"/>
  <c r="K373" i="8"/>
  <c r="J373" i="8"/>
  <c r="I373" i="8"/>
  <c r="R372" i="8"/>
  <c r="Q372" i="8"/>
  <c r="P372" i="8"/>
  <c r="O372" i="8"/>
  <c r="M372" i="8"/>
  <c r="L372" i="8"/>
  <c r="K372" i="8"/>
  <c r="J372" i="8"/>
  <c r="I372" i="8"/>
  <c r="R371" i="8"/>
  <c r="Q371" i="8"/>
  <c r="P371" i="8"/>
  <c r="O371" i="8"/>
  <c r="M371" i="8"/>
  <c r="L371" i="8"/>
  <c r="K371" i="8"/>
  <c r="J371" i="8"/>
  <c r="I371" i="8"/>
  <c r="R370" i="8"/>
  <c r="Q370" i="8"/>
  <c r="P370" i="8"/>
  <c r="O370" i="8"/>
  <c r="M370" i="8"/>
  <c r="L370" i="8"/>
  <c r="K370" i="8"/>
  <c r="J370" i="8"/>
  <c r="I370" i="8"/>
  <c r="R369" i="8"/>
  <c r="Q369" i="8"/>
  <c r="P369" i="8"/>
  <c r="O369" i="8"/>
  <c r="M369" i="8"/>
  <c r="L369" i="8"/>
  <c r="K369" i="8"/>
  <c r="J369" i="8"/>
  <c r="I369" i="8"/>
  <c r="R368" i="8"/>
  <c r="Q368" i="8"/>
  <c r="P368" i="8"/>
  <c r="O368" i="8"/>
  <c r="M368" i="8"/>
  <c r="L368" i="8"/>
  <c r="K368" i="8"/>
  <c r="J368" i="8"/>
  <c r="I368" i="8"/>
  <c r="R367" i="8"/>
  <c r="Q367" i="8"/>
  <c r="P367" i="8"/>
  <c r="O367" i="8"/>
  <c r="M367" i="8"/>
  <c r="L367" i="8"/>
  <c r="K367" i="8"/>
  <c r="J367" i="8"/>
  <c r="I367" i="8"/>
  <c r="R366" i="8"/>
  <c r="Q366" i="8"/>
  <c r="P366" i="8"/>
  <c r="O366" i="8"/>
  <c r="M366" i="8"/>
  <c r="L366" i="8"/>
  <c r="K366" i="8"/>
  <c r="J366" i="8"/>
  <c r="I366" i="8"/>
  <c r="R361" i="8"/>
  <c r="Q361" i="8"/>
  <c r="P361" i="8"/>
  <c r="O361" i="8"/>
  <c r="M361" i="8"/>
  <c r="L361" i="8"/>
  <c r="K361" i="8"/>
  <c r="J361" i="8"/>
  <c r="I361" i="8"/>
  <c r="R359" i="8"/>
  <c r="Q359" i="8"/>
  <c r="P359" i="8"/>
  <c r="O359" i="8"/>
  <c r="M359" i="8"/>
  <c r="L359" i="8"/>
  <c r="K359" i="8"/>
  <c r="J359" i="8"/>
  <c r="I359" i="8"/>
  <c r="R358" i="8"/>
  <c r="Q358" i="8"/>
  <c r="P358" i="8"/>
  <c r="O358" i="8"/>
  <c r="M358" i="8"/>
  <c r="L358" i="8"/>
  <c r="K358" i="8"/>
  <c r="J358" i="8"/>
  <c r="I358" i="8"/>
  <c r="R354" i="8"/>
  <c r="Q354" i="8"/>
  <c r="P354" i="8"/>
  <c r="O354" i="8"/>
  <c r="M354" i="8"/>
  <c r="L354" i="8"/>
  <c r="K354" i="8"/>
  <c r="J354" i="8"/>
  <c r="I354" i="8"/>
  <c r="R353" i="8"/>
  <c r="Q353" i="8"/>
  <c r="P353" i="8"/>
  <c r="O353" i="8"/>
  <c r="M353" i="8"/>
  <c r="L353" i="8"/>
  <c r="K353" i="8"/>
  <c r="J353" i="8"/>
  <c r="I353" i="8"/>
  <c r="R352" i="8"/>
  <c r="Q352" i="8"/>
  <c r="P352" i="8"/>
  <c r="O352" i="8"/>
  <c r="M352" i="8"/>
  <c r="L352" i="8"/>
  <c r="K352" i="8"/>
  <c r="J352" i="8"/>
  <c r="I352" i="8"/>
  <c r="R351" i="8"/>
  <c r="Q351" i="8"/>
  <c r="P351" i="8"/>
  <c r="O351" i="8"/>
  <c r="M351" i="8"/>
  <c r="L351" i="8"/>
  <c r="K351" i="8"/>
  <c r="J351" i="8"/>
  <c r="I351" i="8"/>
  <c r="R350" i="8"/>
  <c r="Q350" i="8"/>
  <c r="P350" i="8"/>
  <c r="O350" i="8"/>
  <c r="M350" i="8"/>
  <c r="L350" i="8"/>
  <c r="K350" i="8"/>
  <c r="J350" i="8"/>
  <c r="I350" i="8"/>
  <c r="R349" i="8"/>
  <c r="Q349" i="8"/>
  <c r="P349" i="8"/>
  <c r="O349" i="8"/>
  <c r="M349" i="8"/>
  <c r="L349" i="8"/>
  <c r="K349" i="8"/>
  <c r="J349" i="8"/>
  <c r="I349" i="8"/>
  <c r="R348" i="8"/>
  <c r="Q348" i="8"/>
  <c r="P348" i="8"/>
  <c r="O348" i="8"/>
  <c r="M348" i="8"/>
  <c r="L348" i="8"/>
  <c r="K348" i="8"/>
  <c r="J348" i="8"/>
  <c r="I348" i="8"/>
  <c r="R347" i="8"/>
  <c r="Q347" i="8"/>
  <c r="P347" i="8"/>
  <c r="O347" i="8"/>
  <c r="M347" i="8"/>
  <c r="L347" i="8"/>
  <c r="K347" i="8"/>
  <c r="J347" i="8"/>
  <c r="I347" i="8"/>
  <c r="R346" i="8"/>
  <c r="Q346" i="8"/>
  <c r="P346" i="8"/>
  <c r="O346" i="8"/>
  <c r="M346" i="8"/>
  <c r="L346" i="8"/>
  <c r="K346" i="8"/>
  <c r="J346" i="8"/>
  <c r="I346" i="8"/>
  <c r="R345" i="8"/>
  <c r="Q345" i="8"/>
  <c r="P345" i="8"/>
  <c r="O345" i="8"/>
  <c r="M345" i="8"/>
  <c r="L345" i="8"/>
  <c r="K345" i="8"/>
  <c r="J345" i="8"/>
  <c r="I345" i="8"/>
  <c r="R343" i="8"/>
  <c r="Q343" i="8"/>
  <c r="P343" i="8"/>
  <c r="O343" i="8"/>
  <c r="N343" i="8"/>
  <c r="M343" i="8"/>
  <c r="L343" i="8"/>
  <c r="K343" i="8"/>
  <c r="J343" i="8"/>
  <c r="I343" i="8"/>
  <c r="R342" i="8"/>
  <c r="Q342" i="8"/>
  <c r="P342" i="8"/>
  <c r="O342" i="8"/>
  <c r="N342" i="8"/>
  <c r="M342" i="8"/>
  <c r="L342" i="8"/>
  <c r="K342" i="8"/>
  <c r="J342" i="8"/>
  <c r="I342" i="8"/>
  <c r="R341" i="8"/>
  <c r="Q341" i="8"/>
  <c r="P341" i="8"/>
  <c r="O341" i="8"/>
  <c r="N341" i="8"/>
  <c r="M341" i="8"/>
  <c r="L341" i="8"/>
  <c r="K341" i="8"/>
  <c r="J341" i="8"/>
  <c r="I341" i="8"/>
  <c r="R340" i="8"/>
  <c r="Q340" i="8"/>
  <c r="P340" i="8"/>
  <c r="O340" i="8"/>
  <c r="N340" i="8"/>
  <c r="M340" i="8"/>
  <c r="L340" i="8"/>
  <c r="K340" i="8"/>
  <c r="J340" i="8"/>
  <c r="I340" i="8"/>
  <c r="R339" i="8"/>
  <c r="Q339" i="8"/>
  <c r="P339" i="8"/>
  <c r="O339" i="8"/>
  <c r="N339" i="8"/>
  <c r="M339" i="8"/>
  <c r="L339" i="8"/>
  <c r="K339" i="8"/>
  <c r="J339" i="8"/>
  <c r="I339" i="8"/>
  <c r="R338" i="8"/>
  <c r="Q338" i="8"/>
  <c r="P338" i="8"/>
  <c r="O338" i="8"/>
  <c r="N338" i="8"/>
  <c r="M338" i="8"/>
  <c r="L338" i="8"/>
  <c r="K338" i="8"/>
  <c r="J338" i="8"/>
  <c r="I338" i="8"/>
  <c r="R337" i="8"/>
  <c r="Q337" i="8"/>
  <c r="P337" i="8"/>
  <c r="O337" i="8"/>
  <c r="N337" i="8"/>
  <c r="M337" i="8"/>
  <c r="L337" i="8"/>
  <c r="K337" i="8"/>
  <c r="J337" i="8"/>
  <c r="I337" i="8"/>
  <c r="R336" i="8"/>
  <c r="Q336" i="8"/>
  <c r="P336" i="8"/>
  <c r="O336" i="8"/>
  <c r="N336" i="8"/>
  <c r="M336" i="8"/>
  <c r="L336" i="8"/>
  <c r="K336" i="8"/>
  <c r="J336" i="8"/>
  <c r="I336" i="8"/>
  <c r="R335" i="8"/>
  <c r="Q335" i="8"/>
  <c r="P335" i="8"/>
  <c r="O335" i="8"/>
  <c r="N335" i="8"/>
  <c r="M335" i="8"/>
  <c r="L335" i="8"/>
  <c r="K335" i="8"/>
  <c r="J335" i="8"/>
  <c r="I335" i="8"/>
  <c r="R334" i="8"/>
  <c r="Q334" i="8"/>
  <c r="P334" i="8"/>
  <c r="O334" i="8"/>
  <c r="M334" i="8"/>
  <c r="L334" i="8"/>
  <c r="K334" i="8"/>
  <c r="J334" i="8"/>
  <c r="I334" i="8"/>
  <c r="R333" i="8"/>
  <c r="Q333" i="8"/>
  <c r="P333" i="8"/>
  <c r="O333" i="8"/>
  <c r="N333" i="8"/>
  <c r="M333" i="8"/>
  <c r="L333" i="8"/>
  <c r="K333" i="8"/>
  <c r="J333" i="8"/>
  <c r="I333" i="8"/>
  <c r="R329" i="8"/>
  <c r="Q329" i="8"/>
  <c r="P329" i="8"/>
  <c r="O329" i="8"/>
  <c r="N329" i="8"/>
  <c r="M329" i="8"/>
  <c r="L329" i="8"/>
  <c r="K329" i="8"/>
  <c r="J329" i="8"/>
  <c r="I329" i="8"/>
  <c r="R328" i="8"/>
  <c r="Q328" i="8"/>
  <c r="P328" i="8"/>
  <c r="O328" i="8"/>
  <c r="N328" i="8"/>
  <c r="M328" i="8"/>
  <c r="L328" i="8"/>
  <c r="K328" i="8"/>
  <c r="J328" i="8"/>
  <c r="I328" i="8"/>
  <c r="R327" i="8"/>
  <c r="Q327" i="8"/>
  <c r="P327" i="8"/>
  <c r="O327" i="8"/>
  <c r="N327" i="8"/>
  <c r="M327" i="8"/>
  <c r="L327" i="8"/>
  <c r="K327" i="8"/>
  <c r="J327" i="8"/>
  <c r="I327" i="8"/>
  <c r="R326" i="8"/>
  <c r="Q326" i="8"/>
  <c r="P326" i="8"/>
  <c r="O326" i="8"/>
  <c r="N326" i="8"/>
  <c r="M326" i="8"/>
  <c r="L326" i="8"/>
  <c r="K326" i="8"/>
  <c r="J326" i="8"/>
  <c r="I326" i="8"/>
  <c r="R325" i="8"/>
  <c r="Q325" i="8"/>
  <c r="P325" i="8"/>
  <c r="O325" i="8"/>
  <c r="N325" i="8"/>
  <c r="M325" i="8"/>
  <c r="L325" i="8"/>
  <c r="K325" i="8"/>
  <c r="J325" i="8"/>
  <c r="I325" i="8"/>
  <c r="R324" i="8"/>
  <c r="Q324" i="8"/>
  <c r="P324" i="8"/>
  <c r="O324" i="8"/>
  <c r="N324" i="8"/>
  <c r="M324" i="8"/>
  <c r="L324" i="8"/>
  <c r="K324" i="8"/>
  <c r="J324" i="8"/>
  <c r="I324" i="8"/>
  <c r="R323" i="8"/>
  <c r="Q323" i="8"/>
  <c r="P323" i="8"/>
  <c r="O323" i="8"/>
  <c r="N323" i="8"/>
  <c r="M323" i="8"/>
  <c r="L323" i="8"/>
  <c r="K323" i="8"/>
  <c r="J323" i="8"/>
  <c r="I323" i="8"/>
  <c r="R322" i="8"/>
  <c r="Q322" i="8"/>
  <c r="P322" i="8"/>
  <c r="O322" i="8"/>
  <c r="N322" i="8"/>
  <c r="M322" i="8"/>
  <c r="L322" i="8"/>
  <c r="K322" i="8"/>
  <c r="J322" i="8"/>
  <c r="I322" i="8"/>
  <c r="R321" i="8"/>
  <c r="Q321" i="8"/>
  <c r="P321" i="8"/>
  <c r="O321" i="8"/>
  <c r="N321" i="8"/>
  <c r="M321" i="8"/>
  <c r="L321" i="8"/>
  <c r="K321" i="8"/>
  <c r="J321" i="8"/>
  <c r="I321" i="8"/>
  <c r="R320" i="8"/>
  <c r="Q320" i="8"/>
  <c r="P320" i="8"/>
  <c r="O320" i="8"/>
  <c r="N320" i="8"/>
  <c r="M320" i="8"/>
  <c r="L320" i="8"/>
  <c r="K320" i="8"/>
  <c r="J320" i="8"/>
  <c r="I320" i="8"/>
  <c r="R319" i="8"/>
  <c r="Q319" i="8"/>
  <c r="P319" i="8"/>
  <c r="O319" i="8"/>
  <c r="N319" i="8"/>
  <c r="M319" i="8"/>
  <c r="L319" i="8"/>
  <c r="K319" i="8"/>
  <c r="J319" i="8"/>
  <c r="I319" i="8"/>
  <c r="R318" i="8"/>
  <c r="Q318" i="8"/>
  <c r="P318" i="8"/>
  <c r="O318" i="8"/>
  <c r="N318" i="8"/>
  <c r="M318" i="8"/>
  <c r="L318" i="8"/>
  <c r="K318" i="8"/>
  <c r="J318" i="8"/>
  <c r="I318" i="8"/>
  <c r="R317" i="8"/>
  <c r="Q317" i="8"/>
  <c r="P317" i="8"/>
  <c r="O317" i="8"/>
  <c r="N317" i="8"/>
  <c r="M317" i="8"/>
  <c r="L317" i="8"/>
  <c r="K317" i="8"/>
  <c r="J317" i="8"/>
  <c r="I317" i="8"/>
  <c r="R316" i="8"/>
  <c r="Q316" i="8"/>
  <c r="P316" i="8"/>
  <c r="O316" i="8"/>
  <c r="N316" i="8"/>
  <c r="M316" i="8"/>
  <c r="L316" i="8"/>
  <c r="K316" i="8"/>
  <c r="J316" i="8"/>
  <c r="I316" i="8"/>
  <c r="R315" i="8"/>
  <c r="Q315" i="8"/>
  <c r="P315" i="8"/>
  <c r="O315" i="8"/>
  <c r="N315" i="8"/>
  <c r="M315" i="8"/>
  <c r="L315" i="8"/>
  <c r="K315" i="8"/>
  <c r="J315" i="8"/>
  <c r="I315" i="8"/>
  <c r="R314" i="8"/>
  <c r="Q314" i="8"/>
  <c r="P314" i="8"/>
  <c r="O314" i="8"/>
  <c r="N314" i="8"/>
  <c r="M314" i="8"/>
  <c r="L314" i="8"/>
  <c r="K314" i="8"/>
  <c r="J314" i="8"/>
  <c r="I314" i="8"/>
  <c r="R313" i="8"/>
  <c r="Q313" i="8"/>
  <c r="P313" i="8"/>
  <c r="O313" i="8"/>
  <c r="N313" i="8"/>
  <c r="M313" i="8"/>
  <c r="L313" i="8"/>
  <c r="K313" i="8"/>
  <c r="J313" i="8"/>
  <c r="I313" i="8"/>
  <c r="R312" i="8"/>
  <c r="Q312" i="8"/>
  <c r="P312" i="8"/>
  <c r="O312" i="8"/>
  <c r="N312" i="8"/>
  <c r="M312" i="8"/>
  <c r="L312" i="8"/>
  <c r="K312" i="8"/>
  <c r="J312" i="8"/>
  <c r="I312" i="8"/>
  <c r="R311" i="8"/>
  <c r="Q311" i="8"/>
  <c r="P311" i="8"/>
  <c r="O311" i="8"/>
  <c r="N311" i="8"/>
  <c r="M311" i="8"/>
  <c r="L311" i="8"/>
  <c r="K311" i="8"/>
  <c r="J311" i="8"/>
  <c r="I311" i="8"/>
  <c r="R310" i="8"/>
  <c r="Q310" i="8"/>
  <c r="P310" i="8"/>
  <c r="O310" i="8"/>
  <c r="N310" i="8"/>
  <c r="M310" i="8"/>
  <c r="L310" i="8"/>
  <c r="K310" i="8"/>
  <c r="J310" i="8"/>
  <c r="I310" i="8"/>
  <c r="R309" i="8"/>
  <c r="Q309" i="8"/>
  <c r="P309" i="8"/>
  <c r="O309" i="8"/>
  <c r="N309" i="8"/>
  <c r="M309" i="8"/>
  <c r="L309" i="8"/>
  <c r="K309" i="8"/>
  <c r="J309" i="8"/>
  <c r="I309" i="8"/>
  <c r="R308" i="8"/>
  <c r="Q308" i="8"/>
  <c r="P308" i="8"/>
  <c r="O308" i="8"/>
  <c r="N308" i="8"/>
  <c r="M308" i="8"/>
  <c r="L308" i="8"/>
  <c r="K308" i="8"/>
  <c r="J308" i="8"/>
  <c r="I308" i="8"/>
  <c r="R307" i="8"/>
  <c r="Q307" i="8"/>
  <c r="P307" i="8"/>
  <c r="O307" i="8"/>
  <c r="N307" i="8"/>
  <c r="M307" i="8"/>
  <c r="L307" i="8"/>
  <c r="K307" i="8"/>
  <c r="J307" i="8"/>
  <c r="I307" i="8"/>
  <c r="R306" i="8"/>
  <c r="Q306" i="8"/>
  <c r="P306" i="8"/>
  <c r="O306" i="8"/>
  <c r="N306" i="8"/>
  <c r="M306" i="8"/>
  <c r="L306" i="8"/>
  <c r="K306" i="8"/>
  <c r="J306" i="8"/>
  <c r="I306" i="8"/>
  <c r="R305" i="8"/>
  <c r="Q305" i="8"/>
  <c r="P305" i="8"/>
  <c r="O305" i="8"/>
  <c r="N305" i="8"/>
  <c r="M305" i="8"/>
  <c r="L305" i="8"/>
  <c r="K305" i="8"/>
  <c r="J305" i="8"/>
  <c r="I305" i="8"/>
  <c r="R304" i="8"/>
  <c r="Q304" i="8"/>
  <c r="P304" i="8"/>
  <c r="O304" i="8"/>
  <c r="N304" i="8"/>
  <c r="M304" i="8"/>
  <c r="L304" i="8"/>
  <c r="K304" i="8"/>
  <c r="J304" i="8"/>
  <c r="I304" i="8"/>
  <c r="R303" i="8"/>
  <c r="Q303" i="8"/>
  <c r="P303" i="8"/>
  <c r="O303" i="8"/>
  <c r="N303" i="8"/>
  <c r="M303" i="8"/>
  <c r="L303" i="8"/>
  <c r="K303" i="8"/>
  <c r="J303" i="8"/>
  <c r="I303" i="8"/>
  <c r="R302" i="8"/>
  <c r="Q302" i="8"/>
  <c r="P302" i="8"/>
  <c r="O302" i="8"/>
  <c r="N302" i="8"/>
  <c r="M302" i="8"/>
  <c r="L302" i="8"/>
  <c r="K302" i="8"/>
  <c r="J302" i="8"/>
  <c r="I302" i="8"/>
  <c r="R301" i="8"/>
  <c r="Q301" i="8"/>
  <c r="P301" i="8"/>
  <c r="O301" i="8"/>
  <c r="N301" i="8"/>
  <c r="M301" i="8"/>
  <c r="L301" i="8"/>
  <c r="K301" i="8"/>
  <c r="J301" i="8"/>
  <c r="I301" i="8"/>
  <c r="R300" i="8"/>
  <c r="Q300" i="8"/>
  <c r="P300" i="8"/>
  <c r="O300" i="8"/>
  <c r="N300" i="8"/>
  <c r="M300" i="8"/>
  <c r="L300" i="8"/>
  <c r="K300" i="8"/>
  <c r="J300" i="8"/>
  <c r="I300" i="8"/>
  <c r="R299" i="8"/>
  <c r="Q299" i="8"/>
  <c r="P299" i="8"/>
  <c r="O299" i="8"/>
  <c r="N299" i="8"/>
  <c r="M299" i="8"/>
  <c r="L299" i="8"/>
  <c r="K299" i="8"/>
  <c r="J299" i="8"/>
  <c r="I299" i="8"/>
  <c r="R298" i="8"/>
  <c r="Q298" i="8"/>
  <c r="P298" i="8"/>
  <c r="O298" i="8"/>
  <c r="N298" i="8"/>
  <c r="M298" i="8"/>
  <c r="L298" i="8"/>
  <c r="K298" i="8"/>
  <c r="J298" i="8"/>
  <c r="I298" i="8"/>
  <c r="R297" i="8"/>
  <c r="Q297" i="8"/>
  <c r="P297" i="8"/>
  <c r="O297" i="8"/>
  <c r="N297" i="8"/>
  <c r="M297" i="8"/>
  <c r="L297" i="8"/>
  <c r="K297" i="8"/>
  <c r="J297" i="8"/>
  <c r="I297" i="8"/>
  <c r="R293" i="8"/>
  <c r="Q293" i="8"/>
  <c r="P293" i="8"/>
  <c r="O293" i="8"/>
  <c r="L293" i="8"/>
  <c r="K293" i="8"/>
  <c r="J293" i="8"/>
  <c r="I293" i="8"/>
  <c r="R292" i="8"/>
  <c r="Q292" i="8"/>
  <c r="P292" i="8"/>
  <c r="O292" i="8"/>
  <c r="L292" i="8"/>
  <c r="K292" i="8"/>
  <c r="J292" i="8"/>
  <c r="I292" i="8"/>
  <c r="R291" i="8"/>
  <c r="Q291" i="8"/>
  <c r="P291" i="8"/>
  <c r="O291" i="8"/>
  <c r="L291" i="8"/>
  <c r="K291" i="8"/>
  <c r="J291" i="8"/>
  <c r="I291" i="8"/>
  <c r="R290" i="8"/>
  <c r="Q290" i="8"/>
  <c r="P290" i="8"/>
  <c r="O290" i="8"/>
  <c r="L290" i="8"/>
  <c r="K290" i="8"/>
  <c r="J290" i="8"/>
  <c r="I290" i="8"/>
  <c r="R288" i="8"/>
  <c r="Q288" i="8"/>
  <c r="P288" i="8"/>
  <c r="O288" i="8"/>
  <c r="N288" i="8"/>
  <c r="M288" i="8"/>
  <c r="L288" i="8"/>
  <c r="K288" i="8"/>
  <c r="J288" i="8"/>
  <c r="I288" i="8"/>
  <c r="R287" i="8"/>
  <c r="Q287" i="8"/>
  <c r="P287" i="8"/>
  <c r="O287" i="8"/>
  <c r="N287" i="8"/>
  <c r="M287" i="8"/>
  <c r="L287" i="8"/>
  <c r="K287" i="8"/>
  <c r="J287" i="8"/>
  <c r="I287" i="8"/>
  <c r="R286" i="8"/>
  <c r="Q286" i="8"/>
  <c r="P286" i="8"/>
  <c r="O286" i="8"/>
  <c r="N286" i="8"/>
  <c r="M286" i="8"/>
  <c r="L286" i="8"/>
  <c r="K286" i="8"/>
  <c r="J286" i="8"/>
  <c r="I286" i="8"/>
  <c r="R285" i="8"/>
  <c r="Q285" i="8"/>
  <c r="P285" i="8"/>
  <c r="O285" i="8"/>
  <c r="N285" i="8"/>
  <c r="M285" i="8"/>
  <c r="L285" i="8"/>
  <c r="K285" i="8"/>
  <c r="J285" i="8"/>
  <c r="I285" i="8"/>
  <c r="R284" i="8"/>
  <c r="Q284" i="8"/>
  <c r="P284" i="8"/>
  <c r="O284" i="8"/>
  <c r="N284" i="8"/>
  <c r="M284" i="8"/>
  <c r="L284" i="8"/>
  <c r="K284" i="8"/>
  <c r="J284" i="8"/>
  <c r="I284" i="8"/>
  <c r="R283" i="8"/>
  <c r="Q283" i="8"/>
  <c r="P283" i="8"/>
  <c r="O283" i="8"/>
  <c r="N283" i="8"/>
  <c r="M283" i="8"/>
  <c r="L283" i="8"/>
  <c r="K283" i="8"/>
  <c r="J283" i="8"/>
  <c r="I283" i="8"/>
  <c r="R282" i="8"/>
  <c r="Q282" i="8"/>
  <c r="P282" i="8"/>
  <c r="O282" i="8"/>
  <c r="N282" i="8"/>
  <c r="M282" i="8"/>
  <c r="L282" i="8"/>
  <c r="K282" i="8"/>
  <c r="J282" i="8"/>
  <c r="I282" i="8"/>
  <c r="R281" i="8"/>
  <c r="Q281" i="8"/>
  <c r="P281" i="8"/>
  <c r="O281" i="8"/>
  <c r="N281" i="8"/>
  <c r="M281" i="8"/>
  <c r="L281" i="8"/>
  <c r="K281" i="8"/>
  <c r="J281" i="8"/>
  <c r="I281" i="8"/>
  <c r="R280" i="8"/>
  <c r="Q280" i="8"/>
  <c r="P280" i="8"/>
  <c r="O280" i="8"/>
  <c r="N280" i="8"/>
  <c r="M280" i="8"/>
  <c r="L280" i="8"/>
  <c r="K280" i="8"/>
  <c r="J280" i="8"/>
  <c r="I280" i="8"/>
  <c r="R279" i="8"/>
  <c r="Q279" i="8"/>
  <c r="P279" i="8"/>
  <c r="O279" i="8"/>
  <c r="N279" i="8"/>
  <c r="M279" i="8"/>
  <c r="L279" i="8"/>
  <c r="K279" i="8"/>
  <c r="J279" i="8"/>
  <c r="I279" i="8"/>
  <c r="R278" i="8"/>
  <c r="Q278" i="8"/>
  <c r="P278" i="8"/>
  <c r="O278" i="8"/>
  <c r="N278" i="8"/>
  <c r="M278" i="8"/>
  <c r="L278" i="8"/>
  <c r="K278" i="8"/>
  <c r="J278" i="8"/>
  <c r="I278" i="8"/>
  <c r="R277" i="8"/>
  <c r="Q277" i="8"/>
  <c r="P277" i="8"/>
  <c r="O277" i="8"/>
  <c r="N277" i="8"/>
  <c r="M277" i="8"/>
  <c r="L277" i="8"/>
  <c r="K277" i="8"/>
  <c r="J277" i="8"/>
  <c r="I277" i="8"/>
  <c r="R275" i="8"/>
  <c r="Q275" i="8"/>
  <c r="P275" i="8"/>
  <c r="O275" i="8"/>
  <c r="M275" i="8"/>
  <c r="L275" i="8"/>
  <c r="K275" i="8"/>
  <c r="J275" i="8"/>
  <c r="I275" i="8"/>
  <c r="R274" i="8"/>
  <c r="Q274" i="8"/>
  <c r="P274" i="8"/>
  <c r="O274" i="8"/>
  <c r="M274" i="8"/>
  <c r="L274" i="8"/>
  <c r="K274" i="8"/>
  <c r="J274" i="8"/>
  <c r="I274" i="8"/>
  <c r="R273" i="8"/>
  <c r="Q273" i="8"/>
  <c r="P273" i="8"/>
  <c r="O273" i="8"/>
  <c r="M273" i="8"/>
  <c r="L273" i="8"/>
  <c r="K273" i="8"/>
  <c r="J273" i="8"/>
  <c r="I273" i="8"/>
  <c r="R272" i="8"/>
  <c r="Q272" i="8"/>
  <c r="P272" i="8"/>
  <c r="O272" i="8"/>
  <c r="M272" i="8"/>
  <c r="L272" i="8"/>
  <c r="K272" i="8"/>
  <c r="J272" i="8"/>
  <c r="I272" i="8"/>
  <c r="R271" i="8"/>
  <c r="Q271" i="8"/>
  <c r="P271" i="8"/>
  <c r="O271" i="8"/>
  <c r="M271" i="8"/>
  <c r="L271" i="8"/>
  <c r="K271" i="8"/>
  <c r="J271" i="8"/>
  <c r="I271" i="8"/>
  <c r="R270" i="8"/>
  <c r="Q270" i="8"/>
  <c r="P270" i="8"/>
  <c r="O270" i="8"/>
  <c r="M270" i="8"/>
  <c r="L270" i="8"/>
  <c r="K270" i="8"/>
  <c r="J270" i="8"/>
  <c r="I270" i="8"/>
  <c r="R269" i="8"/>
  <c r="Q269" i="8"/>
  <c r="P269" i="8"/>
  <c r="O269" i="8"/>
  <c r="M269" i="8"/>
  <c r="L269" i="8"/>
  <c r="K269" i="8"/>
  <c r="J269" i="8"/>
  <c r="I269" i="8"/>
  <c r="R268" i="8"/>
  <c r="Q268" i="8"/>
  <c r="P268" i="8"/>
  <c r="O268" i="8"/>
  <c r="M268" i="8"/>
  <c r="L268" i="8"/>
  <c r="K268" i="8"/>
  <c r="J268" i="8"/>
  <c r="I268" i="8"/>
  <c r="R267" i="8"/>
  <c r="Q267" i="8"/>
  <c r="P267" i="8"/>
  <c r="O267" i="8"/>
  <c r="M267" i="8"/>
  <c r="L267" i="8"/>
  <c r="K267" i="8"/>
  <c r="J267" i="8"/>
  <c r="I267" i="8"/>
  <c r="R266" i="8"/>
  <c r="Q266" i="8"/>
  <c r="P266" i="8"/>
  <c r="O266" i="8"/>
  <c r="M266" i="8"/>
  <c r="L266" i="8"/>
  <c r="K266" i="8"/>
  <c r="J266" i="8"/>
  <c r="I266" i="8"/>
  <c r="R265" i="8"/>
  <c r="Q265" i="8"/>
  <c r="P265" i="8"/>
  <c r="O265" i="8"/>
  <c r="M265" i="8"/>
  <c r="L265" i="8"/>
  <c r="K265" i="8"/>
  <c r="J265" i="8"/>
  <c r="I265" i="8"/>
  <c r="R260" i="8"/>
  <c r="Q260" i="8"/>
  <c r="P260" i="8"/>
  <c r="O260" i="8"/>
  <c r="M260" i="8"/>
  <c r="L260" i="8"/>
  <c r="K260" i="8"/>
  <c r="J260" i="8"/>
  <c r="I260" i="8"/>
  <c r="R259" i="8"/>
  <c r="Q259" i="8"/>
  <c r="P259" i="8"/>
  <c r="O259" i="8"/>
  <c r="M259" i="8"/>
  <c r="L259" i="8"/>
  <c r="K259" i="8"/>
  <c r="J259" i="8"/>
  <c r="I259" i="8"/>
  <c r="R258" i="8"/>
  <c r="Q258" i="8"/>
  <c r="P258" i="8"/>
  <c r="O258" i="8"/>
  <c r="M258" i="8"/>
  <c r="L258" i="8"/>
  <c r="K258" i="8"/>
  <c r="J258" i="8"/>
  <c r="I258" i="8"/>
  <c r="R257" i="8"/>
  <c r="Q257" i="8"/>
  <c r="P257" i="8"/>
  <c r="O257" i="8"/>
  <c r="M257" i="8"/>
  <c r="L257" i="8"/>
  <c r="K257" i="8"/>
  <c r="J257" i="8"/>
  <c r="I257" i="8"/>
  <c r="R256" i="8"/>
  <c r="Q256" i="8"/>
  <c r="P256" i="8"/>
  <c r="O256" i="8"/>
  <c r="M256" i="8"/>
  <c r="L256" i="8"/>
  <c r="K256" i="8"/>
  <c r="J256" i="8"/>
  <c r="I256" i="8"/>
  <c r="R255" i="8"/>
  <c r="Q255" i="8"/>
  <c r="P255" i="8"/>
  <c r="O255" i="8"/>
  <c r="M255" i="8"/>
  <c r="L255" i="8"/>
  <c r="K255" i="8"/>
  <c r="J255" i="8"/>
  <c r="I255" i="8"/>
  <c r="R254" i="8"/>
  <c r="Q254" i="8"/>
  <c r="P254" i="8"/>
  <c r="O254" i="8"/>
  <c r="M254" i="8"/>
  <c r="L254" i="8"/>
  <c r="K254" i="8"/>
  <c r="J254" i="8"/>
  <c r="I254" i="8"/>
  <c r="R253" i="8"/>
  <c r="Q253" i="8"/>
  <c r="P253" i="8"/>
  <c r="O253" i="8"/>
  <c r="M253" i="8"/>
  <c r="L253" i="8"/>
  <c r="K253" i="8"/>
  <c r="J253" i="8"/>
  <c r="I253" i="8"/>
  <c r="R252" i="8"/>
  <c r="Q252" i="8"/>
  <c r="P252" i="8"/>
  <c r="O252" i="8"/>
  <c r="M252" i="8"/>
  <c r="L252" i="8"/>
  <c r="K252" i="8"/>
  <c r="J252" i="8"/>
  <c r="I252" i="8"/>
  <c r="R251" i="8"/>
  <c r="Q251" i="8"/>
  <c r="P251" i="8"/>
  <c r="O251" i="8"/>
  <c r="M251" i="8"/>
  <c r="L251" i="8"/>
  <c r="K251" i="8"/>
  <c r="J251" i="8"/>
  <c r="I251" i="8"/>
  <c r="R250" i="8"/>
  <c r="Q250" i="8"/>
  <c r="P250" i="8"/>
  <c r="O250" i="8"/>
  <c r="M250" i="8"/>
  <c r="L250" i="8"/>
  <c r="K250" i="8"/>
  <c r="J250" i="8"/>
  <c r="I250" i="8"/>
  <c r="R249" i="8"/>
  <c r="Q249" i="8"/>
  <c r="P249" i="8"/>
  <c r="O249" i="8"/>
  <c r="M249" i="8"/>
  <c r="L249" i="8"/>
  <c r="K249" i="8"/>
  <c r="J249" i="8"/>
  <c r="I249" i="8"/>
  <c r="R248" i="8"/>
  <c r="Q248" i="8"/>
  <c r="P248" i="8"/>
  <c r="O248" i="8"/>
  <c r="M248" i="8"/>
  <c r="L248" i="8"/>
  <c r="K248" i="8"/>
  <c r="J248" i="8"/>
  <c r="I248" i="8"/>
  <c r="R247" i="8"/>
  <c r="Q247" i="8"/>
  <c r="P247" i="8"/>
  <c r="O247" i="8"/>
  <c r="M247" i="8"/>
  <c r="L247" i="8"/>
  <c r="K247" i="8"/>
  <c r="J247" i="8"/>
  <c r="I247" i="8"/>
  <c r="R246" i="8"/>
  <c r="Q246" i="8"/>
  <c r="P246" i="8"/>
  <c r="O246" i="8"/>
  <c r="M246" i="8"/>
  <c r="L246" i="8"/>
  <c r="K246" i="8"/>
  <c r="J246" i="8"/>
  <c r="I246" i="8"/>
  <c r="R245" i="8"/>
  <c r="Q245" i="8"/>
  <c r="P245" i="8"/>
  <c r="O245" i="8"/>
  <c r="M245" i="8"/>
  <c r="L245" i="8"/>
  <c r="K245" i="8"/>
  <c r="J245" i="8"/>
  <c r="I245" i="8"/>
  <c r="R244" i="8"/>
  <c r="Q244" i="8"/>
  <c r="P244" i="8"/>
  <c r="O244" i="8"/>
  <c r="M244" i="8"/>
  <c r="L244" i="8"/>
  <c r="K244" i="8"/>
  <c r="J244" i="8"/>
  <c r="I244" i="8"/>
  <c r="R241" i="8"/>
  <c r="Q241" i="8"/>
  <c r="P241" i="8"/>
  <c r="O241" i="8"/>
  <c r="M241" i="8"/>
  <c r="L241" i="8"/>
  <c r="K241" i="8"/>
  <c r="J241" i="8"/>
  <c r="I241" i="8"/>
  <c r="R240" i="8"/>
  <c r="Q240" i="8"/>
  <c r="P240" i="8"/>
  <c r="O240" i="8"/>
  <c r="M240" i="8"/>
  <c r="L240" i="8"/>
  <c r="K240" i="8"/>
  <c r="J240" i="8"/>
  <c r="I240" i="8"/>
  <c r="R239" i="8"/>
  <c r="Q239" i="8"/>
  <c r="P239" i="8"/>
  <c r="O239" i="8"/>
  <c r="M239" i="8"/>
  <c r="L239" i="8"/>
  <c r="K239" i="8"/>
  <c r="J239" i="8"/>
  <c r="I239" i="8"/>
  <c r="R238" i="8"/>
  <c r="Q238" i="8"/>
  <c r="P238" i="8"/>
  <c r="O238" i="8"/>
  <c r="M238" i="8"/>
  <c r="L238" i="8"/>
  <c r="K238" i="8"/>
  <c r="J238" i="8"/>
  <c r="I238" i="8"/>
  <c r="R237" i="8"/>
  <c r="Q237" i="8"/>
  <c r="P237" i="8"/>
  <c r="O237" i="8"/>
  <c r="M237" i="8"/>
  <c r="L237" i="8"/>
  <c r="K237" i="8"/>
  <c r="J237" i="8"/>
  <c r="I237" i="8"/>
  <c r="R236" i="8"/>
  <c r="Q236" i="8"/>
  <c r="P236" i="8"/>
  <c r="O236" i="8"/>
  <c r="M236" i="8"/>
  <c r="L236" i="8"/>
  <c r="K236" i="8"/>
  <c r="J236" i="8"/>
  <c r="I236" i="8"/>
  <c r="R234" i="8"/>
  <c r="Q234" i="8"/>
  <c r="P234" i="8"/>
  <c r="O234" i="8"/>
  <c r="M234" i="8"/>
  <c r="L234" i="8"/>
  <c r="K234" i="8"/>
  <c r="J234" i="8"/>
  <c r="I234" i="8"/>
  <c r="R233" i="8"/>
  <c r="Q233" i="8"/>
  <c r="P233" i="8"/>
  <c r="O233" i="8"/>
  <c r="M233" i="8"/>
  <c r="L233" i="8"/>
  <c r="K233" i="8"/>
  <c r="J233" i="8"/>
  <c r="I233" i="8"/>
  <c r="R232" i="8"/>
  <c r="Q232" i="8"/>
  <c r="P232" i="8"/>
  <c r="O232" i="8"/>
  <c r="M232" i="8"/>
  <c r="L232" i="8"/>
  <c r="K232" i="8"/>
  <c r="J232" i="8"/>
  <c r="I232" i="8"/>
  <c r="R231" i="8"/>
  <c r="Q231" i="8"/>
  <c r="P231" i="8"/>
  <c r="O231" i="8"/>
  <c r="M231" i="8"/>
  <c r="L231" i="8"/>
  <c r="K231" i="8"/>
  <c r="J231" i="8"/>
  <c r="I231" i="8"/>
  <c r="R230" i="8"/>
  <c r="Q230" i="8"/>
  <c r="P230" i="8"/>
  <c r="O230" i="8"/>
  <c r="M230" i="8"/>
  <c r="L230" i="8"/>
  <c r="K230" i="8"/>
  <c r="J230" i="8"/>
  <c r="I230" i="8"/>
  <c r="R229" i="8"/>
  <c r="Q229" i="8"/>
  <c r="P229" i="8"/>
  <c r="O229" i="8"/>
  <c r="M229" i="8"/>
  <c r="L229" i="8"/>
  <c r="K229" i="8"/>
  <c r="J229" i="8"/>
  <c r="I229" i="8"/>
  <c r="R228" i="8"/>
  <c r="Q228" i="8"/>
  <c r="P228" i="8"/>
  <c r="O228" i="8"/>
  <c r="M228" i="8"/>
  <c r="L228" i="8"/>
  <c r="K228" i="8"/>
  <c r="J228" i="8"/>
  <c r="I228" i="8"/>
  <c r="R226" i="8"/>
  <c r="Q226" i="8"/>
  <c r="P226" i="8"/>
  <c r="O226" i="8"/>
  <c r="M226" i="8"/>
  <c r="L226" i="8"/>
  <c r="K226" i="8"/>
  <c r="J226" i="8"/>
  <c r="I226" i="8"/>
  <c r="R225" i="8"/>
  <c r="Q225" i="8"/>
  <c r="P225" i="8"/>
  <c r="O225" i="8"/>
  <c r="M225" i="8"/>
  <c r="L225" i="8"/>
  <c r="K225" i="8"/>
  <c r="J225" i="8"/>
  <c r="I225" i="8"/>
  <c r="R224" i="8"/>
  <c r="Q224" i="8"/>
  <c r="P224" i="8"/>
  <c r="O224" i="8"/>
  <c r="M224" i="8"/>
  <c r="L224" i="8"/>
  <c r="K224" i="8"/>
  <c r="J224" i="8"/>
  <c r="I224" i="8"/>
  <c r="R223" i="8"/>
  <c r="Q223" i="8"/>
  <c r="P223" i="8"/>
  <c r="O223" i="8"/>
  <c r="M223" i="8"/>
  <c r="L223" i="8"/>
  <c r="K223" i="8"/>
  <c r="J223" i="8"/>
  <c r="I223" i="8"/>
  <c r="R222" i="8"/>
  <c r="Q222" i="8"/>
  <c r="P222" i="8"/>
  <c r="O222" i="8"/>
  <c r="M222" i="8"/>
  <c r="L222" i="8"/>
  <c r="K222" i="8"/>
  <c r="J222" i="8"/>
  <c r="I222" i="8"/>
  <c r="R220" i="8"/>
  <c r="Q220" i="8"/>
  <c r="P220" i="8"/>
  <c r="O220" i="8"/>
  <c r="M220" i="8"/>
  <c r="L220" i="8"/>
  <c r="K220" i="8"/>
  <c r="J220" i="8"/>
  <c r="I220" i="8"/>
  <c r="R219" i="8"/>
  <c r="Q219" i="8"/>
  <c r="P219" i="8"/>
  <c r="O219" i="8"/>
  <c r="M219" i="8"/>
  <c r="L219" i="8"/>
  <c r="K219" i="8"/>
  <c r="J219" i="8"/>
  <c r="I219" i="8"/>
  <c r="R218" i="8"/>
  <c r="Q218" i="8"/>
  <c r="P218" i="8"/>
  <c r="O218" i="8"/>
  <c r="M218" i="8"/>
  <c r="L218" i="8"/>
  <c r="K218" i="8"/>
  <c r="J218" i="8"/>
  <c r="I218" i="8"/>
  <c r="R217" i="8"/>
  <c r="Q217" i="8"/>
  <c r="P217" i="8"/>
  <c r="O217" i="8"/>
  <c r="M217" i="8"/>
  <c r="L217" i="8"/>
  <c r="K217" i="8"/>
  <c r="J217" i="8"/>
  <c r="I217" i="8"/>
  <c r="R216" i="8"/>
  <c r="Q216" i="8"/>
  <c r="P216" i="8"/>
  <c r="O216" i="8"/>
  <c r="M216" i="8"/>
  <c r="L216" i="8"/>
  <c r="K216" i="8"/>
  <c r="J216" i="8"/>
  <c r="I216" i="8"/>
  <c r="R215" i="8"/>
  <c r="Q215" i="8"/>
  <c r="P215" i="8"/>
  <c r="O215" i="8"/>
  <c r="M215" i="8"/>
  <c r="L215" i="8"/>
  <c r="K215" i="8"/>
  <c r="J215" i="8"/>
  <c r="I215" i="8"/>
  <c r="R214" i="8"/>
  <c r="Q214" i="8"/>
  <c r="P214" i="8"/>
  <c r="O214" i="8"/>
  <c r="M214" i="8"/>
  <c r="L214" i="8"/>
  <c r="K214" i="8"/>
  <c r="J214" i="8"/>
  <c r="I214" i="8"/>
  <c r="R213" i="8"/>
  <c r="Q213" i="8"/>
  <c r="P213" i="8"/>
  <c r="O213" i="8"/>
  <c r="M213" i="8"/>
  <c r="L213" i="8"/>
  <c r="K213" i="8"/>
  <c r="J213" i="8"/>
  <c r="I213" i="8"/>
  <c r="R211" i="8"/>
  <c r="Q211" i="8"/>
  <c r="P211" i="8"/>
  <c r="O211" i="8"/>
  <c r="M211" i="8"/>
  <c r="L211" i="8"/>
  <c r="K211" i="8"/>
  <c r="J211" i="8"/>
  <c r="I211" i="8"/>
  <c r="R210" i="8"/>
  <c r="Q210" i="8"/>
  <c r="P210" i="8"/>
  <c r="O210" i="8"/>
  <c r="M210" i="8"/>
  <c r="L210" i="8"/>
  <c r="K210" i="8"/>
  <c r="J210" i="8"/>
  <c r="I210" i="8"/>
  <c r="R209" i="8"/>
  <c r="Q209" i="8"/>
  <c r="P209" i="8"/>
  <c r="O209" i="8"/>
  <c r="M209" i="8"/>
  <c r="L209" i="8"/>
  <c r="K209" i="8"/>
  <c r="J209" i="8"/>
  <c r="I209" i="8"/>
  <c r="R208" i="8"/>
  <c r="Q208" i="8"/>
  <c r="P208" i="8"/>
  <c r="O208" i="8"/>
  <c r="M208" i="8"/>
  <c r="L208" i="8"/>
  <c r="K208" i="8"/>
  <c r="J208" i="8"/>
  <c r="I208" i="8"/>
  <c r="R207" i="8"/>
  <c r="Q207" i="8"/>
  <c r="P207" i="8"/>
  <c r="O207" i="8"/>
  <c r="M207" i="8"/>
  <c r="L207" i="8"/>
  <c r="K207" i="8"/>
  <c r="J207" i="8"/>
  <c r="I207" i="8"/>
  <c r="R206" i="8"/>
  <c r="Q206" i="8"/>
  <c r="P206" i="8"/>
  <c r="O206" i="8"/>
  <c r="M206" i="8"/>
  <c r="L206" i="8"/>
  <c r="K206" i="8"/>
  <c r="J206" i="8"/>
  <c r="I206" i="8"/>
  <c r="R205" i="8"/>
  <c r="Q205" i="8"/>
  <c r="P205" i="8"/>
  <c r="O205" i="8"/>
  <c r="M205" i="8"/>
  <c r="L205" i="8"/>
  <c r="K205" i="8"/>
  <c r="J205" i="8"/>
  <c r="I205" i="8"/>
  <c r="R204" i="8"/>
  <c r="Q204" i="8"/>
  <c r="P204" i="8"/>
  <c r="O204" i="8"/>
  <c r="M204" i="8"/>
  <c r="L204" i="8"/>
  <c r="K204" i="8"/>
  <c r="J204" i="8"/>
  <c r="I204" i="8"/>
  <c r="R203" i="8"/>
  <c r="Q203" i="8"/>
  <c r="P203" i="8"/>
  <c r="O203" i="8"/>
  <c r="M203" i="8"/>
  <c r="L203" i="8"/>
  <c r="K203" i="8"/>
  <c r="J203" i="8"/>
  <c r="I203" i="8"/>
  <c r="R202" i="8"/>
  <c r="Q202" i="8"/>
  <c r="P202" i="8"/>
  <c r="O202" i="8"/>
  <c r="M202" i="8"/>
  <c r="L202" i="8"/>
  <c r="K202" i="8"/>
  <c r="J202" i="8"/>
  <c r="I202" i="8"/>
  <c r="R200" i="8"/>
  <c r="Q200" i="8"/>
  <c r="P200" i="8"/>
  <c r="O200" i="8"/>
  <c r="M200" i="8"/>
  <c r="L200" i="8"/>
  <c r="K200" i="8"/>
  <c r="J200" i="8"/>
  <c r="I200" i="8"/>
  <c r="R199" i="8"/>
  <c r="Q199" i="8"/>
  <c r="P199" i="8"/>
  <c r="O199" i="8"/>
  <c r="M199" i="8"/>
  <c r="L199" i="8"/>
  <c r="K199" i="8"/>
  <c r="J199" i="8"/>
  <c r="I199" i="8"/>
  <c r="R198" i="8"/>
  <c r="Q198" i="8"/>
  <c r="P198" i="8"/>
  <c r="O198" i="8"/>
  <c r="M198" i="8"/>
  <c r="L198" i="8"/>
  <c r="K198" i="8"/>
  <c r="J198" i="8"/>
  <c r="I198" i="8"/>
  <c r="R197" i="8"/>
  <c r="Q197" i="8"/>
  <c r="P197" i="8"/>
  <c r="O197" i="8"/>
  <c r="M197" i="8"/>
  <c r="L197" i="8"/>
  <c r="K197" i="8"/>
  <c r="J197" i="8"/>
  <c r="I197" i="8"/>
  <c r="R196" i="8"/>
  <c r="Q196" i="8"/>
  <c r="P196" i="8"/>
  <c r="O196" i="8"/>
  <c r="M196" i="8"/>
  <c r="L196" i="8"/>
  <c r="K196" i="8"/>
  <c r="J196" i="8"/>
  <c r="I196" i="8"/>
  <c r="R195" i="8"/>
  <c r="Q195" i="8"/>
  <c r="P195" i="8"/>
  <c r="O195" i="8"/>
  <c r="M195" i="8"/>
  <c r="L195" i="8"/>
  <c r="K195" i="8"/>
  <c r="J195" i="8"/>
  <c r="I195" i="8"/>
  <c r="R194" i="8"/>
  <c r="Q194" i="8"/>
  <c r="P194" i="8"/>
  <c r="O194" i="8"/>
  <c r="M194" i="8"/>
  <c r="L194" i="8"/>
  <c r="K194" i="8"/>
  <c r="J194" i="8"/>
  <c r="I194" i="8"/>
  <c r="I184" i="8"/>
  <c r="J184" i="8"/>
  <c r="K184" i="8"/>
  <c r="L184" i="8"/>
  <c r="M184" i="8"/>
  <c r="O184" i="8"/>
  <c r="P184" i="8"/>
  <c r="Q184" i="8"/>
  <c r="R184" i="8"/>
  <c r="I185" i="8"/>
  <c r="J185" i="8"/>
  <c r="K185" i="8"/>
  <c r="L185" i="8"/>
  <c r="M185" i="8"/>
  <c r="O185" i="8"/>
  <c r="P185" i="8"/>
  <c r="Q185" i="8"/>
  <c r="R185" i="8"/>
  <c r="I186" i="8"/>
  <c r="J186" i="8"/>
  <c r="K186" i="8"/>
  <c r="L186" i="8"/>
  <c r="M186" i="8"/>
  <c r="O186" i="8"/>
  <c r="P186" i="8"/>
  <c r="Q186" i="8"/>
  <c r="R186" i="8"/>
  <c r="I187" i="8"/>
  <c r="J187" i="8"/>
  <c r="K187" i="8"/>
  <c r="L187" i="8"/>
  <c r="M187" i="8"/>
  <c r="O187" i="8"/>
  <c r="P187" i="8"/>
  <c r="Q187" i="8"/>
  <c r="R187" i="8"/>
  <c r="I188" i="8"/>
  <c r="J188" i="8"/>
  <c r="K188" i="8"/>
  <c r="L188" i="8"/>
  <c r="M188" i="8"/>
  <c r="O188" i="8"/>
  <c r="P188" i="8"/>
  <c r="Q188" i="8"/>
  <c r="R188" i="8"/>
  <c r="I189" i="8"/>
  <c r="J189" i="8"/>
  <c r="K189" i="8"/>
  <c r="L189" i="8"/>
  <c r="M189" i="8"/>
  <c r="O189" i="8"/>
  <c r="P189" i="8"/>
  <c r="Q189" i="8"/>
  <c r="R189" i="8"/>
  <c r="I190" i="8"/>
  <c r="J190" i="8"/>
  <c r="K190" i="8"/>
  <c r="L190" i="8"/>
  <c r="M190" i="8"/>
  <c r="O190" i="8"/>
  <c r="P190" i="8"/>
  <c r="Q190" i="8"/>
  <c r="R190" i="8"/>
  <c r="I191" i="8"/>
  <c r="J191" i="8"/>
  <c r="K191" i="8"/>
  <c r="L191" i="8"/>
  <c r="M191" i="8"/>
  <c r="O191" i="8"/>
  <c r="P191" i="8"/>
  <c r="Q191" i="8"/>
  <c r="R191" i="8"/>
  <c r="I192" i="8"/>
  <c r="J192" i="8"/>
  <c r="K192" i="8"/>
  <c r="L192" i="8"/>
  <c r="M192" i="8"/>
  <c r="O192" i="8"/>
  <c r="P192" i="8"/>
  <c r="Q192" i="8"/>
  <c r="R192" i="8"/>
  <c r="J183" i="8"/>
  <c r="K183" i="8"/>
  <c r="L183" i="8"/>
  <c r="M183" i="8"/>
  <c r="O183" i="8"/>
  <c r="P183" i="8"/>
  <c r="Q183" i="8"/>
  <c r="R183" i="8"/>
  <c r="I183" i="8"/>
  <c r="I159" i="8"/>
  <c r="J159" i="8"/>
  <c r="K159" i="8"/>
  <c r="L159" i="8"/>
  <c r="O159" i="8"/>
  <c r="P159" i="8"/>
  <c r="Q159" i="8"/>
  <c r="R159" i="8"/>
  <c r="I160" i="8"/>
  <c r="J160" i="8"/>
  <c r="K160" i="8"/>
  <c r="L160" i="8"/>
  <c r="O160" i="8"/>
  <c r="P160" i="8"/>
  <c r="Q160" i="8"/>
  <c r="R160" i="8"/>
  <c r="I161" i="8"/>
  <c r="J161" i="8"/>
  <c r="K161" i="8"/>
  <c r="L161" i="8"/>
  <c r="O161" i="8"/>
  <c r="P161" i="8"/>
  <c r="Q161" i="8"/>
  <c r="R161" i="8"/>
  <c r="I162" i="8"/>
  <c r="J162" i="8"/>
  <c r="K162" i="8"/>
  <c r="L162" i="8"/>
  <c r="O162" i="8"/>
  <c r="P162" i="8"/>
  <c r="Q162" i="8"/>
  <c r="R162" i="8"/>
  <c r="I163" i="8"/>
  <c r="J163" i="8"/>
  <c r="K163" i="8"/>
  <c r="L163" i="8"/>
  <c r="O163" i="8"/>
  <c r="P163" i="8"/>
  <c r="Q163" i="8"/>
  <c r="R163" i="8"/>
  <c r="I164" i="8"/>
  <c r="J164" i="8"/>
  <c r="K164" i="8"/>
  <c r="L164" i="8"/>
  <c r="O164" i="8"/>
  <c r="P164" i="8"/>
  <c r="Q164" i="8"/>
  <c r="R164" i="8"/>
  <c r="I165" i="8"/>
  <c r="J165" i="8"/>
  <c r="K165" i="8"/>
  <c r="L165" i="8"/>
  <c r="O165" i="8"/>
  <c r="P165" i="8"/>
  <c r="Q165" i="8"/>
  <c r="R165" i="8"/>
  <c r="I166" i="8"/>
  <c r="J166" i="8"/>
  <c r="K166" i="8"/>
  <c r="L166" i="8"/>
  <c r="O166" i="8"/>
  <c r="P166" i="8"/>
  <c r="Q166" i="8"/>
  <c r="R166" i="8"/>
  <c r="I167" i="8"/>
  <c r="J167" i="8"/>
  <c r="K167" i="8"/>
  <c r="L167" i="8"/>
  <c r="O167" i="8"/>
  <c r="P167" i="8"/>
  <c r="Q167" i="8"/>
  <c r="R167" i="8"/>
  <c r="I168" i="8"/>
  <c r="J168" i="8"/>
  <c r="K168" i="8"/>
  <c r="L168" i="8"/>
  <c r="O168" i="8"/>
  <c r="P168" i="8"/>
  <c r="Q168" i="8"/>
  <c r="R168" i="8"/>
  <c r="I169" i="8"/>
  <c r="J169" i="8"/>
  <c r="K169" i="8"/>
  <c r="L169" i="8"/>
  <c r="O169" i="8"/>
  <c r="P169" i="8"/>
  <c r="Q169" i="8"/>
  <c r="R169" i="8"/>
  <c r="I170" i="8"/>
  <c r="J170" i="8"/>
  <c r="K170" i="8"/>
  <c r="L170" i="8"/>
  <c r="O170" i="8"/>
  <c r="P170" i="8"/>
  <c r="Q170" i="8"/>
  <c r="R170" i="8"/>
  <c r="I171" i="8"/>
  <c r="J171" i="8"/>
  <c r="K171" i="8"/>
  <c r="L171" i="8"/>
  <c r="O171" i="8"/>
  <c r="P171" i="8"/>
  <c r="Q171" i="8"/>
  <c r="R171" i="8"/>
  <c r="I172" i="8"/>
  <c r="J172" i="8"/>
  <c r="K172" i="8"/>
  <c r="L172" i="8"/>
  <c r="O172" i="8"/>
  <c r="P172" i="8"/>
  <c r="Q172" i="8"/>
  <c r="R172" i="8"/>
  <c r="I173" i="8"/>
  <c r="J173" i="8"/>
  <c r="K173" i="8"/>
  <c r="L173" i="8"/>
  <c r="O173" i="8"/>
  <c r="P173" i="8"/>
  <c r="Q173" i="8"/>
  <c r="R173" i="8"/>
  <c r="I174" i="8"/>
  <c r="J174" i="8"/>
  <c r="K174" i="8"/>
  <c r="L174" i="8"/>
  <c r="O174" i="8"/>
  <c r="P174" i="8"/>
  <c r="Q174" i="8"/>
  <c r="R174" i="8"/>
  <c r="I175" i="8"/>
  <c r="J175" i="8"/>
  <c r="K175" i="8"/>
  <c r="L175" i="8"/>
  <c r="O175" i="8"/>
  <c r="P175" i="8"/>
  <c r="Q175" i="8"/>
  <c r="R175" i="8"/>
  <c r="I176" i="8"/>
  <c r="J176" i="8"/>
  <c r="K176" i="8"/>
  <c r="L176" i="8"/>
  <c r="O176" i="8"/>
  <c r="P176" i="8"/>
  <c r="Q176" i="8"/>
  <c r="R176" i="8"/>
  <c r="I177" i="8"/>
  <c r="J177" i="8"/>
  <c r="K177" i="8"/>
  <c r="L177" i="8"/>
  <c r="O177" i="8"/>
  <c r="P177" i="8"/>
  <c r="Q177" i="8"/>
  <c r="R177" i="8"/>
  <c r="I178" i="8"/>
  <c r="J178" i="8"/>
  <c r="K178" i="8"/>
  <c r="L178" i="8"/>
  <c r="O178" i="8"/>
  <c r="P178" i="8"/>
  <c r="Q178" i="8"/>
  <c r="R178" i="8"/>
  <c r="I179" i="8"/>
  <c r="J179" i="8"/>
  <c r="K179" i="8"/>
  <c r="L179" i="8"/>
  <c r="O179" i="8"/>
  <c r="P179" i="8"/>
  <c r="Q179" i="8"/>
  <c r="R179" i="8"/>
  <c r="I180" i="8"/>
  <c r="J180" i="8"/>
  <c r="K180" i="8"/>
  <c r="L180" i="8"/>
  <c r="O180" i="8"/>
  <c r="P180" i="8"/>
  <c r="Q180" i="8"/>
  <c r="R180" i="8"/>
  <c r="I181" i="8"/>
  <c r="J181" i="8"/>
  <c r="K181" i="8"/>
  <c r="L181" i="8"/>
  <c r="O181" i="8"/>
  <c r="P181" i="8"/>
  <c r="Q181" i="8"/>
  <c r="R181" i="8"/>
  <c r="J158" i="8"/>
  <c r="K158" i="8"/>
  <c r="L158" i="8"/>
  <c r="O158" i="8"/>
  <c r="P158" i="8"/>
  <c r="Q158" i="8"/>
  <c r="R158" i="8"/>
  <c r="I158" i="8"/>
  <c r="I150" i="8"/>
  <c r="J150" i="8"/>
  <c r="K150" i="8"/>
  <c r="L150" i="8"/>
  <c r="M150" i="8"/>
  <c r="N150" i="8"/>
  <c r="O150" i="8"/>
  <c r="P150" i="8"/>
  <c r="Q150" i="8"/>
  <c r="R150" i="8"/>
  <c r="I151" i="8"/>
  <c r="J151" i="8"/>
  <c r="K151" i="8"/>
  <c r="L151" i="8"/>
  <c r="M151" i="8"/>
  <c r="O151" i="8"/>
  <c r="P151" i="8"/>
  <c r="Q151" i="8"/>
  <c r="R151" i="8"/>
  <c r="I152" i="8"/>
  <c r="J152" i="8"/>
  <c r="K152" i="8"/>
  <c r="L152" i="8"/>
  <c r="M152" i="8"/>
  <c r="N152" i="8"/>
  <c r="O152" i="8"/>
  <c r="P152" i="8"/>
  <c r="Q152" i="8"/>
  <c r="R152" i="8"/>
  <c r="I153" i="8"/>
  <c r="J153" i="8"/>
  <c r="K153" i="8"/>
  <c r="L153" i="8"/>
  <c r="M153" i="8"/>
  <c r="N153" i="8"/>
  <c r="O153" i="8"/>
  <c r="P153" i="8"/>
  <c r="Q153" i="8"/>
  <c r="R153" i="8"/>
  <c r="I154" i="8"/>
  <c r="J154" i="8"/>
  <c r="K154" i="8"/>
  <c r="L154" i="8"/>
  <c r="M154" i="8"/>
  <c r="N154" i="8"/>
  <c r="O154" i="8"/>
  <c r="P154" i="8"/>
  <c r="Q154" i="8"/>
  <c r="R154" i="8"/>
  <c r="I155" i="8"/>
  <c r="J155" i="8"/>
  <c r="K155" i="8"/>
  <c r="L155" i="8"/>
  <c r="M155" i="8"/>
  <c r="N155" i="8"/>
  <c r="O155" i="8"/>
  <c r="P155" i="8"/>
  <c r="Q155" i="8"/>
  <c r="R155" i="8"/>
  <c r="J149" i="8"/>
  <c r="K149" i="8"/>
  <c r="L149" i="8"/>
  <c r="M149" i="8"/>
  <c r="O149" i="8"/>
  <c r="P149" i="8"/>
  <c r="Q149" i="8"/>
  <c r="R149" i="8"/>
  <c r="I149" i="8"/>
  <c r="I140" i="8"/>
  <c r="J140" i="8"/>
  <c r="K140" i="8"/>
  <c r="L140" i="8"/>
  <c r="M140" i="8"/>
  <c r="N140" i="8"/>
  <c r="O140" i="8"/>
  <c r="P140" i="8"/>
  <c r="Q140" i="8"/>
  <c r="R140" i="8"/>
  <c r="I141" i="8"/>
  <c r="J141" i="8"/>
  <c r="K141" i="8"/>
  <c r="L141" i="8"/>
  <c r="M141" i="8"/>
  <c r="N141" i="8"/>
  <c r="O141" i="8"/>
  <c r="P141" i="8"/>
  <c r="Q141" i="8"/>
  <c r="R141" i="8"/>
  <c r="I142" i="8"/>
  <c r="J142" i="8"/>
  <c r="K142" i="8"/>
  <c r="L142" i="8"/>
  <c r="M142" i="8"/>
  <c r="N142" i="8"/>
  <c r="O142" i="8"/>
  <c r="P142" i="8"/>
  <c r="Q142" i="8"/>
  <c r="R142" i="8"/>
  <c r="I143" i="8"/>
  <c r="J143" i="8"/>
  <c r="K143" i="8"/>
  <c r="L143" i="8"/>
  <c r="M143" i="8"/>
  <c r="N143" i="8"/>
  <c r="O143" i="8"/>
  <c r="P143" i="8"/>
  <c r="Q143" i="8"/>
  <c r="R143" i="8"/>
  <c r="I144" i="8"/>
  <c r="J144" i="8"/>
  <c r="K144" i="8"/>
  <c r="L144" i="8"/>
  <c r="M144" i="8"/>
  <c r="N144" i="8"/>
  <c r="O144" i="8"/>
  <c r="P144" i="8"/>
  <c r="Q144" i="8"/>
  <c r="R144" i="8"/>
  <c r="I145" i="8"/>
  <c r="J145" i="8"/>
  <c r="K145" i="8"/>
  <c r="L145" i="8"/>
  <c r="M145" i="8"/>
  <c r="N145" i="8"/>
  <c r="O145" i="8"/>
  <c r="P145" i="8"/>
  <c r="Q145" i="8"/>
  <c r="R145" i="8"/>
  <c r="I146" i="8"/>
  <c r="J146" i="8"/>
  <c r="K146" i="8"/>
  <c r="L146" i="8"/>
  <c r="M146" i="8"/>
  <c r="N146" i="8"/>
  <c r="O146" i="8"/>
  <c r="P146" i="8"/>
  <c r="Q146" i="8"/>
  <c r="R146" i="8"/>
  <c r="I147" i="8"/>
  <c r="J147" i="8"/>
  <c r="K147" i="8"/>
  <c r="L147" i="8"/>
  <c r="M147" i="8"/>
  <c r="O147" i="8"/>
  <c r="P147" i="8"/>
  <c r="Q147" i="8"/>
  <c r="R147" i="8"/>
  <c r="J139" i="8"/>
  <c r="K139" i="8"/>
  <c r="L139" i="8"/>
  <c r="M139" i="8"/>
  <c r="N139" i="8"/>
  <c r="O139" i="8"/>
  <c r="P139" i="8"/>
  <c r="Q139" i="8"/>
  <c r="R139" i="8"/>
  <c r="I139" i="8"/>
  <c r="I125" i="8"/>
  <c r="J125" i="8"/>
  <c r="K125" i="8"/>
  <c r="L125" i="8"/>
  <c r="M125" i="8"/>
  <c r="N125" i="8"/>
  <c r="O125" i="8"/>
  <c r="P125" i="8"/>
  <c r="Q125" i="8"/>
  <c r="R125" i="8"/>
  <c r="I126" i="8"/>
  <c r="J126" i="8"/>
  <c r="K126" i="8"/>
  <c r="L126" i="8"/>
  <c r="M126" i="8"/>
  <c r="N126" i="8"/>
  <c r="O126" i="8"/>
  <c r="P126" i="8"/>
  <c r="Q126" i="8"/>
  <c r="R126" i="8"/>
  <c r="I127" i="8"/>
  <c r="J127" i="8"/>
  <c r="K127" i="8"/>
  <c r="L127" i="8"/>
  <c r="M127" i="8"/>
  <c r="N127" i="8"/>
  <c r="O127" i="8"/>
  <c r="P127" i="8"/>
  <c r="Q127" i="8"/>
  <c r="R127" i="8"/>
  <c r="I128" i="8"/>
  <c r="J128" i="8"/>
  <c r="K128" i="8"/>
  <c r="L128" i="8"/>
  <c r="M128" i="8"/>
  <c r="N128" i="8"/>
  <c r="O128" i="8"/>
  <c r="P128" i="8"/>
  <c r="Q128" i="8"/>
  <c r="R128" i="8"/>
  <c r="I129" i="8"/>
  <c r="J129" i="8"/>
  <c r="K129" i="8"/>
  <c r="L129" i="8"/>
  <c r="M129" i="8"/>
  <c r="N129" i="8"/>
  <c r="O129" i="8"/>
  <c r="P129" i="8"/>
  <c r="Q129" i="8"/>
  <c r="R129" i="8"/>
  <c r="I130" i="8"/>
  <c r="J130" i="8"/>
  <c r="K130" i="8"/>
  <c r="L130" i="8"/>
  <c r="M130" i="8"/>
  <c r="N130" i="8"/>
  <c r="O130" i="8"/>
  <c r="P130" i="8"/>
  <c r="Q130" i="8"/>
  <c r="R130" i="8"/>
  <c r="I131" i="8"/>
  <c r="J131" i="8"/>
  <c r="K131" i="8"/>
  <c r="L131" i="8"/>
  <c r="M131" i="8"/>
  <c r="N131" i="8"/>
  <c r="O131" i="8"/>
  <c r="P131" i="8"/>
  <c r="Q131" i="8"/>
  <c r="R131" i="8"/>
  <c r="I132" i="8"/>
  <c r="J132" i="8"/>
  <c r="K132" i="8"/>
  <c r="L132" i="8"/>
  <c r="M132" i="8"/>
  <c r="N132" i="8"/>
  <c r="O132" i="8"/>
  <c r="P132" i="8"/>
  <c r="Q132" i="8"/>
  <c r="R132" i="8"/>
  <c r="I133" i="8"/>
  <c r="J133" i="8"/>
  <c r="K133" i="8"/>
  <c r="L133" i="8"/>
  <c r="M133" i="8"/>
  <c r="N133" i="8"/>
  <c r="O133" i="8"/>
  <c r="P133" i="8"/>
  <c r="Q133" i="8"/>
  <c r="R133" i="8"/>
  <c r="I134" i="8"/>
  <c r="J134" i="8"/>
  <c r="K134" i="8"/>
  <c r="L134" i="8"/>
  <c r="M134" i="8"/>
  <c r="N134" i="8"/>
  <c r="O134" i="8"/>
  <c r="P134" i="8"/>
  <c r="Q134" i="8"/>
  <c r="R134" i="8"/>
  <c r="I135" i="8"/>
  <c r="J135" i="8"/>
  <c r="K135" i="8"/>
  <c r="L135" i="8"/>
  <c r="M135" i="8"/>
  <c r="O135" i="8"/>
  <c r="Q135" i="8"/>
  <c r="R135" i="8"/>
  <c r="I136" i="8"/>
  <c r="J136" i="8"/>
  <c r="K136" i="8"/>
  <c r="L136" i="8"/>
  <c r="M136" i="8"/>
  <c r="O136" i="8"/>
  <c r="P136" i="8"/>
  <c r="Q136" i="8"/>
  <c r="R136" i="8"/>
  <c r="I137" i="8"/>
  <c r="J137" i="8"/>
  <c r="K137" i="8"/>
  <c r="L137" i="8"/>
  <c r="M137" i="8"/>
  <c r="O137" i="8"/>
  <c r="P137" i="8"/>
  <c r="Q137" i="8"/>
  <c r="R137" i="8"/>
  <c r="J124" i="8"/>
  <c r="K124" i="8"/>
  <c r="L124" i="8"/>
  <c r="M124" i="8"/>
  <c r="N124" i="8"/>
  <c r="O124" i="8"/>
  <c r="P124" i="8"/>
  <c r="Q124" i="8"/>
  <c r="R124" i="8"/>
  <c r="I124" i="8"/>
  <c r="I118" i="8"/>
  <c r="J118" i="8"/>
  <c r="K118" i="8"/>
  <c r="L118" i="8"/>
  <c r="M118" i="8"/>
  <c r="O118" i="8"/>
  <c r="P118" i="8"/>
  <c r="Q118" i="8"/>
  <c r="R118" i="8"/>
  <c r="I119" i="8"/>
  <c r="J119" i="8"/>
  <c r="K119" i="8"/>
  <c r="L119" i="8"/>
  <c r="M119" i="8"/>
  <c r="O119" i="8"/>
  <c r="P119" i="8"/>
  <c r="Q119" i="8"/>
  <c r="R119" i="8"/>
  <c r="I120" i="8"/>
  <c r="J120" i="8"/>
  <c r="K120" i="8"/>
  <c r="L120" i="8"/>
  <c r="M120" i="8"/>
  <c r="O120" i="8"/>
  <c r="P120" i="8"/>
  <c r="Q120" i="8"/>
  <c r="R120" i="8"/>
  <c r="J117" i="8"/>
  <c r="K117" i="8"/>
  <c r="L117" i="8"/>
  <c r="M117" i="8"/>
  <c r="O117" i="8"/>
  <c r="P117" i="8"/>
  <c r="Q117" i="8"/>
  <c r="R117" i="8"/>
  <c r="I117" i="8"/>
  <c r="I112" i="8"/>
  <c r="J112" i="8"/>
  <c r="K112" i="8"/>
  <c r="L112" i="8"/>
  <c r="M112" i="8"/>
  <c r="O112" i="8"/>
  <c r="P112" i="8"/>
  <c r="Q112" i="8"/>
  <c r="R112" i="8"/>
  <c r="I113" i="8"/>
  <c r="J113" i="8"/>
  <c r="K113" i="8"/>
  <c r="L113" i="8"/>
  <c r="M113" i="8"/>
  <c r="O113" i="8"/>
  <c r="P113" i="8"/>
  <c r="Q113" i="8"/>
  <c r="R113" i="8"/>
  <c r="I114" i="8"/>
  <c r="J114" i="8"/>
  <c r="K114" i="8"/>
  <c r="L114" i="8"/>
  <c r="M114" i="8"/>
  <c r="O114" i="8"/>
  <c r="P114" i="8"/>
  <c r="Q114" i="8"/>
  <c r="R114" i="8"/>
  <c r="I115" i="8"/>
  <c r="J115" i="8"/>
  <c r="K115" i="8"/>
  <c r="L115" i="8"/>
  <c r="M115" i="8"/>
  <c r="O115" i="8"/>
  <c r="P115" i="8"/>
  <c r="Q115" i="8"/>
  <c r="R115" i="8"/>
  <c r="J111" i="8"/>
  <c r="K111" i="8"/>
  <c r="L111" i="8"/>
  <c r="M111" i="8"/>
  <c r="O111" i="8"/>
  <c r="P111" i="8"/>
  <c r="Q111" i="8"/>
  <c r="R111" i="8"/>
  <c r="I111" i="8"/>
  <c r="I101" i="8"/>
  <c r="J101" i="8"/>
  <c r="K101" i="8"/>
  <c r="L101" i="8"/>
  <c r="M101" i="8"/>
  <c r="N101" i="8"/>
  <c r="O101" i="8"/>
  <c r="P101" i="8"/>
  <c r="Q101" i="8"/>
  <c r="R101" i="8"/>
  <c r="I102" i="8"/>
  <c r="J102" i="8"/>
  <c r="K102" i="8"/>
  <c r="L102" i="8"/>
  <c r="M102" i="8"/>
  <c r="N102" i="8"/>
  <c r="O102" i="8"/>
  <c r="P102" i="8"/>
  <c r="Q102" i="8"/>
  <c r="R102" i="8"/>
  <c r="I103" i="8"/>
  <c r="J103" i="8"/>
  <c r="K103" i="8"/>
  <c r="L103" i="8"/>
  <c r="M103" i="8"/>
  <c r="N103" i="8"/>
  <c r="O103" i="8"/>
  <c r="P103" i="8"/>
  <c r="Q103" i="8"/>
  <c r="R103" i="8"/>
  <c r="I104" i="8"/>
  <c r="J104" i="8"/>
  <c r="K104" i="8"/>
  <c r="L104" i="8"/>
  <c r="M104" i="8"/>
  <c r="N104" i="8"/>
  <c r="O104" i="8"/>
  <c r="P104" i="8"/>
  <c r="Q104" i="8"/>
  <c r="R104" i="8"/>
  <c r="I105" i="8"/>
  <c r="J105" i="8"/>
  <c r="K105" i="8"/>
  <c r="L105" i="8"/>
  <c r="M105" i="8"/>
  <c r="N105" i="8"/>
  <c r="O105" i="8"/>
  <c r="P105" i="8"/>
  <c r="Q105" i="8"/>
  <c r="R105" i="8"/>
  <c r="I106" i="8"/>
  <c r="J106" i="8"/>
  <c r="K106" i="8"/>
  <c r="L106" i="8"/>
  <c r="M106" i="8"/>
  <c r="N106" i="8"/>
  <c r="O106" i="8"/>
  <c r="P106" i="8"/>
  <c r="Q106" i="8"/>
  <c r="R106" i="8"/>
  <c r="I107" i="8"/>
  <c r="J107" i="8"/>
  <c r="K107" i="8"/>
  <c r="L107" i="8"/>
  <c r="M107" i="8"/>
  <c r="N107" i="8"/>
  <c r="O107" i="8"/>
  <c r="P107" i="8"/>
  <c r="Q107" i="8"/>
  <c r="R107" i="8"/>
  <c r="J100" i="8"/>
  <c r="K100" i="8"/>
  <c r="L100" i="8"/>
  <c r="M100" i="8"/>
  <c r="N100" i="8"/>
  <c r="O100" i="8"/>
  <c r="P100" i="8"/>
  <c r="Q100" i="8"/>
  <c r="R100" i="8"/>
  <c r="I100" i="8"/>
  <c r="I89" i="8"/>
  <c r="J89" i="8"/>
  <c r="K89" i="8"/>
  <c r="L89" i="8"/>
  <c r="M89" i="8"/>
  <c r="N89" i="8"/>
  <c r="O89" i="8"/>
  <c r="P89" i="8"/>
  <c r="Q89" i="8"/>
  <c r="R89" i="8"/>
  <c r="I90" i="8"/>
  <c r="J90" i="8"/>
  <c r="K90" i="8"/>
  <c r="L90" i="8"/>
  <c r="M90" i="8"/>
  <c r="N90" i="8"/>
  <c r="O90" i="8"/>
  <c r="P90" i="8"/>
  <c r="Q90" i="8"/>
  <c r="R90" i="8"/>
  <c r="I91" i="8"/>
  <c r="J91" i="8"/>
  <c r="K91" i="8"/>
  <c r="L91" i="8"/>
  <c r="M91" i="8"/>
  <c r="N91" i="8"/>
  <c r="O91" i="8"/>
  <c r="P91" i="8"/>
  <c r="Q91" i="8"/>
  <c r="R91" i="8"/>
  <c r="I92" i="8"/>
  <c r="J92" i="8"/>
  <c r="K92" i="8"/>
  <c r="L92" i="8"/>
  <c r="M92" i="8"/>
  <c r="N92" i="8"/>
  <c r="O92" i="8"/>
  <c r="P92" i="8"/>
  <c r="Q92" i="8"/>
  <c r="R92" i="8"/>
  <c r="I93" i="8"/>
  <c r="J93" i="8"/>
  <c r="K93" i="8"/>
  <c r="L93" i="8"/>
  <c r="M93" i="8"/>
  <c r="N93" i="8"/>
  <c r="O93" i="8"/>
  <c r="P93" i="8"/>
  <c r="Q93" i="8"/>
  <c r="R93" i="8"/>
  <c r="I94" i="8"/>
  <c r="J94" i="8"/>
  <c r="K94" i="8"/>
  <c r="L94" i="8"/>
  <c r="M94" i="8"/>
  <c r="N94" i="8"/>
  <c r="O94" i="8"/>
  <c r="P94" i="8"/>
  <c r="Q94" i="8"/>
  <c r="R94" i="8"/>
  <c r="I95" i="8"/>
  <c r="J95" i="8"/>
  <c r="K95" i="8"/>
  <c r="L95" i="8"/>
  <c r="M95" i="8"/>
  <c r="N95" i="8"/>
  <c r="O95" i="8"/>
  <c r="P95" i="8"/>
  <c r="Q95" i="8"/>
  <c r="R95" i="8"/>
  <c r="I96" i="8"/>
  <c r="J96" i="8"/>
  <c r="K96" i="8"/>
  <c r="L96" i="8"/>
  <c r="M96" i="8"/>
  <c r="N96" i="8"/>
  <c r="O96" i="8"/>
  <c r="P96" i="8"/>
  <c r="Q96" i="8"/>
  <c r="R96" i="8"/>
  <c r="I97" i="8"/>
  <c r="J97" i="8"/>
  <c r="K97" i="8"/>
  <c r="L97" i="8"/>
  <c r="M97" i="8"/>
  <c r="N97" i="8"/>
  <c r="O97" i="8"/>
  <c r="P97" i="8"/>
  <c r="Q97" i="8"/>
  <c r="R97" i="8"/>
  <c r="I98" i="8"/>
  <c r="J98" i="8"/>
  <c r="K98" i="8"/>
  <c r="L98" i="8"/>
  <c r="M98" i="8"/>
  <c r="N98" i="8"/>
  <c r="O98" i="8"/>
  <c r="P98" i="8"/>
  <c r="Q98" i="8"/>
  <c r="R98" i="8"/>
  <c r="J88" i="8"/>
  <c r="K88" i="8"/>
  <c r="L88" i="8"/>
  <c r="M88" i="8"/>
  <c r="N88" i="8"/>
  <c r="O88" i="8"/>
  <c r="P88" i="8"/>
  <c r="Q88" i="8"/>
  <c r="R88" i="8"/>
  <c r="I88" i="8"/>
  <c r="I77" i="8"/>
  <c r="J77" i="8"/>
  <c r="K77" i="8"/>
  <c r="L77" i="8"/>
  <c r="M77" i="8"/>
  <c r="N77" i="8"/>
  <c r="O77" i="8"/>
  <c r="P77" i="8"/>
  <c r="Q77" i="8"/>
  <c r="R77" i="8"/>
  <c r="I78" i="8"/>
  <c r="J78" i="8"/>
  <c r="K78" i="8"/>
  <c r="L78" i="8"/>
  <c r="M78" i="8"/>
  <c r="N78" i="8"/>
  <c r="O78" i="8"/>
  <c r="P78" i="8"/>
  <c r="Q78" i="8"/>
  <c r="R78" i="8"/>
  <c r="I79" i="8"/>
  <c r="J79" i="8"/>
  <c r="K79" i="8"/>
  <c r="L79" i="8"/>
  <c r="M79" i="8"/>
  <c r="N79" i="8"/>
  <c r="O79" i="8"/>
  <c r="P79" i="8"/>
  <c r="Q79" i="8"/>
  <c r="R79" i="8"/>
  <c r="I80" i="8"/>
  <c r="J80" i="8"/>
  <c r="K80" i="8"/>
  <c r="L80" i="8"/>
  <c r="M80" i="8"/>
  <c r="N80" i="8"/>
  <c r="O80" i="8"/>
  <c r="P80" i="8"/>
  <c r="Q80" i="8"/>
  <c r="R80" i="8"/>
  <c r="I81" i="8"/>
  <c r="J81" i="8"/>
  <c r="K81" i="8"/>
  <c r="L81" i="8"/>
  <c r="M81" i="8"/>
  <c r="N81" i="8"/>
  <c r="O81" i="8"/>
  <c r="P81" i="8"/>
  <c r="Q81" i="8"/>
  <c r="R81" i="8"/>
  <c r="I82" i="8"/>
  <c r="J82" i="8"/>
  <c r="K82" i="8"/>
  <c r="L82" i="8"/>
  <c r="M82" i="8"/>
  <c r="N82" i="8"/>
  <c r="O82" i="8"/>
  <c r="P82" i="8"/>
  <c r="Q82" i="8"/>
  <c r="R82" i="8"/>
  <c r="I83" i="8"/>
  <c r="J83" i="8"/>
  <c r="K83" i="8"/>
  <c r="L83" i="8"/>
  <c r="M83" i="8"/>
  <c r="N83" i="8"/>
  <c r="O83" i="8"/>
  <c r="P83" i="8"/>
  <c r="Q83" i="8"/>
  <c r="R83" i="8"/>
  <c r="I84" i="8"/>
  <c r="J84" i="8"/>
  <c r="K84" i="8"/>
  <c r="L84" i="8"/>
  <c r="M84" i="8"/>
  <c r="N84" i="8"/>
  <c r="O84" i="8"/>
  <c r="P84" i="8"/>
  <c r="Q84" i="8"/>
  <c r="R84" i="8"/>
  <c r="J76" i="8"/>
  <c r="K76" i="8"/>
  <c r="L76" i="8"/>
  <c r="M76" i="8"/>
  <c r="N76" i="8"/>
  <c r="O76" i="8"/>
  <c r="P76" i="8"/>
  <c r="Q76" i="8"/>
  <c r="R76" i="8"/>
  <c r="I76" i="8"/>
  <c r="I53" i="8"/>
  <c r="J53" i="8"/>
  <c r="K53" i="8"/>
  <c r="L53" i="8"/>
  <c r="M53" i="8"/>
  <c r="N53" i="8"/>
  <c r="O53" i="8"/>
  <c r="P53" i="8"/>
  <c r="Q53" i="8"/>
  <c r="R53" i="8"/>
  <c r="I54" i="8"/>
  <c r="J54" i="8"/>
  <c r="K54" i="8"/>
  <c r="L54" i="8"/>
  <c r="M54" i="8"/>
  <c r="N54" i="8"/>
  <c r="O54" i="8"/>
  <c r="P54" i="8"/>
  <c r="Q54" i="8"/>
  <c r="R54" i="8"/>
  <c r="I55" i="8"/>
  <c r="J55" i="8"/>
  <c r="K55" i="8"/>
  <c r="L55" i="8"/>
  <c r="M55" i="8"/>
  <c r="N55" i="8"/>
  <c r="O55" i="8"/>
  <c r="P55" i="8"/>
  <c r="Q55" i="8"/>
  <c r="R55" i="8"/>
  <c r="I56" i="8"/>
  <c r="J56" i="8"/>
  <c r="K56" i="8"/>
  <c r="L56" i="8"/>
  <c r="M56" i="8"/>
  <c r="N56" i="8"/>
  <c r="O56" i="8"/>
  <c r="P56" i="8"/>
  <c r="Q56" i="8"/>
  <c r="R56" i="8"/>
  <c r="I57" i="8"/>
  <c r="J57" i="8"/>
  <c r="K57" i="8"/>
  <c r="L57" i="8"/>
  <c r="M57" i="8"/>
  <c r="N57" i="8"/>
  <c r="O57" i="8"/>
  <c r="P57" i="8"/>
  <c r="Q57" i="8"/>
  <c r="R57" i="8"/>
  <c r="I58" i="8"/>
  <c r="J58" i="8"/>
  <c r="K58" i="8"/>
  <c r="L58" i="8"/>
  <c r="M58" i="8"/>
  <c r="N58" i="8"/>
  <c r="O58" i="8"/>
  <c r="P58" i="8"/>
  <c r="Q58" i="8"/>
  <c r="R58" i="8"/>
  <c r="I59" i="8"/>
  <c r="J59" i="8"/>
  <c r="K59" i="8"/>
  <c r="L59" i="8"/>
  <c r="M59" i="8"/>
  <c r="N59" i="8"/>
  <c r="O59" i="8"/>
  <c r="P59" i="8"/>
  <c r="Q59" i="8"/>
  <c r="R59" i="8"/>
  <c r="I60" i="8"/>
  <c r="J60" i="8"/>
  <c r="K60" i="8"/>
  <c r="L60" i="8"/>
  <c r="M60" i="8"/>
  <c r="N60" i="8"/>
  <c r="O60" i="8"/>
  <c r="P60" i="8"/>
  <c r="Q60" i="8"/>
  <c r="R60" i="8"/>
  <c r="I61" i="8"/>
  <c r="J61" i="8"/>
  <c r="K61" i="8"/>
  <c r="L61" i="8"/>
  <c r="M61" i="8"/>
  <c r="N61" i="8"/>
  <c r="O61" i="8"/>
  <c r="P61" i="8"/>
  <c r="Q61" i="8"/>
  <c r="R61" i="8"/>
  <c r="I62" i="8"/>
  <c r="J62" i="8"/>
  <c r="K62" i="8"/>
  <c r="L62" i="8"/>
  <c r="M62" i="8"/>
  <c r="N62" i="8"/>
  <c r="O62" i="8"/>
  <c r="P62" i="8"/>
  <c r="Q62" i="8"/>
  <c r="R62" i="8"/>
  <c r="I63" i="8"/>
  <c r="J63" i="8"/>
  <c r="K63" i="8"/>
  <c r="L63" i="8"/>
  <c r="M63" i="8"/>
  <c r="N63" i="8"/>
  <c r="O63" i="8"/>
  <c r="P63" i="8"/>
  <c r="Q63" i="8"/>
  <c r="R63" i="8"/>
  <c r="I64" i="8"/>
  <c r="J64" i="8"/>
  <c r="K64" i="8"/>
  <c r="L64" i="8"/>
  <c r="M64" i="8"/>
  <c r="N64" i="8"/>
  <c r="O64" i="8"/>
  <c r="P64" i="8"/>
  <c r="Q64" i="8"/>
  <c r="R64" i="8"/>
  <c r="I65" i="8"/>
  <c r="J65" i="8"/>
  <c r="K65" i="8"/>
  <c r="L65" i="8"/>
  <c r="M65" i="8"/>
  <c r="N65" i="8"/>
  <c r="O65" i="8"/>
  <c r="P65" i="8"/>
  <c r="Q65" i="8"/>
  <c r="R65" i="8"/>
  <c r="I66" i="8"/>
  <c r="J66" i="8"/>
  <c r="K66" i="8"/>
  <c r="L66" i="8"/>
  <c r="M66" i="8"/>
  <c r="N66" i="8"/>
  <c r="O66" i="8"/>
  <c r="P66" i="8"/>
  <c r="Q66" i="8"/>
  <c r="R66" i="8"/>
  <c r="I67" i="8"/>
  <c r="J67" i="8"/>
  <c r="K67" i="8"/>
  <c r="L67" i="8"/>
  <c r="M67" i="8"/>
  <c r="N67" i="8"/>
  <c r="O67" i="8"/>
  <c r="P67" i="8"/>
  <c r="Q67" i="8"/>
  <c r="R67" i="8"/>
  <c r="I68" i="8"/>
  <c r="J68" i="8"/>
  <c r="K68" i="8"/>
  <c r="L68" i="8"/>
  <c r="M68" i="8"/>
  <c r="N68" i="8"/>
  <c r="O68" i="8"/>
  <c r="P68" i="8"/>
  <c r="Q68" i="8"/>
  <c r="R68" i="8"/>
  <c r="I69" i="8"/>
  <c r="J69" i="8"/>
  <c r="K69" i="8"/>
  <c r="L69" i="8"/>
  <c r="M69" i="8"/>
  <c r="N69" i="8"/>
  <c r="O69" i="8"/>
  <c r="P69" i="8"/>
  <c r="Q69" i="8"/>
  <c r="R69" i="8"/>
  <c r="I70" i="8"/>
  <c r="J70" i="8"/>
  <c r="K70" i="8"/>
  <c r="L70" i="8"/>
  <c r="M70" i="8"/>
  <c r="N70" i="8"/>
  <c r="O70" i="8"/>
  <c r="P70" i="8"/>
  <c r="Q70" i="8"/>
  <c r="R70" i="8"/>
  <c r="I71" i="8"/>
  <c r="J71" i="8"/>
  <c r="K71" i="8"/>
  <c r="L71" i="8"/>
  <c r="M71" i="8"/>
  <c r="N71" i="8"/>
  <c r="O71" i="8"/>
  <c r="P71" i="8"/>
  <c r="Q71" i="8"/>
  <c r="R71" i="8"/>
  <c r="I72" i="8"/>
  <c r="J72" i="8"/>
  <c r="K72" i="8"/>
  <c r="L72" i="8"/>
  <c r="M72" i="8"/>
  <c r="N72" i="8"/>
  <c r="O72" i="8"/>
  <c r="P72" i="8"/>
  <c r="Q72" i="8"/>
  <c r="R72" i="8"/>
  <c r="I73" i="8"/>
  <c r="J73" i="8"/>
  <c r="K73" i="8"/>
  <c r="L73" i="8"/>
  <c r="M73" i="8"/>
  <c r="N73" i="8"/>
  <c r="O73" i="8"/>
  <c r="P73" i="8"/>
  <c r="Q73" i="8"/>
  <c r="R73" i="8"/>
  <c r="I74" i="8"/>
  <c r="J74" i="8"/>
  <c r="K74" i="8"/>
  <c r="L74" i="8"/>
  <c r="M74" i="8"/>
  <c r="N74" i="8"/>
  <c r="O74" i="8"/>
  <c r="P74" i="8"/>
  <c r="Q74" i="8"/>
  <c r="R74" i="8"/>
  <c r="J52" i="8"/>
  <c r="K52" i="8"/>
  <c r="L52" i="8"/>
  <c r="M52" i="8"/>
  <c r="N52" i="8"/>
  <c r="O52" i="8"/>
  <c r="P52" i="8"/>
  <c r="Q52" i="8"/>
  <c r="R52" i="8"/>
  <c r="I52" i="8"/>
  <c r="I45" i="8"/>
  <c r="J45" i="8"/>
  <c r="K45" i="8"/>
  <c r="L45" i="8"/>
  <c r="M45" i="8"/>
  <c r="N45" i="8"/>
  <c r="O45" i="8"/>
  <c r="P45" i="8"/>
  <c r="Q45" i="8"/>
  <c r="R45" i="8"/>
  <c r="I46" i="8"/>
  <c r="J46" i="8"/>
  <c r="K46" i="8"/>
  <c r="L46" i="8"/>
  <c r="M46" i="8"/>
  <c r="N46" i="8"/>
  <c r="O46" i="8"/>
  <c r="P46" i="8"/>
  <c r="Q46" i="8"/>
  <c r="R46" i="8"/>
  <c r="I47" i="8"/>
  <c r="J47" i="8"/>
  <c r="K47" i="8"/>
  <c r="L47" i="8"/>
  <c r="M47" i="8"/>
  <c r="N47" i="8"/>
  <c r="O47" i="8"/>
  <c r="P47" i="8"/>
  <c r="Q47" i="8"/>
  <c r="R47" i="8"/>
  <c r="J44" i="8"/>
  <c r="K44" i="8"/>
  <c r="L44" i="8"/>
  <c r="M44" i="8"/>
  <c r="N44" i="8"/>
  <c r="O44" i="8"/>
  <c r="P44" i="8"/>
  <c r="Q44" i="8"/>
  <c r="R44" i="8"/>
  <c r="I44" i="8"/>
  <c r="I26" i="8"/>
  <c r="J26" i="8"/>
  <c r="K26" i="8"/>
  <c r="L26" i="8"/>
  <c r="M26" i="8"/>
  <c r="N26" i="8"/>
  <c r="O26" i="8"/>
  <c r="P26" i="8"/>
  <c r="Q26" i="8"/>
  <c r="R26" i="8"/>
  <c r="I27" i="8"/>
  <c r="J27" i="8"/>
  <c r="K27" i="8"/>
  <c r="L27" i="8"/>
  <c r="M27" i="8"/>
  <c r="N27" i="8"/>
  <c r="O27" i="8"/>
  <c r="P27" i="8"/>
  <c r="Q27" i="8"/>
  <c r="R27" i="8"/>
  <c r="I28" i="8"/>
  <c r="J28" i="8"/>
  <c r="K28" i="8"/>
  <c r="L28" i="8"/>
  <c r="M28" i="8"/>
  <c r="N28" i="8"/>
  <c r="O28" i="8"/>
  <c r="P28" i="8"/>
  <c r="Q28" i="8"/>
  <c r="R28" i="8"/>
  <c r="I29" i="8"/>
  <c r="J29" i="8"/>
  <c r="K29" i="8"/>
  <c r="L29" i="8"/>
  <c r="M29" i="8"/>
  <c r="N29" i="8"/>
  <c r="O29" i="8"/>
  <c r="P29" i="8"/>
  <c r="Q29" i="8"/>
  <c r="R29" i="8"/>
  <c r="I30" i="8"/>
  <c r="J30" i="8"/>
  <c r="K30" i="8"/>
  <c r="L30" i="8"/>
  <c r="M30" i="8"/>
  <c r="N30" i="8"/>
  <c r="O30" i="8"/>
  <c r="P30" i="8"/>
  <c r="Q30" i="8"/>
  <c r="R30" i="8"/>
  <c r="I31" i="8"/>
  <c r="J31" i="8"/>
  <c r="K31" i="8"/>
  <c r="L31" i="8"/>
  <c r="M31" i="8"/>
  <c r="N31" i="8"/>
  <c r="O31" i="8"/>
  <c r="P31" i="8"/>
  <c r="Q31" i="8"/>
  <c r="R31" i="8"/>
  <c r="I32" i="8"/>
  <c r="J32" i="8"/>
  <c r="K32" i="8"/>
  <c r="L32" i="8"/>
  <c r="M32" i="8"/>
  <c r="N32" i="8"/>
  <c r="O32" i="8"/>
  <c r="P32" i="8"/>
  <c r="Q32" i="8"/>
  <c r="R32" i="8"/>
  <c r="I33" i="8"/>
  <c r="J33" i="8"/>
  <c r="K33" i="8"/>
  <c r="L33" i="8"/>
  <c r="M33" i="8"/>
  <c r="N33" i="8"/>
  <c r="O33" i="8"/>
  <c r="P33" i="8"/>
  <c r="Q33" i="8"/>
  <c r="R33" i="8"/>
  <c r="I34" i="8"/>
  <c r="J34" i="8"/>
  <c r="K34" i="8"/>
  <c r="L34" i="8"/>
  <c r="M34" i="8"/>
  <c r="N34" i="8"/>
  <c r="O34" i="8"/>
  <c r="P34" i="8"/>
  <c r="Q34" i="8"/>
  <c r="R34" i="8"/>
  <c r="I35" i="8"/>
  <c r="J35" i="8"/>
  <c r="K35" i="8"/>
  <c r="L35" i="8"/>
  <c r="M35" i="8"/>
  <c r="N35" i="8"/>
  <c r="O35" i="8"/>
  <c r="P35" i="8"/>
  <c r="Q35" i="8"/>
  <c r="R35" i="8"/>
  <c r="I36" i="8"/>
  <c r="J36" i="8"/>
  <c r="K36" i="8"/>
  <c r="L36" i="8"/>
  <c r="M36" i="8"/>
  <c r="N36" i="8"/>
  <c r="O36" i="8"/>
  <c r="P36" i="8"/>
  <c r="Q36" i="8"/>
  <c r="R36" i="8"/>
  <c r="I37" i="8"/>
  <c r="J37" i="8"/>
  <c r="K37" i="8"/>
  <c r="L37" i="8"/>
  <c r="M37" i="8"/>
  <c r="N37" i="8"/>
  <c r="O37" i="8"/>
  <c r="P37" i="8"/>
  <c r="Q37" i="8"/>
  <c r="R37" i="8"/>
  <c r="I38" i="8"/>
  <c r="J38" i="8"/>
  <c r="K38" i="8"/>
  <c r="L38" i="8"/>
  <c r="M38" i="8"/>
  <c r="N38" i="8"/>
  <c r="O38" i="8"/>
  <c r="P38" i="8"/>
  <c r="Q38" i="8"/>
  <c r="R38" i="8"/>
  <c r="I39" i="8"/>
  <c r="J39" i="8"/>
  <c r="K39" i="8"/>
  <c r="L39" i="8"/>
  <c r="M39" i="8"/>
  <c r="N39" i="8"/>
  <c r="O39" i="8"/>
  <c r="P39" i="8"/>
  <c r="Q39" i="8"/>
  <c r="R39" i="8"/>
  <c r="I40" i="8"/>
  <c r="J40" i="8"/>
  <c r="K40" i="8"/>
  <c r="L40" i="8"/>
  <c r="M40" i="8"/>
  <c r="N40" i="8"/>
  <c r="O40" i="8"/>
  <c r="P40" i="8"/>
  <c r="Q40" i="8"/>
  <c r="R40" i="8"/>
  <c r="I41" i="8"/>
  <c r="J41" i="8"/>
  <c r="K41" i="8"/>
  <c r="L41" i="8"/>
  <c r="M41" i="8"/>
  <c r="N41" i="8"/>
  <c r="O41" i="8"/>
  <c r="P41" i="8"/>
  <c r="Q41" i="8"/>
  <c r="R41" i="8"/>
  <c r="I42" i="8"/>
  <c r="J42" i="8"/>
  <c r="K42" i="8"/>
  <c r="L42" i="8"/>
  <c r="M42" i="8"/>
  <c r="N42" i="8"/>
  <c r="O42" i="8"/>
  <c r="P42" i="8"/>
  <c r="Q42" i="8"/>
  <c r="R42" i="8"/>
  <c r="J25" i="8"/>
  <c r="K25" i="8"/>
  <c r="L25" i="8"/>
  <c r="M25" i="8"/>
  <c r="N25" i="8"/>
  <c r="O25" i="8"/>
  <c r="P25" i="8"/>
  <c r="Q25" i="8"/>
  <c r="R25" i="8"/>
  <c r="I25" i="8"/>
  <c r="Q10" i="8"/>
  <c r="R10" i="8"/>
  <c r="Q11" i="8"/>
  <c r="R11" i="8"/>
  <c r="Q12" i="8"/>
  <c r="R12" i="8"/>
  <c r="Q13" i="8"/>
  <c r="R13" i="8"/>
  <c r="Q14" i="8"/>
  <c r="R14" i="8"/>
  <c r="Q15" i="8"/>
  <c r="R15" i="8"/>
  <c r="Q16" i="8"/>
  <c r="R16" i="8"/>
  <c r="Q17" i="8"/>
  <c r="R17" i="8"/>
  <c r="Q18" i="8"/>
  <c r="R18" i="8"/>
  <c r="Q19" i="8"/>
  <c r="R19" i="8"/>
  <c r="Q20" i="8"/>
  <c r="R20" i="8"/>
  <c r="Q21" i="8"/>
  <c r="R21" i="8"/>
  <c r="Q22" i="8"/>
  <c r="R22" i="8"/>
  <c r="Q23" i="8"/>
  <c r="R23" i="8"/>
  <c r="R9" i="8"/>
  <c r="Q9" i="8"/>
  <c r="P10" i="8"/>
  <c r="P11" i="8"/>
  <c r="P12" i="8"/>
  <c r="P13" i="8"/>
  <c r="P14" i="8"/>
  <c r="P15" i="8"/>
  <c r="P16" i="8"/>
  <c r="P17" i="8"/>
  <c r="P18" i="8"/>
  <c r="P19" i="8"/>
  <c r="P20" i="8"/>
  <c r="P21" i="8"/>
  <c r="P22" i="8"/>
  <c r="P23" i="8"/>
  <c r="P9" i="8"/>
  <c r="I10" i="8"/>
  <c r="J10" i="8"/>
  <c r="K10" i="8"/>
  <c r="L10" i="8"/>
  <c r="M10" i="8"/>
  <c r="N10" i="8"/>
  <c r="O10" i="8"/>
  <c r="I11" i="8"/>
  <c r="J11" i="8"/>
  <c r="K11" i="8"/>
  <c r="L11" i="8"/>
  <c r="M11" i="8"/>
  <c r="N11" i="8"/>
  <c r="O11" i="8"/>
  <c r="I12" i="8"/>
  <c r="J12" i="8"/>
  <c r="K12" i="8"/>
  <c r="L12" i="8"/>
  <c r="M12" i="8"/>
  <c r="N12" i="8"/>
  <c r="O12" i="8"/>
  <c r="I13" i="8"/>
  <c r="J13" i="8"/>
  <c r="K13" i="8"/>
  <c r="L13" i="8"/>
  <c r="M13" i="8"/>
  <c r="N13" i="8"/>
  <c r="O13" i="8"/>
  <c r="I14" i="8"/>
  <c r="J14" i="8"/>
  <c r="K14" i="8"/>
  <c r="L14" i="8"/>
  <c r="M14" i="8"/>
  <c r="N14" i="8"/>
  <c r="O14" i="8"/>
  <c r="I15" i="8"/>
  <c r="J15" i="8"/>
  <c r="K15" i="8"/>
  <c r="L15" i="8"/>
  <c r="M15" i="8"/>
  <c r="N15" i="8"/>
  <c r="O15" i="8"/>
  <c r="I16" i="8"/>
  <c r="J16" i="8"/>
  <c r="K16" i="8"/>
  <c r="L16" i="8"/>
  <c r="M16" i="8"/>
  <c r="N16" i="8"/>
  <c r="O16" i="8"/>
  <c r="I17" i="8"/>
  <c r="J17" i="8"/>
  <c r="K17" i="8"/>
  <c r="L17" i="8"/>
  <c r="M17" i="8"/>
  <c r="N17" i="8"/>
  <c r="O17" i="8"/>
  <c r="I18" i="8"/>
  <c r="J18" i="8"/>
  <c r="K18" i="8"/>
  <c r="L18" i="8"/>
  <c r="M18" i="8"/>
  <c r="N18" i="8"/>
  <c r="O18" i="8"/>
  <c r="I19" i="8"/>
  <c r="J19" i="8"/>
  <c r="K19" i="8"/>
  <c r="L19" i="8"/>
  <c r="M19" i="8"/>
  <c r="N19" i="8"/>
  <c r="O19" i="8"/>
  <c r="I20" i="8"/>
  <c r="J20" i="8"/>
  <c r="K20" i="8"/>
  <c r="L20" i="8"/>
  <c r="M20" i="8"/>
  <c r="N20" i="8"/>
  <c r="O20" i="8"/>
  <c r="I21" i="8"/>
  <c r="J21" i="8"/>
  <c r="K21" i="8"/>
  <c r="L21" i="8"/>
  <c r="M21" i="8"/>
  <c r="N21" i="8"/>
  <c r="O21" i="8"/>
  <c r="I22" i="8"/>
  <c r="J22" i="8"/>
  <c r="K22" i="8"/>
  <c r="L22" i="8"/>
  <c r="M22" i="8"/>
  <c r="N22" i="8"/>
  <c r="O22" i="8"/>
  <c r="I23" i="8"/>
  <c r="J23" i="8"/>
  <c r="K23" i="8"/>
  <c r="L23" i="8"/>
  <c r="M23" i="8"/>
  <c r="N23" i="8"/>
  <c r="O23" i="8"/>
  <c r="J9" i="8"/>
  <c r="K9" i="8"/>
  <c r="L9" i="8"/>
  <c r="M9" i="8"/>
  <c r="N9" i="8"/>
  <c r="O9" i="8"/>
  <c r="I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9"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7" i="8"/>
  <c r="B88" i="8"/>
  <c r="B89" i="8"/>
  <c r="B90" i="8"/>
  <c r="B91" i="8"/>
  <c r="B92" i="8"/>
  <c r="B93" i="8"/>
  <c r="B94" i="8"/>
  <c r="B95" i="8"/>
  <c r="B96" i="8"/>
  <c r="B97" i="8"/>
  <c r="B98" i="8"/>
  <c r="B99" i="8"/>
  <c r="B100" i="8"/>
  <c r="B101" i="8"/>
  <c r="B102" i="8"/>
  <c r="B103" i="8"/>
  <c r="B104" i="8"/>
  <c r="B105" i="8"/>
  <c r="B106" i="8"/>
  <c r="B107" i="8"/>
  <c r="B108" i="8"/>
  <c r="B110" i="8"/>
  <c r="B111" i="8"/>
  <c r="B112" i="8"/>
  <c r="B113" i="8"/>
  <c r="B114" i="8"/>
  <c r="B115" i="8"/>
  <c r="B116" i="8"/>
  <c r="B117" i="8"/>
  <c r="B118" i="8"/>
  <c r="B119" i="8"/>
  <c r="B120" i="8"/>
  <c r="B121"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7"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5" i="8"/>
  <c r="B486" i="8"/>
  <c r="B487" i="8"/>
  <c r="B488" i="8"/>
  <c r="B489" i="8"/>
  <c r="B490" i="8"/>
  <c r="B491" i="8"/>
  <c r="B492" i="8"/>
  <c r="B493" i="8"/>
  <c r="B494" i="8"/>
  <c r="B495" i="8"/>
  <c r="B496" i="8"/>
  <c r="B497" i="8"/>
  <c r="B498" i="8"/>
  <c r="B499" i="8"/>
  <c r="B500" i="8"/>
  <c r="B9" i="8"/>
  <c r="AI289" i="8"/>
  <c r="AJ289" i="8"/>
  <c r="AK289" i="8"/>
  <c r="AL289" i="8"/>
  <c r="AN289" i="8"/>
  <c r="CI289" i="8"/>
  <c r="CJ289" i="8"/>
  <c r="CK289" i="8"/>
  <c r="CL289" i="8"/>
  <c r="CM292" i="8"/>
  <c r="CR292" i="8"/>
  <c r="CS292" i="8"/>
  <c r="CA366" i="8"/>
  <c r="CA367" i="8"/>
  <c r="CA368" i="8"/>
  <c r="CA369" i="8"/>
  <c r="CA370" i="8"/>
  <c r="CA371" i="8"/>
  <c r="CA373" i="8"/>
  <c r="CA378" i="8"/>
  <c r="CA379" i="8"/>
  <c r="CA380" i="8"/>
  <c r="CA382" i="8"/>
  <c r="CA383" i="8"/>
  <c r="CA385" i="8"/>
  <c r="CA388" i="8"/>
  <c r="CA391" i="8"/>
  <c r="CA394" i="8"/>
  <c r="CA395" i="8"/>
  <c r="CA396" i="8"/>
  <c r="CA397" i="8"/>
  <c r="CA398" i="8"/>
  <c r="CA400" i="8"/>
  <c r="CA401" i="8"/>
  <c r="CA402" i="8"/>
  <c r="CA476" i="8"/>
  <c r="CA486" i="8"/>
  <c r="CA487" i="8"/>
  <c r="CA490" i="8"/>
  <c r="CA491" i="8"/>
  <c r="CA492" i="8"/>
  <c r="BC289" i="6"/>
  <c r="AF289" i="6"/>
  <c r="AM289" i="6"/>
  <c r="AU289" i="6"/>
  <c r="BJ289" i="6"/>
  <c r="BI289" i="6"/>
  <c r="BH289" i="6"/>
  <c r="BG289" i="6"/>
  <c r="BF289" i="6"/>
  <c r="BE289" i="6"/>
  <c r="BD289" i="6"/>
  <c r="AV292" i="6"/>
  <c r="AV291" i="6" s="1"/>
  <c r="AW292" i="6"/>
  <c r="AX292" i="6"/>
  <c r="AX291" i="6" s="1"/>
  <c r="AY292" i="6"/>
  <c r="AZ292" i="6"/>
  <c r="AZ291" i="6" s="1"/>
  <c r="AZ286" i="6" s="1"/>
  <c r="BA292" i="6"/>
  <c r="BI292" i="6" s="1"/>
  <c r="BB292" i="6"/>
  <c r="BB291" i="6" s="1"/>
  <c r="BB286" i="6" s="1"/>
  <c r="AN292" i="6"/>
  <c r="AO292" i="6"/>
  <c r="AO291" i="6" s="1"/>
  <c r="AP292" i="6"/>
  <c r="AQ292" i="6"/>
  <c r="AQ291" i="6" s="1"/>
  <c r="AR292" i="6"/>
  <c r="AR291" i="6" s="1"/>
  <c r="AS292" i="6"/>
  <c r="AS291" i="6" s="1"/>
  <c r="AS286" i="6" s="1"/>
  <c r="AT292" i="6"/>
  <c r="AG292" i="6"/>
  <c r="AG291" i="6" s="1"/>
  <c r="AH292" i="6"/>
  <c r="AJ292" i="6"/>
  <c r="AJ291" i="6" s="1"/>
  <c r="AK292" i="6"/>
  <c r="AL292" i="6"/>
  <c r="AL291" i="6" s="1"/>
  <c r="AL286" i="6" s="1"/>
  <c r="Y292" i="6"/>
  <c r="Y291" i="6" s="1"/>
  <c r="Z292" i="6"/>
  <c r="Z291" i="6" s="1"/>
  <c r="Z286" i="6" s="1"/>
  <c r="AA292" i="6"/>
  <c r="AB292" i="6"/>
  <c r="AB291" i="6" s="1"/>
  <c r="AB286" i="6" s="1"/>
  <c r="AC292" i="6"/>
  <c r="AC291" i="6" s="1"/>
  <c r="AC286" i="6" s="1"/>
  <c r="AD292" i="6"/>
  <c r="AD291" i="6" s="1"/>
  <c r="AE292" i="6"/>
  <c r="AE291" i="6" s="1"/>
  <c r="D23" i="9"/>
  <c r="AA139" i="6"/>
  <c r="AF139" i="6"/>
  <c r="AP139" i="6"/>
  <c r="AX139" i="6" s="1"/>
  <c r="BD138" i="6"/>
  <c r="AF469" i="6"/>
  <c r="AM451" i="6"/>
  <c r="AF451" i="6"/>
  <c r="BJ451" i="6"/>
  <c r="BI451" i="6"/>
  <c r="BH451" i="6"/>
  <c r="BG451" i="6"/>
  <c r="BF451" i="6"/>
  <c r="BE451" i="6"/>
  <c r="BD451" i="6"/>
  <c r="BC301" i="6"/>
  <c r="AU301" i="6"/>
  <c r="AM301" i="6"/>
  <c r="AF301" i="6"/>
  <c r="BK301" i="6" s="1"/>
  <c r="BJ87" i="11"/>
  <c r="BJ85" i="11"/>
  <c r="AH87" i="11"/>
  <c r="AQ87" i="11"/>
  <c r="BH87" i="11"/>
  <c r="BH85" i="11"/>
  <c r="AF87" i="11"/>
  <c r="AF85" i="11"/>
  <c r="AE87" i="11"/>
  <c r="AN87" i="11"/>
  <c r="AW87" i="11" s="1"/>
  <c r="AW85" i="11" s="1"/>
  <c r="AD87" i="11"/>
  <c r="AC87" i="11"/>
  <c r="AB87" i="11"/>
  <c r="AB85" i="11"/>
  <c r="AA87" i="11"/>
  <c r="AA85" i="11"/>
  <c r="BA85" i="11"/>
  <c r="AY85" i="11"/>
  <c r="AR85" i="11"/>
  <c r="AP85" i="11"/>
  <c r="AI85" i="11"/>
  <c r="AG85" i="11"/>
  <c r="Z85" i="11"/>
  <c r="Y85" i="11"/>
  <c r="X85" i="11"/>
  <c r="W85" i="11"/>
  <c r="V85" i="11"/>
  <c r="U85" i="11"/>
  <c r="T85" i="11"/>
  <c r="S85" i="11"/>
  <c r="AI83" i="11"/>
  <c r="AH83" i="11"/>
  <c r="AG83" i="11"/>
  <c r="AP83" i="11"/>
  <c r="AF83" i="11"/>
  <c r="AO83" i="11"/>
  <c r="AE83" i="11"/>
  <c r="AD83" i="11"/>
  <c r="AC83" i="11"/>
  <c r="AL83" i="11"/>
  <c r="AB83" i="11"/>
  <c r="AK83" i="11"/>
  <c r="AA83" i="11"/>
  <c r="AA82" i="11"/>
  <c r="Z82" i="11"/>
  <c r="Y82" i="11"/>
  <c r="X82" i="11"/>
  <c r="W82" i="11"/>
  <c r="V82" i="11"/>
  <c r="U82" i="11"/>
  <c r="T82" i="11"/>
  <c r="S82" i="11"/>
  <c r="AI80" i="11"/>
  <c r="AR80" i="11"/>
  <c r="AH80" i="11"/>
  <c r="AQ80" i="11"/>
  <c r="AQ79" i="11" s="1"/>
  <c r="AG80" i="11"/>
  <c r="AF80" i="11"/>
  <c r="AO80" i="11" s="1"/>
  <c r="AO79" i="11" s="1"/>
  <c r="AE80" i="11"/>
  <c r="AN80" i="11" s="1"/>
  <c r="AD80" i="11"/>
  <c r="AM80" i="11" s="1"/>
  <c r="AC80" i="11"/>
  <c r="AL80" i="11" s="1"/>
  <c r="AB80" i="11"/>
  <c r="AB79" i="11" s="1"/>
  <c r="AA80" i="11"/>
  <c r="AA79" i="11" s="1"/>
  <c r="AF79" i="11"/>
  <c r="Z79" i="11"/>
  <c r="Y79" i="11"/>
  <c r="X79" i="11"/>
  <c r="W79" i="11"/>
  <c r="V79" i="11"/>
  <c r="U79" i="11"/>
  <c r="T79" i="11"/>
  <c r="S79" i="11"/>
  <c r="AI77" i="11"/>
  <c r="AH77" i="11"/>
  <c r="AG77" i="11"/>
  <c r="AP77" i="11"/>
  <c r="AF77" i="11"/>
  <c r="AO77" i="11"/>
  <c r="AE77" i="11"/>
  <c r="AD77" i="11"/>
  <c r="AD76" i="11" s="1"/>
  <c r="AC77" i="11"/>
  <c r="AL77" i="11" s="1"/>
  <c r="AB77" i="11"/>
  <c r="AK77" i="11" s="1"/>
  <c r="AA77" i="11"/>
  <c r="AA76" i="11" s="1"/>
  <c r="Z76" i="11"/>
  <c r="Y76" i="11"/>
  <c r="X76" i="11"/>
  <c r="X28" i="11"/>
  <c r="X37" i="11"/>
  <c r="X45" i="11"/>
  <c r="X51" i="11"/>
  <c r="X58" i="11"/>
  <c r="X64" i="11"/>
  <c r="X72" i="11"/>
  <c r="X27" i="11"/>
  <c r="X5" i="11"/>
  <c r="X11" i="11"/>
  <c r="X24" i="11"/>
  <c r="X4" i="11"/>
  <c r="W76" i="11"/>
  <c r="V76" i="11"/>
  <c r="U76" i="11"/>
  <c r="T76" i="11"/>
  <c r="T28" i="11"/>
  <c r="T37" i="11"/>
  <c r="T45" i="11"/>
  <c r="T51" i="11"/>
  <c r="T58" i="11"/>
  <c r="T64" i="11"/>
  <c r="T72" i="11"/>
  <c r="T27" i="11"/>
  <c r="T5" i="11"/>
  <c r="T11" i="11"/>
  <c r="T24" i="11"/>
  <c r="T4" i="11"/>
  <c r="S76" i="11"/>
  <c r="AI73" i="11"/>
  <c r="AR73" i="11" s="1"/>
  <c r="AH73" i="11"/>
  <c r="AQ73" i="11" s="1"/>
  <c r="AG73" i="11"/>
  <c r="AF73" i="11"/>
  <c r="AO73" i="11"/>
  <c r="AE73" i="11"/>
  <c r="AN73" i="11"/>
  <c r="AD73" i="11"/>
  <c r="AD72" i="11"/>
  <c r="AC73" i="11"/>
  <c r="AC72" i="11"/>
  <c r="AB73" i="11"/>
  <c r="AB72" i="11"/>
  <c r="AA73" i="11"/>
  <c r="AA72" i="11"/>
  <c r="Z72" i="11"/>
  <c r="Y72" i="11"/>
  <c r="W72" i="11"/>
  <c r="V72" i="11"/>
  <c r="U72" i="11"/>
  <c r="S72" i="11"/>
  <c r="AI65" i="11"/>
  <c r="AR65" i="11"/>
  <c r="AR64" i="11" s="1"/>
  <c r="AH65" i="11"/>
  <c r="AG65" i="11"/>
  <c r="AF65" i="11"/>
  <c r="AO65" i="11"/>
  <c r="AO64" i="11" s="1"/>
  <c r="AE65" i="11"/>
  <c r="AN65" i="11" s="1"/>
  <c r="AD65" i="11"/>
  <c r="AM65" i="11" s="1"/>
  <c r="AB65" i="11"/>
  <c r="AB64" i="11" s="1"/>
  <c r="AC65" i="11"/>
  <c r="AL65" i="11" s="1"/>
  <c r="AA65" i="11"/>
  <c r="AA64" i="11" s="1"/>
  <c r="AD64" i="11"/>
  <c r="Z64" i="11"/>
  <c r="Y64" i="11"/>
  <c r="W64" i="11"/>
  <c r="V64" i="11"/>
  <c r="U64" i="11"/>
  <c r="S64" i="11"/>
  <c r="AI59" i="11"/>
  <c r="AH59" i="11"/>
  <c r="AH58" i="11" s="1"/>
  <c r="AG59" i="11"/>
  <c r="AF59" i="11"/>
  <c r="AF58" i="11" s="1"/>
  <c r="AE59" i="11"/>
  <c r="AD59" i="11"/>
  <c r="AD58" i="11" s="1"/>
  <c r="AC59" i="11"/>
  <c r="AB59" i="11"/>
  <c r="AB58" i="11" s="1"/>
  <c r="AA59" i="11"/>
  <c r="AA58" i="11" s="1"/>
  <c r="Z58" i="11"/>
  <c r="Y58" i="11"/>
  <c r="W58" i="11"/>
  <c r="V58" i="11"/>
  <c r="U58" i="11"/>
  <c r="S58" i="11"/>
  <c r="AI52" i="11"/>
  <c r="AR52" i="11" s="1"/>
  <c r="AH52" i="11"/>
  <c r="AG52" i="11"/>
  <c r="AF52" i="11"/>
  <c r="AE52" i="11"/>
  <c r="AD52" i="11"/>
  <c r="AC52" i="11"/>
  <c r="AB52" i="11"/>
  <c r="AK52" i="11" s="1"/>
  <c r="AK51" i="11" s="1"/>
  <c r="AP52" i="11"/>
  <c r="AO52" i="11"/>
  <c r="AX52" i="11" s="1"/>
  <c r="AN52" i="11"/>
  <c r="AN51" i="11" s="1"/>
  <c r="AA52" i="11"/>
  <c r="AA51" i="11" s="1"/>
  <c r="Z51" i="11"/>
  <c r="Y51" i="11"/>
  <c r="W51" i="11"/>
  <c r="V51" i="11"/>
  <c r="U51" i="11"/>
  <c r="S51" i="11"/>
  <c r="AR46" i="11"/>
  <c r="BA46" i="11" s="1"/>
  <c r="AH46" i="11"/>
  <c r="AQ46" i="11" s="1"/>
  <c r="AZ46" i="11" s="1"/>
  <c r="AG46" i="11"/>
  <c r="AP46" i="11" s="1"/>
  <c r="AF46" i="11"/>
  <c r="AO46" i="11" s="1"/>
  <c r="AE46" i="11"/>
  <c r="AN46" i="11"/>
  <c r="AW46" i="11" s="1"/>
  <c r="U46" i="11"/>
  <c r="U45" i="11"/>
  <c r="AC46" i="11"/>
  <c r="AB46" i="11"/>
  <c r="AB45" i="11" s="1"/>
  <c r="AI45" i="11"/>
  <c r="Z45" i="11"/>
  <c r="Y45" i="11"/>
  <c r="W45" i="11"/>
  <c r="V45" i="11"/>
  <c r="S45" i="11"/>
  <c r="AI38" i="11"/>
  <c r="AR38" i="11" s="1"/>
  <c r="AH38" i="11"/>
  <c r="AQ38" i="11" s="1"/>
  <c r="AG38" i="11"/>
  <c r="AG37" i="11" s="1"/>
  <c r="AF38" i="11"/>
  <c r="AO38" i="11" s="1"/>
  <c r="AE38" i="11"/>
  <c r="AD38" i="11"/>
  <c r="AD37" i="11" s="1"/>
  <c r="AC38" i="11"/>
  <c r="AL38" i="11" s="1"/>
  <c r="AL37" i="11" s="1"/>
  <c r="AB38" i="11"/>
  <c r="AK38" i="11" s="1"/>
  <c r="AT38" i="11" s="1"/>
  <c r="AT37" i="11" s="1"/>
  <c r="AA38" i="11"/>
  <c r="AA37" i="11" s="1"/>
  <c r="AB37" i="11"/>
  <c r="Z37" i="11"/>
  <c r="Y37" i="11"/>
  <c r="W37" i="11"/>
  <c r="W28" i="11"/>
  <c r="W5" i="11"/>
  <c r="W11" i="11"/>
  <c r="W24" i="11"/>
  <c r="V37" i="11"/>
  <c r="U37" i="11"/>
  <c r="S37" i="11"/>
  <c r="S28" i="11"/>
  <c r="S5" i="11"/>
  <c r="S11" i="11"/>
  <c r="S24" i="11"/>
  <c r="AI29" i="11"/>
  <c r="AH29" i="11"/>
  <c r="AH28" i="11" s="1"/>
  <c r="AG29" i="11"/>
  <c r="AF29" i="11"/>
  <c r="AF28" i="11" s="1"/>
  <c r="AE29" i="11"/>
  <c r="AD29" i="11"/>
  <c r="AD28" i="11" s="1"/>
  <c r="AC29" i="11"/>
  <c r="AB29" i="11"/>
  <c r="AB28" i="11" s="1"/>
  <c r="AA29" i="11"/>
  <c r="AA28" i="11" s="1"/>
  <c r="Z28" i="11"/>
  <c r="Y28" i="11"/>
  <c r="V28" i="11"/>
  <c r="U28" i="11"/>
  <c r="BJ26" i="11"/>
  <c r="AH26" i="11"/>
  <c r="BH26" i="11"/>
  <c r="AF26" i="11"/>
  <c r="AE26" i="11"/>
  <c r="AN26" i="11" s="1"/>
  <c r="AD26" i="11"/>
  <c r="AM26" i="11" s="1"/>
  <c r="AD25" i="11"/>
  <c r="AM25" i="11" s="1"/>
  <c r="AC26" i="11"/>
  <c r="AL26" i="11" s="1"/>
  <c r="AU26" i="11" s="1"/>
  <c r="BD26" i="11" s="1"/>
  <c r="AB26" i="11"/>
  <c r="AK26" i="11" s="1"/>
  <c r="AA26" i="11"/>
  <c r="BJ25" i="11"/>
  <c r="BJ24" i="11" s="1"/>
  <c r="AH25" i="11"/>
  <c r="AQ25" i="11" s="1"/>
  <c r="BH25" i="11"/>
  <c r="AF25" i="11"/>
  <c r="AO25" i="11" s="1"/>
  <c r="AE25" i="11"/>
  <c r="AN25" i="11" s="1"/>
  <c r="AW25" i="11" s="1"/>
  <c r="AC25" i="11"/>
  <c r="AL25" i="11" s="1"/>
  <c r="AB25" i="11"/>
  <c r="AK25" i="11" s="1"/>
  <c r="AA25" i="11"/>
  <c r="AA24" i="11" s="1"/>
  <c r="BA24" i="11"/>
  <c r="AY24" i="11"/>
  <c r="AR24" i="11"/>
  <c r="AP24" i="11"/>
  <c r="AI24" i="11"/>
  <c r="AG24" i="11"/>
  <c r="Z24" i="11"/>
  <c r="Y24" i="11"/>
  <c r="V24" i="11"/>
  <c r="U24" i="11"/>
  <c r="BC23" i="11"/>
  <c r="BD23" i="11"/>
  <c r="BE23" i="11"/>
  <c r="BF23" i="11"/>
  <c r="BH23" i="11"/>
  <c r="BG23" i="11"/>
  <c r="BI23" i="11"/>
  <c r="BJ23" i="11"/>
  <c r="BB23" i="11"/>
  <c r="AS23" i="11"/>
  <c r="AJ23" i="11"/>
  <c r="AA23" i="11"/>
  <c r="BC22" i="11"/>
  <c r="BD22" i="11"/>
  <c r="BE22" i="11"/>
  <c r="BF22" i="11"/>
  <c r="BH22" i="11"/>
  <c r="BG22" i="11"/>
  <c r="BI22" i="11"/>
  <c r="BJ22" i="11"/>
  <c r="BB22" i="11"/>
  <c r="AS22" i="11"/>
  <c r="AJ22" i="11"/>
  <c r="AA22" i="11"/>
  <c r="BC21" i="11"/>
  <c r="BD21" i="11"/>
  <c r="BE21" i="11"/>
  <c r="BF21" i="11"/>
  <c r="BH21" i="11"/>
  <c r="BH12" i="11"/>
  <c r="BH13" i="11"/>
  <c r="BH14" i="11"/>
  <c r="BH15" i="11"/>
  <c r="BH16" i="11"/>
  <c r="BH17" i="11"/>
  <c r="BH18" i="11"/>
  <c r="BH19" i="11"/>
  <c r="BH20" i="11"/>
  <c r="BG21" i="11"/>
  <c r="BI21" i="11"/>
  <c r="BJ21" i="11"/>
  <c r="BB21" i="11"/>
  <c r="AS21" i="11"/>
  <c r="AJ21" i="11"/>
  <c r="AA21" i="11"/>
  <c r="BC20" i="11"/>
  <c r="BD20" i="11"/>
  <c r="BE20" i="11"/>
  <c r="BF20" i="11"/>
  <c r="BG20" i="11"/>
  <c r="BI20" i="11"/>
  <c r="BJ20" i="11"/>
  <c r="BB20" i="11"/>
  <c r="AS20" i="11"/>
  <c r="AJ20" i="11"/>
  <c r="AA20" i="11"/>
  <c r="BC19" i="11"/>
  <c r="BD19" i="11"/>
  <c r="BE19" i="11"/>
  <c r="BF19" i="11"/>
  <c r="BG19" i="11"/>
  <c r="BI19" i="11"/>
  <c r="BJ19" i="11"/>
  <c r="BB19" i="11"/>
  <c r="AS19" i="11"/>
  <c r="AJ19" i="11"/>
  <c r="AA19" i="11"/>
  <c r="BC18" i="11"/>
  <c r="BD18" i="11"/>
  <c r="BE18" i="11"/>
  <c r="BF18" i="11"/>
  <c r="BG18" i="11"/>
  <c r="BI18" i="11"/>
  <c r="BJ18" i="11"/>
  <c r="BB18" i="11"/>
  <c r="AS18" i="11"/>
  <c r="AJ18" i="11"/>
  <c r="AA18" i="11"/>
  <c r="BC17" i="11"/>
  <c r="BD17" i="11"/>
  <c r="BE17" i="11"/>
  <c r="BF17" i="11"/>
  <c r="BG17" i="11"/>
  <c r="BI17" i="11"/>
  <c r="BJ17" i="11"/>
  <c r="BB17" i="11"/>
  <c r="AS17" i="11"/>
  <c r="AJ17" i="11"/>
  <c r="AA17" i="11"/>
  <c r="BC16" i="11"/>
  <c r="BD16" i="11"/>
  <c r="BE16" i="11"/>
  <c r="BF16" i="11"/>
  <c r="BG16" i="11"/>
  <c r="BI16" i="11"/>
  <c r="BJ16" i="11"/>
  <c r="BB16" i="11"/>
  <c r="AS16" i="11"/>
  <c r="AJ16" i="11"/>
  <c r="AA16" i="11"/>
  <c r="BC15" i="11"/>
  <c r="BD15" i="11"/>
  <c r="BE15" i="11"/>
  <c r="BF15" i="11"/>
  <c r="BG15" i="11"/>
  <c r="BI15" i="11"/>
  <c r="BJ15" i="11"/>
  <c r="BB15" i="11"/>
  <c r="AS15" i="11"/>
  <c r="AJ15" i="11"/>
  <c r="AA15" i="11"/>
  <c r="BC14" i="11"/>
  <c r="BD14" i="11"/>
  <c r="BE14" i="11"/>
  <c r="BF14" i="11"/>
  <c r="BG14" i="11"/>
  <c r="BI14" i="11"/>
  <c r="BJ14" i="11"/>
  <c r="BB14" i="11"/>
  <c r="AS14" i="11"/>
  <c r="AJ14" i="11"/>
  <c r="AA14" i="11"/>
  <c r="BC13" i="11"/>
  <c r="BD13" i="11"/>
  <c r="BE13" i="11"/>
  <c r="BF13" i="11"/>
  <c r="BG13" i="11"/>
  <c r="BI13" i="11"/>
  <c r="BJ13" i="11"/>
  <c r="BB13" i="11"/>
  <c r="AS13" i="11"/>
  <c r="AJ13" i="11"/>
  <c r="AA13" i="11"/>
  <c r="BC12" i="11"/>
  <c r="BD12" i="11"/>
  <c r="BE12" i="11"/>
  <c r="BF12" i="11"/>
  <c r="BG12" i="11"/>
  <c r="BI12" i="11"/>
  <c r="BJ12" i="11"/>
  <c r="BB12" i="11"/>
  <c r="AS12" i="11"/>
  <c r="AJ12" i="11"/>
  <c r="AA12" i="11"/>
  <c r="BA11" i="11"/>
  <c r="AZ11" i="11"/>
  <c r="AY11" i="11"/>
  <c r="AX11" i="11"/>
  <c r="AW11" i="11"/>
  <c r="AV11" i="11"/>
  <c r="AU11" i="11"/>
  <c r="AT11" i="11"/>
  <c r="AR11" i="11"/>
  <c r="AQ11" i="11"/>
  <c r="AP11" i="11"/>
  <c r="AO11" i="11"/>
  <c r="AN11" i="11"/>
  <c r="AM11" i="11"/>
  <c r="AL11" i="11"/>
  <c r="AK11" i="11"/>
  <c r="AI11" i="11"/>
  <c r="AH11" i="11"/>
  <c r="AG11" i="11"/>
  <c r="AF11" i="11"/>
  <c r="AE11" i="11"/>
  <c r="AD11" i="11"/>
  <c r="AC11" i="11"/>
  <c r="AB11" i="11"/>
  <c r="Z11" i="11"/>
  <c r="Y11" i="11"/>
  <c r="V11" i="11"/>
  <c r="U11" i="11"/>
  <c r="AR6" i="11"/>
  <c r="AH6" i="11"/>
  <c r="AQ6" i="11" s="1"/>
  <c r="AG6" i="11"/>
  <c r="AP6" i="11" s="1"/>
  <c r="AF6" i="11"/>
  <c r="AO6" i="11" s="1"/>
  <c r="AE6" i="11"/>
  <c r="AN6" i="11" s="1"/>
  <c r="AD6" i="11"/>
  <c r="AM6" i="11" s="1"/>
  <c r="AM5" i="11" s="1"/>
  <c r="AC6" i="11"/>
  <c r="AL6" i="11" s="1"/>
  <c r="AB6" i="11"/>
  <c r="AK6" i="11" s="1"/>
  <c r="AA6" i="11"/>
  <c r="AA5" i="11" s="1"/>
  <c r="AI5" i="11"/>
  <c r="Z5" i="11"/>
  <c r="Y5" i="11"/>
  <c r="V5" i="11"/>
  <c r="U5" i="11"/>
  <c r="BC489" i="6"/>
  <c r="AU489" i="6"/>
  <c r="AM489" i="6"/>
  <c r="AF489" i="6"/>
  <c r="BJ489" i="6"/>
  <c r="BI489" i="6"/>
  <c r="BH489" i="6"/>
  <c r="BG489" i="6"/>
  <c r="BF489" i="6"/>
  <c r="BE489" i="6"/>
  <c r="BD489" i="6"/>
  <c r="BC488" i="6"/>
  <c r="AU488" i="6"/>
  <c r="AM488" i="6"/>
  <c r="AF488" i="6"/>
  <c r="BJ488" i="6"/>
  <c r="BI488" i="6"/>
  <c r="BH488" i="6"/>
  <c r="BG488" i="6"/>
  <c r="BF488" i="6"/>
  <c r="BE488" i="6"/>
  <c r="BD488" i="6"/>
  <c r="BC487" i="6"/>
  <c r="AU487" i="6"/>
  <c r="AM487" i="6"/>
  <c r="AF487" i="6"/>
  <c r="BJ487" i="6"/>
  <c r="BI487" i="6"/>
  <c r="BH487" i="6"/>
  <c r="BG487" i="6"/>
  <c r="BF487" i="6"/>
  <c r="BE487" i="6"/>
  <c r="BD487" i="6"/>
  <c r="BC485" i="6"/>
  <c r="AU485" i="6"/>
  <c r="AM485" i="6"/>
  <c r="AF485" i="6"/>
  <c r="BJ485" i="6"/>
  <c r="BI485" i="6"/>
  <c r="BH485" i="6"/>
  <c r="BG485" i="6"/>
  <c r="BF485" i="6"/>
  <c r="BE485" i="6"/>
  <c r="BD485" i="6"/>
  <c r="BC484" i="6"/>
  <c r="AU484" i="6"/>
  <c r="AM484" i="6"/>
  <c r="AF484" i="6"/>
  <c r="BJ484" i="6"/>
  <c r="BI484" i="6"/>
  <c r="BH484" i="6"/>
  <c r="BG484" i="6"/>
  <c r="BF484" i="6"/>
  <c r="BE484" i="6"/>
  <c r="BD484" i="6"/>
  <c r="BC483" i="6"/>
  <c r="AU483" i="6"/>
  <c r="BK483" i="6" s="1"/>
  <c r="AF483" i="6"/>
  <c r="AM483" i="6"/>
  <c r="BJ483" i="6"/>
  <c r="BI483" i="6"/>
  <c r="BH483" i="6"/>
  <c r="BG483" i="6"/>
  <c r="BF483" i="6"/>
  <c r="BE483" i="6"/>
  <c r="BD483" i="6"/>
  <c r="AV482" i="6"/>
  <c r="AW482" i="6"/>
  <c r="AX482" i="6"/>
  <c r="AX473" i="6" s="1"/>
  <c r="AY482" i="6"/>
  <c r="AZ482" i="6"/>
  <c r="BA482" i="6"/>
  <c r="BB482" i="6"/>
  <c r="BB474" i="6"/>
  <c r="AN482" i="6"/>
  <c r="AO482" i="6"/>
  <c r="AP482" i="6"/>
  <c r="AQ482" i="6"/>
  <c r="AQ473" i="6" s="1"/>
  <c r="AR482" i="6"/>
  <c r="AS482" i="6"/>
  <c r="AT482" i="6"/>
  <c r="AR474" i="6"/>
  <c r="AR440" i="6"/>
  <c r="AR439" i="6" s="1"/>
  <c r="AT474" i="6"/>
  <c r="AT440" i="6"/>
  <c r="AT439" i="6" s="1"/>
  <c r="AG482" i="6"/>
  <c r="AH482" i="6"/>
  <c r="AJ482" i="6"/>
  <c r="AK482" i="6"/>
  <c r="AL482" i="6"/>
  <c r="AB482" i="6"/>
  <c r="AK474" i="6"/>
  <c r="Y482" i="6"/>
  <c r="Z482" i="6"/>
  <c r="BE482" i="6" s="1"/>
  <c r="AA482" i="6"/>
  <c r="AA474" i="6"/>
  <c r="AA440" i="6"/>
  <c r="AA439" i="6" s="1"/>
  <c r="AC482" i="6"/>
  <c r="AD482" i="6"/>
  <c r="AE482" i="6"/>
  <c r="BC481" i="6"/>
  <c r="AU481" i="6"/>
  <c r="AM481" i="6"/>
  <c r="AF481" i="6"/>
  <c r="BJ481" i="6"/>
  <c r="BI481" i="6"/>
  <c r="BH481" i="6"/>
  <c r="BG481" i="6"/>
  <c r="BF481" i="6"/>
  <c r="BE481" i="6"/>
  <c r="BD481" i="6"/>
  <c r="X481" i="6"/>
  <c r="BC480" i="6"/>
  <c r="BK480" i="6" s="1"/>
  <c r="AU480" i="6"/>
  <c r="AM480" i="6"/>
  <c r="AF480" i="6"/>
  <c r="BJ480" i="6"/>
  <c r="BI480" i="6"/>
  <c r="BH480" i="6"/>
  <c r="BG480" i="6"/>
  <c r="BF480" i="6"/>
  <c r="BE480" i="6"/>
  <c r="BD480" i="6"/>
  <c r="X480" i="6"/>
  <c r="BC479" i="6"/>
  <c r="AU479" i="6"/>
  <c r="AM479" i="6"/>
  <c r="AF479" i="6"/>
  <c r="BJ479" i="6"/>
  <c r="BI479" i="6"/>
  <c r="BH479" i="6"/>
  <c r="BG479" i="6"/>
  <c r="BF479" i="6"/>
  <c r="BE479" i="6"/>
  <c r="BD479" i="6"/>
  <c r="X479" i="6"/>
  <c r="BC478" i="6"/>
  <c r="AU478" i="6"/>
  <c r="AM478" i="6"/>
  <c r="AF478" i="6"/>
  <c r="BJ478" i="6"/>
  <c r="BI478" i="6"/>
  <c r="BH478" i="6"/>
  <c r="BG478" i="6"/>
  <c r="BF478" i="6"/>
  <c r="BE478" i="6"/>
  <c r="BD478" i="6"/>
  <c r="BI477" i="6"/>
  <c r="AF477" i="6"/>
  <c r="BL477" i="6" s="1"/>
  <c r="BC476" i="6"/>
  <c r="AU476" i="6"/>
  <c r="AM476" i="6"/>
  <c r="AF476" i="6"/>
  <c r="BJ476" i="6"/>
  <c r="BI476" i="6"/>
  <c r="BH476" i="6"/>
  <c r="BG476" i="6"/>
  <c r="BF476" i="6"/>
  <c r="BE476" i="6"/>
  <c r="BD476" i="6"/>
  <c r="X476" i="6"/>
  <c r="BC475" i="6"/>
  <c r="AU475" i="6"/>
  <c r="AM475" i="6"/>
  <c r="AF475" i="6"/>
  <c r="BJ475" i="6"/>
  <c r="BI475" i="6"/>
  <c r="BH475" i="6"/>
  <c r="BG475" i="6"/>
  <c r="BF475" i="6"/>
  <c r="BE475" i="6"/>
  <c r="BD475" i="6"/>
  <c r="X475" i="6"/>
  <c r="AV474" i="6"/>
  <c r="AW474" i="6"/>
  <c r="AX474" i="6"/>
  <c r="AY474" i="6"/>
  <c r="AY473" i="6" s="1"/>
  <c r="AZ474" i="6"/>
  <c r="AZ473" i="6" s="1"/>
  <c r="BA474" i="6"/>
  <c r="AN474" i="6"/>
  <c r="AO474" i="6"/>
  <c r="AO473" i="6" s="1"/>
  <c r="AP474" i="6"/>
  <c r="AQ474" i="6"/>
  <c r="AS474" i="6"/>
  <c r="AG474" i="6"/>
  <c r="AM474" i="6" s="1"/>
  <c r="AH474" i="6"/>
  <c r="AH473" i="6" s="1"/>
  <c r="AH438" i="6" s="1"/>
  <c r="AJ474" i="6"/>
  <c r="AL474" i="6"/>
  <c r="AE474" i="6"/>
  <c r="AE440" i="6"/>
  <c r="AE439" i="6" s="1"/>
  <c r="Y474" i="6"/>
  <c r="Z474" i="6"/>
  <c r="Z440" i="6"/>
  <c r="Z439" i="6" s="1"/>
  <c r="AB474" i="6"/>
  <c r="AC474" i="6"/>
  <c r="AD474" i="6"/>
  <c r="AL440" i="6"/>
  <c r="AL439" i="6" s="1"/>
  <c r="AF470" i="6"/>
  <c r="BC470" i="6"/>
  <c r="AU470" i="6"/>
  <c r="AM470" i="6"/>
  <c r="BJ470" i="6"/>
  <c r="BI470" i="6"/>
  <c r="BH470" i="6"/>
  <c r="BG470" i="6"/>
  <c r="BF470" i="6"/>
  <c r="BE470" i="6"/>
  <c r="BD470" i="6"/>
  <c r="AF468" i="6"/>
  <c r="BL468" i="6" s="1"/>
  <c r="BC468" i="6"/>
  <c r="AM468" i="6"/>
  <c r="BJ468" i="6"/>
  <c r="BI468" i="6"/>
  <c r="BH468" i="6"/>
  <c r="BG468" i="6"/>
  <c r="BF468" i="6"/>
  <c r="BE468" i="6"/>
  <c r="BD468" i="6"/>
  <c r="BC467" i="6"/>
  <c r="AF467" i="6"/>
  <c r="AU467" i="6"/>
  <c r="BK467" i="6" s="1"/>
  <c r="AM467" i="6"/>
  <c r="BJ467" i="6"/>
  <c r="BI467" i="6"/>
  <c r="BH467" i="6"/>
  <c r="BG467" i="6"/>
  <c r="BF467" i="6"/>
  <c r="BE467" i="6"/>
  <c r="BD467" i="6"/>
  <c r="AF466" i="6"/>
  <c r="BC466" i="6"/>
  <c r="AU466" i="6"/>
  <c r="AM466" i="6"/>
  <c r="BJ466" i="6"/>
  <c r="BI466" i="6"/>
  <c r="BH466" i="6"/>
  <c r="BG466" i="6"/>
  <c r="BF466" i="6"/>
  <c r="BE466" i="6"/>
  <c r="BD466" i="6"/>
  <c r="AU465" i="6"/>
  <c r="BC465" i="6"/>
  <c r="AM465" i="6"/>
  <c r="AF465" i="6"/>
  <c r="BJ465" i="6"/>
  <c r="BI465" i="6"/>
  <c r="BH465" i="6"/>
  <c r="BG465" i="6"/>
  <c r="BF465" i="6"/>
  <c r="BE465" i="6"/>
  <c r="BD465" i="6"/>
  <c r="BC464" i="6"/>
  <c r="AU464" i="6"/>
  <c r="AM464" i="6"/>
  <c r="AF464" i="6"/>
  <c r="BJ464" i="6"/>
  <c r="BI464" i="6"/>
  <c r="BH464" i="6"/>
  <c r="BG464" i="6"/>
  <c r="BF464" i="6"/>
  <c r="BE464" i="6"/>
  <c r="BD464" i="6"/>
  <c r="AF463" i="6"/>
  <c r="AM463" i="6"/>
  <c r="AU463" i="6"/>
  <c r="BC463" i="6"/>
  <c r="BJ463" i="6"/>
  <c r="BI463" i="6"/>
  <c r="BH463" i="6"/>
  <c r="BG463" i="6"/>
  <c r="BF463" i="6"/>
  <c r="BE463" i="6"/>
  <c r="BD463" i="6"/>
  <c r="BC462" i="6"/>
  <c r="AU462" i="6"/>
  <c r="AM462" i="6"/>
  <c r="AF462" i="6"/>
  <c r="BJ462" i="6"/>
  <c r="BI462" i="6"/>
  <c r="BH462" i="6"/>
  <c r="BG462" i="6"/>
  <c r="BF462" i="6"/>
  <c r="BE462" i="6"/>
  <c r="BD462" i="6"/>
  <c r="AF461" i="6"/>
  <c r="BL461" i="6" s="1"/>
  <c r="AM461" i="6"/>
  <c r="AU461" i="6"/>
  <c r="BC461" i="6"/>
  <c r="BJ461" i="6"/>
  <c r="BI461" i="6"/>
  <c r="BH461" i="6"/>
  <c r="BG461" i="6"/>
  <c r="BF461" i="6"/>
  <c r="BE461" i="6"/>
  <c r="BD461" i="6"/>
  <c r="AU460" i="6"/>
  <c r="BC460" i="6"/>
  <c r="AM460" i="6"/>
  <c r="AF460" i="6"/>
  <c r="BJ460" i="6"/>
  <c r="BI460" i="6"/>
  <c r="BH460" i="6"/>
  <c r="BG460" i="6"/>
  <c r="BF460" i="6"/>
  <c r="BE460" i="6"/>
  <c r="BD460" i="6"/>
  <c r="AU459" i="6"/>
  <c r="BC459" i="6"/>
  <c r="AM459" i="6"/>
  <c r="AF459" i="6"/>
  <c r="BJ459" i="6"/>
  <c r="BI459" i="6"/>
  <c r="BH459" i="6"/>
  <c r="BG459" i="6"/>
  <c r="BF459" i="6"/>
  <c r="BE459" i="6"/>
  <c r="BD459" i="6"/>
  <c r="AU458" i="6"/>
  <c r="BC458" i="6"/>
  <c r="AM458" i="6"/>
  <c r="AF458" i="6"/>
  <c r="BJ458" i="6"/>
  <c r="BI458" i="6"/>
  <c r="BH458" i="6"/>
  <c r="BG458" i="6"/>
  <c r="BF458" i="6"/>
  <c r="BE458" i="6"/>
  <c r="BD458" i="6"/>
  <c r="AM457" i="6"/>
  <c r="AU457" i="6"/>
  <c r="AF457" i="6"/>
  <c r="BC457" i="6"/>
  <c r="BJ457" i="6"/>
  <c r="BI457" i="6"/>
  <c r="BH457" i="6"/>
  <c r="BG457" i="6"/>
  <c r="BF457" i="6"/>
  <c r="BE457" i="6"/>
  <c r="BD457" i="6"/>
  <c r="BC456" i="6"/>
  <c r="AU456" i="6"/>
  <c r="AM456" i="6"/>
  <c r="AF456" i="6"/>
  <c r="BJ456" i="6"/>
  <c r="BI456" i="6"/>
  <c r="BH456" i="6"/>
  <c r="BG456" i="6"/>
  <c r="BF456" i="6"/>
  <c r="BE456" i="6"/>
  <c r="BD456" i="6"/>
  <c r="BC455" i="6"/>
  <c r="AU455" i="6"/>
  <c r="AM455" i="6"/>
  <c r="AF455" i="6"/>
  <c r="BJ455" i="6"/>
  <c r="BI455" i="6"/>
  <c r="BH455" i="6"/>
  <c r="BG455" i="6"/>
  <c r="BF455" i="6"/>
  <c r="BE455" i="6"/>
  <c r="BD455" i="6"/>
  <c r="AM454" i="6"/>
  <c r="AU454" i="6"/>
  <c r="BC454" i="6"/>
  <c r="AF454" i="6"/>
  <c r="BJ454" i="6"/>
  <c r="BI454" i="6"/>
  <c r="BH454" i="6"/>
  <c r="BG454" i="6"/>
  <c r="BF454" i="6"/>
  <c r="BE454" i="6"/>
  <c r="BD454" i="6"/>
  <c r="BC453" i="6"/>
  <c r="AU453" i="6"/>
  <c r="AM453" i="6"/>
  <c r="AF453" i="6"/>
  <c r="BJ453" i="6"/>
  <c r="BI453" i="6"/>
  <c r="BH453" i="6"/>
  <c r="BG453" i="6"/>
  <c r="BF453" i="6"/>
  <c r="BE453" i="6"/>
  <c r="BD453" i="6"/>
  <c r="AU452" i="6"/>
  <c r="BC452" i="6"/>
  <c r="AM452" i="6"/>
  <c r="AF452" i="6"/>
  <c r="BJ452" i="6"/>
  <c r="BI452" i="6"/>
  <c r="BH452" i="6"/>
  <c r="BG452" i="6"/>
  <c r="BF452" i="6"/>
  <c r="BE452" i="6"/>
  <c r="BD452" i="6"/>
  <c r="BC450" i="6"/>
  <c r="AU450" i="6"/>
  <c r="AM450" i="6"/>
  <c r="AF450" i="6"/>
  <c r="BJ450" i="6"/>
  <c r="BI450" i="6"/>
  <c r="BH450" i="6"/>
  <c r="BG450" i="6"/>
  <c r="BF450" i="6"/>
  <c r="BE450" i="6"/>
  <c r="BD450" i="6"/>
  <c r="AM449" i="6"/>
  <c r="AU449" i="6"/>
  <c r="BC449" i="6"/>
  <c r="AF449" i="6"/>
  <c r="BJ449" i="6"/>
  <c r="BI449" i="6"/>
  <c r="BH449" i="6"/>
  <c r="BG449" i="6"/>
  <c r="BF449" i="6"/>
  <c r="BE449" i="6"/>
  <c r="BD449" i="6"/>
  <c r="AU448" i="6"/>
  <c r="BC448" i="6"/>
  <c r="AM448" i="6"/>
  <c r="AF448" i="6"/>
  <c r="BJ448" i="6"/>
  <c r="BI448" i="6"/>
  <c r="BH448" i="6"/>
  <c r="BG448" i="6"/>
  <c r="BF448" i="6"/>
  <c r="BE448" i="6"/>
  <c r="BD448" i="6"/>
  <c r="BC447" i="6"/>
  <c r="AU447" i="6"/>
  <c r="AM447" i="6"/>
  <c r="AF447" i="6"/>
  <c r="BJ447" i="6"/>
  <c r="BI447" i="6"/>
  <c r="BH447" i="6"/>
  <c r="BG447" i="6"/>
  <c r="BF447" i="6"/>
  <c r="BE447" i="6"/>
  <c r="BD447" i="6"/>
  <c r="BC446" i="6"/>
  <c r="AU446" i="6"/>
  <c r="AM446" i="6"/>
  <c r="AF446" i="6"/>
  <c r="BJ446" i="6"/>
  <c r="BI446" i="6"/>
  <c r="BH446" i="6"/>
  <c r="BG446" i="6"/>
  <c r="BF446" i="6"/>
  <c r="BE446" i="6"/>
  <c r="BD446" i="6"/>
  <c r="BC445" i="6"/>
  <c r="AU445" i="6"/>
  <c r="AM445" i="6"/>
  <c r="AF445" i="6"/>
  <c r="BJ445" i="6"/>
  <c r="BI445" i="6"/>
  <c r="BH445" i="6"/>
  <c r="BG445" i="6"/>
  <c r="BF445" i="6"/>
  <c r="BE445" i="6"/>
  <c r="BD445" i="6"/>
  <c r="AU444" i="6"/>
  <c r="BL444" i="6" s="1"/>
  <c r="BC444" i="6"/>
  <c r="AM444" i="6"/>
  <c r="AF444" i="6"/>
  <c r="BJ444" i="6"/>
  <c r="BI444" i="6"/>
  <c r="BH444" i="6"/>
  <c r="BG444" i="6"/>
  <c r="BF444" i="6"/>
  <c r="BE444" i="6"/>
  <c r="BD444" i="6"/>
  <c r="BC443" i="6"/>
  <c r="AU443" i="6"/>
  <c r="AM443" i="6"/>
  <c r="AF443" i="6"/>
  <c r="BJ443" i="6"/>
  <c r="BI443" i="6"/>
  <c r="BH443" i="6"/>
  <c r="BG443" i="6"/>
  <c r="BF443" i="6"/>
  <c r="BE443" i="6"/>
  <c r="BD443" i="6"/>
  <c r="BC442" i="6"/>
  <c r="AU442" i="6"/>
  <c r="AM442" i="6"/>
  <c r="AF442" i="6"/>
  <c r="BJ442" i="6"/>
  <c r="BI442" i="6"/>
  <c r="BH442" i="6"/>
  <c r="BG442" i="6"/>
  <c r="BF442" i="6"/>
  <c r="BE442" i="6"/>
  <c r="BD442" i="6"/>
  <c r="BC441" i="6"/>
  <c r="AU441" i="6"/>
  <c r="AM441" i="6"/>
  <c r="AF441" i="6"/>
  <c r="BK441" i="6" s="1"/>
  <c r="BJ441" i="6"/>
  <c r="BI441" i="6"/>
  <c r="BH441" i="6"/>
  <c r="BG441" i="6"/>
  <c r="BF441" i="6"/>
  <c r="BE441" i="6"/>
  <c r="BD441" i="6"/>
  <c r="AO440" i="6"/>
  <c r="AN440" i="6"/>
  <c r="AP440" i="6"/>
  <c r="AQ440" i="6"/>
  <c r="AQ439" i="6" s="1"/>
  <c r="AS440" i="6"/>
  <c r="AV440" i="6"/>
  <c r="AV439" i="6" s="1"/>
  <c r="AW440" i="6"/>
  <c r="AW439" i="6" s="1"/>
  <c r="BB440" i="6"/>
  <c r="AX440" i="6"/>
  <c r="AX439" i="6" s="1"/>
  <c r="AY440" i="6"/>
  <c r="AZ440" i="6"/>
  <c r="AZ439" i="6" s="1"/>
  <c r="BA440" i="6"/>
  <c r="BA439" i="6" s="1"/>
  <c r="AG440" i="6"/>
  <c r="AJ440" i="6"/>
  <c r="AJ439" i="6" s="1"/>
  <c r="AK440" i="6"/>
  <c r="AK439" i="6" s="1"/>
  <c r="Y440" i="6"/>
  <c r="Y439" i="6" s="1"/>
  <c r="AD440" i="6"/>
  <c r="AD439" i="6" s="1"/>
  <c r="AB440" i="6"/>
  <c r="AB439" i="6" s="1"/>
  <c r="AC440" i="6"/>
  <c r="AC439" i="6" s="1"/>
  <c r="BC437" i="6"/>
  <c r="AU437" i="6"/>
  <c r="AM437" i="6"/>
  <c r="AF437" i="6"/>
  <c r="BJ437" i="6"/>
  <c r="BI437" i="6"/>
  <c r="BH437" i="6"/>
  <c r="BG437" i="6"/>
  <c r="BF437" i="6"/>
  <c r="BE437" i="6"/>
  <c r="BD437" i="6"/>
  <c r="BC436" i="6"/>
  <c r="AU436" i="6"/>
  <c r="AM436" i="6"/>
  <c r="AF436" i="6"/>
  <c r="BJ436" i="6"/>
  <c r="BI436" i="6"/>
  <c r="BH436" i="6"/>
  <c r="BG436" i="6"/>
  <c r="BF436" i="6"/>
  <c r="BE436" i="6"/>
  <c r="BD436" i="6"/>
  <c r="BC435" i="6"/>
  <c r="AU435" i="6"/>
  <c r="AM435" i="6"/>
  <c r="AF435" i="6"/>
  <c r="BJ435" i="6"/>
  <c r="BI435" i="6"/>
  <c r="BH435" i="6"/>
  <c r="BG435" i="6"/>
  <c r="BF435" i="6"/>
  <c r="BE435" i="6"/>
  <c r="BD435" i="6"/>
  <c r="BJ434" i="6"/>
  <c r="BI434" i="6"/>
  <c r="BH434" i="6"/>
  <c r="BG434" i="6"/>
  <c r="BF434" i="6"/>
  <c r="BE434" i="6"/>
  <c r="BD434" i="6"/>
  <c r="BC433" i="6"/>
  <c r="AU433" i="6"/>
  <c r="BK433" i="6" s="1"/>
  <c r="AM433" i="6"/>
  <c r="AF433" i="6"/>
  <c r="BJ433" i="6"/>
  <c r="BI433" i="6"/>
  <c r="BH433" i="6"/>
  <c r="BG433" i="6"/>
  <c r="BF433" i="6"/>
  <c r="BE433" i="6"/>
  <c r="BD433" i="6"/>
  <c r="BC432" i="6"/>
  <c r="AU432" i="6"/>
  <c r="AM432" i="6"/>
  <c r="BK432" i="6" s="1"/>
  <c r="AF432" i="6"/>
  <c r="BJ432" i="6"/>
  <c r="BI432" i="6"/>
  <c r="BH432" i="6"/>
  <c r="BG432" i="6"/>
  <c r="BF432" i="6"/>
  <c r="BE432" i="6"/>
  <c r="BD432" i="6"/>
  <c r="BC431" i="6"/>
  <c r="AU431" i="6"/>
  <c r="AM431" i="6"/>
  <c r="AF431" i="6"/>
  <c r="BJ431" i="6"/>
  <c r="BI431" i="6"/>
  <c r="BH431" i="6"/>
  <c r="BG431" i="6"/>
  <c r="BF431" i="6"/>
  <c r="BE431" i="6"/>
  <c r="BD431" i="6"/>
  <c r="BC430" i="6"/>
  <c r="AU430" i="6"/>
  <c r="AM430" i="6"/>
  <c r="AF430" i="6"/>
  <c r="BJ430" i="6"/>
  <c r="BI430" i="6"/>
  <c r="BH430" i="6"/>
  <c r="BG430" i="6"/>
  <c r="BF430" i="6"/>
  <c r="BE430" i="6"/>
  <c r="BD430" i="6"/>
  <c r="BC429" i="6"/>
  <c r="AU429" i="6"/>
  <c r="AM429" i="6"/>
  <c r="AF429" i="6"/>
  <c r="BJ429" i="6"/>
  <c r="BI429" i="6"/>
  <c r="BH429" i="6"/>
  <c r="BG429" i="6"/>
  <c r="BF429" i="6"/>
  <c r="BE429" i="6"/>
  <c r="BD429" i="6"/>
  <c r="BC428" i="6"/>
  <c r="AU428" i="6"/>
  <c r="AM428" i="6"/>
  <c r="AF428" i="6"/>
  <c r="BJ428" i="6"/>
  <c r="BI428" i="6"/>
  <c r="BH428" i="6"/>
  <c r="BG428" i="6"/>
  <c r="BF428" i="6"/>
  <c r="BE428" i="6"/>
  <c r="BD428" i="6"/>
  <c r="BC427" i="6"/>
  <c r="AU427" i="6"/>
  <c r="AM427" i="6"/>
  <c r="AF427" i="6"/>
  <c r="BK427" i="6" s="1"/>
  <c r="BJ427" i="6"/>
  <c r="BI427" i="6"/>
  <c r="BH427" i="6"/>
  <c r="BG427" i="6"/>
  <c r="BF427" i="6"/>
  <c r="BE427" i="6"/>
  <c r="BD427" i="6"/>
  <c r="AU426" i="6"/>
  <c r="AM426" i="6"/>
  <c r="AF426" i="6"/>
  <c r="AF425" i="6"/>
  <c r="BJ426" i="6"/>
  <c r="BI426" i="6"/>
  <c r="BH426" i="6"/>
  <c r="BG426" i="6"/>
  <c r="BF426" i="6"/>
  <c r="BE426" i="6"/>
  <c r="BC425" i="6"/>
  <c r="AU425" i="6"/>
  <c r="AM425" i="6"/>
  <c r="BJ425" i="6"/>
  <c r="BI425" i="6"/>
  <c r="BH425" i="6"/>
  <c r="BG425" i="6"/>
  <c r="BF425" i="6"/>
  <c r="BE425" i="6"/>
  <c r="BD425" i="6"/>
  <c r="BB424" i="6"/>
  <c r="AT424" i="6"/>
  <c r="AL424" i="6"/>
  <c r="AE424" i="6"/>
  <c r="AD424" i="6"/>
  <c r="AS424" i="6"/>
  <c r="AS407" i="6" s="1"/>
  <c r="BA424" i="6"/>
  <c r="AZ424" i="6"/>
  <c r="AR424" i="6"/>
  <c r="AK424" i="6"/>
  <c r="AK407" i="6" s="1"/>
  <c r="AK408" i="6"/>
  <c r="AC424" i="6"/>
  <c r="AY424" i="6"/>
  <c r="AQ424" i="6"/>
  <c r="AJ424" i="6"/>
  <c r="AB424" i="6"/>
  <c r="AX424" i="6"/>
  <c r="BF424" i="6" s="1"/>
  <c r="AX408" i="6"/>
  <c r="AP424" i="6"/>
  <c r="AA424" i="6"/>
  <c r="AW424" i="6"/>
  <c r="AW408" i="6"/>
  <c r="AO424" i="6"/>
  <c r="AH424" i="6"/>
  <c r="Z424" i="6"/>
  <c r="Z407" i="6" s="1"/>
  <c r="AV424" i="6"/>
  <c r="AV408" i="6"/>
  <c r="AN424" i="6"/>
  <c r="AG424" i="6"/>
  <c r="Y424" i="6"/>
  <c r="Y408" i="6"/>
  <c r="BC422" i="6"/>
  <c r="AU422" i="6"/>
  <c r="AM422" i="6"/>
  <c r="AF422" i="6"/>
  <c r="BJ422" i="6"/>
  <c r="BI422" i="6"/>
  <c r="BH422" i="6"/>
  <c r="BG422" i="6"/>
  <c r="BF422" i="6"/>
  <c r="BE422" i="6"/>
  <c r="BD422" i="6"/>
  <c r="BC421" i="6"/>
  <c r="AM421" i="6"/>
  <c r="AF421" i="6"/>
  <c r="BJ421" i="6"/>
  <c r="BI421" i="6"/>
  <c r="BH421" i="6"/>
  <c r="BG421" i="6"/>
  <c r="BF421" i="6"/>
  <c r="BE421" i="6"/>
  <c r="BD421" i="6"/>
  <c r="BC420" i="6"/>
  <c r="AU420" i="6"/>
  <c r="AM420" i="6"/>
  <c r="AF420" i="6"/>
  <c r="BJ420" i="6"/>
  <c r="BI420" i="6"/>
  <c r="BH420" i="6"/>
  <c r="BG420" i="6"/>
  <c r="BF420" i="6"/>
  <c r="BE420" i="6"/>
  <c r="BD420" i="6"/>
  <c r="BC419" i="6"/>
  <c r="AU419" i="6"/>
  <c r="AM419" i="6"/>
  <c r="AF419" i="6"/>
  <c r="BJ419" i="6"/>
  <c r="BI419" i="6"/>
  <c r="BH419" i="6"/>
  <c r="BG419" i="6"/>
  <c r="BF419" i="6"/>
  <c r="BE419" i="6"/>
  <c r="BD419" i="6"/>
  <c r="BC418" i="6"/>
  <c r="AU418" i="6"/>
  <c r="AM418" i="6"/>
  <c r="AF418" i="6"/>
  <c r="BJ418" i="6"/>
  <c r="BI418" i="6"/>
  <c r="BH418" i="6"/>
  <c r="BG418" i="6"/>
  <c r="BF418" i="6"/>
  <c r="BE418" i="6"/>
  <c r="BD418" i="6"/>
  <c r="BC417" i="6"/>
  <c r="AU417" i="6"/>
  <c r="AM417" i="6"/>
  <c r="AF417" i="6"/>
  <c r="BK417" i="6" s="1"/>
  <c r="BJ417" i="6"/>
  <c r="BI417" i="6"/>
  <c r="BH417" i="6"/>
  <c r="BG417" i="6"/>
  <c r="BF417" i="6"/>
  <c r="BE417" i="6"/>
  <c r="BD417" i="6"/>
  <c r="BC416" i="6"/>
  <c r="AU416" i="6"/>
  <c r="AM416" i="6"/>
  <c r="AF416" i="6"/>
  <c r="BJ416" i="6"/>
  <c r="BI416" i="6"/>
  <c r="BH416" i="6"/>
  <c r="BG416" i="6"/>
  <c r="BF416" i="6"/>
  <c r="BE416" i="6"/>
  <c r="BD416" i="6"/>
  <c r="BC415" i="6"/>
  <c r="AF415" i="6"/>
  <c r="AM415" i="6"/>
  <c r="AU415" i="6"/>
  <c r="BJ415" i="6"/>
  <c r="BI415" i="6"/>
  <c r="BH415" i="6"/>
  <c r="BG415" i="6"/>
  <c r="BF415" i="6"/>
  <c r="BE415" i="6"/>
  <c r="BD415" i="6"/>
  <c r="BC414" i="6"/>
  <c r="AU414" i="6"/>
  <c r="BK414" i="6" s="1"/>
  <c r="AM414" i="6"/>
  <c r="AF414" i="6"/>
  <c r="BJ414" i="6"/>
  <c r="BI414" i="6"/>
  <c r="BH414" i="6"/>
  <c r="BG414" i="6"/>
  <c r="BF414" i="6"/>
  <c r="BE414" i="6"/>
  <c r="BD414" i="6"/>
  <c r="BC413" i="6"/>
  <c r="AU413" i="6"/>
  <c r="AM413" i="6"/>
  <c r="AF413" i="6"/>
  <c r="BJ413" i="6"/>
  <c r="BI413" i="6"/>
  <c r="BH413" i="6"/>
  <c r="BG413" i="6"/>
  <c r="BF413" i="6"/>
  <c r="BE413" i="6"/>
  <c r="BD413" i="6"/>
  <c r="BC412" i="6"/>
  <c r="AU412" i="6"/>
  <c r="AM412" i="6"/>
  <c r="AF412" i="6"/>
  <c r="BL412" i="6" s="1"/>
  <c r="BJ412" i="6"/>
  <c r="BI412" i="6"/>
  <c r="BH412" i="6"/>
  <c r="BG412" i="6"/>
  <c r="BF412" i="6"/>
  <c r="BE412" i="6"/>
  <c r="BD412" i="6"/>
  <c r="BC411" i="6"/>
  <c r="BL411" i="6" s="1"/>
  <c r="AU411" i="6"/>
  <c r="AM411" i="6"/>
  <c r="AF411" i="6"/>
  <c r="BJ411" i="6"/>
  <c r="BI411" i="6"/>
  <c r="BH411" i="6"/>
  <c r="BG411" i="6"/>
  <c r="BF411" i="6"/>
  <c r="BE411" i="6"/>
  <c r="BD411" i="6"/>
  <c r="BC410" i="6"/>
  <c r="AU410" i="6"/>
  <c r="AM410" i="6"/>
  <c r="AF410" i="6"/>
  <c r="BJ410" i="6"/>
  <c r="BI410" i="6"/>
  <c r="BH410" i="6"/>
  <c r="BG410" i="6"/>
  <c r="BF410" i="6"/>
  <c r="BE410" i="6"/>
  <c r="BD410" i="6"/>
  <c r="BC409" i="6"/>
  <c r="AU409" i="6"/>
  <c r="AM409" i="6"/>
  <c r="BK409" i="6" s="1"/>
  <c r="AF409" i="6"/>
  <c r="BJ409" i="6"/>
  <c r="BI409" i="6"/>
  <c r="BH409" i="6"/>
  <c r="BG409" i="6"/>
  <c r="BF409" i="6"/>
  <c r="BE409" i="6"/>
  <c r="BD409" i="6"/>
  <c r="BB408" i="6"/>
  <c r="AT408" i="6"/>
  <c r="AL408" i="6"/>
  <c r="AE408" i="6"/>
  <c r="AD408" i="6"/>
  <c r="AS408" i="6"/>
  <c r="BA408" i="6"/>
  <c r="AZ408" i="6"/>
  <c r="AZ407" i="6" s="1"/>
  <c r="AR408" i="6"/>
  <c r="AC408" i="6"/>
  <c r="AC407" i="6" s="1"/>
  <c r="AY408" i="6"/>
  <c r="AQ408" i="6"/>
  <c r="BG408" i="6" s="1"/>
  <c r="AJ408" i="6"/>
  <c r="AB408" i="6"/>
  <c r="AP408" i="6"/>
  <c r="AA408" i="6"/>
  <c r="AO408" i="6"/>
  <c r="AO407" i="6" s="1"/>
  <c r="AH408" i="6"/>
  <c r="Z408" i="6"/>
  <c r="AN408" i="6"/>
  <c r="AG408" i="6"/>
  <c r="BC406" i="6"/>
  <c r="AU406" i="6"/>
  <c r="AF406" i="6"/>
  <c r="AM406" i="6"/>
  <c r="BJ406" i="6"/>
  <c r="BI406" i="6"/>
  <c r="BH406" i="6"/>
  <c r="BG406" i="6"/>
  <c r="BF406" i="6"/>
  <c r="BE406" i="6"/>
  <c r="BD406" i="6"/>
  <c r="BC405" i="6"/>
  <c r="AU405" i="6"/>
  <c r="AF405" i="6"/>
  <c r="BJ405" i="6"/>
  <c r="BI405" i="6"/>
  <c r="BH405" i="6"/>
  <c r="BG405" i="6"/>
  <c r="BF405" i="6"/>
  <c r="BE405" i="6"/>
  <c r="BD405" i="6"/>
  <c r="BC404" i="6"/>
  <c r="AU404" i="6"/>
  <c r="BK404" i="6" s="1"/>
  <c r="AM404" i="6"/>
  <c r="AF404" i="6"/>
  <c r="BJ404" i="6"/>
  <c r="BI404" i="6"/>
  <c r="BH404" i="6"/>
  <c r="BG404" i="6"/>
  <c r="BF404" i="6"/>
  <c r="BE404" i="6"/>
  <c r="BD404" i="6"/>
  <c r="BC403" i="6"/>
  <c r="AU403" i="6"/>
  <c r="AM403" i="6"/>
  <c r="BL403" i="6" s="1"/>
  <c r="AF403" i="6"/>
  <c r="BJ403" i="6"/>
  <c r="BI403" i="6"/>
  <c r="BH403" i="6"/>
  <c r="BG403" i="6"/>
  <c r="BF403" i="6"/>
  <c r="BE403" i="6"/>
  <c r="BD403" i="6"/>
  <c r="BC402" i="6"/>
  <c r="AU402" i="6"/>
  <c r="AM402" i="6"/>
  <c r="AF402" i="6"/>
  <c r="BL402" i="6" s="1"/>
  <c r="BJ402" i="6"/>
  <c r="BI402" i="6"/>
  <c r="BH402" i="6"/>
  <c r="BG402" i="6"/>
  <c r="BF402" i="6"/>
  <c r="BE402" i="6"/>
  <c r="BD402" i="6"/>
  <c r="BC401" i="6"/>
  <c r="AU401" i="6"/>
  <c r="AM401" i="6"/>
  <c r="AF401" i="6"/>
  <c r="BJ401" i="6"/>
  <c r="BI401" i="6"/>
  <c r="BH401" i="6"/>
  <c r="BG401" i="6"/>
  <c r="BF401" i="6"/>
  <c r="BE401" i="6"/>
  <c r="BD401" i="6"/>
  <c r="BC400" i="6"/>
  <c r="AF400" i="6"/>
  <c r="AM400" i="6"/>
  <c r="AU400" i="6"/>
  <c r="BJ400" i="6"/>
  <c r="BI400" i="6"/>
  <c r="BH400" i="6"/>
  <c r="BG400" i="6"/>
  <c r="BF400" i="6"/>
  <c r="BE400" i="6"/>
  <c r="BD400" i="6"/>
  <c r="BC399" i="6"/>
  <c r="AU399" i="6"/>
  <c r="AM399" i="6"/>
  <c r="AF399" i="6"/>
  <c r="BJ399" i="6"/>
  <c r="BI399" i="6"/>
  <c r="BH399" i="6"/>
  <c r="BG399" i="6"/>
  <c r="BF399" i="6"/>
  <c r="BE399" i="6"/>
  <c r="BD399" i="6"/>
  <c r="BC398" i="6"/>
  <c r="AU398" i="6"/>
  <c r="AM398" i="6"/>
  <c r="AF398" i="6"/>
  <c r="BJ398" i="6"/>
  <c r="BI398" i="6"/>
  <c r="BH398" i="6"/>
  <c r="BG398" i="6"/>
  <c r="BF398" i="6"/>
  <c r="BE398" i="6"/>
  <c r="BD398" i="6"/>
  <c r="BC397" i="6"/>
  <c r="AU397" i="6"/>
  <c r="BL397" i="6" s="1"/>
  <c r="AM397" i="6"/>
  <c r="AF397" i="6"/>
  <c r="BJ397" i="6"/>
  <c r="BI397" i="6"/>
  <c r="BH397" i="6"/>
  <c r="BG397" i="6"/>
  <c r="BF397" i="6"/>
  <c r="BE397" i="6"/>
  <c r="BD397" i="6"/>
  <c r="BC396" i="6"/>
  <c r="AU396" i="6"/>
  <c r="AM396" i="6"/>
  <c r="AF396" i="6"/>
  <c r="BJ396" i="6"/>
  <c r="BI396" i="6"/>
  <c r="BH396" i="6"/>
  <c r="BG396" i="6"/>
  <c r="BF396" i="6"/>
  <c r="BE396" i="6"/>
  <c r="BD396" i="6"/>
  <c r="BB395" i="6"/>
  <c r="BB394" i="6" s="1"/>
  <c r="AT395" i="6"/>
  <c r="AT394" i="6" s="1"/>
  <c r="AL395" i="6"/>
  <c r="AL394" i="6" s="1"/>
  <c r="AE395" i="6"/>
  <c r="AE394" i="6" s="1"/>
  <c r="AD395" i="6"/>
  <c r="AD394" i="6" s="1"/>
  <c r="AS395" i="6"/>
  <c r="AS394" i="6" s="1"/>
  <c r="BA395" i="6"/>
  <c r="AZ395" i="6"/>
  <c r="AR395" i="6"/>
  <c r="AR394" i="6" s="1"/>
  <c r="AK395" i="6"/>
  <c r="AC395" i="6"/>
  <c r="AC394" i="6" s="1"/>
  <c r="AY395" i="6"/>
  <c r="AY394" i="6" s="1"/>
  <c r="AQ395" i="6"/>
  <c r="AQ394" i="6" s="1"/>
  <c r="AJ395" i="6"/>
  <c r="AB395" i="6"/>
  <c r="AB394" i="6" s="1"/>
  <c r="AX395" i="6"/>
  <c r="AX394" i="6" s="1"/>
  <c r="AP395" i="6"/>
  <c r="AP394" i="6" s="1"/>
  <c r="AA395" i="6"/>
  <c r="AW395" i="6"/>
  <c r="AO395" i="6"/>
  <c r="AH395" i="6"/>
  <c r="AH394" i="6" s="1"/>
  <c r="Z395" i="6"/>
  <c r="Z394" i="6" s="1"/>
  <c r="AV395" i="6"/>
  <c r="AV394" i="6" s="1"/>
  <c r="AN395" i="6"/>
  <c r="AN394" i="6" s="1"/>
  <c r="AG395" i="6"/>
  <c r="AG394" i="6" s="1"/>
  <c r="Y395" i="6"/>
  <c r="Y394" i="6" s="1"/>
  <c r="AY357" i="6"/>
  <c r="AY356" i="6" s="1"/>
  <c r="AY368" i="6"/>
  <c r="AY367" i="6" s="1"/>
  <c r="AJ357" i="6"/>
  <c r="AJ356" i="6" s="1"/>
  <c r="AJ368" i="6"/>
  <c r="AJ367" i="6" s="1"/>
  <c r="BC393" i="6"/>
  <c r="AU393" i="6"/>
  <c r="AM393" i="6"/>
  <c r="AF393" i="6"/>
  <c r="BJ393" i="6"/>
  <c r="BI393" i="6"/>
  <c r="BH393" i="6"/>
  <c r="BG393" i="6"/>
  <c r="BF393" i="6"/>
  <c r="BE393" i="6"/>
  <c r="BD393" i="6"/>
  <c r="X393" i="6"/>
  <c r="BC392" i="6"/>
  <c r="AU392" i="6"/>
  <c r="AM392" i="6"/>
  <c r="AF392" i="6"/>
  <c r="BJ392" i="6"/>
  <c r="BI392" i="6"/>
  <c r="BH392" i="6"/>
  <c r="BG392" i="6"/>
  <c r="BF392" i="6"/>
  <c r="BE392" i="6"/>
  <c r="BD392" i="6"/>
  <c r="X392" i="6"/>
  <c r="BC391" i="6"/>
  <c r="BL391" i="6" s="1"/>
  <c r="AU391" i="6"/>
  <c r="AF391" i="6"/>
  <c r="AM391" i="6"/>
  <c r="BJ391" i="6"/>
  <c r="BI391" i="6"/>
  <c r="BH391" i="6"/>
  <c r="BG391" i="6"/>
  <c r="BF391" i="6"/>
  <c r="BE391" i="6"/>
  <c r="BD391" i="6"/>
  <c r="X391" i="6"/>
  <c r="BI390" i="6"/>
  <c r="BC389" i="6"/>
  <c r="AU389" i="6"/>
  <c r="AM389" i="6"/>
  <c r="AF389" i="6"/>
  <c r="BJ389" i="6"/>
  <c r="BI389" i="6"/>
  <c r="BH389" i="6"/>
  <c r="BG389" i="6"/>
  <c r="BF389" i="6"/>
  <c r="BE389" i="6"/>
  <c r="BD389" i="6"/>
  <c r="X389" i="6"/>
  <c r="BC388" i="6"/>
  <c r="AU388" i="6"/>
  <c r="AM388" i="6"/>
  <c r="AF388" i="6"/>
  <c r="BJ388" i="6"/>
  <c r="BI388" i="6"/>
  <c r="BH388" i="6"/>
  <c r="BG388" i="6"/>
  <c r="BF388" i="6"/>
  <c r="BE388" i="6"/>
  <c r="BD388" i="6"/>
  <c r="X388" i="6"/>
  <c r="BC387" i="6"/>
  <c r="AU387" i="6"/>
  <c r="AM387" i="6"/>
  <c r="AF387" i="6"/>
  <c r="BJ387" i="6"/>
  <c r="BI387" i="6"/>
  <c r="BH387" i="6"/>
  <c r="BG387" i="6"/>
  <c r="BF387" i="6"/>
  <c r="BE387" i="6"/>
  <c r="BD387" i="6"/>
  <c r="X387" i="6"/>
  <c r="BC386" i="6"/>
  <c r="AU386" i="6"/>
  <c r="AM386" i="6"/>
  <c r="AF386" i="6"/>
  <c r="BJ386" i="6"/>
  <c r="BI386" i="6"/>
  <c r="BH386" i="6"/>
  <c r="BG386" i="6"/>
  <c r="BF386" i="6"/>
  <c r="BE386" i="6"/>
  <c r="BD386" i="6"/>
  <c r="X386" i="6"/>
  <c r="BC385" i="6"/>
  <c r="AU385" i="6"/>
  <c r="AM385" i="6"/>
  <c r="AF385" i="6"/>
  <c r="BL385" i="6" s="1"/>
  <c r="BJ385" i="6"/>
  <c r="BI385" i="6"/>
  <c r="BH385" i="6"/>
  <c r="BG385" i="6"/>
  <c r="BF385" i="6"/>
  <c r="BE385" i="6"/>
  <c r="BD385" i="6"/>
  <c r="X385" i="6"/>
  <c r="BC384" i="6"/>
  <c r="AU384" i="6"/>
  <c r="AM384" i="6"/>
  <c r="AF384" i="6"/>
  <c r="BK384" i="6" s="1"/>
  <c r="BJ384" i="6"/>
  <c r="BI384" i="6"/>
  <c r="BH384" i="6"/>
  <c r="BG384" i="6"/>
  <c r="BF384" i="6"/>
  <c r="BE384" i="6"/>
  <c r="BD384" i="6"/>
  <c r="BC383" i="6"/>
  <c r="AU383" i="6"/>
  <c r="AM383" i="6"/>
  <c r="AF383" i="6"/>
  <c r="BJ383" i="6"/>
  <c r="BI383" i="6"/>
  <c r="BH383" i="6"/>
  <c r="BG383" i="6"/>
  <c r="BF383" i="6"/>
  <c r="BE383" i="6"/>
  <c r="BD383" i="6"/>
  <c r="BC382" i="6"/>
  <c r="AU382" i="6"/>
  <c r="AM382" i="6"/>
  <c r="Y382" i="6"/>
  <c r="AF382" i="6" s="1"/>
  <c r="BJ382" i="6"/>
  <c r="BI382" i="6"/>
  <c r="BH382" i="6"/>
  <c r="BG382" i="6"/>
  <c r="BF382" i="6"/>
  <c r="BE382" i="6"/>
  <c r="X382" i="6"/>
  <c r="BC381" i="6"/>
  <c r="AU381" i="6"/>
  <c r="AM381" i="6"/>
  <c r="AF381" i="6"/>
  <c r="BJ381" i="6"/>
  <c r="BI381" i="6"/>
  <c r="BH381" i="6"/>
  <c r="BG381" i="6"/>
  <c r="BF381" i="6"/>
  <c r="BE381" i="6"/>
  <c r="BD381" i="6"/>
  <c r="BC380" i="6"/>
  <c r="AU380" i="6"/>
  <c r="AM380" i="6"/>
  <c r="AF380" i="6"/>
  <c r="BJ380" i="6"/>
  <c r="BI380" i="6"/>
  <c r="BH380" i="6"/>
  <c r="BG380" i="6"/>
  <c r="BF380" i="6"/>
  <c r="BE380" i="6"/>
  <c r="BD380" i="6"/>
  <c r="BJ379" i="6"/>
  <c r="BI379" i="6"/>
  <c r="BH379" i="6"/>
  <c r="BG379" i="6"/>
  <c r="BF379" i="6"/>
  <c r="BE379" i="6"/>
  <c r="BD379" i="6"/>
  <c r="X379" i="6"/>
  <c r="BC378" i="6"/>
  <c r="BL378" i="6" s="1"/>
  <c r="AU378" i="6"/>
  <c r="AM378" i="6"/>
  <c r="BJ378" i="6"/>
  <c r="BI378" i="6"/>
  <c r="BH378" i="6"/>
  <c r="BG378" i="6"/>
  <c r="BF378" i="6"/>
  <c r="BE378" i="6"/>
  <c r="BD378" i="6"/>
  <c r="BC377" i="6"/>
  <c r="AU377" i="6"/>
  <c r="AM377" i="6"/>
  <c r="BJ377" i="6"/>
  <c r="BI377" i="6"/>
  <c r="BH377" i="6"/>
  <c r="BG377" i="6"/>
  <c r="BF377" i="6"/>
  <c r="BE377" i="6"/>
  <c r="BD377" i="6"/>
  <c r="BC376" i="6"/>
  <c r="AU376" i="6"/>
  <c r="AM376" i="6"/>
  <c r="BJ376" i="6"/>
  <c r="BI376" i="6"/>
  <c r="BH376" i="6"/>
  <c r="BG376" i="6"/>
  <c r="BF376" i="6"/>
  <c r="BE376" i="6"/>
  <c r="BD376" i="6"/>
  <c r="X376" i="6"/>
  <c r="BJ375" i="6"/>
  <c r="BI375" i="6"/>
  <c r="BH375" i="6"/>
  <c r="BG375" i="6"/>
  <c r="AA375" i="6"/>
  <c r="BF375" i="6"/>
  <c r="BE375" i="6"/>
  <c r="BD375" i="6"/>
  <c r="BC374" i="6"/>
  <c r="AU374" i="6"/>
  <c r="AM374" i="6"/>
  <c r="BJ374" i="6"/>
  <c r="BI374" i="6"/>
  <c r="BH374" i="6"/>
  <c r="BG374" i="6"/>
  <c r="BF374" i="6"/>
  <c r="BE374" i="6"/>
  <c r="BD374" i="6"/>
  <c r="X374" i="6"/>
  <c r="BC373" i="6"/>
  <c r="AU373" i="6"/>
  <c r="AM373" i="6"/>
  <c r="BJ373" i="6"/>
  <c r="BI373" i="6"/>
  <c r="BH373" i="6"/>
  <c r="BG373" i="6"/>
  <c r="BF373" i="6"/>
  <c r="BE373" i="6"/>
  <c r="BD373" i="6"/>
  <c r="X373" i="6"/>
  <c r="BC372" i="6"/>
  <c r="AM372" i="6"/>
  <c r="AU372" i="6"/>
  <c r="BJ372" i="6"/>
  <c r="BI372" i="6"/>
  <c r="BH372" i="6"/>
  <c r="BG372" i="6"/>
  <c r="BF372" i="6"/>
  <c r="BE372" i="6"/>
  <c r="BD372" i="6"/>
  <c r="BC371" i="6"/>
  <c r="AU371" i="6"/>
  <c r="AM371" i="6"/>
  <c r="BJ371" i="6"/>
  <c r="BI371" i="6"/>
  <c r="BH371" i="6"/>
  <c r="BG371" i="6"/>
  <c r="BF371" i="6"/>
  <c r="BE371" i="6"/>
  <c r="BD371" i="6"/>
  <c r="X371" i="6"/>
  <c r="BC370" i="6"/>
  <c r="AU370" i="6"/>
  <c r="AM370" i="6"/>
  <c r="BK370" i="6" s="1"/>
  <c r="BJ370" i="6"/>
  <c r="BI370" i="6"/>
  <c r="BH370" i="6"/>
  <c r="BG370" i="6"/>
  <c r="BF370" i="6"/>
  <c r="BE370" i="6"/>
  <c r="BD370" i="6"/>
  <c r="X370" i="6"/>
  <c r="BC369" i="6"/>
  <c r="AU369" i="6"/>
  <c r="AM369" i="6"/>
  <c r="Y369" i="6"/>
  <c r="BD369" i="6" s="1"/>
  <c r="BJ369" i="6"/>
  <c r="BI369" i="6"/>
  <c r="BH369" i="6"/>
  <c r="BG369" i="6"/>
  <c r="BF369" i="6"/>
  <c r="BE369" i="6"/>
  <c r="X369" i="6"/>
  <c r="AV368" i="6"/>
  <c r="AV367" i="6" s="1"/>
  <c r="AV357" i="6"/>
  <c r="AV356" i="6" s="1"/>
  <c r="AW368" i="6"/>
  <c r="AW367" i="6" s="1"/>
  <c r="AX368" i="6"/>
  <c r="AZ368" i="6"/>
  <c r="AZ367" i="6" s="1"/>
  <c r="BA368" i="6"/>
  <c r="BA367" i="6" s="1"/>
  <c r="BB368" i="6"/>
  <c r="AN368" i="6"/>
  <c r="AO368" i="6"/>
  <c r="AP368" i="6"/>
  <c r="AP367" i="6" s="1"/>
  <c r="AQ368" i="6"/>
  <c r="AR368" i="6"/>
  <c r="AR367" i="6" s="1"/>
  <c r="AS368" i="6"/>
  <c r="AS367" i="6" s="1"/>
  <c r="AT368" i="6"/>
  <c r="AT367" i="6" s="1"/>
  <c r="AG368" i="6"/>
  <c r="AG367" i="6" s="1"/>
  <c r="AH368" i="6"/>
  <c r="AH367" i="6" s="1"/>
  <c r="AK368" i="6"/>
  <c r="AK367" i="6" s="1"/>
  <c r="AL368" i="6"/>
  <c r="AL367" i="6" s="1"/>
  <c r="Z368" i="6"/>
  <c r="Z367" i="6" s="1"/>
  <c r="AB368" i="6"/>
  <c r="AC368" i="6"/>
  <c r="AD368" i="6"/>
  <c r="AE368" i="6"/>
  <c r="BC366" i="6"/>
  <c r="AU366" i="6"/>
  <c r="AM366" i="6"/>
  <c r="AF366" i="6"/>
  <c r="BJ366" i="6"/>
  <c r="BI366" i="6"/>
  <c r="BH366" i="6"/>
  <c r="BG366" i="6"/>
  <c r="BF366" i="6"/>
  <c r="BE366" i="6"/>
  <c r="BD366" i="6"/>
  <c r="BC365" i="6"/>
  <c r="AU365" i="6"/>
  <c r="AM365" i="6"/>
  <c r="AF365" i="6"/>
  <c r="BJ365" i="6"/>
  <c r="BI365" i="6"/>
  <c r="BH365" i="6"/>
  <c r="BG365" i="6"/>
  <c r="BF365" i="6"/>
  <c r="BE365" i="6"/>
  <c r="BD365" i="6"/>
  <c r="X365" i="6"/>
  <c r="BC364" i="6"/>
  <c r="AU364" i="6"/>
  <c r="AM364" i="6"/>
  <c r="AF364" i="6"/>
  <c r="BJ364" i="6"/>
  <c r="BI364" i="6"/>
  <c r="BH364" i="6"/>
  <c r="BG364" i="6"/>
  <c r="BF364" i="6"/>
  <c r="BE364" i="6"/>
  <c r="BD364" i="6"/>
  <c r="BC363" i="6"/>
  <c r="AU363" i="6"/>
  <c r="AM363" i="6"/>
  <c r="AF363" i="6"/>
  <c r="BJ363" i="6"/>
  <c r="BI363" i="6"/>
  <c r="BH363" i="6"/>
  <c r="BG363" i="6"/>
  <c r="BF363" i="6"/>
  <c r="BE363" i="6"/>
  <c r="BD363" i="6"/>
  <c r="X363" i="6"/>
  <c r="BC362" i="6"/>
  <c r="AU362" i="6"/>
  <c r="AM362" i="6"/>
  <c r="AF362" i="6"/>
  <c r="BJ362" i="6"/>
  <c r="BI362" i="6"/>
  <c r="BH362" i="6"/>
  <c r="BG362" i="6"/>
  <c r="BF362" i="6"/>
  <c r="BE362" i="6"/>
  <c r="BD362" i="6"/>
  <c r="X362" i="6"/>
  <c r="BC361" i="6"/>
  <c r="AU361" i="6"/>
  <c r="AM361" i="6"/>
  <c r="AF361" i="6"/>
  <c r="BJ361" i="6"/>
  <c r="BI361" i="6"/>
  <c r="BH361" i="6"/>
  <c r="BG361" i="6"/>
  <c r="BF361" i="6"/>
  <c r="BE361" i="6"/>
  <c r="BD361" i="6"/>
  <c r="X361" i="6"/>
  <c r="BC360" i="6"/>
  <c r="AU360" i="6"/>
  <c r="AM360" i="6"/>
  <c r="AF360" i="6"/>
  <c r="BJ360" i="6"/>
  <c r="BI360" i="6"/>
  <c r="BH360" i="6"/>
  <c r="BG360" i="6"/>
  <c r="BF360" i="6"/>
  <c r="BE360" i="6"/>
  <c r="BD360" i="6"/>
  <c r="X360" i="6"/>
  <c r="BC359" i="6"/>
  <c r="AU359" i="6"/>
  <c r="AM359" i="6"/>
  <c r="AD359" i="6"/>
  <c r="BI359" i="6" s="1"/>
  <c r="BJ359" i="6"/>
  <c r="BH359" i="6"/>
  <c r="BG359" i="6"/>
  <c r="BF359" i="6"/>
  <c r="BE359" i="6"/>
  <c r="BD359" i="6"/>
  <c r="X359" i="6"/>
  <c r="AF358" i="6"/>
  <c r="BC358" i="6"/>
  <c r="AU358" i="6"/>
  <c r="BJ358" i="6"/>
  <c r="BI358" i="6"/>
  <c r="BH358" i="6"/>
  <c r="BG358" i="6"/>
  <c r="BF358" i="6"/>
  <c r="BE358" i="6"/>
  <c r="BD358" i="6"/>
  <c r="X358" i="6"/>
  <c r="Y357" i="6"/>
  <c r="Y356" i="6" s="1"/>
  <c r="Z357" i="6"/>
  <c r="Z356" i="6" s="1"/>
  <c r="AA357" i="6"/>
  <c r="AA356" i="6" s="1"/>
  <c r="AB357" i="6"/>
  <c r="AB356" i="6" s="1"/>
  <c r="AC357" i="6"/>
  <c r="AC356" i="6" s="1"/>
  <c r="AD357" i="6"/>
  <c r="AD356" i="6" s="1"/>
  <c r="AE357" i="6"/>
  <c r="AE356" i="6" s="1"/>
  <c r="AW357" i="6"/>
  <c r="AW356" i="6" s="1"/>
  <c r="AX357" i="6"/>
  <c r="AZ357" i="6"/>
  <c r="BA357" i="6"/>
  <c r="BA356" i="6" s="1"/>
  <c r="BB357" i="6"/>
  <c r="BB356" i="6" s="1"/>
  <c r="AN357" i="6"/>
  <c r="AO357" i="6"/>
  <c r="AP357" i="6"/>
  <c r="AP356" i="6" s="1"/>
  <c r="AQ357" i="6"/>
  <c r="AR357" i="6"/>
  <c r="AR356" i="6" s="1"/>
  <c r="AS357" i="6"/>
  <c r="AS356" i="6" s="1"/>
  <c r="AT357" i="6"/>
  <c r="AT356" i="6" s="1"/>
  <c r="BJ356" i="6" s="1"/>
  <c r="AH357" i="6"/>
  <c r="AH356" i="6" s="1"/>
  <c r="AK357" i="6"/>
  <c r="AK356" i="6" s="1"/>
  <c r="AL357" i="6"/>
  <c r="AL356" i="6" s="1"/>
  <c r="BC354" i="6"/>
  <c r="AU354" i="6"/>
  <c r="AM354" i="6"/>
  <c r="AF354" i="6"/>
  <c r="BJ354" i="6"/>
  <c r="BI354" i="6"/>
  <c r="BH354" i="6"/>
  <c r="BG354" i="6"/>
  <c r="BF354" i="6"/>
  <c r="BE354" i="6"/>
  <c r="BD354" i="6"/>
  <c r="AV353" i="6"/>
  <c r="AW353" i="6"/>
  <c r="AW350" i="6"/>
  <c r="AX353" i="6"/>
  <c r="AY353" i="6"/>
  <c r="AQ353" i="6"/>
  <c r="AJ353" i="6"/>
  <c r="AB353" i="6"/>
  <c r="AZ353" i="6"/>
  <c r="AZ350" i="6"/>
  <c r="BA353" i="6"/>
  <c r="BB353" i="6"/>
  <c r="AT353" i="6"/>
  <c r="AL353" i="6"/>
  <c r="AE353" i="6"/>
  <c r="AN353" i="6"/>
  <c r="AO353" i="6"/>
  <c r="AH353" i="6"/>
  <c r="Z353" i="6"/>
  <c r="AP353" i="6"/>
  <c r="AP350" i="6"/>
  <c r="AR353" i="6"/>
  <c r="AR350" i="6"/>
  <c r="AS353" i="6"/>
  <c r="AG353" i="6"/>
  <c r="AG350" i="6"/>
  <c r="AG349" i="6" s="1"/>
  <c r="AK353" i="6"/>
  <c r="AK350" i="6"/>
  <c r="Y353" i="6"/>
  <c r="Z350" i="6"/>
  <c r="AA353" i="6"/>
  <c r="AC353" i="6"/>
  <c r="AD353" i="6"/>
  <c r="AF352" i="6"/>
  <c r="BI352" i="6"/>
  <c r="BH352" i="6"/>
  <c r="BG352" i="6"/>
  <c r="BF352" i="6"/>
  <c r="BE352" i="6"/>
  <c r="BD352" i="6"/>
  <c r="BC351" i="6"/>
  <c r="AU351" i="6"/>
  <c r="BL351" i="6" s="1"/>
  <c r="AM351" i="6"/>
  <c r="AD351" i="6"/>
  <c r="AD350" i="6" s="1"/>
  <c r="BJ351" i="6"/>
  <c r="BH351" i="6"/>
  <c r="BG351" i="6"/>
  <c r="BF351" i="6"/>
  <c r="BE351" i="6"/>
  <c r="BD351" i="6"/>
  <c r="AV350" i="6"/>
  <c r="AV349" i="6" s="1"/>
  <c r="AX350" i="6"/>
  <c r="AY350" i="6"/>
  <c r="BA350" i="6"/>
  <c r="AS350" i="6"/>
  <c r="AN350" i="6"/>
  <c r="AO350" i="6"/>
  <c r="AQ350" i="6"/>
  <c r="AH350" i="6"/>
  <c r="AJ350" i="6"/>
  <c r="Y350" i="6"/>
  <c r="Y349" i="6" s="1"/>
  <c r="AA350" i="6"/>
  <c r="AB350" i="6"/>
  <c r="AC350" i="6"/>
  <c r="AE350" i="6"/>
  <c r="AC349" i="6"/>
  <c r="BL348" i="6"/>
  <c r="BJ348" i="6"/>
  <c r="BI348" i="6"/>
  <c r="BH348" i="6"/>
  <c r="BG348" i="6"/>
  <c r="BF348" i="6"/>
  <c r="BE348" i="6"/>
  <c r="BD348" i="6"/>
  <c r="AF347" i="6"/>
  <c r="BJ347" i="6"/>
  <c r="BI347" i="6"/>
  <c r="BH347" i="6"/>
  <c r="BG347" i="6"/>
  <c r="BF347" i="6"/>
  <c r="BE347" i="6"/>
  <c r="BD347" i="6"/>
  <c r="AF346" i="6"/>
  <c r="BL346" i="6" s="1"/>
  <c r="BJ346" i="6"/>
  <c r="BI346" i="6"/>
  <c r="BH346" i="6"/>
  <c r="BG346" i="6"/>
  <c r="BF346" i="6"/>
  <c r="BE346" i="6"/>
  <c r="BD346" i="6"/>
  <c r="AF345" i="6"/>
  <c r="BL345" i="6" s="1"/>
  <c r="BJ345" i="6"/>
  <c r="BI345" i="6"/>
  <c r="BH345" i="6"/>
  <c r="BG345" i="6"/>
  <c r="BF345" i="6"/>
  <c r="BE345" i="6"/>
  <c r="BD345" i="6"/>
  <c r="AF344" i="6"/>
  <c r="BL344" i="6" s="1"/>
  <c r="BJ344" i="6"/>
  <c r="BI344" i="6"/>
  <c r="BH344" i="6"/>
  <c r="BG344" i="6"/>
  <c r="BF344" i="6"/>
  <c r="BE344" i="6"/>
  <c r="BD344" i="6"/>
  <c r="AF343" i="6"/>
  <c r="BJ343" i="6"/>
  <c r="BI343" i="6"/>
  <c r="BH343" i="6"/>
  <c r="BG343" i="6"/>
  <c r="BF343" i="6"/>
  <c r="BE343" i="6"/>
  <c r="BD343" i="6"/>
  <c r="AF342" i="6"/>
  <c r="BL342" i="6" s="1"/>
  <c r="BJ342" i="6"/>
  <c r="BI342" i="6"/>
  <c r="BH342" i="6"/>
  <c r="BG342" i="6"/>
  <c r="BF342" i="6"/>
  <c r="BE342" i="6"/>
  <c r="BD342" i="6"/>
  <c r="AF341" i="6"/>
  <c r="BL341" i="6" s="1"/>
  <c r="BJ341" i="6"/>
  <c r="BI341" i="6"/>
  <c r="BH341" i="6"/>
  <c r="BG341" i="6"/>
  <c r="BF341" i="6"/>
  <c r="BE341" i="6"/>
  <c r="BD341" i="6"/>
  <c r="AF340" i="6"/>
  <c r="BL340" i="6" s="1"/>
  <c r="BJ340" i="6"/>
  <c r="BI340" i="6"/>
  <c r="BH340" i="6"/>
  <c r="BG340" i="6"/>
  <c r="BF340" i="6"/>
  <c r="BE340" i="6"/>
  <c r="BD340" i="6"/>
  <c r="AF339" i="6"/>
  <c r="BL339" i="6" s="1"/>
  <c r="BJ339" i="6"/>
  <c r="BI339" i="6"/>
  <c r="BH339" i="6"/>
  <c r="BG339" i="6"/>
  <c r="BF339" i="6"/>
  <c r="BE339" i="6"/>
  <c r="BD339" i="6"/>
  <c r="AF338" i="6"/>
  <c r="BL338" i="6" s="1"/>
  <c r="BJ338" i="6"/>
  <c r="BI338" i="6"/>
  <c r="BH338" i="6"/>
  <c r="BG338" i="6"/>
  <c r="BF338" i="6"/>
  <c r="BE338" i="6"/>
  <c r="BD338" i="6"/>
  <c r="AF337" i="6"/>
  <c r="BL337" i="6" s="1"/>
  <c r="BJ337" i="6"/>
  <c r="BI337" i="6"/>
  <c r="BH337" i="6"/>
  <c r="BG337" i="6"/>
  <c r="BF337" i="6"/>
  <c r="BE337" i="6"/>
  <c r="BD337" i="6"/>
  <c r="AF336" i="6"/>
  <c r="BL336" i="6" s="1"/>
  <c r="BJ336" i="6"/>
  <c r="BI336" i="6"/>
  <c r="BH336" i="6"/>
  <c r="BG336" i="6"/>
  <c r="BF336" i="6"/>
  <c r="BE336" i="6"/>
  <c r="BD336" i="6"/>
  <c r="AF335" i="6"/>
  <c r="BK335" i="6" s="1"/>
  <c r="BJ335" i="6"/>
  <c r="BI335" i="6"/>
  <c r="BH335" i="6"/>
  <c r="BG335" i="6"/>
  <c r="BF335" i="6"/>
  <c r="BE335" i="6"/>
  <c r="BD335" i="6"/>
  <c r="AF334" i="6"/>
  <c r="BL334" i="6" s="1"/>
  <c r="BJ334" i="6"/>
  <c r="BI334" i="6"/>
  <c r="BH334" i="6"/>
  <c r="BG334" i="6"/>
  <c r="BF334" i="6"/>
  <c r="BE334" i="6"/>
  <c r="BD334" i="6"/>
  <c r="AF333" i="6"/>
  <c r="BL333" i="6" s="1"/>
  <c r="BJ333" i="6"/>
  <c r="BI333" i="6"/>
  <c r="BH333" i="6"/>
  <c r="BG333" i="6"/>
  <c r="BF333" i="6"/>
  <c r="BE333" i="6"/>
  <c r="BD333" i="6"/>
  <c r="AF332" i="6"/>
  <c r="BL332" i="6" s="1"/>
  <c r="BJ332" i="6"/>
  <c r="BI332" i="6"/>
  <c r="BH332" i="6"/>
  <c r="BG332" i="6"/>
  <c r="BF332" i="6"/>
  <c r="BE332" i="6"/>
  <c r="BD332" i="6"/>
  <c r="AF331" i="6"/>
  <c r="BL331" i="6" s="1"/>
  <c r="BJ331" i="6"/>
  <c r="BI331" i="6"/>
  <c r="BH331" i="6"/>
  <c r="BG331" i="6"/>
  <c r="BF331" i="6"/>
  <c r="BE331" i="6"/>
  <c r="BD331" i="6"/>
  <c r="BI330" i="6"/>
  <c r="AF330" i="6"/>
  <c r="AF329" i="6"/>
  <c r="BJ329" i="6"/>
  <c r="BI329" i="6"/>
  <c r="BH329" i="6"/>
  <c r="BG329" i="6"/>
  <c r="BF329" i="6"/>
  <c r="BE329" i="6"/>
  <c r="BD329" i="6"/>
  <c r="AF328" i="6"/>
  <c r="BL328" i="6" s="1"/>
  <c r="BJ328" i="6"/>
  <c r="BI328" i="6"/>
  <c r="BH328" i="6"/>
  <c r="BG328" i="6"/>
  <c r="BF328" i="6"/>
  <c r="BE328" i="6"/>
  <c r="BD328" i="6"/>
  <c r="AV327" i="6"/>
  <c r="BD327" i="6" s="1"/>
  <c r="BD326" i="6" s="1"/>
  <c r="AW327" i="6"/>
  <c r="AW326" i="6" s="1"/>
  <c r="AX327" i="6"/>
  <c r="AY327" i="6"/>
  <c r="AY326" i="6" s="1"/>
  <c r="AZ327" i="6"/>
  <c r="AZ326" i="6" s="1"/>
  <c r="BA327" i="6"/>
  <c r="BA326" i="6" s="1"/>
  <c r="BB327" i="6"/>
  <c r="BB326" i="6" s="1"/>
  <c r="AN327" i="6"/>
  <c r="AN326" i="6" s="1"/>
  <c r="AO327" i="6"/>
  <c r="AO326" i="6" s="1"/>
  <c r="AP327" i="6"/>
  <c r="AQ327" i="6"/>
  <c r="AQ326" i="6" s="1"/>
  <c r="AR327" i="6"/>
  <c r="AS327" i="6"/>
  <c r="AS326" i="6" s="1"/>
  <c r="AT327" i="6"/>
  <c r="AG327" i="6"/>
  <c r="AG326" i="6" s="1"/>
  <c r="AH327" i="6"/>
  <c r="AJ327" i="6"/>
  <c r="AJ326" i="6" s="1"/>
  <c r="AK327" i="6"/>
  <c r="AK326" i="6" s="1"/>
  <c r="AL327" i="6"/>
  <c r="AL326" i="6" s="1"/>
  <c r="Y327" i="6"/>
  <c r="Z327" i="6"/>
  <c r="Z326" i="6" s="1"/>
  <c r="AA327" i="6"/>
  <c r="AA326" i="6" s="1"/>
  <c r="AB327" i="6"/>
  <c r="AB326" i="6" s="1"/>
  <c r="AC327" i="6"/>
  <c r="AC326" i="6" s="1"/>
  <c r="AD327" i="6"/>
  <c r="AE327" i="6"/>
  <c r="AE326" i="6" s="1"/>
  <c r="BC325" i="6"/>
  <c r="AU325" i="6"/>
  <c r="AM325" i="6"/>
  <c r="AF325" i="6"/>
  <c r="BJ325" i="6"/>
  <c r="BI325" i="6"/>
  <c r="BH325" i="6"/>
  <c r="BG325" i="6"/>
  <c r="BF325" i="6"/>
  <c r="BE325" i="6"/>
  <c r="BD325" i="6"/>
  <c r="AF324" i="6"/>
  <c r="AU324" i="6"/>
  <c r="AM324" i="6"/>
  <c r="BC324" i="6"/>
  <c r="BJ324" i="6"/>
  <c r="BI324" i="6"/>
  <c r="BH324" i="6"/>
  <c r="BG324" i="6"/>
  <c r="BF324" i="6"/>
  <c r="BE324" i="6"/>
  <c r="BD324" i="6"/>
  <c r="AF323" i="6"/>
  <c r="AM323" i="6"/>
  <c r="AU323" i="6"/>
  <c r="BC323" i="6"/>
  <c r="BJ323" i="6"/>
  <c r="BI323" i="6"/>
  <c r="BH323" i="6"/>
  <c r="BG323" i="6"/>
  <c r="BF323" i="6"/>
  <c r="BE323" i="6"/>
  <c r="BD323" i="6"/>
  <c r="AF321" i="6"/>
  <c r="AM321" i="6"/>
  <c r="AU321" i="6"/>
  <c r="BC321" i="6"/>
  <c r="BJ321" i="6"/>
  <c r="BI321" i="6"/>
  <c r="BH321" i="6"/>
  <c r="BG321" i="6"/>
  <c r="BF321" i="6"/>
  <c r="BE321" i="6"/>
  <c r="BD321" i="6"/>
  <c r="BC320" i="6"/>
  <c r="AU320" i="6"/>
  <c r="AM320" i="6"/>
  <c r="AF320" i="6"/>
  <c r="BJ320" i="6"/>
  <c r="BI320" i="6"/>
  <c r="BH320" i="6"/>
  <c r="BG320" i="6"/>
  <c r="BF320" i="6"/>
  <c r="BE320" i="6"/>
  <c r="BD320" i="6"/>
  <c r="AF319" i="6"/>
  <c r="AM319" i="6"/>
  <c r="AU319" i="6"/>
  <c r="BC319" i="6"/>
  <c r="BJ319" i="6"/>
  <c r="BI319" i="6"/>
  <c r="BH319" i="6"/>
  <c r="BG319" i="6"/>
  <c r="BF319" i="6"/>
  <c r="BE319" i="6"/>
  <c r="BD319" i="6"/>
  <c r="AU318" i="6"/>
  <c r="BC318" i="6"/>
  <c r="AM318" i="6"/>
  <c r="AF318" i="6"/>
  <c r="BJ318" i="6"/>
  <c r="BI318" i="6"/>
  <c r="BH318" i="6"/>
  <c r="BG318" i="6"/>
  <c r="BF318" i="6"/>
  <c r="BE318" i="6"/>
  <c r="BD318" i="6"/>
  <c r="AU317" i="6"/>
  <c r="BC317" i="6"/>
  <c r="AM317" i="6"/>
  <c r="AF317" i="6"/>
  <c r="BJ317" i="6"/>
  <c r="BI317" i="6"/>
  <c r="BH317" i="6"/>
  <c r="BG317" i="6"/>
  <c r="BF317" i="6"/>
  <c r="BE317" i="6"/>
  <c r="BD317" i="6"/>
  <c r="AU316" i="6"/>
  <c r="BC316" i="6"/>
  <c r="AM316" i="6"/>
  <c r="AF316" i="6"/>
  <c r="BJ316" i="6"/>
  <c r="BI316" i="6"/>
  <c r="BH316" i="6"/>
  <c r="BG316" i="6"/>
  <c r="BF316" i="6"/>
  <c r="BE316" i="6"/>
  <c r="BD316" i="6"/>
  <c r="AF315" i="6"/>
  <c r="BC315" i="6"/>
  <c r="AU315" i="6"/>
  <c r="AM315" i="6"/>
  <c r="BJ315" i="6"/>
  <c r="BI315" i="6"/>
  <c r="BH315" i="6"/>
  <c r="BG315" i="6"/>
  <c r="BF315" i="6"/>
  <c r="BE315" i="6"/>
  <c r="BD315" i="6"/>
  <c r="AF314" i="6"/>
  <c r="BK314" i="6" s="1"/>
  <c r="AM314" i="6"/>
  <c r="AU314" i="6"/>
  <c r="BC314" i="6"/>
  <c r="BJ314" i="6"/>
  <c r="BI314" i="6"/>
  <c r="BH314" i="6"/>
  <c r="BG314" i="6"/>
  <c r="BF314" i="6"/>
  <c r="BE314" i="6"/>
  <c r="BD314" i="6"/>
  <c r="BC313" i="6"/>
  <c r="AU313" i="6"/>
  <c r="AM313" i="6"/>
  <c r="AF313" i="6"/>
  <c r="BJ313" i="6"/>
  <c r="BI313" i="6"/>
  <c r="BH313" i="6"/>
  <c r="BG313" i="6"/>
  <c r="BF313" i="6"/>
  <c r="BE313" i="6"/>
  <c r="BD313" i="6"/>
  <c r="AM312" i="6"/>
  <c r="BC312" i="6"/>
  <c r="AU312" i="6"/>
  <c r="AF312" i="6"/>
  <c r="BJ312" i="6"/>
  <c r="BI312" i="6"/>
  <c r="BH312" i="6"/>
  <c r="BG312" i="6"/>
  <c r="BF312" i="6"/>
  <c r="BE312" i="6"/>
  <c r="BD312" i="6"/>
  <c r="BC311" i="6"/>
  <c r="AU311" i="6"/>
  <c r="AM311" i="6"/>
  <c r="AF311" i="6"/>
  <c r="BJ311" i="6"/>
  <c r="BI311" i="6"/>
  <c r="BH311" i="6"/>
  <c r="BG311" i="6"/>
  <c r="BF311" i="6"/>
  <c r="BE311" i="6"/>
  <c r="BD311" i="6"/>
  <c r="BC310" i="6"/>
  <c r="AU310" i="6"/>
  <c r="AM310" i="6"/>
  <c r="AF310" i="6"/>
  <c r="BJ310" i="6"/>
  <c r="BI310" i="6"/>
  <c r="BH310" i="6"/>
  <c r="BG310" i="6"/>
  <c r="BF310" i="6"/>
  <c r="BE310" i="6"/>
  <c r="BD310" i="6"/>
  <c r="AM309" i="6"/>
  <c r="BC309" i="6"/>
  <c r="AU309" i="6"/>
  <c r="AF309" i="6"/>
  <c r="BJ309" i="6"/>
  <c r="BI309" i="6"/>
  <c r="BH309" i="6"/>
  <c r="BG309" i="6"/>
  <c r="BF309" i="6"/>
  <c r="BE309" i="6"/>
  <c r="BD309" i="6"/>
  <c r="AM308" i="6"/>
  <c r="AU308" i="6"/>
  <c r="BC308" i="6"/>
  <c r="AF308" i="6"/>
  <c r="BJ308" i="6"/>
  <c r="BI308" i="6"/>
  <c r="BH308" i="6"/>
  <c r="BG308" i="6"/>
  <c r="BF308" i="6"/>
  <c r="BE308" i="6"/>
  <c r="BD308" i="6"/>
  <c r="AF307" i="6"/>
  <c r="BC307" i="6"/>
  <c r="AU307" i="6"/>
  <c r="AM307" i="6"/>
  <c r="BJ307" i="6"/>
  <c r="BI307" i="6"/>
  <c r="BH307" i="6"/>
  <c r="BG307" i="6"/>
  <c r="BF307" i="6"/>
  <c r="BE307" i="6"/>
  <c r="BD307" i="6"/>
  <c r="AF306" i="6"/>
  <c r="AM306" i="6"/>
  <c r="AU306" i="6"/>
  <c r="BC306" i="6"/>
  <c r="BJ306" i="6"/>
  <c r="BI306" i="6"/>
  <c r="BH306" i="6"/>
  <c r="BG306" i="6"/>
  <c r="BF306" i="6"/>
  <c r="BE306" i="6"/>
  <c r="BD306" i="6"/>
  <c r="AF305" i="6"/>
  <c r="AM305" i="6"/>
  <c r="AU305" i="6"/>
  <c r="BC305" i="6"/>
  <c r="BJ305" i="6"/>
  <c r="BI305" i="6"/>
  <c r="BH305" i="6"/>
  <c r="BG305" i="6"/>
  <c r="BF305" i="6"/>
  <c r="BE305" i="6"/>
  <c r="BD305" i="6"/>
  <c r="AF304" i="6"/>
  <c r="AM304" i="6"/>
  <c r="AU304" i="6"/>
  <c r="BC304" i="6"/>
  <c r="BJ304" i="6"/>
  <c r="BI304" i="6"/>
  <c r="BH304" i="6"/>
  <c r="BG304" i="6"/>
  <c r="BF304" i="6"/>
  <c r="BE304" i="6"/>
  <c r="BD304" i="6"/>
  <c r="AF303" i="6"/>
  <c r="BC303" i="6"/>
  <c r="AU303" i="6"/>
  <c r="AM303" i="6"/>
  <c r="BJ303" i="6"/>
  <c r="BI303" i="6"/>
  <c r="BH303" i="6"/>
  <c r="BG303" i="6"/>
  <c r="BF303" i="6"/>
  <c r="BE303" i="6"/>
  <c r="BD303" i="6"/>
  <c r="AF302" i="6"/>
  <c r="AM302" i="6"/>
  <c r="AU302" i="6"/>
  <c r="BC302" i="6"/>
  <c r="BJ302" i="6"/>
  <c r="BI302" i="6"/>
  <c r="BH302" i="6"/>
  <c r="BG302" i="6"/>
  <c r="BF302" i="6"/>
  <c r="BE302" i="6"/>
  <c r="BD302" i="6"/>
  <c r="BJ301" i="6"/>
  <c r="BI301" i="6"/>
  <c r="BH301" i="6"/>
  <c r="BG301" i="6"/>
  <c r="BF301" i="6"/>
  <c r="BE301" i="6"/>
  <c r="BD301" i="6"/>
  <c r="AF300" i="6"/>
  <c r="BC300" i="6"/>
  <c r="AU300" i="6"/>
  <c r="AM300" i="6"/>
  <c r="BJ300" i="6"/>
  <c r="BI300" i="6"/>
  <c r="BH300" i="6"/>
  <c r="BG300" i="6"/>
  <c r="BF300" i="6"/>
  <c r="BE300" i="6"/>
  <c r="BD300" i="6"/>
  <c r="AF299" i="6"/>
  <c r="AM299" i="6"/>
  <c r="AU299" i="6"/>
  <c r="BC299" i="6"/>
  <c r="BJ299" i="6"/>
  <c r="BI299" i="6"/>
  <c r="BH299" i="6"/>
  <c r="BG299" i="6"/>
  <c r="BF299" i="6"/>
  <c r="BE299" i="6"/>
  <c r="BD299" i="6"/>
  <c r="AF298" i="6"/>
  <c r="BK298" i="6" s="1"/>
  <c r="AM298" i="6"/>
  <c r="AU298" i="6"/>
  <c r="BC298" i="6"/>
  <c r="BJ298" i="6"/>
  <c r="BI298" i="6"/>
  <c r="BH298" i="6"/>
  <c r="BG298" i="6"/>
  <c r="BF298" i="6"/>
  <c r="BE298" i="6"/>
  <c r="BD298" i="6"/>
  <c r="AF297" i="6"/>
  <c r="BC297" i="6"/>
  <c r="AU297" i="6"/>
  <c r="AM297" i="6"/>
  <c r="BJ297" i="6"/>
  <c r="BI297" i="6"/>
  <c r="BH297" i="6"/>
  <c r="BG297" i="6"/>
  <c r="BF297" i="6"/>
  <c r="BE297" i="6"/>
  <c r="BD297" i="6"/>
  <c r="BC296" i="6"/>
  <c r="AU296" i="6"/>
  <c r="AM296" i="6"/>
  <c r="AF296" i="6"/>
  <c r="BJ296" i="6"/>
  <c r="BI296" i="6"/>
  <c r="BH296" i="6"/>
  <c r="BG296" i="6"/>
  <c r="BF296" i="6"/>
  <c r="BE296" i="6"/>
  <c r="BD296" i="6"/>
  <c r="BC295" i="6"/>
  <c r="AU295" i="6"/>
  <c r="AM295" i="6"/>
  <c r="AF295" i="6"/>
  <c r="BJ295" i="6"/>
  <c r="BI295" i="6"/>
  <c r="BH295" i="6"/>
  <c r="BG295" i="6"/>
  <c r="BF295" i="6"/>
  <c r="BE295" i="6"/>
  <c r="BD295" i="6"/>
  <c r="BC294" i="6"/>
  <c r="AU294" i="6"/>
  <c r="AM294" i="6"/>
  <c r="AF294" i="6"/>
  <c r="BJ294" i="6"/>
  <c r="BI294" i="6"/>
  <c r="BH294" i="6"/>
  <c r="BG294" i="6"/>
  <c r="BF294" i="6"/>
  <c r="BE294" i="6"/>
  <c r="BD294" i="6"/>
  <c r="BC293" i="6"/>
  <c r="AU293" i="6"/>
  <c r="AM293" i="6"/>
  <c r="AF293" i="6"/>
  <c r="BJ293" i="6"/>
  <c r="BI293" i="6"/>
  <c r="BH293" i="6"/>
  <c r="BG293" i="6"/>
  <c r="BF293" i="6"/>
  <c r="BE293" i="6"/>
  <c r="BD293" i="6"/>
  <c r="BC285" i="6"/>
  <c r="AU285" i="6"/>
  <c r="AM285" i="6"/>
  <c r="AF285" i="6"/>
  <c r="BJ285" i="6"/>
  <c r="BI285" i="6"/>
  <c r="BH285" i="6"/>
  <c r="BG285" i="6"/>
  <c r="BF285" i="6"/>
  <c r="BE285" i="6"/>
  <c r="BD285" i="6"/>
  <c r="BC284" i="6"/>
  <c r="AU284" i="6"/>
  <c r="AM284" i="6"/>
  <c r="AF284" i="6"/>
  <c r="BJ284" i="6"/>
  <c r="BI284" i="6"/>
  <c r="BH284" i="6"/>
  <c r="BG284" i="6"/>
  <c r="BF284" i="6"/>
  <c r="BE284" i="6"/>
  <c r="BD284" i="6"/>
  <c r="BC283" i="6"/>
  <c r="AU283" i="6"/>
  <c r="AM283" i="6"/>
  <c r="AF283" i="6"/>
  <c r="BJ283" i="6"/>
  <c r="BI283" i="6"/>
  <c r="BH283" i="6"/>
  <c r="BG283" i="6"/>
  <c r="BF283" i="6"/>
  <c r="BE283" i="6"/>
  <c r="BD283" i="6"/>
  <c r="BC282" i="6"/>
  <c r="AU282" i="6"/>
  <c r="AM282" i="6"/>
  <c r="AF282" i="6"/>
  <c r="BJ282" i="6"/>
  <c r="BI282" i="6"/>
  <c r="BH282" i="6"/>
  <c r="BG282" i="6"/>
  <c r="BF282" i="6"/>
  <c r="BE282" i="6"/>
  <c r="BD282" i="6"/>
  <c r="BC281" i="6"/>
  <c r="AU281" i="6"/>
  <c r="AM281" i="6"/>
  <c r="AF281" i="6"/>
  <c r="BJ281" i="6"/>
  <c r="BI281" i="6"/>
  <c r="BH281" i="6"/>
  <c r="BG281" i="6"/>
  <c r="BF281" i="6"/>
  <c r="BE281" i="6"/>
  <c r="BD281" i="6"/>
  <c r="BC280" i="6"/>
  <c r="AU280" i="6"/>
  <c r="AM280" i="6"/>
  <c r="AF280" i="6"/>
  <c r="BL280" i="6" s="1"/>
  <c r="BJ280" i="6"/>
  <c r="BI280" i="6"/>
  <c r="BH280" i="6"/>
  <c r="BG280" i="6"/>
  <c r="BF280" i="6"/>
  <c r="BE280" i="6"/>
  <c r="BD280" i="6"/>
  <c r="BC279" i="6"/>
  <c r="AU279" i="6"/>
  <c r="AM279" i="6"/>
  <c r="AF279" i="6"/>
  <c r="BJ279" i="6"/>
  <c r="BI279" i="6"/>
  <c r="BH279" i="6"/>
  <c r="BG279" i="6"/>
  <c r="BF279" i="6"/>
  <c r="BE279" i="6"/>
  <c r="BD279" i="6"/>
  <c r="BC278" i="6"/>
  <c r="AU278" i="6"/>
  <c r="AM278" i="6"/>
  <c r="AF278" i="6"/>
  <c r="BJ278" i="6"/>
  <c r="BI278" i="6"/>
  <c r="BH278" i="6"/>
  <c r="BG278" i="6"/>
  <c r="BF278" i="6"/>
  <c r="BE278" i="6"/>
  <c r="BD278" i="6"/>
  <c r="BC277" i="6"/>
  <c r="AU277" i="6"/>
  <c r="AM277" i="6"/>
  <c r="AF277" i="6"/>
  <c r="BJ277" i="6"/>
  <c r="BI277" i="6"/>
  <c r="BH277" i="6"/>
  <c r="BG277" i="6"/>
  <c r="BF277" i="6"/>
  <c r="BE277" i="6"/>
  <c r="BD277" i="6"/>
  <c r="BC276" i="6"/>
  <c r="AU276" i="6"/>
  <c r="AM276" i="6"/>
  <c r="AF276" i="6"/>
  <c r="BJ276" i="6"/>
  <c r="BI276" i="6"/>
  <c r="BH276" i="6"/>
  <c r="BG276" i="6"/>
  <c r="BF276" i="6"/>
  <c r="BE276" i="6"/>
  <c r="BD276" i="6"/>
  <c r="BC275" i="6"/>
  <c r="AU275" i="6"/>
  <c r="AM275" i="6"/>
  <c r="AF275" i="6"/>
  <c r="BJ275" i="6"/>
  <c r="BI275" i="6"/>
  <c r="BH275" i="6"/>
  <c r="BG275" i="6"/>
  <c r="BF275" i="6"/>
  <c r="BE275" i="6"/>
  <c r="BD275" i="6"/>
  <c r="BC274" i="6"/>
  <c r="AU274" i="6"/>
  <c r="AF274" i="6"/>
  <c r="AM274" i="6"/>
  <c r="BJ274" i="6"/>
  <c r="BI274" i="6"/>
  <c r="BH274" i="6"/>
  <c r="BG274" i="6"/>
  <c r="BF274" i="6"/>
  <c r="BE274" i="6"/>
  <c r="BD274" i="6"/>
  <c r="AV273" i="6"/>
  <c r="AV261" i="6"/>
  <c r="AW273" i="6"/>
  <c r="AX273" i="6"/>
  <c r="AX261" i="6"/>
  <c r="AY273" i="6"/>
  <c r="AZ273" i="6"/>
  <c r="AZ261" i="6"/>
  <c r="BA273" i="6"/>
  <c r="BB273" i="6"/>
  <c r="AT273" i="6"/>
  <c r="AL273" i="6"/>
  <c r="AE273" i="6"/>
  <c r="AN273" i="6"/>
  <c r="AO273" i="6"/>
  <c r="AO260" i="6" s="1"/>
  <c r="AP273" i="6"/>
  <c r="AP261" i="6"/>
  <c r="AQ273" i="6"/>
  <c r="AR273" i="6"/>
  <c r="AS273" i="6"/>
  <c r="AS261" i="6"/>
  <c r="AG273" i="6"/>
  <c r="AH273" i="6"/>
  <c r="AJ273" i="6"/>
  <c r="AK273" i="6"/>
  <c r="Y273" i="6"/>
  <c r="Z273" i="6"/>
  <c r="AA273" i="6"/>
  <c r="AB273" i="6"/>
  <c r="AB261" i="6"/>
  <c r="AC273" i="6"/>
  <c r="AC261" i="6"/>
  <c r="AD273" i="6"/>
  <c r="BC272" i="6"/>
  <c r="AU272" i="6"/>
  <c r="AM272" i="6"/>
  <c r="AF272" i="6"/>
  <c r="BJ272" i="6"/>
  <c r="BI272" i="6"/>
  <c r="BH272" i="6"/>
  <c r="BG272" i="6"/>
  <c r="BF272" i="6"/>
  <c r="BE272" i="6"/>
  <c r="BD272" i="6"/>
  <c r="BC271" i="6"/>
  <c r="AU271" i="6"/>
  <c r="AM271" i="6"/>
  <c r="AF271" i="6"/>
  <c r="BJ271" i="6"/>
  <c r="BI271" i="6"/>
  <c r="BH271" i="6"/>
  <c r="BG271" i="6"/>
  <c r="BF271" i="6"/>
  <c r="BE271" i="6"/>
  <c r="BD271" i="6"/>
  <c r="BC270" i="6"/>
  <c r="AU270" i="6"/>
  <c r="AM270" i="6"/>
  <c r="AF270" i="6"/>
  <c r="BJ270" i="6"/>
  <c r="BI270" i="6"/>
  <c r="BH270" i="6"/>
  <c r="BG270" i="6"/>
  <c r="BF270" i="6"/>
  <c r="BE270" i="6"/>
  <c r="BD270" i="6"/>
  <c r="BC269" i="6"/>
  <c r="AU269" i="6"/>
  <c r="AM269" i="6"/>
  <c r="AF269" i="6"/>
  <c r="BJ269" i="6"/>
  <c r="BI269" i="6"/>
  <c r="BH269" i="6"/>
  <c r="BG269" i="6"/>
  <c r="BF269" i="6"/>
  <c r="BE269" i="6"/>
  <c r="BD269" i="6"/>
  <c r="BC268" i="6"/>
  <c r="AU268" i="6"/>
  <c r="AM268" i="6"/>
  <c r="AF268" i="6"/>
  <c r="BJ268" i="6"/>
  <c r="BI268" i="6"/>
  <c r="BH268" i="6"/>
  <c r="BG268" i="6"/>
  <c r="BF268" i="6"/>
  <c r="BE268" i="6"/>
  <c r="BD268" i="6"/>
  <c r="BC267" i="6"/>
  <c r="AU267" i="6"/>
  <c r="AM267" i="6"/>
  <c r="AF267" i="6"/>
  <c r="BJ267" i="6"/>
  <c r="BI267" i="6"/>
  <c r="BH267" i="6"/>
  <c r="BG267" i="6"/>
  <c r="BF267" i="6"/>
  <c r="BE267" i="6"/>
  <c r="BD267" i="6"/>
  <c r="BC266" i="6"/>
  <c r="AU266" i="6"/>
  <c r="AM266" i="6"/>
  <c r="AF266" i="6"/>
  <c r="BJ266" i="6"/>
  <c r="BI266" i="6"/>
  <c r="BH266" i="6"/>
  <c r="BG266" i="6"/>
  <c r="BF266" i="6"/>
  <c r="BE266" i="6"/>
  <c r="BD266" i="6"/>
  <c r="BC265" i="6"/>
  <c r="AU265" i="6"/>
  <c r="AM265" i="6"/>
  <c r="AF265" i="6"/>
  <c r="BJ265" i="6"/>
  <c r="BI265" i="6"/>
  <c r="BH265" i="6"/>
  <c r="BG265" i="6"/>
  <c r="BF265" i="6"/>
  <c r="BE265" i="6"/>
  <c r="BD265" i="6"/>
  <c r="BC264" i="6"/>
  <c r="AU264" i="6"/>
  <c r="AM264" i="6"/>
  <c r="AF264" i="6"/>
  <c r="BJ264" i="6"/>
  <c r="BI264" i="6"/>
  <c r="BH264" i="6"/>
  <c r="BG264" i="6"/>
  <c r="BF264" i="6"/>
  <c r="BE264" i="6"/>
  <c r="BD264" i="6"/>
  <c r="BC263" i="6"/>
  <c r="AU263" i="6"/>
  <c r="AM263" i="6"/>
  <c r="AF263" i="6"/>
  <c r="BJ263" i="6"/>
  <c r="BI263" i="6"/>
  <c r="BH263" i="6"/>
  <c r="BG263" i="6"/>
  <c r="BF263" i="6"/>
  <c r="BE263" i="6"/>
  <c r="BD263" i="6"/>
  <c r="BC262" i="6"/>
  <c r="AU262" i="6"/>
  <c r="AM262" i="6"/>
  <c r="AF262" i="6"/>
  <c r="BJ262" i="6"/>
  <c r="BI262" i="6"/>
  <c r="BH262" i="6"/>
  <c r="BG262" i="6"/>
  <c r="BF262" i="6"/>
  <c r="BE262" i="6"/>
  <c r="BD262" i="6"/>
  <c r="AW261" i="6"/>
  <c r="AY261" i="6"/>
  <c r="AY260" i="6" s="1"/>
  <c r="BA261" i="6"/>
  <c r="BB261" i="6"/>
  <c r="AN261" i="6"/>
  <c r="AO261" i="6"/>
  <c r="AQ261" i="6"/>
  <c r="AR261" i="6"/>
  <c r="AR260" i="6"/>
  <c r="AD261" i="6"/>
  <c r="AD260" i="6" s="1"/>
  <c r="AT261" i="6"/>
  <c r="AT260" i="6"/>
  <c r="AG261" i="6"/>
  <c r="AG260" i="6" s="1"/>
  <c r="AH261" i="6"/>
  <c r="AJ261" i="6"/>
  <c r="AJ260" i="6" s="1"/>
  <c r="AK261" i="6"/>
  <c r="AL261" i="6"/>
  <c r="Y261" i="6"/>
  <c r="Z261" i="6"/>
  <c r="AA261" i="6"/>
  <c r="AE261" i="6"/>
  <c r="AE260" i="6" s="1"/>
  <c r="BC258" i="6"/>
  <c r="AU258" i="6"/>
  <c r="AM258" i="6"/>
  <c r="AF258" i="6"/>
  <c r="BJ258" i="6"/>
  <c r="BI258" i="6"/>
  <c r="BH258" i="6"/>
  <c r="BG258" i="6"/>
  <c r="BF258" i="6"/>
  <c r="BE258" i="6"/>
  <c r="BD258" i="6"/>
  <c r="BC257" i="6"/>
  <c r="AU257" i="6"/>
  <c r="AM257" i="6"/>
  <c r="AF257" i="6"/>
  <c r="BJ257" i="6"/>
  <c r="BI257" i="6"/>
  <c r="BH257" i="6"/>
  <c r="BG257" i="6"/>
  <c r="BF257" i="6"/>
  <c r="BE257" i="6"/>
  <c r="BD257" i="6"/>
  <c r="BC256" i="6"/>
  <c r="AU256" i="6"/>
  <c r="AM256" i="6"/>
  <c r="AF256" i="6"/>
  <c r="BJ256" i="6"/>
  <c r="BI256" i="6"/>
  <c r="BH256" i="6"/>
  <c r="BG256" i="6"/>
  <c r="BF256" i="6"/>
  <c r="BE256" i="6"/>
  <c r="BD256" i="6"/>
  <c r="BC255" i="6"/>
  <c r="AU255" i="6"/>
  <c r="AM255" i="6"/>
  <c r="AF255" i="6"/>
  <c r="BJ255" i="6"/>
  <c r="BI255" i="6"/>
  <c r="BH255" i="6"/>
  <c r="BG255" i="6"/>
  <c r="BF255" i="6"/>
  <c r="BE255" i="6"/>
  <c r="BD255" i="6"/>
  <c r="BC254" i="6"/>
  <c r="AU254" i="6"/>
  <c r="AM254" i="6"/>
  <c r="AF254" i="6"/>
  <c r="BJ254" i="6"/>
  <c r="BI254" i="6"/>
  <c r="BH254" i="6"/>
  <c r="BG254" i="6"/>
  <c r="BF254" i="6"/>
  <c r="BE254" i="6"/>
  <c r="BD254" i="6"/>
  <c r="BC253" i="6"/>
  <c r="AU253" i="6"/>
  <c r="AM253" i="6"/>
  <c r="AF253" i="6"/>
  <c r="BJ253" i="6"/>
  <c r="BI253" i="6"/>
  <c r="BH253" i="6"/>
  <c r="BG253" i="6"/>
  <c r="BF253" i="6"/>
  <c r="BE253" i="6"/>
  <c r="BD253" i="6"/>
  <c r="BC252" i="6"/>
  <c r="AU252" i="6"/>
  <c r="AM252" i="6"/>
  <c r="AF252" i="6"/>
  <c r="BJ252" i="6"/>
  <c r="BI252" i="6"/>
  <c r="BH252" i="6"/>
  <c r="BG252" i="6"/>
  <c r="BF252" i="6"/>
  <c r="BE252" i="6"/>
  <c r="BD252" i="6"/>
  <c r="BC251" i="6"/>
  <c r="AU251" i="6"/>
  <c r="AM251" i="6"/>
  <c r="AF251" i="6"/>
  <c r="BJ251" i="6"/>
  <c r="BI251" i="6"/>
  <c r="BH251" i="6"/>
  <c r="BG251" i="6"/>
  <c r="BF251" i="6"/>
  <c r="BE251" i="6"/>
  <c r="BD251" i="6"/>
  <c r="BC250" i="6"/>
  <c r="BC242" i="6"/>
  <c r="BC243" i="6"/>
  <c r="BC244" i="6"/>
  <c r="BC245" i="6"/>
  <c r="BC246" i="6"/>
  <c r="BC247" i="6"/>
  <c r="BC248" i="6"/>
  <c r="BC249" i="6"/>
  <c r="AU250" i="6"/>
  <c r="AM250" i="6"/>
  <c r="AF250" i="6"/>
  <c r="BJ250" i="6"/>
  <c r="BI250" i="6"/>
  <c r="BH250" i="6"/>
  <c r="BG250" i="6"/>
  <c r="BG242" i="6"/>
  <c r="BG243" i="6"/>
  <c r="BG244" i="6"/>
  <c r="BG245" i="6"/>
  <c r="BG246" i="6"/>
  <c r="BG247" i="6"/>
  <c r="BG248" i="6"/>
  <c r="BF250" i="6"/>
  <c r="BE250" i="6"/>
  <c r="BD250" i="6"/>
  <c r="BI249" i="6"/>
  <c r="AU249" i="6"/>
  <c r="AM249" i="6"/>
  <c r="AF249" i="6"/>
  <c r="AU248" i="6"/>
  <c r="AM248" i="6"/>
  <c r="AF248" i="6"/>
  <c r="BJ248" i="6"/>
  <c r="BI248" i="6"/>
  <c r="BH248" i="6"/>
  <c r="BF248" i="6"/>
  <c r="BE248" i="6"/>
  <c r="BD248" i="6"/>
  <c r="AU247" i="6"/>
  <c r="AM247" i="6"/>
  <c r="AF247" i="6"/>
  <c r="BJ247" i="6"/>
  <c r="BI247" i="6"/>
  <c r="BH247" i="6"/>
  <c r="BF247" i="6"/>
  <c r="BE247" i="6"/>
  <c r="BD247" i="6"/>
  <c r="AU246" i="6"/>
  <c r="AM246" i="6"/>
  <c r="AF246" i="6"/>
  <c r="BJ246" i="6"/>
  <c r="BI246" i="6"/>
  <c r="BH246" i="6"/>
  <c r="BF246" i="6"/>
  <c r="BE246" i="6"/>
  <c r="BD246" i="6"/>
  <c r="AU245" i="6"/>
  <c r="AM245" i="6"/>
  <c r="AF245" i="6"/>
  <c r="BJ245" i="6"/>
  <c r="BI245" i="6"/>
  <c r="BH245" i="6"/>
  <c r="BF245" i="6"/>
  <c r="BE245" i="6"/>
  <c r="BD245" i="6"/>
  <c r="AU244" i="6"/>
  <c r="AM244" i="6"/>
  <c r="AF244" i="6"/>
  <c r="BJ244" i="6"/>
  <c r="BI244" i="6"/>
  <c r="BH244" i="6"/>
  <c r="BF244" i="6"/>
  <c r="BE244" i="6"/>
  <c r="BD244" i="6"/>
  <c r="AU243" i="6"/>
  <c r="AM243" i="6"/>
  <c r="AF243" i="6"/>
  <c r="BJ243" i="6"/>
  <c r="BJ242" i="6"/>
  <c r="BI243" i="6"/>
  <c r="BH243" i="6"/>
  <c r="BF243" i="6"/>
  <c r="BE243" i="6"/>
  <c r="BD243" i="6"/>
  <c r="AU242" i="6"/>
  <c r="AM242" i="6"/>
  <c r="AF242" i="6"/>
  <c r="BI242" i="6"/>
  <c r="BH242" i="6"/>
  <c r="BF242" i="6"/>
  <c r="BE242" i="6"/>
  <c r="BD242" i="6"/>
  <c r="AD241" i="6"/>
  <c r="AS241" i="6"/>
  <c r="BA241" i="6"/>
  <c r="BB241" i="6"/>
  <c r="AZ241" i="6"/>
  <c r="AY241" i="6"/>
  <c r="AX241" i="6"/>
  <c r="AW241" i="6"/>
  <c r="AV241" i="6"/>
  <c r="AT241" i="6"/>
  <c r="AR241" i="6"/>
  <c r="AQ241" i="6"/>
  <c r="AP241" i="6"/>
  <c r="AO241" i="6"/>
  <c r="AN241" i="6"/>
  <c r="AL241" i="6"/>
  <c r="AK241" i="6"/>
  <c r="AJ241" i="6"/>
  <c r="AH241" i="6"/>
  <c r="AG241" i="6"/>
  <c r="AE241" i="6"/>
  <c r="AC241" i="6"/>
  <c r="AB241" i="6"/>
  <c r="AA241" i="6"/>
  <c r="Z241" i="6"/>
  <c r="Y241" i="6"/>
  <c r="BC239" i="6"/>
  <c r="AU239" i="6"/>
  <c r="AM239" i="6"/>
  <c r="AF239" i="6"/>
  <c r="BJ239" i="6"/>
  <c r="BI239" i="6"/>
  <c r="BH239" i="6"/>
  <c r="BG239" i="6"/>
  <c r="BF239" i="6"/>
  <c r="BE239" i="6"/>
  <c r="BD239" i="6"/>
  <c r="BC238" i="6"/>
  <c r="AU238" i="6"/>
  <c r="AM238" i="6"/>
  <c r="AF238" i="6"/>
  <c r="BJ238" i="6"/>
  <c r="BI238" i="6"/>
  <c r="BH238" i="6"/>
  <c r="BG238" i="6"/>
  <c r="BF238" i="6"/>
  <c r="BE238" i="6"/>
  <c r="BD238" i="6"/>
  <c r="BC237" i="6"/>
  <c r="AU237" i="6"/>
  <c r="AM237" i="6"/>
  <c r="AF237" i="6"/>
  <c r="BJ237" i="6"/>
  <c r="BI237" i="6"/>
  <c r="BH237" i="6"/>
  <c r="BG237" i="6"/>
  <c r="BF237" i="6"/>
  <c r="BE237" i="6"/>
  <c r="BD237" i="6"/>
  <c r="BC236" i="6"/>
  <c r="AU236" i="6"/>
  <c r="AM236" i="6"/>
  <c r="AF236" i="6"/>
  <c r="BJ236" i="6"/>
  <c r="BI236" i="6"/>
  <c r="BH236" i="6"/>
  <c r="BG236" i="6"/>
  <c r="BF236" i="6"/>
  <c r="BE236" i="6"/>
  <c r="BD236" i="6"/>
  <c r="BC235" i="6"/>
  <c r="AU235" i="6"/>
  <c r="AM235" i="6"/>
  <c r="AF235" i="6"/>
  <c r="BJ235" i="6"/>
  <c r="BI235" i="6"/>
  <c r="BH235" i="6"/>
  <c r="BG235" i="6"/>
  <c r="BF235" i="6"/>
  <c r="BE235" i="6"/>
  <c r="BD235" i="6"/>
  <c r="BC234" i="6"/>
  <c r="AU234" i="6"/>
  <c r="AM234" i="6"/>
  <c r="AF234" i="6"/>
  <c r="BJ234" i="6"/>
  <c r="BI234" i="6"/>
  <c r="BH234" i="6"/>
  <c r="BG234" i="6"/>
  <c r="BF234" i="6"/>
  <c r="BE234" i="6"/>
  <c r="BD234" i="6"/>
  <c r="AD233" i="6"/>
  <c r="AS233" i="6"/>
  <c r="BA233" i="6"/>
  <c r="BB233" i="6"/>
  <c r="AZ233" i="6"/>
  <c r="AY233" i="6"/>
  <c r="AX233" i="6"/>
  <c r="AW233" i="6"/>
  <c r="AV233" i="6"/>
  <c r="AT233" i="6"/>
  <c r="AR233" i="6"/>
  <c r="AQ233" i="6"/>
  <c r="AP233" i="6"/>
  <c r="AO233" i="6"/>
  <c r="AN233" i="6"/>
  <c r="AL233" i="6"/>
  <c r="AK233" i="6"/>
  <c r="AJ233" i="6"/>
  <c r="AH233" i="6"/>
  <c r="AG233" i="6"/>
  <c r="AE233" i="6"/>
  <c r="AC233" i="6"/>
  <c r="AB233" i="6"/>
  <c r="AA233" i="6"/>
  <c r="Z233" i="6"/>
  <c r="Y233" i="6"/>
  <c r="BC232" i="6"/>
  <c r="AU232" i="6"/>
  <c r="AM232" i="6"/>
  <c r="AF232" i="6"/>
  <c r="BJ232" i="6"/>
  <c r="BI232" i="6"/>
  <c r="BH232" i="6"/>
  <c r="BG232" i="6"/>
  <c r="BF232" i="6"/>
  <c r="BE232" i="6"/>
  <c r="BD232" i="6"/>
  <c r="BC231" i="6"/>
  <c r="AU231" i="6"/>
  <c r="AM231" i="6"/>
  <c r="AF231" i="6"/>
  <c r="BJ231" i="6"/>
  <c r="BI231" i="6"/>
  <c r="BH231" i="6"/>
  <c r="BG231" i="6"/>
  <c r="BF231" i="6"/>
  <c r="BE231" i="6"/>
  <c r="BD231" i="6"/>
  <c r="BC230" i="6"/>
  <c r="AU230" i="6"/>
  <c r="AM230" i="6"/>
  <c r="AF230" i="6"/>
  <c r="BJ230" i="6"/>
  <c r="BI230" i="6"/>
  <c r="BH230" i="6"/>
  <c r="BG230" i="6"/>
  <c r="BF230" i="6"/>
  <c r="BE230" i="6"/>
  <c r="BD230" i="6"/>
  <c r="BC229" i="6"/>
  <c r="AU229" i="6"/>
  <c r="AM229" i="6"/>
  <c r="AF229" i="6"/>
  <c r="BJ229" i="6"/>
  <c r="BI229" i="6"/>
  <c r="BH229" i="6"/>
  <c r="BG229" i="6"/>
  <c r="BF229" i="6"/>
  <c r="BE229" i="6"/>
  <c r="BD229" i="6"/>
  <c r="BC228" i="6"/>
  <c r="AU228" i="6"/>
  <c r="AM228" i="6"/>
  <c r="AM226" i="6"/>
  <c r="AM227" i="6"/>
  <c r="AF228" i="6"/>
  <c r="BJ228" i="6"/>
  <c r="BI228" i="6"/>
  <c r="BH228" i="6"/>
  <c r="BH226" i="6"/>
  <c r="BH227" i="6"/>
  <c r="BG228" i="6"/>
  <c r="BF228" i="6"/>
  <c r="BE228" i="6"/>
  <c r="BD228" i="6"/>
  <c r="BC227" i="6"/>
  <c r="AU227" i="6"/>
  <c r="AF227" i="6"/>
  <c r="BJ227" i="6"/>
  <c r="BI227" i="6"/>
  <c r="BG227" i="6"/>
  <c r="BF227" i="6"/>
  <c r="BE227" i="6"/>
  <c r="BD227" i="6"/>
  <c r="BC226" i="6"/>
  <c r="AU226" i="6"/>
  <c r="AF226" i="6"/>
  <c r="BJ226" i="6"/>
  <c r="BI226" i="6"/>
  <c r="BG226" i="6"/>
  <c r="BF226" i="6"/>
  <c r="BE226" i="6"/>
  <c r="BD226" i="6"/>
  <c r="AD225" i="6"/>
  <c r="AS225" i="6"/>
  <c r="BA225" i="6"/>
  <c r="BB225" i="6"/>
  <c r="AZ225" i="6"/>
  <c r="AY225" i="6"/>
  <c r="AX225" i="6"/>
  <c r="AW225" i="6"/>
  <c r="AV225" i="6"/>
  <c r="AT225" i="6"/>
  <c r="AR225" i="6"/>
  <c r="AQ225" i="6"/>
  <c r="AP225" i="6"/>
  <c r="AO225" i="6"/>
  <c r="AN225" i="6"/>
  <c r="AL225" i="6"/>
  <c r="AK225" i="6"/>
  <c r="AJ225" i="6"/>
  <c r="AH225" i="6"/>
  <c r="AG225" i="6"/>
  <c r="AE225" i="6"/>
  <c r="AC225" i="6"/>
  <c r="AB225" i="6"/>
  <c r="AA225" i="6"/>
  <c r="Z225" i="6"/>
  <c r="Y225" i="6"/>
  <c r="BC224" i="6"/>
  <c r="AU224" i="6"/>
  <c r="AM224" i="6"/>
  <c r="AF224" i="6"/>
  <c r="BJ224" i="6"/>
  <c r="BI224" i="6"/>
  <c r="BH224" i="6"/>
  <c r="BG224" i="6"/>
  <c r="BF224" i="6"/>
  <c r="BE224" i="6"/>
  <c r="BD224" i="6"/>
  <c r="BC223" i="6"/>
  <c r="AU223" i="6"/>
  <c r="AM223" i="6"/>
  <c r="AF223" i="6"/>
  <c r="BJ223" i="6"/>
  <c r="BI223" i="6"/>
  <c r="BH223" i="6"/>
  <c r="BG223" i="6"/>
  <c r="BF223" i="6"/>
  <c r="BE223" i="6"/>
  <c r="BD223" i="6"/>
  <c r="BC222" i="6"/>
  <c r="AU222" i="6"/>
  <c r="AM222" i="6"/>
  <c r="AF222" i="6"/>
  <c r="BJ222" i="6"/>
  <c r="BJ220" i="6"/>
  <c r="BJ221" i="6"/>
  <c r="BI222" i="6"/>
  <c r="BH222" i="6"/>
  <c r="BG222" i="6"/>
  <c r="BF222" i="6"/>
  <c r="BE222" i="6"/>
  <c r="BD222" i="6"/>
  <c r="BC221" i="6"/>
  <c r="AU221" i="6"/>
  <c r="AM221" i="6"/>
  <c r="AF221" i="6"/>
  <c r="BI221" i="6"/>
  <c r="BH221" i="6"/>
  <c r="BG221" i="6"/>
  <c r="BF221" i="6"/>
  <c r="BE221" i="6"/>
  <c r="BD221" i="6"/>
  <c r="BC220" i="6"/>
  <c r="AU220" i="6"/>
  <c r="AM220" i="6"/>
  <c r="AF220" i="6"/>
  <c r="BI220" i="6"/>
  <c r="BH220" i="6"/>
  <c r="BG220" i="6"/>
  <c r="BF220" i="6"/>
  <c r="BE220" i="6"/>
  <c r="BD220" i="6"/>
  <c r="AD219" i="6"/>
  <c r="AS219" i="6"/>
  <c r="BA219" i="6"/>
  <c r="BB219" i="6"/>
  <c r="AZ219" i="6"/>
  <c r="AY219" i="6"/>
  <c r="AX219" i="6"/>
  <c r="AW219" i="6"/>
  <c r="AV219" i="6"/>
  <c r="AT219" i="6"/>
  <c r="AR219" i="6"/>
  <c r="AQ219" i="6"/>
  <c r="AP219" i="6"/>
  <c r="AO219" i="6"/>
  <c r="AN219" i="6"/>
  <c r="AL219" i="6"/>
  <c r="AK219" i="6"/>
  <c r="AJ219" i="6"/>
  <c r="AH219" i="6"/>
  <c r="AG219" i="6"/>
  <c r="AE219" i="6"/>
  <c r="AC219" i="6"/>
  <c r="AB219" i="6"/>
  <c r="AA219" i="6"/>
  <c r="Z219" i="6"/>
  <c r="Z153" i="6"/>
  <c r="Z179" i="6"/>
  <c r="Z191" i="6"/>
  <c r="Z199" i="6"/>
  <c r="Z210" i="6"/>
  <c r="Y219" i="6"/>
  <c r="BC218" i="6"/>
  <c r="AU218" i="6"/>
  <c r="AM218" i="6"/>
  <c r="AF218" i="6"/>
  <c r="BJ218" i="6"/>
  <c r="BI218" i="6"/>
  <c r="BH218" i="6"/>
  <c r="BG218" i="6"/>
  <c r="BF218" i="6"/>
  <c r="BE218" i="6"/>
  <c r="BD218" i="6"/>
  <c r="BC217" i="6"/>
  <c r="AU217" i="6"/>
  <c r="AM217" i="6"/>
  <c r="AF217" i="6"/>
  <c r="BJ217" i="6"/>
  <c r="BI217" i="6"/>
  <c r="BH217" i="6"/>
  <c r="BG217" i="6"/>
  <c r="BF217" i="6"/>
  <c r="BE217" i="6"/>
  <c r="BD217" i="6"/>
  <c r="BC216" i="6"/>
  <c r="AU216" i="6"/>
  <c r="AM216" i="6"/>
  <c r="AF216" i="6"/>
  <c r="BJ216" i="6"/>
  <c r="BI216" i="6"/>
  <c r="BH216" i="6"/>
  <c r="BG216" i="6"/>
  <c r="BF216" i="6"/>
  <c r="BE216" i="6"/>
  <c r="BD216" i="6"/>
  <c r="BC215" i="6"/>
  <c r="AU215" i="6"/>
  <c r="AM215" i="6"/>
  <c r="AF215" i="6"/>
  <c r="BJ215" i="6"/>
  <c r="BI215" i="6"/>
  <c r="BH215" i="6"/>
  <c r="BG215" i="6"/>
  <c r="BF215" i="6"/>
  <c r="BE215" i="6"/>
  <c r="BD215" i="6"/>
  <c r="BC214" i="6"/>
  <c r="AU214" i="6"/>
  <c r="AM214" i="6"/>
  <c r="AF214" i="6"/>
  <c r="BJ214" i="6"/>
  <c r="BI214" i="6"/>
  <c r="BH214" i="6"/>
  <c r="BG214" i="6"/>
  <c r="BF214" i="6"/>
  <c r="BE214" i="6"/>
  <c r="BD214" i="6"/>
  <c r="BC213" i="6"/>
  <c r="AU213" i="6"/>
  <c r="AM213" i="6"/>
  <c r="AF213" i="6"/>
  <c r="BJ213" i="6"/>
  <c r="BI213" i="6"/>
  <c r="BH213" i="6"/>
  <c r="BG213" i="6"/>
  <c r="BF213" i="6"/>
  <c r="BE213" i="6"/>
  <c r="BD213" i="6"/>
  <c r="BC212" i="6"/>
  <c r="AU212" i="6"/>
  <c r="AM212" i="6"/>
  <c r="AF212" i="6"/>
  <c r="BJ212" i="6"/>
  <c r="BI212" i="6"/>
  <c r="BH212" i="6"/>
  <c r="BG212" i="6"/>
  <c r="BF212" i="6"/>
  <c r="BE212" i="6"/>
  <c r="BD212" i="6"/>
  <c r="BC211" i="6"/>
  <c r="AU211" i="6"/>
  <c r="AM211" i="6"/>
  <c r="AF211" i="6"/>
  <c r="BJ211" i="6"/>
  <c r="BI211" i="6"/>
  <c r="BH211" i="6"/>
  <c r="BG211" i="6"/>
  <c r="BF211" i="6"/>
  <c r="BE211" i="6"/>
  <c r="BD211" i="6"/>
  <c r="AD210" i="6"/>
  <c r="AS210" i="6"/>
  <c r="BA210" i="6"/>
  <c r="BB210" i="6"/>
  <c r="AZ210" i="6"/>
  <c r="AY210" i="6"/>
  <c r="AX210" i="6"/>
  <c r="AW210" i="6"/>
  <c r="AV210" i="6"/>
  <c r="AT210" i="6"/>
  <c r="AR210" i="6"/>
  <c r="AQ210" i="6"/>
  <c r="AP210" i="6"/>
  <c r="AO210" i="6"/>
  <c r="AN210" i="6"/>
  <c r="AL210" i="6"/>
  <c r="AK210" i="6"/>
  <c r="AJ210" i="6"/>
  <c r="AH210" i="6"/>
  <c r="AG210" i="6"/>
  <c r="AE210" i="6"/>
  <c r="AC210" i="6"/>
  <c r="AB210" i="6"/>
  <c r="AA210" i="6"/>
  <c r="Y210" i="6"/>
  <c r="BC209" i="6"/>
  <c r="AU209" i="6"/>
  <c r="AM209" i="6"/>
  <c r="AF209" i="6"/>
  <c r="BJ209" i="6"/>
  <c r="BI209" i="6"/>
  <c r="BH209" i="6"/>
  <c r="BG209" i="6"/>
  <c r="BF209" i="6"/>
  <c r="BE209" i="6"/>
  <c r="BD209" i="6"/>
  <c r="BC208" i="6"/>
  <c r="AU208" i="6"/>
  <c r="AM208" i="6"/>
  <c r="AF208" i="6"/>
  <c r="BJ208" i="6"/>
  <c r="BI208" i="6"/>
  <c r="BH208" i="6"/>
  <c r="BG208" i="6"/>
  <c r="BF208" i="6"/>
  <c r="BE208" i="6"/>
  <c r="BD208" i="6"/>
  <c r="BC207" i="6"/>
  <c r="AU207" i="6"/>
  <c r="AM207" i="6"/>
  <c r="AF207" i="6"/>
  <c r="BJ207" i="6"/>
  <c r="BI207" i="6"/>
  <c r="BH207" i="6"/>
  <c r="BG207" i="6"/>
  <c r="BF207" i="6"/>
  <c r="BE207" i="6"/>
  <c r="BD207" i="6"/>
  <c r="BC206" i="6"/>
  <c r="AU206" i="6"/>
  <c r="AM206" i="6"/>
  <c r="AF206" i="6"/>
  <c r="BJ206" i="6"/>
  <c r="BI206" i="6"/>
  <c r="BH206" i="6"/>
  <c r="BG206" i="6"/>
  <c r="BF206" i="6"/>
  <c r="BE206" i="6"/>
  <c r="BD206" i="6"/>
  <c r="BC205" i="6"/>
  <c r="AU205" i="6"/>
  <c r="AM205" i="6"/>
  <c r="AF205" i="6"/>
  <c r="BJ205" i="6"/>
  <c r="BI205" i="6"/>
  <c r="BH205" i="6"/>
  <c r="BG205" i="6"/>
  <c r="BF205" i="6"/>
  <c r="BE205" i="6"/>
  <c r="BD205" i="6"/>
  <c r="BC204" i="6"/>
  <c r="AU204" i="6"/>
  <c r="AM204" i="6"/>
  <c r="AF204" i="6"/>
  <c r="BJ204" i="6"/>
  <c r="BI204" i="6"/>
  <c r="BH204" i="6"/>
  <c r="BG204" i="6"/>
  <c r="BF204" i="6"/>
  <c r="BE204" i="6"/>
  <c r="BD204" i="6"/>
  <c r="BC203" i="6"/>
  <c r="AU203" i="6"/>
  <c r="AM203" i="6"/>
  <c r="AF203" i="6"/>
  <c r="BJ203" i="6"/>
  <c r="BI203" i="6"/>
  <c r="BH203" i="6"/>
  <c r="BG203" i="6"/>
  <c r="BF203" i="6"/>
  <c r="BE203" i="6"/>
  <c r="BD203" i="6"/>
  <c r="BC202" i="6"/>
  <c r="AU202" i="6"/>
  <c r="AM202" i="6"/>
  <c r="AF202" i="6"/>
  <c r="BJ202" i="6"/>
  <c r="BI202" i="6"/>
  <c r="BH202" i="6"/>
  <c r="BG202" i="6"/>
  <c r="BF202" i="6"/>
  <c r="BE202" i="6"/>
  <c r="BD202" i="6"/>
  <c r="BC201" i="6"/>
  <c r="AU201" i="6"/>
  <c r="AM201" i="6"/>
  <c r="AF201" i="6"/>
  <c r="BJ201" i="6"/>
  <c r="BI201" i="6"/>
  <c r="BH201" i="6"/>
  <c r="BG201" i="6"/>
  <c r="BF201" i="6"/>
  <c r="BE201" i="6"/>
  <c r="BD201" i="6"/>
  <c r="BC200" i="6"/>
  <c r="AU200" i="6"/>
  <c r="AM200" i="6"/>
  <c r="AF200" i="6"/>
  <c r="BJ200" i="6"/>
  <c r="BI200" i="6"/>
  <c r="BH200" i="6"/>
  <c r="BG200" i="6"/>
  <c r="BF200" i="6"/>
  <c r="BE200" i="6"/>
  <c r="BD200" i="6"/>
  <c r="AD199" i="6"/>
  <c r="AS199" i="6"/>
  <c r="BA199" i="6"/>
  <c r="BB199" i="6"/>
  <c r="AZ199" i="6"/>
  <c r="AY199" i="6"/>
  <c r="AX199" i="6"/>
  <c r="AW199" i="6"/>
  <c r="AV199" i="6"/>
  <c r="AT199" i="6"/>
  <c r="AT153" i="6"/>
  <c r="AT179" i="6"/>
  <c r="AT191" i="6"/>
  <c r="AR199" i="6"/>
  <c r="AQ199" i="6"/>
  <c r="AP199" i="6"/>
  <c r="AO199" i="6"/>
  <c r="AN199" i="6"/>
  <c r="AL199" i="6"/>
  <c r="AK199" i="6"/>
  <c r="AJ199" i="6"/>
  <c r="AH199" i="6"/>
  <c r="AG199" i="6"/>
  <c r="AE199" i="6"/>
  <c r="AC199" i="6"/>
  <c r="AB199" i="6"/>
  <c r="AB153" i="6"/>
  <c r="AB179" i="6"/>
  <c r="AB191" i="6"/>
  <c r="AA199" i="6"/>
  <c r="Y199" i="6"/>
  <c r="BC198" i="6"/>
  <c r="AU198" i="6"/>
  <c r="AM198" i="6"/>
  <c r="AF198" i="6"/>
  <c r="BJ198" i="6"/>
  <c r="BI198" i="6"/>
  <c r="BH198" i="6"/>
  <c r="BG198" i="6"/>
  <c r="BF198" i="6"/>
  <c r="BE198" i="6"/>
  <c r="BD198" i="6"/>
  <c r="BC197" i="6"/>
  <c r="AU197" i="6"/>
  <c r="AM197" i="6"/>
  <c r="AF197" i="6"/>
  <c r="BJ197" i="6"/>
  <c r="BI197" i="6"/>
  <c r="BH197" i="6"/>
  <c r="BG197" i="6"/>
  <c r="BF197" i="6"/>
  <c r="BE197" i="6"/>
  <c r="BD197" i="6"/>
  <c r="BC196" i="6"/>
  <c r="AU196" i="6"/>
  <c r="AM196" i="6"/>
  <c r="AF196" i="6"/>
  <c r="BJ196" i="6"/>
  <c r="BI196" i="6"/>
  <c r="BH196" i="6"/>
  <c r="BG196" i="6"/>
  <c r="BF196" i="6"/>
  <c r="BE196" i="6"/>
  <c r="BD196" i="6"/>
  <c r="AU195" i="6"/>
  <c r="AU192" i="6"/>
  <c r="AU193" i="6"/>
  <c r="AU194" i="6"/>
  <c r="AM195" i="6"/>
  <c r="AF195" i="6"/>
  <c r="BC195" i="6"/>
  <c r="BJ195" i="6"/>
  <c r="BI195" i="6"/>
  <c r="BH195" i="6"/>
  <c r="BG195" i="6"/>
  <c r="BF195" i="6"/>
  <c r="BE195" i="6"/>
  <c r="BD195" i="6"/>
  <c r="BC194" i="6"/>
  <c r="AM194" i="6"/>
  <c r="AF194" i="6"/>
  <c r="BJ194" i="6"/>
  <c r="BI194" i="6"/>
  <c r="BH194" i="6"/>
  <c r="BG194" i="6"/>
  <c r="BF194" i="6"/>
  <c r="BE194" i="6"/>
  <c r="BD194" i="6"/>
  <c r="BC193" i="6"/>
  <c r="AM193" i="6"/>
  <c r="AF193" i="6"/>
  <c r="BJ193" i="6"/>
  <c r="BI193" i="6"/>
  <c r="BH193" i="6"/>
  <c r="BG193" i="6"/>
  <c r="BF193" i="6"/>
  <c r="BE193" i="6"/>
  <c r="BD193" i="6"/>
  <c r="BC192" i="6"/>
  <c r="AM192" i="6"/>
  <c r="AF192" i="6"/>
  <c r="BJ192" i="6"/>
  <c r="BI192" i="6"/>
  <c r="BH192" i="6"/>
  <c r="BG192" i="6"/>
  <c r="BF192" i="6"/>
  <c r="BE192" i="6"/>
  <c r="BD192" i="6"/>
  <c r="AD191" i="6"/>
  <c r="AS191" i="6"/>
  <c r="BA191" i="6"/>
  <c r="BB191" i="6"/>
  <c r="AZ191" i="6"/>
  <c r="AY191" i="6"/>
  <c r="AX191" i="6"/>
  <c r="AW191" i="6"/>
  <c r="AV191" i="6"/>
  <c r="AR191" i="6"/>
  <c r="AQ191" i="6"/>
  <c r="AP191" i="6"/>
  <c r="AO191" i="6"/>
  <c r="AN191" i="6"/>
  <c r="AL191" i="6"/>
  <c r="AK191" i="6"/>
  <c r="AJ191" i="6"/>
  <c r="AH191" i="6"/>
  <c r="AG191" i="6"/>
  <c r="AE191" i="6"/>
  <c r="AC191" i="6"/>
  <c r="AA191" i="6"/>
  <c r="Y191" i="6"/>
  <c r="BC189" i="6"/>
  <c r="AU189" i="6"/>
  <c r="AM189" i="6"/>
  <c r="AF189" i="6"/>
  <c r="BJ189" i="6"/>
  <c r="BI189" i="6"/>
  <c r="BH189" i="6"/>
  <c r="BG189" i="6"/>
  <c r="BF189" i="6"/>
  <c r="BE189" i="6"/>
  <c r="BD189" i="6"/>
  <c r="BC188" i="6"/>
  <c r="AU188" i="6"/>
  <c r="AM188" i="6"/>
  <c r="AF188" i="6"/>
  <c r="BJ188" i="6"/>
  <c r="BI188" i="6"/>
  <c r="BH188" i="6"/>
  <c r="BG188" i="6"/>
  <c r="BF188" i="6"/>
  <c r="BE188" i="6"/>
  <c r="BD188" i="6"/>
  <c r="BC187" i="6"/>
  <c r="AU187" i="6"/>
  <c r="AM187" i="6"/>
  <c r="AF187" i="6"/>
  <c r="BJ187" i="6"/>
  <c r="BI187" i="6"/>
  <c r="BH187" i="6"/>
  <c r="BG187" i="6"/>
  <c r="BF187" i="6"/>
  <c r="BE187" i="6"/>
  <c r="BD187" i="6"/>
  <c r="BC186" i="6"/>
  <c r="AU186" i="6"/>
  <c r="AM186" i="6"/>
  <c r="AF186" i="6"/>
  <c r="BJ186" i="6"/>
  <c r="BI186" i="6"/>
  <c r="BH186" i="6"/>
  <c r="BG186" i="6"/>
  <c r="BF186" i="6"/>
  <c r="BE186" i="6"/>
  <c r="BD186" i="6"/>
  <c r="BC185" i="6"/>
  <c r="AU185" i="6"/>
  <c r="AM185" i="6"/>
  <c r="AF185" i="6"/>
  <c r="BJ185" i="6"/>
  <c r="BI185" i="6"/>
  <c r="BH185" i="6"/>
  <c r="BG185" i="6"/>
  <c r="BF185" i="6"/>
  <c r="BE185" i="6"/>
  <c r="BD185" i="6"/>
  <c r="BC184" i="6"/>
  <c r="AU184" i="6"/>
  <c r="AM184" i="6"/>
  <c r="AF184" i="6"/>
  <c r="BJ184" i="6"/>
  <c r="BI184" i="6"/>
  <c r="BH184" i="6"/>
  <c r="BG184" i="6"/>
  <c r="BF184" i="6"/>
  <c r="BE184" i="6"/>
  <c r="BD184" i="6"/>
  <c r="BC183" i="6"/>
  <c r="AU183" i="6"/>
  <c r="AM183" i="6"/>
  <c r="AF183" i="6"/>
  <c r="BJ183" i="6"/>
  <c r="BI183" i="6"/>
  <c r="BH183" i="6"/>
  <c r="BG183" i="6"/>
  <c r="BF183" i="6"/>
  <c r="BE183" i="6"/>
  <c r="BD183" i="6"/>
  <c r="BC182" i="6"/>
  <c r="AU182" i="6"/>
  <c r="AM182" i="6"/>
  <c r="AF182" i="6"/>
  <c r="BJ182" i="6"/>
  <c r="BI182" i="6"/>
  <c r="BH182" i="6"/>
  <c r="BG182" i="6"/>
  <c r="BF182" i="6"/>
  <c r="BE182" i="6"/>
  <c r="BD182" i="6"/>
  <c r="BC181" i="6"/>
  <c r="AU181" i="6"/>
  <c r="AM181" i="6"/>
  <c r="AF181" i="6"/>
  <c r="BJ181" i="6"/>
  <c r="BI181" i="6"/>
  <c r="BH181" i="6"/>
  <c r="BG181" i="6"/>
  <c r="BF181" i="6"/>
  <c r="BE181" i="6"/>
  <c r="BD181" i="6"/>
  <c r="BC180" i="6"/>
  <c r="AU180" i="6"/>
  <c r="AM180" i="6"/>
  <c r="AF180" i="6"/>
  <c r="BJ180" i="6"/>
  <c r="BI180" i="6"/>
  <c r="BH180" i="6"/>
  <c r="BG180" i="6"/>
  <c r="BF180" i="6"/>
  <c r="BE180" i="6"/>
  <c r="BD180" i="6"/>
  <c r="AD179" i="6"/>
  <c r="AS179" i="6"/>
  <c r="BA179" i="6"/>
  <c r="AV179" i="6"/>
  <c r="AW179" i="6"/>
  <c r="AX179" i="6"/>
  <c r="AY179" i="6"/>
  <c r="AZ179" i="6"/>
  <c r="BB179" i="6"/>
  <c r="AN179" i="6"/>
  <c r="AO179" i="6"/>
  <c r="AP179" i="6"/>
  <c r="AQ179" i="6"/>
  <c r="AQ153" i="6"/>
  <c r="AQ152" i="6" s="1"/>
  <c r="AR179" i="6"/>
  <c r="AG179" i="6"/>
  <c r="AH179" i="6"/>
  <c r="AJ179" i="6"/>
  <c r="AK179" i="6"/>
  <c r="AL179" i="6"/>
  <c r="AK153" i="6"/>
  <c r="Y179" i="6"/>
  <c r="AA179" i="6"/>
  <c r="AC179" i="6"/>
  <c r="AE179" i="6"/>
  <c r="AE153" i="6"/>
  <c r="BC177" i="6"/>
  <c r="AU177" i="6"/>
  <c r="AM177" i="6"/>
  <c r="AF177" i="6"/>
  <c r="BJ177" i="6"/>
  <c r="BI177" i="6"/>
  <c r="BH177" i="6"/>
  <c r="BG177" i="6"/>
  <c r="BF177" i="6"/>
  <c r="BE177" i="6"/>
  <c r="BD177" i="6"/>
  <c r="BC176" i="6"/>
  <c r="AU176" i="6"/>
  <c r="AM176" i="6"/>
  <c r="AF176" i="6"/>
  <c r="BJ176" i="6"/>
  <c r="BI176" i="6"/>
  <c r="BH176" i="6"/>
  <c r="BG176" i="6"/>
  <c r="BF176" i="6"/>
  <c r="BE176" i="6"/>
  <c r="BD176" i="6"/>
  <c r="BC175" i="6"/>
  <c r="AU175" i="6"/>
  <c r="AM175" i="6"/>
  <c r="AF175" i="6"/>
  <c r="BJ175" i="6"/>
  <c r="BI175" i="6"/>
  <c r="BH175" i="6"/>
  <c r="BG175" i="6"/>
  <c r="BF175" i="6"/>
  <c r="BE175" i="6"/>
  <c r="BD175" i="6"/>
  <c r="BC174" i="6"/>
  <c r="AU174" i="6"/>
  <c r="AM174" i="6"/>
  <c r="AF174" i="6"/>
  <c r="BJ174" i="6"/>
  <c r="BI174" i="6"/>
  <c r="BH174" i="6"/>
  <c r="BG174" i="6"/>
  <c r="BF174" i="6"/>
  <c r="BE174" i="6"/>
  <c r="BD174" i="6"/>
  <c r="BC173" i="6"/>
  <c r="AU173" i="6"/>
  <c r="AM173" i="6"/>
  <c r="AF173" i="6"/>
  <c r="BJ173" i="6"/>
  <c r="BI173" i="6"/>
  <c r="BH173" i="6"/>
  <c r="BG173" i="6"/>
  <c r="BF173" i="6"/>
  <c r="BE173" i="6"/>
  <c r="BD173" i="6"/>
  <c r="BC172" i="6"/>
  <c r="AU172" i="6"/>
  <c r="AM172" i="6"/>
  <c r="AF172" i="6"/>
  <c r="BJ172" i="6"/>
  <c r="BI172" i="6"/>
  <c r="BH172" i="6"/>
  <c r="BG172" i="6"/>
  <c r="BF172" i="6"/>
  <c r="BE172" i="6"/>
  <c r="BD172" i="6"/>
  <c r="BC171" i="6"/>
  <c r="AU171" i="6"/>
  <c r="AM171" i="6"/>
  <c r="AF171" i="6"/>
  <c r="BJ171" i="6"/>
  <c r="BI171" i="6"/>
  <c r="BH171" i="6"/>
  <c r="BG171" i="6"/>
  <c r="BF171" i="6"/>
  <c r="BE171" i="6"/>
  <c r="BD171" i="6"/>
  <c r="BC170" i="6"/>
  <c r="AU170" i="6"/>
  <c r="AM170" i="6"/>
  <c r="AF170" i="6"/>
  <c r="BJ170" i="6"/>
  <c r="BI170" i="6"/>
  <c r="BH170" i="6"/>
  <c r="BG170" i="6"/>
  <c r="BF170" i="6"/>
  <c r="BE170" i="6"/>
  <c r="BD170" i="6"/>
  <c r="BC169" i="6"/>
  <c r="AU169" i="6"/>
  <c r="AM169" i="6"/>
  <c r="AF169" i="6"/>
  <c r="BJ169" i="6"/>
  <c r="BI169" i="6"/>
  <c r="BH169" i="6"/>
  <c r="BG169" i="6"/>
  <c r="BF169" i="6"/>
  <c r="BE169" i="6"/>
  <c r="BD169" i="6"/>
  <c r="BC168" i="6"/>
  <c r="AU168" i="6"/>
  <c r="AM168" i="6"/>
  <c r="AF168" i="6"/>
  <c r="BJ168" i="6"/>
  <c r="BI168" i="6"/>
  <c r="BH168" i="6"/>
  <c r="BG168" i="6"/>
  <c r="BF168" i="6"/>
  <c r="BE168" i="6"/>
  <c r="BD168" i="6"/>
  <c r="AV167" i="6"/>
  <c r="AW167" i="6"/>
  <c r="BE167" i="6" s="1"/>
  <c r="AX167" i="6"/>
  <c r="BF167" i="6" s="1"/>
  <c r="AY167" i="6"/>
  <c r="BG167" i="6" s="1"/>
  <c r="AZ167" i="6"/>
  <c r="BA167" i="6"/>
  <c r="BI167" i="6" s="1"/>
  <c r="BB167" i="6"/>
  <c r="BJ167" i="6" s="1"/>
  <c r="AU167" i="6"/>
  <c r="AM167" i="6"/>
  <c r="AF167" i="6"/>
  <c r="AW166" i="6"/>
  <c r="BE166" i="6" s="1"/>
  <c r="AX166" i="6"/>
  <c r="BF166" i="6" s="1"/>
  <c r="AY166" i="6"/>
  <c r="BG166" i="6" s="1"/>
  <c r="AY154" i="6"/>
  <c r="BG154" i="6" s="1"/>
  <c r="AY162" i="6"/>
  <c r="AZ166" i="6"/>
  <c r="BH166" i="6" s="1"/>
  <c r="AU166" i="6"/>
  <c r="AM166" i="6"/>
  <c r="AF166" i="6"/>
  <c r="BJ166" i="6"/>
  <c r="BI166" i="6"/>
  <c r="BD166" i="6"/>
  <c r="BC165" i="6"/>
  <c r="AU165" i="6"/>
  <c r="AM165" i="6"/>
  <c r="AF165" i="6"/>
  <c r="BJ165" i="6"/>
  <c r="BI165" i="6"/>
  <c r="BH165" i="6"/>
  <c r="BG165" i="6"/>
  <c r="BF165" i="6"/>
  <c r="BE165" i="6"/>
  <c r="BD165" i="6"/>
  <c r="BC164" i="6"/>
  <c r="AU164" i="6"/>
  <c r="AM164" i="6"/>
  <c r="AF164" i="6"/>
  <c r="BJ164" i="6"/>
  <c r="BI164" i="6"/>
  <c r="BH164" i="6"/>
  <c r="BG164" i="6"/>
  <c r="BF164" i="6"/>
  <c r="BE164" i="6"/>
  <c r="BD164" i="6"/>
  <c r="BC163" i="6"/>
  <c r="AU163" i="6"/>
  <c r="AM163" i="6"/>
  <c r="AF163" i="6"/>
  <c r="BJ163" i="6"/>
  <c r="BI163" i="6"/>
  <c r="BH163" i="6"/>
  <c r="BG163" i="6"/>
  <c r="BF163" i="6"/>
  <c r="BE163" i="6"/>
  <c r="BD163" i="6"/>
  <c r="AV162" i="6"/>
  <c r="BD162" i="6" s="1"/>
  <c r="AW162" i="6"/>
  <c r="BE162" i="6" s="1"/>
  <c r="AX162" i="6"/>
  <c r="BF162" i="6" s="1"/>
  <c r="AX154" i="6"/>
  <c r="AZ162" i="6"/>
  <c r="BH162" i="6" s="1"/>
  <c r="AU162" i="6"/>
  <c r="AM162" i="6"/>
  <c r="AF162" i="6"/>
  <c r="BJ162" i="6"/>
  <c r="BI162" i="6"/>
  <c r="BC161" i="6"/>
  <c r="AU161" i="6"/>
  <c r="AM161" i="6"/>
  <c r="AF161" i="6"/>
  <c r="BJ161" i="6"/>
  <c r="BI161" i="6"/>
  <c r="BH161" i="6"/>
  <c r="BG161" i="6"/>
  <c r="BF161" i="6"/>
  <c r="BE161" i="6"/>
  <c r="BD161" i="6"/>
  <c r="BC160" i="6"/>
  <c r="AU160" i="6"/>
  <c r="AM160" i="6"/>
  <c r="AF160" i="6"/>
  <c r="BJ160" i="6"/>
  <c r="BI160" i="6"/>
  <c r="BH160" i="6"/>
  <c r="BG160" i="6"/>
  <c r="BF160" i="6"/>
  <c r="BE160" i="6"/>
  <c r="BD160" i="6"/>
  <c r="BC158" i="6"/>
  <c r="AU158" i="6"/>
  <c r="AM158" i="6"/>
  <c r="AF158" i="6"/>
  <c r="BJ158" i="6"/>
  <c r="BI158" i="6"/>
  <c r="BH158" i="6"/>
  <c r="AZ154" i="6"/>
  <c r="BH155" i="6"/>
  <c r="BH156" i="6"/>
  <c r="BH157" i="6"/>
  <c r="BG158" i="6"/>
  <c r="BF158" i="6"/>
  <c r="BE158" i="6"/>
  <c r="BD158" i="6"/>
  <c r="BC157" i="6"/>
  <c r="AU157" i="6"/>
  <c r="AM157" i="6"/>
  <c r="AF157" i="6"/>
  <c r="BJ157" i="6"/>
  <c r="BI157" i="6"/>
  <c r="BG157" i="6"/>
  <c r="BF157" i="6"/>
  <c r="BE157" i="6"/>
  <c r="BD157" i="6"/>
  <c r="BC156" i="6"/>
  <c r="AU156" i="6"/>
  <c r="AM156" i="6"/>
  <c r="AF156" i="6"/>
  <c r="AF154" i="6"/>
  <c r="AF155" i="6"/>
  <c r="BJ156" i="6"/>
  <c r="BI156" i="6"/>
  <c r="BG156" i="6"/>
  <c r="BF156" i="6"/>
  <c r="BE156" i="6"/>
  <c r="BD156" i="6"/>
  <c r="BC155" i="6"/>
  <c r="AU155" i="6"/>
  <c r="AM155" i="6"/>
  <c r="BJ155" i="6"/>
  <c r="BI155" i="6"/>
  <c r="BG155" i="6"/>
  <c r="BF155" i="6"/>
  <c r="BE155" i="6"/>
  <c r="BD155" i="6"/>
  <c r="BD154" i="6"/>
  <c r="AW154" i="6"/>
  <c r="BE154" i="6" s="1"/>
  <c r="BA154" i="6"/>
  <c r="BB154" i="6"/>
  <c r="BJ154" i="6" s="1"/>
  <c r="AU154" i="6"/>
  <c r="AM154" i="6"/>
  <c r="AD153" i="6"/>
  <c r="AS153" i="6"/>
  <c r="AR153" i="6"/>
  <c r="AP153" i="6"/>
  <c r="AO153" i="6"/>
  <c r="AN153" i="6"/>
  <c r="AL153" i="6"/>
  <c r="AJ153" i="6"/>
  <c r="AH153" i="6"/>
  <c r="AG153" i="6"/>
  <c r="AC153" i="6"/>
  <c r="AA153" i="6"/>
  <c r="Y153" i="6"/>
  <c r="AU151" i="6"/>
  <c r="AM151" i="6"/>
  <c r="AF151" i="6"/>
  <c r="AX151" i="6"/>
  <c r="BJ151" i="6"/>
  <c r="BI151" i="6"/>
  <c r="BH151" i="6"/>
  <c r="BG151" i="6"/>
  <c r="BE151" i="6"/>
  <c r="BD151" i="6"/>
  <c r="BC150" i="6"/>
  <c r="AU150" i="6"/>
  <c r="AM150" i="6"/>
  <c r="AF150" i="6"/>
  <c r="BJ150" i="6"/>
  <c r="BI150" i="6"/>
  <c r="BH150" i="6"/>
  <c r="BG150" i="6"/>
  <c r="BF150" i="6"/>
  <c r="BE150" i="6"/>
  <c r="BD150" i="6"/>
  <c r="AP149" i="6"/>
  <c r="AF149" i="6"/>
  <c r="BJ149" i="6"/>
  <c r="BI149" i="6"/>
  <c r="BH149" i="6"/>
  <c r="BG149" i="6"/>
  <c r="BE149" i="6"/>
  <c r="BD149" i="6"/>
  <c r="BC148" i="6"/>
  <c r="AU148" i="6"/>
  <c r="AM148" i="6"/>
  <c r="AF148" i="6"/>
  <c r="BJ148" i="6"/>
  <c r="BI148" i="6"/>
  <c r="BH148" i="6"/>
  <c r="BG148" i="6"/>
  <c r="BF148" i="6"/>
  <c r="BE148" i="6"/>
  <c r="BD148" i="6"/>
  <c r="AM146" i="6"/>
  <c r="AG144" i="6"/>
  <c r="AH144" i="6"/>
  <c r="AJ144" i="6"/>
  <c r="AK144" i="6"/>
  <c r="AL144" i="6"/>
  <c r="AF147" i="6"/>
  <c r="BJ147" i="6"/>
  <c r="BI147" i="6"/>
  <c r="BH147" i="6"/>
  <c r="BG147" i="6"/>
  <c r="BE147" i="6"/>
  <c r="BD147" i="6"/>
  <c r="AF146" i="6"/>
  <c r="BJ146" i="6"/>
  <c r="BI146" i="6"/>
  <c r="BH146" i="6"/>
  <c r="BG146" i="6"/>
  <c r="BE146" i="6"/>
  <c r="BD146" i="6"/>
  <c r="BC145" i="6"/>
  <c r="AU145" i="6"/>
  <c r="AM145" i="6"/>
  <c r="AF145" i="6"/>
  <c r="BJ145" i="6"/>
  <c r="BI145" i="6"/>
  <c r="BH145" i="6"/>
  <c r="BG145" i="6"/>
  <c r="BF145" i="6"/>
  <c r="BE145" i="6"/>
  <c r="BD145" i="6"/>
  <c r="AN144" i="6"/>
  <c r="AO144" i="6"/>
  <c r="AW144" i="6"/>
  <c r="Z144" i="6"/>
  <c r="AQ144" i="6"/>
  <c r="AR144" i="6"/>
  <c r="AS144" i="6"/>
  <c r="AS118" i="6" s="1"/>
  <c r="AT144" i="6"/>
  <c r="BB144" i="6"/>
  <c r="AE144" i="6"/>
  <c r="AE119" i="6"/>
  <c r="AE134" i="6"/>
  <c r="AA144" i="6"/>
  <c r="Y144" i="6"/>
  <c r="AB144" i="6"/>
  <c r="AC144" i="6"/>
  <c r="AD144" i="6"/>
  <c r="AV144" i="6"/>
  <c r="AY144" i="6"/>
  <c r="BG144" i="6" s="1"/>
  <c r="AZ144" i="6"/>
  <c r="BA144" i="6"/>
  <c r="BA119" i="6"/>
  <c r="BA134" i="6"/>
  <c r="BC143" i="6"/>
  <c r="AU143" i="6"/>
  <c r="AM143" i="6"/>
  <c r="AF143" i="6"/>
  <c r="BJ143" i="6"/>
  <c r="BI143" i="6"/>
  <c r="BH143" i="6"/>
  <c r="BG143" i="6"/>
  <c r="BF143" i="6"/>
  <c r="BE143" i="6"/>
  <c r="BD143" i="6"/>
  <c r="AP142" i="6"/>
  <c r="AF142" i="6"/>
  <c r="BJ142" i="6"/>
  <c r="BI142" i="6"/>
  <c r="BH142" i="6"/>
  <c r="BG142" i="6"/>
  <c r="BE142" i="6"/>
  <c r="BD142" i="6"/>
  <c r="BC141" i="6"/>
  <c r="AU141" i="6"/>
  <c r="AM141" i="6"/>
  <c r="AF141" i="6"/>
  <c r="BJ141" i="6"/>
  <c r="BI141" i="6"/>
  <c r="BH141" i="6"/>
  <c r="BG141" i="6"/>
  <c r="BF141" i="6"/>
  <c r="BE141" i="6"/>
  <c r="BD141" i="6"/>
  <c r="BC140" i="6"/>
  <c r="AU140" i="6"/>
  <c r="AM140" i="6"/>
  <c r="AF140" i="6"/>
  <c r="BJ140" i="6"/>
  <c r="BI140" i="6"/>
  <c r="BH140" i="6"/>
  <c r="BG140" i="6"/>
  <c r="BF140" i="6"/>
  <c r="BE140" i="6"/>
  <c r="BD140" i="6"/>
  <c r="AM139" i="6"/>
  <c r="BJ139" i="6"/>
  <c r="BI139" i="6"/>
  <c r="BH139" i="6"/>
  <c r="BG139" i="6"/>
  <c r="BE139" i="6"/>
  <c r="BD139" i="6"/>
  <c r="BC138" i="6"/>
  <c r="AU138" i="6"/>
  <c r="AM138" i="6"/>
  <c r="AF138" i="6"/>
  <c r="BJ138" i="6"/>
  <c r="BI138" i="6"/>
  <c r="BH138" i="6"/>
  <c r="BG138" i="6"/>
  <c r="BF138" i="6"/>
  <c r="BE138" i="6"/>
  <c r="BC137" i="6"/>
  <c r="AU137" i="6"/>
  <c r="AM137" i="6"/>
  <c r="AF137" i="6"/>
  <c r="BJ137" i="6"/>
  <c r="BI137" i="6"/>
  <c r="BH137" i="6"/>
  <c r="BG137" i="6"/>
  <c r="BF137" i="6"/>
  <c r="BE137" i="6"/>
  <c r="BD137" i="6"/>
  <c r="BC136" i="6"/>
  <c r="AU136" i="6"/>
  <c r="AM136" i="6"/>
  <c r="AF136" i="6"/>
  <c r="BJ136" i="6"/>
  <c r="BI136" i="6"/>
  <c r="BH136" i="6"/>
  <c r="BG136" i="6"/>
  <c r="BF136" i="6"/>
  <c r="BE136" i="6"/>
  <c r="BD136" i="6"/>
  <c r="BC135" i="6"/>
  <c r="AU135" i="6"/>
  <c r="AM135" i="6"/>
  <c r="AF135" i="6"/>
  <c r="BJ135" i="6"/>
  <c r="BI135" i="6"/>
  <c r="BH135" i="6"/>
  <c r="BG135" i="6"/>
  <c r="BF135" i="6"/>
  <c r="BE135" i="6"/>
  <c r="BD135" i="6"/>
  <c r="AN134" i="6"/>
  <c r="AO134" i="6"/>
  <c r="AO119" i="6"/>
  <c r="AQ134" i="6"/>
  <c r="AR134" i="6"/>
  <c r="AS134" i="6"/>
  <c r="AT134" i="6"/>
  <c r="AQ119" i="6"/>
  <c r="AY119" i="6"/>
  <c r="AJ119" i="6"/>
  <c r="AJ134" i="6"/>
  <c r="AB119" i="6"/>
  <c r="AY134" i="6"/>
  <c r="AB134" i="6"/>
  <c r="Y134" i="6"/>
  <c r="AG134" i="6"/>
  <c r="AH134" i="6"/>
  <c r="AK134" i="6"/>
  <c r="AL134" i="6"/>
  <c r="Z134" i="6"/>
  <c r="AC134" i="6"/>
  <c r="AD134" i="6"/>
  <c r="AV134" i="6"/>
  <c r="AW134" i="6"/>
  <c r="AW119" i="6"/>
  <c r="AZ134" i="6"/>
  <c r="BB134" i="6"/>
  <c r="BB119" i="6"/>
  <c r="AK119" i="6"/>
  <c r="AF133" i="6"/>
  <c r="BJ133" i="6"/>
  <c r="BI133" i="6"/>
  <c r="BH133" i="6"/>
  <c r="BG133" i="6"/>
  <c r="BE133" i="6"/>
  <c r="BD133" i="6"/>
  <c r="BC132" i="6"/>
  <c r="AU132" i="6"/>
  <c r="AM132" i="6"/>
  <c r="BJ132" i="6"/>
  <c r="BI132" i="6"/>
  <c r="BH132" i="6"/>
  <c r="BG132" i="6"/>
  <c r="BF132" i="6"/>
  <c r="BE132" i="6"/>
  <c r="BD132" i="6"/>
  <c r="AF132" i="6"/>
  <c r="BC131" i="6"/>
  <c r="AU131" i="6"/>
  <c r="AM131" i="6"/>
  <c r="AF131" i="6"/>
  <c r="BJ131" i="6"/>
  <c r="BI131" i="6"/>
  <c r="BH131" i="6"/>
  <c r="BG131" i="6"/>
  <c r="BF131" i="6"/>
  <c r="BE131" i="6"/>
  <c r="BD131" i="6"/>
  <c r="BC130" i="6"/>
  <c r="AU130" i="6"/>
  <c r="AM130" i="6"/>
  <c r="AF130" i="6"/>
  <c r="BJ130" i="6"/>
  <c r="BI130" i="6"/>
  <c r="BH130" i="6"/>
  <c r="BG130" i="6"/>
  <c r="BF130" i="6"/>
  <c r="BE130" i="6"/>
  <c r="BD130" i="6"/>
  <c r="AF129" i="6"/>
  <c r="AP129" i="6"/>
  <c r="AM129" i="6"/>
  <c r="BJ129" i="6"/>
  <c r="BI129" i="6"/>
  <c r="BH129" i="6"/>
  <c r="BG129" i="6"/>
  <c r="BE129" i="6"/>
  <c r="BD129" i="6"/>
  <c r="BC128" i="6"/>
  <c r="AM128" i="6"/>
  <c r="AF128" i="6"/>
  <c r="AU128" i="6"/>
  <c r="BJ128" i="6"/>
  <c r="BI128" i="6"/>
  <c r="BH128" i="6"/>
  <c r="BG128" i="6"/>
  <c r="BF128" i="6"/>
  <c r="BE128" i="6"/>
  <c r="BD128" i="6"/>
  <c r="BC127" i="6"/>
  <c r="AU127" i="6"/>
  <c r="AM127" i="6"/>
  <c r="AF127" i="6"/>
  <c r="BJ127" i="6"/>
  <c r="BI127" i="6"/>
  <c r="BH127" i="6"/>
  <c r="BG127" i="6"/>
  <c r="BF127" i="6"/>
  <c r="BE127" i="6"/>
  <c r="BD127" i="6"/>
  <c r="AF126" i="6"/>
  <c r="AP126" i="6"/>
  <c r="BJ126" i="6"/>
  <c r="BI126" i="6"/>
  <c r="BH126" i="6"/>
  <c r="BG126" i="6"/>
  <c r="BE126" i="6"/>
  <c r="BD126" i="6"/>
  <c r="AP125" i="6"/>
  <c r="AX125" i="6" s="1"/>
  <c r="AF125" i="6"/>
  <c r="BJ125" i="6"/>
  <c r="BI125" i="6"/>
  <c r="BH125" i="6"/>
  <c r="BG125" i="6"/>
  <c r="BE125" i="6"/>
  <c r="BD125" i="6"/>
  <c r="AF124" i="6"/>
  <c r="BJ124" i="6"/>
  <c r="BI124" i="6"/>
  <c r="BH124" i="6"/>
  <c r="BG124" i="6"/>
  <c r="BE124" i="6"/>
  <c r="BD124" i="6"/>
  <c r="BC123" i="6"/>
  <c r="AU123" i="6"/>
  <c r="AM123" i="6"/>
  <c r="AF123" i="6"/>
  <c r="BJ123" i="6"/>
  <c r="BI123" i="6"/>
  <c r="BH123" i="6"/>
  <c r="BG123" i="6"/>
  <c r="BF123" i="6"/>
  <c r="BE123" i="6"/>
  <c r="BD123" i="6"/>
  <c r="BC122" i="6"/>
  <c r="AU122" i="6"/>
  <c r="AM122" i="6"/>
  <c r="AF122" i="6"/>
  <c r="BJ122" i="6"/>
  <c r="BI122" i="6"/>
  <c r="BH122" i="6"/>
  <c r="BG122" i="6"/>
  <c r="BF122" i="6"/>
  <c r="BE122" i="6"/>
  <c r="BD122" i="6"/>
  <c r="AP121" i="6"/>
  <c r="AX121" i="6" s="1"/>
  <c r="AM121" i="6"/>
  <c r="AF121" i="6"/>
  <c r="BJ121" i="6"/>
  <c r="BI121" i="6"/>
  <c r="BH121" i="6"/>
  <c r="BG121" i="6"/>
  <c r="BE121" i="6"/>
  <c r="BD121" i="6"/>
  <c r="AU120" i="6"/>
  <c r="AF120" i="6"/>
  <c r="BC120" i="6"/>
  <c r="AM120" i="6"/>
  <c r="BJ120" i="6"/>
  <c r="BI120" i="6"/>
  <c r="BH120" i="6"/>
  <c r="BG120" i="6"/>
  <c r="BF120" i="6"/>
  <c r="BE120" i="6"/>
  <c r="BD120" i="6"/>
  <c r="AN119" i="6"/>
  <c r="AR119" i="6"/>
  <c r="AS119" i="6"/>
  <c r="AT119" i="6"/>
  <c r="AA119" i="6"/>
  <c r="Y119" i="6"/>
  <c r="AV119" i="6"/>
  <c r="AG119" i="6"/>
  <c r="AG118" i="6" s="1"/>
  <c r="Z119" i="6"/>
  <c r="AF119" i="6" s="1"/>
  <c r="AC119" i="6"/>
  <c r="AD119" i="6"/>
  <c r="AZ119" i="6"/>
  <c r="BH119" i="6" s="1"/>
  <c r="AL119" i="6"/>
  <c r="AH119" i="6"/>
  <c r="AP7" i="6"/>
  <c r="AP42" i="6"/>
  <c r="AP74" i="6"/>
  <c r="AP85" i="6"/>
  <c r="AP97" i="6"/>
  <c r="AN97" i="6"/>
  <c r="AO97" i="6"/>
  <c r="AQ97" i="6"/>
  <c r="AR97" i="6"/>
  <c r="AS97" i="6"/>
  <c r="AT97" i="6"/>
  <c r="AP107" i="6"/>
  <c r="AN107" i="6"/>
  <c r="AO107" i="6"/>
  <c r="AQ107" i="6"/>
  <c r="AR107" i="6"/>
  <c r="AS107" i="6"/>
  <c r="AT107" i="6"/>
  <c r="AT106" i="6" s="1"/>
  <c r="AP113" i="6"/>
  <c r="AX113" i="6"/>
  <c r="AA113" i="6"/>
  <c r="BJ117" i="6"/>
  <c r="BI117" i="6"/>
  <c r="BH117" i="6"/>
  <c r="BG117" i="6"/>
  <c r="BF117" i="6"/>
  <c r="BE117" i="6"/>
  <c r="BD117" i="6"/>
  <c r="BJ116" i="6"/>
  <c r="BI116" i="6"/>
  <c r="BH116" i="6"/>
  <c r="BG116" i="6"/>
  <c r="BF116" i="6"/>
  <c r="BE116" i="6"/>
  <c r="BD116" i="6"/>
  <c r="BJ115" i="6"/>
  <c r="BI115" i="6"/>
  <c r="BH115" i="6"/>
  <c r="BG115" i="6"/>
  <c r="BF115" i="6"/>
  <c r="BE115" i="6"/>
  <c r="BD115" i="6"/>
  <c r="BJ114" i="6"/>
  <c r="BI114" i="6"/>
  <c r="BH114" i="6"/>
  <c r="BG114" i="6"/>
  <c r="BF114" i="6"/>
  <c r="BE114" i="6"/>
  <c r="BD114" i="6"/>
  <c r="AV113" i="6"/>
  <c r="AW113" i="6"/>
  <c r="AY113" i="6"/>
  <c r="AQ113" i="6"/>
  <c r="AJ113" i="6"/>
  <c r="AM113" i="6" s="1"/>
  <c r="AB113" i="6"/>
  <c r="AZ113" i="6"/>
  <c r="BA113" i="6"/>
  <c r="BB113" i="6"/>
  <c r="AN113" i="6"/>
  <c r="AO113" i="6"/>
  <c r="AR113" i="6"/>
  <c r="AS113" i="6"/>
  <c r="BI113" i="6" s="1"/>
  <c r="AT113" i="6"/>
  <c r="AG113" i="6"/>
  <c r="AH113" i="6"/>
  <c r="Z113" i="6"/>
  <c r="AK113" i="6"/>
  <c r="AL113" i="6"/>
  <c r="Z107" i="6"/>
  <c r="AE113" i="6"/>
  <c r="Y113" i="6"/>
  <c r="AC113" i="6"/>
  <c r="AD113" i="6"/>
  <c r="AD107" i="6"/>
  <c r="BA107" i="6"/>
  <c r="BA106" i="6" s="1"/>
  <c r="AE107" i="6"/>
  <c r="AF112" i="6"/>
  <c r="BJ112" i="6"/>
  <c r="BI112" i="6"/>
  <c r="BH112" i="6"/>
  <c r="BG112" i="6"/>
  <c r="BF112" i="6"/>
  <c r="BE112" i="6"/>
  <c r="BD112" i="6"/>
  <c r="AF111" i="6"/>
  <c r="BJ111" i="6"/>
  <c r="BI111" i="6"/>
  <c r="BH111" i="6"/>
  <c r="BG111" i="6"/>
  <c r="BF111" i="6"/>
  <c r="BE111" i="6"/>
  <c r="BD111" i="6"/>
  <c r="AF110" i="6"/>
  <c r="BJ110" i="6"/>
  <c r="BI110" i="6"/>
  <c r="BH110" i="6"/>
  <c r="BG110" i="6"/>
  <c r="BF110" i="6"/>
  <c r="BE110" i="6"/>
  <c r="BD110" i="6"/>
  <c r="X110" i="6"/>
  <c r="BC109" i="6"/>
  <c r="AU109" i="6"/>
  <c r="AM109" i="6"/>
  <c r="AF109" i="6"/>
  <c r="BJ109" i="6"/>
  <c r="BI109" i="6"/>
  <c r="BH109" i="6"/>
  <c r="BG109" i="6"/>
  <c r="BF109" i="6"/>
  <c r="BE109" i="6"/>
  <c r="BD109" i="6"/>
  <c r="X109" i="6"/>
  <c r="BC108" i="6"/>
  <c r="BK108" i="6" s="1"/>
  <c r="AU108" i="6"/>
  <c r="AM108" i="6"/>
  <c r="AF108" i="6"/>
  <c r="BJ108" i="6"/>
  <c r="BI108" i="6"/>
  <c r="BH108" i="6"/>
  <c r="BG108" i="6"/>
  <c r="BF108" i="6"/>
  <c r="BE108" i="6"/>
  <c r="BD108" i="6"/>
  <c r="X108" i="6"/>
  <c r="AV107" i="6"/>
  <c r="BD107" i="6" s="1"/>
  <c r="AG107" i="6"/>
  <c r="Y107" i="6"/>
  <c r="AW107" i="6"/>
  <c r="AX107" i="6"/>
  <c r="BF107" i="6" s="1"/>
  <c r="AY107" i="6"/>
  <c r="AZ107" i="6"/>
  <c r="AZ106" i="6" s="1"/>
  <c r="BB107" i="6"/>
  <c r="AJ107" i="6"/>
  <c r="AB107" i="6"/>
  <c r="AH107" i="6"/>
  <c r="AK107" i="6"/>
  <c r="AL107" i="6"/>
  <c r="AL106" i="6" s="1"/>
  <c r="AA107" i="6"/>
  <c r="AA106" i="6" s="1"/>
  <c r="AC107" i="6"/>
  <c r="BC105" i="6"/>
  <c r="AU105" i="6"/>
  <c r="AM105" i="6"/>
  <c r="AF105" i="6"/>
  <c r="BJ105" i="6"/>
  <c r="BI105" i="6"/>
  <c r="BH105" i="6"/>
  <c r="BG105" i="6"/>
  <c r="BF105" i="6"/>
  <c r="BE105" i="6"/>
  <c r="BD105" i="6"/>
  <c r="BC104" i="6"/>
  <c r="AU104" i="6"/>
  <c r="AM104" i="6"/>
  <c r="AF104" i="6"/>
  <c r="BJ104" i="6"/>
  <c r="BI104" i="6"/>
  <c r="BH104" i="6"/>
  <c r="BG104" i="6"/>
  <c r="BF104" i="6"/>
  <c r="BE104" i="6"/>
  <c r="BD104" i="6"/>
  <c r="BC103" i="6"/>
  <c r="AU103" i="6"/>
  <c r="AM103" i="6"/>
  <c r="AF103" i="6"/>
  <c r="BL103" i="6" s="1"/>
  <c r="BJ103" i="6"/>
  <c r="BI103" i="6"/>
  <c r="BH103" i="6"/>
  <c r="BG103" i="6"/>
  <c r="BF103" i="6"/>
  <c r="BE103" i="6"/>
  <c r="BD103" i="6"/>
  <c r="BC102" i="6"/>
  <c r="AU102" i="6"/>
  <c r="AM102" i="6"/>
  <c r="AF102" i="6"/>
  <c r="BJ102" i="6"/>
  <c r="BI102" i="6"/>
  <c r="BH102" i="6"/>
  <c r="BG102" i="6"/>
  <c r="BF102" i="6"/>
  <c r="BE102" i="6"/>
  <c r="BD102" i="6"/>
  <c r="BC101" i="6"/>
  <c r="AU101" i="6"/>
  <c r="AM101" i="6"/>
  <c r="AF101" i="6"/>
  <c r="BJ101" i="6"/>
  <c r="BI101" i="6"/>
  <c r="BH101" i="6"/>
  <c r="BG101" i="6"/>
  <c r="BF101" i="6"/>
  <c r="BE101" i="6"/>
  <c r="BD101" i="6"/>
  <c r="AU100" i="6"/>
  <c r="AM100" i="6"/>
  <c r="AF100" i="6"/>
  <c r="BL100" i="6" s="1"/>
  <c r="BC100" i="6"/>
  <c r="BJ100" i="6"/>
  <c r="BI100" i="6"/>
  <c r="BH100" i="6"/>
  <c r="BG100" i="6"/>
  <c r="BF100" i="6"/>
  <c r="BE100" i="6"/>
  <c r="BD100" i="6"/>
  <c r="BC99" i="6"/>
  <c r="AU99" i="6"/>
  <c r="AM99" i="6"/>
  <c r="AF99" i="6"/>
  <c r="BL99" i="6" s="1"/>
  <c r="BJ99" i="6"/>
  <c r="BI99" i="6"/>
  <c r="BH99" i="6"/>
  <c r="BG99" i="6"/>
  <c r="BF99" i="6"/>
  <c r="BE99" i="6"/>
  <c r="BD99" i="6"/>
  <c r="BC98" i="6"/>
  <c r="AU98" i="6"/>
  <c r="AM98" i="6"/>
  <c r="AF98" i="6"/>
  <c r="BJ98" i="6"/>
  <c r="BI98" i="6"/>
  <c r="BH98" i="6"/>
  <c r="BG98" i="6"/>
  <c r="BF98" i="6"/>
  <c r="BE98" i="6"/>
  <c r="BD98" i="6"/>
  <c r="AV97" i="6"/>
  <c r="AW97" i="6"/>
  <c r="AX97" i="6"/>
  <c r="AY97" i="6"/>
  <c r="AJ97" i="6"/>
  <c r="AB97" i="6"/>
  <c r="AZ97" i="6"/>
  <c r="AZ85" i="6"/>
  <c r="BA97" i="6"/>
  <c r="BA85" i="6"/>
  <c r="BB97" i="6"/>
  <c r="AG97" i="6"/>
  <c r="AH97" i="6"/>
  <c r="AH85" i="6"/>
  <c r="AH84" i="6" s="1"/>
  <c r="AK97" i="6"/>
  <c r="AL97" i="6"/>
  <c r="Y97" i="6"/>
  <c r="Z97" i="6"/>
  <c r="Z85" i="6"/>
  <c r="AA97" i="6"/>
  <c r="AC97" i="6"/>
  <c r="AD97" i="6"/>
  <c r="AE97" i="6"/>
  <c r="BC96" i="6"/>
  <c r="AU96" i="6"/>
  <c r="AM96" i="6"/>
  <c r="AF96" i="6"/>
  <c r="BJ96" i="6"/>
  <c r="BI96" i="6"/>
  <c r="BH96" i="6"/>
  <c r="BG96" i="6"/>
  <c r="BF96" i="6"/>
  <c r="BE96" i="6"/>
  <c r="BD96" i="6"/>
  <c r="BC95" i="6"/>
  <c r="AU95" i="6"/>
  <c r="AM95" i="6"/>
  <c r="AF95" i="6"/>
  <c r="BJ95" i="6"/>
  <c r="BI95" i="6"/>
  <c r="BH95" i="6"/>
  <c r="BG95" i="6"/>
  <c r="BF95" i="6"/>
  <c r="BE95" i="6"/>
  <c r="BD95" i="6"/>
  <c r="BC94" i="6"/>
  <c r="AU94" i="6"/>
  <c r="AM94" i="6"/>
  <c r="AF94" i="6"/>
  <c r="BJ94" i="6"/>
  <c r="BI94" i="6"/>
  <c r="BH94" i="6"/>
  <c r="BG94" i="6"/>
  <c r="BF94" i="6"/>
  <c r="BE94" i="6"/>
  <c r="BD94" i="6"/>
  <c r="BC93" i="6"/>
  <c r="AU93" i="6"/>
  <c r="BK93" i="6" s="1"/>
  <c r="AM93" i="6"/>
  <c r="AF93" i="6"/>
  <c r="BJ93" i="6"/>
  <c r="BI93" i="6"/>
  <c r="BH93" i="6"/>
  <c r="BG93" i="6"/>
  <c r="BF93" i="6"/>
  <c r="BE93" i="6"/>
  <c r="BD93" i="6"/>
  <c r="BC92" i="6"/>
  <c r="AU92" i="6"/>
  <c r="AM92" i="6"/>
  <c r="AF92" i="6"/>
  <c r="BJ92" i="6"/>
  <c r="BI92" i="6"/>
  <c r="BH92" i="6"/>
  <c r="BG92" i="6"/>
  <c r="BF92" i="6"/>
  <c r="BE92" i="6"/>
  <c r="BD92" i="6"/>
  <c r="BC91" i="6"/>
  <c r="AU91" i="6"/>
  <c r="AM91" i="6"/>
  <c r="AF91" i="6"/>
  <c r="BJ91" i="6"/>
  <c r="BI91" i="6"/>
  <c r="BH91" i="6"/>
  <c r="BG91" i="6"/>
  <c r="BF91" i="6"/>
  <c r="BE91" i="6"/>
  <c r="BD91" i="6"/>
  <c r="BC90" i="6"/>
  <c r="AU90" i="6"/>
  <c r="AM90" i="6"/>
  <c r="AF90" i="6"/>
  <c r="BJ90" i="6"/>
  <c r="BI90" i="6"/>
  <c r="BH90" i="6"/>
  <c r="BG90" i="6"/>
  <c r="BF90" i="6"/>
  <c r="BE90" i="6"/>
  <c r="BD90" i="6"/>
  <c r="BC89" i="6"/>
  <c r="AU89" i="6"/>
  <c r="AM89" i="6"/>
  <c r="AF89" i="6"/>
  <c r="BJ89" i="6"/>
  <c r="BI89" i="6"/>
  <c r="BH89" i="6"/>
  <c r="BG89" i="6"/>
  <c r="BF89" i="6"/>
  <c r="BE89" i="6"/>
  <c r="BD89" i="6"/>
  <c r="BC88" i="6"/>
  <c r="AU88" i="6"/>
  <c r="AM88" i="6"/>
  <c r="AF88" i="6"/>
  <c r="BJ88" i="6"/>
  <c r="BI88" i="6"/>
  <c r="BH88" i="6"/>
  <c r="BG88" i="6"/>
  <c r="BF88" i="6"/>
  <c r="BE88" i="6"/>
  <c r="BD88" i="6"/>
  <c r="BC87" i="6"/>
  <c r="AU87" i="6"/>
  <c r="AM87" i="6"/>
  <c r="AF87" i="6"/>
  <c r="BL87" i="6" s="1"/>
  <c r="BJ87" i="6"/>
  <c r="BI87" i="6"/>
  <c r="BH87" i="6"/>
  <c r="BG87" i="6"/>
  <c r="BF87" i="6"/>
  <c r="BE87" i="6"/>
  <c r="BD87" i="6"/>
  <c r="BC86" i="6"/>
  <c r="AU86" i="6"/>
  <c r="AM86" i="6"/>
  <c r="AF86" i="6"/>
  <c r="BJ86" i="6"/>
  <c r="BI86" i="6"/>
  <c r="BH86" i="6"/>
  <c r="BG86" i="6"/>
  <c r="BF86" i="6"/>
  <c r="BE86" i="6"/>
  <c r="BD86" i="6"/>
  <c r="AV85" i="6"/>
  <c r="AV84" i="6" s="1"/>
  <c r="AW85" i="6"/>
  <c r="AX85" i="6"/>
  <c r="AY85" i="6"/>
  <c r="AR85" i="6"/>
  <c r="AK85" i="6"/>
  <c r="AK84" i="6" s="1"/>
  <c r="AC85" i="6"/>
  <c r="BB85" i="6"/>
  <c r="AN85" i="6"/>
  <c r="AO85" i="6"/>
  <c r="AO84" i="6" s="1"/>
  <c r="AQ85" i="6"/>
  <c r="AS85" i="6"/>
  <c r="AT85" i="6"/>
  <c r="AG85" i="6"/>
  <c r="AM85" i="6" s="1"/>
  <c r="AJ85" i="6"/>
  <c r="AL85" i="6"/>
  <c r="AL84" i="6" s="1"/>
  <c r="Y85" i="6"/>
  <c r="AA85" i="6"/>
  <c r="AA84" i="6" s="1"/>
  <c r="AB85" i="6"/>
  <c r="AD85" i="6"/>
  <c r="AE85" i="6"/>
  <c r="AF83" i="6"/>
  <c r="BK83" i="6" s="1"/>
  <c r="BC83" i="6"/>
  <c r="AU83" i="6"/>
  <c r="AM83" i="6"/>
  <c r="BJ83" i="6"/>
  <c r="BI83" i="6"/>
  <c r="BH83" i="6"/>
  <c r="BG83" i="6"/>
  <c r="BF83" i="6"/>
  <c r="BE83" i="6"/>
  <c r="BD83" i="6"/>
  <c r="AM82" i="6"/>
  <c r="AF82" i="6"/>
  <c r="BC82" i="6"/>
  <c r="AU82" i="6"/>
  <c r="BJ82" i="6"/>
  <c r="BI82" i="6"/>
  <c r="BH82" i="6"/>
  <c r="BG82" i="6"/>
  <c r="BF82" i="6"/>
  <c r="BE82" i="6"/>
  <c r="BD82" i="6"/>
  <c r="BC81" i="6"/>
  <c r="AU81" i="6"/>
  <c r="AM81" i="6"/>
  <c r="AF81" i="6"/>
  <c r="BJ81" i="6"/>
  <c r="BI81" i="6"/>
  <c r="BH81" i="6"/>
  <c r="BG81" i="6"/>
  <c r="BF81" i="6"/>
  <c r="BE81" i="6"/>
  <c r="BD81" i="6"/>
  <c r="BC80" i="6"/>
  <c r="AU80" i="6"/>
  <c r="AM80" i="6"/>
  <c r="AF80" i="6"/>
  <c r="BL80" i="6" s="1"/>
  <c r="BJ80" i="6"/>
  <c r="BI80" i="6"/>
  <c r="BH80" i="6"/>
  <c r="BG80" i="6"/>
  <c r="BF80" i="6"/>
  <c r="BE80" i="6"/>
  <c r="BD80" i="6"/>
  <c r="BC79" i="6"/>
  <c r="AU79" i="6"/>
  <c r="AM79" i="6"/>
  <c r="AF79" i="6"/>
  <c r="BJ79" i="6"/>
  <c r="BI79" i="6"/>
  <c r="BH79" i="6"/>
  <c r="BG79" i="6"/>
  <c r="BF79" i="6"/>
  <c r="BE79" i="6"/>
  <c r="BD79" i="6"/>
  <c r="BC78" i="6"/>
  <c r="AU78" i="6"/>
  <c r="BL78" i="6" s="1"/>
  <c r="AM78" i="6"/>
  <c r="AF78" i="6"/>
  <c r="BJ78" i="6"/>
  <c r="BI78" i="6"/>
  <c r="BH78" i="6"/>
  <c r="BG78" i="6"/>
  <c r="BF78" i="6"/>
  <c r="BE78" i="6"/>
  <c r="BD78" i="6"/>
  <c r="BC77" i="6"/>
  <c r="BC75" i="6"/>
  <c r="BC76" i="6"/>
  <c r="BC74" i="6" s="1"/>
  <c r="AU77" i="6"/>
  <c r="AM77" i="6"/>
  <c r="AF77" i="6"/>
  <c r="BJ77" i="6"/>
  <c r="BI77" i="6"/>
  <c r="BH77" i="6"/>
  <c r="BG77" i="6"/>
  <c r="BF77" i="6"/>
  <c r="BE77" i="6"/>
  <c r="BD77" i="6"/>
  <c r="AU76" i="6"/>
  <c r="AM76" i="6"/>
  <c r="AF76" i="6"/>
  <c r="BJ76" i="6"/>
  <c r="BI76" i="6"/>
  <c r="BH76" i="6"/>
  <c r="BG76" i="6"/>
  <c r="BF76" i="6"/>
  <c r="BE76" i="6"/>
  <c r="BD76" i="6"/>
  <c r="AU75" i="6"/>
  <c r="AU74" i="6" s="1"/>
  <c r="AM75" i="6"/>
  <c r="AF75" i="6"/>
  <c r="BJ75" i="6"/>
  <c r="BI75" i="6"/>
  <c r="BH75" i="6"/>
  <c r="BG75" i="6"/>
  <c r="BF75" i="6"/>
  <c r="BE75" i="6"/>
  <c r="BD75" i="6"/>
  <c r="Y74" i="6"/>
  <c r="Z74" i="6"/>
  <c r="Z50" i="6"/>
  <c r="BE50" i="6" s="1"/>
  <c r="AA74" i="6"/>
  <c r="AB74" i="6"/>
  <c r="AC74" i="6"/>
  <c r="AC49" i="6" s="1"/>
  <c r="AD74" i="6"/>
  <c r="AE74" i="6"/>
  <c r="BB74" i="6"/>
  <c r="AT74" i="6"/>
  <c r="AT50" i="6" s="1"/>
  <c r="AT49" i="6" s="1"/>
  <c r="BB50" i="6"/>
  <c r="AL74" i="6"/>
  <c r="AL50" i="6" s="1"/>
  <c r="AL49" i="6" s="1"/>
  <c r="AE50" i="6"/>
  <c r="AS74" i="6"/>
  <c r="AS50" i="6" s="1"/>
  <c r="AS49" i="6" s="1"/>
  <c r="BA74" i="6"/>
  <c r="BA50" i="6" s="1"/>
  <c r="AZ74" i="6"/>
  <c r="AR74" i="6"/>
  <c r="AR50" i="6"/>
  <c r="AR49" i="6" s="1"/>
  <c r="AK74" i="6"/>
  <c r="AK50" i="6" s="1"/>
  <c r="AK49" i="6" s="1"/>
  <c r="AY74" i="6"/>
  <c r="AY50" i="6" s="1"/>
  <c r="AQ74" i="6"/>
  <c r="AJ74" i="6"/>
  <c r="AJ50" i="6" s="1"/>
  <c r="AX74" i="6"/>
  <c r="AX49" i="6"/>
  <c r="AW74" i="6"/>
  <c r="AO74" i="6"/>
  <c r="AH74" i="6"/>
  <c r="AV74" i="6"/>
  <c r="AN74" i="6"/>
  <c r="AN50" i="6" s="1"/>
  <c r="AN49" i="6" s="1"/>
  <c r="AG74" i="6"/>
  <c r="AG50" i="6"/>
  <c r="AG49" i="6" s="1"/>
  <c r="AF73" i="6"/>
  <c r="AM73" i="6"/>
  <c r="AU73" i="6"/>
  <c r="BC73" i="6"/>
  <c r="BJ73" i="6"/>
  <c r="BI73" i="6"/>
  <c r="BH73" i="6"/>
  <c r="BG73" i="6"/>
  <c r="BF73" i="6"/>
  <c r="BE73" i="6"/>
  <c r="BD73" i="6"/>
  <c r="BC72" i="6"/>
  <c r="AU72" i="6"/>
  <c r="AM72" i="6"/>
  <c r="AF72" i="6"/>
  <c r="BJ72" i="6"/>
  <c r="BI72" i="6"/>
  <c r="BH72" i="6"/>
  <c r="BG72" i="6"/>
  <c r="BF72" i="6"/>
  <c r="BE72" i="6"/>
  <c r="BD72" i="6"/>
  <c r="BC71" i="6"/>
  <c r="AU71" i="6"/>
  <c r="AM71" i="6"/>
  <c r="AF71" i="6"/>
  <c r="BJ71" i="6"/>
  <c r="BI71" i="6"/>
  <c r="BH71" i="6"/>
  <c r="BG71" i="6"/>
  <c r="BF71" i="6"/>
  <c r="BE71" i="6"/>
  <c r="BD71" i="6"/>
  <c r="BC70" i="6"/>
  <c r="AU70" i="6"/>
  <c r="AM70" i="6"/>
  <c r="BL70" i="6" s="1"/>
  <c r="AF70" i="6"/>
  <c r="BJ70" i="6"/>
  <c r="BI70" i="6"/>
  <c r="BH70" i="6"/>
  <c r="BG70" i="6"/>
  <c r="BF70" i="6"/>
  <c r="BE70" i="6"/>
  <c r="BD70" i="6"/>
  <c r="BC69" i="6"/>
  <c r="AU69" i="6"/>
  <c r="AM69" i="6"/>
  <c r="AF69" i="6"/>
  <c r="BJ69" i="6"/>
  <c r="BI69" i="6"/>
  <c r="BH69" i="6"/>
  <c r="BG69" i="6"/>
  <c r="BF69" i="6"/>
  <c r="BE69" i="6"/>
  <c r="BD69" i="6"/>
  <c r="BC68" i="6"/>
  <c r="BK68" i="6" s="1"/>
  <c r="AU68" i="6"/>
  <c r="AM68" i="6"/>
  <c r="AF68" i="6"/>
  <c r="BJ68" i="6"/>
  <c r="BI68" i="6"/>
  <c r="BH68" i="6"/>
  <c r="BG68" i="6"/>
  <c r="BF68" i="6"/>
  <c r="BE68" i="6"/>
  <c r="BD68" i="6"/>
  <c r="BC67" i="6"/>
  <c r="AU67" i="6"/>
  <c r="AM67" i="6"/>
  <c r="AF67" i="6"/>
  <c r="BJ67" i="6"/>
  <c r="BI67" i="6"/>
  <c r="BH67" i="6"/>
  <c r="BG67" i="6"/>
  <c r="BF67" i="6"/>
  <c r="BE67" i="6"/>
  <c r="BD67" i="6"/>
  <c r="BC66" i="6"/>
  <c r="AU66" i="6"/>
  <c r="AM66" i="6"/>
  <c r="AF66" i="6"/>
  <c r="BJ66" i="6"/>
  <c r="BI66" i="6"/>
  <c r="BH66" i="6"/>
  <c r="BG66" i="6"/>
  <c r="BF66" i="6"/>
  <c r="BE66" i="6"/>
  <c r="BD66" i="6"/>
  <c r="BC65" i="6"/>
  <c r="AU65" i="6"/>
  <c r="AM65" i="6"/>
  <c r="AF65" i="6"/>
  <c r="BL65" i="6" s="1"/>
  <c r="BJ65" i="6"/>
  <c r="BI65" i="6"/>
  <c r="BH65" i="6"/>
  <c r="BG65" i="6"/>
  <c r="BF65" i="6"/>
  <c r="BE65" i="6"/>
  <c r="BD65" i="6"/>
  <c r="BC64" i="6"/>
  <c r="AU64" i="6"/>
  <c r="AM64" i="6"/>
  <c r="AF64" i="6"/>
  <c r="BJ64" i="6"/>
  <c r="BI64" i="6"/>
  <c r="BH64" i="6"/>
  <c r="BG64" i="6"/>
  <c r="BF64" i="6"/>
  <c r="BE64" i="6"/>
  <c r="BD64" i="6"/>
  <c r="BC63" i="6"/>
  <c r="AU63" i="6"/>
  <c r="AM63" i="6"/>
  <c r="AF63" i="6"/>
  <c r="BJ63" i="6"/>
  <c r="BI63" i="6"/>
  <c r="BH63" i="6"/>
  <c r="BG63" i="6"/>
  <c r="BF63" i="6"/>
  <c r="BE63" i="6"/>
  <c r="BD63" i="6"/>
  <c r="BC62" i="6"/>
  <c r="AU62" i="6"/>
  <c r="AM62" i="6"/>
  <c r="AF62" i="6"/>
  <c r="BJ62" i="6"/>
  <c r="BI62" i="6"/>
  <c r="BH62" i="6"/>
  <c r="BG62" i="6"/>
  <c r="BF62" i="6"/>
  <c r="BE62" i="6"/>
  <c r="BD62" i="6"/>
  <c r="BC61" i="6"/>
  <c r="AU61" i="6"/>
  <c r="AM61" i="6"/>
  <c r="AF61" i="6"/>
  <c r="BJ61" i="6"/>
  <c r="BI61" i="6"/>
  <c r="BH61" i="6"/>
  <c r="BG61" i="6"/>
  <c r="BF61" i="6"/>
  <c r="BE61" i="6"/>
  <c r="BD61" i="6"/>
  <c r="BC60" i="6"/>
  <c r="AU60" i="6"/>
  <c r="AM60" i="6"/>
  <c r="AF60" i="6"/>
  <c r="BJ60" i="6"/>
  <c r="BI60" i="6"/>
  <c r="BH60" i="6"/>
  <c r="BG60" i="6"/>
  <c r="BF60" i="6"/>
  <c r="BE60" i="6"/>
  <c r="BD60" i="6"/>
  <c r="BI59" i="6"/>
  <c r="BC59" i="6"/>
  <c r="AU59" i="6"/>
  <c r="AM59" i="6"/>
  <c r="AF59" i="6"/>
  <c r="BC58" i="6"/>
  <c r="AU58" i="6"/>
  <c r="AM58" i="6"/>
  <c r="AF58" i="6"/>
  <c r="BJ58" i="6"/>
  <c r="BI58" i="6"/>
  <c r="BH58" i="6"/>
  <c r="BG58" i="6"/>
  <c r="BF58" i="6"/>
  <c r="BE58" i="6"/>
  <c r="BD58" i="6"/>
  <c r="BC57" i="6"/>
  <c r="AU57" i="6"/>
  <c r="AM57" i="6"/>
  <c r="AF57" i="6"/>
  <c r="BJ57" i="6"/>
  <c r="BI57" i="6"/>
  <c r="BH57" i="6"/>
  <c r="BG57" i="6"/>
  <c r="BF57" i="6"/>
  <c r="BE57" i="6"/>
  <c r="BD57" i="6"/>
  <c r="BC56" i="6"/>
  <c r="AU56" i="6"/>
  <c r="AM56" i="6"/>
  <c r="AF56" i="6"/>
  <c r="BJ56" i="6"/>
  <c r="BI56" i="6"/>
  <c r="BH56" i="6"/>
  <c r="BG56" i="6"/>
  <c r="BF56" i="6"/>
  <c r="BE56" i="6"/>
  <c r="BD56" i="6"/>
  <c r="BC55" i="6"/>
  <c r="AU55" i="6"/>
  <c r="AM55" i="6"/>
  <c r="AF55" i="6"/>
  <c r="BJ55" i="6"/>
  <c r="BI55" i="6"/>
  <c r="BH55" i="6"/>
  <c r="BG55" i="6"/>
  <c r="BF55" i="6"/>
  <c r="BE55" i="6"/>
  <c r="BD55" i="6"/>
  <c r="AZ54" i="6"/>
  <c r="AU54" i="6"/>
  <c r="AM54" i="6"/>
  <c r="AF54" i="6"/>
  <c r="BJ54" i="6"/>
  <c r="BI54" i="6"/>
  <c r="BG54" i="6"/>
  <c r="BF54" i="6"/>
  <c r="BE54" i="6"/>
  <c r="BD54" i="6"/>
  <c r="BC53" i="6"/>
  <c r="AU53" i="6"/>
  <c r="AM53" i="6"/>
  <c r="AF53" i="6"/>
  <c r="BJ53" i="6"/>
  <c r="BI53" i="6"/>
  <c r="BH53" i="6"/>
  <c r="BG53" i="6"/>
  <c r="BF53" i="6"/>
  <c r="BE53" i="6"/>
  <c r="BD53" i="6"/>
  <c r="BC52" i="6"/>
  <c r="AU52" i="6"/>
  <c r="AM52" i="6"/>
  <c r="AF52" i="6"/>
  <c r="BJ52" i="6"/>
  <c r="BI52" i="6"/>
  <c r="BH52" i="6"/>
  <c r="BG52" i="6"/>
  <c r="BF52" i="6"/>
  <c r="BE52" i="6"/>
  <c r="BD52" i="6"/>
  <c r="BC51" i="6"/>
  <c r="BK51" i="6" s="1"/>
  <c r="AU51" i="6"/>
  <c r="AM51" i="6"/>
  <c r="AF51" i="6"/>
  <c r="BJ51" i="6"/>
  <c r="BI51" i="6"/>
  <c r="BH51" i="6"/>
  <c r="BG51" i="6"/>
  <c r="BF51" i="6"/>
  <c r="BE51" i="6"/>
  <c r="BD51" i="6"/>
  <c r="AC50" i="6"/>
  <c r="AE7" i="6"/>
  <c r="AE23" i="6"/>
  <c r="AE42" i="6"/>
  <c r="AE47" i="6"/>
  <c r="AF47" i="6" s="1"/>
  <c r="AD50" i="6"/>
  <c r="AD49" i="6" s="1"/>
  <c r="BI49" i="6" s="1"/>
  <c r="AB50" i="6"/>
  <c r="AB49" i="6" s="1"/>
  <c r="AA50" i="6"/>
  <c r="Y50" i="6"/>
  <c r="AH47" i="6"/>
  <c r="AJ47" i="6"/>
  <c r="AQ47" i="6" s="1"/>
  <c r="AY47" i="6" s="1"/>
  <c r="BG47" i="6" s="1"/>
  <c r="AK47" i="6"/>
  <c r="AR47" i="6" s="1"/>
  <c r="AZ47" i="6" s="1"/>
  <c r="BH47" i="6" s="1"/>
  <c r="BB47" i="6"/>
  <c r="AT47" i="6"/>
  <c r="AL47" i="6"/>
  <c r="BF47" i="6"/>
  <c r="BD47" i="6"/>
  <c r="BC46" i="6"/>
  <c r="AU46" i="6"/>
  <c r="AM46" i="6"/>
  <c r="AF46" i="6"/>
  <c r="BJ46" i="6"/>
  <c r="BI46" i="6"/>
  <c r="BH46" i="6"/>
  <c r="BG46" i="6"/>
  <c r="BF46" i="6"/>
  <c r="BE46" i="6"/>
  <c r="BD46" i="6"/>
  <c r="BC45" i="6"/>
  <c r="AU45" i="6"/>
  <c r="AM45" i="6"/>
  <c r="AF45" i="6"/>
  <c r="BJ45" i="6"/>
  <c r="BI45" i="6"/>
  <c r="BH45" i="6"/>
  <c r="BG45" i="6"/>
  <c r="BF45" i="6"/>
  <c r="BE45" i="6"/>
  <c r="BD45" i="6"/>
  <c r="BC44" i="6"/>
  <c r="AU44" i="6"/>
  <c r="AM44" i="6"/>
  <c r="AF44" i="6"/>
  <c r="BJ44" i="6"/>
  <c r="BI44" i="6"/>
  <c r="BH44" i="6"/>
  <c r="BG44" i="6"/>
  <c r="BF44" i="6"/>
  <c r="BE44" i="6"/>
  <c r="BD44" i="6"/>
  <c r="BC43" i="6"/>
  <c r="AU43" i="6"/>
  <c r="AM43" i="6"/>
  <c r="AF43" i="6"/>
  <c r="BJ43" i="6"/>
  <c r="BI43" i="6"/>
  <c r="BH43" i="6"/>
  <c r="BG43" i="6"/>
  <c r="BF43" i="6"/>
  <c r="BE43" i="6"/>
  <c r="BD43" i="6"/>
  <c r="AV42" i="6"/>
  <c r="AW42" i="6"/>
  <c r="AX42" i="6"/>
  <c r="AA42" i="6"/>
  <c r="AA6" i="6" s="1"/>
  <c r="AY42" i="6"/>
  <c r="AY6" i="6" s="1"/>
  <c r="AQ42" i="6"/>
  <c r="AJ42" i="6"/>
  <c r="AB42" i="6"/>
  <c r="AZ42" i="6"/>
  <c r="AR42" i="6"/>
  <c r="AK42" i="6"/>
  <c r="AC42" i="6"/>
  <c r="BA42" i="6"/>
  <c r="BB42" i="6"/>
  <c r="AT42" i="6"/>
  <c r="AL42" i="6"/>
  <c r="AL7" i="6"/>
  <c r="AL23" i="6"/>
  <c r="AN42" i="6"/>
  <c r="AO42" i="6"/>
  <c r="AS42" i="6"/>
  <c r="AG42" i="6"/>
  <c r="AH42" i="6"/>
  <c r="Y42" i="6"/>
  <c r="AF42" i="6" s="1"/>
  <c r="Z42" i="6"/>
  <c r="AD42" i="6"/>
  <c r="AC7" i="6"/>
  <c r="AC23" i="6"/>
  <c r="BC39" i="6"/>
  <c r="AU39" i="6"/>
  <c r="AM39" i="6"/>
  <c r="AF39" i="6"/>
  <c r="BJ39" i="6"/>
  <c r="BI39" i="6"/>
  <c r="BH39" i="6"/>
  <c r="BG39" i="6"/>
  <c r="BF39" i="6"/>
  <c r="BE39" i="6"/>
  <c r="BD39" i="6"/>
  <c r="BC38" i="6"/>
  <c r="BK38" i="6" s="1"/>
  <c r="AU38" i="6"/>
  <c r="AM38" i="6"/>
  <c r="AF38" i="6"/>
  <c r="BJ38" i="6"/>
  <c r="BI38" i="6"/>
  <c r="BH38" i="6"/>
  <c r="BG38" i="6"/>
  <c r="BF38" i="6"/>
  <c r="BE38" i="6"/>
  <c r="BD38" i="6"/>
  <c r="BC37" i="6"/>
  <c r="AU37" i="6"/>
  <c r="AM37" i="6"/>
  <c r="AF37" i="6"/>
  <c r="BJ37" i="6"/>
  <c r="BI37" i="6"/>
  <c r="BH37" i="6"/>
  <c r="BG37" i="6"/>
  <c r="BF37" i="6"/>
  <c r="BE37" i="6"/>
  <c r="BD37" i="6"/>
  <c r="BC36" i="6"/>
  <c r="AU36" i="6"/>
  <c r="AF36" i="6"/>
  <c r="AM36" i="6"/>
  <c r="BJ36" i="6"/>
  <c r="BI36" i="6"/>
  <c r="BH36" i="6"/>
  <c r="BG36" i="6"/>
  <c r="BF36" i="6"/>
  <c r="BE36" i="6"/>
  <c r="BD36" i="6"/>
  <c r="BC35" i="6"/>
  <c r="AU35" i="6"/>
  <c r="AM35" i="6"/>
  <c r="AF35" i="6"/>
  <c r="BJ35" i="6"/>
  <c r="BI35" i="6"/>
  <c r="BH35" i="6"/>
  <c r="BG35" i="6"/>
  <c r="BF35" i="6"/>
  <c r="BE35" i="6"/>
  <c r="BD35" i="6"/>
  <c r="BC34" i="6"/>
  <c r="AU34" i="6"/>
  <c r="AM34" i="6"/>
  <c r="AF34" i="6"/>
  <c r="BJ34" i="6"/>
  <c r="BI34" i="6"/>
  <c r="BH34" i="6"/>
  <c r="BG34" i="6"/>
  <c r="BF34" i="6"/>
  <c r="BE34" i="6"/>
  <c r="BD34" i="6"/>
  <c r="BC32" i="6"/>
  <c r="AU32" i="6"/>
  <c r="BK32" i="6" s="1"/>
  <c r="AM32" i="6"/>
  <c r="AF32" i="6"/>
  <c r="BJ32" i="6"/>
  <c r="BI32" i="6"/>
  <c r="BH32" i="6"/>
  <c r="BG32" i="6"/>
  <c r="BF32" i="6"/>
  <c r="BE32" i="6"/>
  <c r="BD32" i="6"/>
  <c r="BC31" i="6"/>
  <c r="AU31" i="6"/>
  <c r="AM31" i="6"/>
  <c r="AF31" i="6"/>
  <c r="BJ31" i="6"/>
  <c r="BI31" i="6"/>
  <c r="BH31" i="6"/>
  <c r="BG31" i="6"/>
  <c r="BF31" i="6"/>
  <c r="BE31" i="6"/>
  <c r="BD31" i="6"/>
  <c r="BC30" i="6"/>
  <c r="BK30" i="6" s="1"/>
  <c r="AU30" i="6"/>
  <c r="AM30" i="6"/>
  <c r="AF30" i="6"/>
  <c r="BJ30" i="6"/>
  <c r="BI30" i="6"/>
  <c r="BH30" i="6"/>
  <c r="BG30" i="6"/>
  <c r="BF30" i="6"/>
  <c r="BE30" i="6"/>
  <c r="BD30" i="6"/>
  <c r="BC29" i="6"/>
  <c r="AU29" i="6"/>
  <c r="AM29" i="6"/>
  <c r="AF29" i="6"/>
  <c r="BJ29" i="6"/>
  <c r="BI29" i="6"/>
  <c r="BH29" i="6"/>
  <c r="BG29" i="6"/>
  <c r="BF29" i="6"/>
  <c r="BE29" i="6"/>
  <c r="BD29" i="6"/>
  <c r="BC28" i="6"/>
  <c r="AU28" i="6"/>
  <c r="AM28" i="6"/>
  <c r="AF28" i="6"/>
  <c r="BJ28" i="6"/>
  <c r="BI28" i="6"/>
  <c r="BH28" i="6"/>
  <c r="BG28" i="6"/>
  <c r="BF28" i="6"/>
  <c r="BE28" i="6"/>
  <c r="BD28" i="6"/>
  <c r="BC27" i="6"/>
  <c r="AU27" i="6"/>
  <c r="AM27" i="6"/>
  <c r="AF27" i="6"/>
  <c r="BL27" i="6" s="1"/>
  <c r="BJ27" i="6"/>
  <c r="BI27" i="6"/>
  <c r="BH27" i="6"/>
  <c r="BG27" i="6"/>
  <c r="BF27" i="6"/>
  <c r="BE27" i="6"/>
  <c r="BD27" i="6"/>
  <c r="BC26" i="6"/>
  <c r="AU26" i="6"/>
  <c r="AM26" i="6"/>
  <c r="AF26" i="6"/>
  <c r="BJ26" i="6"/>
  <c r="BI26" i="6"/>
  <c r="BH26" i="6"/>
  <c r="BG26" i="6"/>
  <c r="BF26" i="6"/>
  <c r="BE26" i="6"/>
  <c r="BD26" i="6"/>
  <c r="AF25" i="6"/>
  <c r="BL25" i="6" s="1"/>
  <c r="BJ25" i="6"/>
  <c r="BI25" i="6"/>
  <c r="BH25" i="6"/>
  <c r="BG25" i="6"/>
  <c r="BF25" i="6"/>
  <c r="BE25" i="6"/>
  <c r="BD25" i="6"/>
  <c r="BC24" i="6"/>
  <c r="BK24" i="6" s="1"/>
  <c r="AU24" i="6"/>
  <c r="AM24" i="6"/>
  <c r="AF24" i="6"/>
  <c r="BJ24" i="6"/>
  <c r="BI24" i="6"/>
  <c r="BH24" i="6"/>
  <c r="BG24" i="6"/>
  <c r="BF24" i="6"/>
  <c r="BE24" i="6"/>
  <c r="BD24" i="6"/>
  <c r="AW23" i="6"/>
  <c r="AW7" i="6"/>
  <c r="AW6" i="6" s="1"/>
  <c r="AX23" i="6"/>
  <c r="AY23" i="6"/>
  <c r="AQ23" i="6"/>
  <c r="AJ23" i="6"/>
  <c r="AB23" i="6"/>
  <c r="AZ23" i="6"/>
  <c r="BA23" i="6"/>
  <c r="BB23" i="6"/>
  <c r="BB6" i="6" s="1"/>
  <c r="AT23" i="6"/>
  <c r="AN23" i="6"/>
  <c r="AO23" i="6"/>
  <c r="AR23" i="6"/>
  <c r="AU23" i="6" s="1"/>
  <c r="AS23" i="6"/>
  <c r="AD23" i="6"/>
  <c r="AG23" i="6"/>
  <c r="AH23" i="6"/>
  <c r="AM23" i="6" s="1"/>
  <c r="AH7" i="6"/>
  <c r="AK23" i="6"/>
  <c r="Y23" i="6"/>
  <c r="Z23" i="6"/>
  <c r="AF23" i="6" s="1"/>
  <c r="AA23" i="6"/>
  <c r="BC22" i="6"/>
  <c r="AU22" i="6"/>
  <c r="AM22" i="6"/>
  <c r="BL22" i="6" s="1"/>
  <c r="AF22" i="6"/>
  <c r="BJ22" i="6"/>
  <c r="BI22" i="6"/>
  <c r="BH22" i="6"/>
  <c r="BG22" i="6"/>
  <c r="BF22" i="6"/>
  <c r="BE22" i="6"/>
  <c r="BD22" i="6"/>
  <c r="BC21" i="6"/>
  <c r="AU21" i="6"/>
  <c r="AM21" i="6"/>
  <c r="AF21" i="6"/>
  <c r="BK21" i="6" s="1"/>
  <c r="BJ21" i="6"/>
  <c r="BI21" i="6"/>
  <c r="BH21" i="6"/>
  <c r="BG21" i="6"/>
  <c r="BF21" i="6"/>
  <c r="BE21" i="6"/>
  <c r="BD21" i="6"/>
  <c r="BC20" i="6"/>
  <c r="AU20" i="6"/>
  <c r="AM20" i="6"/>
  <c r="AF20" i="6"/>
  <c r="BJ20" i="6"/>
  <c r="BI20" i="6"/>
  <c r="BH20" i="6"/>
  <c r="BG20" i="6"/>
  <c r="BF20" i="6"/>
  <c r="BE20" i="6"/>
  <c r="BD20" i="6"/>
  <c r="BC19" i="6"/>
  <c r="AU19" i="6"/>
  <c r="AM19" i="6"/>
  <c r="AF19" i="6"/>
  <c r="BJ19" i="6"/>
  <c r="BI19" i="6"/>
  <c r="BH19" i="6"/>
  <c r="BG19" i="6"/>
  <c r="BF19" i="6"/>
  <c r="BE19" i="6"/>
  <c r="BD19" i="6"/>
  <c r="BC18" i="6"/>
  <c r="AU18" i="6"/>
  <c r="AM18" i="6"/>
  <c r="AF18" i="6"/>
  <c r="BJ18" i="6"/>
  <c r="BI18" i="6"/>
  <c r="BH18" i="6"/>
  <c r="BG18" i="6"/>
  <c r="BF18" i="6"/>
  <c r="BE18" i="6"/>
  <c r="BD18" i="6"/>
  <c r="BC17" i="6"/>
  <c r="AU17" i="6"/>
  <c r="AM17" i="6"/>
  <c r="AF17" i="6"/>
  <c r="BJ17" i="6"/>
  <c r="BI17" i="6"/>
  <c r="BH17" i="6"/>
  <c r="BG17" i="6"/>
  <c r="BF17" i="6"/>
  <c r="BE17" i="6"/>
  <c r="BD17" i="6"/>
  <c r="AU16" i="6"/>
  <c r="BK16" i="6" s="1"/>
  <c r="AM16" i="6"/>
  <c r="AF16" i="6"/>
  <c r="BC16" i="6"/>
  <c r="BJ16" i="6"/>
  <c r="BI16" i="6"/>
  <c r="BH16" i="6"/>
  <c r="BG16" i="6"/>
  <c r="BF16" i="6"/>
  <c r="BE16" i="6"/>
  <c r="BD16" i="6"/>
  <c r="AU15" i="6"/>
  <c r="AM15" i="6"/>
  <c r="BK15" i="6" s="1"/>
  <c r="AF15" i="6"/>
  <c r="BC15" i="6"/>
  <c r="BJ15" i="6"/>
  <c r="BI15" i="6"/>
  <c r="BH15" i="6"/>
  <c r="BG15" i="6"/>
  <c r="BF15" i="6"/>
  <c r="BE15" i="6"/>
  <c r="BD15" i="6"/>
  <c r="BC14" i="6"/>
  <c r="AU14" i="6"/>
  <c r="AM14" i="6"/>
  <c r="AF14" i="6"/>
  <c r="BJ14" i="6"/>
  <c r="BI14" i="6"/>
  <c r="BH14" i="6"/>
  <c r="BG14" i="6"/>
  <c r="BF14" i="6"/>
  <c r="BE14" i="6"/>
  <c r="BD14" i="6"/>
  <c r="BC13" i="6"/>
  <c r="AU13" i="6"/>
  <c r="AM13" i="6"/>
  <c r="AF13" i="6"/>
  <c r="BJ13" i="6"/>
  <c r="BI13" i="6"/>
  <c r="BH13" i="6"/>
  <c r="BG13" i="6"/>
  <c r="BF13" i="6"/>
  <c r="BE13" i="6"/>
  <c r="BD13" i="6"/>
  <c r="BC12" i="6"/>
  <c r="BL12" i="6" s="1"/>
  <c r="AU12" i="6"/>
  <c r="AM12" i="6"/>
  <c r="AF12" i="6"/>
  <c r="BJ12" i="6"/>
  <c r="BI12" i="6"/>
  <c r="BH12" i="6"/>
  <c r="BG12" i="6"/>
  <c r="BF12" i="6"/>
  <c r="BE12" i="6"/>
  <c r="BD12" i="6"/>
  <c r="BC11" i="6"/>
  <c r="AU11" i="6"/>
  <c r="AM11" i="6"/>
  <c r="AF11" i="6"/>
  <c r="BJ11" i="6"/>
  <c r="BI11" i="6"/>
  <c r="BH11" i="6"/>
  <c r="BG11" i="6"/>
  <c r="BF11" i="6"/>
  <c r="BE11" i="6"/>
  <c r="BD11" i="6"/>
  <c r="AF10" i="6"/>
  <c r="BJ10" i="6"/>
  <c r="BI10" i="6"/>
  <c r="BH10" i="6"/>
  <c r="BG10" i="6"/>
  <c r="BF10" i="6"/>
  <c r="BE10" i="6"/>
  <c r="BD10" i="6"/>
  <c r="AF9" i="6"/>
  <c r="BC9" i="6"/>
  <c r="AU9" i="6"/>
  <c r="AM9" i="6"/>
  <c r="BJ9" i="6"/>
  <c r="BI9" i="6"/>
  <c r="BH9" i="6"/>
  <c r="BG9" i="6"/>
  <c r="BF9" i="6"/>
  <c r="BE9" i="6"/>
  <c r="BD9" i="6"/>
  <c r="BC8" i="6"/>
  <c r="AU8" i="6"/>
  <c r="AM8" i="6"/>
  <c r="BJ8" i="6"/>
  <c r="BI8" i="6"/>
  <c r="BH8" i="6"/>
  <c r="BG8" i="6"/>
  <c r="BF8" i="6"/>
  <c r="BE8" i="6"/>
  <c r="BD8" i="6"/>
  <c r="Y7" i="6"/>
  <c r="Z7" i="6"/>
  <c r="AA7" i="6"/>
  <c r="AB7" i="6"/>
  <c r="AD7" i="6"/>
  <c r="AV7" i="6"/>
  <c r="AV6" i="6" s="1"/>
  <c r="AX7" i="6"/>
  <c r="BF7" i="6" s="1"/>
  <c r="AY7" i="6"/>
  <c r="AZ7" i="6"/>
  <c r="AR7" i="6"/>
  <c r="AK7" i="6"/>
  <c r="BA7" i="6"/>
  <c r="BB7" i="6"/>
  <c r="AN7" i="6"/>
  <c r="AO7" i="6"/>
  <c r="AQ7" i="6"/>
  <c r="AS7" i="6"/>
  <c r="AT7" i="6"/>
  <c r="AG7" i="6"/>
  <c r="AJ7" i="6"/>
  <c r="AP133" i="6"/>
  <c r="AU133" i="6" s="1"/>
  <c r="AM133" i="6"/>
  <c r="AP124" i="6"/>
  <c r="AX124" i="6" s="1"/>
  <c r="AM124" i="6"/>
  <c r="AP147" i="6"/>
  <c r="AM147" i="6"/>
  <c r="AP146" i="6"/>
  <c r="AX146" i="6" s="1"/>
  <c r="BF146" i="6" s="1"/>
  <c r="AM126" i="6"/>
  <c r="AM149" i="6"/>
  <c r="K18" i="9"/>
  <c r="AM142" i="6"/>
  <c r="AM125" i="6"/>
  <c r="BD286" i="6"/>
  <c r="BA65" i="11"/>
  <c r="BA64" i="11" s="1"/>
  <c r="AW52" i="11"/>
  <c r="AW51" i="11" s="1"/>
  <c r="BG24" i="3"/>
  <c r="BE99" i="3"/>
  <c r="BB263" i="3"/>
  <c r="AK415" i="3"/>
  <c r="AK361" i="3" s="1"/>
  <c r="AX483" i="3"/>
  <c r="AX445" i="3" s="1"/>
  <c r="AU87" i="2"/>
  <c r="BD87" i="2"/>
  <c r="BG99" i="2"/>
  <c r="AX133" i="2"/>
  <c r="AU133" i="2"/>
  <c r="BJ264" i="2"/>
  <c r="AR331" i="2"/>
  <c r="AU332" i="2"/>
  <c r="AU331" i="2" s="1"/>
  <c r="AJ355" i="2"/>
  <c r="AJ261" i="2" s="1"/>
  <c r="BG359" i="2"/>
  <c r="AI37" i="11"/>
  <c r="AE64" i="11"/>
  <c r="BE295" i="3"/>
  <c r="BJ110" i="3"/>
  <c r="AB7" i="3"/>
  <c r="BK18" i="3"/>
  <c r="AF24" i="3"/>
  <c r="BK54" i="3"/>
  <c r="AU75" i="3"/>
  <c r="BK81" i="3"/>
  <c r="BF87" i="3"/>
  <c r="BJ99" i="3"/>
  <c r="BK102" i="3"/>
  <c r="BK106" i="3"/>
  <c r="Y109" i="3"/>
  <c r="AC109" i="3"/>
  <c r="AL109" i="3"/>
  <c r="AZ109" i="3"/>
  <c r="BK117" i="3"/>
  <c r="BK119" i="3"/>
  <c r="BK124" i="3"/>
  <c r="AP133" i="3"/>
  <c r="AU133" i="3" s="1"/>
  <c r="AF138" i="3"/>
  <c r="BK144" i="3"/>
  <c r="BK168" i="3"/>
  <c r="BD193" i="3"/>
  <c r="BK198" i="3"/>
  <c r="BI227" i="3"/>
  <c r="BK256" i="3"/>
  <c r="BJ264" i="3"/>
  <c r="AT263" i="3"/>
  <c r="AL263" i="3"/>
  <c r="AE263" i="3"/>
  <c r="BK280" i="3"/>
  <c r="BD296" i="3"/>
  <c r="BK301" i="3"/>
  <c r="BK309" i="3"/>
  <c r="BK317" i="3"/>
  <c r="BK325" i="3"/>
  <c r="BK396" i="3"/>
  <c r="AC415" i="3"/>
  <c r="AC361" i="3" s="1"/>
  <c r="AQ415" i="3"/>
  <c r="AV331" i="2"/>
  <c r="BF137" i="2"/>
  <c r="BC137" i="2"/>
  <c r="AU137" i="2"/>
  <c r="AM133" i="2"/>
  <c r="BC24" i="2"/>
  <c r="BE43" i="2"/>
  <c r="AQ109" i="2"/>
  <c r="BD110" i="2"/>
  <c r="BK16" i="11"/>
  <c r="AI79" i="11"/>
  <c r="AD331" i="3"/>
  <c r="BI331" i="3" s="1"/>
  <c r="BI264" i="3"/>
  <c r="AP150" i="3"/>
  <c r="AU150" i="3" s="1"/>
  <c r="AX150" i="3"/>
  <c r="BF150" i="3" s="1"/>
  <c r="AC7" i="3"/>
  <c r="AX7" i="3"/>
  <c r="BK9" i="3"/>
  <c r="BK40" i="3"/>
  <c r="AM43" i="3"/>
  <c r="AK7" i="3"/>
  <c r="AK86" i="3"/>
  <c r="AK109" i="3"/>
  <c r="AK156" i="3"/>
  <c r="BJ75" i="3"/>
  <c r="AG86" i="3"/>
  <c r="Z109" i="3"/>
  <c r="AD109" i="3"/>
  <c r="AM110" i="3"/>
  <c r="AF116" i="3"/>
  <c r="AO109" i="3"/>
  <c r="BF116" i="3"/>
  <c r="AT122" i="3"/>
  <c r="AF143" i="3"/>
  <c r="AB122" i="3"/>
  <c r="AL122" i="3"/>
  <c r="BJ148" i="3"/>
  <c r="AP156" i="3"/>
  <c r="BK167" i="3"/>
  <c r="BI182" i="3"/>
  <c r="BF221" i="3"/>
  <c r="BH227" i="3"/>
  <c r="AU227" i="3"/>
  <c r="BF235" i="3"/>
  <c r="AM243" i="3"/>
  <c r="BK249" i="3"/>
  <c r="AJ263" i="3"/>
  <c r="AJ261" i="3" s="1"/>
  <c r="BK266" i="3"/>
  <c r="BK274" i="3"/>
  <c r="BK292" i="3"/>
  <c r="BJ332" i="3"/>
  <c r="BJ331" i="3" s="1"/>
  <c r="AB355" i="3"/>
  <c r="AK355" i="3"/>
  <c r="BH356" i="3"/>
  <c r="BH359" i="3"/>
  <c r="BC364" i="3"/>
  <c r="AF402" i="3"/>
  <c r="BE484" i="3"/>
  <c r="AU130" i="2"/>
  <c r="BF150" i="2"/>
  <c r="AU150" i="2"/>
  <c r="BK150" i="2" s="1"/>
  <c r="AZ122" i="2"/>
  <c r="BH75" i="2"/>
  <c r="AS122" i="2"/>
  <c r="AI6" i="2"/>
  <c r="AP6" i="2" s="1"/>
  <c r="AX6" i="2" s="1"/>
  <c r="BF6" i="2" s="1"/>
  <c r="AF6" i="2"/>
  <c r="Z50" i="2"/>
  <c r="AW50" i="2"/>
  <c r="BK52" i="2"/>
  <c r="BK62" i="2"/>
  <c r="BK71" i="2"/>
  <c r="AK86" i="2"/>
  <c r="AK122" i="2"/>
  <c r="AK156" i="2"/>
  <c r="AT86" i="2"/>
  <c r="BH99" i="2"/>
  <c r="BE99" i="2"/>
  <c r="BK118" i="2"/>
  <c r="Y122" i="2"/>
  <c r="AC122" i="2"/>
  <c r="AH122" i="2"/>
  <c r="BE123" i="2"/>
  <c r="AN122" i="2"/>
  <c r="BI123" i="2"/>
  <c r="BG123" i="2"/>
  <c r="BG138" i="2"/>
  <c r="BG148" i="2"/>
  <c r="BK139" i="2"/>
  <c r="BK142" i="2"/>
  <c r="BK144" i="2"/>
  <c r="BK145" i="2"/>
  <c r="AF148" i="2"/>
  <c r="BK152" i="2"/>
  <c r="BH110" i="1"/>
  <c r="AJ87" i="11"/>
  <c r="AJ85" i="11" s="1"/>
  <c r="AO87" i="11"/>
  <c r="BF403" i="3"/>
  <c r="BA157" i="3"/>
  <c r="BI157" i="3" s="1"/>
  <c r="AI148" i="3"/>
  <c r="AM148" i="3" s="1"/>
  <c r="AQ7" i="3"/>
  <c r="AY7" i="3"/>
  <c r="BK10" i="3"/>
  <c r="BK12" i="3"/>
  <c r="BK20" i="3"/>
  <c r="AA7" i="3"/>
  <c r="AA156" i="3"/>
  <c r="AS7" i="3"/>
  <c r="BK47" i="3"/>
  <c r="AC50" i="3"/>
  <c r="BG99" i="3"/>
  <c r="BK100" i="3"/>
  <c r="BE110" i="3"/>
  <c r="AG109" i="3"/>
  <c r="AP109" i="3"/>
  <c r="AN109" i="3"/>
  <c r="AQ109" i="3"/>
  <c r="BJ116" i="3"/>
  <c r="BK120" i="3"/>
  <c r="Y122" i="3"/>
  <c r="AV122" i="3"/>
  <c r="AF157" i="3"/>
  <c r="BK165" i="3"/>
  <c r="BK174" i="3"/>
  <c r="AM182" i="3"/>
  <c r="BK185" i="3"/>
  <c r="BK186" i="3"/>
  <c r="AU193" i="3"/>
  <c r="BE201" i="3"/>
  <c r="BK203" i="3"/>
  <c r="BJ201" i="3"/>
  <c r="BG201" i="3"/>
  <c r="BK207" i="3"/>
  <c r="BK211" i="3"/>
  <c r="BK220" i="3"/>
  <c r="BG221" i="3"/>
  <c r="BH221" i="3"/>
  <c r="BK225" i="3"/>
  <c r="AM227" i="3"/>
  <c r="BK254" i="3"/>
  <c r="AB263" i="3"/>
  <c r="BK265" i="3"/>
  <c r="BK273" i="3"/>
  <c r="BE296" i="3"/>
  <c r="AA355" i="3"/>
  <c r="BK365" i="3"/>
  <c r="BI366" i="3"/>
  <c r="BK384" i="3"/>
  <c r="BC403" i="3"/>
  <c r="BK408" i="3"/>
  <c r="BK412" i="3"/>
  <c r="AM416" i="3"/>
  <c r="AM431" i="3"/>
  <c r="BK425" i="3"/>
  <c r="AA415" i="3"/>
  <c r="AS415" i="3"/>
  <c r="AS361" i="3" s="1"/>
  <c r="BG264" i="2"/>
  <c r="BK15" i="2"/>
  <c r="AM24" i="2"/>
  <c r="BD24" i="2"/>
  <c r="AG7" i="2"/>
  <c r="AM43" i="2"/>
  <c r="AP7" i="2"/>
  <c r="BG43" i="2"/>
  <c r="AH86" i="2"/>
  <c r="AM87" i="2"/>
  <c r="AJ109" i="2"/>
  <c r="AO109" i="2"/>
  <c r="AS109" i="2"/>
  <c r="AX109" i="2"/>
  <c r="BF110" i="2"/>
  <c r="BC110" i="2"/>
  <c r="BK114" i="2"/>
  <c r="AF116" i="2"/>
  <c r="AX125" i="2"/>
  <c r="BF125" i="2" s="1"/>
  <c r="AU125" i="2"/>
  <c r="AM153" i="2"/>
  <c r="AP153" i="2"/>
  <c r="AZ375" i="2"/>
  <c r="BC376" i="2"/>
  <c r="BC375" i="2" s="1"/>
  <c r="BD377" i="2"/>
  <c r="Y376" i="2"/>
  <c r="BD376" i="2" s="1"/>
  <c r="BD375" i="2" s="1"/>
  <c r="AE402" i="2"/>
  <c r="AF402" i="2" s="1"/>
  <c r="BJ403" i="2"/>
  <c r="AI263" i="1"/>
  <c r="AI261" i="1" s="1"/>
  <c r="BK373" i="3"/>
  <c r="BI403" i="3"/>
  <c r="Z415" i="3"/>
  <c r="Z361" i="3" s="1"/>
  <c r="BE431" i="3"/>
  <c r="BK433" i="3"/>
  <c r="BK436" i="3"/>
  <c r="BK449" i="3"/>
  <c r="BK453" i="3"/>
  <c r="BK457" i="3"/>
  <c r="BK459" i="3"/>
  <c r="BK463" i="3"/>
  <c r="BK467" i="3"/>
  <c r="BK471" i="3"/>
  <c r="BK475" i="3"/>
  <c r="AI50" i="2"/>
  <c r="BK61" i="2"/>
  <c r="BE75" i="2"/>
  <c r="BK79" i="2"/>
  <c r="BK80" i="2"/>
  <c r="BK82" i="2"/>
  <c r="BK84" i="2"/>
  <c r="AQ122" i="2"/>
  <c r="BK141" i="2"/>
  <c r="Z122" i="2"/>
  <c r="BE148" i="2"/>
  <c r="AO355" i="2"/>
  <c r="AO483" i="2"/>
  <c r="AO445" i="2" s="1"/>
  <c r="AB375" i="1"/>
  <c r="BG376" i="1"/>
  <c r="BG375" i="1"/>
  <c r="AN110" i="1"/>
  <c r="BG110" i="1"/>
  <c r="AV150" i="1"/>
  <c r="AY150" i="1"/>
  <c r="BG150" i="1" s="1"/>
  <c r="AP415" i="1"/>
  <c r="BF416" i="1"/>
  <c r="AT415" i="1"/>
  <c r="BJ416" i="1"/>
  <c r="BD148" i="2"/>
  <c r="BK149" i="2"/>
  <c r="BE157" i="2"/>
  <c r="BG157" i="2"/>
  <c r="Z156" i="2"/>
  <c r="BI221" i="2"/>
  <c r="AU221" i="2"/>
  <c r="BH235" i="2"/>
  <c r="AE355" i="2"/>
  <c r="AU51" i="1"/>
  <c r="BK75" i="1"/>
  <c r="AZ50" i="1"/>
  <c r="BH51" i="1"/>
  <c r="AT86" i="1"/>
  <c r="BJ87" i="1"/>
  <c r="AS122" i="1"/>
  <c r="BI123" i="1"/>
  <c r="BK138" i="1"/>
  <c r="AQ146" i="1"/>
  <c r="AJ138" i="1"/>
  <c r="AN138" i="1" s="1"/>
  <c r="AN146" i="1"/>
  <c r="BE148" i="1"/>
  <c r="AW122" i="1"/>
  <c r="AF295" i="1"/>
  <c r="AG295" i="1" s="1"/>
  <c r="BK296" i="1"/>
  <c r="BG296" i="1"/>
  <c r="AJ295" i="1"/>
  <c r="BG295" i="1" s="1"/>
  <c r="AO295" i="1"/>
  <c r="BE296" i="1"/>
  <c r="AX295" i="1"/>
  <c r="BF296" i="1"/>
  <c r="AW355" i="1"/>
  <c r="BE356" i="1"/>
  <c r="BK367" i="3"/>
  <c r="BK369" i="3"/>
  <c r="BK370" i="3"/>
  <c r="BK389" i="3"/>
  <c r="BK392" i="3"/>
  <c r="BK400" i="3"/>
  <c r="BK413" i="3"/>
  <c r="BK417" i="3"/>
  <c r="AS483" i="3"/>
  <c r="AK483" i="3"/>
  <c r="BD264" i="2"/>
  <c r="AM242" i="2"/>
  <c r="BK17" i="2"/>
  <c r="BK18" i="2"/>
  <c r="BK20" i="2"/>
  <c r="BK23" i="2"/>
  <c r="BH24" i="2"/>
  <c r="BK25" i="2"/>
  <c r="BK31" i="2"/>
  <c r="BK33" i="2"/>
  <c r="BK36" i="2"/>
  <c r="BK39" i="2"/>
  <c r="AH7" i="2"/>
  <c r="BK46" i="2"/>
  <c r="BK70" i="2"/>
  <c r="AB86" i="2"/>
  <c r="BK92" i="2"/>
  <c r="BK94" i="2"/>
  <c r="BJ99" i="2"/>
  <c r="BK100" i="2"/>
  <c r="BK102" i="2"/>
  <c r="BK105" i="2"/>
  <c r="BK115" i="2"/>
  <c r="BH116" i="2"/>
  <c r="BK120" i="2"/>
  <c r="BK134" i="2"/>
  <c r="AR122" i="2"/>
  <c r="AF193" i="2"/>
  <c r="BK270" i="2"/>
  <c r="BK271" i="2"/>
  <c r="BK273" i="2"/>
  <c r="BF276" i="2"/>
  <c r="BI276" i="2"/>
  <c r="BH75" i="1"/>
  <c r="BK304" i="2"/>
  <c r="BK311" i="2"/>
  <c r="BK312" i="2"/>
  <c r="BK317" i="2"/>
  <c r="BK328" i="2"/>
  <c r="BK337" i="2"/>
  <c r="BK343" i="2"/>
  <c r="BK345" i="2"/>
  <c r="BK346" i="2"/>
  <c r="BK348" i="2"/>
  <c r="BK349" i="2"/>
  <c r="BK350" i="2"/>
  <c r="BK352" i="2"/>
  <c r="BK353" i="2"/>
  <c r="AK355" i="2"/>
  <c r="BK405" i="2"/>
  <c r="BK407" i="2"/>
  <c r="BK410" i="2"/>
  <c r="BK417" i="2"/>
  <c r="BK425" i="2"/>
  <c r="BK426" i="2"/>
  <c r="BI431" i="2"/>
  <c r="BK434" i="2"/>
  <c r="BK437" i="2"/>
  <c r="BC431" i="2"/>
  <c r="BK440" i="2"/>
  <c r="AC445" i="2"/>
  <c r="BK472" i="2"/>
  <c r="BC484" i="2"/>
  <c r="AM492" i="2"/>
  <c r="AF492" i="2"/>
  <c r="BK495" i="2"/>
  <c r="BK498" i="2"/>
  <c r="BG43" i="1"/>
  <c r="AY7" i="1"/>
  <c r="AC50" i="1"/>
  <c r="BG87" i="1"/>
  <c r="BL198" i="1"/>
  <c r="BA445" i="1"/>
  <c r="BK163" i="2"/>
  <c r="BK165" i="2"/>
  <c r="BK168" i="2"/>
  <c r="BK169" i="2"/>
  <c r="AF182" i="2"/>
  <c r="BK187" i="2"/>
  <c r="BK189" i="2"/>
  <c r="BK190" i="2"/>
  <c r="BK192" i="2"/>
  <c r="AM193" i="2"/>
  <c r="BF193" i="2"/>
  <c r="BK198" i="2"/>
  <c r="BD201" i="2"/>
  <c r="BK205" i="2"/>
  <c r="BK208" i="2"/>
  <c r="BK217" i="2"/>
  <c r="BK219" i="2"/>
  <c r="BK225" i="2"/>
  <c r="BK233" i="2"/>
  <c r="AU235" i="2"/>
  <c r="BK253" i="2"/>
  <c r="AF264" i="2"/>
  <c r="AU264" i="2"/>
  <c r="AT263" i="2"/>
  <c r="BK292" i="2"/>
  <c r="AA376" i="2"/>
  <c r="AI483" i="2"/>
  <c r="BK485" i="2"/>
  <c r="BI8" i="1"/>
  <c r="AU7" i="1"/>
  <c r="AI86" i="1"/>
  <c r="AX86" i="1"/>
  <c r="AA86" i="1"/>
  <c r="AM86" i="1"/>
  <c r="AR86" i="1"/>
  <c r="BL90" i="1"/>
  <c r="AD86" i="1"/>
  <c r="AL86" i="1"/>
  <c r="BL102" i="1"/>
  <c r="BL107" i="1"/>
  <c r="BG116" i="1"/>
  <c r="BG158" i="1"/>
  <c r="AY157" i="1"/>
  <c r="AY156" i="1" s="1"/>
  <c r="BL159" i="1"/>
  <c r="BL161" i="1"/>
  <c r="BL162" i="1"/>
  <c r="BL165" i="1"/>
  <c r="BL249" i="1"/>
  <c r="BE377" i="1"/>
  <c r="AG377" i="1"/>
  <c r="BL377" i="1" s="1"/>
  <c r="BK180" i="2"/>
  <c r="BG221" i="2"/>
  <c r="BK269" i="2"/>
  <c r="BK272" i="2"/>
  <c r="BK283" i="2"/>
  <c r="BK297" i="2"/>
  <c r="BK305" i="2"/>
  <c r="BK316" i="2"/>
  <c r="BK327" i="2"/>
  <c r="AX355" i="2"/>
  <c r="AD364" i="2"/>
  <c r="AM376" i="2"/>
  <c r="AM375" i="2" s="1"/>
  <c r="BK378" i="2"/>
  <c r="BK382" i="2"/>
  <c r="BF383" i="2"/>
  <c r="BK393" i="2"/>
  <c r="BK394" i="2"/>
  <c r="BK395" i="2"/>
  <c r="BK396" i="2"/>
  <c r="BK400" i="2"/>
  <c r="BK401" i="2"/>
  <c r="BK414" i="2"/>
  <c r="Z415" i="2"/>
  <c r="Z361" i="2" s="1"/>
  <c r="AQ415" i="2"/>
  <c r="AJ483" i="2"/>
  <c r="AJ445" i="2"/>
  <c r="BL63" i="1"/>
  <c r="BL68" i="1"/>
  <c r="BL71" i="1"/>
  <c r="AB50" i="1"/>
  <c r="BL78" i="1"/>
  <c r="BL83" i="1"/>
  <c r="AC122" i="1"/>
  <c r="AL122" i="1"/>
  <c r="BL145" i="1"/>
  <c r="BL147" i="1"/>
  <c r="BJ148" i="1"/>
  <c r="BI148" i="1"/>
  <c r="AZ157" i="1"/>
  <c r="BK171" i="1"/>
  <c r="BK157" i="1" s="1"/>
  <c r="BC157" i="1"/>
  <c r="BC156" i="1"/>
  <c r="BL209" i="1"/>
  <c r="BL214" i="1"/>
  <c r="BL228" i="1"/>
  <c r="BL231" i="1"/>
  <c r="AG235" i="1"/>
  <c r="AV364" i="1"/>
  <c r="BJ431" i="1"/>
  <c r="BG276" i="1"/>
  <c r="BL278" i="1"/>
  <c r="BL286" i="1"/>
  <c r="BL370" i="1"/>
  <c r="BL382" i="1"/>
  <c r="BL391" i="1"/>
  <c r="BL400" i="1"/>
  <c r="BL405" i="1"/>
  <c r="BI492" i="1"/>
  <c r="BL494" i="1"/>
  <c r="AP157" i="8"/>
  <c r="AV157" i="8" s="1"/>
  <c r="BL10" i="1"/>
  <c r="BF24" i="1"/>
  <c r="AW86" i="1"/>
  <c r="BL103" i="1"/>
  <c r="BL105" i="1"/>
  <c r="BL106" i="1"/>
  <c r="AB109" i="1"/>
  <c r="BF110" i="1"/>
  <c r="AW109" i="1"/>
  <c r="BL120" i="1"/>
  <c r="BL131" i="1"/>
  <c r="BL135" i="1"/>
  <c r="BL139" i="1"/>
  <c r="BL149" i="1"/>
  <c r="AF156" i="1"/>
  <c r="BI221" i="1"/>
  <c r="BK221" i="1"/>
  <c r="AS156" i="1"/>
  <c r="BE227" i="1"/>
  <c r="BK235" i="1"/>
  <c r="BH235" i="1"/>
  <c r="BL241" i="1"/>
  <c r="BL247" i="1"/>
  <c r="BL256" i="1"/>
  <c r="BL259" i="1"/>
  <c r="BG264" i="1"/>
  <c r="BL268" i="1"/>
  <c r="BL271" i="1"/>
  <c r="BL297" i="1"/>
  <c r="BL299" i="1"/>
  <c r="BL305" i="1"/>
  <c r="BL325" i="1"/>
  <c r="BL328" i="1"/>
  <c r="BL329" i="1"/>
  <c r="BI332" i="1"/>
  <c r="BI331" i="1"/>
  <c r="BL341" i="1"/>
  <c r="BG359" i="1"/>
  <c r="BL373" i="1"/>
  <c r="AN376" i="1"/>
  <c r="AN375" i="1"/>
  <c r="BL381" i="1"/>
  <c r="BL386" i="1"/>
  <c r="BL392" i="1"/>
  <c r="BL395" i="1"/>
  <c r="BL397" i="1"/>
  <c r="BL413" i="1"/>
  <c r="BL438" i="1"/>
  <c r="BL441" i="1"/>
  <c r="AX483" i="1"/>
  <c r="BL493" i="1"/>
  <c r="BC7" i="1"/>
  <c r="AK7" i="1"/>
  <c r="BL29" i="1"/>
  <c r="BL40" i="1"/>
  <c r="BJ43" i="1"/>
  <c r="AV43" i="1"/>
  <c r="BL44" i="1"/>
  <c r="AX50" i="1"/>
  <c r="BL88" i="1"/>
  <c r="BL91" i="1"/>
  <c r="BL93" i="1"/>
  <c r="BL95" i="1"/>
  <c r="BL96" i="1"/>
  <c r="BL98" i="1"/>
  <c r="BK99" i="1"/>
  <c r="BJ116" i="1"/>
  <c r="AX109" i="1"/>
  <c r="Z122" i="1"/>
  <c r="BH123" i="1"/>
  <c r="BL144" i="1"/>
  <c r="AD122" i="1"/>
  <c r="BL167" i="1"/>
  <c r="BL178" i="1"/>
  <c r="BL179" i="1"/>
  <c r="BD182" i="1"/>
  <c r="BK182" i="1"/>
  <c r="BL186" i="1"/>
  <c r="BL197" i="1"/>
  <c r="BL200" i="1"/>
  <c r="BJ221" i="1"/>
  <c r="AO156" i="1"/>
  <c r="BJ235" i="1"/>
  <c r="AB263" i="1"/>
  <c r="BL308" i="1"/>
  <c r="BL313" i="1"/>
  <c r="BL318" i="1"/>
  <c r="BL321" i="1"/>
  <c r="BL323" i="1"/>
  <c r="BL324" i="1"/>
  <c r="BL344" i="1"/>
  <c r="BL347" i="1"/>
  <c r="BL360" i="1"/>
  <c r="BJ402" i="1"/>
  <c r="BL406" i="1"/>
  <c r="BL408" i="1"/>
  <c r="AF415" i="1"/>
  <c r="AF361" i="1" s="1"/>
  <c r="BL419" i="1"/>
  <c r="BL422" i="1"/>
  <c r="BK431" i="1"/>
  <c r="AC483" i="1"/>
  <c r="AC445" i="1" s="1"/>
  <c r="BG492" i="1"/>
  <c r="AN492" i="1"/>
  <c r="BL497" i="1"/>
  <c r="BD382" i="6"/>
  <c r="AA134" i="6"/>
  <c r="AA368" i="6"/>
  <c r="AR79" i="11"/>
  <c r="BA80" i="11"/>
  <c r="BA79" i="11" s="1"/>
  <c r="AZ25" i="11"/>
  <c r="BI25" i="11" s="1"/>
  <c r="AU130" i="3"/>
  <c r="AX130" i="3"/>
  <c r="BF130" i="3" s="1"/>
  <c r="AY52" i="11"/>
  <c r="AP51" i="11"/>
  <c r="AX109" i="3"/>
  <c r="BF110" i="3"/>
  <c r="BI402" i="3"/>
  <c r="BK19" i="11"/>
  <c r="AF448" i="3"/>
  <c r="BG75" i="3"/>
  <c r="BG110" i="3"/>
  <c r="BD212" i="3"/>
  <c r="BK216" i="3"/>
  <c r="BK419" i="3"/>
  <c r="BK422" i="3"/>
  <c r="BH296" i="2"/>
  <c r="AZ295" i="2"/>
  <c r="BC296" i="2"/>
  <c r="BH276" i="1"/>
  <c r="AG276" i="1"/>
  <c r="AC5" i="11"/>
  <c r="BK23" i="11"/>
  <c r="AB76" i="11"/>
  <c r="AW289" i="3"/>
  <c r="BE289" i="3" s="1"/>
  <c r="BC55" i="3"/>
  <c r="BK55" i="3" s="1"/>
  <c r="AZ51" i="3"/>
  <c r="BH55" i="3"/>
  <c r="BK152" i="3"/>
  <c r="BK257" i="3"/>
  <c r="AE415" i="3"/>
  <c r="AE361" i="3" s="1"/>
  <c r="AW415" i="3"/>
  <c r="BE416" i="3"/>
  <c r="AG86" i="2"/>
  <c r="AI363" i="2"/>
  <c r="AM364" i="2"/>
  <c r="AB402" i="1"/>
  <c r="BG403" i="1"/>
  <c r="BK403" i="1"/>
  <c r="BC402" i="1"/>
  <c r="BK402" i="1" s="1"/>
  <c r="Y368" i="6"/>
  <c r="Y367" i="6" s="1"/>
  <c r="BF11" i="11"/>
  <c r="BK21" i="11"/>
  <c r="AC79" i="11"/>
  <c r="AK87" i="11"/>
  <c r="BJ416" i="3"/>
  <c r="BI376" i="3"/>
  <c r="BH332" i="3"/>
  <c r="BH331" i="3"/>
  <c r="BC170" i="3"/>
  <c r="BK170" i="3"/>
  <c r="BK45" i="3"/>
  <c r="AY51" i="3"/>
  <c r="BG51" i="3" s="1"/>
  <c r="BK64" i="3"/>
  <c r="BK72" i="3"/>
  <c r="BK82" i="3"/>
  <c r="AC86" i="3"/>
  <c r="BK103" i="3"/>
  <c r="BK112" i="3"/>
  <c r="AJ122" i="3"/>
  <c r="BB122" i="3"/>
  <c r="AH156" i="3"/>
  <c r="AQ156" i="3"/>
  <c r="BC158" i="3"/>
  <c r="BK158" i="3" s="1"/>
  <c r="BK163" i="3"/>
  <c r="AF182" i="3"/>
  <c r="BD201" i="3"/>
  <c r="BK209" i="3"/>
  <c r="AM221" i="3"/>
  <c r="BD243" i="3"/>
  <c r="BK250" i="3"/>
  <c r="BK260" i="3"/>
  <c r="BG264" i="3"/>
  <c r="BK297" i="3"/>
  <c r="BK305" i="3"/>
  <c r="BK313" i="3"/>
  <c r="BK321" i="3"/>
  <c r="AO331" i="3"/>
  <c r="AU332" i="3"/>
  <c r="AU331" i="3" s="1"/>
  <c r="BF332" i="3"/>
  <c r="BF331" i="3" s="1"/>
  <c r="BA355" i="3"/>
  <c r="BA261" i="3" s="1"/>
  <c r="AF377" i="3"/>
  <c r="BK377" i="3"/>
  <c r="BK388" i="3"/>
  <c r="BK414" i="3"/>
  <c r="BK438" i="3"/>
  <c r="AN447" i="3"/>
  <c r="AU448" i="3"/>
  <c r="BK451" i="3"/>
  <c r="BK465" i="3"/>
  <c r="BK473" i="3"/>
  <c r="BA483" i="3"/>
  <c r="BA445" i="3"/>
  <c r="AH50" i="2"/>
  <c r="BE51" i="2"/>
  <c r="AM51" i="2"/>
  <c r="BK162" i="2"/>
  <c r="AN355" i="2"/>
  <c r="BD356" i="2"/>
  <c r="BE356" i="2"/>
  <c r="AW355" i="2"/>
  <c r="AF359" i="2"/>
  <c r="BD359" i="2"/>
  <c r="BE359" i="2"/>
  <c r="AH355" i="2"/>
  <c r="AU359" i="2"/>
  <c r="BC359" i="2"/>
  <c r="AZ355" i="2"/>
  <c r="BH359" i="2"/>
  <c r="AZ402" i="2"/>
  <c r="BH403" i="2"/>
  <c r="AM448" i="2"/>
  <c r="AG447" i="2"/>
  <c r="BD447" i="2" s="1"/>
  <c r="BD448" i="2"/>
  <c r="AH483" i="2"/>
  <c r="AH445" i="2" s="1"/>
  <c r="AM484" i="2"/>
  <c r="AN355" i="3"/>
  <c r="Y376" i="3"/>
  <c r="BD376" i="3" s="1"/>
  <c r="BD375" i="3" s="1"/>
  <c r="BK13" i="11"/>
  <c r="BB157" i="3"/>
  <c r="BB156" i="3" s="1"/>
  <c r="BB7" i="3"/>
  <c r="BB86" i="3"/>
  <c r="BB109" i="3"/>
  <c r="BJ158" i="3"/>
  <c r="BJ157" i="3" s="1"/>
  <c r="AM212" i="3"/>
  <c r="AD289" i="3"/>
  <c r="BI484" i="3"/>
  <c r="AY51" i="2"/>
  <c r="BG75" i="2"/>
  <c r="AL122" i="2"/>
  <c r="BJ138" i="2"/>
  <c r="AA295" i="2"/>
  <c r="BF295" i="2"/>
  <c r="BF296" i="2"/>
  <c r="AO86" i="1"/>
  <c r="BE99" i="1"/>
  <c r="BF264" i="1"/>
  <c r="AG264" i="1"/>
  <c r="AU263" i="1"/>
  <c r="BK276" i="1"/>
  <c r="AZ415" i="1"/>
  <c r="AZ361" i="1" s="1"/>
  <c r="BH416" i="1"/>
  <c r="AP87" i="8"/>
  <c r="BB11" i="11"/>
  <c r="AF37" i="11"/>
  <c r="AG51" i="11"/>
  <c r="BC484" i="3"/>
  <c r="BK16" i="3"/>
  <c r="AM75" i="3"/>
  <c r="AM193" i="3"/>
  <c r="BK233" i="3"/>
  <c r="BC243" i="3"/>
  <c r="BK247" i="3"/>
  <c r="BC431" i="3"/>
  <c r="BK488" i="3"/>
  <c r="AC375" i="2"/>
  <c r="AC361" i="2"/>
  <c r="BH376" i="2"/>
  <c r="BH375" i="2"/>
  <c r="AX7" i="1"/>
  <c r="BF43" i="1"/>
  <c r="BC483" i="1"/>
  <c r="BD492" i="1"/>
  <c r="AE5" i="11"/>
  <c r="AJ6" i="11"/>
  <c r="AJ5" i="11" s="1"/>
  <c r="BE11" i="11"/>
  <c r="AI51" i="11"/>
  <c r="AC64" i="11"/>
  <c r="AF72" i="11"/>
  <c r="AD79" i="11"/>
  <c r="AD483" i="3"/>
  <c r="Y7" i="3"/>
  <c r="BK14" i="3"/>
  <c r="BK22" i="3"/>
  <c r="AL7" i="3"/>
  <c r="BD24" i="3"/>
  <c r="BK62" i="3"/>
  <c r="BK67" i="3"/>
  <c r="BK77" i="3"/>
  <c r="AD86" i="3"/>
  <c r="BI87" i="3"/>
  <c r="AL86" i="3"/>
  <c r="BC87" i="3"/>
  <c r="AV86" i="3"/>
  <c r="BK95" i="3"/>
  <c r="AI156" i="3"/>
  <c r="BF158" i="3"/>
  <c r="BF157" i="3"/>
  <c r="AX157" i="3"/>
  <c r="AX156" i="3"/>
  <c r="BK161" i="3"/>
  <c r="BK184" i="3"/>
  <c r="AF201" i="3"/>
  <c r="BH201" i="3"/>
  <c r="BK204" i="3"/>
  <c r="BJ221" i="3"/>
  <c r="BJ235" i="3"/>
  <c r="BG235" i="3"/>
  <c r="BK245" i="3"/>
  <c r="Z355" i="3"/>
  <c r="AR355" i="3"/>
  <c r="AZ363" i="3"/>
  <c r="BH363" i="3" s="1"/>
  <c r="BH364" i="3"/>
  <c r="AZ375" i="3"/>
  <c r="BH376" i="3"/>
  <c r="BH375" i="3" s="1"/>
  <c r="BK401" i="3"/>
  <c r="AM492" i="3"/>
  <c r="BF492" i="3"/>
  <c r="AF296" i="2"/>
  <c r="AV122" i="2"/>
  <c r="BF364" i="2"/>
  <c r="AU242" i="2"/>
  <c r="AO362" i="2"/>
  <c r="AW362" i="2"/>
  <c r="BE362" i="2" s="1"/>
  <c r="AM362" i="2"/>
  <c r="BK362" i="2" s="1"/>
  <c r="BI11" i="11"/>
  <c r="BG8" i="3"/>
  <c r="AG375" i="3"/>
  <c r="AM376" i="3"/>
  <c r="AM375" i="3"/>
  <c r="BK357" i="3"/>
  <c r="BC99" i="3"/>
  <c r="AO156" i="3"/>
  <c r="BF212" i="3"/>
  <c r="AV331" i="3"/>
  <c r="BD416" i="3"/>
  <c r="AV415" i="3"/>
  <c r="AM75" i="2"/>
  <c r="AM50" i="2" s="1"/>
  <c r="AM49" i="2" s="1"/>
  <c r="BK49" i="2" s="1"/>
  <c r="BE138" i="2"/>
  <c r="BE122" i="2"/>
  <c r="AW122" i="2"/>
  <c r="AQ295" i="2"/>
  <c r="BG295" i="2" s="1"/>
  <c r="AU296" i="2"/>
  <c r="BG296" i="2"/>
  <c r="AY50" i="1"/>
  <c r="BG51" i="1"/>
  <c r="AV243" i="1"/>
  <c r="BL244" i="1"/>
  <c r="AL263" i="1"/>
  <c r="BI276" i="1"/>
  <c r="AA11" i="11"/>
  <c r="BK17" i="11"/>
  <c r="AG45" i="11"/>
  <c r="BK27" i="3"/>
  <c r="BH123" i="3"/>
  <c r="AF5" i="11"/>
  <c r="BG11" i="11"/>
  <c r="AS11" i="11"/>
  <c r="BK14" i="11"/>
  <c r="BA38" i="11"/>
  <c r="AH72" i="11"/>
  <c r="AH85" i="11"/>
  <c r="BJ403" i="3"/>
  <c r="BD402" i="3"/>
  <c r="BC332" i="3"/>
  <c r="BC331" i="3" s="1"/>
  <c r="BK37" i="3"/>
  <c r="BD43" i="3"/>
  <c r="AF99" i="3"/>
  <c r="AM99" i="3"/>
  <c r="AJ156" i="3"/>
  <c r="AM201" i="3"/>
  <c r="BF201" i="3"/>
  <c r="AF212" i="3"/>
  <c r="BH212" i="3"/>
  <c r="Y156" i="3"/>
  <c r="BE227" i="3"/>
  <c r="BK239" i="3"/>
  <c r="AK263" i="3"/>
  <c r="BK271" i="3"/>
  <c r="BJ276" i="3"/>
  <c r="BK286" i="3"/>
  <c r="BK287" i="3"/>
  <c r="BD347" i="3"/>
  <c r="Y332" i="3"/>
  <c r="BI431" i="3"/>
  <c r="BF447" i="3"/>
  <c r="BE416" i="2"/>
  <c r="AV109" i="2"/>
  <c r="BC116" i="2"/>
  <c r="AF123" i="2"/>
  <c r="BK218" i="2"/>
  <c r="AU212" i="2"/>
  <c r="AM235" i="2"/>
  <c r="BK237" i="2"/>
  <c r="AW263" i="2"/>
  <c r="BC264" i="2"/>
  <c r="BE264" i="2"/>
  <c r="Z289" i="2"/>
  <c r="BE295" i="2"/>
  <c r="AE295" i="2"/>
  <c r="AF295" i="2" s="1"/>
  <c r="BJ296" i="2"/>
  <c r="AB331" i="2"/>
  <c r="BG332" i="2"/>
  <c r="BG331" i="2" s="1"/>
  <c r="AY355" i="2"/>
  <c r="BG356" i="2"/>
  <c r="AX355" i="3"/>
  <c r="BF356" i="3"/>
  <c r="AV375" i="3"/>
  <c r="BC376" i="3"/>
  <c r="BC375" i="3" s="1"/>
  <c r="AO363" i="2"/>
  <c r="BE364" i="2"/>
  <c r="BC11" i="11"/>
  <c r="BK18" i="11"/>
  <c r="BV117" i="8"/>
  <c r="BW117" i="8" s="1"/>
  <c r="BI447" i="3"/>
  <c r="AF43" i="3"/>
  <c r="AE109" i="3"/>
  <c r="BC116" i="3"/>
  <c r="BD116" i="3"/>
  <c r="AV109" i="3"/>
  <c r="BD157" i="3"/>
  <c r="AB156" i="3"/>
  <c r="BF227" i="3"/>
  <c r="BD235" i="3"/>
  <c r="BG243" i="3"/>
  <c r="AX363" i="3"/>
  <c r="BJ376" i="3"/>
  <c r="BJ375" i="3" s="1"/>
  <c r="BB375" i="3"/>
  <c r="BB361" i="3" s="1"/>
  <c r="AM403" i="3"/>
  <c r="AF416" i="3"/>
  <c r="AF431" i="3"/>
  <c r="BJ431" i="3"/>
  <c r="BH447" i="2"/>
  <c r="AZ445" i="2"/>
  <c r="BJ87" i="2"/>
  <c r="BA86" i="2"/>
  <c r="BC87" i="2"/>
  <c r="AC86" i="2"/>
  <c r="AF99" i="2"/>
  <c r="BD99" i="2"/>
  <c r="BC99" i="2"/>
  <c r="AG263" i="2"/>
  <c r="AM264" i="2"/>
  <c r="AN276" i="1"/>
  <c r="AV182" i="1"/>
  <c r="AP156" i="1"/>
  <c r="AG193" i="1"/>
  <c r="BL194" i="1"/>
  <c r="AZ355" i="1"/>
  <c r="BH356" i="1"/>
  <c r="BJ11" i="11"/>
  <c r="BK22" i="11"/>
  <c r="AE24" i="11"/>
  <c r="AM38" i="11"/>
  <c r="AM37" i="11" s="1"/>
  <c r="AF64" i="11"/>
  <c r="AK65" i="11"/>
  <c r="AT65" i="11" s="1"/>
  <c r="AT64" i="11" s="1"/>
  <c r="AX65" i="11"/>
  <c r="AG79" i="11"/>
  <c r="AP80" i="11"/>
  <c r="AY80" i="11" s="1"/>
  <c r="BH80" i="11" s="1"/>
  <c r="BH79" i="11" s="1"/>
  <c r="AF447" i="3"/>
  <c r="AU364" i="3"/>
  <c r="AI289" i="3"/>
  <c r="AV157" i="3"/>
  <c r="AV156" i="3" s="1"/>
  <c r="BF8" i="3"/>
  <c r="BK15" i="3"/>
  <c r="BK23" i="3"/>
  <c r="AM24" i="3"/>
  <c r="AG7" i="3"/>
  <c r="AP7" i="3"/>
  <c r="BK25" i="3"/>
  <c r="BK44" i="3"/>
  <c r="AR122" i="3"/>
  <c r="BD123" i="3"/>
  <c r="BD138" i="3"/>
  <c r="BG123" i="3"/>
  <c r="AY122" i="3"/>
  <c r="BK136" i="3"/>
  <c r="BJ138" i="3"/>
  <c r="AL156" i="3"/>
  <c r="BK159" i="3"/>
  <c r="BK169" i="3"/>
  <c r="BK177" i="3"/>
  <c r="BE193" i="3"/>
  <c r="BJ193" i="3"/>
  <c r="BC201" i="3"/>
  <c r="AU212" i="3"/>
  <c r="BJ212" i="3"/>
  <c r="AS156" i="3"/>
  <c r="BF243" i="3"/>
  <c r="AF264" i="3"/>
  <c r="BK269" i="3"/>
  <c r="BD276" i="3"/>
  <c r="BC276" i="3"/>
  <c r="BK279" i="3"/>
  <c r="BH403" i="3"/>
  <c r="AZ402" i="3"/>
  <c r="BK405" i="3"/>
  <c r="BH416" i="3"/>
  <c r="BK418" i="3"/>
  <c r="BK421" i="3"/>
  <c r="BK429" i="3"/>
  <c r="AB483" i="3"/>
  <c r="AB445" i="3" s="1"/>
  <c r="BK494" i="3"/>
  <c r="AV242" i="2"/>
  <c r="AI7" i="2"/>
  <c r="AM8" i="2"/>
  <c r="BF8" i="2"/>
  <c r="AR7" i="2"/>
  <c r="BH8" i="2"/>
  <c r="AA7" i="2"/>
  <c r="BF24" i="2"/>
  <c r="BB7" i="2"/>
  <c r="BJ24" i="2"/>
  <c r="AP50" i="2"/>
  <c r="BF51" i="2"/>
  <c r="AD50" i="2"/>
  <c r="BI75" i="2"/>
  <c r="AN51" i="2"/>
  <c r="AU51" i="2" s="1"/>
  <c r="BD75" i="2"/>
  <c r="BC193" i="2"/>
  <c r="BK197" i="2"/>
  <c r="AP156" i="2"/>
  <c r="AM201" i="2"/>
  <c r="BK203" i="2"/>
  <c r="BE402" i="2"/>
  <c r="AG402" i="2"/>
  <c r="AM403" i="2"/>
  <c r="BD403" i="2"/>
  <c r="AV402" i="2"/>
  <c r="BF416" i="2"/>
  <c r="AX415" i="2"/>
  <c r="AX361" i="2" s="1"/>
  <c r="BK418" i="2"/>
  <c r="AF416" i="2"/>
  <c r="BK420" i="2"/>
  <c r="AU416" i="2"/>
  <c r="AA415" i="2"/>
  <c r="BF431" i="2"/>
  <c r="BB415" i="2"/>
  <c r="BJ415" i="2" s="1"/>
  <c r="BJ431" i="2"/>
  <c r="BG492" i="2"/>
  <c r="AB483" i="2"/>
  <c r="BD171" i="1"/>
  <c r="BL171" i="1" s="1"/>
  <c r="BD484" i="3"/>
  <c r="BK13" i="3"/>
  <c r="BK21" i="3"/>
  <c r="BH24" i="3"/>
  <c r="BK30" i="3"/>
  <c r="BK36" i="3"/>
  <c r="BK38" i="3"/>
  <c r="BF43" i="3"/>
  <c r="BG43" i="3"/>
  <c r="AB50" i="3"/>
  <c r="BI75" i="3"/>
  <c r="Z86" i="3"/>
  <c r="BK88" i="3"/>
  <c r="BK96" i="3"/>
  <c r="BK101" i="3"/>
  <c r="BK114" i="3"/>
  <c r="BE116" i="3"/>
  <c r="BK145" i="3"/>
  <c r="BE158" i="3"/>
  <c r="BK164" i="3"/>
  <c r="BC182" i="3"/>
  <c r="BF182" i="3"/>
  <c r="BK199" i="3"/>
  <c r="BK210" i="3"/>
  <c r="BE212" i="3"/>
  <c r="BK219" i="3"/>
  <c r="BI221" i="3"/>
  <c r="BK248" i="3"/>
  <c r="BK255" i="3"/>
  <c r="BK272" i="3"/>
  <c r="BK300" i="3"/>
  <c r="BK308" i="3"/>
  <c r="BK316" i="3"/>
  <c r="BK324" i="3"/>
  <c r="BK381" i="3"/>
  <c r="BK397" i="3"/>
  <c r="AF403" i="3"/>
  <c r="BK411" i="3"/>
  <c r="AP415" i="3"/>
  <c r="AX415" i="3"/>
  <c r="BG448" i="3"/>
  <c r="BK478" i="3"/>
  <c r="AC483" i="3"/>
  <c r="BJ492" i="3"/>
  <c r="AD86" i="2"/>
  <c r="AF448" i="2"/>
  <c r="BB51" i="2"/>
  <c r="BB50" i="2" s="1"/>
  <c r="BJ75" i="2"/>
  <c r="BH158" i="2"/>
  <c r="BC158" i="2"/>
  <c r="BK158" i="2" s="1"/>
  <c r="BK159" i="2"/>
  <c r="AP263" i="2"/>
  <c r="AP331" i="2"/>
  <c r="AX263" i="2"/>
  <c r="BF264" i="2"/>
  <c r="BF332" i="2"/>
  <c r="BF331" i="2" s="1"/>
  <c r="BK52" i="3"/>
  <c r="BK63" i="3"/>
  <c r="BK68" i="3"/>
  <c r="BE75" i="3"/>
  <c r="AH86" i="3"/>
  <c r="AQ86" i="3"/>
  <c r="BH87" i="3"/>
  <c r="BK91" i="3"/>
  <c r="AS86" i="3"/>
  <c r="BK104" i="3"/>
  <c r="BH116" i="3"/>
  <c r="BK126" i="3"/>
  <c r="BK139" i="3"/>
  <c r="AE156" i="3"/>
  <c r="AT156" i="3"/>
  <c r="BK162" i="3"/>
  <c r="BK178" i="3"/>
  <c r="BK188" i="3"/>
  <c r="BK191" i="3"/>
  <c r="BK205" i="3"/>
  <c r="BK223" i="3"/>
  <c r="AF243" i="3"/>
  <c r="BK258" i="3"/>
  <c r="BK267" i="3"/>
  <c r="BK275" i="3"/>
  <c r="BK277" i="3"/>
  <c r="BK360" i="3"/>
  <c r="BK368" i="3"/>
  <c r="BK386" i="3"/>
  <c r="BK394" i="3"/>
  <c r="BE402" i="3"/>
  <c r="BE403" i="3"/>
  <c r="BK406" i="3"/>
  <c r="AI415" i="3"/>
  <c r="AI361" i="3" s="1"/>
  <c r="BK427" i="3"/>
  <c r="AG415" i="3"/>
  <c r="BD415" i="3" s="1"/>
  <c r="AO415" i="3"/>
  <c r="BK455" i="3"/>
  <c r="BK461" i="3"/>
  <c r="AM484" i="3"/>
  <c r="BK486" i="3"/>
  <c r="AP151" i="2"/>
  <c r="AP148" i="2" s="1"/>
  <c r="AU148" i="2" s="1"/>
  <c r="AI148" i="2"/>
  <c r="AM148" i="2" s="1"/>
  <c r="AM157" i="2"/>
  <c r="BF243" i="2"/>
  <c r="AI263" i="2"/>
  <c r="AI261" i="2" s="1"/>
  <c r="AV363" i="2"/>
  <c r="BC364" i="2"/>
  <c r="AU403" i="2"/>
  <c r="BK413" i="2"/>
  <c r="AQ483" i="2"/>
  <c r="BG484" i="2"/>
  <c r="AP375" i="1"/>
  <c r="AP361" i="1" s="1"/>
  <c r="AV376" i="1"/>
  <c r="AV375" i="1" s="1"/>
  <c r="AD355" i="3"/>
  <c r="AM8" i="3"/>
  <c r="BK19" i="3"/>
  <c r="BJ24" i="3"/>
  <c r="BK71" i="3"/>
  <c r="BF75" i="3"/>
  <c r="BK78" i="3"/>
  <c r="BH99" i="3"/>
  <c r="BK107" i="3"/>
  <c r="BK135" i="3"/>
  <c r="BI138" i="3"/>
  <c r="BK142" i="3"/>
  <c r="BK147" i="3"/>
  <c r="AM151" i="3"/>
  <c r="BC155" i="3"/>
  <c r="BK155" i="3" s="1"/>
  <c r="AG156" i="3"/>
  <c r="BK173" i="3"/>
  <c r="BK181" i="3"/>
  <c r="BK208" i="3"/>
  <c r="BK226" i="3"/>
  <c r="BI243" i="3"/>
  <c r="BH243" i="3"/>
  <c r="BE243" i="3"/>
  <c r="BK246" i="3"/>
  <c r="BK253" i="3"/>
  <c r="BK270" i="3"/>
  <c r="BK283" i="3"/>
  <c r="BK288" i="3"/>
  <c r="BK409" i="3"/>
  <c r="BF431" i="3"/>
  <c r="BK434" i="3"/>
  <c r="BK437" i="3"/>
  <c r="BK443" i="3"/>
  <c r="BI402" i="2"/>
  <c r="AA86" i="2"/>
  <c r="BF87" i="2"/>
  <c r="AF87" i="2"/>
  <c r="AT122" i="2"/>
  <c r="BJ123" i="2"/>
  <c r="BK124" i="2"/>
  <c r="BK132" i="2"/>
  <c r="BA122" i="2"/>
  <c r="BI138" i="2"/>
  <c r="BK140" i="2"/>
  <c r="BH148" i="2"/>
  <c r="BK154" i="2"/>
  <c r="AE156" i="2"/>
  <c r="AO156" i="2"/>
  <c r="AU157" i="2"/>
  <c r="AN363" i="2"/>
  <c r="AU364" i="2"/>
  <c r="AO375" i="2"/>
  <c r="AU376" i="2"/>
  <c r="AU375" i="2" s="1"/>
  <c r="AG289" i="3"/>
  <c r="AD50" i="3"/>
  <c r="BK17" i="3"/>
  <c r="BK29" i="3"/>
  <c r="BK31" i="3"/>
  <c r="BK35" i="3"/>
  <c r="BJ43" i="3"/>
  <c r="Y50" i="3"/>
  <c r="BK53" i="3"/>
  <c r="BK92" i="3"/>
  <c r="BD99" i="3"/>
  <c r="BK105" i="3"/>
  <c r="AJ109" i="3"/>
  <c r="BH110" i="3"/>
  <c r="Z122" i="3"/>
  <c r="Z156" i="3"/>
  <c r="BJ182" i="3"/>
  <c r="BK192" i="3"/>
  <c r="BF193" i="3"/>
  <c r="BK195" i="3"/>
  <c r="BK206" i="3"/>
  <c r="BK215" i="3"/>
  <c r="BK224" i="3"/>
  <c r="BK232" i="3"/>
  <c r="BI235" i="3"/>
  <c r="BJ243" i="3"/>
  <c r="BK259" i="3"/>
  <c r="BK268" i="3"/>
  <c r="AF276" i="3"/>
  <c r="BH276" i="3"/>
  <c r="BK304" i="3"/>
  <c r="BK312" i="3"/>
  <c r="BK320" i="3"/>
  <c r="BK329" i="3"/>
  <c r="AO355" i="3"/>
  <c r="AF359" i="3"/>
  <c r="BE359" i="3"/>
  <c r="BK407" i="3"/>
  <c r="BH431" i="3"/>
  <c r="BK432" i="3"/>
  <c r="BK435" i="3"/>
  <c r="BK440" i="3"/>
  <c r="BJ448" i="3"/>
  <c r="BG492" i="3"/>
  <c r="BK497" i="3"/>
  <c r="AF110" i="2"/>
  <c r="BK53" i="2"/>
  <c r="BK68" i="2"/>
  <c r="BK74" i="2"/>
  <c r="AL86" i="2"/>
  <c r="BK89" i="2"/>
  <c r="BK90" i="2"/>
  <c r="BK97" i="2"/>
  <c r="BC182" i="2"/>
  <c r="BK184" i="2"/>
  <c r="AU201" i="2"/>
  <c r="BJ201" i="2"/>
  <c r="BG212" i="2"/>
  <c r="BD212" i="2"/>
  <c r="BH332" i="2"/>
  <c r="BH331" i="2" s="1"/>
  <c r="BC332" i="2"/>
  <c r="BC331" i="2" s="1"/>
  <c r="AB363" i="2"/>
  <c r="BG363" i="2" s="1"/>
  <c r="BG364" i="2"/>
  <c r="AQ375" i="2"/>
  <c r="BG376" i="2"/>
  <c r="BG375" i="2" s="1"/>
  <c r="AW50" i="1"/>
  <c r="BE51" i="1"/>
  <c r="BK110" i="1"/>
  <c r="AY143" i="1"/>
  <c r="BG143" i="1" s="1"/>
  <c r="AQ138" i="1"/>
  <c r="AV138" i="1" s="1"/>
  <c r="AV143" i="1"/>
  <c r="AQ447" i="2"/>
  <c r="BJ157" i="2"/>
  <c r="BK22" i="2"/>
  <c r="AU24" i="2"/>
  <c r="AV86" i="2"/>
  <c r="BF99" i="2"/>
  <c r="AW109" i="2"/>
  <c r="BE110" i="2"/>
  <c r="BJ148" i="2"/>
  <c r="BB122" i="2"/>
  <c r="BK155" i="2"/>
  <c r="BK160" i="2"/>
  <c r="BK249" i="2"/>
  <c r="BH264" i="2"/>
  <c r="AZ263" i="2"/>
  <c r="BC276" i="2"/>
  <c r="Y355" i="2"/>
  <c r="BH356" i="2"/>
  <c r="AR415" i="2"/>
  <c r="BH431" i="2"/>
  <c r="AF431" i="2"/>
  <c r="BG448" i="2"/>
  <c r="AU484" i="2"/>
  <c r="AW483" i="2"/>
  <c r="AW445" i="2" s="1"/>
  <c r="BE484" i="2"/>
  <c r="BD332" i="1"/>
  <c r="BD331" i="1" s="1"/>
  <c r="BL411" i="1"/>
  <c r="AN484" i="1"/>
  <c r="AH483" i="1"/>
  <c r="AH445" i="1" s="1"/>
  <c r="BD484" i="1"/>
  <c r="BH484" i="1"/>
  <c r="BK88" i="2"/>
  <c r="BK98" i="2"/>
  <c r="BK176" i="2"/>
  <c r="BK181" i="2"/>
  <c r="BK186" i="2"/>
  <c r="BK220" i="2"/>
  <c r="BK223" i="2"/>
  <c r="BJ221" i="2"/>
  <c r="BD221" i="2"/>
  <c r="BC227" i="2"/>
  <c r="BK228" i="2"/>
  <c r="BK229" i="2"/>
  <c r="BH227" i="2"/>
  <c r="AU227" i="2"/>
  <c r="BJ227" i="2"/>
  <c r="BK234" i="2"/>
  <c r="BC235" i="2"/>
  <c r="BK236" i="2"/>
  <c r="AF235" i="2"/>
  <c r="BE235" i="2"/>
  <c r="BK239" i="2"/>
  <c r="BJ235" i="2"/>
  <c r="AM243" i="2"/>
  <c r="BI295" i="2"/>
  <c r="BA289" i="2"/>
  <c r="BI289" i="2" s="1"/>
  <c r="Y331" i="2"/>
  <c r="AF332" i="2"/>
  <c r="AF331" i="2" s="1"/>
  <c r="AA355" i="2"/>
  <c r="BJ364" i="2"/>
  <c r="AK483" i="2"/>
  <c r="Z7" i="1"/>
  <c r="AG8" i="1"/>
  <c r="BD227" i="1"/>
  <c r="BL229" i="1"/>
  <c r="AB331" i="1"/>
  <c r="BG332" i="1"/>
  <c r="BG331" i="1" s="1"/>
  <c r="AS355" i="1"/>
  <c r="BI359" i="1"/>
  <c r="BB355" i="1"/>
  <c r="BJ359" i="1"/>
  <c r="BJ484" i="3"/>
  <c r="BK491" i="3"/>
  <c r="AO483" i="3"/>
  <c r="BK499" i="3"/>
  <c r="BK245" i="2"/>
  <c r="AO50" i="2"/>
  <c r="AF51" i="2"/>
  <c r="BK63" i="2"/>
  <c r="AV50" i="2"/>
  <c r="BD51" i="2"/>
  <c r="AU75" i="2"/>
  <c r="BK78" i="2"/>
  <c r="BK83" i="2"/>
  <c r="BH123" i="2"/>
  <c r="AF143" i="2"/>
  <c r="AA138" i="2"/>
  <c r="AV157" i="2"/>
  <c r="AV156" i="2" s="1"/>
  <c r="AV7" i="2"/>
  <c r="BC166" i="2"/>
  <c r="BK166" i="2"/>
  <c r="AF276" i="2"/>
  <c r="AM276" i="2"/>
  <c r="AH263" i="2"/>
  <c r="AH361" i="2"/>
  <c r="BK369" i="2"/>
  <c r="BK373" i="2"/>
  <c r="BE376" i="2"/>
  <c r="BE375" i="2"/>
  <c r="BK391" i="2"/>
  <c r="BI403" i="2"/>
  <c r="AB415" i="2"/>
  <c r="BG416" i="2"/>
  <c r="AU448" i="2"/>
  <c r="AE109" i="1"/>
  <c r="BJ110" i="1"/>
  <c r="AO109" i="1"/>
  <c r="AV110" i="1"/>
  <c r="AJ148" i="1"/>
  <c r="AN148" i="1" s="1"/>
  <c r="AN151" i="1"/>
  <c r="AQ151" i="1"/>
  <c r="AY151" i="1" s="1"/>
  <c r="BG151" i="1" s="1"/>
  <c r="AS295" i="1"/>
  <c r="AT295" i="1"/>
  <c r="AT289" i="1" s="1"/>
  <c r="BI296" i="1"/>
  <c r="BB295" i="1"/>
  <c r="BD296" i="1"/>
  <c r="BL327" i="1"/>
  <c r="BE8" i="2"/>
  <c r="AQ7" i="2"/>
  <c r="AZ7" i="2"/>
  <c r="AF24" i="2"/>
  <c r="BK27" i="2"/>
  <c r="BK35" i="2"/>
  <c r="AL7" i="2"/>
  <c r="AL109" i="2"/>
  <c r="AL156" i="2"/>
  <c r="BK47" i="2"/>
  <c r="AP86" i="2"/>
  <c r="BE87" i="2"/>
  <c r="BE116" i="2"/>
  <c r="AB122" i="2"/>
  <c r="BK127" i="2"/>
  <c r="AP146" i="2"/>
  <c r="AI138" i="2"/>
  <c r="AM138" i="2" s="1"/>
  <c r="BK179" i="2"/>
  <c r="BI182" i="2"/>
  <c r="AS156" i="2"/>
  <c r="BK195" i="2"/>
  <c r="BF201" i="2"/>
  <c r="BC201" i="2"/>
  <c r="BH201" i="2"/>
  <c r="BE201" i="2"/>
  <c r="BK206" i="2"/>
  <c r="BH212" i="2"/>
  <c r="BE212" i="2"/>
  <c r="BK216" i="2"/>
  <c r="BJ212" i="2"/>
  <c r="BH221" i="2"/>
  <c r="AR263" i="2"/>
  <c r="AR355" i="2"/>
  <c r="BK268" i="2"/>
  <c r="BK284" i="2"/>
  <c r="BK314" i="2"/>
  <c r="AQ355" i="2"/>
  <c r="BK386" i="2"/>
  <c r="BA415" i="2"/>
  <c r="BA361" i="2"/>
  <c r="AU431" i="2"/>
  <c r="BL30" i="1"/>
  <c r="BL38" i="1"/>
  <c r="BF87" i="1"/>
  <c r="AH122" i="1"/>
  <c r="BE123" i="1"/>
  <c r="AV125" i="1"/>
  <c r="AY125" i="1"/>
  <c r="BG125" i="1" s="1"/>
  <c r="BJ296" i="1"/>
  <c r="BK295" i="1"/>
  <c r="BC289" i="1"/>
  <c r="BK289" i="1"/>
  <c r="BL298" i="1"/>
  <c r="BL309" i="1"/>
  <c r="BL314" i="1"/>
  <c r="BL315" i="1"/>
  <c r="BL322" i="1"/>
  <c r="AE331" i="1"/>
  <c r="BJ331" i="1" s="1"/>
  <c r="BJ332" i="1"/>
  <c r="BL345" i="1"/>
  <c r="BL350" i="1"/>
  <c r="BL353" i="1"/>
  <c r="AT361" i="1"/>
  <c r="BL414" i="1"/>
  <c r="AZ447" i="1"/>
  <c r="BH447" i="1" s="1"/>
  <c r="BH448" i="1"/>
  <c r="BD448" i="1"/>
  <c r="BK469" i="3"/>
  <c r="BK366" i="2"/>
  <c r="BC43" i="2"/>
  <c r="AU8" i="2"/>
  <c r="AM48" i="2"/>
  <c r="BK59" i="2"/>
  <c r="AY86" i="2"/>
  <c r="AA109" i="2"/>
  <c r="AZ109" i="2"/>
  <c r="BG116" i="2"/>
  <c r="BK117" i="2"/>
  <c r="BK119" i="2"/>
  <c r="AO122" i="2"/>
  <c r="AX157" i="2"/>
  <c r="AX156" i="2"/>
  <c r="BI264" i="2"/>
  <c r="BA263" i="2"/>
  <c r="BA261" i="2" s="1"/>
  <c r="AU276" i="2"/>
  <c r="BE276" i="2"/>
  <c r="AM296" i="2"/>
  <c r="AG295" i="2"/>
  <c r="AM295" i="2" s="1"/>
  <c r="BK307" i="2"/>
  <c r="BK315" i="2"/>
  <c r="BI331" i="2"/>
  <c r="BK451" i="2"/>
  <c r="AF7" i="1"/>
  <c r="BA109" i="1"/>
  <c r="BD110" i="1"/>
  <c r="AB156" i="1"/>
  <c r="BD158" i="1"/>
  <c r="BL158" i="1"/>
  <c r="BL320" i="1"/>
  <c r="AO415" i="1"/>
  <c r="AO361" i="1" s="1"/>
  <c r="BE416" i="1"/>
  <c r="AN416" i="1"/>
  <c r="AN431" i="1"/>
  <c r="BJ447" i="1"/>
  <c r="BB445" i="1"/>
  <c r="AK483" i="1"/>
  <c r="AK445" i="1" s="1"/>
  <c r="BJ484" i="1"/>
  <c r="BJ48" i="2"/>
  <c r="AZ86" i="2"/>
  <c r="AR109" i="2"/>
  <c r="BA109" i="2"/>
  <c r="AU182" i="2"/>
  <c r="BK194" i="2"/>
  <c r="BK196" i="2"/>
  <c r="AT156" i="2"/>
  <c r="BC221" i="2"/>
  <c r="BK222" i="2"/>
  <c r="BK246" i="2"/>
  <c r="BJ243" i="2"/>
  <c r="BG243" i="2"/>
  <c r="BD243" i="2"/>
  <c r="BK256" i="2"/>
  <c r="BJ332" i="2"/>
  <c r="BJ331" i="2" s="1"/>
  <c r="AT331" i="2"/>
  <c r="BK334" i="2"/>
  <c r="BK336" i="2"/>
  <c r="BB483" i="2"/>
  <c r="BB445" i="2"/>
  <c r="BJ484" i="2"/>
  <c r="AN8" i="1"/>
  <c r="AH7" i="1"/>
  <c r="AX122" i="1"/>
  <c r="BF148" i="1"/>
  <c r="AL156" i="1"/>
  <c r="BI170" i="1"/>
  <c r="BI157" i="1"/>
  <c r="BA157" i="1"/>
  <c r="BA156" i="1"/>
  <c r="AU156" i="1"/>
  <c r="BH182" i="1"/>
  <c r="BG235" i="1"/>
  <c r="BL239" i="1"/>
  <c r="BE243" i="1"/>
  <c r="BG243" i="1"/>
  <c r="BL254" i="1"/>
  <c r="AS263" i="1"/>
  <c r="BI264" i="1"/>
  <c r="BB263" i="1"/>
  <c r="BD264" i="1"/>
  <c r="BL266" i="1"/>
  <c r="BL274" i="1"/>
  <c r="AV276" i="1"/>
  <c r="BE276" i="1"/>
  <c r="BD276" i="1"/>
  <c r="BL276" i="1" s="1"/>
  <c r="BF276" i="1"/>
  <c r="AX263" i="1"/>
  <c r="AA263" i="1"/>
  <c r="BG363" i="1"/>
  <c r="AV363" i="1"/>
  <c r="BF364" i="1"/>
  <c r="BC375" i="1"/>
  <c r="BK376" i="1"/>
  <c r="BK375" i="1" s="1"/>
  <c r="AS415" i="1"/>
  <c r="AS361" i="1" s="1"/>
  <c r="BI431" i="1"/>
  <c r="AA447" i="1"/>
  <c r="AX445" i="1"/>
  <c r="BF182" i="2"/>
  <c r="BK200" i="2"/>
  <c r="AQ156" i="2"/>
  <c r="BE243" i="2"/>
  <c r="AU243" i="2"/>
  <c r="AF243" i="2"/>
  <c r="BH243" i="2"/>
  <c r="BK255" i="2"/>
  <c r="BK257" i="2"/>
  <c r="BK260" i="2"/>
  <c r="BK476" i="2"/>
  <c r="AD7" i="1"/>
  <c r="BK87" i="1"/>
  <c r="AU86" i="1"/>
  <c r="AG116" i="1"/>
  <c r="AD156" i="1"/>
  <c r="BF201" i="1"/>
  <c r="BL216" i="1"/>
  <c r="AV212" i="1"/>
  <c r="BF235" i="1"/>
  <c r="BK264" i="1"/>
  <c r="BC263" i="1"/>
  <c r="BL269" i="1"/>
  <c r="BL272" i="1"/>
  <c r="BL277" i="1"/>
  <c r="BL280" i="1"/>
  <c r="BL283" i="1"/>
  <c r="BL285" i="1"/>
  <c r="AG357" i="1"/>
  <c r="BL357" i="1"/>
  <c r="AE356" i="1"/>
  <c r="AE355" i="1"/>
  <c r="AE263" i="1"/>
  <c r="AE261" i="1"/>
  <c r="BJ357" i="1"/>
  <c r="AV402" i="1"/>
  <c r="BF403" i="1"/>
  <c r="AX402" i="1"/>
  <c r="BL409" i="1"/>
  <c r="AQ415" i="1"/>
  <c r="AQ361" i="1" s="1"/>
  <c r="BG431" i="1"/>
  <c r="BL450" i="1"/>
  <c r="BL458" i="1"/>
  <c r="BL468" i="1"/>
  <c r="BL471" i="1"/>
  <c r="BL476" i="1"/>
  <c r="AD7" i="2"/>
  <c r="AN7" i="2"/>
  <c r="AW7" i="2"/>
  <c r="AE7" i="2"/>
  <c r="BI51" i="2"/>
  <c r="AQ86" i="2"/>
  <c r="AI86" i="2"/>
  <c r="BK101" i="2"/>
  <c r="BK107" i="2"/>
  <c r="BG110" i="2"/>
  <c r="AQ263" i="2"/>
  <c r="BK266" i="2"/>
  <c r="BK279" i="2"/>
  <c r="AM359" i="2"/>
  <c r="AF403" i="2"/>
  <c r="BK489" i="2"/>
  <c r="BL9" i="1"/>
  <c r="BL12" i="1"/>
  <c r="BL14" i="1"/>
  <c r="BL27" i="1"/>
  <c r="BL47" i="1"/>
  <c r="AA109" i="1"/>
  <c r="BA122" i="1"/>
  <c r="AN130" i="1"/>
  <c r="AQ130" i="1"/>
  <c r="BL134" i="1"/>
  <c r="BL141" i="1"/>
  <c r="BK148" i="1"/>
  <c r="BH157" i="1"/>
  <c r="BL173" i="1"/>
  <c r="BL176" i="1"/>
  <c r="BL181" i="1"/>
  <c r="AG182" i="1"/>
  <c r="BL183" i="1"/>
  <c r="AN193" i="1"/>
  <c r="BL352" i="1"/>
  <c r="AM356" i="1"/>
  <c r="AM355" i="1" s="1"/>
  <c r="AU358" i="1"/>
  <c r="AG359" i="1"/>
  <c r="BF359" i="1"/>
  <c r="AV359" i="1"/>
  <c r="BG364" i="1"/>
  <c r="AX363" i="1"/>
  <c r="BD363" i="1" s="1"/>
  <c r="BD364" i="1"/>
  <c r="Z415" i="1"/>
  <c r="BL425" i="1"/>
  <c r="BL59" i="1"/>
  <c r="BL69" i="1"/>
  <c r="AH109" i="1"/>
  <c r="BE116" i="1"/>
  <c r="BF123" i="1"/>
  <c r="BB122" i="1"/>
  <c r="AR122" i="1"/>
  <c r="BL301" i="1"/>
  <c r="BL339" i="1"/>
  <c r="BL342" i="1"/>
  <c r="BA355" i="1"/>
  <c r="BI403" i="1"/>
  <c r="BA402" i="1"/>
  <c r="AH415" i="1"/>
  <c r="AH361" i="1" s="1"/>
  <c r="BF484" i="1"/>
  <c r="BL485" i="1"/>
  <c r="BL490" i="1"/>
  <c r="BL495" i="1"/>
  <c r="BI110" i="2"/>
  <c r="AE122" i="2"/>
  <c r="AJ156" i="2"/>
  <c r="BD157" i="2"/>
  <c r="BK161" i="2"/>
  <c r="BK172" i="2"/>
  <c r="BK174" i="2"/>
  <c r="BK177" i="2"/>
  <c r="BG201" i="2"/>
  <c r="BK224" i="2"/>
  <c r="AF221" i="2"/>
  <c r="BE221" i="2"/>
  <c r="AA156" i="2"/>
  <c r="BG227" i="2"/>
  <c r="BG182" i="2"/>
  <c r="BG193" i="2"/>
  <c r="BG235" i="2"/>
  <c r="BD227" i="2"/>
  <c r="BK230" i="2"/>
  <c r="BF227" i="2"/>
  <c r="BD235" i="2"/>
  <c r="BK238" i="2"/>
  <c r="BB263" i="2"/>
  <c r="AE263" i="2"/>
  <c r="AE261" i="2" s="1"/>
  <c r="AD415" i="2"/>
  <c r="AS415" i="2"/>
  <c r="AD483" i="2"/>
  <c r="AX483" i="2"/>
  <c r="BK488" i="2"/>
  <c r="BG356" i="1"/>
  <c r="BK332" i="1"/>
  <c r="BK331" i="1" s="1"/>
  <c r="AV129" i="1"/>
  <c r="BH148" i="1"/>
  <c r="BL19" i="1"/>
  <c r="BL37" i="1"/>
  <c r="BL70" i="1"/>
  <c r="AG99" i="1"/>
  <c r="AV99" i="1"/>
  <c r="AF109" i="1"/>
  <c r="Z156" i="1"/>
  <c r="AQ156" i="1"/>
  <c r="AZ156" i="1"/>
  <c r="BL206" i="1"/>
  <c r="BK212" i="1"/>
  <c r="BE212" i="1"/>
  <c r="AN212" i="1"/>
  <c r="BG212" i="1"/>
  <c r="BL219" i="1"/>
  <c r="BL220" i="1"/>
  <c r="BD235" i="1"/>
  <c r="BI235" i="1"/>
  <c r="BL240" i="1"/>
  <c r="BI243" i="1"/>
  <c r="BF243" i="1"/>
  <c r="BL248" i="1"/>
  <c r="BK243" i="1"/>
  <c r="BL250" i="1"/>
  <c r="BL252" i="1"/>
  <c r="BL255" i="1"/>
  <c r="BL260" i="1"/>
  <c r="AQ263" i="1"/>
  <c r="BL288" i="1"/>
  <c r="AJ355" i="1"/>
  <c r="AN359" i="1"/>
  <c r="BE359" i="1"/>
  <c r="BD359" i="1"/>
  <c r="AJ415" i="1"/>
  <c r="AJ361" i="1" s="1"/>
  <c r="AW447" i="1"/>
  <c r="BE447" i="1" s="1"/>
  <c r="BE448" i="1"/>
  <c r="BL456" i="1"/>
  <c r="AL483" i="1"/>
  <c r="AL445" i="1" s="1"/>
  <c r="AU483" i="1"/>
  <c r="AU445" i="1" s="1"/>
  <c r="AE50" i="2"/>
  <c r="BK54" i="2"/>
  <c r="BK57" i="2"/>
  <c r="BK66" i="2"/>
  <c r="BC75" i="2"/>
  <c r="AF75" i="2"/>
  <c r="BK77" i="2"/>
  <c r="BK81" i="2"/>
  <c r="Y86" i="2"/>
  <c r="BI87" i="2"/>
  <c r="Y109" i="2"/>
  <c r="AN109" i="2"/>
  <c r="AU116" i="2"/>
  <c r="AD122" i="2"/>
  <c r="AY122" i="2"/>
  <c r="AB156" i="2"/>
  <c r="BJ182" i="2"/>
  <c r="BD182" i="2"/>
  <c r="BH193" i="2"/>
  <c r="AU193" i="2"/>
  <c r="BD193" i="2"/>
  <c r="AF227" i="2"/>
  <c r="AB263" i="2"/>
  <c r="AV263" i="2"/>
  <c r="BK357" i="2"/>
  <c r="BI359" i="2"/>
  <c r="BK404" i="2"/>
  <c r="AY483" i="2"/>
  <c r="AY445" i="2"/>
  <c r="AN129" i="1"/>
  <c r="BD87" i="1"/>
  <c r="BH403" i="1"/>
  <c r="BL16" i="1"/>
  <c r="BK24" i="1"/>
  <c r="BL32" i="1"/>
  <c r="BE43" i="1"/>
  <c r="BL46" i="1"/>
  <c r="AL109" i="1"/>
  <c r="BD155" i="1"/>
  <c r="BL155" i="1" s="1"/>
  <c r="BG155" i="1"/>
  <c r="AJ156" i="1"/>
  <c r="BL199" i="1"/>
  <c r="AV221" i="1"/>
  <c r="BH221" i="1"/>
  <c r="BL230" i="1"/>
  <c r="AF263" i="1"/>
  <c r="AG296" i="1"/>
  <c r="AN289" i="1"/>
  <c r="AZ295" i="1"/>
  <c r="BH296" i="1"/>
  <c r="AG332" i="1"/>
  <c r="AG331" i="1" s="1"/>
  <c r="BL372" i="1"/>
  <c r="BH376" i="1"/>
  <c r="BH375" i="1" s="1"/>
  <c r="AG403" i="1"/>
  <c r="BL418" i="1"/>
  <c r="BL426" i="1"/>
  <c r="BL430" i="1"/>
  <c r="AW415" i="1"/>
  <c r="BE431" i="1"/>
  <c r="AG448" i="1"/>
  <c r="BL45" i="1"/>
  <c r="BL80" i="1"/>
  <c r="BL92" i="1"/>
  <c r="BL94" i="1"/>
  <c r="AS86" i="1"/>
  <c r="BI99" i="1"/>
  <c r="AT122" i="1"/>
  <c r="AG148" i="1"/>
  <c r="BD166" i="1"/>
  <c r="BL166" i="1" s="1"/>
  <c r="BE166" i="1"/>
  <c r="BL172" i="1"/>
  <c r="BL180" i="1"/>
  <c r="AE156" i="1"/>
  <c r="AM156" i="1"/>
  <c r="BG193" i="1"/>
  <c r="AH156" i="1"/>
  <c r="AV201" i="1"/>
  <c r="BH201" i="1"/>
  <c r="BL207" i="1"/>
  <c r="BJ227" i="1"/>
  <c r="AV227" i="1"/>
  <c r="BK227" i="1"/>
  <c r="BL233" i="1"/>
  <c r="AN235" i="1"/>
  <c r="BL258" i="1"/>
  <c r="AN264" i="1"/>
  <c r="AH263" i="1"/>
  <c r="BE264" i="1"/>
  <c r="BL267" i="1"/>
  <c r="BL273" i="1"/>
  <c r="AV296" i="1"/>
  <c r="BE332" i="1"/>
  <c r="BE331" i="1" s="1"/>
  <c r="BL337" i="1"/>
  <c r="AR355" i="1"/>
  <c r="AL355" i="1"/>
  <c r="AL261" i="1" s="1"/>
  <c r="BI364" i="1"/>
  <c r="AD363" i="1"/>
  <c r="BI363" i="1" s="1"/>
  <c r="BL371" i="1"/>
  <c r="BL378" i="1"/>
  <c r="BL385" i="1"/>
  <c r="AN402" i="1"/>
  <c r="BL451" i="1"/>
  <c r="BL459" i="1"/>
  <c r="BL472" i="1"/>
  <c r="AJ415" i="2"/>
  <c r="AA483" i="2"/>
  <c r="AA445" i="2" s="1"/>
  <c r="BE75" i="1"/>
  <c r="BI24" i="1"/>
  <c r="AG43" i="1"/>
  <c r="BL57" i="1"/>
  <c r="BL61" i="1"/>
  <c r="AG75" i="1"/>
  <c r="Z50" i="1"/>
  <c r="AO50" i="1"/>
  <c r="AH50" i="1"/>
  <c r="BL77" i="1"/>
  <c r="BL113" i="1"/>
  <c r="BL164" i="1"/>
  <c r="BL185" i="1"/>
  <c r="BJ193" i="1"/>
  <c r="BH193" i="1"/>
  <c r="BD193" i="1"/>
  <c r="BL195" i="1"/>
  <c r="BL210" i="1"/>
  <c r="BJ212" i="1"/>
  <c r="BL218" i="1"/>
  <c r="BF221" i="1"/>
  <c r="Z263" i="1"/>
  <c r="Z261" i="1" s="1"/>
  <c r="AV264" i="1"/>
  <c r="BL270" i="1"/>
  <c r="BL316" i="1"/>
  <c r="BL348" i="1"/>
  <c r="BL351" i="1"/>
  <c r="AQ362" i="1"/>
  <c r="AY362" i="1" s="1"/>
  <c r="BG362" i="1" s="1"/>
  <c r="AN362" i="1"/>
  <c r="BL362" i="1" s="1"/>
  <c r="BJ376" i="1"/>
  <c r="AE375" i="1"/>
  <c r="BL389" i="1"/>
  <c r="AM415" i="1"/>
  <c r="BD431" i="1"/>
  <c r="BL432" i="1"/>
  <c r="BL454" i="1"/>
  <c r="BL462" i="1"/>
  <c r="BK491" i="2"/>
  <c r="AI50" i="1"/>
  <c r="BL62" i="1"/>
  <c r="BL117" i="1"/>
  <c r="AM122" i="1"/>
  <c r="BD170" i="1"/>
  <c r="BL170" i="1" s="1"/>
  <c r="BL191" i="1"/>
  <c r="BE221" i="1"/>
  <c r="BL226" i="1"/>
  <c r="BL234" i="1"/>
  <c r="BE235" i="1"/>
  <c r="BB415" i="1"/>
  <c r="BB361" i="1" s="1"/>
  <c r="AG431" i="1"/>
  <c r="BL478" i="1"/>
  <c r="AQ483" i="1"/>
  <c r="AQ445" i="1" s="1"/>
  <c r="AB483" i="1"/>
  <c r="AB445" i="1" s="1"/>
  <c r="AE483" i="1"/>
  <c r="AE445" i="1" s="1"/>
  <c r="BK484" i="1"/>
  <c r="BL486" i="1"/>
  <c r="AG6" i="1"/>
  <c r="AJ6" i="1"/>
  <c r="AQ6" i="1" s="1"/>
  <c r="AY6" i="1" s="1"/>
  <c r="BG6" i="1" s="1"/>
  <c r="BL39" i="1"/>
  <c r="AB7" i="1"/>
  <c r="AT7" i="1"/>
  <c r="BL73" i="1"/>
  <c r="AE86" i="1"/>
  <c r="BC86" i="1"/>
  <c r="AF122" i="1"/>
  <c r="AP122" i="1"/>
  <c r="BL184" i="1"/>
  <c r="BE193" i="1"/>
  <c r="AG201" i="1"/>
  <c r="BK201" i="1"/>
  <c r="AN201" i="1"/>
  <c r="BL224" i="1"/>
  <c r="BG227" i="1"/>
  <c r="BL232" i="1"/>
  <c r="BA263" i="1"/>
  <c r="BA261" i="1" s="1"/>
  <c r="AV332" i="1"/>
  <c r="AV331" i="1" s="1"/>
  <c r="AD355" i="1"/>
  <c r="BL365" i="1"/>
  <c r="BL380" i="1"/>
  <c r="BL388" i="1"/>
  <c r="BL393" i="1"/>
  <c r="BL399" i="1"/>
  <c r="BL401" i="1"/>
  <c r="BL489" i="1"/>
  <c r="BL491" i="1"/>
  <c r="AG492" i="1"/>
  <c r="BF492" i="1"/>
  <c r="BL499" i="1"/>
  <c r="AO485" i="8"/>
  <c r="AI7" i="1"/>
  <c r="BL17" i="1"/>
  <c r="BL20" i="1"/>
  <c r="BL22" i="1"/>
  <c r="BL23" i="1"/>
  <c r="BL35" i="1"/>
  <c r="BL36" i="1"/>
  <c r="BL81" i="1"/>
  <c r="BD99" i="1"/>
  <c r="BL100" i="1"/>
  <c r="AQ109" i="1"/>
  <c r="AJ109" i="1"/>
  <c r="BL112" i="1"/>
  <c r="AU122" i="1"/>
  <c r="AI156" i="1"/>
  <c r="BG157" i="1"/>
  <c r="BL168" i="1"/>
  <c r="BL169" i="1"/>
  <c r="BL174" i="1"/>
  <c r="BE201" i="1"/>
  <c r="BI201" i="1"/>
  <c r="AN221" i="1"/>
  <c r="BD221" i="1"/>
  <c r="AR263" i="1"/>
  <c r="AK263" i="1"/>
  <c r="AC263" i="1"/>
  <c r="BL279" i="1"/>
  <c r="BL281" i="1"/>
  <c r="BL282" i="1"/>
  <c r="BL284" i="1"/>
  <c r="BL287" i="1"/>
  <c r="BL304" i="1"/>
  <c r="AA415" i="1"/>
  <c r="AA361" i="1" s="1"/>
  <c r="BL433" i="1"/>
  <c r="BL473" i="1"/>
  <c r="AC7" i="1"/>
  <c r="BL13" i="1"/>
  <c r="AZ7" i="1"/>
  <c r="AZ122" i="1"/>
  <c r="BL33" i="1"/>
  <c r="BL64" i="1"/>
  <c r="AP50" i="1"/>
  <c r="BF50" i="1" s="1"/>
  <c r="BL84" i="1"/>
  <c r="AE122" i="1"/>
  <c r="BJ122" i="1" s="1"/>
  <c r="BL136" i="1"/>
  <c r="BJ138" i="1"/>
  <c r="BL140" i="1"/>
  <c r="AC156" i="1"/>
  <c r="AK156" i="1"/>
  <c r="BJ182" i="1"/>
  <c r="BG182" i="1"/>
  <c r="BL196" i="1"/>
  <c r="BI193" i="1"/>
  <c r="BF193" i="1"/>
  <c r="AV193" i="1"/>
  <c r="BK193" i="1"/>
  <c r="BG201" i="1"/>
  <c r="BL300" i="1"/>
  <c r="BL336" i="1"/>
  <c r="AX355" i="1"/>
  <c r="BL368" i="1"/>
  <c r="BL453" i="1"/>
  <c r="BI484" i="1"/>
  <c r="Y49" i="6"/>
  <c r="AP407" i="6"/>
  <c r="AS47" i="6"/>
  <c r="BA47" i="6" s="1"/>
  <c r="AT352" i="6"/>
  <c r="BB352" i="6" s="1"/>
  <c r="BB350" i="6" s="1"/>
  <c r="AL350" i="6"/>
  <c r="AI394" i="6"/>
  <c r="AH291" i="6"/>
  <c r="AH286" i="6"/>
  <c r="AW394" i="6"/>
  <c r="Y326" i="6"/>
  <c r="AD367" i="6"/>
  <c r="BL432" i="6"/>
  <c r="AZ394" i="6"/>
  <c r="BL469" i="6"/>
  <c r="BL374" i="6"/>
  <c r="CP289" i="8"/>
  <c r="AG407" i="6"/>
  <c r="AJ407" i="6"/>
  <c r="AB407" i="6"/>
  <c r="Z118" i="6"/>
  <c r="AO50" i="8"/>
  <c r="H17" i="9"/>
  <c r="J17" i="9"/>
  <c r="BC146" i="6"/>
  <c r="AV6" i="11"/>
  <c r="AQ5" i="11"/>
  <c r="AN5" i="11"/>
  <c r="AW73" i="11"/>
  <c r="AN72" i="11"/>
  <c r="AU6" i="11"/>
  <c r="AU5" i="11" s="1"/>
  <c r="AL5" i="11"/>
  <c r="BH54" i="6"/>
  <c r="AT6" i="11"/>
  <c r="AK5" i="11"/>
  <c r="AX73" i="11"/>
  <c r="BG73" i="11" s="1"/>
  <c r="BG72" i="11" s="1"/>
  <c r="AO72" i="11"/>
  <c r="AF351" i="6"/>
  <c r="AD24" i="11"/>
  <c r="AH24" i="11"/>
  <c r="AL24" i="11"/>
  <c r="AT25" i="11"/>
  <c r="BF25" i="11"/>
  <c r="AQ26" i="11"/>
  <c r="AZ26" i="11"/>
  <c r="AE28" i="11"/>
  <c r="AI28" i="11"/>
  <c r="AK29" i="11"/>
  <c r="AK28" i="11"/>
  <c r="AL29" i="11"/>
  <c r="AM29" i="11"/>
  <c r="AN29" i="11"/>
  <c r="AO29" i="11"/>
  <c r="AO28" i="11" s="1"/>
  <c r="AP29" i="11"/>
  <c r="AY29" i="11" s="1"/>
  <c r="AQ29" i="11"/>
  <c r="AZ29" i="11" s="1"/>
  <c r="AR29" i="11"/>
  <c r="BA37" i="11"/>
  <c r="AE45" i="11"/>
  <c r="AQ45" i="11"/>
  <c r="AK46" i="11"/>
  <c r="AL46" i="11"/>
  <c r="AX46" i="11"/>
  <c r="AX45" i="11" s="1"/>
  <c r="AO51" i="11"/>
  <c r="AE58" i="11"/>
  <c r="AI58" i="11"/>
  <c r="AK59" i="11"/>
  <c r="AT59" i="11"/>
  <c r="AT58" i="11" s="1"/>
  <c r="AL59" i="11"/>
  <c r="AM59" i="11"/>
  <c r="AN59" i="11"/>
  <c r="AO59" i="11"/>
  <c r="AP59" i="11"/>
  <c r="AQ59" i="11"/>
  <c r="AR59" i="11"/>
  <c r="AJ65" i="11"/>
  <c r="AJ64" i="11" s="1"/>
  <c r="AE72" i="11"/>
  <c r="AK73" i="11"/>
  <c r="AL73" i="11"/>
  <c r="AM73" i="11"/>
  <c r="AM72" i="11" s="1"/>
  <c r="AP73" i="11"/>
  <c r="AP72" i="11" s="1"/>
  <c r="AG76" i="11"/>
  <c r="AX80" i="11"/>
  <c r="AB82" i="11"/>
  <c r="AU83" i="11"/>
  <c r="AU82" i="11" s="1"/>
  <c r="AL82" i="11"/>
  <c r="AN83" i="11"/>
  <c r="AW83" i="11" s="1"/>
  <c r="AW82" i="11" s="1"/>
  <c r="AE82" i="11"/>
  <c r="AY83" i="11"/>
  <c r="BH83" i="11" s="1"/>
  <c r="BH82" i="11" s="1"/>
  <c r="AP82" i="11"/>
  <c r="AR83" i="11"/>
  <c r="AI82" i="11"/>
  <c r="AN77" i="11"/>
  <c r="AE76" i="11"/>
  <c r="AY77" i="11"/>
  <c r="AP76" i="11"/>
  <c r="AR77" i="11"/>
  <c r="AI76" i="11"/>
  <c r="BI351" i="6"/>
  <c r="AJ26" i="11"/>
  <c r="AC28" i="11"/>
  <c r="AG28" i="11"/>
  <c r="AJ29" i="11"/>
  <c r="AJ28" i="11" s="1"/>
  <c r="AC45" i="11"/>
  <c r="AC58" i="11"/>
  <c r="AG58" i="11"/>
  <c r="AJ59" i="11"/>
  <c r="AJ58" i="11" s="1"/>
  <c r="AG72" i="11"/>
  <c r="AC76" i="11"/>
  <c r="AD82" i="11"/>
  <c r="AM83" i="11"/>
  <c r="AH82" i="11"/>
  <c r="AQ83" i="11"/>
  <c r="AN85" i="11"/>
  <c r="BF87" i="11"/>
  <c r="BF85" i="11" s="1"/>
  <c r="AC24" i="11"/>
  <c r="AJ25" i="11"/>
  <c r="AJ24" i="11" s="1"/>
  <c r="AH45" i="11"/>
  <c r="AM77" i="11"/>
  <c r="AH76" i="11"/>
  <c r="AO82" i="11"/>
  <c r="AJ83" i="11"/>
  <c r="AJ82" i="11" s="1"/>
  <c r="BG148" i="3"/>
  <c r="AR156" i="3"/>
  <c r="BE166" i="3"/>
  <c r="BC166" i="3"/>
  <c r="BK166" i="3" s="1"/>
  <c r="BC171" i="3"/>
  <c r="AW157" i="3"/>
  <c r="AW156" i="3" s="1"/>
  <c r="AU182" i="3"/>
  <c r="AN156" i="3"/>
  <c r="BE182" i="3"/>
  <c r="AD445" i="3"/>
  <c r="AT50" i="3"/>
  <c r="BJ51" i="3"/>
  <c r="AF123" i="3"/>
  <c r="AF148" i="3"/>
  <c r="AE122" i="3"/>
  <c r="AP128" i="3"/>
  <c r="AU128" i="3" s="1"/>
  <c r="AI123" i="3"/>
  <c r="AI122" i="3" s="1"/>
  <c r="AI5" i="3" s="1"/>
  <c r="AM128" i="3"/>
  <c r="AP129" i="3"/>
  <c r="AX129" i="3" s="1"/>
  <c r="BF129" i="3" s="1"/>
  <c r="AM129" i="3"/>
  <c r="AX133" i="3"/>
  <c r="BC133" i="3" s="1"/>
  <c r="BK133" i="3" s="1"/>
  <c r="BE138" i="3"/>
  <c r="AW122" i="3"/>
  <c r="BI148" i="3"/>
  <c r="AD122" i="3"/>
  <c r="BE148" i="3"/>
  <c r="AG263" i="3"/>
  <c r="BD263" i="3" s="1"/>
  <c r="AM264" i="3"/>
  <c r="BC416" i="3"/>
  <c r="BC415" i="3" s="1"/>
  <c r="AU416" i="3"/>
  <c r="BK423" i="3"/>
  <c r="AK447" i="3"/>
  <c r="BH447" i="3" s="1"/>
  <c r="AM448" i="3"/>
  <c r="AV447" i="3"/>
  <c r="BC448" i="3"/>
  <c r="BK448" i="3" s="1"/>
  <c r="BD448" i="3"/>
  <c r="AR483" i="3"/>
  <c r="AR445" i="3" s="1"/>
  <c r="AU484" i="3"/>
  <c r="BH484" i="3"/>
  <c r="AF492" i="3"/>
  <c r="BC492" i="3"/>
  <c r="AU492" i="3"/>
  <c r="Y483" i="3"/>
  <c r="Y445" i="3" s="1"/>
  <c r="BH448" i="3"/>
  <c r="AS48" i="3"/>
  <c r="BA48" i="3" s="1"/>
  <c r="AM48" i="3"/>
  <c r="AR48" i="3"/>
  <c r="AZ48" i="3" s="1"/>
  <c r="BH48" i="3" s="1"/>
  <c r="AZ445" i="3"/>
  <c r="BF24" i="3"/>
  <c r="BC24" i="3"/>
  <c r="BA7" i="3"/>
  <c r="AD7" i="3"/>
  <c r="AK295" i="3"/>
  <c r="AM296" i="3"/>
  <c r="BF295" i="3"/>
  <c r="BG296" i="3"/>
  <c r="AY295" i="3"/>
  <c r="AY289" i="3" s="1"/>
  <c r="BG289" i="3" s="1"/>
  <c r="AO7" i="3"/>
  <c r="AU8" i="3"/>
  <c r="BE8" i="3"/>
  <c r="BD8" i="3"/>
  <c r="AV7" i="3"/>
  <c r="BC8" i="3"/>
  <c r="BH8" i="3"/>
  <c r="AZ7" i="3"/>
  <c r="BC7" i="3" s="1"/>
  <c r="AW7" i="3"/>
  <c r="BC43" i="3"/>
  <c r="BE43" i="3"/>
  <c r="BK66" i="3"/>
  <c r="BK70" i="3"/>
  <c r="BK74" i="3"/>
  <c r="BE87" i="3"/>
  <c r="AW86" i="3"/>
  <c r="BC86" i="3" s="1"/>
  <c r="BK90" i="3"/>
  <c r="BK94" i="3"/>
  <c r="BK98" i="3"/>
  <c r="AM116" i="3"/>
  <c r="AI109" i="3"/>
  <c r="AU116" i="3"/>
  <c r="BG116" i="3"/>
  <c r="AY109" i="3"/>
  <c r="AS122" i="3"/>
  <c r="BI123" i="3"/>
  <c r="BK134" i="3"/>
  <c r="AP137" i="3"/>
  <c r="AM137" i="3"/>
  <c r="AP146" i="3"/>
  <c r="AX146" i="3" s="1"/>
  <c r="BC146" i="3" s="1"/>
  <c r="AM146" i="3"/>
  <c r="BK194" i="3"/>
  <c r="BC193" i="3"/>
  <c r="BG193" i="3"/>
  <c r="AF193" i="3"/>
  <c r="AU201" i="3"/>
  <c r="BK202" i="3"/>
  <c r="BK201" i="3"/>
  <c r="BK228" i="3"/>
  <c r="BC227" i="3"/>
  <c r="BG227" i="3"/>
  <c r="AF227" i="3"/>
  <c r="AM235" i="3"/>
  <c r="BK237" i="3"/>
  <c r="BK241" i="3"/>
  <c r="BF264" i="3"/>
  <c r="AX263" i="3"/>
  <c r="AY263" i="3"/>
  <c r="AQ263" i="3"/>
  <c r="BG263" i="3"/>
  <c r="BG276" i="3"/>
  <c r="AV294" i="3"/>
  <c r="BD294" i="3" s="1"/>
  <c r="AV295" i="3"/>
  <c r="AV289" i="3"/>
  <c r="AN289" i="3"/>
  <c r="BC296" i="3"/>
  <c r="AZ289" i="3"/>
  <c r="Y331" i="3"/>
  <c r="AO375" i="3"/>
  <c r="AO361" i="3"/>
  <c r="BE376" i="3"/>
  <c r="BE375" i="3"/>
  <c r="AF447" i="2"/>
  <c r="BC295" i="2"/>
  <c r="BI24" i="3"/>
  <c r="AD156" i="3"/>
  <c r="BE24" i="3"/>
  <c r="AH50" i="3"/>
  <c r="AM51" i="3"/>
  <c r="BE51" i="3"/>
  <c r="AW50" i="3"/>
  <c r="BK65" i="3"/>
  <c r="BK69" i="3"/>
  <c r="BK73" i="3"/>
  <c r="AR50" i="3"/>
  <c r="BD75" i="3"/>
  <c r="BH75" i="3"/>
  <c r="BK76" i="3"/>
  <c r="BC75" i="3"/>
  <c r="BK80" i="3"/>
  <c r="BK84" i="3"/>
  <c r="AF87" i="3"/>
  <c r="AU87" i="3"/>
  <c r="BK89" i="3"/>
  <c r="BK93" i="3"/>
  <c r="BK97" i="3"/>
  <c r="BF99" i="3"/>
  <c r="AP86" i="3"/>
  <c r="BK113" i="3"/>
  <c r="BK115" i="3"/>
  <c r="BK118" i="3"/>
  <c r="AO122" i="3"/>
  <c r="BE123" i="3"/>
  <c r="AX125" i="3"/>
  <c r="AU125" i="3"/>
  <c r="BK127" i="3"/>
  <c r="BK132" i="3"/>
  <c r="BH138" i="3"/>
  <c r="AZ122" i="3"/>
  <c r="BK141" i="3"/>
  <c r="AU151" i="3"/>
  <c r="AX151" i="3"/>
  <c r="BC151" i="3" s="1"/>
  <c r="BK151" i="3" s="1"/>
  <c r="BK160" i="3"/>
  <c r="AU157" i="3"/>
  <c r="AY157" i="3"/>
  <c r="AY156" i="3" s="1"/>
  <c r="BG171" i="3"/>
  <c r="BG157" i="3" s="1"/>
  <c r="BG182" i="3"/>
  <c r="BG212" i="3"/>
  <c r="BK172" i="3"/>
  <c r="BK176" i="3"/>
  <c r="BK180" i="3"/>
  <c r="BK183" i="3"/>
  <c r="BK187" i="3"/>
  <c r="BK197" i="3"/>
  <c r="BA156" i="3"/>
  <c r="BI201" i="3"/>
  <c r="BI212" i="3"/>
  <c r="BK214" i="3"/>
  <c r="BK218" i="3"/>
  <c r="BE221" i="3"/>
  <c r="BK231" i="3"/>
  <c r="AU235" i="3"/>
  <c r="BK236" i="3"/>
  <c r="BK240" i="3"/>
  <c r="BK252" i="3"/>
  <c r="AU264" i="3"/>
  <c r="AP263" i="3"/>
  <c r="BD264" i="3"/>
  <c r="BC264" i="3"/>
  <c r="AM276" i="3"/>
  <c r="AH263" i="3"/>
  <c r="AH331" i="3"/>
  <c r="AH355" i="3"/>
  <c r="BE276" i="3"/>
  <c r="AU276" i="3"/>
  <c r="AP289" i="3"/>
  <c r="AX294" i="3"/>
  <c r="BF294" i="3" s="1"/>
  <c r="AE295" i="3"/>
  <c r="AF296" i="3"/>
  <c r="AU296" i="3"/>
  <c r="BA289" i="3"/>
  <c r="BK299" i="3"/>
  <c r="BK303" i="3"/>
  <c r="BK307" i="3"/>
  <c r="BK311" i="3"/>
  <c r="BK315" i="3"/>
  <c r="BK319" i="3"/>
  <c r="BK323" i="3"/>
  <c r="BK328" i="3"/>
  <c r="AN362" i="3"/>
  <c r="AV362" i="3" s="1"/>
  <c r="BD362" i="3" s="1"/>
  <c r="AM362" i="3"/>
  <c r="BK362" i="3" s="1"/>
  <c r="AO445" i="3"/>
  <c r="BD295" i="2"/>
  <c r="BJ8" i="3"/>
  <c r="AU24" i="3"/>
  <c r="BK28" i="3"/>
  <c r="BJ48" i="3"/>
  <c r="AU51" i="3"/>
  <c r="AU50" i="3" s="1"/>
  <c r="AN50" i="3"/>
  <c r="BD50" i="3" s="1"/>
  <c r="BD51" i="3"/>
  <c r="BK79" i="3"/>
  <c r="BK83" i="3"/>
  <c r="AM87" i="3"/>
  <c r="AT86" i="3"/>
  <c r="BJ87" i="3"/>
  <c r="BG87" i="3"/>
  <c r="BI99" i="3"/>
  <c r="AB109" i="3"/>
  <c r="AF110" i="3"/>
  <c r="BD110" i="3"/>
  <c r="AU110" i="3"/>
  <c r="BC110" i="3"/>
  <c r="BK110" i="3" s="1"/>
  <c r="BA109" i="3"/>
  <c r="AH122" i="3"/>
  <c r="BJ123" i="3"/>
  <c r="BK131" i="3"/>
  <c r="BG138" i="3"/>
  <c r="AQ122" i="3"/>
  <c r="BK140" i="3"/>
  <c r="BK154" i="3"/>
  <c r="AC156" i="3"/>
  <c r="AM157" i="3"/>
  <c r="AM156" i="3" s="1"/>
  <c r="BH166" i="3"/>
  <c r="BH157" i="3"/>
  <c r="AZ157" i="3"/>
  <c r="AZ156" i="3"/>
  <c r="BK175" i="3"/>
  <c r="BK179" i="3"/>
  <c r="BD182" i="3"/>
  <c r="BH182" i="3"/>
  <c r="BK196" i="3"/>
  <c r="BK200" i="3"/>
  <c r="BK213" i="3"/>
  <c r="BK217" i="3"/>
  <c r="BC212" i="3"/>
  <c r="AU221" i="3"/>
  <c r="BK222" i="3"/>
  <c r="BK230" i="3"/>
  <c r="BK234" i="3"/>
  <c r="AN242" i="3"/>
  <c r="AM242" i="3"/>
  <c r="AU243" i="3"/>
  <c r="BK244" i="3"/>
  <c r="BH264" i="3"/>
  <c r="AZ263" i="3"/>
  <c r="BF276" i="3"/>
  <c r="BB289" i="3"/>
  <c r="AC289" i="3"/>
  <c r="BH296" i="3"/>
  <c r="BJ296" i="3"/>
  <c r="AT295" i="3"/>
  <c r="AU295" i="3" s="1"/>
  <c r="BK298" i="3"/>
  <c r="BK302" i="3"/>
  <c r="BK306" i="3"/>
  <c r="BK310" i="3"/>
  <c r="BK314" i="3"/>
  <c r="BK318" i="3"/>
  <c r="BK322" i="3"/>
  <c r="BK327" i="3"/>
  <c r="BE332" i="3"/>
  <c r="BE331" i="3" s="1"/>
  <c r="AM332" i="3"/>
  <c r="AM331" i="3" s="1"/>
  <c r="Y355" i="3"/>
  <c r="AF356" i="3"/>
  <c r="BE356" i="3"/>
  <c r="AW355" i="3"/>
  <c r="BJ363" i="3"/>
  <c r="AJ363" i="3"/>
  <c r="AM363" i="3" s="1"/>
  <c r="AM364" i="3"/>
  <c r="AW363" i="3"/>
  <c r="BE363" i="3"/>
  <c r="BE364" i="3"/>
  <c r="AC445" i="3"/>
  <c r="BF51" i="3"/>
  <c r="Y86" i="3"/>
  <c r="BD86" i="3" s="1"/>
  <c r="BD87" i="3"/>
  <c r="AU99" i="3"/>
  <c r="AX143" i="3"/>
  <c r="BC143" i="3" s="1"/>
  <c r="BK143" i="3" s="1"/>
  <c r="BF296" i="3"/>
  <c r="AT331" i="3"/>
  <c r="BF359" i="3"/>
  <c r="AU359" i="3"/>
  <c r="BA415" i="3"/>
  <c r="BK371" i="3"/>
  <c r="BK393" i="3"/>
  <c r="BK395" i="3"/>
  <c r="AQ402" i="3"/>
  <c r="BG403" i="3"/>
  <c r="BK420" i="3"/>
  <c r="BK426" i="3"/>
  <c r="BK439" i="3"/>
  <c r="BK444" i="3"/>
  <c r="BE448" i="3"/>
  <c r="BK450" i="3"/>
  <c r="BK454" i="3"/>
  <c r="BK458" i="3"/>
  <c r="BK460" i="3"/>
  <c r="BK464" i="3"/>
  <c r="BK468" i="3"/>
  <c r="BK472" i="3"/>
  <c r="BK476" i="3"/>
  <c r="BK489" i="3"/>
  <c r="BD492" i="3"/>
  <c r="BH492" i="3"/>
  <c r="BK495" i="3"/>
  <c r="BG332" i="3"/>
  <c r="BG331" i="3" s="1"/>
  <c r="AY331" i="3"/>
  <c r="AG355" i="3"/>
  <c r="AS355" i="3"/>
  <c r="BG356" i="3"/>
  <c r="AY355" i="3"/>
  <c r="BG355" i="3" s="1"/>
  <c r="BJ359" i="3"/>
  <c r="BF402" i="3"/>
  <c r="AU403" i="3"/>
  <c r="BK404" i="3"/>
  <c r="BI416" i="3"/>
  <c r="AD415" i="3"/>
  <c r="BF448" i="3"/>
  <c r="BF490" i="3"/>
  <c r="AA484" i="3"/>
  <c r="AA483" i="3" s="1"/>
  <c r="AA445" i="3" s="1"/>
  <c r="AP355" i="3"/>
  <c r="AP261" i="3" s="1"/>
  <c r="BD356" i="3"/>
  <c r="BI359" i="3"/>
  <c r="AQ363" i="3"/>
  <c r="BG364" i="3"/>
  <c r="BJ364" i="3"/>
  <c r="BK380" i="3"/>
  <c r="BK382" i="3"/>
  <c r="BK385" i="3"/>
  <c r="BK399" i="3"/>
  <c r="AM402" i="3"/>
  <c r="BD403" i="3"/>
  <c r="BK424" i="3"/>
  <c r="BK428" i="3"/>
  <c r="BK430" i="3"/>
  <c r="BD431" i="3"/>
  <c r="AU431" i="3"/>
  <c r="BK442" i="3"/>
  <c r="BG447" i="3"/>
  <c r="BI448" i="3"/>
  <c r="BK452" i="3"/>
  <c r="BK456" i="3"/>
  <c r="BK462" i="3"/>
  <c r="BK466" i="3"/>
  <c r="BK470" i="3"/>
  <c r="BK474" i="3"/>
  <c r="BG484" i="3"/>
  <c r="BK485" i="3"/>
  <c r="BK493" i="3"/>
  <c r="BK498" i="3"/>
  <c r="BC130" i="2"/>
  <c r="BK130" i="2"/>
  <c r="BF130" i="2"/>
  <c r="BD377" i="3"/>
  <c r="AT447" i="3"/>
  <c r="BJ447" i="3"/>
  <c r="AG483" i="3"/>
  <c r="AQ483" i="3"/>
  <c r="BE48" i="2"/>
  <c r="AM359" i="3"/>
  <c r="AX128" i="2"/>
  <c r="BC128" i="2" s="1"/>
  <c r="AU128" i="2"/>
  <c r="AJ7" i="2"/>
  <c r="AS7" i="2"/>
  <c r="BA7" i="2"/>
  <c r="AX7" i="2"/>
  <c r="BA50" i="2"/>
  <c r="BI50" i="2" s="1"/>
  <c r="AN86" i="2"/>
  <c r="AU99" i="2"/>
  <c r="AM116" i="2"/>
  <c r="AN156" i="2"/>
  <c r="AR156" i="2"/>
  <c r="Y156" i="2"/>
  <c r="AC156" i="2"/>
  <c r="AH156" i="2"/>
  <c r="AF212" i="2"/>
  <c r="BK214" i="2"/>
  <c r="BK215" i="2"/>
  <c r="AM212" i="2"/>
  <c r="AM227" i="2"/>
  <c r="AF8" i="2"/>
  <c r="AC7" i="2"/>
  <c r="AT109" i="2"/>
  <c r="BB109" i="2"/>
  <c r="BJ110" i="2"/>
  <c r="AM128" i="2"/>
  <c r="AI123" i="2"/>
  <c r="AM123" i="2" s="1"/>
  <c r="AM129" i="2"/>
  <c r="AP129" i="2"/>
  <c r="AU129" i="2"/>
  <c r="BH170" i="2"/>
  <c r="AZ157" i="2"/>
  <c r="AZ156" i="2" s="1"/>
  <c r="AW157" i="2"/>
  <c r="AW156" i="2" s="1"/>
  <c r="BC171" i="2"/>
  <c r="BK171" i="2" s="1"/>
  <c r="BC243" i="2"/>
  <c r="BK247" i="2"/>
  <c r="Y7" i="2"/>
  <c r="Y50" i="2"/>
  <c r="AF43" i="2"/>
  <c r="AY109" i="2"/>
  <c r="AH109" i="2"/>
  <c r="AH5" i="2" s="1"/>
  <c r="AM110" i="2"/>
  <c r="AJ122" i="2"/>
  <c r="AJ5" i="2" s="1"/>
  <c r="AJ2" i="2" s="1"/>
  <c r="BF170" i="2"/>
  <c r="BF157" i="2" s="1"/>
  <c r="BC170" i="2"/>
  <c r="BK170" i="2" s="1"/>
  <c r="BE182" i="2"/>
  <c r="BK202" i="2"/>
  <c r="AF201" i="2"/>
  <c r="BK226" i="2"/>
  <c r="AM221" i="2"/>
  <c r="AF157" i="2"/>
  <c r="BI171" i="2"/>
  <c r="BA157" i="2"/>
  <c r="BI157" i="2" s="1"/>
  <c r="AG156" i="2"/>
  <c r="BH182" i="2"/>
  <c r="BE193" i="2"/>
  <c r="BJ193" i="2"/>
  <c r="BB7" i="1"/>
  <c r="BD8" i="1"/>
  <c r="BJ24" i="1"/>
  <c r="AE7" i="1"/>
  <c r="BG24" i="1"/>
  <c r="AN24" i="1"/>
  <c r="AV24" i="1"/>
  <c r="BE24" i="1"/>
  <c r="AY263" i="1"/>
  <c r="AY261" i="1" s="1"/>
  <c r="BG289" i="1"/>
  <c r="BF356" i="1"/>
  <c r="BJ356" i="1"/>
  <c r="AT355" i="1"/>
  <c r="AF390" i="2"/>
  <c r="BK390" i="2" s="1"/>
  <c r="BK408" i="2"/>
  <c r="AA289" i="1"/>
  <c r="AG289" i="1" s="1"/>
  <c r="AG24" i="1"/>
  <c r="AJ7" i="1"/>
  <c r="AG87" i="1"/>
  <c r="BF99" i="1"/>
  <c r="AN99" i="1"/>
  <c r="BL99" i="1" s="1"/>
  <c r="AN157" i="1"/>
  <c r="AA355" i="1"/>
  <c r="AO7" i="1"/>
  <c r="BE7" i="1" s="1"/>
  <c r="BA50" i="1"/>
  <c r="BD51" i="1"/>
  <c r="AT51" i="1"/>
  <c r="BJ75" i="1"/>
  <c r="AV137" i="1"/>
  <c r="AY137" i="1"/>
  <c r="AA122" i="1"/>
  <c r="BF138" i="1"/>
  <c r="BF122" i="1" s="1"/>
  <c r="BE138" i="1"/>
  <c r="AO122" i="1"/>
  <c r="BH138" i="1"/>
  <c r="BC403" i="2"/>
  <c r="BJ8" i="1"/>
  <c r="AD109" i="1"/>
  <c r="AG110" i="1"/>
  <c r="BI110" i="1"/>
  <c r="AS109" i="1"/>
  <c r="BI116" i="1"/>
  <c r="BL25" i="1"/>
  <c r="BD43" i="1"/>
  <c r="BL65" i="1"/>
  <c r="BI75" i="1"/>
  <c r="AL51" i="1"/>
  <c r="BI51" i="1" s="1"/>
  <c r="BL114" i="1"/>
  <c r="BH116" i="1"/>
  <c r="AK109" i="1"/>
  <c r="BF116" i="1"/>
  <c r="AV116" i="1"/>
  <c r="AP109" i="1"/>
  <c r="BK116" i="1"/>
  <c r="BC109" i="1"/>
  <c r="BL118" i="1"/>
  <c r="BL163" i="1"/>
  <c r="AG157" i="1"/>
  <c r="BH264" i="1"/>
  <c r="AR331" i="1"/>
  <c r="BH332" i="1"/>
  <c r="BH331" i="1" s="1"/>
  <c r="BH492" i="1"/>
  <c r="AZ483" i="1"/>
  <c r="BE8" i="1"/>
  <c r="AV8" i="1"/>
  <c r="AT48" i="1"/>
  <c r="AS48" i="1"/>
  <c r="BA48" i="1" s="1"/>
  <c r="BI48" i="1" s="1"/>
  <c r="BI55" i="1"/>
  <c r="BD55" i="1"/>
  <c r="BL55" i="1" s="1"/>
  <c r="AN75" i="1"/>
  <c r="BD75" i="1"/>
  <c r="AQ86" i="1"/>
  <c r="AV87" i="1"/>
  <c r="BL115" i="1"/>
  <c r="AN116" i="1"/>
  <c r="BL119" i="1"/>
  <c r="AG123" i="1"/>
  <c r="AN133" i="1"/>
  <c r="AQ133" i="1"/>
  <c r="AY133" i="1" s="1"/>
  <c r="BF158" i="1"/>
  <c r="BF157" i="1" s="1"/>
  <c r="BF156" i="1" s="1"/>
  <c r="AX157" i="1"/>
  <c r="AX156" i="1" s="1"/>
  <c r="AA7" i="1"/>
  <c r="AG7" i="1" s="1"/>
  <c r="AN48" i="1"/>
  <c r="AG51" i="1"/>
  <c r="AG50" i="1" s="1"/>
  <c r="BF75" i="1"/>
  <c r="AV75" i="1"/>
  <c r="AV157" i="1"/>
  <c r="BJ171" i="1"/>
  <c r="BB157" i="1"/>
  <c r="BJ157" i="1" s="1"/>
  <c r="BD212" i="1"/>
  <c r="BL215" i="1"/>
  <c r="AA156" i="1"/>
  <c r="AG221" i="1"/>
  <c r="BL223" i="1"/>
  <c r="BL246" i="1"/>
  <c r="AG243" i="1"/>
  <c r="BL202" i="1"/>
  <c r="BD201" i="1"/>
  <c r="BH212" i="1"/>
  <c r="AG212" i="1"/>
  <c r="BH227" i="1"/>
  <c r="AG227" i="1"/>
  <c r="BI227" i="1"/>
  <c r="BD243" i="1"/>
  <c r="BH243" i="1"/>
  <c r="BE390" i="1"/>
  <c r="AG390" i="1"/>
  <c r="BL390" i="1" s="1"/>
  <c r="AM483" i="1"/>
  <c r="AM445" i="1" s="1"/>
  <c r="BK492" i="1"/>
  <c r="BE492" i="1"/>
  <c r="E14" i="9"/>
  <c r="F14" i="9" s="1"/>
  <c r="AT156" i="1"/>
  <c r="BL160" i="1"/>
  <c r="BE182" i="1"/>
  <c r="BL192" i="1"/>
  <c r="BI212" i="1"/>
  <c r="BL312" i="1"/>
  <c r="Z376" i="1"/>
  <c r="AD483" i="1"/>
  <c r="AD445" i="1" s="1"/>
  <c r="AR156" i="1"/>
  <c r="AW157" i="1"/>
  <c r="AW156" i="1" s="1"/>
  <c r="BE171" i="1"/>
  <c r="BE157" i="1" s="1"/>
  <c r="BE156" i="1" s="1"/>
  <c r="BF182" i="1"/>
  <c r="AN227" i="1"/>
  <c r="BF227" i="1"/>
  <c r="AN243" i="1"/>
  <c r="BL257" i="1"/>
  <c r="AN295" i="1"/>
  <c r="BL334" i="1"/>
  <c r="BL340" i="1"/>
  <c r="BE364" i="1"/>
  <c r="Z363" i="1"/>
  <c r="BE363" i="1" s="1"/>
  <c r="AK363" i="1"/>
  <c r="AN363" i="1" s="1"/>
  <c r="AN364" i="1"/>
  <c r="BH364" i="1"/>
  <c r="BL367" i="1"/>
  <c r="BL369" i="1"/>
  <c r="AO263" i="1"/>
  <c r="AN296" i="1"/>
  <c r="AG366" i="1"/>
  <c r="BL366" i="1" s="1"/>
  <c r="BL396" i="1"/>
  <c r="AV403" i="1"/>
  <c r="AV431" i="1"/>
  <c r="AV415" i="1" s="1"/>
  <c r="BL477" i="1"/>
  <c r="AI483" i="1"/>
  <c r="BF483" i="1" s="1"/>
  <c r="AT483" i="1"/>
  <c r="AT445" i="1" s="1"/>
  <c r="BJ492" i="1"/>
  <c r="AV492" i="1"/>
  <c r="BL384" i="1"/>
  <c r="BD403" i="1"/>
  <c r="BG484" i="1"/>
  <c r="K20" i="9"/>
  <c r="BJ375" i="1"/>
  <c r="BJ403" i="1"/>
  <c r="BL407" i="1"/>
  <c r="AV416" i="1"/>
  <c r="BD416" i="1"/>
  <c r="AG416" i="1"/>
  <c r="BL457" i="1"/>
  <c r="AG484" i="1"/>
  <c r="AO483" i="1"/>
  <c r="AO445" i="1" s="1"/>
  <c r="AV484" i="1"/>
  <c r="BE484" i="1"/>
  <c r="BL488" i="1"/>
  <c r="BL498" i="1"/>
  <c r="AW483" i="1"/>
  <c r="BI355" i="1"/>
  <c r="BF52" i="11"/>
  <c r="BF51" i="11" s="1"/>
  <c r="AM361" i="1"/>
  <c r="BH50" i="1"/>
  <c r="AY146" i="1"/>
  <c r="BD146" i="1" s="1"/>
  <c r="BL146" i="1" s="1"/>
  <c r="AV146" i="1"/>
  <c r="BC125" i="2"/>
  <c r="BK125" i="2" s="1"/>
  <c r="BK24" i="2"/>
  <c r="AD363" i="2"/>
  <c r="BE363" i="2"/>
  <c r="AY50" i="2"/>
  <c r="BG50" i="2" s="1"/>
  <c r="BG51" i="2"/>
  <c r="BD157" i="1"/>
  <c r="BD6" i="11"/>
  <c r="BD5" i="11" s="1"/>
  <c r="AD445" i="2"/>
  <c r="BI402" i="1"/>
  <c r="AP361" i="3"/>
  <c r="AR361" i="2"/>
  <c r="BG402" i="1"/>
  <c r="BC130" i="3"/>
  <c r="BH402" i="2"/>
  <c r="AG356" i="1"/>
  <c r="AM402" i="2"/>
  <c r="Y375" i="3"/>
  <c r="Y361" i="3" s="1"/>
  <c r="BD125" i="1"/>
  <c r="BL125" i="1" s="1"/>
  <c r="AB361" i="2"/>
  <c r="BJ51" i="2"/>
  <c r="AN50" i="2"/>
  <c r="AU50" i="2"/>
  <c r="BH295" i="2"/>
  <c r="AZ289" i="2"/>
  <c r="AZ261" i="2"/>
  <c r="AX146" i="2"/>
  <c r="BC146" i="2" s="1"/>
  <c r="AU146" i="2"/>
  <c r="AP138" i="2"/>
  <c r="AU138" i="2" s="1"/>
  <c r="AP79" i="11"/>
  <c r="BL359" i="1"/>
  <c r="BC242" i="2"/>
  <c r="BD242" i="2"/>
  <c r="BK116" i="2"/>
  <c r="BD143" i="1"/>
  <c r="AK64" i="11"/>
  <c r="AG445" i="2"/>
  <c r="AU356" i="1"/>
  <c r="AV356" i="1" s="1"/>
  <c r="BC363" i="2"/>
  <c r="BF263" i="2"/>
  <c r="BI483" i="1"/>
  <c r="AX129" i="2"/>
  <c r="BF151" i="3"/>
  <c r="AX128" i="3"/>
  <c r="BF128" i="3" s="1"/>
  <c r="BA83" i="11"/>
  <c r="BJ83" i="11" s="1"/>
  <c r="BJ82" i="11" s="1"/>
  <c r="AN82" i="11"/>
  <c r="AY73" i="11"/>
  <c r="BA59" i="11"/>
  <c r="BA58" i="11" s="1"/>
  <c r="AR58" i="11"/>
  <c r="AW59" i="11"/>
  <c r="AW58" i="11"/>
  <c r="AN58" i="11"/>
  <c r="BA29" i="11"/>
  <c r="BA28" i="11" s="1"/>
  <c r="AW29" i="11"/>
  <c r="AW28" i="11" s="1"/>
  <c r="AN28" i="11"/>
  <c r="BF59" i="11"/>
  <c r="BF58" i="11"/>
  <c r="AZ445" i="1"/>
  <c r="BD295" i="3"/>
  <c r="AV261" i="3"/>
  <c r="AW361" i="3"/>
  <c r="AV73" i="11"/>
  <c r="AV72" i="11" s="1"/>
  <c r="AX72" i="11"/>
  <c r="BJ483" i="1"/>
  <c r="BH363" i="1"/>
  <c r="BD50" i="1"/>
  <c r="BE48" i="3"/>
  <c r="AK445" i="3"/>
  <c r="AY82" i="11"/>
  <c r="BD83" i="11"/>
  <c r="BD82" i="11" s="1"/>
  <c r="AU73" i="11"/>
  <c r="AU72" i="11" s="1"/>
  <c r="AL72" i="11"/>
  <c r="AY59" i="11"/>
  <c r="AY58" i="11"/>
  <c r="AP58" i="11"/>
  <c r="AU59" i="11"/>
  <c r="AU58" i="11" s="1"/>
  <c r="AL58" i="11"/>
  <c r="BA45" i="11"/>
  <c r="AP28" i="11"/>
  <c r="AU29" i="11"/>
  <c r="AL28" i="11"/>
  <c r="AQ24" i="11"/>
  <c r="BJ46" i="11"/>
  <c r="BJ45" i="11" s="1"/>
  <c r="BB156" i="1"/>
  <c r="BJ156" i="1" s="1"/>
  <c r="AG445" i="3"/>
  <c r="AU363" i="3"/>
  <c r="BF143" i="3"/>
  <c r="AX289" i="3"/>
  <c r="AX261" i="3"/>
  <c r="AK289" i="3"/>
  <c r="BH289" i="3" s="1"/>
  <c r="AV83" i="11"/>
  <c r="AV82" i="11" s="1"/>
  <c r="AM82" i="11"/>
  <c r="AT46" i="11"/>
  <c r="AK45" i="11"/>
  <c r="AX29" i="11"/>
  <c r="AX28" i="11" s="1"/>
  <c r="AT29" i="11"/>
  <c r="AT28" i="11" s="1"/>
  <c r="BG146" i="1"/>
  <c r="BD151" i="1"/>
  <c r="AX138" i="2"/>
  <c r="BC138" i="2" s="1"/>
  <c r="BH289" i="2"/>
  <c r="AZ28" i="11"/>
  <c r="BD73" i="11"/>
  <c r="BD72" i="11" s="1"/>
  <c r="BF83" i="11"/>
  <c r="BF82" i="11" s="1"/>
  <c r="BH59" i="11"/>
  <c r="BH58" i="11" s="1"/>
  <c r="BV292" i="13"/>
  <c r="CV292" i="13" s="1"/>
  <c r="AU28" i="11"/>
  <c r="BD29" i="11"/>
  <c r="BD28" i="11" s="1"/>
  <c r="BC448" i="2"/>
  <c r="BK448" i="2" s="1"/>
  <c r="AF376" i="2"/>
  <c r="AF375" i="2" s="1"/>
  <c r="AC82" i="11"/>
  <c r="AT52" i="11"/>
  <c r="AT51" i="11" s="1"/>
  <c r="AF415" i="3"/>
  <c r="BJ295" i="2"/>
  <c r="BI86" i="3"/>
  <c r="AJ73" i="11"/>
  <c r="AJ72" i="11" s="1"/>
  <c r="AF76" i="11"/>
  <c r="BC150" i="3"/>
  <c r="BK150" i="3"/>
  <c r="AS6" i="11"/>
  <c r="AS5" i="11" s="1"/>
  <c r="AO26" i="11"/>
  <c r="AF24" i="11"/>
  <c r="AN38" i="11"/>
  <c r="AE37" i="11"/>
  <c r="V27" i="11"/>
  <c r="V4" i="11" s="1"/>
  <c r="Z27" i="11"/>
  <c r="Z4" i="11" s="1"/>
  <c r="AP65" i="11"/>
  <c r="AG64" i="11"/>
  <c r="AL87" i="11"/>
  <c r="AC85" i="11"/>
  <c r="BF146" i="2"/>
  <c r="AK58" i="11"/>
  <c r="AM447" i="3"/>
  <c r="BC363" i="3"/>
  <c r="AP123" i="2"/>
  <c r="AU123" i="2" s="1"/>
  <c r="AU122" i="2" s="1"/>
  <c r="BF363" i="1"/>
  <c r="AU415" i="2"/>
  <c r="AN356" i="1"/>
  <c r="BJ263" i="2"/>
  <c r="AV51" i="1"/>
  <c r="AR261" i="1"/>
  <c r="BL110" i="1"/>
  <c r="BK221" i="2"/>
  <c r="AS109" i="3"/>
  <c r="BI109" i="3" s="1"/>
  <c r="AU48" i="3"/>
  <c r="AG447" i="1"/>
  <c r="BD7" i="2"/>
  <c r="AM52" i="11"/>
  <c r="AM51" i="11" s="1"/>
  <c r="AD51" i="11"/>
  <c r="AQ52" i="11"/>
  <c r="AZ52" i="11" s="1"/>
  <c r="AH51" i="11"/>
  <c r="AL64" i="11"/>
  <c r="AU65" i="11"/>
  <c r="AU64" i="11" s="1"/>
  <c r="AH64" i="11"/>
  <c r="AQ65" i="11"/>
  <c r="AQ64" i="11" s="1"/>
  <c r="AJ77" i="11"/>
  <c r="AJ76" i="11" s="1"/>
  <c r="BK61" i="3"/>
  <c r="AM138" i="3"/>
  <c r="BI356" i="3"/>
  <c r="BK490" i="3"/>
  <c r="BK21" i="2"/>
  <c r="BE24" i="2"/>
  <c r="AJ86" i="2"/>
  <c r="AM86" i="2" s="1"/>
  <c r="BK112" i="2"/>
  <c r="BK147" i="2"/>
  <c r="BK259" i="2"/>
  <c r="BK265" i="2"/>
  <c r="BK275" i="2"/>
  <c r="AY263" i="2"/>
  <c r="BC263" i="2" s="1"/>
  <c r="BK288" i="2"/>
  <c r="BH363" i="2"/>
  <c r="BK392" i="2"/>
  <c r="BK464" i="2"/>
  <c r="BK475" i="2"/>
  <c r="BH492" i="2"/>
  <c r="BK8" i="1"/>
  <c r="BG75" i="1"/>
  <c r="AI447" i="1"/>
  <c r="AI445" i="1" s="1"/>
  <c r="AN448" i="1"/>
  <c r="AP447" i="1"/>
  <c r="AP445" i="1" s="1"/>
  <c r="BF448" i="1"/>
  <c r="BK137" i="2"/>
  <c r="BK12" i="11"/>
  <c r="AJ11" i="11"/>
  <c r="AA376" i="3"/>
  <c r="AH7" i="3"/>
  <c r="AE50" i="3"/>
  <c r="BK190" i="3"/>
  <c r="BD227" i="3"/>
  <c r="BC235" i="3"/>
  <c r="AA263" i="3"/>
  <c r="AN263" i="3"/>
  <c r="AN261" i="3" s="1"/>
  <c r="BI357" i="3"/>
  <c r="AI355" i="3"/>
  <c r="BG359" i="3"/>
  <c r="BK372" i="3"/>
  <c r="BK378" i="3"/>
  <c r="AH483" i="3"/>
  <c r="AH445" i="3" s="1"/>
  <c r="AN483" i="2"/>
  <c r="AN445" i="2" s="1"/>
  <c r="BI448" i="2"/>
  <c r="BF403" i="2"/>
  <c r="AZ415" i="2"/>
  <c r="AZ361" i="2" s="1"/>
  <c r="BK377" i="2"/>
  <c r="AS375" i="2"/>
  <c r="BI375" i="2" s="1"/>
  <c r="AM332" i="2"/>
  <c r="AM331" i="2" s="1"/>
  <c r="BI332" i="2"/>
  <c r="BI296" i="2"/>
  <c r="AU143" i="2"/>
  <c r="BK143" i="2" s="1"/>
  <c r="AL356" i="2"/>
  <c r="AT358" i="2"/>
  <c r="BB358" i="2" s="1"/>
  <c r="BK67" i="2"/>
  <c r="BG87" i="2"/>
  <c r="BK91" i="2"/>
  <c r="Z86" i="2"/>
  <c r="BI99" i="2"/>
  <c r="BK104" i="2"/>
  <c r="BK113" i="2"/>
  <c r="BK178" i="2"/>
  <c r="BK185" i="2"/>
  <c r="BI193" i="2"/>
  <c r="BI201" i="2"/>
  <c r="BK274" i="2"/>
  <c r="BK333" i="2"/>
  <c r="BK338" i="2"/>
  <c r="Z355" i="2"/>
  <c r="BE355" i="2" s="1"/>
  <c r="AB355" i="2"/>
  <c r="AB261" i="2" s="1"/>
  <c r="AU402" i="2"/>
  <c r="BK412" i="2"/>
  <c r="Y415" i="2"/>
  <c r="BC416" i="2"/>
  <c r="BC415" i="2"/>
  <c r="BK419" i="2"/>
  <c r="BK421" i="2"/>
  <c r="BK422" i="2"/>
  <c r="BK423" i="2"/>
  <c r="BK424" i="2"/>
  <c r="BK427" i="2"/>
  <c r="BK428" i="2"/>
  <c r="BK429" i="2"/>
  <c r="AI415" i="2"/>
  <c r="BF415" i="2"/>
  <c r="BE431" i="2"/>
  <c r="BK432" i="2"/>
  <c r="AM431" i="2"/>
  <c r="AM415" i="2"/>
  <c r="BK436" i="2"/>
  <c r="BK438" i="2"/>
  <c r="BK439" i="2"/>
  <c r="BK441" i="2"/>
  <c r="BK442" i="2"/>
  <c r="BG448" i="1"/>
  <c r="AQ128" i="1"/>
  <c r="BL190" i="1"/>
  <c r="BL236" i="1"/>
  <c r="AH331" i="1"/>
  <c r="AH355" i="1"/>
  <c r="AH261" i="1"/>
  <c r="AN332" i="1"/>
  <c r="Z402" i="1"/>
  <c r="BE403" i="1"/>
  <c r="BL428" i="1"/>
  <c r="AR415" i="1"/>
  <c r="AR361" i="1" s="1"/>
  <c r="BL442" i="1"/>
  <c r="BF484" i="2"/>
  <c r="BF51" i="1"/>
  <c r="Z86" i="1"/>
  <c r="BI87" i="1"/>
  <c r="AC109" i="1"/>
  <c r="AK122" i="1"/>
  <c r="BL127" i="1"/>
  <c r="BL175" i="1"/>
  <c r="BL187" i="1"/>
  <c r="BL213" i="1"/>
  <c r="AV235" i="1"/>
  <c r="AV156" i="1"/>
  <c r="BL238" i="1"/>
  <c r="AT263" i="1"/>
  <c r="BJ263" i="1" s="1"/>
  <c r="BL317" i="1"/>
  <c r="AC355" i="1"/>
  <c r="AG355" i="1" s="1"/>
  <c r="AQ355" i="1"/>
  <c r="BG355" i="1" s="1"/>
  <c r="BH359" i="1"/>
  <c r="BK359" i="1"/>
  <c r="BL434" i="1"/>
  <c r="BL435" i="1"/>
  <c r="BL437" i="1"/>
  <c r="BL440" i="1"/>
  <c r="BL469" i="1"/>
  <c r="BY47" i="13"/>
  <c r="CP289" i="13"/>
  <c r="I5" i="22"/>
  <c r="H5" i="22"/>
  <c r="E5" i="22"/>
  <c r="F5" i="22"/>
  <c r="J5" i="22"/>
  <c r="G5" i="22"/>
  <c r="I9" i="22"/>
  <c r="AU295" i="2"/>
  <c r="AQ261" i="2"/>
  <c r="BL492" i="1"/>
  <c r="BF129" i="2"/>
  <c r="BF484" i="3"/>
  <c r="BE415" i="1"/>
  <c r="AW361" i="1"/>
  <c r="BF133" i="2"/>
  <c r="BC133" i="2"/>
  <c r="AX79" i="11"/>
  <c r="BG80" i="11"/>
  <c r="BG79" i="11" s="1"/>
  <c r="BG415" i="2"/>
  <c r="AJ361" i="2"/>
  <c r="BD332" i="3"/>
  <c r="BD331" i="3" s="1"/>
  <c r="AF332" i="3"/>
  <c r="AI361" i="2"/>
  <c r="AM363" i="2"/>
  <c r="BF363" i="2"/>
  <c r="AU38" i="11"/>
  <c r="AU37" i="11" s="1"/>
  <c r="AB261" i="1"/>
  <c r="BC129" i="2"/>
  <c r="BK129" i="2" s="1"/>
  <c r="AF484" i="3"/>
  <c r="BK484" i="3" s="1"/>
  <c r="AL50" i="1"/>
  <c r="AN51" i="1"/>
  <c r="BK87" i="3"/>
  <c r="BI415" i="2"/>
  <c r="AG361" i="3"/>
  <c r="AU447" i="3"/>
  <c r="AU124" i="6"/>
  <c r="AC37" i="11"/>
  <c r="AN45" i="11"/>
  <c r="AZ80" i="11"/>
  <c r="AZ79" i="11" s="1"/>
  <c r="AD85" i="11"/>
  <c r="AM87" i="11"/>
  <c r="AJ80" i="11"/>
  <c r="AJ79" i="11" s="1"/>
  <c r="AW6" i="11"/>
  <c r="AW5" i="11" s="1"/>
  <c r="AJ38" i="11"/>
  <c r="AJ37" i="11" s="1"/>
  <c r="BD38" i="11"/>
  <c r="BD37" i="11" s="1"/>
  <c r="BJ263" i="3"/>
  <c r="AN37" i="11"/>
  <c r="AW38" i="11"/>
  <c r="BF38" i="11" s="1"/>
  <c r="BF37" i="11" s="1"/>
  <c r="BJ50" i="2"/>
  <c r="AQ77" i="11"/>
  <c r="BB6" i="11"/>
  <c r="BB5" i="11" s="1"/>
  <c r="AB261" i="3"/>
  <c r="AT83" i="11"/>
  <c r="BC83" i="11" s="1"/>
  <c r="BC82" i="11" s="1"/>
  <c r="AK82" i="11"/>
  <c r="AJ86" i="3"/>
  <c r="AJ5" i="3" s="1"/>
  <c r="AA50" i="2"/>
  <c r="BI110" i="3"/>
  <c r="AI7" i="3"/>
  <c r="BD148" i="3"/>
  <c r="BD122" i="3" s="1"/>
  <c r="BK238" i="3"/>
  <c r="AO263" i="3"/>
  <c r="AO261" i="3" s="1"/>
  <c r="AQ355" i="3"/>
  <c r="AQ261" i="3" s="1"/>
  <c r="BE447" i="3"/>
  <c r="BJ447" i="2"/>
  <c r="BG289" i="2"/>
  <c r="BK14" i="2"/>
  <c r="BK28" i="2"/>
  <c r="AU110" i="2"/>
  <c r="BK209" i="2"/>
  <c r="BI416" i="2"/>
  <c r="Y483" i="2"/>
  <c r="Y445" i="2" s="1"/>
  <c r="AF484" i="2"/>
  <c r="BK484" i="2" s="1"/>
  <c r="Y27" i="11"/>
  <c r="Y4" i="11" s="1"/>
  <c r="AP38" i="11"/>
  <c r="AG82" i="11"/>
  <c r="AA109" i="3"/>
  <c r="BI116" i="3"/>
  <c r="BA122" i="3"/>
  <c r="BI122" i="3" s="1"/>
  <c r="BK284" i="3"/>
  <c r="AL415" i="3"/>
  <c r="AL361" i="3" s="1"/>
  <c r="AR415" i="3"/>
  <c r="AR361" i="3" s="1"/>
  <c r="AT483" i="3"/>
  <c r="AT445" i="3" s="1"/>
  <c r="BK435" i="2"/>
  <c r="BH364" i="2"/>
  <c r="BE332" i="2"/>
  <c r="BE331" i="2" s="1"/>
  <c r="BG276" i="2"/>
  <c r="BK11" i="2"/>
  <c r="BK13" i="2"/>
  <c r="BK76" i="2"/>
  <c r="AE109" i="2"/>
  <c r="BB375" i="2"/>
  <c r="BB361" i="2" s="1"/>
  <c r="BJ376" i="2"/>
  <c r="BJ375" i="2" s="1"/>
  <c r="BK20" i="11"/>
  <c r="AR7" i="3"/>
  <c r="BH7" i="3" s="1"/>
  <c r="BI43" i="3"/>
  <c r="BH193" i="3"/>
  <c r="Y263" i="3"/>
  <c r="AD263" i="3"/>
  <c r="BI332" i="3"/>
  <c r="AJ415" i="3"/>
  <c r="AJ361" i="3" s="1"/>
  <c r="AT415" i="3"/>
  <c r="AL483" i="3"/>
  <c r="AL445" i="3" s="1"/>
  <c r="AY157" i="2"/>
  <c r="AY156" i="2" s="1"/>
  <c r="BJ448" i="2"/>
  <c r="AR48" i="2"/>
  <c r="AZ48" i="2" s="1"/>
  <c r="AS48" i="2"/>
  <c r="AU48" i="2" s="1"/>
  <c r="BC55" i="2"/>
  <c r="BK55" i="2" s="1"/>
  <c r="AZ51" i="2"/>
  <c r="BC51" i="2" s="1"/>
  <c r="BF75" i="2"/>
  <c r="BI116" i="2"/>
  <c r="AK109" i="2"/>
  <c r="BK363" i="1"/>
  <c r="AY483" i="1"/>
  <c r="AY445" i="1" s="1"/>
  <c r="BG8" i="2"/>
  <c r="BK9" i="2"/>
  <c r="BK10" i="2"/>
  <c r="BI43" i="2"/>
  <c r="AU43" i="2"/>
  <c r="BJ43" i="2"/>
  <c r="BK56" i="2"/>
  <c r="BK131" i="2"/>
  <c r="BK135" i="2"/>
  <c r="BK175" i="2"/>
  <c r="BK241" i="2"/>
  <c r="BI243" i="2"/>
  <c r="AI156" i="2"/>
  <c r="BK254" i="2"/>
  <c r="AS263" i="2"/>
  <c r="BI263" i="2" s="1"/>
  <c r="BK267" i="2"/>
  <c r="Y263" i="2"/>
  <c r="BK278" i="2"/>
  <c r="BK282" i="2"/>
  <c r="BK285" i="2"/>
  <c r="BK286" i="2"/>
  <c r="Z483" i="2"/>
  <c r="Z445" i="2" s="1"/>
  <c r="BE445" i="2" s="1"/>
  <c r="AT483" i="2"/>
  <c r="AN403" i="1"/>
  <c r="BL403" i="1" s="1"/>
  <c r="BK364" i="1"/>
  <c r="BL237" i="1"/>
  <c r="BL235" i="1" s="1"/>
  <c r="BL18" i="1"/>
  <c r="BA86" i="1"/>
  <c r="BL101" i="1"/>
  <c r="BL126" i="1"/>
  <c r="BL253" i="1"/>
  <c r="BL470" i="1"/>
  <c r="BB157" i="2"/>
  <c r="BB156" i="2" s="1"/>
  <c r="BK232" i="2"/>
  <c r="BI235" i="2"/>
  <c r="AU289" i="2"/>
  <c r="BK298" i="2"/>
  <c r="BK299" i="2"/>
  <c r="BK300" i="2"/>
  <c r="BK301" i="2"/>
  <c r="BK302" i="2"/>
  <c r="BK303" i="2"/>
  <c r="BK308" i="2"/>
  <c r="BK309" i="2"/>
  <c r="BK310" i="2"/>
  <c r="BK313" i="2"/>
  <c r="BK318" i="2"/>
  <c r="BK319" i="2"/>
  <c r="BK322" i="2"/>
  <c r="BK323" i="2"/>
  <c r="BK324" i="2"/>
  <c r="BK325" i="2"/>
  <c r="BK339" i="2"/>
  <c r="BK340" i="2"/>
  <c r="BK341" i="2"/>
  <c r="BK342" i="2"/>
  <c r="BK347" i="2"/>
  <c r="BK351" i="2"/>
  <c r="AS355" i="2"/>
  <c r="BK381" i="2"/>
  <c r="BK383" i="2"/>
  <c r="BK385" i="2"/>
  <c r="BI376" i="1"/>
  <c r="BI375" i="1" s="1"/>
  <c r="BL225" i="1"/>
  <c r="BK372" i="2"/>
  <c r="BK379" i="2"/>
  <c r="BK397" i="2"/>
  <c r="BK399" i="2"/>
  <c r="BK490" i="2"/>
  <c r="BF492" i="2"/>
  <c r="BE492" i="2"/>
  <c r="AU492" i="2"/>
  <c r="BD492" i="2"/>
  <c r="BK493" i="2"/>
  <c r="BK497" i="2"/>
  <c r="BK499" i="2"/>
  <c r="BE447" i="2"/>
  <c r="AD50" i="1"/>
  <c r="BL53" i="1"/>
  <c r="BL74" i="1"/>
  <c r="BL142" i="1"/>
  <c r="BL311" i="1"/>
  <c r="AX415" i="1"/>
  <c r="AE415" i="1"/>
  <c r="BJ415" i="1" s="1"/>
  <c r="BK43" i="1"/>
  <c r="BD116" i="1"/>
  <c r="BL116" i="1" s="1"/>
  <c r="BJ123" i="1"/>
  <c r="BL124" i="1"/>
  <c r="BL303" i="1"/>
  <c r="BL338" i="1"/>
  <c r="BL455" i="1"/>
  <c r="BL463" i="1"/>
  <c r="BW54" i="13"/>
  <c r="BX54" i="13" s="1"/>
  <c r="BY132" i="13"/>
  <c r="BL26" i="1"/>
  <c r="BL82" i="1"/>
  <c r="AU109" i="1"/>
  <c r="BB109" i="1"/>
  <c r="BL111" i="1"/>
  <c r="AI122" i="1"/>
  <c r="AJ123" i="1"/>
  <c r="AN123" i="1" s="1"/>
  <c r="AN122" i="1" s="1"/>
  <c r="BL222" i="1"/>
  <c r="BG221" i="1"/>
  <c r="BL265" i="1"/>
  <c r="BL443" i="1"/>
  <c r="Z483" i="1"/>
  <c r="AW320" i="13"/>
  <c r="J7" i="22"/>
  <c r="BW108" i="16"/>
  <c r="BX108" i="16" s="1"/>
  <c r="BW343" i="16"/>
  <c r="F7" i="22"/>
  <c r="BW53" i="16"/>
  <c r="BX53" i="16" s="1"/>
  <c r="BM347" i="16"/>
  <c r="BC29" i="11"/>
  <c r="BC28" i="11" s="1"/>
  <c r="BJ445" i="1"/>
  <c r="AS50" i="3"/>
  <c r="BI50" i="3" s="1"/>
  <c r="BI51" i="3"/>
  <c r="AE483" i="3"/>
  <c r="BG122" i="2"/>
  <c r="AU87" i="11"/>
  <c r="BD87" i="11" s="1"/>
  <c r="BD85" i="11" s="1"/>
  <c r="AL85" i="11"/>
  <c r="BH445" i="3"/>
  <c r="AE361" i="2"/>
  <c r="AW26" i="11"/>
  <c r="BF26" i="11" s="1"/>
  <c r="AN24" i="11"/>
  <c r="AK37" i="11"/>
  <c r="BC38" i="11"/>
  <c r="BC37" i="11" s="1"/>
  <c r="AZ87" i="11"/>
  <c r="AZ85" i="11" s="1"/>
  <c r="AQ85" i="11"/>
  <c r="AS289" i="3"/>
  <c r="BI289" i="3" s="1"/>
  <c r="BI295" i="3"/>
  <c r="AK122" i="3"/>
  <c r="BH11" i="11"/>
  <c r="AC109" i="2"/>
  <c r="BH110" i="2"/>
  <c r="AA261" i="3"/>
  <c r="AB5" i="11"/>
  <c r="BD11" i="11"/>
  <c r="AA46" i="11"/>
  <c r="AA45" i="11" s="1"/>
  <c r="AA27" i="11" s="1"/>
  <c r="AA4" i="11" s="1"/>
  <c r="AE51" i="11"/>
  <c r="AK80" i="11"/>
  <c r="AE85" i="11"/>
  <c r="BG376" i="3"/>
  <c r="BG375" i="3"/>
  <c r="AF6" i="3"/>
  <c r="AE7" i="3"/>
  <c r="BK39" i="3"/>
  <c r="BK57" i="3"/>
  <c r="AI86" i="3"/>
  <c r="BK111" i="3"/>
  <c r="AM130" i="3"/>
  <c r="BK130" i="3"/>
  <c r="BK149" i="3"/>
  <c r="BI193" i="3"/>
  <c r="BK229" i="3"/>
  <c r="BK227" i="3"/>
  <c r="AF235" i="3"/>
  <c r="AN361" i="3"/>
  <c r="BD361" i="3" s="1"/>
  <c r="BK410" i="3"/>
  <c r="AV483" i="3"/>
  <c r="AO86" i="2"/>
  <c r="BK103" i="2"/>
  <c r="BK231" i="2"/>
  <c r="BK416" i="2"/>
  <c r="AV361" i="3"/>
  <c r="AM415" i="3"/>
  <c r="BD144" i="6"/>
  <c r="AD5" i="11"/>
  <c r="AB24" i="11"/>
  <c r="U27" i="11"/>
  <c r="U4" i="11" s="1"/>
  <c r="AF45" i="11"/>
  <c r="AI64" i="11"/>
  <c r="AI72" i="11"/>
  <c r="Z7" i="3"/>
  <c r="BE7" i="3" s="1"/>
  <c r="AT7" i="3"/>
  <c r="BK33" i="3"/>
  <c r="BK46" i="3"/>
  <c r="AA86" i="3"/>
  <c r="AR86" i="3"/>
  <c r="BH86" i="3" s="1"/>
  <c r="AN122" i="3"/>
  <c r="AN5" i="3" s="1"/>
  <c r="BJ227" i="3"/>
  <c r="BE235" i="3"/>
  <c r="BI276" i="3"/>
  <c r="BK281" i="3"/>
  <c r="BK285" i="3"/>
  <c r="BE403" i="2"/>
  <c r="AG122" i="2"/>
  <c r="AG5" i="2" s="1"/>
  <c r="BK32" i="3"/>
  <c r="AF51" i="3"/>
  <c r="BK58" i="3"/>
  <c r="AB86" i="3"/>
  <c r="AH109" i="3"/>
  <c r="AC122" i="3"/>
  <c r="BK278" i="3"/>
  <c r="BK379" i="3"/>
  <c r="BC447" i="2"/>
  <c r="BD138" i="2"/>
  <c r="AY153" i="1"/>
  <c r="BG153" i="1" s="1"/>
  <c r="AV153" i="1"/>
  <c r="BH148" i="3"/>
  <c r="AF221" i="3"/>
  <c r="BC221" i="3"/>
  <c r="Z263" i="3"/>
  <c r="Z261" i="3" s="1"/>
  <c r="AS263" i="3"/>
  <c r="AC263" i="3"/>
  <c r="AI263" i="3"/>
  <c r="AR263" i="3"/>
  <c r="BH263" i="3" s="1"/>
  <c r="BK282" i="3"/>
  <c r="AC355" i="3"/>
  <c r="BK391" i="3"/>
  <c r="BF416" i="3"/>
  <c r="AZ415" i="3"/>
  <c r="BH415" i="3" s="1"/>
  <c r="AP483" i="3"/>
  <c r="AP445" i="3" s="1"/>
  <c r="BI492" i="3"/>
  <c r="BC492" i="2"/>
  <c r="BK492" i="2" s="1"/>
  <c r="BE448" i="2"/>
  <c r="BK32" i="2"/>
  <c r="BH43" i="2"/>
  <c r="BK45" i="2"/>
  <c r="BH55" i="2"/>
  <c r="BK69" i="2"/>
  <c r="BF116" i="2"/>
  <c r="BK164" i="2"/>
  <c r="BK173" i="2"/>
  <c r="AV355" i="2"/>
  <c r="BD355" i="2" s="1"/>
  <c r="AW415" i="2"/>
  <c r="AW361" i="2" s="1"/>
  <c r="AR7" i="1"/>
  <c r="BH7" i="1" s="1"/>
  <c r="BH24" i="1"/>
  <c r="BL56" i="1"/>
  <c r="AE355" i="3"/>
  <c r="BI375" i="3"/>
  <c r="AH415" i="3"/>
  <c r="BE415" i="3" s="1"/>
  <c r="BB483" i="3"/>
  <c r="BJ483" i="3" s="1"/>
  <c r="AP361" i="2"/>
  <c r="AT7" i="2"/>
  <c r="AT5" i="2" s="1"/>
  <c r="AY7" i="2"/>
  <c r="AB109" i="2"/>
  <c r="BG109" i="2" s="1"/>
  <c r="BK367" i="2"/>
  <c r="BK12" i="2"/>
  <c r="AO7" i="2"/>
  <c r="BK37" i="2"/>
  <c r="BF43" i="2"/>
  <c r="BK64" i="2"/>
  <c r="AS86" i="2"/>
  <c r="AX86" i="2"/>
  <c r="BK95" i="2"/>
  <c r="AM99" i="2"/>
  <c r="Z109" i="2"/>
  <c r="BK136" i="2"/>
  <c r="BK210" i="2"/>
  <c r="BK211" i="2"/>
  <c r="BK244" i="2"/>
  <c r="AO263" i="2"/>
  <c r="BJ276" i="2"/>
  <c r="BK321" i="2"/>
  <c r="BK329" i="2"/>
  <c r="BJ359" i="2"/>
  <c r="BK450" i="2"/>
  <c r="BK452" i="2"/>
  <c r="BK455" i="2"/>
  <c r="BK456" i="2"/>
  <c r="BK458" i="2"/>
  <c r="AL483" i="2"/>
  <c r="AM483" i="2" s="1"/>
  <c r="BA7" i="1"/>
  <c r="AQ7" i="1"/>
  <c r="AW7" i="1"/>
  <c r="AW5" i="1" s="1"/>
  <c r="AN43" i="1"/>
  <c r="BL43" i="1" s="1"/>
  <c r="BK48" i="1"/>
  <c r="BL54" i="1"/>
  <c r="AK86" i="1"/>
  <c r="BJ99" i="1"/>
  <c r="BG99" i="1"/>
  <c r="BE110" i="1"/>
  <c r="AT109" i="1"/>
  <c r="BL245" i="1"/>
  <c r="BL243" i="1" s="1"/>
  <c r="BI416" i="1"/>
  <c r="BL67" i="1"/>
  <c r="BL72" i="1"/>
  <c r="BL97" i="1"/>
  <c r="AC86" i="1"/>
  <c r="Z109" i="1"/>
  <c r="AY109" i="1"/>
  <c r="BC122" i="1"/>
  <c r="BC5" i="1" s="1"/>
  <c r="BL177" i="1"/>
  <c r="BL205" i="1"/>
  <c r="BF212" i="1"/>
  <c r="BL217" i="1"/>
  <c r="BL292" i="1"/>
  <c r="BL343" i="1"/>
  <c r="AF355" i="1"/>
  <c r="AF261" i="1" s="1"/>
  <c r="AK355" i="1"/>
  <c r="AN355" i="1" s="1"/>
  <c r="BL417" i="1"/>
  <c r="BL421" i="1"/>
  <c r="BL423" i="1"/>
  <c r="BL424" i="1"/>
  <c r="BL475" i="1"/>
  <c r="BK240" i="2"/>
  <c r="BF235" i="2"/>
  <c r="BK250" i="2"/>
  <c r="BK380" i="2"/>
  <c r="BK384" i="2"/>
  <c r="BK409" i="2"/>
  <c r="BK444" i="2"/>
  <c r="BA483" i="2"/>
  <c r="BA445" i="2" s="1"/>
  <c r="BG8" i="1"/>
  <c r="BH8" i="1"/>
  <c r="AS7" i="1"/>
  <c r="AS5" i="1" s="1"/>
  <c r="BL52" i="1"/>
  <c r="BL66" i="1"/>
  <c r="BL79" i="1"/>
  <c r="AN87" i="1"/>
  <c r="BL87" i="1" s="1"/>
  <c r="BE87" i="1"/>
  <c r="BH87" i="1"/>
  <c r="BL89" i="1"/>
  <c r="BH99" i="1"/>
  <c r="AM109" i="1"/>
  <c r="BK109" i="1" s="1"/>
  <c r="AR109" i="1"/>
  <c r="BY68" i="13"/>
  <c r="BW68" i="13"/>
  <c r="BX68" i="13" s="1"/>
  <c r="AB7" i="2"/>
  <c r="BK38" i="2"/>
  <c r="BK44" i="2"/>
  <c r="BK65" i="2"/>
  <c r="AW86" i="2"/>
  <c r="BB86" i="2"/>
  <c r="BJ86" i="2" s="1"/>
  <c r="BK96" i="2"/>
  <c r="AD109" i="2"/>
  <c r="BI109" i="2" s="1"/>
  <c r="BD123" i="2"/>
  <c r="BK126" i="2"/>
  <c r="BI212" i="2"/>
  <c r="BF212" i="2"/>
  <c r="BC212" i="2"/>
  <c r="BE227" i="2"/>
  <c r="BK252" i="2"/>
  <c r="BK258" i="2"/>
  <c r="BF289" i="2"/>
  <c r="BF359" i="2"/>
  <c r="AK415" i="2"/>
  <c r="BK460" i="2"/>
  <c r="BK463" i="2"/>
  <c r="BK466" i="2"/>
  <c r="BK471" i="2"/>
  <c r="BK477" i="2"/>
  <c r="BK486" i="2"/>
  <c r="AL7" i="1"/>
  <c r="AL5" i="1" s="1"/>
  <c r="BH43" i="1"/>
  <c r="BL132" i="1"/>
  <c r="BL203" i="1"/>
  <c r="BL211" i="1"/>
  <c r="AP355" i="1"/>
  <c r="BF355" i="1" s="1"/>
  <c r="BH402" i="1"/>
  <c r="BJ201" i="1"/>
  <c r="BL208" i="1"/>
  <c r="AD263" i="1"/>
  <c r="AD261" i="1" s="1"/>
  <c r="BL302" i="1"/>
  <c r="BL346" i="1"/>
  <c r="BL349" i="1"/>
  <c r="BL379" i="1"/>
  <c r="BL404" i="1"/>
  <c r="BL410" i="1"/>
  <c r="BL412" i="1"/>
  <c r="AC415" i="1"/>
  <c r="AI415" i="1"/>
  <c r="BF415" i="1" s="1"/>
  <c r="BA415" i="1"/>
  <c r="BA361" i="1" s="1"/>
  <c r="BL429" i="1"/>
  <c r="BL449" i="1"/>
  <c r="BL460" i="1"/>
  <c r="BL461" i="1"/>
  <c r="AF483" i="1"/>
  <c r="AF445" i="1" s="1"/>
  <c r="AA483" i="1"/>
  <c r="BL189" i="1"/>
  <c r="BL204" i="1"/>
  <c r="BJ243" i="1"/>
  <c r="AJ263" i="1"/>
  <c r="AJ261" i="1" s="1"/>
  <c r="AW263" i="1"/>
  <c r="BD263" i="1" s="1"/>
  <c r="BL310" i="1"/>
  <c r="BI356" i="1"/>
  <c r="AO355" i="1"/>
  <c r="AY415" i="1"/>
  <c r="AB415" i="1"/>
  <c r="AB361" i="1" s="1"/>
  <c r="BL436" i="1"/>
  <c r="BL474" i="1"/>
  <c r="AR483" i="1"/>
  <c r="BY59" i="13"/>
  <c r="AV311" i="8"/>
  <c r="M16" i="15"/>
  <c r="BW345" i="16"/>
  <c r="BX345" i="16" s="1"/>
  <c r="AW347" i="16"/>
  <c r="K8" i="15"/>
  <c r="BW51" i="16"/>
  <c r="BX51" i="16" s="1"/>
  <c r="BW234" i="16"/>
  <c r="BX234" i="16" s="1"/>
  <c r="AW353" i="13"/>
  <c r="AQ106" i="6"/>
  <c r="BG7" i="6"/>
  <c r="Z6" i="6"/>
  <c r="AC106" i="6"/>
  <c r="BI482" i="6"/>
  <c r="AC367" i="6"/>
  <c r="BB439" i="6"/>
  <c r="AL473" i="6"/>
  <c r="AL438" i="6" s="1"/>
  <c r="AH407" i="6"/>
  <c r="AH355" i="6" s="1"/>
  <c r="AU121" i="6"/>
  <c r="BL470" i="6"/>
  <c r="AM144" i="6"/>
  <c r="AQ367" i="6"/>
  <c r="BB367" i="6"/>
  <c r="AW49" i="6"/>
  <c r="AB473" i="6"/>
  <c r="AB438" i="6" s="1"/>
  <c r="BI50" i="1"/>
  <c r="BF138" i="2"/>
  <c r="AD349" i="6"/>
  <c r="BA73" i="11"/>
  <c r="BA72" i="11" s="1"/>
  <c r="AR72" i="11"/>
  <c r="AN79" i="11"/>
  <c r="AW80" i="11"/>
  <c r="AX83" i="11"/>
  <c r="BG83" i="11" s="1"/>
  <c r="BG82" i="11" s="1"/>
  <c r="AX77" i="11"/>
  <c r="AX76" i="11" s="1"/>
  <c r="AO76" i="11"/>
  <c r="AH37" i="11"/>
  <c r="AH27" i="11" s="1"/>
  <c r="AF51" i="11"/>
  <c r="AH79" i="11"/>
  <c r="AF82" i="11"/>
  <c r="AU43" i="3"/>
  <c r="BH43" i="3"/>
  <c r="BK56" i="3"/>
  <c r="BK59" i="3"/>
  <c r="AG122" i="3"/>
  <c r="BK189" i="3"/>
  <c r="BH235" i="3"/>
  <c r="AW263" i="3"/>
  <c r="BE264" i="3"/>
  <c r="BD359" i="3"/>
  <c r="AF366" i="3"/>
  <c r="BK366" i="3" s="1"/>
  <c r="AD364" i="3"/>
  <c r="BI364" i="3" s="1"/>
  <c r="BD8" i="2"/>
  <c r="AI447" i="2"/>
  <c r="AI445" i="2" s="1"/>
  <c r="BF448" i="2"/>
  <c r="AX375" i="1"/>
  <c r="AX361" i="1" s="1"/>
  <c r="BF376" i="1"/>
  <c r="BF375" i="1" s="1"/>
  <c r="BD376" i="1"/>
  <c r="BD375" i="1" s="1"/>
  <c r="BI448" i="1"/>
  <c r="AS447" i="1"/>
  <c r="AV447" i="1" s="1"/>
  <c r="AV448" i="1"/>
  <c r="BL448" i="1" s="1"/>
  <c r="AD46" i="11"/>
  <c r="AJ46" i="11" s="1"/>
  <c r="AJ45" i="11" s="1"/>
  <c r="BD221" i="3"/>
  <c r="BD156" i="3" s="1"/>
  <c r="BG431" i="3"/>
  <c r="AB415" i="3"/>
  <c r="AB361" i="3" s="1"/>
  <c r="BA48" i="2"/>
  <c r="AE79" i="11"/>
  <c r="BI8" i="3"/>
  <c r="AF75" i="3"/>
  <c r="BK75" i="3" s="1"/>
  <c r="AE86" i="3"/>
  <c r="AW109" i="3"/>
  <c r="AR109" i="3"/>
  <c r="AM153" i="3"/>
  <c r="AP153" i="3"/>
  <c r="BF364" i="3"/>
  <c r="AA363" i="3"/>
  <c r="BF363" i="3" s="1"/>
  <c r="BD390" i="3"/>
  <c r="AF390" i="3"/>
  <c r="BK390" i="3" s="1"/>
  <c r="BJ402" i="3"/>
  <c r="AA122" i="3"/>
  <c r="AI121" i="3" s="1"/>
  <c r="AP121" i="3" s="1"/>
  <c r="AX121" i="3" s="1"/>
  <c r="BF121" i="3" s="1"/>
  <c r="AT358" i="3"/>
  <c r="AU358" i="3" s="1"/>
  <c r="AL356" i="3"/>
  <c r="AM356" i="3" s="1"/>
  <c r="BC359" i="3"/>
  <c r="BK359" i="3" s="1"/>
  <c r="AY415" i="3"/>
  <c r="BG416" i="3"/>
  <c r="BK30" i="2"/>
  <c r="AC50" i="2"/>
  <c r="AP109" i="2"/>
  <c r="BH138" i="2"/>
  <c r="BH122" i="2" s="1"/>
  <c r="AD156" i="2"/>
  <c r="BK167" i="2"/>
  <c r="AM182" i="2"/>
  <c r="BK188" i="2"/>
  <c r="BK204" i="2"/>
  <c r="BK248" i="2"/>
  <c r="AK263" i="2"/>
  <c r="AM263" i="2" s="1"/>
  <c r="BD276" i="2"/>
  <c r="BH276" i="2"/>
  <c r="BK320" i="2"/>
  <c r="BJ8" i="2"/>
  <c r="BK16" i="2"/>
  <c r="AK7" i="2"/>
  <c r="BK40" i="2"/>
  <c r="BK72" i="2"/>
  <c r="BK191" i="2"/>
  <c r="BK207" i="2"/>
  <c r="BF221" i="2"/>
  <c r="AC263" i="2"/>
  <c r="BK280" i="2"/>
  <c r="AT361" i="2"/>
  <c r="AG415" i="2"/>
  <c r="AG361" i="2" s="1"/>
  <c r="BD431" i="2"/>
  <c r="BG431" i="2"/>
  <c r="BD43" i="2"/>
  <c r="BH87" i="2"/>
  <c r="AR86" i="2"/>
  <c r="AN415" i="2"/>
  <c r="AN361" i="2" s="1"/>
  <c r="BD416" i="2"/>
  <c r="BD129" i="1"/>
  <c r="BL129" i="1" s="1"/>
  <c r="BG129" i="1"/>
  <c r="BG24" i="2"/>
  <c r="BK58" i="2"/>
  <c r="BK106" i="2"/>
  <c r="BD116" i="2"/>
  <c r="BK199" i="2"/>
  <c r="BK277" i="2"/>
  <c r="BK281" i="2"/>
  <c r="BD296" i="2"/>
  <c r="BL11" i="1"/>
  <c r="BL15" i="1"/>
  <c r="AI109" i="1"/>
  <c r="BI138" i="1"/>
  <c r="BI122" i="1" s="1"/>
  <c r="AD415" i="1"/>
  <c r="AD361" i="1" s="1"/>
  <c r="BG447" i="1"/>
  <c r="BC447" i="1"/>
  <c r="BC445" i="1" s="1"/>
  <c r="BK448" i="1"/>
  <c r="BD332" i="2"/>
  <c r="BD331" i="2" s="1"/>
  <c r="BK388" i="2"/>
  <c r="BL21" i="1"/>
  <c r="BL28" i="1"/>
  <c r="BI43" i="1"/>
  <c r="BL58" i="1"/>
  <c r="AY242" i="1"/>
  <c r="BD242" i="1" s="1"/>
  <c r="AV242" i="1"/>
  <c r="AP331" i="1"/>
  <c r="BF332" i="1"/>
  <c r="BF331" i="1" s="1"/>
  <c r="BC415" i="1"/>
  <c r="BC361" i="1" s="1"/>
  <c r="BK416" i="1"/>
  <c r="BC8" i="2"/>
  <c r="BK8" i="2" s="1"/>
  <c r="BK19" i="2"/>
  <c r="BI24" i="2"/>
  <c r="BK29" i="2"/>
  <c r="BK73" i="2"/>
  <c r="BK93" i="2"/>
  <c r="BK183" i="2"/>
  <c r="BK213" i="2"/>
  <c r="BK212" i="2" s="1"/>
  <c r="BK287" i="2"/>
  <c r="AN331" i="2"/>
  <c r="AN261" i="2" s="1"/>
  <c r="AN242" i="1"/>
  <c r="AM7" i="1"/>
  <c r="BK7" i="1" s="1"/>
  <c r="BF8" i="1"/>
  <c r="BD24" i="1"/>
  <c r="BL24" i="1" s="1"/>
  <c r="BL31" i="1"/>
  <c r="BL104" i="1"/>
  <c r="BI182" i="1"/>
  <c r="AM263" i="1"/>
  <c r="AE364" i="1"/>
  <c r="BJ364" i="1" s="1"/>
  <c r="BJ366" i="1"/>
  <c r="BK123" i="1"/>
  <c r="BK122" i="1" s="1"/>
  <c r="BL154" i="1"/>
  <c r="BJ276" i="1"/>
  <c r="BL306" i="1"/>
  <c r="BL464" i="1"/>
  <c r="AN182" i="1"/>
  <c r="AN156" i="1" s="1"/>
  <c r="BL319" i="1"/>
  <c r="BL333" i="1"/>
  <c r="BL444" i="1"/>
  <c r="BL452" i="1"/>
  <c r="BL466" i="1"/>
  <c r="AB138" i="1"/>
  <c r="AB122" i="1" s="1"/>
  <c r="AG143" i="1"/>
  <c r="BL188" i="1"/>
  <c r="BL182" i="1" s="1"/>
  <c r="BL307" i="1"/>
  <c r="BG416" i="1"/>
  <c r="BL439" i="1"/>
  <c r="BL465" i="1"/>
  <c r="N8" i="15"/>
  <c r="E16" i="15"/>
  <c r="N16" i="15" s="1"/>
  <c r="G47" i="18"/>
  <c r="G73" i="18" s="1"/>
  <c r="BE415" i="2"/>
  <c r="AT445" i="2"/>
  <c r="AT261" i="1"/>
  <c r="AN331" i="1"/>
  <c r="AY128" i="1"/>
  <c r="AV128" i="1"/>
  <c r="AQ123" i="1"/>
  <c r="Z261" i="2"/>
  <c r="BK332" i="2"/>
  <c r="BK331" i="2" s="1"/>
  <c r="AF376" i="3"/>
  <c r="AQ51" i="11"/>
  <c r="AV52" i="11"/>
  <c r="AV51" i="11" s="1"/>
  <c r="AQ261" i="1"/>
  <c r="AP122" i="2"/>
  <c r="AP5" i="2" s="1"/>
  <c r="BC52" i="11"/>
  <c r="BC51" i="11" s="1"/>
  <c r="BK376" i="2"/>
  <c r="BK375" i="2" s="1"/>
  <c r="BG355" i="2"/>
  <c r="AU358" i="2"/>
  <c r="AT356" i="2"/>
  <c r="AT355" i="2" s="1"/>
  <c r="AU355" i="2" s="1"/>
  <c r="BG263" i="2"/>
  <c r="AZ65" i="11"/>
  <c r="AZ64" i="11" s="1"/>
  <c r="AS65" i="11"/>
  <c r="AS64" i="11" s="1"/>
  <c r="AY65" i="11"/>
  <c r="AP64" i="11"/>
  <c r="AX26" i="11"/>
  <c r="BG26" i="11" s="1"/>
  <c r="AS26" i="11"/>
  <c r="AO24" i="11"/>
  <c r="BK431" i="2"/>
  <c r="BG86" i="2"/>
  <c r="AJ122" i="1"/>
  <c r="AZ50" i="2"/>
  <c r="BH50" i="2" s="1"/>
  <c r="BH51" i="2"/>
  <c r="AT82" i="11"/>
  <c r="AQ76" i="11"/>
  <c r="AZ77" i="11"/>
  <c r="AZ76" i="11" s="1"/>
  <c r="AF331" i="3"/>
  <c r="AS77" i="11"/>
  <c r="AS76" i="11" s="1"/>
  <c r="BD263" i="2"/>
  <c r="Y261" i="2"/>
  <c r="BD122" i="2"/>
  <c r="AW24" i="11"/>
  <c r="BJ109" i="2"/>
  <c r="AS38" i="11"/>
  <c r="AS37" i="11" s="1"/>
  <c r="BF7" i="3"/>
  <c r="AW37" i="11"/>
  <c r="BF6" i="11"/>
  <c r="BF5" i="11" s="1"/>
  <c r="AM85" i="11"/>
  <c r="AS261" i="2"/>
  <c r="AT361" i="3"/>
  <c r="BJ361" i="3" s="1"/>
  <c r="BD483" i="1"/>
  <c r="AK79" i="11"/>
  <c r="BE86" i="2"/>
  <c r="BE109" i="1"/>
  <c r="BG7" i="1"/>
  <c r="AZ361" i="3"/>
  <c r="BH361" i="3" s="1"/>
  <c r="AH5" i="3"/>
  <c r="AV445" i="3"/>
  <c r="AW261" i="1"/>
  <c r="AR261" i="3"/>
  <c r="AU263" i="3"/>
  <c r="AS80" i="11"/>
  <c r="AS79" i="11" s="1"/>
  <c r="AT80" i="11"/>
  <c r="AT79" i="11" s="1"/>
  <c r="AS5" i="3"/>
  <c r="BG263" i="1"/>
  <c r="AA445" i="1"/>
  <c r="AI361" i="1"/>
  <c r="BH355" i="1"/>
  <c r="AC361" i="1"/>
  <c r="AO261" i="2"/>
  <c r="BB445" i="3"/>
  <c r="AV261" i="2"/>
  <c r="AI261" i="3"/>
  <c r="AM263" i="3"/>
  <c r="BD153" i="1"/>
  <c r="AY148" i="1"/>
  <c r="BD148" i="1" s="1"/>
  <c r="BF86" i="3"/>
  <c r="BK483" i="1"/>
  <c r="AK5" i="1"/>
  <c r="AL445" i="2"/>
  <c r="AF109" i="2"/>
  <c r="BI86" i="2"/>
  <c r="AO5" i="2"/>
  <c r="BG7" i="2"/>
  <c r="AH361" i="3"/>
  <c r="AC261" i="3"/>
  <c r="BJ7" i="3"/>
  <c r="AU85" i="11"/>
  <c r="AW5" i="3"/>
  <c r="BJ7" i="1"/>
  <c r="AM5" i="1"/>
  <c r="BH7" i="2"/>
  <c r="AX153" i="3"/>
  <c r="BF153" i="3" s="1"/>
  <c r="AP148" i="3"/>
  <c r="AU153" i="3"/>
  <c r="BJ86" i="3"/>
  <c r="BI447" i="1"/>
  <c r="AD363" i="3"/>
  <c r="AF363" i="3" s="1"/>
  <c r="BK363" i="3" s="1"/>
  <c r="AW261" i="3"/>
  <c r="AW79" i="11"/>
  <c r="BF80" i="11"/>
  <c r="BF79" i="11" s="1"/>
  <c r="L16" i="15"/>
  <c r="BG242" i="1"/>
  <c r="BK447" i="1"/>
  <c r="BD415" i="2"/>
  <c r="AT356" i="3"/>
  <c r="AT355" i="3" s="1"/>
  <c r="AT261" i="3" s="1"/>
  <c r="BB358" i="3"/>
  <c r="BB356" i="3" s="1"/>
  <c r="BI48" i="2"/>
  <c r="BG77" i="11"/>
  <c r="BK263" i="1"/>
  <c r="AM261" i="1"/>
  <c r="AI5" i="1"/>
  <c r="BF109" i="1"/>
  <c r="BH86" i="2"/>
  <c r="AK261" i="2"/>
  <c r="BF109" i="2"/>
  <c r="AY361" i="3"/>
  <c r="BH109" i="3"/>
  <c r="AD45" i="11"/>
  <c r="AD27" i="11" s="1"/>
  <c r="AD4" i="11" s="1"/>
  <c r="BF447" i="2"/>
  <c r="AF27" i="11"/>
  <c r="AF4" i="11" s="1"/>
  <c r="AU356" i="2"/>
  <c r="BE52" i="11"/>
  <c r="BE51" i="11" s="1"/>
  <c r="AV123" i="1"/>
  <c r="BD128" i="1"/>
  <c r="BL128" i="1" s="1"/>
  <c r="BG128" i="1"/>
  <c r="AF375" i="3"/>
  <c r="BC50" i="2"/>
  <c r="BK51" i="2"/>
  <c r="BI77" i="11"/>
  <c r="BI76" i="11" s="1"/>
  <c r="BE361" i="3"/>
  <c r="BC80" i="11"/>
  <c r="BC79" i="11" s="1"/>
  <c r="BJ358" i="3"/>
  <c r="BC358" i="3"/>
  <c r="BG76" i="11"/>
  <c r="AU148" i="3"/>
  <c r="AU356" i="3"/>
  <c r="BK445" i="1"/>
  <c r="BI363" i="3"/>
  <c r="AX148" i="3"/>
  <c r="BF148" i="3" s="1"/>
  <c r="AT261" i="2"/>
  <c r="AB53" i="19"/>
  <c r="D25" i="19"/>
  <c r="BL405" i="6"/>
  <c r="BL426" i="6"/>
  <c r="BK333" i="6"/>
  <c r="BL61" i="6"/>
  <c r="BK150" i="6"/>
  <c r="AQ25" i="19"/>
  <c r="BK71" i="6"/>
  <c r="H10" i="19"/>
  <c r="R10" i="19" s="1"/>
  <c r="AF50" i="6"/>
  <c r="BL8" i="6"/>
  <c r="AB9" i="19"/>
  <c r="BI261" i="6"/>
  <c r="BK339" i="6"/>
  <c r="BL343" i="6"/>
  <c r="BK343" i="6"/>
  <c r="AB367" i="6"/>
  <c r="BG368" i="6"/>
  <c r="BG367" i="6" s="1"/>
  <c r="BC440" i="6"/>
  <c r="AD473" i="6"/>
  <c r="BC474" i="6"/>
  <c r="BF474" i="6"/>
  <c r="BL488" i="6"/>
  <c r="BL329" i="6"/>
  <c r="BK337" i="6"/>
  <c r="BK336" i="6"/>
  <c r="BC352" i="6"/>
  <c r="BL487" i="6"/>
  <c r="AP291" i="6"/>
  <c r="BK345" i="6"/>
  <c r="BK332" i="6"/>
  <c r="AI407" i="6"/>
  <c r="AF12" i="15"/>
  <c r="AG17" i="15"/>
  <c r="AF17" i="15"/>
  <c r="AD10" i="15"/>
  <c r="AB17" i="15"/>
  <c r="AG18" i="15"/>
  <c r="AB11" i="15"/>
  <c r="AB18" i="15"/>
  <c r="AF24" i="15"/>
  <c r="Q22" i="15"/>
  <c r="Q20" i="15"/>
  <c r="BL371" i="6"/>
  <c r="AB349" i="6"/>
  <c r="BC121" i="6"/>
  <c r="BL121" i="6" s="1"/>
  <c r="BF121" i="6"/>
  <c r="BA260" i="6"/>
  <c r="BL454" i="6"/>
  <c r="BI356" i="6"/>
  <c r="AY349" i="6"/>
  <c r="AJ349" i="6"/>
  <c r="BL275" i="6"/>
  <c r="BI368" i="6"/>
  <c r="BL376" i="6"/>
  <c r="BL392" i="6"/>
  <c r="BL393" i="6"/>
  <c r="BL442" i="6"/>
  <c r="AP473" i="6"/>
  <c r="BL484" i="6"/>
  <c r="BL489" i="6"/>
  <c r="BA49" i="6"/>
  <c r="BD167" i="6"/>
  <c r="AV153" i="6"/>
  <c r="BG261" i="6"/>
  <c r="AT326" i="6"/>
  <c r="BJ327" i="6"/>
  <c r="BJ326" i="6" s="1"/>
  <c r="AX326" i="6"/>
  <c r="BF327" i="6"/>
  <c r="BF326" i="6" s="1"/>
  <c r="BL347" i="6"/>
  <c r="BK347" i="6"/>
  <c r="AO356" i="6"/>
  <c r="BE356" i="6" s="1"/>
  <c r="BE357" i="6"/>
  <c r="BK385" i="6"/>
  <c r="BL386" i="6"/>
  <c r="BK386" i="6"/>
  <c r="BC357" i="6"/>
  <c r="AP439" i="6"/>
  <c r="BF440" i="6"/>
  <c r="BK444" i="6"/>
  <c r="BL449" i="6"/>
  <c r="BK449" i="6"/>
  <c r="AN473" i="6"/>
  <c r="BD474" i="6"/>
  <c r="AU474" i="6"/>
  <c r="BH439" i="6"/>
  <c r="AT291" i="6"/>
  <c r="BJ292" i="6"/>
  <c r="BA291" i="6"/>
  <c r="BA286" i="6" s="1"/>
  <c r="BK341" i="6"/>
  <c r="BK342" i="6"/>
  <c r="BK344" i="6"/>
  <c r="BK340" i="6"/>
  <c r="AD8" i="15"/>
  <c r="BH273" i="6"/>
  <c r="BH368" i="6"/>
  <c r="BH367" i="6" s="1"/>
  <c r="BE292" i="6"/>
  <c r="BK159" i="6"/>
  <c r="BH440" i="6"/>
  <c r="BL67" i="6"/>
  <c r="Z49" i="6"/>
  <c r="BL111" i="6"/>
  <c r="BD113" i="6"/>
  <c r="AV118" i="6"/>
  <c r="BD119" i="6"/>
  <c r="BI134" i="6"/>
  <c r="AS152" i="6"/>
  <c r="AN367" i="6"/>
  <c r="AO394" i="6"/>
  <c r="AU394" i="6" s="1"/>
  <c r="BE395" i="6"/>
  <c r="BJ395" i="6"/>
  <c r="BK437" i="6"/>
  <c r="BL437" i="6"/>
  <c r="AY439" i="6"/>
  <c r="BG440" i="6"/>
  <c r="AT84" i="6"/>
  <c r="BJ85" i="6"/>
  <c r="BL258" i="6"/>
  <c r="BK305" i="6"/>
  <c r="BL312" i="6"/>
  <c r="BK316" i="6"/>
  <c r="AH326" i="6"/>
  <c r="AM327" i="6"/>
  <c r="AM326" i="6" s="1"/>
  <c r="AM353" i="6"/>
  <c r="BK360" i="6"/>
  <c r="BK377" i="6"/>
  <c r="BL382" i="6"/>
  <c r="BK387" i="6"/>
  <c r="BK389" i="6"/>
  <c r="BK453" i="6"/>
  <c r="BL456" i="6"/>
  <c r="BL459" i="6"/>
  <c r="AF474" i="6"/>
  <c r="BK478" i="6"/>
  <c r="BK479" i="6"/>
  <c r="AF482" i="6"/>
  <c r="BH482" i="6"/>
  <c r="BC482" i="6"/>
  <c r="BL301" i="6"/>
  <c r="AR286" i="6"/>
  <c r="AN291" i="6"/>
  <c r="BD291" i="6" s="1"/>
  <c r="BD292" i="6"/>
  <c r="AY291" i="6"/>
  <c r="BG292" i="6"/>
  <c r="BC7" i="6"/>
  <c r="AH49" i="6"/>
  <c r="BE74" i="6"/>
  <c r="BG107" i="6"/>
  <c r="AU113" i="6"/>
  <c r="AF439" i="6"/>
  <c r="BC107" i="6"/>
  <c r="AU125" i="6"/>
  <c r="BI119" i="6"/>
  <c r="AM7" i="6"/>
  <c r="BC113" i="6"/>
  <c r="BG85" i="6"/>
  <c r="AU292" i="6"/>
  <c r="AU424" i="6"/>
  <c r="BK328" i="6"/>
  <c r="BE327" i="6"/>
  <c r="BE326" i="6" s="1"/>
  <c r="BH474" i="6"/>
  <c r="BL410" i="6"/>
  <c r="BK411" i="6"/>
  <c r="BK9" i="6"/>
  <c r="BK13" i="6"/>
  <c r="BL18" i="6"/>
  <c r="BL19" i="6"/>
  <c r="BG23" i="6"/>
  <c r="BK28" i="6"/>
  <c r="BK29" i="6"/>
  <c r="BK34" i="6"/>
  <c r="BL38" i="6"/>
  <c r="AM42" i="6"/>
  <c r="AT6" i="6"/>
  <c r="BH42" i="6"/>
  <c r="BK43" i="6"/>
  <c r="BK72" i="6"/>
  <c r="BK346" i="6"/>
  <c r="BK338" i="6"/>
  <c r="BK334" i="6"/>
  <c r="BE394" i="6"/>
  <c r="BJ74" i="6"/>
  <c r="BK75" i="6"/>
  <c r="BK80" i="6"/>
  <c r="BL81" i="6"/>
  <c r="AQ84" i="6"/>
  <c r="BB106" i="6"/>
  <c r="AF113" i="6"/>
  <c r="AP106" i="6"/>
  <c r="AP84" i="6"/>
  <c r="AT118" i="6"/>
  <c r="AN118" i="6"/>
  <c r="BK120" i="6"/>
  <c r="AP119" i="6"/>
  <c r="AU119" i="6" s="1"/>
  <c r="BK122" i="6"/>
  <c r="BL123" i="6"/>
  <c r="BK127" i="6"/>
  <c r="BL130" i="6"/>
  <c r="BK131" i="6"/>
  <c r="BL132" i="6"/>
  <c r="AY118" i="6"/>
  <c r="AQ118" i="6"/>
  <c r="BL137" i="6"/>
  <c r="BK138" i="6"/>
  <c r="BL141" i="6"/>
  <c r="BK148" i="6"/>
  <c r="BL150" i="6"/>
  <c r="BL399" i="6"/>
  <c r="BK400" i="6"/>
  <c r="AF408" i="6"/>
  <c r="BK412" i="6"/>
  <c r="BL413" i="6"/>
  <c r="BL418" i="6"/>
  <c r="BL427" i="6"/>
  <c r="AP49" i="6"/>
  <c r="BK171" i="6"/>
  <c r="BK172" i="6"/>
  <c r="BL173" i="6"/>
  <c r="AE152" i="6"/>
  <c r="BI179" i="6"/>
  <c r="BK180" i="6"/>
  <c r="BC191" i="6"/>
  <c r="BK194" i="6"/>
  <c r="BF191" i="6"/>
  <c r="BJ191" i="6"/>
  <c r="BE199" i="6"/>
  <c r="BK209" i="6"/>
  <c r="BI210" i="6"/>
  <c r="BC210" i="6"/>
  <c r="BL212" i="6"/>
  <c r="BK218" i="6"/>
  <c r="AM219" i="6"/>
  <c r="BD233" i="6"/>
  <c r="BJ233" i="6"/>
  <c r="BD241" i="6"/>
  <c r="BL246" i="6"/>
  <c r="BK255" i="6"/>
  <c r="BH261" i="6"/>
  <c r="BI353" i="6"/>
  <c r="BD394" i="6"/>
  <c r="BL460" i="6"/>
  <c r="AJ473" i="6"/>
  <c r="BG473" i="6" s="1"/>
  <c r="BL451" i="6"/>
  <c r="BK117" i="6"/>
  <c r="BL115" i="6"/>
  <c r="BL114" i="6"/>
  <c r="Q11" i="15"/>
  <c r="AB10" i="15"/>
  <c r="AQ59" i="19"/>
  <c r="BL51" i="6"/>
  <c r="BL52" i="6"/>
  <c r="BK53" i="6"/>
  <c r="BK56" i="6"/>
  <c r="BK58" i="6"/>
  <c r="BK61" i="6"/>
  <c r="BK62" i="6"/>
  <c r="BL63" i="6"/>
  <c r="BL64" i="6"/>
  <c r="BK65" i="6"/>
  <c r="BL72" i="6"/>
  <c r="BK73" i="6"/>
  <c r="Y84" i="6"/>
  <c r="AG84" i="6"/>
  <c r="AB84" i="6"/>
  <c r="BK104" i="6"/>
  <c r="BK155" i="6"/>
  <c r="BK156" i="6"/>
  <c r="BL157" i="6"/>
  <c r="BK160" i="6"/>
  <c r="BL163" i="6"/>
  <c r="BL248" i="6"/>
  <c r="BL475" i="6"/>
  <c r="BK379" i="6"/>
  <c r="AQ50" i="6"/>
  <c r="BG74" i="6"/>
  <c r="AF74" i="6"/>
  <c r="AF85" i="6"/>
  <c r="Y118" i="6"/>
  <c r="BD134" i="6"/>
  <c r="AF144" i="6"/>
  <c r="AA118" i="6"/>
  <c r="BL37" i="6"/>
  <c r="BK37" i="6"/>
  <c r="AV50" i="6"/>
  <c r="BD74" i="6"/>
  <c r="AF107" i="6"/>
  <c r="Y106" i="6"/>
  <c r="BK246" i="6"/>
  <c r="AN349" i="6"/>
  <c r="BD349" i="6" s="1"/>
  <c r="BK351" i="6"/>
  <c r="AE349" i="6"/>
  <c r="AE259" i="6" s="1"/>
  <c r="AX349" i="6"/>
  <c r="BC353" i="6"/>
  <c r="AX367" i="6"/>
  <c r="BC368" i="6"/>
  <c r="BC367" i="6" s="1"/>
  <c r="BC139" i="6"/>
  <c r="BF139" i="6"/>
  <c r="BK112" i="6"/>
  <c r="AY49" i="6"/>
  <c r="BG50" i="6"/>
  <c r="AS84" i="6"/>
  <c r="BI85" i="6"/>
  <c r="BH85" i="6"/>
  <c r="AR84" i="6"/>
  <c r="AU85" i="6"/>
  <c r="AD84" i="6"/>
  <c r="BI97" i="6"/>
  <c r="BI154" i="6"/>
  <c r="BA153" i="6"/>
  <c r="BI153" i="6" s="1"/>
  <c r="BJ153" i="6"/>
  <c r="BH292" i="6"/>
  <c r="BL13" i="6"/>
  <c r="BI23" i="6"/>
  <c r="BL24" i="6"/>
  <c r="BL26" i="6"/>
  <c r="BL29" i="6"/>
  <c r="BL35" i="6"/>
  <c r="BL55" i="6"/>
  <c r="BK57" i="6"/>
  <c r="BK60" i="6"/>
  <c r="BL62" i="6"/>
  <c r="BK63" i="6"/>
  <c r="BK64" i="6"/>
  <c r="BL66" i="6"/>
  <c r="BK67" i="6"/>
  <c r="BL69" i="6"/>
  <c r="BL75" i="6"/>
  <c r="BL77" i="6"/>
  <c r="BK79" i="6"/>
  <c r="BL83" i="6"/>
  <c r="BC85" i="6"/>
  <c r="BK86" i="6"/>
  <c r="BK90" i="6"/>
  <c r="BK91" i="6"/>
  <c r="BL93" i="6"/>
  <c r="BK94" i="6"/>
  <c r="BK95" i="6"/>
  <c r="BK96" i="6"/>
  <c r="AE84" i="6"/>
  <c r="AM97" i="6"/>
  <c r="BF97" i="6"/>
  <c r="BK98" i="6"/>
  <c r="BK103" i="6"/>
  <c r="BL104" i="6"/>
  <c r="BG119" i="6"/>
  <c r="BE474" i="6"/>
  <c r="AU139" i="6"/>
  <c r="AQ6" i="6"/>
  <c r="BL11" i="6"/>
  <c r="BL16" i="6"/>
  <c r="BK17" i="6"/>
  <c r="BK18" i="6"/>
  <c r="BK26" i="6"/>
  <c r="BL28" i="6"/>
  <c r="BL31" i="6"/>
  <c r="BL32" i="6"/>
  <c r="BK35" i="6"/>
  <c r="BI42" i="6"/>
  <c r="BK44" i="6"/>
  <c r="BL45" i="6"/>
  <c r="BL46" i="6"/>
  <c r="AE6" i="6"/>
  <c r="BK52" i="6"/>
  <c r="BL68" i="6"/>
  <c r="BK69" i="6"/>
  <c r="BK70" i="6"/>
  <c r="BL71" i="6"/>
  <c r="BL79" i="6"/>
  <c r="AJ84" i="6"/>
  <c r="BL102" i="6"/>
  <c r="AJ106" i="6"/>
  <c r="AK118" i="6"/>
  <c r="AM368" i="6"/>
  <c r="AM367" i="6" s="1"/>
  <c r="BK451" i="6"/>
  <c r="BD395" i="6"/>
  <c r="BA6" i="6"/>
  <c r="AB6" i="6"/>
  <c r="AB106" i="6"/>
  <c r="AN106" i="6"/>
  <c r="BL120" i="6"/>
  <c r="BB118" i="6"/>
  <c r="AC118" i="6"/>
  <c r="BA118" i="6"/>
  <c r="AC152" i="6"/>
  <c r="AL152" i="6"/>
  <c r="AM179" i="6"/>
  <c r="BD179" i="6"/>
  <c r="BH179" i="6"/>
  <c r="BE179" i="6"/>
  <c r="BF179" i="6"/>
  <c r="BJ179" i="6"/>
  <c r="BG179" i="6"/>
  <c r="AJ152" i="6"/>
  <c r="AO152" i="6"/>
  <c r="BG191" i="6"/>
  <c r="BE191" i="6"/>
  <c r="BD191" i="6"/>
  <c r="BH191" i="6"/>
  <c r="BG199" i="6"/>
  <c r="BD199" i="6"/>
  <c r="BH199" i="6"/>
  <c r="BF199" i="6"/>
  <c r="AA152" i="6"/>
  <c r="BD210" i="6"/>
  <c r="BH210" i="6"/>
  <c r="BE210" i="6"/>
  <c r="BJ210" i="6"/>
  <c r="Y152" i="6"/>
  <c r="Z152" i="6"/>
  <c r="AH152" i="6"/>
  <c r="AN152" i="6"/>
  <c r="AR152" i="6"/>
  <c r="BK405" i="6"/>
  <c r="BK25" i="6"/>
  <c r="AO49" i="6"/>
  <c r="AM357" i="6"/>
  <c r="AE10" i="19"/>
  <c r="BA349" i="6"/>
  <c r="BA259" i="6" s="1"/>
  <c r="BK371" i="6"/>
  <c r="BL396" i="6"/>
  <c r="BA407" i="6"/>
  <c r="AU408" i="6"/>
  <c r="AT407" i="6"/>
  <c r="BL428" i="6"/>
  <c r="AF440" i="6"/>
  <c r="BL443" i="6"/>
  <c r="BK445" i="6"/>
  <c r="BL447" i="6"/>
  <c r="BL452" i="6"/>
  <c r="BK463" i="6"/>
  <c r="BL464" i="6"/>
  <c r="AG473" i="6"/>
  <c r="BB473" i="6"/>
  <c r="BB438" i="6" s="1"/>
  <c r="BK289" i="6"/>
  <c r="BL335" i="6"/>
  <c r="BL375" i="6"/>
  <c r="BI219" i="6"/>
  <c r="BE219" i="6"/>
  <c r="BF219" i="6"/>
  <c r="BG219" i="6"/>
  <c r="BD219" i="6"/>
  <c r="BH219" i="6"/>
  <c r="BL223" i="6"/>
  <c r="BD225" i="6"/>
  <c r="BK226" i="6"/>
  <c r="BG225" i="6"/>
  <c r="BH225" i="6"/>
  <c r="AF225" i="6"/>
  <c r="BE225" i="6"/>
  <c r="BL232" i="6"/>
  <c r="BE233" i="6"/>
  <c r="BF233" i="6"/>
  <c r="BG233" i="6"/>
  <c r="BH233" i="6"/>
  <c r="AM233" i="6"/>
  <c r="BE241" i="6"/>
  <c r="BJ241" i="6"/>
  <c r="BH241" i="6"/>
  <c r="BF241" i="6"/>
  <c r="BL249" i="6"/>
  <c r="BG241" i="6"/>
  <c r="BK252" i="6"/>
  <c r="BL255" i="6"/>
  <c r="BK257" i="6"/>
  <c r="BK258" i="6"/>
  <c r="AU261" i="6"/>
  <c r="BL262" i="6"/>
  <c r="BK265" i="6"/>
  <c r="BL266" i="6"/>
  <c r="BL267" i="6"/>
  <c r="BK269" i="6"/>
  <c r="BL272" i="6"/>
  <c r="Z260" i="6"/>
  <c r="BG273" i="6"/>
  <c r="BB260" i="6"/>
  <c r="BK274" i="6"/>
  <c r="BK275" i="6"/>
  <c r="BK278" i="6"/>
  <c r="BK280" i="6"/>
  <c r="BL282" i="6"/>
  <c r="BL294" i="6"/>
  <c r="BL298" i="6"/>
  <c r="BK299" i="6"/>
  <c r="BK304" i="6"/>
  <c r="BL305" i="6"/>
  <c r="BL309" i="6"/>
  <c r="BL311" i="6"/>
  <c r="BK312" i="6"/>
  <c r="BL315" i="6"/>
  <c r="BL316" i="6"/>
  <c r="BL317" i="6"/>
  <c r="BK324" i="6"/>
  <c r="BJ353" i="6"/>
  <c r="BD353" i="6"/>
  <c r="BL354" i="6"/>
  <c r="BL360" i="6"/>
  <c r="BK362" i="6"/>
  <c r="BL365" i="6"/>
  <c r="BL366" i="6"/>
  <c r="BL446" i="6"/>
  <c r="BL450" i="6"/>
  <c r="BL455" i="6"/>
  <c r="BL457" i="6"/>
  <c r="BK462" i="6"/>
  <c r="BL467" i="6"/>
  <c r="BL33" i="6"/>
  <c r="AF327" i="6"/>
  <c r="AF326" i="6"/>
  <c r="BF350" i="6"/>
  <c r="AA349" i="6"/>
  <c r="AS349" i="6"/>
  <c r="BK372" i="6"/>
  <c r="BK380" i="6"/>
  <c r="BL383" i="6"/>
  <c r="AU395" i="6"/>
  <c r="BD408" i="6"/>
  <c r="BJ408" i="6"/>
  <c r="BL414" i="6"/>
  <c r="BK416" i="6"/>
  <c r="BK419" i="6"/>
  <c r="AE407" i="6"/>
  <c r="BK425" i="6"/>
  <c r="AF424" i="6"/>
  <c r="BK428" i="6"/>
  <c r="BL476" i="6"/>
  <c r="BK481" i="6"/>
  <c r="AC473" i="6"/>
  <c r="AC438" i="6" s="1"/>
  <c r="Y473" i="6"/>
  <c r="Y438" i="6" s="1"/>
  <c r="BK136" i="6"/>
  <c r="BL136" i="6"/>
  <c r="BL140" i="6"/>
  <c r="BK140" i="6"/>
  <c r="AF15" i="15"/>
  <c r="AE13" i="15"/>
  <c r="AF18" i="15"/>
  <c r="AB23" i="15"/>
  <c r="AE15" i="15"/>
  <c r="AY153" i="6"/>
  <c r="AY152" i="6" s="1"/>
  <c r="AE8" i="15"/>
  <c r="AG12" i="15"/>
  <c r="AF21" i="15"/>
  <c r="AE16" i="15"/>
  <c r="AB17" i="19"/>
  <c r="BK132" i="6"/>
  <c r="BL110" i="6"/>
  <c r="BK110" i="6"/>
  <c r="AE14" i="15"/>
  <c r="AD26" i="15"/>
  <c r="AF7" i="15"/>
  <c r="AB7" i="15"/>
  <c r="AG24" i="15"/>
  <c r="AB12" i="15"/>
  <c r="AB8" i="15"/>
  <c r="AE17" i="15"/>
  <c r="AF8" i="15"/>
  <c r="AG13" i="15"/>
  <c r="AB21" i="15"/>
  <c r="AB24" i="15"/>
  <c r="AF10" i="15"/>
  <c r="AG21" i="15"/>
  <c r="AG6" i="15"/>
  <c r="AB25" i="15"/>
  <c r="AG11" i="15"/>
  <c r="AG10" i="15"/>
  <c r="AG7" i="15"/>
  <c r="AF6" i="15"/>
  <c r="AF25" i="15"/>
  <c r="AD15" i="15"/>
  <c r="AG26" i="15"/>
  <c r="AB22" i="15"/>
  <c r="AG14" i="15"/>
  <c r="AB26" i="15"/>
  <c r="AF9" i="15"/>
  <c r="AE10" i="15"/>
  <c r="AD14" i="15"/>
  <c r="AB14" i="15"/>
  <c r="AF16" i="15"/>
  <c r="AF19" i="15"/>
  <c r="AD21" i="15"/>
  <c r="AB13" i="15"/>
  <c r="AG23" i="15"/>
  <c r="AD19" i="15"/>
  <c r="AB6" i="15"/>
  <c r="AD13" i="15"/>
  <c r="AI13" i="15" s="1"/>
  <c r="AE26" i="15"/>
  <c r="AE21" i="15"/>
  <c r="AB19" i="15"/>
  <c r="AD11" i="15"/>
  <c r="AG16" i="15"/>
  <c r="AE18" i="15"/>
  <c r="AD25" i="15"/>
  <c r="AF14" i="15"/>
  <c r="AF11" i="15"/>
  <c r="AB20" i="15"/>
  <c r="AF13" i="15"/>
  <c r="AG8" i="15"/>
  <c r="AB15" i="15"/>
  <c r="AE12" i="15"/>
  <c r="AE22" i="15"/>
  <c r="AE19" i="15"/>
  <c r="AD22" i="15"/>
  <c r="AG22" i="15"/>
  <c r="AE24" i="15"/>
  <c r="AF20" i="15"/>
  <c r="AD17" i="15"/>
  <c r="AE20" i="15"/>
  <c r="AQ54" i="19"/>
  <c r="AQ57" i="19"/>
  <c r="AB59" i="19"/>
  <c r="AB54" i="19"/>
  <c r="AQ58" i="19"/>
  <c r="AQ61" i="19"/>
  <c r="AQ53" i="19"/>
  <c r="AB55" i="19"/>
  <c r="AB58" i="19"/>
  <c r="D53" i="19"/>
  <c r="AQ60" i="19"/>
  <c r="AQ55" i="19"/>
  <c r="AB60" i="19"/>
  <c r="D61" i="19"/>
  <c r="AQ56" i="19"/>
  <c r="AB61" i="19"/>
  <c r="AB56" i="19"/>
  <c r="AQ52" i="19"/>
  <c r="AB57" i="19"/>
  <c r="AB52" i="19"/>
  <c r="D56" i="19"/>
  <c r="AQ62" i="19"/>
  <c r="AB62" i="19"/>
  <c r="AX10" i="19"/>
  <c r="AQ22" i="19"/>
  <c r="AQ14" i="19"/>
  <c r="AK10" i="19"/>
  <c r="AJ10" i="19"/>
  <c r="AW10" i="19"/>
  <c r="AQ23" i="19"/>
  <c r="AQ15" i="19"/>
  <c r="AL10" i="19"/>
  <c r="AB23" i="19"/>
  <c r="AB15" i="19"/>
  <c r="N10" i="19"/>
  <c r="AB20" i="19"/>
  <c r="AB12" i="19"/>
  <c r="D15" i="19"/>
  <c r="BB10" i="19"/>
  <c r="AT10" i="19"/>
  <c r="AQ18" i="19"/>
  <c r="AQ10" i="19"/>
  <c r="AG10" i="19"/>
  <c r="BA10" i="19"/>
  <c r="AS10" i="19"/>
  <c r="AQ19" i="19"/>
  <c r="AQ11" i="19"/>
  <c r="AD10" i="19"/>
  <c r="AB19" i="19"/>
  <c r="AB11" i="19"/>
  <c r="AB24" i="19"/>
  <c r="AB16" i="19"/>
  <c r="O10" i="19"/>
  <c r="L10" i="19"/>
  <c r="D17" i="19"/>
  <c r="AV10" i="19"/>
  <c r="AQ12" i="19"/>
  <c r="AF10" i="19"/>
  <c r="AQ21" i="19"/>
  <c r="AH10" i="19"/>
  <c r="AB13" i="19"/>
  <c r="AB18" i="19"/>
  <c r="D19" i="19"/>
  <c r="AQ24" i="19"/>
  <c r="AM10" i="19"/>
  <c r="AY10" i="19"/>
  <c r="AQ17" i="19"/>
  <c r="AQ20" i="19"/>
  <c r="AI10" i="19"/>
  <c r="AU10" i="19"/>
  <c r="AQ13" i="19"/>
  <c r="AB21" i="19"/>
  <c r="M10" i="19"/>
  <c r="AB10" i="19"/>
  <c r="D11" i="19"/>
  <c r="Q14" i="15"/>
  <c r="AD6" i="15"/>
  <c r="D55" i="19"/>
  <c r="AE23" i="15"/>
  <c r="AD20" i="15"/>
  <c r="AG25" i="15"/>
  <c r="Q12" i="15"/>
  <c r="AD24" i="15"/>
  <c r="Q10" i="15"/>
  <c r="AE9" i="15"/>
  <c r="AF22" i="15"/>
  <c r="AD16" i="15"/>
  <c r="BL117" i="6"/>
  <c r="AF26" i="15"/>
  <c r="AB9" i="15"/>
  <c r="AE7" i="15"/>
  <c r="BK113" i="6"/>
  <c r="D13" i="19"/>
  <c r="D14" i="19"/>
  <c r="AB14" i="19"/>
  <c r="AB25" i="19"/>
  <c r="AQ16" i="19"/>
  <c r="BK123" i="6"/>
  <c r="BL155" i="6"/>
  <c r="BL156" i="6"/>
  <c r="BK157" i="6"/>
  <c r="BK135" i="6"/>
  <c r="BL135" i="6"/>
  <c r="BL139" i="6"/>
  <c r="BK139" i="6"/>
  <c r="BL145" i="6"/>
  <c r="BK145" i="6"/>
  <c r="BK111" i="6"/>
  <c r="BL116" i="6"/>
  <c r="BK116" i="6"/>
  <c r="Q13" i="15"/>
  <c r="Q16" i="15"/>
  <c r="Q9" i="15"/>
  <c r="Q6" i="15"/>
  <c r="Q17" i="15"/>
  <c r="Q19" i="15"/>
  <c r="Q23" i="15"/>
  <c r="Q15" i="15"/>
  <c r="Q7" i="15"/>
  <c r="Q18" i="15"/>
  <c r="AD18" i="15"/>
  <c r="D60" i="19"/>
  <c r="AD23" i="15"/>
  <c r="AF23" i="15"/>
  <c r="AB16" i="15"/>
  <c r="Q21" i="15"/>
  <c r="AD7" i="15"/>
  <c r="AJ7" i="15" s="1"/>
  <c r="AG9" i="15"/>
  <c r="AG20" i="15"/>
  <c r="AE6" i="15"/>
  <c r="AI6" i="15" s="1"/>
  <c r="AD9" i="15"/>
  <c r="AE25" i="15"/>
  <c r="AJ25" i="15" s="1"/>
  <c r="Q8" i="15"/>
  <c r="AE11" i="15"/>
  <c r="AD12" i="15"/>
  <c r="AI12" i="15" s="1"/>
  <c r="AB22" i="19"/>
  <c r="AQ9" i="19"/>
  <c r="AZ10" i="19"/>
  <c r="BL10" i="6"/>
  <c r="BK22" i="6"/>
  <c r="BL57" i="6"/>
  <c r="BL59" i="6"/>
  <c r="BL60" i="6"/>
  <c r="BK81" i="6"/>
  <c r="BL86" i="6"/>
  <c r="BL95" i="6"/>
  <c r="BL108" i="6"/>
  <c r="BL127" i="6"/>
  <c r="BK130" i="6"/>
  <c r="BL131" i="6"/>
  <c r="BK137" i="6"/>
  <c r="BL138" i="6"/>
  <c r="BK141" i="6"/>
  <c r="BK143" i="6"/>
  <c r="BL148" i="6"/>
  <c r="AF153" i="6"/>
  <c r="BE153" i="6"/>
  <c r="BE152" i="6" s="1"/>
  <c r="BK163" i="6"/>
  <c r="BC167" i="6"/>
  <c r="BK167" i="6" s="1"/>
  <c r="BH167" i="6"/>
  <c r="BL169" i="6"/>
  <c r="BK170" i="6"/>
  <c r="BL171" i="6"/>
  <c r="BL172" i="6"/>
  <c r="BK173" i="6"/>
  <c r="BK174" i="6"/>
  <c r="BL176" i="6"/>
  <c r="BL177" i="6"/>
  <c r="BL180" i="6"/>
  <c r="BL182" i="6"/>
  <c r="BK186" i="6"/>
  <c r="BK188" i="6"/>
  <c r="BL188" i="6"/>
  <c r="BK189" i="6"/>
  <c r="BL192" i="6"/>
  <c r="BL193" i="6"/>
  <c r="BL194" i="6"/>
  <c r="BL196" i="6"/>
  <c r="BL198" i="6"/>
  <c r="BL203" i="6"/>
  <c r="BK205" i="6"/>
  <c r="BL207" i="6"/>
  <c r="BL208" i="6"/>
  <c r="BL209" i="6"/>
  <c r="BL211" i="6"/>
  <c r="BL218" i="6"/>
  <c r="BK12" i="6"/>
  <c r="BK27" i="6"/>
  <c r="BL30" i="6"/>
  <c r="BK31" i="6"/>
  <c r="BL39" i="6"/>
  <c r="BL43" i="6"/>
  <c r="BK45" i="6"/>
  <c r="BK78" i="6"/>
  <c r="BL82" i="6"/>
  <c r="BK82" i="6"/>
  <c r="BK87" i="6"/>
  <c r="BK92" i="6"/>
  <c r="BL92" i="6"/>
  <c r="BK99" i="6"/>
  <c r="BK100" i="6"/>
  <c r="BK102" i="6"/>
  <c r="BK105" i="6"/>
  <c r="BL105" i="6"/>
  <c r="BK109" i="6"/>
  <c r="BD118" i="6"/>
  <c r="BL56" i="6"/>
  <c r="BL122" i="6"/>
  <c r="BK115" i="6"/>
  <c r="BK114" i="6"/>
  <c r="BK10" i="6"/>
  <c r="BK8" i="6"/>
  <c r="BL9" i="6"/>
  <c r="BK11" i="6"/>
  <c r="BK14" i="6"/>
  <c r="BL15" i="6"/>
  <c r="BL17" i="6"/>
  <c r="BK19" i="6"/>
  <c r="BK20" i="6"/>
  <c r="BB349" i="6"/>
  <c r="BK169" i="6"/>
  <c r="BK262" i="6"/>
  <c r="AW153" i="6"/>
  <c r="AW152" i="6" s="1"/>
  <c r="BC225" i="6"/>
  <c r="AG355" i="6"/>
  <c r="BK267" i="6"/>
  <c r="BL205" i="6"/>
  <c r="BL226" i="6"/>
  <c r="BL189" i="6"/>
  <c r="BK198" i="6"/>
  <c r="AF273" i="6"/>
  <c r="BK465" i="6"/>
  <c r="BL465" i="6"/>
  <c r="BL466" i="6"/>
  <c r="BK466" i="6"/>
  <c r="AX84" i="6"/>
  <c r="BF85" i="6"/>
  <c r="BK88" i="6"/>
  <c r="BL88" i="6"/>
  <c r="BL89" i="6"/>
  <c r="BK89" i="6"/>
  <c r="AF97" i="6"/>
  <c r="BE97" i="6"/>
  <c r="BK101" i="6"/>
  <c r="BL101" i="6"/>
  <c r="AK106" i="6"/>
  <c r="BH107" i="6"/>
  <c r="BL128" i="6"/>
  <c r="BK128" i="6"/>
  <c r="AW118" i="6"/>
  <c r="BE134" i="6"/>
  <c r="AM134" i="6"/>
  <c r="AH118" i="6"/>
  <c r="AU142" i="6"/>
  <c r="AP134" i="6"/>
  <c r="BH154" i="6"/>
  <c r="BH153" i="6" s="1"/>
  <c r="BH152" i="6" s="1"/>
  <c r="AZ153" i="6"/>
  <c r="AZ152" i="6" s="1"/>
  <c r="BL158" i="6"/>
  <c r="BK158" i="6"/>
  <c r="AM153" i="6"/>
  <c r="BL160" i="6"/>
  <c r="BL161" i="6"/>
  <c r="BK161" i="6"/>
  <c r="AU153" i="6"/>
  <c r="BF154" i="6"/>
  <c r="BF153" i="6" s="1"/>
  <c r="BC154" i="6"/>
  <c r="AX153" i="6"/>
  <c r="AX152" i="6" s="1"/>
  <c r="BK164" i="6"/>
  <c r="BL164" i="6"/>
  <c r="BL165" i="6"/>
  <c r="BK165" i="6"/>
  <c r="BG162" i="6"/>
  <c r="BG153" i="6" s="1"/>
  <c r="BC162" i="6"/>
  <c r="BK162" i="6" s="1"/>
  <c r="BL168" i="6"/>
  <c r="BK168" i="6"/>
  <c r="BK175" i="6"/>
  <c r="BL175" i="6"/>
  <c r="AU179" i="6"/>
  <c r="AP152" i="6"/>
  <c r="BC179" i="6"/>
  <c r="AV152" i="6"/>
  <c r="BK181" i="6"/>
  <c r="BL181" i="6"/>
  <c r="BL183" i="6"/>
  <c r="BK183" i="6"/>
  <c r="BK184" i="6"/>
  <c r="BL184" i="6"/>
  <c r="BL185" i="6"/>
  <c r="BK185" i="6"/>
  <c r="BK187" i="6"/>
  <c r="BL187" i="6"/>
  <c r="BI191" i="6"/>
  <c r="AD152" i="6"/>
  <c r="AF191" i="6"/>
  <c r="BK192" i="6"/>
  <c r="BL195" i="6"/>
  <c r="AM191" i="6"/>
  <c r="BK195" i="6"/>
  <c r="AU191" i="6"/>
  <c r="AU152" i="6" s="1"/>
  <c r="BK197" i="6"/>
  <c r="BL197" i="6"/>
  <c r="AF199" i="6"/>
  <c r="BL200" i="6"/>
  <c r="BK200" i="6"/>
  <c r="BK201" i="6"/>
  <c r="BL201" i="6"/>
  <c r="AM199" i="6"/>
  <c r="BL202" i="6"/>
  <c r="BK202" i="6"/>
  <c r="AU199" i="6"/>
  <c r="BK203" i="6"/>
  <c r="BC199" i="6"/>
  <c r="BL204" i="6"/>
  <c r="BK204" i="6"/>
  <c r="BL206" i="6"/>
  <c r="BK206" i="6"/>
  <c r="AU210" i="6"/>
  <c r="BK212" i="6"/>
  <c r="BK213" i="6"/>
  <c r="BL213" i="6"/>
  <c r="AF210" i="6"/>
  <c r="BL214" i="6"/>
  <c r="BK214" i="6"/>
  <c r="BK215" i="6"/>
  <c r="BL215" i="6"/>
  <c r="BL216" i="6"/>
  <c r="BK216" i="6"/>
  <c r="BL217" i="6"/>
  <c r="BK217" i="6"/>
  <c r="AU219" i="6"/>
  <c r="BL220" i="6"/>
  <c r="BK220" i="6"/>
  <c r="BK221" i="6"/>
  <c r="BC219" i="6"/>
  <c r="BL222" i="6"/>
  <c r="BK222" i="6"/>
  <c r="BK224" i="6"/>
  <c r="BL224" i="6"/>
  <c r="BK227" i="6"/>
  <c r="AU225" i="6"/>
  <c r="BL227" i="6"/>
  <c r="AM225" i="6"/>
  <c r="BL228" i="6"/>
  <c r="BK228" i="6"/>
  <c r="BK230" i="6"/>
  <c r="BL230" i="6"/>
  <c r="BL231" i="6"/>
  <c r="BK231" i="6"/>
  <c r="BL234" i="6"/>
  <c r="AU233" i="6"/>
  <c r="BK234" i="6"/>
  <c r="BL235" i="6"/>
  <c r="BC233" i="6"/>
  <c r="BK235" i="6"/>
  <c r="BL236" i="6"/>
  <c r="AF233" i="6"/>
  <c r="BK236" i="6"/>
  <c r="BL238" i="6"/>
  <c r="BK238" i="6"/>
  <c r="BK239" i="6"/>
  <c r="BL239" i="6"/>
  <c r="BK242" i="6"/>
  <c r="AF241" i="6"/>
  <c r="BL243" i="6"/>
  <c r="AU241" i="6"/>
  <c r="BL244" i="6"/>
  <c r="AM241" i="6"/>
  <c r="BL245" i="6"/>
  <c r="BK245" i="6"/>
  <c r="BL247" i="6"/>
  <c r="BK247" i="6"/>
  <c r="BL250" i="6"/>
  <c r="BK250" i="6"/>
  <c r="BK248" i="6"/>
  <c r="BK244" i="6"/>
  <c r="BK241" i="6" s="1"/>
  <c r="BC241" i="6"/>
  <c r="BK251" i="6"/>
  <c r="BL251" i="6"/>
  <c r="BL253" i="6"/>
  <c r="BK253" i="6"/>
  <c r="BK254" i="6"/>
  <c r="BL254" i="6"/>
  <c r="BL256" i="6"/>
  <c r="BK256" i="6"/>
  <c r="BD261" i="6"/>
  <c r="Y260" i="6"/>
  <c r="AF261" i="6"/>
  <c r="BL261" i="6" s="1"/>
  <c r="AH260" i="6"/>
  <c r="AM261" i="6"/>
  <c r="BE261" i="6"/>
  <c r="AW260" i="6"/>
  <c r="BC261" i="6"/>
  <c r="BL263" i="6"/>
  <c r="BK263" i="6"/>
  <c r="BL264" i="6"/>
  <c r="BK264" i="6"/>
  <c r="BK268" i="6"/>
  <c r="BL268" i="6"/>
  <c r="BK270" i="6"/>
  <c r="BL270" i="6"/>
  <c r="BL271" i="6"/>
  <c r="BK271" i="6"/>
  <c r="AM273" i="6"/>
  <c r="BL273" i="6" s="1"/>
  <c r="BE273" i="6"/>
  <c r="AU273" i="6"/>
  <c r="BD273" i="6"/>
  <c r="AN260" i="6"/>
  <c r="BF273" i="6"/>
  <c r="BC273" i="6"/>
  <c r="BK276" i="6"/>
  <c r="BL276" i="6"/>
  <c r="BL277" i="6"/>
  <c r="BK277" i="6"/>
  <c r="BL279" i="6"/>
  <c r="BK279" i="6"/>
  <c r="BL281" i="6"/>
  <c r="BK281" i="6"/>
  <c r="BK283" i="6"/>
  <c r="BL283" i="6"/>
  <c r="BL284" i="6"/>
  <c r="BK284" i="6"/>
  <c r="BL293" i="6"/>
  <c r="BK293" i="6"/>
  <c r="BL295" i="6"/>
  <c r="BK295" i="6"/>
  <c r="BK296" i="6"/>
  <c r="BL296" i="6"/>
  <c r="BL297" i="6"/>
  <c r="BK297" i="6"/>
  <c r="BK300" i="6"/>
  <c r="BL300" i="6"/>
  <c r="BL302" i="6"/>
  <c r="BK302" i="6"/>
  <c r="BL303" i="6"/>
  <c r="BK303" i="6"/>
  <c r="BK306" i="6"/>
  <c r="BL306" i="6"/>
  <c r="BL307" i="6"/>
  <c r="BK307" i="6"/>
  <c r="BL308" i="6"/>
  <c r="BK308" i="6"/>
  <c r="BK313" i="6"/>
  <c r="BL313" i="6"/>
  <c r="BK318" i="6"/>
  <c r="BL318" i="6"/>
  <c r="BK319" i="6"/>
  <c r="BL319" i="6"/>
  <c r="BL321" i="6"/>
  <c r="BK321" i="6"/>
  <c r="BK323" i="6"/>
  <c r="BL323" i="6"/>
  <c r="BK325" i="6"/>
  <c r="BL325" i="6"/>
  <c r="AP326" i="6"/>
  <c r="AU327" i="6"/>
  <c r="AU353" i="6"/>
  <c r="BE353" i="6"/>
  <c r="AO349" i="6"/>
  <c r="BH353" i="6"/>
  <c r="AZ349" i="6"/>
  <c r="AM356" i="6"/>
  <c r="AN356" i="6"/>
  <c r="BD357" i="6"/>
  <c r="AU357" i="6"/>
  <c r="AX356" i="6"/>
  <c r="BF357" i="6"/>
  <c r="BL358" i="6"/>
  <c r="BK358" i="6"/>
  <c r="BK361" i="6"/>
  <c r="BL361" i="6"/>
  <c r="BL363" i="6"/>
  <c r="BK363" i="6"/>
  <c r="BK364" i="6"/>
  <c r="BL364" i="6"/>
  <c r="AA394" i="6"/>
  <c r="BF395" i="6"/>
  <c r="AJ394" i="6"/>
  <c r="AM395" i="6"/>
  <c r="BG395" i="6"/>
  <c r="AK394" i="6"/>
  <c r="BH394" i="6" s="1"/>
  <c r="BH395" i="6"/>
  <c r="AS439" i="6"/>
  <c r="BI440" i="6"/>
  <c r="AN439" i="6"/>
  <c r="BD440" i="6"/>
  <c r="AU440" i="6"/>
  <c r="BL458" i="6"/>
  <c r="BK458" i="6"/>
  <c r="AO286" i="6"/>
  <c r="AU291" i="6"/>
  <c r="BG291" i="6"/>
  <c r="AY286" i="6"/>
  <c r="BG286" i="6" s="1"/>
  <c r="BL143" i="6"/>
  <c r="BL98" i="6"/>
  <c r="BL91" i="6"/>
  <c r="BC23" i="6"/>
  <c r="BI357" i="6"/>
  <c r="AF357" i="6"/>
  <c r="AQ260" i="6"/>
  <c r="BK237" i="6"/>
  <c r="BK223" i="6"/>
  <c r="BK196" i="6"/>
  <c r="BK176" i="6"/>
  <c r="BK243" i="6"/>
  <c r="BL237" i="6"/>
  <c r="BL242" i="6"/>
  <c r="BC166" i="6"/>
  <c r="BK166" i="6" s="1"/>
  <c r="BL96" i="6"/>
  <c r="BL229" i="6"/>
  <c r="AX147" i="6"/>
  <c r="AU147" i="6"/>
  <c r="AP144" i="6"/>
  <c r="AU144" i="6" s="1"/>
  <c r="AN6" i="6"/>
  <c r="BD7" i="6"/>
  <c r="AD6" i="6"/>
  <c r="BI7" i="6"/>
  <c r="BD23" i="6"/>
  <c r="AG6" i="6"/>
  <c r="AX142" i="6"/>
  <c r="BC142" i="6" s="1"/>
  <c r="BK142" i="6" s="1"/>
  <c r="AF219" i="6"/>
  <c r="BK177" i="6"/>
  <c r="BK182" i="6"/>
  <c r="BJ119" i="6"/>
  <c r="BK211" i="6"/>
  <c r="BB49" i="6"/>
  <c r="BL221" i="6"/>
  <c r="BL265" i="6"/>
  <c r="AM210" i="6"/>
  <c r="BJ261" i="6"/>
  <c r="BK193" i="6"/>
  <c r="BK266" i="6"/>
  <c r="AA367" i="6"/>
  <c r="AF368" i="6"/>
  <c r="BF368" i="6"/>
  <c r="BF367" i="6" s="1"/>
  <c r="AO47" i="6"/>
  <c r="AM47" i="6"/>
  <c r="AJ49" i="6"/>
  <c r="AM50" i="6"/>
  <c r="BI367" i="6"/>
  <c r="BA152" i="6"/>
  <c r="AJ259" i="6"/>
  <c r="BB84" i="6"/>
  <c r="BJ84" i="6" s="1"/>
  <c r="AW84" i="6"/>
  <c r="BE85" i="6"/>
  <c r="BE119" i="6"/>
  <c r="BE350" i="6"/>
  <c r="AQ356" i="6"/>
  <c r="BG357" i="6"/>
  <c r="BK422" i="6"/>
  <c r="BH424" i="6"/>
  <c r="BK436" i="6"/>
  <c r="AQ438" i="6"/>
  <c r="BD482" i="6"/>
  <c r="AV473" i="6"/>
  <c r="BJ291" i="6"/>
  <c r="BL379" i="6"/>
  <c r="BE7" i="6"/>
  <c r="BL14" i="6"/>
  <c r="AA49" i="6"/>
  <c r="BF50" i="6"/>
  <c r="BL90" i="6"/>
  <c r="BC97" i="6"/>
  <c r="BD97" i="6"/>
  <c r="BG134" i="6"/>
  <c r="BG118" i="6" s="1"/>
  <c r="BL170" i="6"/>
  <c r="BL174" i="6"/>
  <c r="AF179" i="6"/>
  <c r="BL186" i="6"/>
  <c r="AB152" i="6"/>
  <c r="AT152" i="6"/>
  <c r="BJ199" i="6"/>
  <c r="BK208" i="6"/>
  <c r="BF210" i="6"/>
  <c r="BG210" i="6"/>
  <c r="BF225" i="6"/>
  <c r="BJ225" i="6"/>
  <c r="BI233" i="6"/>
  <c r="BI241" i="6"/>
  <c r="BL257" i="6"/>
  <c r="AA260" i="6"/>
  <c r="BF261" i="6"/>
  <c r="BL269" i="6"/>
  <c r="BL278" i="6"/>
  <c r="BK285" i="6"/>
  <c r="BK315" i="6"/>
  <c r="BK320" i="6"/>
  <c r="BL324" i="6"/>
  <c r="BH327" i="6"/>
  <c r="BH326" i="6" s="1"/>
  <c r="AR326" i="6"/>
  <c r="AV326" i="6"/>
  <c r="BC327" i="6"/>
  <c r="BC326" i="6" s="1"/>
  <c r="AR349" i="6"/>
  <c r="BH350" i="6"/>
  <c r="BF353" i="6"/>
  <c r="AP355" i="6"/>
  <c r="AO367" i="6"/>
  <c r="BE368" i="6"/>
  <c r="BE367" i="6" s="1"/>
  <c r="AM440" i="6"/>
  <c r="AG439" i="6"/>
  <c r="BK442" i="6"/>
  <c r="BK450" i="6"/>
  <c r="AE473" i="6"/>
  <c r="AC84" i="6"/>
  <c r="AB118" i="6"/>
  <c r="AG152" i="6"/>
  <c r="AM350" i="6"/>
  <c r="BH357" i="6"/>
  <c r="AZ356" i="6"/>
  <c r="BL370" i="6"/>
  <c r="BL381" i="6"/>
  <c r="BK391" i="6"/>
  <c r="BK403" i="6"/>
  <c r="BK406" i="6"/>
  <c r="BK410" i="6"/>
  <c r="BK413" i="6"/>
  <c r="BG424" i="6"/>
  <c r="BK431" i="6"/>
  <c r="BF482" i="6"/>
  <c r="AI52" i="19"/>
  <c r="E7" i="22"/>
  <c r="BX436" i="16"/>
  <c r="AA436" i="16"/>
  <c r="CB436" i="16" s="1"/>
  <c r="CG436" i="16" s="1"/>
  <c r="E10" i="22"/>
  <c r="F18" i="22"/>
  <c r="E20" i="22"/>
  <c r="I8" i="22"/>
  <c r="I15" i="22"/>
  <c r="E3" i="22"/>
  <c r="J18" i="22"/>
  <c r="H16" i="22"/>
  <c r="H13" i="22"/>
  <c r="J17" i="22"/>
  <c r="I11" i="22"/>
  <c r="G10" i="22"/>
  <c r="I19" i="22"/>
  <c r="G8" i="22"/>
  <c r="G14" i="22"/>
  <c r="E15" i="22"/>
  <c r="F10" i="22"/>
  <c r="F3" i="22"/>
  <c r="I17" i="22"/>
  <c r="G6" i="22"/>
  <c r="F14" i="22"/>
  <c r="E8" i="22"/>
  <c r="F8" i="22"/>
  <c r="F15" i="22"/>
  <c r="J3" i="22"/>
  <c r="F20" i="22"/>
  <c r="I13" i="22"/>
  <c r="J13" i="22"/>
  <c r="E13" i="22"/>
  <c r="O13" i="22" s="1"/>
  <c r="J8" i="22"/>
  <c r="H8" i="22"/>
  <c r="H3" i="22"/>
  <c r="E18" i="22"/>
  <c r="F6" i="22"/>
  <c r="E6" i="22"/>
  <c r="H11" i="22"/>
  <c r="H17" i="22"/>
  <c r="BA52" i="19"/>
  <c r="H9" i="22"/>
  <c r="J6" i="22"/>
  <c r="G13" i="22"/>
  <c r="F13" i="22"/>
  <c r="G9" i="22"/>
  <c r="N9" i="22" s="1"/>
  <c r="F9" i="22"/>
  <c r="AZ52" i="19"/>
  <c r="E9" i="22"/>
  <c r="J9" i="22"/>
  <c r="J15" i="22"/>
  <c r="H15" i="22"/>
  <c r="D15" i="22" s="1"/>
  <c r="I3" i="22"/>
  <c r="I10" i="22"/>
  <c r="G18" i="22"/>
  <c r="G20" i="22"/>
  <c r="J20" i="22"/>
  <c r="F12" i="22"/>
  <c r="J10" i="22"/>
  <c r="H6" i="22"/>
  <c r="G7" i="22"/>
  <c r="J11" i="22"/>
  <c r="E17" i="22"/>
  <c r="I6" i="22"/>
  <c r="E11" i="22"/>
  <c r="F19" i="22"/>
  <c r="G17" i="22"/>
  <c r="M14" i="19"/>
  <c r="H19" i="22"/>
  <c r="I7" i="22"/>
  <c r="E19" i="22"/>
  <c r="J19" i="22"/>
  <c r="G15" i="22"/>
  <c r="F16" i="22"/>
  <c r="G3" i="22"/>
  <c r="H10" i="22"/>
  <c r="H20" i="22"/>
  <c r="H7" i="22"/>
  <c r="E12" i="22"/>
  <c r="I20" i="22"/>
  <c r="F17" i="22"/>
  <c r="G12" i="22"/>
  <c r="I12" i="22"/>
  <c r="I18" i="22"/>
  <c r="G19" i="22"/>
  <c r="BX11" i="16"/>
  <c r="AA11" i="16"/>
  <c r="CB11" i="16" s="1"/>
  <c r="CG11" i="16" s="1"/>
  <c r="BX75" i="16"/>
  <c r="AA75" i="16"/>
  <c r="CB75" i="16" s="1"/>
  <c r="CG75" i="16" s="1"/>
  <c r="BX79" i="16"/>
  <c r="AA79" i="16"/>
  <c r="CB79" i="16" s="1"/>
  <c r="CG79" i="16" s="1"/>
  <c r="BX83" i="16"/>
  <c r="AA83" i="16"/>
  <c r="CB83" i="16" s="1"/>
  <c r="CG83" i="16" s="1"/>
  <c r="BX90" i="16"/>
  <c r="AA90" i="16"/>
  <c r="CB90" i="16" s="1"/>
  <c r="CG90" i="16" s="1"/>
  <c r="BX94" i="16"/>
  <c r="AA94" i="16"/>
  <c r="CB94" i="16" s="1"/>
  <c r="CG94" i="16" s="1"/>
  <c r="BX371" i="16"/>
  <c r="AA371" i="16"/>
  <c r="CB371" i="16" s="1"/>
  <c r="CG371" i="16" s="1"/>
  <c r="BX375" i="16"/>
  <c r="AA375" i="16"/>
  <c r="CB375" i="16" s="1"/>
  <c r="CG375" i="16" s="1"/>
  <c r="BX379" i="16"/>
  <c r="AA379" i="16"/>
  <c r="CB379" i="16" s="1"/>
  <c r="CG379" i="16" s="1"/>
  <c r="BX389" i="16"/>
  <c r="AA389" i="16"/>
  <c r="CB389" i="16" s="1"/>
  <c r="CG389" i="16" s="1"/>
  <c r="AL52" i="19"/>
  <c r="H14" i="22"/>
  <c r="BX20" i="16"/>
  <c r="AA20" i="16"/>
  <c r="CB20" i="16" s="1"/>
  <c r="CG20" i="16" s="1"/>
  <c r="BX70" i="16"/>
  <c r="AA70" i="16"/>
  <c r="CB70" i="16" s="1"/>
  <c r="CG70" i="16" s="1"/>
  <c r="BX80" i="16"/>
  <c r="AA80" i="16"/>
  <c r="CB80" i="16" s="1"/>
  <c r="CG80" i="16" s="1"/>
  <c r="BX172" i="16"/>
  <c r="AA172" i="16"/>
  <c r="CB172" i="16" s="1"/>
  <c r="CG172" i="16" s="1"/>
  <c r="BX372" i="16"/>
  <c r="AA372" i="16"/>
  <c r="CB372" i="16" s="1"/>
  <c r="CG372" i="16" s="1"/>
  <c r="BX376" i="16"/>
  <c r="AA376" i="16"/>
  <c r="CB376" i="16" s="1"/>
  <c r="CG376" i="16" s="1"/>
  <c r="BX390" i="16"/>
  <c r="AA390" i="16"/>
  <c r="CB390" i="16" s="1"/>
  <c r="CG390" i="16" s="1"/>
  <c r="BX86" i="16"/>
  <c r="AA86" i="16"/>
  <c r="CB86" i="16" s="1"/>
  <c r="CG86" i="16" s="1"/>
  <c r="H18" i="22"/>
  <c r="G11" i="22"/>
  <c r="I14" i="22"/>
  <c r="AG52" i="19"/>
  <c r="BX10" i="16"/>
  <c r="AA10" i="16"/>
  <c r="CB10" i="16" s="1"/>
  <c r="CG10" i="16" s="1"/>
  <c r="BX12" i="16"/>
  <c r="BX81" i="16"/>
  <c r="AA81" i="16"/>
  <c r="CB81" i="16" s="1"/>
  <c r="CG81" i="16" s="1"/>
  <c r="BX98" i="16"/>
  <c r="AA98" i="16"/>
  <c r="CB98" i="16" s="1"/>
  <c r="CG98" i="16" s="1"/>
  <c r="BX102" i="16"/>
  <c r="AA102" i="16"/>
  <c r="CB102" i="16" s="1"/>
  <c r="CG102" i="16" s="1"/>
  <c r="BX115" i="16"/>
  <c r="AA115" i="16"/>
  <c r="CB115" i="16" s="1"/>
  <c r="CG115" i="16" s="1"/>
  <c r="BX343" i="16"/>
  <c r="AA343" i="16"/>
  <c r="CB343" i="16" s="1"/>
  <c r="CG343" i="16" s="1"/>
  <c r="AF22" i="19"/>
  <c r="E14" i="22"/>
  <c r="J14" i="22"/>
  <c r="BX71" i="16"/>
  <c r="AA71" i="16"/>
  <c r="CB71" i="16" s="1"/>
  <c r="CG71" i="16" s="1"/>
  <c r="BX78" i="16"/>
  <c r="AA78" i="16"/>
  <c r="CB78" i="16" s="1"/>
  <c r="CG78" i="16" s="1"/>
  <c r="BX82" i="16"/>
  <c r="AA82" i="16"/>
  <c r="CB82" i="16" s="1"/>
  <c r="CG82" i="16" s="1"/>
  <c r="BX344" i="16"/>
  <c r="AA344" i="16"/>
  <c r="CB344" i="16" s="1"/>
  <c r="CG344" i="16" s="1"/>
  <c r="CB87" i="16"/>
  <c r="CG87" i="16" s="1"/>
  <c r="BW351" i="16"/>
  <c r="BX351" i="16" s="1"/>
  <c r="I16" i="19"/>
  <c r="F11" i="22"/>
  <c r="J16" i="22"/>
  <c r="G16" i="22"/>
  <c r="E16" i="22"/>
  <c r="I16" i="22"/>
  <c r="G4" i="22"/>
  <c r="J4" i="22"/>
  <c r="E4" i="22"/>
  <c r="I4" i="22"/>
  <c r="F4" i="22"/>
  <c r="H4" i="22"/>
  <c r="H12" i="22"/>
  <c r="J12" i="22"/>
  <c r="O20" i="19"/>
  <c r="J20" i="19"/>
  <c r="N13" i="19"/>
  <c r="H9" i="19"/>
  <c r="J21" i="19"/>
  <c r="M17" i="22"/>
  <c r="AM17" i="19"/>
  <c r="AJ20" i="19"/>
  <c r="AM60" i="19"/>
  <c r="K17" i="19"/>
  <c r="K15" i="19"/>
  <c r="AF57" i="19"/>
  <c r="AY58" i="19"/>
  <c r="AG60" i="19"/>
  <c r="AL57" i="19"/>
  <c r="AS59" i="19"/>
  <c r="AL20" i="19"/>
  <c r="AF15" i="19"/>
  <c r="AW16" i="19"/>
  <c r="AL56" i="19"/>
  <c r="AV17" i="19"/>
  <c r="O53" i="19"/>
  <c r="I21" i="19"/>
  <c r="K13" i="19"/>
  <c r="AK16" i="19"/>
  <c r="AI16" i="19"/>
  <c r="AL11" i="19"/>
  <c r="AH11" i="19"/>
  <c r="AD20" i="19"/>
  <c r="AS20" i="19"/>
  <c r="AX20" i="19"/>
  <c r="AT17" i="19"/>
  <c r="AY17" i="19"/>
  <c r="BA55" i="19"/>
  <c r="AZ55" i="19"/>
  <c r="AX60" i="19"/>
  <c r="BA24" i="19"/>
  <c r="AY60" i="19"/>
  <c r="AR60" i="19" s="1"/>
  <c r="AS24" i="19"/>
  <c r="AS61" i="19"/>
  <c r="AW61" i="19"/>
  <c r="AY12" i="19"/>
  <c r="AU12" i="19"/>
  <c r="AT15" i="19"/>
  <c r="AU15" i="19"/>
  <c r="BA20" i="19"/>
  <c r="AZ20" i="19"/>
  <c r="M53" i="19"/>
  <c r="N59" i="19"/>
  <c r="O55" i="19"/>
  <c r="I9" i="19"/>
  <c r="H59" i="19"/>
  <c r="K21" i="19"/>
  <c r="F53" i="19"/>
  <c r="J53" i="19"/>
  <c r="O60" i="19"/>
  <c r="M59" i="19"/>
  <c r="K16" i="19"/>
  <c r="J9" i="19"/>
  <c r="K59" i="19"/>
  <c r="H21" i="19"/>
  <c r="I53" i="19"/>
  <c r="K53" i="19"/>
  <c r="N55" i="19"/>
  <c r="F9" i="19"/>
  <c r="G9" i="19"/>
  <c r="G59" i="19"/>
  <c r="AV52" i="19"/>
  <c r="L6" i="22"/>
  <c r="BL219" i="6"/>
  <c r="BK121" i="6"/>
  <c r="AP438" i="6"/>
  <c r="BF439" i="6"/>
  <c r="BC439" i="6"/>
  <c r="BE49" i="6"/>
  <c r="AY438" i="6"/>
  <c r="BK474" i="6"/>
  <c r="AB5" i="6"/>
  <c r="BL357" i="6"/>
  <c r="BL162" i="6"/>
  <c r="BL113" i="6"/>
  <c r="BL474" i="6"/>
  <c r="AT286" i="6"/>
  <c r="BJ286" i="6" s="1"/>
  <c r="BC350" i="6"/>
  <c r="AX438" i="6"/>
  <c r="AU407" i="6"/>
  <c r="AM84" i="6"/>
  <c r="AF407" i="6"/>
  <c r="AQ49" i="6"/>
  <c r="AQ5" i="6" s="1"/>
  <c r="AU50" i="6"/>
  <c r="AU49" i="6" s="1"/>
  <c r="BL440" i="6"/>
  <c r="BL225" i="6"/>
  <c r="BL167" i="6"/>
  <c r="AV49" i="6"/>
  <c r="BD49" i="6" s="1"/>
  <c r="BD50" i="6"/>
  <c r="AF49" i="6"/>
  <c r="BI349" i="6"/>
  <c r="BK210" i="6"/>
  <c r="AK13" i="15"/>
  <c r="AJ15" i="15"/>
  <c r="AK14" i="15"/>
  <c r="BH356" i="6"/>
  <c r="AZ355" i="6"/>
  <c r="AF367" i="6"/>
  <c r="BF147" i="6"/>
  <c r="BC147" i="6"/>
  <c r="BK147" i="6" s="1"/>
  <c r="BG394" i="6"/>
  <c r="AM394" i="6"/>
  <c r="AJ355" i="6"/>
  <c r="AU356" i="6"/>
  <c r="BD356" i="6"/>
  <c r="AU326" i="6"/>
  <c r="BL327" i="6"/>
  <c r="BK261" i="6"/>
  <c r="BL233" i="6"/>
  <c r="BK219" i="6"/>
  <c r="AG438" i="6"/>
  <c r="BK327" i="6"/>
  <c r="BK326" i="6" s="1"/>
  <c r="BF49" i="6"/>
  <c r="BG356" i="6"/>
  <c r="AN438" i="6"/>
  <c r="BD439" i="6"/>
  <c r="BF356" i="6"/>
  <c r="BC356" i="6"/>
  <c r="AO259" i="6"/>
  <c r="AN259" i="6"/>
  <c r="BE260" i="6"/>
  <c r="BK233" i="6"/>
  <c r="BK191" i="6"/>
  <c r="BL166" i="6"/>
  <c r="AE438" i="6"/>
  <c r="Y259" i="6"/>
  <c r="AV438" i="6"/>
  <c r="BD473" i="6"/>
  <c r="AW47" i="6"/>
  <c r="BE47" i="6" s="1"/>
  <c r="AU47" i="6"/>
  <c r="BF394" i="6"/>
  <c r="AF394" i="6"/>
  <c r="BK357" i="6"/>
  <c r="BK273" i="6"/>
  <c r="BL199" i="6"/>
  <c r="BL191" i="6"/>
  <c r="BK179" i="6"/>
  <c r="AM152" i="6"/>
  <c r="BF84" i="6"/>
  <c r="BB259" i="6"/>
  <c r="AR259" i="6"/>
  <c r="AX134" i="6"/>
  <c r="BF134" i="6" s="1"/>
  <c r="BF142" i="6"/>
  <c r="BK440" i="6"/>
  <c r="BI439" i="6"/>
  <c r="BL210" i="6"/>
  <c r="BI152" i="6"/>
  <c r="BK154" i="6"/>
  <c r="BL154" i="6"/>
  <c r="BC153" i="6"/>
  <c r="BC152" i="6" s="1"/>
  <c r="AU134" i="6"/>
  <c r="N19" i="22"/>
  <c r="O19" i="22"/>
  <c r="M7" i="22"/>
  <c r="AX52" i="19"/>
  <c r="AX22" i="19"/>
  <c r="AV22" i="19"/>
  <c r="AS52" i="19"/>
  <c r="L52" i="19"/>
  <c r="BB52" i="19"/>
  <c r="AM9" i="19"/>
  <c r="H52" i="19"/>
  <c r="N52" i="19"/>
  <c r="O52" i="19"/>
  <c r="M52" i="19"/>
  <c r="J52" i="19"/>
  <c r="D14" i="22"/>
  <c r="AD62" i="19"/>
  <c r="AH9" i="19"/>
  <c r="AJ9" i="19"/>
  <c r="AL62" i="19"/>
  <c r="AE9" i="19"/>
  <c r="L4" i="22"/>
  <c r="AI9" i="19"/>
  <c r="BC134" i="6"/>
  <c r="AE62" i="19"/>
  <c r="AH62" i="19"/>
  <c r="AF62" i="19"/>
  <c r="AM62" i="19"/>
  <c r="AK62" i="19"/>
  <c r="BX86" i="20" l="1"/>
  <c r="BX387" i="20"/>
  <c r="AU368" i="6"/>
  <c r="BK369" i="6"/>
  <c r="BL369" i="6"/>
  <c r="AA291" i="6"/>
  <c r="AA259" i="6" s="1"/>
  <c r="AF292" i="6"/>
  <c r="BL292" i="6" s="1"/>
  <c r="AK291" i="6"/>
  <c r="AM292" i="6"/>
  <c r="BF292" i="6"/>
  <c r="AW291" i="6"/>
  <c r="BC292" i="6"/>
  <c r="BL241" i="6"/>
  <c r="AP118" i="6"/>
  <c r="BJ7" i="6"/>
  <c r="AF7" i="6"/>
  <c r="BL23" i="6"/>
  <c r="AO6" i="6"/>
  <c r="BE42" i="6"/>
  <c r="AA5" i="6"/>
  <c r="BL76" i="6"/>
  <c r="AM74" i="6"/>
  <c r="AM107" i="6"/>
  <c r="AD106" i="6"/>
  <c r="BI107" i="6"/>
  <c r="BJ113" i="6"/>
  <c r="BE107" i="6"/>
  <c r="AO106" i="6"/>
  <c r="AU97" i="6"/>
  <c r="AN84" i="6"/>
  <c r="BH134" i="6"/>
  <c r="AE367" i="6"/>
  <c r="AE355" i="6" s="1"/>
  <c r="BJ368" i="6"/>
  <c r="BJ367" i="6" s="1"/>
  <c r="BL430" i="6"/>
  <c r="BK468" i="6"/>
  <c r="BL179" i="6"/>
  <c r="AF152" i="6"/>
  <c r="AQ349" i="6"/>
  <c r="AQ259" i="6" s="1"/>
  <c r="BG350" i="6"/>
  <c r="AG259" i="6"/>
  <c r="BE424" i="6"/>
  <c r="AO439" i="6"/>
  <c r="BE440" i="6"/>
  <c r="BK448" i="6"/>
  <c r="BL448" i="6"/>
  <c r="BL485" i="6"/>
  <c r="BK485" i="6"/>
  <c r="BL53" i="6"/>
  <c r="BI327" i="6"/>
  <c r="AD326" i="6"/>
  <c r="BA394" i="6"/>
  <c r="BC394" i="6" s="1"/>
  <c r="BI395" i="6"/>
  <c r="BF408" i="6"/>
  <c r="AA407" i="6"/>
  <c r="AA355" i="6" s="1"/>
  <c r="D9" i="21"/>
  <c r="BJ439" i="6"/>
  <c r="BB153" i="6"/>
  <c r="BB152" i="6" s="1"/>
  <c r="BB5" i="6" s="1"/>
  <c r="AI152" i="6"/>
  <c r="AI106" i="6"/>
  <c r="AI5" i="6" s="1"/>
  <c r="AG19" i="15"/>
  <c r="AQ60" i="21"/>
  <c r="BL20" i="6"/>
  <c r="BH23" i="6"/>
  <c r="BL34" i="6"/>
  <c r="BK36" i="6"/>
  <c r="BK39" i="6"/>
  <c r="BJ42" i="6"/>
  <c r="BL44" i="6"/>
  <c r="BK55" i="6"/>
  <c r="BL58" i="6"/>
  <c r="BH74" i="6"/>
  <c r="BF74" i="6"/>
  <c r="BK77" i="6"/>
  <c r="BL94" i="6"/>
  <c r="BH113" i="6"/>
  <c r="AY106" i="6"/>
  <c r="BG106" i="6" s="1"/>
  <c r="BF113" i="6"/>
  <c r="AR106" i="6"/>
  <c r="BJ134" i="6"/>
  <c r="AJ118" i="6"/>
  <c r="AO118" i="6"/>
  <c r="BD153" i="6"/>
  <c r="BD152" i="6" s="1"/>
  <c r="AL260" i="6"/>
  <c r="BJ260" i="6" s="1"/>
  <c r="BI273" i="6"/>
  <c r="AP260" i="6"/>
  <c r="BD350" i="6"/>
  <c r="Z355" i="6"/>
  <c r="BL362" i="6"/>
  <c r="BK421" i="6"/>
  <c r="BK46" i="6"/>
  <c r="BK388" i="6"/>
  <c r="BC395" i="6"/>
  <c r="AF395" i="6"/>
  <c r="BL404" i="6"/>
  <c r="BL406" i="6"/>
  <c r="AR407" i="6"/>
  <c r="AR355" i="6" s="1"/>
  <c r="AD407" i="6"/>
  <c r="AD355" i="6" s="1"/>
  <c r="BB407" i="6"/>
  <c r="BL409" i="6"/>
  <c r="BK420" i="6"/>
  <c r="BL422" i="6"/>
  <c r="AX407" i="6"/>
  <c r="BF407" i="6" s="1"/>
  <c r="AQ407" i="6"/>
  <c r="AQ355" i="6" s="1"/>
  <c r="AK355" i="6"/>
  <c r="BJ424" i="6"/>
  <c r="BL431" i="6"/>
  <c r="BL435" i="6"/>
  <c r="BL436" i="6"/>
  <c r="BG474" i="6"/>
  <c r="BL330" i="6"/>
  <c r="BK469" i="6"/>
  <c r="AQ18" i="21"/>
  <c r="D24" i="21"/>
  <c r="BI47" i="6"/>
  <c r="BC47" i="6"/>
  <c r="BK47" i="6" s="1"/>
  <c r="BK23" i="6"/>
  <c r="BK85" i="6"/>
  <c r="BL85" i="6"/>
  <c r="BF124" i="6"/>
  <c r="BC124" i="6"/>
  <c r="BL124" i="6" s="1"/>
  <c r="BL395" i="6"/>
  <c r="AS355" i="6"/>
  <c r="BI407" i="6"/>
  <c r="AM439" i="6"/>
  <c r="BG439" i="6"/>
  <c r="AJ438" i="6"/>
  <c r="BG438" i="6" s="1"/>
  <c r="AO355" i="6"/>
  <c r="AH15" i="15"/>
  <c r="BK76" i="6"/>
  <c r="BD368" i="6"/>
  <c r="BD367" i="6" s="1"/>
  <c r="BD85" i="6"/>
  <c r="BI50" i="6"/>
  <c r="BJ352" i="6"/>
  <c r="BG113" i="6"/>
  <c r="BJ440" i="6"/>
  <c r="BJ357" i="6"/>
  <c r="BI408" i="6"/>
  <c r="BL373" i="6"/>
  <c r="BK376" i="6"/>
  <c r="BK415" i="6"/>
  <c r="BK429" i="6"/>
  <c r="BL445" i="6"/>
  <c r="BL462" i="6"/>
  <c r="BJ482" i="6"/>
  <c r="BK488" i="6"/>
  <c r="AF291" i="6"/>
  <c r="AO5" i="6"/>
  <c r="BH407" i="6"/>
  <c r="AJ6" i="6"/>
  <c r="AL6" i="6"/>
  <c r="BK66" i="6"/>
  <c r="BL109" i="6"/>
  <c r="AE106" i="6"/>
  <c r="AX129" i="6"/>
  <c r="AU129" i="6"/>
  <c r="AL118" i="6"/>
  <c r="BC151" i="6"/>
  <c r="BF151" i="6"/>
  <c r="BL310" i="6"/>
  <c r="BK374" i="6"/>
  <c r="BK331" i="6"/>
  <c r="BK329" i="6"/>
  <c r="BL372" i="6"/>
  <c r="BK153" i="6"/>
  <c r="BL153" i="6"/>
  <c r="AT355" i="6"/>
  <c r="AY259" i="6"/>
  <c r="BG349" i="6"/>
  <c r="AV106" i="6"/>
  <c r="AZ118" i="6"/>
  <c r="BH408" i="6"/>
  <c r="AL349" i="6"/>
  <c r="BC42" i="6"/>
  <c r="Z84" i="6"/>
  <c r="BJ97" i="6"/>
  <c r="BH97" i="6"/>
  <c r="AU126" i="6"/>
  <c r="AX126" i="6"/>
  <c r="AK260" i="6"/>
  <c r="AM260" i="6" s="1"/>
  <c r="BK373" i="6"/>
  <c r="BJ394" i="6"/>
  <c r="BL401" i="6"/>
  <c r="BC408" i="6"/>
  <c r="BK418" i="6"/>
  <c r="BL433" i="6"/>
  <c r="AZ438" i="6"/>
  <c r="BA473" i="6"/>
  <c r="BA438" i="6" s="1"/>
  <c r="BI474" i="6"/>
  <c r="BL483" i="6"/>
  <c r="AR6" i="6"/>
  <c r="BH7" i="6"/>
  <c r="BE23" i="6"/>
  <c r="BC125" i="6"/>
  <c r="BF125" i="6"/>
  <c r="AU149" i="6"/>
  <c r="AX149" i="6"/>
  <c r="BD424" i="6"/>
  <c r="BE408" i="6"/>
  <c r="AI355" i="6"/>
  <c r="AB355" i="6"/>
  <c r="AW106" i="6"/>
  <c r="BL112" i="6"/>
  <c r="AY407" i="6"/>
  <c r="AY355" i="6" s="1"/>
  <c r="BL417" i="6"/>
  <c r="BL420" i="6"/>
  <c r="BK461" i="6"/>
  <c r="Z473" i="6"/>
  <c r="AK473" i="6"/>
  <c r="AK438" i="6" s="1"/>
  <c r="BL390" i="6"/>
  <c r="BB10" i="21"/>
  <c r="AQ52" i="21"/>
  <c r="BH13" i="21"/>
  <c r="D19" i="21"/>
  <c r="AQ14" i="21"/>
  <c r="AQ56" i="21"/>
  <c r="AD10" i="21"/>
  <c r="D15" i="21"/>
  <c r="AH10" i="21"/>
  <c r="BB355" i="3"/>
  <c r="BC356" i="3"/>
  <c r="AY64" i="11"/>
  <c r="BH65" i="11"/>
  <c r="BH64" i="11" s="1"/>
  <c r="AK361" i="2"/>
  <c r="BH361" i="2" s="1"/>
  <c r="BH415" i="2"/>
  <c r="AE5" i="3"/>
  <c r="BI86" i="1"/>
  <c r="BA5" i="1"/>
  <c r="BA2" i="1" s="1"/>
  <c r="AN447" i="1"/>
  <c r="AD261" i="3"/>
  <c r="BI263" i="3"/>
  <c r="BF109" i="3"/>
  <c r="AF109" i="3"/>
  <c r="AP37" i="11"/>
  <c r="AY38" i="11"/>
  <c r="AV87" i="11"/>
  <c r="AS87" i="11"/>
  <c r="AS85" i="11" s="1"/>
  <c r="AO5" i="1"/>
  <c r="BL212" i="1"/>
  <c r="AG402" i="1"/>
  <c r="BE402" i="1"/>
  <c r="AL355" i="2"/>
  <c r="AM356" i="2"/>
  <c r="BF376" i="3"/>
  <c r="BF375" i="3" s="1"/>
  <c r="AA375" i="3"/>
  <c r="AA361" i="3" s="1"/>
  <c r="BC59" i="11"/>
  <c r="BC58" i="11" s="1"/>
  <c r="BC129" i="3"/>
  <c r="BF261" i="3"/>
  <c r="AY72" i="11"/>
  <c r="BH73" i="11"/>
  <c r="BH72" i="11" s="1"/>
  <c r="AT5" i="11"/>
  <c r="BC6" i="11"/>
  <c r="BC5" i="11" s="1"/>
  <c r="AW72" i="11"/>
  <c r="BF73" i="11"/>
  <c r="BF72" i="11" s="1"/>
  <c r="AV5" i="11"/>
  <c r="BE6" i="11"/>
  <c r="BE5" i="11" s="1"/>
  <c r="AL259" i="6"/>
  <c r="BL47" i="6"/>
  <c r="BL142" i="6"/>
  <c r="BL147" i="6"/>
  <c r="AR445" i="1"/>
  <c r="BH483" i="1"/>
  <c r="Z5" i="1"/>
  <c r="AG109" i="1"/>
  <c r="AU263" i="2"/>
  <c r="BE263" i="2"/>
  <c r="AT45" i="11"/>
  <c r="BC46" i="11"/>
  <c r="BC45" i="11" s="1"/>
  <c r="AR5" i="1"/>
  <c r="AN50" i="1"/>
  <c r="AN49" i="1" s="1"/>
  <c r="BL49" i="1" s="1"/>
  <c r="BD137" i="1"/>
  <c r="BG137" i="1"/>
  <c r="BL51" i="1"/>
  <c r="AU415" i="3"/>
  <c r="BK431" i="3"/>
  <c r="BG402" i="3"/>
  <c r="AU402" i="3"/>
  <c r="AF86" i="3"/>
  <c r="BD355" i="3"/>
  <c r="AF355" i="3"/>
  <c r="AB5" i="3"/>
  <c r="AB2" i="3" s="1"/>
  <c r="BF125" i="3"/>
  <c r="BC125" i="3"/>
  <c r="BK125" i="3" s="1"/>
  <c r="AU86" i="3"/>
  <c r="Y261" i="3"/>
  <c r="BD261" i="3" s="1"/>
  <c r="BD289" i="3"/>
  <c r="BC289" i="3"/>
  <c r="BH295" i="3"/>
  <c r="AM295" i="3"/>
  <c r="BA5" i="3"/>
  <c r="BI48" i="3"/>
  <c r="AK72" i="11"/>
  <c r="AT73" i="11"/>
  <c r="AZ59" i="11"/>
  <c r="AZ58" i="11" s="1"/>
  <c r="AS59" i="11"/>
  <c r="AS58" i="11" s="1"/>
  <c r="AM58" i="11"/>
  <c r="AV59" i="11"/>
  <c r="AV58" i="11" s="1"/>
  <c r="AU46" i="11"/>
  <c r="AL45" i="11"/>
  <c r="BL153" i="1"/>
  <c r="BC109" i="3"/>
  <c r="AE27" i="11"/>
  <c r="AE4" i="11" s="1"/>
  <c r="BF361" i="1"/>
  <c r="BE263" i="3"/>
  <c r="BK182" i="3"/>
  <c r="AC355" i="6"/>
  <c r="AO261" i="1"/>
  <c r="AO2" i="1" s="1"/>
  <c r="BC86" i="2"/>
  <c r="AB5" i="2"/>
  <c r="BG109" i="1"/>
  <c r="AC5" i="1"/>
  <c r="BJ109" i="1"/>
  <c r="BI7" i="1"/>
  <c r="AS5" i="2"/>
  <c r="BC7" i="2"/>
  <c r="AE261" i="3"/>
  <c r="BF263" i="3"/>
  <c r="AS261" i="3"/>
  <c r="BH122" i="3"/>
  <c r="AI27" i="11"/>
  <c r="AI4" i="11" s="1"/>
  <c r="BF24" i="11"/>
  <c r="BG156" i="1"/>
  <c r="BK43" i="2"/>
  <c r="AM109" i="2"/>
  <c r="BJ415" i="3"/>
  <c r="BK124" i="6"/>
  <c r="BK295" i="2"/>
  <c r="BF355" i="3"/>
  <c r="AM7" i="3"/>
  <c r="BL143" i="1"/>
  <c r="BK146" i="2"/>
  <c r="BD156" i="1"/>
  <c r="Y5" i="2"/>
  <c r="AG261" i="3"/>
  <c r="AS83" i="11"/>
  <c r="AS82" i="11" s="1"/>
  <c r="AR261" i="2"/>
  <c r="BE156" i="2"/>
  <c r="AM122" i="2"/>
  <c r="AL5" i="2"/>
  <c r="BK276" i="2"/>
  <c r="BE355" i="3"/>
  <c r="BF156" i="3"/>
  <c r="AM289" i="3"/>
  <c r="BD363" i="2"/>
  <c r="AM86" i="3"/>
  <c r="AP261" i="2"/>
  <c r="AU261" i="2" s="1"/>
  <c r="BH157" i="2"/>
  <c r="BH156" i="2" s="1"/>
  <c r="BF415" i="3"/>
  <c r="BD402" i="2"/>
  <c r="BK87" i="2"/>
  <c r="BK110" i="2"/>
  <c r="BE109" i="2"/>
  <c r="AM109" i="3"/>
  <c r="AF7" i="3"/>
  <c r="BG7" i="3"/>
  <c r="AO5" i="3"/>
  <c r="AZ6" i="6"/>
  <c r="BJ23" i="6"/>
  <c r="BF23" i="6"/>
  <c r="BD42" i="6"/>
  <c r="BK399" i="6"/>
  <c r="BK401" i="6"/>
  <c r="BK446" i="6"/>
  <c r="BK459" i="6"/>
  <c r="BL463" i="6"/>
  <c r="AM482" i="6"/>
  <c r="BG482" i="6"/>
  <c r="BK484" i="6"/>
  <c r="AC51" i="11"/>
  <c r="AC27" i="11" s="1"/>
  <c r="AC4" i="11" s="1"/>
  <c r="AL52" i="11"/>
  <c r="AE5" i="2"/>
  <c r="AU7" i="2"/>
  <c r="BF445" i="1"/>
  <c r="BI263" i="1"/>
  <c r="BI156" i="1"/>
  <c r="BL157" i="1"/>
  <c r="BI109" i="1"/>
  <c r="AL5" i="3"/>
  <c r="AH261" i="2"/>
  <c r="AH2" i="2" s="1"/>
  <c r="BJ106" i="6"/>
  <c r="BH106" i="6"/>
  <c r="BK398" i="6"/>
  <c r="BL400" i="6"/>
  <c r="BK402" i="6"/>
  <c r="AN407" i="6"/>
  <c r="AN355" i="6" s="1"/>
  <c r="BK447" i="6"/>
  <c r="BK460" i="6"/>
  <c r="BK464" i="6"/>
  <c r="AW473" i="6"/>
  <c r="BA6" i="11"/>
  <c r="AR5" i="11"/>
  <c r="W27" i="11"/>
  <c r="BL320" i="6"/>
  <c r="BL384" i="6"/>
  <c r="BL388" i="6"/>
  <c r="BL389" i="6"/>
  <c r="BL398" i="6"/>
  <c r="BC424" i="6"/>
  <c r="AM424" i="6"/>
  <c r="BL429" i="6"/>
  <c r="BK430" i="6"/>
  <c r="BL441" i="6"/>
  <c r="BL453" i="6"/>
  <c r="BK457" i="6"/>
  <c r="AS473" i="6"/>
  <c r="AS438" i="6" s="1"/>
  <c r="BL479" i="6"/>
  <c r="BL481" i="6"/>
  <c r="AA473" i="6"/>
  <c r="BD364" i="3"/>
  <c r="Z483" i="3"/>
  <c r="Z445" i="3" s="1"/>
  <c r="AY483" i="3"/>
  <c r="AY445" i="3" s="1"/>
  <c r="BG403" i="2"/>
  <c r="AN153" i="1"/>
  <c r="BK111" i="2"/>
  <c r="BK344" i="2"/>
  <c r="BK368" i="2"/>
  <c r="BK389" i="2"/>
  <c r="BJ416" i="2"/>
  <c r="BK461" i="2"/>
  <c r="BK465" i="2"/>
  <c r="BK467" i="2"/>
  <c r="BK474" i="2"/>
  <c r="BD484" i="2"/>
  <c r="BH484" i="2"/>
  <c r="BK494" i="2"/>
  <c r="BL275" i="1"/>
  <c r="AG383" i="1"/>
  <c r="BL383" i="1" s="1"/>
  <c r="BG383" i="1"/>
  <c r="AB9" i="21"/>
  <c r="AQ61" i="21"/>
  <c r="BP26" i="21"/>
  <c r="BI148" i="2"/>
  <c r="BK306" i="2"/>
  <c r="AQ50" i="1"/>
  <c r="BG50" i="1" s="1"/>
  <c r="AB86" i="1"/>
  <c r="AG86" i="1" s="1"/>
  <c r="AF86" i="1"/>
  <c r="BK86" i="1" s="1"/>
  <c r="AP86" i="1"/>
  <c r="BF86" i="1" s="1"/>
  <c r="AY86" i="1"/>
  <c r="AL415" i="1"/>
  <c r="AU415" i="1"/>
  <c r="BL420" i="1"/>
  <c r="AS50" i="13"/>
  <c r="AQ157" i="13"/>
  <c r="BW358" i="13"/>
  <c r="BX358" i="13" s="1"/>
  <c r="BW348" i="13"/>
  <c r="BX348" i="13" s="1"/>
  <c r="M8" i="15"/>
  <c r="N18" i="15"/>
  <c r="E10" i="15"/>
  <c r="L11" i="15"/>
  <c r="BW302" i="20"/>
  <c r="BX302" i="20" s="1"/>
  <c r="BW110" i="20"/>
  <c r="BX110" i="20" s="1"/>
  <c r="BW154" i="20"/>
  <c r="BX154" i="20" s="1"/>
  <c r="AB10" i="21"/>
  <c r="AL10" i="21"/>
  <c r="AX10" i="21"/>
  <c r="AQ12" i="21"/>
  <c r="AQ16" i="21"/>
  <c r="AQ20" i="21"/>
  <c r="AQ24" i="21"/>
  <c r="AQ54" i="21"/>
  <c r="AQ58" i="21"/>
  <c r="BH19" i="21"/>
  <c r="D12" i="21"/>
  <c r="M12" i="22"/>
  <c r="L19" i="22"/>
  <c r="M11" i="22"/>
  <c r="O17" i="22"/>
  <c r="M10" i="22"/>
  <c r="AJ13" i="15"/>
  <c r="AJ11" i="15"/>
  <c r="L8" i="15"/>
  <c r="L18" i="15"/>
  <c r="G17" i="15"/>
  <c r="I17" i="15"/>
  <c r="J17" i="15"/>
  <c r="CU289" i="13"/>
  <c r="O11" i="22"/>
  <c r="I17" i="9"/>
  <c r="E17" i="9" s="1"/>
  <c r="F17" i="9" s="1"/>
  <c r="CN289" i="8"/>
  <c r="BX343" i="20"/>
  <c r="BX83" i="20"/>
  <c r="BX8" i="20"/>
  <c r="BX93" i="20"/>
  <c r="BX150" i="20"/>
  <c r="L18" i="22"/>
  <c r="D7" i="22"/>
  <c r="N7" i="22"/>
  <c r="BI261" i="3"/>
  <c r="AZ5" i="2"/>
  <c r="AZ2" i="2" s="1"/>
  <c r="BC48" i="2"/>
  <c r="BK48" i="2" s="1"/>
  <c r="BH48" i="2"/>
  <c r="BH5" i="2" s="1"/>
  <c r="AU261" i="3"/>
  <c r="BK125" i="6"/>
  <c r="BL125" i="6"/>
  <c r="BC129" i="6"/>
  <c r="BF129" i="6"/>
  <c r="BF152" i="6"/>
  <c r="AH14" i="15"/>
  <c r="AL5" i="6"/>
  <c r="BJ6" i="6"/>
  <c r="AU355" i="3"/>
  <c r="BC153" i="3"/>
  <c r="BK153" i="3" s="1"/>
  <c r="BJ356" i="3"/>
  <c r="BI65" i="11"/>
  <c r="BI64" i="11" s="1"/>
  <c r="AM447" i="2"/>
  <c r="AM46" i="11"/>
  <c r="AR5" i="3"/>
  <c r="AR2" i="3" s="1"/>
  <c r="AU109" i="2"/>
  <c r="AR5" i="2"/>
  <c r="AI2" i="1"/>
  <c r="AN263" i="1"/>
  <c r="AG138" i="1"/>
  <c r="AG122" i="1" s="1"/>
  <c r="BJ73" i="11"/>
  <c r="BJ72" i="11" s="1"/>
  <c r="AF364" i="3"/>
  <c r="BK364" i="3" s="1"/>
  <c r="AL355" i="3"/>
  <c r="AL261" i="3" s="1"/>
  <c r="AL2" i="3" s="1"/>
  <c r="AK5" i="2"/>
  <c r="AN7" i="1"/>
  <c r="AX82" i="11"/>
  <c r="BE109" i="3"/>
  <c r="BF149" i="6"/>
  <c r="AU7" i="3"/>
  <c r="BD7" i="1"/>
  <c r="AK261" i="1"/>
  <c r="AN261" i="1" s="1"/>
  <c r="BE355" i="1"/>
  <c r="BG86" i="3"/>
  <c r="AF263" i="3"/>
  <c r="AW5" i="2"/>
  <c r="BJ7" i="2"/>
  <c r="BI87" i="11"/>
  <c r="BI85" i="11" s="1"/>
  <c r="BI80" i="11"/>
  <c r="BI79" i="11" s="1"/>
  <c r="BK332" i="3"/>
  <c r="BK331" i="3" s="1"/>
  <c r="BE483" i="2"/>
  <c r="AS361" i="2"/>
  <c r="BD65" i="11"/>
  <c r="BD64" i="11" s="1"/>
  <c r="AY261" i="2"/>
  <c r="BG261" i="2" s="1"/>
  <c r="BF447" i="1"/>
  <c r="BL332" i="1"/>
  <c r="BL331" i="1" s="1"/>
  <c r="AN109" i="1"/>
  <c r="BK193" i="2"/>
  <c r="AU86" i="2"/>
  <c r="AM7" i="2"/>
  <c r="AM156" i="2"/>
  <c r="AD5" i="2"/>
  <c r="BH156" i="3"/>
  <c r="AG5" i="3"/>
  <c r="AG2" i="3" s="1"/>
  <c r="BK43" i="3"/>
  <c r="BD59" i="11"/>
  <c r="BD58" i="11" s="1"/>
  <c r="BB355" i="6"/>
  <c r="AM119" i="6"/>
  <c r="AM118" i="6" s="1"/>
  <c r="BH445" i="1"/>
  <c r="BG415" i="1"/>
  <c r="BE263" i="1"/>
  <c r="AG483" i="1"/>
  <c r="BL201" i="1"/>
  <c r="AV109" i="1"/>
  <c r="BK235" i="2"/>
  <c r="BK99" i="2"/>
  <c r="BF86" i="2"/>
  <c r="AF156" i="3"/>
  <c r="AC5" i="3"/>
  <c r="BJ156" i="3"/>
  <c r="BH109" i="2"/>
  <c r="AK5" i="3"/>
  <c r="BG29" i="11"/>
  <c r="BG28" i="11" s="1"/>
  <c r="BE483" i="1"/>
  <c r="BL221" i="1"/>
  <c r="BB5" i="2"/>
  <c r="AG27" i="11"/>
  <c r="BK235" i="3"/>
  <c r="AM123" i="3"/>
  <c r="AM122" i="3" s="1"/>
  <c r="BK133" i="2"/>
  <c r="AV50" i="1"/>
  <c r="BL50" i="1" s="1"/>
  <c r="BC402" i="2"/>
  <c r="BK402" i="2" s="1"/>
  <c r="BE83" i="11"/>
  <c r="BE82" i="11" s="1"/>
  <c r="AU355" i="1"/>
  <c r="AU261" i="1" s="1"/>
  <c r="BF133" i="3"/>
  <c r="AK261" i="3"/>
  <c r="AU146" i="3"/>
  <c r="BK146" i="3" s="1"/>
  <c r="BF289" i="3"/>
  <c r="AI122" i="2"/>
  <c r="AI5" i="2" s="1"/>
  <c r="AU129" i="3"/>
  <c r="AR82" i="11"/>
  <c r="AV361" i="2"/>
  <c r="BH355" i="2"/>
  <c r="BL8" i="1"/>
  <c r="AT50" i="1"/>
  <c r="BJ51" i="1"/>
  <c r="BJ80" i="11"/>
  <c r="BJ79" i="11" s="1"/>
  <c r="AX133" i="6"/>
  <c r="AX261" i="1"/>
  <c r="AV358" i="1"/>
  <c r="BC358" i="1"/>
  <c r="BH402" i="3"/>
  <c r="BC402" i="3"/>
  <c r="BK402" i="3" s="1"/>
  <c r="BJ122" i="3"/>
  <c r="BD109" i="3"/>
  <c r="BE289" i="2"/>
  <c r="AF289" i="2"/>
  <c r="AV5" i="2"/>
  <c r="AZ50" i="3"/>
  <c r="BH50" i="3" s="1"/>
  <c r="BH5" i="3" s="1"/>
  <c r="BH51" i="3"/>
  <c r="AA375" i="2"/>
  <c r="AA361" i="2" s="1"/>
  <c r="BF376" i="2"/>
  <c r="BF375" i="2" s="1"/>
  <c r="AS445" i="3"/>
  <c r="BI445" i="3" s="1"/>
  <c r="BI483" i="3"/>
  <c r="BE295" i="1"/>
  <c r="AV295" i="1"/>
  <c r="AU50" i="1"/>
  <c r="BK51" i="1"/>
  <c r="AX87" i="11"/>
  <c r="BB87" i="11" s="1"/>
  <c r="BB85" i="11" s="1"/>
  <c r="AO85" i="11"/>
  <c r="AU7" i="6"/>
  <c r="BK7" i="6" s="1"/>
  <c r="BF42" i="6"/>
  <c r="AZ50" i="6"/>
  <c r="BC54" i="6"/>
  <c r="BL73" i="6"/>
  <c r="AT5" i="6"/>
  <c r="BG152" i="6"/>
  <c r="AU118" i="6"/>
  <c r="BK86" i="3"/>
  <c r="AM361" i="3"/>
  <c r="BG261" i="1"/>
  <c r="BK243" i="2"/>
  <c r="BF361" i="2"/>
  <c r="BK157" i="2"/>
  <c r="BK415" i="3"/>
  <c r="AO2" i="3"/>
  <c r="BK129" i="3"/>
  <c r="AA5" i="1"/>
  <c r="AU242" i="3"/>
  <c r="AV242" i="3"/>
  <c r="BC242" i="3" s="1"/>
  <c r="AY261" i="3"/>
  <c r="BG261" i="3" s="1"/>
  <c r="BK193" i="3"/>
  <c r="AU137" i="3"/>
  <c r="AX137" i="3"/>
  <c r="BG109" i="3"/>
  <c r="BC157" i="3"/>
  <c r="BC156" i="3" s="1"/>
  <c r="BK171" i="3"/>
  <c r="BK157" i="3" s="1"/>
  <c r="AY76" i="11"/>
  <c r="BH77" i="11"/>
  <c r="BH76" i="11" s="1"/>
  <c r="AY138" i="1"/>
  <c r="BE157" i="3"/>
  <c r="BE156" i="3" s="1"/>
  <c r="AB445" i="2"/>
  <c r="AB2" i="2" s="1"/>
  <c r="BG483" i="2"/>
  <c r="AX64" i="11"/>
  <c r="BG65" i="11"/>
  <c r="BG64" i="11" s="1"/>
  <c r="AX153" i="2"/>
  <c r="AU153" i="2"/>
  <c r="AU42" i="6"/>
  <c r="BK42" i="6" s="1"/>
  <c r="AU107" i="6"/>
  <c r="BI144" i="6"/>
  <c r="BL299" i="6"/>
  <c r="BK309" i="6"/>
  <c r="BK311" i="6"/>
  <c r="BK317" i="6"/>
  <c r="AF353" i="6"/>
  <c r="BK354" i="6"/>
  <c r="BK383" i="6"/>
  <c r="BK242" i="2"/>
  <c r="BL484" i="1"/>
  <c r="AG415" i="1"/>
  <c r="BH156" i="1"/>
  <c r="BK403" i="2"/>
  <c r="BL137" i="1"/>
  <c r="BI7" i="2"/>
  <c r="BK128" i="2"/>
  <c r="BK243" i="3"/>
  <c r="BE122" i="3"/>
  <c r="AM50" i="3"/>
  <c r="AM49" i="3" s="1"/>
  <c r="BK49" i="3" s="1"/>
  <c r="BI7" i="3"/>
  <c r="BK492" i="3"/>
  <c r="AF122" i="3"/>
  <c r="AF359" i="6"/>
  <c r="BL425" i="6"/>
  <c r="BG327" i="6"/>
  <c r="BG326" i="6" s="1"/>
  <c r="BI122" i="2"/>
  <c r="BD109" i="2"/>
  <c r="AF50" i="2"/>
  <c r="BK50" i="2" s="1"/>
  <c r="BE50" i="2"/>
  <c r="AQ361" i="2"/>
  <c r="BK8" i="3"/>
  <c r="AX261" i="2"/>
  <c r="BG122" i="3"/>
  <c r="AG261" i="2"/>
  <c r="AB51" i="11"/>
  <c r="AB27" i="11" s="1"/>
  <c r="AB4" i="11" s="1"/>
  <c r="BK264" i="2"/>
  <c r="AH5" i="11"/>
  <c r="AH4" i="11" s="1"/>
  <c r="AK6" i="6"/>
  <c r="Y6" i="6"/>
  <c r="AH6" i="6"/>
  <c r="BL36" i="6"/>
  <c r="AC6" i="6"/>
  <c r="AC5" i="6" s="1"/>
  <c r="AE49" i="6"/>
  <c r="BJ49" i="6" s="1"/>
  <c r="AZ84" i="6"/>
  <c r="BH84" i="6" s="1"/>
  <c r="BJ107" i="6"/>
  <c r="AH106" i="6"/>
  <c r="AX106" i="6"/>
  <c r="BC106" i="6" s="1"/>
  <c r="AD118" i="6"/>
  <c r="BJ144" i="6"/>
  <c r="BJ118" i="6" s="1"/>
  <c r="AK152" i="6"/>
  <c r="BJ219" i="6"/>
  <c r="BJ152" i="6" s="1"/>
  <c r="AC260" i="6"/>
  <c r="AC259" i="6" s="1"/>
  <c r="AB260" i="6"/>
  <c r="BK294" i="6"/>
  <c r="BL304" i="6"/>
  <c r="BK310" i="6"/>
  <c r="BL314" i="6"/>
  <c r="Z438" i="6"/>
  <c r="BK476" i="6"/>
  <c r="AX260" i="6"/>
  <c r="BL274" i="6"/>
  <c r="BL285" i="6"/>
  <c r="BI350" i="6"/>
  <c r="Z349" i="6"/>
  <c r="Z259" i="6" s="1"/>
  <c r="AK349" i="6"/>
  <c r="BH349" i="6" s="1"/>
  <c r="BK378" i="6"/>
  <c r="BL380" i="6"/>
  <c r="BK393" i="6"/>
  <c r="Y407" i="6"/>
  <c r="Y355" i="6" s="1"/>
  <c r="AF355" i="6" s="1"/>
  <c r="AV407" i="6"/>
  <c r="BD407" i="6" s="1"/>
  <c r="BL478" i="6"/>
  <c r="BK489" i="6"/>
  <c r="BK15" i="11"/>
  <c r="BK11" i="11" s="1"/>
  <c r="BH24" i="11"/>
  <c r="AF286" i="6"/>
  <c r="AU376" i="3"/>
  <c r="AU375" i="3" s="1"/>
  <c r="Z50" i="3"/>
  <c r="Z5" i="3" s="1"/>
  <c r="AA50" i="3"/>
  <c r="AA5" i="3" s="1"/>
  <c r="AA2" i="3" s="1"/>
  <c r="AJ483" i="3"/>
  <c r="AJ445" i="3" s="1"/>
  <c r="BF286" i="6"/>
  <c r="BL434" i="6"/>
  <c r="BL486" i="6"/>
  <c r="AV483" i="2"/>
  <c r="BJ363" i="2"/>
  <c r="AD356" i="2"/>
  <c r="BE296" i="2"/>
  <c r="AX50" i="2"/>
  <c r="BF50" i="2" s="1"/>
  <c r="BI227" i="2"/>
  <c r="AM289" i="2"/>
  <c r="BK371" i="2"/>
  <c r="BK473" i="2"/>
  <c r="AS483" i="2"/>
  <c r="AE483" i="2"/>
  <c r="AI438" i="6"/>
  <c r="AM438" i="6" s="1"/>
  <c r="BJ448" i="1"/>
  <c r="AH86" i="1"/>
  <c r="AN86" i="1" s="1"/>
  <c r="AJ86" i="1"/>
  <c r="AJ5" i="1" s="1"/>
  <c r="BL467" i="1"/>
  <c r="BW311" i="13"/>
  <c r="BX311" i="13" s="1"/>
  <c r="BY311" i="13"/>
  <c r="BW306" i="13"/>
  <c r="BX306" i="13" s="1"/>
  <c r="BY306" i="13"/>
  <c r="BY191" i="13"/>
  <c r="BW191" i="13"/>
  <c r="BX191" i="13" s="1"/>
  <c r="BK26" i="2"/>
  <c r="BK360" i="2"/>
  <c r="BH431" i="1"/>
  <c r="BW52" i="13"/>
  <c r="BX52" i="13" s="1"/>
  <c r="BW176" i="13"/>
  <c r="BX176" i="13" s="1"/>
  <c r="BY128" i="20"/>
  <c r="CD128" i="20" s="1"/>
  <c r="BW128" i="20"/>
  <c r="BX128" i="20" s="1"/>
  <c r="CA143" i="20"/>
  <c r="CF143" i="20" s="1"/>
  <c r="BW143" i="20"/>
  <c r="BX143" i="20" s="1"/>
  <c r="BY307" i="20"/>
  <c r="CD307" i="20" s="1"/>
  <c r="BW307" i="20"/>
  <c r="BX307" i="20" s="1"/>
  <c r="AF50" i="1"/>
  <c r="AF5" i="1" s="1"/>
  <c r="AF2" i="1" s="1"/>
  <c r="AZ86" i="1"/>
  <c r="BH86" i="1" s="1"/>
  <c r="BJ264" i="1"/>
  <c r="AP263" i="1"/>
  <c r="AV263" i="1" s="1"/>
  <c r="AT50" i="13"/>
  <c r="AV50" i="13"/>
  <c r="AW201" i="13"/>
  <c r="BW480" i="13"/>
  <c r="BX480" i="13" s="1"/>
  <c r="BW108" i="20"/>
  <c r="BX108" i="20" s="1"/>
  <c r="M21" i="15"/>
  <c r="M20" i="15"/>
  <c r="M13" i="15"/>
  <c r="AW125" i="13"/>
  <c r="AW378" i="13"/>
  <c r="AW348" i="13"/>
  <c r="AF10" i="21"/>
  <c r="AJ10" i="21"/>
  <c r="AQ10" i="21"/>
  <c r="AV10" i="21"/>
  <c r="AZ10" i="21"/>
  <c r="AQ11" i="21"/>
  <c r="AQ13" i="21"/>
  <c r="AQ15" i="21"/>
  <c r="AQ17" i="21"/>
  <c r="AQ19" i="21"/>
  <c r="AQ21" i="21"/>
  <c r="AQ23" i="21"/>
  <c r="AQ25" i="21"/>
  <c r="AQ53" i="21"/>
  <c r="AQ55" i="21"/>
  <c r="AQ57" i="21"/>
  <c r="AQ59" i="21"/>
  <c r="AF52" i="19"/>
  <c r="BH15" i="21"/>
  <c r="D21" i="21"/>
  <c r="D17" i="21"/>
  <c r="BX114" i="20"/>
  <c r="BX65" i="20"/>
  <c r="BX81" i="20"/>
  <c r="BX89" i="20"/>
  <c r="BX98" i="20"/>
  <c r="BX102" i="20"/>
  <c r="BX364" i="20"/>
  <c r="BI286" i="6"/>
  <c r="BL152" i="6"/>
  <c r="AW5" i="6"/>
  <c r="BB261" i="3"/>
  <c r="BJ355" i="3"/>
  <c r="BL394" i="6"/>
  <c r="BL326" i="6"/>
  <c r="BH355" i="6"/>
  <c r="L11" i="22"/>
  <c r="L9" i="22"/>
  <c r="BL42" i="6"/>
  <c r="BI291" i="6"/>
  <c r="BK394" i="6"/>
  <c r="BF291" i="6"/>
  <c r="BK356" i="3"/>
  <c r="BC148" i="3"/>
  <c r="BK148" i="3" s="1"/>
  <c r="AT2" i="2"/>
  <c r="AR2" i="1"/>
  <c r="AD2" i="1"/>
  <c r="AC2" i="3"/>
  <c r="BK296" i="3"/>
  <c r="BL227" i="1"/>
  <c r="BB289" i="1"/>
  <c r="BJ289" i="1" s="1"/>
  <c r="BJ295" i="1"/>
  <c r="AS289" i="1"/>
  <c r="BI295" i="1"/>
  <c r="BF355" i="2"/>
  <c r="AA261" i="2"/>
  <c r="AX151" i="2"/>
  <c r="AU151" i="2"/>
  <c r="BK99" i="3"/>
  <c r="BB5" i="3"/>
  <c r="AY50" i="3"/>
  <c r="BG50" i="3" s="1"/>
  <c r="BC51" i="3"/>
  <c r="AT87" i="11"/>
  <c r="BC87" i="11" s="1"/>
  <c r="BC85" i="11" s="1"/>
  <c r="AK85" i="11"/>
  <c r="BK156" i="1"/>
  <c r="AF364" i="2"/>
  <c r="BK364" i="2" s="1"/>
  <c r="BI364" i="2"/>
  <c r="BK403" i="3"/>
  <c r="AV65" i="11"/>
  <c r="BE65" i="11" s="1"/>
  <c r="BE64" i="11" s="1"/>
  <c r="AM64" i="11"/>
  <c r="AD361" i="3"/>
  <c r="AF361" i="3" s="1"/>
  <c r="AM45" i="11"/>
  <c r="AM355" i="3"/>
  <c r="BK358" i="3"/>
  <c r="BG415" i="3"/>
  <c r="BD447" i="1"/>
  <c r="BL447" i="1" s="1"/>
  <c r="BC263" i="3"/>
  <c r="AS445" i="1"/>
  <c r="AM2" i="1"/>
  <c r="AF50" i="3"/>
  <c r="AV483" i="1"/>
  <c r="AV355" i="1"/>
  <c r="AG263" i="1"/>
  <c r="BL263" i="1" s="1"/>
  <c r="AY361" i="1"/>
  <c r="BG361" i="1" s="1"/>
  <c r="BK7" i="3"/>
  <c r="BK182" i="2"/>
  <c r="BK156" i="2" s="1"/>
  <c r="BF156" i="2"/>
  <c r="BK201" i="2"/>
  <c r="Z445" i="1"/>
  <c r="AG445" i="1" s="1"/>
  <c r="BK227" i="2"/>
  <c r="AY5" i="2"/>
  <c r="AJ2" i="3"/>
  <c r="AV133" i="1"/>
  <c r="BD242" i="3"/>
  <c r="BA82" i="11"/>
  <c r="BC128" i="3"/>
  <c r="BK128" i="3" s="1"/>
  <c r="AP138" i="3"/>
  <c r="AU138" i="3" s="1"/>
  <c r="BF128" i="2"/>
  <c r="BE86" i="3"/>
  <c r="BA156" i="2"/>
  <c r="BI156" i="2" s="1"/>
  <c r="AT289" i="3"/>
  <c r="AU289" i="3" s="1"/>
  <c r="AX123" i="2"/>
  <c r="BC157" i="2"/>
  <c r="BC156" i="2" s="1"/>
  <c r="AQ445" i="3"/>
  <c r="BG445" i="3" s="1"/>
  <c r="BG483" i="3"/>
  <c r="AP123" i="3"/>
  <c r="BG407" i="6"/>
  <c r="BB261" i="1"/>
  <c r="BJ261" i="1" s="1"/>
  <c r="AS261" i="1"/>
  <c r="BE122" i="1"/>
  <c r="AQ148" i="1"/>
  <c r="AV151" i="1"/>
  <c r="BL151" i="1" s="1"/>
  <c r="AF138" i="2"/>
  <c r="AF122" i="2" s="1"/>
  <c r="AA122" i="2"/>
  <c r="AI121" i="2" s="1"/>
  <c r="AP121" i="2" s="1"/>
  <c r="AX121" i="2" s="1"/>
  <c r="BF121" i="2" s="1"/>
  <c r="BC109" i="2"/>
  <c r="BK109" i="2" s="1"/>
  <c r="AU447" i="2"/>
  <c r="BK447" i="2" s="1"/>
  <c r="BG447" i="2"/>
  <c r="BJ122" i="2"/>
  <c r="BK276" i="3"/>
  <c r="AW261" i="2"/>
  <c r="BE261" i="2" s="1"/>
  <c r="AY51" i="11"/>
  <c r="BH52" i="11"/>
  <c r="BH51" i="11" s="1"/>
  <c r="AX289" i="1"/>
  <c r="BF289" i="1" s="1"/>
  <c r="BF295" i="1"/>
  <c r="BG156" i="2"/>
  <c r="BG5" i="2" s="1"/>
  <c r="AF356" i="6"/>
  <c r="BL356" i="6" s="1"/>
  <c r="W4" i="11"/>
  <c r="AR37" i="11"/>
  <c r="BJ38" i="11"/>
  <c r="BJ37" i="11" s="1"/>
  <c r="AP45" i="11"/>
  <c r="AP27" i="11" s="1"/>
  <c r="AY46" i="11"/>
  <c r="AL79" i="11"/>
  <c r="AU80" i="11"/>
  <c r="AY48" i="3"/>
  <c r="AQ5" i="3"/>
  <c r="BH6" i="6"/>
  <c r="BJ47" i="6"/>
  <c r="BJ50" i="6"/>
  <c r="BG97" i="6"/>
  <c r="BE113" i="6"/>
  <c r="AS106" i="6"/>
  <c r="AU106" i="6" s="1"/>
  <c r="BE144" i="6"/>
  <c r="BE118" i="6" s="1"/>
  <c r="BI199" i="6"/>
  <c r="BI225" i="6"/>
  <c r="BK232" i="6"/>
  <c r="BK272" i="6"/>
  <c r="BJ273" i="6"/>
  <c r="AF350" i="6"/>
  <c r="BG353" i="6"/>
  <c r="BK366" i="6"/>
  <c r="BK382" i="6"/>
  <c r="BK396" i="6"/>
  <c r="BL415" i="6"/>
  <c r="BI424" i="6"/>
  <c r="BK435" i="6"/>
  <c r="BK443" i="6"/>
  <c r="BK455" i="6"/>
  <c r="BK475" i="6"/>
  <c r="AU482" i="6"/>
  <c r="BL482" i="6" s="1"/>
  <c r="BL289" i="6"/>
  <c r="CT289" i="8"/>
  <c r="BK348" i="6"/>
  <c r="BG402" i="2"/>
  <c r="BC289" i="2"/>
  <c r="BK289" i="2" s="1"/>
  <c r="BD50" i="2"/>
  <c r="AX5" i="1"/>
  <c r="BL75" i="1"/>
  <c r="BH122" i="1"/>
  <c r="AE5" i="1"/>
  <c r="AF156" i="2"/>
  <c r="BF7" i="2"/>
  <c r="BI355" i="3"/>
  <c r="BK221" i="3"/>
  <c r="BK24" i="3"/>
  <c r="BH483" i="3"/>
  <c r="BK416" i="3"/>
  <c r="BK264" i="3"/>
  <c r="BI74" i="6"/>
  <c r="AX6" i="6"/>
  <c r="BC6" i="6" s="1"/>
  <c r="AU146" i="6"/>
  <c r="AQ5" i="2"/>
  <c r="AN415" i="1"/>
  <c r="Y375" i="2"/>
  <c r="Y361" i="2" s="1"/>
  <c r="Y2" i="2" s="1"/>
  <c r="AF415" i="2"/>
  <c r="BK415" i="2" s="1"/>
  <c r="AX361" i="3"/>
  <c r="BF361" i="3" s="1"/>
  <c r="AO361" i="2"/>
  <c r="BE361" i="2" s="1"/>
  <c r="AG5" i="11"/>
  <c r="AG4" i="11" s="1"/>
  <c r="BJ65" i="11"/>
  <c r="BJ64" i="11" s="1"/>
  <c r="AS6" i="6"/>
  <c r="BL21" i="6"/>
  <c r="BG42" i="6"/>
  <c r="AY84" i="6"/>
  <c r="BA84" i="6"/>
  <c r="BA5" i="6" s="1"/>
  <c r="AG106" i="6"/>
  <c r="Z106" i="6"/>
  <c r="Z5" i="6" s="1"/>
  <c r="AP6" i="6"/>
  <c r="AR118" i="6"/>
  <c r="AR5" i="6" s="1"/>
  <c r="AF134" i="6"/>
  <c r="BH144" i="6"/>
  <c r="BH118" i="6" s="1"/>
  <c r="AE118" i="6"/>
  <c r="AE5" i="6" s="1"/>
  <c r="AE2" i="6" s="1"/>
  <c r="BK207" i="6"/>
  <c r="BK199" i="6" s="1"/>
  <c r="BK229" i="6"/>
  <c r="BK225" i="6" s="1"/>
  <c r="BL252" i="6"/>
  <c r="AS260" i="6"/>
  <c r="AU260" i="6" s="1"/>
  <c r="AZ260" i="6"/>
  <c r="AV260" i="6"/>
  <c r="BK282" i="6"/>
  <c r="AH349" i="6"/>
  <c r="AP349" i="6"/>
  <c r="BF349" i="6" s="1"/>
  <c r="AW349" i="6"/>
  <c r="BK365" i="6"/>
  <c r="BL377" i="6"/>
  <c r="BK381" i="6"/>
  <c r="BL387" i="6"/>
  <c r="BK392" i="6"/>
  <c r="BK397" i="6"/>
  <c r="AL407" i="6"/>
  <c r="AM408" i="6"/>
  <c r="BL416" i="6"/>
  <c r="BL419" i="6"/>
  <c r="BL421" i="6"/>
  <c r="AW407" i="6"/>
  <c r="BK426" i="6"/>
  <c r="BK452" i="6"/>
  <c r="BK454" i="6"/>
  <c r="BK456" i="6"/>
  <c r="BK470" i="6"/>
  <c r="BL480" i="6"/>
  <c r="AT473" i="6"/>
  <c r="BJ473" i="6" s="1"/>
  <c r="AR473" i="6"/>
  <c r="BK487" i="6"/>
  <c r="S27" i="11"/>
  <c r="S4" i="11" s="1"/>
  <c r="AR45" i="11"/>
  <c r="BL159" i="6"/>
  <c r="BI296" i="3"/>
  <c r="Z7" i="2"/>
  <c r="AY361" i="2"/>
  <c r="BK406" i="2"/>
  <c r="BK449" i="2"/>
  <c r="BK462" i="2"/>
  <c r="BK478" i="2"/>
  <c r="BL427" i="1"/>
  <c r="BF431" i="1"/>
  <c r="AT109" i="3"/>
  <c r="AZ355" i="3"/>
  <c r="AZ261" i="3" s="1"/>
  <c r="AI483" i="3"/>
  <c r="AI445" i="3" s="1"/>
  <c r="AN483" i="3"/>
  <c r="BL322" i="6"/>
  <c r="BI357" i="2"/>
  <c r="BJ116" i="2"/>
  <c r="BK365" i="2"/>
  <c r="BK411" i="2"/>
  <c r="BK430" i="2"/>
  <c r="BK459" i="2"/>
  <c r="BK469" i="2"/>
  <c r="AR483" i="2"/>
  <c r="AR445" i="2" s="1"/>
  <c r="AR2" i="2" s="1"/>
  <c r="BJ492" i="2"/>
  <c r="AI259" i="6"/>
  <c r="AI2" i="6" s="1"/>
  <c r="BL152" i="1"/>
  <c r="AK415" i="1"/>
  <c r="AJ483" i="1"/>
  <c r="AG15" i="15"/>
  <c r="AG27" i="15" s="1"/>
  <c r="AW472" i="13"/>
  <c r="AP483" i="2"/>
  <c r="AP445" i="2" s="1"/>
  <c r="AP2" i="2" s="1"/>
  <c r="AP7" i="1"/>
  <c r="BL76" i="1"/>
  <c r="BB86" i="1"/>
  <c r="AZ109" i="1"/>
  <c r="AZ5" i="1" s="1"/>
  <c r="BW304" i="20"/>
  <c r="BX304" i="20" s="1"/>
  <c r="BW351" i="20"/>
  <c r="BX351" i="20" s="1"/>
  <c r="BW441" i="20"/>
  <c r="BX441" i="20" s="1"/>
  <c r="BW58" i="20"/>
  <c r="BX58" i="20" s="1"/>
  <c r="BW53" i="20"/>
  <c r="BX53" i="20" s="1"/>
  <c r="BW46" i="20"/>
  <c r="BX46" i="20" s="1"/>
  <c r="BW51" i="20"/>
  <c r="BX51" i="20" s="1"/>
  <c r="BB2" i="3"/>
  <c r="BJ261" i="3"/>
  <c r="BD438" i="6"/>
  <c r="BB2" i="6"/>
  <c r="L20" i="22"/>
  <c r="L10" i="22"/>
  <c r="AJ23" i="15"/>
  <c r="AH12" i="15"/>
  <c r="AK21" i="15"/>
  <c r="AH19" i="15"/>
  <c r="BE261" i="1"/>
  <c r="AF261" i="3"/>
  <c r="BJ358" i="2"/>
  <c r="BC358" i="2"/>
  <c r="BK358" i="2" s="1"/>
  <c r="BD361" i="2"/>
  <c r="AF263" i="2"/>
  <c r="BK263" i="2" s="1"/>
  <c r="BH263" i="2"/>
  <c r="AV5" i="6"/>
  <c r="AU286" i="6"/>
  <c r="BG49" i="6"/>
  <c r="N6" i="22"/>
  <c r="AD438" i="6"/>
  <c r="BC355" i="3"/>
  <c r="BE87" i="11"/>
  <c r="AV85" i="11"/>
  <c r="BB356" i="2"/>
  <c r="AC261" i="2"/>
  <c r="BI5" i="2"/>
  <c r="BL242" i="1"/>
  <c r="BK263" i="3"/>
  <c r="AM5" i="3"/>
  <c r="BI5" i="1"/>
  <c r="Z2" i="3"/>
  <c r="BI52" i="11"/>
  <c r="BI51" i="11" s="1"/>
  <c r="AZ51" i="11"/>
  <c r="AJ121" i="1"/>
  <c r="AQ121" i="1" s="1"/>
  <c r="AY121" i="1" s="1"/>
  <c r="BG121" i="1" s="1"/>
  <c r="AB5" i="1"/>
  <c r="AE363" i="1"/>
  <c r="AG364" i="1"/>
  <c r="BL364" i="1" s="1"/>
  <c r="AX2" i="1"/>
  <c r="AX138" i="3"/>
  <c r="BF146" i="3"/>
  <c r="BI363" i="2"/>
  <c r="AD361" i="2"/>
  <c r="AF363" i="2"/>
  <c r="BG133" i="1"/>
  <c r="BD133" i="1"/>
  <c r="BL133" i="1" s="1"/>
  <c r="AV86" i="1"/>
  <c r="BA361" i="3"/>
  <c r="BI415" i="3"/>
  <c r="AF295" i="3"/>
  <c r="AE289" i="3"/>
  <c r="BJ295" i="3"/>
  <c r="AU156" i="3"/>
  <c r="AV5" i="3"/>
  <c r="BD7" i="3"/>
  <c r="BD5" i="3" s="1"/>
  <c r="AX123" i="3"/>
  <c r="AM76" i="11"/>
  <c r="AV77" i="11"/>
  <c r="BA77" i="11"/>
  <c r="BJ77" i="11" s="1"/>
  <c r="AR76" i="11"/>
  <c r="BJ59" i="11"/>
  <c r="AY45" i="11"/>
  <c r="BH46" i="11"/>
  <c r="BH45" i="11" s="1"/>
  <c r="BJ29" i="11"/>
  <c r="AS29" i="11"/>
  <c r="AS28" i="11" s="1"/>
  <c r="AR28" i="11"/>
  <c r="AY28" i="11"/>
  <c r="BH29" i="11"/>
  <c r="BH28" i="11" s="1"/>
  <c r="BF29" i="11"/>
  <c r="BF28" i="11" s="1"/>
  <c r="BC25" i="11"/>
  <c r="AT350" i="6"/>
  <c r="AU352" i="6"/>
  <c r="BL352" i="6" s="1"/>
  <c r="AP5" i="1"/>
  <c r="AC261" i="1"/>
  <c r="AC2" i="1" s="1"/>
  <c r="BH263" i="1"/>
  <c r="BL431" i="1"/>
  <c r="BD415" i="1"/>
  <c r="BL415" i="1" s="1"/>
  <c r="BD295" i="1"/>
  <c r="BL295" i="1" s="1"/>
  <c r="BH295" i="1"/>
  <c r="AZ261" i="1"/>
  <c r="AZ289" i="1"/>
  <c r="AW445" i="1"/>
  <c r="AW2" i="1" s="1"/>
  <c r="AN5" i="2"/>
  <c r="BF263" i="1"/>
  <c r="AA261" i="1"/>
  <c r="BL264" i="1"/>
  <c r="BL296" i="1"/>
  <c r="BE50" i="1"/>
  <c r="AD5" i="3"/>
  <c r="AD2" i="3" s="1"/>
  <c r="AU156" i="2"/>
  <c r="BL193" i="1"/>
  <c r="BL156" i="1" s="1"/>
  <c r="BK75" i="2"/>
  <c r="Y5" i="3"/>
  <c r="BK359" i="2"/>
  <c r="AT85" i="11"/>
  <c r="BK296" i="2"/>
  <c r="BI394" i="6"/>
  <c r="AY6" i="11"/>
  <c r="AP5" i="11"/>
  <c r="AU25" i="11"/>
  <c r="AU24" i="11" s="1"/>
  <c r="AS25" i="11"/>
  <c r="AS24" i="11" s="1"/>
  <c r="AX25" i="11"/>
  <c r="AM24" i="11"/>
  <c r="AV25" i="11"/>
  <c r="AO37" i="11"/>
  <c r="AX38" i="11"/>
  <c r="AX37" i="11" s="1"/>
  <c r="AZ38" i="11"/>
  <c r="AQ37" i="11"/>
  <c r="AW45" i="11"/>
  <c r="BF46" i="11"/>
  <c r="BF45" i="11" s="1"/>
  <c r="AO45" i="11"/>
  <c r="BG46" i="11"/>
  <c r="BG45" i="11" s="1"/>
  <c r="BA52" i="11"/>
  <c r="AR51" i="11"/>
  <c r="AS73" i="11"/>
  <c r="AS72" i="11" s="1"/>
  <c r="AT77" i="11"/>
  <c r="AT76" i="11" s="1"/>
  <c r="AK76" i="11"/>
  <c r="AK27" i="11" s="1"/>
  <c r="AE445" i="3"/>
  <c r="BJ445" i="3" s="1"/>
  <c r="AY79" i="11"/>
  <c r="BE73" i="11"/>
  <c r="BE72" i="11" s="1"/>
  <c r="BC65" i="11"/>
  <c r="BC64" i="11" s="1"/>
  <c r="BL416" i="1"/>
  <c r="Z375" i="1"/>
  <c r="Z361" i="1" s="1"/>
  <c r="Z2" i="1" s="1"/>
  <c r="BE376" i="1"/>
  <c r="BE375" i="1" s="1"/>
  <c r="AG376" i="1"/>
  <c r="AV48" i="1"/>
  <c r="BB48" i="1"/>
  <c r="BG363" i="3"/>
  <c r="AQ361" i="3"/>
  <c r="AH261" i="3"/>
  <c r="BK212" i="3"/>
  <c r="BG156" i="3"/>
  <c r="BI156" i="3"/>
  <c r="BG295" i="3"/>
  <c r="BC295" i="3"/>
  <c r="BK295" i="3" s="1"/>
  <c r="BD447" i="3"/>
  <c r="BC447" i="3"/>
  <c r="BK447" i="3" s="1"/>
  <c r="BJ50" i="3"/>
  <c r="AZ83" i="11"/>
  <c r="AQ82" i="11"/>
  <c r="AN76" i="11"/>
  <c r="AW77" i="11"/>
  <c r="AQ58" i="11"/>
  <c r="BI59" i="11"/>
  <c r="BI58" i="11" s="1"/>
  <c r="AO58" i="11"/>
  <c r="AX59" i="11"/>
  <c r="AQ28" i="11"/>
  <c r="BI29" i="11"/>
  <c r="BI28" i="11" s="1"/>
  <c r="AM28" i="11"/>
  <c r="AV29" i="11"/>
  <c r="BE29" i="11" s="1"/>
  <c r="BE28" i="11" s="1"/>
  <c r="AZ24" i="11"/>
  <c r="BI26" i="11"/>
  <c r="AG156" i="1"/>
  <c r="BD86" i="2"/>
  <c r="AF86" i="2"/>
  <c r="AX445" i="2"/>
  <c r="BD156" i="2"/>
  <c r="AV130" i="1"/>
  <c r="AY130" i="1"/>
  <c r="BF402" i="1"/>
  <c r="BD402" i="1"/>
  <c r="BL402" i="1" s="1"/>
  <c r="BJ355" i="1"/>
  <c r="AK445" i="2"/>
  <c r="BJ156" i="2"/>
  <c r="BK116" i="3"/>
  <c r="AA438" i="6"/>
  <c r="BF438" i="6" s="1"/>
  <c r="AX6" i="11"/>
  <c r="AX5" i="11" s="1"/>
  <c r="AO5" i="11"/>
  <c r="BG6" i="11"/>
  <c r="BG5" i="11" s="1"/>
  <c r="AZ6" i="11"/>
  <c r="AZ5" i="11" s="1"/>
  <c r="AK24" i="11"/>
  <c r="AK4" i="11" s="1"/>
  <c r="AT26" i="11"/>
  <c r="AT24" i="11" s="1"/>
  <c r="AV26" i="11"/>
  <c r="BE26" i="11" s="1"/>
  <c r="AZ45" i="11"/>
  <c r="BI46" i="11"/>
  <c r="AX51" i="11"/>
  <c r="BG52" i="11"/>
  <c r="BG51" i="11" s="1"/>
  <c r="AV64" i="11"/>
  <c r="AW65" i="11"/>
  <c r="AN64" i="11"/>
  <c r="AN27" i="11" s="1"/>
  <c r="AN4" i="11" s="1"/>
  <c r="AZ73" i="11"/>
  <c r="AQ72" i="11"/>
  <c r="AU77" i="11"/>
  <c r="AL76" i="11"/>
  <c r="AM79" i="11"/>
  <c r="AV80" i="11"/>
  <c r="AQ445" i="2"/>
  <c r="AU363" i="2"/>
  <c r="AV38" i="11"/>
  <c r="BD150" i="1"/>
  <c r="BL150" i="1" s="1"/>
  <c r="BJ402" i="2"/>
  <c r="BJ474" i="6"/>
  <c r="AJ52" i="11"/>
  <c r="AJ51" i="11" s="1"/>
  <c r="AJ27" i="11" s="1"/>
  <c r="AJ4" i="11" s="1"/>
  <c r="BD363" i="3"/>
  <c r="BE492" i="3"/>
  <c r="BK375" i="6"/>
  <c r="BJ289" i="2"/>
  <c r="AW483" i="3"/>
  <c r="BK434" i="6"/>
  <c r="BF143" i="2"/>
  <c r="BF402" i="2"/>
  <c r="AL361" i="2"/>
  <c r="BL394" i="1"/>
  <c r="CQ289" i="13"/>
  <c r="BW349" i="13"/>
  <c r="BX349" i="13" s="1"/>
  <c r="BZ117" i="13"/>
  <c r="BW117" i="13"/>
  <c r="BX117" i="13" s="1"/>
  <c r="AV99" i="8"/>
  <c r="AU50" i="8"/>
  <c r="AS50" i="8"/>
  <c r="AQ50" i="8"/>
  <c r="M4" i="22"/>
  <c r="D8" i="22"/>
  <c r="O20" i="22"/>
  <c r="BW52" i="20"/>
  <c r="BX52" i="20" s="1"/>
  <c r="D54" i="21"/>
  <c r="D58" i="21"/>
  <c r="D62" i="21"/>
  <c r="D56" i="21"/>
  <c r="D61" i="21"/>
  <c r="D57" i="21"/>
  <c r="D59" i="21"/>
  <c r="D55" i="21"/>
  <c r="D60" i="21"/>
  <c r="D53" i="21"/>
  <c r="BW131" i="20"/>
  <c r="BX131" i="20" s="1"/>
  <c r="AE23" i="19"/>
  <c r="AK60" i="19"/>
  <c r="AD53" i="19"/>
  <c r="AJ17" i="19"/>
  <c r="AK58" i="19"/>
  <c r="AM20" i="19"/>
  <c r="AD59" i="19"/>
  <c r="AE13" i="19"/>
  <c r="AL9" i="19"/>
  <c r="AZ56" i="19"/>
  <c r="BH54" i="21"/>
  <c r="AG56" i="19"/>
  <c r="AH57" i="19"/>
  <c r="AQ62" i="21"/>
  <c r="AB62" i="21"/>
  <c r="AU61" i="19"/>
  <c r="BA23" i="19"/>
  <c r="AW24" i="19"/>
  <c r="BA14" i="19"/>
  <c r="AZ53" i="19"/>
  <c r="AZ17" i="19"/>
  <c r="BA58" i="19"/>
  <c r="AU20" i="19"/>
  <c r="AZ54" i="19"/>
  <c r="BA21" i="19"/>
  <c r="BA15" i="19"/>
  <c r="AZ12" i="19"/>
  <c r="AB61" i="21"/>
  <c r="AB60" i="21"/>
  <c r="AB59" i="21"/>
  <c r="AB58" i="21"/>
  <c r="AB57" i="21"/>
  <c r="AB56" i="21"/>
  <c r="AB55" i="21"/>
  <c r="AB54" i="21"/>
  <c r="AB53" i="21"/>
  <c r="AB52" i="21"/>
  <c r="BH55" i="21"/>
  <c r="BH57" i="21"/>
  <c r="BH59" i="21"/>
  <c r="BH61" i="21"/>
  <c r="BH53" i="21"/>
  <c r="AS9" i="19"/>
  <c r="BQ26" i="21"/>
  <c r="D22" i="21"/>
  <c r="O19" i="19"/>
  <c r="N14" i="19"/>
  <c r="H55" i="19"/>
  <c r="J15" i="19"/>
  <c r="AQ9" i="21"/>
  <c r="AE10" i="21"/>
  <c r="AG10" i="21"/>
  <c r="AI10" i="21"/>
  <c r="AK10" i="21"/>
  <c r="AM10" i="21"/>
  <c r="AS10" i="21"/>
  <c r="AU10" i="21"/>
  <c r="AW10" i="21"/>
  <c r="AY10" i="21"/>
  <c r="BA10" i="21"/>
  <c r="AB11" i="21"/>
  <c r="AB12" i="21"/>
  <c r="AB13" i="21"/>
  <c r="AB14" i="21"/>
  <c r="AB15" i="21"/>
  <c r="AB16" i="21"/>
  <c r="AB17" i="21"/>
  <c r="AB18" i="21"/>
  <c r="AB19" i="21"/>
  <c r="AB20" i="21"/>
  <c r="AB21" i="21"/>
  <c r="AB22" i="21"/>
  <c r="AB23" i="21"/>
  <c r="AB24" i="21"/>
  <c r="AB25" i="21"/>
  <c r="BH11" i="21"/>
  <c r="BH14" i="21"/>
  <c r="BH17" i="21"/>
  <c r="BH25" i="21"/>
  <c r="D25" i="21"/>
  <c r="D23" i="21"/>
  <c r="D20" i="21"/>
  <c r="D18" i="21"/>
  <c r="D16" i="21"/>
  <c r="D14" i="21"/>
  <c r="D11" i="21"/>
  <c r="D13" i="21"/>
  <c r="BH62" i="21"/>
  <c r="BH60" i="21"/>
  <c r="BH58" i="21"/>
  <c r="BH56" i="21"/>
  <c r="N17" i="19"/>
  <c r="O16" i="19"/>
  <c r="N20" i="19"/>
  <c r="F21" i="19"/>
  <c r="G13" i="19"/>
  <c r="L9" i="19"/>
  <c r="N53" i="19"/>
  <c r="AG20" i="19"/>
  <c r="AF16" i="19"/>
  <c r="AI56" i="19"/>
  <c r="AT16" i="19"/>
  <c r="AM23" i="19"/>
  <c r="AI60" i="19"/>
  <c r="AX58" i="19"/>
  <c r="AD15" i="19"/>
  <c r="AM56" i="19"/>
  <c r="AT58" i="19"/>
  <c r="AU24" i="19"/>
  <c r="BB15" i="19"/>
  <c r="AE17" i="19"/>
  <c r="H16" i="19"/>
  <c r="BX69" i="16"/>
  <c r="AK52" i="19"/>
  <c r="AA345" i="16"/>
  <c r="CB345" i="16" s="1"/>
  <c r="CG345" i="16" s="1"/>
  <c r="AD52" i="19"/>
  <c r="AA101" i="16"/>
  <c r="CB101" i="16" s="1"/>
  <c r="CG101" i="16" s="1"/>
  <c r="AI23" i="19"/>
  <c r="AH60" i="19"/>
  <c r="AG22" i="19"/>
  <c r="AH16" i="19"/>
  <c r="AH20" i="19"/>
  <c r="AI11" i="19"/>
  <c r="AK15" i="19"/>
  <c r="AK9" i="19"/>
  <c r="AY18" i="19"/>
  <c r="AT61" i="19"/>
  <c r="AX24" i="19"/>
  <c r="AV53" i="19"/>
  <c r="AW55" i="19"/>
  <c r="AS58" i="19"/>
  <c r="AY20" i="19"/>
  <c r="AY59" i="19"/>
  <c r="BA56" i="19"/>
  <c r="AY15" i="19"/>
  <c r="AW12" i="19"/>
  <c r="AS13" i="19"/>
  <c r="BB9" i="19"/>
  <c r="N11" i="22"/>
  <c r="D6" i="22"/>
  <c r="N18" i="22"/>
  <c r="AM52" i="19"/>
  <c r="AX15" i="19"/>
  <c r="BB12" i="19"/>
  <c r="BA12" i="19"/>
  <c r="BA61" i="19"/>
  <c r="AS60" i="19"/>
  <c r="AV24" i="19"/>
  <c r="AV55" i="19"/>
  <c r="AU17" i="19"/>
  <c r="AI13" i="19"/>
  <c r="AD16" i="19"/>
  <c r="AZ24" i="19"/>
  <c r="BB59" i="19"/>
  <c r="AX53" i="19"/>
  <c r="AD11" i="19"/>
  <c r="N20" i="22"/>
  <c r="AW59" i="19"/>
  <c r="AY53" i="19"/>
  <c r="AR53" i="19" s="1"/>
  <c r="BB17" i="19"/>
  <c r="AK17" i="19"/>
  <c r="AG17" i="19"/>
  <c r="G21" i="19"/>
  <c r="J13" i="19"/>
  <c r="H17" i="19"/>
  <c r="AA109" i="16"/>
  <c r="CB109" i="16" s="1"/>
  <c r="CG109" i="16" s="1"/>
  <c r="AH52" i="19"/>
  <c r="AE52" i="19"/>
  <c r="AJ52" i="19"/>
  <c r="L12" i="22"/>
  <c r="L14" i="19"/>
  <c r="L13" i="22"/>
  <c r="J14" i="19"/>
  <c r="M8" i="22"/>
  <c r="D18" i="22"/>
  <c r="M9" i="22"/>
  <c r="M6" i="22"/>
  <c r="AT57" i="19"/>
  <c r="AD9" i="19"/>
  <c r="AG9" i="19"/>
  <c r="AF9" i="19"/>
  <c r="O9" i="22"/>
  <c r="D9" i="22"/>
  <c r="AZ15" i="19"/>
  <c r="AX12" i="19"/>
  <c r="AE60" i="19"/>
  <c r="BB60" i="19"/>
  <c r="AY24" i="19"/>
  <c r="AX55" i="19"/>
  <c r="AW17" i="19"/>
  <c r="AI20" i="19"/>
  <c r="K20" i="19"/>
  <c r="AZ59" i="19"/>
  <c r="AM57" i="19"/>
  <c r="AU55" i="19"/>
  <c r="AV21" i="19"/>
  <c r="K9" i="19"/>
  <c r="N9" i="19"/>
  <c r="M20" i="19"/>
  <c r="J16" i="19"/>
  <c r="K55" i="19"/>
  <c r="BX348" i="16"/>
  <c r="M18" i="22"/>
  <c r="M16" i="22"/>
  <c r="O10" i="22"/>
  <c r="G21" i="22"/>
  <c r="O14" i="22"/>
  <c r="M19" i="22"/>
  <c r="AV51" i="8"/>
  <c r="AT50" i="8"/>
  <c r="AR50" i="8"/>
  <c r="K6" i="9"/>
  <c r="K22" i="9"/>
  <c r="K21" i="9"/>
  <c r="M20" i="9"/>
  <c r="M19" i="9"/>
  <c r="AV485" i="8"/>
  <c r="BU292" i="8"/>
  <c r="CO289" i="8"/>
  <c r="M14" i="9"/>
  <c r="E13" i="9"/>
  <c r="F13" i="9" s="1"/>
  <c r="M11" i="9"/>
  <c r="M10" i="9"/>
  <c r="M8" i="9"/>
  <c r="AF53" i="19"/>
  <c r="AI17" i="19"/>
  <c r="AG16" i="19"/>
  <c r="M19" i="19"/>
  <c r="M14" i="22"/>
  <c r="N8" i="22"/>
  <c r="L7" i="22"/>
  <c r="D13" i="22"/>
  <c r="M13" i="22"/>
  <c r="AD60" i="19"/>
  <c r="AV59" i="19"/>
  <c r="AY16" i="19"/>
  <c r="AS16" i="19"/>
  <c r="AE15" i="19"/>
  <c r="AL60" i="19"/>
  <c r="AM11" i="19"/>
  <c r="AZ16" i="19"/>
  <c r="BB53" i="19"/>
  <c r="AJ15" i="19"/>
  <c r="AS55" i="19"/>
  <c r="AK56" i="19"/>
  <c r="AU59" i="19"/>
  <c r="AV16" i="19"/>
  <c r="AM15" i="19"/>
  <c r="AZ61" i="19"/>
  <c r="AT60" i="19"/>
  <c r="AX17" i="19"/>
  <c r="AL16" i="19"/>
  <c r="AG53" i="19"/>
  <c r="AD17" i="19"/>
  <c r="AI53" i="19"/>
  <c r="M21" i="19"/>
  <c r="M9" i="19"/>
  <c r="G20" i="19"/>
  <c r="F20" i="19"/>
  <c r="F16" i="19"/>
  <c r="N16" i="19"/>
  <c r="J17" i="19"/>
  <c r="AV9" i="19"/>
  <c r="AA13" i="16"/>
  <c r="CB13" i="16" s="1"/>
  <c r="CG13" i="16" s="1"/>
  <c r="AA88" i="16"/>
  <c r="CB88" i="16" s="1"/>
  <c r="CG88" i="16" s="1"/>
  <c r="I14" i="19"/>
  <c r="AX14" i="19"/>
  <c r="D3" i="22"/>
  <c r="I21" i="22"/>
  <c r="D11" i="22"/>
  <c r="AW18" i="19"/>
  <c r="AH15" i="19"/>
  <c r="AA92" i="16"/>
  <c r="CB92" i="16" s="1"/>
  <c r="CG92" i="16" s="1"/>
  <c r="L8" i="22"/>
  <c r="O8" i="22"/>
  <c r="N12" i="22"/>
  <c r="AT12" i="19"/>
  <c r="AX11" i="19"/>
  <c r="AS12" i="19"/>
  <c r="AV12" i="19"/>
  <c r="AX61" i="19"/>
  <c r="BB24" i="19"/>
  <c r="AV60" i="19"/>
  <c r="BA60" i="19"/>
  <c r="BB55" i="19"/>
  <c r="AS17" i="19"/>
  <c r="BB20" i="19"/>
  <c r="AK20" i="19"/>
  <c r="AC20" i="19" s="1"/>
  <c r="AD56" i="19"/>
  <c r="AM16" i="19"/>
  <c r="AE16" i="19"/>
  <c r="AD58" i="19"/>
  <c r="AW60" i="19"/>
  <c r="AG11" i="19"/>
  <c r="BA59" i="19"/>
  <c r="AU16" i="19"/>
  <c r="AD57" i="19"/>
  <c r="AU60" i="19"/>
  <c r="AE56" i="19"/>
  <c r="AT59" i="19"/>
  <c r="AV58" i="19"/>
  <c r="AI57" i="19"/>
  <c r="AY61" i="19"/>
  <c r="AR61" i="19" s="1"/>
  <c r="AJ23" i="19"/>
  <c r="M55" i="19"/>
  <c r="AE53" i="19"/>
  <c r="AL17" i="19"/>
  <c r="AC17" i="19" s="1"/>
  <c r="AF17" i="19"/>
  <c r="L21" i="19"/>
  <c r="I20" i="19"/>
  <c r="D12" i="22"/>
  <c r="O4" i="22"/>
  <c r="BX8" i="16"/>
  <c r="AN52" i="19"/>
  <c r="P52" i="19" s="1"/>
  <c r="AA96" i="16"/>
  <c r="CB96" i="16" s="1"/>
  <c r="CG96" i="16" s="1"/>
  <c r="L19" i="19"/>
  <c r="L22" i="19"/>
  <c r="F55" i="19"/>
  <c r="L16" i="19"/>
  <c r="H20" i="19"/>
  <c r="O59" i="19"/>
  <c r="H15" i="19"/>
  <c r="L13" i="19"/>
  <c r="O9" i="19"/>
  <c r="G53" i="19"/>
  <c r="AA150" i="16"/>
  <c r="CB150" i="16" s="1"/>
  <c r="CG150" i="16" s="1"/>
  <c r="AA104" i="16"/>
  <c r="CB104" i="16" s="1"/>
  <c r="CG104" i="16" s="1"/>
  <c r="AA100" i="16"/>
  <c r="CB100" i="16" s="1"/>
  <c r="CG100" i="16" s="1"/>
  <c r="AH23" i="19"/>
  <c r="AF60" i="19"/>
  <c r="AM22" i="19"/>
  <c r="AJ53" i="19"/>
  <c r="AC53" i="19" s="1"/>
  <c r="AI55" i="19"/>
  <c r="AJ16" i="19"/>
  <c r="AF20" i="19"/>
  <c r="AH59" i="19"/>
  <c r="AK57" i="19"/>
  <c r="AH12" i="19"/>
  <c r="AZ18" i="19"/>
  <c r="BB61" i="19"/>
  <c r="AV23" i="19"/>
  <c r="AT24" i="19"/>
  <c r="AT22" i="19"/>
  <c r="AU53" i="19"/>
  <c r="AT55" i="19"/>
  <c r="BA16" i="19"/>
  <c r="AT20" i="19"/>
  <c r="AT21" i="19"/>
  <c r="AX13" i="19"/>
  <c r="BA9" i="19"/>
  <c r="AA17" i="16"/>
  <c r="CB17" i="16" s="1"/>
  <c r="CG17" i="16" s="1"/>
  <c r="N4" i="22"/>
  <c r="O12" i="22"/>
  <c r="AH53" i="19"/>
  <c r="M17" i="19"/>
  <c r="K22" i="19"/>
  <c r="AA373" i="16"/>
  <c r="CB373" i="16" s="1"/>
  <c r="CG373" i="16" s="1"/>
  <c r="O7" i="22"/>
  <c r="O18" i="22"/>
  <c r="D16" i="22"/>
  <c r="D19" i="22"/>
  <c r="D20" i="22"/>
  <c r="L5" i="22"/>
  <c r="E20" i="15"/>
  <c r="F20" i="15" s="1"/>
  <c r="AI16" i="15"/>
  <c r="AK17" i="15"/>
  <c r="AI15" i="15"/>
  <c r="AI8" i="15"/>
  <c r="AH7" i="15"/>
  <c r="AJ8" i="15"/>
  <c r="AK18" i="15"/>
  <c r="AI10" i="15"/>
  <c r="AW157" i="13"/>
  <c r="AK7" i="15"/>
  <c r="AK19" i="15"/>
  <c r="N11" i="15"/>
  <c r="K20" i="15"/>
  <c r="AQ50" i="13"/>
  <c r="M18" i="15"/>
  <c r="AH23" i="15"/>
  <c r="AK20" i="15"/>
  <c r="AJ24" i="15"/>
  <c r="AU50" i="13"/>
  <c r="AP50" i="13"/>
  <c r="AJ26" i="15"/>
  <c r="AI11" i="15"/>
  <c r="F16" i="15"/>
  <c r="K13" i="15"/>
  <c r="E13" i="15"/>
  <c r="N13" i="15" s="1"/>
  <c r="K18" i="15"/>
  <c r="M19" i="15"/>
  <c r="I23" i="15"/>
  <c r="E12" i="15"/>
  <c r="L12" i="15" s="1"/>
  <c r="E21" i="15"/>
  <c r="L21" i="15" s="1"/>
  <c r="AW75" i="13"/>
  <c r="M11" i="15"/>
  <c r="AH6" i="15"/>
  <c r="AK15" i="15"/>
  <c r="AI17" i="15"/>
  <c r="Q24" i="15"/>
  <c r="AJ6" i="15"/>
  <c r="AH21" i="15"/>
  <c r="AH10" i="15"/>
  <c r="AH8" i="15"/>
  <c r="CO289" i="13"/>
  <c r="AR50" i="13"/>
  <c r="AK11" i="15"/>
  <c r="AK8" i="15"/>
  <c r="AJ10" i="15"/>
  <c r="AK10" i="15"/>
  <c r="AH9" i="15"/>
  <c r="AI18" i="15"/>
  <c r="K21" i="15"/>
  <c r="M22" i="9"/>
  <c r="J23" i="9"/>
  <c r="K19" i="9"/>
  <c r="E11" i="9"/>
  <c r="F11" i="9" s="1"/>
  <c r="M6" i="9"/>
  <c r="M21" i="9"/>
  <c r="AP50" i="8"/>
  <c r="CQ289" i="8"/>
  <c r="AV87" i="8"/>
  <c r="AV86" i="8" s="1"/>
  <c r="E6" i="9"/>
  <c r="N6" i="9" s="1"/>
  <c r="E22" i="9"/>
  <c r="N22" i="9" s="1"/>
  <c r="E21" i="9"/>
  <c r="N21" i="9" s="1"/>
  <c r="N3" i="22"/>
  <c r="N17" i="22"/>
  <c r="L14" i="22"/>
  <c r="AJ56" i="19"/>
  <c r="D10" i="22"/>
  <c r="AD23" i="19"/>
  <c r="AK11" i="19"/>
  <c r="AX21" i="19"/>
  <c r="AZ21" i="19"/>
  <c r="BB58" i="19"/>
  <c r="AW53" i="19"/>
  <c r="AG57" i="19"/>
  <c r="AV20" i="19"/>
  <c r="AE20" i="19"/>
  <c r="AF11" i="19"/>
  <c r="BB21" i="19"/>
  <c r="AX16" i="19"/>
  <c r="AT53" i="19"/>
  <c r="AJ57" i="19"/>
  <c r="K19" i="19"/>
  <c r="AY55" i="19"/>
  <c r="AR55" i="19" s="1"/>
  <c r="AL53" i="19"/>
  <c r="AM53" i="19"/>
  <c r="AK53" i="19"/>
  <c r="AH17" i="19"/>
  <c r="AN17" i="19" s="1"/>
  <c r="P17" i="19" s="1"/>
  <c r="O21" i="19"/>
  <c r="N21" i="19"/>
  <c r="E21" i="19" s="1"/>
  <c r="B21" i="19" s="1"/>
  <c r="L20" i="19"/>
  <c r="AW20" i="19"/>
  <c r="AG23" i="19"/>
  <c r="G16" i="19"/>
  <c r="M16" i="19"/>
  <c r="E16" i="19" s="1"/>
  <c r="AS18" i="19"/>
  <c r="AT18" i="19"/>
  <c r="L17" i="19"/>
  <c r="E17" i="19" s="1"/>
  <c r="I55" i="19"/>
  <c r="L55" i="19"/>
  <c r="E55" i="19" s="1"/>
  <c r="AF56" i="19"/>
  <c r="AW9" i="19"/>
  <c r="AE57" i="19"/>
  <c r="AT14" i="19"/>
  <c r="AF59" i="19"/>
  <c r="BX388" i="16"/>
  <c r="BX73" i="16"/>
  <c r="AA93" i="16"/>
  <c r="CB93" i="16" s="1"/>
  <c r="CG93" i="16" s="1"/>
  <c r="AZ9" i="19"/>
  <c r="N19" i="19"/>
  <c r="E19" i="19" s="1"/>
  <c r="H14" i="19"/>
  <c r="AK23" i="19"/>
  <c r="AW58" i="19"/>
  <c r="AV18" i="19"/>
  <c r="F17" i="19"/>
  <c r="G55" i="19"/>
  <c r="AX59" i="19"/>
  <c r="AJ11" i="19"/>
  <c r="AU21" i="19"/>
  <c r="AE59" i="19"/>
  <c r="BX89" i="16"/>
  <c r="F14" i="19"/>
  <c r="M15" i="19"/>
  <c r="G19" i="19"/>
  <c r="BR14" i="21"/>
  <c r="AC52" i="19"/>
  <c r="G14" i="19"/>
  <c r="N15" i="19"/>
  <c r="AW15" i="19"/>
  <c r="AK12" i="15"/>
  <c r="F10" i="15"/>
  <c r="L10" i="15"/>
  <c r="K22" i="15"/>
  <c r="M22" i="15"/>
  <c r="K10" i="15"/>
  <c r="M10" i="15"/>
  <c r="K14" i="15"/>
  <c r="M14" i="15"/>
  <c r="E19" i="15"/>
  <c r="L19" i="15" s="1"/>
  <c r="E9" i="15"/>
  <c r="F9" i="15" s="1"/>
  <c r="AK6" i="15"/>
  <c r="K9" i="15"/>
  <c r="F13" i="15"/>
  <c r="E22" i="15"/>
  <c r="L22" i="15" s="1"/>
  <c r="CR289" i="13"/>
  <c r="CN289" i="13"/>
  <c r="CV289" i="13" s="1"/>
  <c r="K6" i="15"/>
  <c r="E6" i="15"/>
  <c r="M6" i="15"/>
  <c r="M12" i="15"/>
  <c r="K12" i="15"/>
  <c r="AK16" i="15"/>
  <c r="AH13" i="15"/>
  <c r="K17" i="15"/>
  <c r="E17" i="15"/>
  <c r="AB27" i="15"/>
  <c r="AJ14" i="15"/>
  <c r="AI14" i="15"/>
  <c r="N10" i="15"/>
  <c r="AW99" i="13"/>
  <c r="AI20" i="15"/>
  <c r="AJ18" i="15"/>
  <c r="AJ21" i="15"/>
  <c r="AI19" i="15"/>
  <c r="AI24" i="15"/>
  <c r="AH20" i="15"/>
  <c r="AH17" i="15"/>
  <c r="AI22" i="15"/>
  <c r="AH11" i="15"/>
  <c r="AI26" i="15"/>
  <c r="AF27" i="15"/>
  <c r="AI21" i="15"/>
  <c r="AI7" i="15"/>
  <c r="AH16" i="15"/>
  <c r="AI23" i="15"/>
  <c r="CT289" i="13"/>
  <c r="AK9" i="15"/>
  <c r="AJ9" i="15"/>
  <c r="AW87" i="13"/>
  <c r="CS289" i="13"/>
  <c r="F19" i="15"/>
  <c r="L9" i="15"/>
  <c r="AW50" i="13"/>
  <c r="K15" i="15"/>
  <c r="M15" i="15"/>
  <c r="AI25" i="15"/>
  <c r="AH24" i="15"/>
  <c r="AJ20" i="15"/>
  <c r="AK24" i="15"/>
  <c r="AH26" i="15"/>
  <c r="AH18" i="15"/>
  <c r="AI9" i="15"/>
  <c r="AJ12" i="15"/>
  <c r="AJ16" i="15"/>
  <c r="AJ17" i="15"/>
  <c r="AJ19" i="15"/>
  <c r="M9" i="15"/>
  <c r="E15" i="15"/>
  <c r="F15" i="15" s="1"/>
  <c r="K19" i="15"/>
  <c r="J23" i="15"/>
  <c r="AK25" i="15"/>
  <c r="AE27" i="15"/>
  <c r="AH25" i="15"/>
  <c r="AK23" i="15"/>
  <c r="AK26" i="15"/>
  <c r="AK22" i="15"/>
  <c r="AH22" i="15"/>
  <c r="AJ22" i="15"/>
  <c r="K11" i="15"/>
  <c r="E14" i="15"/>
  <c r="H23" i="15"/>
  <c r="AW51" i="13"/>
  <c r="AD27" i="15"/>
  <c r="G23" i="15"/>
  <c r="M17" i="15"/>
  <c r="AA436" i="20"/>
  <c r="CB436" i="20" s="1"/>
  <c r="CG436" i="20" s="1"/>
  <c r="K22" i="21"/>
  <c r="I22" i="21"/>
  <c r="G22" i="21"/>
  <c r="BX359" i="20"/>
  <c r="BX379" i="20"/>
  <c r="F22" i="21"/>
  <c r="H22" i="21"/>
  <c r="AV15" i="19"/>
  <c r="AS15" i="19"/>
  <c r="CU292" i="8"/>
  <c r="E20" i="9"/>
  <c r="F20" i="9" s="1"/>
  <c r="E19" i="9"/>
  <c r="L19" i="9" s="1"/>
  <c r="E16" i="9"/>
  <c r="L16" i="9" s="1"/>
  <c r="M15" i="9"/>
  <c r="K14" i="9"/>
  <c r="K13" i="9"/>
  <c r="K12" i="9"/>
  <c r="K11" i="9"/>
  <c r="K10" i="9"/>
  <c r="K9" i="9"/>
  <c r="CS289" i="8"/>
  <c r="M17" i="9"/>
  <c r="N14" i="9"/>
  <c r="CM289" i="8"/>
  <c r="CU289" i="8" s="1"/>
  <c r="AV201" i="8"/>
  <c r="AV75" i="8"/>
  <c r="I23" i="9"/>
  <c r="F6" i="9"/>
  <c r="N20" i="9"/>
  <c r="F21" i="9"/>
  <c r="L21" i="9"/>
  <c r="F16" i="9"/>
  <c r="K17" i="9"/>
  <c r="E8" i="9"/>
  <c r="M13" i="9"/>
  <c r="K16" i="9"/>
  <c r="E9" i="9"/>
  <c r="E15" i="9"/>
  <c r="E12" i="9"/>
  <c r="M12" i="9"/>
  <c r="CR289" i="8"/>
  <c r="G23" i="9"/>
  <c r="K8" i="9"/>
  <c r="M16" i="9"/>
  <c r="M9" i="9"/>
  <c r="E10" i="9"/>
  <c r="H23" i="9"/>
  <c r="L14" i="9"/>
  <c r="K15" i="9"/>
  <c r="CB9" i="20"/>
  <c r="CG9" i="20" s="1"/>
  <c r="BX96" i="20"/>
  <c r="BX101" i="20"/>
  <c r="BX88" i="20"/>
  <c r="BX92" i="20"/>
  <c r="BX373" i="20"/>
  <c r="BX389" i="20"/>
  <c r="BX348" i="20"/>
  <c r="BX71" i="20"/>
  <c r="BX82" i="20"/>
  <c r="BX67" i="20"/>
  <c r="BX344" i="20"/>
  <c r="BX388" i="20"/>
  <c r="BX372" i="20"/>
  <c r="BX420" i="20"/>
  <c r="BX358" i="20"/>
  <c r="BX436" i="20"/>
  <c r="BX20" i="20"/>
  <c r="BX70" i="20"/>
  <c r="BX75" i="20"/>
  <c r="K20" i="21"/>
  <c r="J12" i="21"/>
  <c r="BX346" i="20"/>
  <c r="BX11" i="20"/>
  <c r="BX115" i="20"/>
  <c r="BX167" i="20"/>
  <c r="BX14" i="20"/>
  <c r="BX374" i="20"/>
  <c r="H60" i="21"/>
  <c r="I60" i="21"/>
  <c r="G60" i="21"/>
  <c r="M56" i="21"/>
  <c r="L11" i="21"/>
  <c r="CB390" i="20"/>
  <c r="CG390" i="20" s="1"/>
  <c r="BX390" i="20"/>
  <c r="M19" i="21"/>
  <c r="I19" i="21"/>
  <c r="J17" i="21"/>
  <c r="I55" i="21"/>
  <c r="O18" i="21"/>
  <c r="G18" i="21"/>
  <c r="H14" i="21"/>
  <c r="O14" i="21"/>
  <c r="N53" i="21"/>
  <c r="J19" i="21"/>
  <c r="N18" i="21"/>
  <c r="L53" i="21"/>
  <c r="O55" i="21"/>
  <c r="H16" i="21"/>
  <c r="J14" i="21"/>
  <c r="G17" i="21"/>
  <c r="H19" i="21"/>
  <c r="N19" i="21"/>
  <c r="N16" i="21"/>
  <c r="M18" i="21"/>
  <c r="H58" i="21"/>
  <c r="K17" i="21"/>
  <c r="K18" i="21"/>
  <c r="L18" i="21"/>
  <c r="K19" i="21"/>
  <c r="O19" i="21"/>
  <c r="H18" i="21"/>
  <c r="L19" i="21"/>
  <c r="F58" i="21"/>
  <c r="J18" i="21"/>
  <c r="F19" i="21"/>
  <c r="F23" i="21"/>
  <c r="F20" i="21"/>
  <c r="F21" i="21"/>
  <c r="F56" i="21"/>
  <c r="H12" i="21"/>
  <c r="L12" i="21"/>
  <c r="F13" i="21"/>
  <c r="L16" i="21"/>
  <c r="K16" i="21"/>
  <c r="J16" i="21"/>
  <c r="N15" i="21"/>
  <c r="O16" i="21"/>
  <c r="F18" i="21"/>
  <c r="CB376" i="20"/>
  <c r="CG376" i="20" s="1"/>
  <c r="F54" i="21" s="1"/>
  <c r="BX376" i="20"/>
  <c r="N58" i="21"/>
  <c r="G16" i="21"/>
  <c r="N21" i="21"/>
  <c r="I58" i="21"/>
  <c r="K58" i="21"/>
  <c r="L58" i="21"/>
  <c r="K13" i="21"/>
  <c r="I15" i="21"/>
  <c r="I11" i="21"/>
  <c r="F16" i="21"/>
  <c r="J21" i="21"/>
  <c r="O20" i="21"/>
  <c r="BX95" i="20"/>
  <c r="BX100" i="20"/>
  <c r="H23" i="21"/>
  <c r="M58" i="21"/>
  <c r="G59" i="21"/>
  <c r="M20" i="21"/>
  <c r="O58" i="21"/>
  <c r="G58" i="21"/>
  <c r="J58" i="21"/>
  <c r="I16" i="21"/>
  <c r="M16" i="21"/>
  <c r="BX104" i="20"/>
  <c r="J22" i="21"/>
  <c r="G53" i="21"/>
  <c r="H17" i="21"/>
  <c r="N20" i="21"/>
  <c r="M13" i="21"/>
  <c r="M21" i="21"/>
  <c r="E21" i="21" s="1"/>
  <c r="N57" i="19"/>
  <c r="BX65" i="16"/>
  <c r="R20" i="19"/>
  <c r="BX374" i="16"/>
  <c r="BX18" i="16"/>
  <c r="BX359" i="16"/>
  <c r="AR16" i="19"/>
  <c r="AJ60" i="19"/>
  <c r="AF14" i="19"/>
  <c r="AV61" i="19"/>
  <c r="AU14" i="19"/>
  <c r="H62" i="19"/>
  <c r="L62" i="19"/>
  <c r="G62" i="19"/>
  <c r="H12" i="19"/>
  <c r="N62" i="19"/>
  <c r="M62" i="19"/>
  <c r="N12" i="19"/>
  <c r="M12" i="19"/>
  <c r="F62" i="19"/>
  <c r="J12" i="19"/>
  <c r="G12" i="19"/>
  <c r="L12" i="19"/>
  <c r="O12" i="19"/>
  <c r="K62" i="19"/>
  <c r="F12" i="19"/>
  <c r="K12" i="19"/>
  <c r="I12" i="19"/>
  <c r="J62" i="19"/>
  <c r="O62" i="19"/>
  <c r="I62" i="19"/>
  <c r="F15" i="19"/>
  <c r="I13" i="19"/>
  <c r="AH56" i="19"/>
  <c r="AI15" i="19"/>
  <c r="AG12" i="19"/>
  <c r="AX9" i="19"/>
  <c r="I59" i="19"/>
  <c r="D17" i="22"/>
  <c r="N13" i="22"/>
  <c r="L17" i="22"/>
  <c r="D26" i="19"/>
  <c r="N5" i="22"/>
  <c r="AJ55" i="19"/>
  <c r="AC55" i="19" s="1"/>
  <c r="AM59" i="19"/>
  <c r="AX18" i="19"/>
  <c r="AZ23" i="19"/>
  <c r="AZ22" i="19"/>
  <c r="BA53" i="19"/>
  <c r="AU58" i="19"/>
  <c r="BC58" i="19" s="1"/>
  <c r="Q58" i="19" s="1"/>
  <c r="AS21" i="19"/>
  <c r="H22" i="19"/>
  <c r="L53" i="19"/>
  <c r="J55" i="19"/>
  <c r="AL23" i="19"/>
  <c r="AC23" i="19" s="1"/>
  <c r="BO14" i="21"/>
  <c r="N58" i="19"/>
  <c r="H19" i="19"/>
  <c r="L54" i="19"/>
  <c r="BK14" i="21"/>
  <c r="AC60" i="19"/>
  <c r="L3" i="22"/>
  <c r="AR10" i="19"/>
  <c r="E14" i="19"/>
  <c r="E53" i="19"/>
  <c r="AR24" i="19"/>
  <c r="AC11" i="19"/>
  <c r="AN53" i="19"/>
  <c r="P53" i="19" s="1"/>
  <c r="E9" i="19"/>
  <c r="E10" i="19"/>
  <c r="B10" i="19" s="1"/>
  <c r="BC10" i="19"/>
  <c r="D63" i="19"/>
  <c r="D5" i="22"/>
  <c r="E20" i="19"/>
  <c r="D4" i="22"/>
  <c r="J21" i="22"/>
  <c r="O16" i="22"/>
  <c r="M20" i="22"/>
  <c r="AN10" i="19"/>
  <c r="AJ24" i="19"/>
  <c r="AL24" i="19"/>
  <c r="AH24" i="19"/>
  <c r="AF24" i="19"/>
  <c r="AG24" i="19"/>
  <c r="AI24" i="19"/>
  <c r="AE24" i="19"/>
  <c r="AM24" i="19"/>
  <c r="AQ63" i="19"/>
  <c r="R16" i="19"/>
  <c r="AA387" i="16"/>
  <c r="CB387" i="16" s="1"/>
  <c r="CG387" i="16" s="1"/>
  <c r="AA370" i="16"/>
  <c r="CB370" i="16" s="1"/>
  <c r="CG370" i="16" s="1"/>
  <c r="AA346" i="16"/>
  <c r="CB346" i="16" s="1"/>
  <c r="CG346" i="16" s="1"/>
  <c r="AA364" i="16"/>
  <c r="CB364" i="16" s="1"/>
  <c r="CG364" i="16" s="1"/>
  <c r="O6" i="22"/>
  <c r="BS14" i="21"/>
  <c r="BN14" i="21"/>
  <c r="BC59" i="19"/>
  <c r="Q59" i="19" s="1"/>
  <c r="H21" i="22"/>
  <c r="E21" i="22"/>
  <c r="O3" i="22"/>
  <c r="AR59" i="19"/>
  <c r="O5" i="22"/>
  <c r="M5" i="22"/>
  <c r="AF23" i="19"/>
  <c r="AN23" i="19" s="1"/>
  <c r="P23" i="19" s="1"/>
  <c r="BB16" i="19"/>
  <c r="AU18" i="19"/>
  <c r="BB18" i="19"/>
  <c r="O17" i="19"/>
  <c r="I17" i="19"/>
  <c r="M13" i="19"/>
  <c r="E13" i="19" s="1"/>
  <c r="AG15" i="19"/>
  <c r="AN15" i="19" s="1"/>
  <c r="P15" i="19" s="1"/>
  <c r="AE11" i="19"/>
  <c r="AY9" i="19"/>
  <c r="AR9" i="19" s="1"/>
  <c r="AY21" i="19"/>
  <c r="AR21" i="19" s="1"/>
  <c r="AL15" i="19"/>
  <c r="AC15" i="19" s="1"/>
  <c r="BB14" i="19"/>
  <c r="AV14" i="19"/>
  <c r="AJ59" i="19"/>
  <c r="AC59" i="19" s="1"/>
  <c r="AI59" i="19"/>
  <c r="H53" i="19"/>
  <c r="F59" i="19"/>
  <c r="F22" i="19"/>
  <c r="AS22" i="19"/>
  <c r="BB22" i="19"/>
  <c r="AY22" i="19"/>
  <c r="AU22" i="19"/>
  <c r="AX23" i="19"/>
  <c r="G15" i="19"/>
  <c r="AS23" i="19"/>
  <c r="BB23" i="19"/>
  <c r="J19" i="19"/>
  <c r="I19" i="19"/>
  <c r="F19" i="19"/>
  <c r="K14" i="19"/>
  <c r="R14" i="19" s="1"/>
  <c r="O14" i="19"/>
  <c r="AG19" i="19"/>
  <c r="BP14" i="21"/>
  <c r="BM14" i="21"/>
  <c r="N16" i="22"/>
  <c r="R21" i="19"/>
  <c r="L16" i="22"/>
  <c r="BC20" i="19"/>
  <c r="Q20" i="19" s="1"/>
  <c r="AC16" i="19"/>
  <c r="AR58" i="19"/>
  <c r="AZ58" i="19"/>
  <c r="BA18" i="19"/>
  <c r="AR18" i="19" s="1"/>
  <c r="G17" i="19"/>
  <c r="R17" i="19" s="1"/>
  <c r="AS53" i="19"/>
  <c r="BC53" i="19" s="1"/>
  <c r="Q53" i="19" s="1"/>
  <c r="AT9" i="19"/>
  <c r="AY14" i="19"/>
  <c r="AG59" i="19"/>
  <c r="AN59" i="19" s="1"/>
  <c r="P59" i="19" s="1"/>
  <c r="BX342" i="16"/>
  <c r="AW22" i="19"/>
  <c r="AW23" i="19"/>
  <c r="AS14" i="19"/>
  <c r="C21" i="22"/>
  <c r="F22" i="22" s="1"/>
  <c r="AL22" i="19"/>
  <c r="AK55" i="19"/>
  <c r="BQ14" i="21"/>
  <c r="AF58" i="19"/>
  <c r="AL58" i="19"/>
  <c r="AI58" i="19"/>
  <c r="AE58" i="19"/>
  <c r="AJ58" i="19"/>
  <c r="AC58" i="19" s="1"/>
  <c r="AH58" i="19"/>
  <c r="AG58" i="19"/>
  <c r="AM58" i="19"/>
  <c r="AF13" i="19"/>
  <c r="AM13" i="19"/>
  <c r="AK13" i="19"/>
  <c r="AG13" i="19"/>
  <c r="AG62" i="19"/>
  <c r="AL13" i="19"/>
  <c r="AJ13" i="19"/>
  <c r="AH13" i="19"/>
  <c r="AJ62" i="19"/>
  <c r="AC62" i="19" s="1"/>
  <c r="AI62" i="19"/>
  <c r="AW13" i="19"/>
  <c r="BB62" i="19"/>
  <c r="AX62" i="19"/>
  <c r="AU13" i="19"/>
  <c r="BA13" i="19"/>
  <c r="AT13" i="19"/>
  <c r="BA62" i="19"/>
  <c r="AU62" i="19"/>
  <c r="AV62" i="19"/>
  <c r="AZ13" i="19"/>
  <c r="AY13" i="19"/>
  <c r="AV13" i="19"/>
  <c r="AT62" i="19"/>
  <c r="AY62" i="19"/>
  <c r="AR62" i="19" s="1"/>
  <c r="BB13" i="19"/>
  <c r="AW62" i="19"/>
  <c r="AZ62" i="19"/>
  <c r="AS62" i="19"/>
  <c r="L61" i="19"/>
  <c r="AM25" i="19"/>
  <c r="AK21" i="19"/>
  <c r="AL21" i="19"/>
  <c r="AH54" i="19"/>
  <c r="AL54" i="19"/>
  <c r="AJ54" i="19"/>
  <c r="AC54" i="19" s="1"/>
  <c r="AK54" i="19"/>
  <c r="AE21" i="19"/>
  <c r="AD54" i="19"/>
  <c r="AE54" i="19"/>
  <c r="AM54" i="19"/>
  <c r="AM21" i="19"/>
  <c r="AD21" i="19"/>
  <c r="AG21" i="19"/>
  <c r="AJ21" i="19"/>
  <c r="AI54" i="19"/>
  <c r="AF54" i="19"/>
  <c r="AG54" i="19"/>
  <c r="AU19" i="19"/>
  <c r="AV19" i="19"/>
  <c r="AZ57" i="19"/>
  <c r="BA19" i="19"/>
  <c r="AZ19" i="19"/>
  <c r="AY57" i="19"/>
  <c r="BB57" i="19"/>
  <c r="BB19" i="19"/>
  <c r="AV54" i="19"/>
  <c r="AX54" i="19"/>
  <c r="AS54" i="19"/>
  <c r="AU54" i="19"/>
  <c r="AW54" i="19"/>
  <c r="BA54" i="19"/>
  <c r="AY54" i="19"/>
  <c r="AR54" i="19" s="1"/>
  <c r="BB54" i="19"/>
  <c r="AT54" i="19"/>
  <c r="G25" i="19"/>
  <c r="F25" i="19"/>
  <c r="L25" i="19"/>
  <c r="J25" i="19"/>
  <c r="N25" i="19"/>
  <c r="K25" i="19"/>
  <c r="I25" i="19"/>
  <c r="M23" i="19"/>
  <c r="L23" i="19"/>
  <c r="N23" i="19"/>
  <c r="J23" i="19"/>
  <c r="I23" i="19"/>
  <c r="G23" i="19"/>
  <c r="H23" i="19"/>
  <c r="O23" i="19"/>
  <c r="K23" i="19"/>
  <c r="F23" i="19"/>
  <c r="F56" i="19"/>
  <c r="N11" i="19"/>
  <c r="K56" i="19"/>
  <c r="G56" i="19"/>
  <c r="L56" i="19"/>
  <c r="O11" i="19"/>
  <c r="I11" i="19"/>
  <c r="N56" i="19"/>
  <c r="G11" i="19"/>
  <c r="H56" i="19"/>
  <c r="I56" i="19"/>
  <c r="O56" i="19"/>
  <c r="K11" i="19"/>
  <c r="F11" i="19"/>
  <c r="J56" i="19"/>
  <c r="L11" i="19"/>
  <c r="BC24" i="19"/>
  <c r="Q24" i="19" s="1"/>
  <c r="AV11" i="19"/>
  <c r="BB56" i="19"/>
  <c r="AX56" i="19"/>
  <c r="AS56" i="19"/>
  <c r="AV56" i="19"/>
  <c r="AW56" i="19"/>
  <c r="AU56" i="19"/>
  <c r="AW11" i="19"/>
  <c r="M18" i="19"/>
  <c r="F58" i="19"/>
  <c r="M58" i="19"/>
  <c r="J18" i="19"/>
  <c r="O18" i="19"/>
  <c r="K58" i="19"/>
  <c r="I58" i="19"/>
  <c r="O58" i="19"/>
  <c r="J58" i="19"/>
  <c r="H58" i="19"/>
  <c r="K18" i="19"/>
  <c r="G58" i="19"/>
  <c r="L58" i="19"/>
  <c r="L57" i="19"/>
  <c r="I57" i="19"/>
  <c r="O57" i="19"/>
  <c r="H57" i="19"/>
  <c r="K57" i="19"/>
  <c r="M57" i="19"/>
  <c r="J57" i="19"/>
  <c r="F57" i="19"/>
  <c r="G57" i="19"/>
  <c r="G54" i="19"/>
  <c r="J54" i="19"/>
  <c r="N54" i="19"/>
  <c r="K54" i="19"/>
  <c r="O54" i="19"/>
  <c r="F54" i="19"/>
  <c r="H54" i="19"/>
  <c r="M54" i="19"/>
  <c r="I54" i="19"/>
  <c r="N24" i="19"/>
  <c r="F24" i="19"/>
  <c r="H24" i="19"/>
  <c r="N60" i="19"/>
  <c r="L24" i="19"/>
  <c r="G24" i="19"/>
  <c r="J24" i="19"/>
  <c r="I24" i="19"/>
  <c r="K24" i="19"/>
  <c r="M24" i="19"/>
  <c r="O24" i="19"/>
  <c r="B20" i="19"/>
  <c r="E22" i="22"/>
  <c r="AA358" i="16"/>
  <c r="CB358" i="16" s="1"/>
  <c r="CG358" i="16" s="1"/>
  <c r="AA167" i="16"/>
  <c r="CB167" i="16" s="1"/>
  <c r="CG167" i="16" s="1"/>
  <c r="AA95" i="16"/>
  <c r="CB95" i="16" s="1"/>
  <c r="CG95" i="16" s="1"/>
  <c r="AA67" i="16"/>
  <c r="CB67" i="16" s="1"/>
  <c r="CG67" i="16" s="1"/>
  <c r="AA114" i="16"/>
  <c r="CB114" i="16" s="1"/>
  <c r="CG114" i="16" s="1"/>
  <c r="AA14" i="16"/>
  <c r="CB14" i="16" s="1"/>
  <c r="CG14" i="16" s="1"/>
  <c r="AA103" i="16"/>
  <c r="CB103" i="16" s="1"/>
  <c r="CG103" i="16" s="1"/>
  <c r="AA99" i="16"/>
  <c r="CB99" i="16" s="1"/>
  <c r="CG99" i="16" s="1"/>
  <c r="AA9" i="16"/>
  <c r="CB9" i="16" s="1"/>
  <c r="CG9" i="16" s="1"/>
  <c r="AF19" i="19"/>
  <c r="AM19" i="19"/>
  <c r="AD13" i="19"/>
  <c r="AN13" i="19" s="1"/>
  <c r="P13" i="19" s="1"/>
  <c r="AZ25" i="19"/>
  <c r="J22" i="22"/>
  <c r="BC22" i="19"/>
  <c r="Q22" i="19" s="1"/>
  <c r="B17" i="19"/>
  <c r="AN60" i="19"/>
  <c r="P60" i="19" s="1"/>
  <c r="AC56" i="19"/>
  <c r="AA369" i="16"/>
  <c r="CB369" i="16" s="1"/>
  <c r="CG369" i="16" s="1"/>
  <c r="AL19" i="19"/>
  <c r="AE19" i="19"/>
  <c r="AW21" i="19"/>
  <c r="BC21" i="19" s="1"/>
  <c r="Q21" i="19" s="1"/>
  <c r="AD24" i="19"/>
  <c r="AN24" i="19" s="1"/>
  <c r="P24" i="19" s="1"/>
  <c r="E62" i="19"/>
  <c r="B53" i="19"/>
  <c r="AR15" i="19"/>
  <c r="G18" i="19"/>
  <c r="H18" i="19"/>
  <c r="F18" i="19"/>
  <c r="L18" i="19"/>
  <c r="I60" i="19"/>
  <c r="G60" i="19"/>
  <c r="H60" i="19"/>
  <c r="AJ25" i="19"/>
  <c r="AD61" i="19"/>
  <c r="AH25" i="19"/>
  <c r="AH61" i="19"/>
  <c r="AE61" i="19"/>
  <c r="AJ22" i="19"/>
  <c r="AK22" i="19"/>
  <c r="AD22" i="19"/>
  <c r="AE22" i="19"/>
  <c r="AH22" i="19"/>
  <c r="AI22" i="19"/>
  <c r="AK12" i="19"/>
  <c r="AE12" i="19"/>
  <c r="AF12" i="19"/>
  <c r="AM12" i="19"/>
  <c r="AD12" i="19"/>
  <c r="F61" i="19"/>
  <c r="I61" i="19"/>
  <c r="M61" i="19"/>
  <c r="O61" i="19"/>
  <c r="K61" i="19"/>
  <c r="N61" i="19"/>
  <c r="G61" i="19"/>
  <c r="J61" i="19"/>
  <c r="BC17" i="19"/>
  <c r="Q17" i="19" s="1"/>
  <c r="AH18" i="19"/>
  <c r="AK18" i="19"/>
  <c r="AD18" i="19"/>
  <c r="AF18" i="19"/>
  <c r="AG18" i="19"/>
  <c r="AM18" i="19"/>
  <c r="AJ18" i="19"/>
  <c r="AG55" i="19"/>
  <c r="AF55" i="19"/>
  <c r="AL55" i="19"/>
  <c r="AD55" i="19"/>
  <c r="AM55" i="19"/>
  <c r="AI21" i="19"/>
  <c r="AK59" i="19"/>
  <c r="AF21" i="19"/>
  <c r="AH21" i="19"/>
  <c r="AL59" i="19"/>
  <c r="AZ11" i="19"/>
  <c r="AY56" i="19"/>
  <c r="AR56" i="19" s="1"/>
  <c r="BA11" i="19"/>
  <c r="BB11" i="19"/>
  <c r="AT56" i="19"/>
  <c r="AT11" i="19"/>
  <c r="AY11" i="19"/>
  <c r="AU11" i="19"/>
  <c r="O22" i="19"/>
  <c r="M22" i="19"/>
  <c r="I22" i="19"/>
  <c r="N22" i="19"/>
  <c r="J22" i="19"/>
  <c r="G22" i="19"/>
  <c r="M11" i="19"/>
  <c r="E11" i="19" s="1"/>
  <c r="H11" i="19"/>
  <c r="M56" i="19"/>
  <c r="E56" i="19" s="1"/>
  <c r="B56" i="19" s="1"/>
  <c r="J11" i="19"/>
  <c r="BC15" i="19"/>
  <c r="Q15" i="19" s="1"/>
  <c r="AR12" i="19"/>
  <c r="BC61" i="19"/>
  <c r="Q61" i="19" s="1"/>
  <c r="BC60" i="19"/>
  <c r="Q60" i="19" s="1"/>
  <c r="AN20" i="19"/>
  <c r="P20" i="19" s="1"/>
  <c r="U20" i="19" s="1"/>
  <c r="BC16" i="19"/>
  <c r="Q16" i="19" s="1"/>
  <c r="BC55" i="19"/>
  <c r="Q55" i="19" s="1"/>
  <c r="AN11" i="19"/>
  <c r="AM14" i="19"/>
  <c r="AH14" i="19"/>
  <c r="AE14" i="19"/>
  <c r="AJ14" i="19"/>
  <c r="AD14" i="19"/>
  <c r="AV57" i="19"/>
  <c r="AU57" i="19"/>
  <c r="AW57" i="19"/>
  <c r="AX57" i="19"/>
  <c r="AX63" i="19" s="1"/>
  <c r="AS57" i="19"/>
  <c r="BA57" i="19"/>
  <c r="BA63" i="19" s="1"/>
  <c r="J59" i="19"/>
  <c r="R59" i="19" s="1"/>
  <c r="L59" i="19"/>
  <c r="E59" i="19" s="1"/>
  <c r="H25" i="19"/>
  <c r="H13" i="19"/>
  <c r="O13" i="19"/>
  <c r="AD19" i="19"/>
  <c r="AL18" i="19"/>
  <c r="AM61" i="19"/>
  <c r="AD25" i="19"/>
  <c r="AK24" i="19"/>
  <c r="AC24" i="19" s="1"/>
  <c r="AH55" i="19"/>
  <c r="AS25" i="19"/>
  <c r="AS17" i="21"/>
  <c r="AU9" i="19"/>
  <c r="BC9" i="19" s="1"/>
  <c r="Q9" i="19" s="1"/>
  <c r="I18" i="19"/>
  <c r="M25" i="19"/>
  <c r="E25" i="19" s="1"/>
  <c r="K60" i="19"/>
  <c r="N14" i="22"/>
  <c r="BQ22" i="21"/>
  <c r="M3" i="22"/>
  <c r="AE20" i="21"/>
  <c r="BA22" i="19"/>
  <c r="AR22" i="19" s="1"/>
  <c r="AN57" i="19"/>
  <c r="P57" i="19" s="1"/>
  <c r="L21" i="22"/>
  <c r="AE25" i="19"/>
  <c r="AE18" i="19"/>
  <c r="M60" i="19"/>
  <c r="J60" i="19"/>
  <c r="AH19" i="19"/>
  <c r="AF25" i="19"/>
  <c r="AI19" i="19"/>
  <c r="AF61" i="19"/>
  <c r="AX25" i="19"/>
  <c r="BA17" i="19"/>
  <c r="AR17" i="19" s="1"/>
  <c r="AI18" i="19"/>
  <c r="AL61" i="19"/>
  <c r="BX420" i="16"/>
  <c r="AL14" i="19"/>
  <c r="AK14" i="19"/>
  <c r="AL12" i="19"/>
  <c r="AU23" i="19"/>
  <c r="AT23" i="19"/>
  <c r="AY14" i="21"/>
  <c r="AW14" i="19"/>
  <c r="BC14" i="19" s="1"/>
  <c r="Q14" i="19" s="1"/>
  <c r="AZ14" i="19"/>
  <c r="AR14" i="19" s="1"/>
  <c r="BA17" i="21"/>
  <c r="AT11" i="21"/>
  <c r="O25" i="19"/>
  <c r="AR20" i="19"/>
  <c r="AN56" i="19"/>
  <c r="P56" i="19" s="1"/>
  <c r="AC13" i="19"/>
  <c r="AN16" i="19"/>
  <c r="P16" i="19" s="1"/>
  <c r="AN58" i="19"/>
  <c r="P58" i="19" s="1"/>
  <c r="AG25" i="19"/>
  <c r="BA25" i="19"/>
  <c r="AK25" i="19"/>
  <c r="BB25" i="19"/>
  <c r="AV25" i="19"/>
  <c r="AV26" i="19" s="1"/>
  <c r="AI25" i="19"/>
  <c r="AD13" i="21"/>
  <c r="AT52" i="19"/>
  <c r="AY52" i="19"/>
  <c r="AR52" i="19" s="1"/>
  <c r="AJ19" i="19"/>
  <c r="AF19" i="21"/>
  <c r="AK61" i="19"/>
  <c r="AJ61" i="19"/>
  <c r="AE55" i="19"/>
  <c r="AG9" i="21"/>
  <c r="AY19" i="19"/>
  <c r="AR19" i="19" s="1"/>
  <c r="AW19" i="19"/>
  <c r="AS19" i="19"/>
  <c r="AX19" i="19"/>
  <c r="AW25" i="19"/>
  <c r="AV60" i="21"/>
  <c r="AZ60" i="19"/>
  <c r="AZ63" i="19" s="1"/>
  <c r="N18" i="19"/>
  <c r="H61" i="19"/>
  <c r="H63" i="19" s="1"/>
  <c r="L60" i="19"/>
  <c r="F60" i="19"/>
  <c r="L15" i="19"/>
  <c r="O15" i="19"/>
  <c r="I15" i="19"/>
  <c r="R15" i="19" s="1"/>
  <c r="N10" i="22"/>
  <c r="AB63" i="21"/>
  <c r="AQ26" i="19"/>
  <c r="AL18" i="21"/>
  <c r="AD18" i="21"/>
  <c r="AJ18" i="21"/>
  <c r="AH18" i="21"/>
  <c r="AG23" i="21"/>
  <c r="AM14" i="21"/>
  <c r="AI14" i="21"/>
  <c r="AH11" i="21"/>
  <c r="AJ12" i="19"/>
  <c r="BB18" i="21"/>
  <c r="AU25" i="19"/>
  <c r="AT25" i="19"/>
  <c r="BB52" i="21"/>
  <c r="AX52" i="21"/>
  <c r="AU52" i="21"/>
  <c r="BA52" i="21"/>
  <c r="AS52" i="21"/>
  <c r="AW52" i="19"/>
  <c r="AU52" i="19"/>
  <c r="AU63" i="19" s="1"/>
  <c r="AU16" i="21"/>
  <c r="AY20" i="21"/>
  <c r="BB11" i="21"/>
  <c r="AS11" i="21"/>
  <c r="BA11" i="21"/>
  <c r="AX11" i="21"/>
  <c r="AS11" i="19"/>
  <c r="AS12" i="21"/>
  <c r="AX13" i="21"/>
  <c r="AY9" i="21"/>
  <c r="F13" i="19"/>
  <c r="B13" i="19" s="1"/>
  <c r="AH26" i="19"/>
  <c r="D21" i="22"/>
  <c r="D22" i="22" s="1"/>
  <c r="BB63" i="19"/>
  <c r="B62" i="19"/>
  <c r="R62" i="19"/>
  <c r="AI14" i="19"/>
  <c r="AD19" i="21"/>
  <c r="AJ19" i="21"/>
  <c r="AK19" i="19"/>
  <c r="AE22" i="21"/>
  <c r="K26" i="19"/>
  <c r="AB26" i="21"/>
  <c r="AF18" i="21"/>
  <c r="AZ52" i="21"/>
  <c r="AG61" i="19"/>
  <c r="AH63" i="19"/>
  <c r="E52" i="19"/>
  <c r="B52" i="19" s="1"/>
  <c r="BC12" i="19"/>
  <c r="Q12" i="19" s="1"/>
  <c r="AI61" i="19"/>
  <c r="AI63" i="19" s="1"/>
  <c r="AG14" i="19"/>
  <c r="AE14" i="21"/>
  <c r="AQ26" i="21"/>
  <c r="AM16" i="21"/>
  <c r="AL25" i="19"/>
  <c r="AC10" i="19"/>
  <c r="AB63" i="19"/>
  <c r="AC61" i="19"/>
  <c r="AC10" i="21"/>
  <c r="AW23" i="21"/>
  <c r="AV22" i="21"/>
  <c r="O21" i="22"/>
  <c r="AN62" i="19"/>
  <c r="P62" i="19" s="1"/>
  <c r="AM63" i="19"/>
  <c r="N63" i="19"/>
  <c r="R53" i="19"/>
  <c r="AZ26" i="19"/>
  <c r="M21" i="22"/>
  <c r="R52" i="19"/>
  <c r="AX26" i="19"/>
  <c r="T20" i="19"/>
  <c r="AN9" i="19"/>
  <c r="P9" i="19" s="1"/>
  <c r="G22" i="22"/>
  <c r="AS63" i="19"/>
  <c r="R9" i="19"/>
  <c r="AK17" i="21"/>
  <c r="AM11" i="21"/>
  <c r="AI11" i="21"/>
  <c r="AE11" i="21"/>
  <c r="AM56" i="21"/>
  <c r="AI56" i="21"/>
  <c r="AK11" i="21"/>
  <c r="AF11" i="21"/>
  <c r="AJ11" i="21"/>
  <c r="AD11" i="21"/>
  <c r="AG15" i="21"/>
  <c r="AJ12" i="21"/>
  <c r="AM12" i="21"/>
  <c r="AI12" i="21"/>
  <c r="AK13" i="21"/>
  <c r="AG13" i="21"/>
  <c r="AM9" i="21"/>
  <c r="AI9" i="21"/>
  <c r="AZ19" i="21"/>
  <c r="AV19" i="21"/>
  <c r="AZ18" i="21"/>
  <c r="AX18" i="21"/>
  <c r="AV18" i="21"/>
  <c r="AS61" i="21"/>
  <c r="AW25" i="21"/>
  <c r="BB25" i="21"/>
  <c r="AT25" i="21"/>
  <c r="BA25" i="21"/>
  <c r="AS25" i="21"/>
  <c r="AV24" i="21"/>
  <c r="AZ14" i="21"/>
  <c r="AV14" i="21"/>
  <c r="BB14" i="21"/>
  <c r="AX14" i="21"/>
  <c r="AT14" i="21"/>
  <c r="AS53" i="21"/>
  <c r="AU14" i="21"/>
  <c r="BA14" i="21"/>
  <c r="AS14" i="21"/>
  <c r="AS21" i="21"/>
  <c r="BA15" i="21"/>
  <c r="AS15" i="21"/>
  <c r="BA12" i="21"/>
  <c r="AV12" i="21"/>
  <c r="AZ12" i="21"/>
  <c r="AU12" i="21"/>
  <c r="BA13" i="21"/>
  <c r="AW13" i="21"/>
  <c r="AS13" i="21"/>
  <c r="AZ13" i="21"/>
  <c r="AU13" i="21"/>
  <c r="AY13" i="21"/>
  <c r="AT13" i="21"/>
  <c r="BB9" i="21"/>
  <c r="AX9" i="21"/>
  <c r="AT9" i="21"/>
  <c r="BA9" i="21"/>
  <c r="AV9" i="21"/>
  <c r="AZ9" i="21"/>
  <c r="AU9" i="21"/>
  <c r="AL11" i="21"/>
  <c r="AE12" i="21"/>
  <c r="AW12" i="21"/>
  <c r="AL13" i="21"/>
  <c r="BB13" i="21"/>
  <c r="AE16" i="21"/>
  <c r="AE56" i="21"/>
  <c r="AI12" i="19"/>
  <c r="AT19" i="19"/>
  <c r="AY25" i="19"/>
  <c r="AR25" i="19" s="1"/>
  <c r="AY23" i="19"/>
  <c r="AS9" i="21"/>
  <c r="AF12" i="21"/>
  <c r="AY12" i="21"/>
  <c r="AK15" i="21"/>
  <c r="AX25" i="21"/>
  <c r="AB26" i="19"/>
  <c r="AF9" i="21"/>
  <c r="AW9" i="21"/>
  <c r="AG11" i="21"/>
  <c r="AV13" i="21"/>
  <c r="AW14" i="21"/>
  <c r="AT18" i="21"/>
  <c r="AR10" i="21"/>
  <c r="AM20" i="21"/>
  <c r="AH13" i="21"/>
  <c r="AJ9" i="21"/>
  <c r="AD9" i="21"/>
  <c r="AU20" i="21"/>
  <c r="AW11" i="21"/>
  <c r="BB12" i="21"/>
  <c r="AX12" i="21"/>
  <c r="AT12" i="21"/>
  <c r="AQ63" i="21"/>
  <c r="AI22" i="21"/>
  <c r="AF14" i="21"/>
  <c r="AJ14" i="21"/>
  <c r="AG21" i="21"/>
  <c r="AY19" i="21"/>
  <c r="AU19" i="21"/>
  <c r="BB19" i="21"/>
  <c r="AX19" i="21"/>
  <c r="AT19" i="21"/>
  <c r="BA19" i="21"/>
  <c r="AW19" i="21"/>
  <c r="AS19" i="21"/>
  <c r="BA18" i="21"/>
  <c r="AW18" i="21"/>
  <c r="AS18" i="21"/>
  <c r="AY18" i="21"/>
  <c r="AU18" i="21"/>
  <c r="BA61" i="21"/>
  <c r="AW61" i="21"/>
  <c r="AU24" i="21"/>
  <c r="AZ24" i="21"/>
  <c r="AZ60" i="21"/>
  <c r="AY24" i="21"/>
  <c r="AU22" i="21"/>
  <c r="AZ22" i="21"/>
  <c r="AY22" i="21"/>
  <c r="AY16" i="21"/>
  <c r="AZ62" i="21"/>
  <c r="AW15" i="21"/>
  <c r="AM19" i="21"/>
  <c r="AI19" i="21"/>
  <c r="AE19" i="21"/>
  <c r="AL19" i="21"/>
  <c r="AH19" i="21"/>
  <c r="AK19" i="21"/>
  <c r="AG19" i="21"/>
  <c r="AK18" i="21"/>
  <c r="AC18" i="21" s="1"/>
  <c r="AG18" i="21"/>
  <c r="AM18" i="21"/>
  <c r="AI18" i="21"/>
  <c r="AE18" i="21"/>
  <c r="AM24" i="21"/>
  <c r="AG17" i="21"/>
  <c r="AI16" i="21"/>
  <c r="BB23" i="21"/>
  <c r="AT23" i="21"/>
  <c r="BA23" i="21"/>
  <c r="AS23" i="21"/>
  <c r="AX23" i="21"/>
  <c r="BA53" i="21"/>
  <c r="AW53" i="21"/>
  <c r="AW17" i="21"/>
  <c r="BA21" i="21"/>
  <c r="AW21" i="21"/>
  <c r="AK23" i="21"/>
  <c r="AI24" i="21"/>
  <c r="AM22" i="21"/>
  <c r="AI20" i="21"/>
  <c r="AK21" i="21"/>
  <c r="AL59" i="21"/>
  <c r="AL56" i="21"/>
  <c r="AZ61" i="21"/>
  <c r="AZ25" i="21"/>
  <c r="AZ23" i="21"/>
  <c r="AY60" i="21"/>
  <c r="AR60" i="21" s="1"/>
  <c r="BB22" i="21"/>
  <c r="AZ53" i="21"/>
  <c r="BM19" i="21"/>
  <c r="BR19" i="21"/>
  <c r="BQ19" i="21"/>
  <c r="BL19" i="21"/>
  <c r="BO19" i="21"/>
  <c r="BP19" i="21"/>
  <c r="BJ19" i="21"/>
  <c r="BN19" i="21"/>
  <c r="BS19" i="21"/>
  <c r="BN20" i="21"/>
  <c r="BR20" i="21"/>
  <c r="BK20" i="21"/>
  <c r="BM20" i="21"/>
  <c r="BQ20" i="21"/>
  <c r="BP20" i="21"/>
  <c r="BO20" i="21"/>
  <c r="BS20" i="21"/>
  <c r="BQ13" i="21"/>
  <c r="BI14" i="21"/>
  <c r="U10" i="19"/>
  <c r="T10" i="19" s="1"/>
  <c r="U9" i="19"/>
  <c r="T9" i="19" s="1"/>
  <c r="E58" i="19"/>
  <c r="BC52" i="19"/>
  <c r="Q52" i="19" s="1"/>
  <c r="AJ63" i="19"/>
  <c r="AC9" i="19"/>
  <c r="B9" i="19"/>
  <c r="N21" i="22"/>
  <c r="I63" i="19"/>
  <c r="AJ61" i="21"/>
  <c r="AC61" i="21" s="1"/>
  <c r="AJ53" i="21"/>
  <c r="AC53" i="21" s="1"/>
  <c r="AF53" i="21"/>
  <c r="AM53" i="21"/>
  <c r="AI53" i="21"/>
  <c r="AE53" i="21"/>
  <c r="AL53" i="21"/>
  <c r="AH53" i="21"/>
  <c r="AD53" i="21"/>
  <c r="AK53" i="21"/>
  <c r="AG53" i="21"/>
  <c r="AL20" i="21"/>
  <c r="BB54" i="21"/>
  <c r="AY57" i="21"/>
  <c r="AU57" i="21"/>
  <c r="AZ15" i="21"/>
  <c r="AV15" i="21"/>
  <c r="BB57" i="21"/>
  <c r="AX57" i="21"/>
  <c r="AT57" i="21"/>
  <c r="AY15" i="21"/>
  <c r="AU15" i="21"/>
  <c r="BA57" i="21"/>
  <c r="AW57" i="21"/>
  <c r="AS57" i="21"/>
  <c r="BB15" i="21"/>
  <c r="AX15" i="21"/>
  <c r="AT15" i="21"/>
  <c r="AZ57" i="21"/>
  <c r="AV57" i="21"/>
  <c r="AE24" i="21"/>
  <c r="AJ25" i="21"/>
  <c r="AF25" i="21"/>
  <c r="AM25" i="21"/>
  <c r="AI25" i="21"/>
  <c r="AE25" i="21"/>
  <c r="AL25" i="21"/>
  <c r="AH25" i="21"/>
  <c r="AD25" i="21"/>
  <c r="AK25" i="21"/>
  <c r="AG25" i="21"/>
  <c r="AJ52" i="21"/>
  <c r="AG52" i="21"/>
  <c r="AD52" i="21"/>
  <c r="AM52" i="21"/>
  <c r="AF52" i="21"/>
  <c r="AL52" i="21"/>
  <c r="AI52" i="21"/>
  <c r="AK52" i="21"/>
  <c r="AH52" i="21"/>
  <c r="AE52" i="21"/>
  <c r="AL14" i="21"/>
  <c r="AH14" i="21"/>
  <c r="AD14" i="21"/>
  <c r="AK14" i="21"/>
  <c r="AG14" i="21"/>
  <c r="AJ58" i="21"/>
  <c r="AC58" i="21" s="1"/>
  <c r="AF58" i="21"/>
  <c r="AL16" i="21"/>
  <c r="AH16" i="21"/>
  <c r="AD16" i="21"/>
  <c r="AM58" i="21"/>
  <c r="AI58" i="21"/>
  <c r="AE58" i="21"/>
  <c r="AK16" i="21"/>
  <c r="AG16" i="21"/>
  <c r="AL58" i="21"/>
  <c r="AH58" i="21"/>
  <c r="AD58" i="21"/>
  <c r="AJ16" i="21"/>
  <c r="AF16" i="21"/>
  <c r="AK58" i="21"/>
  <c r="AG58" i="21"/>
  <c r="AM54" i="21"/>
  <c r="AI54" i="21"/>
  <c r="AE54" i="21"/>
  <c r="AL12" i="21"/>
  <c r="AH12" i="21"/>
  <c r="AD12" i="21"/>
  <c r="AK12" i="21"/>
  <c r="AG12" i="21"/>
  <c r="AM62" i="21"/>
  <c r="AI62" i="21"/>
  <c r="AE62" i="21"/>
  <c r="AL9" i="21"/>
  <c r="AE9" i="21"/>
  <c r="AL62" i="21"/>
  <c r="AH62" i="21"/>
  <c r="AD62" i="21"/>
  <c r="AK9" i="21"/>
  <c r="AH9" i="21"/>
  <c r="AK62" i="21"/>
  <c r="AG62" i="21"/>
  <c r="AJ62" i="21"/>
  <c r="AC62" i="21" s="1"/>
  <c r="AF62" i="21"/>
  <c r="AZ55" i="21"/>
  <c r="AV55" i="21"/>
  <c r="AZ17" i="21"/>
  <c r="AV17" i="21"/>
  <c r="AY55" i="21"/>
  <c r="AR55" i="21" s="1"/>
  <c r="AU55" i="21"/>
  <c r="AY17" i="21"/>
  <c r="AR17" i="21" s="1"/>
  <c r="AU17" i="21"/>
  <c r="BB55" i="21"/>
  <c r="AX55" i="21"/>
  <c r="AT55" i="21"/>
  <c r="BB17" i="21"/>
  <c r="AX17" i="21"/>
  <c r="AT17" i="21"/>
  <c r="BA55" i="21"/>
  <c r="AW55" i="21"/>
  <c r="AS55" i="21"/>
  <c r="BB21" i="21"/>
  <c r="AX21" i="21"/>
  <c r="AT21" i="21"/>
  <c r="AY59" i="21"/>
  <c r="AR59" i="21" s="1"/>
  <c r="AU59" i="21"/>
  <c r="AZ11" i="21"/>
  <c r="AV11" i="21"/>
  <c r="AY11" i="21"/>
  <c r="AU11" i="21"/>
  <c r="AY56" i="21"/>
  <c r="AR56" i="21" s="1"/>
  <c r="AU56" i="21"/>
  <c r="BB56" i="21"/>
  <c r="Q15" i="21"/>
  <c r="AF61" i="21"/>
  <c r="AL61" i="21"/>
  <c r="AH61" i="21"/>
  <c r="AD61" i="21"/>
  <c r="AK61" i="21"/>
  <c r="AG61" i="21"/>
  <c r="AL22" i="21"/>
  <c r="AH22" i="21"/>
  <c r="AD22" i="21"/>
  <c r="AK22" i="21"/>
  <c r="AG22" i="21"/>
  <c r="AJ22" i="21"/>
  <c r="AF22" i="21"/>
  <c r="AL54" i="21"/>
  <c r="AL21" i="21"/>
  <c r="AH21" i="21"/>
  <c r="AD21" i="21"/>
  <c r="AM59" i="21"/>
  <c r="AI59" i="21"/>
  <c r="AE59" i="21"/>
  <c r="AM57" i="21"/>
  <c r="AI57" i="21"/>
  <c r="AE57" i="21"/>
  <c r="AJ15" i="21"/>
  <c r="AF15" i="21"/>
  <c r="AL57" i="21"/>
  <c r="AH57" i="21"/>
  <c r="AD57" i="21"/>
  <c r="AM15" i="21"/>
  <c r="AI15" i="21"/>
  <c r="AE15" i="21"/>
  <c r="AK57" i="21"/>
  <c r="AG57" i="21"/>
  <c r="AL15" i="21"/>
  <c r="AH15" i="21"/>
  <c r="AD15" i="21"/>
  <c r="AJ57" i="21"/>
  <c r="AF57" i="21"/>
  <c r="AJ13" i="21"/>
  <c r="AC13" i="21" s="1"/>
  <c r="AF13" i="21"/>
  <c r="AM13" i="21"/>
  <c r="AI13" i="21"/>
  <c r="AE13" i="21"/>
  <c r="BB20" i="21"/>
  <c r="AX20" i="21"/>
  <c r="AT20" i="21"/>
  <c r="BA20" i="21"/>
  <c r="AW20" i="21"/>
  <c r="AS20" i="21"/>
  <c r="AZ20" i="21"/>
  <c r="AV20" i="21"/>
  <c r="BB59" i="21"/>
  <c r="AJ23" i="21"/>
  <c r="AF23" i="21"/>
  <c r="AM23" i="21"/>
  <c r="AI23" i="21"/>
  <c r="AE23" i="21"/>
  <c r="AL23" i="21"/>
  <c r="AH23" i="21"/>
  <c r="AD23" i="21"/>
  <c r="AJ60" i="21"/>
  <c r="AC60" i="21" s="1"/>
  <c r="AF60" i="21"/>
  <c r="AL24" i="21"/>
  <c r="AH24" i="21"/>
  <c r="AD24" i="21"/>
  <c r="AM60" i="21"/>
  <c r="AI60" i="21"/>
  <c r="AE60" i="21"/>
  <c r="AK24" i="21"/>
  <c r="AG24" i="21"/>
  <c r="AL60" i="21"/>
  <c r="AH60" i="21"/>
  <c r="AD60" i="21"/>
  <c r="AJ24" i="21"/>
  <c r="AF24" i="21"/>
  <c r="AK60" i="21"/>
  <c r="AG60" i="21"/>
  <c r="AJ55" i="21"/>
  <c r="AC55" i="21" s="1"/>
  <c r="AF55" i="21"/>
  <c r="AJ17" i="21"/>
  <c r="AF17" i="21"/>
  <c r="AM55" i="21"/>
  <c r="AI55" i="21"/>
  <c r="AE55" i="21"/>
  <c r="AM17" i="21"/>
  <c r="AI17" i="21"/>
  <c r="AE17" i="21"/>
  <c r="AL55" i="21"/>
  <c r="AH55" i="21"/>
  <c r="AD55" i="21"/>
  <c r="AL17" i="21"/>
  <c r="AH17" i="21"/>
  <c r="AD17" i="21"/>
  <c r="AK55" i="21"/>
  <c r="AG55" i="21"/>
  <c r="AJ20" i="21"/>
  <c r="AF20" i="21"/>
  <c r="AZ58" i="21"/>
  <c r="AV58" i="21"/>
  <c r="BB16" i="21"/>
  <c r="AX16" i="21"/>
  <c r="AT16" i="21"/>
  <c r="AY58" i="21"/>
  <c r="AR58" i="21" s="1"/>
  <c r="AU58" i="21"/>
  <c r="BA16" i="21"/>
  <c r="AW16" i="21"/>
  <c r="AS16" i="21"/>
  <c r="BB58" i="21"/>
  <c r="AX58" i="21"/>
  <c r="AT58" i="21"/>
  <c r="AZ16" i="21"/>
  <c r="AV16" i="21"/>
  <c r="BA58" i="21"/>
  <c r="AW58" i="21"/>
  <c r="AS58" i="21"/>
  <c r="AY54" i="21"/>
  <c r="AR54" i="21" s="1"/>
  <c r="AU54" i="21"/>
  <c r="BB62" i="21"/>
  <c r="AX62" i="21"/>
  <c r="AT62" i="21"/>
  <c r="AY62" i="21"/>
  <c r="AR62" i="21" s="1"/>
  <c r="AS62" i="21"/>
  <c r="BL18" i="21"/>
  <c r="BJ18" i="21"/>
  <c r="BM18" i="21"/>
  <c r="BS18" i="21"/>
  <c r="BN18" i="21"/>
  <c r="BR18" i="21"/>
  <c r="BP18" i="21"/>
  <c r="BK18" i="21"/>
  <c r="BO18" i="21"/>
  <c r="BQ18" i="21"/>
  <c r="BK61" i="21"/>
  <c r="BO61" i="21"/>
  <c r="BS61" i="21"/>
  <c r="BJ61" i="21"/>
  <c r="BN61" i="21"/>
  <c r="BP61" i="21"/>
  <c r="BM61" i="21"/>
  <c r="BQ61" i="21"/>
  <c r="BR61" i="21"/>
  <c r="BL61" i="21"/>
  <c r="BM25" i="21"/>
  <c r="BK25" i="21"/>
  <c r="BN25" i="21"/>
  <c r="BS25" i="21"/>
  <c r="BJ25" i="21"/>
  <c r="BO25" i="21"/>
  <c r="BR25" i="21"/>
  <c r="BQ25" i="21"/>
  <c r="BL25" i="21"/>
  <c r="BP25" i="21"/>
  <c r="BK23" i="21"/>
  <c r="BO23" i="21"/>
  <c r="BJ23" i="21"/>
  <c r="BM23" i="21"/>
  <c r="BS23" i="21"/>
  <c r="BL23" i="21"/>
  <c r="BR23" i="21"/>
  <c r="BQ23" i="21"/>
  <c r="BP23" i="21"/>
  <c r="BN23" i="21"/>
  <c r="BJ60" i="21"/>
  <c r="BN60" i="21"/>
  <c r="BS60" i="21"/>
  <c r="BJ24" i="21"/>
  <c r="BM60" i="21"/>
  <c r="BP60" i="21"/>
  <c r="BL60" i="21"/>
  <c r="BQ60" i="21"/>
  <c r="BL24" i="21"/>
  <c r="BN24" i="21"/>
  <c r="BO60" i="21"/>
  <c r="BO24" i="21"/>
  <c r="BS24" i="21"/>
  <c r="BK60" i="21"/>
  <c r="BK24" i="21"/>
  <c r="BM24" i="21"/>
  <c r="BR24" i="21"/>
  <c r="BP24" i="21"/>
  <c r="BR60" i="21"/>
  <c r="BQ24" i="21"/>
  <c r="BL22" i="21"/>
  <c r="BJ22" i="21"/>
  <c r="BM22" i="21"/>
  <c r="BK22" i="21"/>
  <c r="BS22" i="21"/>
  <c r="BN22" i="21"/>
  <c r="BR22" i="21"/>
  <c r="BP22" i="21"/>
  <c r="BO22" i="21"/>
  <c r="BM55" i="21"/>
  <c r="BS55" i="21"/>
  <c r="BM17" i="21"/>
  <c r="BL55" i="21"/>
  <c r="BP55" i="21"/>
  <c r="BK55" i="21"/>
  <c r="BO55" i="21"/>
  <c r="BQ55" i="21"/>
  <c r="BK17" i="21"/>
  <c r="BN55" i="21"/>
  <c r="BN17" i="21"/>
  <c r="BS17" i="21"/>
  <c r="BJ55" i="21"/>
  <c r="BR55" i="21"/>
  <c r="BJ17" i="21"/>
  <c r="BO17" i="21"/>
  <c r="BR17" i="21"/>
  <c r="BL17" i="21"/>
  <c r="BM16" i="21"/>
  <c r="BR58" i="21"/>
  <c r="BO16" i="21"/>
  <c r="BS16" i="21"/>
  <c r="BK16" i="21"/>
  <c r="BR16" i="21"/>
  <c r="BM58" i="21"/>
  <c r="BP16" i="21"/>
  <c r="BQ16" i="21"/>
  <c r="BR54" i="21"/>
  <c r="BM54" i="21"/>
  <c r="BJ21" i="21"/>
  <c r="BL21" i="21"/>
  <c r="BN21" i="21"/>
  <c r="BS21" i="21"/>
  <c r="BN59" i="21"/>
  <c r="BR59" i="21"/>
  <c r="BO21" i="21"/>
  <c r="BR21" i="21"/>
  <c r="BQ21" i="21"/>
  <c r="BJ59" i="21"/>
  <c r="BP21" i="21"/>
  <c r="BJ56" i="21"/>
  <c r="BN56" i="21"/>
  <c r="BS56" i="21"/>
  <c r="BK11" i="21"/>
  <c r="BM56" i="21"/>
  <c r="BP56" i="21"/>
  <c r="BL56" i="21"/>
  <c r="BQ56" i="21"/>
  <c r="BM11" i="21"/>
  <c r="BO56" i="21"/>
  <c r="BL11" i="21"/>
  <c r="BO11" i="21"/>
  <c r="BK56" i="21"/>
  <c r="BN11" i="21"/>
  <c r="BS11" i="21"/>
  <c r="BR11" i="21"/>
  <c r="BR56" i="21"/>
  <c r="BP11" i="21"/>
  <c r="BJ11" i="21"/>
  <c r="BK57" i="21"/>
  <c r="BO57" i="21"/>
  <c r="BS57" i="21"/>
  <c r="BK15" i="21"/>
  <c r="BJ57" i="21"/>
  <c r="BN57" i="21"/>
  <c r="BP57" i="21"/>
  <c r="BM57" i="21"/>
  <c r="BQ57" i="21"/>
  <c r="BL57" i="21"/>
  <c r="BR57" i="21"/>
  <c r="BN15" i="21"/>
  <c r="BO15" i="21"/>
  <c r="BJ15" i="21"/>
  <c r="BS15" i="21"/>
  <c r="BL15" i="21"/>
  <c r="BR15" i="21"/>
  <c r="BM15" i="21"/>
  <c r="BQ15" i="21"/>
  <c r="BJ12" i="21"/>
  <c r="BN12" i="21"/>
  <c r="BL12" i="21"/>
  <c r="BK12" i="21"/>
  <c r="BM12" i="21"/>
  <c r="BO12" i="21"/>
  <c r="BS12" i="21"/>
  <c r="BR12" i="21"/>
  <c r="BQ12" i="21"/>
  <c r="BP12" i="21"/>
  <c r="BM13" i="21"/>
  <c r="BK13" i="21"/>
  <c r="BJ13" i="21"/>
  <c r="BL13" i="21"/>
  <c r="BS13" i="21"/>
  <c r="BN13" i="21"/>
  <c r="BO13" i="21"/>
  <c r="BR13" i="21"/>
  <c r="BP13" i="21"/>
  <c r="BL62" i="21"/>
  <c r="BS62" i="21"/>
  <c r="BL9" i="21"/>
  <c r="BK62" i="21"/>
  <c r="BO62" i="21"/>
  <c r="BP62" i="21"/>
  <c r="BJ62" i="21"/>
  <c r="BN62" i="21"/>
  <c r="BQ62" i="21"/>
  <c r="BJ9" i="21"/>
  <c r="BM62" i="21"/>
  <c r="BM9" i="21"/>
  <c r="BN9" i="21"/>
  <c r="BR62" i="21"/>
  <c r="BS9" i="21"/>
  <c r="BR9" i="21"/>
  <c r="BO9" i="21"/>
  <c r="BP9" i="21"/>
  <c r="BK9" i="21"/>
  <c r="BK53" i="21"/>
  <c r="BO53" i="21"/>
  <c r="BS53" i="21"/>
  <c r="BJ53" i="21"/>
  <c r="BN53" i="21"/>
  <c r="BP53" i="21"/>
  <c r="BM53" i="21"/>
  <c r="BQ53" i="21"/>
  <c r="BR53" i="21"/>
  <c r="BL53" i="21"/>
  <c r="AT53" i="21"/>
  <c r="AX53" i="21"/>
  <c r="BB53" i="21"/>
  <c r="AF54" i="21"/>
  <c r="AJ54" i="21"/>
  <c r="AC54" i="21" s="1"/>
  <c r="AV54" i="21"/>
  <c r="AZ54" i="21"/>
  <c r="AF56" i="21"/>
  <c r="AJ56" i="21"/>
  <c r="AC56" i="21" s="1"/>
  <c r="AV56" i="21"/>
  <c r="AZ56" i="21"/>
  <c r="AF59" i="21"/>
  <c r="AJ59" i="21"/>
  <c r="AC59" i="21" s="1"/>
  <c r="AV59" i="21"/>
  <c r="AZ59" i="21"/>
  <c r="AS60" i="21"/>
  <c r="AW60" i="21"/>
  <c r="BA60" i="21"/>
  <c r="AT61" i="21"/>
  <c r="AX61" i="21"/>
  <c r="BB61" i="21"/>
  <c r="AU62" i="21"/>
  <c r="BA62" i="21"/>
  <c r="BP15" i="21"/>
  <c r="AG20" i="21"/>
  <c r="AK20" i="21"/>
  <c r="AE21" i="21"/>
  <c r="AI21" i="21"/>
  <c r="AM21" i="21"/>
  <c r="AU21" i="21"/>
  <c r="AY21" i="21"/>
  <c r="AS22" i="21"/>
  <c r="AW22" i="21"/>
  <c r="BA22" i="21"/>
  <c r="AR22" i="21" s="1"/>
  <c r="AU23" i="21"/>
  <c r="AY23" i="21"/>
  <c r="AR23" i="21" s="1"/>
  <c r="AS24" i="21"/>
  <c r="AW24" i="21"/>
  <c r="BA24" i="21"/>
  <c r="AR24" i="21" s="1"/>
  <c r="AU25" i="21"/>
  <c r="AY25" i="21"/>
  <c r="AR25" i="21" s="1"/>
  <c r="AV52" i="21"/>
  <c r="AY52" i="21"/>
  <c r="AU53" i="21"/>
  <c r="AY53" i="21"/>
  <c r="AR53" i="21" s="1"/>
  <c r="AG54" i="21"/>
  <c r="AK54" i="21"/>
  <c r="AS54" i="21"/>
  <c r="AW54" i="21"/>
  <c r="BA54" i="21"/>
  <c r="AG56" i="21"/>
  <c r="AK56" i="21"/>
  <c r="AS56" i="21"/>
  <c r="AW56" i="21"/>
  <c r="BA56" i="21"/>
  <c r="AG59" i="21"/>
  <c r="AK59" i="21"/>
  <c r="AS59" i="21"/>
  <c r="AW59" i="21"/>
  <c r="BA59" i="21"/>
  <c r="AT60" i="21"/>
  <c r="AX60" i="21"/>
  <c r="BB60" i="21"/>
  <c r="AE61" i="21"/>
  <c r="AI61" i="21"/>
  <c r="AM61" i="21"/>
  <c r="AU61" i="21"/>
  <c r="AY61" i="21"/>
  <c r="AR61" i="21" s="1"/>
  <c r="AV62" i="21"/>
  <c r="BQ9" i="21"/>
  <c r="BP17" i="21"/>
  <c r="AD20" i="21"/>
  <c r="AH20" i="21"/>
  <c r="AF21" i="21"/>
  <c r="AJ21" i="21"/>
  <c r="AC21" i="21" s="1"/>
  <c r="AV21" i="21"/>
  <c r="AZ21" i="21"/>
  <c r="AT22" i="21"/>
  <c r="AX22" i="21"/>
  <c r="AV23" i="21"/>
  <c r="AT24" i="21"/>
  <c r="AX24" i="21"/>
  <c r="BB24" i="21"/>
  <c r="AV25" i="21"/>
  <c r="AT52" i="21"/>
  <c r="AW52" i="21"/>
  <c r="AV53" i="21"/>
  <c r="AD54" i="21"/>
  <c r="AH54" i="21"/>
  <c r="AT54" i="21"/>
  <c r="AX54" i="21"/>
  <c r="AD56" i="21"/>
  <c r="AH56" i="21"/>
  <c r="AT56" i="21"/>
  <c r="AX56" i="21"/>
  <c r="AD59" i="21"/>
  <c r="AH59" i="21"/>
  <c r="AT59" i="21"/>
  <c r="AX59" i="21"/>
  <c r="AU60" i="21"/>
  <c r="AV61" i="21"/>
  <c r="AW62" i="21"/>
  <c r="BH26" i="21"/>
  <c r="BQ11" i="21"/>
  <c r="BI11" i="21" s="1"/>
  <c r="BF11" i="21" s="1"/>
  <c r="BQ17" i="21"/>
  <c r="BL54" i="21"/>
  <c r="BS54" i="21"/>
  <c r="BK54" i="21"/>
  <c r="BO54" i="21"/>
  <c r="BP54" i="21"/>
  <c r="BJ54" i="21"/>
  <c r="BN54" i="21"/>
  <c r="BQ54" i="21"/>
  <c r="BK19" i="21"/>
  <c r="BL14" i="21"/>
  <c r="BJ14" i="21"/>
  <c r="BL58" i="21"/>
  <c r="BS58" i="21"/>
  <c r="BJ16" i="21"/>
  <c r="BN16" i="21"/>
  <c r="BK58" i="21"/>
  <c r="BO58" i="21"/>
  <c r="BP58" i="21"/>
  <c r="BJ58" i="21"/>
  <c r="BN58" i="21"/>
  <c r="BQ58" i="21"/>
  <c r="BL16" i="21"/>
  <c r="BJ20" i="21"/>
  <c r="BL20" i="21"/>
  <c r="BM59" i="21"/>
  <c r="BS59" i="21"/>
  <c r="BM21" i="21"/>
  <c r="BL59" i="21"/>
  <c r="BP59" i="21"/>
  <c r="BK59" i="21"/>
  <c r="BO59" i="21"/>
  <c r="BQ59" i="21"/>
  <c r="BK21" i="21"/>
  <c r="BH63" i="21"/>
  <c r="K11" i="21"/>
  <c r="G11" i="21"/>
  <c r="J11" i="21"/>
  <c r="G15" i="21"/>
  <c r="J15" i="21"/>
  <c r="I56" i="21"/>
  <c r="L60" i="21"/>
  <c r="L21" i="21"/>
  <c r="M23" i="21"/>
  <c r="E23" i="21" s="1"/>
  <c r="J13" i="21"/>
  <c r="I13" i="21"/>
  <c r="K12" i="21"/>
  <c r="F15" i="21"/>
  <c r="L15" i="21"/>
  <c r="H11" i="21"/>
  <c r="I20" i="21"/>
  <c r="L17" i="21"/>
  <c r="F17" i="21"/>
  <c r="H55" i="21"/>
  <c r="J55" i="21"/>
  <c r="I23" i="21"/>
  <c r="O22" i="21"/>
  <c r="N22" i="21"/>
  <c r="G21" i="21"/>
  <c r="I21" i="21"/>
  <c r="K14" i="21"/>
  <c r="N13" i="21"/>
  <c r="N12" i="21"/>
  <c r="O13" i="21"/>
  <c r="K59" i="21"/>
  <c r="K56" i="21"/>
  <c r="M12" i="21"/>
  <c r="O53" i="21"/>
  <c r="M14" i="21"/>
  <c r="F59" i="21"/>
  <c r="J56" i="21"/>
  <c r="O59" i="21"/>
  <c r="K53" i="21"/>
  <c r="J60" i="21"/>
  <c r="M22" i="21"/>
  <c r="L23" i="21"/>
  <c r="H13" i="21"/>
  <c r="L13" i="21"/>
  <c r="F12" i="21"/>
  <c r="L20" i="21"/>
  <c r="I17" i="21"/>
  <c r="K55" i="21"/>
  <c r="F55" i="21"/>
  <c r="M55" i="21"/>
  <c r="E55" i="21" s="1"/>
  <c r="O21" i="21"/>
  <c r="I14" i="21"/>
  <c r="G14" i="21"/>
  <c r="N11" i="21"/>
  <c r="O12" i="21"/>
  <c r="O11" i="21"/>
  <c r="G23" i="21"/>
  <c r="K23" i="21"/>
  <c r="O23" i="21"/>
  <c r="N23" i="21"/>
  <c r="I59" i="21"/>
  <c r="L56" i="21"/>
  <c r="M59" i="21"/>
  <c r="I53" i="21"/>
  <c r="H53" i="21"/>
  <c r="N56" i="21"/>
  <c r="O56" i="21"/>
  <c r="H59" i="21"/>
  <c r="J53" i="21"/>
  <c r="L14" i="21"/>
  <c r="M60" i="21"/>
  <c r="E60" i="21" s="1"/>
  <c r="J20" i="21"/>
  <c r="L59" i="21"/>
  <c r="J59" i="21"/>
  <c r="G56" i="21"/>
  <c r="H56" i="21"/>
  <c r="N59" i="21"/>
  <c r="F53" i="21"/>
  <c r="M53" i="21"/>
  <c r="K60" i="21"/>
  <c r="F60" i="21"/>
  <c r="O60" i="21"/>
  <c r="M11" i="21"/>
  <c r="L22" i="21"/>
  <c r="K21" i="21"/>
  <c r="G13" i="21"/>
  <c r="G12" i="21"/>
  <c r="I12" i="21"/>
  <c r="K15" i="21"/>
  <c r="M15" i="21"/>
  <c r="E15" i="21" s="1"/>
  <c r="F11" i="21"/>
  <c r="G20" i="21"/>
  <c r="H20" i="21"/>
  <c r="M17" i="21"/>
  <c r="E17" i="21" s="1"/>
  <c r="L55" i="21"/>
  <c r="G55" i="21"/>
  <c r="N55" i="21"/>
  <c r="J23" i="21"/>
  <c r="O17" i="21"/>
  <c r="N14" i="21"/>
  <c r="H21" i="21"/>
  <c r="F14" i="21"/>
  <c r="N17" i="21"/>
  <c r="H15" i="21"/>
  <c r="O15" i="21"/>
  <c r="I18" i="21"/>
  <c r="G19" i="21"/>
  <c r="N60" i="21"/>
  <c r="E19" i="21" l="1"/>
  <c r="E58" i="21"/>
  <c r="B58" i="21" s="1"/>
  <c r="E12" i="21"/>
  <c r="B12" i="21" s="1"/>
  <c r="AU355" i="6"/>
  <c r="AQ2" i="6"/>
  <c r="BG355" i="6"/>
  <c r="AX355" i="6"/>
  <c r="BF355" i="6" s="1"/>
  <c r="BI326" i="6"/>
  <c r="AD259" i="6"/>
  <c r="AO438" i="6"/>
  <c r="AO2" i="6" s="1"/>
  <c r="AU439" i="6"/>
  <c r="BE439" i="6"/>
  <c r="BK292" i="6"/>
  <c r="AK286" i="6"/>
  <c r="BH291" i="6"/>
  <c r="AM291" i="6"/>
  <c r="AU84" i="6"/>
  <c r="BD84" i="6"/>
  <c r="AN5" i="6"/>
  <c r="AN2" i="6" s="1"/>
  <c r="BL74" i="6"/>
  <c r="AM49" i="6"/>
  <c r="AM48" i="6" s="1"/>
  <c r="BK74" i="6"/>
  <c r="BE291" i="6"/>
  <c r="AW286" i="6"/>
  <c r="BC291" i="6"/>
  <c r="BK291" i="6" s="1"/>
  <c r="AU367" i="6"/>
  <c r="BL367" i="6" s="1"/>
  <c r="BK368" i="6"/>
  <c r="BK367" i="6" s="1"/>
  <c r="BL368" i="6"/>
  <c r="BK395" i="6"/>
  <c r="BK97" i="6"/>
  <c r="BL97" i="6"/>
  <c r="BA355" i="6"/>
  <c r="BI355" i="6" s="1"/>
  <c r="AM473" i="6"/>
  <c r="BC126" i="6"/>
  <c r="BF126" i="6"/>
  <c r="AF84" i="6"/>
  <c r="BE84" i="6"/>
  <c r="BL151" i="6"/>
  <c r="BK151" i="6"/>
  <c r="BG6" i="6"/>
  <c r="AJ5" i="6"/>
  <c r="AJ2" i="6" s="1"/>
  <c r="BK424" i="6"/>
  <c r="BC149" i="6"/>
  <c r="AX144" i="6"/>
  <c r="AF26" i="19"/>
  <c r="AM26" i="19"/>
  <c r="BF50" i="3"/>
  <c r="BK363" i="2"/>
  <c r="AV355" i="6"/>
  <c r="BD355" i="6" s="1"/>
  <c r="BJ5" i="2"/>
  <c r="BF483" i="2"/>
  <c r="BK86" i="2"/>
  <c r="BI5" i="3"/>
  <c r="BK156" i="3"/>
  <c r="BG86" i="1"/>
  <c r="BK355" i="3"/>
  <c r="BG361" i="2"/>
  <c r="AY2" i="2"/>
  <c r="BF261" i="2"/>
  <c r="BJ5" i="6"/>
  <c r="BL7" i="6"/>
  <c r="AU361" i="1"/>
  <c r="BK415" i="1"/>
  <c r="BF473" i="6"/>
  <c r="AF473" i="6"/>
  <c r="BA5" i="11"/>
  <c r="BJ6" i="11"/>
  <c r="BJ5" i="11" s="1"/>
  <c r="AU45" i="11"/>
  <c r="BD46" i="11"/>
  <c r="BD45" i="11" s="1"/>
  <c r="AT72" i="11"/>
  <c r="AT27" i="11" s="1"/>
  <c r="AT4" i="11" s="1"/>
  <c r="BC73" i="11"/>
  <c r="BC72" i="11" s="1"/>
  <c r="AF483" i="3"/>
  <c r="BC407" i="6"/>
  <c r="AL361" i="1"/>
  <c r="BI415" i="1"/>
  <c r="BL424" i="6"/>
  <c r="BC473" i="6"/>
  <c r="BE473" i="6"/>
  <c r="AW438" i="6"/>
  <c r="BC438" i="6" s="1"/>
  <c r="AL51" i="11"/>
  <c r="AL27" i="11" s="1"/>
  <c r="AL4" i="11" s="1"/>
  <c r="AU52" i="11"/>
  <c r="AS52" i="11"/>
  <c r="AS51" i="11" s="1"/>
  <c r="BE59" i="11"/>
  <c r="BE58" i="11" s="1"/>
  <c r="BI473" i="6"/>
  <c r="AL261" i="2"/>
  <c r="AM261" i="2" s="1"/>
  <c r="AM355" i="2"/>
  <c r="AY37" i="11"/>
  <c r="BH38" i="11"/>
  <c r="BH37" i="11" s="1"/>
  <c r="E59" i="21"/>
  <c r="B59" i="21" s="1"/>
  <c r="BB26" i="19"/>
  <c r="AD63" i="19"/>
  <c r="AC57" i="19"/>
  <c r="AF63" i="19"/>
  <c r="E11" i="21"/>
  <c r="E16" i="21"/>
  <c r="D26" i="21"/>
  <c r="E22" i="21"/>
  <c r="B22" i="21" s="1"/>
  <c r="E14" i="21"/>
  <c r="E13" i="21"/>
  <c r="B13" i="21" s="1"/>
  <c r="E18" i="21"/>
  <c r="B18" i="21" s="1"/>
  <c r="L20" i="15"/>
  <c r="AC19" i="19"/>
  <c r="K63" i="19"/>
  <c r="R55" i="19"/>
  <c r="N13" i="9"/>
  <c r="F19" i="9"/>
  <c r="L11" i="9"/>
  <c r="N11" i="9"/>
  <c r="N16" i="9"/>
  <c r="L6" i="9"/>
  <c r="AV50" i="8"/>
  <c r="L13" i="9"/>
  <c r="D63" i="21"/>
  <c r="E20" i="21"/>
  <c r="B20" i="21" s="1"/>
  <c r="E56" i="21"/>
  <c r="B56" i="21" s="1"/>
  <c r="R12" i="19"/>
  <c r="AI2" i="2"/>
  <c r="AM5" i="2"/>
  <c r="AE445" i="2"/>
  <c r="AF483" i="2"/>
  <c r="BJ483" i="2"/>
  <c r="BI356" i="2"/>
  <c r="AF356" i="2"/>
  <c r="AD355" i="2"/>
  <c r="BC483" i="2"/>
  <c r="AV445" i="2"/>
  <c r="BD445" i="2" s="1"/>
  <c r="BD483" i="2"/>
  <c r="BG260" i="6"/>
  <c r="AF260" i="6"/>
  <c r="BD6" i="6"/>
  <c r="AF6" i="6"/>
  <c r="AH5" i="1"/>
  <c r="BK353" i="6"/>
  <c r="BL353" i="6"/>
  <c r="BK107" i="6"/>
  <c r="BL107" i="6"/>
  <c r="BK242" i="3"/>
  <c r="AF349" i="6"/>
  <c r="BK54" i="6"/>
  <c r="BL54" i="6"/>
  <c r="AV2" i="2"/>
  <c r="BC133" i="6"/>
  <c r="BF133" i="6"/>
  <c r="BK376" i="3"/>
  <c r="BK375" i="3" s="1"/>
  <c r="AB259" i="6"/>
  <c r="BE50" i="3"/>
  <c r="BH483" i="2"/>
  <c r="BH27" i="11"/>
  <c r="AU361" i="2"/>
  <c r="BK152" i="6"/>
  <c r="BE5" i="3"/>
  <c r="AS445" i="2"/>
  <c r="BI445" i="2" s="1"/>
  <c r="BI483" i="2"/>
  <c r="BF260" i="6"/>
  <c r="AX259" i="6"/>
  <c r="AD5" i="6"/>
  <c r="BI118" i="6"/>
  <c r="AC2" i="6"/>
  <c r="BE6" i="6"/>
  <c r="AM6" i="6"/>
  <c r="AK5" i="6"/>
  <c r="AG2" i="2"/>
  <c r="BD261" i="2"/>
  <c r="BL359" i="6"/>
  <c r="BK359" i="6"/>
  <c r="BF153" i="2"/>
  <c r="BC153" i="2"/>
  <c r="BK153" i="2" s="1"/>
  <c r="BD138" i="1"/>
  <c r="BL138" i="1" s="1"/>
  <c r="BG138" i="1"/>
  <c r="BC137" i="3"/>
  <c r="BK137" i="3" s="1"/>
  <c r="BF137" i="3"/>
  <c r="Y5" i="6"/>
  <c r="Y2" i="6" s="1"/>
  <c r="AZ49" i="6"/>
  <c r="BH50" i="6"/>
  <c r="BC50" i="6"/>
  <c r="AX85" i="11"/>
  <c r="BG87" i="11"/>
  <c r="BG85" i="11" s="1"/>
  <c r="AU5" i="1"/>
  <c r="BK50" i="1"/>
  <c r="BK5" i="1" s="1"/>
  <c r="BK358" i="1"/>
  <c r="BC356" i="1"/>
  <c r="BD358" i="1"/>
  <c r="BL358" i="1" s="1"/>
  <c r="BJ50" i="1"/>
  <c r="AT5" i="1"/>
  <c r="AT2" i="1" s="1"/>
  <c r="BE86" i="1"/>
  <c r="BE5" i="1" s="1"/>
  <c r="AK2" i="3"/>
  <c r="AP261" i="1"/>
  <c r="AV261" i="1" s="1"/>
  <c r="AV46" i="11"/>
  <c r="AS46" i="11"/>
  <c r="AS45" i="11" s="1"/>
  <c r="BF106" i="6"/>
  <c r="AH5" i="6"/>
  <c r="AX119" i="6"/>
  <c r="BK129" i="6"/>
  <c r="BL129" i="6"/>
  <c r="AK259" i="6"/>
  <c r="AZ5" i="3"/>
  <c r="AZ2" i="3" s="1"/>
  <c r="AS2" i="3"/>
  <c r="BH261" i="3"/>
  <c r="BH2" i="3" s="1"/>
  <c r="BC261" i="3"/>
  <c r="Z2" i="6"/>
  <c r="AM445" i="3"/>
  <c r="BF445" i="3"/>
  <c r="AI2" i="3"/>
  <c r="AC21" i="19"/>
  <c r="N19" i="9"/>
  <c r="N20" i="15"/>
  <c r="BI6" i="11"/>
  <c r="BI5" i="11" s="1"/>
  <c r="BD86" i="1"/>
  <c r="BL86" i="1" s="1"/>
  <c r="BJ86" i="1"/>
  <c r="BF7" i="1"/>
  <c r="BF5" i="1" s="1"/>
  <c r="AV7" i="1"/>
  <c r="BL7" i="1" s="1"/>
  <c r="AN483" i="1"/>
  <c r="BL483" i="1" s="1"/>
  <c r="AJ445" i="1"/>
  <c r="BG483" i="1"/>
  <c r="BD483" i="3"/>
  <c r="AN445" i="3"/>
  <c r="AU483" i="3"/>
  <c r="AR438" i="6"/>
  <c r="BH473" i="6"/>
  <c r="BE407" i="6"/>
  <c r="AW355" i="6"/>
  <c r="BE355" i="6" s="1"/>
  <c r="AM407" i="6"/>
  <c r="BK408" i="6"/>
  <c r="BL408" i="6"/>
  <c r="BE349" i="6"/>
  <c r="BC349" i="6"/>
  <c r="AW259" i="6"/>
  <c r="AM349" i="6"/>
  <c r="AH259" i="6"/>
  <c r="BC260" i="6"/>
  <c r="BD260" i="6"/>
  <c r="AF118" i="6"/>
  <c r="BL134" i="6"/>
  <c r="BK134" i="6"/>
  <c r="AU6" i="6"/>
  <c r="BL6" i="6" s="1"/>
  <c r="BD106" i="6"/>
  <c r="BD5" i="6" s="1"/>
  <c r="AM106" i="6"/>
  <c r="AG5" i="6"/>
  <c r="BG84" i="6"/>
  <c r="BG5" i="6" s="1"/>
  <c r="BC84" i="6"/>
  <c r="AT438" i="6"/>
  <c r="BJ438" i="6" s="1"/>
  <c r="AU79" i="11"/>
  <c r="BD80" i="11"/>
  <c r="BD79" i="11" s="1"/>
  <c r="AV148" i="1"/>
  <c r="AQ122" i="1"/>
  <c r="AQ5" i="1" s="1"/>
  <c r="AQ2" i="1" s="1"/>
  <c r="BG148" i="1"/>
  <c r="BI261" i="1"/>
  <c r="AS2" i="1"/>
  <c r="BF6" i="6"/>
  <c r="AU483" i="2"/>
  <c r="BK483" i="2" s="1"/>
  <c r="BI106" i="6"/>
  <c r="BC50" i="3"/>
  <c r="BK50" i="3" s="1"/>
  <c r="BK51" i="3"/>
  <c r="AV289" i="1"/>
  <c r="BI289" i="1"/>
  <c r="BH355" i="3"/>
  <c r="BD361" i="1"/>
  <c r="AS259" i="6"/>
  <c r="BI259" i="6" s="1"/>
  <c r="AV259" i="6"/>
  <c r="BK356" i="6"/>
  <c r="BK482" i="6"/>
  <c r="AU473" i="6"/>
  <c r="BI60" i="21"/>
  <c r="AP4" i="11"/>
  <c r="BH109" i="1"/>
  <c r="BH5" i="1" s="1"/>
  <c r="BD109" i="1"/>
  <c r="BL109" i="1" s="1"/>
  <c r="AK361" i="1"/>
  <c r="BH415" i="1"/>
  <c r="BF483" i="3"/>
  <c r="AM483" i="3"/>
  <c r="BJ109" i="3"/>
  <c r="BJ5" i="3" s="1"/>
  <c r="BJ2" i="3" s="1"/>
  <c r="AU109" i="3"/>
  <c r="BK109" i="3" s="1"/>
  <c r="AT5" i="3"/>
  <c r="AT2" i="3" s="1"/>
  <c r="AF7" i="2"/>
  <c r="BK7" i="2" s="1"/>
  <c r="Z5" i="2"/>
  <c r="AL355" i="6"/>
  <c r="BJ407" i="6"/>
  <c r="BH260" i="6"/>
  <c r="AZ259" i="6"/>
  <c r="AR2" i="6"/>
  <c r="BE106" i="6"/>
  <c r="BE5" i="6" s="1"/>
  <c r="AF106" i="6"/>
  <c r="AS5" i="6"/>
  <c r="AS2" i="6" s="1"/>
  <c r="BI6" i="6"/>
  <c r="BL146" i="6"/>
  <c r="BK146" i="6"/>
  <c r="BG48" i="3"/>
  <c r="BG5" i="3" s="1"/>
  <c r="BC48" i="3"/>
  <c r="BK48" i="3" s="1"/>
  <c r="AY5" i="3"/>
  <c r="AY2" i="3" s="1"/>
  <c r="AU123" i="3"/>
  <c r="AU122" i="3" s="1"/>
  <c r="AP122" i="3"/>
  <c r="AP5" i="3" s="1"/>
  <c r="BF123" i="2"/>
  <c r="BC123" i="2"/>
  <c r="AA5" i="2"/>
  <c r="AA2" i="2" s="1"/>
  <c r="BA5" i="2"/>
  <c r="BA2" i="2" s="1"/>
  <c r="BI445" i="1"/>
  <c r="AV445" i="1"/>
  <c r="AO2" i="2"/>
  <c r="BF151" i="2"/>
  <c r="AX148" i="2"/>
  <c r="BC151" i="2"/>
  <c r="BK151" i="2" s="1"/>
  <c r="BC361" i="2"/>
  <c r="AW2" i="2"/>
  <c r="BE7" i="2"/>
  <c r="BE5" i="2" s="1"/>
  <c r="BE2" i="2" s="1"/>
  <c r="AP259" i="6"/>
  <c r="AP5" i="6"/>
  <c r="BK138" i="2"/>
  <c r="BI260" i="6"/>
  <c r="BI84" i="6"/>
  <c r="AY5" i="6"/>
  <c r="AY2" i="6" s="1"/>
  <c r="AD26" i="19"/>
  <c r="AL2" i="2"/>
  <c r="AM361" i="2"/>
  <c r="AW445" i="3"/>
  <c r="BC483" i="3"/>
  <c r="BE483" i="3"/>
  <c r="AV37" i="11"/>
  <c r="BE38" i="11"/>
  <c r="BE37" i="11" s="1"/>
  <c r="BG445" i="2"/>
  <c r="BG2" i="2" s="1"/>
  <c r="AU445" i="2"/>
  <c r="BD77" i="11"/>
  <c r="BD76" i="11" s="1"/>
  <c r="AU76" i="11"/>
  <c r="AZ72" i="11"/>
  <c r="BI73" i="11"/>
  <c r="BB73" i="11"/>
  <c r="BB72" i="11" s="1"/>
  <c r="BF65" i="11"/>
  <c r="AW64" i="11"/>
  <c r="BB65" i="11"/>
  <c r="BB64" i="11" s="1"/>
  <c r="BC355" i="6"/>
  <c r="BD130" i="1"/>
  <c r="BL130" i="1" s="1"/>
  <c r="AY123" i="1"/>
  <c r="BG130" i="1"/>
  <c r="BF445" i="2"/>
  <c r="BC445" i="2"/>
  <c r="BD5" i="2"/>
  <c r="BI24" i="11"/>
  <c r="AM27" i="11"/>
  <c r="AM4" i="11" s="1"/>
  <c r="AQ27" i="11"/>
  <c r="AQ4" i="11" s="1"/>
  <c r="AM261" i="3"/>
  <c r="AH2" i="3"/>
  <c r="BE261" i="3"/>
  <c r="AO27" i="11"/>
  <c r="AO4" i="11" s="1"/>
  <c r="AY5" i="11"/>
  <c r="BH6" i="11"/>
  <c r="BH5" i="11" s="1"/>
  <c r="BH4" i="11" s="1"/>
  <c r="Y2" i="3"/>
  <c r="AF5" i="3"/>
  <c r="AG261" i="1"/>
  <c r="AA2" i="1"/>
  <c r="AN2" i="2"/>
  <c r="AU5" i="2"/>
  <c r="BD289" i="1"/>
  <c r="BH289" i="1"/>
  <c r="AT349" i="6"/>
  <c r="AU350" i="6"/>
  <c r="BJ350" i="6"/>
  <c r="AR27" i="11"/>
  <c r="AR4" i="11" s="1"/>
  <c r="BJ28" i="11"/>
  <c r="BK29" i="11"/>
  <c r="BK28" i="11" s="1"/>
  <c r="BE77" i="11"/>
  <c r="BE76" i="11" s="1"/>
  <c r="AV76" i="11"/>
  <c r="BF123" i="3"/>
  <c r="AX122" i="3"/>
  <c r="AX5" i="3" s="1"/>
  <c r="AX2" i="3" s="1"/>
  <c r="BC123" i="3"/>
  <c r="AV2" i="3"/>
  <c r="BC361" i="3"/>
  <c r="BI361" i="3"/>
  <c r="AF361" i="2"/>
  <c r="BI361" i="2"/>
  <c r="AB2" i="1"/>
  <c r="AG5" i="1"/>
  <c r="AM2" i="3"/>
  <c r="AE2" i="3"/>
  <c r="BE85" i="11"/>
  <c r="AQ2" i="2"/>
  <c r="BJ361" i="2"/>
  <c r="AF438" i="6"/>
  <c r="AA2" i="6"/>
  <c r="BK352" i="6"/>
  <c r="BI56" i="21"/>
  <c r="AV79" i="11"/>
  <c r="BE80" i="11"/>
  <c r="BB80" i="11"/>
  <c r="BB79" i="11" s="1"/>
  <c r="BI45" i="11"/>
  <c r="BC26" i="11"/>
  <c r="BK26" i="11" s="1"/>
  <c r="BH445" i="2"/>
  <c r="AK2" i="2"/>
  <c r="AM445" i="2"/>
  <c r="AV28" i="11"/>
  <c r="BB29" i="11"/>
  <c r="BB28" i="11" s="1"/>
  <c r="AX58" i="11"/>
  <c r="AX27" i="11" s="1"/>
  <c r="BG59" i="11"/>
  <c r="BG58" i="11" s="1"/>
  <c r="BB59" i="11"/>
  <c r="BB58" i="11" s="1"/>
  <c r="AW76" i="11"/>
  <c r="AW27" i="11" s="1"/>
  <c r="AW4" i="11" s="1"/>
  <c r="BF77" i="11"/>
  <c r="BF76" i="11" s="1"/>
  <c r="BJ76" i="11"/>
  <c r="BI83" i="11"/>
  <c r="AZ82" i="11"/>
  <c r="BB83" i="11"/>
  <c r="BB82" i="11" s="1"/>
  <c r="AQ2" i="3"/>
  <c r="AU361" i="3"/>
  <c r="BG361" i="3"/>
  <c r="BJ48" i="1"/>
  <c r="BD48" i="1"/>
  <c r="BL48" i="1" s="1"/>
  <c r="BB5" i="1"/>
  <c r="BB2" i="1" s="1"/>
  <c r="AG375" i="1"/>
  <c r="BL376" i="1"/>
  <c r="BL375" i="1" s="1"/>
  <c r="BE361" i="1"/>
  <c r="BC77" i="11"/>
  <c r="BC76" i="11" s="1"/>
  <c r="BC27" i="11" s="1"/>
  <c r="BA51" i="11"/>
  <c r="BJ52" i="11"/>
  <c r="AZ37" i="11"/>
  <c r="BB38" i="11"/>
  <c r="BB37" i="11" s="1"/>
  <c r="BI38" i="11"/>
  <c r="BG38" i="11"/>
  <c r="BG37" i="11" s="1"/>
  <c r="AV24" i="11"/>
  <c r="BE25" i="11"/>
  <c r="BE24" i="11" s="1"/>
  <c r="BB25" i="11"/>
  <c r="BB24" i="11" s="1"/>
  <c r="BG25" i="11"/>
  <c r="AX24" i="11"/>
  <c r="BD25" i="11"/>
  <c r="BD24" i="11" s="1"/>
  <c r="BE445" i="1"/>
  <c r="BD445" i="1"/>
  <c r="AZ2" i="1"/>
  <c r="BH261" i="1"/>
  <c r="AY27" i="11"/>
  <c r="AS27" i="11"/>
  <c r="AS4" i="11" s="1"/>
  <c r="BJ58" i="11"/>
  <c r="BA76" i="11"/>
  <c r="BB77" i="11"/>
  <c r="BB76" i="11" s="1"/>
  <c r="AF289" i="3"/>
  <c r="BK289" i="3" s="1"/>
  <c r="BJ289" i="3"/>
  <c r="BF138" i="3"/>
  <c r="BC138" i="3"/>
  <c r="BK138" i="3" s="1"/>
  <c r="AF445" i="3"/>
  <c r="AE361" i="1"/>
  <c r="BJ363" i="1"/>
  <c r="AG363" i="1"/>
  <c r="BL363" i="1" s="1"/>
  <c r="AC2" i="2"/>
  <c r="BH261" i="2"/>
  <c r="BH2" i="2" s="1"/>
  <c r="BC356" i="2"/>
  <c r="BK356" i="2" s="1"/>
  <c r="BB355" i="2"/>
  <c r="BJ356" i="2"/>
  <c r="BI438" i="6"/>
  <c r="AD2" i="6"/>
  <c r="BA2" i="3"/>
  <c r="BF261" i="1"/>
  <c r="BF2" i="1" s="1"/>
  <c r="BK261" i="3"/>
  <c r="BI15" i="21"/>
  <c r="AG26" i="19"/>
  <c r="AY63" i="19"/>
  <c r="L17" i="9"/>
  <c r="B16" i="19"/>
  <c r="BC18" i="19"/>
  <c r="Q18" i="19" s="1"/>
  <c r="AN55" i="19"/>
  <c r="P55" i="19" s="1"/>
  <c r="E12" i="19"/>
  <c r="AW86" i="13"/>
  <c r="F12" i="15"/>
  <c r="N19" i="15"/>
  <c r="N12" i="15"/>
  <c r="L13" i="15"/>
  <c r="F21" i="15"/>
  <c r="N9" i="15"/>
  <c r="N21" i="15"/>
  <c r="K24" i="15"/>
  <c r="F22" i="9"/>
  <c r="L20" i="9"/>
  <c r="L22" i="9"/>
  <c r="F17" i="15"/>
  <c r="N17" i="15"/>
  <c r="L17" i="15"/>
  <c r="F6" i="15"/>
  <c r="N6" i="15"/>
  <c r="L6" i="15"/>
  <c r="N22" i="15"/>
  <c r="F22" i="15"/>
  <c r="N15" i="15"/>
  <c r="L15" i="15"/>
  <c r="N14" i="15"/>
  <c r="L14" i="15"/>
  <c r="F14" i="15"/>
  <c r="E23" i="15"/>
  <c r="F23" i="15" s="1"/>
  <c r="M23" i="15"/>
  <c r="K23" i="15"/>
  <c r="L61" i="21"/>
  <c r="N25" i="21"/>
  <c r="M61" i="21"/>
  <c r="E61" i="21" s="1"/>
  <c r="O25" i="21"/>
  <c r="J61" i="21"/>
  <c r="O61" i="21"/>
  <c r="F25" i="21"/>
  <c r="F61" i="21"/>
  <c r="N61" i="21"/>
  <c r="K61" i="21"/>
  <c r="K25" i="21"/>
  <c r="J25" i="21"/>
  <c r="M25" i="21"/>
  <c r="E25" i="21" s="1"/>
  <c r="I25" i="21"/>
  <c r="G25" i="21"/>
  <c r="I61" i="21"/>
  <c r="G61" i="21"/>
  <c r="H61" i="21"/>
  <c r="H25" i="21"/>
  <c r="L25" i="21"/>
  <c r="BC56" i="19"/>
  <c r="Q56" i="19" s="1"/>
  <c r="AW63" i="19"/>
  <c r="AV63" i="19"/>
  <c r="N17" i="9"/>
  <c r="L12" i="9"/>
  <c r="F12" i="9"/>
  <c r="N12" i="9"/>
  <c r="K23" i="9"/>
  <c r="M23" i="9"/>
  <c r="F15" i="9"/>
  <c r="N15" i="9"/>
  <c r="L15" i="9"/>
  <c r="N8" i="9"/>
  <c r="L8" i="9"/>
  <c r="F8" i="9"/>
  <c r="F9" i="9"/>
  <c r="N9" i="9"/>
  <c r="L9" i="9"/>
  <c r="E23" i="9"/>
  <c r="F23" i="9" s="1"/>
  <c r="F10" i="9"/>
  <c r="L10" i="9"/>
  <c r="N10" i="9"/>
  <c r="G9" i="21"/>
  <c r="O62" i="21"/>
  <c r="J62" i="21"/>
  <c r="F62" i="21"/>
  <c r="K9" i="21"/>
  <c r="N62" i="21"/>
  <c r="L9" i="21"/>
  <c r="K62" i="21"/>
  <c r="H62" i="21"/>
  <c r="J9" i="21"/>
  <c r="I62" i="21"/>
  <c r="O9" i="21"/>
  <c r="F9" i="21"/>
  <c r="M62" i="21"/>
  <c r="E62" i="21" s="1"/>
  <c r="G62" i="21"/>
  <c r="H9" i="21"/>
  <c r="N9" i="21"/>
  <c r="L62" i="21"/>
  <c r="I9" i="21"/>
  <c r="M9" i="21"/>
  <c r="E9" i="21" s="1"/>
  <c r="S14" i="21"/>
  <c r="O54" i="21"/>
  <c r="N54" i="21"/>
  <c r="K54" i="21"/>
  <c r="G54" i="21"/>
  <c r="I54" i="21"/>
  <c r="M54" i="21"/>
  <c r="E54" i="21" s="1"/>
  <c r="J54" i="21"/>
  <c r="L54" i="21"/>
  <c r="AC19" i="21"/>
  <c r="R60" i="19"/>
  <c r="U60" i="19" s="1"/>
  <c r="T60" i="19" s="1"/>
  <c r="AN22" i="19"/>
  <c r="P22" i="19" s="1"/>
  <c r="H26" i="19"/>
  <c r="AC12" i="19"/>
  <c r="U16" i="19"/>
  <c r="T16" i="19" s="1"/>
  <c r="B55" i="19"/>
  <c r="I57" i="21"/>
  <c r="O57" i="21"/>
  <c r="F24" i="21"/>
  <c r="H24" i="21"/>
  <c r="M57" i="21"/>
  <c r="E57" i="21" s="1"/>
  <c r="M24" i="21"/>
  <c r="E24" i="21" s="1"/>
  <c r="L57" i="21"/>
  <c r="K57" i="21"/>
  <c r="G57" i="21"/>
  <c r="O24" i="21"/>
  <c r="J57" i="21"/>
  <c r="N24" i="21"/>
  <c r="K24" i="21"/>
  <c r="L24" i="21"/>
  <c r="N57" i="21"/>
  <c r="H57" i="21"/>
  <c r="J24" i="21"/>
  <c r="G24" i="21"/>
  <c r="F57" i="21"/>
  <c r="S13" i="21"/>
  <c r="S56" i="21"/>
  <c r="B17" i="21"/>
  <c r="S19" i="21"/>
  <c r="S11" i="21"/>
  <c r="B11" i="21"/>
  <c r="S16" i="21"/>
  <c r="S58" i="21"/>
  <c r="S23" i="21"/>
  <c r="B21" i="21"/>
  <c r="B16" i="21"/>
  <c r="H54" i="21"/>
  <c r="I24" i="21"/>
  <c r="S20" i="21"/>
  <c r="M63" i="19"/>
  <c r="AC63" i="19"/>
  <c r="AJ26" i="19"/>
  <c r="AL63" i="19"/>
  <c r="J63" i="19"/>
  <c r="AU26" i="19"/>
  <c r="O26" i="19"/>
  <c r="AK63" i="19"/>
  <c r="AT63" i="19"/>
  <c r="AE26" i="19"/>
  <c r="R18" i="19"/>
  <c r="AC18" i="19"/>
  <c r="R25" i="19"/>
  <c r="J26" i="19"/>
  <c r="O63" i="19"/>
  <c r="BI62" i="21"/>
  <c r="B12" i="19"/>
  <c r="U55" i="19"/>
  <c r="T55" i="19" s="1"/>
  <c r="AR12" i="21"/>
  <c r="BA26" i="19"/>
  <c r="E54" i="19"/>
  <c r="B54" i="19" s="1"/>
  <c r="R19" i="19"/>
  <c r="BC62" i="19"/>
  <c r="Q62" i="19" s="1"/>
  <c r="U62" i="19" s="1"/>
  <c r="T62" i="19" s="1"/>
  <c r="U17" i="19"/>
  <c r="T17" i="19" s="1"/>
  <c r="Q12" i="21"/>
  <c r="B59" i="19"/>
  <c r="H22" i="22"/>
  <c r="U59" i="19"/>
  <c r="T59" i="19" s="1"/>
  <c r="U15" i="19"/>
  <c r="T15" i="19" s="1"/>
  <c r="B25" i="19"/>
  <c r="AR11" i="19"/>
  <c r="R23" i="19"/>
  <c r="E23" i="19"/>
  <c r="B23" i="19" s="1"/>
  <c r="AR57" i="19"/>
  <c r="AR63" i="19" s="1"/>
  <c r="I22" i="22"/>
  <c r="U53" i="19"/>
  <c r="T53" i="19" s="1"/>
  <c r="BC13" i="19"/>
  <c r="Q13" i="19" s="1"/>
  <c r="B19" i="19"/>
  <c r="B14" i="19"/>
  <c r="BI59" i="21"/>
  <c r="BI58" i="21"/>
  <c r="BI12" i="21"/>
  <c r="BF12" i="21" s="1"/>
  <c r="AR11" i="21"/>
  <c r="BC23" i="19"/>
  <c r="Q23" i="19" s="1"/>
  <c r="E24" i="19"/>
  <c r="B24" i="19" s="1"/>
  <c r="R54" i="19"/>
  <c r="R56" i="19"/>
  <c r="U56" i="19" s="1"/>
  <c r="T56" i="19" s="1"/>
  <c r="BC54" i="19"/>
  <c r="Q54" i="19" s="1"/>
  <c r="AN54" i="19"/>
  <c r="P54" i="19" s="1"/>
  <c r="BC57" i="19"/>
  <c r="Q57" i="19" s="1"/>
  <c r="E57" i="19"/>
  <c r="B57" i="19" s="1"/>
  <c r="R58" i="19"/>
  <c r="U58" i="19" s="1"/>
  <c r="T58" i="19" s="1"/>
  <c r="G63" i="19"/>
  <c r="R24" i="19"/>
  <c r="U24" i="19" s="1"/>
  <c r="T24" i="19" s="1"/>
  <c r="R57" i="19"/>
  <c r="AR13" i="19"/>
  <c r="BI19" i="21"/>
  <c r="BF19" i="21" s="1"/>
  <c r="AR9" i="21"/>
  <c r="B22" i="19"/>
  <c r="R22" i="19"/>
  <c r="AN21" i="19"/>
  <c r="P21" i="19" s="1"/>
  <c r="U21" i="19" s="1"/>
  <c r="T21" i="19" s="1"/>
  <c r="AC22" i="19"/>
  <c r="M26" i="19"/>
  <c r="AN19" i="19"/>
  <c r="P19" i="19" s="1"/>
  <c r="AN25" i="19"/>
  <c r="P25" i="19" s="1"/>
  <c r="B11" i="19"/>
  <c r="R11" i="19"/>
  <c r="G26" i="19"/>
  <c r="E61" i="19"/>
  <c r="B61" i="19" s="1"/>
  <c r="P18" i="21"/>
  <c r="AN14" i="19"/>
  <c r="P14" i="19" s="1"/>
  <c r="R61" i="19"/>
  <c r="AE63" i="19"/>
  <c r="I26" i="19"/>
  <c r="AC14" i="19"/>
  <c r="AN18" i="19"/>
  <c r="P18" i="19" s="1"/>
  <c r="BC25" i="19"/>
  <c r="Q25" i="19" s="1"/>
  <c r="U25" i="19" s="1"/>
  <c r="E15" i="19"/>
  <c r="B15" i="19" s="1"/>
  <c r="L26" i="19"/>
  <c r="E18" i="19"/>
  <c r="B18" i="19" s="1"/>
  <c r="N26" i="19"/>
  <c r="AW26" i="19"/>
  <c r="F63" i="19"/>
  <c r="E60" i="19"/>
  <c r="B60" i="19" s="1"/>
  <c r="L63" i="19"/>
  <c r="BT14" i="21"/>
  <c r="R14" i="21" s="1"/>
  <c r="BI54" i="21"/>
  <c r="AZ63" i="21"/>
  <c r="BR63" i="21"/>
  <c r="BI13" i="21"/>
  <c r="BF13" i="21" s="1"/>
  <c r="BT55" i="21"/>
  <c r="R55" i="21" s="1"/>
  <c r="BI25" i="21"/>
  <c r="BF25" i="21" s="1"/>
  <c r="P15" i="21"/>
  <c r="AN57" i="21"/>
  <c r="P57" i="21" s="1"/>
  <c r="AC15" i="21"/>
  <c r="AC22" i="21"/>
  <c r="Q17" i="21"/>
  <c r="AR15" i="21"/>
  <c r="AR19" i="21"/>
  <c r="AR14" i="21"/>
  <c r="AG63" i="19"/>
  <c r="AN63" i="19" s="1"/>
  <c r="P63" i="19" s="1"/>
  <c r="AN61" i="19"/>
  <c r="P61" i="19" s="1"/>
  <c r="R13" i="19"/>
  <c r="F26" i="19"/>
  <c r="AS26" i="19"/>
  <c r="BC11" i="19"/>
  <c r="Q11" i="19" s="1"/>
  <c r="AC25" i="19"/>
  <c r="AL26" i="19"/>
  <c r="AK26" i="19"/>
  <c r="BT20" i="21"/>
  <c r="R20" i="21" s="1"/>
  <c r="AN55" i="21"/>
  <c r="P55" i="21" s="1"/>
  <c r="AC24" i="21"/>
  <c r="AR20" i="21"/>
  <c r="AI26" i="21"/>
  <c r="AV26" i="21"/>
  <c r="AC14" i="21"/>
  <c r="P19" i="21"/>
  <c r="AR18" i="21"/>
  <c r="Q19" i="21"/>
  <c r="AN59" i="21"/>
  <c r="P59" i="21" s="1"/>
  <c r="AN56" i="21"/>
  <c r="P56" i="21" s="1"/>
  <c r="AN54" i="21"/>
  <c r="P54" i="21" s="1"/>
  <c r="P20" i="21"/>
  <c r="BF15" i="21"/>
  <c r="BO26" i="21"/>
  <c r="P17" i="21"/>
  <c r="AC23" i="21"/>
  <c r="AZ26" i="21"/>
  <c r="AC9" i="21"/>
  <c r="AX26" i="21"/>
  <c r="BI20" i="21"/>
  <c r="BF20" i="21" s="1"/>
  <c r="Q18" i="21"/>
  <c r="AT26" i="19"/>
  <c r="BC19" i="19"/>
  <c r="Q19" i="19" s="1"/>
  <c r="Q13" i="21"/>
  <c r="AC11" i="21"/>
  <c r="BB63" i="21"/>
  <c r="AF26" i="21"/>
  <c r="AG26" i="21"/>
  <c r="AN12" i="19"/>
  <c r="P12" i="19" s="1"/>
  <c r="AI26" i="19"/>
  <c r="Q9" i="21"/>
  <c r="AR13" i="21"/>
  <c r="BA63" i="21"/>
  <c r="BS26" i="21"/>
  <c r="BT57" i="21"/>
  <c r="R57" i="21" s="1"/>
  <c r="BI21" i="21"/>
  <c r="BF21" i="21" s="1"/>
  <c r="BT23" i="21"/>
  <c r="R23" i="21" s="1"/>
  <c r="P13" i="21"/>
  <c r="BC55" i="21"/>
  <c r="Q55" i="21" s="1"/>
  <c r="AC12" i="21"/>
  <c r="AC25" i="21"/>
  <c r="AN53" i="21"/>
  <c r="P53" i="21" s="1"/>
  <c r="AR23" i="19"/>
  <c r="AY26" i="19"/>
  <c r="Q14" i="21"/>
  <c r="BT16" i="21"/>
  <c r="R16" i="21" s="1"/>
  <c r="BT19" i="21"/>
  <c r="R19" i="21" s="1"/>
  <c r="BI17" i="21"/>
  <c r="BF17" i="21" s="1"/>
  <c r="AR52" i="21"/>
  <c r="AY63" i="21"/>
  <c r="Q23" i="21"/>
  <c r="AR21" i="21"/>
  <c r="BC61" i="21"/>
  <c r="Q61" i="21" s="1"/>
  <c r="BN63" i="21"/>
  <c r="BK63" i="21"/>
  <c r="BR26" i="21"/>
  <c r="BI26" i="21" s="1"/>
  <c r="BM26" i="21"/>
  <c r="BT15" i="21"/>
  <c r="R15" i="21" s="1"/>
  <c r="BT56" i="21"/>
  <c r="R56" i="21" s="1"/>
  <c r="BI55" i="21"/>
  <c r="BT22" i="21"/>
  <c r="R22" i="21" s="1"/>
  <c r="BF22" i="21"/>
  <c r="BI24" i="21"/>
  <c r="BF24" i="21" s="1"/>
  <c r="BT61" i="21"/>
  <c r="R61" i="21" s="1"/>
  <c r="BT18" i="21"/>
  <c r="R18" i="21" s="1"/>
  <c r="BA26" i="21"/>
  <c r="AN61" i="21"/>
  <c r="P61" i="21" s="1"/>
  <c r="BF14" i="21"/>
  <c r="AU26" i="21"/>
  <c r="Q11" i="21"/>
  <c r="AN62" i="21"/>
  <c r="P62" i="21" s="1"/>
  <c r="AL26" i="21"/>
  <c r="AN58" i="21"/>
  <c r="P58" i="21" s="1"/>
  <c r="P16" i="21"/>
  <c r="AK63" i="21"/>
  <c r="AM63" i="21"/>
  <c r="AY26" i="21"/>
  <c r="AW63" i="21"/>
  <c r="BC59" i="21"/>
  <c r="Q59" i="21" s="1"/>
  <c r="AV63" i="21"/>
  <c r="AX63" i="21"/>
  <c r="BQ63" i="21"/>
  <c r="BJ63" i="21"/>
  <c r="BT53" i="21"/>
  <c r="R53" i="21" s="1"/>
  <c r="BK26" i="21"/>
  <c r="BT62" i="21"/>
  <c r="R62" i="21" s="1"/>
  <c r="BL26" i="21"/>
  <c r="BT60" i="21"/>
  <c r="R60" i="21" s="1"/>
  <c r="BT25" i="21"/>
  <c r="R25" i="21" s="1"/>
  <c r="AN60" i="21"/>
  <c r="P60" i="21" s="1"/>
  <c r="P24" i="21"/>
  <c r="AI63" i="21"/>
  <c r="AD63" i="21"/>
  <c r="AN52" i="21"/>
  <c r="P52" i="21" s="1"/>
  <c r="BB26" i="21"/>
  <c r="AR57" i="21"/>
  <c r="BT54" i="21"/>
  <c r="R54" i="21" s="1"/>
  <c r="AT63" i="21"/>
  <c r="BC52" i="21"/>
  <c r="Q52" i="21" s="1"/>
  <c r="BC56" i="21"/>
  <c r="Q56" i="21" s="1"/>
  <c r="Q24" i="21"/>
  <c r="BC53" i="21"/>
  <c r="Q53" i="21" s="1"/>
  <c r="BM63" i="21"/>
  <c r="BS63" i="21"/>
  <c r="BI9" i="21"/>
  <c r="BF9" i="21" s="1"/>
  <c r="BJ26" i="21"/>
  <c r="BT9" i="21"/>
  <c r="R9" i="21" s="1"/>
  <c r="BT13" i="21"/>
  <c r="R13" i="21" s="1"/>
  <c r="BT12" i="21"/>
  <c r="R12" i="21" s="1"/>
  <c r="BT11" i="21"/>
  <c r="R11" i="21" s="1"/>
  <c r="BT59" i="21"/>
  <c r="R59" i="21" s="1"/>
  <c r="BT17" i="21"/>
  <c r="R17" i="21" s="1"/>
  <c r="BT24" i="21"/>
  <c r="R24" i="21" s="1"/>
  <c r="BI61" i="21"/>
  <c r="BC58" i="21"/>
  <c r="Q58" i="21" s="1"/>
  <c r="AR16" i="21"/>
  <c r="AS26" i="21"/>
  <c r="Q16" i="21"/>
  <c r="AC20" i="21"/>
  <c r="AC17" i="21"/>
  <c r="P23" i="21"/>
  <c r="Q21" i="21"/>
  <c r="AH26" i="21"/>
  <c r="P12" i="21"/>
  <c r="AE63" i="21"/>
  <c r="AL63" i="21"/>
  <c r="AG63" i="21"/>
  <c r="P25" i="21"/>
  <c r="BC57" i="21"/>
  <c r="Q57" i="21" s="1"/>
  <c r="AD26" i="21"/>
  <c r="B58" i="19"/>
  <c r="BT58" i="21"/>
  <c r="R58" i="21" s="1"/>
  <c r="AS63" i="21"/>
  <c r="BC54" i="21"/>
  <c r="Q54" i="21" s="1"/>
  <c r="AU63" i="21"/>
  <c r="Q25" i="21"/>
  <c r="Q22" i="21"/>
  <c r="BC60" i="21"/>
  <c r="Q60" i="21" s="1"/>
  <c r="BL63" i="21"/>
  <c r="BP63" i="21"/>
  <c r="BI53" i="21"/>
  <c r="BO63" i="21"/>
  <c r="BN26" i="21"/>
  <c r="BI57" i="21"/>
  <c r="BT21" i="21"/>
  <c r="R21" i="21" s="1"/>
  <c r="BI16" i="21"/>
  <c r="BF16" i="21" s="1"/>
  <c r="BI23" i="21"/>
  <c r="BF23" i="21" s="1"/>
  <c r="BI18" i="21"/>
  <c r="BF18" i="21" s="1"/>
  <c r="BC62" i="21"/>
  <c r="Q62" i="21" s="1"/>
  <c r="AW26" i="21"/>
  <c r="Q20" i="21"/>
  <c r="AM26" i="21"/>
  <c r="AC57" i="21"/>
  <c r="P21" i="21"/>
  <c r="P22" i="21"/>
  <c r="AK26" i="21"/>
  <c r="AE26" i="21"/>
  <c r="AC16" i="21"/>
  <c r="P14" i="21"/>
  <c r="AH63" i="21"/>
  <c r="AF63" i="21"/>
  <c r="AJ63" i="21"/>
  <c r="AC52" i="21"/>
  <c r="AT26" i="21"/>
  <c r="U52" i="19"/>
  <c r="T52" i="19" s="1"/>
  <c r="AJ26" i="21"/>
  <c r="S60" i="21"/>
  <c r="S53" i="21"/>
  <c r="S17" i="21"/>
  <c r="B23" i="21"/>
  <c r="S21" i="21"/>
  <c r="B55" i="21"/>
  <c r="S15" i="21"/>
  <c r="B19" i="21"/>
  <c r="B15" i="21"/>
  <c r="E53" i="21"/>
  <c r="B60" i="21"/>
  <c r="S55" i="21"/>
  <c r="S12" i="21"/>
  <c r="S59" i="21"/>
  <c r="B14" i="21"/>
  <c r="S22" i="21"/>
  <c r="S18" i="21"/>
  <c r="N26" i="21" l="1"/>
  <c r="BK439" i="6"/>
  <c r="BL439" i="6"/>
  <c r="BA2" i="6"/>
  <c r="BK48" i="6"/>
  <c r="BL48" i="6"/>
  <c r="AM286" i="6"/>
  <c r="BH286" i="6"/>
  <c r="BE286" i="6"/>
  <c r="BC286" i="6"/>
  <c r="BK286" i="6" s="1"/>
  <c r="BL291" i="6"/>
  <c r="BC144" i="6"/>
  <c r="BF144" i="6"/>
  <c r="BK6" i="6"/>
  <c r="BL149" i="6"/>
  <c r="BK149" i="6"/>
  <c r="AF5" i="6"/>
  <c r="BL126" i="6"/>
  <c r="BK126" i="6"/>
  <c r="J26" i="21"/>
  <c r="G26" i="21"/>
  <c r="AU51" i="11"/>
  <c r="AU27" i="11" s="1"/>
  <c r="AU4" i="11" s="1"/>
  <c r="BD52" i="11"/>
  <c r="BD51" i="11" s="1"/>
  <c r="BE438" i="6"/>
  <c r="BK361" i="1"/>
  <c r="AV361" i="1"/>
  <c r="U22" i="19"/>
  <c r="T22" i="19" s="1"/>
  <c r="BB52" i="11"/>
  <c r="BB51" i="11" s="1"/>
  <c r="BK87" i="11"/>
  <c r="BK85" i="11" s="1"/>
  <c r="BI2" i="3"/>
  <c r="AP2" i="1"/>
  <c r="BL289" i="1"/>
  <c r="BF259" i="6"/>
  <c r="BK106" i="6"/>
  <c r="BK260" i="6"/>
  <c r="AU2" i="1"/>
  <c r="BI361" i="1"/>
  <c r="AL2" i="1"/>
  <c r="S61" i="21"/>
  <c r="U61" i="21" s="1"/>
  <c r="T61" i="21" s="1"/>
  <c r="B25" i="21"/>
  <c r="S25" i="21"/>
  <c r="U25" i="21" s="1"/>
  <c r="T25" i="21" s="1"/>
  <c r="BF119" i="6"/>
  <c r="BF118" i="6" s="1"/>
  <c r="BF5" i="6" s="1"/>
  <c r="BC119" i="6"/>
  <c r="AX118" i="6"/>
  <c r="AX5" i="6" s="1"/>
  <c r="AV45" i="11"/>
  <c r="BB46" i="11"/>
  <c r="BB45" i="11" s="1"/>
  <c r="BE46" i="11"/>
  <c r="BK356" i="1"/>
  <c r="BC355" i="1"/>
  <c r="BD356" i="1"/>
  <c r="BL356" i="1" s="1"/>
  <c r="BK50" i="6"/>
  <c r="BC49" i="6"/>
  <c r="BL50" i="6"/>
  <c r="AZ5" i="6"/>
  <c r="BH49" i="6"/>
  <c r="BH5" i="6" s="1"/>
  <c r="AK2" i="6"/>
  <c r="AB2" i="6"/>
  <c r="BG259" i="6"/>
  <c r="BJ445" i="2"/>
  <c r="AE2" i="2"/>
  <c r="AF445" i="2"/>
  <c r="AS2" i="2"/>
  <c r="BE2" i="1"/>
  <c r="AZ27" i="11"/>
  <c r="AZ4" i="11" s="1"/>
  <c r="BC5" i="3"/>
  <c r="BF122" i="3"/>
  <c r="BF5" i="3" s="1"/>
  <c r="AU2" i="2"/>
  <c r="AF2" i="3"/>
  <c r="BI2" i="1"/>
  <c r="BG2" i="3"/>
  <c r="BL133" i="6"/>
  <c r="BK133" i="6"/>
  <c r="AH2" i="1"/>
  <c r="AN5" i="1"/>
  <c r="AD261" i="2"/>
  <c r="AF355" i="2"/>
  <c r="BI355" i="2"/>
  <c r="AF259" i="6"/>
  <c r="B61" i="21"/>
  <c r="K26" i="21"/>
  <c r="F26" i="21"/>
  <c r="L26" i="21"/>
  <c r="BG2" i="6"/>
  <c r="BA27" i="11"/>
  <c r="BA4" i="11" s="1"/>
  <c r="BC24" i="11"/>
  <c r="AP2" i="6"/>
  <c r="AU5" i="6"/>
  <c r="BC148" i="2"/>
  <c r="BK148" i="2" s="1"/>
  <c r="BF148" i="2"/>
  <c r="BF122" i="2" s="1"/>
  <c r="BF5" i="2" s="1"/>
  <c r="BC122" i="2"/>
  <c r="BK123" i="2"/>
  <c r="BI5" i="6"/>
  <c r="BI2" i="6" s="1"/>
  <c r="AM355" i="6"/>
  <c r="BL355" i="6" s="1"/>
  <c r="BJ355" i="6"/>
  <c r="AL2" i="6"/>
  <c r="BC259" i="6"/>
  <c r="BD259" i="6"/>
  <c r="BD2" i="6" s="1"/>
  <c r="BL106" i="6"/>
  <c r="AM259" i="6"/>
  <c r="AH2" i="6"/>
  <c r="BE259" i="6"/>
  <c r="BE2" i="6" s="1"/>
  <c r="AN445" i="1"/>
  <c r="BG445" i="1"/>
  <c r="AJ2" i="1"/>
  <c r="U18" i="19"/>
  <c r="T18" i="19" s="1"/>
  <c r="AV2" i="6"/>
  <c r="BK59" i="11"/>
  <c r="BK58" i="11" s="1"/>
  <c r="BL445" i="1"/>
  <c r="BG27" i="11"/>
  <c r="BJ5" i="1"/>
  <c r="BK77" i="11"/>
  <c r="BK76" i="11" s="1"/>
  <c r="BK361" i="2"/>
  <c r="AV5" i="1"/>
  <c r="AV2" i="1" s="1"/>
  <c r="BD27" i="11"/>
  <c r="BD4" i="11" s="1"/>
  <c r="BK483" i="3"/>
  <c r="AW2" i="6"/>
  <c r="AX122" i="2"/>
  <c r="AX5" i="2" s="1"/>
  <c r="AP2" i="3"/>
  <c r="AU5" i="3"/>
  <c r="BH259" i="6"/>
  <c r="AZ2" i="6"/>
  <c r="AF5" i="2"/>
  <c r="Z2" i="2"/>
  <c r="AN361" i="1"/>
  <c r="AN2" i="1" s="1"/>
  <c r="AK2" i="1"/>
  <c r="BH361" i="1"/>
  <c r="BH2" i="1" s="1"/>
  <c r="BK473" i="6"/>
  <c r="BL473" i="6"/>
  <c r="BL148" i="1"/>
  <c r="AV122" i="1"/>
  <c r="BK84" i="6"/>
  <c r="BL84" i="6"/>
  <c r="AM5" i="6"/>
  <c r="AM2" i="6" s="1"/>
  <c r="AG2" i="6"/>
  <c r="BK407" i="6"/>
  <c r="BL407" i="6"/>
  <c r="AU438" i="6"/>
  <c r="BK438" i="6" s="1"/>
  <c r="BH438" i="6"/>
  <c r="AU445" i="3"/>
  <c r="BD445" i="3"/>
  <c r="BD2" i="3" s="1"/>
  <c r="AN2" i="3"/>
  <c r="BL260" i="6"/>
  <c r="AX4" i="11"/>
  <c r="BF2" i="3"/>
  <c r="BK5" i="3"/>
  <c r="BJ361" i="1"/>
  <c r="BJ2" i="1" s="1"/>
  <c r="AE2" i="1"/>
  <c r="BI37" i="11"/>
  <c r="BK38" i="11"/>
  <c r="BK37" i="11" s="1"/>
  <c r="AG361" i="1"/>
  <c r="BL361" i="1" s="1"/>
  <c r="BB27" i="11"/>
  <c r="BB4" i="11" s="1"/>
  <c r="BK123" i="3"/>
  <c r="BK122" i="3" s="1"/>
  <c r="BC122" i="3"/>
  <c r="BC4" i="11"/>
  <c r="BK350" i="6"/>
  <c r="BL350" i="6"/>
  <c r="BD2" i="2"/>
  <c r="BD123" i="1"/>
  <c r="BG123" i="1"/>
  <c r="BG122" i="1" s="1"/>
  <c r="BG5" i="1" s="1"/>
  <c r="AY122" i="1"/>
  <c r="AY5" i="1" s="1"/>
  <c r="BK6" i="11"/>
  <c r="BK5" i="11" s="1"/>
  <c r="BF64" i="11"/>
  <c r="BF27" i="11" s="1"/>
  <c r="BF4" i="11" s="1"/>
  <c r="BK65" i="11"/>
  <c r="BK64" i="11" s="1"/>
  <c r="BI72" i="11"/>
  <c r="BK73" i="11"/>
  <c r="BK72" i="11" s="1"/>
  <c r="BE445" i="3"/>
  <c r="BE2" i="3" s="1"/>
  <c r="BC445" i="3"/>
  <c r="BK445" i="3" s="1"/>
  <c r="AW2" i="3"/>
  <c r="AR26" i="19"/>
  <c r="AN26" i="19"/>
  <c r="P26" i="19" s="1"/>
  <c r="BC26" i="19"/>
  <c r="Q26" i="19" s="1"/>
  <c r="BB261" i="2"/>
  <c r="BC355" i="2"/>
  <c r="BK355" i="2" s="1"/>
  <c r="BJ355" i="2"/>
  <c r="BK25" i="11"/>
  <c r="BK24" i="11" s="1"/>
  <c r="BG24" i="11"/>
  <c r="BG4" i="11" s="1"/>
  <c r="BJ51" i="11"/>
  <c r="BJ27" i="11" s="1"/>
  <c r="BJ4" i="11" s="1"/>
  <c r="BK52" i="11"/>
  <c r="BK51" i="11" s="1"/>
  <c r="BI82" i="11"/>
  <c r="BK83" i="11"/>
  <c r="BK82" i="11" s="1"/>
  <c r="AV27" i="11"/>
  <c r="AV4" i="11" s="1"/>
  <c r="BE79" i="11"/>
  <c r="BK80" i="11"/>
  <c r="BK79" i="11" s="1"/>
  <c r="AF2" i="6"/>
  <c r="AG2" i="1"/>
  <c r="BK361" i="3"/>
  <c r="BJ349" i="6"/>
  <c r="AT259" i="6"/>
  <c r="AU349" i="6"/>
  <c r="AY4" i="11"/>
  <c r="BK445" i="2"/>
  <c r="BK355" i="6"/>
  <c r="AM2" i="2"/>
  <c r="U13" i="19"/>
  <c r="T13" i="19" s="1"/>
  <c r="N23" i="9"/>
  <c r="L23" i="9"/>
  <c r="R63" i="19"/>
  <c r="L23" i="15"/>
  <c r="U11" i="19"/>
  <c r="T11" i="19" s="1"/>
  <c r="BC63" i="19"/>
  <c r="Q63" i="19" s="1"/>
  <c r="N23" i="15"/>
  <c r="J63" i="21"/>
  <c r="O63" i="21"/>
  <c r="S9" i="21"/>
  <c r="U9" i="21" s="1"/>
  <c r="T9" i="21" s="1"/>
  <c r="G63" i="21"/>
  <c r="H26" i="21"/>
  <c r="S62" i="21"/>
  <c r="U62" i="21" s="1"/>
  <c r="T62" i="21" s="1"/>
  <c r="B62" i="21"/>
  <c r="O26" i="21"/>
  <c r="S54" i="21"/>
  <c r="U54" i="21" s="1"/>
  <c r="T54" i="21" s="1"/>
  <c r="K63" i="21"/>
  <c r="I63" i="21"/>
  <c r="N63" i="21"/>
  <c r="M63" i="21"/>
  <c r="M26" i="21"/>
  <c r="L63" i="21"/>
  <c r="U14" i="21"/>
  <c r="T14" i="21" s="1"/>
  <c r="U56" i="21"/>
  <c r="T56" i="21" s="1"/>
  <c r="U11" i="21"/>
  <c r="T11" i="21" s="1"/>
  <c r="B57" i="21"/>
  <c r="B24" i="21"/>
  <c r="S57" i="21"/>
  <c r="U57" i="21" s="1"/>
  <c r="T57" i="21" s="1"/>
  <c r="F63" i="21"/>
  <c r="U23" i="21"/>
  <c r="T23" i="21" s="1"/>
  <c r="H63" i="21"/>
  <c r="B54" i="21"/>
  <c r="I26" i="21"/>
  <c r="S24" i="21"/>
  <c r="U24" i="21" s="1"/>
  <c r="T24" i="21" s="1"/>
  <c r="AC26" i="19"/>
  <c r="U13" i="21"/>
  <c r="T13" i="21" s="1"/>
  <c r="AC63" i="21"/>
  <c r="U20" i="21"/>
  <c r="T20" i="21" s="1"/>
  <c r="E63" i="19"/>
  <c r="U19" i="21"/>
  <c r="T19" i="21" s="1"/>
  <c r="AC26" i="21"/>
  <c r="U54" i="19"/>
  <c r="T54" i="19" s="1"/>
  <c r="U19" i="19"/>
  <c r="T19" i="19" s="1"/>
  <c r="R26" i="19"/>
  <c r="U26" i="19" s="1"/>
  <c r="T26" i="19" s="1"/>
  <c r="U57" i="19"/>
  <c r="T57" i="19" s="1"/>
  <c r="U23" i="19"/>
  <c r="T23" i="19" s="1"/>
  <c r="E26" i="19"/>
  <c r="T25" i="19"/>
  <c r="U14" i="19"/>
  <c r="T14" i="19" s="1"/>
  <c r="AR26" i="21"/>
  <c r="U61" i="19"/>
  <c r="T61" i="19" s="1"/>
  <c r="BC63" i="21"/>
  <c r="Q63" i="21" s="1"/>
  <c r="U12" i="19"/>
  <c r="T12" i="19" s="1"/>
  <c r="BI63" i="21"/>
  <c r="P26" i="21"/>
  <c r="BT26" i="21"/>
  <c r="R26" i="21" s="1"/>
  <c r="U58" i="21"/>
  <c r="T58" i="21" s="1"/>
  <c r="Q26" i="21"/>
  <c r="AR63" i="21"/>
  <c r="U52" i="21"/>
  <c r="T52" i="21" s="1"/>
  <c r="BT63" i="21"/>
  <c r="R63" i="21" s="1"/>
  <c r="AN63" i="21"/>
  <c r="P63" i="21" s="1"/>
  <c r="U16" i="21"/>
  <c r="T16" i="21" s="1"/>
  <c r="B53" i="21"/>
  <c r="E63" i="21"/>
  <c r="U22" i="21"/>
  <c r="T22" i="21" s="1"/>
  <c r="U55" i="21"/>
  <c r="T55" i="21" s="1"/>
  <c r="U21" i="21"/>
  <c r="T21" i="21" s="1"/>
  <c r="U60" i="21"/>
  <c r="T60" i="21" s="1"/>
  <c r="U12" i="21"/>
  <c r="T12" i="21" s="1"/>
  <c r="B9" i="21"/>
  <c r="E26" i="21"/>
  <c r="U59" i="21"/>
  <c r="T59" i="21" s="1"/>
  <c r="U15" i="21"/>
  <c r="T15" i="21" s="1"/>
  <c r="U17" i="21"/>
  <c r="T17" i="21" s="1"/>
  <c r="U18" i="21"/>
  <c r="T18" i="21" s="1"/>
  <c r="U53" i="21"/>
  <c r="T53" i="21" s="1"/>
  <c r="BL286" i="6" l="1"/>
  <c r="BL438" i="6"/>
  <c r="BL144" i="6"/>
  <c r="BK144" i="6"/>
  <c r="AU2" i="3"/>
  <c r="BK5" i="2"/>
  <c r="BF2" i="2"/>
  <c r="BF2" i="6"/>
  <c r="BK5" i="6"/>
  <c r="BI261" i="2"/>
  <c r="BI2" i="2" s="1"/>
  <c r="AD2" i="2"/>
  <c r="AF261" i="2"/>
  <c r="AF2" i="2" s="1"/>
  <c r="BD355" i="1"/>
  <c r="BL355" i="1" s="1"/>
  <c r="BK355" i="1"/>
  <c r="BC261" i="1"/>
  <c r="BE45" i="11"/>
  <c r="BE27" i="11" s="1"/>
  <c r="BE4" i="11" s="1"/>
  <c r="BK46" i="11"/>
  <c r="BK45" i="11" s="1"/>
  <c r="BK27" i="11" s="1"/>
  <c r="BK4" i="11" s="1"/>
  <c r="BK119" i="6"/>
  <c r="BC118" i="6"/>
  <c r="BL118" i="6" s="1"/>
  <c r="BL119" i="6"/>
  <c r="BL49" i="6"/>
  <c r="BK49" i="6"/>
  <c r="AX2" i="6"/>
  <c r="BC5" i="6"/>
  <c r="BC2" i="6" s="1"/>
  <c r="BH2" i="6"/>
  <c r="BC5" i="2"/>
  <c r="AX2" i="2"/>
  <c r="BK122" i="2"/>
  <c r="BL349" i="6"/>
  <c r="BK349" i="6"/>
  <c r="BJ261" i="2"/>
  <c r="BJ2" i="2" s="1"/>
  <c r="BC261" i="2"/>
  <c r="BB2" i="2"/>
  <c r="BG2" i="1"/>
  <c r="BL5" i="1"/>
  <c r="BC2" i="3"/>
  <c r="BJ259" i="6"/>
  <c r="BJ2" i="6" s="1"/>
  <c r="AT2" i="6"/>
  <c r="AU259" i="6"/>
  <c r="AY2" i="1"/>
  <c r="BD5" i="1"/>
  <c r="BL123" i="1"/>
  <c r="BL122" i="1" s="1"/>
  <c r="BD122" i="1"/>
  <c r="BI27" i="11"/>
  <c r="BI4" i="11" s="1"/>
  <c r="BK2" i="3"/>
  <c r="U63" i="19"/>
  <c r="T63" i="19" s="1"/>
  <c r="S26" i="21"/>
  <c r="U26" i="21" s="1"/>
  <c r="T26" i="21" s="1"/>
  <c r="S63" i="21"/>
  <c r="U63" i="21" s="1"/>
  <c r="T63" i="21" s="1"/>
  <c r="BK118" i="6" l="1"/>
  <c r="BK261" i="1"/>
  <c r="BK2" i="1" s="1"/>
  <c r="BC2" i="1"/>
  <c r="BD261" i="1"/>
  <c r="BL261" i="1" s="1"/>
  <c r="BL2" i="1" s="1"/>
  <c r="BL259" i="6"/>
  <c r="BK259" i="6"/>
  <c r="BK2" i="6" s="1"/>
  <c r="AU2" i="6"/>
  <c r="BK261" i="2"/>
  <c r="BK2" i="2" s="1"/>
  <c r="BC2" i="2"/>
  <c r="BD2" i="1" l="1"/>
</calcChain>
</file>

<file path=xl/comments1.xml><?xml version="1.0" encoding="utf-8"?>
<comments xmlns="http://schemas.openxmlformats.org/spreadsheetml/2006/main">
  <authors>
    <author>DEYANIRA PLANEACION</author>
    <author>PLANEACION DELLANIRA</author>
  </authors>
  <commentList>
    <comment ref="P10" authorId="0">
      <text>
        <r>
          <rPr>
            <b/>
            <sz val="9"/>
            <color indexed="81"/>
            <rFont val="Tahoma"/>
            <family val="2"/>
          </rPr>
          <t>DEYANIRA PLANEACION:</t>
        </r>
        <r>
          <rPr>
            <sz val="9"/>
            <color indexed="81"/>
            <rFont val="Tahoma"/>
            <family val="2"/>
          </rPr>
          <t xml:space="preserve">
Se disminuyo a 1</t>
        </r>
      </text>
    </comment>
    <comment ref="P13" authorId="0">
      <text>
        <r>
          <rPr>
            <b/>
            <sz val="9"/>
            <color indexed="81"/>
            <rFont val="Tahoma"/>
            <family val="2"/>
          </rPr>
          <t>DEYANIRA PLANEACION:</t>
        </r>
        <r>
          <rPr>
            <sz val="9"/>
            <color indexed="81"/>
            <rFont val="Tahoma"/>
            <family val="2"/>
          </rPr>
          <t xml:space="preserve">
Se disminuyó a 4</t>
        </r>
      </text>
    </comment>
    <comment ref="P14" authorId="0">
      <text>
        <r>
          <rPr>
            <b/>
            <sz val="9"/>
            <color indexed="81"/>
            <rFont val="Tahoma"/>
            <family val="2"/>
          </rPr>
          <t>DEYANIRA PLANEACION:</t>
        </r>
        <r>
          <rPr>
            <sz val="9"/>
            <color indexed="81"/>
            <rFont val="Tahoma"/>
            <family val="2"/>
          </rPr>
          <t xml:space="preserve">
DISMINUIR A 35</t>
        </r>
      </text>
    </comment>
    <comment ref="P16" authorId="0">
      <text>
        <r>
          <rPr>
            <b/>
            <sz val="9"/>
            <color indexed="81"/>
            <rFont val="Tahoma"/>
            <family val="2"/>
          </rPr>
          <t>DEYANIRA PLANEACION:</t>
        </r>
        <r>
          <rPr>
            <sz val="9"/>
            <color indexed="81"/>
            <rFont val="Tahoma"/>
            <family val="2"/>
          </rPr>
          <t xml:space="preserve">
REDACCION. NO CREAR SI APOYAR</t>
        </r>
      </text>
    </comment>
    <comment ref="P21" authorId="0">
      <text>
        <r>
          <rPr>
            <b/>
            <sz val="9"/>
            <color indexed="81"/>
            <rFont val="Tahoma"/>
            <family val="2"/>
          </rPr>
          <t>DEYANIRA PLANEACION:</t>
        </r>
        <r>
          <rPr>
            <sz val="9"/>
            <color indexed="81"/>
            <rFont val="Tahoma"/>
            <family val="2"/>
          </rPr>
          <t xml:space="preserve">
REDACCION.  Era crear 1 ruta</t>
        </r>
      </text>
    </comment>
    <comment ref="P28" authorId="0">
      <text>
        <r>
          <rPr>
            <b/>
            <sz val="9"/>
            <color indexed="81"/>
            <rFont val="Tahoma"/>
            <family val="2"/>
          </rPr>
          <t>DEYANIRA PLANEACION:</t>
        </r>
        <r>
          <rPr>
            <sz val="9"/>
            <color indexed="81"/>
            <rFont val="Tahoma"/>
            <family val="2"/>
          </rPr>
          <t xml:space="preserve">
ELIMINAR</t>
        </r>
      </text>
    </comment>
    <comment ref="P33" authorId="0">
      <text>
        <r>
          <rPr>
            <b/>
            <sz val="9"/>
            <color indexed="81"/>
            <rFont val="Tahoma"/>
            <family val="2"/>
          </rPr>
          <t>DEYANIRA PLANEACION:</t>
        </r>
        <r>
          <rPr>
            <sz val="9"/>
            <color indexed="81"/>
            <rFont val="Tahoma"/>
            <family val="2"/>
          </rPr>
          <t xml:space="preserve">
ELIMINADA</t>
        </r>
      </text>
    </comment>
    <comment ref="P37" authorId="0">
      <text>
        <r>
          <rPr>
            <b/>
            <sz val="9"/>
            <color indexed="81"/>
            <rFont val="Tahoma"/>
            <family val="2"/>
          </rPr>
          <t>DEYANIRA PLANEACION:</t>
        </r>
        <r>
          <rPr>
            <sz val="9"/>
            <color indexed="81"/>
            <rFont val="Tahoma"/>
            <family val="2"/>
          </rPr>
          <t xml:space="preserve">
ELIMINAR</t>
        </r>
      </text>
    </comment>
    <comment ref="P39" authorId="0">
      <text>
        <r>
          <rPr>
            <b/>
            <sz val="9"/>
            <color indexed="81"/>
            <rFont val="Tahoma"/>
            <family val="2"/>
          </rPr>
          <t>DEYANIRA PLANEACION:</t>
        </r>
        <r>
          <rPr>
            <sz val="9"/>
            <color indexed="81"/>
            <rFont val="Tahoma"/>
            <family val="2"/>
          </rPr>
          <t xml:space="preserve">
REDACCION. NO PROYECTOS.  SI ACTIVIDADES</t>
        </r>
      </text>
    </comment>
    <comment ref="P40" authorId="0">
      <text>
        <r>
          <rPr>
            <b/>
            <sz val="9"/>
            <color indexed="81"/>
            <rFont val="Tahoma"/>
            <family val="2"/>
          </rPr>
          <t>DEYANIRA PLANEACION:</t>
        </r>
        <r>
          <rPr>
            <sz val="9"/>
            <color indexed="81"/>
            <rFont val="Tahoma"/>
            <family val="2"/>
          </rPr>
          <t xml:space="preserve">
ELIMINAR</t>
        </r>
      </text>
    </comment>
    <comment ref="P43" authorId="0">
      <text>
        <r>
          <rPr>
            <b/>
            <sz val="9"/>
            <color indexed="81"/>
            <rFont val="Tahoma"/>
            <family val="2"/>
          </rPr>
          <t>DEYANIRA PLANEACION:</t>
        </r>
        <r>
          <rPr>
            <sz val="9"/>
            <color indexed="81"/>
            <rFont val="Tahoma"/>
            <family val="2"/>
          </rPr>
          <t xml:space="preserve">
REDACCION. NO IMPLEMENTAR.  SI APOYAR</t>
        </r>
      </text>
    </comment>
    <comment ref="P55" authorId="0">
      <text>
        <r>
          <rPr>
            <b/>
            <sz val="9"/>
            <color indexed="81"/>
            <rFont val="Tahoma"/>
            <family val="2"/>
          </rPr>
          <t>DEYANIRA PLANEACION:</t>
        </r>
        <r>
          <rPr>
            <sz val="9"/>
            <color indexed="81"/>
            <rFont val="Tahoma"/>
            <family val="2"/>
          </rPr>
          <t xml:space="preserve">
SE CAMBIO REDACCION.  1 CONVENIO POR CAPACITAC. </t>
        </r>
      </text>
    </comment>
    <comment ref="P63" authorId="0">
      <text>
        <r>
          <rPr>
            <b/>
            <sz val="9"/>
            <color indexed="81"/>
            <rFont val="Tahoma"/>
            <family val="2"/>
          </rPr>
          <t>DEYANIRA PLANEACION:</t>
        </r>
        <r>
          <rPr>
            <sz val="9"/>
            <color indexed="81"/>
            <rFont val="Tahoma"/>
            <family val="2"/>
          </rPr>
          <t xml:space="preserve">
era 2 convenios</t>
        </r>
      </text>
    </comment>
    <comment ref="P64" authorId="0">
      <text>
        <r>
          <rPr>
            <b/>
            <sz val="9"/>
            <color indexed="81"/>
            <rFont val="Tahoma"/>
            <family val="2"/>
          </rPr>
          <t>DEYANIRA PLANEACION:</t>
        </r>
        <r>
          <rPr>
            <sz val="9"/>
            <color indexed="81"/>
            <rFont val="Tahoma"/>
            <family val="2"/>
          </rPr>
          <t xml:space="preserve">
era crear un plan</t>
        </r>
      </text>
    </comment>
    <comment ref="P66" authorId="0">
      <text>
        <r>
          <rPr>
            <b/>
            <sz val="9"/>
            <color indexed="81"/>
            <rFont val="Tahoma"/>
            <family val="2"/>
          </rPr>
          <t>DEYANIRA PLANEACION:</t>
        </r>
        <r>
          <rPr>
            <sz val="9"/>
            <color indexed="81"/>
            <rFont val="Tahoma"/>
            <family val="2"/>
          </rPr>
          <t xml:space="preserve">
era solo dotaciones se incluyo Mtto y accesorios</t>
        </r>
      </text>
    </comment>
    <comment ref="P75" authorId="0">
      <text>
        <r>
          <rPr>
            <b/>
            <sz val="9"/>
            <color indexed="81"/>
            <rFont val="Tahoma"/>
            <family val="2"/>
          </rPr>
          <t>DEYANIRA PLANEACION:</t>
        </r>
        <r>
          <rPr>
            <sz val="9"/>
            <color indexed="81"/>
            <rFont val="Tahoma"/>
            <family val="2"/>
          </rPr>
          <t xml:space="preserve">
era en sala de computo</t>
        </r>
      </text>
    </comment>
    <comment ref="P88" authorId="0">
      <text>
        <r>
          <rPr>
            <b/>
            <sz val="9"/>
            <color indexed="81"/>
            <rFont val="Tahoma"/>
            <family val="2"/>
          </rPr>
          <t>DEYANIRA PLANEACION:</t>
        </r>
        <r>
          <rPr>
            <sz val="9"/>
            <color indexed="81"/>
            <rFont val="Tahoma"/>
            <family val="2"/>
          </rPr>
          <t xml:space="preserve">
era 6</t>
        </r>
      </text>
    </comment>
    <comment ref="P90" authorId="0">
      <text>
        <r>
          <rPr>
            <b/>
            <sz val="9"/>
            <color indexed="81"/>
            <rFont val="Tahoma"/>
            <family val="2"/>
          </rPr>
          <t>DEYANIRA PLANEACION:</t>
        </r>
        <r>
          <rPr>
            <sz val="9"/>
            <color indexed="81"/>
            <rFont val="Tahoma"/>
            <family val="2"/>
          </rPr>
          <t xml:space="preserve">
era 8</t>
        </r>
      </text>
    </comment>
    <comment ref="P91" authorId="0">
      <text>
        <r>
          <rPr>
            <b/>
            <sz val="9"/>
            <color indexed="81"/>
            <rFont val="Tahoma"/>
            <family val="2"/>
          </rPr>
          <t>DEYANIRA PLANEACION:</t>
        </r>
        <r>
          <rPr>
            <sz val="9"/>
            <color indexed="81"/>
            <rFont val="Tahoma"/>
            <family val="2"/>
          </rPr>
          <t xml:space="preserve">
SE ELIMINO</t>
        </r>
      </text>
    </comment>
    <comment ref="P100" authorId="0">
      <text>
        <r>
          <rPr>
            <b/>
            <sz val="9"/>
            <color indexed="81"/>
            <rFont val="Tahoma"/>
            <family val="2"/>
          </rPr>
          <t>DEYANIRA PLANEACION:</t>
        </r>
        <r>
          <rPr>
            <sz val="9"/>
            <color indexed="81"/>
            <rFont val="Tahoma"/>
            <family val="2"/>
          </rPr>
          <t xml:space="preserve">
</t>
        </r>
      </text>
    </comment>
    <comment ref="P102" authorId="0">
      <text>
        <r>
          <rPr>
            <b/>
            <sz val="9"/>
            <color indexed="81"/>
            <rFont val="Tahoma"/>
            <family val="2"/>
          </rPr>
          <t>DEYANIRA PLANEACION:</t>
        </r>
        <r>
          <rPr>
            <sz val="9"/>
            <color indexed="81"/>
            <rFont val="Tahoma"/>
            <family val="2"/>
          </rPr>
          <t xml:space="preserve">
era programa</t>
        </r>
      </text>
    </comment>
    <comment ref="P112" authorId="0">
      <text>
        <r>
          <rPr>
            <b/>
            <sz val="9"/>
            <color indexed="81"/>
            <rFont val="Tahoma"/>
            <family val="2"/>
          </rPr>
          <t>DEYANIRA PLANEACION:</t>
        </r>
        <r>
          <rPr>
            <sz val="9"/>
            <color indexed="81"/>
            <rFont val="Tahoma"/>
            <family val="2"/>
          </rPr>
          <t xml:space="preserve">
era 8</t>
        </r>
      </text>
    </comment>
    <comment ref="P124" authorId="0">
      <text>
        <r>
          <rPr>
            <b/>
            <sz val="9"/>
            <color indexed="81"/>
            <rFont val="Tahoma"/>
            <family val="2"/>
          </rPr>
          <t>DEYANIRA PLANEACION:</t>
        </r>
        <r>
          <rPr>
            <sz val="9"/>
            <color indexed="81"/>
            <rFont val="Tahoma"/>
            <family val="2"/>
          </rPr>
          <t xml:space="preserve">
era 1300</t>
        </r>
      </text>
    </comment>
    <comment ref="P129" authorId="0">
      <text>
        <r>
          <rPr>
            <b/>
            <sz val="9"/>
            <color indexed="81"/>
            <rFont val="Tahoma"/>
            <family val="2"/>
          </rPr>
          <t>DEYANIRA PLANEACION:</t>
        </r>
        <r>
          <rPr>
            <sz val="9"/>
            <color indexed="81"/>
            <rFont val="Tahoma"/>
            <family val="2"/>
          </rPr>
          <t xml:space="preserve">
era 2400</t>
        </r>
      </text>
    </comment>
    <comment ref="P139" authorId="0">
      <text>
        <r>
          <rPr>
            <b/>
            <sz val="9"/>
            <color indexed="81"/>
            <rFont val="Tahoma"/>
            <family val="2"/>
          </rPr>
          <t>DEYANIRA PLANEACION:</t>
        </r>
        <r>
          <rPr>
            <sz val="9"/>
            <color indexed="81"/>
            <rFont val="Tahoma"/>
            <family val="2"/>
          </rPr>
          <t xml:space="preserve">
era 2800</t>
        </r>
      </text>
    </comment>
    <comment ref="P151" authorId="0">
      <text>
        <r>
          <rPr>
            <b/>
            <sz val="9"/>
            <color indexed="81"/>
            <rFont val="Tahoma"/>
            <family val="2"/>
          </rPr>
          <t>DEYANIRA PLANEACION:</t>
        </r>
        <r>
          <rPr>
            <sz val="9"/>
            <color indexed="81"/>
            <rFont val="Tahoma"/>
            <family val="2"/>
          </rPr>
          <t xml:space="preserve">
era instalación y funcionamiento de 1 relleno</t>
        </r>
      </text>
    </comment>
    <comment ref="P177" authorId="0">
      <text>
        <r>
          <rPr>
            <b/>
            <sz val="9"/>
            <color indexed="81"/>
            <rFont val="Tahoma"/>
            <family val="2"/>
          </rPr>
          <t>DEYANIRA PLANEACION:</t>
        </r>
        <r>
          <rPr>
            <sz val="9"/>
            <color indexed="81"/>
            <rFont val="Tahoma"/>
            <family val="2"/>
          </rPr>
          <t xml:space="preserve">
era 2</t>
        </r>
      </text>
    </comment>
    <comment ref="P182" authorId="0">
      <text>
        <r>
          <rPr>
            <b/>
            <sz val="9"/>
            <color indexed="81"/>
            <rFont val="Tahoma"/>
            <family val="2"/>
          </rPr>
          <t>DEYANIRA PLANEACION:</t>
        </r>
        <r>
          <rPr>
            <sz val="9"/>
            <color indexed="81"/>
            <rFont val="Tahoma"/>
            <family val="2"/>
          </rPr>
          <t xml:space="preserve">
era consejo juventud</t>
        </r>
      </text>
    </comment>
    <comment ref="P190" authorId="1">
      <text>
        <r>
          <rPr>
            <b/>
            <sz val="9"/>
            <color indexed="81"/>
            <rFont val="Tahoma"/>
            <family val="2"/>
          </rPr>
          <t>PLANEACION DELLANIRA:</t>
        </r>
        <r>
          <rPr>
            <sz val="9"/>
            <color indexed="81"/>
            <rFont val="Tahoma"/>
            <family val="2"/>
          </rPr>
          <t xml:space="preserve">
NUEVA</t>
        </r>
      </text>
    </comment>
    <comment ref="P229" authorId="0">
      <text>
        <r>
          <rPr>
            <b/>
            <sz val="9"/>
            <color indexed="81"/>
            <rFont val="Tahoma"/>
            <family val="2"/>
          </rPr>
          <t>DEYANIRA PLANEACION:</t>
        </r>
        <r>
          <rPr>
            <sz val="9"/>
            <color indexed="81"/>
            <rFont val="Tahoma"/>
            <family val="2"/>
          </rPr>
          <t xml:space="preserve">
se incluyo fiestas tradicionales sampedrinas</t>
        </r>
      </text>
    </comment>
    <comment ref="P240" authorId="1">
      <text>
        <r>
          <rPr>
            <b/>
            <sz val="9"/>
            <color indexed="81"/>
            <rFont val="Tahoma"/>
            <family val="2"/>
          </rPr>
          <t>PLANEACION DELLANIRA:</t>
        </r>
        <r>
          <rPr>
            <sz val="9"/>
            <color indexed="81"/>
            <rFont val="Tahoma"/>
            <family val="2"/>
          </rPr>
          <t xml:space="preserve">
Nueva</t>
        </r>
      </text>
    </comment>
    <comment ref="P276" authorId="0">
      <text>
        <r>
          <rPr>
            <b/>
            <sz val="9"/>
            <color indexed="81"/>
            <rFont val="Tahoma"/>
            <family val="2"/>
          </rPr>
          <t>DEYANIRA PLANEACION:</t>
        </r>
        <r>
          <rPr>
            <sz val="9"/>
            <color indexed="81"/>
            <rFont val="Tahoma"/>
            <family val="2"/>
          </rPr>
          <t xml:space="preserve">
era implementar 2estrategias</t>
        </r>
      </text>
    </comment>
    <comment ref="P307" authorId="0">
      <text>
        <r>
          <rPr>
            <b/>
            <sz val="9"/>
            <color indexed="81"/>
            <rFont val="Tahoma"/>
            <family val="2"/>
          </rPr>
          <t>DEYANIRA PLANEACION:</t>
        </r>
        <r>
          <rPr>
            <sz val="9"/>
            <color indexed="81"/>
            <rFont val="Tahoma"/>
            <family val="2"/>
          </rPr>
          <t xml:space="preserve">
era 2</t>
        </r>
      </text>
    </comment>
    <comment ref="P308" authorId="0">
      <text>
        <r>
          <rPr>
            <b/>
            <sz val="9"/>
            <color indexed="81"/>
            <rFont val="Tahoma"/>
            <family val="2"/>
          </rPr>
          <t>DEYANIRA PLANEACION:</t>
        </r>
        <r>
          <rPr>
            <sz val="9"/>
            <color indexed="81"/>
            <rFont val="Tahoma"/>
            <family val="2"/>
          </rPr>
          <t xml:space="preserve">
era adecuar 2 predios</t>
        </r>
      </text>
    </comment>
    <comment ref="P321" authorId="0">
      <text>
        <r>
          <rPr>
            <b/>
            <sz val="9"/>
            <color indexed="81"/>
            <rFont val="Tahoma"/>
            <family val="2"/>
          </rPr>
          <t>DEYANIRA PLANEACION:</t>
        </r>
        <r>
          <rPr>
            <sz val="9"/>
            <color indexed="81"/>
            <rFont val="Tahoma"/>
            <family val="2"/>
          </rPr>
          <t xml:space="preserve">
se elimino palabra juntas comunales en centros poblados</t>
        </r>
      </text>
    </comment>
    <comment ref="P345" authorId="0">
      <text>
        <r>
          <rPr>
            <b/>
            <sz val="9"/>
            <color indexed="81"/>
            <rFont val="Tahoma"/>
            <family val="2"/>
          </rPr>
          <t>DEYANIRA PLANEACION:</t>
        </r>
        <r>
          <rPr>
            <sz val="9"/>
            <color indexed="81"/>
            <rFont val="Tahoma"/>
            <family val="2"/>
          </rPr>
          <t xml:space="preserve">
era 3000</t>
        </r>
      </text>
    </comment>
    <comment ref="P346" authorId="0">
      <text>
        <r>
          <rPr>
            <b/>
            <sz val="9"/>
            <color indexed="81"/>
            <rFont val="Tahoma"/>
            <family val="2"/>
          </rPr>
          <t>DEYANIRA PLANEACION:</t>
        </r>
        <r>
          <rPr>
            <sz val="9"/>
            <color indexed="81"/>
            <rFont val="Tahoma"/>
            <family val="2"/>
          </rPr>
          <t xml:space="preserve">
era 120</t>
        </r>
      </text>
    </comment>
    <comment ref="P347" authorId="0">
      <text>
        <r>
          <rPr>
            <b/>
            <sz val="9"/>
            <color indexed="81"/>
            <rFont val="Tahoma"/>
            <family val="2"/>
          </rPr>
          <t>DEYANIRA PLANEACION:</t>
        </r>
        <r>
          <rPr>
            <sz val="9"/>
            <color indexed="81"/>
            <rFont val="Tahoma"/>
            <family val="2"/>
          </rPr>
          <t xml:space="preserve">
era 4</t>
        </r>
      </text>
    </comment>
    <comment ref="P366" authorId="0">
      <text>
        <r>
          <rPr>
            <b/>
            <sz val="9"/>
            <color indexed="81"/>
            <rFont val="Tahoma"/>
            <family val="2"/>
          </rPr>
          <t>DEYANIRA PLANEACION:</t>
        </r>
        <r>
          <rPr>
            <sz val="9"/>
            <color indexed="81"/>
            <rFont val="Tahoma"/>
            <family val="2"/>
          </rPr>
          <t xml:space="preserve">
era dona un lote</t>
        </r>
      </text>
    </comment>
    <comment ref="P381" authorId="0">
      <text>
        <r>
          <rPr>
            <b/>
            <sz val="9"/>
            <color indexed="81"/>
            <rFont val="Tahoma"/>
            <family val="2"/>
          </rPr>
          <t>DEYANIRA PLANEACION:</t>
        </r>
        <r>
          <rPr>
            <sz val="9"/>
            <color indexed="81"/>
            <rFont val="Tahoma"/>
            <family val="2"/>
          </rPr>
          <t xml:space="preserve">
era lograr un ptaje gbno en linea superior</t>
        </r>
      </text>
    </comment>
    <comment ref="P383" authorId="0">
      <text>
        <r>
          <rPr>
            <b/>
            <sz val="9"/>
            <color indexed="81"/>
            <rFont val="Tahoma"/>
            <family val="2"/>
          </rPr>
          <t>DEYANIRA PLANEACION:</t>
        </r>
        <r>
          <rPr>
            <sz val="9"/>
            <color indexed="81"/>
            <rFont val="Tahoma"/>
            <family val="2"/>
          </rPr>
          <t xml:space="preserve">
era 90 puntaje implementac. MECI</t>
        </r>
      </text>
    </comment>
    <comment ref="P388" authorId="0">
      <text>
        <r>
          <rPr>
            <b/>
            <sz val="9"/>
            <color indexed="81"/>
            <rFont val="Tahoma"/>
            <family val="2"/>
          </rPr>
          <t>DEYANIRA PLANEACION:</t>
        </r>
        <r>
          <rPr>
            <sz val="9"/>
            <color indexed="81"/>
            <rFont val="Tahoma"/>
            <family val="2"/>
          </rPr>
          <t xml:space="preserve">
realizar tramites adicionados a gobierno en linea</t>
        </r>
      </text>
    </comment>
    <comment ref="P397" authorId="0">
      <text>
        <r>
          <rPr>
            <b/>
            <sz val="9"/>
            <color indexed="81"/>
            <rFont val="Tahoma"/>
            <family val="2"/>
          </rPr>
          <t>DEYANIRA PLANEACION:</t>
        </r>
        <r>
          <rPr>
            <sz val="9"/>
            <color indexed="81"/>
            <rFont val="Tahoma"/>
            <family val="2"/>
          </rPr>
          <t xml:space="preserve">
eran 4
</t>
        </r>
      </text>
    </comment>
    <comment ref="P399" authorId="0">
      <text>
        <r>
          <rPr>
            <b/>
            <sz val="9"/>
            <color indexed="81"/>
            <rFont val="Tahoma"/>
            <family val="2"/>
          </rPr>
          <t>DEYANIRA PLANEACION:</t>
        </r>
        <r>
          <rPr>
            <sz val="9"/>
            <color indexed="81"/>
            <rFont val="Tahoma"/>
            <family val="2"/>
          </rPr>
          <t xml:space="preserve">
Seunificaron metas</t>
        </r>
      </text>
    </comment>
    <comment ref="P414" authorId="0">
      <text>
        <r>
          <rPr>
            <b/>
            <sz val="9"/>
            <color indexed="81"/>
            <rFont val="Tahoma"/>
            <family val="2"/>
          </rPr>
          <t>DEYANIRA PLANEACION:</t>
        </r>
        <r>
          <rPr>
            <sz val="9"/>
            <color indexed="81"/>
            <rFont val="Tahoma"/>
            <family val="2"/>
          </rPr>
          <t xml:space="preserve">
Era vincular</t>
        </r>
      </text>
    </comment>
    <comment ref="P416" authorId="0">
      <text>
        <r>
          <rPr>
            <b/>
            <sz val="9"/>
            <color indexed="81"/>
            <rFont val="Tahoma"/>
            <family val="2"/>
          </rPr>
          <t>DEYANIRA PLANEACION:</t>
        </r>
        <r>
          <rPr>
            <sz val="9"/>
            <color indexed="81"/>
            <rFont val="Tahoma"/>
            <family val="2"/>
          </rPr>
          <t xml:space="preserve">
era 10 motocicletas</t>
        </r>
      </text>
    </comment>
    <comment ref="P423" authorId="1">
      <text>
        <r>
          <rPr>
            <b/>
            <sz val="9"/>
            <color indexed="81"/>
            <rFont val="Tahoma"/>
            <family val="2"/>
          </rPr>
          <t>PLANEACION DELLANIRA:</t>
        </r>
        <r>
          <rPr>
            <sz val="9"/>
            <color indexed="81"/>
            <rFont val="Tahoma"/>
            <family val="2"/>
          </rPr>
          <t xml:space="preserve">
NUEVA</t>
        </r>
      </text>
    </comment>
    <comment ref="P468" authorId="0">
      <text>
        <r>
          <rPr>
            <b/>
            <sz val="9"/>
            <color indexed="81"/>
            <rFont val="Tahoma"/>
            <family val="2"/>
          </rPr>
          <t>DEYANIRA PLANEACION:</t>
        </r>
        <r>
          <rPr>
            <sz val="9"/>
            <color indexed="81"/>
            <rFont val="Tahoma"/>
            <family val="2"/>
          </rPr>
          <t xml:space="preserve">
era 4</t>
        </r>
      </text>
    </comment>
    <comment ref="P480" authorId="0">
      <text>
        <r>
          <rPr>
            <b/>
            <sz val="9"/>
            <color indexed="81"/>
            <rFont val="Tahoma"/>
            <family val="2"/>
          </rPr>
          <t>DEYANIRA PLANEACION:</t>
        </r>
        <r>
          <rPr>
            <sz val="9"/>
            <color indexed="81"/>
            <rFont val="Tahoma"/>
            <family val="2"/>
          </rPr>
          <t xml:space="preserve">
era 2 proyectos, 2 vehiculos</t>
        </r>
      </text>
    </comment>
  </commentList>
</comments>
</file>

<file path=xl/comments2.xml><?xml version="1.0" encoding="utf-8"?>
<comments xmlns="http://schemas.openxmlformats.org/spreadsheetml/2006/main">
  <authors>
    <author>alcaldialaplata2</author>
  </authors>
  <commentList>
    <comment ref="AC117" authorId="0">
      <text>
        <r>
          <rPr>
            <b/>
            <sz val="9"/>
            <color indexed="81"/>
            <rFont val="Tahoma"/>
            <family val="2"/>
          </rPr>
          <t>alcaldialaplata2:</t>
        </r>
        <r>
          <rPr>
            <sz val="9"/>
            <color indexed="81"/>
            <rFont val="Tahoma"/>
            <family val="2"/>
          </rPr>
          <t xml:space="preserve">
TALAGA</t>
        </r>
      </text>
    </comment>
  </commentList>
</comments>
</file>

<file path=xl/comments3.xml><?xml version="1.0" encoding="utf-8"?>
<comments xmlns="http://schemas.openxmlformats.org/spreadsheetml/2006/main">
  <authors>
    <author>PLANEACION DELLANIRA</author>
    <author>alcaldialaplata2</author>
  </authors>
  <commentList>
    <comment ref="AD111" authorId="0">
      <text>
        <r>
          <rPr>
            <b/>
            <sz val="9"/>
            <color indexed="81"/>
            <rFont val="Tahoma"/>
            <family val="2"/>
          </rPr>
          <t>PLANEACION DELLANIRA:</t>
        </r>
        <r>
          <rPr>
            <sz val="9"/>
            <color indexed="81"/>
            <rFont val="Tahoma"/>
            <family val="2"/>
          </rPr>
          <t xml:space="preserve">
fonvihuila</t>
        </r>
      </text>
    </comment>
    <comment ref="AC117" authorId="1">
      <text>
        <r>
          <rPr>
            <b/>
            <sz val="9"/>
            <color indexed="81"/>
            <rFont val="Tahoma"/>
            <family val="2"/>
          </rPr>
          <t>alcaldialaplata2:</t>
        </r>
        <r>
          <rPr>
            <sz val="9"/>
            <color indexed="81"/>
            <rFont val="Tahoma"/>
            <family val="2"/>
          </rPr>
          <t xml:space="preserve">
TALAGA</t>
        </r>
      </text>
    </comment>
  </commentList>
</comments>
</file>

<file path=xl/comments4.xml><?xml version="1.0" encoding="utf-8"?>
<comments xmlns="http://schemas.openxmlformats.org/spreadsheetml/2006/main">
  <authors>
    <author>DEYANIRA PLANEACION</author>
    <author>Usuario</author>
    <author>PLANEACION DELLANIRA</author>
    <author>USUARIO</author>
    <author>Eliana Enriquez</author>
    <author>Eliana</author>
    <author>SECRE_UDR</author>
    <author>Usuario de Windows</author>
  </authors>
  <commentList>
    <comment ref="P10" authorId="0">
      <text>
        <r>
          <rPr>
            <b/>
            <sz val="9"/>
            <color indexed="81"/>
            <rFont val="Tahoma"/>
            <family val="2"/>
          </rPr>
          <t>DEYANIRA PLANEACION:</t>
        </r>
        <r>
          <rPr>
            <sz val="9"/>
            <color indexed="81"/>
            <rFont val="Tahoma"/>
            <family val="2"/>
          </rPr>
          <t xml:space="preserve">
era 2 , Ajuste paso a 1</t>
        </r>
      </text>
    </comment>
    <comment ref="T13" authorId="0">
      <text>
        <r>
          <rPr>
            <b/>
            <sz val="9"/>
            <color indexed="81"/>
            <rFont val="Tahoma"/>
            <family val="2"/>
          </rPr>
          <t>DEYANIRA PLANEACION:</t>
        </r>
        <r>
          <rPr>
            <sz val="9"/>
            <color indexed="81"/>
            <rFont val="Tahoma"/>
            <family val="2"/>
          </rPr>
          <t xml:space="preserve">
era 6</t>
        </r>
      </text>
    </comment>
    <comment ref="T14" authorId="0">
      <text>
        <r>
          <rPr>
            <b/>
            <sz val="9"/>
            <color indexed="81"/>
            <rFont val="Tahoma"/>
            <family val="2"/>
          </rPr>
          <t>DEYANIRA PLANEACION:</t>
        </r>
        <r>
          <rPr>
            <sz val="9"/>
            <color indexed="81"/>
            <rFont val="Tahoma"/>
            <family val="2"/>
          </rPr>
          <t xml:space="preserve">
eran 60 </t>
        </r>
      </text>
    </comment>
    <comment ref="P39" authorId="0">
      <text>
        <r>
          <rPr>
            <b/>
            <sz val="9"/>
            <color indexed="81"/>
            <rFont val="Tahoma"/>
            <family val="2"/>
          </rPr>
          <t>DEYANIRA PLANEACION:</t>
        </r>
        <r>
          <rPr>
            <sz val="9"/>
            <color indexed="81"/>
            <rFont val="Tahoma"/>
            <family val="2"/>
          </rPr>
          <t xml:space="preserve">
Son actividades</t>
        </r>
      </text>
    </comment>
    <comment ref="P40" authorId="0">
      <text>
        <r>
          <rPr>
            <b/>
            <sz val="9"/>
            <color indexed="81"/>
            <rFont val="Tahoma"/>
            <family val="2"/>
          </rPr>
          <t>DEYANIRA PLANEACION:</t>
        </r>
        <r>
          <rPr>
            <sz val="9"/>
            <color indexed="81"/>
            <rFont val="Tahoma"/>
            <family val="2"/>
          </rPr>
          <t xml:space="preserve">
sera creación semilleros 
</t>
        </r>
      </text>
    </comment>
    <comment ref="P55" authorId="0">
      <text>
        <r>
          <rPr>
            <b/>
            <sz val="9"/>
            <color indexed="81"/>
            <rFont val="Tahoma"/>
            <family val="2"/>
          </rPr>
          <t>DEYANIRA PLANEACION:</t>
        </r>
        <r>
          <rPr>
            <sz val="9"/>
            <color indexed="81"/>
            <rFont val="Tahoma"/>
            <family val="2"/>
          </rPr>
          <t xml:space="preserve">
REDACCION.  NO CONV.   SI CAPACIT.</t>
        </r>
      </text>
    </comment>
    <comment ref="P62" authorId="0">
      <text>
        <r>
          <rPr>
            <b/>
            <sz val="9"/>
            <color indexed="81"/>
            <rFont val="Tahoma"/>
            <family val="2"/>
          </rPr>
          <t>DEYANIRA PLANEACION:</t>
        </r>
        <r>
          <rPr>
            <sz val="9"/>
            <color indexed="81"/>
            <rFont val="Tahoma"/>
            <family val="2"/>
          </rPr>
          <t xml:space="preserve">
REDACC.  NO IMPLEMENTAR.   SI FORMULAR</t>
        </r>
      </text>
    </comment>
    <comment ref="P63" authorId="0">
      <text>
        <r>
          <rPr>
            <b/>
            <sz val="9"/>
            <color indexed="81"/>
            <rFont val="Tahoma"/>
            <family val="2"/>
          </rPr>
          <t>DEYANIRA PLANEACION:</t>
        </r>
        <r>
          <rPr>
            <sz val="9"/>
            <color indexed="81"/>
            <rFont val="Tahoma"/>
            <family val="2"/>
          </rPr>
          <t xml:space="preserve">
REDACC.  NO CONV.  SI  CAPACIT.</t>
        </r>
      </text>
    </comment>
    <comment ref="P64" authorId="0">
      <text>
        <r>
          <rPr>
            <b/>
            <sz val="9"/>
            <color indexed="81"/>
            <rFont val="Tahoma"/>
            <family val="2"/>
          </rPr>
          <t>DEYANIRA PLANEACION:</t>
        </r>
        <r>
          <rPr>
            <sz val="9"/>
            <color indexed="81"/>
            <rFont val="Tahoma"/>
            <family val="2"/>
          </rPr>
          <t xml:space="preserve">
REDACC.  NO CREAR.   SI IMPLEMENTAR</t>
        </r>
      </text>
    </comment>
    <comment ref="P66" authorId="0">
      <text>
        <r>
          <rPr>
            <b/>
            <sz val="9"/>
            <color indexed="81"/>
            <rFont val="Tahoma"/>
            <family val="2"/>
          </rPr>
          <t>DEYANIRA PLANEACION:</t>
        </r>
        <r>
          <rPr>
            <sz val="9"/>
            <color indexed="81"/>
            <rFont val="Tahoma"/>
            <family val="2"/>
          </rPr>
          <t xml:space="preserve">
REDACC.  MTTO Y COMPRA ACCESORIO</t>
        </r>
      </text>
    </comment>
    <comment ref="BG67" authorId="1">
      <text>
        <r>
          <rPr>
            <b/>
            <sz val="9"/>
            <color indexed="81"/>
            <rFont val="Tahoma"/>
            <family val="2"/>
          </rPr>
          <t>Usuario:</t>
        </r>
        <r>
          <rPr>
            <sz val="9"/>
            <color indexed="81"/>
            <rFont val="Tahoma"/>
            <family val="2"/>
          </rPr>
          <t xml:space="preserve">
contrato Delio</t>
        </r>
      </text>
    </comment>
    <comment ref="P75" authorId="0">
      <text>
        <r>
          <rPr>
            <b/>
            <sz val="9"/>
            <color indexed="81"/>
            <rFont val="Tahoma"/>
            <family val="2"/>
          </rPr>
          <t>DEYANIRA PLANEACION:</t>
        </r>
        <r>
          <rPr>
            <sz val="9"/>
            <color indexed="81"/>
            <rFont val="Tahoma"/>
            <family val="2"/>
          </rPr>
          <t xml:space="preserve">
REDACCION.   NO SALA COMPUTO.   SI BIBLIOTECA</t>
        </r>
      </text>
    </comment>
    <comment ref="BF75" authorId="1">
      <text>
        <r>
          <rPr>
            <b/>
            <sz val="9"/>
            <color indexed="81"/>
            <rFont val="Tahoma"/>
            <family val="2"/>
          </rPr>
          <t>Usuario:</t>
        </r>
        <r>
          <rPr>
            <sz val="9"/>
            <color indexed="81"/>
            <rFont val="Tahoma"/>
            <family val="2"/>
          </rPr>
          <t xml:space="preserve">
Contr. Bibiana Ceron</t>
        </r>
      </text>
    </comment>
    <comment ref="BF80" authorId="1">
      <text>
        <r>
          <rPr>
            <b/>
            <sz val="9"/>
            <color indexed="81"/>
            <rFont val="Tahoma"/>
            <family val="2"/>
          </rPr>
          <t>Usuario:</t>
        </r>
        <r>
          <rPr>
            <sz val="9"/>
            <color indexed="81"/>
            <rFont val="Tahoma"/>
            <family val="2"/>
          </rPr>
          <t xml:space="preserve">
Cont. Bibiana</t>
        </r>
      </text>
    </comment>
    <comment ref="BF81" authorId="1">
      <text>
        <r>
          <rPr>
            <b/>
            <sz val="9"/>
            <color indexed="81"/>
            <rFont val="Tahoma"/>
            <family val="2"/>
          </rPr>
          <t>Usuario:</t>
        </r>
        <r>
          <rPr>
            <sz val="9"/>
            <color indexed="81"/>
            <rFont val="Tahoma"/>
            <family val="2"/>
          </rPr>
          <t xml:space="preserve">
contrato Bibiaba</t>
        </r>
      </text>
    </comment>
    <comment ref="BG82" authorId="1">
      <text>
        <r>
          <rPr>
            <b/>
            <sz val="9"/>
            <color indexed="81"/>
            <rFont val="Tahoma"/>
            <family val="2"/>
          </rPr>
          <t>Usuario:</t>
        </r>
        <r>
          <rPr>
            <sz val="9"/>
            <color indexed="81"/>
            <rFont val="Tahoma"/>
            <family val="2"/>
          </rPr>
          <t xml:space="preserve">
Contrato Delio</t>
        </r>
      </text>
    </comment>
    <comment ref="P86" authorId="0">
      <text>
        <r>
          <rPr>
            <b/>
            <sz val="9"/>
            <color indexed="81"/>
            <rFont val="Tahoma"/>
            <family val="2"/>
          </rPr>
          <t>DEYANIRA PLANEACION:</t>
        </r>
        <r>
          <rPr>
            <sz val="9"/>
            <color indexed="81"/>
            <rFont val="Tahoma"/>
            <family val="2"/>
          </rPr>
          <t xml:space="preserve">
REDACC.  NO ELABORAR.   SI ACTUALIZAR</t>
        </r>
      </text>
    </comment>
    <comment ref="P90" authorId="0">
      <text>
        <r>
          <rPr>
            <b/>
            <sz val="9"/>
            <color indexed="81"/>
            <rFont val="Tahoma"/>
            <family val="2"/>
          </rPr>
          <t>DEYANIRA PLANEACION:</t>
        </r>
        <r>
          <rPr>
            <sz val="9"/>
            <color indexed="81"/>
            <rFont val="Tahoma"/>
            <family val="2"/>
          </rPr>
          <t xml:space="preserve">
DISMINUIR DE 8 A 4</t>
        </r>
      </text>
    </comment>
    <comment ref="P100" authorId="0">
      <text>
        <r>
          <rPr>
            <b/>
            <sz val="9"/>
            <color indexed="81"/>
            <rFont val="Tahoma"/>
            <family val="2"/>
          </rPr>
          <t>DEYANIRA PLANEACION:</t>
        </r>
        <r>
          <rPr>
            <sz val="9"/>
            <color indexed="81"/>
            <rFont val="Tahoma"/>
            <family val="2"/>
          </rPr>
          <t xml:space="preserve">
ERA 4</t>
        </r>
      </text>
    </comment>
    <comment ref="P102" authorId="0">
      <text>
        <r>
          <rPr>
            <b/>
            <sz val="9"/>
            <color indexed="81"/>
            <rFont val="Tahoma"/>
            <family val="2"/>
          </rPr>
          <t>DEYANIRA PLANEACION:</t>
        </r>
        <r>
          <rPr>
            <sz val="9"/>
            <color indexed="81"/>
            <rFont val="Tahoma"/>
            <family val="2"/>
          </rPr>
          <t xml:space="preserve">
REDACCION.  NO DESARRO.  SI APOYAR</t>
        </r>
      </text>
    </comment>
    <comment ref="AE108" authorId="2">
      <text>
        <r>
          <rPr>
            <b/>
            <sz val="9"/>
            <color indexed="81"/>
            <rFont val="Tahoma"/>
            <family val="2"/>
          </rPr>
          <t>PLANEACION DELLANIRA:</t>
        </r>
        <r>
          <rPr>
            <sz val="9"/>
            <color indexed="81"/>
            <rFont val="Tahoma"/>
            <family val="2"/>
          </rPr>
          <t xml:space="preserve">
intradomiciliarias Minst. Vivienda+fonvihuila</t>
        </r>
      </text>
    </comment>
    <comment ref="P112" authorId="0">
      <text>
        <r>
          <rPr>
            <b/>
            <sz val="9"/>
            <color indexed="81"/>
            <rFont val="Tahoma"/>
            <family val="2"/>
          </rPr>
          <t>DEYANIRA PLANEACION:</t>
        </r>
        <r>
          <rPr>
            <sz val="9"/>
            <color indexed="81"/>
            <rFont val="Tahoma"/>
            <family val="2"/>
          </rPr>
          <t xml:space="preserve">
DISMINUIR A 5</t>
        </r>
      </text>
    </comment>
    <comment ref="BL121" authorId="2">
      <text>
        <r>
          <rPr>
            <b/>
            <sz val="9"/>
            <color indexed="81"/>
            <rFont val="Tahoma"/>
            <family val="2"/>
          </rPr>
          <t>PLANEACION DELLANIRA:</t>
        </r>
        <r>
          <rPr>
            <sz val="9"/>
            <color indexed="81"/>
            <rFont val="Tahoma"/>
            <family val="2"/>
          </rPr>
          <t xml:space="preserve">
recursos emserpla</t>
        </r>
      </text>
    </comment>
    <comment ref="P124" authorId="0">
      <text>
        <r>
          <rPr>
            <b/>
            <sz val="9"/>
            <color indexed="81"/>
            <rFont val="Tahoma"/>
            <family val="2"/>
          </rPr>
          <t>DEYANIRA PLANEACION:</t>
        </r>
        <r>
          <rPr>
            <sz val="9"/>
            <color indexed="81"/>
            <rFont val="Tahoma"/>
            <family val="2"/>
          </rPr>
          <t xml:space="preserve">
AMPLIAR A 1550</t>
        </r>
      </text>
    </comment>
    <comment ref="P129" authorId="0">
      <text>
        <r>
          <rPr>
            <b/>
            <sz val="9"/>
            <color indexed="81"/>
            <rFont val="Tahoma"/>
            <family val="2"/>
          </rPr>
          <t>DEYANIRA PLANEACION:</t>
        </r>
        <r>
          <rPr>
            <sz val="9"/>
            <color indexed="81"/>
            <rFont val="Tahoma"/>
            <family val="2"/>
          </rPr>
          <t xml:space="preserve">
AMPLIAR A 2837</t>
        </r>
      </text>
    </comment>
    <comment ref="P131" authorId="0">
      <text>
        <r>
          <rPr>
            <b/>
            <sz val="9"/>
            <color indexed="81"/>
            <rFont val="Tahoma"/>
            <family val="2"/>
          </rPr>
          <t>DEYANIRA PLANEACION:</t>
        </r>
        <r>
          <rPr>
            <sz val="9"/>
            <color indexed="81"/>
            <rFont val="Tahoma"/>
            <family val="2"/>
          </rPr>
          <t xml:space="preserve">
REPROGRAMAR?</t>
        </r>
      </text>
    </comment>
    <comment ref="P139" authorId="0">
      <text>
        <r>
          <rPr>
            <b/>
            <sz val="9"/>
            <color indexed="81"/>
            <rFont val="Tahoma"/>
            <family val="2"/>
          </rPr>
          <t>DEYANIRA PLANEACION:</t>
        </r>
        <r>
          <rPr>
            <sz val="9"/>
            <color indexed="81"/>
            <rFont val="Tahoma"/>
            <family val="2"/>
          </rPr>
          <t xml:space="preserve">
AMPLIAR A 3500</t>
        </r>
      </text>
    </comment>
    <comment ref="Y139" authorId="0">
      <text>
        <r>
          <rPr>
            <b/>
            <sz val="9"/>
            <color indexed="81"/>
            <rFont val="Tahoma"/>
            <family val="2"/>
          </rPr>
          <t>DEYANIRA PLANEACION:</t>
        </r>
        <r>
          <rPr>
            <sz val="9"/>
            <color indexed="81"/>
            <rFont val="Tahoma"/>
            <family val="2"/>
          </rPr>
          <t xml:space="preserve">
revisar la programación.  Esta sobre pasada
</t>
        </r>
      </text>
    </comment>
    <comment ref="BL158" authorId="2">
      <text>
        <r>
          <rPr>
            <b/>
            <sz val="9"/>
            <color indexed="81"/>
            <rFont val="Tahoma"/>
            <family val="2"/>
          </rPr>
          <t>PLANEACION DELLANIRA:</t>
        </r>
        <r>
          <rPr>
            <sz val="9"/>
            <color indexed="81"/>
            <rFont val="Tahoma"/>
            <family val="2"/>
          </rPr>
          <t xml:space="preserve">
conv. Municipios sur occidente</t>
        </r>
      </text>
    </comment>
    <comment ref="P177" authorId="0">
      <text>
        <r>
          <rPr>
            <b/>
            <sz val="9"/>
            <color indexed="81"/>
            <rFont val="Tahoma"/>
            <family val="2"/>
          </rPr>
          <t>DEYANIRA PLANEACION:</t>
        </r>
        <r>
          <rPr>
            <sz val="9"/>
            <color indexed="81"/>
            <rFont val="Tahoma"/>
            <family val="2"/>
          </rPr>
          <t xml:space="preserve">
era 2</t>
        </r>
      </text>
    </comment>
    <comment ref="P182" authorId="0">
      <text>
        <r>
          <rPr>
            <b/>
            <sz val="9"/>
            <color indexed="81"/>
            <rFont val="Tahoma"/>
            <family val="2"/>
          </rPr>
          <t>DEYANIRA PLANEACION:</t>
        </r>
        <r>
          <rPr>
            <sz val="9"/>
            <color indexed="81"/>
            <rFont val="Tahoma"/>
            <family val="2"/>
          </rPr>
          <t xml:space="preserve">
REDACCION. CAMBIAR TERMINO CONSEJO X PLATAFORMA</t>
        </r>
      </text>
    </comment>
    <comment ref="P209" authorId="0">
      <text>
        <r>
          <rPr>
            <b/>
            <sz val="9"/>
            <color indexed="81"/>
            <rFont val="Tahoma"/>
            <family val="2"/>
          </rPr>
          <t>DEYANIRA PLANEACION:</t>
        </r>
        <r>
          <rPr>
            <sz val="9"/>
            <color indexed="81"/>
            <rFont val="Tahoma"/>
            <family val="2"/>
          </rPr>
          <t xml:space="preserve">
REDACCION</t>
        </r>
      </text>
    </comment>
    <comment ref="P223" authorId="0">
      <text>
        <r>
          <rPr>
            <b/>
            <sz val="9"/>
            <color indexed="81"/>
            <rFont val="Tahoma"/>
            <family val="2"/>
          </rPr>
          <t>DEYANIRA PLANEACION:</t>
        </r>
        <r>
          <rPr>
            <sz val="9"/>
            <color indexed="81"/>
            <rFont val="Tahoma"/>
            <family val="2"/>
          </rPr>
          <t xml:space="preserve">
ELIMINAR</t>
        </r>
      </text>
    </comment>
    <comment ref="P224" authorId="0">
      <text>
        <r>
          <rPr>
            <b/>
            <sz val="9"/>
            <color indexed="81"/>
            <rFont val="Tahoma"/>
            <family val="2"/>
          </rPr>
          <t>DEYANIRA PLANEACION:</t>
        </r>
        <r>
          <rPr>
            <sz val="9"/>
            <color indexed="81"/>
            <rFont val="Tahoma"/>
            <family val="2"/>
          </rPr>
          <t xml:space="preserve">
ELIMINAR</t>
        </r>
      </text>
    </comment>
    <comment ref="P229" authorId="0">
      <text>
        <r>
          <rPr>
            <b/>
            <sz val="9"/>
            <color indexed="81"/>
            <rFont val="Tahoma"/>
            <family val="2"/>
          </rPr>
          <t>DEYANIRA PLANEACION:</t>
        </r>
        <r>
          <rPr>
            <sz val="9"/>
            <color indexed="81"/>
            <rFont val="Tahoma"/>
            <family val="2"/>
          </rPr>
          <t xml:space="preserve">
INCLUIR SAN PEDRITO</t>
        </r>
      </text>
    </comment>
    <comment ref="P267" authorId="0">
      <text>
        <r>
          <rPr>
            <b/>
            <sz val="9"/>
            <color indexed="81"/>
            <rFont val="Tahoma"/>
            <family val="2"/>
          </rPr>
          <t>DEYANIRA PLANEACION:</t>
        </r>
        <r>
          <rPr>
            <sz val="9"/>
            <color indexed="81"/>
            <rFont val="Tahoma"/>
            <family val="2"/>
          </rPr>
          <t xml:space="preserve">
DISMINUIR A 500</t>
        </r>
      </text>
    </comment>
    <comment ref="P276" authorId="0">
      <text>
        <r>
          <rPr>
            <b/>
            <sz val="9"/>
            <color indexed="81"/>
            <rFont val="Tahoma"/>
            <family val="2"/>
          </rPr>
          <t>DEYANIRA PLANEACION:</t>
        </r>
        <r>
          <rPr>
            <sz val="9"/>
            <color indexed="81"/>
            <rFont val="Tahoma"/>
            <family val="2"/>
          </rPr>
          <t xml:space="preserve">
era una estrategia</t>
        </r>
      </text>
    </comment>
    <comment ref="P277" authorId="0">
      <text>
        <r>
          <rPr>
            <b/>
            <sz val="9"/>
            <color indexed="81"/>
            <rFont val="Tahoma"/>
            <family val="2"/>
          </rPr>
          <t>DEYANIRA PLANEACION:</t>
        </r>
        <r>
          <rPr>
            <sz val="9"/>
            <color indexed="81"/>
            <rFont val="Tahoma"/>
            <family val="2"/>
          </rPr>
          <t xml:space="preserve">
erea 4</t>
        </r>
      </text>
    </comment>
    <comment ref="P279" authorId="0">
      <text>
        <r>
          <rPr>
            <b/>
            <sz val="9"/>
            <color indexed="81"/>
            <rFont val="Tahoma"/>
            <family val="2"/>
          </rPr>
          <t>DEYANIRA PLANEACION:</t>
        </r>
        <r>
          <rPr>
            <sz val="9"/>
            <color indexed="81"/>
            <rFont val="Tahoma"/>
            <family val="2"/>
          </rPr>
          <t xml:space="preserve">
REDACCION </t>
        </r>
      </text>
    </comment>
    <comment ref="P293" authorId="0">
      <text>
        <r>
          <rPr>
            <b/>
            <sz val="9"/>
            <color indexed="81"/>
            <rFont val="Tahoma"/>
            <family val="2"/>
          </rPr>
          <t>DEYANIRA PLANEACION:</t>
        </r>
        <r>
          <rPr>
            <sz val="9"/>
            <color indexed="81"/>
            <rFont val="Tahoma"/>
            <family val="2"/>
          </rPr>
          <t xml:space="preserve">
ELIMINADA</t>
        </r>
      </text>
    </comment>
    <comment ref="AQ296" authorId="3">
      <text>
        <r>
          <rPr>
            <b/>
            <sz val="9"/>
            <color indexed="81"/>
            <rFont val="Tahoma"/>
            <family val="2"/>
          </rPr>
          <t>USUARIO:</t>
        </r>
        <r>
          <rPr>
            <sz val="9"/>
            <color indexed="81"/>
            <rFont val="Tahoma"/>
            <family val="2"/>
          </rPr>
          <t xml:space="preserve">
ADICION No. 001 DIEGO MOMPOTES
</t>
        </r>
      </text>
    </comment>
    <comment ref="AP297" authorId="3">
      <text>
        <r>
          <rPr>
            <b/>
            <sz val="9"/>
            <color indexed="81"/>
            <rFont val="Tahoma"/>
            <family val="2"/>
          </rPr>
          <t>USUARIO:</t>
        </r>
        <r>
          <rPr>
            <sz val="9"/>
            <color indexed="81"/>
            <rFont val="Tahoma"/>
            <family val="2"/>
          </rPr>
          <t xml:space="preserve">
CONVENIO ASISTENCIA TECNICA </t>
        </r>
      </text>
    </comment>
    <comment ref="AV298" authorId="4">
      <text>
        <r>
          <rPr>
            <b/>
            <sz val="9"/>
            <color indexed="81"/>
            <rFont val="Tahoma"/>
            <family val="2"/>
          </rPr>
          <t>Eliana Enriquez:</t>
        </r>
        <r>
          <rPr>
            <sz val="9"/>
            <color indexed="81"/>
            <rFont val="Tahoma"/>
            <family val="2"/>
          </rPr>
          <t xml:space="preserve">
LEY 99
</t>
        </r>
      </text>
    </comment>
    <comment ref="AP300" authorId="3">
      <text>
        <r>
          <rPr>
            <b/>
            <sz val="9"/>
            <color indexed="81"/>
            <rFont val="Tahoma"/>
            <family val="2"/>
          </rPr>
          <t>USUARIO:</t>
        </r>
        <r>
          <rPr>
            <sz val="9"/>
            <color indexed="81"/>
            <rFont val="Tahoma"/>
            <family val="2"/>
          </rPr>
          <t xml:space="preserve">
CONVENIO ASISTENCIA TECNICA</t>
        </r>
      </text>
    </comment>
    <comment ref="AV304" authorId="4">
      <text>
        <r>
          <rPr>
            <b/>
            <sz val="9"/>
            <color indexed="81"/>
            <rFont val="Tahoma"/>
            <family val="2"/>
          </rPr>
          <t>Eliana Enriquez:</t>
        </r>
        <r>
          <rPr>
            <sz val="9"/>
            <color indexed="81"/>
            <rFont val="Tahoma"/>
            <family val="2"/>
          </rPr>
          <t xml:space="preserve">
LEY 99793 de 90%
</t>
        </r>
      </text>
    </comment>
    <comment ref="P307" authorId="0">
      <text>
        <r>
          <rPr>
            <b/>
            <sz val="9"/>
            <color indexed="81"/>
            <rFont val="Tahoma"/>
            <family val="2"/>
          </rPr>
          <t>DEYANIRA PLANEACION:</t>
        </r>
        <r>
          <rPr>
            <sz val="9"/>
            <color indexed="81"/>
            <rFont val="Tahoma"/>
            <family val="2"/>
          </rPr>
          <t xml:space="preserve">
DISMINUIR A 1</t>
        </r>
      </text>
    </comment>
    <comment ref="AH307" authorId="5">
      <text>
        <r>
          <rPr>
            <b/>
            <sz val="9"/>
            <color indexed="81"/>
            <rFont val="Tahoma"/>
            <family val="2"/>
          </rPr>
          <t>Eliana:Se realiza devolucion al Municipio por valor de $10,939.734</t>
        </r>
      </text>
    </comment>
    <comment ref="AP313" authorId="5">
      <text>
        <r>
          <rPr>
            <b/>
            <sz val="9"/>
            <color indexed="81"/>
            <rFont val="Tahoma"/>
            <family val="2"/>
          </rPr>
          <t>Eliana:</t>
        </r>
        <r>
          <rPr>
            <sz val="9"/>
            <color indexed="81"/>
            <rFont val="Tahoma"/>
            <family val="2"/>
          </rPr>
          <t xml:space="preserve">
DEL Certificado de Disponibilidad Presupuestal No. 201500827   </t>
        </r>
      </text>
    </comment>
    <comment ref="AE317" authorId="6">
      <text>
        <r>
          <rPr>
            <b/>
            <sz val="9"/>
            <color indexed="81"/>
            <rFont val="Tahoma"/>
            <family val="2"/>
          </rPr>
          <t>SECRE_UDR:</t>
        </r>
        <r>
          <rPr>
            <sz val="9"/>
            <color indexed="81"/>
            <rFont val="Tahoma"/>
            <family val="2"/>
          </rPr>
          <t xml:space="preserve">
SECRE_S
SE REPROGRAMA LA META DEL AÑO 2019 SE PASA AL AÑO 2018 EN TOTAL SE HARAN 100 MEJORAMIENTOS GENETICOS.</t>
        </r>
      </text>
    </comment>
    <comment ref="P321" authorId="0">
      <text>
        <r>
          <rPr>
            <b/>
            <sz val="9"/>
            <color indexed="81"/>
            <rFont val="Tahoma"/>
            <family val="2"/>
          </rPr>
          <t>DEYANIRA PLANEACION:</t>
        </r>
        <r>
          <rPr>
            <sz val="9"/>
            <color indexed="81"/>
            <rFont val="Tahoma"/>
            <family val="2"/>
          </rPr>
          <t xml:space="preserve">
REDACCION.  SE ELIMINAR JA</t>
        </r>
      </text>
    </comment>
    <comment ref="AO321" authorId="1">
      <text>
        <r>
          <rPr>
            <b/>
            <sz val="9"/>
            <color indexed="81"/>
            <rFont val="Tahoma"/>
            <family val="2"/>
          </rPr>
          <t>Usuario:</t>
        </r>
        <r>
          <rPr>
            <sz val="9"/>
            <color indexed="81"/>
            <rFont val="Tahoma"/>
            <family val="2"/>
          </rPr>
          <t xml:space="preserve">
funcionamiento</t>
        </r>
      </text>
    </comment>
    <comment ref="AP321" authorId="1">
      <text>
        <r>
          <rPr>
            <b/>
            <sz val="9"/>
            <color indexed="81"/>
            <rFont val="Tahoma"/>
            <family val="2"/>
          </rPr>
          <t>Usuario:</t>
        </r>
        <r>
          <rPr>
            <sz val="9"/>
            <color indexed="81"/>
            <rFont val="Tahoma"/>
            <family val="2"/>
          </rPr>
          <t xml:space="preserve">
funcionamiento</t>
        </r>
      </text>
    </comment>
    <comment ref="P322" authorId="0">
      <text>
        <r>
          <rPr>
            <b/>
            <sz val="9"/>
            <color indexed="81"/>
            <rFont val="Tahoma"/>
            <family val="2"/>
          </rPr>
          <t>DEYANIRA PLANEACION:</t>
        </r>
        <r>
          <rPr>
            <sz val="9"/>
            <color indexed="81"/>
            <rFont val="Tahoma"/>
            <family val="2"/>
          </rPr>
          <t xml:space="preserve">
ELIMINADA</t>
        </r>
      </text>
    </comment>
    <comment ref="P340" authorId="0">
      <text>
        <r>
          <rPr>
            <b/>
            <sz val="9"/>
            <color indexed="81"/>
            <rFont val="Tahoma"/>
            <family val="2"/>
          </rPr>
          <t>DEYANIRA PLANEACION:</t>
        </r>
        <r>
          <rPr>
            <sz val="9"/>
            <color indexed="81"/>
            <rFont val="Tahoma"/>
            <family val="2"/>
          </rPr>
          <t xml:space="preserve">
REDACCION.  DEJAR GESTIONAR</t>
        </r>
      </text>
    </comment>
    <comment ref="P342" authorId="0">
      <text>
        <r>
          <rPr>
            <b/>
            <sz val="9"/>
            <color indexed="81"/>
            <rFont val="Tahoma"/>
            <family val="2"/>
          </rPr>
          <t>DEYANIRA PLANEACION:</t>
        </r>
        <r>
          <rPr>
            <sz val="9"/>
            <color indexed="81"/>
            <rFont val="Tahoma"/>
            <family val="2"/>
          </rPr>
          <t xml:space="preserve">
AMPLIAR</t>
        </r>
      </text>
    </comment>
    <comment ref="P345" authorId="0">
      <text>
        <r>
          <rPr>
            <b/>
            <sz val="9"/>
            <color indexed="81"/>
            <rFont val="Tahoma"/>
            <family val="2"/>
          </rPr>
          <t>DEYANIRA PLANEACION:</t>
        </r>
        <r>
          <rPr>
            <sz val="9"/>
            <color indexed="81"/>
            <rFont val="Tahoma"/>
            <family val="2"/>
          </rPr>
          <t xml:space="preserve">
era 3000</t>
        </r>
      </text>
    </comment>
    <comment ref="P346" authorId="2">
      <text>
        <r>
          <rPr>
            <b/>
            <sz val="9"/>
            <color indexed="81"/>
            <rFont val="Tahoma"/>
            <family val="2"/>
          </rPr>
          <t>PLANEACION DELLANIRA:</t>
        </r>
        <r>
          <rPr>
            <sz val="9"/>
            <color indexed="81"/>
            <rFont val="Tahoma"/>
            <family val="2"/>
          </rPr>
          <t xml:space="preserve">
era 120</t>
        </r>
      </text>
    </comment>
    <comment ref="AA346" authorId="0">
      <text>
        <r>
          <rPr>
            <b/>
            <sz val="9"/>
            <color indexed="81"/>
            <rFont val="Tahoma"/>
            <family val="2"/>
          </rPr>
          <t>DEYANIRA PLANEACION:</t>
        </r>
        <r>
          <rPr>
            <sz val="9"/>
            <color indexed="81"/>
            <rFont val="Tahoma"/>
            <family val="2"/>
          </rPr>
          <t xml:space="preserve">
era 72</t>
        </r>
      </text>
    </comment>
    <comment ref="P347" authorId="0">
      <text>
        <r>
          <rPr>
            <b/>
            <sz val="9"/>
            <color indexed="81"/>
            <rFont val="Tahoma"/>
            <family val="2"/>
          </rPr>
          <t>DEYANIRA PLANEACION:</t>
        </r>
        <r>
          <rPr>
            <sz val="9"/>
            <color indexed="81"/>
            <rFont val="Tahoma"/>
            <family val="2"/>
          </rPr>
          <t xml:space="preserve">
se amplio a 6 era 4</t>
        </r>
      </text>
    </comment>
    <comment ref="P348" authorId="0">
      <text>
        <r>
          <rPr>
            <b/>
            <sz val="9"/>
            <color indexed="81"/>
            <rFont val="Tahoma"/>
            <family val="2"/>
          </rPr>
          <t>DEYANIRA PLANEACION:</t>
        </r>
        <r>
          <rPr>
            <sz val="9"/>
            <color indexed="81"/>
            <rFont val="Tahoma"/>
            <family val="2"/>
          </rPr>
          <t xml:space="preserve">
AMPLIAR</t>
        </r>
      </text>
    </comment>
    <comment ref="P360" authorId="0">
      <text>
        <r>
          <rPr>
            <b/>
            <sz val="9"/>
            <color indexed="81"/>
            <rFont val="Tahoma"/>
            <family val="2"/>
          </rPr>
          <t>DEYANIRA PLANEACION:</t>
        </r>
        <r>
          <rPr>
            <sz val="9"/>
            <color indexed="81"/>
            <rFont val="Tahoma"/>
            <family val="2"/>
          </rPr>
          <t xml:space="preserve">
ELIMINADA</t>
        </r>
      </text>
    </comment>
    <comment ref="P362" authorId="0">
      <text>
        <r>
          <rPr>
            <b/>
            <sz val="9"/>
            <color indexed="81"/>
            <rFont val="Tahoma"/>
            <family val="2"/>
          </rPr>
          <t>DEYANIRA PLANEACION:</t>
        </r>
        <r>
          <rPr>
            <sz val="9"/>
            <color indexed="81"/>
            <rFont val="Tahoma"/>
            <family val="2"/>
          </rPr>
          <t xml:space="preserve">
ELIMINADA</t>
        </r>
      </text>
    </comment>
    <comment ref="BL364" authorId="2">
      <text>
        <r>
          <rPr>
            <b/>
            <sz val="9"/>
            <color indexed="81"/>
            <rFont val="Tahoma"/>
            <family val="2"/>
          </rPr>
          <t>PLANEACION DELLANIRA:</t>
        </r>
        <r>
          <rPr>
            <sz val="9"/>
            <color indexed="81"/>
            <rFont val="Tahoma"/>
            <family val="2"/>
          </rPr>
          <t xml:space="preserve">
COLJUEG</t>
        </r>
        <r>
          <rPr>
            <u/>
            <sz val="9"/>
            <color indexed="81"/>
            <rFont val="Tahoma"/>
            <family val="2"/>
          </rPr>
          <t>OS</t>
        </r>
      </text>
    </comment>
    <comment ref="P381" authorId="0">
      <text>
        <r>
          <rPr>
            <b/>
            <sz val="9"/>
            <color indexed="81"/>
            <rFont val="Tahoma"/>
            <family val="2"/>
          </rPr>
          <t>DEYANIRA PLANEACION:</t>
        </r>
        <r>
          <rPr>
            <sz val="9"/>
            <color indexed="81"/>
            <rFont val="Tahoma"/>
            <family val="2"/>
          </rPr>
          <t xml:space="preserve">
era gobierno en línea</t>
        </r>
      </text>
    </comment>
    <comment ref="AE382" authorId="7">
      <text>
        <r>
          <rPr>
            <b/>
            <sz val="9"/>
            <color indexed="81"/>
            <rFont val="Tahoma"/>
            <family val="2"/>
          </rPr>
          <t>Usuario de Windows:</t>
        </r>
        <r>
          <rPr>
            <sz val="9"/>
            <color indexed="81"/>
            <rFont val="Tahoma"/>
            <family val="2"/>
          </rPr>
          <t xml:space="preserve">
contrato 138-2018 instalac. Modulo retencion de industira y comercio (RETEICA).  Rubro 231711 Fuente 110101 13000000</t>
        </r>
      </text>
    </comment>
    <comment ref="P383" authorId="0">
      <text>
        <r>
          <rPr>
            <b/>
            <sz val="9"/>
            <color indexed="81"/>
            <rFont val="Tahoma"/>
            <family val="2"/>
          </rPr>
          <t>DEYANIRA PLANEACION:</t>
        </r>
        <r>
          <rPr>
            <sz val="9"/>
            <color indexed="81"/>
            <rFont val="Tahoma"/>
            <family val="2"/>
          </rPr>
          <t xml:space="preserve">
DE 90 A 80%</t>
        </r>
      </text>
    </comment>
    <comment ref="P388" authorId="2">
      <text>
        <r>
          <rPr>
            <b/>
            <sz val="9"/>
            <color indexed="81"/>
            <rFont val="Tahoma"/>
            <family val="2"/>
          </rPr>
          <t>PLANEACION DELLANIRA:</t>
        </r>
        <r>
          <rPr>
            <sz val="9"/>
            <color indexed="81"/>
            <rFont val="Tahoma"/>
            <family val="2"/>
          </rPr>
          <t xml:space="preserve">
era tramites gobierno en linea</t>
        </r>
      </text>
    </comment>
    <comment ref="P391" authorId="0">
      <text>
        <r>
          <rPr>
            <b/>
            <sz val="9"/>
            <color indexed="81"/>
            <rFont val="Tahoma"/>
            <family val="2"/>
          </rPr>
          <t>DEYANIRA PLANEACION:</t>
        </r>
        <r>
          <rPr>
            <sz val="9"/>
            <color indexed="81"/>
            <rFont val="Tahoma"/>
            <family val="2"/>
          </rPr>
          <t xml:space="preserve">
REDACCION QUEDA EN CUATRENIO .  ELIMINADA</t>
        </r>
      </text>
    </comment>
    <comment ref="AE391" authorId="7">
      <text>
        <r>
          <rPr>
            <b/>
            <sz val="9"/>
            <color indexed="81"/>
            <rFont val="Tahoma"/>
            <family val="2"/>
          </rPr>
          <t>Usuario de Windows:</t>
        </r>
        <r>
          <rPr>
            <sz val="9"/>
            <color indexed="81"/>
            <rFont val="Tahoma"/>
            <family val="2"/>
          </rPr>
          <t xml:space="preserve">
contrato 290-2018 "auditorias internas procesos y procedimientos". $920000 rubro 231701 fu. 260401</t>
        </r>
      </text>
    </comment>
    <comment ref="P397" authorId="0">
      <text>
        <r>
          <rPr>
            <b/>
            <sz val="9"/>
            <color indexed="81"/>
            <rFont val="Tahoma"/>
            <family val="2"/>
          </rPr>
          <t>DEYANIRA PLANEACION:</t>
        </r>
        <r>
          <rPr>
            <sz val="9"/>
            <color indexed="81"/>
            <rFont val="Tahoma"/>
            <family val="2"/>
          </rPr>
          <t xml:space="preserve">
AMPLIAR</t>
        </r>
      </text>
    </comment>
    <comment ref="P399" authorId="0">
      <text>
        <r>
          <rPr>
            <b/>
            <sz val="9"/>
            <color indexed="81"/>
            <rFont val="Tahoma"/>
            <family val="2"/>
          </rPr>
          <t>DEYANIRA PLANEACION:</t>
        </r>
        <r>
          <rPr>
            <sz val="9"/>
            <color indexed="81"/>
            <rFont val="Tahoma"/>
            <family val="2"/>
          </rPr>
          <t xml:space="preserve">
REDACCION</t>
        </r>
      </text>
    </comment>
    <comment ref="P401" authorId="0">
      <text>
        <r>
          <rPr>
            <b/>
            <sz val="9"/>
            <color indexed="81"/>
            <rFont val="Tahoma"/>
            <family val="2"/>
          </rPr>
          <t>DEYANIRA PLANEACION:</t>
        </r>
        <r>
          <rPr>
            <sz val="9"/>
            <color indexed="81"/>
            <rFont val="Tahoma"/>
            <family val="2"/>
          </rPr>
          <t xml:space="preserve">
ELIMINADA</t>
        </r>
      </text>
    </comment>
    <comment ref="P405" authorId="0">
      <text>
        <r>
          <rPr>
            <b/>
            <sz val="9"/>
            <color indexed="81"/>
            <rFont val="Tahoma"/>
            <family val="2"/>
          </rPr>
          <t>DEYANIRA PLANEACION:</t>
        </r>
        <r>
          <rPr>
            <sz val="9"/>
            <color indexed="81"/>
            <rFont val="Tahoma"/>
            <family val="2"/>
          </rPr>
          <t xml:space="preserve">
ELIMINADA</t>
        </r>
      </text>
    </comment>
    <comment ref="P416" authorId="0">
      <text>
        <r>
          <rPr>
            <b/>
            <sz val="9"/>
            <color indexed="81"/>
            <rFont val="Tahoma"/>
            <family val="2"/>
          </rPr>
          <t>DEYANIRA PLANEACION:</t>
        </r>
        <r>
          <rPr>
            <sz val="9"/>
            <color indexed="81"/>
            <rFont val="Tahoma"/>
            <family val="2"/>
          </rPr>
          <t xml:space="preserve">
REDUCCION A 6</t>
        </r>
      </text>
    </comment>
    <comment ref="AO441" authorId="4">
      <text>
        <r>
          <rPr>
            <b/>
            <sz val="9"/>
            <color indexed="81"/>
            <rFont val="Tahoma"/>
            <family val="2"/>
          </rPr>
          <t>Eliana Enriquez:</t>
        </r>
        <r>
          <rPr>
            <sz val="9"/>
            <color indexed="81"/>
            <rFont val="Tahoma"/>
            <family val="2"/>
          </rPr>
          <t xml:space="preserve">
CTTO OSCAR 
</t>
        </r>
      </text>
    </comment>
    <comment ref="AP441" authorId="1">
      <text>
        <r>
          <rPr>
            <b/>
            <sz val="9"/>
            <color indexed="81"/>
            <rFont val="Tahoma"/>
            <family val="2"/>
          </rPr>
          <t>Usuario:</t>
        </r>
        <r>
          <rPr>
            <sz val="9"/>
            <color indexed="81"/>
            <rFont val="Tahoma"/>
            <family val="2"/>
          </rPr>
          <t xml:space="preserve">
Ley 99/93 de 90%
</t>
        </r>
      </text>
    </comment>
    <comment ref="AV441" authorId="1">
      <text>
        <r>
          <rPr>
            <b/>
            <sz val="9"/>
            <color indexed="81"/>
            <rFont val="Tahoma"/>
            <family val="2"/>
          </rPr>
          <t>Usuario:</t>
        </r>
        <r>
          <rPr>
            <sz val="9"/>
            <color indexed="81"/>
            <rFont val="Tahoma"/>
            <family val="2"/>
          </rPr>
          <t xml:space="preserve">
Ley 99/93 de 90%
</t>
        </r>
      </text>
    </comment>
    <comment ref="AO442" authorId="4">
      <text>
        <r>
          <rPr>
            <b/>
            <sz val="9"/>
            <color indexed="81"/>
            <rFont val="Tahoma"/>
            <family val="2"/>
          </rPr>
          <t>Eliana Enriquez:</t>
        </r>
        <r>
          <rPr>
            <sz val="9"/>
            <color indexed="81"/>
            <rFont val="Tahoma"/>
            <family val="2"/>
          </rPr>
          <t xml:space="preserve">
CTTO JUAN 
</t>
        </r>
      </text>
    </comment>
    <comment ref="AV447" authorId="4">
      <text>
        <r>
          <rPr>
            <b/>
            <sz val="9"/>
            <color indexed="81"/>
            <rFont val="Tahoma"/>
            <family val="2"/>
          </rPr>
          <t>Eliana Enriquez:</t>
        </r>
        <r>
          <rPr>
            <sz val="9"/>
            <color indexed="81"/>
            <rFont val="Tahoma"/>
            <family val="2"/>
          </rPr>
          <t xml:space="preserve">
</t>
        </r>
      </text>
    </comment>
    <comment ref="AO450" authorId="4">
      <text>
        <r>
          <rPr>
            <b/>
            <sz val="9"/>
            <color indexed="81"/>
            <rFont val="Tahoma"/>
            <family val="2"/>
          </rPr>
          <t>Eliana Enriquez:</t>
        </r>
        <r>
          <rPr>
            <sz val="9"/>
            <color indexed="81"/>
            <rFont val="Tahoma"/>
            <family val="2"/>
          </rPr>
          <t xml:space="preserve">
ctto juancho LEY 99/93 DE 90%
</t>
        </r>
      </text>
    </comment>
    <comment ref="P451" authorId="0">
      <text>
        <r>
          <rPr>
            <b/>
            <sz val="9"/>
            <color indexed="81"/>
            <rFont val="Tahoma"/>
            <family val="2"/>
          </rPr>
          <t>DEYANIRA PLANEACION:</t>
        </r>
        <r>
          <rPr>
            <sz val="9"/>
            <color indexed="81"/>
            <rFont val="Tahoma"/>
            <family val="2"/>
          </rPr>
          <t xml:space="preserve">
REDACCION.  QUITAR IMPLEMENTAR</t>
        </r>
      </text>
    </comment>
    <comment ref="AP453" authorId="4">
      <text>
        <r>
          <rPr>
            <b/>
            <sz val="9"/>
            <color indexed="81"/>
            <rFont val="Tahoma"/>
            <family val="2"/>
          </rPr>
          <t>Eliana Enriquez:</t>
        </r>
        <r>
          <rPr>
            <sz val="9"/>
            <color indexed="81"/>
            <rFont val="Tahoma"/>
            <family val="2"/>
          </rPr>
          <t xml:space="preserve">
Ley 99/03 DE 90%</t>
        </r>
      </text>
    </comment>
    <comment ref="AV455" authorId="4">
      <text>
        <r>
          <rPr>
            <b/>
            <sz val="9"/>
            <color indexed="81"/>
            <rFont val="Tahoma"/>
            <family val="2"/>
          </rPr>
          <t>Eliana Enriquez:</t>
        </r>
        <r>
          <rPr>
            <sz val="9"/>
            <color indexed="81"/>
            <rFont val="Tahoma"/>
            <family val="2"/>
          </rPr>
          <t xml:space="preserve">
Ley 99/93 de 90%</t>
        </r>
      </text>
    </comment>
    <comment ref="AO457" authorId="4">
      <text>
        <r>
          <rPr>
            <b/>
            <sz val="9"/>
            <color indexed="81"/>
            <rFont val="Tahoma"/>
            <family val="2"/>
          </rPr>
          <t>Eliana Enriquez:</t>
        </r>
        <r>
          <rPr>
            <sz val="9"/>
            <color indexed="81"/>
            <rFont val="Tahoma"/>
            <family val="2"/>
          </rPr>
          <t xml:space="preserve">
CTTO Isabel P.</t>
        </r>
      </text>
    </comment>
    <comment ref="AO458" authorId="1">
      <text>
        <r>
          <rPr>
            <b/>
            <sz val="9"/>
            <color indexed="81"/>
            <rFont val="Tahoma"/>
            <family val="2"/>
          </rPr>
          <t>Usuario:</t>
        </r>
        <r>
          <rPr>
            <sz val="9"/>
            <color indexed="81"/>
            <rFont val="Tahoma"/>
            <family val="2"/>
          </rPr>
          <t xml:space="preserve">
convenio que realizo la CAM Y LA GOBERNACION POR VALOR DE $1.040.984.880</t>
        </r>
      </text>
    </comment>
    <comment ref="AR458" authorId="4">
      <text>
        <r>
          <rPr>
            <b/>
            <sz val="9"/>
            <color indexed="81"/>
            <rFont val="Tahoma"/>
            <family val="2"/>
          </rPr>
          <t>Eliana Enriquez:</t>
        </r>
        <r>
          <rPr>
            <sz val="9"/>
            <color indexed="81"/>
            <rFont val="Tahoma"/>
            <family val="2"/>
          </rPr>
          <t xml:space="preserve">
Gobernación</t>
        </r>
      </text>
    </comment>
    <comment ref="AO459" authorId="4">
      <text>
        <r>
          <rPr>
            <b/>
            <sz val="9"/>
            <color indexed="81"/>
            <rFont val="Tahoma"/>
            <family val="2"/>
          </rPr>
          <t>Eliana Enriquez:</t>
        </r>
        <r>
          <rPr>
            <sz val="9"/>
            <color indexed="81"/>
            <rFont val="Tahoma"/>
            <family val="2"/>
          </rPr>
          <t xml:space="preserve">
CTTO DIEGO M.</t>
        </r>
      </text>
    </comment>
    <comment ref="AP461" authorId="4">
      <text>
        <r>
          <rPr>
            <b/>
            <sz val="9"/>
            <color indexed="81"/>
            <rFont val="Tahoma"/>
            <family val="2"/>
          </rPr>
          <t>Eliana Enriquez:</t>
        </r>
        <r>
          <rPr>
            <sz val="9"/>
            <color indexed="81"/>
            <rFont val="Tahoma"/>
            <family val="2"/>
          </rPr>
          <t xml:space="preserve">
Libre de tasas</t>
        </r>
      </text>
    </comment>
    <comment ref="AV461" authorId="4">
      <text>
        <r>
          <rPr>
            <b/>
            <sz val="9"/>
            <color indexed="81"/>
            <rFont val="Tahoma"/>
            <family val="2"/>
          </rPr>
          <t>Eliana Enriquez:</t>
        </r>
        <r>
          <rPr>
            <sz val="9"/>
            <color indexed="81"/>
            <rFont val="Tahoma"/>
            <family val="2"/>
          </rPr>
          <t xml:space="preserve">
LEY 99/93 DE 90%
</t>
        </r>
      </text>
    </comment>
    <comment ref="AO463" authorId="4">
      <text>
        <r>
          <rPr>
            <b/>
            <sz val="9"/>
            <color indexed="81"/>
            <rFont val="Tahoma"/>
            <family val="2"/>
          </rPr>
          <t>Eliana Enriquez:</t>
        </r>
        <r>
          <rPr>
            <sz val="9"/>
            <color indexed="81"/>
            <rFont val="Tahoma"/>
            <family val="2"/>
          </rPr>
          <t xml:space="preserve">
COMPRA DE PREDIO A LA SEÑORA MARIA LIDIA CUCHUMBE VEREDA SAN VICENTE  - 30 HAS - MUNICPIO L A PLATA HUILA. E
RP.  
VALOR: $36.000,000
</t>
        </r>
      </text>
    </comment>
    <comment ref="P464" authorId="0">
      <text>
        <r>
          <rPr>
            <b/>
            <sz val="9"/>
            <color indexed="81"/>
            <rFont val="Tahoma"/>
            <family val="2"/>
          </rPr>
          <t>DEYANIRA PLANEACION:</t>
        </r>
        <r>
          <rPr>
            <sz val="9"/>
            <color indexed="81"/>
            <rFont val="Tahoma"/>
            <family val="2"/>
          </rPr>
          <t xml:space="preserve">
ELIMINADA</t>
        </r>
      </text>
    </comment>
    <comment ref="AO465" authorId="4">
      <text>
        <r>
          <rPr>
            <b/>
            <sz val="9"/>
            <color indexed="81"/>
            <rFont val="Tahoma"/>
            <family val="2"/>
          </rPr>
          <t>Eliana Enriquez:</t>
        </r>
        <r>
          <rPr>
            <sz val="9"/>
            <color indexed="81"/>
            <rFont val="Tahoma"/>
            <family val="2"/>
          </rPr>
          <t xml:space="preserve">
CTTO JUAN GABRIEL
</t>
        </r>
      </text>
    </comment>
    <comment ref="AO466" authorId="4">
      <text>
        <r>
          <rPr>
            <b/>
            <sz val="9"/>
            <color indexed="81"/>
            <rFont val="Tahoma"/>
            <family val="2"/>
          </rPr>
          <t>Eliana Enriquez:</t>
        </r>
        <r>
          <rPr>
            <sz val="9"/>
            <color indexed="81"/>
            <rFont val="Tahoma"/>
            <family val="2"/>
          </rPr>
          <t xml:space="preserve">
CTTO JUAN GABRIEL
</t>
        </r>
      </text>
    </comment>
    <comment ref="AO467" authorId="4">
      <text>
        <r>
          <rPr>
            <b/>
            <sz val="9"/>
            <color indexed="81"/>
            <rFont val="Tahoma"/>
            <family val="2"/>
          </rPr>
          <t>Eliana Enriquez:</t>
        </r>
        <r>
          <rPr>
            <sz val="9"/>
            <color indexed="81"/>
            <rFont val="Tahoma"/>
            <family val="2"/>
          </rPr>
          <t xml:space="preserve">
CTTO JUAN GABRIEL
</t>
        </r>
      </text>
    </comment>
    <comment ref="AO469" authorId="5">
      <text>
        <r>
          <rPr>
            <b/>
            <sz val="9"/>
            <color indexed="81"/>
            <rFont val="Tahoma"/>
            <family val="2"/>
          </rPr>
          <t>Eliana:</t>
        </r>
        <r>
          <rPr>
            <sz val="9"/>
            <color indexed="81"/>
            <rFont val="Tahoma"/>
            <family val="2"/>
          </rPr>
          <t xml:space="preserve">
CTTO JUAN GABRIEL 120-2018
</t>
        </r>
      </text>
    </comment>
    <comment ref="AV469" authorId="4">
      <text>
        <r>
          <rPr>
            <b/>
            <sz val="9"/>
            <color indexed="81"/>
            <rFont val="Tahoma"/>
            <family val="2"/>
          </rPr>
          <t>Eliana Enriquez:</t>
        </r>
        <r>
          <rPr>
            <sz val="9"/>
            <color indexed="81"/>
            <rFont val="Tahoma"/>
            <family val="2"/>
          </rPr>
          <t xml:space="preserve">
LEY 99/93 DE 90%</t>
        </r>
      </text>
    </comment>
    <comment ref="AO470" authorId="4">
      <text>
        <r>
          <rPr>
            <b/>
            <sz val="9"/>
            <color indexed="81"/>
            <rFont val="Tahoma"/>
            <family val="2"/>
          </rPr>
          <t>Eliana Enriquez:</t>
        </r>
        <r>
          <rPr>
            <sz val="9"/>
            <color indexed="81"/>
            <rFont val="Tahoma"/>
            <family val="2"/>
          </rPr>
          <t xml:space="preserve">
CTTO DIEGO 
</t>
        </r>
      </text>
    </comment>
    <comment ref="AV471" authorId="4">
      <text>
        <r>
          <rPr>
            <b/>
            <sz val="9"/>
            <color indexed="81"/>
            <rFont val="Tahoma"/>
            <family val="2"/>
          </rPr>
          <t>Eliana Enriquez:</t>
        </r>
        <r>
          <rPr>
            <sz val="9"/>
            <color indexed="81"/>
            <rFont val="Tahoma"/>
            <family val="2"/>
          </rPr>
          <t xml:space="preserve">
Ley 99/93 de 90%</t>
        </r>
      </text>
    </comment>
  </commentList>
</comments>
</file>

<file path=xl/comments5.xml><?xml version="1.0" encoding="utf-8"?>
<comments xmlns="http://schemas.openxmlformats.org/spreadsheetml/2006/main">
  <authors>
    <author>Autor</author>
  </authors>
  <commentList>
    <comment ref="U3" authorId="0">
      <text>
        <r>
          <rPr>
            <b/>
            <sz val="9"/>
            <color indexed="81"/>
            <rFont val="Tahoma"/>
            <family val="2"/>
          </rPr>
          <t>Autor:</t>
        </r>
        <r>
          <rPr>
            <sz val="9"/>
            <color indexed="81"/>
            <rFont val="Tahoma"/>
            <family val="2"/>
          </rPr>
          <t xml:space="preserve">
INDICADOR DE PRODUCTO???</t>
        </r>
      </text>
    </comment>
    <comment ref="H6" authorId="0">
      <text>
        <r>
          <rPr>
            <b/>
            <sz val="9"/>
            <color indexed="81"/>
            <rFont val="Tahoma"/>
            <family val="2"/>
          </rPr>
          <t>META DE PRODUCTO CUMPLIDA.</t>
        </r>
      </text>
    </comment>
    <comment ref="H7" authorId="0">
      <text>
        <r>
          <rPr>
            <b/>
            <sz val="9"/>
            <color indexed="81"/>
            <rFont val="Tahoma"/>
            <family val="2"/>
          </rPr>
          <t>META DE PRODUCTO CUMPLIDA.</t>
        </r>
      </text>
    </comment>
    <comment ref="H8" authorId="0">
      <text>
        <r>
          <rPr>
            <b/>
            <sz val="9"/>
            <color indexed="81"/>
            <rFont val="Tahoma"/>
            <family val="2"/>
          </rPr>
          <t>SE DEJO ABIERTA PARA REALIZARLAS A NUESTRO ALCANCE.</t>
        </r>
      </text>
    </comment>
    <comment ref="H10" authorId="0">
      <text>
        <r>
          <rPr>
            <b/>
            <sz val="9"/>
            <color indexed="81"/>
            <rFont val="Tahoma"/>
            <family val="2"/>
          </rPr>
          <t xml:space="preserve">Meta a 2017: 16500 Personas
</t>
        </r>
      </text>
    </comment>
    <comment ref="H14" authorId="0">
      <text>
        <r>
          <rPr>
            <b/>
            <sz val="9"/>
            <color indexed="81"/>
            <rFont val="Tahoma"/>
            <family val="2"/>
          </rPr>
          <t>Autor:</t>
        </r>
        <r>
          <rPr>
            <sz val="9"/>
            <color indexed="81"/>
            <rFont val="Tahoma"/>
            <family val="2"/>
          </rPr>
          <t xml:space="preserve">
467 a atender</t>
        </r>
      </text>
    </comment>
    <comment ref="H16" authorId="0">
      <text>
        <r>
          <rPr>
            <b/>
            <sz val="9"/>
            <color indexed="81"/>
            <rFont val="Tahoma"/>
            <family val="2"/>
          </rPr>
          <t>Autor:</t>
        </r>
        <r>
          <rPr>
            <sz val="9"/>
            <color indexed="81"/>
            <rFont val="Tahoma"/>
            <family val="2"/>
          </rPr>
          <t xml:space="preserve">
a 12296 x año es decir 36.885 cuatrenio   3 años
</t>
        </r>
      </text>
    </comment>
    <comment ref="U16" authorId="0">
      <text>
        <r>
          <rPr>
            <b/>
            <sz val="9"/>
            <color indexed="81"/>
            <rFont val="Tahoma"/>
            <family val="2"/>
          </rPr>
          <t>Autor:</t>
        </r>
        <r>
          <rPr>
            <sz val="9"/>
            <color indexed="81"/>
            <rFont val="Tahoma"/>
            <family val="2"/>
          </rPr>
          <t xml:space="preserve">
O ES NUMERICO O EN %</t>
        </r>
      </text>
    </comment>
    <comment ref="O17" authorId="0">
      <text>
        <r>
          <rPr>
            <b/>
            <sz val="9"/>
            <color indexed="81"/>
            <rFont val="Tahoma"/>
            <family val="2"/>
          </rPr>
          <t>Usuario:</t>
        </r>
        <r>
          <rPr>
            <sz val="9"/>
            <color indexed="81"/>
            <rFont val="Tahoma"/>
            <family val="2"/>
          </rPr>
          <t xml:space="preserve">
</t>
        </r>
      </text>
    </comment>
    <comment ref="P19" authorId="0">
      <text>
        <r>
          <rPr>
            <b/>
            <sz val="9"/>
            <color indexed="81"/>
            <rFont val="Tahoma"/>
            <family val="2"/>
          </rPr>
          <t>INFORMACION RECIBIDA POR LA SSDPTAL A CORTE 30 DE ENERO PENDIENTE AJUSTAR MES DE DICIEMBRE DEBIDO A QUE EL DPTO AUN NO TIENE AJUSSTADO LOS INDICADORES</t>
        </r>
      </text>
    </comment>
    <comment ref="P20" authorId="0">
      <text>
        <r>
          <rPr>
            <b/>
            <sz val="9"/>
            <color indexed="81"/>
            <rFont val="Tahoma"/>
            <family val="2"/>
          </rPr>
          <t>INFORMACION RECIBIDA POR LA SSDPTAL A CORTE 30 DE ENERO PENDIENTE AJUSTAR MES DE DICIEMBRE DEBIDO A QUE EL DPTO AUN NO TIENE AJUSSTADO LOS INDICADORES</t>
        </r>
      </text>
    </comment>
    <comment ref="P21" authorId="0">
      <text>
        <r>
          <rPr>
            <b/>
            <sz val="9"/>
            <color indexed="81"/>
            <rFont val="Tahoma"/>
            <family val="2"/>
          </rPr>
          <t>INFORMACION RECIBIDA POR LA SSDPTAL A CORTE 30 DE ENERO PENDIENTE AJUSTAR MES DE DICIEMBRE DEBIDO A QUE EL DPTO AUN NO TIENE AJUSSTADO LOS INDICADORES</t>
        </r>
      </text>
    </comment>
    <comment ref="T22" authorId="0">
      <text>
        <r>
          <rPr>
            <b/>
            <sz val="9"/>
            <color indexed="81"/>
            <rFont val="Tahoma"/>
            <family val="2"/>
          </rPr>
          <t>ESTA META SE IMPLEMENTO DE ACUERDO A LA LINEA BASE NACIONAL PQ EL MUNICIPIO NO TIENE LINEA BASE</t>
        </r>
      </text>
    </comment>
    <comment ref="H24" authorId="0">
      <text>
        <r>
          <rPr>
            <b/>
            <sz val="9"/>
            <color indexed="81"/>
            <rFont val="Tahoma"/>
            <family val="2"/>
          </rPr>
          <t>Esta meta la miden de manera trimestral</t>
        </r>
      </text>
    </comment>
    <comment ref="P24" authorId="0">
      <text>
        <r>
          <rPr>
            <b/>
            <sz val="9"/>
            <color indexed="81"/>
            <rFont val="Tahoma"/>
            <family val="2"/>
          </rPr>
          <t>INFORMACION RECIBIDA POR LA SSDPTAL A CORTE 30 DE ENERO PENDIENTE AJUSTAR MES DE DICIEMBRE DEBIDO A QUE EL DPTO AUN NO TIENE AJUSSTADO LOS INDICADORES</t>
        </r>
      </text>
    </comment>
    <comment ref="H36" authorId="0">
      <text/>
    </comment>
    <comment ref="P42" authorId="0">
      <text>
        <r>
          <rPr>
            <b/>
            <sz val="9"/>
            <color indexed="81"/>
            <rFont val="Tahoma"/>
            <family val="2"/>
          </rPr>
          <t>TENER EN CUENTA QUE ESTE INDICADOR VA HASTA EL 30 DE NOVIEMBRE DE 2017 NO SE LOGRO RECOGER INFORMACION DEBIDO A QUE LA SECRETARIA DE SALUD DEPARTAMENTAL NO HA REALIZADO EL CONSOLIDADO FINAL DE IV TRIMESTRE.</t>
        </r>
      </text>
    </comment>
    <comment ref="P43" authorId="0">
      <text>
        <r>
          <rPr>
            <b/>
            <sz val="9"/>
            <color indexed="81"/>
            <rFont val="Tahoma"/>
            <family val="2"/>
          </rPr>
          <t>TENER EN CUENTA QUE ESTE INDICADOR VA HASTA EL 30 DE NOVIEMBRE DE 2017 NO SE LOGRO RECOGER INFORMACION DEBIDO A QUE LA SECRETARIA DE SALUD DEPARTAMENTAL NO HA REALIZADO EL CONSOLIDADO FINAL DE IV TRIMESTRE.</t>
        </r>
      </text>
    </comment>
    <comment ref="P44" authorId="0">
      <text>
        <r>
          <rPr>
            <b/>
            <sz val="9"/>
            <color indexed="81"/>
            <rFont val="Tahoma"/>
            <family val="2"/>
          </rPr>
          <t>TENER EN CUENTA QUE ESTE INDICADOR VA HASTA EL 30 DE NOVIEMBRE DE 2017 NO SE LOGRO RECOGER INFORMACION DEBIDO A QUE LA SECRETARIA DE SALUD DEPARTAMENTAL NO HA REALIZADO EL CONSOLIDADO FINAL DE IV TRIMESTRE.</t>
        </r>
      </text>
    </comment>
    <comment ref="AL45" authorId="0">
      <text>
        <r>
          <rPr>
            <b/>
            <sz val="9"/>
            <color indexed="81"/>
            <rFont val="Tahoma"/>
            <family val="2"/>
          </rPr>
          <t>Autor:</t>
        </r>
        <r>
          <rPr>
            <sz val="9"/>
            <color indexed="81"/>
            <rFont val="Tahoma"/>
            <family val="2"/>
          </rPr>
          <t xml:space="preserve">
o es 75% o 25%</t>
        </r>
      </text>
    </comment>
    <comment ref="H47" authorId="0">
      <text>
        <r>
          <rPr>
            <b/>
            <sz val="9"/>
            <color indexed="81"/>
            <rFont val="Tahoma"/>
            <family val="2"/>
          </rPr>
          <t>Esta meta se evalua de manera trimestral</t>
        </r>
      </text>
    </comment>
    <comment ref="H50" authorId="0">
      <text>
        <r>
          <rPr>
            <b/>
            <sz val="9"/>
            <color indexed="81"/>
            <rFont val="Tahoma"/>
            <family val="2"/>
          </rPr>
          <t>Autor:</t>
        </r>
        <r>
          <rPr>
            <sz val="9"/>
            <color indexed="81"/>
            <rFont val="Tahoma"/>
            <family val="2"/>
          </rPr>
          <t xml:space="preserve">
meta 100%. No. acciones???</t>
        </r>
      </text>
    </comment>
  </commentList>
</comments>
</file>

<file path=xl/comments6.xml><?xml version="1.0" encoding="utf-8"?>
<comments xmlns="http://schemas.openxmlformats.org/spreadsheetml/2006/main">
  <authors>
    <author>DEYANIRA PLANEACION</author>
    <author>alcaldialaplata2</author>
    <author>Usuario</author>
    <author>PLANEACION DELLANIRA</author>
    <author>USUARIO</author>
    <author>Eliana Enriquez</author>
    <author>Eliana</author>
    <author>SECRE_UDR</author>
    <author>MELBA-PLANEACION</author>
    <author>Usuario de Windows</author>
  </authors>
  <commentList>
    <comment ref="P10" authorId="0">
      <text>
        <r>
          <rPr>
            <b/>
            <sz val="9"/>
            <color indexed="81"/>
            <rFont val="Tahoma"/>
            <family val="2"/>
          </rPr>
          <t>DEYANIRA PLANEACION:</t>
        </r>
        <r>
          <rPr>
            <sz val="9"/>
            <color indexed="81"/>
            <rFont val="Tahoma"/>
            <family val="2"/>
          </rPr>
          <t xml:space="preserve">
era 2 , Ajuste paso a 1</t>
        </r>
      </text>
    </comment>
    <comment ref="AF12" authorId="1">
      <text>
        <r>
          <rPr>
            <b/>
            <sz val="9"/>
            <color indexed="81"/>
            <rFont val="Tahoma"/>
            <family val="2"/>
          </rPr>
          <t>alcaldialaplata2:</t>
        </r>
        <r>
          <rPr>
            <sz val="9"/>
            <color indexed="81"/>
            <rFont val="Tahoma"/>
            <family val="2"/>
          </rPr>
          <t xml:space="preserve">
Peñon Tálaga</t>
        </r>
      </text>
    </comment>
    <comment ref="T13" authorId="0">
      <text>
        <r>
          <rPr>
            <b/>
            <sz val="9"/>
            <color indexed="81"/>
            <rFont val="Tahoma"/>
            <family val="2"/>
          </rPr>
          <t>DEYANIRA PLANEACION:</t>
        </r>
        <r>
          <rPr>
            <sz val="9"/>
            <color indexed="81"/>
            <rFont val="Tahoma"/>
            <family val="2"/>
          </rPr>
          <t xml:space="preserve">
era 6</t>
        </r>
      </text>
    </comment>
    <comment ref="AE13" authorId="1">
      <text>
        <r>
          <rPr>
            <b/>
            <sz val="9"/>
            <color indexed="81"/>
            <rFont val="Tahoma"/>
            <family val="2"/>
          </rPr>
          <t>alcaldialaplata2:</t>
        </r>
        <r>
          <rPr>
            <sz val="9"/>
            <color indexed="81"/>
            <rFont val="Tahoma"/>
            <family val="2"/>
          </rPr>
          <t xml:space="preserve">
ita, carmelo, san miguel</t>
        </r>
      </text>
    </comment>
    <comment ref="T14" authorId="0">
      <text>
        <r>
          <rPr>
            <b/>
            <sz val="9"/>
            <color indexed="81"/>
            <rFont val="Tahoma"/>
            <family val="2"/>
          </rPr>
          <t>DEYANIRA PLANEACION:</t>
        </r>
        <r>
          <rPr>
            <sz val="9"/>
            <color indexed="81"/>
            <rFont val="Tahoma"/>
            <family val="2"/>
          </rPr>
          <t xml:space="preserve">
eran 60 </t>
        </r>
      </text>
    </comment>
    <comment ref="P39" authorId="0">
      <text>
        <r>
          <rPr>
            <b/>
            <sz val="9"/>
            <color indexed="81"/>
            <rFont val="Tahoma"/>
            <family val="2"/>
          </rPr>
          <t>DEYANIRA PLANEACION:</t>
        </r>
        <r>
          <rPr>
            <sz val="9"/>
            <color indexed="81"/>
            <rFont val="Tahoma"/>
            <family val="2"/>
          </rPr>
          <t xml:space="preserve">
Son actividades</t>
        </r>
      </text>
    </comment>
    <comment ref="P40" authorId="0">
      <text>
        <r>
          <rPr>
            <b/>
            <sz val="9"/>
            <color indexed="81"/>
            <rFont val="Tahoma"/>
            <family val="2"/>
          </rPr>
          <t>DEYANIRA PLANEACION:</t>
        </r>
        <r>
          <rPr>
            <sz val="9"/>
            <color indexed="81"/>
            <rFont val="Tahoma"/>
            <family val="2"/>
          </rPr>
          <t xml:space="preserve">
sera creación semilleros 
</t>
        </r>
      </text>
    </comment>
    <comment ref="P55" authorId="0">
      <text>
        <r>
          <rPr>
            <b/>
            <sz val="9"/>
            <color indexed="81"/>
            <rFont val="Tahoma"/>
            <family val="2"/>
          </rPr>
          <t>DEYANIRA PLANEACION:</t>
        </r>
        <r>
          <rPr>
            <sz val="9"/>
            <color indexed="81"/>
            <rFont val="Tahoma"/>
            <family val="2"/>
          </rPr>
          <t xml:space="preserve">
REDACCION.  NO CONV.   SI CAPACIT.</t>
        </r>
      </text>
    </comment>
    <comment ref="P62" authorId="0">
      <text>
        <r>
          <rPr>
            <b/>
            <sz val="9"/>
            <color indexed="81"/>
            <rFont val="Tahoma"/>
            <family val="2"/>
          </rPr>
          <t>DEYANIRA PLANEACION:</t>
        </r>
        <r>
          <rPr>
            <sz val="9"/>
            <color indexed="81"/>
            <rFont val="Tahoma"/>
            <family val="2"/>
          </rPr>
          <t xml:space="preserve">
REDACC.  NO IMPLEMENTAR.   SI FORMULAR</t>
        </r>
      </text>
    </comment>
    <comment ref="P63" authorId="0">
      <text>
        <r>
          <rPr>
            <b/>
            <sz val="9"/>
            <color indexed="81"/>
            <rFont val="Tahoma"/>
            <family val="2"/>
          </rPr>
          <t>DEYANIRA PLANEACION:</t>
        </r>
        <r>
          <rPr>
            <sz val="9"/>
            <color indexed="81"/>
            <rFont val="Tahoma"/>
            <family val="2"/>
          </rPr>
          <t xml:space="preserve">
REDACC.  NO CONV.  SI  CAPACIT.</t>
        </r>
      </text>
    </comment>
    <comment ref="P64" authorId="0">
      <text>
        <r>
          <rPr>
            <b/>
            <sz val="9"/>
            <color indexed="81"/>
            <rFont val="Tahoma"/>
            <family val="2"/>
          </rPr>
          <t>DEYANIRA PLANEACION:</t>
        </r>
        <r>
          <rPr>
            <sz val="9"/>
            <color indexed="81"/>
            <rFont val="Tahoma"/>
            <family val="2"/>
          </rPr>
          <t xml:space="preserve">
REDACC.  NO CREAR.   SI IMPLEMENTAR</t>
        </r>
      </text>
    </comment>
    <comment ref="P66" authorId="0">
      <text>
        <r>
          <rPr>
            <b/>
            <sz val="9"/>
            <color indexed="81"/>
            <rFont val="Tahoma"/>
            <family val="2"/>
          </rPr>
          <t>DEYANIRA PLANEACION:</t>
        </r>
        <r>
          <rPr>
            <sz val="9"/>
            <color indexed="81"/>
            <rFont val="Tahoma"/>
            <family val="2"/>
          </rPr>
          <t xml:space="preserve">
REDACC.  MTTO Y COMPRA ACCESORIO</t>
        </r>
      </text>
    </comment>
    <comment ref="BG67" authorId="2">
      <text>
        <r>
          <rPr>
            <b/>
            <sz val="9"/>
            <color indexed="81"/>
            <rFont val="Tahoma"/>
            <family val="2"/>
          </rPr>
          <t>Usuario:</t>
        </r>
        <r>
          <rPr>
            <sz val="9"/>
            <color indexed="81"/>
            <rFont val="Tahoma"/>
            <family val="2"/>
          </rPr>
          <t xml:space="preserve">
contrato Delio</t>
        </r>
      </text>
    </comment>
    <comment ref="BO67" authorId="2">
      <text>
        <r>
          <rPr>
            <b/>
            <sz val="9"/>
            <color indexed="81"/>
            <rFont val="Tahoma"/>
            <family val="2"/>
          </rPr>
          <t>Usuario:</t>
        </r>
        <r>
          <rPr>
            <sz val="9"/>
            <color indexed="81"/>
            <rFont val="Tahoma"/>
            <family val="2"/>
          </rPr>
          <t xml:space="preserve">
contrato Delio</t>
        </r>
      </text>
    </comment>
    <comment ref="P75" authorId="0">
      <text>
        <r>
          <rPr>
            <b/>
            <sz val="9"/>
            <color indexed="81"/>
            <rFont val="Tahoma"/>
            <family val="2"/>
          </rPr>
          <t>DEYANIRA PLANEACION:</t>
        </r>
        <r>
          <rPr>
            <sz val="9"/>
            <color indexed="81"/>
            <rFont val="Tahoma"/>
            <family val="2"/>
          </rPr>
          <t xml:space="preserve">
REDACCION.   NO SALA COMPUTO.   SI BIBLIOTECA</t>
        </r>
      </text>
    </comment>
    <comment ref="BF75" authorId="2">
      <text>
        <r>
          <rPr>
            <b/>
            <sz val="9"/>
            <color indexed="81"/>
            <rFont val="Tahoma"/>
            <family val="2"/>
          </rPr>
          <t>Usuario:</t>
        </r>
        <r>
          <rPr>
            <sz val="9"/>
            <color indexed="81"/>
            <rFont val="Tahoma"/>
            <family val="2"/>
          </rPr>
          <t xml:space="preserve">
Contr. Bibiana Ceron</t>
        </r>
      </text>
    </comment>
    <comment ref="BN75" authorId="2">
      <text>
        <r>
          <rPr>
            <b/>
            <sz val="9"/>
            <color indexed="81"/>
            <rFont val="Tahoma"/>
            <family val="2"/>
          </rPr>
          <t>Usuario:</t>
        </r>
        <r>
          <rPr>
            <sz val="9"/>
            <color indexed="81"/>
            <rFont val="Tahoma"/>
            <family val="2"/>
          </rPr>
          <t xml:space="preserve">
Contr. MONICA MOLINA</t>
        </r>
      </text>
    </comment>
    <comment ref="BF80" authorId="2">
      <text>
        <r>
          <rPr>
            <b/>
            <sz val="9"/>
            <color indexed="81"/>
            <rFont val="Tahoma"/>
            <family val="2"/>
          </rPr>
          <t>Usuario:</t>
        </r>
        <r>
          <rPr>
            <sz val="9"/>
            <color indexed="81"/>
            <rFont val="Tahoma"/>
            <family val="2"/>
          </rPr>
          <t xml:space="preserve">
Cont. Bibiana</t>
        </r>
      </text>
    </comment>
    <comment ref="BN80" authorId="2">
      <text>
        <r>
          <rPr>
            <b/>
            <sz val="9"/>
            <color indexed="81"/>
            <rFont val="Tahoma"/>
            <family val="2"/>
          </rPr>
          <t>Usuario:</t>
        </r>
        <r>
          <rPr>
            <sz val="9"/>
            <color indexed="81"/>
            <rFont val="Tahoma"/>
            <family val="2"/>
          </rPr>
          <t xml:space="preserve">
Cont. Bibiana</t>
        </r>
      </text>
    </comment>
    <comment ref="BF81" authorId="2">
      <text>
        <r>
          <rPr>
            <b/>
            <sz val="9"/>
            <color indexed="81"/>
            <rFont val="Tahoma"/>
            <family val="2"/>
          </rPr>
          <t>Usuario:</t>
        </r>
        <r>
          <rPr>
            <sz val="9"/>
            <color indexed="81"/>
            <rFont val="Tahoma"/>
            <family val="2"/>
          </rPr>
          <t xml:space="preserve">
contrato Bibiaba</t>
        </r>
      </text>
    </comment>
    <comment ref="BN81" authorId="2">
      <text>
        <r>
          <rPr>
            <b/>
            <sz val="9"/>
            <color indexed="81"/>
            <rFont val="Tahoma"/>
            <family val="2"/>
          </rPr>
          <t>Usuario:</t>
        </r>
        <r>
          <rPr>
            <sz val="9"/>
            <color indexed="81"/>
            <rFont val="Tahoma"/>
            <family val="2"/>
          </rPr>
          <t xml:space="preserve">
contrato Bibiaba</t>
        </r>
      </text>
    </comment>
    <comment ref="BG82" authorId="2">
      <text>
        <r>
          <rPr>
            <b/>
            <sz val="9"/>
            <color indexed="81"/>
            <rFont val="Tahoma"/>
            <family val="2"/>
          </rPr>
          <t>Usuario:</t>
        </r>
        <r>
          <rPr>
            <sz val="9"/>
            <color indexed="81"/>
            <rFont val="Tahoma"/>
            <family val="2"/>
          </rPr>
          <t xml:space="preserve">
Contrato Delio</t>
        </r>
      </text>
    </comment>
    <comment ref="BO82" authorId="2">
      <text>
        <r>
          <rPr>
            <b/>
            <sz val="9"/>
            <color indexed="81"/>
            <rFont val="Tahoma"/>
            <family val="2"/>
          </rPr>
          <t>Usuario:</t>
        </r>
        <r>
          <rPr>
            <sz val="9"/>
            <color indexed="81"/>
            <rFont val="Tahoma"/>
            <family val="2"/>
          </rPr>
          <t xml:space="preserve">
Contrato Delio</t>
        </r>
      </text>
    </comment>
    <comment ref="P86" authorId="0">
      <text>
        <r>
          <rPr>
            <b/>
            <sz val="9"/>
            <color indexed="81"/>
            <rFont val="Tahoma"/>
            <family val="2"/>
          </rPr>
          <t>DEYANIRA PLANEACION:</t>
        </r>
        <r>
          <rPr>
            <sz val="9"/>
            <color indexed="81"/>
            <rFont val="Tahoma"/>
            <family val="2"/>
          </rPr>
          <t xml:space="preserve">
REDACC.  NO ELABORAR.   SI ACTUALIZAR</t>
        </r>
      </text>
    </comment>
    <comment ref="P90" authorId="0">
      <text>
        <r>
          <rPr>
            <b/>
            <sz val="9"/>
            <color indexed="81"/>
            <rFont val="Tahoma"/>
            <family val="2"/>
          </rPr>
          <t>DEYANIRA PLANEACION:</t>
        </r>
        <r>
          <rPr>
            <sz val="9"/>
            <color indexed="81"/>
            <rFont val="Tahoma"/>
            <family val="2"/>
          </rPr>
          <t xml:space="preserve">
DISMINUIR DE 8 A 4</t>
        </r>
      </text>
    </comment>
    <comment ref="P100" authorId="0">
      <text>
        <r>
          <rPr>
            <b/>
            <sz val="9"/>
            <color indexed="81"/>
            <rFont val="Tahoma"/>
            <family val="2"/>
          </rPr>
          <t>DEYANIRA PLANEACION:</t>
        </r>
        <r>
          <rPr>
            <sz val="9"/>
            <color indexed="81"/>
            <rFont val="Tahoma"/>
            <family val="2"/>
          </rPr>
          <t xml:space="preserve">
ERA 4</t>
        </r>
      </text>
    </comment>
    <comment ref="P102" authorId="0">
      <text>
        <r>
          <rPr>
            <b/>
            <sz val="9"/>
            <color indexed="81"/>
            <rFont val="Tahoma"/>
            <family val="2"/>
          </rPr>
          <t>DEYANIRA PLANEACION:</t>
        </r>
        <r>
          <rPr>
            <sz val="9"/>
            <color indexed="81"/>
            <rFont val="Tahoma"/>
            <family val="2"/>
          </rPr>
          <t xml:space="preserve">
REDACCION.  NO DESARRO.  SI APOYAR</t>
        </r>
      </text>
    </comment>
    <comment ref="AF108" authorId="3">
      <text>
        <r>
          <rPr>
            <b/>
            <sz val="9"/>
            <color indexed="81"/>
            <rFont val="Tahoma"/>
            <family val="2"/>
          </rPr>
          <t>PLANEACION DELLANIRA:</t>
        </r>
        <r>
          <rPr>
            <sz val="9"/>
            <color indexed="81"/>
            <rFont val="Tahoma"/>
            <family val="2"/>
          </rPr>
          <t xml:space="preserve">
Fonvihuila</t>
        </r>
      </text>
    </comment>
    <comment ref="AF110" authorId="3">
      <text>
        <r>
          <rPr>
            <b/>
            <sz val="9"/>
            <color indexed="81"/>
            <rFont val="Tahoma"/>
            <family val="2"/>
          </rPr>
          <t>PLANEACION DELLANIRA:</t>
        </r>
        <r>
          <rPr>
            <sz val="9"/>
            <color indexed="81"/>
            <rFont val="Tahoma"/>
            <family val="2"/>
          </rPr>
          <t xml:space="preserve">
Cubierta libertad.+ placas polideporitvos Vda cedral; aurora, EL Cerrito, Talaga, N. Irlanda, La mOrena</t>
        </r>
      </text>
    </comment>
    <comment ref="P112" authorId="0">
      <text>
        <r>
          <rPr>
            <b/>
            <sz val="9"/>
            <color indexed="81"/>
            <rFont val="Tahoma"/>
            <family val="2"/>
          </rPr>
          <t>DEYANIRA PLANEACION:</t>
        </r>
        <r>
          <rPr>
            <sz val="9"/>
            <color indexed="81"/>
            <rFont val="Tahoma"/>
            <family val="2"/>
          </rPr>
          <t xml:space="preserve">
DISMINUIR A 5</t>
        </r>
      </text>
    </comment>
    <comment ref="AD114" authorId="1">
      <text>
        <r>
          <rPr>
            <b/>
            <sz val="9"/>
            <color indexed="81"/>
            <rFont val="Tahoma"/>
            <family val="2"/>
          </rPr>
          <t>alcaldialaplata2:</t>
        </r>
        <r>
          <rPr>
            <sz val="9"/>
            <color indexed="81"/>
            <rFont val="Tahoma"/>
            <family val="2"/>
          </rPr>
          <t xml:space="preserve">
</t>
        </r>
      </text>
    </comment>
    <comment ref="AF114" authorId="1">
      <text>
        <r>
          <rPr>
            <b/>
            <sz val="9"/>
            <color indexed="81"/>
            <rFont val="Tahoma"/>
            <family val="2"/>
          </rPr>
          <t>alcaldialaplata2:</t>
        </r>
        <r>
          <rPr>
            <sz val="9"/>
            <color indexed="81"/>
            <rFont val="Tahoma"/>
            <family val="2"/>
          </rPr>
          <t xml:space="preserve">
</t>
        </r>
        <r>
          <rPr>
            <sz val="10"/>
            <color indexed="81"/>
            <rFont val="Tahoma"/>
            <family val="2"/>
          </rPr>
          <t>Alto S. Seabstian (150) I+(29) de Proyecto II  Banco Agrari</t>
        </r>
        <r>
          <rPr>
            <sz val="9"/>
            <color indexed="81"/>
            <rFont val="Tahoma"/>
            <family val="2"/>
          </rPr>
          <t>o</t>
        </r>
      </text>
    </comment>
    <comment ref="BL121" authorId="3">
      <text>
        <r>
          <rPr>
            <b/>
            <sz val="9"/>
            <color indexed="81"/>
            <rFont val="Tahoma"/>
            <family val="2"/>
          </rPr>
          <t>PLANEACION DELLANIRA:</t>
        </r>
        <r>
          <rPr>
            <sz val="9"/>
            <color indexed="81"/>
            <rFont val="Tahoma"/>
            <family val="2"/>
          </rPr>
          <t xml:space="preserve">
recursos emserpla</t>
        </r>
      </text>
    </comment>
    <comment ref="P124" authorId="0">
      <text>
        <r>
          <rPr>
            <b/>
            <sz val="9"/>
            <color indexed="81"/>
            <rFont val="Tahoma"/>
            <family val="2"/>
          </rPr>
          <t>DEYANIRA PLANEACION:</t>
        </r>
        <r>
          <rPr>
            <sz val="9"/>
            <color indexed="81"/>
            <rFont val="Tahoma"/>
            <family val="2"/>
          </rPr>
          <t xml:space="preserve">
ERA 1300.  AMPLIAR A 1900</t>
        </r>
      </text>
    </comment>
    <comment ref="BO126" authorId="1">
      <text>
        <r>
          <rPr>
            <b/>
            <sz val="9"/>
            <color indexed="81"/>
            <rFont val="Tahoma"/>
            <family val="2"/>
          </rPr>
          <t>alcaldialaplata2:</t>
        </r>
        <r>
          <rPr>
            <sz val="9"/>
            <color indexed="81"/>
            <rFont val="Tahoma"/>
            <family val="2"/>
          </rPr>
          <t xml:space="preserve">
recursos convenio de aseo 009/2019</t>
        </r>
      </text>
    </comment>
    <comment ref="P129" authorId="0">
      <text>
        <r>
          <rPr>
            <b/>
            <sz val="9"/>
            <color indexed="81"/>
            <rFont val="Tahoma"/>
            <family val="2"/>
          </rPr>
          <t>DEYANIRA PLANEACION:</t>
        </r>
        <r>
          <rPr>
            <sz val="9"/>
            <color indexed="81"/>
            <rFont val="Tahoma"/>
            <family val="2"/>
          </rPr>
          <t xml:space="preserve">
ERA. 2400 AMPLIAR A 2837</t>
        </r>
      </text>
    </comment>
    <comment ref="P131" authorId="0">
      <text>
        <r>
          <rPr>
            <b/>
            <sz val="9"/>
            <color indexed="81"/>
            <rFont val="Tahoma"/>
            <family val="2"/>
          </rPr>
          <t>DEYANIRA PLANEACION:</t>
        </r>
        <r>
          <rPr>
            <sz val="9"/>
            <color indexed="81"/>
            <rFont val="Tahoma"/>
            <family val="2"/>
          </rPr>
          <t xml:space="preserve">
REPROGRAMAR?</t>
        </r>
      </text>
    </comment>
    <comment ref="AF131" authorId="1">
      <text>
        <r>
          <rPr>
            <b/>
            <sz val="9"/>
            <color indexed="81"/>
            <rFont val="Tahoma"/>
            <family val="2"/>
          </rPr>
          <t>alcaldialaplata2:</t>
        </r>
        <r>
          <rPr>
            <sz val="9"/>
            <color indexed="81"/>
            <rFont val="Tahoma"/>
            <family val="2"/>
          </rPr>
          <t xml:space="preserve">
suministro tuberia PVC 69 tubos beneficia 20 flias vda Tesorito</t>
        </r>
      </text>
    </comment>
    <comment ref="P139" authorId="0">
      <text>
        <r>
          <rPr>
            <b/>
            <sz val="9"/>
            <color indexed="81"/>
            <rFont val="Tahoma"/>
            <family val="2"/>
          </rPr>
          <t>DEYANIRA PLANEACION:</t>
        </r>
        <r>
          <rPr>
            <sz val="9"/>
            <color indexed="81"/>
            <rFont val="Tahoma"/>
            <family val="2"/>
          </rPr>
          <t xml:space="preserve">
AMPLIAR A 3500</t>
        </r>
      </text>
    </comment>
    <comment ref="Y139" authorId="0">
      <text>
        <r>
          <rPr>
            <b/>
            <sz val="9"/>
            <color indexed="81"/>
            <rFont val="Tahoma"/>
            <family val="2"/>
          </rPr>
          <t>DEYANIRA PLANEACION:</t>
        </r>
        <r>
          <rPr>
            <sz val="9"/>
            <color indexed="81"/>
            <rFont val="Tahoma"/>
            <family val="2"/>
          </rPr>
          <t xml:space="preserve">
revisar la programación.  Esta sobre pasada
</t>
        </r>
      </text>
    </comment>
    <comment ref="BL158" authorId="3">
      <text>
        <r>
          <rPr>
            <b/>
            <sz val="9"/>
            <color indexed="81"/>
            <rFont val="Tahoma"/>
            <family val="2"/>
          </rPr>
          <t>PLANEACION DELLANIRA:</t>
        </r>
        <r>
          <rPr>
            <sz val="9"/>
            <color indexed="81"/>
            <rFont val="Tahoma"/>
            <family val="2"/>
          </rPr>
          <t xml:space="preserve">
conv. Municipios sur occidente</t>
        </r>
      </text>
    </comment>
    <comment ref="P177" authorId="0">
      <text>
        <r>
          <rPr>
            <b/>
            <sz val="9"/>
            <color indexed="81"/>
            <rFont val="Tahoma"/>
            <family val="2"/>
          </rPr>
          <t>DEYANIRA PLANEACION:</t>
        </r>
        <r>
          <rPr>
            <sz val="9"/>
            <color indexed="81"/>
            <rFont val="Tahoma"/>
            <family val="2"/>
          </rPr>
          <t xml:space="preserve">
era 2</t>
        </r>
      </text>
    </comment>
    <comment ref="P178" authorId="3">
      <text>
        <r>
          <rPr>
            <b/>
            <sz val="9"/>
            <color indexed="81"/>
            <rFont val="Tahoma"/>
            <family val="2"/>
          </rPr>
          <t>PLANEACION DELLANIRA:</t>
        </r>
        <r>
          <rPr>
            <sz val="9"/>
            <color indexed="81"/>
            <rFont val="Tahoma"/>
            <family val="2"/>
          </rPr>
          <t xml:space="preserve">
NUEVA</t>
        </r>
      </text>
    </comment>
    <comment ref="P182" authorId="0">
      <text>
        <r>
          <rPr>
            <b/>
            <sz val="9"/>
            <color indexed="81"/>
            <rFont val="Tahoma"/>
            <family val="2"/>
          </rPr>
          <t>DEYANIRA PLANEACION:</t>
        </r>
        <r>
          <rPr>
            <sz val="9"/>
            <color indexed="81"/>
            <rFont val="Tahoma"/>
            <family val="2"/>
          </rPr>
          <t xml:space="preserve">
REDACCION. CAMBIAR TERMINO CONSEJO X PLATAFORMA</t>
        </r>
      </text>
    </comment>
    <comment ref="P190" authorId="3">
      <text>
        <r>
          <rPr>
            <b/>
            <sz val="9"/>
            <color indexed="81"/>
            <rFont val="Tahoma"/>
            <family val="2"/>
          </rPr>
          <t>PLANEACION DELLANIRA:</t>
        </r>
        <r>
          <rPr>
            <sz val="9"/>
            <color indexed="81"/>
            <rFont val="Tahoma"/>
            <family val="2"/>
          </rPr>
          <t xml:space="preserve">
NUEVA</t>
        </r>
      </text>
    </comment>
    <comment ref="P209" authorId="0">
      <text>
        <r>
          <rPr>
            <b/>
            <sz val="9"/>
            <color indexed="81"/>
            <rFont val="Tahoma"/>
            <family val="2"/>
          </rPr>
          <t>DEYANIRA PLANEACION:</t>
        </r>
        <r>
          <rPr>
            <sz val="9"/>
            <color indexed="81"/>
            <rFont val="Tahoma"/>
            <family val="2"/>
          </rPr>
          <t xml:space="preserve">
REDACCION</t>
        </r>
      </text>
    </comment>
    <comment ref="P223" authorId="0">
      <text>
        <r>
          <rPr>
            <b/>
            <sz val="9"/>
            <color indexed="81"/>
            <rFont val="Tahoma"/>
            <family val="2"/>
          </rPr>
          <t>DEYANIRA PLANEACION:</t>
        </r>
        <r>
          <rPr>
            <sz val="9"/>
            <color indexed="81"/>
            <rFont val="Tahoma"/>
            <family val="2"/>
          </rPr>
          <t xml:space="preserve">
ELIMINAR</t>
        </r>
      </text>
    </comment>
    <comment ref="P224" authorId="0">
      <text>
        <r>
          <rPr>
            <b/>
            <sz val="9"/>
            <color indexed="81"/>
            <rFont val="Tahoma"/>
            <family val="2"/>
          </rPr>
          <t>DEYANIRA PLANEACION:</t>
        </r>
        <r>
          <rPr>
            <sz val="9"/>
            <color indexed="81"/>
            <rFont val="Tahoma"/>
            <family val="2"/>
          </rPr>
          <t xml:space="preserve">
ELIMINAR</t>
        </r>
      </text>
    </comment>
    <comment ref="P229" authorId="0">
      <text>
        <r>
          <rPr>
            <b/>
            <sz val="9"/>
            <color indexed="81"/>
            <rFont val="Tahoma"/>
            <family val="2"/>
          </rPr>
          <t>DEYANIRA PLANEACION:</t>
        </r>
        <r>
          <rPr>
            <sz val="9"/>
            <color indexed="81"/>
            <rFont val="Tahoma"/>
            <family val="2"/>
          </rPr>
          <t xml:space="preserve">
INCLUIR SAN PEDRITO</t>
        </r>
      </text>
    </comment>
    <comment ref="P267" authorId="0">
      <text>
        <r>
          <rPr>
            <b/>
            <sz val="9"/>
            <color indexed="81"/>
            <rFont val="Tahoma"/>
            <family val="2"/>
          </rPr>
          <t>DEYANIRA PLANEACION:</t>
        </r>
        <r>
          <rPr>
            <sz val="9"/>
            <color indexed="81"/>
            <rFont val="Tahoma"/>
            <family val="2"/>
          </rPr>
          <t xml:space="preserve">
DISMINUIR A 500</t>
        </r>
      </text>
    </comment>
    <comment ref="P276" authorId="0">
      <text>
        <r>
          <rPr>
            <b/>
            <sz val="9"/>
            <color indexed="81"/>
            <rFont val="Tahoma"/>
            <family val="2"/>
          </rPr>
          <t>DEYANIRA PLANEACION:</t>
        </r>
        <r>
          <rPr>
            <sz val="9"/>
            <color indexed="81"/>
            <rFont val="Tahoma"/>
            <family val="2"/>
          </rPr>
          <t xml:space="preserve">
era una estrategia</t>
        </r>
      </text>
    </comment>
    <comment ref="P277" authorId="0">
      <text>
        <r>
          <rPr>
            <b/>
            <sz val="9"/>
            <color indexed="81"/>
            <rFont val="Tahoma"/>
            <family val="2"/>
          </rPr>
          <t>DEYANIRA PLANEACION:</t>
        </r>
        <r>
          <rPr>
            <sz val="9"/>
            <color indexed="81"/>
            <rFont val="Tahoma"/>
            <family val="2"/>
          </rPr>
          <t xml:space="preserve">
erea 4</t>
        </r>
      </text>
    </comment>
    <comment ref="P279" authorId="0">
      <text>
        <r>
          <rPr>
            <b/>
            <sz val="9"/>
            <color indexed="81"/>
            <rFont val="Tahoma"/>
            <family val="2"/>
          </rPr>
          <t>DEYANIRA PLANEACION:</t>
        </r>
        <r>
          <rPr>
            <sz val="9"/>
            <color indexed="81"/>
            <rFont val="Tahoma"/>
            <family val="2"/>
          </rPr>
          <t xml:space="preserve">
REDACCION </t>
        </r>
      </text>
    </comment>
    <comment ref="P293" authorId="0">
      <text>
        <r>
          <rPr>
            <b/>
            <sz val="9"/>
            <color indexed="81"/>
            <rFont val="Tahoma"/>
            <family val="2"/>
          </rPr>
          <t>DEYANIRA PLANEACION:</t>
        </r>
        <r>
          <rPr>
            <sz val="9"/>
            <color indexed="81"/>
            <rFont val="Tahoma"/>
            <family val="2"/>
          </rPr>
          <t xml:space="preserve">
ELIMINADA</t>
        </r>
      </text>
    </comment>
    <comment ref="AQ296" authorId="4">
      <text>
        <r>
          <rPr>
            <b/>
            <sz val="9"/>
            <color indexed="81"/>
            <rFont val="Tahoma"/>
            <family val="2"/>
          </rPr>
          <t>USUARIO:</t>
        </r>
        <r>
          <rPr>
            <sz val="9"/>
            <color indexed="81"/>
            <rFont val="Tahoma"/>
            <family val="2"/>
          </rPr>
          <t xml:space="preserve">
ADICION No. 001 DIEGO MOMPOTES
</t>
        </r>
      </text>
    </comment>
    <comment ref="AP297" authorId="4">
      <text>
        <r>
          <rPr>
            <b/>
            <sz val="9"/>
            <color indexed="81"/>
            <rFont val="Tahoma"/>
            <family val="2"/>
          </rPr>
          <t>USUARIO:</t>
        </r>
        <r>
          <rPr>
            <sz val="9"/>
            <color indexed="81"/>
            <rFont val="Tahoma"/>
            <family val="2"/>
          </rPr>
          <t xml:space="preserve">
CONVENIO ASISTENCIA TECNICA </t>
        </r>
      </text>
    </comment>
    <comment ref="AV298" authorId="5">
      <text>
        <r>
          <rPr>
            <b/>
            <sz val="9"/>
            <color indexed="81"/>
            <rFont val="Tahoma"/>
            <family val="2"/>
          </rPr>
          <t>Eliana Enriquez:</t>
        </r>
        <r>
          <rPr>
            <sz val="9"/>
            <color indexed="81"/>
            <rFont val="Tahoma"/>
            <family val="2"/>
          </rPr>
          <t xml:space="preserve">
LEY 99
</t>
        </r>
      </text>
    </comment>
    <comment ref="AP300" authorId="4">
      <text>
        <r>
          <rPr>
            <b/>
            <sz val="9"/>
            <color indexed="81"/>
            <rFont val="Tahoma"/>
            <family val="2"/>
          </rPr>
          <t>USUARIO:</t>
        </r>
        <r>
          <rPr>
            <sz val="9"/>
            <color indexed="81"/>
            <rFont val="Tahoma"/>
            <family val="2"/>
          </rPr>
          <t xml:space="preserve">
CONVENIO ASISTENCIA TECNICA</t>
        </r>
      </text>
    </comment>
    <comment ref="AV304" authorId="5">
      <text>
        <r>
          <rPr>
            <b/>
            <sz val="9"/>
            <color indexed="81"/>
            <rFont val="Tahoma"/>
            <family val="2"/>
          </rPr>
          <t>Eliana Enriquez:</t>
        </r>
        <r>
          <rPr>
            <sz val="9"/>
            <color indexed="81"/>
            <rFont val="Tahoma"/>
            <family val="2"/>
          </rPr>
          <t xml:space="preserve">
LEY 99793 de 90%
</t>
        </r>
      </text>
    </comment>
    <comment ref="P307" authorId="0">
      <text>
        <r>
          <rPr>
            <b/>
            <sz val="9"/>
            <color indexed="81"/>
            <rFont val="Tahoma"/>
            <family val="2"/>
          </rPr>
          <t>DEYANIRA PLANEACION:</t>
        </r>
        <r>
          <rPr>
            <sz val="9"/>
            <color indexed="81"/>
            <rFont val="Tahoma"/>
            <family val="2"/>
          </rPr>
          <t xml:space="preserve">
DISMINUIR A 1</t>
        </r>
      </text>
    </comment>
    <comment ref="AP313" authorId="6">
      <text>
        <r>
          <rPr>
            <b/>
            <sz val="9"/>
            <color indexed="81"/>
            <rFont val="Tahoma"/>
            <family val="2"/>
          </rPr>
          <t>Eliana:</t>
        </r>
        <r>
          <rPr>
            <sz val="9"/>
            <color indexed="81"/>
            <rFont val="Tahoma"/>
            <family val="2"/>
          </rPr>
          <t xml:space="preserve">
DEL Certificado de Disponibilidad Presupuestal No. 201500827   </t>
        </r>
      </text>
    </comment>
    <comment ref="AO314" authorId="2">
      <text>
        <r>
          <rPr>
            <b/>
            <sz val="9"/>
            <color indexed="81"/>
            <rFont val="Tahoma"/>
            <family val="2"/>
          </rPr>
          <t>Usuario:</t>
        </r>
        <r>
          <rPr>
            <sz val="9"/>
            <color indexed="81"/>
            <rFont val="Tahoma"/>
            <family val="2"/>
          </rPr>
          <t xml:space="preserve">
funcionamiento</t>
        </r>
      </text>
    </comment>
    <comment ref="AO316" authorId="2">
      <text>
        <r>
          <rPr>
            <b/>
            <sz val="9"/>
            <color indexed="81"/>
            <rFont val="Tahoma"/>
            <family val="2"/>
          </rPr>
          <t>Usuario:</t>
        </r>
        <r>
          <rPr>
            <sz val="9"/>
            <color indexed="81"/>
            <rFont val="Tahoma"/>
            <family val="2"/>
          </rPr>
          <t xml:space="preserve">
funcionamiento</t>
        </r>
      </text>
    </comment>
    <comment ref="AE317" authorId="7">
      <text>
        <r>
          <rPr>
            <b/>
            <sz val="9"/>
            <color indexed="81"/>
            <rFont val="Tahoma"/>
            <family val="2"/>
          </rPr>
          <t>SECRE_UDR:</t>
        </r>
        <r>
          <rPr>
            <sz val="9"/>
            <color indexed="81"/>
            <rFont val="Tahoma"/>
            <family val="2"/>
          </rPr>
          <t xml:space="preserve">
SECRE_S
SE REPROGRAMA LA META DEL AÑO 2019 SE PASA AL AÑO 2018 EN TOTAL SE HARAN 100 MEJORAMIENTOS GENETICOS.</t>
        </r>
      </text>
    </comment>
    <comment ref="P321" authorId="0">
      <text>
        <r>
          <rPr>
            <b/>
            <sz val="9"/>
            <color indexed="81"/>
            <rFont val="Tahoma"/>
            <family val="2"/>
          </rPr>
          <t>DEYANIRA PLANEACION:</t>
        </r>
        <r>
          <rPr>
            <sz val="9"/>
            <color indexed="81"/>
            <rFont val="Tahoma"/>
            <family val="2"/>
          </rPr>
          <t xml:space="preserve">
REDACCION.  SE ELIMINAR JA</t>
        </r>
      </text>
    </comment>
    <comment ref="AO321" authorId="2">
      <text>
        <r>
          <rPr>
            <b/>
            <sz val="9"/>
            <color indexed="81"/>
            <rFont val="Tahoma"/>
            <family val="2"/>
          </rPr>
          <t>Usuario:</t>
        </r>
        <r>
          <rPr>
            <sz val="9"/>
            <color indexed="81"/>
            <rFont val="Tahoma"/>
            <family val="2"/>
          </rPr>
          <t xml:space="preserve">
funcionamiento</t>
        </r>
      </text>
    </comment>
    <comment ref="AP321" authorId="2">
      <text>
        <r>
          <rPr>
            <b/>
            <sz val="9"/>
            <color indexed="81"/>
            <rFont val="Tahoma"/>
            <family val="2"/>
          </rPr>
          <t>Usuario:</t>
        </r>
        <r>
          <rPr>
            <sz val="9"/>
            <color indexed="81"/>
            <rFont val="Tahoma"/>
            <family val="2"/>
          </rPr>
          <t xml:space="preserve">
funcionamiento</t>
        </r>
      </text>
    </comment>
    <comment ref="P322" authorId="0">
      <text>
        <r>
          <rPr>
            <b/>
            <sz val="9"/>
            <color indexed="81"/>
            <rFont val="Tahoma"/>
            <family val="2"/>
          </rPr>
          <t>DEYANIRA PLANEACION:</t>
        </r>
        <r>
          <rPr>
            <sz val="9"/>
            <color indexed="81"/>
            <rFont val="Tahoma"/>
            <family val="2"/>
          </rPr>
          <t xml:space="preserve">
ELIMINADA</t>
        </r>
      </text>
    </comment>
    <comment ref="P340" authorId="0">
      <text>
        <r>
          <rPr>
            <b/>
            <sz val="9"/>
            <color indexed="81"/>
            <rFont val="Tahoma"/>
            <family val="2"/>
          </rPr>
          <t>DEYANIRA PLANEACION:</t>
        </r>
        <r>
          <rPr>
            <sz val="9"/>
            <color indexed="81"/>
            <rFont val="Tahoma"/>
            <family val="2"/>
          </rPr>
          <t xml:space="preserve">
REDACCION.  DEJAR GESTIONAR</t>
        </r>
      </text>
    </comment>
    <comment ref="P342" authorId="0">
      <text>
        <r>
          <rPr>
            <b/>
            <sz val="9"/>
            <color indexed="81"/>
            <rFont val="Tahoma"/>
            <family val="2"/>
          </rPr>
          <t>DEYANIRA PLANEACION:</t>
        </r>
        <r>
          <rPr>
            <sz val="9"/>
            <color indexed="81"/>
            <rFont val="Tahoma"/>
            <family val="2"/>
          </rPr>
          <t xml:space="preserve">
AMPLIAR</t>
        </r>
      </text>
    </comment>
    <comment ref="P345" authorId="0">
      <text>
        <r>
          <rPr>
            <b/>
            <sz val="9"/>
            <color indexed="81"/>
            <rFont val="Tahoma"/>
            <family val="2"/>
          </rPr>
          <t>DEYANIRA PLANEACION:</t>
        </r>
        <r>
          <rPr>
            <sz val="9"/>
            <color indexed="81"/>
            <rFont val="Tahoma"/>
            <family val="2"/>
          </rPr>
          <t xml:space="preserve">
era 3000</t>
        </r>
      </text>
    </comment>
    <comment ref="P346" authorId="3">
      <text>
        <r>
          <rPr>
            <b/>
            <sz val="9"/>
            <color indexed="81"/>
            <rFont val="Tahoma"/>
            <family val="2"/>
          </rPr>
          <t>PLANEACION DELLANIRA:</t>
        </r>
        <r>
          <rPr>
            <sz val="9"/>
            <color indexed="81"/>
            <rFont val="Tahoma"/>
            <family val="2"/>
          </rPr>
          <t xml:space="preserve">
era 120</t>
        </r>
      </text>
    </comment>
    <comment ref="AA346" authorId="0">
      <text>
        <r>
          <rPr>
            <b/>
            <sz val="9"/>
            <color indexed="81"/>
            <rFont val="Tahoma"/>
            <family val="2"/>
          </rPr>
          <t>DEYANIRA PLANEACION:</t>
        </r>
        <r>
          <rPr>
            <sz val="9"/>
            <color indexed="81"/>
            <rFont val="Tahoma"/>
            <family val="2"/>
          </rPr>
          <t xml:space="preserve">
era 72</t>
        </r>
      </text>
    </comment>
    <comment ref="P347" authorId="0">
      <text>
        <r>
          <rPr>
            <b/>
            <sz val="9"/>
            <color indexed="81"/>
            <rFont val="Tahoma"/>
            <family val="2"/>
          </rPr>
          <t>DEYANIRA PLANEACION:</t>
        </r>
        <r>
          <rPr>
            <sz val="9"/>
            <color indexed="81"/>
            <rFont val="Tahoma"/>
            <family val="2"/>
          </rPr>
          <t xml:space="preserve">
se amplio a 6 era 4</t>
        </r>
      </text>
    </comment>
    <comment ref="P348" authorId="0">
      <text>
        <r>
          <rPr>
            <b/>
            <sz val="9"/>
            <color indexed="81"/>
            <rFont val="Tahoma"/>
            <family val="2"/>
          </rPr>
          <t>DEYANIRA PLANEACION:</t>
        </r>
        <r>
          <rPr>
            <sz val="9"/>
            <color indexed="81"/>
            <rFont val="Tahoma"/>
            <family val="2"/>
          </rPr>
          <t xml:space="preserve">
AMPLIAR</t>
        </r>
      </text>
    </comment>
    <comment ref="AF358" authorId="3">
      <text>
        <r>
          <rPr>
            <b/>
            <sz val="9"/>
            <color indexed="81"/>
            <rFont val="Tahoma"/>
            <family val="2"/>
          </rPr>
          <t>PLANEACION DELLANIRA:</t>
        </r>
        <r>
          <rPr>
            <sz val="9"/>
            <color indexed="81"/>
            <rFont val="Tahoma"/>
            <family val="2"/>
          </rPr>
          <t xml:space="preserve">
adecuación Concejo Municiap</t>
        </r>
      </text>
    </comment>
    <comment ref="AF359" authorId="8">
      <text>
        <r>
          <rPr>
            <b/>
            <sz val="9"/>
            <color indexed="81"/>
            <rFont val="Tahoma"/>
            <family val="2"/>
          </rPr>
          <t>MELBA-PLANEACION:</t>
        </r>
        <r>
          <rPr>
            <sz val="9"/>
            <color indexed="81"/>
            <rFont val="Tahoma"/>
            <family val="2"/>
          </rPr>
          <t xml:space="preserve">
PLAZA DE MERCADO</t>
        </r>
      </text>
    </comment>
    <comment ref="P360" authorId="0">
      <text>
        <r>
          <rPr>
            <b/>
            <sz val="9"/>
            <color indexed="81"/>
            <rFont val="Tahoma"/>
            <family val="2"/>
          </rPr>
          <t>DEYANIRA PLANEACION:</t>
        </r>
        <r>
          <rPr>
            <sz val="9"/>
            <color indexed="81"/>
            <rFont val="Tahoma"/>
            <family val="2"/>
          </rPr>
          <t xml:space="preserve">
ELIMINADA</t>
        </r>
      </text>
    </comment>
    <comment ref="P362" authorId="0">
      <text>
        <r>
          <rPr>
            <b/>
            <sz val="9"/>
            <color indexed="81"/>
            <rFont val="Tahoma"/>
            <family val="2"/>
          </rPr>
          <t>DEYANIRA PLANEACION:</t>
        </r>
        <r>
          <rPr>
            <sz val="9"/>
            <color indexed="81"/>
            <rFont val="Tahoma"/>
            <family val="2"/>
          </rPr>
          <t xml:space="preserve">
ELIMINADA</t>
        </r>
      </text>
    </comment>
    <comment ref="BL364" authorId="3">
      <text>
        <r>
          <rPr>
            <b/>
            <sz val="9"/>
            <color indexed="81"/>
            <rFont val="Tahoma"/>
            <family val="2"/>
          </rPr>
          <t>PLANEACION DELLANIRA:</t>
        </r>
        <r>
          <rPr>
            <sz val="9"/>
            <color indexed="81"/>
            <rFont val="Tahoma"/>
            <family val="2"/>
          </rPr>
          <t xml:space="preserve">
COLJUEG</t>
        </r>
        <r>
          <rPr>
            <u/>
            <sz val="9"/>
            <color indexed="81"/>
            <rFont val="Tahoma"/>
            <family val="2"/>
          </rPr>
          <t>OS</t>
        </r>
      </text>
    </comment>
    <comment ref="AO372" authorId="3">
      <text>
        <r>
          <rPr>
            <b/>
            <sz val="9"/>
            <color indexed="81"/>
            <rFont val="Tahoma"/>
            <family val="2"/>
          </rPr>
          <t>PLANEACION DELLANIRA:</t>
        </r>
        <r>
          <rPr>
            <sz val="9"/>
            <color indexed="81"/>
            <rFont val="Tahoma"/>
            <family val="2"/>
          </rPr>
          <t xml:space="preserve">
funcionamiento</t>
        </r>
      </text>
    </comment>
    <comment ref="AO374" authorId="1">
      <text>
        <r>
          <rPr>
            <b/>
            <sz val="9"/>
            <color indexed="81"/>
            <rFont val="Tahoma"/>
            <family val="2"/>
          </rPr>
          <t>alcaldialaplata2:</t>
        </r>
        <r>
          <rPr>
            <sz val="9"/>
            <color indexed="81"/>
            <rFont val="Tahoma"/>
            <family val="2"/>
          </rPr>
          <t xml:space="preserve">
</t>
        </r>
        <r>
          <rPr>
            <sz val="10"/>
            <color indexed="81"/>
            <rFont val="Tahoma"/>
            <family val="2"/>
          </rPr>
          <t>BANCO PROYECTOS</t>
        </r>
      </text>
    </comment>
    <comment ref="BN375" authorId="1">
      <text>
        <r>
          <rPr>
            <b/>
            <sz val="9"/>
            <color indexed="81"/>
            <rFont val="Tahoma"/>
            <family val="2"/>
          </rPr>
          <t>alcaldialaplata2:</t>
        </r>
        <r>
          <rPr>
            <sz val="9"/>
            <color indexed="81"/>
            <rFont val="Tahoma"/>
            <family val="2"/>
          </rPr>
          <t xml:space="preserve">
DOS PRIMEROS DE SISBEN.  + 57988950 que es por este sector pero en la meta de 48 operativos contaminacion audiovisual
</t>
        </r>
      </text>
    </comment>
    <comment ref="P381" authorId="0">
      <text>
        <r>
          <rPr>
            <b/>
            <sz val="9"/>
            <color indexed="81"/>
            <rFont val="Tahoma"/>
            <family val="2"/>
          </rPr>
          <t>DEYANIRA PLANEACION:</t>
        </r>
        <r>
          <rPr>
            <sz val="9"/>
            <color indexed="81"/>
            <rFont val="Tahoma"/>
            <family val="2"/>
          </rPr>
          <t xml:space="preserve">
era gobierno en línea</t>
        </r>
      </text>
    </comment>
    <comment ref="AE382" authorId="9">
      <text>
        <r>
          <rPr>
            <b/>
            <sz val="9"/>
            <color indexed="81"/>
            <rFont val="Tahoma"/>
            <family val="2"/>
          </rPr>
          <t>Usuario de Windows:</t>
        </r>
        <r>
          <rPr>
            <sz val="9"/>
            <color indexed="81"/>
            <rFont val="Tahoma"/>
            <family val="2"/>
          </rPr>
          <t xml:space="preserve">
contrato 138-2018 instalac. Modulo retencion de industira y comercio (RETEICA).  Rubro 231711 Fuente 110101 13000000</t>
        </r>
      </text>
    </comment>
    <comment ref="P383" authorId="0">
      <text>
        <r>
          <rPr>
            <b/>
            <sz val="9"/>
            <color indexed="81"/>
            <rFont val="Tahoma"/>
            <family val="2"/>
          </rPr>
          <t>DEYANIRA PLANEACION:</t>
        </r>
        <r>
          <rPr>
            <sz val="9"/>
            <color indexed="81"/>
            <rFont val="Tahoma"/>
            <family val="2"/>
          </rPr>
          <t xml:space="preserve">
DE 90 A 80%</t>
        </r>
      </text>
    </comment>
    <comment ref="P388" authorId="3">
      <text>
        <r>
          <rPr>
            <b/>
            <sz val="9"/>
            <color indexed="81"/>
            <rFont val="Tahoma"/>
            <family val="2"/>
          </rPr>
          <t>PLANEACION DELLANIRA:</t>
        </r>
        <r>
          <rPr>
            <sz val="9"/>
            <color indexed="81"/>
            <rFont val="Tahoma"/>
            <family val="2"/>
          </rPr>
          <t xml:space="preserve">
era tramites gobierno en linea</t>
        </r>
      </text>
    </comment>
    <comment ref="P391" authorId="0">
      <text>
        <r>
          <rPr>
            <b/>
            <sz val="9"/>
            <color indexed="81"/>
            <rFont val="Tahoma"/>
            <family val="2"/>
          </rPr>
          <t>DEYANIRA PLANEACION:</t>
        </r>
        <r>
          <rPr>
            <sz val="9"/>
            <color indexed="81"/>
            <rFont val="Tahoma"/>
            <family val="2"/>
          </rPr>
          <t xml:space="preserve">
REDACCION QUEDA EN CUATRENIO .  ELIMINADA</t>
        </r>
      </text>
    </comment>
    <comment ref="AE391" authorId="9">
      <text>
        <r>
          <rPr>
            <b/>
            <sz val="9"/>
            <color indexed="81"/>
            <rFont val="Tahoma"/>
            <family val="2"/>
          </rPr>
          <t>Usuario de Windows:</t>
        </r>
        <r>
          <rPr>
            <sz val="9"/>
            <color indexed="81"/>
            <rFont val="Tahoma"/>
            <family val="2"/>
          </rPr>
          <t xml:space="preserve">
contrato 290-2018 "auditorias internas procesos y procedimientos". $920000 rubro 231701 fu. 260401</t>
        </r>
      </text>
    </comment>
    <comment ref="P397" authorId="0">
      <text>
        <r>
          <rPr>
            <b/>
            <sz val="9"/>
            <color indexed="81"/>
            <rFont val="Tahoma"/>
            <family val="2"/>
          </rPr>
          <t>DEYANIRA PLANEACION:</t>
        </r>
        <r>
          <rPr>
            <sz val="9"/>
            <color indexed="81"/>
            <rFont val="Tahoma"/>
            <family val="2"/>
          </rPr>
          <t xml:space="preserve">
AMPLIAR</t>
        </r>
      </text>
    </comment>
    <comment ref="P399" authorId="0">
      <text>
        <r>
          <rPr>
            <b/>
            <sz val="9"/>
            <color indexed="81"/>
            <rFont val="Tahoma"/>
            <family val="2"/>
          </rPr>
          <t>DEYANIRA PLANEACION:</t>
        </r>
        <r>
          <rPr>
            <sz val="9"/>
            <color indexed="81"/>
            <rFont val="Tahoma"/>
            <family val="2"/>
          </rPr>
          <t xml:space="preserve">
REDACCION</t>
        </r>
      </text>
    </comment>
    <comment ref="P401" authorId="0">
      <text>
        <r>
          <rPr>
            <b/>
            <sz val="9"/>
            <color indexed="81"/>
            <rFont val="Tahoma"/>
            <family val="2"/>
          </rPr>
          <t>DEYANIRA PLANEACION:</t>
        </r>
        <r>
          <rPr>
            <sz val="9"/>
            <color indexed="81"/>
            <rFont val="Tahoma"/>
            <family val="2"/>
          </rPr>
          <t xml:space="preserve">
ELIMINADA</t>
        </r>
      </text>
    </comment>
    <comment ref="P405" authorId="0">
      <text>
        <r>
          <rPr>
            <b/>
            <sz val="9"/>
            <color indexed="81"/>
            <rFont val="Tahoma"/>
            <family val="2"/>
          </rPr>
          <t>DEYANIRA PLANEACION:</t>
        </r>
        <r>
          <rPr>
            <sz val="9"/>
            <color indexed="81"/>
            <rFont val="Tahoma"/>
            <family val="2"/>
          </rPr>
          <t xml:space="preserve">
ELIMINADA</t>
        </r>
      </text>
    </comment>
    <comment ref="P416" authorId="0">
      <text>
        <r>
          <rPr>
            <b/>
            <sz val="9"/>
            <color indexed="81"/>
            <rFont val="Tahoma"/>
            <family val="2"/>
          </rPr>
          <t>DEYANIRA PLANEACION:</t>
        </r>
        <r>
          <rPr>
            <sz val="9"/>
            <color indexed="81"/>
            <rFont val="Tahoma"/>
            <family val="2"/>
          </rPr>
          <t xml:space="preserve">
REDUCCION A 6</t>
        </r>
      </text>
    </comment>
    <comment ref="AF416" authorId="3">
      <text>
        <r>
          <rPr>
            <b/>
            <sz val="9"/>
            <color indexed="81"/>
            <rFont val="Tahoma"/>
            <family val="2"/>
          </rPr>
          <t>PLANEACION DELLANIRA:</t>
        </r>
        <r>
          <rPr>
            <sz val="9"/>
            <color indexed="81"/>
            <rFont val="Tahoma"/>
            <family val="2"/>
          </rPr>
          <t xml:space="preserve">
DUSTER; Minibus infancia y adolescencia y camioneta doble camina CTI,  esta compra se realizo en el 2017 junto con las motocicletas.  </t>
        </r>
      </text>
    </comment>
    <comment ref="AO441" authorId="5">
      <text>
        <r>
          <rPr>
            <b/>
            <sz val="9"/>
            <color indexed="81"/>
            <rFont val="Tahoma"/>
            <family val="2"/>
          </rPr>
          <t>Eliana Enriquez:</t>
        </r>
        <r>
          <rPr>
            <sz val="9"/>
            <color indexed="81"/>
            <rFont val="Tahoma"/>
            <family val="2"/>
          </rPr>
          <t xml:space="preserve">
CTTO OSCAR 
</t>
        </r>
      </text>
    </comment>
    <comment ref="AP441" authorId="2">
      <text>
        <r>
          <rPr>
            <b/>
            <sz val="9"/>
            <color indexed="81"/>
            <rFont val="Tahoma"/>
            <family val="2"/>
          </rPr>
          <t>Usuario:</t>
        </r>
        <r>
          <rPr>
            <sz val="9"/>
            <color indexed="81"/>
            <rFont val="Tahoma"/>
            <family val="2"/>
          </rPr>
          <t xml:space="preserve">
Ley 99/93 de 90%
</t>
        </r>
      </text>
    </comment>
    <comment ref="AV441" authorId="2">
      <text>
        <r>
          <rPr>
            <b/>
            <sz val="9"/>
            <color indexed="81"/>
            <rFont val="Tahoma"/>
            <family val="2"/>
          </rPr>
          <t>Usuario:</t>
        </r>
        <r>
          <rPr>
            <sz val="9"/>
            <color indexed="81"/>
            <rFont val="Tahoma"/>
            <family val="2"/>
          </rPr>
          <t xml:space="preserve">
Ley 99/93 de 90%
</t>
        </r>
      </text>
    </comment>
    <comment ref="AV447" authorId="5">
      <text>
        <r>
          <rPr>
            <b/>
            <sz val="9"/>
            <color indexed="81"/>
            <rFont val="Tahoma"/>
            <family val="2"/>
          </rPr>
          <t>Eliana Enriquez:</t>
        </r>
        <r>
          <rPr>
            <sz val="9"/>
            <color indexed="81"/>
            <rFont val="Tahoma"/>
            <family val="2"/>
          </rPr>
          <t xml:space="preserve">
</t>
        </r>
      </text>
    </comment>
    <comment ref="AO450" authorId="5">
      <text>
        <r>
          <rPr>
            <b/>
            <sz val="9"/>
            <color indexed="81"/>
            <rFont val="Tahoma"/>
            <family val="2"/>
          </rPr>
          <t>Eliana Enriquez:</t>
        </r>
        <r>
          <rPr>
            <sz val="9"/>
            <color indexed="81"/>
            <rFont val="Tahoma"/>
            <family val="2"/>
          </rPr>
          <t xml:space="preserve">
ctto juancho LEY 99/93 DE 90%
</t>
        </r>
      </text>
    </comment>
    <comment ref="P451" authorId="0">
      <text>
        <r>
          <rPr>
            <b/>
            <sz val="9"/>
            <color indexed="81"/>
            <rFont val="Tahoma"/>
            <family val="2"/>
          </rPr>
          <t>DEYANIRA PLANEACION:</t>
        </r>
        <r>
          <rPr>
            <sz val="9"/>
            <color indexed="81"/>
            <rFont val="Tahoma"/>
            <family val="2"/>
          </rPr>
          <t xml:space="preserve">
REDACCION.  QUITAR IMPLEMENTAR</t>
        </r>
      </text>
    </comment>
    <comment ref="AP453" authorId="5">
      <text>
        <r>
          <rPr>
            <b/>
            <sz val="9"/>
            <color indexed="81"/>
            <rFont val="Tahoma"/>
            <family val="2"/>
          </rPr>
          <t>Eliana Enriquez:</t>
        </r>
        <r>
          <rPr>
            <sz val="9"/>
            <color indexed="81"/>
            <rFont val="Tahoma"/>
            <family val="2"/>
          </rPr>
          <t xml:space="preserve">
Ley 99/03 DE 90%</t>
        </r>
      </text>
    </comment>
    <comment ref="AV455" authorId="5">
      <text>
        <r>
          <rPr>
            <b/>
            <sz val="9"/>
            <color indexed="81"/>
            <rFont val="Tahoma"/>
            <family val="2"/>
          </rPr>
          <t>Eliana Enriquez:</t>
        </r>
        <r>
          <rPr>
            <sz val="9"/>
            <color indexed="81"/>
            <rFont val="Tahoma"/>
            <family val="2"/>
          </rPr>
          <t xml:space="preserve">
Ley 99/93 de 90%</t>
        </r>
      </text>
    </comment>
    <comment ref="AO457" authorId="5">
      <text>
        <r>
          <rPr>
            <b/>
            <sz val="9"/>
            <color indexed="81"/>
            <rFont val="Tahoma"/>
            <family val="2"/>
          </rPr>
          <t>Eliana Enriquez:</t>
        </r>
        <r>
          <rPr>
            <sz val="9"/>
            <color indexed="81"/>
            <rFont val="Tahoma"/>
            <family val="2"/>
          </rPr>
          <t xml:space="preserve">
CTTO Isabel P.</t>
        </r>
      </text>
    </comment>
    <comment ref="AO458" authorId="2">
      <text>
        <r>
          <rPr>
            <b/>
            <sz val="9"/>
            <color indexed="81"/>
            <rFont val="Tahoma"/>
            <family val="2"/>
          </rPr>
          <t>Usuario:</t>
        </r>
        <r>
          <rPr>
            <sz val="9"/>
            <color indexed="81"/>
            <rFont val="Tahoma"/>
            <family val="2"/>
          </rPr>
          <t xml:space="preserve">
convenio que realizo la CAM Y LA GOBERNACION POR VALOR DE $1.040.984.880</t>
        </r>
      </text>
    </comment>
    <comment ref="AR458" authorId="5">
      <text>
        <r>
          <rPr>
            <b/>
            <sz val="9"/>
            <color indexed="81"/>
            <rFont val="Tahoma"/>
            <family val="2"/>
          </rPr>
          <t>Eliana Enriquez:</t>
        </r>
        <r>
          <rPr>
            <sz val="9"/>
            <color indexed="81"/>
            <rFont val="Tahoma"/>
            <family val="2"/>
          </rPr>
          <t xml:space="preserve">
Gobernación</t>
        </r>
      </text>
    </comment>
    <comment ref="AO459" authorId="5">
      <text>
        <r>
          <rPr>
            <b/>
            <sz val="9"/>
            <color indexed="81"/>
            <rFont val="Tahoma"/>
            <family val="2"/>
          </rPr>
          <t>Eliana Enriquez:</t>
        </r>
        <r>
          <rPr>
            <sz val="9"/>
            <color indexed="81"/>
            <rFont val="Tahoma"/>
            <family val="2"/>
          </rPr>
          <t xml:space="preserve">
CTTO DIEGO M.</t>
        </r>
      </text>
    </comment>
    <comment ref="AP461" authorId="5">
      <text>
        <r>
          <rPr>
            <b/>
            <sz val="9"/>
            <color indexed="81"/>
            <rFont val="Tahoma"/>
            <family val="2"/>
          </rPr>
          <t>Eliana Enriquez:</t>
        </r>
        <r>
          <rPr>
            <sz val="9"/>
            <color indexed="81"/>
            <rFont val="Tahoma"/>
            <family val="2"/>
          </rPr>
          <t xml:space="preserve">
Libre de tasas</t>
        </r>
      </text>
    </comment>
    <comment ref="AV461" authorId="5">
      <text>
        <r>
          <rPr>
            <b/>
            <sz val="9"/>
            <color indexed="81"/>
            <rFont val="Tahoma"/>
            <family val="2"/>
          </rPr>
          <t>Eliana Enriquez:</t>
        </r>
        <r>
          <rPr>
            <sz val="9"/>
            <color indexed="81"/>
            <rFont val="Tahoma"/>
            <family val="2"/>
          </rPr>
          <t xml:space="preserve">
LEY 99/93 DE 90%
</t>
        </r>
      </text>
    </comment>
    <comment ref="AO463" authorId="5">
      <text>
        <r>
          <rPr>
            <b/>
            <sz val="9"/>
            <color indexed="81"/>
            <rFont val="Tahoma"/>
            <family val="2"/>
          </rPr>
          <t>Eliana Enriquez:</t>
        </r>
        <r>
          <rPr>
            <sz val="9"/>
            <color indexed="81"/>
            <rFont val="Tahoma"/>
            <family val="2"/>
          </rPr>
          <t xml:space="preserve">
COMPRA DE PREDIO A LA SEÑORA MARIA LIDIA CUCHUMBE VEREDA SAN VICENTE  - 30 HAS - MUNICPIO L A PLATA HUILA. E
RP.  
VALOR: $36.000,000
</t>
        </r>
      </text>
    </comment>
    <comment ref="P464" authorId="0">
      <text>
        <r>
          <rPr>
            <b/>
            <sz val="9"/>
            <color indexed="81"/>
            <rFont val="Tahoma"/>
            <family val="2"/>
          </rPr>
          <t>DEYANIRA PLANEACION:</t>
        </r>
        <r>
          <rPr>
            <sz val="9"/>
            <color indexed="81"/>
            <rFont val="Tahoma"/>
            <family val="2"/>
          </rPr>
          <t xml:space="preserve">
ELIMINADA</t>
        </r>
      </text>
    </comment>
    <comment ref="AO465" authorId="5">
      <text>
        <r>
          <rPr>
            <b/>
            <sz val="9"/>
            <color indexed="81"/>
            <rFont val="Tahoma"/>
            <family val="2"/>
          </rPr>
          <t>Eliana Enriquez:</t>
        </r>
        <r>
          <rPr>
            <sz val="9"/>
            <color indexed="81"/>
            <rFont val="Tahoma"/>
            <family val="2"/>
          </rPr>
          <t xml:space="preserve">
CTTO JUAN GABRIEL
</t>
        </r>
      </text>
    </comment>
    <comment ref="AO466" authorId="5">
      <text>
        <r>
          <rPr>
            <b/>
            <sz val="9"/>
            <color indexed="81"/>
            <rFont val="Tahoma"/>
            <family val="2"/>
          </rPr>
          <t>Eliana Enriquez:</t>
        </r>
        <r>
          <rPr>
            <sz val="9"/>
            <color indexed="81"/>
            <rFont val="Tahoma"/>
            <family val="2"/>
          </rPr>
          <t xml:space="preserve">
CTTO JUAN GABRIEL
</t>
        </r>
      </text>
    </comment>
    <comment ref="AO469" authorId="6">
      <text>
        <r>
          <rPr>
            <b/>
            <sz val="9"/>
            <color indexed="81"/>
            <rFont val="Tahoma"/>
            <family val="2"/>
          </rPr>
          <t>Eliana:</t>
        </r>
        <r>
          <rPr>
            <sz val="9"/>
            <color indexed="81"/>
            <rFont val="Tahoma"/>
            <family val="2"/>
          </rPr>
          <t xml:space="preserve">
CTTO JUAN GABRIEL 120-2018
</t>
        </r>
      </text>
    </comment>
    <comment ref="AV469" authorId="5">
      <text>
        <r>
          <rPr>
            <b/>
            <sz val="9"/>
            <color indexed="81"/>
            <rFont val="Tahoma"/>
            <family val="2"/>
          </rPr>
          <t>Eliana Enriquez:</t>
        </r>
        <r>
          <rPr>
            <sz val="9"/>
            <color indexed="81"/>
            <rFont val="Tahoma"/>
            <family val="2"/>
          </rPr>
          <t xml:space="preserve">
LEY 99/93 DE 90%</t>
        </r>
      </text>
    </comment>
    <comment ref="AO470" authorId="5">
      <text>
        <r>
          <rPr>
            <b/>
            <sz val="9"/>
            <color indexed="81"/>
            <rFont val="Tahoma"/>
            <family val="2"/>
          </rPr>
          <t>Eliana Enriquez:</t>
        </r>
        <r>
          <rPr>
            <sz val="9"/>
            <color indexed="81"/>
            <rFont val="Tahoma"/>
            <family val="2"/>
          </rPr>
          <t xml:space="preserve">
CTTO DIEGO 
</t>
        </r>
      </text>
    </comment>
    <comment ref="AV471" authorId="5">
      <text>
        <r>
          <rPr>
            <b/>
            <sz val="9"/>
            <color indexed="81"/>
            <rFont val="Tahoma"/>
            <family val="2"/>
          </rPr>
          <t>Eliana Enriquez:</t>
        </r>
        <r>
          <rPr>
            <sz val="9"/>
            <color indexed="81"/>
            <rFont val="Tahoma"/>
            <family val="2"/>
          </rPr>
          <t xml:space="preserve">
Ley 99/93 de 90%</t>
        </r>
      </text>
    </comment>
  </commentList>
</comments>
</file>

<file path=xl/sharedStrings.xml><?xml version="1.0" encoding="utf-8"?>
<sst xmlns="http://schemas.openxmlformats.org/spreadsheetml/2006/main" count="29872" uniqueCount="5161">
  <si>
    <t>PROYECCIÓN PRÓXIMOS AÑOS</t>
  </si>
  <si>
    <t>TOTAL INVERSIÓN</t>
  </si>
  <si>
    <t>INDICADOR ESPERADO 2016-2019</t>
  </si>
  <si>
    <t>INVERSIÓN 2016 (EN MILLONES DE PESOS)</t>
  </si>
  <si>
    <t>INVERSIÓN 2017 (EN MILLONES DE PESOS)</t>
  </si>
  <si>
    <t>INVERSIÓN 2018 (EN MILLONES DE PESOS)</t>
  </si>
  <si>
    <t>INVERSIÓN 2019 (EN MILLONES DE PESOS)</t>
  </si>
  <si>
    <t>TOTAL INVERSIÓN 2016/2019 (EN MILLONES DE PESOS)</t>
  </si>
  <si>
    <t>COD SEC</t>
  </si>
  <si>
    <t>SECTOR</t>
  </si>
  <si>
    <t>COD MR</t>
  </si>
  <si>
    <t>META DE RESULTADO</t>
  </si>
  <si>
    <t>INDICADOR</t>
  </si>
  <si>
    <t>AÑO LB</t>
  </si>
  <si>
    <t>LÍNEA BASE</t>
  </si>
  <si>
    <t>VALOR ESPERADO</t>
  </si>
  <si>
    <t>PP</t>
  </si>
  <si>
    <t>PG</t>
  </si>
  <si>
    <t>COD MP</t>
  </si>
  <si>
    <t>ODS DEL PRODUCTO</t>
  </si>
  <si>
    <t>DEPENDENCIA RESPONSABLE</t>
  </si>
  <si>
    <t>FUNCIONARIO  RESPONSABLE</t>
  </si>
  <si>
    <t>TIPO DE META</t>
  </si>
  <si>
    <t>RUBRO</t>
  </si>
  <si>
    <t>META DE PRODUCTO</t>
  </si>
  <si>
    <t>RP LD</t>
  </si>
  <si>
    <t>RP DE</t>
  </si>
  <si>
    <t>SGP</t>
  </si>
  <si>
    <t>REG.</t>
  </si>
  <si>
    <t>CREDI.</t>
  </si>
  <si>
    <t>R BAL</t>
  </si>
  <si>
    <t>OTROS</t>
  </si>
  <si>
    <t>TOTAL</t>
  </si>
  <si>
    <t>DIMENSIÓN SOCIAL</t>
  </si>
  <si>
    <t xml:space="preserve">  </t>
  </si>
  <si>
    <t>EDUCACIÓN</t>
  </si>
  <si>
    <t>VALOR ESTIMADO</t>
  </si>
  <si>
    <t>PROGRAMA "EN LA PLATA TODOS ESTUDIAN"</t>
  </si>
  <si>
    <t>A.1</t>
  </si>
  <si>
    <t>Educación</t>
  </si>
  <si>
    <t>A.1.1</t>
  </si>
  <si>
    <r>
      <t>Aumentar la cobertura neta en educación media al 38%</t>
    </r>
    <r>
      <rPr>
        <b/>
        <sz val="10"/>
        <color rgb="FF000000"/>
        <rFont val="Arial"/>
        <family val="2"/>
      </rPr>
      <t xml:space="preserve"> </t>
    </r>
  </si>
  <si>
    <r>
      <t>Tasa Cobertura neta Educación media</t>
    </r>
    <r>
      <rPr>
        <b/>
        <sz val="10"/>
        <color rgb="FF000000"/>
        <rFont val="Arial"/>
        <family val="2"/>
      </rPr>
      <t xml:space="preserve"> </t>
    </r>
  </si>
  <si>
    <t>A.1.1.1</t>
  </si>
  <si>
    <t>4. Educación de calidad</t>
  </si>
  <si>
    <t>Secretaría de Educación, Cultura, deporte y Turismo</t>
  </si>
  <si>
    <t>YIMI FERNANDO LOSADA PAYA</t>
  </si>
  <si>
    <t>Incremento</t>
  </si>
  <si>
    <t>Suministrar 1500 Kit Escolares  a estudiantes de bajos recursos económicos del Municipio en el cuatrienio.</t>
  </si>
  <si>
    <t>No. de kit escolares suministrados en el cuatrienio</t>
  </si>
  <si>
    <t>A.1.1.2</t>
  </si>
  <si>
    <t>Realizar 4 apoyos para el pago de servicios públicos a las instituciones educativas durante el cuatrienio</t>
  </si>
  <si>
    <t>No. de apoyos realizado en el cuatrienio</t>
  </si>
  <si>
    <t>SI</t>
  </si>
  <si>
    <t>A.1.1.3</t>
  </si>
  <si>
    <t>Construir  2 Colegios 10 en la zona urbana del Municipio de La Plata.</t>
  </si>
  <si>
    <t>No. De mega colegios construidos en el cuatrienio</t>
  </si>
  <si>
    <t>A.1.1.4</t>
  </si>
  <si>
    <t>Realizar 12 Mantenimientos  a instituciones educativa del municipio durante el cuatrienio.</t>
  </si>
  <si>
    <t>No.  De mantenimientos realizados en el cuatrienio</t>
  </si>
  <si>
    <t>A.1.1.5</t>
  </si>
  <si>
    <t xml:space="preserve">Construir 35 Aulas en las instituciones educativas en el Municipio durante el cuatrienio. </t>
  </si>
  <si>
    <t>No. de aulas construidas en el cuatrienio</t>
  </si>
  <si>
    <t>A.1.1.6</t>
  </si>
  <si>
    <t xml:space="preserve">Construir 6 Restaurantes Escolares en el municipio durante el cuatrienio </t>
  </si>
  <si>
    <t>No. de restaurantes escolares construidos en el cuatrienio</t>
  </si>
  <si>
    <t>A.1.1.7</t>
  </si>
  <si>
    <t>Realizar 60 obras de construcción y/o mejoramientos a la infraestructura educativa municipal durante el cuatrienio</t>
  </si>
  <si>
    <t>No. De obras construidas o mejoradas</t>
  </si>
  <si>
    <t>A.1.1.8</t>
  </si>
  <si>
    <t>Realizar 1 apoyo para la formulación del proyecto para la construcción de la tercera etapa de la IE San Sebastián, en la zona urbana, durante el cuatrienio</t>
  </si>
  <si>
    <t>No. De apoyos otorgados</t>
  </si>
  <si>
    <t>A.1.1.9</t>
  </si>
  <si>
    <t>Mantenimiento</t>
  </si>
  <si>
    <t>Crear e implementar una estrategia de “Escuela para Padres” en las 18 IE con el propósito de vincular de manera más directa al padre de familia en la formación educativa de los hijos, en el cuatrienio</t>
  </si>
  <si>
    <t>No. De estrategias creadas e implementadas</t>
  </si>
  <si>
    <t>A.1.1.10</t>
  </si>
  <si>
    <t>Dirigir y coordinar 4 Campañas de oferta educativa institucional en el municipio durante el cuatrienio.</t>
  </si>
  <si>
    <t>No. De campañas dirigidas en el cuatrienio</t>
  </si>
  <si>
    <t>A.1.1.11</t>
  </si>
  <si>
    <t>Crear 1 JUNTA MUNICIPAL DE EDUCACIÓN durante el cuatrienio.</t>
  </si>
  <si>
    <t>No. De juntas municipales creadas en el cuatrienio</t>
  </si>
  <si>
    <t>A.1.1.12</t>
  </si>
  <si>
    <t>Lograr que 20 sedes educativas  del municipio tengan nuevos accesos a conectividad  durante el cuatrienio.</t>
  </si>
  <si>
    <t>No. de sedes educativas con nuevos accesos a conectividad durante el cuatrienio</t>
  </si>
  <si>
    <t>A.1.1.13</t>
  </si>
  <si>
    <t>Desarrollar 4 programas para promover la educación Financiera y/o en emprendimiento  en las Instituciones Municipales durante el cuatrienio</t>
  </si>
  <si>
    <t>No. de programas desarrollados durante el cuatrienio</t>
  </si>
  <si>
    <t>A.1.1.14</t>
  </si>
  <si>
    <t>Crear 1 ruta especializada de acceso al sistema escolar de la población víctima por fuera del sistema, durante el cuatrienio</t>
  </si>
  <si>
    <t>No. De Rutas especializadas creadas durante el cuatrienio</t>
  </si>
  <si>
    <t>A.1.1.15</t>
  </si>
  <si>
    <t>Implementar un programa de orientación y vocación profesional para estudiantes de educación media cada año</t>
  </si>
  <si>
    <t>No. de programas en el cuatrenio</t>
  </si>
  <si>
    <t xml:space="preserve">PROGRAMA CALIDAD EDUCATIVA PARA UN CAMBIO REAL </t>
  </si>
  <si>
    <t>A.1.2</t>
  </si>
  <si>
    <r>
      <t>Aumentar a 50 el promedio de calificación pruebas saber en matemáticas para el municipio</t>
    </r>
    <r>
      <rPr>
        <b/>
        <sz val="10"/>
        <color rgb="FF000000"/>
        <rFont val="Arial"/>
        <family val="2"/>
      </rPr>
      <t xml:space="preserve"> </t>
    </r>
  </si>
  <si>
    <t>Promedio calificación Pruebas Saber 11 Matemáticas</t>
  </si>
  <si>
    <t>A.1.2.1</t>
  </si>
  <si>
    <t>Dotar 18 Instituciones educativas con mobiliario y equipo, material didáctico para la enseñanza, durante el cuatrienio.</t>
  </si>
  <si>
    <t>No. de centros educativos dotados en el cuatrienio</t>
  </si>
  <si>
    <t>A.1.2.2</t>
  </si>
  <si>
    <t>Apoyar a 18 Instituciones Educativas con recursos para garantizar la gratuidad en la educación cada año</t>
  </si>
  <si>
    <t>No. De IE apoyadas cada año</t>
  </si>
  <si>
    <t>A.1.2.3</t>
  </si>
  <si>
    <t xml:space="preserve">Desarrollar 1 programa de capacitación y formación por año dirigido a docentes, directivos y administrativos de las instituciones educativas del municipio </t>
  </si>
  <si>
    <t>No. Programas de capacitación y formación dirigidos a directivos y administrativos de IE desarrollados cada año</t>
  </si>
  <si>
    <t>A.1.2.4</t>
  </si>
  <si>
    <t>Implementar cada año 1 estrategia para mejorar los resultados en las pruebas SABER en el municipio</t>
  </si>
  <si>
    <t>No. de estrategias implementadas cada año</t>
  </si>
  <si>
    <t>A.1.2.5</t>
  </si>
  <si>
    <t>Implementar 1 Programa de apoyo a la educación superior, para estudiantes con excelentes promedios académicos durante el cuatrienio.</t>
  </si>
  <si>
    <t>No. De programas de apoyo implementados cada año</t>
  </si>
  <si>
    <t>A.1.2.6</t>
  </si>
  <si>
    <t>Realizar 4 foros educativos durante el cuatrienio</t>
  </si>
  <si>
    <t>No. de foros realizados durante el cuatrienio</t>
  </si>
  <si>
    <t>A.1.2.7</t>
  </si>
  <si>
    <t>Lograr 1 alianza estratégica anual con diferentes instituciones del orden departamental, nacional o internacional que permitan fortalecer la formación educativa en el municipio durante el cuatrienio</t>
  </si>
  <si>
    <t>No. de alianzas estratégicas establecidas por año</t>
  </si>
  <si>
    <t>A.1.2.8</t>
  </si>
  <si>
    <t>Promover la creación de 1 dependencia Municipal de Educación durante el cuatrienio.</t>
  </si>
  <si>
    <t>No. de dependencias con promoción para su creación, durante el cuatrienio</t>
  </si>
  <si>
    <t>A.1.2.9</t>
  </si>
  <si>
    <t>Mantener 6 instituciones educativas articuladas con  la media técnica con el SENA cada año</t>
  </si>
  <si>
    <t>No. de instituciones articuladas con media técnica con el SENA cada año</t>
  </si>
  <si>
    <t>A.1.2.10</t>
  </si>
  <si>
    <t>Promever la articulación de 3 nuevas instituciones educativas con el SENA, para la educación media técnica, dirigida a la población estudiantil del sector rural, durante el cuatrienio</t>
  </si>
  <si>
    <t>No. de instituciones articuladas con el SENA cada año</t>
  </si>
  <si>
    <t>A.1.2.11</t>
  </si>
  <si>
    <t>Implementar 2 estrategias con la Secretaria de Educación del Departamento, para atender estudiantes con dificultades de aprendizaje durante el cuatrienio</t>
  </si>
  <si>
    <t>No. De Estrategia implementadas durante el cuatrienio</t>
  </si>
  <si>
    <t>A.1.2.12</t>
  </si>
  <si>
    <t>Hacer 1 enlace anual con el sector salud y las I.E para garantizar la disminución de los indicadores de embarazos en adolecentes</t>
  </si>
  <si>
    <t>No. de enlaces en funcionamiento cada año</t>
  </si>
  <si>
    <t>A.1.2.13</t>
  </si>
  <si>
    <t>Articular con la secretaria de gobierno, ICBF y comisaria de familia, 1 jornada al año para la erradicación del trabajo infantil y la incorporación al sistema educativo de NNA.</t>
  </si>
  <si>
    <t>No. De Jornadas realizada al año</t>
  </si>
  <si>
    <t>A.1.2.14</t>
  </si>
  <si>
    <t>Buscar la creación de una nueva facultad de la Universidad Surcolombiana en el municipio de La Plata, durante el cuatrienio</t>
  </si>
  <si>
    <t>A.1.2.15</t>
  </si>
  <si>
    <t>Apoyar la implementación de una nueva oferta en educación superior, en el marco del Plan Maestro de Regionalización en niveles de pregrado y postgrado, durante el cuatrienio</t>
  </si>
  <si>
    <t>A.1.2.16</t>
  </si>
  <si>
    <t>Implementar 2 proyectos para mejorar el aprendizaje en el área de inglés, durante el cuatrienio</t>
  </si>
  <si>
    <t>No. De proyectos implementados durante el cuatrienio</t>
  </si>
  <si>
    <t>A.1.2.17</t>
  </si>
  <si>
    <t>Apoyo para la creación de semilleros de investigación</t>
  </si>
  <si>
    <t>No. De apoyos gestionados en el cuatrenio.</t>
  </si>
  <si>
    <t>A.1.2.18</t>
  </si>
  <si>
    <t>Apoyo para la vinculación de estudiantes al programa ONDAS.</t>
  </si>
  <si>
    <t xml:space="preserve">PROGRAMA TODOS EN EL AULA </t>
  </si>
  <si>
    <t>A.1.3</t>
  </si>
  <si>
    <r>
      <t>Disminuir a 8 la tasa de analfabetismo de personas mayores de 15 años</t>
    </r>
    <r>
      <rPr>
        <b/>
        <sz val="10"/>
        <color rgb="FF000000"/>
        <rFont val="Arial"/>
        <family val="2"/>
      </rPr>
      <t xml:space="preserve"> </t>
    </r>
  </si>
  <si>
    <t xml:space="preserve">Tasa de analfabetismo mayores de 15 años </t>
  </si>
  <si>
    <t>A.1.3.1</t>
  </si>
  <si>
    <t>Implementar 4 programas de alfabetización para el cambio, dirigido a la población analfabeta del municipio.</t>
  </si>
  <si>
    <t>No. De programas implementados en el cuatrienio</t>
  </si>
  <si>
    <t>A.1.4</t>
  </si>
  <si>
    <r>
      <t>Disminuir a 4 la Tasa de Deserción interanual estudiantil durante el cuatrienio</t>
    </r>
    <r>
      <rPr>
        <b/>
        <sz val="10"/>
        <color rgb="FF000000"/>
        <rFont val="Arial"/>
        <family val="2"/>
      </rPr>
      <t xml:space="preserve"> </t>
    </r>
  </si>
  <si>
    <t xml:space="preserve">Tasa de deserción interanual estudiantil </t>
  </si>
  <si>
    <t>A.1.4.1</t>
  </si>
  <si>
    <t>Mantener 1 Programa de Alimentación escolar cada año en el municipio durante el cuatrienio.</t>
  </si>
  <si>
    <t>No. De programas de restaurantes escolares en funcionamiento cada año</t>
  </si>
  <si>
    <t>A.1.4.2</t>
  </si>
  <si>
    <t>Suministrar 4 dotaciones de menaje y dotación para la prestación del servicio de alimentación escolar a las IE públicas del municipio, durante el cuatrienio</t>
  </si>
  <si>
    <t>No. De dotaciones suministradas durante el cuatrienio</t>
  </si>
  <si>
    <t>A.1.4.3</t>
  </si>
  <si>
    <t xml:space="preserve">Atender 65 rutas de transporte escolar por año en el sector urbano y rural del municipio durante el cuatrienio. </t>
  </si>
  <si>
    <t>No. De rutas de transporte escolar implementadas cada año</t>
  </si>
  <si>
    <t>SALUD</t>
  </si>
  <si>
    <t>Cultura</t>
  </si>
  <si>
    <t>ESTIMADO AÑO</t>
  </si>
  <si>
    <t>CULTURA</t>
  </si>
  <si>
    <t xml:space="preserve">PROGRAMA CON CULTURA, HACEMOS EL CAMBIO </t>
  </si>
  <si>
    <t>A.5</t>
  </si>
  <si>
    <t>A.5.1</t>
  </si>
  <si>
    <r>
      <t>Lograr que el 10% de la población realice actividades culturales cada año</t>
    </r>
    <r>
      <rPr>
        <b/>
        <sz val="10"/>
        <color rgb="FF000000"/>
        <rFont val="Arial"/>
        <family val="2"/>
      </rPr>
      <t xml:space="preserve"> </t>
    </r>
  </si>
  <si>
    <t xml:space="preserve">Porcentaje de población que participa en actividades culturales  </t>
  </si>
  <si>
    <t>ND</t>
  </si>
  <si>
    <t>A.5.1.1</t>
  </si>
  <si>
    <t>11. Ciudades y comunidades sostenibles</t>
  </si>
  <si>
    <t xml:space="preserve">Vincular 3.200 Personas al Programa de Escuelas de Formación Artística en el municipio durante el cuatrienio. </t>
  </si>
  <si>
    <t>Número  personas vinculadas en el cuatrienio</t>
  </si>
  <si>
    <t>2012/2015</t>
  </si>
  <si>
    <t>A.5.1.2</t>
  </si>
  <si>
    <t>Realizar 8 Capacitaciones dirigidas a Formadores Artísticos durante el cuatrienio</t>
  </si>
  <si>
    <t>No. De capacitaciones realizadas en el cuatrienio</t>
  </si>
  <si>
    <t>A.5.1.3</t>
  </si>
  <si>
    <t>Implementar 1 programa de formación cultural y artística apoyados con instructores y dotación cada año</t>
  </si>
  <si>
    <t>No. De programas implementados por año</t>
  </si>
  <si>
    <t>A.5.1.4</t>
  </si>
  <si>
    <t>Mantener 40 Vigías culturales vinculados a programa de conservación del patrimonio cultural material e inmaterial del municipio durante el cuatrienio</t>
  </si>
  <si>
    <t>No. De vigías vinculados durante el cuatrienio</t>
  </si>
  <si>
    <t>A.5.1.5</t>
  </si>
  <si>
    <t>Mantener 1 convenio de  apoyo anualmente para la asesoría y acompañamiento en el reconocimiento y legalización a los diferentes grupos culturales del municipio durante el cuatrienio</t>
  </si>
  <si>
    <t>No. De convenios suscritos por año</t>
  </si>
  <si>
    <t>A.5.1.6</t>
  </si>
  <si>
    <t>Presentar  16  proyectos que garanticen la financiación de los diferentes programas culturales del municipio durante el cuatrienio</t>
  </si>
  <si>
    <t>No. De proyectos presentados en el cuatrienio</t>
  </si>
  <si>
    <t>A.5.1.7</t>
  </si>
  <si>
    <t>Apoyar 4 eventos culturales dentro de la agenda cultural establecida anualmente  en el municipio.</t>
  </si>
  <si>
    <t>No. De eventos culturales apoyados cada año</t>
  </si>
  <si>
    <t>A.5.1.8</t>
  </si>
  <si>
    <t>Realizar 6 eventos de intercambio cultural  y artístico donde converjan las diferentes manifestaciones artísticas de carácter  local, regional y nacional  durante el cuatrienio</t>
  </si>
  <si>
    <t>No. De eventos de intercambio cultural realizados en el cuatrienio</t>
  </si>
  <si>
    <t>A.5.1.9</t>
  </si>
  <si>
    <t>Realizar 4 actividades culturales en el cuatrienio, que garanticen el acceso cultural de la primera infancia y la infancia</t>
  </si>
  <si>
    <t>No. De actividades realizadas en el cuatrienio</t>
  </si>
  <si>
    <t>A.5.1.10</t>
  </si>
  <si>
    <t>Presentar 1 Proyecto de investigación para declarar patrimonio cultural inmaterial  el FESTIVAL FOLKLORICO Y SANPEDRINO DEL SUR OCCIDENTE HUILENSE Y ORIENTE CAUCANO,  garantizando su desarrollo y reconocimiento.</t>
  </si>
  <si>
    <t>No. De Proyectos presentados en el cuatrienio</t>
  </si>
  <si>
    <t>A.5.1.11</t>
  </si>
  <si>
    <t>Realizar Cuatro (4) versiones del FESTIVAL FOLKLORICO Y SANPEDRINO DEL SUR OCCIDENTE HUILENSE Y ORIENTE CAUCANO</t>
  </si>
  <si>
    <t>No. De versiones del Festival Folclórico realizados en el cuatrienio</t>
  </si>
  <si>
    <t>A.5.1.12</t>
  </si>
  <si>
    <t>Implementar 1 Plan Decenal Municipal de Cultura  durante el cuatrienio.</t>
  </si>
  <si>
    <t>No. De planes decenales implementados en el cuatrienio</t>
  </si>
  <si>
    <t>A.5.1.13</t>
  </si>
  <si>
    <t>Realizar 2 convenios interadministrativos para promover la comercialización del sector artesanal  durante el cuatrienio</t>
  </si>
  <si>
    <t>No. De convenios suscritos en el cuatrienio</t>
  </si>
  <si>
    <t>A.5.1.14</t>
  </si>
  <si>
    <t>Crear 1 Plan salvaguarda del FESTIVAL FOLKLORICO Y SANPEDRINO DEL SUR OCCIDENTE HUILENSE Y ORIENTE CAUCANO, durante el cuatrienio</t>
  </si>
  <si>
    <t>No. De planes creados en el cuatrienio</t>
  </si>
  <si>
    <t>A.5.1.15</t>
  </si>
  <si>
    <t>Realizar 16 Peñas Culturales, en la zona urbana y rural, durante el cuatrienio</t>
  </si>
  <si>
    <t>No. de peñas culturales realizadas en el cuatrienio</t>
  </si>
  <si>
    <t>A.5.1.16</t>
  </si>
  <si>
    <t>Suministrar 2 dotaciones de instrumentos para las bandas musicales y de paz, durante el cuatrienio</t>
  </si>
  <si>
    <t>No. de dotaciones suministradas en el cuatrienio</t>
  </si>
  <si>
    <t>A.5.1.17</t>
  </si>
  <si>
    <t>Vincular 320 personas en el cuatrienio al programa musical de bandas, coros, música tradicional y de cuerda, con apoyo logístico y de personal</t>
  </si>
  <si>
    <t>No. De personas vinculadas en el cuatrienio</t>
  </si>
  <si>
    <t>A.5.1.18</t>
  </si>
  <si>
    <t>Crear 1 Secretaria Municipal de Cultura, Deporte y Turismo durante el cuatrienio.</t>
  </si>
  <si>
    <t>No. De secretarias creadas en el cuatrienio</t>
  </si>
  <si>
    <t>A.5.1.19</t>
  </si>
  <si>
    <t>Apoyar 9  giras de intercambio cultural  a  grupos artísticos representativos del municipio, durante el cuatrienio</t>
  </si>
  <si>
    <t>No. de giras realizadas en el cuatrienio</t>
  </si>
  <si>
    <t>A.5.1.20</t>
  </si>
  <si>
    <t>Generar 1  Espacio  anual de intercambio y formación  para  visibilización de  las manifestaciones artísticas y culturales de los diferentes grupos étnicos  acentuados en el municipio.</t>
  </si>
  <si>
    <t>No. de actividades realizadas cada año</t>
  </si>
  <si>
    <t>A.5.1.21</t>
  </si>
  <si>
    <t>Desarrollar 1 plan de apoyo a gestores culturales para el fomento de la cultura local cada año</t>
  </si>
  <si>
    <t>No. De planes desarrollados cada año</t>
  </si>
  <si>
    <t>A.5.1.22</t>
  </si>
  <si>
    <t>Crear a través de un (1) acuerdo municipal, la institucionalización de las festividades del 6 de enero en el Centro Poblado Belen</t>
  </si>
  <si>
    <t>No. De acuerdos municipales creados</t>
  </si>
  <si>
    <t>A.5.1.23</t>
  </si>
  <si>
    <t>Ejecutar 1 convenio anualmente de apoyo a programas de difusión periodística y promoción  cultural en medios de comunicación.</t>
  </si>
  <si>
    <t>No. De convenios ejecutados cada año</t>
  </si>
  <si>
    <t>PROGRAMA CULTURA CONSTRUCTORA DE PAZ</t>
  </si>
  <si>
    <t>A.5.2</t>
  </si>
  <si>
    <t>Aumentar la inversión per cápita del sector cultura en el municipio cada año</t>
  </si>
  <si>
    <t xml:space="preserve">Inversión per cápita en pesos </t>
  </si>
  <si>
    <t>A.5.2.1</t>
  </si>
  <si>
    <t>Capacitar a 400 personas de manera personalizada en  la  sala  de  cómputo, manejo de las TIC´S y manejo del SIABUT, en el cuatrienio.</t>
  </si>
  <si>
    <t>No. De personas capacitadas en el cuatrienio</t>
  </si>
  <si>
    <t>A.5.2.2</t>
  </si>
  <si>
    <t>Vincular 1.000 personas en la Realización de actividades de promoción de lectura, durante el cuatrienio</t>
  </si>
  <si>
    <t>No. personas vinculadas en el cuatrienio</t>
  </si>
  <si>
    <t>A.5.2.3</t>
  </si>
  <si>
    <t>Incrementar a 7 puntos piloto de acceso a internet  instalados  y funcionando durante el cuatrienio</t>
  </si>
  <si>
    <t>No. de puntos Huila vive digital instalados en el cuatrienio</t>
  </si>
  <si>
    <t>A.5.2.4</t>
  </si>
  <si>
    <t>Ejecutar 1 convenio de alianza público-privada para el programa CULTIVARTE - DAVIVIENDA, durante el cuatrienio</t>
  </si>
  <si>
    <t>No. De convenios ejecutados en el cuatrienio</t>
  </si>
  <si>
    <t>A.5.2.5</t>
  </si>
  <si>
    <t>Realizar 4 dotaciones de  medios audiovisuales y/o bibliográficos para la biblioteca municipal SIMÓN BOLIVAR, durante el cuatrienio</t>
  </si>
  <si>
    <t>No. de dotaciones entregadas en el cuatrienio</t>
  </si>
  <si>
    <t>A.5.2.6</t>
  </si>
  <si>
    <t>Realizar 4  capacitaciones en formación para bibliotecarios a través del sistema nacional de bibliotecas durante el cuatrienio</t>
  </si>
  <si>
    <t>A.5.2.7</t>
  </si>
  <si>
    <t xml:space="preserve">Desarrollar 4 actividades por año de biblioteca móvil  en la zona urbana y rural </t>
  </si>
  <si>
    <t>A.5.2.8</t>
  </si>
  <si>
    <t>Realizar 1 programa cultural  anual  de vinculación  al centro integral para la primera infancia</t>
  </si>
  <si>
    <t>No. De Programa implementado cada año</t>
  </si>
  <si>
    <t>A.5.2.9</t>
  </si>
  <si>
    <t>Realizar 2 obras de infraestructura para construcción, ampliación, conservación y/o mantenimiento de la infraestructura municipal de cultura, incluyendo interventorías y diseños, durante el cuatrienio</t>
  </si>
  <si>
    <t>No. De obras ejecutadas en el cuatrienio</t>
  </si>
  <si>
    <t>Deporte y Recreación</t>
  </si>
  <si>
    <t xml:space="preserve">PROGRAMA CUERPO SANO, MENTE SANA </t>
  </si>
  <si>
    <t>A.4</t>
  </si>
  <si>
    <t>A.4.1</t>
  </si>
  <si>
    <r>
      <t>Aumentar al 10% el porcentaje de población participante en actividades deportivas y recreativas  en el municipio cada año</t>
    </r>
    <r>
      <rPr>
        <b/>
        <sz val="10"/>
        <color rgb="FF000000"/>
        <rFont val="Arial"/>
        <family val="2"/>
      </rPr>
      <t xml:space="preserve"> </t>
    </r>
  </si>
  <si>
    <t xml:space="preserve">Porcentaje de población que participa en eventos deportivos y recreativos por año </t>
  </si>
  <si>
    <t>A.4.1.1</t>
  </si>
  <si>
    <t>Elaborar 1 Plan Local de Deporte, Recreación, Educación Física y Aprovechamiento del Tiempo Libre en el Cuatrienio.</t>
  </si>
  <si>
    <t>No. De Planes elaborados</t>
  </si>
  <si>
    <t>A.4.1.2</t>
  </si>
  <si>
    <t>Optimizar 1 complejo deportivo en la Villa Olímpica del Municipio en el cuatrienio.</t>
  </si>
  <si>
    <t>No. De Villa olímpica optimizada</t>
  </si>
  <si>
    <t>A.4.1.3</t>
  </si>
  <si>
    <t>Construir 6 cubiertas para escenarios deportivos en el sector rural y urbano en el municipio en el cuatrienio (LB 4)</t>
  </si>
  <si>
    <t>No. De Cubiertas de escenarios deportivos construidas</t>
  </si>
  <si>
    <t>A.4.1.4</t>
  </si>
  <si>
    <t>Realizar construcción, mejoramiento o mantenimiento de 12 escenarios deportivos comunitarios del sector urbano y rural del municipio durante el cuatrienio</t>
  </si>
  <si>
    <t>No. De escenarios deportivos  con construcción, mejoramiento o mantenimiento</t>
  </si>
  <si>
    <t>A.4.1.5</t>
  </si>
  <si>
    <t>Construir 8 Parques Biosaludables  en el sector rural y/o urbano en el municipio en el cuatrienio</t>
  </si>
  <si>
    <t>No. De parques construidos</t>
  </si>
  <si>
    <t>A.4.1.6</t>
  </si>
  <si>
    <t xml:space="preserve">Construir 8 Parques Infantiles en el sector rural y urbano en el municipio en el cuatrienio </t>
  </si>
  <si>
    <t>No. De parques infantiles construidos</t>
  </si>
  <si>
    <t>A.4.1.7</t>
  </si>
  <si>
    <t>Realizar 4 campeonatos de deportes alternativos durante el cuatrienio dirigido a la población juvenil del municipio.</t>
  </si>
  <si>
    <t>No. De  campeonatos realizados</t>
  </si>
  <si>
    <t>A.4.1.8</t>
  </si>
  <si>
    <t>Desarrollar 4 Festivales Deportivo-Recreativo para personas en situación de discapacidad durante el cuatrienio.</t>
  </si>
  <si>
    <t>No. Festivales deportivos - recreativos realizados</t>
  </si>
  <si>
    <t>A.4.1.9</t>
  </si>
  <si>
    <t>Construir 1 escenario educativo, recreativo, cultural y comunitario denominado Aldea Para la Felicidad, durante el cuatrienio</t>
  </si>
  <si>
    <t>No. De complejos construidos durante el cuatrienio</t>
  </si>
  <si>
    <t>A.4.1.10</t>
  </si>
  <si>
    <t>Desarrollar un programa de Actividad Física por año durante el cuatrienio dirigido a la población adulta mayor.</t>
  </si>
  <si>
    <t>No. De programas desarrollados</t>
  </si>
  <si>
    <t>A.4.1.11</t>
  </si>
  <si>
    <t>Fomentar y apoyar  4 Escuelas de Formación en las diferentes disciplinas deportivas en el sector urbano y rural del municipio durante el cuatrienio.</t>
  </si>
  <si>
    <t>No. De escuelas apoyadas</t>
  </si>
  <si>
    <t xml:space="preserve">PROGRAMA DEPORTE PARA LA PREVENCION SOCIAL </t>
  </si>
  <si>
    <t>A.4.2</t>
  </si>
  <si>
    <t>Aumentar al 10% el porcentaje de población participante en actividades deportivas y recreativas  en el municipio cada año</t>
  </si>
  <si>
    <t>A.4.2.1</t>
  </si>
  <si>
    <t>Crear 1 programa de apoyo a los deportistas de alto  rendimiento que representen al municipio en ámbito regional, nacional e internacional por año durante el cuatrienio.</t>
  </si>
  <si>
    <t>No. De programas creados en el cuatrienio</t>
  </si>
  <si>
    <t>A.4.2.2</t>
  </si>
  <si>
    <t>Realizar 4 dotaciones durante el cuatrienio de implementos deportivos a deportistas locales</t>
  </si>
  <si>
    <t>No. De dotaciones realizadas</t>
  </si>
  <si>
    <t>A.4.2.3</t>
  </si>
  <si>
    <t>Realizar 4 olimpiadas campesinas durante el cuatrienio</t>
  </si>
  <si>
    <t>No. De olimpiadas realizadas</t>
  </si>
  <si>
    <t>A.4.2.4</t>
  </si>
  <si>
    <t>Realizar 12 eventos deportivos cada año</t>
  </si>
  <si>
    <t>No. Eventos deportivos realizados por año.</t>
  </si>
  <si>
    <t>A.4.2.5</t>
  </si>
  <si>
    <t>Desarrollar 1 programa anual de apoyo a Clubes Deportivos del municipio durante el cuatrienio.</t>
  </si>
  <si>
    <t>No. De programas desarrollados en el cuatrienio</t>
  </si>
  <si>
    <t>A.4.2.6</t>
  </si>
  <si>
    <t>Realizar 8 capacitaciones a dirigentes deportivos, entrenadores y líderes del sector urbano y rural en municipio durante el cuatrienio.</t>
  </si>
  <si>
    <t>No. De capacitaciones realizadas</t>
  </si>
  <si>
    <t>A.4.2.7</t>
  </si>
  <si>
    <t>Lograr que 1600 alumnos de las IE participen en los juegos Supérate cada año durante el cuatrienio.</t>
  </si>
  <si>
    <t>No. De alumnos de las IE participando en juegos supérate cada año.</t>
  </si>
  <si>
    <t>A.4.2.8</t>
  </si>
  <si>
    <t>Desarrollar 2 programas  deportivo-recreativo "Por la Convivencia Ciudadana" dirigido a la población del sector urbano y rural  del municipio durante el cuatrienio.</t>
  </si>
  <si>
    <t>Vivienda</t>
  </si>
  <si>
    <t>VIVIENDA</t>
  </si>
  <si>
    <t xml:space="preserve">PROGRAMA MEJORES VIVIENDAS, HACEN EL CAMBIO </t>
  </si>
  <si>
    <t>A.7</t>
  </si>
  <si>
    <t>A.7.1</t>
  </si>
  <si>
    <r>
      <t>Reducir en 4,7% déficit de vivienda cualitativo durante el cuatrienio</t>
    </r>
    <r>
      <rPr>
        <b/>
        <sz val="10"/>
        <color rgb="FF000000"/>
        <rFont val="Arial"/>
        <family val="2"/>
      </rPr>
      <t xml:space="preserve"> </t>
    </r>
  </si>
  <si>
    <t xml:space="preserve">Déficit de vivienda cualitativo </t>
  </si>
  <si>
    <t>A.7.1.1</t>
  </si>
  <si>
    <t>departamento Municipal de Planeación</t>
  </si>
  <si>
    <t xml:space="preserve">MAURICIO MEDINA ANGEL </t>
  </si>
  <si>
    <t>Realizar   450 mejoramientos de vivienda  en el municipio durante  el cuatrienio.</t>
  </si>
  <si>
    <t>No. De Mejoramientos de vivienda realizados</t>
  </si>
  <si>
    <t>A.7.1.2</t>
  </si>
  <si>
    <t>Apoyar a 2 barrios con programa de legalización durante el cuatrienio</t>
  </si>
  <si>
    <t>No. De barrios legalizados</t>
  </si>
  <si>
    <t>A.7.1.3</t>
  </si>
  <si>
    <t>SGP L.D.</t>
  </si>
  <si>
    <t>Construir o remodelar 15.000 m2 de espacio público  para el disfrute de los ciudadanos durante el cuatrienio</t>
  </si>
  <si>
    <t>No. De m2 construidos o remodelados de espacio público</t>
  </si>
  <si>
    <t>A.7.1.4</t>
  </si>
  <si>
    <t>Ajustar un nuevo PBOT  que defina áreas de desarrollo urbanístico en zonas que no representen alto riesgo</t>
  </si>
  <si>
    <t>No. De PBOT ajustado</t>
  </si>
  <si>
    <t>A.7.1.5</t>
  </si>
  <si>
    <t>Realizar 8 capacitaciones  a familias,  durante el cuatrienio, en el tema de "créditos de vivienda".</t>
  </si>
  <si>
    <t>No. de capacitaciones realizadas</t>
  </si>
  <si>
    <t xml:space="preserve">PROGRAMA EL CAMBIO SE HACE CON VIVIENDA DIGNA </t>
  </si>
  <si>
    <t>A.7.2</t>
  </si>
  <si>
    <r>
      <t>Reducir  en 2,5% el déficit de vivienda cuantitativo durante el cuatrienio</t>
    </r>
    <r>
      <rPr>
        <b/>
        <sz val="10"/>
        <color rgb="FF000000"/>
        <rFont val="Arial"/>
        <family val="2"/>
      </rPr>
      <t xml:space="preserve"> </t>
    </r>
  </si>
  <si>
    <t xml:space="preserve">Déficit de vivienda cuantitativo </t>
  </si>
  <si>
    <t>A.7.2.1</t>
  </si>
  <si>
    <t>Construir 485 viviendas VIS o VIP,  durante el cuatrienio</t>
  </si>
  <si>
    <t>No. De viviendas construidas</t>
  </si>
  <si>
    <t>A.7.2.2</t>
  </si>
  <si>
    <t>Apoyar 4 asociaciones de vivienda  del municipio para gestión de vivienda nueva, durante el cuatrienio</t>
  </si>
  <si>
    <t>No. De apoyos realizados</t>
  </si>
  <si>
    <t>A.7.2.3</t>
  </si>
  <si>
    <t>Reubicar 50 familias localizadas en zonas de alto riesgo durante el cuatrienio</t>
  </si>
  <si>
    <t>No. De familias reubicadas</t>
  </si>
  <si>
    <t>A.7.2.4</t>
  </si>
  <si>
    <t>Adquirir 2 hectáreas de terreno o habilitar este mismo número de hectáreas con servicios públicos, durante el cuatrienio</t>
  </si>
  <si>
    <t>No. De Has. De terreno habilitados</t>
  </si>
  <si>
    <t>APSB</t>
  </si>
  <si>
    <t xml:space="preserve">PROGRAMA CALIDAD DE AGUA, PARA UN MUNICIPIO MEJOR </t>
  </si>
  <si>
    <t>A.3</t>
  </si>
  <si>
    <t>A.3.1</t>
  </si>
  <si>
    <r>
      <t>Aumentar  en 4,9% la cobertura de servicio de acueducto en zona urbana y rural  durante el cuatrienio</t>
    </r>
    <r>
      <rPr>
        <b/>
        <sz val="10"/>
        <color rgb="FF000000"/>
        <rFont val="Arial"/>
        <family val="2"/>
      </rPr>
      <t xml:space="preserve"> </t>
    </r>
  </si>
  <si>
    <t>Cobertura de servicio de acueducto en zona urbana y rural</t>
  </si>
  <si>
    <t>A.3.1.1</t>
  </si>
  <si>
    <t>6. Agua limplia y saneamiento</t>
  </si>
  <si>
    <t>EMSERPLA</t>
  </si>
  <si>
    <t>MARIO MONTILLA CABRERA</t>
  </si>
  <si>
    <t>Apoyar la implementación de 1 plan maestro de acueducto en la zona urbana durante el cuatrienio</t>
  </si>
  <si>
    <t>No. De planes maestros apoyados</t>
  </si>
  <si>
    <t>A.3.1.2</t>
  </si>
  <si>
    <t>Mantener 1 Sistema de acueducto urbano operando cada año</t>
  </si>
  <si>
    <t>No. De Sistemas de Acueducto operando cada año</t>
  </si>
  <si>
    <t>A.3.1.3</t>
  </si>
  <si>
    <t>Presentar 1 Plan de uso eficiente y Ahorro del Agua (PUEA) para aprobación por parte de la CAM durante el cuatrienio.</t>
  </si>
  <si>
    <t xml:space="preserve">No. De PUEA presentados </t>
  </si>
  <si>
    <t>A.3.1.4</t>
  </si>
  <si>
    <t>Apoyar 1 estudio y diseño para una fuente alterna de captación, durante el cuatrienio.</t>
  </si>
  <si>
    <t>No. De apoyos para estudios y diseños</t>
  </si>
  <si>
    <t>A.3.1.5</t>
  </si>
  <si>
    <t>Construcción de 1300 ML de nueva Red de acueducto en el cuatrienio durante el cuatrienio.</t>
  </si>
  <si>
    <t>No. De metros lineales construidos.</t>
  </si>
  <si>
    <t>A.3.1.6</t>
  </si>
  <si>
    <t>Mantener el 100% de los subsidios de acueducto a la totalidad de usuarios  de estratos 1 y 2 durante el cuatrienio.</t>
  </si>
  <si>
    <t>Porcentaje de Subsidios entregados cada año</t>
  </si>
  <si>
    <t>A.3.1.7</t>
  </si>
  <si>
    <t>Realizar 2 campañas anuales  durante el cuatrienio para uso racional de agua</t>
  </si>
  <si>
    <t>No. De campañas realizadas por año</t>
  </si>
  <si>
    <t>A.3.1.8</t>
  </si>
  <si>
    <t>Incrementar  los servicios públicos  a 1.200 nuevos usuarios en servicio de acueducto, durante el cuatrienio</t>
  </si>
  <si>
    <t>No. De nuevos usuarios</t>
  </si>
  <si>
    <t>A.3.1.9</t>
  </si>
  <si>
    <t>Realizar 8 controles para disminuir las conexiones fraudulentas de domiciliarias de acueducto durante el cuatrienio</t>
  </si>
  <si>
    <t>No. De controles realizados</t>
  </si>
  <si>
    <t>A.3.1.10</t>
  </si>
  <si>
    <t>Reposición de 2400 ML de redes de acueducto en el cuatrienio</t>
  </si>
  <si>
    <t xml:space="preserve">No. De metros lineales en reposición </t>
  </si>
  <si>
    <t>A.3.1.11</t>
  </si>
  <si>
    <t>Implementar 1 programa durante el cuatrienio  para la disminución de agua no contabilizada en la zona urbana</t>
  </si>
  <si>
    <t>No. Programa implementado</t>
  </si>
  <si>
    <t>A.3.1.12</t>
  </si>
  <si>
    <t>Beneficiar a 1200 familias con servicio de acueducto en la zona rural, durante el cuatrienio</t>
  </si>
  <si>
    <t>No. De familias beneficiadas.</t>
  </si>
  <si>
    <t>A.3.1.13</t>
  </si>
  <si>
    <t>Beneficiar 1000 familias con potabilización de agua en la zona rural, durante el cuatrienio</t>
  </si>
  <si>
    <t>A.3.1.14</t>
  </si>
  <si>
    <t>Apoyar anualmete 1 PDA con transferencia de recursos para Acueducto y alcantarillado municipal</t>
  </si>
  <si>
    <t>No. De apoyos realizados por año</t>
  </si>
  <si>
    <t xml:space="preserve">PROGRAMA SANEAMOS PARA EL CAMBIO </t>
  </si>
  <si>
    <t>A.3.2</t>
  </si>
  <si>
    <r>
      <t>Aumentar  en 2% la cobertura de servicio de Alcantarillado zona urbana y rural  durante el cuatrienio</t>
    </r>
    <r>
      <rPr>
        <b/>
        <sz val="10"/>
        <color rgb="FF000000"/>
        <rFont val="Arial"/>
        <family val="2"/>
      </rPr>
      <t xml:space="preserve"> </t>
    </r>
  </si>
  <si>
    <t xml:space="preserve">Cobertura de servicio de alcantarillado en zona urbana y rural </t>
  </si>
  <si>
    <t>A.3.2.1</t>
  </si>
  <si>
    <t>Inscribir 1 proyecto para gestionar recursos para la implementación de 1 plan maestro de alcantarillado durante el cuatrienio.</t>
  </si>
  <si>
    <t>No. De proyectos inscritos</t>
  </si>
  <si>
    <t>A.3.2.2</t>
  </si>
  <si>
    <t>Inscribir y gestionar 1 proyecto para la construcción de una (1) planta de tratamiento de aguas residuales (PTAR), durante el cuatrienio.</t>
  </si>
  <si>
    <t xml:space="preserve">No. De proyectos inscritos y gestionados </t>
  </si>
  <si>
    <t>A.3.2.3</t>
  </si>
  <si>
    <t>Instalar y poner en marcha 1 planta de tratamiento de aguas residuales modular para el centro de operaciones de emergencias, durante el cuatrienio.</t>
  </si>
  <si>
    <t>No. PTAR instaladas y funcionando</t>
  </si>
  <si>
    <t>A.3.2.4</t>
  </si>
  <si>
    <t>Actualizar 1 Plan de Saneamiento y Manejo de Vertimientos (PSMV), durante el cuatrienio.</t>
  </si>
  <si>
    <t>No. De PSMV Actualizados</t>
  </si>
  <si>
    <t>A.3.2.5</t>
  </si>
  <si>
    <t>Construir y/o reponer 2.800 ml de alcantarillado durante el cuatrienio</t>
  </si>
  <si>
    <t>No. De metros lineales construidos</t>
  </si>
  <si>
    <t>A.3.2.6</t>
  </si>
  <si>
    <t>Incrementar anualmente los servicios públicos  a 270 nuevos usuarios en servicio de alcantarillado durante el cuatrienio.</t>
  </si>
  <si>
    <t>No. De nuevos usuarios por año</t>
  </si>
  <si>
    <t>A.3.2.7</t>
  </si>
  <si>
    <t>Apoyar la construcción de un (1) colector de alcantarillado del barrio Transportadores, en la quebrada de Los Muertos, durante el cuatrienio</t>
  </si>
  <si>
    <t>No. De apoyos realizados para la construccion del colector</t>
  </si>
  <si>
    <t>A.3.2.8</t>
  </si>
  <si>
    <t>Mantener 100% los subsidios de alcantarillado a la totalidad de usuarios  de estratos 1 y 2, durante el cuatrienio.</t>
  </si>
  <si>
    <t>A.3.2.9</t>
  </si>
  <si>
    <t>Construir 250 baterías sanitarias en el cuatrienio</t>
  </si>
  <si>
    <t>No. De baterías sanitarias construidas</t>
  </si>
  <si>
    <t>PROGRAMA LA PLATA SIN BASURA</t>
  </si>
  <si>
    <t>A.3.3</t>
  </si>
  <si>
    <r>
      <t>Aumentar  en 2% la cobertura de servicio de Aseo zona urbana durante el cuatrienio</t>
    </r>
    <r>
      <rPr>
        <b/>
        <sz val="10"/>
        <color rgb="FF000000"/>
        <rFont val="Arial"/>
        <family val="2"/>
      </rPr>
      <t xml:space="preserve"> </t>
    </r>
  </si>
  <si>
    <t xml:space="preserve">Cobertura de servicio de aseo en zona urbana  </t>
  </si>
  <si>
    <t>A.3.3.1</t>
  </si>
  <si>
    <t>Adquirir 1 vehículo compactador para mejorar la prestación del servicio de recolección de residuos sólidos en sector urbano y rural, durante el cuatrienio</t>
  </si>
  <si>
    <t xml:space="preserve">No. De vehículos adquiridos </t>
  </si>
  <si>
    <t>A.3.3.2</t>
  </si>
  <si>
    <t xml:space="preserve">Ejecutar 1 programa "reciclamos para el cambio" cada año </t>
  </si>
  <si>
    <t>No. Programa ejecutados cada año</t>
  </si>
  <si>
    <t>A.3.3.3</t>
  </si>
  <si>
    <t>Mantener 1 programa de recolección de residuos sólidos en  centros poblados cada año</t>
  </si>
  <si>
    <t>No. De programas de recolección de residuos sólidos rurales por año</t>
  </si>
  <si>
    <t>A.3.3.4</t>
  </si>
  <si>
    <t>Actualizar 1 Plan de Gestión Integral de Residuos sólidos (PGIRS)  durante el cuatrienio.</t>
  </si>
  <si>
    <t>No. De actualizaciones realizadas</t>
  </si>
  <si>
    <t>A.3.3.5</t>
  </si>
  <si>
    <t>Mantener los subsidios de aseo a la totalidad de usuarios  de estratos 1 y 2, durante el cuatrienio.</t>
  </si>
  <si>
    <t>Porcentaje de usuarios con subsidio.</t>
  </si>
  <si>
    <t>A.3.3.6</t>
  </si>
  <si>
    <t>Incrementar  anualmente los servicios públicos  a 275 nuevos usuarios en el servicio de aseo, durante el cuatrienio.</t>
  </si>
  <si>
    <t>No. De nuevos usuarios con servicios públicos de aseo por año</t>
  </si>
  <si>
    <t>A.3.3.7</t>
  </si>
  <si>
    <t>Articular esfuerzos con entidades públicas o privadas para apoyar la instalación y funcionamiento de 1 relleno sanitario regional en el occidente del Huila, durante el cuatrienio</t>
  </si>
  <si>
    <t>No. De rellenos con apoyos institucionales</t>
  </si>
  <si>
    <t>Atención a grupos vulnerables - promoción social</t>
  </si>
  <si>
    <t>NNA</t>
  </si>
  <si>
    <t>A.14</t>
  </si>
  <si>
    <t>A.14.1</t>
  </si>
  <si>
    <t xml:space="preserve">50% de niños, niñas y adolescentes (NNA) participando en actividades institucionales cada año </t>
  </si>
  <si>
    <t xml:space="preserve">% de NNA que participan en actividades institucionales  </t>
  </si>
  <si>
    <t>A.14.1.1</t>
  </si>
  <si>
    <t>10. Reducción de las desigualdades</t>
  </si>
  <si>
    <t>Secretaría de Gobierno</t>
  </si>
  <si>
    <t>Realizar 4 campañas anuales para incentivar la asistencia a controles de crecimiento y desarrollo de la población infantil.</t>
  </si>
  <si>
    <t>No. De Campañas implementadas por año</t>
  </si>
  <si>
    <t>A.14.1.2</t>
  </si>
  <si>
    <t>Implementar 1 política de infancia y adolescencia durante el cuatrienio</t>
  </si>
  <si>
    <t>No. De Política de infancia implementada</t>
  </si>
  <si>
    <t>A.14.1.3</t>
  </si>
  <si>
    <t>Crear 1 mesa intersectorial de primera infancia, infancia y adolescencia del municipio y lograr su operativización cada año</t>
  </si>
  <si>
    <t>Mesa intersectorial creada y funcionando por año</t>
  </si>
  <si>
    <t>A.14.1.4</t>
  </si>
  <si>
    <t>Mantener en funcionamiento 1 hogar de paso modalidad familiar cada año</t>
  </si>
  <si>
    <t>No. De Hogar de paso en funcionamiento por año</t>
  </si>
  <si>
    <t>A.14.1.5</t>
  </si>
  <si>
    <t xml:space="preserve">Mantener cada año 1 centro transitorio para ubicación provisional para adolescentes infractores de la ley penal funcionando y dotado </t>
  </si>
  <si>
    <t>centro transitorio para ubicación provisional para adolescentes infractores de la ley penal  funcionando y dotado, por año</t>
  </si>
  <si>
    <t>A.14.1.6</t>
  </si>
  <si>
    <t>Realizar 12 capacitaciones de sensibilización en pro de mejorar la calidad de vida de los NNA, durante el cuatrienio.</t>
  </si>
  <si>
    <t>A.14.1.7</t>
  </si>
  <si>
    <t xml:space="preserve">Realizar 12 acciones institucionales en pro de evitar el reclutamiento, lograr la desvinculación del conflicto armado y atender  a NNA afectados por conflicto armado, durante el cuatrienio. </t>
  </si>
  <si>
    <t>No. De acciones institucionales realizadas</t>
  </si>
  <si>
    <t>A.14.1.8</t>
  </si>
  <si>
    <t>Realizar 12 campañas  para prevenir cualquier tipo de maltrato y abuso sexual en NNA, durante el cuatrienio</t>
  </si>
  <si>
    <t>No. De Campañas implementadas</t>
  </si>
  <si>
    <t>A.14.1.9</t>
  </si>
  <si>
    <t xml:space="preserve">Implementar 1 estrategia para buscar rehabilitación, resocialización y protección NNA, en articulación con el ICBF, en el cuatrienio </t>
  </si>
  <si>
    <t>No. De Estrategias implementadas</t>
  </si>
  <si>
    <t>A.14.1.10</t>
  </si>
  <si>
    <t>Articular 2 estrategias con el ICBF y la gobernación del Huila, conducentes a lograr la inclusión al sistema educativo de NNA en situación de discapacidad y la inclusión a programas de educación inicial, durante el cuatrienio</t>
  </si>
  <si>
    <t>No. De estrategias articuladas</t>
  </si>
  <si>
    <t>A.14.1.11</t>
  </si>
  <si>
    <t>Realizar 16  capacitaciones en IE durante el cuatrienio para fomentar los derechos de protección del los NNA.</t>
  </si>
  <si>
    <t>A.14.1.12</t>
  </si>
  <si>
    <t xml:space="preserve">Realizar 1 seguimiento al programa nutricional desarrollado por la ESE municipal para NNA cada año. </t>
  </si>
  <si>
    <t>No. De seguimientos al programa nutricional realizados por año</t>
  </si>
  <si>
    <t>A.14.1.13</t>
  </si>
  <si>
    <t>Realizar 2 jornadas de identificación de NNA, articulada con la Registraduría, durante el cuatrienio</t>
  </si>
  <si>
    <t>No. De jornadas de identificación realizadas</t>
  </si>
  <si>
    <t>A.14.1.14</t>
  </si>
  <si>
    <t>Garantizar la participación de NNA en los 15 Consejos de Política Social, durante el cuatrienio</t>
  </si>
  <si>
    <t xml:space="preserve">No. de consejos de política social realizados en que participan los NNA. </t>
  </si>
  <si>
    <t>A.14.1.15</t>
  </si>
  <si>
    <t>Realizar 1 Celebración del día de la niñez cada año</t>
  </si>
  <si>
    <t>No. De celebraciones realizadas por año</t>
  </si>
  <si>
    <t>A.14.1.16</t>
  </si>
  <si>
    <t xml:space="preserve">Realizar 1 Celebración de la navidad a niños y niñas "caravana navideña por la paz", cada año. </t>
  </si>
  <si>
    <t>No. de celebraciones realizadas por año</t>
  </si>
  <si>
    <t>A.14.1.17</t>
  </si>
  <si>
    <t>Realizar 12 programas  radiales de promoción de derechos y deberes en los NNA,  durante el cuatrienio</t>
  </si>
  <si>
    <t>No. De programas radiales realizados</t>
  </si>
  <si>
    <t>A.14.1.18</t>
  </si>
  <si>
    <t>Ejecutar 1 programa "No te madures biche, los niños, niñas y adolescentes unidos por el cambio", encaminado a disminuir el delito, y prevenir el consumo de alcohol y de Sustancias Psicoactivas cada año</t>
  </si>
  <si>
    <t>No. de programa ejecutado por año</t>
  </si>
  <si>
    <t>A.14.1.19</t>
  </si>
  <si>
    <t xml:space="preserve">Realizar 96 operativos de control de NNA en situación de calle o establecimientos de comercio, bares, discotecas, entre otros, que ofrezcan espectáculos para mayores de edad, en el cuatrienio. </t>
  </si>
  <si>
    <t xml:space="preserve">Número de operativos de control realizados a NNA en sitios para mayores de edad. </t>
  </si>
  <si>
    <t>A.14.1.20</t>
  </si>
  <si>
    <t>Realizar 3 jornadas al año, de prevención de la violencia y control del delito, en establecimientos educativos, a través de operativos institucionales.</t>
  </si>
  <si>
    <t>No. De jornadas realizadas por año</t>
  </si>
  <si>
    <t>A.14.1.21</t>
  </si>
  <si>
    <t>Implementar 1 campaña para prevenir las peores formas de trabajo infantil, cada año</t>
  </si>
  <si>
    <t>Número de campañas implementadas por año</t>
  </si>
  <si>
    <t>A.14.1.22</t>
  </si>
  <si>
    <t>Realizar 1 celebración del día de la familia cada año, para el fomento y la consolidación de la unidad y convivencia pacifica familiar.</t>
  </si>
  <si>
    <t>No. De celebraciones anuales realizadas</t>
  </si>
  <si>
    <t>A.14.1.23</t>
  </si>
  <si>
    <t>Ejecutar 1 plan de apoyo al personal que presta sus servicios en los programas de población vulnerable, como la infancia, adolescencia, juventud,  el adulto mayor, la población desplazada, los reintegrados, grupos étnicos, madres cabeza de hogar, víctimas del conflicto armado, entre otros.</t>
  </si>
  <si>
    <t>No. de planes de apoyo ejecutados por año</t>
  </si>
  <si>
    <t>A.14.1.24</t>
  </si>
  <si>
    <t xml:space="preserve">Construir 2 parques infantiles, durante el cuatrienio. </t>
  </si>
  <si>
    <t xml:space="preserve">No. de parques construidos </t>
  </si>
  <si>
    <t>PROGRAMA LOS JÓVENES APORTAN AL CAMBIO</t>
  </si>
  <si>
    <t xml:space="preserve">JUVENTUD </t>
  </si>
  <si>
    <t>A.14.2</t>
  </si>
  <si>
    <t xml:space="preserve">10% de la población juvenil participando en actividades institucionales cada año </t>
  </si>
  <si>
    <t xml:space="preserve">% de población juvenil participando de eventos institucionales cada año </t>
  </si>
  <si>
    <t>A.14.2.1</t>
  </si>
  <si>
    <t>implementar 1 plataforma de juventudes conformada y funcionando cada año</t>
  </si>
  <si>
    <t>1 plataforma implementada por año</t>
  </si>
  <si>
    <t>A.14.2.2</t>
  </si>
  <si>
    <t xml:space="preserve">Realizar 8 asambleas de juventudes conforme a la Ley 1622/2013, durante el cuatrienio. </t>
  </si>
  <si>
    <t xml:space="preserve">No. de asambleas realizadas </t>
  </si>
  <si>
    <t>A.14.2.3</t>
  </si>
  <si>
    <t xml:space="preserve">Realizar 4 reuniones de concertación entre el consejo de juventudes y el gabinete municipal, durante el cuatrienio. </t>
  </si>
  <si>
    <t>No. de reuniones de concertación realizadas.</t>
  </si>
  <si>
    <t>A.14.2.4</t>
  </si>
  <si>
    <t xml:space="preserve">Realizar 4 festivales "Arte más conciencia por la dignidad y la paz", durante el cuatrienio. </t>
  </si>
  <si>
    <t>No. de festivales realizados</t>
  </si>
  <si>
    <t>A.14.2.5</t>
  </si>
  <si>
    <t>implementar 1 Política municipal de juventud formulada durante el cuatrienio</t>
  </si>
  <si>
    <t>No. De políticas implementadas</t>
  </si>
  <si>
    <t>A.14.2.6</t>
  </si>
  <si>
    <t>mantener 1 consejo municipal de juventud elegido, sesionando y gestionando, conforme a la Ley 1622/2013  durante el cuatrienio</t>
  </si>
  <si>
    <t xml:space="preserve">No. de consejos municipales sesionando y gestionando. </t>
  </si>
  <si>
    <t>A.14.2.7</t>
  </si>
  <si>
    <t>Realizar 2 ofertas institucionales a población juvenil, para acceso a programas de desarrollo económico durante el cuatrienio</t>
  </si>
  <si>
    <t>Oferta realizada</t>
  </si>
  <si>
    <t>A.14.2.8</t>
  </si>
  <si>
    <t>Realizar 4 encuentros municipales de juventudes, durante el cuatrienio.</t>
  </si>
  <si>
    <t>No. de encuentros realizados</t>
  </si>
  <si>
    <t>A.14.2.9</t>
  </si>
  <si>
    <t>Jóvenes participando en 15 consejos de política social en el cuatrienio</t>
  </si>
  <si>
    <t>Consejos de Política económica y social</t>
  </si>
  <si>
    <t>A.14.2.10</t>
  </si>
  <si>
    <t xml:space="preserve">Realizar 4 encuentros con personeros estudiantiles, durante el cuatrienio. </t>
  </si>
  <si>
    <t>No. de encuentros con personeros estudiantiles</t>
  </si>
  <si>
    <t xml:space="preserve">PROGRAMA MUJER PLATEÑA LIDER </t>
  </si>
  <si>
    <t xml:space="preserve">MUJER </t>
  </si>
  <si>
    <t>A.14.3</t>
  </si>
  <si>
    <r>
      <t>12% de la población femenina participando de actividades institucionales cada año</t>
    </r>
    <r>
      <rPr>
        <b/>
        <sz val="10"/>
        <color rgb="FF000000"/>
        <rFont val="Arial"/>
        <family val="2"/>
      </rPr>
      <t xml:space="preserve"> </t>
    </r>
  </si>
  <si>
    <t>% de la población femenina participando de actividades institucionales cada año</t>
  </si>
  <si>
    <t>A.14.3.1</t>
  </si>
  <si>
    <t>5. Igualdad de Género</t>
  </si>
  <si>
    <t>Crear e implementar 1 política municipal de equidad de género, durante el cuatrienio, para la mujer líder y emprendedora</t>
  </si>
  <si>
    <t>No. De políticas de equidad creadas</t>
  </si>
  <si>
    <t>A.14.3.2</t>
  </si>
  <si>
    <t>Reaizar 4 ferias de la mujer microempresaria  durante el cuatrienio</t>
  </si>
  <si>
    <t>No. De ferias realizadas</t>
  </si>
  <si>
    <t>A.14.3.3</t>
  </si>
  <si>
    <t>Realizar 1 oferta mediante el programa capital semilla a la mujer Plateña, para acceso a proyectos de desarrollo económico, durante el cuatrienio</t>
  </si>
  <si>
    <t>No. De ofertas realizadas</t>
  </si>
  <si>
    <t>A.14.3.4</t>
  </si>
  <si>
    <t>Apoyo a un (1) programa para potencializar a la mujer plateña, como generadora de fuente de ingresos a partir de proyectos sociales y productivos.</t>
  </si>
  <si>
    <t>A.14.3.5</t>
  </si>
  <si>
    <t>Implementar 1 campaña cada año para prevenir violencia contra la mujer</t>
  </si>
  <si>
    <t>Campaña implementada</t>
  </si>
  <si>
    <t>A.14.3.6</t>
  </si>
  <si>
    <t>Realizar 2 sesiones del Consejo Comunitario de Mujeres por año</t>
  </si>
  <si>
    <t>No. De sesiones del consejo Comunitario de mujeres por año</t>
  </si>
  <si>
    <t>A.14.3.7</t>
  </si>
  <si>
    <t>Establecer 1 ruta de atención para el restablecimiento del derecho de las menores embarazadas y divulgarla</t>
  </si>
  <si>
    <t>No. De Ruta de atención establecida por año</t>
  </si>
  <si>
    <t xml:space="preserve"> PROGRAMA AÑOS DORADOS DIGNOS </t>
  </si>
  <si>
    <t xml:space="preserve">ADULTO MAYOR </t>
  </si>
  <si>
    <t>A.14.4</t>
  </si>
  <si>
    <r>
      <t>35% de la población de adultos mayores atendidos con programas institucionales</t>
    </r>
    <r>
      <rPr>
        <b/>
        <sz val="10"/>
        <color rgb="FF000000"/>
        <rFont val="Arial"/>
        <family val="2"/>
      </rPr>
      <t xml:space="preserve"> </t>
    </r>
  </si>
  <si>
    <t xml:space="preserve">% de población de adultos mayores participando de actividades institucionales </t>
  </si>
  <si>
    <t>A.14.4.1</t>
  </si>
  <si>
    <t xml:space="preserve">Realizar 8 jornadas de sensibilización para comunicar los derechos de las personas mayores, dirigidas a servidores públicos, instituciones educativas y comunidad en general del municipio, en el cuatrienio. </t>
  </si>
  <si>
    <t xml:space="preserve">No. de jornadas realizadas </t>
  </si>
  <si>
    <t>A.14.4.2</t>
  </si>
  <si>
    <t xml:space="preserve">Realizar 1 Mejoramiento de la infraestructura y dotación de la Casa Centro día durante cuatrienio.  </t>
  </si>
  <si>
    <t>No. de mejoramientos realizados</t>
  </si>
  <si>
    <t>A.14.4.3</t>
  </si>
  <si>
    <r>
      <t>Realizar 2 jornadas de caracterización de adultos mayores por fuera del sistema de salud, para lograr su inclusión durante el cuatrienio.</t>
    </r>
    <r>
      <rPr>
        <sz val="10"/>
        <color rgb="FFFF0000"/>
        <rFont val="Arial"/>
        <family val="2"/>
      </rPr>
      <t xml:space="preserve"> </t>
    </r>
  </si>
  <si>
    <t xml:space="preserve">No. de jornadas de caracterización realizadas </t>
  </si>
  <si>
    <t>A.14.4.4</t>
  </si>
  <si>
    <t xml:space="preserve">Realizar 4 actividades durante el cuatrienio, dirigidas a adultos mayores para lograr mejorar condiciones alimenticias. </t>
  </si>
  <si>
    <t xml:space="preserve">No. de actividades realizadas </t>
  </si>
  <si>
    <t>A.14.4.5</t>
  </si>
  <si>
    <t xml:space="preserve">Realizar 4 jornadas al año, articuladas con secretaria de cultura y con deporte, para brindar espacios de recreación y entornos de hábitos saludables para adultos mayores. </t>
  </si>
  <si>
    <t>No. de jornadas realizadas por año</t>
  </si>
  <si>
    <t>A.14.4.6</t>
  </si>
  <si>
    <t>Inscribir 1 proyecto para la construir de centro de atención para el adulto mayor "Villa de la sabiduría" durante el cuatrienio.</t>
  </si>
  <si>
    <t>No. de proyectos inscritos</t>
  </si>
  <si>
    <t>A.14.4.7</t>
  </si>
  <si>
    <t>Implementar 1 programa de manualidades para el adulto mayor, cada año</t>
  </si>
  <si>
    <t>No. de programas implementados por año</t>
  </si>
  <si>
    <t>A.14.4.8</t>
  </si>
  <si>
    <t xml:space="preserve">Realizar 8 celebraciones al adulto mayor, durante el cuatrienio. (día del adulto mayor y navidad) </t>
  </si>
  <si>
    <t xml:space="preserve">No. de celebraciones realizadas </t>
  </si>
  <si>
    <t>A.14.4.9</t>
  </si>
  <si>
    <t>Ejecutar 1 plan de apoyo para al talento humano que desarrolla funciones de atención y apoyo al adulto mayor, cada año</t>
  </si>
  <si>
    <t>No. de apoyos realizados por año</t>
  </si>
  <si>
    <t>A.14.4.10</t>
  </si>
  <si>
    <t>Realizar 1 apoyo al hogar de paso del adulto mayor del municipio de la Plata Huila, cada año</t>
  </si>
  <si>
    <t xml:space="preserve">PROGRAMA LA PLATA, MUNICIPIO DIVERSO </t>
  </si>
  <si>
    <t xml:space="preserve">INDIGENAS </t>
  </si>
  <si>
    <t>A.14.5</t>
  </si>
  <si>
    <r>
      <t>Aumentar la inversión per cápita en el sector de Grupos Vulnerables</t>
    </r>
    <r>
      <rPr>
        <b/>
        <sz val="10"/>
        <color rgb="FF000000"/>
        <rFont val="Arial"/>
        <family val="2"/>
      </rPr>
      <t xml:space="preserve"> </t>
    </r>
    <r>
      <rPr>
        <sz val="10"/>
        <color rgb="FF000000"/>
        <rFont val="Arial"/>
        <family val="2"/>
      </rPr>
      <t>en 16% durante el cuatrienio</t>
    </r>
  </si>
  <si>
    <t>A.14.5.1</t>
  </si>
  <si>
    <t>Mantener actualizada 1 caracterización de la población indígena cada año</t>
  </si>
  <si>
    <t>No. De Caracterización realizada por año</t>
  </si>
  <si>
    <t>A.14.5.2</t>
  </si>
  <si>
    <t>Realizar 2 Capacitaciones dirigidas a funcionarios municipales sobre promoción de derechos étnicos durante el cuatrienio</t>
  </si>
  <si>
    <t>A.14.5.3</t>
  </si>
  <si>
    <t>Adelantar 2 procesos en el cuatrienio  para que la población Étnica obtengan recursos  para el fortalecimiento de los sectores</t>
  </si>
  <si>
    <t>No. De procesos ejecutados</t>
  </si>
  <si>
    <t>A.14.5.4</t>
  </si>
  <si>
    <t>implementar 2 estrategias durante el cuatrienio para fortalecer costumbres y vivencias de la población indígena y afro</t>
  </si>
  <si>
    <t>No. De Estrategia Implementada</t>
  </si>
  <si>
    <t>A.14.5.5</t>
  </si>
  <si>
    <t>Realizar 2 planes de capacitación con enfoque diferencial étnico para cualificación del recurso humano durante el cuatrienio</t>
  </si>
  <si>
    <t>No. De planes de Capacitación realizadas</t>
  </si>
  <si>
    <t>A.14.5.6</t>
  </si>
  <si>
    <t>Realizar 1 actividad anual de enriquecimiento de la cultura ancestral</t>
  </si>
  <si>
    <t>No. De Actividad realizada por año</t>
  </si>
  <si>
    <t>A.14.5.7</t>
  </si>
  <si>
    <t>Realizar 2 proyectos de infraestructura durante el cuatrienio con destino a la población indígena</t>
  </si>
  <si>
    <t>No. De proyectos realizados</t>
  </si>
  <si>
    <t>A.14.5.8</t>
  </si>
  <si>
    <t>Realizar 1 foro educativo indígena durante el cuatrienio</t>
  </si>
  <si>
    <t>No. De foros realizados</t>
  </si>
  <si>
    <t>LGTBI</t>
  </si>
  <si>
    <t>A.14.5.9</t>
  </si>
  <si>
    <t>Realizar 4 capacitaciones durante el cuatrienio para mejorar cultura sobre derechos de población LGTBI</t>
  </si>
  <si>
    <t>A.14.5.10</t>
  </si>
  <si>
    <t>Realizar 4 Capacitaciones dirigidas a funcionarios municipales sobre promoción de derechos de población LGTBI durante el cuatrienio</t>
  </si>
  <si>
    <t>A.14.5.11</t>
  </si>
  <si>
    <t>Establecer 1 protocolo de atención a población LGTBI y con divulgación durante el cuatrienio</t>
  </si>
  <si>
    <t>No. De Protocolos de atención establecidos</t>
  </si>
  <si>
    <t>A.14.5.12</t>
  </si>
  <si>
    <t>Realizar 1 oferta mediante el programa capital semilla a población LGTBI, para acceso a programas de desarrollo económico durante el cuatrienio</t>
  </si>
  <si>
    <t xml:space="preserve">No. de ofertas realizadas </t>
  </si>
  <si>
    <t>A.14.5.13</t>
  </si>
  <si>
    <t>Realizar 8 socializaciones en Articulación con la secretaria de salud sobre la realidades de la población LGTBI    durante  el cuatrienio</t>
  </si>
  <si>
    <t>No.  De socializaciones realizadas</t>
  </si>
  <si>
    <t xml:space="preserve">DISCAPACIDAD </t>
  </si>
  <si>
    <t>A.14.5.14</t>
  </si>
  <si>
    <t xml:space="preserve">Realizar 4 seguimientos y evaluación de la política pública para personas con discapacidad, durante el cuatrienio </t>
  </si>
  <si>
    <t xml:space="preserve">No. de seguimientos realizados </t>
  </si>
  <si>
    <t>A.14.5.15</t>
  </si>
  <si>
    <t>Desarrollar 2 campañas durante el cuatrienio dirigido a promoción de la participación de la población con discapacidad en oferta institucional con enfoque diferencial</t>
  </si>
  <si>
    <t xml:space="preserve">No. de campañas realizadas </t>
  </si>
  <si>
    <t>A.14.5.16</t>
  </si>
  <si>
    <t>Realizar 1 proyecto para ayudas técnicas durante el cuatrienio para fortalecer la atención a la población en situación de discapacidad</t>
  </si>
  <si>
    <t xml:space="preserve">No. de proyectos realizados </t>
  </si>
  <si>
    <t>A.14.5.17</t>
  </si>
  <si>
    <t xml:space="preserve">Realizar 4 celebraciones del día de la discapacidad, durante el cuatrienio. </t>
  </si>
  <si>
    <t>A.14.5.18</t>
  </si>
  <si>
    <t xml:space="preserve">Realizar 1 estudio para la reubicación de la unidad de atención integral UAI, durante el cuatrienio. </t>
  </si>
  <si>
    <t xml:space="preserve">No. de estudios realizados </t>
  </si>
  <si>
    <t>A.14.5.19</t>
  </si>
  <si>
    <t>Realizar 1 caracterización de la población con discapacidad, durante el cuatrienio.</t>
  </si>
  <si>
    <t xml:space="preserve">No. de caracterizaciones realizadas </t>
  </si>
  <si>
    <t>A.14.5.20</t>
  </si>
  <si>
    <t>Realizar 2 ofertas institucionales  a población con discapacidad, para acceso a programas de desarrollo económico durante el cuatrienio</t>
  </si>
  <si>
    <t>AFROS Y OTROS</t>
  </si>
  <si>
    <t>A.14.5.21</t>
  </si>
  <si>
    <t>Realizar 8 capacitaciones en el cuatrienio para la promoción de derechos de los afro descendiente</t>
  </si>
  <si>
    <t>No. De Capacitaciones realizadas</t>
  </si>
  <si>
    <t>A.14.5.22</t>
  </si>
  <si>
    <t>Implementar 1 proyecto de plan integral afro, con base en el decenio internacional, durante el cuatrienio</t>
  </si>
  <si>
    <t>No. De Planes Integrales afro implementados</t>
  </si>
  <si>
    <t>A.14.5.23</t>
  </si>
  <si>
    <t>Fortalecer 1 escuela artística con enfoque diferencial afro  durante el cuatrienio.</t>
  </si>
  <si>
    <t>No. De escuelas artísticas fortalecidas</t>
  </si>
  <si>
    <t>A.14.5.24</t>
  </si>
  <si>
    <t>Crear 1 política municipal para la población afro, durante el cuatrienio</t>
  </si>
  <si>
    <t>No. De Políticas municipales creadas</t>
  </si>
  <si>
    <t>A.14.5.25</t>
  </si>
  <si>
    <t>Implementar 1 programa de apoyo a otros grupos de población vulnerable, cada año</t>
  </si>
  <si>
    <t>No. de programas de aopoyo implementados por año</t>
  </si>
  <si>
    <t>A.14.5.26</t>
  </si>
  <si>
    <t>1. Fin de la Pobreza</t>
  </si>
  <si>
    <t>Implementar 1 programa  para la superación de la pobreza  extrema en el marco de la red unidos y más familias en acción, entre otros, cada año</t>
  </si>
  <si>
    <t>No. de programas implementados</t>
  </si>
  <si>
    <t xml:space="preserve">PROGRAMA EL CAMBIO SE HACE CON INCLUSION (VÍCTIMAS) </t>
  </si>
  <si>
    <t>VÍCTIMAS</t>
  </si>
  <si>
    <t>A.14.6</t>
  </si>
  <si>
    <r>
      <t>1 programa de atención integral a la población víctima implementado cada año, para lograr goce efectivo de derechos</t>
    </r>
    <r>
      <rPr>
        <b/>
        <sz val="10"/>
        <color rgb="FF000000"/>
        <rFont val="Arial"/>
        <family val="2"/>
      </rPr>
      <t xml:space="preserve"> </t>
    </r>
  </si>
  <si>
    <t xml:space="preserve">No. De programas implementados </t>
  </si>
  <si>
    <t>A.14.6.1</t>
  </si>
  <si>
    <t>Realizar 16  plenarias de mesa de trabajo para garantizar la participación de la construcción política de victimas durante el cuatrienio</t>
  </si>
  <si>
    <t>No. De mesa de trabajo realizadas</t>
  </si>
  <si>
    <t>A.14.6.2</t>
  </si>
  <si>
    <t>1 estrategia implementada cada año mediante los enlaces municipales, para atención integral de la población víctima</t>
  </si>
  <si>
    <t>No. De estrategias implementadas por año</t>
  </si>
  <si>
    <t>A.14.6.3</t>
  </si>
  <si>
    <t>Implementar 2 jornadas al año para brindar servicios de salud y vacunación infantil a la población victima</t>
  </si>
  <si>
    <t>No. De Jornadas de vacunación realizadas por año</t>
  </si>
  <si>
    <t>A.14.6.4</t>
  </si>
  <si>
    <t>Participar en 2 consejos educativos en el año para proteger y fiscalizar que se brinden los servicios educativos a las víctimas</t>
  </si>
  <si>
    <t>No. de consejo educativos realizados por año</t>
  </si>
  <si>
    <t>A.14.6.5</t>
  </si>
  <si>
    <t>Realizar 2 campañas de  sensibilización y fortalecimiento a las iniciativas del gobierno nacional con las víctimas del conflicto donde se busque el retorno y la reunificación familiar durante el cuatrienio</t>
  </si>
  <si>
    <t>No. De Campañas realizadas</t>
  </si>
  <si>
    <t>A.14.6.6</t>
  </si>
  <si>
    <t xml:space="preserve">Realizar 3 jornadas de articulación institucional  entre la Registraduría, ejército nacional y funcionarios del SISBEN para lograr identidad de población víctima del conflicto armado, durante el cuatrienio. </t>
  </si>
  <si>
    <t>No. De Jornadas de oferta realizadas</t>
  </si>
  <si>
    <t>A.14.6.7</t>
  </si>
  <si>
    <t>Desarrollar 3 proyectos productivos articulados con el programa  capital semilla para generar unidades productivas y mejorar ingresos de población víctima del conflicto armado,  durante el cuatrienio</t>
  </si>
  <si>
    <t>No. De Proyectos productivos articulados</t>
  </si>
  <si>
    <t>A.14.6.8</t>
  </si>
  <si>
    <t>Apoyar 3 unidades de negocio establecidas por las personas en proceso de reintegración, a través del beneficio de inserción económica brindado por la Agencia Colombiana Para La Reintegración, durante el cuatrienio</t>
  </si>
  <si>
    <t>No. De Unidades de negocio apoyadas</t>
  </si>
  <si>
    <t>A.14.6.9</t>
  </si>
  <si>
    <t xml:space="preserve">Realizar 1 oferta institucional a la población víctima del conflicto armado  para acceso a programas de vivienda nueva o mejoramiento de las mismas, durante el cuatrienio. </t>
  </si>
  <si>
    <t>A.14.6.10</t>
  </si>
  <si>
    <t xml:space="preserve">Realizar 4 conmemoraciones del día de las víctimas, durante el cuatrienio. </t>
  </si>
  <si>
    <t xml:space="preserve">No. De Conmemoraciones realizadas </t>
  </si>
  <si>
    <t>A.14.6.11</t>
  </si>
  <si>
    <t>Realizar cada año 1 apoyo a las diferentes instituciones del gobierno departamental y nacional donde se coadyuve en los procesos de reparación integral de las victimas del conflicto armado.</t>
  </si>
  <si>
    <t>No. De Jornadas Realizadas por año</t>
  </si>
  <si>
    <t>A.14.6.12</t>
  </si>
  <si>
    <t>Realizar 1 plan de apoyo a las mujeres victimas residentes en el municipio, cada año</t>
  </si>
  <si>
    <t>No. de apoyos otorgados por año</t>
  </si>
  <si>
    <t>A.14.6.13</t>
  </si>
  <si>
    <t xml:space="preserve">Realizar 1 caracterización de la población víctima del conflicto armado, durante el cuatrienio. </t>
  </si>
  <si>
    <t>A.14.6.14</t>
  </si>
  <si>
    <t xml:space="preserve">Ejecutar 1 plan de auxilio funerario a la población víctima del conflicto armado cada año </t>
  </si>
  <si>
    <t>No. de planes implementados por año</t>
  </si>
  <si>
    <t>A.14.6.15</t>
  </si>
  <si>
    <t>Ejecutar 1 programa de atención en ayuda humanitaria de inmediatez a la población víctima del conflicto armado cada año</t>
  </si>
  <si>
    <t>No. de programas implementados  por año</t>
  </si>
  <si>
    <t>A.14.6.16</t>
  </si>
  <si>
    <t xml:space="preserve">Realizar 4 jornadas de sensibilización para comunicar los derechos de la población víctima del conflicto armado, dirigidas a servidores públicos, instituciones educativas y comunidad en general del municipio, en el cuatrienio. </t>
  </si>
  <si>
    <t>No. de jornadas de sensibilización realizadas</t>
  </si>
  <si>
    <t>A.14.6.17</t>
  </si>
  <si>
    <t>Apoyar 1 proceso de reintegración comunitaria (MAMBRÚ) en el municipio de la Plata, liderado por la Agencia Colombiana Para La Reintegración, durante el cuatrienio</t>
  </si>
  <si>
    <t>No. de apoyos a procesos de reintegración realizados</t>
  </si>
  <si>
    <t>DIMENSIÓN ECONOMICA</t>
  </si>
  <si>
    <t>Promoción del desarrollo</t>
  </si>
  <si>
    <t xml:space="preserve"> PROGRAMA EL CAMBIO SE HACE CON EMPLEO </t>
  </si>
  <si>
    <t>A.13</t>
  </si>
  <si>
    <t>Desarrollo Económico/Promoción del desarrollo</t>
  </si>
  <si>
    <t>A.13.1</t>
  </si>
  <si>
    <r>
      <t>Aumentar en 15% la inversión per cápita municipal  en el sector del desarrollo económico</t>
    </r>
    <r>
      <rPr>
        <b/>
        <sz val="10"/>
        <color rgb="FF000000"/>
        <rFont val="Arial"/>
        <family val="2"/>
      </rPr>
      <t xml:space="preserve"> </t>
    </r>
  </si>
  <si>
    <t xml:space="preserve">Inversión per capital municipal en el sector de desarrollo económico por año (miles de pesos) </t>
  </si>
  <si>
    <t>A.13.1.1</t>
  </si>
  <si>
    <t>8. Trabajo decente y crecimiento económico</t>
  </si>
  <si>
    <t>Implementar 1 Plan local de productividad y competitividad durante el cuatrienio</t>
  </si>
  <si>
    <t>No. De Planes implementados</t>
  </si>
  <si>
    <t>A.13.1.2</t>
  </si>
  <si>
    <t xml:space="preserve">Lograr 1 proyecto de acuerdo aprobado para otorgar incentivos tributarios para la instalación de nuevas empresas durante el cuatrienio </t>
  </si>
  <si>
    <t xml:space="preserve">No. De Proyecto Logrados </t>
  </si>
  <si>
    <t>A.13.1.3</t>
  </si>
  <si>
    <t>Implementar 1 estrategia para el manejo de vendedores ambulantes durante  del cuatrienio</t>
  </si>
  <si>
    <t xml:space="preserve">No. De Estrategias implementada </t>
  </si>
  <si>
    <t>A.13.1.4</t>
  </si>
  <si>
    <t>Realizar 2 convenios interadministrativos dirigidos a disminuir la informalidad durante el cuatrienio</t>
  </si>
  <si>
    <t>No. De convenios interadministrativos suscritos</t>
  </si>
  <si>
    <t>A.13.1.5</t>
  </si>
  <si>
    <t>Apoyar 20 empresas  para su formalización durante el cuatrienio</t>
  </si>
  <si>
    <t>No. De empresas apoyadas</t>
  </si>
  <si>
    <t>A.13.1.6</t>
  </si>
  <si>
    <t>Capacitar 2.000 jóvenes  para desarrollar actividades laborales durante el cuatrienio</t>
  </si>
  <si>
    <t>No. De jóvenes capacitados</t>
  </si>
  <si>
    <t>A.13.1.7</t>
  </si>
  <si>
    <t>Suscribir 4 convenios para apoyo a MIPYMES durante el cuatrienio</t>
  </si>
  <si>
    <t>No. De convenios  suscritos</t>
  </si>
  <si>
    <t>A.13.1.8</t>
  </si>
  <si>
    <t>Realizar 4 ruedas de negocio para mejorar comercialización de producción local, durante el cuatrienio</t>
  </si>
  <si>
    <t>No. De ruedas de negocios realizadas</t>
  </si>
  <si>
    <t>A.13.1.9</t>
  </si>
  <si>
    <t>Realizar 3 eventos cada año para promoción y fomento empresarial</t>
  </si>
  <si>
    <t>No. De eventos realizados por año</t>
  </si>
  <si>
    <t>A.13.1.10</t>
  </si>
  <si>
    <t>Implementar 1 programa de formación para el empleo cada año</t>
  </si>
  <si>
    <t>No. De Programa implementado por año</t>
  </si>
  <si>
    <t>A.13.1.11</t>
  </si>
  <si>
    <t>Implementar 1 programa para generación de empleo cada año</t>
  </si>
  <si>
    <t>Programa implementado por año</t>
  </si>
  <si>
    <t xml:space="preserve">PROGRAMA TURISMO RESPONSABLE </t>
  </si>
  <si>
    <t>A.13.2</t>
  </si>
  <si>
    <t>Aumentar en 10% el número de visitas turísticas al municipio por año</t>
  </si>
  <si>
    <t>No. De visitantes turísticos por año</t>
  </si>
  <si>
    <t>A.13.2.1</t>
  </si>
  <si>
    <t>Crear 1 plan estratégico de  turismo para el Municipio de la Plata, durante el cuatrienio</t>
  </si>
  <si>
    <t>No. De planes estratégicos creados</t>
  </si>
  <si>
    <t>A.13.2.2</t>
  </si>
  <si>
    <t>Realizar 8 capacitaciones durante el cuatrienio, en temas de interés para el fortalecimiento del sector del turismo</t>
  </si>
  <si>
    <t>A.13.2.3</t>
  </si>
  <si>
    <t>Implementar 2 estrategias para ofertar líneas de crédito blando con bajas tasas de interés dirigidas al mejoramiento de la planta turística, durante el cuatrienio.</t>
  </si>
  <si>
    <t>No. de estrategias implementadas</t>
  </si>
  <si>
    <t>A.13.2.4</t>
  </si>
  <si>
    <t>Apoyar  4 proyectos de desarrollo económico que permitan el crecimiento acelerado de las empresas turísticas.</t>
  </si>
  <si>
    <t>No. De Proyectos apoyados</t>
  </si>
  <si>
    <t>A.13.2.5</t>
  </si>
  <si>
    <t>Implementar 4 proyectos para identificación de los atractivos que requieren intervención y Ejecutar obras para la recuperación y adecuación que permita la atención de público.</t>
  </si>
  <si>
    <t>No. De Proyectos implementados</t>
  </si>
  <si>
    <t>A.13.2.6</t>
  </si>
  <si>
    <t>Realizar 1 dotación en señalética turística que permita la fácil ubicación de los atractivos turísticos, durante el cuatrienio</t>
  </si>
  <si>
    <t>No. De Dotaciones  entregadas</t>
  </si>
  <si>
    <t>A.13.2.7</t>
  </si>
  <si>
    <t>Apoyar 2 proyectos de desarrollo turístico con capital semilla a nuevas empresas que por su nivel de innovación sean merecedoras de tal beneficio, durante el cuatrienio</t>
  </si>
  <si>
    <t>No. Proyectos apoyados</t>
  </si>
  <si>
    <t>A.13.2.8</t>
  </si>
  <si>
    <t>Formular 2 proyectos durante el cuatrienio para buscar apoyo económico que permitan la creación de nuevas empresas.</t>
  </si>
  <si>
    <t>No. Proyectos formulados</t>
  </si>
  <si>
    <t>A.13.2.9</t>
  </si>
  <si>
    <t>Crear 1 documento de cátedra plateña durante el cuatrienio, que permita a los pobladores conocer sobre los recursos, atractivos y actividades turísticas y culturales del Municipio.</t>
  </si>
  <si>
    <t>No. Documento creado</t>
  </si>
  <si>
    <t>A.13.2.10</t>
  </si>
  <si>
    <t>Realizar 4 mingas comunitarias destinadas a la protección y conservación del patrimonio turístico del municipio</t>
  </si>
  <si>
    <t>No. de mingas realizadas</t>
  </si>
  <si>
    <t>A.13.2.11</t>
  </si>
  <si>
    <t>Capacitar a 60  actores del sector turístico, en  estrategias de marketing relacional, social marketing y branding, durante el cuatrienio</t>
  </si>
  <si>
    <t>No. de  actores capacitados</t>
  </si>
  <si>
    <t>A.13.2.12</t>
  </si>
  <si>
    <t>Realizar 1 Diseño de formas tradicionales de promoción, tales como revistas, página WEB, participación en ferias y eventos, ruedas de negocios y misiones o fam trips, entre otros</t>
  </si>
  <si>
    <t>No. De Diseño de promoción creado</t>
  </si>
  <si>
    <t>CIENCIA Y TECNOLOGIA PARA EL CAMBIO</t>
  </si>
  <si>
    <t>A.13.3</t>
  </si>
  <si>
    <t>Aumentar en 4 los proyectos de ciencia tecnolegia e
imnovacion durante el cuatrienio.</t>
  </si>
  <si>
    <t>N° de proyectos de ciencia tecnolegia e imnovacion durante
el cuatrienioa apoyados y/o gestinados.</t>
  </si>
  <si>
    <t>A.13.3.1</t>
  </si>
  <si>
    <t>9. Industria, innovación e infraestructura</t>
  </si>
  <si>
    <t>Apoyar para la creación de un centro de
investigación o desarrollo tecnológico</t>
  </si>
  <si>
    <t>A.13.3.2</t>
  </si>
  <si>
    <t>Apoyo para la creación de grupos de investigación categorizados por
Colciencias.</t>
  </si>
  <si>
    <t>No. De apoyos gestionados en el cuatrienio.</t>
  </si>
  <si>
    <t>A.13.3.3</t>
  </si>
  <si>
    <t>Implementar 1 punto vive digital para mejorar acceso a competitividad local</t>
  </si>
  <si>
    <t>Punto vive digital implementado</t>
  </si>
  <si>
    <t>A.13.3.4</t>
  </si>
  <si>
    <t>Formular 4 proyectos de ciencia, tecnología e imnovacion durante el
cuatrienio, ante entidades del orden departamental, nacional e internacional</t>
  </si>
  <si>
    <t>No. De proyectos apoyados y/o gestionados en el cuatrenio.</t>
  </si>
  <si>
    <t>Agropecuario</t>
  </si>
  <si>
    <t xml:space="preserve">PROGRAMA UNA PAZ SIN FRONTERAS, AGRO PRODUCTIVO CON CAMBIO Y PROGRESO. </t>
  </si>
  <si>
    <t>A.8</t>
  </si>
  <si>
    <t>A.8.1</t>
  </si>
  <si>
    <t>Aumentar la inversión territorial per cápita sector agropecuario el cuatrienio en 10%</t>
  </si>
  <si>
    <t xml:space="preserve">Inversión Per cápita sector agropecuario por año  en pesos </t>
  </si>
  <si>
    <t>A.8.1.1</t>
  </si>
  <si>
    <t>12. Producción y consumo responsables</t>
  </si>
  <si>
    <t>Unidad de Desarrollo Rural</t>
  </si>
  <si>
    <t>NORMA ISABEL PUYO</t>
  </si>
  <si>
    <t>Adecuar una planta de sacrificio con el objetivo de cumplir las políticas públicas nacionales, durante el cuatrienio</t>
  </si>
  <si>
    <t>No. De planta de sacrificio adecuadas</t>
  </si>
  <si>
    <t>A.8.1.2</t>
  </si>
  <si>
    <t>Presentar 14 proyectos productivos por grupos asociativos de mujer rural que permitan incorporarla a la equidad de género, con acompañamiento técnico y social, durante el cuatrienio</t>
  </si>
  <si>
    <t>No. De proyectos presentados</t>
  </si>
  <si>
    <t>A.8.1.3</t>
  </si>
  <si>
    <t>Apoyar 3 proyectos de comercialización de productos agropecuarios con acompañamiento técnico y social durante el cuatrienio.</t>
  </si>
  <si>
    <t xml:space="preserve">No. De proyectos apoyados </t>
  </si>
  <si>
    <t>A.8.1.4</t>
  </si>
  <si>
    <t>Realizar 4 campañas donde permita la sanidad agropecuaria e inocuidad de los alimentos en el Municipio durante el cuatrienio</t>
  </si>
  <si>
    <t>No. De campañas realizadas</t>
  </si>
  <si>
    <t>A.8.1.5</t>
  </si>
  <si>
    <t xml:space="preserve">Mantener la frontera agrícola a 100 has de cultivos estacionarios y no estacionarios, durante el cuatrienio </t>
  </si>
  <si>
    <t>No. De hectáreas diversificadas con cultivos estacionarios y no estacionarios</t>
  </si>
  <si>
    <t>A.8.1.6</t>
  </si>
  <si>
    <t xml:space="preserve">Mantener 1 convenio suscritos con el comité de cafeteros para el mejoramiento del sector cada año, durante el cuatrienio </t>
  </si>
  <si>
    <t>A.8.1.7</t>
  </si>
  <si>
    <t>Otorgar 25 apoyos   a  las asociaciones o Empresarios del Campo del municipio de la Plata, durante el cuatrienio.</t>
  </si>
  <si>
    <t>A.8.1.8</t>
  </si>
  <si>
    <t>Brindar a 800 productores agropecuarios asistencia técnica para mejorar producción agropecuaria durante el cuatrienio</t>
  </si>
  <si>
    <t>No. De productores agropecuarios con asistencia técnica</t>
  </si>
  <si>
    <t>A.8.1.9</t>
  </si>
  <si>
    <t>Realizar acompañamiento técnico y social a 2.000  familias vulnerables   en la implementación de agricultura rural durante el cuatrienio.</t>
  </si>
  <si>
    <t>No. De familias con acompañamiento técnico</t>
  </si>
  <si>
    <t>A.8.1.10</t>
  </si>
  <si>
    <t>Realizar acompañamiento técnico y social a 1.000  familias en la implementación de agricultura en la zona urbana durante el cuatrienio.</t>
  </si>
  <si>
    <t>No. De familias beneficiadas</t>
  </si>
  <si>
    <t>A.8.1.11</t>
  </si>
  <si>
    <t>Realizar 6 actividades cada año, para fortalecimiento de mercados campesinos "María Helena Cortes"</t>
  </si>
  <si>
    <t>No. De actividades realizadas por año</t>
  </si>
  <si>
    <t>A.8.1.12</t>
  </si>
  <si>
    <t>Realizar 10 capacitaciones en busca del fortalecimiento en la agricultura, cada año</t>
  </si>
  <si>
    <t>No. De capacitaciones realizadas por año</t>
  </si>
  <si>
    <t>A.8.1.13</t>
  </si>
  <si>
    <t>Asegurar 100 has cultivadas con frutales y cultivos permanentes con garantía de sostenibilidad técnica y comercial en el municipio de La Plata, durante el cuatrienio</t>
  </si>
  <si>
    <t>No. De hectáreas cultivadas</t>
  </si>
  <si>
    <t>A.8.1.14</t>
  </si>
  <si>
    <t xml:space="preserve">Capacitar 200 grupos productores de cafés  en compañía con Sena y cámara de comercio, con objetivo de garantizar su calidad, durante el cuatrienio </t>
  </si>
  <si>
    <t>No. De grupos capacitados</t>
  </si>
  <si>
    <t>A.8.1.15</t>
  </si>
  <si>
    <t>Realizar 2 certámenes anuales  feriales de apoyo al desarrollo agropecuario</t>
  </si>
  <si>
    <t>No. De certámenes realizados por año</t>
  </si>
  <si>
    <t>A.8.1.16</t>
  </si>
  <si>
    <t>Adecuar 2 predios para mejorar producción agropecuaria</t>
  </si>
  <si>
    <t>No. De predios adecuados</t>
  </si>
  <si>
    <t>A.8.1.17</t>
  </si>
  <si>
    <t>Apoyar 1 proyecto para implementar la infraestructura de secado y beneficio de café, durante cuatrienio</t>
  </si>
  <si>
    <t>No. De proyectos elaborados</t>
  </si>
  <si>
    <t>A.8.1.18</t>
  </si>
  <si>
    <t xml:space="preserve">Realizar 3 apoyos para alianzas productivas. Para el sector agroindustrial </t>
  </si>
  <si>
    <t>No. De alianzas productivas apoyadas</t>
  </si>
  <si>
    <t>A.8.1.19</t>
  </si>
  <si>
    <t>Realizar 4 jornadas, para la divulgación de oferta institucional para la  financiación en proyectos productivos.</t>
  </si>
  <si>
    <t>No. De jornadas realizadas</t>
  </si>
  <si>
    <t>A.8.1.20</t>
  </si>
  <si>
    <t>Apoyar la construcción de 1 instalación para el fortalecimiento de los moreros de Santa Martha, en el cuatrienio</t>
  </si>
  <si>
    <t>No. De instalaciones apoyadas</t>
  </si>
  <si>
    <t>A.8.1.21</t>
  </si>
  <si>
    <t>Apoyar la construcción de 1 centro de acopio agrícola en el sector urbano, durante el cuatrienio</t>
  </si>
  <si>
    <t>No. De centros de acopio construidos</t>
  </si>
  <si>
    <t>A.8.1.22</t>
  </si>
  <si>
    <t>Apoyar 2 proyectos para Fincas Demostrativas, durante el cuatrienio</t>
  </si>
  <si>
    <t>No. De proyectos apoyados</t>
  </si>
  <si>
    <t>A.8.1.23</t>
  </si>
  <si>
    <t>Apoyar 1 proyecto para la implantación de una planta pasteurizadora en el municipio durante el cuatrienio</t>
  </si>
  <si>
    <t>A.8.1.24</t>
  </si>
  <si>
    <t>2. Hambre cero</t>
  </si>
  <si>
    <t>Apoyar a 600  familias en seguridad alimentaria durante el cuatrienio.</t>
  </si>
  <si>
    <t xml:space="preserve">No. De familias apoyadas </t>
  </si>
  <si>
    <t>2012 -2015</t>
  </si>
  <si>
    <t>A.8.1.25</t>
  </si>
  <si>
    <t>Realizar 100 Mejoramientos genéticos bovinos en el Municipio de La Plata durante el cuatrienio.</t>
  </si>
  <si>
    <t>No. De mejoramientos genéticos realizados.</t>
  </si>
  <si>
    <t>A.8.1.26</t>
  </si>
  <si>
    <t>Instalar 10 secaderos de café tipo invernadero durante el cuatrienio</t>
  </si>
  <si>
    <t xml:space="preserve">No. De Secaderos instalados </t>
  </si>
  <si>
    <t>A.8.1.27</t>
  </si>
  <si>
    <t>Apoyar la Implementación de una (1)  microcentral de beneficio para productores de café en el Municipio durante el cuatrenio.</t>
  </si>
  <si>
    <t>No. De apoyos ofrecidos microcentral implementada</t>
  </si>
  <si>
    <t>A.8.1.28</t>
  </si>
  <si>
    <t>Implementar 1 Proyecto de cofinanciación agropecuario en convenio con entidades financiera durante el cuatrienio</t>
  </si>
  <si>
    <t xml:space="preserve">No. De Proyectos implementados </t>
  </si>
  <si>
    <t>A.8.1.29</t>
  </si>
  <si>
    <t>Realizar 1 Celebración anual del día del campesino y día de las juntas comunales en los  en centros poblados, durante el cuatrienio.</t>
  </si>
  <si>
    <t>A.8.1.30</t>
  </si>
  <si>
    <t>Apoyar la construcción y/o
mejoramiento de 1 distrito
de riego, durante el
cuatrienio</t>
  </si>
  <si>
    <t>No. distrito de riego apoyado
para su construcción y/o
mejoramiento</t>
  </si>
  <si>
    <t>A.8.1.31</t>
  </si>
  <si>
    <t>Apoyar lo construcción de 20 reservorios de agua para mejorar producción agropecuario, durante el cuatrienio</t>
  </si>
  <si>
    <t>No. De reservorios apoyados</t>
  </si>
  <si>
    <t>A.8.1.32</t>
  </si>
  <si>
    <t>Otorgar 30 incentivos de capital semilla para pequeños empresarios rurales, durante el cuatrienio</t>
  </si>
  <si>
    <t xml:space="preserve">No. De incentivos otorgados </t>
  </si>
  <si>
    <t>A.8.1.33</t>
  </si>
  <si>
    <t>Otorgar 40 incentivos de capital semilla para personas  víctimas del conflicto, con acompañamiento técnico y social, durante el cuatrienio</t>
  </si>
  <si>
    <t>Transporte</t>
  </si>
  <si>
    <t>TRANSPORTE</t>
  </si>
  <si>
    <t xml:space="preserve">PROGRAMA BUENAS VIAS PARA UN TEERITORIO COMPETITIVO </t>
  </si>
  <si>
    <t>A.9</t>
  </si>
  <si>
    <t>A.9.1</t>
  </si>
  <si>
    <r>
      <t>Mantener el 98% de transitabilidad de las vías municipales durante el cuatrienio</t>
    </r>
    <r>
      <rPr>
        <b/>
        <sz val="10"/>
        <color rgb="FF000000"/>
        <rFont val="Arial"/>
        <family val="2"/>
      </rPr>
      <t xml:space="preserve"> </t>
    </r>
  </si>
  <si>
    <t xml:space="preserve">% de transitabilidad de las vías municipales </t>
  </si>
  <si>
    <t>A.9.1.1</t>
  </si>
  <si>
    <t xml:space="preserve">Secretaría de Tránsito </t>
  </si>
  <si>
    <t>LUIS ALFREDO GOMEZ CLAVIJO</t>
  </si>
  <si>
    <t>Implementar 1 observatorio de accidentalidad durante el cuatrienio</t>
  </si>
  <si>
    <t>No. Observatorio de accidental implementado</t>
  </si>
  <si>
    <t>A.9.1.2</t>
  </si>
  <si>
    <t>Realizar 4 campañas de sensibilización sobre la importancia de utilizar garajes y así evitar el hurto de los vehículos en el cuatrienio</t>
  </si>
  <si>
    <t>No. Campañas realizadas</t>
  </si>
  <si>
    <t>A.9.1.3</t>
  </si>
  <si>
    <t xml:space="preserve">Implementar 1 estrategia para la ubicación de zonas azules en el municipio de La Plata, en el cuatrienio </t>
  </si>
  <si>
    <t>No. De estrategias implementadas</t>
  </si>
  <si>
    <t>A.9.1.4</t>
  </si>
  <si>
    <t>Implementar cada año 1 programa de optimización tecnológica y de sistema de semaforización de la secretaría de tránsito municipal, durante el cuatrienio</t>
  </si>
  <si>
    <t>A.9.1.5</t>
  </si>
  <si>
    <t>Realizar 3 reuniones anuales con el consejo municipal de transporte</t>
  </si>
  <si>
    <t>No. de reuniones realizadas por año</t>
  </si>
  <si>
    <t>A.9.1.6</t>
  </si>
  <si>
    <t>Crear 1 plan de medios orientados a informar sobre los avances en materia de transporte y movilidad, y promover la seguridad vial cada año</t>
  </si>
  <si>
    <t>No. De Planes creados</t>
  </si>
  <si>
    <t>A.9.1.7</t>
  </si>
  <si>
    <t>Implementar 1 estrategia encaminada a aumentar la matrícula y traspasos de vehículos, la seguridad vial y la eficiencia administrativa en la secretaria de tránsito, durante el cuatrienio</t>
  </si>
  <si>
    <t>No. Estrategias implementadas.</t>
  </si>
  <si>
    <t>A.9.1.8</t>
  </si>
  <si>
    <t>Formulación e implementación de 2 programa de señalización y demarcación vial, durante el cuatrienio</t>
  </si>
  <si>
    <t xml:space="preserve">No. De programas formulados e implementados </t>
  </si>
  <si>
    <t>A.9.1.9</t>
  </si>
  <si>
    <t>Realizar 700 operativos en el sector urbano y rural para el control del cumplimiento de las normas de tránsito en el cuatrienio</t>
  </si>
  <si>
    <t>No. Operativos realizado</t>
  </si>
  <si>
    <t>A.9.1.10</t>
  </si>
  <si>
    <t>Contratar 17 nuevos agentes de tránsito durante el cuatrienio</t>
  </si>
  <si>
    <t>No. de Agentes contratados</t>
  </si>
  <si>
    <t>A.9.1.11</t>
  </si>
  <si>
    <t>Implementar el plan maestro de movilidad y seguridad vial cada año</t>
  </si>
  <si>
    <t xml:space="preserve">Plan maestro de movilidad implementado por año. </t>
  </si>
  <si>
    <t>A.9.1.12</t>
  </si>
  <si>
    <t>Secretaría de Obras Civiles</t>
  </si>
  <si>
    <t>Realizar 4 mantenimientos correctivos o preventivos a maquinaria pesada del municipio durante el cuatrienio.</t>
  </si>
  <si>
    <t xml:space="preserve">No. de mantenimientos realizados </t>
  </si>
  <si>
    <t>A.9.1.13</t>
  </si>
  <si>
    <t>Adquirir un kit de maquinaria para hacer el mantenimiento a la red vial, durante el cuatrienio.</t>
  </si>
  <si>
    <t>No. De Kit de maquinaria adquirido</t>
  </si>
  <si>
    <t>A.9.1.14</t>
  </si>
  <si>
    <t>Formular  de 1 diseño e ingeniería de detalle para la construcción de la vía circunvalar.</t>
  </si>
  <si>
    <t xml:space="preserve">No. De Estudios y diseños formulados </t>
  </si>
  <si>
    <t>A.9.1.15</t>
  </si>
  <si>
    <t>Pavimentar 34.000 m2 de vías en el sector urbano y/o centros poblados, durante el cuatrienio.</t>
  </si>
  <si>
    <t>No. de m2 de vías pavimentados</t>
  </si>
  <si>
    <t>A.9.1.16</t>
  </si>
  <si>
    <t>Construir 1200 ml de andenes en el sector urbano y/o los centros poblados, durante el cuatrienio.</t>
  </si>
  <si>
    <t>No. de metros lineales de andenes construidos</t>
  </si>
  <si>
    <t>A.9.1.17</t>
  </si>
  <si>
    <t>Realizar mantenimiento rutinario de 500 km  de la red vial terciaria rural y centros poblados, durante el cuatrienio.</t>
  </si>
  <si>
    <t>No. de Km de red vial mantenida</t>
  </si>
  <si>
    <t>A.9.1.18</t>
  </si>
  <si>
    <t>Construir  3.000 ml en placa huella</t>
  </si>
  <si>
    <t>No. de Metros lineales de placa huella construida</t>
  </si>
  <si>
    <t>A.9.1.19</t>
  </si>
  <si>
    <t>Realizar la construcción y/o mejoramiento de 120 obras de arte viales,  en el cuatrienio.</t>
  </si>
  <si>
    <t>No. de obras de arte construidas o mejoradas</t>
  </si>
  <si>
    <t>A.9.1.20</t>
  </si>
  <si>
    <t>Realizar la construcción y/o mejoramiento de  4 puentes vehiculares.</t>
  </si>
  <si>
    <t>No. de puentes vehiculares construidos</t>
  </si>
  <si>
    <t>A.9.1.21</t>
  </si>
  <si>
    <t>Realizar apoyo institucional para la Construcción y/o ampliación  de  1.000 ml  de vías terciarias durante el cuatrienio.</t>
  </si>
  <si>
    <t>No. de metros lineales de vías terciarias construidas</t>
  </si>
  <si>
    <t>Servicios Públicos</t>
  </si>
  <si>
    <t xml:space="preserve">PROGRAMA LA PLATA BIEN ILUMINADO </t>
  </si>
  <si>
    <t>A.6</t>
  </si>
  <si>
    <t>A.6.1</t>
  </si>
  <si>
    <r>
      <t>Aumentar  en 1,4% la cobertura de servicio de energía eléctrica zona urbana y rural  durante el cuatrienio</t>
    </r>
    <r>
      <rPr>
        <b/>
        <sz val="10"/>
        <color rgb="FF000000"/>
        <rFont val="Arial"/>
        <family val="2"/>
      </rPr>
      <t xml:space="preserve"> </t>
    </r>
  </si>
  <si>
    <t xml:space="preserve">Cobertura de servicio de energía eléctrica en zona urbana y rural </t>
  </si>
  <si>
    <t>A.6.1.1</t>
  </si>
  <si>
    <t>7. Energía Asequible y no contaminante</t>
  </si>
  <si>
    <t>Aumentar la cobertura  en electrificación  a 300 nuevas familias, durante el cuatrienio.</t>
  </si>
  <si>
    <t>No. De familias beneficiadas con electrificación</t>
  </si>
  <si>
    <t>A.6.2</t>
  </si>
  <si>
    <r>
      <t>Mantener  en 95% la cobertura de servicio de alumbrado público en zona urbana  durante el cuatrienio</t>
    </r>
    <r>
      <rPr>
        <b/>
        <sz val="10"/>
        <color rgb="FF000000"/>
        <rFont val="Arial"/>
        <family val="2"/>
      </rPr>
      <t xml:space="preserve"> </t>
    </r>
  </si>
  <si>
    <t xml:space="preserve">Cobertura de servicio de alumbrado público en zona urbana. </t>
  </si>
  <si>
    <t>A.6.2.1</t>
  </si>
  <si>
    <t>Implementar  1 programa de mantenimiento y/o ampliación anual al sistema de alumbrado público.</t>
  </si>
  <si>
    <t>No. de mantenimientos implementados por año</t>
  </si>
  <si>
    <t xml:space="preserve">PROGRAMA GAS PARA LA COMPETITIVIDAD </t>
  </si>
  <si>
    <t>A.6.3</t>
  </si>
  <si>
    <r>
      <t>Aumentar  en 90% la cobertura de servicio de gas natural en zona urbana y rural  durante el cuatrienio</t>
    </r>
    <r>
      <rPr>
        <b/>
        <sz val="10"/>
        <color rgb="FF000000"/>
        <rFont val="Arial"/>
        <family val="2"/>
      </rPr>
      <t xml:space="preserve"> </t>
    </r>
  </si>
  <si>
    <t xml:space="preserve">Cobertura de servicio de Gas natural en zona urbana y rural </t>
  </si>
  <si>
    <t>A.6.3.1</t>
  </si>
  <si>
    <t>Aumentar la cobertura  en gasoducto a 500 nuevas familias del sector urbano y rural, durante el cuatrienio.</t>
  </si>
  <si>
    <t>No. De familias beneficiadas con Gasificación</t>
  </si>
  <si>
    <t>DIMENSIÓN INSTITUCIONAL</t>
  </si>
  <si>
    <t xml:space="preserve">Equipamiento </t>
  </si>
  <si>
    <t xml:space="preserve">PROGRAMA UN EQUIPAMIENTO IDEAL PARA EL CAMBIO </t>
  </si>
  <si>
    <t>A.15</t>
  </si>
  <si>
    <t>A.15.1</t>
  </si>
  <si>
    <r>
      <t xml:space="preserve">Mantener el 80% del equipamiento municipal con mantenimiento y adecuación durante el cuatrienio </t>
    </r>
    <r>
      <rPr>
        <b/>
        <sz val="10"/>
        <color rgb="FF000000"/>
        <rFont val="Arial"/>
        <family val="2"/>
      </rPr>
      <t xml:space="preserve"> </t>
    </r>
  </si>
  <si>
    <t xml:space="preserve">% de equipamiento municipal con mantenimiento </t>
  </si>
  <si>
    <t>A.15.1.1</t>
  </si>
  <si>
    <t>Departamento Municipal de Planeación</t>
  </si>
  <si>
    <t>MAURICIO MEDINA ANGEL</t>
  </si>
  <si>
    <t>Realizar la construcción, adecuación y/o mantenimiento de 4 instalaciones públicas,  durante el cuatrienio (palacio municipal, casa de la cultura, casa de la justicia, entre otros)</t>
  </si>
  <si>
    <t>No. De instalaciones administrativas construidas, adecuadas o con mantenimiento durante el cuatrienio</t>
  </si>
  <si>
    <t>si</t>
  </si>
  <si>
    <t>A.15.1.2</t>
  </si>
  <si>
    <t xml:space="preserve">Realizar la Construcción, Adecuación y/o mantenimiento  de 3 espacios públicos, zonas verdes, parques, plazoletas o plazas de mercado, durante el cuatrienio </t>
  </si>
  <si>
    <t>No. De espacios públicos con mejoramiento y/o mantenimiento durante el cuatrienio</t>
  </si>
  <si>
    <t>A.15.1.3</t>
  </si>
  <si>
    <t>Inscribir 1 proyecto para gestionar recursos y/o reubicar la plaza de mercado durante el cuatrienio</t>
  </si>
  <si>
    <t>No. Proyectos inscritos</t>
  </si>
  <si>
    <t>A.15.1.4</t>
  </si>
  <si>
    <t>Realizar 1 obra de adecuación, dotación y/o mantenimiento de  las instalaciones del honorable Concejo Municipal, durante el cuatrienio</t>
  </si>
  <si>
    <t>No. De Adecuaciones o mantenimientos realizados</t>
  </si>
  <si>
    <t>A.15.1.5</t>
  </si>
  <si>
    <t>Realizar 1 proyecto inscrito, con apoyo y gestión de recursos para la reubicación de la estación de policía del La Plata, durante el cuatrienio</t>
  </si>
  <si>
    <t>No. De proyectos realizados durante el cuatrienio</t>
  </si>
  <si>
    <t>A.15.1.6</t>
  </si>
  <si>
    <t>Construir 1 centro de integración ciudadana durante el cuatrienio</t>
  </si>
  <si>
    <t>No. De centros de integración construidos</t>
  </si>
  <si>
    <t>A.15.1.7</t>
  </si>
  <si>
    <t>Construir y/o mejorar en coordinación con la ESE San Sebastian, 6 puestos de Salud durante el cuatrienio.</t>
  </si>
  <si>
    <t>No. De centros de salud construidos y/o mejorados</t>
  </si>
  <si>
    <t>A.15.1.8</t>
  </si>
  <si>
    <t>SPG L.D.</t>
  </si>
  <si>
    <t>Adquirir 1 lote y realizar obras de adecuación para alojamiento de maquinaria pesada, durante el cuatrienio, y/o para Obras de Infraestructura.</t>
  </si>
  <si>
    <t xml:space="preserve">No. De lotes adquiridos </t>
  </si>
  <si>
    <t>A.15.1.9</t>
  </si>
  <si>
    <t>Donar un (1) lote para la construcción del tecnoparque del Servicion Nacional de Aprendisaje SENA como apoyo a las investigaciones y prácticas agropecuarias.</t>
  </si>
  <si>
    <t>No. De Lotes donados en el cuatrenio</t>
  </si>
  <si>
    <t>Fortalecimiento institucional</t>
  </si>
  <si>
    <t>FORTALECIMIENTO INSTITUCIONAL</t>
  </si>
  <si>
    <t xml:space="preserve">PROGRAMA LA PLATA CON GOBIERNO EJEMPLAR </t>
  </si>
  <si>
    <t>A.17</t>
  </si>
  <si>
    <t>A.17.1</t>
  </si>
  <si>
    <r>
      <t>Aumentar a 78 la calificación de desempeño integral del municipio.</t>
    </r>
    <r>
      <rPr>
        <b/>
        <sz val="10"/>
        <color rgb="FF000000"/>
        <rFont val="Arial"/>
        <family val="2"/>
      </rPr>
      <t xml:space="preserve"> </t>
    </r>
  </si>
  <si>
    <t>Calificación de desempeño integral municipal</t>
  </si>
  <si>
    <t>A.17.1.1</t>
  </si>
  <si>
    <t>16. Paz, justicia e instituciones sólidas</t>
  </si>
  <si>
    <t>Secretaría de Hacienda</t>
  </si>
  <si>
    <t>Implementar 8 estrategias para aumento de ingresos propios del municipio durante el cuatrienio.</t>
  </si>
  <si>
    <t>A.17.1.2</t>
  </si>
  <si>
    <t>Realizar 2 revisiones  a la deuda pública para mejorar condiciones durante el cuatrienio</t>
  </si>
  <si>
    <t>No. De Revisiones realizadas</t>
  </si>
  <si>
    <t>A.17.1.3</t>
  </si>
  <si>
    <t>Realizar 2 capacitaciones referente a gestión fiscal dirigida a funcionarios durante el cuatrienio</t>
  </si>
  <si>
    <t>A.17.1.4</t>
  </si>
  <si>
    <t>Realizar 3 actividades de fiscalización a gastos e ingresos cada año</t>
  </si>
  <si>
    <t>No. de actividades realizadas por año</t>
  </si>
  <si>
    <t>A.17.1.5</t>
  </si>
  <si>
    <t>Actualizar y aprobar 1 PBOT durante el cuatrienio</t>
  </si>
  <si>
    <t>No. De PBOT actualizado y aprobado</t>
  </si>
  <si>
    <t>A.17.1.6</t>
  </si>
  <si>
    <t>Realizar 1 estudio para la reorganización funcional del municipio durante el cuatrienio (manuales de funciones y procedimientos)</t>
  </si>
  <si>
    <t>No. De Estudio de reorganización administrativa realizados</t>
  </si>
  <si>
    <t>A.17.1.7</t>
  </si>
  <si>
    <t>231701
SGP O.S.</t>
  </si>
  <si>
    <t>Ejecutar 1 programa anual para el fortalecimiento administrativo, técnico, jurídico y/o profesional de la administración municipal.</t>
  </si>
  <si>
    <t>No. De programas ejecutados anualmente</t>
  </si>
  <si>
    <t>A.17.1.8</t>
  </si>
  <si>
    <t>Apoyar 4 veedurías públicas para vigilancia a la contratación pública durante el cuatrienio</t>
  </si>
  <si>
    <t>No. de veedurías apoyadas</t>
  </si>
  <si>
    <t>A.17.1.9</t>
  </si>
  <si>
    <t>100% de la contratación pública, presentada en el SECOP</t>
  </si>
  <si>
    <t>Porcentaje de la contratación   publicada en SECOP</t>
  </si>
  <si>
    <t>A.17.1.10</t>
  </si>
  <si>
    <t>231702
SGP O.S.</t>
  </si>
  <si>
    <t>Implementar 1 plan de capacitación a funcionarios públicos cada año</t>
  </si>
  <si>
    <t>Plan de capacitación implementado por año</t>
  </si>
  <si>
    <t>A.17.1.11</t>
  </si>
  <si>
    <t>231708
SGP O.S.</t>
  </si>
  <si>
    <t>Realizar 1 actualización catastral durante el cuatrienio</t>
  </si>
  <si>
    <t>No. De actualizaciones catastrales realizadas durante el cuatrienio</t>
  </si>
  <si>
    <t>A.17.1.12</t>
  </si>
  <si>
    <t>Realizar 1 seguimientos al año al  Plan de desarrollo</t>
  </si>
  <si>
    <t xml:space="preserve">No. de seguimientos  al PBOT y/o Plan de Desarrollo por año </t>
  </si>
  <si>
    <t>A.17.1.13</t>
  </si>
  <si>
    <t>Lograr un puntaje de gobierno en línea superior a 70 puntos, durante el cuatrienio</t>
  </si>
  <si>
    <t>Porcentaje de avance de Gobierno en Línea</t>
  </si>
  <si>
    <t>A.17.1.14</t>
  </si>
  <si>
    <t xml:space="preserve">JOSE YESID ROA </t>
  </si>
  <si>
    <t>231711
SGP O.S.</t>
  </si>
  <si>
    <t>Implementar 4 programas durante el cuatrienio para mantenimiento, mejoramiento y dotaciones de software y equipos  para el fortalecimiento institucional municipal</t>
  </si>
  <si>
    <t xml:space="preserve">No. Programas implementados </t>
  </si>
  <si>
    <t>A.17.1.15</t>
  </si>
  <si>
    <t>Mantener por encima del 90%  el MECI implementado en la administración municipal durante el cuatrienio</t>
  </si>
  <si>
    <t>Porcentaje de cumplimiento</t>
  </si>
  <si>
    <t>A.17.1.16</t>
  </si>
  <si>
    <t>Mantener 1 certificación en calidad para el municipio de La Plata, durante el cuatrienio</t>
  </si>
  <si>
    <t>No. De Certificación mantenida</t>
  </si>
  <si>
    <t>A.17.1.17</t>
  </si>
  <si>
    <t>Apoyar 2 proyectos durante el cuatrienio encaminados a fortalecer los semilleros de investigación</t>
  </si>
  <si>
    <t>A.17.1.18</t>
  </si>
  <si>
    <t>Implementar 2 Campañas para mejorar el uso de material obsoleto y reciclaje de equipos de cómputo</t>
  </si>
  <si>
    <t>No. De campañas implementadas</t>
  </si>
  <si>
    <t>A.17.1.19</t>
  </si>
  <si>
    <t>Realizar 4 informes de Rendición de cuentas articulado a gobierno en línea para conocimiento de la comunidad</t>
  </si>
  <si>
    <t xml:space="preserve">No, de informes de rendición realizados </t>
  </si>
  <si>
    <t>A.17.1.20</t>
  </si>
  <si>
    <t>Realizar 2 trámites adicionados en gobierno en línea durante el cuatrienio</t>
  </si>
  <si>
    <t>No. De trámites nuevos en gobierno en línea</t>
  </si>
  <si>
    <t>A.17.1.21</t>
  </si>
  <si>
    <t>Ejecutar 4 capacitaciones durante el cuatrienio a funcionarios municipales para mejorar indicadores de Gobierno en línea</t>
  </si>
  <si>
    <t>No. de capacitaciones ejecutadas</t>
  </si>
  <si>
    <t>A.17.1.22</t>
  </si>
  <si>
    <t>Realizar 2 revisiones y/o actualizaciones a la estratificación socioeconómica del municipio, durante el cuatrienio</t>
  </si>
  <si>
    <t>No. De revisiones o actualizaciones realizadas</t>
  </si>
  <si>
    <t>A.17.1.23</t>
  </si>
  <si>
    <t>Ejecutar 1 programa de articulación de Gobierno en Línea y MECI implementado cada año</t>
  </si>
  <si>
    <t>No. De programas Ejecutados</t>
  </si>
  <si>
    <t>A.17.1.24</t>
  </si>
  <si>
    <t>Implementar 1 Estrategia de cero papel  durante el cuatrienio</t>
  </si>
  <si>
    <t>A.17.1.25</t>
  </si>
  <si>
    <t>Adquisición de 2 ambulacias para fortalecer el parque automotor en servicios de salud, durante el cuatrienio</t>
  </si>
  <si>
    <t xml:space="preserve">No. De ambulancias adquiridas  </t>
  </si>
  <si>
    <t>DESARROLLO COMUNITARIO</t>
  </si>
  <si>
    <t>Desarrollo comunitario</t>
  </si>
  <si>
    <t xml:space="preserve">PROGRAMA EL CAMBIO SE HACE CON PARTICIPACION </t>
  </si>
  <si>
    <t>A.16</t>
  </si>
  <si>
    <t>A.16.1</t>
  </si>
  <si>
    <r>
      <t>70% de las organizaciones comunitarias participando de actividades institucionales durante el cuatrienio.</t>
    </r>
    <r>
      <rPr>
        <b/>
        <sz val="10"/>
        <color rgb="FF000000"/>
        <rFont val="Arial"/>
        <family val="2"/>
      </rPr>
      <t xml:space="preserve"> </t>
    </r>
  </si>
  <si>
    <t>% de las organizaciones comunitarias participando de actividades institucionales durante el cuatrienio.</t>
  </si>
  <si>
    <t>A.16.1.1</t>
  </si>
  <si>
    <t>Secretaría de Desarrollo Social</t>
  </si>
  <si>
    <t xml:space="preserve">ANA CENED TRUJILLO </t>
  </si>
  <si>
    <t>Realizar 4 celebraciones del día de la acción comunal durante el cuatrienio</t>
  </si>
  <si>
    <t>No. De celebraciones realizadas</t>
  </si>
  <si>
    <t>A.16.1.2</t>
  </si>
  <si>
    <t>Ejecutar 4 proyectos de inversión durante el cuatrienio con vinculación de las juntas de acción comunal</t>
  </si>
  <si>
    <t>No. De proyectos Ejecutados</t>
  </si>
  <si>
    <t>A.16.1.3</t>
  </si>
  <si>
    <t>lograr que 1 Oficina de apoyo a las JAC este funcionando cada año</t>
  </si>
  <si>
    <t>No. De Oficina funcionando cada año</t>
  </si>
  <si>
    <t>A.16.1.4</t>
  </si>
  <si>
    <t>Realizar 4 capacitaciones en participación comunitaria y fortalecimiento comunal a juntas de acción comunal durante el cuatrienio</t>
  </si>
  <si>
    <t>A.16.1.5</t>
  </si>
  <si>
    <t>Realizar 4 consejos de convivencia y buen gobierno  para concertación de desarrollo local, durante el cuatrienio</t>
  </si>
  <si>
    <t>No. De consejos de convivencia realziados</t>
  </si>
  <si>
    <t>A.16.1.6</t>
  </si>
  <si>
    <t xml:space="preserve">Realizas cuatro (4) capacitaciones de Veedurías ciudadanas para control social en el cuatrienio. </t>
  </si>
  <si>
    <t xml:space="preserve">No. De veedurías capacitadas </t>
  </si>
  <si>
    <t>A.16.1.7</t>
  </si>
  <si>
    <t>Implementar 1 punto de acceso adicional para fortalecimiento de las TIC en desarrollo comunitario durante el cuatrienio</t>
  </si>
  <si>
    <t>No. De puntos de acceso creados</t>
  </si>
  <si>
    <t>A.16.1.8</t>
  </si>
  <si>
    <t>Capacitar 120 personas durante el cuatrienio en el programa formador de formadores para el fomento de la participación ciudadana   del sector urbano y rural</t>
  </si>
  <si>
    <t>No. Personas capacitadas</t>
  </si>
  <si>
    <t>A.16.1.9</t>
  </si>
  <si>
    <t>Realizar 4 rendiciones de cuentas medibles y claras para la comunidad durante el cuatrienio</t>
  </si>
  <si>
    <t>No. De rendiciones de cuentas medibles</t>
  </si>
  <si>
    <t>A.16.1.10</t>
  </si>
  <si>
    <t>Implementar 1 programa de capacitación, asesoría y asistencia técnica para consolidar procesos de participación ciudadana y control social, cada año</t>
  </si>
  <si>
    <t>No. de programas de capacitación, asesoría y asistencia técnica, implementados por año</t>
  </si>
  <si>
    <t>A.16.1.11</t>
  </si>
  <si>
    <t>Presentar 4 informes impresos durante el cuatrienio para divulgación de rendición de cuentas</t>
  </si>
  <si>
    <t>Informes impresos de rendición de cuentas</t>
  </si>
  <si>
    <t>JUSTICIA Y SEGURIDAD</t>
  </si>
  <si>
    <t>Justicia y seguridad</t>
  </si>
  <si>
    <t xml:space="preserve">PROGRAMA LA PLATA CIUDAD SEGURA </t>
  </si>
  <si>
    <t>A.18</t>
  </si>
  <si>
    <t>A.18.1</t>
  </si>
  <si>
    <t>Mantener por debajo de 10 la tasa de homicidios por cada 100 mil habitantes</t>
  </si>
  <si>
    <t xml:space="preserve">Tasa de homicidios por 100.000 habitantes </t>
  </si>
  <si>
    <t xml:space="preserve">&lt; 10 </t>
  </si>
  <si>
    <t>A.18.1.1</t>
  </si>
  <si>
    <t>Implementar 1 Plan Integral de Convivencia y Seguridad Ciudadanocada año</t>
  </si>
  <si>
    <t>No. De PICSC implementado cada año</t>
  </si>
  <si>
    <t>A.18.1.2</t>
  </si>
  <si>
    <t>Realizar 12 consejos de seguridad ordinarios  cada año</t>
  </si>
  <si>
    <t>No. Consejos de seguridad realizados por año</t>
  </si>
  <si>
    <t>A.18.1.3</t>
  </si>
  <si>
    <t>Celebrar 4 reuniones de Comité de Orden público en el Cuatrienio</t>
  </si>
  <si>
    <t>No. De comités de orden públicos realizado</t>
  </si>
  <si>
    <t>A.18.1.4</t>
  </si>
  <si>
    <t>Presentar 2 informes del observatorio del delito por la fuerza pública cada año</t>
  </si>
  <si>
    <t>No. De informes presentados por año</t>
  </si>
  <si>
    <t>A.18.1.5</t>
  </si>
  <si>
    <t>Realizar 6 controles a pesas y medidas en plazas de mercado y establecimientos de comercio cada año</t>
  </si>
  <si>
    <t>No. De controles realizados por año</t>
  </si>
  <si>
    <t>A.18.1.6</t>
  </si>
  <si>
    <t>Vincular 10 bachilleres auxiliares como apoyo a la seguridad y convivencia ciudadana cada año</t>
  </si>
  <si>
    <t>No. de bachilleres vinculados cada año</t>
  </si>
  <si>
    <t>A.18.1.7</t>
  </si>
  <si>
    <t>Implementar 1 estrategia de apoyo a la fuerza pública y organismos de seguridad cada año</t>
  </si>
  <si>
    <t>. De Estrategias implementadas por año</t>
  </si>
  <si>
    <t>A.18.1.8</t>
  </si>
  <si>
    <t>Suministrar 10 motocicletas para mejorar dotación de fuerza publica en el cuatrienio</t>
  </si>
  <si>
    <t>No. de motocicletas dotadas</t>
  </si>
  <si>
    <t>A.18.1.9</t>
  </si>
  <si>
    <t>Realizar 1 gestión para la compra del terreno para estación de policía, durante el cuatrienio</t>
  </si>
  <si>
    <t>No. De Gestión de compra realizada</t>
  </si>
  <si>
    <t>A.18.1.10</t>
  </si>
  <si>
    <t>Implementar 1 Plan de atención para comunidades en riesgo de seguridad cada año</t>
  </si>
  <si>
    <t>No. De Plan de atención implementado por año</t>
  </si>
  <si>
    <t>A.18.1.11</t>
  </si>
  <si>
    <t>Realizar 4 reuniones de alcalde o secretario al barrio, para atender denuncias ciudadanas sobre inseguridad cada año</t>
  </si>
  <si>
    <t>No. de reuniones al barrio realizadas por año</t>
  </si>
  <si>
    <t>A.18.1.12</t>
  </si>
  <si>
    <t>Implementar 8 planes desarme durante el cuatrienio</t>
  </si>
  <si>
    <t>No. De Planes de desarme implementados</t>
  </si>
  <si>
    <t>A.18.1.13</t>
  </si>
  <si>
    <t>Fortalecer 1 línea 123 durante el cuatrienio</t>
  </si>
  <si>
    <t>No. De Línea 123 fortalecida</t>
  </si>
  <si>
    <t>A.18.1.14</t>
  </si>
  <si>
    <t>Realizar 1 plan de apoyo para comisarios de familia, médicos, psicólogos y trabajadores sociales de las comisarías de familia, cada año</t>
  </si>
  <si>
    <t xml:space="preserve">PROGRAMA JUSTICIA PARA EL CAMBIO </t>
  </si>
  <si>
    <t>A.18.2</t>
  </si>
  <si>
    <t>Disminuir la tasa de lesiones personales por cada 100 mil habitantes a 270</t>
  </si>
  <si>
    <t>tasa de lesiones personales por cada 100 mil habitantes a 270</t>
  </si>
  <si>
    <t xml:space="preserve">279.02 </t>
  </si>
  <si>
    <t>A.18.2.1</t>
  </si>
  <si>
    <t>Instalar 10 nuevas cámaras de seguridad y lograr su funcionamiento durante el cuatrienio</t>
  </si>
  <si>
    <t>No. de cámaras instaladas</t>
  </si>
  <si>
    <t>A.18.2.2</t>
  </si>
  <si>
    <t xml:space="preserve">Implementar 1 plan de mantenimiento anual a las cámaras de seguridad existentes en el municipio, durante el cuatrienio. </t>
  </si>
  <si>
    <t>No. de planes de mantenimiento de cámaras de seguridad implementados</t>
  </si>
  <si>
    <t>A.18.2.3</t>
  </si>
  <si>
    <t>Implementar 1 programa al año que promueva la garantía de los derechos humanos</t>
  </si>
  <si>
    <t>No. De Programas implementados por año</t>
  </si>
  <si>
    <t>A.18.2.4</t>
  </si>
  <si>
    <t>Realizar 1 campaña anual para prevención de violencia intrafamiliar, de género y maltrato infantil</t>
  </si>
  <si>
    <t>No. de Campaña implementada por año</t>
  </si>
  <si>
    <t>A.18.2.5</t>
  </si>
  <si>
    <t>Realizar 1 dotación a la casa de la justicia para mejorar prestación de servicios cada año</t>
  </si>
  <si>
    <t>No. De Casa de la Justicia dotada por año</t>
  </si>
  <si>
    <t>A.18.2.6</t>
  </si>
  <si>
    <t>Fortalecer 1 programa de conciliadores en equidad cada año</t>
  </si>
  <si>
    <t>No. De Programa fortalecido por año</t>
  </si>
  <si>
    <t>A.18.2.7</t>
  </si>
  <si>
    <t>Realizar 4 capacitaciones sobre mecanismos
alternativos solución de conflictos durante el cuatrienio</t>
  </si>
  <si>
    <t>A.18.2.8</t>
  </si>
  <si>
    <t>Implementar 1 programa para la construcción de la paz, la convivencia ciudadana y la solución de conflictos, cada año</t>
  </si>
  <si>
    <t>A.18.2.9</t>
  </si>
  <si>
    <t>Garantizar 1 apoyo institucional al establecimiento penitenciario y carcelario de mediana seguridad (INPEC), del municipio de la Plata Huila, durante el cuatrienio.</t>
  </si>
  <si>
    <t>Apoyo a cárcel municipal por año</t>
  </si>
  <si>
    <t>A.18.2.10</t>
  </si>
  <si>
    <t xml:space="preserve">Lograr el funcionamiento de 1 coso municipal cada año </t>
  </si>
  <si>
    <t>No. De Coso municipal funcionando por año</t>
  </si>
  <si>
    <t>A.18.2.11</t>
  </si>
  <si>
    <t>Implementar 8 Campañas de prevención social del delito durante el cuatrienio</t>
  </si>
  <si>
    <t>No. de campañas implementadas</t>
  </si>
  <si>
    <t>A.18.2.12</t>
  </si>
  <si>
    <t>Realizar 48 operativos de prevención a la contaminación auditiva y visual, durante el cuatrienio</t>
  </si>
  <si>
    <t>No. De operativos realizados</t>
  </si>
  <si>
    <t>A.18.2.13</t>
  </si>
  <si>
    <t>Realizar 1 plan para la aplicación del comparendo ambiental, durante el cuatrienio</t>
  </si>
  <si>
    <t>No. De planes realizados</t>
  </si>
  <si>
    <t>DIMENSIÓN AMBIENTAL</t>
  </si>
  <si>
    <t>AMBIENTAL</t>
  </si>
  <si>
    <t>Ambiental</t>
  </si>
  <si>
    <t xml:space="preserve">PROGRAMA UN MUNDO DE PAZ PARA VIVIR, ES UN MUNDO PARA TODOS  </t>
  </si>
  <si>
    <t>A.10</t>
  </si>
  <si>
    <t>A.10.1</t>
  </si>
  <si>
    <t>Aumentar en 10%  la inversión territorial per cápita en medio ambiente durante el cuatrienio</t>
  </si>
  <si>
    <t xml:space="preserve">Inversión Per cápita medio ambiente por año  </t>
  </si>
  <si>
    <t>A.10.1.1</t>
  </si>
  <si>
    <t>15. Vida de ecosistemas terrestres</t>
  </si>
  <si>
    <t>Destinar 44 Predios particulares para la conservación, restauración y protección de zonas de importancia estratégica ambiental incentivados en materia de impuesto predial, durante el cuatrienio</t>
  </si>
  <si>
    <t>No. De predios con incentivos</t>
  </si>
  <si>
    <t>A.10.1.2</t>
  </si>
  <si>
    <t xml:space="preserve">Proteger 12 micro cuencas mediante la reforestación, aislamiento y manejo de regeneración o siembra de especies protectora, durante el cuatrienio </t>
  </si>
  <si>
    <t>No. Micro cuencas protegidas con reforestación o aislamiento</t>
  </si>
  <si>
    <t>A.10.1.3</t>
  </si>
  <si>
    <t>Garantizar 3 mejoramientos paisajístico y ambiental en el Municipio durante el cuatrienio</t>
  </si>
  <si>
    <t xml:space="preserve">No. De mejoramiento paisajísticos garantizados </t>
  </si>
  <si>
    <t>A.10.1.4</t>
  </si>
  <si>
    <t>Realizar 1 inventario forestal urbano durante el cuatrienio</t>
  </si>
  <si>
    <t>No. De inventarios realizados</t>
  </si>
  <si>
    <t>A.10.1.5</t>
  </si>
  <si>
    <t>Sembrar 12.000 árboles durante el cuatrienio  para la reforestación con seguimiento continúo.</t>
  </si>
  <si>
    <t>No. De árboles sembrados</t>
  </si>
  <si>
    <t>A.10.1.6</t>
  </si>
  <si>
    <t>Realizar 40 actividades durante el cuatrienio enmarcadas en la conservación y preservación del medio ambiente, tales como; el reciclaje, la separación en la fuente y la transformación de materia orgánica en abonos, entre otras.</t>
  </si>
  <si>
    <t>No. De actividades realizadas</t>
  </si>
  <si>
    <t>A.10.1.7</t>
  </si>
  <si>
    <t>Realizar 4 eventos de cultura ambiental (día del árbol, día del agua, día del reciclador, día de la tierra)  cada año, durante el cuatrienio.</t>
  </si>
  <si>
    <t xml:space="preserve">No. De eventos de cultura ambiental realizados por año </t>
  </si>
  <si>
    <t>A.10.1.8</t>
  </si>
  <si>
    <t>Implementar  programas de certificación de 20 fincas en Buenas Prácticas Agrícolas y Pecuarias</t>
  </si>
  <si>
    <t>No. de fincas certificadas  en buenas prácticas agrícolas y pecuarias</t>
  </si>
  <si>
    <t>A.10.1.9</t>
  </si>
  <si>
    <t>Gestionar la implementación de 1 programa ambiental en el cuatrienio que permita la sensibilización, educación, concientización, y capacitación a la comunidad dedicada al reciclaje, como también programas de limpiezas de ríos, parques, quebradas, caminos.</t>
  </si>
  <si>
    <t>No. De Gestiones para implementar programas</t>
  </si>
  <si>
    <t>A.10.1.10</t>
  </si>
  <si>
    <t>Realizar 4 campañas durante el cuatrienio, para evitar la contaminación con heces de los animales utilizados para vehículos de tracción animal</t>
  </si>
  <si>
    <t>No. de campañas realizadas</t>
  </si>
  <si>
    <t>A.10.1.11</t>
  </si>
  <si>
    <t>Formular e implementar 1 estrategia para lograr la sustitución de vehículos de tracción animal.</t>
  </si>
  <si>
    <t>No. De Estrategia formuladas e implementada.</t>
  </si>
  <si>
    <t>A.10.1.12</t>
  </si>
  <si>
    <t>Garantizar 1 sitio adecuado para la disposición final de los escombros, durante el cuatrienio.</t>
  </si>
  <si>
    <t>No. De Gestión realizada</t>
  </si>
  <si>
    <t>A.10.1.13</t>
  </si>
  <si>
    <t>Realizar 8 jornadas de capacitaciones no formales en busca de estímulos para hacer separación en la fuente, durante el cuatrienio</t>
  </si>
  <si>
    <t>A.10.1.14</t>
  </si>
  <si>
    <t>Realizar 10 capacitaciones en el cuatrienio, en centros poblados  respecto al manejo integral de los residuos sólidos.</t>
  </si>
  <si>
    <t>A.10.1.15</t>
  </si>
  <si>
    <t>Realizar 4 jornadas de sensibilización en IE sobre cultura ambiental, en el cuatrienio</t>
  </si>
  <si>
    <t>A.10.1.16</t>
  </si>
  <si>
    <t xml:space="preserve">Diseñar un (1) plan municipal de adaptación al cambio climático, durante el cuatrienio. </t>
  </si>
  <si>
    <t>No. De planes municipales diseñados</t>
  </si>
  <si>
    <t>A.10.1.17</t>
  </si>
  <si>
    <t>Implementar un (1) programa de apoyo a los grupos asociativos, que desarrollen actividades de reciclaje, con fines comerciales y/o de protección ambiental en los centros poblados en el cuatrenio</t>
  </si>
  <si>
    <t xml:space="preserve">No. De planes municipales apoyados </t>
  </si>
  <si>
    <t>A.10.1.18</t>
  </si>
  <si>
    <t>Construir de 150 Hornillas ecológicas durante el cuatrienio</t>
  </si>
  <si>
    <t>No. de hornillas construidas</t>
  </si>
  <si>
    <t>A.10.1.19</t>
  </si>
  <si>
    <t>2 proyectos apoyados durante el cuatrienio que incorporen producción limpia</t>
  </si>
  <si>
    <t>A.10.1.20</t>
  </si>
  <si>
    <t>Apoyar  200 instalaciones de sistemas de tratamiento residual (pozo Séptico), durante el cuatrienio</t>
  </si>
  <si>
    <t>A.10.1.21</t>
  </si>
  <si>
    <t>Entregar 40 sistemas de tratamiento de agua residual con su respectiva instalación, durante el cuatrienio.</t>
  </si>
  <si>
    <t xml:space="preserve">No. De sistemas entregados </t>
  </si>
  <si>
    <t>A.10.1.22</t>
  </si>
  <si>
    <t>Realizar 1 actividad de apoyo para la recuperación de la ceiba del Municipio de la Plata.</t>
  </si>
  <si>
    <t>No. De actividades de apoyo realizadas</t>
  </si>
  <si>
    <t>A.10.1.23</t>
  </si>
  <si>
    <t>Adquirir 320 hectáreas para la protección de fuentes hídricas municipales durante el cuatrienio</t>
  </si>
  <si>
    <t>No. De hectáreas adquiridas</t>
  </si>
  <si>
    <t>2012-2015</t>
  </si>
  <si>
    <t>A.10.1.24</t>
  </si>
  <si>
    <t>Formular e implementar 1 POMCA durante el cuatrienio</t>
  </si>
  <si>
    <t>No. De POMCA formulados e implementados</t>
  </si>
  <si>
    <t>A.10.1.25</t>
  </si>
  <si>
    <t>Realizar 2 campañas de vacunación y esterilización de animales domésticos en condición de calle, durante el cuatrienio</t>
  </si>
  <si>
    <t>A.10.1.26</t>
  </si>
  <si>
    <t>Desarrollar 4 acciones durante el cuatrienio para control y/o apoyo  para la formalización de minería ilegal</t>
  </si>
  <si>
    <t>No. De acciones desarrolladas en el cuatrienio</t>
  </si>
  <si>
    <t>A.10.1.27</t>
  </si>
  <si>
    <t>Aislar 12.000 metros lineales de predios de propiedad del municipio destinados a protección de fuentes hídricas durante el cuatrienio</t>
  </si>
  <si>
    <t>No. De metros lineales de aislamiento realizados durante el cuatrienio</t>
  </si>
  <si>
    <t>2012 - 2015</t>
  </si>
  <si>
    <t>A.10.1.28</t>
  </si>
  <si>
    <t>Desarrollar 4 proyectos para disminuir impacto del cambio climático, durante el cuatrienio</t>
  </si>
  <si>
    <t>No. De proyectos desarrollados</t>
  </si>
  <si>
    <t>A.10.1.29</t>
  </si>
  <si>
    <t xml:space="preserve">Realizar 4 campañas de concientización en la comunidad que vele por la protección y conservación de los bienes ambientales, adquiridos por la administración municipal, durante el cuatrienio. </t>
  </si>
  <si>
    <t>A.10.1.30</t>
  </si>
  <si>
    <t>Otorgar 4 Apoyos  para la implementación de viveros forestales en las instituciones Educativas durante el cuatrienio.</t>
  </si>
  <si>
    <t>A.10.1.31</t>
  </si>
  <si>
    <t>Implementar 1 programa de apoyo a los grupos asociativos que desarrollen actividades de reciclaje con fines comerciales y/o de protección ambiental en los centros poblados del municipio, durante el cuatrienio.</t>
  </si>
  <si>
    <t>No. De programas de
apoyo implementados.</t>
  </si>
  <si>
    <t>A.10.1.32</t>
  </si>
  <si>
    <t>Diseñar 1 plan municipal de adaptación al cambio climático, durante el cuatrienio.</t>
  </si>
  <si>
    <t>No. de planes diseñados</t>
  </si>
  <si>
    <t>Prevención y atención de desastres</t>
  </si>
  <si>
    <t xml:space="preserve">PROGRAMA LA PLATA PREVIENE </t>
  </si>
  <si>
    <t>A.12</t>
  </si>
  <si>
    <t>A.12.1</t>
  </si>
  <si>
    <r>
      <t>20% de la población preparada para la atención y prevención del riesgo</t>
    </r>
    <r>
      <rPr>
        <b/>
        <sz val="10"/>
        <color rgb="FF000000"/>
        <rFont val="Arial"/>
        <family val="2"/>
      </rPr>
      <t xml:space="preserve"> </t>
    </r>
  </si>
  <si>
    <t>% de la población preparada para la atención y prevención del riesgo</t>
  </si>
  <si>
    <t>A.12.1.1</t>
  </si>
  <si>
    <t>Realizar 1 inventario de viviendas y personas que se encuentren en alto riesgo, durante el cuatrienio</t>
  </si>
  <si>
    <t>No. de inventarios realizados</t>
  </si>
  <si>
    <t>A.12.1.2</t>
  </si>
  <si>
    <t xml:space="preserve">Construir 1 centro de operaciones de emergencias durante el cuatrienio garantizandole los servicios públicos </t>
  </si>
  <si>
    <t>No. De centros de operación construidos</t>
  </si>
  <si>
    <t>A.12.1.3</t>
  </si>
  <si>
    <t>Realizar 1 canalización a la Quebrada Zapatero, para mitigación de riesgos, durante el cuatrienio</t>
  </si>
  <si>
    <t>No. De canalizaciones realizadas</t>
  </si>
  <si>
    <t>A.12.1.4</t>
  </si>
  <si>
    <t>Realizar 3 reuniones ordinarias del Comité Local de Emergencias  cada año</t>
  </si>
  <si>
    <t>No. De reuniones del comité local por año</t>
  </si>
  <si>
    <t>A.12.1.5</t>
  </si>
  <si>
    <t>Instalar 1 sistema de alarma hidrométrica durante el cuatrienio</t>
  </si>
  <si>
    <t xml:space="preserve">No. De sistemas instalados </t>
  </si>
  <si>
    <t>A.12.1.6</t>
  </si>
  <si>
    <t>Formular dos proyecto para la consecución de 2 vehículos para organismos de socorro</t>
  </si>
  <si>
    <t>No. De vehículos gestionados</t>
  </si>
  <si>
    <t>A.12.1.7</t>
  </si>
  <si>
    <t>Realizar 4 acciones de apoyo logístico, técnico, administrativo o cultural, para la prevención del riesgo y atención de emergencias y desastres, durante el cuatrienio</t>
  </si>
  <si>
    <t>No. De acciones realizadas</t>
  </si>
  <si>
    <t xml:space="preserve">PROGRAMA LA PLATA SOLIDARIA </t>
  </si>
  <si>
    <t>A.12.2</t>
  </si>
  <si>
    <t>Mantener el 100%  porcentaje de prevención y atención de desastres presentados durante el cuatrienio</t>
  </si>
  <si>
    <t>Porcentaje de  desastres atendidos por año</t>
  </si>
  <si>
    <t>A.12.2.1</t>
  </si>
  <si>
    <t>Suscribir 4 convenios con organismos de socorro para apoyo logístico, técnico y de dotación, para atención y prevención de emergencia y desastres durante el cuatrienio</t>
  </si>
  <si>
    <t>No. Convenios suscritos</t>
  </si>
  <si>
    <t>A.12.2.2</t>
  </si>
  <si>
    <t>Realizar 1 capacitación anual a los jóvenes  de las Instituciones educativas urbanas,  para que asuman el reto de ser voluntarios en organismos de socorro</t>
  </si>
  <si>
    <t>A.12.2.3</t>
  </si>
  <si>
    <t>231209
SGP L.D.</t>
  </si>
  <si>
    <t>Realizar 4 simulacros durante el cuatrienio, sobre atención de emergencias.</t>
  </si>
  <si>
    <t>No. simulacros realizados</t>
  </si>
  <si>
    <t>A.12.2.4</t>
  </si>
  <si>
    <t>Realizar 1 capacitaciónanual a los jóvenes de
las Instituciones educativas urbanas, para
que asuman el reto de ser voluntarios en
organismos de socorro.</t>
  </si>
  <si>
    <t>No. De capacitaciones
realizadas por año</t>
  </si>
  <si>
    <t>23121802
SGP L.D.</t>
  </si>
  <si>
    <t>Construir 3 obras de mitigación de riesgos  y amenazas durante el cuatrienio</t>
  </si>
  <si>
    <t>No. De obras de mitigación construidas</t>
  </si>
  <si>
    <t>A.12.2.5</t>
  </si>
  <si>
    <t>Realizar 1 reconocimiento anual a los bomberos que sobresalgan, durante el cuatrienio.</t>
  </si>
  <si>
    <t>No. De Reconocimientos realizados por año</t>
  </si>
  <si>
    <t>A.12.2.6</t>
  </si>
  <si>
    <t>Mantener 4 Albergues temporales con mantenimiento para su funcionamiento durante el cuatrienio</t>
  </si>
  <si>
    <t>No. De albergues mantenidos</t>
  </si>
  <si>
    <t>Numero</t>
  </si>
  <si>
    <t>Nombre</t>
  </si>
  <si>
    <t>TotalApropiado</t>
  </si>
  <si>
    <t>Disponibilidad</t>
  </si>
  <si>
    <t>SaldoDisponible</t>
  </si>
  <si>
    <t xml:space="preserve">CREDITO </t>
  </si>
  <si>
    <t xml:space="preserve">CONTRACREDITO </t>
  </si>
  <si>
    <t>CALIDAD - MATRÍCULA</t>
  </si>
  <si>
    <t>PREINVERSIÓN: ESTUDIOS, DISEÑOS, CONSULTORIAS, ASESORIAS E INTERVENTORIAS</t>
  </si>
  <si>
    <t>ESTUDIOS Y DISEÑOS</t>
  </si>
  <si>
    <t>230102011       220101</t>
  </si>
  <si>
    <t>ONCE DOC. EDUCACION CALIDAD</t>
  </si>
  <si>
    <t>CONSULTORIAS Y ASESORIAS</t>
  </si>
  <si>
    <t>230102012       220101</t>
  </si>
  <si>
    <t>INTERVENTORIAS</t>
  </si>
  <si>
    <t>230102013       220101</t>
  </si>
  <si>
    <t>CONSTRUCCIÓN AMPLIACIÓN Y ADECUACIÓN DE INFRAESTRUCTURA EDUCATIVA</t>
  </si>
  <si>
    <t>23010202        220101</t>
  </si>
  <si>
    <t>23010202        220103</t>
  </si>
  <si>
    <t>RB SGP EDUCACION CALIDAD</t>
  </si>
  <si>
    <t>23010202        8120102</t>
  </si>
  <si>
    <t>RB FONADE  S.S.F</t>
  </si>
  <si>
    <t>MANTENIMIENTO DE INFRAESTRUCTURA EDUCATIVA</t>
  </si>
  <si>
    <t>23010203        220101</t>
  </si>
  <si>
    <t>23010203        220105</t>
  </si>
  <si>
    <t>RTOS FROS.  EDUCACION CALIDAD</t>
  </si>
  <si>
    <t>DOTACIÓN INSTITUCIONAL DE INFRAESTRUCTURA EDUCATIVA</t>
  </si>
  <si>
    <t>23010204        220101</t>
  </si>
  <si>
    <t>DOTACIÓN INSTITUCIONAL DE MATERIAL Y MEDIOS PEDAGÓGICOS PARA EL APRENDIZAJE</t>
  </si>
  <si>
    <t>23010205        220101</t>
  </si>
  <si>
    <t>PAGO DE SERVICIOS PÚBLICOS DE LAS INSTITUCIONES EDUCATIVAS</t>
  </si>
  <si>
    <t>230102065       220101</t>
  </si>
  <si>
    <t>230102065       220106</t>
  </si>
  <si>
    <t>RB RTOS FROS. SGP EDUCACION CALIDAD</t>
  </si>
  <si>
    <t>TRANSPORTE ESCOLAR</t>
  </si>
  <si>
    <t>23010207        220101</t>
  </si>
  <si>
    <t>CAPACITACIÓN A DOCENTES Y DIRECTIVOS DOCENTES</t>
  </si>
  <si>
    <t>23010208        220101</t>
  </si>
  <si>
    <t>ALIMENTACIÓN ESCOLAR</t>
  </si>
  <si>
    <t>PRESTACIÓN DIRECTA DEL SERVICIO</t>
  </si>
  <si>
    <t xml:space="preserve">MENAJE, DOTACIÓN Y SU REPOSICIÓN PARA LA PRESTACIÓN DEL SERVICIO DE ALIMENTACIÓN ESCOLAR </t>
  </si>
  <si>
    <t>2301021012      2101</t>
  </si>
  <si>
    <t>ONCE DOC.SGP ALIMENTACION ESCOLAR</t>
  </si>
  <si>
    <t>2301021012      2105</t>
  </si>
  <si>
    <t>RTOS FROS.SGP.ALIMENTACION ESCOLAR</t>
  </si>
  <si>
    <t>CONTRATACIÓN CON TERCEROS PARA LA PROVISIÓN INTEGRAL DEL SERVICIO DE ALIMENTACIÓN ESCOLAR</t>
  </si>
  <si>
    <t>230102102       2101</t>
  </si>
  <si>
    <t>230102102       2102</t>
  </si>
  <si>
    <t>ULT. DOC.SGP.ALIMENTACION ESCOLAR</t>
  </si>
  <si>
    <t>230102102       2103</t>
  </si>
  <si>
    <t>RB SGP ALIMENTACION ESCOLAR</t>
  </si>
  <si>
    <t>230102102       2106</t>
  </si>
  <si>
    <t>RB RTOS FROS SGP ALIMENTACION ESCOLAR</t>
  </si>
  <si>
    <t>CALIDAD - GRATUIDAD</t>
  </si>
  <si>
    <t>TRANSFERENCIAS PARA CALIDAD GRATUIDAD</t>
  </si>
  <si>
    <t>23010308        220201</t>
  </si>
  <si>
    <t>ONCE DOC. SGP EDUCACION CALIDAD GRATUIDAD</t>
  </si>
  <si>
    <t>RÉGIMEN SUBSIDIADO</t>
  </si>
  <si>
    <t>AFILIACIÓN AL RÉGIMEN SUBSIDIADO</t>
  </si>
  <si>
    <t>23020101        23010101</t>
  </si>
  <si>
    <t>ONCE DOC. SGP SALUD REGIMEN SUBSIDIADO CON S.S.F</t>
  </si>
  <si>
    <t>23020101        23010102</t>
  </si>
  <si>
    <t>ULT. DOC.SGP SALUD REGIMEN SUBSIDIADO CON S.S.F</t>
  </si>
  <si>
    <t>23020101        71101</t>
  </si>
  <si>
    <t>FOSYGA</t>
  </si>
  <si>
    <t>23020101        71401</t>
  </si>
  <si>
    <t>REC CAJA DE COMPENSACION FAMILIAR S.S.F</t>
  </si>
  <si>
    <t>23020101        71501</t>
  </si>
  <si>
    <t>COLJUEGOS  SSF</t>
  </si>
  <si>
    <t>23020101        82103</t>
  </si>
  <si>
    <t>APORTE DEPTAL SALUD REGIMEN SUBSIDIADO</t>
  </si>
  <si>
    <t>INTERVENTORIA DEL RÉGIMEN SUBSIDIADO</t>
  </si>
  <si>
    <t>23020103        23010104</t>
  </si>
  <si>
    <t>RB RTOS FROS.REGIMEN SUBSIDIADO CON</t>
  </si>
  <si>
    <t>23020103        71503</t>
  </si>
  <si>
    <t>RB COLJUEGOS</t>
  </si>
  <si>
    <t>RECURSOS DEL BALANCE</t>
  </si>
  <si>
    <t>LIQUIDACION  DE CONTRATOS</t>
  </si>
  <si>
    <t>2302010601      23010103</t>
  </si>
  <si>
    <t>RTOS FROS.REGIMEN SUBSIDIADO CON</t>
  </si>
  <si>
    <t>PAGO DE DÉFICIT DE INVERSIÓN EN RÉGIMEN SUBSIDIADO (DE CARÁCTER EXCEPCIONAL)</t>
  </si>
  <si>
    <t>PAGO DEUDA  DE VIGENCIAS ANTERIORES EPS  DEL  REGIMEN SUBSIDIADO</t>
  </si>
  <si>
    <t>230201091       23010106</t>
  </si>
  <si>
    <t>RB SGP SALUD REGIMEN SUBSIDIADO CON</t>
  </si>
  <si>
    <t xml:space="preserve">SALUD PÚBLICA   </t>
  </si>
  <si>
    <t>DIMENSION VIDA SALUDABLE Y ENFERMEDADES TRANSMISIBLES</t>
  </si>
  <si>
    <t>GESTION DEL RIESGO EN ENFERMEDADES  INMUNOPREVENIBLES - PAI</t>
  </si>
  <si>
    <t>CONTRATACION, CON LAS EMPRESAS SOCIALES DEL ESTADO.</t>
  </si>
  <si>
    <t>2302020111      230301</t>
  </si>
  <si>
    <t>ONCE DOC. SGP SALUD PUBLICA</t>
  </si>
  <si>
    <t>GESTION DEL  RIESGO EN ENFERMEDADES  EMERGENTES REEMERGENTES  Y DESATENDIDAS</t>
  </si>
  <si>
    <t>TUBERCULOSIS</t>
  </si>
  <si>
    <t>CONTRATACION  CON  LAS EMPRESAS SOCIALES  DEL  ESTADO</t>
  </si>
  <si>
    <t>23020201211     230301</t>
  </si>
  <si>
    <t>LEPRA</t>
  </si>
  <si>
    <t>CONTRATACION  CON LAS EMPRESAS SOCIALES DEL  ESTADO</t>
  </si>
  <si>
    <t>23020201221     230301</t>
  </si>
  <si>
    <t>GESTION DEL RIESGO  EN  CONDICIONES ENDEMO-EPIDEMICAS</t>
  </si>
  <si>
    <t>ENFERMEDADES TRANSMITIDAS POR VECTORES  - ETV</t>
  </si>
  <si>
    <t>CONTRATACION CON LAS EMPRESAS SOCIALES DEL  ESTADO</t>
  </si>
  <si>
    <t>23020201311     230301</t>
  </si>
  <si>
    <t>DIMENSION  SEXUALIDAD, DERECHO SEXUALES  Y REPRODUCTIVOS</t>
  </si>
  <si>
    <t>PROMOCION  DE LOS DERECHOS SEXUALES Y REPRODUCTIVOS Y EQUIDAD DE GENERO</t>
  </si>
  <si>
    <t>2302020211      230301</t>
  </si>
  <si>
    <t>SALUD SEXUAL Y REPRODUCTIVA EN ADOLECENTES</t>
  </si>
  <si>
    <t>2302020231      230301</t>
  </si>
  <si>
    <t>SALUD ORAL</t>
  </si>
  <si>
    <t>TALENTO HUMANO QUE DESARROLLA FUNCIONES DE CARÁCTER OPERATIVO</t>
  </si>
  <si>
    <t>2302020311      230301</t>
  </si>
  <si>
    <t>DIMENSION  CONVIVENCIA SOCIAL Y SALUD MENTAL</t>
  </si>
  <si>
    <t>PROMOCION  DE LA SALUD MENTAL  Y LA  CONVIVENCIA</t>
  </si>
  <si>
    <t>2302020421      230301</t>
  </si>
  <si>
    <t>2302020421      230303</t>
  </si>
  <si>
    <t>RB SGP SALUD PUBLICA</t>
  </si>
  <si>
    <t>2302020425      230303</t>
  </si>
  <si>
    <t>DIMENSION SALUD AMBIENTAL</t>
  </si>
  <si>
    <t>2302020511      230301</t>
  </si>
  <si>
    <t>2302020521      230301</t>
  </si>
  <si>
    <t>VIDA SALUDABLE Y CONDICIONES NO TRANSMISIBLES</t>
  </si>
  <si>
    <t>230202061       230301</t>
  </si>
  <si>
    <t>230202061       230307</t>
  </si>
  <si>
    <t>RB RTOS FROS SGP SALUD PUBLICA</t>
  </si>
  <si>
    <t>CONDICIONES  CRONICAS PREVALENTE</t>
  </si>
  <si>
    <t>CONTRATACION  CON  LAS EMPRESAS SOCIALES DEL ESTADO</t>
  </si>
  <si>
    <t>23020206211     230301</t>
  </si>
  <si>
    <t>MODOS, CONDICIONES   Y ESTILOS DE VIDA SALUDABLE</t>
  </si>
  <si>
    <t>CONTRATACION   CON LAS EMPRESAS  SOCIALES  DEL ESTADO</t>
  </si>
  <si>
    <t>2302020631      230301</t>
  </si>
  <si>
    <t>2302020631      230307</t>
  </si>
  <si>
    <t>DIMENSION SEGURIDAD ALIMENTARIA Y NUTRICIONAL</t>
  </si>
  <si>
    <t>DISPONIBILIDAD Y ACCESO   A LOS ALIMENTOS</t>
  </si>
  <si>
    <t>230202071       230301</t>
  </si>
  <si>
    <t>DIMENSION GESTION DIFERENCIAL  DE POBLACIONES</t>
  </si>
  <si>
    <t>DESARROLLO INTEGRAL  DE LAS NIÑAS Y NIÑOS</t>
  </si>
  <si>
    <t>2302020911      230301</t>
  </si>
  <si>
    <t>ADQUSICION DE INSUMOS Y ELEMENTOS, PUBLICACIONES Y EQUIPOS PARA DESARROLLAR PROGRAMAS DE SALUD PUBLICA, SEGÚN COMPETENCIAS</t>
  </si>
  <si>
    <t>2302020912      230301</t>
  </si>
  <si>
    <t>CONTRATACIÓN CON PERSONAS  JURIDICAS QUE NO SEAN ESES.</t>
  </si>
  <si>
    <t>2302020913      230301</t>
  </si>
  <si>
    <t>GESTION  EN SALUD PUBLICA</t>
  </si>
  <si>
    <t>TALENTO HUMANO QUE DESARROLLA FUNCIONES DE CARÁCTER OPERATIVO.</t>
  </si>
  <si>
    <t>230202101       230301</t>
  </si>
  <si>
    <t>230202101       230302</t>
  </si>
  <si>
    <t>ULT. DOC.SGP SALUD PUBLICA</t>
  </si>
  <si>
    <t>230202101       230305</t>
  </si>
  <si>
    <t>RTOS FROS.SGP SALUD   PUBLICA</t>
  </si>
  <si>
    <t>VIGILANCIA Y CONTROL  EN  SALUD PUBLICA</t>
  </si>
  <si>
    <t>2302021021      230301</t>
  </si>
  <si>
    <t>2302021021      230302</t>
  </si>
  <si>
    <t>2302021021      230305</t>
  </si>
  <si>
    <t>PLANEACION  INTEGRAL  EN SALUD</t>
  </si>
  <si>
    <t>2302021031      230301</t>
  </si>
  <si>
    <t>ADQUISICION  DE EQUIPOS Y MEJORAMIENTO  DE INFRAESTRUCTURA FISICA -DLS</t>
  </si>
  <si>
    <t>2302021032      230301</t>
  </si>
  <si>
    <t>GESTION PROGRAMATICA DE LA SALUD PUBLICA</t>
  </si>
  <si>
    <t>ADQUISICION  DE SERVICIOS PARA GARANTIZAR LA OPERATIVIDAD  DE LA SALUD PUBLICA  EN EL MUNICIPIO</t>
  </si>
  <si>
    <t>2302021061      230301</t>
  </si>
  <si>
    <t>DESARROLLO DE CAPACIDADES PARA LA GESTION  DE SALUD PUBLICA</t>
  </si>
  <si>
    <t>2302021071      230301</t>
  </si>
  <si>
    <t>PRESTACION DE SERVICIOS A LA POBLACION POBRE EN LO NO CUBIERTO CON SUBSIDIOS A LA DEMANDA</t>
  </si>
  <si>
    <t>PRESTACION DE SERVICIOS DE SALUD PARA LA POBLACIÓN POBRE NO ASEGURADA</t>
  </si>
  <si>
    <t>SERVICIOS CONTRATADOS CON EMPRESAS SOCIALES DEL ESTADO</t>
  </si>
  <si>
    <t>BAJO NIVEL DE COMPLEJIDAD</t>
  </si>
  <si>
    <t>2302030111      23020105</t>
  </si>
  <si>
    <t>RTOS FROS.SGP SALUD  SUBSIDIO A LA OFERTA</t>
  </si>
  <si>
    <t>2302030111      23020201</t>
  </si>
  <si>
    <t>ONCE DOC. SGP SALUD  SUBSIDIO A LA OFERTA  SSF</t>
  </si>
  <si>
    <t>PAGO DE SERVICIOS DE URGENCIAS  EN OTRAS INSTITUCIONES</t>
  </si>
  <si>
    <t>23020306        23020106</t>
  </si>
  <si>
    <t>RB RTOS FROS.SGP SALUD  SUBSIDIO A LA OFERTA</t>
  </si>
  <si>
    <t>OTROS GASTOS EN SALUD</t>
  </si>
  <si>
    <t>GASTOS DE FUNCIONAMIENTO</t>
  </si>
  <si>
    <t>SUELDO PERSONAL DE NOMINA</t>
  </si>
  <si>
    <t>2302040101      110101</t>
  </si>
  <si>
    <t>LIBRE D IMPUESTOS</t>
  </si>
  <si>
    <t>PRIMAS LEGALES</t>
  </si>
  <si>
    <t>PRIMA DE SERVICIOS</t>
  </si>
  <si>
    <t>230204010201    110101</t>
  </si>
  <si>
    <t>PRIMA DE NAVIDAD</t>
  </si>
  <si>
    <t>230204010202    110101</t>
  </si>
  <si>
    <t>PRIMA DE VACACIONES</t>
  </si>
  <si>
    <t>230204010203    110101</t>
  </si>
  <si>
    <t>BONIFICACION POR SERVICIOS PRESTADOS</t>
  </si>
  <si>
    <t>2302040103      110101</t>
  </si>
  <si>
    <t>BONIFICACION POR RECREACION</t>
  </si>
  <si>
    <t>2302040104      110101</t>
  </si>
  <si>
    <t>INDEMNIZACION DE VACACIONES</t>
  </si>
  <si>
    <t>2302040105      110101</t>
  </si>
  <si>
    <t>CONTRATACION</t>
  </si>
  <si>
    <t>23020402        71502</t>
  </si>
  <si>
    <t>COLJUEGOS  CSF</t>
  </si>
  <si>
    <t>23020402        71503</t>
  </si>
  <si>
    <t>GASTOS GENERALES</t>
  </si>
  <si>
    <t>IMPRESOS Y PUBLICACIONES</t>
  </si>
  <si>
    <t>2302040301      71502</t>
  </si>
  <si>
    <t>TELECOMUNICACIONES</t>
  </si>
  <si>
    <t>2302040302      71502</t>
  </si>
  <si>
    <t>2302040302      71504</t>
  </si>
  <si>
    <t>RTOS FROS COLJUEGOS</t>
  </si>
  <si>
    <t>GASTOS DE INVERSION</t>
  </si>
  <si>
    <t>PROMOCION  SOCIAL</t>
  </si>
  <si>
    <t>2302040601      110101</t>
  </si>
  <si>
    <t>RIESGOS PROFESIONALES</t>
  </si>
  <si>
    <t>2302040602      110101</t>
  </si>
  <si>
    <t>EMERGENCIA Y DESASTRES</t>
  </si>
  <si>
    <t>2302040603      110101</t>
  </si>
  <si>
    <t>PAGO DE CARTERA HOSPITALARIA DE VIGENCIAS ANTERIORES</t>
  </si>
  <si>
    <t>2302040604      71503</t>
  </si>
  <si>
    <t>PROGRAMAS DE DESARROLLO DE LA GESTION  DE LA SRIA DE DESARROLLO SOCIAL</t>
  </si>
  <si>
    <t>DOTACION  DE INFRAESTRUCTURA  DE  LA  D.L.S</t>
  </si>
  <si>
    <t>2302040701      260104</t>
  </si>
  <si>
    <t>RB SGP LIBRE DESTINACION</t>
  </si>
  <si>
    <t>2302040701      71503</t>
  </si>
  <si>
    <t>GESTION  DEL  PLAN  DE SALUD TERRITORIAL  Y  PROCESOS ETRAT.  DE PLANEACION</t>
  </si>
  <si>
    <t>2302040702      71503</t>
  </si>
  <si>
    <t>INVERSIONES DIRECTAS EN LA RED PUBLICA SEGÚN PLAN BIENAL EN INFRAESTRUCTURA</t>
  </si>
  <si>
    <t>23020409        23010106</t>
  </si>
  <si>
    <t>23020409        230402</t>
  </si>
  <si>
    <t>RB   RTOS  SALUD  INVERSION</t>
  </si>
  <si>
    <t>AGUA POTABLE Y SANEAMIENTO BÁSICO  (SIN INCLUIR PROYECTOS DE VIS)</t>
  </si>
  <si>
    <t>SERVICIO DE ACUEDUCTO</t>
  </si>
  <si>
    <t>ACUEDUCTO-CAPTACIÓN</t>
  </si>
  <si>
    <t>23031001        250101</t>
  </si>
  <si>
    <t>ONCE DOC. SGP AGUA POTABLE Y SAN. BASICO C.S.F.</t>
  </si>
  <si>
    <t>ACUEDUCTO- ADUCCIÓN</t>
  </si>
  <si>
    <t>23031002        250101</t>
  </si>
  <si>
    <t>ACUEDUCTO- ALMACENAMIENTO</t>
  </si>
  <si>
    <t>23031003        250101</t>
  </si>
  <si>
    <t>ACUEDUCTO- TRATAMIENTO</t>
  </si>
  <si>
    <t>23031004        250101</t>
  </si>
  <si>
    <t>23031004        2503</t>
  </si>
  <si>
    <t>RTOS FROS..SGP AGUA POTABLE SANEAMIENTO BAS</t>
  </si>
  <si>
    <t>ACUEDUCTO- CONDUCCIÓN</t>
  </si>
  <si>
    <t>23031005        250101</t>
  </si>
  <si>
    <t>ACUEDUCTO- MACROMEDICIÓN</t>
  </si>
  <si>
    <t>23031006        250101</t>
  </si>
  <si>
    <t>ACUEDUCTO-DISTRIBUCIÓN</t>
  </si>
  <si>
    <t>23031007        250101</t>
  </si>
  <si>
    <t>ACUEDUCTO-PREINVERSIONES, ESTUDIOS</t>
  </si>
  <si>
    <t>23031010        250101</t>
  </si>
  <si>
    <t>ACUEDUCTO-INTERVENTORÍA</t>
  </si>
  <si>
    <t>23031011        250101</t>
  </si>
  <si>
    <t>ACUEDUCTO- SUBSIDIOS</t>
  </si>
  <si>
    <t>23031013        250101</t>
  </si>
  <si>
    <t>SERVICIO DE ALCANTARILLADO</t>
  </si>
  <si>
    <t>ALCANTARILLADO- RECOLECCIÓN</t>
  </si>
  <si>
    <t>23031101        250101</t>
  </si>
  <si>
    <t>ALCANTARILLADO - TRANSPORTE</t>
  </si>
  <si>
    <t>23031102        250101</t>
  </si>
  <si>
    <t>ALCANTARILLADO- TRATAMIENTO</t>
  </si>
  <si>
    <t>23031103        250101</t>
  </si>
  <si>
    <t>ALCANTARILLADO- DESCARGA</t>
  </si>
  <si>
    <t>23031104        250101</t>
  </si>
  <si>
    <t>ALCANTARILLADO-PREINVERSIONES, ESTUDIOS</t>
  </si>
  <si>
    <t>23031105        250101</t>
  </si>
  <si>
    <t>ALCANTARILLADO-INTERVENTORÍA</t>
  </si>
  <si>
    <t>23031106        250101</t>
  </si>
  <si>
    <t>ALCANTARILLADO- FORTALECIMIENTO INSTITUCIONAL</t>
  </si>
  <si>
    <t>23031107        250101</t>
  </si>
  <si>
    <t>ALCANTARILLADO- SUBSIDIOS</t>
  </si>
  <si>
    <t>23031108        250101</t>
  </si>
  <si>
    <t>SERVICIO DE ASEO</t>
  </si>
  <si>
    <t>ASEO- PROYECTO DE TRATAMIENTO Y APROVECHAMIENTO DE RESIDUOS SOLIDOS</t>
  </si>
  <si>
    <t>23031201        250101</t>
  </si>
  <si>
    <t>ASEO- MAQUINARIA Y EQUIPOS</t>
  </si>
  <si>
    <t>23031202        110201</t>
  </si>
  <si>
    <t>RB LIBRE D IMPUESTOS</t>
  </si>
  <si>
    <t>23031202        1104</t>
  </si>
  <si>
    <t>RB RTOS FINANCIEROS LIBRE DESTINACION</t>
  </si>
  <si>
    <t>23031202        250101</t>
  </si>
  <si>
    <t>23031202        250201</t>
  </si>
  <si>
    <t>ULT.DOC.SGP AGUA POTABLE Y SAN. BASICO C.S.F.</t>
  </si>
  <si>
    <t>23031202        2504</t>
  </si>
  <si>
    <t>RB SGP AGUA POTABLE Y SANEAMIENTO BASICO</t>
  </si>
  <si>
    <t>23031202        2506</t>
  </si>
  <si>
    <t>R.B RTOS FROS.SGP AGUA POTABLE SANEAMIENTO BAS</t>
  </si>
  <si>
    <t>23031202        260406</t>
  </si>
  <si>
    <t>RB RTOS FROS..SGP OTROS SECTORES</t>
  </si>
  <si>
    <t>ASEO- DISPOSICIÓN FINAL</t>
  </si>
  <si>
    <t>23031203        250101</t>
  </si>
  <si>
    <t>ASEO- PREINVERSIÓN Y ESTUDIOS</t>
  </si>
  <si>
    <t>23031204        250101</t>
  </si>
  <si>
    <t>ASEO-INTERVENTORÍA</t>
  </si>
  <si>
    <t>23031205        250101</t>
  </si>
  <si>
    <t>ASEO-FORTALECIMIENTO INSTITUCIONAL</t>
  </si>
  <si>
    <t>23031206        250101</t>
  </si>
  <si>
    <t>ASEO- SUBSIDIOS</t>
  </si>
  <si>
    <t>23031207        250101</t>
  </si>
  <si>
    <t>TRANSFERENCIA PDA INVERSIÓN</t>
  </si>
  <si>
    <t>230313          250101</t>
  </si>
  <si>
    <t>230313          2504</t>
  </si>
  <si>
    <t>DEPORTE Y RECREACIÓN</t>
  </si>
  <si>
    <t>FOMENTO, DESARROLLO Y PRÁCTICA DEL DEPORTE, LA RECREACIÓN Y EL APROVECHAMIENTO DEL TIEMPO LIBRE</t>
  </si>
  <si>
    <t>230401          121101</t>
  </si>
  <si>
    <t>LEY 1289/09 PARTICIPACION IMPUESTO AL CIGARRILLO</t>
  </si>
  <si>
    <t>230401          260201</t>
  </si>
  <si>
    <t>ONCE DOC. SGP RECREACION Y DEPORTES</t>
  </si>
  <si>
    <t>230401          260202</t>
  </si>
  <si>
    <t>ULT.DOC.SGP RECREACION Y DEPORTES</t>
  </si>
  <si>
    <t>230401          260203</t>
  </si>
  <si>
    <t>RB SGP RECREACION Y DEPORTES</t>
  </si>
  <si>
    <t>CONSTRUCCIÓN, MANTENIMIENTO Y/O ADECUACIÓN DE LOS ESCENARIOS DEPORTIVOS Y RECREATIVOS</t>
  </si>
  <si>
    <t>230402          260201</t>
  </si>
  <si>
    <t>230402          260401</t>
  </si>
  <si>
    <t>ONCE DOC. SGP OTROS SECTORES</t>
  </si>
  <si>
    <t>230402          8120101</t>
  </si>
  <si>
    <t>RB CONV. 229  DPS</t>
  </si>
  <si>
    <t>230402          8120102</t>
  </si>
  <si>
    <t>DOTACIÓN DE ESCENARIOS DEPORTIVOS E IMPLEMENTOS PARA LA PRACTICA DEL DEPORTE</t>
  </si>
  <si>
    <t>230403          260201</t>
  </si>
  <si>
    <t>INTERVENTORIA</t>
  </si>
  <si>
    <t>230404          260201</t>
  </si>
  <si>
    <t>PAGO DE INSTRUCTORES CONTRATADOS PARA LA PRÁCTICA DEL DEPORTE Y LA RECREACIÓN</t>
  </si>
  <si>
    <t>230405          260201</t>
  </si>
  <si>
    <t>FOMENTO, APOYO Y DIFUSIÓN DE EVENTOS Y EXPRESIONES ARTÍSTICAS Y CULTURALES</t>
  </si>
  <si>
    <t>230501          120401</t>
  </si>
  <si>
    <t>ESTAMPILLA PROCULTURA 60% PROYECTOS CULTURALES</t>
  </si>
  <si>
    <t>230501          120409</t>
  </si>
  <si>
    <t>RB ESTAMPILLA PROCULTURA 60% PROYECTOS CULTURALES</t>
  </si>
  <si>
    <t>230501          260301</t>
  </si>
  <si>
    <t>ONCE DOC. SGP CULTURA</t>
  </si>
  <si>
    <t>230501          260302</t>
  </si>
  <si>
    <t>ULT.DOC.SGP CULTURA</t>
  </si>
  <si>
    <t>230501          260303</t>
  </si>
  <si>
    <t>RB SGP CULTURA</t>
  </si>
  <si>
    <t>PREINVERSIÓN EN INFRAESTRUCTURA</t>
  </si>
  <si>
    <t>230504          260301</t>
  </si>
  <si>
    <t>CONSTRUCCIÓN, MANTENIMIENTO Y ADECUACIÓN DE LA INFRAESTRUCTURA ARTÍSTICA Y CULTURAL</t>
  </si>
  <si>
    <t>230505          260301</t>
  </si>
  <si>
    <t>MANTENIMIENTO Y DOTACIÓN DE BIBLIOTECAS</t>
  </si>
  <si>
    <t>DOTACIÓN DE BIBLIOTECAS</t>
  </si>
  <si>
    <t>23050601        120404</t>
  </si>
  <si>
    <t>ESTAMPILLA PROCULTURA 10% BIBLIOTECAS</t>
  </si>
  <si>
    <t>23050601        120412</t>
  </si>
  <si>
    <t>RB ESTAMPILLA PROCULTURA 10% BIBLIOTECAS</t>
  </si>
  <si>
    <t>MANTENIMIENTO DE BIBLIOTECAS</t>
  </si>
  <si>
    <t>23050602        120404</t>
  </si>
  <si>
    <t>23050602        260301</t>
  </si>
  <si>
    <t xml:space="preserve">DOTACIÓN DE LA INFRAESTRUCTURA ARTÍSTICA Y CULTURAL  </t>
  </si>
  <si>
    <t>230507          260301</t>
  </si>
  <si>
    <t xml:space="preserve">PAGO DE INSTRUCTORES CONTRATADOS PARA LAS BANDAS MUSICALES </t>
  </si>
  <si>
    <t>230508          260301</t>
  </si>
  <si>
    <t>SEGURIDAD SOCIAL DEL CREADOR Y GESTOR CULTURAL</t>
  </si>
  <si>
    <t>230512          120403</t>
  </si>
  <si>
    <t>ESTAMPILLA PROCULTURA 10% SEGURIDAD SOCIAL ARTISTA</t>
  </si>
  <si>
    <t>230512          120411</t>
  </si>
  <si>
    <t>RB ESTAMPILLA PROCULTURA 10% SEGURIDAD SOCIAL ARTISTA</t>
  </si>
  <si>
    <t>SERVICIOS PÚBLICOS DIFERENTES A ACUEDUCTO ALCANTARILLADO Y ASEO (SIN INCLUIR PROYECTOS DE VIVIENDA DE INTERÉS SOCIAL)</t>
  </si>
  <si>
    <t xml:space="preserve">MANTENIMIENTO Y EXPANSIÓN DEL SERVICIO DE ALUMBRADO PÚBLICO </t>
  </si>
  <si>
    <t>MANTENIMIENTO DEL SERVICIO DE ALUMBRADO PÚBLICO</t>
  </si>
  <si>
    <t>23060202        121001</t>
  </si>
  <si>
    <t>ALUMBRADO PUBLICO</t>
  </si>
  <si>
    <t>PAGO DE CONVENIOS O CONTRATOS DE SUMINISTRO DE ENERGÍA ELÉCTRICA PARA EL SERVICIO DE ALUMBRADO PÚBLICO O PARA EL MANTENIMIENTO Y EXPANSIÓN DEL SERVICIO DE ALUMBRADO PÚBLICO</t>
  </si>
  <si>
    <t>230603          121001</t>
  </si>
  <si>
    <t>230604          260401</t>
  </si>
  <si>
    <t>OBRAS DE ELECTRIFICACIÓN RURAL</t>
  </si>
  <si>
    <t>230606          120701</t>
  </si>
  <si>
    <t>ESTAMPILLA PRO ELECTRIFICACION  RURAL</t>
  </si>
  <si>
    <t>230606          120702</t>
  </si>
  <si>
    <t>R.B  ESTAMPILLA PRO ELECTRIFICACION  RURAL</t>
  </si>
  <si>
    <t>OBRAS DE ELECTRIFICACION  URBANA</t>
  </si>
  <si>
    <t>230608          110101</t>
  </si>
  <si>
    <t>230608          121402</t>
  </si>
  <si>
    <t>RB DIVIDENDOS</t>
  </si>
  <si>
    <t>SUBSIDIOS PARA ADQUISICIÓN DE VIVIENDA DE INTERÉS SOCIAL</t>
  </si>
  <si>
    <t>230701          120601</t>
  </si>
  <si>
    <t>FONDO DE VIVIENDA</t>
  </si>
  <si>
    <t>PLANES Y PROYECTOS DE MEJORAMIENTO DE VIVIENDA Y SANEAMIENTO BÁSICO</t>
  </si>
  <si>
    <t>230703          260401</t>
  </si>
  <si>
    <t>230703          8120101</t>
  </si>
  <si>
    <t>PLANES Y PROYECTOS PARA LA ADQUISICIÓN, CONSTRUCCIÓN  Y MEJORAMIENTO DE VIVIENDA</t>
  </si>
  <si>
    <t>230705          110101</t>
  </si>
  <si>
    <t>230705          260401</t>
  </si>
  <si>
    <t>COMPRA  LOTE</t>
  </si>
  <si>
    <t>230707          110101</t>
  </si>
  <si>
    <t>230707          110102</t>
  </si>
  <si>
    <t>LIBRE D TASAS</t>
  </si>
  <si>
    <t>230707          260101</t>
  </si>
  <si>
    <t>ONCE DOC. SGP LIBRE DESTINACION</t>
  </si>
  <si>
    <t>230707          260104</t>
  </si>
  <si>
    <t>230707          260401</t>
  </si>
  <si>
    <t>230707          260402</t>
  </si>
  <si>
    <t>ULT.DOC.SGP OTROS SECTORES</t>
  </si>
  <si>
    <t>230708          260401</t>
  </si>
  <si>
    <t>AGROPECUARIO</t>
  </si>
  <si>
    <t>230801          260401</t>
  </si>
  <si>
    <t>230801          260402</t>
  </si>
  <si>
    <t>PROYECTOS DE CONSTRUCCIÓN Y MANTENIMIENTO DE DISTRITOS DE RIEGO Y ADECUACIÓN DE TIERRAS</t>
  </si>
  <si>
    <t>PROYECTOS DE CONSTRUCCIÓN DE DISTRITOS DE RIEGO Y ADECUACIÓN DE TIERRAS</t>
  </si>
  <si>
    <t>23080301        260401</t>
  </si>
  <si>
    <t>PAGO DEL PERSONAL TÉCNICO VINCULADO A LA PRESTACIÓN DEL SERVICIO DE ASISTENCIA TÉCNICA DIRECTA RURAL</t>
  </si>
  <si>
    <t>230806          260401</t>
  </si>
  <si>
    <t>CONTRATOS CELEBRADOS CON  ENTIDADES PRESTADORAS DEL SERVICIO DE ASISTENCIA TÉCNICA DIRECTA RURAL</t>
  </si>
  <si>
    <t>230807          110101</t>
  </si>
  <si>
    <t>230807          260401</t>
  </si>
  <si>
    <t xml:space="preserve">DESARROLLO DE PROGRAMAS Y PROYECTOS PRODUCTIVOS EN EL MARCO DEL PLAN AGROPECUARIO </t>
  </si>
  <si>
    <t>230808          110101</t>
  </si>
  <si>
    <t>230808          110201</t>
  </si>
  <si>
    <t>230808          260104</t>
  </si>
  <si>
    <t>230808          260401</t>
  </si>
  <si>
    <t>FOMENTO  A LA PRODUCCION  AGROPECUARIA</t>
  </si>
  <si>
    <t>230809          110101</t>
  </si>
  <si>
    <t>230809          260401</t>
  </si>
  <si>
    <t>230809          260402</t>
  </si>
  <si>
    <t>FONDO DE INVERSION Y REACTIVACION  AGROPECUARIA</t>
  </si>
  <si>
    <t>230811          110101</t>
  </si>
  <si>
    <t xml:space="preserve">CONSTRUCCIÓN DE VÍAS </t>
  </si>
  <si>
    <t>230901          110101</t>
  </si>
  <si>
    <t>230901          260401</t>
  </si>
  <si>
    <t>230901          260402</t>
  </si>
  <si>
    <t>230901          260404</t>
  </si>
  <si>
    <t>RB SGP OTROS SECTORES</t>
  </si>
  <si>
    <t>MEJORAMIENTO DE VÍAS</t>
  </si>
  <si>
    <t>230902          110101</t>
  </si>
  <si>
    <t>230902          110201</t>
  </si>
  <si>
    <t>230902          260401</t>
  </si>
  <si>
    <t>230902          260402</t>
  </si>
  <si>
    <t>230902          3002</t>
  </si>
  <si>
    <t>RB FONPET RESL. 2735/2015</t>
  </si>
  <si>
    <t>230902          3003</t>
  </si>
  <si>
    <t>RB RTOS FONPET RESL. 2735/2015</t>
  </si>
  <si>
    <t>230902          8120102</t>
  </si>
  <si>
    <t>PAVIMENTACION  DE VIAS</t>
  </si>
  <si>
    <t>230906          110101</t>
  </si>
  <si>
    <t>230906          120501</t>
  </si>
  <si>
    <t>FDO PAVIMENTO  VIGENCIA</t>
  </si>
  <si>
    <t>230906          260101</t>
  </si>
  <si>
    <t>230906          260401</t>
  </si>
  <si>
    <t>230906          260402</t>
  </si>
  <si>
    <t>230906          260405</t>
  </si>
  <si>
    <t>RTOS FROS. SGP OTROS SECTORES</t>
  </si>
  <si>
    <t>230906          8120101</t>
  </si>
  <si>
    <t>230906          9102</t>
  </si>
  <si>
    <t>RTOS FROS RECURSOS DEL  CREDITO</t>
  </si>
  <si>
    <t>CONSTRUCCION, MEJORAMIENTO, MANTENIMIENTO  DE ANDENES Y  SARDINELES</t>
  </si>
  <si>
    <t>230907          260401</t>
  </si>
  <si>
    <t>CONSTRUCCIÓN  AVENIDA SUR COLOMBIANA</t>
  </si>
  <si>
    <t>230908          8120102</t>
  </si>
  <si>
    <t>ESTUDIOS Y PREINVERSIÓN EN INFRAESTRUCTURA</t>
  </si>
  <si>
    <t>230910          110102</t>
  </si>
  <si>
    <t>INTERVENTORIA DE PROYECTOS DE CONSTRUCCIÓN Y MANTENIMIENTO DE INFRAESTRUCTURA DE TRANSPORTE</t>
  </si>
  <si>
    <t>230912          260401</t>
  </si>
  <si>
    <t>PLANES DE TRÁNSITO, EDUCACIÓN, DOTACIÓN DE EQUIPOS Y SEGURIDAD VIAL</t>
  </si>
  <si>
    <t>230916          110105</t>
  </si>
  <si>
    <t>LIBRE  DE MULTAS  FDO  DE  TTO Y TTE</t>
  </si>
  <si>
    <t>230916          110106</t>
  </si>
  <si>
    <t>RB LIBRE DE MULTAS FDO DE TTO Y TTE</t>
  </si>
  <si>
    <t xml:space="preserve">DESCONTAMINACIÓN DE CORRIENTES O DEPÓSITOS DE AGUA AFECTADOS POR VERTIMIENTOS </t>
  </si>
  <si>
    <t>231001          120201</t>
  </si>
  <si>
    <t>LEY 99/93 DE 90%</t>
  </si>
  <si>
    <t>231001          120204</t>
  </si>
  <si>
    <t>RB LEY 99/93 DE 90%</t>
  </si>
  <si>
    <t xml:space="preserve">DISPOSICIÓN, ELIMINACIÓN Y RECICLAJE DE RESIDUOS LÍQUIDOS Y SÓLIDOS </t>
  </si>
  <si>
    <t>231002          120201</t>
  </si>
  <si>
    <t>231002          120204</t>
  </si>
  <si>
    <t>MANEJO Y APROVECHAMIENTO DE CUENCAS Y MICROCUENCAS HIDROGRÁFICAS</t>
  </si>
  <si>
    <t>231004          110101</t>
  </si>
  <si>
    <t>231004          120201</t>
  </si>
  <si>
    <t>CONSERVACIÓN DE MICROCUENCAS QUE ABASTECEN EL ACUEDUCTO, PROTECCIÓN DE FUENTES Y REFORESTACIÓN DE DICHAS CUENCAS</t>
  </si>
  <si>
    <t>231005          110101</t>
  </si>
  <si>
    <t>231005          120201</t>
  </si>
  <si>
    <t>231005          120204</t>
  </si>
  <si>
    <t>EDUCACIÓN AMBIENTAL NO FORMAL</t>
  </si>
  <si>
    <t>COMPARENDO AMBIENTAL</t>
  </si>
  <si>
    <t>23100601        110103</t>
  </si>
  <si>
    <t>LIBRE D MULTAS</t>
  </si>
  <si>
    <t>CONSERVACIÓN, PROTECCIÓN, RESTAURACIÓN Y APROVECHAMIENTO DE RECURSOS NATURALES Y DEL MEDIO AMBIENTE</t>
  </si>
  <si>
    <t>231008          120201</t>
  </si>
  <si>
    <t>ADQUISICIÓN DE PREDIOS DE RESERVA HÍDRICA Y ZONAS DE RESERVA NATURALES</t>
  </si>
  <si>
    <t>231009          110101</t>
  </si>
  <si>
    <t>231009          110102</t>
  </si>
  <si>
    <t>231009          110103</t>
  </si>
  <si>
    <t>231009          110201</t>
  </si>
  <si>
    <t>231009          120201</t>
  </si>
  <si>
    <t>231009          120204</t>
  </si>
  <si>
    <t>231009          260101</t>
  </si>
  <si>
    <t>231009          260102</t>
  </si>
  <si>
    <t>ULT.DOC. SGP LIBRE DESTINACION</t>
  </si>
  <si>
    <t>PREINVERSION, ESTUDIOS, DISEÑOS Y ESTUDIOS</t>
  </si>
  <si>
    <t>231014          110101</t>
  </si>
  <si>
    <t>CENTROS DE RECLUSIÓN</t>
  </si>
  <si>
    <t>MEJORAMIENTO Y MANTENIMIENTO DE INFRAESTRUCTURA CARCELARIA</t>
  </si>
  <si>
    <t>231103          260101</t>
  </si>
  <si>
    <t>PREVENCIÓN Y ATENCIÓN DE DESASTRES</t>
  </si>
  <si>
    <t>231202          110102</t>
  </si>
  <si>
    <t>ASENTAMIENTOS ESTABLECIDOS EN ZONAS DE ALTO RIESGO</t>
  </si>
  <si>
    <t>REUBICACIÓN DE ASENTAMIENTOS HUMANOS CLASIFICADOS EN CONDICIÓN DE ALTO RIESGO DE DESASTRE</t>
  </si>
  <si>
    <t>23120402        260401</t>
  </si>
  <si>
    <t>ATENCIÓN DE DESASTRES</t>
  </si>
  <si>
    <t>RECURSOS DEDICADOS AL PAGO ARRIENDOS O A LA PROVISIÓN DE ALBERGUES TEMPORALES</t>
  </si>
  <si>
    <t>23120602        110101</t>
  </si>
  <si>
    <t>EDUCACIÓN PARA LA PREVENCIÓN Y ATENCIÓN DE DESASTRES CON FINES DE CAPACITACIÓN Y PREPARACIÓN</t>
  </si>
  <si>
    <t>231209          260401</t>
  </si>
  <si>
    <t>DOTACIÓN DE MAQUINAS Y EQUIPOS PARA LOS CUERPOS DE BOMBEROS OFICIALES</t>
  </si>
  <si>
    <t>231211          260401</t>
  </si>
  <si>
    <t>CONTRATOS CELEBRADOS CON CUERPOS DE BOMBEROS PARA LA PREVENCIÓN Y CONTROL DE INCENDIOS</t>
  </si>
  <si>
    <t>231212          110102</t>
  </si>
  <si>
    <t>231212          121303</t>
  </si>
  <si>
    <t>RB SOBRETASA BOMBERIL</t>
  </si>
  <si>
    <t>FONDO PARA LA GESTIÓN DEL RIESGO DE DESASTRES</t>
  </si>
  <si>
    <t>CONOCIMIENTO DEL  RIESGO</t>
  </si>
  <si>
    <t>23121801        110101</t>
  </si>
  <si>
    <t>23121801        110103</t>
  </si>
  <si>
    <t>23121801        110201</t>
  </si>
  <si>
    <t>23121801        260101</t>
  </si>
  <si>
    <t>23121801        260102</t>
  </si>
  <si>
    <t>REDUCCION DEL RIESGO</t>
  </si>
  <si>
    <t>23121802        110102</t>
  </si>
  <si>
    <t>23121802        260401</t>
  </si>
  <si>
    <t>MANEJO DE DESASTRES</t>
  </si>
  <si>
    <t>23121803        110102</t>
  </si>
  <si>
    <t>PROMOCIÓN DEL DESARROLLO</t>
  </si>
  <si>
    <t>PROMOCIÓN DE ASOCIACIONES Y ALIANZAS PARA EL DESARROLLO EMPRESARIAL E INDUSTRIAL</t>
  </si>
  <si>
    <t>231301          260401</t>
  </si>
  <si>
    <t>PROMOCIÓN DEL DESARROLLO TURÍSTICO</t>
  </si>
  <si>
    <t>231305          110101</t>
  </si>
  <si>
    <t>APORTE CORFERIAS</t>
  </si>
  <si>
    <t>231307          110101</t>
  </si>
  <si>
    <t>FONDOS DESTINADOS  A BECAS, SUBSIDIOS Y CREDITOS  EDUCATIVOS</t>
  </si>
  <si>
    <t>231308          110101</t>
  </si>
  <si>
    <t>ATENCIÓN A GRUPOS VULNERABLES - PROMOCIÓN SOCIAL</t>
  </si>
  <si>
    <t>PROTECCIÓN INTEGRAL A LA PRIMERA INFANCIA</t>
  </si>
  <si>
    <t xml:space="preserve">PARQUES </t>
  </si>
  <si>
    <t>Construcción  Infraestructura</t>
  </si>
  <si>
    <t>CASA MATERNA</t>
  </si>
  <si>
    <t>23140101        280201</t>
  </si>
  <si>
    <t>ONCE DOC. SGP ATENCION INTEGRAL A LA PRIMERA INFANCIACRECIMIENTO SUPERIOR AL 4%</t>
  </si>
  <si>
    <t>CDI VILLA LOSADA</t>
  </si>
  <si>
    <t>23140101        280203</t>
  </si>
  <si>
    <t>RB SGP ATENCION INTEGRAL A LA PRIMERA INFANCIACRECIMIENTO SUPERIOR AL 4%</t>
  </si>
  <si>
    <t>INFRAESTRUCTURA</t>
  </si>
  <si>
    <t>ADECUACIÓN DE INFRAESTRUCTURA EXISTENTE</t>
  </si>
  <si>
    <t>231401102       280203</t>
  </si>
  <si>
    <t>ADQUISICION DE INSUMOS, SUMINISTROS Y DOTACION</t>
  </si>
  <si>
    <t>231401103       280203</t>
  </si>
  <si>
    <t>PROTECCIÓN INTEGRAL DE LA NIÑEZ</t>
  </si>
  <si>
    <t>CONTRATACIÓN DEL SERVICIO</t>
  </si>
  <si>
    <t>23140203        110103</t>
  </si>
  <si>
    <t>231402041       260401</t>
  </si>
  <si>
    <t>ADQUISICIÓN DE INSUMOS, SUMINISTROS Y DOTACIÓN</t>
  </si>
  <si>
    <t>231402042       260401</t>
  </si>
  <si>
    <t>PROGRAMA CHILDREN</t>
  </si>
  <si>
    <t>231402043       110101</t>
  </si>
  <si>
    <t>PROTECCIÓN INTEGRAL A LA ADOLESCENCIA</t>
  </si>
  <si>
    <t>231403041       110101</t>
  </si>
  <si>
    <t>231403041       110103</t>
  </si>
  <si>
    <t>231403041       110201</t>
  </si>
  <si>
    <t>231403041       260401</t>
  </si>
  <si>
    <t>231403042       110103</t>
  </si>
  <si>
    <t>CANON DE ARRENDAMIENTO  CENTRO  TRANSITORIO</t>
  </si>
  <si>
    <t>23140305        110101</t>
  </si>
  <si>
    <t>23140305        260401</t>
  </si>
  <si>
    <t>ATENCIÓN Y APOYO AL ADULTO MAYOR</t>
  </si>
  <si>
    <t>231404041       120801</t>
  </si>
  <si>
    <t>ESTAMPILLAS TERCERA EDAD</t>
  </si>
  <si>
    <t>231404042       120801</t>
  </si>
  <si>
    <t>231404042       120803</t>
  </si>
  <si>
    <t>RB ESTAMPILLAS TERCERA EDAD</t>
  </si>
  <si>
    <t xml:space="preserve">ATENCIÓN Y APOYO A MADRES/PADRES CABEZA DE HOGAR  </t>
  </si>
  <si>
    <t>231405041       110103</t>
  </si>
  <si>
    <t>231405042       260101</t>
  </si>
  <si>
    <t>ATENCION Y APOYO  A LA POBLACION  DESPLAZADA  POR LA VIOLENCIA</t>
  </si>
  <si>
    <t>ACCIONES HUMANITARIAS</t>
  </si>
  <si>
    <t>23140601        260401</t>
  </si>
  <si>
    <t>DESARROLLO ECONOMICO  SOCIAL</t>
  </si>
  <si>
    <t>23140602        110103</t>
  </si>
  <si>
    <t>23140602        260101</t>
  </si>
  <si>
    <t>GESTION SOCIAL</t>
  </si>
  <si>
    <t>23140603        110103</t>
  </si>
  <si>
    <t>PROGRAMAS DE DISCAPACIDAD ( EXLCUYENDO ACCIONES DE SALUD PÚBLICA)</t>
  </si>
  <si>
    <t>231407041       110103</t>
  </si>
  <si>
    <t>231407042       110103</t>
  </si>
  <si>
    <t>ATENCIÓN Y APOYO A LOS GRUPOS INDÍGENAS</t>
  </si>
  <si>
    <t>231409          110103</t>
  </si>
  <si>
    <t>ATENCIÓN Y APOYO A LOS GRUPOS AFROCOLOMBIANOS</t>
  </si>
  <si>
    <t>231410          110101</t>
  </si>
  <si>
    <t>231410          1103</t>
  </si>
  <si>
    <t>RTOS FROS LIBRE DESTINACION</t>
  </si>
  <si>
    <t>231410          260101</t>
  </si>
  <si>
    <t>231410          260401</t>
  </si>
  <si>
    <t>PROGRAMAS DISEÑADOS  PARA LA SUPERACIÓN DE LA POBREZA  EXTREMA EN EL MARCO DE LA RED UNIDOS - MAS FAMILIAS EN ACCIÓN</t>
  </si>
  <si>
    <t>23141301        110103</t>
  </si>
  <si>
    <t>23141301        260401</t>
  </si>
  <si>
    <t>23141302        110103</t>
  </si>
  <si>
    <t>RED JUNTOS</t>
  </si>
  <si>
    <t>23141303        110103</t>
  </si>
  <si>
    <t>DESARROLLO DE PROGRAMAS Y PROYECTOS  PARA LA ATENCIONA  A  GRUPOS  VULNERABLES</t>
  </si>
  <si>
    <t>231416          110201</t>
  </si>
  <si>
    <t>231416          260101</t>
  </si>
  <si>
    <t>231416          260401</t>
  </si>
  <si>
    <t>PROTECCIÓN INTEGRAL A LA JUVENTUD</t>
  </si>
  <si>
    <t>231418041       110201</t>
  </si>
  <si>
    <t>231418041       260101</t>
  </si>
  <si>
    <t>231418041       260401</t>
  </si>
  <si>
    <t>231418042       260101</t>
  </si>
  <si>
    <t>ATENCIÓN Y APOYO A LAS VICTIMAS</t>
  </si>
  <si>
    <t>VICTIMAS (NO INCLUYE PROYECTOS PARA DESPLAZADOS)</t>
  </si>
  <si>
    <t>PREVENCIÓN Y PROTECCIÓN</t>
  </si>
  <si>
    <t>231420101       110103</t>
  </si>
  <si>
    <t>ASISTENCIA Y ATENCIÓN INTEGRAL</t>
  </si>
  <si>
    <t>231420102       110103</t>
  </si>
  <si>
    <t>REPARACIÓN INTEGRAL</t>
  </si>
  <si>
    <t>231420103       110103</t>
  </si>
  <si>
    <t>231420103       110201</t>
  </si>
  <si>
    <t>231420103       260101</t>
  </si>
  <si>
    <t>VERDAD</t>
  </si>
  <si>
    <t>231420104       110103</t>
  </si>
  <si>
    <t>JUSTICIA</t>
  </si>
  <si>
    <t>231420105       110103</t>
  </si>
  <si>
    <t>PARTICIPACIÓN</t>
  </si>
  <si>
    <t>231420106       110103</t>
  </si>
  <si>
    <t>SISTEMAS DE INFORMACIÓN</t>
  </si>
  <si>
    <t>231420107       110103</t>
  </si>
  <si>
    <t>PROYECTOS PARA ATENDER A LA POBLACIÓN DESPLAZADA</t>
  </si>
  <si>
    <t>231420201       260101</t>
  </si>
  <si>
    <t>231420202       260101</t>
  </si>
  <si>
    <t>231420203       260101</t>
  </si>
  <si>
    <t>231420204       260101</t>
  </si>
  <si>
    <t>231420205       260101</t>
  </si>
  <si>
    <t>RETORNO Y REUBICACIÓN</t>
  </si>
  <si>
    <t>231420206       260101</t>
  </si>
  <si>
    <t xml:space="preserve">EQUIPAMIENTO </t>
  </si>
  <si>
    <t>PREINVERSIÓN DE INFRAESTRUCTURA</t>
  </si>
  <si>
    <t>231501          260101</t>
  </si>
  <si>
    <t>MEJORAMIENTO Y MANTENIMIENTO DE DEPENDENCIAS DE LA ADMINISTRACIÓN</t>
  </si>
  <si>
    <t>231503          110101</t>
  </si>
  <si>
    <t>231503          260104</t>
  </si>
  <si>
    <t>CONSTRUCCIÓN DE PLAZAS DE MERCADO, MATADEROS, CEMENTERIOS Y MOBILIARIOS DEL ESPACIO PÚBLICO</t>
  </si>
  <si>
    <t>231504          8120102</t>
  </si>
  <si>
    <t>MEJORAMIENTO Y MANTENIMIENTO DE PLAZAS DE MERCADO, MATADEROS, CEMENTERIOS Y MOBILIARIOS DEL ESPACIO PÚBLICO</t>
  </si>
  <si>
    <t>231505          121202</t>
  </si>
  <si>
    <t>90%   DEGUELLO  INVERSION</t>
  </si>
  <si>
    <t>231505          121203</t>
  </si>
  <si>
    <t>RB 90% DEGUELLO INVERSION</t>
  </si>
  <si>
    <t>231505          260401</t>
  </si>
  <si>
    <t xml:space="preserve"> DD</t>
  </si>
  <si>
    <t>231506          260401</t>
  </si>
  <si>
    <t>CONSTRUCCIÓN DE ZONAS VERDES, PARQUES, PLAZAS Y PLAZOLETAS</t>
  </si>
  <si>
    <t>231509          260401</t>
  </si>
  <si>
    <t>MEJORAMIENTO Y MANTENIMIENTO DE ZONAS VERDES, PARQUES, PLAZAS Y PLAZOLETAS</t>
  </si>
  <si>
    <t>231510          260101</t>
  </si>
  <si>
    <t>PROGRAMAS DE CAPACITACIÓN, ASESORÍA Y ASISTENCIA TÉCNICA PARA CONSOLIDAR PROCESOS DE PARTICIPACIÓN CIUDADANA Y CONTROL SOCIAL</t>
  </si>
  <si>
    <t>231601          260101</t>
  </si>
  <si>
    <t xml:space="preserve">CAPACITACIÓN A LA COMUNIDAD SOBRE PARTICIPACIÓN EN LA GESTIÓN PÚBLICA </t>
  </si>
  <si>
    <t>231603          260401</t>
  </si>
  <si>
    <t>APOYO  Y FORTALECIMIENTO  A LOS CONCILIADOS EN EQUIDAD</t>
  </si>
  <si>
    <t>231604          260101</t>
  </si>
  <si>
    <t>APOYO CONSEJO TERRITORIAL  DE PLANEACION</t>
  </si>
  <si>
    <t>231606          110101</t>
  </si>
  <si>
    <t>DESARROLLO DE PROG. Y PROYEC. PARA LA  GENERACION  DE EMPLEO  E INGRESOS</t>
  </si>
  <si>
    <t>231607          260101</t>
  </si>
  <si>
    <t>PROCESOS INTEGRALES DE EVALUACIÓN INSTITUCIONAL Y REORGANIZACIÓN ADMINISTRATIVA</t>
  </si>
  <si>
    <t>231701          110101</t>
  </si>
  <si>
    <t>231701          110102</t>
  </si>
  <si>
    <t>231701          260102</t>
  </si>
  <si>
    <t>231701          260401</t>
  </si>
  <si>
    <t>231701          260404</t>
  </si>
  <si>
    <t>PROGRAMAS DE CAPACITACIÓN Y ASISTENCIA TÉCNICA ORIENTADOS AL DESARROLLO EFICIENTE DE LAS COMPETENCIAS DE LEY</t>
  </si>
  <si>
    <t>231702          110101</t>
  </si>
  <si>
    <t>231702          260401</t>
  </si>
  <si>
    <t>ACTUALIZACIÓN DEL SISBEN</t>
  </si>
  <si>
    <t>231706          260101</t>
  </si>
  <si>
    <t>231706          260401</t>
  </si>
  <si>
    <t>ACTUALIZACIÓN CATASTRAL</t>
  </si>
  <si>
    <t>231708          110101</t>
  </si>
  <si>
    <t>231708          260101</t>
  </si>
  <si>
    <t>231708          260401</t>
  </si>
  <si>
    <t>ELABORACIÓN Y ACTUALIZACIÓN DEL PLAN DE DESARROLLO</t>
  </si>
  <si>
    <t>231709          110101</t>
  </si>
  <si>
    <t>ELABORACIÓN Y ACTUALIZACIÓN DEL PLAN DE ORDENAMIENTO TERRITORIAL</t>
  </si>
  <si>
    <t>231710          110101</t>
  </si>
  <si>
    <t>ADQUISICION DE SOFWARE, HADWARE Y  PERISFERICOS</t>
  </si>
  <si>
    <t>231711          110103</t>
  </si>
  <si>
    <t>231711          1103</t>
  </si>
  <si>
    <t>231711          260101</t>
  </si>
  <si>
    <t>231711          260401</t>
  </si>
  <si>
    <t>IMPLEMENTACION Y EJECUCION  DEL BANCO DE PROGRAMAS Y PROYECTOS</t>
  </si>
  <si>
    <t>231712          260101</t>
  </si>
  <si>
    <t>231712          260401</t>
  </si>
  <si>
    <t>ADQUISICION  PLANTA  ELECTRICA</t>
  </si>
  <si>
    <t>231713          110101</t>
  </si>
  <si>
    <t>231713          1103</t>
  </si>
  <si>
    <t>PAGO DE SUELDO  COMISARIO  DE FAMILIA</t>
  </si>
  <si>
    <t>Sueldo  personal  de nómina</t>
  </si>
  <si>
    <t>23180101        110101</t>
  </si>
  <si>
    <t>Prima  de Servicios</t>
  </si>
  <si>
    <t>2318010201      110101</t>
  </si>
  <si>
    <t>Prima  de Navidad</t>
  </si>
  <si>
    <t>2318010202      110101</t>
  </si>
  <si>
    <t>Prima de  Vacaciones</t>
  </si>
  <si>
    <t>2318010203      110101</t>
  </si>
  <si>
    <t>Indemnización  de  Vacaciones</t>
  </si>
  <si>
    <t>23180103        110101</t>
  </si>
  <si>
    <t>BONIFICACIONES</t>
  </si>
  <si>
    <t>Por Servicios Prestados</t>
  </si>
  <si>
    <t>2318010401      110101</t>
  </si>
  <si>
    <t>Por  Recreación</t>
  </si>
  <si>
    <t>2318010402      110101</t>
  </si>
  <si>
    <t>PAGO DE PSICOLOGOS Y TRABAJADORES  SOCIALES DE LAS COMISARIAS DE FAMILIA</t>
  </si>
  <si>
    <t>231803          260101</t>
  </si>
  <si>
    <t>FONDO DE SEGURIDAD DE LAS ENTIDADES TERRITORIALES - FONSET (LEY 1421 DE 2010)</t>
  </si>
  <si>
    <t>COMPRA DE VEHICULOS  Y  DOTACION</t>
  </si>
  <si>
    <t>23180403        120302</t>
  </si>
  <si>
    <t>RB LEY 418 ( FONDO DE SEGURIDAD CIUDADANA)</t>
  </si>
  <si>
    <t xml:space="preserve">SERVICIOS PERSONALES, DOTACIÓN Y RACIONES PARA NUEVOS AGENTES Y SOLDADOS </t>
  </si>
  <si>
    <t>23180405        120301</t>
  </si>
  <si>
    <t>LEY 418 (FONDO SEGURIDAD CIU)</t>
  </si>
  <si>
    <t>23180405        120302</t>
  </si>
  <si>
    <t>GASTOS DESTINADOS A GENERAR AMBIENTES QUE PROPICIEN LA SEGURIDAD CIUDADANA Y LA PRESERVACIÓN DEL ORDEN PÚBLICO.</t>
  </si>
  <si>
    <t>23180406        120301</t>
  </si>
  <si>
    <t>23180406        120302</t>
  </si>
  <si>
    <t>DESARROLLO DEL PLAN INTEGRAL DE SEGURIDAD Y CONVIVENCIA CIUDADANA</t>
  </si>
  <si>
    <t>23180407        120301</t>
  </si>
  <si>
    <t>23180407        120302</t>
  </si>
  <si>
    <t>COMPRA DE TERRENOS</t>
  </si>
  <si>
    <t>23180408        120301</t>
  </si>
  <si>
    <t>CONSTRUCCION  INFRAESTRUCTURA -  SEGURIDAD</t>
  </si>
  <si>
    <t>23180409        120301</t>
  </si>
  <si>
    <t>23180409        120302</t>
  </si>
  <si>
    <t>ACCIONES PARA LA CONVIVENCIA CIUDADANA</t>
  </si>
  <si>
    <t>231805          110101</t>
  </si>
  <si>
    <t>231805          110103</t>
  </si>
  <si>
    <t>231805          110201</t>
  </si>
  <si>
    <t>ADQUISICION DE INSUMOS, SUMINISTROS  Y DOTACION  CASA DE LA JUSTICIA</t>
  </si>
  <si>
    <t>231807          260101</t>
  </si>
  <si>
    <t>N°</t>
  </si>
  <si>
    <t>Sector FUT</t>
  </si>
  <si>
    <t>ODS Asociado</t>
  </si>
  <si>
    <t>N° ODS</t>
  </si>
  <si>
    <t>Objetivos</t>
  </si>
  <si>
    <t>N° Meta  ODS</t>
  </si>
  <si>
    <t>Metas</t>
  </si>
  <si>
    <t>¿Aplica a Entidades Territoriales?
(S/N)</t>
  </si>
  <si>
    <t>Principal Dimensión del Desarrollo asociada
(DNP-DDTS)</t>
  </si>
  <si>
    <r>
      <t xml:space="preserve">Principal Sector del FUT asociado
</t>
    </r>
    <r>
      <rPr>
        <b/>
        <sz val="9"/>
        <color theme="1"/>
        <rFont val="Calibri"/>
        <family val="2"/>
        <scheme val="minor"/>
      </rPr>
      <t>(Leyes 715/2001 y 1176/2011)</t>
    </r>
  </si>
  <si>
    <r>
      <t xml:space="preserve">Principal Alcance - Departamentos
</t>
    </r>
    <r>
      <rPr>
        <b/>
        <sz val="9"/>
        <color theme="1"/>
        <rFont val="Calibri"/>
        <family val="2"/>
        <scheme val="minor"/>
      </rPr>
      <t>(Leyes 715/2001 y 1176/2011, Decreto Ley 1222/1986)</t>
    </r>
  </si>
  <si>
    <r>
      <t xml:space="preserve">Principal Alcance - Municipios
</t>
    </r>
    <r>
      <rPr>
        <b/>
        <sz val="9"/>
        <color theme="1"/>
        <rFont val="Calibri"/>
        <family val="2"/>
        <scheme val="minor"/>
      </rPr>
      <t>(Leyes 715/2001,  1176/2011 y 1551/2012)</t>
    </r>
  </si>
  <si>
    <t>2, 12 y 14</t>
  </si>
  <si>
    <t>Poner fin a la pobreza en todas sus formas y en todo el mundo</t>
  </si>
  <si>
    <t>De aquí a 2030, erradicar para todas las personas y en todo el mundo la pobreza extrema(actualmente se considera que sufren pobreza extrema las personas que viven con menos de 1,25 dólares de los Estados Unidos al día)</t>
  </si>
  <si>
    <t>S</t>
  </si>
  <si>
    <t>Social</t>
  </si>
  <si>
    <t>Atención a Grupos Vulnerables - Promoción Social</t>
  </si>
  <si>
    <t>Promover, financiar o cofinanciar proyectos nacionales, departamentales o municipales de interés departamental</t>
  </si>
  <si>
    <t>Podrán establecer programas de apoyo integral a grupos de población vulnerable, como la población infantil (primera infancia), adolecentes, tercera edad, víctimas del conflicto (desplazados) o madres cabeza de hogar, personas en condición de discapacidad.</t>
  </si>
  <si>
    <t>Agua Potable y Saneamiento Básico</t>
  </si>
  <si>
    <t>De aquí a 2030, reducir al menos a la mitad la proporción de hombres, mujeres y niños de todas las edades que viven en la pobreza en todas sus dimensiones con arreglo a las definiciones nacionales</t>
  </si>
  <si>
    <t>Ambiente</t>
  </si>
  <si>
    <t>4, 6, 11, 12, 14,15, 17</t>
  </si>
  <si>
    <t>Implementar a nivel nacional sistemas y medidas apropiados de protección social para todos, incluidos niveles mínimos, y, de aquí a 2030, lograr una amplia cobertura de las personas pobres y vulnerables</t>
  </si>
  <si>
    <t>Salud</t>
  </si>
  <si>
    <t>Los departamentos tienen competencia en la prestación de servicios  y en salud pública.</t>
  </si>
  <si>
    <t>Prestación de servicios a la población pobre no asegurada.
Aseguramiento al Régimen subsidiado de Seguridad Social en salud.
Salud Pública.</t>
  </si>
  <si>
    <t>1, 5, 10</t>
  </si>
  <si>
    <t>De aquí a 2030, garantizar que todos los hombres y mujeres, en particular los pobres y los vulnerables, tengan los mismos derechos a los recursos económicos y  acceso a los servicios básicos, la propiedad y el control de la tierra y otros bienes, la herencia, los recursos naturales, las nuevas tecnologías apropiadas y los servicios financieros, incluida la microfinanciación</t>
  </si>
  <si>
    <t>Centros de Reclusión</t>
  </si>
  <si>
    <t>-</t>
  </si>
  <si>
    <t>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</si>
  <si>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Institucional</t>
  </si>
  <si>
    <t>Prevención y Atención de Desastres</t>
  </si>
  <si>
    <t>Los Gobernadores como jefes de la administración seccional respectiva tienen el deber de poner en marcha y mantener la continuidad de los procesos de gestión del riesgo de desastres en su territorio, así como integrar en la planificación del desarrollo departamental, acciones estratégicas y prioritarias en materia de gestión del riesgo, especialmente a través del plan de desarrollo departamental y demás instrumentos de planificación bajo su responsabilidad.</t>
  </si>
  <si>
    <t>Los municipios con la cofinanciación de la Nación y los departamentos podrán: Prevenir y atender los desastres en su jurisdicción, adecuar las áreas urbanas y rurales en zonas de alto riesgo y reubicación de asentamientos</t>
  </si>
  <si>
    <t>1.b.</t>
  </si>
  <si>
    <t>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</si>
  <si>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</si>
  <si>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De aquí a 2030, poner fin al hambre y asegurar el acceso de todas las personas, en particular los pobres y las personas en situaciones de vulnerabilidad, incluidos los niños menores de 1 año, a una alimentación sana, nutritiva y suficiente durante todo el año</t>
  </si>
  <si>
    <t>Competencias en salud pública.</t>
  </si>
  <si>
    <t>Desarrollo Comunitario</t>
  </si>
  <si>
    <t>5 y 16</t>
  </si>
  <si>
    <t>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</si>
  <si>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Educación 
(Incluye Restaurantes Escolares)</t>
  </si>
  <si>
    <t>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t>
  </si>
  <si>
    <t>Económica</t>
  </si>
  <si>
    <t>Promover, financiar o cofinanciar proyectos nacionales, departamentales o municipales de interés departamental.</t>
  </si>
  <si>
    <t>Prestar, directa o indirectamente el servicio de asistencia técnica agropecuaria.
Promover mecanismos de asociación y de alianzas de pequeños y medianos productores.</t>
  </si>
  <si>
    <t>Equipamiento Municipal</t>
  </si>
  <si>
    <t>De aquí 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 la tierra y el suelo</t>
  </si>
  <si>
    <t>Fortalecimiento Institucional</t>
  </si>
  <si>
    <t>12, 16 y 17</t>
  </si>
  <si>
    <t>De aquí a 2020, mantener la diversidad genética de las semillas, las plantas cultivadas y los animales de granja y domesticados y sus correspondientes especies silvestres, entre otras cosas mediante una buena gestión y diversificación de los bancos de semillas y plantas a nivel nacional, regional e internacional, y promover el acceso a los beneficios que se deriven de la utilización de los recursos genéticos y los conocimientos tradicionales conexos y su distribución justa y equitativa, según lo convenido internacionalmente</t>
  </si>
  <si>
    <t>Justicia y Seguridad</t>
  </si>
  <si>
    <t>2.c</t>
  </si>
  <si>
    <t>Adoptar medidas para asegurar el buen funcionamiento de los mercados de productos básicos alimentarios y sus derivados y facilitar el acceso oportuno a la información sobre los mercados, incluso sobre las reservas de alimentos, a fin de ayudar a limitar la extrema volatilidad de los precios de los alimentos</t>
  </si>
  <si>
    <t>1, 11 y 13</t>
  </si>
  <si>
    <t>Garantizar una vida sana y promover el bienestar de todos a todas las edades</t>
  </si>
  <si>
    <t>De aquí a 2030, reducir la tasa mundial de mortalidad materna a menos de 70 por cada 100.000 nacidos vivos</t>
  </si>
  <si>
    <t>Promoción del Desarrollo
(Incluye Empleo)</t>
  </si>
  <si>
    <t>4, 5, 8, 9, 11, 12 y 17</t>
  </si>
  <si>
    <t>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t>
  </si>
  <si>
    <t>Salud
(Incluye Salud Pública)</t>
  </si>
  <si>
    <t>1, 2, 3 y 5</t>
  </si>
  <si>
    <t>De aquí a 2030, poner fin a las epidemias del SIDA, la tuberculosis, la malaria y las enfermedades tropicales desatendidas y combatir la hepatitis, las enfermedades transmitidas por el agua y otras enfermedades transmisibles</t>
  </si>
  <si>
    <t>Servicios Públicos
(Excepto Agua Potable y Saneamiento)</t>
  </si>
  <si>
    <t>De aquí a 2030, reducir en un tercio la mortalidad prematura por enfermedades no transmisibles mediante su prevención y tratamiento, y promover la salud mental y el bienestar</t>
  </si>
  <si>
    <t>9 y 11</t>
  </si>
  <si>
    <t>Fortalecer la prevención y el tratamiento del abuso de sustancias adictivas, incluido el uso indebido de estupefacientes y el consumo nocivo de alcohol</t>
  </si>
  <si>
    <t>De aquí a 2020, reducir a la mitad el número de muertes y lesiones causadas por accidentes de tráfico en el mundo</t>
  </si>
  <si>
    <t>De aquí a 2030, garantizar el acceso universal a los servicios de salud sexual y reproductiva, incluidos los de planificación familiar, información y educación, y la integración de la salud reproductiva en las estrategias y los programas nacionales</t>
  </si>
  <si>
    <t>Lograr la cobertura sanitaria universal, incluida la protección contra los riesgos financieros, el acceso a servicios de salud esenciales de calidad y el acceso a medicamentos y vacunas inocuos, eficaces, asequibles y de calidad para todos</t>
  </si>
  <si>
    <t>Prestación de servicios a la población pobre no asegurada.
Aseguramiento al Régimen subsidiado de Seguridad Social en salud.
Salud pública.</t>
  </si>
  <si>
    <t>De aquí a 2030, reducir considerablemente el número de muertes y enfermedades causadas por productos químicos peligrosos y por la polución y contaminación del aire, el agua y el suelo</t>
  </si>
  <si>
    <t>3.c</t>
  </si>
  <si>
    <t>Aumentar considerablemente la financiación de la salud y la contratación, el perfeccionamiento, la capacitación y la retención del personal sanitario en los países en desarrollo, especialmente en los países menos adelantados y los pequeños Estados insulares en desarrollo</t>
  </si>
  <si>
    <t xml:space="preserve">Garantizar una educación inclusiva y equitativa de calidad y promover oportunidades de aprendizaje permanente para todos </t>
  </si>
  <si>
    <t>De aquí a 2030, asegurar que todas las niñas y todos los niños terminen la enseñanza primaria y secundaria, que ha de ser gratuita, equitativa y de calidad y producir resultados de aprendizaje pertinentes y efectivos</t>
  </si>
  <si>
    <t>Educación (incluye Restaurantes Escolares)</t>
  </si>
  <si>
    <t>Los departamentos tienen competencia en la prestación de los servicios educativos estatales  en los municipios no certificados.</t>
  </si>
  <si>
    <t>Los distritos y los  municipios certificados  tienen competencias en prestación de servicios (administración de las plantas de personal) y calidad educativa (p.ej. construcción y mantenimiento de la infraestructura educativa, dotación, transporte  escolar). Los municipios no certificados solo tienen competencia en calidad educativa</t>
  </si>
  <si>
    <t>De aquí a 2030, asegurar que todas las niñas y todos los niños tengan acceso a servicios de atención y desarrollo en la primera infancia y educación preescolar de calidad, a fin de que estén preparados para la enseñanza primaria</t>
  </si>
  <si>
    <t>Los distritos y los  municipios certificados  tienen competencias en prestación de servicios (p. ej. administración de las plantas de personal) y calidad educativa (p.ej. construcción y mantenimiento de la infraestructura educativa, dotación, transporte  escolar). Los municipios no certificados solo tienen competencia en calidad educativa</t>
  </si>
  <si>
    <t>De aquí a 2030, asegurar el acceso igualitario de todos los hombres y las mujeres a una formación técnica, profesional y superior de calidad, incluida la enseñanza universitaria</t>
  </si>
  <si>
    <t>De aquí a 2030, aumentar considerablemente el número de jóvenes y adultos que tienen las competencias necesarias, en particular técnicas y profesionales, para acceder al empleo, el trabajo decente y el emprendimiento</t>
  </si>
  <si>
    <t>Promoción del Desarrollo 
(incluye Empleo)</t>
  </si>
  <si>
    <t>Promover la capacitación, apropiación tecnológica avanzada y asesoría empresarial.</t>
  </si>
  <si>
    <t>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</si>
  <si>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De aquí a 2030, asegurar que todos los jóvenes y una proporción considerable de los adultos, tanto hombres como mujeres, estén alfabetizados y tengan nociones elementales de aritmética</t>
  </si>
  <si>
    <t>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</si>
  <si>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Desarrollar y ejecutar programas y políticas para el mantenimiento del medio ambiente y los recursos naturales renovables</t>
  </si>
  <si>
    <t>Tomar las medidas necesarias para el control, la preservación y la defensa del medio ambiente en el municipio, en coordinación con las corporaciones autónomas regionales.</t>
  </si>
  <si>
    <t>4.a</t>
  </si>
  <si>
    <t xml:space="preserve">Construir y adecuar instalaciones educativas que tengan en cuenta las necesidades de los niños y las personas con discapacidad y las diferencias de género, y que ofrezcan entornos de aprendizaje seguros, no violentos, inclusivos y eficaces para todos </t>
  </si>
  <si>
    <t>4.b</t>
  </si>
  <si>
    <t xml:space="preserve">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 </t>
  </si>
  <si>
    <t>4.c</t>
  </si>
  <si>
    <t>De aquí a 2030, aumentar considerablemente la oferta de docentes calificados, incluso mediante la cooperación internacional para la formación de docentes en los países en desarrollo, especialmente los países menos adelantados y los pequeños Estados insulares en desarrollo</t>
  </si>
  <si>
    <t>Lograr la igualdad de género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</si>
  <si>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</si>
  <si>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</si>
  <si>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</si>
  <si>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y el trabajo doméstico no remunerados mediante servicios públicos, infraestructuras y políticas de protección social, y promoviendo la responsabilidad compartida en el hogar y la familia, según proceda en cada país</t>
  </si>
  <si>
    <t>Participar en la promoción del empleo y la protección de los desempleados</t>
  </si>
  <si>
    <t>Promover el empleo y la protección a los desempleados</t>
  </si>
  <si>
    <t>Asegurar la participación plena y efectiva de las mujeres y la igualdad de oportunidades de liderazgo a todos los niveles decisorios en la vida política, económica y pública</t>
  </si>
  <si>
    <t>Medidas específicas orientadas a promover la participación de todas las personas en las decisiones que los afectan y el apoyo a las diferentes formas de organización de la sociedad</t>
  </si>
  <si>
    <t>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t>
  </si>
  <si>
    <t>5.a</t>
  </si>
  <si>
    <t xml:space="preserve">Emprender reformas que otorguen a las mujeres igualdad de derechos a los recursos económicos, así como acceso a la propiedad y al control de la tierra y otros tipos de bienes, los servicios financieros, la herencia y los recursos naturales, de conformidad con las leyes nacionales </t>
  </si>
  <si>
    <t>5.b</t>
  </si>
  <si>
    <t>Mejorar el uso de la tecnología instrumental, en particular la tecnología de la información y las comunicaciones, para promover el empoderamiento de las mujeres</t>
  </si>
  <si>
    <t>5.c</t>
  </si>
  <si>
    <t>Aprobar y fortalecer políticas acertadas y leyes aplicables para promover la igualdad de género y el empoderamiento de todas las mujeres y las niñas a todos los niveles</t>
  </si>
  <si>
    <t xml:space="preserve">Garantizar la disponibilidad y la gestión sostenible del agua y el saneamiento para todos </t>
  </si>
  <si>
    <t>De aquí a 2030, lograr el acceso universal y equitativo al agua potable a un precio asequible para todos</t>
  </si>
  <si>
    <t>Asegurar que se preste, a los habitantes de los distritos o municipios no certificados, el servicio de agua potable y saneamiento básico</t>
  </si>
  <si>
    <t>Asegurar que se presten a sus habitantes, de manera eficiente, los servicios domiciliarios de acueducto, alcantarillado y aseo, por empresas de servicios públicos de carácter oficial, privado o mixto, o directamente por la administración central del respectivo municipio.</t>
  </si>
  <si>
    <t>De aquí a 2030, lograr el acceso a servicios de saneamiento e higiene adecuados y equitativos para todos y poner fin a la defecación al aire libre, prestando especial atención a las necesidades de las mujeres y las niñas y las personas en situaciones de vulnerabilidad</t>
  </si>
  <si>
    <t>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</si>
  <si>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Ejecutar obras o proyectos de descontaminación de corrientes o depósitos de agua afectados por vertimientos, así como programas de disposición, eliminación y reciclaje de residuos líquidos y sólidos y de control a las emisiones contaminantes del aire.</t>
  </si>
  <si>
    <t>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</si>
  <si>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Realizar las actividades necesarias para el adecuado manejo y aprovechamiento de cuencas y microcuencas hidrográficas.</t>
  </si>
  <si>
    <t>De aquí a 2020, proteger y restablecer los ecosistemas relacionados con el agua, incluidos los bosques, las montañas, los humedales, los ríos, los acuíferos y los lagos</t>
  </si>
  <si>
    <t>En 2020 a proteger y restaurar los ecosistemas relacionados con el agua, incluyendo montañas, bosques, humedales, ríos, acuíferos y lagos.</t>
  </si>
  <si>
    <t>6.b</t>
  </si>
  <si>
    <t xml:space="preserve">Apoyar y fortalecer la participación de las comunidades locales en la mejora de la gestión del agua y el saneamiento </t>
  </si>
  <si>
    <t>Garantizar el acceso a una energía asequible, fiable, sostenible y moderna para todos</t>
  </si>
  <si>
    <t>De aquí a 2030, garantizar el acceso universal a servicios energéticos asequibles, fiables y modernos</t>
  </si>
  <si>
    <t>Servicios Públicos
(excepto agua y saneamiento)</t>
  </si>
  <si>
    <t>Asegurar que se presten en su territorio las actividades de transmisión de energía eléctrica, por parte de empresas oficiales, mixtas o privadas.</t>
  </si>
  <si>
    <t>Realizar directamente o a través de terceros en materia de servicios públicos además de las competencias establecidas en otras normas vigentes la construcción, ampliación rehabilitación y mejoramiento de la infraestructura de servicios públicos.</t>
  </si>
  <si>
    <t>De aquí a 2030, aumentar considerablemente la proporción de energía renovable en el conjunto de fuentes energéticas</t>
  </si>
  <si>
    <t>De aquí a 2030, duplicar la tasa mundial de mejora de la eficiencia energética</t>
  </si>
  <si>
    <t xml:space="preserve">Promover el crecimiento económico sostenido, inclusivo y sostenible, el empleo pleno y productivo y el trabajo decente para todos </t>
  </si>
  <si>
    <t>Mantener el crecimiento económico per capita de conformidad con las circunstancias nacionales y, en particular, un crecimiento del producto interno bruto de al menos el 7% anual en los países menos adelantados</t>
  </si>
  <si>
    <t>Promover asociaciones y concertar alianzas estratégicas para apoyar el desarrollo empresarial e industrial del municipio y en general las actividades generadoras de empleo.</t>
  </si>
  <si>
    <t>Lograr niveles más elevados de productividad económica mediante la diversificación, la modernización tecnológica y la innovación, entre otras cosas centrándose en los sectores con gran valor añadido y un uso intensivo de la mano de obra</t>
  </si>
  <si>
    <t>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</si>
  <si>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Participar en la promoción del empleo y la protección de los desempleados.</t>
  </si>
  <si>
    <t>Promover asociaciones y concertar alianzas estratégicas para apoyar el desarrollo empresarial e industrial del municipio y en general las actividades generadoras de empleo.
Promover la capacitación, apropiación tecnológica avanzada y asesoría empresarial.</t>
  </si>
  <si>
    <r>
      <t>De aquí a 2030, lograr el empleo pleno y productivo y el trabajo decente para todas las mujeres y los hombres, incluidos los jóvenes y las personas con discapacidad, así como la igualdad de remuneración por trabajo de igual valor</t>
    </r>
    <r>
      <rPr>
        <sz val="10"/>
        <color indexed="8"/>
        <rFont val="Calibri"/>
        <family val="2"/>
        <scheme val="minor"/>
      </rPr>
      <t>.</t>
    </r>
  </si>
  <si>
    <t>De aquí a 2020, reducir considerablemente la proporción de jóvenes que no están empleados y no cursan estudios ni reciben capacitación</t>
  </si>
  <si>
    <t xml:space="preserve">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 </t>
  </si>
  <si>
    <t>Proteger los derechos laborales y promover un entorno de trabajo seguro y sin riesgos para todos los trabajadores, incluidos los trabajadores migrantes, en particular las mujeres migrantes y las personas con empleos precarios</t>
  </si>
  <si>
    <t>De aquí a 2030, elaborar y poner en práctica políticas encaminadas a promover un turismo sostenible que cree puestos de trabajo y promueva la cultura y los productos locales</t>
  </si>
  <si>
    <t>8.10.</t>
  </si>
  <si>
    <t>Fortalecer la capacidad de las instituciones financieras nacionales para fomentar y ampliar el acceso a los servicios bancarios, financieros y de seguros para todos</t>
  </si>
  <si>
    <t xml:space="preserve">Construir infraestructuras resilientes, promover la industrialización inclusiva y sostenible y fomentar la innovación </t>
  </si>
  <si>
    <t>Desarrollar infraestructuras fiables, sostenibles, resilientes y de calidad, incluidas infraestructuras regionales y transfronterizas, para apoyar el desarrollo económico y el bienestar humano, haciendo especial hincapié en el acceso asequible y equitativo para todos</t>
  </si>
  <si>
    <t>Adelantar la construcción y la conservación de todos los componentes de la infraestructura de transporte que les corresponda.</t>
  </si>
  <si>
    <t>Construir y conservar la infraestructura municipal de transporte, las vías urbanas, suburbanas, veredales y aquellas que sean propiedad del municipio, las instalaciones portuarias, fluviales y marítimas, los aeropuertos y los terminales de transporte terrestre, en la medida que sean de su propiedad o cuando éstos le sean transferidos directa o indirectamente.
Planear e identificar prioridades de infraestructura de transporte en su jurisdicción y desarrollar alternativas viables.</t>
  </si>
  <si>
    <t>Aumentar el acceso de las pequeñas industrias y otras empresas, particularmente en los países en desarrollo, a los servicios financieros, incluidos créditos asequibles, y su integración en las cadenas de valor y los mercados</t>
  </si>
  <si>
    <t>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</si>
  <si>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9.c</t>
  </si>
  <si>
    <t>Aumentar significativamente el acceso a la tecnología de la información y las comunicaciones y esforzarse por proporcionar acceso universal y asequible a Internet en los países menos adelantados de aquí a 2020</t>
  </si>
  <si>
    <t>Reducir la desigualdad en los países y entre ellos</t>
  </si>
  <si>
    <t xml:space="preserve">De aquí a 2030, lograr progresivamente y mantener el crecimiento de los ingresos del 40% más pobre de la población a una tasa superior a la media nacional </t>
  </si>
  <si>
    <t xml:space="preserve">De aquí a 2030, potenciar y promover la inclusión social, económica y política de todas las personas, independientemente de su edad, sexo, discapacidad, raza, etnia, origen, religión o situación económica u otra condición </t>
  </si>
  <si>
    <t xml:space="preserve">Garantizar la igualdad de oportunidades y reducir la desigualdad de resultados, incluso eliminando las leyes, políticas y prácticas discriminatorias y promoviendo legislaciones, políticas y medidas adecuadas a ese respecto </t>
  </si>
  <si>
    <t>Lograr que las ciudades y los asentamientos humanos sean inclusivos, seguros, resilientes y sostenibles</t>
  </si>
  <si>
    <t>De aquí a 2030, asegurar el acceso de todas las personas a viviendas y servicios básicos adecuados, seguros y asequibles y mejorar los barrios marginales</t>
  </si>
  <si>
    <t>Participar en el Sistema Nacional de Vivienda de Interés Social.
Promover y apoyar programas o proyectos de vivienda de interés social, otorgando subsidios para dicho objeto, de conformidad con los criterios de focalización nacionales, si existe disponibilidad de recursos para ello.</t>
  </si>
  <si>
    <t>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</si>
  <si>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Planear e identificar prioridades de infraestructura de transporte en su jurisdicción y desarrollar alternativas viables.</t>
  </si>
  <si>
    <t>De aquí a 2030, aumentar la urbanización inclusiva y sostenible y la capacidad para la planificación y la gestión participativas, integradas y sostenibles de los asentamientos humanos en todos los países</t>
  </si>
  <si>
    <t>Redoblar los esfuerzos para proteger y salvaguardar el patrimonio cultural y natural del mundo</t>
  </si>
  <si>
    <t>Coordinar acciones entre los municipios orientadas a desarrollar programas y actividades que permitan fomentar las artes en todas sus expresiones y demás manifestaciones simbólicas expresivas.</t>
  </si>
  <si>
    <t>Apoyar la construcción, dotación, sostenimiento y mantenimiento de la infraestructura cultural del municipio y su apropiación creativa por parte de las comunidades; y proteger el patrimonio cultural en sus distintas expresiones y su adecuada incorporación al crecimiento económico y a los procesos de construcción ciudadana.</t>
  </si>
  <si>
    <t>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</si>
  <si>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De aquí a 2030, reducir el impacto ambiental negativo per capita de las ciudades, incluso prestando especial atención a la calidad del aire y la gestión de los desechos municipales y de otro tipo</t>
  </si>
  <si>
    <t>Coordinar y dirigir con la colaboración de las Corporaciones Autónomas Regionales, las actividades de control y vigilancia ambientales intermunicipales, que se realicen en el territorio del departamento.</t>
  </si>
  <si>
    <t>De aquí a 2030, proporcionar acceso universal a zonas verdes y espacios públicos seguros, inclusivos y accesibles, en particular para las mujeres y los niños, las personas de edad y las personas con discapacidad</t>
  </si>
  <si>
    <t>Construir, ampliar y mantener la infraestructura del edificio de la Alcaldía, las plazas públicas, el cementerio, el matadero municipal y la plaza de mercado y los demás bienes de uso público, cuando sean de su propiedad.</t>
  </si>
  <si>
    <t>11.a</t>
  </si>
  <si>
    <t>Apoyar los vínculos económicos, sociales y ambientales positivos entre las zonas urbanas, periurbanas y rurales fortaleciendo la planificación del desarrollo nacional y regional</t>
  </si>
  <si>
    <t>11.b</t>
  </si>
  <si>
    <t xml:space="preserve">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 2030, la gestión integral de los riesgos de desastre a todos los niveles </t>
  </si>
  <si>
    <t>Desarrollar y ejecutar programas y políticas para el mantenimiento del medio ambiente y los recursos naturales renovables.</t>
  </si>
  <si>
    <t xml:space="preserve">Garantizar modalidades de consumo y producción sostenibles </t>
  </si>
  <si>
    <t>De aquí a 2030, lograr la gestión sostenible y el uso eficiente de los recursos naturales</t>
  </si>
  <si>
    <t>De aquí a 2030, reducir a la mitad el desperdicio de alimentos per capita mundial en la venta al por menor y a nivel de los consumidores y reducir las pérdidas de alimentos en las cadenas de producción y suministro, incluidas las pérdidas posteriores a la cosecha</t>
  </si>
  <si>
    <t>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t>
  </si>
  <si>
    <t>De aquí a 2030, reducir considerablemente la generación de desechos mediante actividades de prevención, reducción, reciclado y reutilización</t>
  </si>
  <si>
    <t>Promover prácticas de adquisición pública que sean sostenibles, de conformidad con las políticas y prioridades nacionales</t>
  </si>
  <si>
    <t>Asesorar y prestar asistencia técnica, administrativa y financiera a los municipios y a las instituciones de prestación de servicios para el ejercicio de las competencias asignadas por la ley, cuando a ello haya lugar.</t>
  </si>
  <si>
    <t>Adelantar las actividades relacionadas con la reorganización de la administración local con el fin de optimizar su capacidad para la atención de sus competencias constitucionales y legales</t>
  </si>
  <si>
    <t>12.b</t>
  </si>
  <si>
    <t>Elaborar y aplicar instrumentos para vigilar los efectos en el desarrollo sostenible, a fin de lograr un turismo sostenible que cree puestos de trabajo y promueva la cultura y los productos locales</t>
  </si>
  <si>
    <r>
      <t xml:space="preserve">Adoptar medidas urgentes para combatir el cambio climático y sus efectos*
</t>
    </r>
    <r>
      <rPr>
        <sz val="11"/>
        <color indexed="8"/>
        <rFont val="Calibri"/>
        <family val="2"/>
        <scheme val="minor"/>
      </rPr>
      <t>*Reconociendo que la Convención Marco de las Naciones Unidas sobre el Cambio Climático es el principal foro intergubernamental internacional para negociar la respuesta mundial al cambio climático.</t>
    </r>
  </si>
  <si>
    <t>Fortalecer la resiliencia y la capacidad de adaptación a los riesgos relacionados con el clima y los desastres naturales en todos los países</t>
  </si>
  <si>
    <t>Adoptar medidas urgentes para combatir el cambio climático y sus efectos*
*Reconociendo que la Convención Marco de las Naciones Unidas sobre el Cambio Climático es el principal foro intergubernamental internacional para negociar la respuesta mundial al cambio climático.</t>
  </si>
  <si>
    <t>Incorporar medidas relativas al cambio climático en las políticas, estrategias y planes nacionales</t>
  </si>
  <si>
    <t>Mejorar la educación, la sensibilización y la capacidad humana e institucional respecto de la mitigación del cambio climático, la adaptación a él, la reducción de sus efectos y la alerta temprana</t>
  </si>
  <si>
    <t xml:space="preserve">Conservar y utilizar sosteniblemente los océanos, los mares y los recursos marinos para el desarrollo sostenible </t>
  </si>
  <si>
    <t xml:space="preserve">De aquí a 2025, prevenir y reducir significativamente la contaminación marina de todo tipo, en particular la producida por actividades realizadas en tierra, incluidos los detritos marinos y la polución por nutrientes </t>
  </si>
  <si>
    <t xml:space="preserve">De aquí a 2020, gestionar y proteger sosteniblemente los ecosistemas marinos y costeros para evitar efectos adversos importantes, incluso fortaleciendo su resiliencia, y adoptar medidas para restaurarlos a fin de restablecer la salud y la productividad de los océanos </t>
  </si>
  <si>
    <t xml:space="preserve">De aquí a 2020, reglamentar eficazmente la explotación pesquera y poner fin a la pesca excesiva, la pesca ilegal, no declarada y no reglamentada y las prácticas pesqueras destructivas, y aplicar planes de gestión con fundamento científico a fin de restablecer las poblaciones de peces en el plazo más breve posible, al menos alcanzando niveles que puedan producir el máximo rendimiento sostenible de acuerdo con sus características biológicas </t>
  </si>
  <si>
    <t xml:space="preserve">De aquí a 2020, conservar al menos el 10% de las zonas costeras y marinas, de conformidad con las leyes nacionales y el derecho internacional y sobre la base de la mejor información científica disponible </t>
  </si>
  <si>
    <t>14.b</t>
  </si>
  <si>
    <t xml:space="preserve">Facilitar el acceso de los pescadores artesanales a los recursos marinos y los mercados </t>
  </si>
  <si>
    <t>Proteger, restablecer y promover el uso sostenible de los ecosistemas terrestres, gestionar sosteniblemente los bosques, luchar contra la desertificación, detener e invertir la degradación de las tierras y detener la pérdida de biodiversidad</t>
  </si>
  <si>
    <t>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</si>
  <si>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Desarrollar y ejecutar programas y políticas para el mantenimiento del medio ambiente y los recursos naturales renovables.
Coordinar y dirigir con la colaboración de las Corporaciones Autónomas Regionales, las actividades de control y vigilancia ambientales intermunicipales, que se realicen en el territorio del departamento.</t>
  </si>
  <si>
    <t>De aquí a 2020, promover la puesta en práctica de la gestión sostenible de todos los tipos de bosques, detener la deforestación, recuperar los bosques degradados y aumentar considerablemente la forestación y la reforestación a nivel mundial</t>
  </si>
  <si>
    <t>De aquí a 2030, luchar contra la desertificación, rehabilitar las tierras y los suelos degradados, incluidas las tierras afectadas por la desertificación, la sequía y las inundaciones, y procurar lograr un mundo con efecto neutro en la degradación del suelo</t>
  </si>
  <si>
    <t>De aquí a 2030, asegurar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</si>
  <si>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biodiversidad y, de aquí a 2020, proteger las especies amenazadas y evitar su extinción</t>
  </si>
  <si>
    <t xml:space="preserve">Adoptar medidas urgentes para poner fin a la caza furtiva y el tráfico de especies protegidas de flora y fauna y abordar tanto la demanda como la oferta de productos ilegales de flora y fauna silvestres </t>
  </si>
  <si>
    <t>De aquí a 2020, integrar los valores de los ecosistemas y la biodiversidad en la planificación, los procesos de desarrollo, las estrategias de reducción de la pobreza y la contabilidad nacionales y locales</t>
  </si>
  <si>
    <t>15.a</t>
  </si>
  <si>
    <t>Movilizar y aumentar significativamente los recursos financieros procedentes de todas las fuentes para conservar y utilizar de forma sostenible la biodiversidad y los ecosistemas</t>
  </si>
  <si>
    <t>Promover sociedades pacíficas e inclusivas para el desarrollo sostenible, facilitar el acceso a la justicia para todos y construir a todos los niveles instituciones eficaces e inclusivas que rindan cuentas</t>
  </si>
  <si>
    <t>Reducir significativamente todas las formas de violencia y las correspondientes tasas de mortalidad en todo el mundo</t>
  </si>
  <si>
    <t>Los municipios podrán financiar las inspecciones de policía para la atención de las contravenciones y demás actividades de policía de competencia municipal.</t>
  </si>
  <si>
    <t>Poner fin al maltrato, la explotación, la trata y todas las formas de violencia y tortura contra los niños</t>
  </si>
  <si>
    <t>Promover el estado de derecho en los planos nacional e internacional y garantizar la igualdad de acceso a la justicia para todos</t>
  </si>
  <si>
    <t>De aquí a 2030, reducir significativamente las corrientes financieras y de armas ilícitas, fortalecer la recuperación y devolución de los activos robados y luchar contra todas las formas de delincuencia organizada</t>
  </si>
  <si>
    <t>Reducir considerablemente la corrupción y el soborno en todas sus formas</t>
  </si>
  <si>
    <t>Adelantar las actividades relacionadas con la reorganización de la administración local con el fin de optimizar su capacidad para la atención de sus competencias constitucionales y legales.</t>
  </si>
  <si>
    <t>Crear a todos los niveles instituciones eficaces y transparentes que rindan cuentas</t>
  </si>
  <si>
    <t xml:space="preserve">Garantizar la adopción en todos los niveles de decisiones inclusivas, participativas y representativas que respondan a las necesidades </t>
  </si>
  <si>
    <t>Promover la participación de todas las personas en las decisiones que los afectan y el apoyo a las diferentes formas de organización de la sociedad.</t>
  </si>
  <si>
    <t>De aquí a 2030, proporcionar acceso a una identidad jurídica para todos, en particular mediante el registro de nacimientos</t>
  </si>
  <si>
    <t>16.10.</t>
  </si>
  <si>
    <t>Garantizar el acceso público a la información y proteger las libertades fundamentales, de conformidad con las leyes nacionales y los acuerdos internacionales</t>
  </si>
  <si>
    <t>Fortalecer los medios de implementación y revitalizar la Alianza Mundial para el Desarrollo Sostenible</t>
  </si>
  <si>
    <t>Fortalecer la movilización de recursos internos, incluso mediante la prestación de apoyo internacional a los países en desarrollo, con el fin de mejorar la capacidad nacional para recaudar ingresos fiscales y de otra índole</t>
  </si>
  <si>
    <t>17.14.</t>
  </si>
  <si>
    <t>Mejorar la coherencia de las políticas para el desarrollo sostenible</t>
  </si>
  <si>
    <t>Fomentar y promover la constitución de alianzas eficaces en las esferas pública, público-privada y de la sociedad civil, aprovechando la experiencia y las estrategias de obtención de recursos de las alianzas</t>
  </si>
  <si>
    <t>M</t>
  </si>
  <si>
    <r>
      <t xml:space="preserve">Construir  </t>
    </r>
    <r>
      <rPr>
        <u/>
        <sz val="10"/>
        <color rgb="FFFF0000"/>
        <rFont val="Arial"/>
        <family val="2"/>
      </rPr>
      <t>1</t>
    </r>
    <r>
      <rPr>
        <sz val="10"/>
        <color rgb="FF000000"/>
        <rFont val="Arial"/>
        <family val="2"/>
      </rPr>
      <t xml:space="preserve"> Colegios 10 en la zona urbana del Municipio de La Plata.</t>
    </r>
  </si>
  <si>
    <r>
      <t xml:space="preserve">Construir </t>
    </r>
    <r>
      <rPr>
        <u/>
        <sz val="10"/>
        <color rgb="FFFF0000"/>
        <rFont val="Arial"/>
        <family val="2"/>
      </rPr>
      <t>4</t>
    </r>
    <r>
      <rPr>
        <sz val="10"/>
        <color rgb="FF000000"/>
        <rFont val="Arial"/>
        <family val="2"/>
      </rPr>
      <t xml:space="preserve"> Restaurantes Escolares en el municipio durante el cuatrienio </t>
    </r>
  </si>
  <si>
    <r>
      <t xml:space="preserve">Realizar </t>
    </r>
    <r>
      <rPr>
        <u/>
        <sz val="10"/>
        <color rgb="FFFF0000"/>
        <rFont val="Arial"/>
        <family val="2"/>
      </rPr>
      <t>35</t>
    </r>
    <r>
      <rPr>
        <sz val="10"/>
        <color rgb="FF000000"/>
        <rFont val="Arial"/>
        <family val="2"/>
      </rPr>
      <t xml:space="preserve"> obras de construcción y/o mejoramientos a la infraestructura educativa municipal durante el cuatrienio</t>
    </r>
  </si>
  <si>
    <r>
      <rPr>
        <u/>
        <sz val="10"/>
        <color rgb="FFFF0000"/>
        <rFont val="Arial"/>
        <family val="2"/>
      </rPr>
      <t xml:space="preserve">Apoyar la </t>
    </r>
    <r>
      <rPr>
        <sz val="10"/>
        <color rgb="FF000000"/>
        <rFont val="Arial"/>
        <family val="2"/>
      </rPr>
      <t>estrategia de “Escuela para Padres” en las 18 IE con el propósito de vincular de manera más directa al padre de familia en la formación educativa de los hijos, en el cuatrienio</t>
    </r>
  </si>
  <si>
    <r>
      <rPr>
        <u/>
        <sz val="10"/>
        <color rgb="FFFF0000"/>
        <rFont val="Arial"/>
        <family val="2"/>
      </rPr>
      <t xml:space="preserve">Gestionar el acceso al sistema escolar de la población </t>
    </r>
    <r>
      <rPr>
        <sz val="10"/>
        <color rgb="FF000000"/>
        <rFont val="Arial"/>
        <family val="2"/>
      </rPr>
      <t>víctima por fuera del sistema, durante el cuatrienio</t>
    </r>
  </si>
  <si>
    <t>E</t>
  </si>
  <si>
    <t>Realizar apoyo y acompañamiento a los semilleros de investigación que se encuentran funcionando en el municipio, durante el cuatrenio.</t>
  </si>
  <si>
    <r>
      <rPr>
        <u/>
        <sz val="10"/>
        <color rgb="FFFF0000"/>
        <rFont val="Arial"/>
        <family val="2"/>
      </rPr>
      <t>Apoyar</t>
    </r>
    <r>
      <rPr>
        <sz val="10"/>
        <color rgb="FF000000"/>
        <rFont val="Arial"/>
        <family val="2"/>
      </rPr>
      <t xml:space="preserve"> 4 programas de alfabetización para el cambio, dirigido a la población analfabeta del municipio.</t>
    </r>
  </si>
  <si>
    <r>
      <t xml:space="preserve">No. De programas de </t>
    </r>
    <r>
      <rPr>
        <u/>
        <sz val="10"/>
        <color rgb="FFFF0000"/>
        <rFont val="Arial"/>
        <family val="2"/>
      </rPr>
      <t>alfabetización con seguimiento</t>
    </r>
  </si>
  <si>
    <r>
      <rPr>
        <u/>
        <sz val="10"/>
        <color rgb="FFFF0000"/>
        <rFont val="Arial"/>
        <family val="2"/>
      </rPr>
      <t xml:space="preserve">Realizar una capacitación de apoyo que fomente el </t>
    </r>
    <r>
      <rPr>
        <sz val="10"/>
        <color rgb="FF000000"/>
        <rFont val="Arial"/>
        <family val="2"/>
      </rPr>
      <t xml:space="preserve"> r</t>
    </r>
    <r>
      <rPr>
        <u/>
        <sz val="10"/>
        <color rgb="FFFF0000"/>
        <rFont val="Arial"/>
        <family val="2"/>
      </rPr>
      <t>econocimiento y legalización a los diferentes grupos</t>
    </r>
    <r>
      <rPr>
        <sz val="10"/>
        <color rgb="FF000000"/>
        <rFont val="Arial"/>
        <family val="2"/>
      </rPr>
      <t xml:space="preserve"> culturales del municipio durante el cuatrienio</t>
    </r>
  </si>
  <si>
    <r>
      <rPr>
        <u/>
        <sz val="10"/>
        <color rgb="FFFF0000"/>
        <rFont val="Arial"/>
        <family val="2"/>
      </rPr>
      <t>Formular</t>
    </r>
    <r>
      <rPr>
        <sz val="10"/>
        <rFont val="Arial"/>
        <family val="2"/>
      </rPr>
      <t xml:space="preserve"> 1 Plan Decenal Municipal de Cultura  durante el cuatrienio.</t>
    </r>
  </si>
  <si>
    <r>
      <t xml:space="preserve">Realizar 2 </t>
    </r>
    <r>
      <rPr>
        <u/>
        <sz val="10"/>
        <color rgb="FFFF0000"/>
        <rFont val="Arial"/>
        <family val="2"/>
      </rPr>
      <t>capacitaciones</t>
    </r>
    <r>
      <rPr>
        <sz val="10"/>
        <color rgb="FF000000"/>
        <rFont val="Arial"/>
        <family val="2"/>
      </rPr>
      <t xml:space="preserve"> para promover la comercialización del sector artesanal  durante el cuatrienio</t>
    </r>
  </si>
  <si>
    <r>
      <t xml:space="preserve">No. De </t>
    </r>
    <r>
      <rPr>
        <u/>
        <sz val="10"/>
        <color rgb="FFFF0000"/>
        <rFont val="Arial"/>
        <family val="2"/>
      </rPr>
      <t>capacitaciones</t>
    </r>
    <r>
      <rPr>
        <sz val="10"/>
        <color rgb="FF000000"/>
        <rFont val="Arial"/>
        <family val="2"/>
      </rPr>
      <t xml:space="preserve"> realizadas</t>
    </r>
  </si>
  <si>
    <r>
      <rPr>
        <u/>
        <sz val="10"/>
        <color rgb="FFFF0000"/>
        <rFont val="Arial"/>
        <family val="2"/>
      </rPr>
      <t xml:space="preserve">Implementar medidas de salvaguarda </t>
    </r>
    <r>
      <rPr>
        <sz val="10"/>
        <color rgb="FF000000"/>
        <rFont val="Arial"/>
        <family val="2"/>
      </rPr>
      <t>del FESTIVAL FOLKLORICO Y SANPEDRINO DEL SUR OCCIDENTE HUILENSE Y ORIENTE CAUCANO, durante el cuatrienio</t>
    </r>
  </si>
  <si>
    <r>
      <t>No.</t>
    </r>
    <r>
      <rPr>
        <u/>
        <sz val="10"/>
        <color rgb="FFFF0000"/>
        <rFont val="Arial"/>
        <family val="2"/>
      </rPr>
      <t xml:space="preserve"> De medidas implementadas</t>
    </r>
  </si>
  <si>
    <r>
      <t xml:space="preserve">Suministrar 2 dotaciones </t>
    </r>
    <r>
      <rPr>
        <u/>
        <sz val="10"/>
        <color rgb="FFFF0000"/>
        <rFont val="Arial"/>
        <family val="2"/>
      </rPr>
      <t>mantenimiento y/o compra de accesorios, para los</t>
    </r>
    <r>
      <rPr>
        <sz val="10"/>
        <rFont val="Arial"/>
        <family val="2"/>
      </rPr>
      <t xml:space="preserve"> instrumentos para las bandas musicales y de paz, durante el cuatrienio</t>
    </r>
  </si>
  <si>
    <r>
      <t xml:space="preserve">No. de dotaciones </t>
    </r>
    <r>
      <rPr>
        <u/>
        <sz val="10"/>
        <color rgb="FFFF0000"/>
        <rFont val="Arial"/>
        <family val="2"/>
      </rPr>
      <t xml:space="preserve">mantenimientos y/o compras de accesorios </t>
    </r>
    <r>
      <rPr>
        <sz val="10"/>
        <color rgb="FF000000"/>
        <rFont val="Arial"/>
        <family val="2"/>
      </rPr>
      <t>suministradas en el cuatrienio</t>
    </r>
  </si>
  <si>
    <r>
      <t>Capacitar a 400 personas</t>
    </r>
    <r>
      <rPr>
        <u/>
        <sz val="10"/>
        <color rgb="FFFF0000"/>
        <rFont val="Arial"/>
        <family val="2"/>
      </rPr>
      <t xml:space="preserve">en la biblioteca Simon Bolivar, </t>
    </r>
    <r>
      <rPr>
        <sz val="10"/>
        <color rgb="FF000000"/>
        <rFont val="Arial"/>
        <family val="2"/>
      </rPr>
      <t>manejo de las TIC´S y manejo del SIABUT, en el cuatrienio.</t>
    </r>
  </si>
  <si>
    <r>
      <rPr>
        <u/>
        <sz val="10"/>
        <color rgb="FFFF0000"/>
        <rFont val="Arial"/>
        <family val="2"/>
      </rPr>
      <t>Actualizar</t>
    </r>
    <r>
      <rPr>
        <sz val="10"/>
        <color rgb="FF000000"/>
        <rFont val="Arial"/>
        <family val="2"/>
      </rPr>
      <t xml:space="preserve"> 1 Plan Local de Deporte, Recreación, Educación Física y Aprovechamiento del Tiempo Libre en el Cuatrienio.</t>
    </r>
  </si>
  <si>
    <r>
      <t xml:space="preserve">No. De Planes </t>
    </r>
    <r>
      <rPr>
        <u/>
        <sz val="10"/>
        <color rgb="FFFF0000"/>
        <rFont val="Arial"/>
        <family val="2"/>
      </rPr>
      <t>actualizados</t>
    </r>
  </si>
  <si>
    <r>
      <t xml:space="preserve">Construir </t>
    </r>
    <r>
      <rPr>
        <u/>
        <sz val="10"/>
        <color rgb="FFFF0000"/>
        <rFont val="Arial"/>
        <family val="2"/>
      </rPr>
      <t xml:space="preserve">13 </t>
    </r>
    <r>
      <rPr>
        <sz val="10"/>
        <rFont val="Arial"/>
        <family val="2"/>
      </rPr>
      <t>cubiertas para escenarios deportivos en el sector rural y urbano en el municipio en el cuatrienio (LB 4)</t>
    </r>
  </si>
  <si>
    <r>
      <t xml:space="preserve">Construir  </t>
    </r>
    <r>
      <rPr>
        <u/>
        <sz val="10"/>
        <color rgb="FFFF0000"/>
        <rFont val="Arial"/>
        <family val="2"/>
      </rPr>
      <t>3</t>
    </r>
    <r>
      <rPr>
        <sz val="10"/>
        <rFont val="Arial"/>
        <family val="2"/>
      </rPr>
      <t xml:space="preserve"> Parques Biosaludables  en el sector rural y/o urbano en el municipio en el cuatrienio</t>
    </r>
  </si>
  <si>
    <r>
      <t xml:space="preserve">Realizar </t>
    </r>
    <r>
      <rPr>
        <u/>
        <sz val="10"/>
        <color rgb="FFFF0000"/>
        <rFont val="Arial"/>
        <family val="2"/>
      </rPr>
      <t>3</t>
    </r>
    <r>
      <rPr>
        <sz val="10"/>
        <color rgb="FF000000"/>
        <rFont val="Arial"/>
        <family val="2"/>
      </rPr>
      <t xml:space="preserve">  olimpiadas campesinas durante el cuatrienio</t>
    </r>
  </si>
  <si>
    <r>
      <rPr>
        <u/>
        <sz val="10"/>
        <color rgb="FFFF0000"/>
        <rFont val="Arial"/>
        <family val="2"/>
      </rPr>
      <t>Apoyar una actividad anual</t>
    </r>
    <r>
      <rPr>
        <sz val="10"/>
        <color rgb="FF000000"/>
        <rFont val="Arial"/>
        <family val="2"/>
      </rPr>
      <t xml:space="preserve">  a Clubes Deportivos del municipio durante el cuatrienio.</t>
    </r>
  </si>
  <si>
    <r>
      <t xml:space="preserve">No. De </t>
    </r>
    <r>
      <rPr>
        <u/>
        <sz val="10"/>
        <color rgb="FFFF0000"/>
        <rFont val="Arial"/>
        <family val="2"/>
      </rPr>
      <t>actividades apoyadas</t>
    </r>
  </si>
  <si>
    <t>MAURICIO LEGARDA GONZALEZ</t>
  </si>
  <si>
    <r>
      <t xml:space="preserve">Realizar </t>
    </r>
    <r>
      <rPr>
        <u/>
        <sz val="10"/>
        <color rgb="FFFF0000"/>
        <rFont val="Arial"/>
        <family val="2"/>
      </rPr>
      <t xml:space="preserve">5 </t>
    </r>
    <r>
      <rPr>
        <sz val="10"/>
        <color rgb="FF000000"/>
        <rFont val="Arial"/>
        <family val="2"/>
      </rPr>
      <t>capacitaciones  a familias,  durante el cuatrienio, en el tema de "créditos de vivienda".</t>
    </r>
  </si>
  <si>
    <r>
      <t xml:space="preserve">Construcción de </t>
    </r>
    <r>
      <rPr>
        <u/>
        <sz val="10"/>
        <color rgb="FFFF0000"/>
        <rFont val="Arial"/>
        <family val="2"/>
      </rPr>
      <t>1900</t>
    </r>
    <r>
      <rPr>
        <sz val="10"/>
        <rFont val="Arial"/>
        <family val="2"/>
      </rPr>
      <t xml:space="preserve"> ML de nueva Red de acueducto en el cuatrienio durante el cuatrienio.</t>
    </r>
  </si>
  <si>
    <r>
      <t xml:space="preserve">Reposición de </t>
    </r>
    <r>
      <rPr>
        <u/>
        <sz val="10"/>
        <color rgb="FFFF0000"/>
        <rFont val="Arial"/>
        <family val="2"/>
      </rPr>
      <t>2700</t>
    </r>
    <r>
      <rPr>
        <sz val="10"/>
        <rFont val="Arial"/>
        <family val="2"/>
      </rPr>
      <t xml:space="preserve"> ML de redes de acueducto en el cuatrienio</t>
    </r>
  </si>
  <si>
    <r>
      <t xml:space="preserve">Construir y/o reponer </t>
    </r>
    <r>
      <rPr>
        <u/>
        <sz val="10"/>
        <color rgb="FFFF0000"/>
        <rFont val="Arial"/>
        <family val="2"/>
      </rPr>
      <t>3,200</t>
    </r>
    <r>
      <rPr>
        <sz val="10"/>
        <color rgb="FF000000"/>
        <rFont val="Arial"/>
        <family val="2"/>
      </rPr>
      <t xml:space="preserve"> ml de alcantarillado durante el cuatrienio</t>
    </r>
  </si>
  <si>
    <r>
      <rPr>
        <u/>
        <sz val="10"/>
        <color rgb="FFFF0000"/>
        <rFont val="Arial"/>
        <family val="2"/>
      </rPr>
      <t>Gestionar</t>
    </r>
    <r>
      <rPr>
        <sz val="10"/>
        <rFont val="Arial"/>
        <family val="2"/>
      </rPr>
      <t xml:space="preserve">  esfuerzos con entidades públicas o privadas </t>
    </r>
    <r>
      <rPr>
        <u/>
        <sz val="10"/>
        <color rgb="FFFF0000"/>
        <rFont val="Arial"/>
        <family val="2"/>
      </rPr>
      <t xml:space="preserve">para formulación de un proyecto </t>
    </r>
    <r>
      <rPr>
        <sz val="10"/>
        <rFont val="Arial"/>
        <family val="2"/>
      </rPr>
      <t>de  1 relleno sanitario regional en el occidente del Huila, durante el cuatrienio</t>
    </r>
  </si>
  <si>
    <r>
      <t xml:space="preserve">No. De </t>
    </r>
    <r>
      <rPr>
        <sz val="10"/>
        <color rgb="FFFF0000"/>
        <rFont val="Arial"/>
        <family val="2"/>
      </rPr>
      <t>proyecto</t>
    </r>
    <r>
      <rPr>
        <sz val="10"/>
        <color rgb="FF000000"/>
        <rFont val="Arial"/>
        <family val="2"/>
      </rPr>
      <t xml:space="preserve"> gestionado</t>
    </r>
  </si>
  <si>
    <t>OSCAR IVAN SANTOFIMIO CABRERA</t>
  </si>
  <si>
    <t>Articular 2 estrategias con el ICBF y la gobernación del Huila, conducentes a lograr la inclusión al sistema educativo de NNA en situación de discapacidad y la Inclusión a programas de educación inicial, durante el cuatrienio</t>
  </si>
  <si>
    <r>
      <t xml:space="preserve">Construir </t>
    </r>
    <r>
      <rPr>
        <u/>
        <sz val="10"/>
        <color rgb="FFFF0000"/>
        <rFont val="Arial"/>
        <family val="2"/>
      </rPr>
      <t xml:space="preserve">8 </t>
    </r>
    <r>
      <rPr>
        <sz val="10"/>
        <rFont val="Arial"/>
        <family val="2"/>
      </rPr>
      <t xml:space="preserve">parques infantiles, durante el cuatrienio. </t>
    </r>
  </si>
  <si>
    <t>A.14.1.25</t>
  </si>
  <si>
    <t>Suministrar dotación a los 6 CDI del municipio de La Plata, durante el cuatrenio</t>
  </si>
  <si>
    <t xml:space="preserve">No. CDI dotación </t>
  </si>
  <si>
    <t>HERNAN RODRIGUEZ FALLA</t>
  </si>
  <si>
    <r>
      <t xml:space="preserve">Realizar 4 reuniones de concertación entre el </t>
    </r>
    <r>
      <rPr>
        <u/>
        <sz val="10"/>
        <color rgb="FFFF0000"/>
        <rFont val="Arial"/>
        <family val="2"/>
      </rPr>
      <t>plataforma juvenil</t>
    </r>
    <r>
      <rPr>
        <sz val="10"/>
        <color rgb="FF000000"/>
        <rFont val="Arial"/>
        <family val="2"/>
      </rPr>
      <t xml:space="preserve"> y el gabinete municipal, durante el cuatrienio. </t>
    </r>
  </si>
  <si>
    <t>A.14.2.11</t>
  </si>
  <si>
    <t xml:space="preserve">Una estrategia implementada cada año mediante los enlaces municipales, para atención integral de la población Juvenir </t>
  </si>
  <si>
    <t>Estrategia Implementada</t>
  </si>
  <si>
    <r>
      <t xml:space="preserve">Realizar 4 celebraciones del día de la discapacidad, </t>
    </r>
    <r>
      <rPr>
        <u/>
        <sz val="10"/>
        <color rgb="FFFF0000"/>
        <rFont val="Arial"/>
        <family val="2"/>
      </rPr>
      <t>2 de las fiestas tradicionales sampedrinas</t>
    </r>
    <r>
      <rPr>
        <sz val="10"/>
        <rFont val="Arial"/>
        <family val="2"/>
      </rPr>
      <t xml:space="preserve"> durante el cuatrienio. </t>
    </r>
  </si>
  <si>
    <t>A.14.5.27</t>
  </si>
  <si>
    <t>Celebrar el día de la Afrocolombianidad cada año</t>
  </si>
  <si>
    <t>Dia de la afrocolombianidad celebrado</t>
  </si>
  <si>
    <r>
      <rPr>
        <u/>
        <sz val="10"/>
        <color rgb="FFFF0000"/>
        <rFont val="Arial"/>
        <family val="2"/>
      </rPr>
      <t>Buscar una alternativa</t>
    </r>
    <r>
      <rPr>
        <sz val="10"/>
        <color rgb="FF000000"/>
        <rFont val="Arial"/>
        <family val="2"/>
      </rPr>
      <t xml:space="preserve"> para ofertar líneas de crédito blando con bajas tasas de interés dirigidas al mejoramiento de la planta turística, durante el cuatrienio.</t>
    </r>
  </si>
  <si>
    <r>
      <t xml:space="preserve">No. </t>
    </r>
    <r>
      <rPr>
        <u/>
        <sz val="10"/>
        <color rgb="FFFF0000"/>
        <rFont val="Arial"/>
        <family val="2"/>
      </rPr>
      <t>De alternativas para líneas de crédito gestionadas</t>
    </r>
  </si>
  <si>
    <r>
      <t xml:space="preserve">Apoyar </t>
    </r>
    <r>
      <rPr>
        <u/>
        <sz val="10"/>
        <color rgb="FFFF0000"/>
        <rFont val="Arial"/>
        <family val="2"/>
      </rPr>
      <t>2</t>
    </r>
    <r>
      <rPr>
        <sz val="10"/>
        <color rgb="FF000000"/>
        <rFont val="Arial"/>
        <family val="2"/>
      </rPr>
      <t xml:space="preserve"> proyectos de desarrollo económico que permitan el crecimiento acelerado de las empresas turísticas.</t>
    </r>
  </si>
  <si>
    <r>
      <t xml:space="preserve">Realizar la </t>
    </r>
    <r>
      <rPr>
        <u/>
        <sz val="10"/>
        <color rgb="FFFF0000"/>
        <rFont val="Arial"/>
        <family val="2"/>
      </rPr>
      <t>instalación de material informativo de los principales atractivos</t>
    </r>
    <r>
      <rPr>
        <sz val="10"/>
        <color rgb="FF000000"/>
        <rFont val="Arial"/>
        <family val="2"/>
      </rPr>
      <t xml:space="preserve"> </t>
    </r>
    <r>
      <rPr>
        <u/>
        <sz val="10"/>
        <color rgb="FFFF0000"/>
        <rFont val="Arial"/>
        <family val="2"/>
      </rPr>
      <t xml:space="preserve"> y culturales del municipio.</t>
    </r>
  </si>
  <si>
    <r>
      <t xml:space="preserve">No. </t>
    </r>
    <r>
      <rPr>
        <u/>
        <sz val="10"/>
        <color rgb="FFFF0000"/>
        <rFont val="Arial"/>
        <family val="2"/>
      </rPr>
      <t>Material informativo instalado</t>
    </r>
  </si>
  <si>
    <t>Apoyar para la creación de un centro de investigación o desarrollo tecnológico</t>
  </si>
  <si>
    <t>Apoyo para la creación de grupos de investigación categorizados por Colciencias.</t>
  </si>
  <si>
    <t>Formular 4 proyectos de ciencia, tecnología e imnovacion durante el cuatrienio, ante entidades del orden departamental, nacional e internacional</t>
  </si>
  <si>
    <t>GABRIEL ERNESTO CAMPOS ALVIRA</t>
  </si>
  <si>
    <r>
      <t xml:space="preserve">Realizar </t>
    </r>
    <r>
      <rPr>
        <u/>
        <sz val="10"/>
        <color rgb="FFFF0000"/>
        <rFont val="Arial"/>
        <family val="2"/>
      </rPr>
      <t xml:space="preserve">1  </t>
    </r>
    <r>
      <rPr>
        <sz val="10"/>
        <color rgb="FF000000"/>
        <rFont val="Arial"/>
        <family val="2"/>
      </rPr>
      <t>certámenes anuales  feriales de apoyo al desarrollo agropecuario</t>
    </r>
  </si>
  <si>
    <r>
      <rPr>
        <u/>
        <sz val="10"/>
        <color rgb="FFFF0000"/>
        <rFont val="Arial"/>
        <family val="2"/>
      </rPr>
      <t xml:space="preserve">Realizar  2 actividades que permita </t>
    </r>
    <r>
      <rPr>
        <sz val="10"/>
        <color rgb="FF000000"/>
        <rFont val="Arial"/>
        <family val="2"/>
      </rPr>
      <t xml:space="preserve"> mejorar producción agropecuaria</t>
    </r>
  </si>
  <si>
    <r>
      <t xml:space="preserve">No. </t>
    </r>
    <r>
      <rPr>
        <u/>
        <sz val="10"/>
        <color rgb="FFFF0000"/>
        <rFont val="Arial"/>
        <family val="2"/>
      </rPr>
      <t>Actividades realizadas</t>
    </r>
  </si>
  <si>
    <t>Apoyar 3 alianzas productivas, para el sector agroindustrial, durante el cuatrenio</t>
  </si>
  <si>
    <t>Realizar 1 Celebración anual del día del campesino  durante el cuatrienio.</t>
  </si>
  <si>
    <t>Apoyar la construcción y/o mejoramiento de 1 distrito de riego, durante el cuatrienio</t>
  </si>
  <si>
    <t>EDNUAR HIZNARDO RAMIREZ</t>
  </si>
  <si>
    <r>
      <t>Pavimentar</t>
    </r>
    <r>
      <rPr>
        <sz val="10"/>
        <color rgb="FFFF0000"/>
        <rFont val="Arial"/>
        <family val="2"/>
      </rPr>
      <t xml:space="preserve"> 34.000</t>
    </r>
    <r>
      <rPr>
        <sz val="10"/>
        <color rgb="FF000000"/>
        <rFont val="Arial"/>
        <family val="2"/>
      </rPr>
      <t xml:space="preserve"> m2 de vías en el sector urbano y/o centros poblados, durante el cuatrienio.</t>
    </r>
  </si>
  <si>
    <r>
      <t xml:space="preserve">Construir  </t>
    </r>
    <r>
      <rPr>
        <u/>
        <sz val="10"/>
        <color rgb="FFFF0000"/>
        <rFont val="Arial"/>
        <family val="2"/>
      </rPr>
      <t xml:space="preserve">3.500 </t>
    </r>
    <r>
      <rPr>
        <sz val="10"/>
        <color rgb="FF000000"/>
        <rFont val="Arial"/>
        <family val="2"/>
      </rPr>
      <t>ml en placa huella</t>
    </r>
  </si>
  <si>
    <r>
      <t xml:space="preserve">Realizar la construcción y/o mejoramiento de </t>
    </r>
    <r>
      <rPr>
        <u/>
        <sz val="10"/>
        <color rgb="FFFF0000"/>
        <rFont val="Arial"/>
        <family val="2"/>
      </rPr>
      <t xml:space="preserve">85 </t>
    </r>
    <r>
      <rPr>
        <sz val="10"/>
        <color rgb="FF000000"/>
        <rFont val="Arial"/>
        <family val="2"/>
      </rPr>
      <t>obras de arte viales,  en el cuatrienio.</t>
    </r>
  </si>
  <si>
    <r>
      <t xml:space="preserve">Realizar la construcción y/o mejoramiento de  </t>
    </r>
    <r>
      <rPr>
        <u/>
        <sz val="10"/>
        <color rgb="FFFF0000"/>
        <rFont val="Arial"/>
        <family val="2"/>
      </rPr>
      <t xml:space="preserve">6  </t>
    </r>
    <r>
      <rPr>
        <sz val="10"/>
        <color rgb="FF000000"/>
        <rFont val="Arial"/>
        <family val="2"/>
      </rPr>
      <t>puentes vehiculares.</t>
    </r>
  </si>
  <si>
    <r>
      <t xml:space="preserve">Realizar apoyo institucional para la Construcción y/o ampliación  de  </t>
    </r>
    <r>
      <rPr>
        <u/>
        <sz val="10"/>
        <color rgb="FFFF0000"/>
        <rFont val="Arial"/>
        <family val="2"/>
      </rPr>
      <t>3.000</t>
    </r>
    <r>
      <rPr>
        <sz val="10"/>
        <color rgb="FF000000"/>
        <rFont val="Arial"/>
        <family val="2"/>
      </rPr>
      <t xml:space="preserve"> ml  de vías terciarias durante el cuatrienio.</t>
    </r>
  </si>
  <si>
    <t>Otros Servicios Públicos</t>
  </si>
  <si>
    <r>
      <rPr>
        <u/>
        <sz val="10"/>
        <color rgb="FFFF0000"/>
        <rFont val="Arial"/>
        <family val="2"/>
      </rPr>
      <t>Promover la donación de</t>
    </r>
    <r>
      <rPr>
        <sz val="10"/>
        <color rgb="FF000000"/>
        <rFont val="Arial"/>
        <family val="2"/>
      </rPr>
      <t xml:space="preserve"> un (1) lote para la construcción del tecnoparque del Servicion Nacional de Aprendisaje SENA como apoyo a las investigaciones y prácticas agropecuarias.</t>
    </r>
  </si>
  <si>
    <r>
      <t xml:space="preserve">No. </t>
    </r>
    <r>
      <rPr>
        <u/>
        <sz val="10"/>
        <color rgb="FFFF0000"/>
        <rFont val="Arial"/>
        <family val="2"/>
      </rPr>
      <t>De acciones realizadas para la donación del lote durante el cuatrenio</t>
    </r>
  </si>
  <si>
    <t>VICTOR DARWIN HERRERA</t>
  </si>
  <si>
    <r>
      <t xml:space="preserve">Lograr </t>
    </r>
    <r>
      <rPr>
        <u/>
        <sz val="10"/>
        <color rgb="FFFF0000"/>
        <rFont val="Arial"/>
        <family val="2"/>
      </rPr>
      <t>una calificacion de</t>
    </r>
    <r>
      <rPr>
        <sz val="10"/>
        <color rgb="FF000000"/>
        <rFont val="Arial"/>
        <family val="2"/>
      </rPr>
      <t xml:space="preserve"> 70 puntos </t>
    </r>
    <r>
      <rPr>
        <u/>
        <sz val="10"/>
        <color rgb="FFFF0000"/>
        <rFont val="Arial"/>
        <family val="2"/>
      </rPr>
      <t>en la política de gobierno digital</t>
    </r>
    <r>
      <rPr>
        <sz val="10"/>
        <color rgb="FF000000"/>
        <rFont val="Arial"/>
        <family val="2"/>
      </rPr>
      <t>.</t>
    </r>
  </si>
  <si>
    <t>Puntaje política gobierno digital (DAFP)</t>
  </si>
  <si>
    <t>Lograr una calificación de 80 puntos en la dimensión de control interno del MIPG</t>
  </si>
  <si>
    <t>Lograr una calificación de 80 puntos en el índice de desempeño Institucional del MIPG</t>
  </si>
  <si>
    <t>Indice desempeño institucional (DAFP)</t>
  </si>
  <si>
    <r>
      <t xml:space="preserve">Realizar </t>
    </r>
    <r>
      <rPr>
        <u/>
        <sz val="10"/>
        <color rgb="FFFF0000"/>
        <rFont val="Arial"/>
        <family val="2"/>
      </rPr>
      <t>4  audiencias de rendición de cuentas con uso de las TIC</t>
    </r>
  </si>
  <si>
    <r>
      <t xml:space="preserve">No, </t>
    </r>
    <r>
      <rPr>
        <u/>
        <sz val="10"/>
        <color rgb="FFFF0000"/>
        <rFont val="Arial"/>
        <family val="2"/>
      </rPr>
      <t>de informes de audiencias de rendición realizados</t>
    </r>
  </si>
  <si>
    <t>Integrar 2 trámites o servicios a la plataforma NO mas filas</t>
  </si>
  <si>
    <r>
      <t xml:space="preserve">No. </t>
    </r>
    <r>
      <rPr>
        <u/>
        <sz val="10"/>
        <color rgb="FFFF0000"/>
        <rFont val="Arial"/>
        <family val="2"/>
      </rPr>
      <t>De trámites o servicios integrados</t>
    </r>
  </si>
  <si>
    <r>
      <t xml:space="preserve">Ejecutar </t>
    </r>
    <r>
      <rPr>
        <u/>
        <sz val="10"/>
        <color rgb="FFFF0000"/>
        <rFont val="Arial"/>
        <family val="2"/>
      </rPr>
      <t xml:space="preserve">35  </t>
    </r>
    <r>
      <rPr>
        <sz val="10"/>
        <color rgb="FF000000"/>
        <rFont val="Arial"/>
        <family val="2"/>
      </rPr>
      <t>proyectos de inversión durante el cuatrienio con vinculación de las juntas de acción comunal</t>
    </r>
  </si>
  <si>
    <t>Realizar 4 procesos de capacitación y asesoría en participación comunitaria, entre otras, que contribuyan con el fortalecimiento comunal para consolidar procesos de participación ciudadana y control social durante el cuatrenio.</t>
  </si>
  <si>
    <r>
      <t xml:space="preserve">No.  </t>
    </r>
    <r>
      <rPr>
        <u/>
        <sz val="10"/>
        <color rgb="FFFF0000"/>
        <rFont val="Arial"/>
        <family val="2"/>
      </rPr>
      <t>capacitaciones y asesoría realizadas durante el cuatrenio</t>
    </r>
  </si>
  <si>
    <t>YAMILET MARTINEZ JARAMILLO</t>
  </si>
  <si>
    <r>
      <rPr>
        <sz val="10"/>
        <color rgb="FFFF0000"/>
        <rFont val="Arial"/>
        <family val="2"/>
      </rPr>
      <t>Apoyar el sostenimiento</t>
    </r>
    <r>
      <rPr>
        <sz val="10"/>
        <rFont val="Arial"/>
        <family val="2"/>
      </rPr>
      <t xml:space="preserve"> 10 bachilleres auxiliares como apoyo a la seguridad y convivencia ciudadana cada año</t>
    </r>
  </si>
  <si>
    <r>
      <t xml:space="preserve">No. de bachilleres </t>
    </r>
    <r>
      <rPr>
        <u/>
        <sz val="10"/>
        <color rgb="FFFF0000"/>
        <rFont val="Arial"/>
        <family val="2"/>
      </rPr>
      <t>apoyados</t>
    </r>
  </si>
  <si>
    <r>
      <t xml:space="preserve">Suministrar </t>
    </r>
    <r>
      <rPr>
        <u/>
        <sz val="10"/>
        <color rgb="FFFF0000"/>
        <rFont val="Arial"/>
        <family val="2"/>
      </rPr>
      <t>8 vehiculos automotores</t>
    </r>
    <r>
      <rPr>
        <sz val="10"/>
        <color rgb="FF000000"/>
        <rFont val="Arial"/>
        <family val="2"/>
      </rPr>
      <t xml:space="preserve"> para mejorar dotación de fuerza publica en el cuatrienio</t>
    </r>
  </si>
  <si>
    <r>
      <t xml:space="preserve">No. de </t>
    </r>
    <r>
      <rPr>
        <u/>
        <sz val="10"/>
        <color rgb="FFFF0000"/>
        <rFont val="Arial"/>
        <family val="2"/>
      </rPr>
      <t>vehiculos automotores dotados</t>
    </r>
  </si>
  <si>
    <t>A.18.1.15</t>
  </si>
  <si>
    <t>Construir una infraestructura para el centro de entrenamiento y reentrenamiento del municipio de La Plata</t>
  </si>
  <si>
    <t>Infraestructura construida</t>
  </si>
  <si>
    <t>Realizar 4 capacitaciones sobre mecanismos alternativos solución de conflictos durante el cuatrienio</t>
  </si>
  <si>
    <t>Realizar 40 actividades durante el cuatrienio enmarcadas en la conservación y preservación del medio ambiente, tales como; el reciclaje, la separación en la fuente y la transformación de materia orgánica en Abonos, entre otras.</t>
  </si>
  <si>
    <r>
      <t xml:space="preserve">Desarrollar  </t>
    </r>
    <r>
      <rPr>
        <u/>
        <sz val="10"/>
        <color rgb="FFFF0000"/>
        <rFont val="Arial"/>
        <family val="2"/>
      </rPr>
      <t>1</t>
    </r>
    <r>
      <rPr>
        <sz val="10"/>
        <color rgb="FF000000"/>
        <rFont val="Arial"/>
        <family val="2"/>
      </rPr>
      <t xml:space="preserve"> proyectos para disminuir impacto del cambio climático, durante el cuatrienio</t>
    </r>
  </si>
  <si>
    <t>No. De programas de apoyo implementados</t>
  </si>
  <si>
    <r>
      <t xml:space="preserve">Formular </t>
    </r>
    <r>
      <rPr>
        <u/>
        <sz val="10"/>
        <color rgb="FFFF0000"/>
        <rFont val="Arial"/>
        <family val="2"/>
      </rPr>
      <t>Un</t>
    </r>
    <r>
      <rPr>
        <sz val="10"/>
        <color rgb="FF000000"/>
        <rFont val="Arial"/>
        <family val="2"/>
      </rPr>
      <t xml:space="preserve"> proyecto para la consecución de </t>
    </r>
    <r>
      <rPr>
        <u/>
        <sz val="10"/>
        <color rgb="FFFF0000"/>
        <rFont val="Arial"/>
        <family val="2"/>
      </rPr>
      <t>1</t>
    </r>
    <r>
      <rPr>
        <sz val="10"/>
        <color rgb="FF000000"/>
        <rFont val="Arial"/>
        <family val="2"/>
      </rPr>
      <t xml:space="preserve"> vehículos para organismos de socorro</t>
    </r>
  </si>
  <si>
    <t>Realizar 1 capacitaciónanual a los jóvenes de las Instituciones educativas urbanas, para que asuman el reto de ser voluntarios en organismos de socorro.</t>
  </si>
  <si>
    <t>PLANES DE ACCION VIGENCIA 2016</t>
  </si>
  <si>
    <t>EJECUCION PLURIANUAL</t>
  </si>
  <si>
    <t>FUENTE RECURSOS EJECUTADOS 2016 (EN PESOS)</t>
  </si>
  <si>
    <t>FUENTE RECURSOS EJECUTADOS 2017 (EN PESOS)</t>
  </si>
  <si>
    <t>FUENTE RECURSOS EJECUTADOS 2018 (EN PESOS)</t>
  </si>
  <si>
    <t>FUENTE RECURSOS EJECUTADOS 2019 (EN PESOS)</t>
  </si>
  <si>
    <t>S E G U I M I E N T O</t>
  </si>
  <si>
    <r>
      <t>VALOR ESPERADO</t>
    </r>
    <r>
      <rPr>
        <b/>
        <sz val="14"/>
        <color rgb="FF000000"/>
        <rFont val="Arial"/>
        <family val="2"/>
      </rPr>
      <t xml:space="preserve"> 2019</t>
    </r>
  </si>
  <si>
    <r>
      <t xml:space="preserve">INDICADOR ESPERADO </t>
    </r>
    <r>
      <rPr>
        <b/>
        <sz val="14"/>
        <color rgb="FF000000"/>
        <rFont val="Arial"/>
        <family val="2"/>
      </rPr>
      <t>2016</t>
    </r>
  </si>
  <si>
    <t>RECURSOS (EN PESOS)</t>
  </si>
  <si>
    <r>
      <t xml:space="preserve">INDICADOR ESPERADO </t>
    </r>
    <r>
      <rPr>
        <b/>
        <sz val="14"/>
        <color rgb="FF000000"/>
        <rFont val="Arial"/>
        <family val="2"/>
      </rPr>
      <t>2017</t>
    </r>
  </si>
  <si>
    <r>
      <t xml:space="preserve">INDICADOR ESPERADO </t>
    </r>
    <r>
      <rPr>
        <b/>
        <sz val="14"/>
        <color rgb="FF000000"/>
        <rFont val="Arial"/>
        <family val="2"/>
      </rPr>
      <t>2018</t>
    </r>
  </si>
  <si>
    <r>
      <t xml:space="preserve">INDICADOR ESPERADO </t>
    </r>
    <r>
      <rPr>
        <b/>
        <sz val="14"/>
        <color rgb="FF000000"/>
        <rFont val="Arial"/>
        <family val="2"/>
      </rPr>
      <t>2019</t>
    </r>
  </si>
  <si>
    <r>
      <t xml:space="preserve">EJECUTADO 30 JUNIO/30 SEPT/30 DIC. </t>
    </r>
    <r>
      <rPr>
        <b/>
        <sz val="14"/>
        <color rgb="FF000000"/>
        <rFont val="Arial"/>
        <family val="2"/>
      </rPr>
      <t>2016</t>
    </r>
  </si>
  <si>
    <r>
      <t xml:space="preserve">EJECUTADO 30 JUNIO/30 SEPT/30 DIC. </t>
    </r>
    <r>
      <rPr>
        <b/>
        <sz val="14"/>
        <color rgb="FF000000"/>
        <rFont val="Arial"/>
        <family val="2"/>
      </rPr>
      <t>2017</t>
    </r>
  </si>
  <si>
    <r>
      <t xml:space="preserve">EJECUTADO 30 JUNIO/30 SEPT/30 DIC. </t>
    </r>
    <r>
      <rPr>
        <b/>
        <sz val="14"/>
        <color rgb="FF000000"/>
        <rFont val="Arial"/>
        <family val="2"/>
      </rPr>
      <t>2018</t>
    </r>
  </si>
  <si>
    <r>
      <t xml:space="preserve">EJECUTADO 30 JUNIO/30 SEPT/30 DIC. </t>
    </r>
    <r>
      <rPr>
        <b/>
        <sz val="14"/>
        <color rgb="FF000000"/>
        <rFont val="Arial"/>
        <family val="2"/>
      </rPr>
      <t>2019</t>
    </r>
  </si>
  <si>
    <t>PROYECTO DE INVERSION</t>
  </si>
  <si>
    <t>ACTIVIDADES</t>
  </si>
  <si>
    <t>FECHA INICIO</t>
  </si>
  <si>
    <t>FECHA FINALIZACION</t>
  </si>
  <si>
    <t>PROBLEMAS EN EJECUCIÓN</t>
  </si>
  <si>
    <t>SOLUCIONES ADOPTADAS</t>
  </si>
  <si>
    <t>AVANCE</t>
  </si>
  <si>
    <t xml:space="preserve">RUBRO PRESUPUESTO </t>
  </si>
  <si>
    <t>RP</t>
  </si>
  <si>
    <t>DPTO</t>
  </si>
  <si>
    <t>NACION</t>
  </si>
  <si>
    <t>CREDITO</t>
  </si>
  <si>
    <t>REGALIAS</t>
  </si>
  <si>
    <t>SEGUIMIENTO</t>
  </si>
  <si>
    <t>ACUMULADO INDICADOR</t>
  </si>
  <si>
    <t>% EJECUCION ACUMULADO</t>
  </si>
  <si>
    <t>%EJECUCION 2016</t>
  </si>
  <si>
    <t>%EJECUCION 2017</t>
  </si>
  <si>
    <t>%EJECUCION 2018</t>
  </si>
  <si>
    <t>%EJECUCION 2019</t>
  </si>
  <si>
    <t>AZ</t>
  </si>
  <si>
    <t>Q</t>
  </si>
  <si>
    <t>POR DEFINIR</t>
  </si>
  <si>
    <t>se realizó la resolución, se giró el 50% de los recursos a las instituciones educativas para el pago de los servicios públicos. Queda pendiente el otro 50% para mes de noviembre.</t>
  </si>
  <si>
    <t>VE</t>
  </si>
  <si>
    <t>actualmente se están realizando las visitas técnicas, diagnósticos para luego definir prioridades.  Se hará mantenimiento (pintura)  a las I.E. Villalosada, ITA, Peñón Tálaga.  30 Dic/16.   No se contrató.  Disp. Se reversó.</t>
  </si>
  <si>
    <t>RO</t>
  </si>
  <si>
    <t xml:space="preserve">se adelantan las visitas técnicas a las instituciones educativas Técnico Agricola, Gallego y Yu Luucx para adelantar las obras de construcción.  Dic 30/16.  NO se alcanzó a contratar.  Se reversó disponib. X var $206.280.608  </t>
  </si>
  <si>
    <t>Se encuentra en procoeso contractual  (revisión estudios previos)  la constr. Del R. Escolar I.E. ITA. Dic. 30/16.  No se contrató.  Se reversó disponib. X vr $259.000.000</t>
  </si>
  <si>
    <t>se realizó el diagnóstico a la infraestructura de las instituciones  educativas para hacer los  mejoramientos a partir de las solicitudes que han llegado a la secretaría de educación a la espera de iniciar el proceso.  contractual.  Se encuentra en proceso de licitación "Const. encerramiento I.E. Belen).  DIc. 30/16.    EL Encerramiento I.E. Belén quedó contratado.   Se firmaron convenios con las JAC para la realización de los gtes mejoramientos.  Se hizo Peñón Tálaga se mejoraron las baterias sanitaria; Jazmin se cambio la placa del polideportivo; Triunfo mejora. b. sanitarias; B.Cañada, Adecuación terreno xa const. aulas escolares ; Sede S. Fco se const. gaviones al rededor del colegio.</t>
  </si>
  <si>
    <t>AM</t>
  </si>
  <si>
    <t>CONSTRUCCION, AMPLIACIÓN Y ADECUCION DE INFRAESTRUCTURA EDUCATIVA</t>
  </si>
  <si>
    <t>se realizaran a partir  del del mes de agosto, por radiodifusión, volantes informativos.  Se tiene programada realizar a partir del 23 de noviembre.  Dic. 30/16.  Se realizó  el día 2 de Dic. La campaña de oferta educativa.</t>
  </si>
  <si>
    <t>se realizó una reunión con la ADIH para realizar la convocatoria e instalación de la junta municipal de educación. Esta planteada para la última semana del mes de agosto.  Se hizo reunión de socilización se convoco  y se seleccinaron los integrantes, para el 2 de diciembre se hará la instalación.  DIc. 30/16.  NO se hizo la instalación, ya que directivos no están de acuerdo</t>
  </si>
  <si>
    <t xml:space="preserve">se realizará una reunión con el DPS el 28 de julio para definir estrategias de promoción de la educación financiera en las instituciones educativas. Octubre. 30. Se elaboró el programa de educación financiera para las I:E: de la media, el cual se implementará en el 2017 </t>
  </si>
  <si>
    <t xml:space="preserve">la propuesta se elaborará por parte de un grupo de docente para implementar un programa de orientación y vocación profesional . </t>
  </si>
  <si>
    <t xml:space="preserve">CONVENIO DE COOPERACION VIVE DIGITAL PARA LA GENTE </t>
  </si>
  <si>
    <t xml:space="preserve">inicialmente se realizó un diagnóstico durante los meses de febrero a may, ya se solicitó la disponiblidad. La gobernación cofinanciará el 15% </t>
  </si>
  <si>
    <t>se realizó el giro por el 50% de los recursos de gratuidad, la otra parte se girará en el mes de noviembre</t>
  </si>
  <si>
    <t xml:space="preserve">se esta elaborando la propuesta por un grupo de docentes del municipio, para ser desarrollada en el mes de octubre.  Oct. 30.  Se getiono con Sría Educación Dptal  la capacitación a Directivos Docentes en la cátedra de afrocolombinidad. </t>
  </si>
  <si>
    <t xml:space="preserve">se realizará unas pruebas saber enfocadas en comprensión lectora y proyecto de vida para desarrollaro con los estudiantes de educación media, priorizando las instituciones educativas con nivel bajo de la zona rural. </t>
  </si>
  <si>
    <t>se realizará una reunión previa con los rectores para definir temas que se deben abordar en foro educativo que se llevara a cabo en el mes de octubre.  Octubre.  Se tiene programado realizar el 2 de diciembre.  Dic. 30/16.  Se realizó el foro educativo el 1 de dic.</t>
  </si>
  <si>
    <t>actuamente se encuentran articuladas las IE Marillac, San Sebastian y Misael Pastrana Borrero</t>
  </si>
  <si>
    <t>se desarrollará en coordinación de la secretaria de desarrollo social y PIC para adelantar as actividades en cuanto la disminución de embarazos en adolescentes.  Se realizó una campaña de sensibilización el 23 de octubre en coordinación con el ICBF</t>
  </si>
  <si>
    <t>se desarrollará en coordinación de la secretaria de desarrollo social, ICBF, comisaria de familia y policia de infancia y adolescencia  para adelantar as actividades en cuanto la erradicación de trabajo infantil.   Octubre.   La campaña se realizó el 23 de octubre en el parque principal en coordinación con el ICBF</t>
  </si>
  <si>
    <t xml:space="preserve">por ser parte de un programa nacional de alfabetización se espera la apertura durante el segundo semestre.  Octubre.  Se implementó en la I.E. Las Acacias </t>
  </si>
  <si>
    <t>se esta llevando a cabo a partir del mes de marzo a traves del departamento.</t>
  </si>
  <si>
    <t>actualmente se atiende 65 rutas de transporte escolar en el sector urbano y rural.</t>
  </si>
  <si>
    <t xml:space="preserve">FOMENTO, APOYO Y DIFUSION DE EVENTOS Y EXPRESIONES ARTISTICAS Y CULTURALES </t>
  </si>
  <si>
    <r>
      <t xml:space="preserve">se han realizado talleres de musica tradicional, de danza, tetatro, banda y elaboración de instrumentos típicos.  </t>
    </r>
    <r>
      <rPr>
        <u/>
        <sz val="10"/>
        <color rgb="FFFF0000"/>
        <rFont val="Arial"/>
        <family val="2"/>
      </rPr>
      <t xml:space="preserve">Nov. 4.  </t>
    </r>
    <r>
      <rPr>
        <sz val="10"/>
        <rFont val="Arial"/>
        <family val="2"/>
      </rPr>
      <t>Las convocatorias realizadas para el coro navideño y danza navideña</t>
    </r>
  </si>
  <si>
    <t>230501 F. 260301</t>
  </si>
  <si>
    <t>se han realizado taller de ludica y recreación para la danza, ademas taller de  formación y puesta en escena de la danza tradicional.  Nov. 4   Taller con la Sinfonica del Huila</t>
  </si>
  <si>
    <t xml:space="preserve">GESTION.- UTRAHUILACA y Sria Dptal </t>
  </si>
  <si>
    <t>GESTION</t>
  </si>
  <si>
    <t xml:space="preserve"> se contrataron 6 instructores y además se hizo convenio con el fondo mixto de cultura con 3 talleristas y FundaHutraulica con 2 talleristas.</t>
  </si>
  <si>
    <t>CONV. DPTO</t>
  </si>
  <si>
    <t>capacitación  a 5 promotores culturales como vigías de patrimonio.</t>
  </si>
  <si>
    <t>se realizará el convenio con cámara de comercio para la capacitación de gestores culturales. Nov. 4.  Con cámara de comercio se esta adelantando una capacitación para gestores culturales</t>
  </si>
  <si>
    <t>Se presentaron los siguientes proyectos:
1. escuelas de formación artística y cultural con el fondo mixto de cultura FonCultura.
2. para el 59° Festival folclorico y sanpedrino en cooperación de secretaría de cultura departamental.
3. Compra de instrumentos tradicionales con el ministerio de cultura.
4. Proyecto ante el MInist. mediante progr. concetación 2017, Festival Folklorico y San Pedrino, versión 60
4. Reconocimiento de patrimonio histórico, por consumo a la telefonía celular.
5. Realización fiestas tradicionales de las comunidades indígenas (sek buy).</t>
  </si>
  <si>
    <t>230507  F. 260301</t>
  </si>
  <si>
    <t>se han realizado apoyos  a eventos como: temporada de teatro, peñas culturales, cumpleaños del municipio de la Plata. El en transcurso del segundo semestre se realizará el apoyo faltante. Nov. 4.  Se apoyo con la celebración del dia de niño.</t>
  </si>
  <si>
    <t>gestion</t>
  </si>
  <si>
    <t>se realizó un evento de intercambio cultural y diferentes expresiones artísticas con los municipios del sur occidente, además encuentro universitario con el grupo de danzas "Vivencias" en Manizales.</t>
  </si>
  <si>
    <t>Sria Dptal Cultura</t>
  </si>
  <si>
    <t>se realizó actividad con la ecuela de formación, celebración del día del niño, además se seguirán realizando durante el segundo semestre</t>
  </si>
  <si>
    <t xml:space="preserve">PROYECTO DE HIPOCONSUMO CON LA TELEFONIA CELULAR </t>
  </si>
  <si>
    <t>se presentó el proyecto de hipoconsumo a la telefonía celular de investigación para declarar patrimonio cultural inmaterial  el FESTIVAL FOLKLORICO Y SANPEDRINO DEL SUR OCCIDENTE HUILENSE Y ORIENTE CAUCANO</t>
  </si>
  <si>
    <t>se realizó el FESTIVAL FOLKLORICO Y SANPEDRINO DEL SUR OCCIDENTE HUILENSE Y ORIENTE CAUCANO durante el mes de junio</t>
  </si>
  <si>
    <t xml:space="preserve">se realizaron 2 peñas culturale en la zona rural (Belén y Pasaíso) y 3 en zona urbana </t>
  </si>
  <si>
    <r>
      <rPr>
        <u/>
        <sz val="10"/>
        <color rgb="FFFF0000"/>
        <rFont val="Arial"/>
        <family val="2"/>
      </rPr>
      <t xml:space="preserve">Nov. 4.  </t>
    </r>
    <r>
      <rPr>
        <sz val="10"/>
        <color rgb="FF000000"/>
        <rFont val="Arial"/>
        <family val="2"/>
      </rPr>
      <t xml:space="preserve">Se presentó solicitud de dotación ante la Sría Dptal, la cual esta siendo estudiada.. Dic 30/2016.  A la fecha aún la Sría Dptal de Cultura, no ha dado una respuesta favorable a la solicitud. </t>
    </r>
  </si>
  <si>
    <t>Gestion con sria Dptal</t>
  </si>
  <si>
    <r>
      <t xml:space="preserve">programas de formación en banda y pre-banda, se hará la vinculación del resto de personas durante el segundo semestre. </t>
    </r>
    <r>
      <rPr>
        <u/>
        <sz val="10"/>
        <color rgb="FFFF0000"/>
        <rFont val="Arial"/>
        <family val="2"/>
      </rPr>
      <t xml:space="preserve">Nov. 4.  </t>
    </r>
    <r>
      <rPr>
        <sz val="10"/>
        <rFont val="Arial"/>
        <family val="2"/>
      </rPr>
      <t>Se realizo convocatoria para coro navideño, igualmente los inscritos en las bandas marciale</t>
    </r>
  </si>
  <si>
    <t>230508 F. 260301</t>
  </si>
  <si>
    <t>Cxapuc u ofrenda a los espiritu de la naturaleza, se hará en el mes de noviembre.</t>
  </si>
  <si>
    <r>
      <t xml:space="preserve">se realizará el apoyo a un grupo artístico cultural el segundo semestre.  </t>
    </r>
    <r>
      <rPr>
        <u/>
        <sz val="10"/>
        <color rgb="FFFF0000"/>
        <rFont val="Arial"/>
        <family val="2"/>
      </rPr>
      <t>Nov. 4.</t>
    </r>
    <r>
      <rPr>
        <sz val="10"/>
        <color rgb="FF000000"/>
        <rFont val="Arial"/>
        <family val="2"/>
      </rPr>
      <t xml:space="preserve">  Se les ha realizado inducción en musica tradicional, danza y elaboración de instrumentos típicos dirigido a gestores culturaes</t>
    </r>
  </si>
  <si>
    <t xml:space="preserve">se realizó un convenio durante el festival sanpedrino con la corporoción Diamantina Stereo, Fiesta stereo, Potencia Latina, Global Stereo, Clablemax y radio Surcolombiana. </t>
  </si>
  <si>
    <t xml:space="preserve">Se ha capacitado a estudiantes de las I.E. San Sebastian, Luis Carlos.  Se tiene programado capacitar a los jóvenes de la jornada nocturna  </t>
  </si>
  <si>
    <t>230506 F. 120401(4000000)
260301 (7.250.000)</t>
  </si>
  <si>
    <t>La vinculación de personas para la promoción de lectura se hará a patrir de Agosto.</t>
  </si>
  <si>
    <t>230506 F. 260301  (</t>
  </si>
  <si>
    <t>los puntos pilotos se encuentran instalados y entran en funcionamiento a partir del segundo semestre.</t>
  </si>
  <si>
    <t xml:space="preserve">Se firmo convenio con DAVIVIENDA </t>
  </si>
  <si>
    <t>se realizó la dotación a la biblioteca Simón Bolivar de un Televisor, una cámara, un VideoBeam, tabletas digitales, Parlante con micrófono, memorias USB.</t>
  </si>
  <si>
    <t>MINISTERIO DE CULTURA</t>
  </si>
  <si>
    <t>el bibliotecario ha asistido a 1 encuentro departamental de bibliotecarios y capacitación de las TIC´s por medio de biblioteca nacional.</t>
  </si>
  <si>
    <t>se han realizado actividades de biblioteca móvil en la zona rural  (Monserrate, San Andrés, Santa Lucia y Potreritos) y en zona urbana  (IE Técnico Agricola).</t>
  </si>
  <si>
    <t>El instructor de bandas parciales apoyo para la creación de la banda marcial del  CDI de Bellavista</t>
  </si>
  <si>
    <t xml:space="preserve">MANTENIMIENTO Y DOTACIÓN DE BIBLIOTECA - DOTACION DE BIBLIOTECA </t>
  </si>
  <si>
    <t>DEPORTE Y RECREACION</t>
  </si>
  <si>
    <t xml:space="preserve">Se encuentra en proceso de contratación el mantenimiento de la Villa Olímpica (pintura, poda, adecuación 6 baterias sanitarias, 3 puertas, encamizada de 14 columnas de hierro).  Dic.30/16.  Se dejo contratado, pendiente interventoria para iniciar obra. </t>
  </si>
  <si>
    <t>230402 F. 260203</t>
  </si>
  <si>
    <t xml:space="preserve">Esa en proceso de legalización el contrato de obra xa la const. Cubierta C:P. San Vicente con c.d.p. 2016000650 x $450.157.327.  Igualmente esta en proceso de construcción la cubierta del Polideportivo el Pomo.  Dic.  30.  Se encuentra en proceso de terminación.  </t>
  </si>
  <si>
    <t xml:space="preserve">Se realizo la visita tecnica olos esenarios deportivos :polideportivo el pomo, cancha ita y polideportivo vereda el jazmin. Lo cual se encuentra en contratacion para sus respectivos  mantenimientos. Dic. 30/16.  Se realizó la contratación de Mant. Polid. POmo  y cancha Ita, pendiente definir interventoria para iniciar obras.   Se mejoró la placa del polid. vda Jazmin. </t>
  </si>
  <si>
    <t>esta meta la cumple el sector de equipamiento. Con el rubro CONSTRUCCIÓN DE ZONAS VERDES, PARQUES, PLAZAS Y PLAZOLETAS</t>
  </si>
  <si>
    <t xml:space="preserve">Se encuentra en proceso de contratación la construcción del parque infantil ubicado en el matadero viejo </t>
  </si>
  <si>
    <t xml:space="preserve">Se contrato a Manuel Valenzuela para la realización de un festival de ajedrez </t>
  </si>
  <si>
    <t>Se viene desarrallando el programa para las personas en situacion de discapacidad en nuestro municipio con un isntructor en las isntituciones educativas y la wuai.</t>
  </si>
  <si>
    <t>230401 F. 260201</t>
  </si>
  <si>
    <t xml:space="preserve">se está desarrollando el programa denominado Huila Activo y Saludable, en el cual particpa población adulta. </t>
  </si>
  <si>
    <t>230401 F. 121101</t>
  </si>
  <si>
    <t>se ha realizado el apoyo a 2 escuelas deportivas rurales como la de Belén y Gallego y en la zona urbana la escuela Platense y Villa San Sebastián.</t>
  </si>
  <si>
    <t>230405 F. 260201</t>
  </si>
  <si>
    <t xml:space="preserve">se brindará a poyo a deportistas de alto rendimiento durante el mes de agosto hasta diciembre.  Oct. 26. Se realizo el apoyo  a 8 deportistas de natacion para la participaran en la ciudad de pereira. </t>
  </si>
  <si>
    <t>se realizará la dotación durante el segundo semestre    Oct. 26.  Se realizo el apoyo  a 64 deportistas de   los juegos intercolegiado   superate para participacion en la face departamental.</t>
  </si>
  <si>
    <t xml:space="preserve">se realizarán las olimpiadas campesinas durante el mes de agosto hasta septiembre.  Oct. 26. se realizo el convenio con inderhuila NO. 052 para la realizacion de las  olimpiadas campesinas.  Se iniciará la prograc. El 26 de nov.  </t>
  </si>
  <si>
    <t xml:space="preserve">30 horas libre polideportivo el pomo, campeonato de futbol libre tiguana,  senior master en tijuana,  campeonato valle del cambis infnatil prejuvenil y  categoria junior en futbol, copa pony futbol, campeonato veredal de futbol villa olimpica , copa digar, juegos superate intercolegiado 2016, vll valida ciclistica la plata, campeonato en la vereda el tablon ,campeonato departamental femenino, primer festi - torneo de natacion piscina corta villa olimpica. Dic. 30.  Se realizó las vacaciones recreativas en  la villa olímpica </t>
  </si>
  <si>
    <t>230401 F. 260201 121101</t>
  </si>
  <si>
    <t>se apoyó el club ciclo-occidente para una bálida ciclística pogramada para e 14 de agosto</t>
  </si>
  <si>
    <t>se realizó  capacitación a dirigentes y entrenadores deportivos:  En edades sensibles al  rentrenamiento deportivo y pisicologia sicomotris ,  Del deporte escolar al rendimiento deportivo , capacitacion Administracion y legislacion deportiva.</t>
  </si>
  <si>
    <t>se realizó la actividad con la participación de 1.450 alumnos de 15 IE de las 19 IE</t>
  </si>
  <si>
    <t>falataron 4 IE por participar en los juegos, para cumplir a cabaidad a meta.</t>
  </si>
  <si>
    <t>230401
F. 260201 y 121101</t>
  </si>
  <si>
    <t>se esta realizando los juegos "Por la convivencia ciudadana" y aprovechamiento del tiempo libre en el barrio la libretad.</t>
  </si>
  <si>
    <t>JOSE MAURICIO MEDINA ANGEL</t>
  </si>
  <si>
    <t>Mejoramiento de condiciones de habitabilidad en el centro poblado de Belén y construcción de pisos y techos en el área urbana del muncipio de La Plata</t>
  </si>
  <si>
    <t xml:space="preserve">Existe un CDP 2016000536 del 17 de junio por un valor de $ 745.693.335 se inició el proceo precontractual en el mes de junio de 2016, e iniciará la etapa contractual en el mes de agosto y se terminará en el mes de diciembre. Se realizó con el DPS el convenio No. 229/2013 el cual consiste en otorgar 144  mejoramientos condiciones de habitabilidad así: Centro Poblado de Belén Interiores vivienda 60 y 22 baterias sanitarias y mejoramientos pisos y techos en el sector urbano pisos y techos 30 y 32 baterías sanitarias.  21 sept/16.  Para 23 sept. esta aud. adjudicación, 24 sale contrato a finales sept. se espera haya contrato.  Primeros dias oct. se enviara al DPS para la interventoría, se espera que este a finales de octubre.  Las obras las iniciariamos en noviembre.   30 DIc./16 A la fecha el DPS no nombró el interventor.  No se dió acta de inicio.  Se dió materiales para 8 familias para mejoramiento de vivienda. </t>
  </si>
  <si>
    <r>
      <t xml:space="preserve">En los meses de agosto y octubre se tienen programadas las capacitaciones la primera con el Fondo Nacional del Ahorro FNA - FONVIHUILA y la segunda con una entidad financiera. </t>
    </r>
    <r>
      <rPr>
        <u/>
        <sz val="10"/>
        <color rgb="FFFF0000"/>
        <rFont val="Arial"/>
        <family val="2"/>
      </rPr>
      <t xml:space="preserve">Oct. 29.  </t>
    </r>
    <r>
      <rPr>
        <sz val="10"/>
        <rFont val="Arial"/>
        <family val="2"/>
      </rPr>
      <t>Se programó realizar capacitación el 10 de nov. Con funcionarios de COMFLIAR</t>
    </r>
  </si>
  <si>
    <t>Agosto</t>
  </si>
  <si>
    <t>Octubre</t>
  </si>
  <si>
    <t xml:space="preserve">Construcción vivienda nueva resguardos indigenas la reforma y Tálaga y La Plata Rural (185 beneficiarios). </t>
  </si>
  <si>
    <t>En total son 185 familias las beneficiadas en la convocatoria realizada por el Banco Agrario, que pertenecen a los resguardos indígenas la reforma y Tálaga, y La Plata Rural. La obra civil para la construcción de las viviendas fue adjudicado a la Caja de Compensación Familiar del Caquetá COFACA-VISR, en el mes de febrero la entidad socializó el proyecto con los beneficiarios, la construcción se realizará entre los años 2016 y 2017.  9 NOv. Se asistio a un comité de validación en Bco Agrario. Se adquirieron compromisos.  Entregar 39 vivi. terminadas el 20 Dic. y 14 el 30 de enero del Proy. de Talaga.   Además entregarán del Proy. La Reforma  22 viv. terminadas el 20 dic. quedarian 9 pendientes para 2017.  De los Proyec. 1 y 2 se comprometieron a entregar cronograma de obra actualizado.
2 Agosto.  11:45 se llamó a Gabriel de COMFACA, dijo hace 2 semanas giraron recursos al contratistas y que la semana pasado habia dicho que llegaba mula con cemento, quedó de venir la proxima semana para hacer visita de seguimiento, quedo de enviar informe x wassapt.  24 agosto. Se han construido 30 casas en Tálaga, pendientes 9.  En 3 semanas inicia en Belen  (39)</t>
  </si>
  <si>
    <t>Marzo</t>
  </si>
  <si>
    <t>Diciembre</t>
  </si>
  <si>
    <t xml:space="preserve">Construcción de 50 viviendas nuevas urbanización Villa Milena. </t>
  </si>
  <si>
    <t xml:space="preserve">Se continuó con la ejecución del proyecto que venía de la administración anterior  y se reubicaron 50 familias que se encontraban en zonas de alto riesgo en los sectores de las brisas, puente bolivar y otros sectores del municipio. Las viviendas fueron estragadas a las familias beneficiarias el 05 de junio. </t>
  </si>
  <si>
    <t xml:space="preserve">Compra de predio para la construcción de vivienda nueva en el municipio de La Plata Huila. </t>
  </si>
  <si>
    <t>Se va a adquirir un terrero en la vereda fátima que consta de tres hectáreas, en la actualidad cuenta con avalúo y en el mes de agosto se presentará al Honorable Concejo Municipal un proyecto de acuerdo para que el terreno en mención sea incorporado al área urbana del municipio a fin de postularlo a la convocatoria que realiza el Ministerio de Vivienda y que cierra el 12 de agosto. En la actualidad se cuenta con las certificaciones de disponibilidad de acueducto y alcantarillado quedando pendiente la disponbilidad se energía eléctrica.   16-08-2016.  Se adquirió 3 hás mediante escritura 488 10 de agosto 2016, registrada con matricula 204-41889.</t>
  </si>
  <si>
    <t xml:space="preserve">El terreno en mención presenta una hipoteca. </t>
  </si>
  <si>
    <t xml:space="preserve">Se gestionó ante la fiduprevisora el levantamiento de la hipoteca y se aspira tener finiquitado este trámite al 30 de julio. </t>
  </si>
  <si>
    <t>AGUA POTABLE Y SANEAMIENTO BASICO</t>
  </si>
  <si>
    <t xml:space="preserve">Desarrollar el programa de mantenimiento del sistema de acueducto, en los meses de enero y junio realizar la compra de insumos y reactivos para la potabilización del agua, contratación del personal operativo de PTAP en el mes de enero, capacitar al personal en: a). La normatividad para la prestación de los servicios públicos (mayo, julio, octubre, noviembre), b). Análisis fisicoquímico y microbiológico (junio, septiembre). </t>
  </si>
  <si>
    <t xml:space="preserve">Se ha bajado el caudal en la fuente dado que aguas arriba se viene sustrayendo el líquido para el riego de cultivos. </t>
  </si>
  <si>
    <t>Se notificó a la CAM con el fin de que ejerza los acciones de control pertienentes. Se realizó el 01 de Septiembre una reunión con la comunidad, Emserpla y la CAM para realizar la reglamentación de cuenca de  la Quebrada Barbillas.</t>
  </si>
  <si>
    <t xml:space="preserve">A través del contrato de prestación de servicios profesionales No. 06 del 03 de febrero de 2016 se contrató la actualización del programa de uso eficiente y ahorro de agua PUEA del municipio de la Plata Huila, por un plazo de 30 días y un valor de $ 4.500.000, el cual se recibió a satisfacción, fue entregado a la CAM, la cual una vez hizo la revisión pertinente lo aprobó a través de la resolución No. 1137 del 02 de mayo de 2016. </t>
  </si>
  <si>
    <t xml:space="preserve"> Convenio interadministrativo No. 006/2016 Construcción de acometida principal de acueducto para el centro de operaciones de emergencia en la vereda el carmelo del municipio de La Plata.    Para la ejecución del convenio No. 006/2106, se celebró el contrato de obra No. 02 del 18 de junio de 2016 donde se construyeron 700 metros lineales de acueducto y una PTAR modulay. El contrato general se realizó por un valor de $ 130.606.004 pesos.   En el contrato No. 004 Septiembre 09 de 2016 se contrato la construcción de una red de acueducto nueva de 2" en un tramo de 425 ml. desde el puente de la quebrada cuchayaco en la avenida las americas hasta la calle 2 del barrio las americas. Para un total de 1125 ML de nueva red, indicando que  estamos a 175 ml para cumplir las metas del cuatrienio.</t>
  </si>
  <si>
    <t>Junio 18 de 2016 y Septiembre 09 de 2016</t>
  </si>
  <si>
    <t xml:space="preserve">A través del Acuerdo Municipal No.10-022 de noviembre de 2014, se estableció el monto el monto de los subsidios a otorgar a los estratos 1 y 2 y el porcentaje de aporte solidario a los estratos 5 y 6 comercial e industrial en la prestación de los servicios públicos de acueducto, alcantarillado y aseo del municipio de La Plata para los periodos fiscales 2015 y 2016. Al 31 de Agosto se tiene  presupuestado año $ 151.864.165 , ejecutado $ 80.448.605, y  por ejecutar $ 71,415,560 con lo cual se está garantizando el cumplimiento de la meta.  En el mes de noviembre se debe presentar al Honorable Concejo Municipal un proyecto de acuerdo para la actualización de los subsidios de acueducto, alcantarillado y aseo de los años siguientes. </t>
  </si>
  <si>
    <t>Al 15 de agosto se realizará un convenio interadministrativo con el municipio de La Plata a fin de contratar las  dos campañas del uso racional del agua y estás se realizarán el 15 de septiembre y 15 de noviembre. Se realizaron contratos publicitarios televisivos el 01 de Abril de 2016,  el 28 de Junio de 2016, y para las festividades sanpedrinas se hizo entrega de abanicos con  campaña de uso eficiente y ahorro de agua , y se hizo entrega de abanicos durante  la visita del vicepresidente en seprtimbre 13 de 2016</t>
  </si>
  <si>
    <t>Al 30 de junio se han incrementado 171 nuevos usuarios en servicio de acueducto, debido a la ampliación de redes en los barrios villa milena y villa mariana y dispersas en otros  barrios por adquisición de acometidas adicionales a sus viviendas.   A la fecha se han invertido $ 22.000.000 provenientes de recursos propios de EMSERPLA en la compra de materiales e instalaciones.  La meta del año 2016 se alcanza con la ejecución del convenio No. 015/2016</t>
  </si>
  <si>
    <r>
      <t xml:space="preserve">El primer control se realizará el 20 de septiembre y el segundo el 10 de noviembre. </t>
    </r>
    <r>
      <rPr>
        <u/>
        <sz val="10"/>
        <color rgb="FFFF0000"/>
        <rFont val="Arial"/>
        <family val="2"/>
      </rPr>
      <t>Oct. 12</t>
    </r>
    <r>
      <rPr>
        <sz val="10"/>
        <color rgb="FF000000"/>
        <rFont val="Arial"/>
        <family val="2"/>
      </rPr>
      <t xml:space="preserve">. Al 30 de Septiembre se han incrementado  225 nuevos usuarios en servicio de acueducto, debido a la ampliación de redes en los barrios villa milena y villa mariana y dispersas en otros  barrios por adquisición de acometidas adicionales a sus viviendas.   La meta del año 2016 se alcanza con la ejecución del convenio No. 015/2016. </t>
    </r>
    <r>
      <rPr>
        <sz val="10"/>
        <color rgb="FFFF0000"/>
        <rFont val="Arial"/>
        <family val="2"/>
      </rPr>
      <t xml:space="preserve"> </t>
    </r>
    <r>
      <rPr>
        <u/>
        <sz val="10"/>
        <color rgb="FFFF0000"/>
        <rFont val="Arial"/>
        <family val="2"/>
      </rPr>
      <t>Oct.12/16. Se están realizando controles durante cada ciclo  de la facturación, adicionalmente  en las reposiciones de redes de acueducto y alcantarillado que se vienes realizando se han detectado conexiones con fraude, las cuales han sido eliminadas, adicionalmente los ecovigias durante el proceso de las encuestas en el mes de septiembre de 2016, identificaron conexiones fraudulentas</t>
    </r>
  </si>
  <si>
    <t xml:space="preserve">A través del convenio interadministrativo No. 015/2016, por valor de  $ 264.612.683,50 donde el municipio aportó $ 258.0000 millone y EMSERPLA $ 1.612.683,50 en dinero y $ 5.000.000 en bienes y servicios  para la reposición de la red de acueducto en algunos barrios de la avenida las Américas y centro oriente  entre el municipio de La Plata Huila para ejecutar 1.190 metros lineales.   La ejecución del convenio 015 se realizará así al 15 de agosto se dará inicio a la etapa precontractual, al 15 de septiembre iniciará la etapa contractual, al 30 de noviembre el contrato estará ejecutado. </t>
  </si>
  <si>
    <t>23031002
23031007
23031010</t>
  </si>
  <si>
    <t>A la fecha no se han girado los recursos, están provisionados $ 257.712.623 pesos del rubro 230313 programados para cancelarse en el mes de agosto. 16 Agosto.  El   3 Agosto el Jefe averiguo EN Aguas del Huila x los recursos girados x valor de $800 millones, manifestando que éstos estan destinados para el Plan maestro de acueducto y alcantarillado, se llamará para el proceso del giro de los recursos vigencia 2016. 24 Agosto.  Se solicitó c.d.p. por valor de $102.351.561 distribuidos así:  2015 $12.376.966 (se desconto unos recursos que se habían consignado x mayor valor) y 2016 hasta julio $89.974.595.</t>
  </si>
  <si>
    <t xml:space="preserve"> </t>
  </si>
  <si>
    <r>
      <t xml:space="preserve"> Convenio interadministrativo No. 006/2016 Construcción de acometida principal de acueducto para el centro de operaciones de emergencia en la vereda el carmelo del municipio de La Plata el municipio aportó $ </t>
    </r>
    <r>
      <rPr>
        <u/>
        <sz val="10"/>
        <color rgb="FF000000"/>
        <rFont val="Arial"/>
        <family val="2"/>
      </rPr>
      <t>87.000.000 (para la PTAR)</t>
    </r>
    <r>
      <rPr>
        <sz val="10"/>
        <color rgb="FF000000"/>
        <rFont val="Arial"/>
        <family val="2"/>
      </rPr>
      <t xml:space="preserve">  y EMSERPLA $ 41.000.000 para un total de $ 54.000.000.    Para la ejecución del convenio No. 006/2106, se celebró el contrato de obra No. 02 del 18 de junio de 2016 donde se construyeron 853 metros lineales de acueducto y </t>
    </r>
    <r>
      <rPr>
        <u/>
        <sz val="10"/>
        <color rgb="FF000000"/>
        <rFont val="Arial"/>
        <family val="2"/>
      </rPr>
      <t>una PTAR modular</t>
    </r>
    <r>
      <rPr>
        <sz val="10"/>
        <color rgb="FF000000"/>
        <rFont val="Arial"/>
        <family val="2"/>
      </rPr>
      <t xml:space="preserve">. El contrato general se realizó por un valor de $ 130.606.004 pesos. </t>
    </r>
  </si>
  <si>
    <t>23031101/03</t>
  </si>
  <si>
    <r>
      <t xml:space="preserve">Se suscribió el convenio 010/2016 con EMSERPLA por valor de $ 20.000.000 distribuidos así: EMSERPLA $ 3.000.000 municipio $ 17.000.000, cuyo objeto es la actualización de PSMV del municipio de La Plata.  Al 01 de agosto se tiene programada la etapa precontractual, al 26 de agosto la ejecución del contrato.  </t>
    </r>
    <r>
      <rPr>
        <u/>
        <sz val="10"/>
        <color rgb="FFFF0000"/>
        <rFont val="Arial"/>
        <family val="2"/>
      </rPr>
      <t xml:space="preserve">Oct. 12:  El 20 de septiembre se firmó el contrato No.003 para consultoría con tiempo  de ejecución de 20 días.  </t>
    </r>
  </si>
  <si>
    <t xml:space="preserve">Se suscribió el convenio 013/2016 con EMSERPLA por valor de $ 213.000.000 distribuidos así: EMSERPLA $ 10.000.000 municipio $ 203.000.000, cuyo objeto es realizar restitución de alcantarillado en los barrios San Rafael y Jose Dario Ovies municipio de La Plata.  Al 01 de agosto se tiene programada la etapa precontractual, al 24 de septiembre la ejecución del contrato de 362 metros lineales.  La meta del año 2016 se alcanza con la ejecución del convenio No. 008/2016, (Mpio: 212.025.000 - EMSERPLA: $ 3.000.000) para lo cual se EMSERPLA realizó el contrato No. 001/2016 cuyo objeto es la restitución del alcantarillado sanitario del colector (182 metros lineales)  que pasa por la plaza de ferias del municipio de La Plata. Los 156 metros restantes se ejecutarán en el segundo semestre a través de la gestión de recusos. </t>
  </si>
  <si>
    <t>23031101/02/03</t>
  </si>
  <si>
    <r>
      <t xml:space="preserve">Al 30 de junio se han incrementado 182 nuevos usuarios en servicio de alcantarillado, debido a la ampliación de redes en los barrios villa milena y villa mariana y dispersos en otros  barrios de la zona centro y perisferia por adquisición de acometidas adicionales a sus viviendas.   A la fecha se han invertido $ 21.038.000 provenientes de recursos propios de EMSERPLA en la compra de materiales e instalaciones.  </t>
    </r>
    <r>
      <rPr>
        <u/>
        <sz val="10"/>
        <color rgb="FFFF0000"/>
        <rFont val="Arial"/>
        <family val="2"/>
      </rPr>
      <t xml:space="preserve">Octu. 12: Al 30 de Septiembre se han incrementado 231 nuevos usuarios en servicio de alcantarillado, debido a la ampliación de redes en los barrios villa milena y villa mariana y dispersos en otros  barrios de la zona centro y perisferia por adquisición de acometidas adicionales a sus viviendas. </t>
    </r>
  </si>
  <si>
    <r>
      <t xml:space="preserve">A través del Acuerdo Municipal No.10-022 de noviembre de 2014, se estableció el monto el monto de los subsidios a otorgar a los estratos 1 y 2 y el porcentaje de aporte solidario a los estratos 5 y 6 comercial e industrial en la prestación de los servicios públicos de acueducto, alcantarillado y aseo del municipio de La Plata para los periodos fiscales 2015 y 2016. Al 30 de junio se tiene que presupuestado $ 76.916.911 y ejecutado $ 38.314.211, por ejecutar $ 38.602.700 con lo cual se está garantizando el cumplimiento de la meta.  En el mes de noviembre se debe presentar al Honorable Concejo Municipal un proyecto de acuerdo para la actualización de los subsidios de acueducto, alcantarillado y aseo de los años siguientes. </t>
    </r>
    <r>
      <rPr>
        <u/>
        <sz val="10"/>
        <color rgb="FFFF0000"/>
        <rFont val="Arial"/>
        <family val="2"/>
      </rPr>
      <t>Octu. 12: Al 30 de Septiembre se tiene que presupuestado $ 76.916.911 y ejecutado $ 52.546.325, por ejecutar $ 24.370.586 con lo cual se está garantizando el cumplimiento de la meta.</t>
    </r>
  </si>
  <si>
    <r>
      <t xml:space="preserve">Existe un CDP 2016000536 del 17 de junio por un valor de $ 745.693.335 se inició el proceo precontractual en el mes de junio de 2016, e iniciará la etapa contractual en el mes de agosto y se terminará en el mes de diciembre. Se realizó con el DPS el convenio No. 229/2013 el cual consiste en otorgar 144  mejoramientos condiciones de habitabilidad así: Centro Poblado de Belén Interiores vivienda 60 y </t>
    </r>
    <r>
      <rPr>
        <u/>
        <sz val="10"/>
        <color rgb="FF000000"/>
        <rFont val="Arial"/>
        <family val="2"/>
      </rPr>
      <t xml:space="preserve">22 baterias sanitarias </t>
    </r>
    <r>
      <rPr>
        <sz val="10"/>
        <color rgb="FF000000"/>
        <rFont val="Arial"/>
        <family val="2"/>
      </rPr>
      <t xml:space="preserve">y mejoramientos pisos y techos en el sector urbano pisos y techos 30 y </t>
    </r>
    <r>
      <rPr>
        <u/>
        <sz val="10"/>
        <color rgb="FF000000"/>
        <rFont val="Arial"/>
        <family val="2"/>
      </rPr>
      <t xml:space="preserve">32 baterías sanitarias.    21 sept/16. </t>
    </r>
    <r>
      <rPr>
        <sz val="10"/>
        <color rgb="FF000000"/>
        <rFont val="Arial"/>
        <family val="2"/>
      </rPr>
      <t xml:space="preserve"> Para 23 sept. esta aud. adjudicación, 24 sale contrato a finales sept. se espera haya contrato.  Primeros dias oct. se enviara al DPS para la interventoría, se espera que este a finales de octubre.  Las obras las iniciariamos en noviembre. 21 sept.  Se entrego 1 B.Sanitaria a familia urbana (No reclamado en 2015)</t>
    </r>
  </si>
  <si>
    <r>
      <t xml:space="preserve">Existe un CDP No. 2016000434 del 16 de abril por valor de $ 451.130.726, el proceso se encuentra en etapa precontractual y se realiza la adquisición del vehículo en el mes de septiembre. 21 Spt/16:  Tiene acta de inicio del 7 sept, tienen un mes, es decir van hasta 7 oct. xa la entrega de vehículo.  </t>
    </r>
    <r>
      <rPr>
        <u/>
        <sz val="10"/>
        <color rgb="FFFF0000"/>
        <rFont val="Arial"/>
        <family val="2"/>
      </rPr>
      <t xml:space="preserve">Oct. 12:  el </t>
    </r>
    <r>
      <rPr>
        <sz val="10"/>
        <rFont val="Arial"/>
        <family val="2"/>
      </rPr>
      <t>Vehiculo cumpactdor fuer entregado el 8 de octubre</t>
    </r>
  </si>
  <si>
    <r>
      <t>Se realizó el convenio 005/2016 entre el municipio y EMSERPLA, por valor de ($ 271.875.900 Mpio: $ 266.875.900 y EMSERPLA $ 5.000.000 en bienes y servicios) y cuyo objeto es la ejecución de la fase VI y la implementación de la ruta de recolección selectiva de residuos sólidos, tratamiento y aprovechamiento de residuos sólidos en el municipio de La Plata.</t>
    </r>
    <r>
      <rPr>
        <sz val="10"/>
        <rFont val="Arial"/>
        <family val="2"/>
      </rPr>
      <t xml:space="preserve"> Se realizaron los contratos de personal  No. 028 al 041/2016  por valor de $191.360.000 pesos cuyo la prestación de servicios como directores y coordinadores de la fase VI del proyecto reciclamos para el cambio. </t>
    </r>
  </si>
  <si>
    <t>Se realizó el contrato interadministrativo entre el Municipio y EMSERPLA  con el fin de recolectar los residuos sólidos en  centros poblados cada año, del 01 al 30 de mayo de 2016. Actulamente se recolectan los resiudos en los centros poblados con el apoyo de un vehiculo de la administracion municipal</t>
  </si>
  <si>
    <t>Al 23 de septiembre se ajustará El PGIRS.   Se encuentra en proceso de aprobación ante la CAM</t>
  </si>
  <si>
    <t xml:space="preserve">A través del Acuerdo Municipal No.10-022 de noviembre de 2014, se estableció el monto el monto de los subsidios a otorgar a los estratos 1 y 2 y el porcentaje de aporte solidario a los estratos 5 y 6 comercial e industrial en la prestación de los servicios públicos de acueducto, alcantarillado y aseo del municipio de La Plata para los periodos fiscales 2015 y 2016. Al 30 de junio se tiene que presupuestado $ 165.551.362 y   ejecutado $ 97.748.757, por ejecutar $ 67.802.605 con lo cual se está garantizando el cumplimiento de la meta. Al 30 de Septiembre se tiene que de lo presupuestado $ 165.551.362 ,  está ejecutado $ 131.495.761, y por ejecutar $ 34,055,601 con lo cual se está garantizando el cumplimiento de la meta.  En el mes de noviembre se debe presentar al Honorable Concejo Municipal un proyecto de acuerdo para la actualización de los subsidios de acueducto, alcantarillado y aseo de los años siguientes.  </t>
  </si>
  <si>
    <t xml:space="preserve">Al 30 de Septiembre  se han incrementado  216 nuevos usuarios en servicio de aseo, debido a la ampliación de cobertura en los barrios villa milena y villa mariana y  otros.     Para alcanzar la meta del año, se ampliaron las rutas de barrido. </t>
  </si>
  <si>
    <t>Actualmente se esta haciendo la disposición final de los residuos sólidos en la  ciudad de neiva en el relleno sanitario los angeles operado por ciudad limpia.</t>
  </si>
  <si>
    <t>GRUPOS ESPECIALES</t>
  </si>
  <si>
    <t>NIÑOS, NIÑAS Y ADOLESCENTES</t>
  </si>
  <si>
    <t>Secretaría de Gobierno / Comisaria de familia</t>
  </si>
  <si>
    <t xml:space="preserve">OSCAR IVAN SANTOFIMIO </t>
  </si>
  <si>
    <t>SERVICIO PARA REALIZAR EL EVENTO LA FUEZA ES EL CAMBIO LA PLATA HUILA</t>
  </si>
  <si>
    <r>
      <t xml:space="preserve">En la Estrategia A.I.E.P.I se realizan varias Campañas a favor de los niños y niñas como: "Lactancia materna exclusiva durante los primeros seis meses de edad; promoción del desarrollo mental y social del niño estimulandolos con juegos, dialogo y llevandolos al control de crecimiento y desarrollo; Vacunación; Higiene Adecuada, agua potable, lavado de manos, aseo personal y manejo correcto de basuras y materias.   fecales; Medidas Preventivas contra el Dengue y la Malaria; Alimentación y Nutrición, entre otras. </t>
    </r>
    <r>
      <rPr>
        <u/>
        <sz val="10"/>
        <color rgb="FF00B0F0"/>
        <rFont val="Arial"/>
        <family val="2"/>
      </rPr>
      <t>13 sept.</t>
    </r>
    <r>
      <rPr>
        <sz val="10"/>
        <color rgb="FF000000"/>
        <rFont val="Arial"/>
        <family val="2"/>
      </rPr>
      <t xml:space="preserve"> Prog. radial.  </t>
    </r>
    <r>
      <rPr>
        <u/>
        <sz val="10"/>
        <color rgb="FF00B0F0"/>
        <rFont val="Arial"/>
        <family val="2"/>
      </rPr>
      <t>23 sept.</t>
    </r>
    <r>
      <rPr>
        <sz val="10"/>
        <color rgb="FF000000"/>
        <rFont val="Arial"/>
        <family val="2"/>
      </rPr>
      <t xml:space="preserve"> Brigada San Miguel .  </t>
    </r>
    <r>
      <rPr>
        <u/>
        <sz val="10"/>
        <color rgb="FFFF0000"/>
        <rFont val="Arial"/>
        <family val="2"/>
      </rPr>
      <t xml:space="preserve">Oct. 18.  </t>
    </r>
    <r>
      <rPr>
        <sz val="10"/>
        <rFont val="Arial"/>
        <family val="2"/>
      </rPr>
      <t xml:space="preserve">Se tiene programado realizar la ultima campaña el 21 de oct.   Se realizó en la fecha programada. 21 oct. </t>
    </r>
  </si>
  <si>
    <t>231803 F. 260101 (940.000) 231402041 F. 260401 (736667)</t>
  </si>
  <si>
    <t>1 mesa intersectorial de  infancia y adolescencia funcionando conformada por todos los entes municipales encargados de garantizar el acompañamiento integral a la infancia y la adolescencia.</t>
  </si>
  <si>
    <t>1° reunión para la reactivción de la mesa intersectorial de infancia y adolescencia celebrada en el mes de abril del 2016: se debatieron y analizaron temas relacionados con la sensibilizacion y compromiso sobre las  politicas de infancia, el cumplimiento de la ley 1098 del 2006 Codigo de Infancia y Adolescencia y verificacion de casos reportados con el objetivo de brindar un efectivo restablecimiento de los derechos a los niños, niñas y adolescentes en situación de vulneración.</t>
  </si>
  <si>
    <t>231803 F. 260101</t>
  </si>
  <si>
    <t>Garantizar la existencia y funcionamiento del Hogar de Paso modalidad familiar como medida provisional de restablecimiento de derechos a favor de los niños, niñas y adolescentes del Municipio de La Plata - Huila, en situación de amenaza y vulneración de sus derechos.</t>
  </si>
  <si>
    <t>Se ubican Niños, Niñas y Adolescentes que se encuentran en situación de inobservancia, amenaza y vulneración de sus derechos, por situaciones de maltrato infantil, abuso sexual, drogadicción, situación de calle. Este proceso se realiza de manera continua en el Hogar de Paso Modalidad Familiar ubicado en el Barrio San Rafael contiguo a la Casa de la Justicia del Muncipio de La Plata - Huila.</t>
  </si>
  <si>
    <t>23140203 F. 110103</t>
  </si>
  <si>
    <t xml:space="preserve">1 centro transitorio en el Municipio de la Plata Huila funcionando en optimas condiciones para ubicación de adolescentes infractores de la ley penal conforme al sistema de responsbilidad penal para adolescentes, establecido en la ley 1098 del 2006 Código de Infancia y Adolescencia. </t>
  </si>
  <si>
    <t>Actualmente el Municipio de La Plata – Huila, cuenta con un CENTRO TRANSITORIO ubicado en la Calle 6 No. 8 – 44 Barrio Rafael Ramirez Otalora de este ente territorial, con las condicones técnicas especificadas para funcionar; con las siguientes características: Dos Habitaciones Grandes, una de estas con baño privado, ducha y lavadero, una cocina, un bacho general, y sala, ubicado en un primer piso con plancha para garantizar que se cumpla con las disposiciones establecidas en el Codigo de Infancia y Adolescencia, y el Linemiento Técnico del ICBF en lo relacionado al Sistema de Responsabilidad Penal para Adolescentes. Para ello se cuenta con el acompañamiento de dos educadores femenino y masculino, para garantizar la custodia, cuiado integral de los adolescentes infractores de la normatividad penal.</t>
  </si>
  <si>
    <t>231403041  F. 260401 (4200000, 3600000); 110101 (2600000+600000) 110201 (10000000) 110103 (8000000); 23140305 F 110101 (4¨) 260401 (5´)</t>
  </si>
  <si>
    <r>
      <rPr>
        <sz val="10"/>
        <color rgb="FF00B0F0"/>
        <rFont val="Arial"/>
        <family val="2"/>
      </rPr>
      <t xml:space="preserve">4 Octub. </t>
    </r>
    <r>
      <rPr>
        <sz val="10"/>
        <color rgb="FF000000"/>
        <rFont val="Arial"/>
        <family val="2"/>
      </rPr>
      <t>3 capacitaciones:  Mayo en Cansarrocines, 11 Julio camapaña radial y 12 agosto I.E. Liceo Moderno</t>
    </r>
  </si>
  <si>
    <t>Realizar 3 Campañas educativas con el Apoyo del Enlace de Victimas, la Gestora Social, Policia de infancia y adolescencia y Comisaría de Familia, cuyo objetivo se centra en la prevención del reclutamiento de Niños, Niñas y Adolescentes  a grupos al margen de la ley  y la atencion psicosocial de NNA victimas del conflicto armado.</t>
  </si>
  <si>
    <r>
      <t xml:space="preserve">El 30 de agosto se realizará la  1° mesa de trabajo para coordinar la realización de las campañas de prevencion a la vinculacion de NNA a grupos al margen de la ley y grupos de delincuencia comun, implementacion y apoyo a las estrategias expuestas por el programa de Victimas del Municipio de la Plata.  </t>
    </r>
    <r>
      <rPr>
        <u/>
        <sz val="10"/>
        <color rgb="FF00B0F0"/>
        <rFont val="Arial"/>
        <family val="2"/>
      </rPr>
      <t>4 OCtb.</t>
    </r>
    <r>
      <rPr>
        <sz val="10"/>
        <color rgb="FF000000"/>
        <rFont val="Arial"/>
        <family val="2"/>
      </rPr>
      <t xml:space="preserve"> 20 sept. campaña radial.  30 sept. campaña en ITA.   Oct. 29. Se realizó una campaña el 21 de octubre con todas las Instituciones</t>
    </r>
  </si>
  <si>
    <t>231803 F. 260101. 231402041 F. 260401 (736667)</t>
  </si>
  <si>
    <t>Realizar promoción y prevención de los tipos de maltrato y abuso sexual en niños, niñas y adolescentes del Municipio de La Plata - Huila.</t>
  </si>
  <si>
    <t>Se realizan campañas educativas en prevención de maltrato y abuso sexual en niños, niñas y adolescentes a traves de la emisora del ejercito nacional en el programa la Ruta del Cambio emitido los martes de 08:00 a 08:30 a.m. y en la Emisora Potencia Latina en el Progr.00 a 08:30 a.m., de igual manera en la implementación de la estrategia la Ruleta del Cambio en el Barrio Diego de Ospina el 21 de abril en donde en articulación con la oficina de gestión social y las diferentes instituciones de manera pedagogica se educa a niños, niñas, adolescentes y padres de familia; también se han realizado campañas educativas de la prevención y atención al abuso sexual al personal que atiende los centros de desarrollo infantil y hogares comunitarios.</t>
  </si>
  <si>
    <t>implemntar una Estrategia de promocion, prevencion  y rehabilitacion para mitigar el consumo de SPA en NNA del municipio</t>
  </si>
  <si>
    <r>
      <t>Se viene desarrollando un programa radial " La ruta del cambio" en la emisora colombia stereo, asimismo campañas de sensibilización en las diferentes instituciones educativa, igualmente para el mes de octubre se implementará  la estrategia "Liberate" de la Comisaría de Familia del Munipio de La Plata Huila, con el fin de motivar y/o insentivar  a NNA sobre la importancia del no consumo de SPA y la obtencion de habitos de vida saludables.</t>
    </r>
    <r>
      <rPr>
        <sz val="10"/>
        <color rgb="FFFF0000"/>
        <rFont val="Arial"/>
        <family val="2"/>
      </rPr>
      <t xml:space="preserve"> </t>
    </r>
    <r>
      <rPr>
        <u/>
        <sz val="10"/>
        <color rgb="FFFF0000"/>
        <rFont val="Arial"/>
        <family val="2"/>
      </rPr>
      <t>4 Oct.</t>
    </r>
    <r>
      <rPr>
        <sz val="10"/>
        <color rgb="FFFF0000"/>
        <rFont val="Arial"/>
        <family val="2"/>
      </rPr>
      <t xml:space="preserve"> </t>
    </r>
    <r>
      <rPr>
        <sz val="10"/>
        <color rgb="FF000000"/>
        <rFont val="Arial"/>
        <family val="2"/>
      </rPr>
      <t>Agosto Campaña C.P. Belén.  7 Spt. campaña IE Agua BOnita y Sta Marta.   Pendiente x realizar el 6 y 21 oct.   29 OCt. Se abrio un stand donde se manejo varias temáticas en coordinación enlace, víctimas, ICBF</t>
    </r>
  </si>
  <si>
    <t xml:space="preserve">articular la 1° estrategia de insercion escolar de NNA en situacion de discapacidad  con el ICBF </t>
  </si>
  <si>
    <r>
      <t xml:space="preserve">Se implementa  la estrategia "camino a la educación" con el fin de lograr la inclusión de todos los NNA en situación de discapacidad y la inclusión a programas de educación inicial por medio de campañas de sensibilizacion y consientizacion  para un optimo crecimiento y desarrollo.   </t>
    </r>
    <r>
      <rPr>
        <u/>
        <sz val="10"/>
        <color rgb="FFFF0000"/>
        <rFont val="Arial"/>
        <family val="2"/>
      </rPr>
      <t>04 Oct</t>
    </r>
    <r>
      <rPr>
        <sz val="10"/>
        <color rgb="FF000000"/>
        <rFont val="Arial"/>
        <family val="2"/>
      </rPr>
      <t>.  Se tiene programado xa el 21 oct una actividad macro.  28 OCt. Se realizó en la actividad macro del 21 d eoctubre con en enlace de discapacidad</t>
    </r>
  </si>
  <si>
    <t>231803 F. 260101.  231402041 F. 260401 (736667)</t>
  </si>
  <si>
    <t xml:space="preserve">Realizar 4 capacitaciones por año en las I.E. fomentando los derechos de proteccion de NNA </t>
  </si>
  <si>
    <r>
      <t xml:space="preserve">Se realizan capacitaciones a las I.E de la zona urbana y rural del municipio de La Plata, con el fin de promover la importancia de la garantia de los derechos de los NNA a los padres de familia. </t>
    </r>
    <r>
      <rPr>
        <sz val="10"/>
        <color rgb="FFFF0000"/>
        <rFont val="Arial"/>
        <family val="2"/>
      </rPr>
      <t xml:space="preserve"> </t>
    </r>
    <r>
      <rPr>
        <u/>
        <sz val="10"/>
        <color rgb="FFFF0000"/>
        <rFont val="Arial"/>
        <family val="2"/>
      </rPr>
      <t>4 Oct.</t>
    </r>
    <r>
      <rPr>
        <u/>
        <sz val="10"/>
        <color rgb="FF00B0F0"/>
        <rFont val="Arial"/>
        <family val="2"/>
      </rPr>
      <t xml:space="preserve"> </t>
    </r>
    <r>
      <rPr>
        <sz val="10"/>
        <rFont val="Arial"/>
        <family val="2"/>
      </rPr>
      <t xml:space="preserve">   Se realizó 8 sept, IE Arrayán y S. Rafael.  Se tiene programada para el 4 Oct en Marillac  y 11 oct. en Pastrana.</t>
    </r>
  </si>
  <si>
    <t>Seguimiento por parte de la comisaría de familia a la ESE san sebastian al programa nutricional de NNA</t>
  </si>
  <si>
    <r>
      <t xml:space="preserve">El 7 de julio se desarrolló una mesa técnica de políticas social donde se presentó un diagnóstico y debatió lo relacionado a desnutrición con los diferentes actores que hacen parte del consejo de política social y se programó para el 10 de agosto el consejo de política social con el tema central de desnutrición. </t>
    </r>
    <r>
      <rPr>
        <u/>
        <sz val="10"/>
        <color rgb="FF00B0F0"/>
        <rFont val="Arial"/>
        <family val="2"/>
      </rPr>
      <t>4 OCt</t>
    </r>
    <r>
      <rPr>
        <sz val="10"/>
        <color rgb="FF000000"/>
        <rFont val="Arial"/>
        <family val="2"/>
      </rPr>
      <t>.  Se está pendiente solicitar el acta del consejo de politica social realizado el 10 de agosto</t>
    </r>
  </si>
  <si>
    <t xml:space="preserve">1 jornada para el mes de Osctubre de 2016 para la identificacion de NNA  </t>
  </si>
  <si>
    <t>Se realizan Jornadas de Identificacion "soy ciudadano" promoviendo la importancia de identifacion de NNA. Del municipio</t>
  </si>
  <si>
    <t>Hacer participe a los NNA en los consejos de politica social realizadas por la Secretaria de Desarro social del Municipio de la Plata Huila</t>
  </si>
  <si>
    <t>Se participo de los consejos de politica social en las fechas 7 de abril, 30 agosto y 23 diciembre</t>
  </si>
  <si>
    <t>Ejecucion  de estrategias ludicas y recreativas para brindar psicoeducacion y prevencion del abuso sexual infantil y maltrato infantil para  niños y niñas en el Municipio de la Plata Huila.</t>
  </si>
  <si>
    <t xml:space="preserve">Se realizó el 30 de abril en el parque central con la participación de instituciones educativas, cabildos indígenas, niños con capacidades educativas diferenciales, SENA, Policía, Ejercito, el CDI, ICBF donde asistieron aproximadamente 1.500 niñ@s. </t>
  </si>
  <si>
    <t xml:space="preserve">Articular con Secretaria de  cultura y deporte, secretaria de Salud Municipal, Gestora Social y Comisaria de Familia en la elaboracion de la carabana navideña en favor de los niños y niñas del Municipio de la Plata Huila. </t>
  </si>
  <si>
    <r>
      <t xml:space="preserve">En el mes de diciembre se celebrará la caravana navideña por la paz.  </t>
    </r>
    <r>
      <rPr>
        <u/>
        <sz val="10"/>
        <color rgb="FF00B0F0"/>
        <rFont val="Arial"/>
        <family val="2"/>
      </rPr>
      <t>4  Oct.</t>
    </r>
    <r>
      <rPr>
        <sz val="10"/>
        <color rgb="FF000000"/>
        <rFont val="Arial"/>
        <family val="2"/>
      </rPr>
      <t xml:space="preserve">  Se programó realizar el 7 dic. Un lucernario. Dic. 30/16.  Se celebró a partir del 7 al 22 de diciembre </t>
    </r>
  </si>
  <si>
    <t>231402041 F. 260401</t>
  </si>
  <si>
    <t xml:space="preserve">Programas radiales articulados con la Emisora del Ejercito Nacional  y Potencia Latina realizada los dias martes y Sabados de 8:00 a 8:30 am </t>
  </si>
  <si>
    <t xml:space="preserve">Desde el mes de febrero se ha venido realizando programas radiales haciendo énfasis en temas relacionados con prevencion de Violencia Intrafamiliar, Violencia Infantil, Violencia contra la mujer, Abuso Sexual, Convivencia Escolar, Superacion Personal, obligaciones en la familia y dar a conocer el codigo de infancia y adolescencia y la ley 1257 de 2008 sobre la proteccion a la muner. </t>
  </si>
  <si>
    <r>
      <t xml:space="preserve">Oct 15:   </t>
    </r>
    <r>
      <rPr>
        <sz val="10"/>
        <color rgb="FFFF0000"/>
        <rFont val="Arial"/>
        <family val="2"/>
      </rPr>
      <t xml:space="preserve"> </t>
    </r>
    <r>
      <rPr>
        <sz val="10"/>
        <rFont val="Arial"/>
        <family val="2"/>
      </rPr>
      <t xml:space="preserve">Se tiene programado realizar una actividad macro en el parque con articulación de la policia de infancia, ICBF.  Dic. 30/16.  Se realizó una capacitac. El 24 de noviembre en casa de cultura, articulado con PIC y gobernación.  </t>
    </r>
  </si>
  <si>
    <t xml:space="preserve">24 operativos de control de NNA a establecimientos publicos, bares, discotecas o citios de lenocinio </t>
  </si>
  <si>
    <r>
      <t xml:space="preserve">Se han realizado 16 operativos de control a establecimientos nocturnos con el fin de verificar la presencia de NNA, de igual forma realizar aprehencion para sensibilizar, concientizar y otorgar compromisos por los NNA y sus padres. </t>
    </r>
    <r>
      <rPr>
        <sz val="10"/>
        <color rgb="FFFF0000"/>
        <rFont val="Arial"/>
        <family val="2"/>
      </rPr>
      <t xml:space="preserve"> </t>
    </r>
    <r>
      <rPr>
        <u/>
        <sz val="10"/>
        <color rgb="FFFF0000"/>
        <rFont val="Arial"/>
        <family val="2"/>
      </rPr>
      <t xml:space="preserve">4 oct. </t>
    </r>
    <r>
      <rPr>
        <u/>
        <sz val="10"/>
        <color rgb="FF00B0F0"/>
        <rFont val="Arial"/>
        <family val="2"/>
      </rPr>
      <t xml:space="preserve"> </t>
    </r>
    <r>
      <rPr>
        <sz val="10"/>
        <rFont val="Arial"/>
        <family val="2"/>
      </rPr>
      <t xml:space="preserve">Se tiene programado 2 operativos, el 8 y 15 de octubre. Oct. 18: Se realizaron los operativos el 8 de octubre en la parte urbana y el 15 en la zona rural vereda EL Salado.- </t>
    </r>
  </si>
  <si>
    <t>231801 F</t>
  </si>
  <si>
    <t xml:space="preserve">Articulacion con Policia de infancia y adolescencia, ICBF, Personeria y Comisaria de Familia.  </t>
  </si>
  <si>
    <t>Se han realizado tres  operativos en las Instituciones educativas  con el fin de prevenir el consumo de sustancias psicoactivas e incautar y disminuir el porte de armas blancas por parte de los NNA, de igual forma brindar psicoeducacion a los NNA en las Instituciones en pro de mitigar conductas agresivas en las mismas.</t>
  </si>
  <si>
    <t xml:space="preserve">Articular  con Policia de Infancia y adolescencia ICBF, Ministerio de trabajo, Personeria y Comisaria de familia para implementar la 1° campaña de prevencion de trabajo infantil </t>
  </si>
  <si>
    <r>
      <t xml:space="preserve">Se implementó  la 1° verificacion de trabajo infantil en  la Campaña" Vive tu niñez "   durante las fiestas san pedrinas en el Municipio de la Plata Huila,  cuyo objetivo es sensibilizar y concientizar a los NNA, padres y/o tutores sobre la resposabilidad de los trabajos realizados y la importancia del receso escoalr en NNA. Igualmente a través del programa radial "La Ruta del Cambio" se han tratado temas.   </t>
    </r>
    <r>
      <rPr>
        <u/>
        <sz val="10"/>
        <color rgb="FF00B0F0"/>
        <rFont val="Arial"/>
        <family val="2"/>
      </rPr>
      <t xml:space="preserve">4 Oct.  </t>
    </r>
    <r>
      <rPr>
        <sz val="10"/>
        <rFont val="Arial"/>
        <family val="2"/>
      </rPr>
      <t xml:space="preserve">se iene programado realizar en la actividad macro del 21 de oct. </t>
    </r>
    <r>
      <rPr>
        <sz val="10"/>
        <color rgb="FF000000"/>
        <rFont val="Arial"/>
        <family val="2"/>
      </rPr>
      <t xml:space="preserve"> relacionados con la prevención del trabajo infantil. </t>
    </r>
  </si>
  <si>
    <t>231402041 F. 260401.  231402041 F. 260401 (736667)</t>
  </si>
  <si>
    <t xml:space="preserve">Celebracion Dia de la Familia por parte de la Alcaldia del Municipio de la Plata Huila, con el objetivo de insentivar la union familiar y la comunicasion asertiva, efectiva y afectiva en el núcleo familiar. </t>
  </si>
  <si>
    <t>Se realizaron celebraciónes del  día de la Familia por medio de activadades musicales (concursos de émulos) actividades ludicas de recreacion y deporte y obsequio de herramientas para labores agriculas, insentivando la union familiar, la comunicación asertiva y la participacion en actividades sociales, realizadas los dias 22 de mayo de 2016 en el Centro Poblado de Gallego, 27 de Mayo de 2016 en el Centro Poblado de San Andres y el 28 de mayo en Centro Poblado de Belén</t>
  </si>
  <si>
    <t xml:space="preserve">Contratación del personal que presta los servicios de apoyo a la gestión de la comisaría de familia con funciones de dirección de justicia. </t>
  </si>
  <si>
    <t xml:space="preserve">Desde el mes de enero se ha contratado el personal que hace parate del equipo interdisciplinario de la comisaría de familia con funciones de dirección de justicia, entre ellos: una abogada de apoyo, dos sicólogas, una trabajadora social, dos educadores del centro transitorio. </t>
  </si>
  <si>
    <t xml:space="preserve">231701 F. 260401 (4173)
231803 260401 (1700+940.)
231403041 (8000000)
231803 F. 
</t>
  </si>
  <si>
    <r>
      <t>Se contratará su construcción a partir del segundo semestre.</t>
    </r>
    <r>
      <rPr>
        <u/>
        <sz val="10"/>
        <color rgb="FF00B0F0"/>
        <rFont val="Arial"/>
        <family val="2"/>
      </rPr>
      <t xml:space="preserve"> 4 Oct.</t>
    </r>
    <r>
      <rPr>
        <sz val="10"/>
        <color rgb="FF000000"/>
        <rFont val="Arial"/>
        <family val="2"/>
      </rPr>
      <t xml:space="preserve">  Se solicitó el c.d.p. el 29 sept. Dic.30/16.  Se contrató la const. Quedó en reserva se iniciará una vez aprueben la reserva. </t>
    </r>
  </si>
  <si>
    <t>23140101 F. 280201</t>
  </si>
  <si>
    <t>JOSE YESID ROA CHARRY</t>
  </si>
  <si>
    <t xml:space="preserve">El 31 de marzo se terminó de conformar la plataforma de juventudes, está conformada por diez de jóvenes entre los 14 y 28 años de diferentes grupos sociales, con el éste grupo se está formulando el proyecto para la celebración de la semana de la juventud. </t>
  </si>
  <si>
    <t>231418041
260101</t>
  </si>
  <si>
    <r>
      <t xml:space="preserve">El 31 de marzo se realizó la primer asamblea de juventudes y a través de ella se reactivó la plataforma. </t>
    </r>
    <r>
      <rPr>
        <u/>
        <sz val="10"/>
        <color rgb="FFFF0000"/>
        <rFont val="Arial"/>
        <family val="2"/>
      </rPr>
      <t>4 Oct</t>
    </r>
    <r>
      <rPr>
        <u/>
        <sz val="10"/>
        <color rgb="FF00B0F0"/>
        <rFont val="Arial"/>
        <family val="2"/>
      </rPr>
      <t>.  Para la última semana de octubre se programó realizar la asamblea (28 de octubre).  Se realizó el 11 de noviembre la última asamblea</t>
    </r>
  </si>
  <si>
    <t>231418041
110201</t>
  </si>
  <si>
    <t xml:space="preserve">Se desarrolló el 26 de junio, participaron cuatro bandas de rock de la ciudad de Neiva, participaron grupos artísticos, malabares, música andina con la participación aproximadamente de 1.000 jóvenes. </t>
  </si>
  <si>
    <t xml:space="preserve">Semana de la Juventud </t>
  </si>
  <si>
    <r>
      <t xml:space="preserve">Se realizó una mesa de trabajo el sábado 30 de julio con el fin de programar el primer encuentro municipal de juventudes denominado semana de la juventud el cual tendrá lugar del 23 a 27 de agosto.  </t>
    </r>
    <r>
      <rPr>
        <u/>
        <sz val="10"/>
        <color rgb="FF00B0F0"/>
        <rFont val="Arial"/>
        <family val="2"/>
      </rPr>
      <t xml:space="preserve">4 Octubre.  </t>
    </r>
    <r>
      <rPr>
        <sz val="10"/>
        <rFont val="Arial"/>
        <family val="2"/>
      </rPr>
      <t>Se realizó la semana de la juventud el 23 al 27 de agosto</t>
    </r>
  </si>
  <si>
    <t>231418042
260101</t>
  </si>
  <si>
    <r>
      <t xml:space="preserve">Se tiene programado participar el próximo 10 de agosto en el segundo consejo de política social y en dos más cuando se programen.  </t>
    </r>
    <r>
      <rPr>
        <u/>
        <sz val="10"/>
        <color rgb="FFFF0000"/>
        <rFont val="Arial"/>
        <family val="2"/>
      </rPr>
      <t>Oct 12/16:</t>
    </r>
    <r>
      <rPr>
        <sz val="10"/>
        <color rgb="FF000000"/>
        <rFont val="Arial"/>
        <family val="2"/>
      </rPr>
      <t xml:space="preserve">   Se partició en consejo de politica social de las Ste fechas:  7 abril y   31 agosto.,  octubre y el 23 de diciembre.</t>
    </r>
  </si>
  <si>
    <t>A través del enlace de juventudes se le cursó invitación a los personeros estudiantiles a participar en el primer encuentro de personeros a realizarce el 24 de agosto de 2016.   Se realizó el encuentro de personeros municipales el 24 de agosto</t>
  </si>
  <si>
    <t>IMPLEMENTACION DE STRATEGIAS PLANES Y PROGR. E ATENCION A GRUPOS VULNERABLES, JUSTICIA, SEGURIDAD, CONVIVENCIA CIUDADANA…</t>
  </si>
  <si>
    <r>
      <t xml:space="preserve">se realizó en la feria llamada EXPOCCIDENTE versión 175 muestra comercial,... artesanal y jardinería. con un grupo de mujeres microempresarias de café "ASMEQUIDAD", por medio de un Stand en cual se expuso los productos derivados del café. Para ello se realizó degustación y socialización del proceso a los asistentes.  </t>
    </r>
    <r>
      <rPr>
        <u/>
        <sz val="9"/>
        <color rgb="FFFF0000"/>
        <rFont val="Arial"/>
        <family val="2"/>
      </rPr>
      <t>Oct. 18</t>
    </r>
  </si>
  <si>
    <t>231416
F. 110201</t>
  </si>
  <si>
    <t xml:space="preserve">se realizó la campaña  a través de programas radiales, charla educativas en centros poblados e instituciones educativas, por medio de marcha, lucernario, las campañas se seguiran realizando durante  el resto del año.  </t>
  </si>
  <si>
    <t>se realizó la activación e instalación del consejo comunitario de mujeres y se eligió la representante para el consejo comunitario departamental.</t>
  </si>
  <si>
    <t>se va elaborar una estrategia para establecer a ruta de atención para el restablecimiento del derecho de las menores embarazadas.</t>
  </si>
  <si>
    <t>IMPLEMENTACION DE ESTRATEGIAS, PLANES Y PROGR. EN ATENCION A GRUPOS VULNERABLES, JUSTICIA, SEGURIDD…..</t>
  </si>
  <si>
    <r>
      <t xml:space="preserve">se realizarán por medios de comunicación (programas radiales 30 de julio, martes 9 agosto) y mediante campañas educativas dirigidas a la población plateña. </t>
    </r>
    <r>
      <rPr>
        <u/>
        <sz val="10"/>
        <color rgb="FFFF0000"/>
        <rFont val="Arial"/>
        <family val="2"/>
      </rPr>
      <t xml:space="preserve">Oct. 15.   </t>
    </r>
    <r>
      <rPr>
        <sz val="10"/>
        <rFont val="Arial"/>
        <family val="2"/>
      </rPr>
      <t>Se tiene programado realizar las jornadas de sensibilización el 21 y 26 de octubre.</t>
    </r>
  </si>
  <si>
    <t>231404041    F. 120801</t>
  </si>
  <si>
    <r>
      <t xml:space="preserve">se encuntra en proceso de contratación para la continuidad de la obra de mejoramiento de la infraestructura y dotación de la misma.  </t>
    </r>
    <r>
      <rPr>
        <u/>
        <sz val="10"/>
        <color rgb="FFFF0000"/>
        <rFont val="Arial"/>
        <family val="2"/>
      </rPr>
      <t xml:space="preserve">Oct. 15.     </t>
    </r>
    <r>
      <rPr>
        <sz val="10"/>
        <color rgb="FFFF0000"/>
        <rFont val="Arial"/>
        <family val="2"/>
      </rPr>
      <t>Se ejecuto el contrato No. 468 del 2015 cuyo objto es "Mejoramiento y adecuac. Infraestruc. Centro día", el cula se encuentra  en un 80% ejecutado y esta pendiente de una reunion de trabajo con la ocntratista para definir la terminación o la aplicación de la póliza contractual.  Los recursos fueron del 2015 y pasaron a reserva.  Dic. 30/16.  El contratista cumplió en un</t>
    </r>
  </si>
  <si>
    <t>RECURSOS 2015 43140402 Fu 120801 Reserva  ($22.000.000)</t>
  </si>
  <si>
    <t>se realizaó la jornada de caracterización en los centro poblados de Belén, Monserrate y San Andrés caracterizando un total de 51 adulto mayor para ser incluidos en el programa Colombia Mayor.</t>
  </si>
  <si>
    <t>se implementó el programa de huerta casera en el hogar de paso "Centro Día", curso de panadería</t>
  </si>
  <si>
    <t>se han realizado jornadas de aeróbicos, danzas, deporte, música</t>
  </si>
  <si>
    <r>
      <t xml:space="preserve">actualmente  cuenta con la ubicación del predio, material de playa y ladrillo y se adelantan los precesos de legalización. </t>
    </r>
    <r>
      <rPr>
        <u/>
        <sz val="10"/>
        <color rgb="FFFF0000"/>
        <rFont val="Arial"/>
        <family val="2"/>
      </rPr>
      <t xml:space="preserve">Octubre 15.  </t>
    </r>
    <r>
      <rPr>
        <sz val="10"/>
        <rFont val="Arial"/>
        <family val="2"/>
      </rPr>
      <t xml:space="preserve">  Se gestiono la donación de tierra.  Mediante escritura pública la sra Rosa MIrta Pérez donó al MPio 2 hás.</t>
    </r>
  </si>
  <si>
    <t xml:space="preserve">se realizan actividades de elaboración de instrumentos y manualidades como bolsos, tejidos en croché y confección de prendas. Todas las actividadades se llevan a cabo en la casa de la cultura. </t>
  </si>
  <si>
    <r>
      <t xml:space="preserve">se adelantan actividades para realizar la celebración del día del adulto mayor el 31 de agosto, queda pendiente la celebración de navidad el dia 20 de diciembre.  </t>
    </r>
    <r>
      <rPr>
        <u/>
        <sz val="10"/>
        <color rgb="FFFF0000"/>
        <rFont val="Arial"/>
        <family val="2"/>
      </rPr>
      <t>Oct. 15.</t>
    </r>
    <r>
      <rPr>
        <sz val="10"/>
        <color rgb="FF000000"/>
        <rFont val="Arial"/>
        <family val="2"/>
      </rPr>
      <t xml:space="preserve">  </t>
    </r>
    <r>
      <rPr>
        <sz val="10"/>
        <rFont val="Arial"/>
        <family val="2"/>
      </rPr>
      <t xml:space="preserve"> Se celebró el día del adulto mayor el 9 de sept. Se tiene programada, la celebración del dia de la navidad para el 20 de diciembre.  30 Dic./16 Se celebró el 16 de Dic. día Navidad "Abuelo Navideño"</t>
    </r>
  </si>
  <si>
    <t>231404041  Fuente 120801,  231404042  F. 120803, 110103</t>
  </si>
  <si>
    <t>se inscribirá un  proyecto productivo que beneficie a la población de adulto mayor del municipio.</t>
  </si>
  <si>
    <r>
      <t xml:space="preserve">se está realizando el convenio de apoyo con el hogar  "La Milagrosa" del municipio. </t>
    </r>
    <r>
      <rPr>
        <u/>
        <sz val="10"/>
        <color rgb="FFFF0000"/>
        <rFont val="Arial"/>
        <family val="2"/>
      </rPr>
      <t xml:space="preserve"> Oct.  </t>
    </r>
    <r>
      <rPr>
        <sz val="10"/>
        <rFont val="Arial"/>
        <family val="2"/>
      </rPr>
      <t xml:space="preserve">Se esta analizando la situación jurídica, por ser una entidad privada. </t>
    </r>
  </si>
  <si>
    <t>se realizan actualizaciones permanentes de la caracterización durante el año</t>
  </si>
  <si>
    <t xml:space="preserve">Se realizó una capacitación </t>
  </si>
  <si>
    <t>se apoyo en la conformación de grupos de rajaleñas en el resguardo de Tálaga</t>
  </si>
  <si>
    <t>durante la celebración del día de niñez se realizó expocision cultural de danza por el resguardo Tálaga.</t>
  </si>
  <si>
    <t>la capacitación se realizó en el centro poblado Belén el 22 de abril, además se brindó servicio con los enlaces.</t>
  </si>
  <si>
    <t>231416  F. 260101</t>
  </si>
  <si>
    <t>se capacitó al personal de la administrción municipal durante la jornada que e llevó a cabo e día 7 de abril en e horario de 8:00 am - 11:00 am</t>
  </si>
  <si>
    <t>231416 F. 260401</t>
  </si>
  <si>
    <t xml:space="preserve"> se realizaron la socialización de PPNA (población pobre no asegurada) en los centros poblados de Monserrate el 15 de abril y en Santa Leticia el 23 de abril.</t>
  </si>
  <si>
    <t>NO REQUIERE</t>
  </si>
  <si>
    <r>
      <t xml:space="preserve">se implementará un cronográma para realizar un diagnóstico y porteriormente el seguiminentos.  </t>
    </r>
    <r>
      <rPr>
        <u/>
        <sz val="10"/>
        <color rgb="FFFF0000"/>
        <rFont val="Arial"/>
        <family val="2"/>
      </rPr>
      <t xml:space="preserve">Octubre 13:  </t>
    </r>
    <r>
      <rPr>
        <sz val="10"/>
        <rFont val="Arial"/>
        <family val="2"/>
      </rPr>
      <t>Se progromará seguimiento con el comité de Discapacidad para finales de octubre</t>
    </r>
    <r>
      <rPr>
        <sz val="10"/>
        <color rgb="FF000000"/>
        <rFont val="Arial"/>
        <family val="2"/>
      </rPr>
      <t xml:space="preserve"> Dic. 30/16  Se realizó seguimiento a la politica publica por medio del cuomite local de discapacidad el día 24 de Noviembre.</t>
    </r>
  </si>
  <si>
    <t>no se cuenta  con el recurso y el personal para llevar a cabo el ecuerdo de UAI.</t>
  </si>
  <si>
    <r>
      <t xml:space="preserve">Octubre 13:  </t>
    </r>
    <r>
      <rPr>
        <sz val="10"/>
        <rFont val="Arial"/>
        <family val="2"/>
      </rPr>
      <t xml:space="preserve">Se tiene programada realizar la campaña de promoción el 19 de octubre en coord. Con la comisaria de flia.   Se ejecuto la campaña de inclusión al entorno educativo de NNA con necesidades educativas especiales.  Igualmente se realizo con la IE San Sebastian de sensibilización e inclusión de las personas con discapacidad </t>
    </r>
  </si>
  <si>
    <t>ATENCION INTEGRAL CELEBRACION SAN PEDRO PARA EL ADULTO MAYOR Y POBLACIÓN EN CONDICIÓN DE DISCAPACIDAD DEL MUNICIPIO DE LA PLATA HUILA</t>
  </si>
  <si>
    <t xml:space="preserve">se realizó una actividad durante la temporada sanpedrina, en integraciones como los desfiles, reinado e integración en general, mas sin embargo se va a relizar la celebración de día de la discapacidad el 3 de diciembre.  Dic.30/16.  Se celebró el día de la discapacidad el 3 de diciembre. </t>
  </si>
  <si>
    <t>231407042 F. 110103</t>
  </si>
  <si>
    <r>
      <t xml:space="preserve">se realizó la capcitación con enlaces de Víctimas, adulto mayor, familias en acción, discapcidad y funcionarios de la oficna de talento humano y archivo. Esta capacitación se llevo a cabo en recinto del concejo municipal.  Tema:  Cultura, Historia y Legislación Afro. </t>
    </r>
    <r>
      <rPr>
        <u/>
        <sz val="10"/>
        <color rgb="FFFF0000"/>
        <rFont val="Arial"/>
        <family val="2"/>
      </rPr>
      <t xml:space="preserve"> Oct. 12..  </t>
    </r>
    <r>
      <rPr>
        <sz val="10"/>
        <color rgb="FF000000"/>
        <rFont val="Arial"/>
        <family val="2"/>
      </rPr>
      <t>Se tiene programado realizar la proxima capacit finales de oct. tema:  Consulta previa y decenio internacional. DIc. 30.  Se realizó la capac. el 15 de oct./2016.</t>
    </r>
  </si>
  <si>
    <t>21110304 F. 110102</t>
  </si>
  <si>
    <t>se realizó una labor con asociaciones de afroresidentes del municipio, para definir pautas y plan de trabajo para la creación de la política pública del municipio de la Plata.  Se adelantó la caracterización de la población</t>
  </si>
  <si>
    <t xml:space="preserve">se realizó la elcción de madres líderes en la zona rural el mes de julio los días 12,13.14, 15,19, 21, 22  y en la zona urbana en julio 16, con las cuales se da poyo a diferentes grupos de población. Se realizarán dos encuentro de bienestar que se llevará a cabo durante el segundo semestre.  Se implementó en coordi. con la gobernación el prog. "Cátedra de estudios afrocolombianos" dirigidos a rectores, docentes, orientadore del area de sociales y docentes afrocolombianos de las I.E.  </t>
  </si>
  <si>
    <t>Se realizarán asamblea general en la zona rural que se llevará a cabo el día 26 Agosto  y urbana que será el 30 de Agosto. Los beneficiarios del programas que asistirán a la asamblea Población sisbén 3.343, desplazados 686 y red unidos 1.475. Oct. Se esta adelantando capacitación en curso productivo de "Belleza" dirigida a madres titulares del programa más flias en acción  y red unidos, en el centro poblado de Belén.  Igualmente un curso de panadería dirigido a madres titulares del sector 4, barrio La LIbertad.  Así mismo se esta realizando un curso de implementación de huertas caseras a la población afrocolombiana.</t>
  </si>
  <si>
    <t>23141301 F. 110101 260401</t>
  </si>
  <si>
    <t>FORMULACION DEL PLAN DE VICTIMAS DEL CONFLICTO ARMADO LA PLATA HUILA</t>
  </si>
  <si>
    <r>
      <t xml:space="preserve">se realizó una plenaria los dias 23 y 24 de junio. </t>
    </r>
    <r>
      <rPr>
        <u/>
        <sz val="10"/>
        <color rgb="FFFF0000"/>
        <rFont val="Arial"/>
        <family val="2"/>
      </rPr>
      <t xml:space="preserve">Octubre 12:  </t>
    </r>
    <r>
      <rPr>
        <sz val="10"/>
        <rFont val="Arial"/>
        <family val="2"/>
      </rPr>
      <t xml:space="preserve">Se realizaron 2 plenarias de mesas de trabajo en </t>
    </r>
    <r>
      <rPr>
        <sz val="10"/>
        <color rgb="FF000000"/>
        <rFont val="Arial"/>
        <family val="2"/>
      </rPr>
      <t xml:space="preserve"> las siguientes fechas:  8 y 9 de agosto; sept. 21 y 22  y se programó la siguiente para noviembre.  Dic. 30.  Se realizó en la fecha programada. </t>
    </r>
  </si>
  <si>
    <t>231420101 F. 110103 (1000000)
231420102 F. 110103 (2052800)</t>
  </si>
  <si>
    <t>actualmente se cuenta con un enlace permanente para la atención integral de la población víctima, además ajustar y actualizar la politica pública de las víctimas.</t>
  </si>
  <si>
    <t>23140601 F. 260401 (11700000)</t>
  </si>
  <si>
    <r>
      <t xml:space="preserve">se realiza un esquema completo de vacunación articulado con la secretaria de desarrollo social y comunitario. </t>
    </r>
    <r>
      <rPr>
        <u/>
        <sz val="10"/>
        <color rgb="FFFF0000"/>
        <rFont val="Arial"/>
        <family val="2"/>
      </rPr>
      <t xml:space="preserve">Octub 18:  </t>
    </r>
    <r>
      <rPr>
        <sz val="10"/>
        <rFont val="Arial"/>
        <family val="2"/>
      </rPr>
      <t>Se realizó jornada de vacunación en el Vda San Miguel el 26 de agosto.   DIc. 30/17.  Se realizó la jornada de servicios el   10 diciembre en Belén.</t>
    </r>
  </si>
  <si>
    <t xml:space="preserve">hasta el momento no se han realizado, pero se encuentra programada la para el 29 de noviembre de 2016.  Se hizo el 29 de noviembre y el día en que se realizó el foro educativo con la presencia del Gobernador, en Balcones de la Pradera. </t>
  </si>
  <si>
    <t>se realizó el dia 9 de abril "Dia de la conmemoración" se llevó a cabo en la casa de la cultura</t>
  </si>
  <si>
    <t>23140601 F. 260401 (10000)</t>
  </si>
  <si>
    <r>
      <rPr>
        <u/>
        <sz val="10"/>
        <color rgb="FFFF0000"/>
        <rFont val="Arial"/>
        <family val="2"/>
      </rPr>
      <t>Oct. 28</t>
    </r>
    <r>
      <rPr>
        <sz val="10"/>
        <color rgb="FF000000"/>
        <rFont val="Arial"/>
        <family val="2"/>
      </rPr>
      <t>:  se realizará una jornada con la unidad de víctimas territoriales y la gobernación del Huila, SENA y EJERCITo para la oferta institucional de entidades de SNARIV, que se reaizará el 21 de octubre en la zona urbana y 16 de noviembre en el centro poblado de Belén.  Se realizaron en las fechas establecidas</t>
    </r>
  </si>
  <si>
    <t>231420 F. 110103</t>
  </si>
  <si>
    <r>
      <rPr>
        <u/>
        <sz val="10"/>
        <color rgb="FFFF0000"/>
        <rFont val="Arial"/>
        <family val="2"/>
      </rPr>
      <t xml:space="preserve">Oct. 18. </t>
    </r>
    <r>
      <rPr>
        <sz val="10"/>
        <color rgb="FF000000"/>
        <rFont val="Arial"/>
        <family val="2"/>
      </rPr>
      <t xml:space="preserve"> se realizará un plan el cual contenga talleres y capacitaciones durante el segundo semestre orientado a las mujeres víctimas del municipio. Se realizará un taller de socialización y articulación de la ruta de  violencia contra la mujer el 4 de noviembre.  Se relalizo el 10 de Diciem en Belén. </t>
    </r>
  </si>
  <si>
    <r>
      <rPr>
        <u/>
        <sz val="10"/>
        <color rgb="FFFF0000"/>
        <rFont val="Arial"/>
        <family val="2"/>
      </rPr>
      <t xml:space="preserve">Oct. 28. </t>
    </r>
    <r>
      <rPr>
        <sz val="10"/>
        <color rgb="FF000000"/>
        <rFont val="Arial"/>
        <family val="2"/>
      </rPr>
      <t xml:space="preserve"> se han otorgado 2 auxilios funerarios a personas víctimas durante el mes de mayo y junio por una valor 232.000 (cofre)</t>
    </r>
  </si>
  <si>
    <r>
      <t xml:space="preserve">se está elaborando una esrategia para brindar atención humanitaria de inmediatez,.   </t>
    </r>
    <r>
      <rPr>
        <u/>
        <sz val="10"/>
        <color rgb="FFFF0000"/>
        <rFont val="Arial"/>
        <family val="2"/>
      </rPr>
      <t>Oct. 18.</t>
    </r>
    <r>
      <rPr>
        <sz val="10"/>
        <color rgb="FF000000"/>
        <rFont val="Arial"/>
        <family val="2"/>
      </rPr>
      <t xml:space="preserve">   Se inicio el proceso de contratación para la compa de kit de alimentos y kit de habitación para 2 familias afectadas por el vendabal.  Dic. 30/17.  Se entregaron mercados el 23 de diciembre de 2016.</t>
    </r>
  </si>
  <si>
    <t>23140602 F. 110103</t>
  </si>
  <si>
    <r>
      <t>se realizaron 2 jornadas de sensiblización  a traves de emisora Global stereo durante el mes de mayo y junio y socialización de ruta con funcionarios públicos y entidades del SNARIV.</t>
    </r>
    <r>
      <rPr>
        <u/>
        <sz val="10"/>
        <color rgb="FFFF0000"/>
        <rFont val="Arial"/>
        <family val="2"/>
      </rPr>
      <t xml:space="preserve"> Oct. 18.</t>
    </r>
    <r>
      <rPr>
        <sz val="10"/>
        <color rgb="FF000000"/>
        <rFont val="Arial"/>
        <family val="2"/>
      </rPr>
      <t xml:space="preserve">  El 22 de octubre se realizará asamblea de víctimas para informar temas de vivienda, rutas de atención por parte de la unidad de víctimas y Restitución de tierras.</t>
    </r>
  </si>
  <si>
    <t xml:space="preserve"> POR DEFINIR</t>
  </si>
  <si>
    <r>
      <t xml:space="preserve">se articula la ACR, oficina de paz departamental y oficina de víctimas de la gobernación. </t>
    </r>
    <r>
      <rPr>
        <u/>
        <sz val="10"/>
        <color rgb="FFFF0000"/>
        <rFont val="Arial"/>
        <family val="2"/>
      </rPr>
      <t>Oct. 18</t>
    </r>
    <r>
      <rPr>
        <sz val="10"/>
        <color rgb="FF000000"/>
        <rFont val="Arial"/>
        <family val="2"/>
      </rPr>
      <t>.  Se viene adelantando la formulación de un proyecto con la ACR para realizar talleres comuniarios, lúdicos dirigidos a los jóvenes de los barrios vulnerables, con el fin de fortalecer su proyecto de vida.</t>
    </r>
  </si>
  <si>
    <t>EL CAMBIO SE HACE CON PRODUCTIVIDAD</t>
  </si>
  <si>
    <t xml:space="preserve"> DESARROLLO ECONOMICO / PROMOCION DEL DESARROLLO</t>
  </si>
  <si>
    <t xml:space="preserve">Está en proceso de realizar convenio con el SENA para capacitar jóvenes en el manejo de huertas caseras, trabajos relacionados con el sector rural (agricultura y ganadera), microempresas, turismo entre otros oficios. </t>
  </si>
  <si>
    <t xml:space="preserve">En el mes de agosto se realizará un convenio con la cámara de comercio para capacitar a los vendedores formales e informales. diC. 30/16.  Se capacitó en el tema "Logística Internacional para MIPYMES (Pequeños y medianos empresarios", el 23 de agosto con cámara de comercio, se apoyó con convocatoria y logística. Igualmente se capacitó en "Manejo página web y pto móvil con la DIAN el 18 de mayo 2016.  "Capacitaciones vitrina y nuevas tendencias" el 24 de agosto.  "Como participar en ferias y eventos y tener exito" el 23 de agosto. </t>
  </si>
  <si>
    <t xml:space="preserve">En el marco de la feria equina No. 176 grado B, mercado ganadero, exposición canina, agroindustrial, artesanal y muestra de ganadería, realizada del 29 de julio al 01 de agosto. Se desarrolló una rueda de negocios (Artesanal y agrícola), en conjunto con la cámara de comercio de Neiva oficina de la La Plata Huila.  </t>
  </si>
  <si>
    <t>Se han desarrollado dos ferias comerciales, de mercado ganadero, exposición canina, agroindustrial, artesanal y muestras de jardinería, la primera del 29 de enero al 01 de febrero y la segunda del 29 de julio al 01 de agosto. Dic. Se desarrollo en convenio con COOFISAM una feria artesanal el 19 de octubre  demostración regional, cultura, y mercado de las pulgas, se el mpio aporto apoyo logistico, instalaciones, publicidad.</t>
  </si>
  <si>
    <t>}</t>
  </si>
  <si>
    <t>NO APLICA</t>
  </si>
  <si>
    <t xml:space="preserve">se gestionará mediante con cámara de comercio la capacitación que se llevará a cabo e egundo semestre .  Se realizará la capacitación el 9 de diciembre de 2016 </t>
  </si>
  <si>
    <t>231305 F. 110101</t>
  </si>
  <si>
    <t>Se tiene programado realizar 1 minga el 9 de diciembre  en S., Vicente, Agua Bonita, S. Miguel</t>
  </si>
  <si>
    <t>Implementción e estrategias, planes yp rogramas en los sectores de ….. Desarrollo economico y derechos humanos en e mpio d La Plata "El Cambio lo hacemos todos"</t>
  </si>
  <si>
    <t>Se presento proyecto de acuerdo NO. 13-025 del 31 agosto, el ecual se modifica el Acuerdo Mpal 030-2010, por el cual creo el CTeI.  Y en el cual se crea el COMCTI</t>
  </si>
  <si>
    <t>231303 F. 260102</t>
  </si>
  <si>
    <t>DESARROLLO RURAL / AGROPECUARIO</t>
  </si>
  <si>
    <t>DESARROLLO DE PROGRMAS Y PROYECTOS CON EL OBJETIVO DE FOMENTAR LA PRODUCCION AGROPECUARIA</t>
  </si>
  <si>
    <r>
      <t xml:space="preserve">Para el mes de septiembre se tiene estimado realizar una campaña de sanidad agropecuaria, en el sector rural del municipio.  </t>
    </r>
    <r>
      <rPr>
        <u/>
        <sz val="10"/>
        <color rgb="FFFF0000"/>
        <rFont val="Arial"/>
        <family val="2"/>
      </rPr>
      <t>5 Oct.</t>
    </r>
    <r>
      <rPr>
        <sz val="10"/>
        <color rgb="FF000000"/>
        <rFont val="Arial"/>
        <family val="2"/>
      </rPr>
      <t xml:space="preserve"> Se realizó la campaña de sanidad en cñia con ICA el 29 sept. Oct. 13.  Se realizo campaña el 7 de octubre PORKCOLOMBIA.</t>
    </r>
  </si>
  <si>
    <t>230808 F. 110101</t>
  </si>
  <si>
    <t>APOYO A LA RECONERSION Y RENOVACION PRODUCTIVA PARA LA SOSTENIBILIDAD DE LA CAFICULTURA DEL MPIO DE LA PLATA</t>
  </si>
  <si>
    <r>
      <t xml:space="preserve"> </t>
    </r>
    <r>
      <rPr>
        <u/>
        <sz val="10"/>
        <color rgb="FFFF0000"/>
        <rFont val="Arial"/>
        <family val="2"/>
      </rPr>
      <t>Oct. 13.  se hizo la gestion para firmar el convenio, pero el comité no acepto por motivo del pago de la poliza.</t>
    </r>
  </si>
  <si>
    <t>IMPLEMENTACION DE ESTRATEGIAS PLANES Y PROGRAMAS DE PRODUCTIVIDAD AGROPECUARIA Y PROTECCION AMBIENTAL EN EL MUNICIPIO DE LA PLATA.</t>
  </si>
  <si>
    <t xml:space="preserve">se recibieron seis (6) propuestas de grupos asociativos El Bonsai, Occicafé, Caspespor, Asofrupaez, Amurcafe, Amigas de la naturaleza para Café y frutales, de los cuales se realizo el respectivo proceso de compra esta pendiente la entrega de los insumos a cada uno de ellos. </t>
  </si>
  <si>
    <t>230808  F. 110101
260402</t>
  </si>
  <si>
    <r>
      <t>Se realizó  el convenio con ASOMSURCA para la prestacion de asistencia técnica a la Zona Rural  durante el segundo semestre.</t>
    </r>
    <r>
      <rPr>
        <u/>
        <sz val="10"/>
        <color rgb="FFFF0000"/>
        <rFont val="Arial"/>
        <family val="2"/>
      </rPr>
      <t xml:space="preserve">  Octubre 13:    </t>
    </r>
  </si>
  <si>
    <t>230806  F. 260401</t>
  </si>
  <si>
    <t>DESARROLLO DE PROGRAMAS Y PROYECTOS CON EL OBJETIVO DE FOMENTAR LA PRODUCCION AGROPECUARIA</t>
  </si>
  <si>
    <r>
      <t xml:space="preserve">se realizan capacitaciones a las comunidades de Santa Letici, La Palma, Al Rico, Carmelo.  </t>
    </r>
    <r>
      <rPr>
        <u/>
        <sz val="10"/>
        <color rgb="FFFF0000"/>
        <rFont val="Arial"/>
        <family val="2"/>
      </rPr>
      <t>Octubre 13</t>
    </r>
    <r>
      <rPr>
        <sz val="10"/>
        <color rgb="FF000000"/>
        <rFont val="Arial"/>
        <family val="2"/>
      </rPr>
      <t>:  Belén, Sta Leticia, Monserrate, San Vicente, San Andrés</t>
    </r>
  </si>
  <si>
    <t>230808  F. 110201</t>
  </si>
  <si>
    <r>
      <t xml:space="preserve">se realizan capacitaciones a las comunidades de las Brisas, el Altico y Villa Mercedes. </t>
    </r>
    <r>
      <rPr>
        <u/>
        <sz val="10"/>
        <color rgb="FFFF0000"/>
        <rFont val="Arial"/>
        <family val="2"/>
      </rPr>
      <t xml:space="preserve"> Octubre 13: </t>
    </r>
    <r>
      <rPr>
        <sz val="10"/>
        <color rgb="FF000000"/>
        <rFont val="Arial"/>
        <family val="2"/>
      </rPr>
      <t xml:space="preserve"> Se ha trabajo con SENA y equipos de enlaces</t>
    </r>
  </si>
  <si>
    <t>230808  F. 260401</t>
  </si>
  <si>
    <r>
      <t xml:space="preserve">aún no se realizan actividades de fortalecimiento debido a que no se ha terminado la obra de la plaza campesina.  </t>
    </r>
    <r>
      <rPr>
        <u/>
        <sz val="10"/>
        <color rgb="FFFF0000"/>
        <rFont val="Arial"/>
        <family val="2"/>
      </rPr>
      <t>Octubre 13:</t>
    </r>
    <r>
      <rPr>
        <sz val="10"/>
        <color rgb="FF000000"/>
        <rFont val="Arial"/>
        <family val="2"/>
      </rPr>
      <t xml:space="preserve"> Se iniciará a partir del 15 de octubre, con un aperiodiciada de 8 días</t>
    </r>
  </si>
  <si>
    <t>21120216 F. 110102</t>
  </si>
  <si>
    <r>
      <t xml:space="preserve">se han capacitado a los presidentes de junta y Grupos Asociativos, que finalmente serán emisarios de la información. </t>
    </r>
    <r>
      <rPr>
        <u/>
        <sz val="10"/>
        <color rgb="FFFF0000"/>
        <rFont val="Arial"/>
        <family val="2"/>
      </rPr>
      <t xml:space="preserve"> Oct. 18.  </t>
    </r>
  </si>
  <si>
    <t>230808  F. 110101</t>
  </si>
  <si>
    <t>AUNAR ESFUERZOS PARA LA IMPLEMENTACION Y OPERACIÓN DE UN NUEVO VIVERO DE PASIFLORA CON EL FIN DE GARANTIZAR LA PRODUCCION DE PLANTULAS REGISTRADAS ANTE EL ICA DE ALTA CALIDAD</t>
  </si>
  <si>
    <t>Se realizo el convenio con ASOMSURCA, para llervar a cabo asistencia tecnica a cada uno de los cultivos que se instalaron en prcdelas del Municipio de la Plata.</t>
  </si>
  <si>
    <r>
      <rPr>
        <u/>
        <sz val="10"/>
        <color rgb="FFFF0000"/>
        <rFont val="Arial"/>
        <family val="2"/>
      </rPr>
      <t xml:space="preserve">Oct. 18.  </t>
    </r>
    <r>
      <rPr>
        <sz val="10"/>
        <color rgb="FF000000"/>
        <rFont val="Arial"/>
        <family val="2"/>
      </rPr>
      <t>se realizó el convenio con cámara de comercio y se han capacitado los 50 productores de café. La Camara aporta la logística</t>
    </r>
  </si>
  <si>
    <t>231301 F. 260401</t>
  </si>
  <si>
    <t>se realizó el certamen  en la plaza de ferias apoyando el desarrollo agropecuario.  Octubre 13.  Se realizaron el enero y en julio de 2016</t>
  </si>
  <si>
    <t>231307. Fuente 110101 (10´)  230809 110101 (5´), 260401 (5´) y 260402(29´)</t>
  </si>
  <si>
    <t>DESARROLLO DE PROGRAMAS Y PROYECTOS COLOMBIA SIEMBRA</t>
  </si>
  <si>
    <t>se ha realizado divulgación durante la celebración del día del campesino, en compañía con de las diferentes entidades bancarias.  Inicio 1 enero y finalizo el 31 de marzo</t>
  </si>
  <si>
    <t>CONSTRUCCION CUBIERTA PLAZA CAMPESINA MPIO DE LA PLATA</t>
  </si>
  <si>
    <r>
      <t xml:space="preserve">se encuentra en proceso de terminación el cual está proyectado entregar durante el mes de agosto. </t>
    </r>
    <r>
      <rPr>
        <u/>
        <sz val="10"/>
        <color rgb="FFFF0000"/>
        <rFont val="Arial"/>
        <family val="2"/>
      </rPr>
      <t>Octubre 18</t>
    </r>
    <r>
      <rPr>
        <sz val="10"/>
        <color rgb="FF000000"/>
        <rFont val="Arial"/>
        <family val="2"/>
      </rPr>
      <t xml:space="preserve">:    Se inauguro la Plaza Campesina "Maria Helena Cortes" el 15 de octubre, en el que se realizarán los mercados campesinos cada 8 dias. </t>
    </r>
  </si>
  <si>
    <t>9403014501. Fuente 7301003</t>
  </si>
  <si>
    <t>DESARROLLO DE PROGRAMAS Y PROYECTOS</t>
  </si>
  <si>
    <r>
      <t>se recibieron las propuestas y se encuentran en estudio para su implementación .</t>
    </r>
    <r>
      <rPr>
        <u/>
        <sz val="10"/>
        <color rgb="FFFF0000"/>
        <rFont val="Arial"/>
        <family val="2"/>
      </rPr>
      <t xml:space="preserve">  Octubre 13:  </t>
    </r>
    <r>
      <rPr>
        <u/>
        <sz val="10"/>
        <rFont val="Arial"/>
        <family val="2"/>
      </rPr>
      <t>Finca ubicada en Vda el Tablón, propietario Juan David Ramírez.</t>
    </r>
  </si>
  <si>
    <r>
      <t xml:space="preserve">Oct.18.  </t>
    </r>
    <r>
      <rPr>
        <u/>
        <sz val="10"/>
        <rFont val="Arial"/>
        <family val="2"/>
      </rPr>
      <t xml:space="preserve">  </t>
    </r>
    <r>
      <rPr>
        <sz val="10"/>
        <rFont val="Arial"/>
        <family val="2"/>
      </rPr>
      <t>Se encuentra en construcción en este momento la planta pasteurizadora financiada por Gobernación</t>
    </r>
  </si>
  <si>
    <t>MINISTERIO DE AGRICULATURA.  LO EJECUTA LA GOBERNACIÓN EL VALOR $5.000.000.000</t>
  </si>
  <si>
    <t>Es un proyecto cofinanciado con la gobernación, ya cuenta con 600 beneficiarios que se les otorgará el apoyo durante el mes de septiembre.  Oct. 13.  No se alcanzará a ejecutar este convenio en el 2016</t>
  </si>
  <si>
    <t>IMPLEMENTACION DE ESTRATEGIAS PLANES Y PROGRAMAS DE PRODUCTIVIDAD AGROPECUARIA Y PROTECCION AMBIENTAL EN EL MUNICIPIO DE LA PLATA</t>
  </si>
  <si>
    <r>
      <t xml:space="preserve"> </t>
    </r>
    <r>
      <rPr>
        <u/>
        <sz val="10"/>
        <color rgb="FFFF0000"/>
        <rFont val="Arial"/>
        <family val="2"/>
      </rPr>
      <t>Oct. 18</t>
    </r>
    <r>
      <rPr>
        <sz val="10"/>
        <color rgb="FF000000"/>
        <rFont val="Arial"/>
        <family val="2"/>
      </rPr>
      <t xml:space="preserve">  Se celebró el 15 de octubre en convenio No. 011-2016 con ASOMSURCA "Aunar esfuerzos entre el mpio de La Plata y la Asociación Agroempresarial de mpi de la Plata </t>
    </r>
  </si>
  <si>
    <r>
      <rPr>
        <u/>
        <sz val="10"/>
        <color rgb="FFFF0000"/>
        <rFont val="Arial"/>
        <family val="2"/>
      </rPr>
      <t>Octubre 13</t>
    </r>
    <r>
      <rPr>
        <sz val="10"/>
        <color rgb="FF000000"/>
        <rFont val="Arial"/>
        <family val="2"/>
      </rPr>
      <t>:  Se encuentra en proceso de instalación  en 13 vdas.</t>
    </r>
  </si>
  <si>
    <t xml:space="preserve">FINANCIADO POR EL MINISTERIO DE AGRICULTURA </t>
  </si>
  <si>
    <r>
      <rPr>
        <u/>
        <sz val="10"/>
        <color rgb="FFFF0000"/>
        <rFont val="Arial"/>
        <family val="2"/>
      </rPr>
      <t xml:space="preserve">Octubre 13:  </t>
    </r>
    <r>
      <rPr>
        <sz val="10"/>
        <rFont val="Arial"/>
        <family val="2"/>
      </rPr>
      <t>Se implemto el apoyo a los 6 Grupos Asociativos cada uno conformado por aproxiamdamente 15 asociados, con un incentivo en insumos agricolas.</t>
    </r>
  </si>
  <si>
    <r>
      <t xml:space="preserve">Se artículo con  enlace de víctimas para priorizar las familias beneficiarias.  El cual ya se le entrego insumos y aves de corral a aproximadamnete  11 nucleos familiares. </t>
    </r>
    <r>
      <rPr>
        <u/>
        <sz val="10"/>
        <color rgb="FFFF0000"/>
        <rFont val="Arial"/>
        <family val="2"/>
      </rPr>
      <t xml:space="preserve">OCTUBRE 13:    </t>
    </r>
  </si>
  <si>
    <t>TRANSPORTE - MOVILIDAD - U.O.C.</t>
  </si>
  <si>
    <t>Se realizaron 2 actividades en el microcentro, con difusión a través de los medios de comunicación, en los meses de junio y Julio</t>
  </si>
  <si>
    <t xml:space="preserve">Mediante acuerdo Municipal No. xxxx se reglamentó la utilización de las zonas azules en el mpio de La Plata.  En el 2017 se iniciará su implementación. </t>
  </si>
  <si>
    <t xml:space="preserve">Se esta realizando estudio previo para establecer cuantias y getionar CDP, con el proposito de iniciar proceso contractual para mantenimiento y ampliación de red semafórica. Se desarrollara en segundo semestre.  Dic.  NO se realizó el mantenimiento de los semaforos por ser de tecnología obsoleta. </t>
  </si>
  <si>
    <t xml:space="preserve">Entre los meses de agosto y septiembre se conformará el Consejo Municipal de Transporte, y se realizarán convocatorias para los meses de octubre, noviembre y diciembre.  Dic.  30.  Se realizaron las 3 reuniones en los meses de oct. Nov. Y dic. Según lo planificado. </t>
  </si>
  <si>
    <t>Se realizó plan de medio a través de medios de comunicación en el mes de junio, referente a seguridad vial</t>
  </si>
  <si>
    <t xml:space="preserve">esta programada actividad para el meses de agosto y septiembre.  No se realizó </t>
  </si>
  <si>
    <t>Se han realizado hasta la fecha ochenta (80) operativos de tránsito, en el sector urbano, se seguirán realizando para educación y control vial y se harán algunos operativos especiales en el sector rural</t>
  </si>
  <si>
    <t>Se vincularon 16 guardas desde el mes de marzo y están contratados hasta el mes de diciembre. Se buscará vincular un guarda más</t>
  </si>
  <si>
    <t>Se viene implementando el Plan Vial municipal, contratado desde el año anterior, y con ejecución y seguimiento el presente año</t>
  </si>
  <si>
    <t>EDNUAR HIZNARDO RAMIREZ THOLA</t>
  </si>
  <si>
    <t>MANTENIMIENTO, REPARACIONY SUMINISTRO DE REPUESTOS PARA EL EQUIPO DE MAQUI. PESADA DEL MPIO DE LA PLATA H</t>
  </si>
  <si>
    <t>SE REALIZO DIAGNOSTICO DEL KIT DE MAQUINARIA PESADA Y SE LE REALIZO MANTENIMIENTO PREVENTIVO .  CUANTO KM ???</t>
  </si>
  <si>
    <t>RUBRO 230902 FUENTE 260401</t>
  </si>
  <si>
    <t>Meta para 2017</t>
  </si>
  <si>
    <t>EDNUARTH HISNARDO RAMIREZ THOLA</t>
  </si>
  <si>
    <t>POR INSCRIBIR</t>
  </si>
  <si>
    <t xml:space="preserve">SE REALIZO TRAMITE ANTE EL INVIAS PARA QUE SEDAN UN PUENTE PARA LA VIA CIRCUNVALAR </t>
  </si>
  <si>
    <t>Construcción de pavimentación de vias urbanas del municipio de la Plata  -  xxxxxxxx</t>
  </si>
  <si>
    <t>contrato 444, 423, 484, 304</t>
  </si>
  <si>
    <t>(CONTRATO 444 RUBRO 230906 FUENTE (110102- 77,200,144)(1102011- 285,704,999)(121401- 499,732)(260101- 28,243,126)(260104- 6,323,314)(260401- 21,967,440)(260402- 25,776,505)(260404- 30,109,554)(3001- 200,000,000)(110101- 37,470871)(260101- 46,177,034)(260401- 48,152,997))(CONTRATO 423 RUBRO 94010141 FUENTE(7301001- 527,330,710))(CONTRATO 484 RUBRO 230906 FUENTE(8120101- 389,196,846))(CONTRATO 304 RUBRO 9401010201 FUENTE(7301002- 677,839,628))</t>
  </si>
  <si>
    <t>Se está realizando la identificación de los sectores a intervenir, para destinar recursos e inicar proceso contractual en el segundo semestre del año. En convenio con Fonade se harán 600 ML de Andenes en Avenida Surcolombiana</t>
  </si>
  <si>
    <t xml:space="preserve">Se ha realizado mantenimiento rutinario, con recebo y perfilada a los tramos viales barrio La Libertad, Pedro Maria Ramirez, Jerusalen, Manzanarez, Villa Milena, García Rovira y Obrero, y en el sector rural en las veredas Laureles, Patico, La Muralla, Getzen, El Carmelo, entre otros, en una extención aproximada de 70 kms. Para el segundo semestre esta programado el mantenimiento a otros 60 kms, en los sectores varios </t>
  </si>
  <si>
    <t>RUBRO 230902 FUENTE 110101)(260401- 19,300,000)</t>
  </si>
  <si>
    <t>CONSTRUCCION PLACA HUELLA EN CONCRETO REFORZADO</t>
  </si>
  <si>
    <t>(CONTRATO 408 RUBRO 430902 FUENTE(R260401- 40,425,988) (R3001- 136,665,746)(R260401- 56,898,982))</t>
  </si>
  <si>
    <t xml:space="preserve">CONSTRUCCION DE ALCANTARILLAS </t>
  </si>
  <si>
    <t>RUBRO 230902 FUENTE(110101- 6,236,196)(260404- 8,048,060)(3002- 16,797,754)</t>
  </si>
  <si>
    <t>Se realzó ampliación de vía en Cruce Villa de Leiva Chiricambe a Cruce Carmelo La Plata; Escuela de carmelo - Palestina; Cruce Bajo Rosal - La Selva; Escuela Sanfrancisco - Escuela Alto San francisco, San Francisco - La Independencia</t>
  </si>
  <si>
    <t>NO REQUIRIO</t>
  </si>
  <si>
    <t>OTROS SERVICIOS PUBLICOS</t>
  </si>
  <si>
    <t>Se entregaron 50 viviendas nuevas en la Asociación de Vivienda Villa Milena, en el mes de Junio, las cuales incluyeron la instalación de electrificación para estas viviendas. Así mismo, se instalaron en la vereda el Roble, electrificación para 29 viviendas. Se realiza proyecto para 29 viviendas adicionales</t>
  </si>
  <si>
    <t>El municipio ejecuta el mantenimiento y/o ampliación del servicio de alumbrado úblico en forma directa, con personal contratado. El programa de alumbrado se ejecuta sin inconveniente</t>
  </si>
  <si>
    <t xml:space="preserve">MANTENIMIENTO DEL SERVICIO DE ALUMBRADO PÚBLICO -                                      PAGO DE CONVENIOS O CONTRATOS DE SUMINISTRO DE ENERGÍA ELÉCTRICA PARA EL SERVICIO DE ALUMBRADO PÚBLICO O PARA EL MANTENIMIENTO Y EXPANSIÓN DEL SERVICIO DE ALUMBRADO PÚBLICO               </t>
  </si>
  <si>
    <t>EL CAMBIO SE HACE CON BUEN GOBIERNO</t>
  </si>
  <si>
    <t>EQUIPAMIENTO</t>
  </si>
  <si>
    <t>GUILLERMO ALVIRA VARGAS</t>
  </si>
  <si>
    <t xml:space="preserve">. </t>
  </si>
  <si>
    <r>
      <t>Se tiene programado realizar la adecuación y mantenimiento de las instalaciones físicas del edificio central (secretarías de Hacienda, Planeación y Jurídica). Al 30 de agosto la etapa iniciaría el proceso de mínima cuantía, al 30 de octubre la ejecución de la obra.</t>
    </r>
    <r>
      <rPr>
        <u/>
        <sz val="10"/>
        <color rgb="FF000000"/>
        <rFont val="Arial"/>
        <family val="2"/>
      </rPr>
      <t xml:space="preserve"> 21 Spt/16: </t>
    </r>
    <r>
      <rPr>
        <sz val="10"/>
        <color rgb="FF000000"/>
        <rFont val="Arial"/>
        <family val="2"/>
      </rPr>
      <t xml:space="preserve"> En reunión de día de hoy se le dijo a dra Natalia que la esperan hasta el viernes o sino se inicia proceso contractual sin lo de gobierno. </t>
    </r>
    <r>
      <rPr>
        <sz val="10"/>
        <color rgb="FFFF0000"/>
        <rFont val="Arial"/>
        <family val="2"/>
      </rPr>
      <t xml:space="preserve">OCT.    </t>
    </r>
    <r>
      <rPr>
        <u/>
        <sz val="10"/>
        <color rgb="FFFF0000"/>
        <rFont val="Arial"/>
        <family val="2"/>
      </rPr>
      <t xml:space="preserve">20.  </t>
    </r>
    <r>
      <rPr>
        <sz val="10"/>
        <color rgb="FFFF0000"/>
        <rFont val="Arial"/>
        <family val="2"/>
      </rPr>
      <t xml:space="preserve"> </t>
    </r>
    <r>
      <rPr>
        <sz val="10"/>
        <rFont val="Arial"/>
        <family val="2"/>
      </rPr>
      <t>Juridica. Proceso se adjudica 29 oct. Proceso SA 006 Selección Abreviada Subasta.</t>
    </r>
  </si>
  <si>
    <t>231503 f. 260104</t>
  </si>
  <si>
    <t xml:space="preserve">Se tiene programado contratar el mantenimientoa la plaza de mercado del municipio de La Plata. Al 30 de agosto la etapa iniciaría la etapa precontractural , al 30 de diciembre la ejecución de la obra. </t>
  </si>
  <si>
    <r>
      <t xml:space="preserve">Al 30 de agosto la etapa iniciaría la etapa precontractural , al 30 de diciembre la ejecución de la obra.  </t>
    </r>
    <r>
      <rPr>
        <u/>
        <sz val="10"/>
        <color rgb="FF000000"/>
        <rFont val="Arial"/>
        <family val="2"/>
      </rPr>
      <t>21 Spt/16</t>
    </r>
    <r>
      <rPr>
        <sz val="10"/>
        <color rgb="FF000000"/>
        <rFont val="Arial"/>
        <family val="2"/>
      </rPr>
      <t>:  En reunión de día de hoy se le dijo a dra Natalia que la esperan hasta el viernes o sino se inicia proceso contractual sin lo de gobierno. OCT.    20.   Juridica. Proceso se adjudica 29 oct. Proceso SA 006 Selección Abreviada Subasta.</t>
    </r>
  </si>
  <si>
    <t>231503 f.110101</t>
  </si>
  <si>
    <r>
      <t xml:space="preserve">Oct. 20. </t>
    </r>
    <r>
      <rPr>
        <sz val="10"/>
        <rFont val="Arial"/>
        <family val="2"/>
      </rPr>
      <t xml:space="preserve"> Proyecto ya esta viabilizado x el Minist. Del Interior, se esta a la espera de la firma del convenio con el Minist. el cual será a partir del 7 de nov.   El Centro será construido en vda El Tablón</t>
    </r>
  </si>
  <si>
    <t>Pendiente</t>
  </si>
  <si>
    <t>A partir del mes de agosto se realizará un convenio con la cámara de comercio para actualizar la base de datos de los inscritos en registro de industria y comercio del municipio para determinar los establecimientos de comercio que no se encuentran inscritos.  Como segunda estrategia se está haciendo llegar a cada uno de los predios el recibo de impuesto predial como una forma de incentivar el pago.</t>
  </si>
  <si>
    <t xml:space="preserve">Se solicitó a las entidades financieras una propuesta para el manejo de los créditos con el municipio. </t>
  </si>
  <si>
    <t>Se desarrollará en el mes de agosto</t>
  </si>
  <si>
    <t xml:space="preserve">Se evaluó el primer trimestre y se encuentra en proceso de evaluación el segundo trimestre, en noviembre se realizará la tercera evaluación. </t>
  </si>
  <si>
    <t xml:space="preserve">Al 20 de agosto estará lista la etapa precontractual, entre septiembre y diciembre se tendrán los manuales actualizados.   Se esta adelantando  </t>
  </si>
  <si>
    <t>En convenio con la ESAP se realizará un capacitación a los funcionarios de la adminstración municipal en Planes de Ordenamiento Territorial en el mes de agosto.</t>
  </si>
  <si>
    <t xml:space="preserve">En el contrato de reposición de alcantarillado sector plaza de ferias y barrio San Antonio se creó una veeduría ciudadana, a la cual se le ha ofrecido toda la información y apoyo pertinente. </t>
  </si>
  <si>
    <t xml:space="preserve">Toda los procesos de contratación han sido publicados en el SECOP, para ello se ha dispuesto una persona con funciones específicas. </t>
  </si>
  <si>
    <t>21110304 f. 260101</t>
  </si>
  <si>
    <t xml:space="preserve">El 19 de febrero por parte del comité de bienestar social se realizó una jornada de inducción al personal que ingresaba por prestación de servicios y de reinducción al personal de planta. </t>
  </si>
  <si>
    <t>231702 F. 110101   260401</t>
  </si>
  <si>
    <t>231701 f. 260101 (1.696.600) 260401 ($3.553.400)</t>
  </si>
  <si>
    <t>Se realizó un contrato para la actualización del sistema operativo AIDD (PQR), en el mes de septiembre se adjudicará un proceso para la compra de equipos de computo. Asimismo se suscribió un convenio con la Gobernación del Huila con el fin de servir de puente entre la comunidad y la Gobernación para la atención y oferta institucional.</t>
  </si>
  <si>
    <t>231711 F. 1103 y 260101, 260401</t>
  </si>
  <si>
    <t>Implementación de estrategias planes  prog. Del Dpto S.B.,….F.Institucional.</t>
  </si>
  <si>
    <t>Se vienen implementando los procesos establecidos en el sistema MECI, se ha contratado el personal correspondiente para la ejecución de las acciones pertinentes a la implementación del MECI, la implementación se verifica por medio la auditoria de seguimiento y la auditoria interna que se llevo a cabo en el mes de Mayo del 2016 a todos los procesos del sistema.</t>
  </si>
  <si>
    <t xml:space="preserve">231701 F. 260404, 260102(593.598) 260401 (4000000+5.406.402)
</t>
  </si>
  <si>
    <r>
      <t xml:space="preserve">Se tiene programada una visita por parte de funcionarios del ICONTEC para los días 6 al 9 de Septiembre con el fin de realizar la auditoria de seguimiento del sistema de gestion. </t>
    </r>
    <r>
      <rPr>
        <b/>
        <u/>
        <sz val="10"/>
        <color rgb="FFFF0000"/>
        <rFont val="Arial"/>
        <family val="2"/>
      </rPr>
      <t xml:space="preserve">Oct. 18. </t>
    </r>
    <r>
      <rPr>
        <sz val="10"/>
        <rFont val="Arial"/>
        <family val="2"/>
      </rPr>
      <t>Se realizó auditoria de ICONTEC durante los días programados</t>
    </r>
  </si>
  <si>
    <t>231701 F. 110101</t>
  </si>
  <si>
    <t xml:space="preserve">En articulación con EMSERPLA se viene adalantando una campaña de recolección de material obsoleto, equipos de computo, celulares entre otros. </t>
  </si>
  <si>
    <t xml:space="preserve">En el mes de octubre se realizará la capacitación a los servidores públicos en gobierno en línea. </t>
  </si>
  <si>
    <t>231701 F. 260102(8.611) 260404 (138.)</t>
  </si>
  <si>
    <t>Contrato 38/2016.  Vr total 187600.  Fecha contrato 31/12/2016</t>
  </si>
  <si>
    <t xml:space="preserve">23020409 
F. </t>
  </si>
  <si>
    <t xml:space="preserve">Fortalecimiento de Juntas de Acción Comunal </t>
  </si>
  <si>
    <r>
      <rPr>
        <sz val="10"/>
        <color rgb="FFFF0000"/>
        <rFont val="Arial"/>
        <family val="2"/>
      </rPr>
      <t xml:space="preserve">Oct. 12: </t>
    </r>
    <r>
      <rPr>
        <sz val="10"/>
        <color rgb="FF000000"/>
        <rFont val="Arial"/>
        <family val="2"/>
      </rPr>
      <t xml:space="preserve"> Esta actividad se celebrará el 17  de diciembre y cuenta con recursos disponibles e incluirá convocatoria a las Juntas de Acción Comunal para realizar una capacitación en legislación comunal y actividades de integración comunal.  diC. 30.  Se realizó el día programado</t>
    </r>
  </si>
  <si>
    <t xml:space="preserve">01 de noviembre </t>
  </si>
  <si>
    <t xml:space="preserve">30 de noviembre </t>
  </si>
  <si>
    <t>231601 F. 260101</t>
  </si>
  <si>
    <r>
      <t xml:space="preserve">Se realizará el proyecto de mantenimiento de la malla vial rual con vinculación de las JAC en mano de obra no calificada.  </t>
    </r>
    <r>
      <rPr>
        <u/>
        <sz val="10"/>
        <color rgb="FFFF0000"/>
        <rFont val="Arial"/>
        <family val="2"/>
      </rPr>
      <t xml:space="preserve">Oct. 12:  </t>
    </r>
    <r>
      <rPr>
        <u/>
        <sz val="10"/>
        <rFont val="Arial"/>
        <family val="2"/>
      </rPr>
      <t xml:space="preserve">Se esta en proceso de contratación 10 Juntas de A.C. de las vdas A.Cedro, Paraiso, S.Fco, Brisas, B Vila Cbia, El Cedro-Termopilas, A.Getzen, Alpes, Muralla, ANgeles para la const. de un total de 20 alcantarillas, beneficiando a 706 flias.  Existe CDP 2016000706 del 18 de agost. x valor de $60.000.000, esta en proceso de realización de estudios previos. </t>
    </r>
  </si>
  <si>
    <t>01 de agosto</t>
  </si>
  <si>
    <t>31 de diciembre</t>
  </si>
  <si>
    <r>
      <t xml:space="preserve">Desde el mes de febrero se vinculó al personal necesario para el funcionamiento de apoyo y fortalecimiento de las JAC. Se logró la legalización de 128 Juntas de Acción Comunal del área urbana y rural (22 urbanas y 106 rurales). En proceso la carnetización de las juntas de acción comunal.  </t>
    </r>
    <r>
      <rPr>
        <u/>
        <sz val="10"/>
        <color rgb="FFFF0000"/>
        <rFont val="Arial"/>
        <family val="2"/>
      </rPr>
      <t xml:space="preserve">Oct. 12:  </t>
    </r>
    <r>
      <rPr>
        <sz val="10"/>
        <color rgb="FF000000"/>
        <rFont val="Arial"/>
        <family val="2"/>
      </rPr>
      <t>Se contrató una persona que realiza acompañamiento a las JAC  organizaciones sociales de mayo a diciembre.</t>
    </r>
  </si>
  <si>
    <t xml:space="preserve">18 de febrero </t>
  </si>
  <si>
    <t xml:space="preserve">30 de diciembre </t>
  </si>
  <si>
    <t>21110304.  F. 260101 F. 110102  $9.100.000 funcionamiento</t>
  </si>
  <si>
    <r>
      <t>Se capacitó a los pdtes de JAC  en la Ley 743  (proceso de elecciones) en abril de 2016 dictada por Jose Euripides Sanabria.</t>
    </r>
    <r>
      <rPr>
        <u/>
        <sz val="10"/>
        <color rgb="FFFF0000"/>
        <rFont val="Arial"/>
        <family val="2"/>
      </rPr>
      <t xml:space="preserve">   </t>
    </r>
  </si>
  <si>
    <t xml:space="preserve">01 de septiembre </t>
  </si>
  <si>
    <t>30 de septiembre</t>
  </si>
  <si>
    <r>
      <t xml:space="preserve">En el mes de noviembre, simultaneo con la celebración de las JAC, se realizará un consejo de convivencia y buen gobierno con el alcalde y los secretarios de despacho. </t>
    </r>
    <r>
      <rPr>
        <u/>
        <sz val="10"/>
        <color rgb="FFFF0000"/>
        <rFont val="Arial"/>
        <family val="2"/>
      </rPr>
      <t xml:space="preserve">Oct. 12: </t>
    </r>
    <r>
      <rPr>
        <sz val="10"/>
        <rFont val="Arial"/>
        <family val="2"/>
      </rPr>
      <t>Se realizó un consejo de convivencia y buen gobierno en las vdas Las Brisas, El Rosal y La Escuela Namuy Fxiw en los días 23 de julio y 20 de agosto    liderada por el señor Alcalde en coordinación con el apoyo de JAC y con la presencia de los Srios de despacho</t>
    </r>
  </si>
  <si>
    <r>
      <t xml:space="preserve">Se realizará en el mes de septiembre capacitación a las veedurías ciudadanas para la conformación del control social. </t>
    </r>
    <r>
      <rPr>
        <u/>
        <sz val="10"/>
        <color rgb="FFFF0000"/>
        <rFont val="Arial"/>
        <family val="2"/>
      </rPr>
      <t xml:space="preserve">Octubre 12:  </t>
    </r>
    <r>
      <rPr>
        <sz val="10"/>
        <rFont val="Arial"/>
        <family val="2"/>
      </rPr>
      <t>Se realizó una capacitación el día 12 de agosto:   Tema:  Conformación, legalización y objetivos del control social a la G. Publica (veeduría).  Asistentes:  89 líderes comunales</t>
    </r>
  </si>
  <si>
    <t xml:space="preserve">30 de agosto </t>
  </si>
  <si>
    <t>231603
Fu. 260401</t>
  </si>
  <si>
    <t>Convocar a las JAC en la rendición de cuentas que haga el alcalde a la comunidad en general en el mes de diciembre, con la metodología establecida para tal fin. Dic. 30/16.  Se realizó la audiencia de rendición de cuentas el 21 de diciembre de 2016.</t>
  </si>
  <si>
    <t xml:space="preserve">Diciembre </t>
  </si>
  <si>
    <t>Se realizó  el programa de capacitación dirigida a JAC, el 8 de abril  en Ley 743 proceso de elecciones, con la participación de 200 dignatarios de juntas.  Se capacitaron en delitos electorales  a 120 personas integrantes del tribunal de garantías de JAC, en el mes de abril. Se desarrollará otra actividad en el mes de septiembre, dirigida a 100 representantes de la comunidad</t>
  </si>
  <si>
    <t>abril</t>
  </si>
  <si>
    <t>noviembre</t>
  </si>
  <si>
    <t>Se elaborará un períodico de 8 paginas donde se plasmará lo más importante del informe de gestión de alcalde. 1.000 periodicos</t>
  </si>
  <si>
    <t xml:space="preserve">Con la ejecución de las metas programadas y en coordinación con los organismos de seguridad se viene cumpliendo con la meta.  </t>
  </si>
  <si>
    <t>23180406
F. 120303</t>
  </si>
  <si>
    <t xml:space="preserve">Se han desarrollado 7 consejos ordinarios y 3 extraordinarios de seguridad, para el segundo semestre se continuará realizando un consejo de seguridad por mes y extraordinario cada vez que se requiera. </t>
  </si>
  <si>
    <t xml:space="preserve">Enero </t>
  </si>
  <si>
    <t xml:space="preserve">Julio </t>
  </si>
  <si>
    <t xml:space="preserve">Fechas comité Orden Público:  21 abril, 27 abril, 12 agosto y 27 septiembre. </t>
  </si>
  <si>
    <t xml:space="preserve">A la fecha se ha recibido un informe del observatorio del delito por parte de la policía nacional. </t>
  </si>
  <si>
    <r>
      <t xml:space="preserve">Los días 17 de mayo  y 8 de junio se realizaron procedimientos administrativos de pesas y medidas de control en la plaza de mercado municipal y en las estaciones de servicio (venta de combustible) repectivamente. Para el segundo semestre se tiene programado para el 26 de agosto, 7 de septiembre, 7 de octubre, 11 de noviembre y 16 de diciembre.  </t>
    </r>
    <r>
      <rPr>
        <u/>
        <sz val="10"/>
        <color rgb="FF00B0F0"/>
        <rFont val="Arial"/>
        <family val="2"/>
      </rPr>
      <t xml:space="preserve"> 4 ocT.</t>
    </r>
    <r>
      <rPr>
        <sz val="10"/>
        <color rgb="FF000000"/>
        <rFont val="Arial"/>
        <family val="2"/>
      </rPr>
      <t xml:space="preserve"> Se realizaron los controles  17 mayo, 8 junio, 26 y  31 agosto y 7 sept. DIc. 30.  El Ultimo se realizó el 23 de noviembre.</t>
    </r>
  </si>
  <si>
    <t xml:space="preserve">La vigencia de la calibración de pesas y el serafín se encuentran vencidas. </t>
  </si>
  <si>
    <t xml:space="preserve">Se requiere calibrar a más tardar el 15 de agosto las pesas y el serafín por parte del encargado del almacén municipal y así continuar con los controles. </t>
  </si>
  <si>
    <t>231403041 F. 110103, 110101, 110103
231701 F. 260401</t>
  </si>
  <si>
    <t xml:space="preserve">un vehiculo panel para infancia y adoslescencia  para la policia, un vehiculo para el CTI, Remodelación de instalaciones locativas VITRE Ejercito, alimentación y hospedaje. </t>
  </si>
  <si>
    <t>23180406 F.120301 (40) 120302 (20)</t>
  </si>
  <si>
    <t xml:space="preserve">Existe disponbilidad x vr 340.600.000. se encuentra en proceso pre contractual </t>
  </si>
  <si>
    <t>Se iniciariará el proceso de avaluos y gestión de compra del terreno a partir del mes de agosto.</t>
  </si>
  <si>
    <r>
      <t xml:space="preserve">Nov. 1:  </t>
    </r>
    <r>
      <rPr>
        <sz val="10"/>
        <rFont val="Arial"/>
        <family val="2"/>
      </rPr>
      <t>Para realizar una atención inmediata a la comunidad en riesgo se le proporciono al CTI y Ejercito combustible para que realicen acercamientos de manera inmediata cuando se riquiera, xa disminuir indice de criminalidad</t>
    </r>
  </si>
  <si>
    <t>23180406
Fuente 120302</t>
  </si>
  <si>
    <t xml:space="preserve">Se han adelantado en el barrio 20 de julio, la libertad, san antonio, san rafael, divino niño. </t>
  </si>
  <si>
    <t>Se desarrollaron en el colegio marillac y Institucion técnico agrícola ITA</t>
  </si>
  <si>
    <t xml:space="preserve">Se contrató el personal de apoyo a la gestión de la comisaría de familia con funciones de dirección de justicia.  Dos psicólogas y una trabajadora social. </t>
  </si>
  <si>
    <t xml:space="preserve">Los contratos de los profesionales de apoyo vencen en el mes de septiembre. </t>
  </si>
  <si>
    <t>Se requiere fortalecer el rubro en $ 21.180.000</t>
  </si>
  <si>
    <r>
      <t xml:space="preserve">Se iniciariará en el mes de agosto. </t>
    </r>
    <r>
      <rPr>
        <u/>
        <sz val="10"/>
        <color rgb="FFFF0000"/>
        <rFont val="Arial"/>
        <family val="2"/>
      </rPr>
      <t xml:space="preserve">Nov. 1.  </t>
    </r>
    <r>
      <rPr>
        <sz val="10"/>
        <rFont val="Arial"/>
        <family val="2"/>
      </rPr>
      <t>Existe un conv. Con Fondo Rotatorio para el mantenimiento el cual vencio en agosto del 2016.</t>
    </r>
  </si>
  <si>
    <t xml:space="preserve">Por medio de los programas radiales  "La Ruta del Cambio" que se transmite en la emisora Colombia stereo del ejercito nacional los días martes de 8:00 am - 8:30 am y del programa "sicología a lo loco" en la emisora potencia latina los sábados de 8:00 am - 8:30 am a través de las diferentes temáticas abordas se promueve la garantía de los derechos humanos de los diferentes grupos poblacionales del municipio de La Plata. </t>
  </si>
  <si>
    <t>Todos por la no violencia intrafamiliar</t>
  </si>
  <si>
    <t xml:space="preserve">En el marco de la campaña para la prevención de violencia intrafamiliar, de género y maltrato infantil, se han realizado programas radiales y capacitación a las instituciones educativas, centros de desarrollo infantil CDI y juntas de acción comunal.  28 Oct. Se realizó el 8 y 9 de noviemrbe una campaña </t>
  </si>
  <si>
    <t xml:space="preserve">Suministro de bienes muebles para la dotación y mejoramiento en la atención de la casa de la justicia. </t>
  </si>
  <si>
    <r>
      <t xml:space="preserve">Se dio inicio a la etapa precontractual, al 15 de septiembre se debe tener ejecutado el objeto contractual.  </t>
    </r>
    <r>
      <rPr>
        <u/>
        <sz val="10"/>
        <color rgb="FF00B0F0"/>
        <rFont val="Arial"/>
        <family val="2"/>
      </rPr>
      <t>4 Oct.  Se encuentra en juridica los estudios</t>
    </r>
  </si>
  <si>
    <t>231807 F. 260101</t>
  </si>
  <si>
    <t xml:space="preserve">Dic. 30.  Se realizó una conciliaton el 24, 25 y 26 de noviembre en la casa de Justicia, participando conciliadores en equidad, personeria, comisaria e ICBF. </t>
  </si>
  <si>
    <t>231604 F. 260101</t>
  </si>
  <si>
    <t xml:space="preserve">El sábado 24 de septiembre se realizará una capacitación en mecanismos alternativos en solución de conflictos, dirigido a los presidentes de las JAC del municipio de La Plata Huila.  </t>
  </si>
  <si>
    <t xml:space="preserve">Por medio del programa radial  "La Ruta del Cambio" que se transmite en la emisora Colombia stereo del ejercito nacional los días martes de 8:00 am - 8:30 se abordan diferentes temas que contribuyen a  la construcción de la paz, la convivencia ciudadana y la solución de conflictos del municipio de La Plata. </t>
  </si>
  <si>
    <t xml:space="preserve">Apoyo al establecimiento penitenciario y carcelario de mediana seguridad (INPEC), del municipio de la Plata Huila. </t>
  </si>
  <si>
    <r>
      <rPr>
        <u/>
        <sz val="10"/>
        <color rgb="FFFF0000"/>
        <rFont val="Arial"/>
        <family val="2"/>
      </rPr>
      <t>Nov.1-</t>
    </r>
    <r>
      <rPr>
        <sz val="10"/>
        <color rgb="FF000000"/>
        <rFont val="Arial"/>
        <family val="2"/>
      </rPr>
      <t xml:space="preserve">  Se realizó carta intención xa conv. Interadmtivo con el INPEC con el fin de aunar esfuerzos y realizar mant. al vehiculo del INPEC, se solicito cdp No. 2016000908.  Se reversó cdp. Por no haber acuerdo voluntades en la suscripción del conv. </t>
    </r>
  </si>
  <si>
    <t xml:space="preserve">Apoyo a la comisaría con funciones de dirección de justicia al manejo del coso municipal realizando labores de traslado, custodia, cuidado y alimentación de semovientes. </t>
  </si>
  <si>
    <t xml:space="preserve">Desde el mes de febrero se viene garantizando el funcionamiento del coso municipal a través de un contrato de prestación de servicios de apoyo a las funciones de la dirección de justicia municipal y las instalaciones se encuentran ubicadas en la plaza de ferias de este ente territorial. </t>
  </si>
  <si>
    <t>231805 F.110103, 110101, 110201</t>
  </si>
  <si>
    <t xml:space="preserve">El 25 de febrero y 01 de marzo se realizarón dos campañas de prevención del delito en los centros poblados de Monserrate y Belen respectivamente.  </t>
  </si>
  <si>
    <t xml:space="preserve">El 04 de junio se realizó un operativo en los establecimientos de comercio abiertos al público en bares discotecas de la carrera 3E avenida los libertadores. Los once operativos restantes se realizarán dos por mes hasta diciembre. </t>
  </si>
  <si>
    <t>2314020414 F.260401(3737000) 110201 (510000)260401 (1753000) 231701 260404 (3589657) 110101 (3365343)</t>
  </si>
  <si>
    <t>EL CAMBIO SE HACE CON SOSTENIBILIDAD</t>
  </si>
  <si>
    <t>CONSERVACION, PROTECCION,  RESTAURACION  Y APROVECHAMIENTO DE LOS RECURSOS NATURALES</t>
  </si>
  <si>
    <r>
      <t xml:space="preserve">Durante la vigencia del 2016 se otorgaron 8 descuentos prediales en la zona rural.  </t>
    </r>
    <r>
      <rPr>
        <u/>
        <sz val="10"/>
        <color rgb="FFFF0000"/>
        <rFont val="Arial"/>
        <family val="2"/>
      </rPr>
      <t>Octubre 13.</t>
    </r>
    <r>
      <rPr>
        <sz val="10"/>
        <color rgb="FF000000"/>
        <rFont val="Arial"/>
        <family val="2"/>
      </rPr>
      <t xml:space="preserve">     Contrato 060-2016</t>
    </r>
  </si>
  <si>
    <t>231008 Fuente 120201</t>
  </si>
  <si>
    <t>Se protegieron  3 microcuencas, las cuales son Barbillas, Zapatero, Guadualejo y la Isla</t>
  </si>
  <si>
    <t>231005 F. 110101 y 120204</t>
  </si>
  <si>
    <r>
      <rPr>
        <u/>
        <sz val="10"/>
        <color rgb="FFFF0000"/>
        <rFont val="Arial"/>
        <family val="2"/>
      </rPr>
      <t xml:space="preserve">Oct. 18.  </t>
    </r>
    <r>
      <rPr>
        <sz val="10"/>
        <color rgb="FF000000"/>
        <rFont val="Arial"/>
        <family val="2"/>
      </rPr>
      <t>se realizó articulación con la CAM, el ejercito, la policia y los usuarios para reforestación en las veredas la florida, la reforma, carmelo, alto cañada, cerrito, san juan, centro poblado Belen, Villa Losada, Gallego.</t>
    </r>
  </si>
  <si>
    <t>230808 F. 120201</t>
  </si>
  <si>
    <t xml:space="preserve">IMPLEMENTACION DE ESTRATEGIAS, PLANES Y PROGR. DE PRODUCTIVIDAD AGROPECUARIO Y PROTECCION AMBIENTAL </t>
  </si>
  <si>
    <t>se han realizado actividades como la limpieza de la quebrada el Zapatero, comparendos ambientales, capacitaciones el las distintas instituciones educativas</t>
  </si>
  <si>
    <t>231005 f. 120204</t>
  </si>
  <si>
    <t xml:space="preserve">Se ha realizado la actividad del dia del agua, dia de la tierra y dia del reciclador </t>
  </si>
  <si>
    <t>La jornada de capacitacion para evitar la contaminación, se realizo con los caballitas en las cabalgatas (ferias). Se realizo una capacitacion con los zorreros que se hacen alrededor de la galeria central.</t>
  </si>
  <si>
    <t>230808 f. 260401</t>
  </si>
  <si>
    <t>zorrer</t>
  </si>
  <si>
    <r>
      <rPr>
        <u/>
        <sz val="10"/>
        <color rgb="FFFF0000"/>
        <rFont val="Arial"/>
        <family val="2"/>
      </rPr>
      <t xml:space="preserve">Oct. 18.  </t>
    </r>
    <r>
      <rPr>
        <sz val="10"/>
        <color rgb="FF000000"/>
        <rFont val="Arial"/>
        <family val="2"/>
      </rPr>
      <t xml:space="preserve">se capacitaron en temas ambientales y agropecuarios a 120 presidentes de junta del municipio de la plata </t>
    </r>
  </si>
  <si>
    <t>231004 f. 120201</t>
  </si>
  <si>
    <r>
      <rPr>
        <u/>
        <sz val="10"/>
        <color rgb="FFFF0000"/>
        <rFont val="Arial"/>
        <family val="2"/>
      </rPr>
      <t>Oct. 18.  s</t>
    </r>
    <r>
      <rPr>
        <sz val="10"/>
        <color rgb="FF000000"/>
        <rFont val="Arial"/>
        <family val="2"/>
      </rPr>
      <t>e articuló con la Empresa de Servicios Públicos - EMSERPLA, por medio de capacitaciones con respecto al manejo de Comparendos Ambientales y con ello dictando la charla en la plaza de ferias.</t>
    </r>
  </si>
  <si>
    <t>1 qgo</t>
  </si>
  <si>
    <t>231004 F. 120201</t>
  </si>
  <si>
    <r>
      <rPr>
        <u/>
        <sz val="10"/>
        <color rgb="FFFF0000"/>
        <rFont val="Arial"/>
        <family val="2"/>
      </rPr>
      <t xml:space="preserve">Oct. 18.  </t>
    </r>
    <r>
      <rPr>
        <sz val="10"/>
        <rFont val="Arial"/>
        <family val="2"/>
      </rPr>
      <t xml:space="preserve">  Se realizó una jornada de capacitacion a los estudiantes del grado Noveno de la Institucion Educativa Misael Pastrana Borrero, con el fin de realizar la senesibilizacion acerca de la produccion limpia en los frutales.</t>
    </r>
  </si>
  <si>
    <t>230808 F. 110201 260104</t>
  </si>
  <si>
    <r>
      <t xml:space="preserve">se recibieron las propuestas  y se espera otorgar los apoyos durante el mes de octubre.  </t>
    </r>
    <r>
      <rPr>
        <u/>
        <sz val="10"/>
        <color rgb="FFFF0000"/>
        <rFont val="Arial"/>
        <family val="2"/>
      </rPr>
      <t xml:space="preserve">Oct 18. </t>
    </r>
    <r>
      <rPr>
        <sz val="10"/>
        <rFont val="Arial"/>
        <family val="2"/>
      </rPr>
      <t xml:space="preserve"> Se escogió la propuesta de Juan D. Gutierrez, Finca el Tablón</t>
    </r>
  </si>
  <si>
    <r>
      <rPr>
        <u/>
        <sz val="10"/>
        <color rgb="FFFF0000"/>
        <rFont val="Arial"/>
        <family val="2"/>
      </rPr>
      <t xml:space="preserve">Oct. 18.  </t>
    </r>
    <r>
      <rPr>
        <sz val="10"/>
        <color rgb="FF000000"/>
        <rFont val="Arial"/>
        <family val="2"/>
      </rPr>
      <t>se realizo la compra de 15 sistemas Modulares.</t>
    </r>
  </si>
  <si>
    <t>23100101 F. 120201 y 120204
231002 F. 120201 (240242)  F. 120204 (3929.758)
231004 F. 110101 (5.100)  120201 (1500)
231005 120201 (8.)  120204 (1.500)  
231008 F. 120201 (7030)</t>
  </si>
  <si>
    <r>
      <t xml:space="preserve">se seleccionó el predio detinado para la protección de fuentes hidricas con un área de 90 Hectáreas en la vereda de Belén. </t>
    </r>
    <r>
      <rPr>
        <u/>
        <sz val="10"/>
        <color rgb="FFFF0000"/>
        <rFont val="Arial"/>
        <family val="2"/>
      </rPr>
      <t xml:space="preserve">Oct. 18.  </t>
    </r>
    <r>
      <rPr>
        <sz val="10"/>
        <rFont val="Arial"/>
        <family val="2"/>
      </rPr>
      <t xml:space="preserve">Se encuentra e proceso de compra y registros de escrituras </t>
    </r>
  </si>
  <si>
    <t xml:space="preserve">231009 F. 110101 (26.715020) y 110102 (19600100) 110103 (2190200) 110201 (25795010) 120201 (9744063) 120204 (10.) 260101 (12914620) 260102 (1.040.987) </t>
  </si>
  <si>
    <r>
      <rPr>
        <u/>
        <sz val="10"/>
        <color rgb="FFFF0000"/>
        <rFont val="Arial"/>
        <family val="2"/>
      </rPr>
      <t>Oct. 18.</t>
    </r>
    <r>
      <rPr>
        <sz val="10"/>
        <color rgb="FF000000"/>
        <rFont val="Arial"/>
        <family val="2"/>
      </rPr>
      <t xml:space="preserve">  La campaña se realizo el 19 de julio en apoyo a Secretaria de Desarrollo Social, el cual se vacunaron aproxiamdamente 150 animales domesticos entre felinos y caninos.</t>
    </r>
  </si>
  <si>
    <t>230808 F. 260401</t>
  </si>
  <si>
    <t>231008 F. 120201</t>
  </si>
  <si>
    <r>
      <rPr>
        <u/>
        <sz val="10"/>
        <color rgb="FFFF0000"/>
        <rFont val="Arial"/>
        <family val="2"/>
      </rPr>
      <t>Oct. 18.</t>
    </r>
    <r>
      <rPr>
        <sz val="10"/>
        <color rgb="FF000000"/>
        <rFont val="Arial"/>
        <family val="2"/>
      </rPr>
      <t xml:space="preserve">    Se desarrollo un proyecto de conservación y mitigación de impacto ambiental </t>
    </r>
  </si>
  <si>
    <t>se realizo un proceso de compra de insumos para el apoyo del vivero Forestal Ubicado en la Institucion Educativa Tecnico agricola, el cual ya esta en la etapa final que es la entrega de los insumos a la Institucion.</t>
  </si>
  <si>
    <t>230808  F. 260101</t>
  </si>
  <si>
    <t>PREVENCION Y ATENCION DE DESASTRES</t>
  </si>
  <si>
    <t xml:space="preserve">Mediane convenio con EMSERPLA se transfirió recursos para la const. de </t>
  </si>
  <si>
    <t>NO REQUIERE, SE EJECUTA POR LA CAM</t>
  </si>
  <si>
    <t>Existe contrato No. 373 de 2015, suscrito entre la CAM y Consorcio Fuentes Hidrias CAM 2015, por valor de $2.391.583.290 cuyo objeto es "Const. Obra sde reducción y mitigación del riesgo de desastres en la quebrada Zapatero del Mpio de La Plata y …".    Se firmo el otrosi No. 3  el 1 de agosto de 2016, en el que se estableció el plazo de ejcucion del contrato en 5 meses , contados a partir de la firma del otrosi.</t>
  </si>
  <si>
    <t>NO REQUIERE, SE EJECUTA CON LA CAM</t>
  </si>
  <si>
    <r>
      <rPr>
        <u/>
        <sz val="10"/>
        <color rgb="FFFF0000"/>
        <rFont val="Arial"/>
        <family val="2"/>
      </rPr>
      <t xml:space="preserve">Octub. 18.  </t>
    </r>
    <r>
      <rPr>
        <sz val="10"/>
        <color rgb="FF000000"/>
        <rFont val="Arial"/>
        <family val="2"/>
      </rPr>
      <t>Se han realizado 18 consejos de Gestión del riesgo  (evidencias actas)</t>
    </r>
  </si>
  <si>
    <t>23121801 F. 110101, 110201, 260101, 260102</t>
  </si>
  <si>
    <r>
      <rPr>
        <u/>
        <sz val="10"/>
        <color rgb="FFFF0000"/>
        <rFont val="Arial"/>
        <family val="2"/>
      </rPr>
      <t xml:space="preserve">Oct 18:  </t>
    </r>
    <r>
      <rPr>
        <sz val="10"/>
        <color rgb="FF000000"/>
        <rFont val="Arial"/>
        <family val="2"/>
      </rPr>
      <t>En proceso firma de convenio con Bomberos a nivel Nacional y Municipio de La Plata, para la compra de una camioneta para atención de incendios forestales</t>
    </r>
  </si>
  <si>
    <t>231211 F. 260401</t>
  </si>
  <si>
    <t>IMPLEMENTACION DE ESTRATEGIAS, PLANES Y PROGRAMAS EN ATENCION A GRUPOS VULNERABLES, JUSTICIA, SEGURIDAD, CONVIVENCIA CIUDADANA, EMPLEO Y DERECHOS HUMANOS DEL MUNICIPIO DE LA PLATA</t>
  </si>
  <si>
    <t>Se contrató una  persona  para que realice el apoyo logístico, técnico y administrativo al Consejo Municipal de Riesgo de Desastre, quien en encargada del manejo y atención a la comunidad en los diferentes eventos que se presentan en el municipio de La Plata, por desastres naturales e incendios.   (contratos NO. 006-2016 y 153-2016, a partir de enero )</t>
  </si>
  <si>
    <t xml:space="preserve">23121801 F. 110101, 110102, 110103, 260101.  </t>
  </si>
  <si>
    <t>Se suscribió Convenio con cuerpo de bomberos en el mes de enero hasta el mes de noviembre. Convenio se ejecuta normalmente., por valor de $120.000.000</t>
  </si>
  <si>
    <t>231212   F. 110102</t>
  </si>
  <si>
    <r>
      <t xml:space="preserve">Se apoyará a través de capacitación  en estrategia de respuesta y atención de emergencias y desastres, entre los meses de agosto y noviembre.  </t>
    </r>
    <r>
      <rPr>
        <u/>
        <sz val="10"/>
        <color rgb="FFFF0000"/>
        <rFont val="Arial"/>
        <family val="2"/>
      </rPr>
      <t xml:space="preserve">Oct. 18.  </t>
    </r>
    <r>
      <rPr>
        <sz val="10"/>
        <rFont val="Arial"/>
        <family val="2"/>
      </rPr>
      <t xml:space="preserve">Se esta capacitando en las IE Tema:  Primeros auxilios y preparación simulacro.  </t>
    </r>
  </si>
  <si>
    <t>23121801 f.110101
231209 f 260401</t>
  </si>
  <si>
    <r>
      <t xml:space="preserve">Simulacro esta programado para el 26 de octubre </t>
    </r>
    <r>
      <rPr>
        <u/>
        <sz val="10"/>
        <color rgb="FFFF0000"/>
        <rFont val="Arial"/>
        <family val="2"/>
      </rPr>
      <t xml:space="preserve">Octubre 29:  </t>
    </r>
    <r>
      <rPr>
        <sz val="10"/>
        <rFont val="Arial"/>
        <family val="2"/>
      </rPr>
      <t>Se realizó el simulacro el 26 de noviembre.</t>
    </r>
  </si>
  <si>
    <r>
      <rPr>
        <u/>
        <sz val="10"/>
        <color rgb="FF000000"/>
        <rFont val="Arial"/>
        <family val="2"/>
      </rPr>
      <t>22/09/2016</t>
    </r>
    <r>
      <rPr>
        <sz val="10"/>
        <color rgb="FF000000"/>
        <rFont val="Arial"/>
        <family val="2"/>
      </rPr>
      <t xml:space="preserve">:  Se donaron 30 gaviones para mitigar el riesgo ocasionado por un derrumbe y/o deslizamiento de masa en el polideportivo del  casco urbano del  Centro Poblado Belén, beneficiando más de 4000 personas. </t>
    </r>
  </si>
  <si>
    <t>Se programará para el segundo semestre del año. En estudio si se estima conveniente la presentación de un proyecto de acuerdo para institucionalizar el reconocimiento.  Dic. 31/.  Se hizo un recocimiento el día 30 de diciembre de 2016, al voluntario LUIS MORENO GARCIA, otorgándosele la medalla "Diego de Ospina y Maldonado"</t>
  </si>
  <si>
    <t>PENDIENTE</t>
  </si>
  <si>
    <t>Se realizan estudios preliminares para mantener apoyo a albergues temporales, realizando inversión en segundo semestre del año</t>
  </si>
  <si>
    <t>23120602   F.  110101</t>
  </si>
  <si>
    <t>TABLERO DE CONTROL AVANCE EJECUCION METAS PLAN DESARROLLO VIGENCIA 2016</t>
  </si>
  <si>
    <t>CUMPLIDA</t>
  </si>
  <si>
    <t>EJECUCION</t>
  </si>
  <si>
    <t>SIN AVANCE</t>
  </si>
  <si>
    <t>APLAZADA</t>
  </si>
  <si>
    <t>MR</t>
  </si>
  <si>
    <t>TOTAL METAS</t>
  </si>
  <si>
    <t>PROGRAMADAS 2016</t>
  </si>
  <si>
    <t>% EJECUCION 2016</t>
  </si>
  <si>
    <t xml:space="preserve">% EJECUCION CUATRENIO </t>
  </si>
  <si>
    <t xml:space="preserve">30 % 2016 </t>
  </si>
  <si>
    <t xml:space="preserve">30% AVANCE A CUATRIENIO </t>
  </si>
  <si>
    <t>ta</t>
  </si>
  <si>
    <t>SEGUIMIENTO PROYECTOS PRIORITARIOS</t>
  </si>
  <si>
    <t>PROYECTO</t>
  </si>
  <si>
    <t>AVANCE JUNIO 2016</t>
  </si>
  <si>
    <t>AVANCE SEPTIEMBRE 2016</t>
  </si>
  <si>
    <t>AVANCE DICIEMBRE 2016</t>
  </si>
  <si>
    <t>TERRENO</t>
  </si>
  <si>
    <t>DISEÑOS</t>
  </si>
  <si>
    <t>INSCRIPCION</t>
  </si>
  <si>
    <t>FINANCIACIÓN</t>
  </si>
  <si>
    <t>PLIEGOS</t>
  </si>
  <si>
    <t>CONTRATACIÓN</t>
  </si>
  <si>
    <t>SE EJECUTA</t>
  </si>
  <si>
    <t xml:space="preserve">Construcción del colegio 10 del Marillal </t>
  </si>
  <si>
    <t xml:space="preserve">Colegio registrado </t>
  </si>
  <si>
    <t>Construir 1 Centro de Integración comunitaria en el cuatrienio -en la ALDEA DE LA FELICIDAD</t>
  </si>
  <si>
    <t>No. De Centro de integración construido</t>
  </si>
  <si>
    <t>INVERSION 2016 (EN MILLONES DE PESOS)</t>
  </si>
  <si>
    <t>INVERSION 2017 (EN MILLONES DE PESOS)</t>
  </si>
  <si>
    <t>INVERSION 2018 (EN MILLONES DE PESOS)</t>
  </si>
  <si>
    <t>INVERSION 2019 (EN MILLONES DE PESOS)</t>
  </si>
  <si>
    <t>TOTAL INVERSION 2016/2019 (EN MILLONES DE PESOS)</t>
  </si>
  <si>
    <t>AREA PROGRAMATICA</t>
  </si>
  <si>
    <t>LINEA BASE</t>
  </si>
  <si>
    <t>RP DEL MPIO - COLJUEGOS</t>
  </si>
  <si>
    <t>A. Departamentales</t>
  </si>
  <si>
    <t>PROGRAMA:  POR EL CAMBIO Y LA PAZ SALUD Y EQUIDAD</t>
  </si>
  <si>
    <t>DIRECCIONAMIENTO DEL SECTOR</t>
  </si>
  <si>
    <t>Definir los objetivos, estrategias, acciones, indicadores y metas correspondientes al Plan de salud territorial 2016-2019, que permitira dar
cumplimiento a lo señalado en el Plan Municipal de Desarrollo 2016 - 2019 "El Cambio lo hacemos todos", con enfoque diferencial y participativo.</t>
  </si>
  <si>
    <t>Numero de Metas, Objetivos y Estrategias definidas y en ejecucion</t>
  </si>
  <si>
    <t>ASIS
Plan decenal de Salud</t>
  </si>
  <si>
    <t>Plan Territorial de Salud
COAI
Plan de Accion,
Politicas Construidas</t>
  </si>
  <si>
    <t>Formular, ejecutar y evaluar planes, programas y proyectos en salud, en armonía con las políticas y disposiciones del orden nacional y departamental.</t>
  </si>
  <si>
    <t>Un Plan de Salud Territoiral Elaborado, -socializado y en Ejecucion</t>
  </si>
  <si>
    <t>Plan de Salud Territorial Adoptado, legalizado y en ejecucion</t>
  </si>
  <si>
    <t>Seguimiento al Pla de Salud Territorial</t>
  </si>
  <si>
    <t>Gestionar el recaudo, flujo y ejecución de los recursos con destinación específica para salud del municipio, y administrar los recursos del Fondo Local de Salud.</t>
  </si>
  <si>
    <t>Fondo Local de Salud estructurado acorde a lo dispuesto en la Resolucion 3042 de 2007 y demas normas reglamentarias y complementarias, y con el 100% de los recursos apropiados y/o Ejecutados.</t>
  </si>
  <si>
    <t>Adoptar, administrar e implementar el sistema integral de información en salud, así como generar y reportar la información requerida por el Sistema</t>
  </si>
  <si>
    <t>Numero de Reportes remitidos a los entes.</t>
  </si>
  <si>
    <t>Impulsar mecanismos para la adecuada participación social y el ejercicio pleno de los deberes y derechos de los ciudadanos en materia de salud y de seguridad social en salud</t>
  </si>
  <si>
    <t>Un Consejo Territorial de Salud Municipal conformado, integrado y operando.</t>
  </si>
  <si>
    <t>Garantizar el Cumplimietno de operación y funcionamiento de la Direccion Local de Salud.</t>
  </si>
  <si>
    <t>Total de Programas Ejecutados / Total de Programas programados</t>
  </si>
  <si>
    <t>Contratacion del Recursos Humano requerido para garantizar la operación y funcionamiento de la DLS</t>
  </si>
  <si>
    <t xml:space="preserve"> ASEGURAMIENTO</t>
  </si>
  <si>
    <t>ASEGURAMIENTO</t>
  </si>
  <si>
    <t xml:space="preserve">^Mantener por encima de 96% la cobertura de aseguramiento  </t>
  </si>
  <si>
    <t xml:space="preserve">Porcentaje de población con aseguramiento </t>
  </si>
  <si>
    <t>Regimen Subsidiado</t>
  </si>
  <si>
    <t>Aseguramiento</t>
  </si>
  <si>
    <t>100% de Recursos Asignados para garantizar la continuidad del Aseguramiento de la Poblacion Beneficiaria al Regimen Subsidiado:</t>
  </si>
  <si>
    <t>Acto Administrativo de Asignacion de Recursos del Regimen Subsidiado Legalizado</t>
  </si>
  <si>
    <t>48,918 Personas</t>
  </si>
  <si>
    <t>100% de Recusos Asignados Con Acto Adminsitrativo Legalizaddo</t>
  </si>
  <si>
    <t>Control de la Elusion y Evasion</t>
  </si>
  <si>
    <t>100% de Contratistas Vinculados a Empresas Publicas del Municipio con Controles de Elusion y Evasion al Aseguramiento del Regimen contributivo.</t>
  </si>
  <si>
    <t>Numero de Contratistas Evaluados en el pago de SGSSS / Total de Contratistas del Municipio y otras Empresas Publicas radicadas en el Mpio.</t>
  </si>
  <si>
    <t>100% de Contratistas con pagos verifiacados</t>
  </si>
  <si>
    <t>promocion de la Afiliacion al Aseguramiento al  SGSSS</t>
  </si>
  <si>
    <t xml:space="preserve">8 campañas anuales para promover la afiliacion al SGSSS, a traves de medios radiales, 'Reunion  con organimos y entidades comunitarias y actores del sistema, y jornadas de afiliacion de la poblaicon tanto en el area rural como urbana.  </t>
  </si>
  <si>
    <t>Numero de Campañas Ejecutadas y/o Realizadas / Numero de Campañas programadas</t>
  </si>
  <si>
    <t>Priorizacion y Focalizacion de la Poblacion Pobre no Asegurada, y Uso eficiente del Regimen Subsidiado</t>
  </si>
  <si>
    <t>Garantizar la calidad, coherencia y consistencia de la informacion de bases de datos del SGSSS regimen subsidiado por encima del 90%</t>
  </si>
  <si>
    <t>Total de Registros en Base de datos del Regimen Subsidiado cargado en BDUA Nacional / Sobre total de Registros en Base de datos del Regimen Subsidiado del Municipio.</t>
  </si>
  <si>
    <t>4 Grandes Jormadas Anuales de Depuracion de Informacion de bases de datos con EPS, Mpio y Firma Auditoria.</t>
  </si>
  <si>
    <t>Numero de Jornadas Realizadas y Ejecutadas / Sobre numero de Jornadas Ejecutadas</t>
  </si>
  <si>
    <t>Disminuir el 90% de la Poblaicon Pobre no Asegurada, (PPNA) identificada.</t>
  </si>
  <si>
    <t>Total de Personas Identificadas como PPNA / Sobre total de Poblacion del Mpio</t>
  </si>
  <si>
    <t>Inspeccion Vigilacia y Control</t>
  </si>
  <si>
    <t>Una (1) Firma auditoria y/o Interventora debidamente contratada para garantizar los procesos de Evaluaciion, control y seguimiento de los procesos propios del regimen subsidiado en salud.</t>
  </si>
  <si>
    <t>Una firma Contratada y funcionando</t>
  </si>
  <si>
    <t>6 Informes de Gestion, seguimiento y evaluacion del aseguramiento y un reporte de calificacion de las EPS, Anuales</t>
  </si>
  <si>
    <t>Numero de Informes Realizados / Numero de Informes programados</t>
  </si>
  <si>
    <t>1 Informe General</t>
  </si>
  <si>
    <t>Gestion Financiera y FluJo de Recursoos</t>
  </si>
  <si>
    <t>12 Procesos anuales de Validacion y Evaluacion de la Liquidacion Mensual de Afiliados (LMA), con sus analisis de Inconsistencias y Reporte de Valores para Causacion Presupuestal, contable y Financiera ante la Secretaria de Hacienda.</t>
  </si>
  <si>
    <t>12 Informes de Validacion de la LMA</t>
  </si>
  <si>
    <t>NA</t>
  </si>
  <si>
    <t>6 Reportes Anuales de Gestion del Flujo de Recursos y analisis de estados de cartera entre Aseguradores y Prestadores del Municipio.</t>
  </si>
  <si>
    <t>6 Informes Anuales</t>
  </si>
  <si>
    <t>100% de Recursos asignados debidamente Presupuestados, Comprometidos y/o Asignnados al Regimen Subisdiado, y Causados en su pago y/o Giro de lo que aplique al Mpio.</t>
  </si>
  <si>
    <t>Total de Recursos Apropiados, presupuestados y pagados / Total de Recursos Asignados en Conpes Sociales y Matriz del Minsiterio de Salud.</t>
  </si>
  <si>
    <t xml:space="preserve">   PRESTACION DE SERVICIOS DE SALUD A LA POBLACION POBRE NO ASEGURADA.</t>
  </si>
  <si>
    <t>100% de Población Pobre no Asegurada con Disponibilidad de oferta de servicios de salud del Primer Nivel de complejidad</t>
  </si>
  <si>
    <t>Porcentaje de población No Asegurada</t>
  </si>
  <si>
    <t>Reducir el 90% de esta poblacion Sin SGSSS</t>
  </si>
  <si>
    <t xml:space="preserve">Contratar la Oferta de Servicios de Primer Nivel de Complejidad para garantizar el acceso oportuno al 100% de la población pobre no asegurada. </t>
  </si>
  <si>
    <t>Total de Personas Atendías cono Personas Pobres no Aseguradas</t>
  </si>
  <si>
    <t>Un Contrato con el que se Garantiza el 100% de Acceso a los Servicios de Salud de la PPNA</t>
  </si>
  <si>
    <t>Realizar jornadas de Búsqueda activa de la Población pobre no asegurada para canalizarla al aseguramiento y así disminuir el 90% el total de esta Población.</t>
  </si>
  <si>
    <t>Número de Personas Ubicadas y Canalizadas al Aseguramiento.</t>
  </si>
  <si>
    <t>6 Jornadas Realizadas</t>
  </si>
  <si>
    <t>SALUD PUBLICA</t>
  </si>
  <si>
    <t xml:space="preserve">PROGRAMA: DIMENSION SALUD AMBIENTAL </t>
  </si>
  <si>
    <t>POR EL CAMBIO Y LA PAZ SALUD Y EQUIDAD</t>
  </si>
  <si>
    <t>Mantener en 4,3 x 1000 la tasa de incidencia de Dengue en el municipio</t>
  </si>
  <si>
    <t>Tasa de incidencia de dengue</t>
  </si>
  <si>
    <t>Tasa 4,3 x 1000</t>
  </si>
  <si>
    <t>A 2019 Se desarrollará al 100% la estrategia de gestión integrada de vectores EGI</t>
  </si>
  <si>
    <t xml:space="preserve">% de implementación de la estrategia EGI </t>
  </si>
  <si>
    <t xml:space="preserve">Plan de acción en salud ambiental que incluya el 100% las prioridades en salud publica
</t>
  </si>
  <si>
    <t>% de prioridades en salud publica</t>
  </si>
  <si>
    <t xml:space="preserve">A 2019 dar cumplimiento del 100% del plan de acción en Salud Ambiental con las prioridades en salud pública.
</t>
  </si>
  <si>
    <t xml:space="preserve">% de cumplimiento del plan de acción de salud ambiental
</t>
  </si>
  <si>
    <t xml:space="preserve">A 2019 se crearán espacios de gestión intersectorial para afrontar las diferentes problemáticas de salud ambiental </t>
  </si>
  <si>
    <t>% de espacios de gestión intersectorial para afrontar las problemáticas de salud ambiental</t>
  </si>
  <si>
    <t xml:space="preserve">1 comité </t>
  </si>
  <si>
    <t>1 Comité, Creado y Operando</t>
  </si>
  <si>
    <t>2 Comité, Creado y Operando</t>
  </si>
  <si>
    <t>3 Comité, Creado y Operando</t>
  </si>
  <si>
    <t>3 Comité Operando</t>
  </si>
  <si>
    <t xml:space="preserve">3 Comites </t>
  </si>
  <si>
    <t>A 2019 el 100% de las IPS municipales implementaran  la gestión integral de sus residuos peligrosos.</t>
  </si>
  <si>
    <t xml:space="preserve">% de IPS que implementan la gestión integral de residuos peligrosos. </t>
  </si>
  <si>
    <t>A 2019 se articularán 2 estrategias de IEC del plan de acción de salud ambiental con estrategias de la ley 1743 de educación ambiental.</t>
  </si>
  <si>
    <t>No de estrategias de IEC del plan de acción de salud mental con estrategias de la ley 1743.</t>
  </si>
  <si>
    <t xml:space="preserve">1 Estrategia </t>
  </si>
  <si>
    <t xml:space="preserve">2 Estrategias </t>
  </si>
  <si>
    <t>A 2019 los establecimientos de interés  sanitario estarán vigilados y  controlados en un 80% de alto riesgo y un 40% de bajo riesgo. Según censo municipal.</t>
  </si>
  <si>
    <t>% de establecimientos de interés sanitarios vigilados y controlados por la administración municipal.</t>
  </si>
  <si>
    <t>20% de Alto Riesgo
10% de Bajo Rieesgos</t>
  </si>
  <si>
    <t xml:space="preserve">80% de
alto riesgo
40% de
Bajo riesgo
</t>
  </si>
  <si>
    <t>Mantener en cero la incidencia de rabia en el municipio</t>
  </si>
  <si>
    <t xml:space="preserve">Tasa de incidencia de Rabia </t>
  </si>
  <si>
    <t>Tasa 0 x 1000</t>
  </si>
  <si>
    <t>A 2019 Se desarrollará al 100% la estrategia de gestión integrada de zoonosis EGI</t>
  </si>
  <si>
    <t xml:space="preserve">% de implementación de la estrategia
</t>
  </si>
  <si>
    <t>A 2019 se  mantendrás las coberturas útiles de vacunación animal para la zoonosis inmunoprevenible de interés en Salud Pública.</t>
  </si>
  <si>
    <t>% de vacunación para rabia en animales</t>
  </si>
  <si>
    <t>40 Canimos y Felinos</t>
  </si>
  <si>
    <t>80 Canimos y Felinos</t>
  </si>
  <si>
    <t>90 Canimos y Felinos</t>
  </si>
  <si>
    <t>100 Canimos y Felinos</t>
  </si>
  <si>
    <t xml:space="preserve">PROGRAMA: DIMENSION VIDA SALUDABLE Y CONDICIONES NO TRANSMISIBLES
 </t>
  </si>
  <si>
    <t>A 2019 reducir del 34.9 % la tasa de mortalidad por tumor maligno de mama.</t>
  </si>
  <si>
    <t>% tasa de mortalidad por tumor maligno de mama</t>
  </si>
  <si>
    <t xml:space="preserve">Tasa 34.9 x 100.000
</t>
  </si>
  <si>
    <t>Lograr un aumento del 15% de mujeres con toma de mamografía.</t>
  </si>
  <si>
    <t>% de aumento de mujeres con toma de mamografía</t>
  </si>
  <si>
    <t>A 2019 incrementar la actividad física global en población de 13 a 64 años por encima del 26 %</t>
  </si>
  <si>
    <t>% de población practicando actividad física en edades de 13 a 64 años</t>
  </si>
  <si>
    <t xml:space="preserve">A 2019 se aumentará el tiempo dedicado y la calidad para la actividad física en todo el sistema educativo, con énfasis en la población escolar y en la primera infancia a través de 1 estrategia lúdico y pedagógica que fomenten e incentiven el
movimiento, el deporte recreativo y la sanacompetencia. </t>
  </si>
  <si>
    <t>No de estrategias lúdico y pedagógicas desarrolladas en el municipio</t>
  </si>
  <si>
    <t>1 Estrategia Implementada</t>
  </si>
  <si>
    <t>1 Estrategia en Ejecucion</t>
  </si>
  <si>
    <t>1 Estrategia</t>
  </si>
  <si>
    <t xml:space="preserve">A 2019 se articularas 2 estrategias de IEC para fortalecer la práctica de  actividad física en la población de 13 a 64 años con población escolarizada y grupos organizados del municipio. </t>
  </si>
  <si>
    <t xml:space="preserve">No de estrategias desarrolladas para el fortalecimiento de la actividad física en el municipio de la plata
</t>
  </si>
  <si>
    <t>2 Estrategias Implementadas</t>
  </si>
  <si>
    <t>2 Estrategias en Ejecucion</t>
  </si>
  <si>
    <t>A 2019 mantener o disminuir del 11 % la tasa de mortalidad por</t>
  </si>
  <si>
    <t xml:space="preserve">% tasa de mortalidad por hipertensión.
</t>
  </si>
  <si>
    <t xml:space="preserve">Tasa 11 x 100.000
</t>
  </si>
  <si>
    <t>Disminuir la Prevalencia de hipertensión arterial en personas de 18 a 69 años a 3.0</t>
  </si>
  <si>
    <t xml:space="preserve">% de prevalencia de hipertensión arterial </t>
  </si>
  <si>
    <t>Plan de acción en vida saludable y condiciones no transmisibles con todas las prioridades de salud pública de la dimensión</t>
  </si>
  <si>
    <t>Porcentaje de prioridades incluidas en plan de acción de vida saludable y
condiciones no transmisibles</t>
  </si>
  <si>
    <t>Evaluación del cumplimiento del 100% de las acciones Plan de acción en vida saludable y condiciones no transmisibles con todas las prioridades de salud pública de la dimensión</t>
  </si>
  <si>
    <t>% de cumplimiento del plan de acción en vida saludable y condiciones no transmisibles.</t>
  </si>
  <si>
    <t xml:space="preserve">Lograr Índice de COP promedio a los 12 año por debajo de los 2.5 7.3 Año 2014
</t>
  </si>
  <si>
    <t>Índice de COP en
el municipio de la
plata.</t>
  </si>
  <si>
    <t>A 2019 disminuir a 10 % la tasa de mortalidad por tumor maligno de cuello uterino.</t>
  </si>
  <si>
    <t>% tasa de mortalidad por tumor maligno de cuello uterino</t>
  </si>
  <si>
    <t>Tasa 10 x 100.000</t>
  </si>
  <si>
    <t xml:space="preserve">Lograr un aumento del 40% de la toma de citología en el municipio de la plata
</t>
  </si>
  <si>
    <t>% de aumento de mujeres con toma de citología</t>
  </si>
  <si>
    <t xml:space="preserve">PROGRAMA: DIMENSION CONVIVENCIA SOCIAL Y SALUD MENTAL
 </t>
  </si>
  <si>
    <t>Mantener la tasa de suicidio en 3.2 en el municipio de la plata</t>
  </si>
  <si>
    <t>Tasa de Suicidio</t>
  </si>
  <si>
    <t>Tasa 3.2 x 1000</t>
  </si>
  <si>
    <t>Intervención psicológica por lo menos al 95% de los casos notificados por intento de suicidio</t>
  </si>
  <si>
    <t>% de intervención psicologica a los casos de intentos de suicidio</t>
  </si>
  <si>
    <t>Plan de acción convivencia social y salud mental con todas las prioridades de salud pública de la dimensión.</t>
  </si>
  <si>
    <t xml:space="preserve">Porcentaje de prioridades incluidas en plan de acción de convivencia social y salud mental </t>
  </si>
  <si>
    <t>Evaluación del  cumplimiento del 100% de las acciones de convivencia social y salud mental con todas las prioridades de salud pública de la dimensión.</t>
  </si>
  <si>
    <t xml:space="preserve">% de cumplimiento del plan de acción de convivencia social y salud mental con todas las prioridades de salud </t>
  </si>
  <si>
    <t>A 2019 notificar el 100% de los eventos al sivigila relacionados con el consumo de sustancias psicoactivas.</t>
  </si>
  <si>
    <t>% de eventos  notificados al sivigila relacionados con
el consumo de SPA</t>
  </si>
  <si>
    <t>Fortalecer al 100% los espacios intersectoriales para la prevención de la violencia intrafamiliar</t>
  </si>
  <si>
    <t xml:space="preserve">% de espacios intersectoriales para prevenir la violencia intrafamiliar
</t>
  </si>
  <si>
    <t>1 Comité (100%)</t>
  </si>
  <si>
    <t>1 Comité Creado</t>
  </si>
  <si>
    <t>1 Comité Creado y Operando</t>
  </si>
  <si>
    <t>Aumentar en un 10% los eventos notificados al SIVIGILA de violencia intrafamiliar en el municipio</t>
  </si>
  <si>
    <t xml:space="preserve">% de eventos notificados al SIVIGILA de VIF
</t>
  </si>
  <si>
    <t xml:space="preserve">56 Eventos </t>
  </si>
  <si>
    <t xml:space="preserve">PROGRAMA: DIMENSION SEGURIDAD ALIMENTARIA Y NUTRICIONAL
 </t>
  </si>
  <si>
    <t xml:space="preserve">Plan de acción seguridad alimentaria y nutricional con todas las prioridades de salud pública de la dimensión. </t>
  </si>
  <si>
    <t>Porcentaje de prioridades incluidas en plan de acción de seguridad alimentaria y nutricional</t>
  </si>
  <si>
    <t>Evaluación del cumplimiento del 100% de las acciones de seguridad alimentaria y nutricional con todas las prioridades de salud pública de la dimensión.</t>
  </si>
  <si>
    <t>% de cumplimiento de las prioridades de salud pública de la dimensión seguridad alimentaria y nutricional</t>
  </si>
  <si>
    <t xml:space="preserve">Aumentar al 80% la notificación de ETA en el municipio de la plata </t>
  </si>
  <si>
    <t>% de eventos notificados de ETA en el municipio de la plata</t>
  </si>
  <si>
    <t>Mantener en cero la tasa de mortalidad por DNT en menores de años</t>
  </si>
  <si>
    <t>Tasa de mortalidad por DNT en menores de 5 años</t>
  </si>
  <si>
    <t>Tasa igual a 0</t>
  </si>
  <si>
    <t xml:space="preserve">Reducir a 2% la tasa de prevalencia de la desnutrición global en menores de 5 años
</t>
  </si>
  <si>
    <t>Prevalencia de desnutrición global en menores de 5 años</t>
  </si>
  <si>
    <t>Reducir a 8% la tasa de desnutrición crónica en menores de 5 años</t>
  </si>
  <si>
    <t>Prevalencia de desnutrición crónica en menores de 5 años</t>
  </si>
  <si>
    <t>Reducir al 2% la tasa de prevalencia de desnutrición aguda en menores de 5 años</t>
  </si>
  <si>
    <t>Prevalencia de desnutrición aguda en menores de 5 años</t>
  </si>
  <si>
    <t>Reducir el porcentaje de nacido vivo al nacer con bajo peso al 5%</t>
  </si>
  <si>
    <t>% de nacidos vivos con bajo peso al nacer</t>
  </si>
  <si>
    <t xml:space="preserve">PROGRAMA: DIMENSION SEXUALIDAD, DERECHOS SEXUALES Y REPRODUCTIVOS
 </t>
  </si>
  <si>
    <t xml:space="preserve">Disminuir a cero la razón de mortalidad materna </t>
  </si>
  <si>
    <t>Razón de mortalidad materna</t>
  </si>
  <si>
    <t>Razon 0</t>
  </si>
  <si>
    <t>Sostener la cobertura de 4 a más controles prenatales por encima del 90%.</t>
  </si>
  <si>
    <t>% de Cobertura de controles prenatales en el municipio de la plata</t>
  </si>
  <si>
    <t>Aumentar por encima del 98% la atención de partos institucionales</t>
  </si>
  <si>
    <t xml:space="preserve">% de Cobertura de partos institucionales </t>
  </si>
  <si>
    <t xml:space="preserve">Plan de acción sexualidad, derechos sexuales y reproductivos con todas las prioridades de salud pública de la dimensión. </t>
  </si>
  <si>
    <t>Porcentaje de prioridades incluidas en plan de sexualidad, derechos sexuales y reproductivos.</t>
  </si>
  <si>
    <t>Evaluación del cumplimiento del 100% de las acciones de sexualidad, derechos sexuales y reproductivos con todas las prioridades de salud pública de la dimensión.</t>
  </si>
  <si>
    <t>% de cumplimiento de las prioridades de
salud pública de la dimensión sexualidad, derechos sexuales y reproductivos</t>
  </si>
  <si>
    <t>Reducir a cero la tasa de incidencia de VIH en mujeres embarazadas</t>
  </si>
  <si>
    <t>Tasa de incidencia de VIH en mujeres embarazadas</t>
  </si>
  <si>
    <t>Tasa 0</t>
  </si>
  <si>
    <t>Alcanzar el 90% de gestante con tamizaje de VIH</t>
  </si>
  <si>
    <t>Cobertura de gestantes con tamizaje de VIH</t>
  </si>
  <si>
    <t>Reducir la tasa de adolescentes que han sido madres o están en embarazo por debajo del 8.87%.</t>
  </si>
  <si>
    <t>Tasa de adolescentes en embarazo</t>
  </si>
  <si>
    <t>Por debajo de los 8.87%</t>
  </si>
  <si>
    <t>Aumentar a 70% las mujeres con uso de algún método anticonceptivo en las edades de 15 a 49 años</t>
  </si>
  <si>
    <t xml:space="preserve">% de mujeres con algún método anticonceptivo en las edades de 15 a 49 años </t>
  </si>
  <si>
    <t xml:space="preserve">PROGRAMA: DIMENSION VIDA SALUDABLE Y ENFERMEDADES TRASNMISIBLES
 </t>
  </si>
  <si>
    <t>A 2019 alcanzar el 95% la cobertura de todos los biológicos de Vacunación</t>
  </si>
  <si>
    <t>Cobertura de vacunación con esquema completo para la edad</t>
  </si>
  <si>
    <t>Alcanzar el 95% o más del biológico trazador de 3 DPT en menor de 1 año.</t>
  </si>
  <si>
    <t xml:space="preserve">% de Cobertura de vacunación DPT
</t>
  </si>
  <si>
    <t>Alcanzar el 95% o más del biológico trazador de triple viral en la población de 1 año.</t>
  </si>
  <si>
    <t xml:space="preserve">% de cobertura de vacunación triple viral </t>
  </si>
  <si>
    <t xml:space="preserve">Plan de acción de vida saludable y condiciones transmisibles con todas las prioridades de salud pública de la dimensión. </t>
  </si>
  <si>
    <t>Porcentaje de prioridades incluidas en plan de vida saludable y condiciones transmisibles.</t>
  </si>
  <si>
    <t>Evaluación del cumplimiento del 100% de las acciones de sexualidad, vida saludable y enfermedades transmisibles con todas las prioridades de salud pública de la dimensión.</t>
  </si>
  <si>
    <t xml:space="preserve">% de cumplimiento de las prioridades de salud pública de la dimensión vida saludable y condiciones transmisibles
</t>
  </si>
  <si>
    <t>Mantener la prevalencia de LEPRA menor a 1 casos en el Municipio</t>
  </si>
  <si>
    <t>% de prevalencia de lepra en el municipio</t>
  </si>
  <si>
    <t>Menor a 1</t>
  </si>
  <si>
    <t>Menos de 1 Caso</t>
  </si>
  <si>
    <t>A 2019 mantener en cero la tasa de mortalidad por Tuberculosis.</t>
  </si>
  <si>
    <t>Tasa de mortalidad por tuberculosis</t>
  </si>
  <si>
    <t>Aumentar a un 70% la detección de nuevos casos de tuberculosis en el municipio.</t>
  </si>
  <si>
    <t>% de detección de nuevos casos</t>
  </si>
  <si>
    <t xml:space="preserve">Plan de acción de salud pública en emergencias y desastres con todas las prioridades de salud pública de la dimensión. </t>
  </si>
  <si>
    <t>Porcentaje de prioridades incluidas en el plan de salud pública en emergencias y desastres.</t>
  </si>
  <si>
    <t>Evaluación del cumplimiento del 100% de las acciones de salud pública en emergencias y desastres con todas las prioridades de salud pública de la dimensión.</t>
  </si>
  <si>
    <t>% de cumplimiento de las prioridades de salud pública de la dimensión emergencias y desastres</t>
  </si>
  <si>
    <t>Implementación del 100% del plan de gestión del riesgo en salud para la prevención de emergencias y  desastres.</t>
  </si>
  <si>
    <t>% de implementación del plan de gestión del riesgo</t>
  </si>
  <si>
    <t xml:space="preserve">PROGRAMA: DIMENSION SALUD PÚBLICA EN EMERGENCIAS Y DESASTRES
 </t>
  </si>
  <si>
    <t xml:space="preserve">Plan de acción de la dimensión salud y ámbito laboral con todas las prioridades de salud pública de la dimensión. </t>
  </si>
  <si>
    <t>Porcentaje de prioridades incluidas en el plan de salud pública en salud y ámbito laboral</t>
  </si>
  <si>
    <t xml:space="preserve">Evaluación del cumplimiento del 100% de las acciones de salud y ámbito laboral con todas las prioridades de salud pública de la dimensión.
</t>
  </si>
  <si>
    <t>% de cumplimiento de las prioridades de salud pública de la dimensión salud y ámbito laboral</t>
  </si>
  <si>
    <t>Garantizar que el Municipio responda con eficacia y eficiencia ante las emergencias y desastres que se presenten, y articulo su gestión con otras entidades</t>
  </si>
  <si>
    <t>100% de Emergencias con Respuesta</t>
  </si>
  <si>
    <t>Fortalecer la Estrategia Municipal de Respuesta a Emergencias, garantizando la efectividad de la atención y prestación de servicios básicos durante la respuesta, conforme al planteamiento estratégico desarrollado y mecanismos de evaluación planteados en el Plan de gestión del riesgo de desastres.</t>
  </si>
  <si>
    <t>Numero de estrategias Municipales de Respuestas adoptadas, implementadas y con sus respectivos informes de seguimiento</t>
  </si>
  <si>
    <t>Estrategias de Respuesta elaborada, socializada y comunicada para cada evento de fiesta que se de en el Municipio.
Estrategia de Respuesta para cada Evento por fenomento natural o a causa del Hombre que se presente en el Municipio</t>
  </si>
  <si>
    <t>Generar espacios de IEC como mecanismos de poner en conocimiento al 100% de la pobalcion sobre riesgos de desastres en sus diferentes ámbitos, y sobre planificación de las emergencias y desastres, atención, seguimiento y evaluación de la gestión y resultados</t>
  </si>
  <si>
    <t>Numero de Estrategias de IEC en Ejecucion</t>
  </si>
  <si>
    <t xml:space="preserve">100% de Entidades y Empresas con Capacitacion.
80% de la Poblacion con procesos de IEC </t>
  </si>
  <si>
    <t>Actualizar y adoptar el Plan de Emergenccias y Desastres puesto en practica.
Adoptar Estrategias de Respuesta Inmediata a eventos por fenomenos naturales, o a causa del Hombre, uy por eventos de diversion, cultura y congregacione de persoanas.</t>
  </si>
  <si>
    <t>Un plan Adoptado y en ejecucion.
Numero de Estrateggias Adoptadas.</t>
  </si>
  <si>
    <t xml:space="preserve">PROGRAMA: DIMENSION SALUD Y AMBITO LABORAL
 </t>
  </si>
  <si>
    <t>A 2019 mantener en cero la tasa de mortalidad por EDA</t>
  </si>
  <si>
    <t>Tasa de mortalidad por EDA</t>
  </si>
  <si>
    <t>Aumentar a un 100% la vinculación de todos los menores de 5 años a los programas de la ESE Municipal</t>
  </si>
  <si>
    <t>% de vinculación</t>
  </si>
  <si>
    <t>100% del Personal Activo Laboralmente en las Instituciones Públicas con Políticas de Salud Ocupacional en aplicación.</t>
  </si>
  <si>
    <t>Porcentaje de empleados con diagnóstico de enfermedades laborales</t>
  </si>
  <si>
    <t>Adoptar e implemetnar una politica de Salud Ocupacional que cobje al 100% de la poblacion labral activa</t>
  </si>
  <si>
    <t>Numero de personas laboralmente activas con programas de salud publica</t>
  </si>
  <si>
    <t xml:space="preserve">PROGRAMA: DIMENSION GESTION DIFERENCIAL DE POBLACIONES VULNERABLES
 </t>
  </si>
  <si>
    <t xml:space="preserve">Plan de acción de la dimensión transversal gestión diferencial de poblaciones vulnerables con todas las prioridades de salud pública de la dimensión. </t>
  </si>
  <si>
    <t>Porcentaje de prioridades incluidas en el plan de salud pública en poblaciones vulnerables</t>
  </si>
  <si>
    <t>Evaluación del cumplimiento del 100% de las acciones de gestión diferencial de poblaciones vulnerables con todas las prioridades de salud pública de la dimensión.</t>
  </si>
  <si>
    <t xml:space="preserve">% de cumplimiento de las prioridades de salud pública de la dimensión gestión diferencial de poblaciones vulnerables
</t>
  </si>
  <si>
    <t>A 2019 mantener en cero la tasa de mortalidad por IRA</t>
  </si>
  <si>
    <t>Tasa de mortalidad por IRA</t>
  </si>
  <si>
    <t>PROGRAMA: DIMENSION TRASVERSAL GESTION DE LA SALUD PUBLICA</t>
  </si>
  <si>
    <t>Seguimiento al gasto público social como herramienta para alcanzar los resultados en salud</t>
  </si>
  <si>
    <t>Total Recursos Ejecutados</t>
  </si>
  <si>
    <t>Seguimiento al 100% de los recursos asignados al Plan de Salud Publica Colectiva y el cumplimiento de las metas propuestas del PIC.</t>
  </si>
  <si>
    <t>Total De Reccursos Ejecutados / Total de Recursos Asigandos</t>
  </si>
  <si>
    <t>Aplicación, incorporación y seguimiento a los resultados en salud de las estrategias de primera infancia, infancia y adolescencia, definidas en el Plan Decenal de Salud Pública PDSP y en los planes territoriales de salud</t>
  </si>
  <si>
    <t>Numero de Estrategias Cumplicadas / Total Estrategias  Programadas</t>
  </si>
  <si>
    <t xml:space="preserve">Hacer Viligancia y Seguimiento al 100% de las actividades, estrategias y programas elaborados y contratados </t>
  </si>
  <si>
    <t>% de Cumplimiento / % esperado</t>
  </si>
  <si>
    <t xml:space="preserve">  OTROS GASTOS DEL SECTOR SALUD</t>
  </si>
  <si>
    <t>100% de cumplimiento de los objetivos de la Salud en el Municipio</t>
  </si>
  <si>
    <t>Numero de metas de salud alcanzadas / sobre numeros de metas de salud planteadas en el Plan de Desarrollo</t>
  </si>
  <si>
    <t>Elaborarcion y ejecucion de programas de Apoyo y complemento para la garantizar de la prestacion de los servicios de salud, Tales como Construcion, mejoramiento o dotacion de peustos de salud, entre otros.</t>
  </si>
  <si>
    <t>Total Propramas y proyectos Ejecutados / total Programas y Proyectos realizados</t>
  </si>
  <si>
    <t>Diseñar Proyecto para el Mantenimietno, construccion o dotacion de los puestos de salud del Municipio.
Diseñar otros Proyectos de Apoyo y Complemento al Secror para para garantizar el goce de los servicios de salud</t>
  </si>
  <si>
    <t>Diseñar otros Proyectos de Apoyo y Complemento al Secror para para garantizar el goce de los servicios de salud</t>
  </si>
  <si>
    <t>TIPO META</t>
  </si>
  <si>
    <t>ODS</t>
  </si>
  <si>
    <t>CodSec</t>
  </si>
  <si>
    <t>DEPENDENCIAS</t>
  </si>
  <si>
    <t xml:space="preserve">Reducción </t>
  </si>
  <si>
    <t>A.2</t>
  </si>
  <si>
    <t>3. Salud y Bienestar</t>
  </si>
  <si>
    <t>Comisaría de Familia</t>
  </si>
  <si>
    <t>Desarrollo Rural/Agropecuario</t>
  </si>
  <si>
    <t>A.11</t>
  </si>
  <si>
    <t>13. Acción por el clima</t>
  </si>
  <si>
    <t>14. Vida submarina</t>
  </si>
  <si>
    <t>17. Alianzas para lograr los objetivos</t>
  </si>
  <si>
    <t>PLAN DE DESARROLLO  "EL CAMBIO LO HACEMOS TODOS  2016-2019"
PLANES DE ACCION VIGENCIA 2017</t>
  </si>
  <si>
    <t>se hn entregado a la fecha 1203 kit escolares</t>
  </si>
  <si>
    <t xml:space="preserve">MARZO </t>
  </si>
  <si>
    <t>ABRL</t>
  </si>
  <si>
    <t>ya se realizó  el Primer desembolso (50%) a las 18  Instituciones Educativas</t>
  </si>
  <si>
    <t>3 de marzo</t>
  </si>
  <si>
    <t>rubro: 230102065       fuente: 220101 y 220103</t>
  </si>
  <si>
    <t>mejoramiento a  nueve (9 ) I.E (sede Laderas,el salado,cedro,  fátima,la palma, sede panorama, sede bajo rico, bajo rico, san martin, carmen de la plata).</t>
  </si>
  <si>
    <t>se cuenta con el CDP N° 2017000295  para la construcción de cinco aulas( dos en las I.E Yu Luucx sede principal, dos en la I.E Villalosada sede Principal y una en la I.E Cansarrocines sede Bajo Getzen ).  Julio 15.  Se encuentra e proceso de contratación.  oCT. 7:  4 aulas del Jorge Eduardo</t>
  </si>
  <si>
    <t>Rubro:23010202            fuente: 220103</t>
  </si>
  <si>
    <t>se cuenta con el CDP N° 2017000153  para la construccion del Restaurante Escoalr I.E Técnico Agrícola</t>
  </si>
  <si>
    <t>Rubro:22010202        fuente: 220101</t>
  </si>
  <si>
    <t>se cuenta con el CDP N°2017000186 Mejoamiento de aulas I.E Cansarrocines sede Laderas; CDP N° 2017000187 mejoramiento Bateria Santaria I.E el Salado sede ppal; CDP 2017000188 mejoramiento bat sanitaria Sede el cedro; CDP 2017000189 Encerramiento ITA sede Ppal; CDP 2017000191 mej.bat sanitaria Sede La Palma; CDP 2017000192 mej bat sanitaria Sede Panorama; CDP 2017000193 const placa polidep sede La Esmeralda; CDP 2017000194 Mejor de techos y polideportivo sede Bajo Rico; CDP 2017000200 const gaviones I.E San Miguel; CDP 2017000199 Bat Sani Sede Getzen; CDP2017000198 Const polide sede Cabuyal; CDP 2017000202 Sede la Morena, CDP 2017000219 Placa Polid Sede palestina; CDP 2017000220 gaviones,filtros y cunetas sede el Tablón; CDP2017000221 Bajo Retiro; CDP 2017000222 Mejoramiento sede san martin; CDP2017000246 mej Techo sede El carmen de la Plata, CDP2017000299 Const canchas sintetica y cubierta I.E San Sebastian; CDP 2017000296 Const Gaviones I.E Gallego ; CDP 2017000293 Placa Polid  sede la Mesa; CDP2017000294 Const Baterias I.E San Vicente</t>
  </si>
  <si>
    <t xml:space="preserve">febrero </t>
  </si>
  <si>
    <t>RUBRO: 23010202   FUENTE: 220101- 220103 - 3001</t>
  </si>
  <si>
    <t>Octub. 7:   Se entrego a Planeación el proyecto Const. III Etapa Colg. S. Sebastian</t>
  </si>
  <si>
    <r>
      <rPr>
        <sz val="10"/>
        <rFont val="Arial"/>
        <family val="2"/>
      </rPr>
      <t>7 Oct.  17</t>
    </r>
    <r>
      <rPr>
        <sz val="10"/>
        <color rgb="FFFF0000"/>
        <rFont val="Arial"/>
        <family val="2"/>
      </rPr>
      <t xml:space="preserve">: </t>
    </r>
    <r>
      <rPr>
        <sz val="10"/>
        <color rgb="FF000000"/>
        <rFont val="Arial"/>
        <family val="2"/>
      </rPr>
      <t xml:space="preserve"> I.E. cuentas con la escuela para padres.</t>
    </r>
  </si>
  <si>
    <t>27 DE ENERO BRIGADA EDUCATIVA PARQUE GARCIA ROVIRA</t>
  </si>
  <si>
    <t>se realizó la primera reuníon para dar la viabilidad de activación de la JUME</t>
  </si>
  <si>
    <t>31/09/2017</t>
  </si>
  <si>
    <r>
      <t xml:space="preserve">se inicio con el proceso de entrega de tabletas según convenio interadministrativo 2016-216. </t>
    </r>
    <r>
      <rPr>
        <sz val="10"/>
        <color rgb="FFFF0000"/>
        <rFont val="Arial"/>
        <family val="2"/>
      </rPr>
      <t xml:space="preserve"> Oct. 7:  Se ctan con 11 IE con conectividad pto vive digital con computadores para educar. </t>
    </r>
  </si>
  <si>
    <t>Octub. 7:  Se realizó en la IE Misael Pastrana la primera ruedad de emprendimiento con el apoyo de C.Cio, SENA, Cfliar, UDR, COOFISAN, USCO, UNAD</t>
  </si>
  <si>
    <t xml:space="preserve">se solicito el 23 de septiembre al secretario de gobierno, establecer junto con el enlace de victimas el listado de niños que se encontraran fuera del sistema educativo, con el fin de garantizarles el derecho a la educacion </t>
  </si>
  <si>
    <t xml:space="preserve">se realizò  capacitación de orientación vocaciones con el apoyo de la USCO , UNAD y ESAR </t>
  </si>
  <si>
    <r>
      <rPr>
        <sz val="10"/>
        <color rgb="FFFF0000"/>
        <rFont val="Arial"/>
        <family val="2"/>
      </rPr>
      <t xml:space="preserve">  </t>
    </r>
    <r>
      <rPr>
        <sz val="10"/>
        <rFont val="Arial"/>
        <family val="2"/>
      </rPr>
      <t>Se firmo conv. De cooperación entre el Minist. TIC-Dpto-Mpio No. 216-16 para entrega de tabletas a I.E.</t>
    </r>
  </si>
  <si>
    <t>94010201 F. 7301001
23010205  F. 220101</t>
  </si>
  <si>
    <t>se giraron los recursos de gratuidad a las I.E DEL MUNICIPIO</t>
  </si>
  <si>
    <t>RUBRO 230103 FUENTE220201</t>
  </si>
  <si>
    <t>Oct. 7:  Se realizó capact. A docentes en educación xa la paz el 22 de agosto</t>
  </si>
  <si>
    <t>23010208 F. 220101</t>
  </si>
  <si>
    <t>Se realizò contrato con los tres editores para fortalecer los resultados de las pruebas saber en las 18 I.E</t>
  </si>
  <si>
    <t>23010205 F.  220101</t>
  </si>
  <si>
    <t xml:space="preserve">Oct.7:  Se realizo foro educativo "Educac. Xa la Paz" el 22 agot. Con </t>
  </si>
  <si>
    <t>23010208  F. 22010203</t>
  </si>
  <si>
    <t>Oct. 7:  Se tiene conv. Con la ESAP  y pend. De firma con UNAD y OSCO.</t>
  </si>
  <si>
    <t>Se esta haciendo la eleccion de las personas ue haràn parte de la JUME</t>
  </si>
  <si>
    <t>Oct. 7:  Villa Andes "Produc.cafe Especial:  Misael P. "Sotfware y sistema".  Sta Lucia "Turismo".  Marillac "…  ITA "… San Sebastian "…</t>
  </si>
  <si>
    <t>El SENA en la actualidad no cuenta con los recursos para realizar mas articulaciones con las I.E</t>
  </si>
  <si>
    <t>Oct. 7:  Se viene realizando con la Sria Educación Dptal en el M.P. Atención niños sordos"</t>
  </si>
  <si>
    <t xml:space="preserve">Oct. 7.  Se ha realizado con apoyo ESE S.Sebastian capact. A las 18 I.E. en embarzo a temprana edad. </t>
  </si>
  <si>
    <t>Se reviso la base de datos de los niños reportados por trabajo infantil a la comisaria de familia</t>
  </si>
  <si>
    <t>Se realizó apoyo a la USCO con la realizacion de pares academicos para la solicitud de apertura de facultd. Economia y Admon con el prog. De tecnol. En G.Fciera a Dista</t>
  </si>
  <si>
    <t>SE REALIZO CONVENIO CONLA ESAP</t>
  </si>
  <si>
    <t xml:space="preserve">Se cuenta con el SIMCTI </t>
  </si>
  <si>
    <t>01 fbereo 2017</t>
  </si>
  <si>
    <t>Oct. 7.  Se cta con la partic. De 14 IE con 33 proyectos</t>
  </si>
  <si>
    <t>Oct. 7.  Se viene ejecutando en M.Pastrana, ITA y Luis Car. Trujillo</t>
  </si>
  <si>
    <t xml:space="preserve">se realizó la solicitud del certificado de disponibilidad presupuestal para aunar esfuerzos enel fortalecimiento del programa de alimeentacion escolar a través de la estretegia bolsa común.  Oct. 7.  Se realizó la transf. Al Dpto para cofinanciar el Serv. de restaurante escolar. </t>
  </si>
  <si>
    <t>230102102  F. 2101</t>
  </si>
  <si>
    <t>se adjudico contrato a dotaciones tecniocas S.A</t>
  </si>
  <si>
    <t>RUBRO2301021012</t>
  </si>
  <si>
    <t>se realizó el proceso de licitación y está en espera de firma delcontrato.  Oct. 7.  Se firmó contrato 164/2017 con Consorcio La Plata 2017.</t>
  </si>
  <si>
    <t>23010207 F. 220101</t>
  </si>
  <si>
    <t xml:space="preserve">FORTALECIMIENTO A PROGRAMA DE  ESCUELAS DE FORMACION ARTISITICA Y CULTURAL EN LA PLATA, HUILA, CENTRO ORIENTE            </t>
  </si>
  <si>
    <t xml:space="preserve">A LA FECHA SE ENCUENTRAN VINCULADOS 800 EN LOS DIERENTES TALLERES DE DANZA, MUSICA, PREBANDA, BANDA, BANDA MARCIAL, TEATRO Y ELABORACION DE INSTRUMENTOS </t>
  </si>
  <si>
    <t>RUBRO:230501
FUENTE: 120401</t>
  </si>
  <si>
    <t>SE SOLCITO A SECRETARIA DEPARTAMENTAL DE CULTURA CAPACITACIÓNES A FORMADORES ARTISTICOS EN ESPERA DE LA FECHA DE LAS MISMAS.</t>
  </si>
  <si>
    <t>SE IMPLEMENTO PROGRAMADE FORMACIÓN ARTISTCA Y CULTUAL APOYADO CON INSTRUCTORES DE DANZA, MUSICA, TEATRO, ELABORACION DE INSTRUMENTOSTIPICOS BANDA MARCIAL</t>
  </si>
  <si>
    <t>RUBRO:230501-030501
FUENTE: 120401-230301</t>
  </si>
  <si>
    <t>CONVENIO FONDO MIXTO DE CULTURA.  Julio 15.  Se conformó grupo de vigias de la "Corporación Cultural covalongas" con representantes del Mpio de La Plata, aprobado por Vigias Nacional el 9 de junio 2017; se esta adelantando nueva conformación del grupo vigias por la academia de danzas Expresarte y Nemesis.</t>
  </si>
  <si>
    <t>RUBRO: 230503
FUENTE: 260405</t>
  </si>
  <si>
    <t>SE REALIZARA EN EL SEGUNDO SEMESTRE MEDIANTE CAMARA DE COMERCIO LA SOLICITUD DE CAPACITACIONES PARA LOS GRUPOS CULTURALES DEL MUNICIPIO.</t>
  </si>
  <si>
    <t>SE PRESENTO PROYECTO PARA LA  CULTURAL TELEFONIA CELULAR., Proyecto “Sek Buy”,  iva telefonia celular Y   PROYECTO DE PATRIMONIO CULTURAL E INMATERIAL EL FESTIVAL FOLCLORICO Y SAMPEDRINO ANTE EL RECURSO IVA DE LA TELEFONIA CELULAR</t>
  </si>
  <si>
    <t>RUBRO:230501
FUENTE: 260301</t>
  </si>
  <si>
    <t>SE APOYO EN LAS FIESTAS PATRONALES DE SAN SEBASTIAN, CELEBRACIÓN DIA DE LA MUJER, Y SE APOYO  EL DIA DEL NIÑO, EL CUMPLEAÑOS DE LA PLATA-</t>
  </si>
  <si>
    <t>GESTIÓN</t>
  </si>
  <si>
    <t>Intercambio cultural del grupo de danzas expresarte al departamento de Nariño, participacion de los grupos de danzas kitchue, cachiripary en el Municipio de la plata.</t>
  </si>
  <si>
    <t xml:space="preserve"> LA CELEBRACIÓN DEL DIA DELNIÑO, AL IGUAL SE ESTA BRINDANDO TALLERES  A LA PRIMERA INFANCIA EN EL PROGRAMA CULTIVARTE.</t>
  </si>
  <si>
    <t>RUBRO: 230501-230501-
FUENTE:230301</t>
  </si>
  <si>
    <t xml:space="preserve">SE PRESENTO PROYECTO PARA DECLARAR PATRIMONIO CULTURAL E INMATERIAL EL FESTIVAL FOLCLORICO Y SAMPEDRINO ANTE EL RECURSO IVA DE LA TELEFONIA CELULAR EN ESPERA DE LA VIABILIDAD </t>
  </si>
  <si>
    <t xml:space="preserve">SE RELIZO LA VERSION DEL FESTIVAL FOLCLORICO Y SAMPEDRINO DEL MUNICIPIO DE LA PLATA </t>
  </si>
  <si>
    <t xml:space="preserve">SE REALIZARON LAS PEÑAS CULTURALES EN  EL CENTRO POBLADO DE SAN ANDRES, EN EL BARRIO PRIMERO DE MAYO, EN EL BARRIO LA LIBERTAD Y EN EL BATALLÓIN BITER No. 9 EN LOS  MESES DE MAYO, JUNIO Y JULIO </t>
  </si>
  <si>
    <t>DOTACION CON DESTINO A LA ESCUELA ARTISTICA Y CULTURAL PARAISO FOLCLORICO DEL HUILA Y ESCUELA DE BANDA SANTA CECILIA DEL MUNICIPIO DE LA PLATA</t>
  </si>
  <si>
    <t>RUBRO:230507
FUENTE: 260301</t>
  </si>
  <si>
    <t xml:space="preserve">SE VINCULARON LAS 80  PERSONAS EN EL PROGRAMA MUSICAL  DE BANDAS, COROS, MUSICA TRADICIONAL CON APOYO LOGISTICO Y DE PERSONAL </t>
  </si>
  <si>
    <t>RUBRO:230508
FUENTE:260301</t>
  </si>
  <si>
    <t xml:space="preserve">SE REALIZARA EN EL MES DE JUNIO EL APOYO CULTURAL DE LOS GRUPOS ETNICOS </t>
  </si>
  <si>
    <t>SE REALIZO APOYO A DIFERESNTES GRUPOS ARTISTICOS Y CULTURALES DEL MUNICIPIO,  AGRUPACIONES FOLCLORICAS, LOS CUALES APORTARON AL FORMENTO DE LA CULTURA LOCAL, MEDIANTE SUS DIFERENTES EXPRESIONES EN ESCENARIO Y EN LAS CALLES DEL MUNICIPIO DE LA PLATA.</t>
  </si>
  <si>
    <t xml:space="preserve">SE REALIZO ACUERDO EN DONDE SE INSTITUCIONALIZAN LAS FIESTAS DEL CENTRO DE POBLADO DE BELEN </t>
  </si>
  <si>
    <t>SE CONTRATO LOS SERVICIOS PERIODISTICOS EN EL MES DE JUNIO PARA LA DIFUSION DE LAS DIFERENTES ACTIVIDADES CULTURALES DE LA VERSION 60 DEL FESTIVAL FOLCLORICO Y SAMPEDRINO DEL MUNICIPIO DE LA PLATA.</t>
  </si>
  <si>
    <t>23050602 F. 120404</t>
  </si>
  <si>
    <t xml:space="preserve">50 PERSONAS VINCULADAS EN LA REALIZACIÓN DE ACTIVIDADES DE PROMOCIÓN DE LECTURA </t>
  </si>
  <si>
    <t>RUBRO:23050602
FUENTE:120412</t>
  </si>
  <si>
    <t>SE ESTA HACIENDO LA GESTIÓN PARA EL FUNCIONAMIENTO DE ESTOS PUNTOS PILOTOS DE INTERNET.  Julio 15.  Biblioteca, Marillac,  San Sebastián, LUDoteca cultivarte</t>
  </si>
  <si>
    <t>VIGENCIAS FUTURAS PARA LA EJECUCIÓN DE, CONVENIO DE ALIANZA PUBLICO- PRIVADA CULTIVARTE No. 021-2016</t>
  </si>
  <si>
    <t>RUBRO: 23050602
FUENTE:120404</t>
  </si>
  <si>
    <t xml:space="preserve">SE ESTA REALIZANDO CAPACITACION DE FORMACION A BIBLIOTECARIOS DE FORMA VIRTUAL UN  DIPLOMADO DE LAS TIC 2017 DEDE EL 1 DE ABRIL HASTA 1 DE JUNIO DICTADO POR EL SISTEMA NACIONAL DE BIBLIOTECAS.  Julio 15.   Se capacitó al bibliotecaria de la I.E. Marillac </t>
  </si>
  <si>
    <t xml:space="preserve">SE REALIZARA BIBLIOTECA MOVIL EN LA INSTITUCION EDUCATIVA YULUX SEDE THALAGA, INSTITUCION EDUCATIVA DE BELEN, INSTITUCION GALLEGO, INSTITUCION EDUCATIVA VILLA LOSADA; EN LA ZONA URBANA INSTITUCION TECNICO AGRICOLA SEDE PARA EL MES DE ABRIL DEL 17 AL 20.   JUlio.  Se ejecutó según lo programado </t>
  </si>
  <si>
    <t>23050602 F. 120412</t>
  </si>
  <si>
    <t xml:space="preserve">SE REALIZo PROGRAMA DE BIBLIOTECA PARA LA PRIMERA INFANCIA JUGANDO APRENDO, </t>
  </si>
  <si>
    <t>RUBRO:23050602
FUENTE:120404-120412</t>
  </si>
  <si>
    <t xml:space="preserve">SE PEDIRA EL CDP EN EL SEGUNDO SEMESTRE. Julio.  Se hizo mantenimiento a la sala de lectura infantil  y juegos de la biblioteca municipal. </t>
  </si>
  <si>
    <t xml:space="preserve">21120211 F. 110101 </t>
  </si>
  <si>
    <t>o,33</t>
  </si>
  <si>
    <t xml:space="preserve">APOYO A ESCUELAS DE FORMACION DEPORTIVAS DEL MUNICIPIO DE LA PLATA, HUILA, CENTRO ORIENTE                                                                                                                                                                     </t>
  </si>
  <si>
    <t>se viene adelantando una investigacion para la actualizacion del plan local del deporte</t>
  </si>
  <si>
    <t>Gestion</t>
  </si>
  <si>
    <t>Julio 15. Se elaboro el proyecto denominado "Adecuación complejo Villa Olimpica" y fue aprobado.   ($1.115.000.00).  Esta a la espera de iniciar  etapa precontractual</t>
  </si>
  <si>
    <t xml:space="preserve">se realizo el contrato n.424 de 2016 cuyo objeto es la constuccion de las cubiertas polideportivo vereda san andres,alto rico y pedro maria ramires, esta en proceso de inicio de construccion  se realizo el contrato 365 de 2016 cuyo objeton es la contrucion de la cubierta en el centro poblado de san vicente (terminada) </t>
  </si>
  <si>
    <t>rubro 230402 fuente 260203,3002,y rubro 230402 , fuente 8120101</t>
  </si>
  <si>
    <t>se realizó contratodeprestación de servicios N° 202 apoyo al mantenimientodel polideportivo el pomo, villa olimpica y camilo torres.</t>
  </si>
  <si>
    <t>rubro230402</t>
  </si>
  <si>
    <t xml:space="preserve">se realizara un parque biosaludable en la villa olimpica </t>
  </si>
  <si>
    <t>fuente 260201</t>
  </si>
  <si>
    <t>se realizo un parque infantil denominado parque de la infancia</t>
  </si>
  <si>
    <t>Se realizo el apoyo al campeonato de tejo libre en la cacha el jardin el dia 12 de febrero con la participacion de 16 equipos.</t>
  </si>
  <si>
    <t>se realizo el dia 05 de octubre una olimpiada con personas en situacion de discapacidad</t>
  </si>
  <si>
    <t>Rubro 230405 fuente 260203</t>
  </si>
  <si>
    <t>Se esta realizando el apoyo con un instructor para la realizacion de actividades fisicas a la pobacion adulto mayor de nuestro municipio</t>
  </si>
  <si>
    <t>Rubro 230405 fuente 260201</t>
  </si>
  <si>
    <t>Apoyo ala escuelas de formacion deportiva:villa san sebastian, escuela de formacion san francisco,escuela de formacion santa marta,escuela de formacion san andres.</t>
  </si>
  <si>
    <t>Rubro230405/ 230401   fuente260201y 121101</t>
  </si>
  <si>
    <t>se realizo el acompañamiento alos deportistas de nuestro municipio que nos representaron en los juegos intercolegiados superate en el municipio de rivera</t>
  </si>
  <si>
    <t>Rubro 230401   fuente260201</t>
  </si>
  <si>
    <t>se solicito la disponivilidad presupuestal por un valor de $10.000 millones con el fin de realizar la compra de materiales.</t>
  </si>
  <si>
    <t>se presento al INDERHUILA el proyecto denominado "OLIMPIADAS CAMPESINAS EN EL MUNICIPIO DE LA PLATA" por un valor de 45.859.028 donde ya fue aprobado y se encuentra en legalizacion del convenio. Se viene adelantando las olimpiadas campesinas en las veredas: el tablon,alto sanisidro, bajo sanisidro, potreritos, nueva irlanda el cedro, moscopany el choco</t>
  </si>
  <si>
    <r>
      <t xml:space="preserve">se realizó elcampeonato libre en elbariio </t>
    </r>
    <r>
      <rPr>
        <sz val="10"/>
        <color rgb="FFC00000"/>
        <rFont val="Arial"/>
        <family val="2"/>
      </rPr>
      <t>lalibertad</t>
    </r>
    <r>
      <rPr>
        <sz val="10"/>
        <color rgb="FF000000"/>
        <rFont val="Arial"/>
        <family val="2"/>
      </rPr>
      <t xml:space="preserve"> con la participacion de 17 equipos de todo elmunicipio de la plata el día 30 de mayo ffestival deportivo en el pomo con la participacion de 6 escuelas deportivas del sector rural y urbano del municipio. se realizo la copa claro suroccidente del huila donde se obtuvo la participacion de dos equipos la plata y laargentina . Se realizó el campeonato cenior master con la participación de 9 equipos dicho evento se realizó en lacancha de futbol tijuana, se realizo el covenio n. 065 de 2017 cuyo objeto es la realizacion de las actividades deportivas,copa de futbol villa san sebastian,festival escolar,festival de natacion villa san sebastian,campeonato libre y primera travesia ruta el libertador, todas estas actividades deportivas ya fueron realizadas .</t>
    </r>
  </si>
  <si>
    <t>Rubro 230401   fuente260201 y 121101</t>
  </si>
  <si>
    <t>serealizóelapoyo al club ciclo la plata contrato n° 038 de 2017 conelobjeto realización delavalida sur occidente del huila con laparticipavion de 194 ciclistas del país</t>
  </si>
  <si>
    <t>se realizo la capacitacion internacional "POR LA INCLUCION PLATEÑA" esta capacitacion se desarrollo el dia 15 de septiembre en la secretaria de Educacion Cultura Deporte Y Turismo. Se realizara el dia 23 de septiembre la capacitacion " EN DEPORTE SOCIAL COMUNITARIO" Dirigido a los presidentes de juntas y  lideres deportivos del sector rural del municipio.</t>
  </si>
  <si>
    <t>Rubro 230401   fuente 111201</t>
  </si>
  <si>
    <t>se realizará el 10,11,y 12 de julio los juego intercolegiados superte municipal con lapartipacion de 15 IE para la realización de esta actividad se frmo convenio N° 033 OBJETO: PRESTACION DE SERVICIOS Y APOYO A JUEGOS INTERCOLEGIADOS FASE MUNICIPAL</t>
  </si>
  <si>
    <t>Se realizo los juegos por la sana convivencia ciudadana en el barrio la libertad desde el 15 de febrero al 01 de abril dirigida a todo la poblacion de nuestro municipio.</t>
  </si>
  <si>
    <t>MAURICIO LEGARDA GONZLAEZ</t>
  </si>
  <si>
    <t>MEJORAMIENTO Y CONST. VIVIENDA DE I.S. PARA PERSONAS VULNERABLES Y DE POBREZA EXTREMA EN EL MPIO LA PLATA</t>
  </si>
  <si>
    <t>EJECUTADO POR DPTO.   RECURSOS NO INGRESAN PTTO MPIO</t>
  </si>
  <si>
    <t xml:space="preserve">Presesentacion proyecto de acuerdo para la creación de los barrios.  Julio 15.  Barrios Villa Milena (elaborando desenglobe de viviendas) , Guamito (Titulando viviendas), Reforma, Mercedes y San Isidro (Elaborando desenglobe de viviendas para proceder a titular). </t>
  </si>
  <si>
    <t xml:space="preserve">ADECUACIÓN PARQUE GARCIA ROVIRA  EN EL MUNICIPIO DE LA PLATA, HUILA                                                                                                                                                                                           </t>
  </si>
  <si>
    <t>.Se realizó diseño y proyecto, se solicitó cdp, se inició proceso contractual para la "Ampliación Parque Custodio Garcia Rovira". Julio 15:  Se ejecutó Obras Parque.    Igualmente 4800 M2 del Parque Infantil Matadero</t>
  </si>
  <si>
    <t xml:space="preserve">Recursos Equipamiento y Primera Infancia. </t>
  </si>
  <si>
    <t>.Concertar con entidades financiera
.Convocar comunidad</t>
  </si>
  <si>
    <t>Se esta a la espera realizar una reunión oen Bogotá con las partes.  Julio15:  El Minist. De Vvienda Adjudico contrato a la cñia Briñez para la constr. De 150  VIP.    Esta en proceso de formulación proyecto para 200 viviendas progr. "MI CASA YA".   Respeto COMFACA:  Se reinicia ejecución en septiembre. Se encuentra pendiente terminación y entrega de 155 viviendas</t>
  </si>
  <si>
    <t xml:space="preserve">AMPLIACIÓN DE LA COBERTURA, MEJORAR LA CALIDAD Y GARANTIZAR LA CONTINUIDAD DEL SERVICIO DE AGUA POTABLE A LA  POBLACIÓN DEL MUNICIPIO DE LA PLATA, HUILA                                                                                                      </t>
  </si>
  <si>
    <t>Aprobado mediante resolución 1137 de mayo 2 de 2016</t>
  </si>
  <si>
    <t xml:space="preserve">Tanque elevado y const, metros Nuevos horizontes </t>
  </si>
  <si>
    <t xml:space="preserve">SUBSIDIO PARA LOS ESTRATOS 1 Y 2 DE LOS USUARIOS DEL SERVICIO DE ACUEDUCTO ALCANTARILLADO Y ASEO DEL MUNICIPIO DE LA PLATA, HUILA                                 </t>
  </si>
  <si>
    <t xml:space="preserve">Se mantienen los subsidios con el Municipio de La Plata </t>
  </si>
  <si>
    <t>Carrera 7, cra 5 con cll 5 con cll 5 sur, cll 10A No. 3-24, cra 16B No. 9-03, vía de acceso Batallón, B. Villas de la Hacienda, B . José Dario Ovies, reposiciones con recursos propios.  Reparación red de aducción 12"  6ML</t>
  </si>
  <si>
    <t>. Elaborar proyecto
. Solicitar cdp
. Iniciar proceso contractual de compra de materiales
. Hacer convenio con las JAC para la entrega de materiales.  
Julio 15:  Se encuentra en página SECOP LP Const. acueducto Regional Sta Marta-Birmania.  Beneficia 10  Vdas.  represnenta 400 flias (1751 Habit)
. Hacer supervisión del convenio
. Liquidación convenio</t>
  </si>
  <si>
    <t>.Solicitar el cdp y registro presupuestal
. Solicitar Sria Hacienda hacer la transferencia de los recursos
5 abril/17.  Se solicitó cdp y RP</t>
  </si>
  <si>
    <t xml:space="preserve">IMPLEMENTACIÓN Y GARANTIZACIÓN DE LA AMPLIACIÓN Y COBERTURA DEL SERVICIO DE ALCANTARILLADO Y EL TRATAMIENTO DE AGUAS RESIDUALES DOMESTICA EN EL MUNICIPIO DE LA PLATA, HUILA    </t>
  </si>
  <si>
    <r>
      <rPr>
        <u/>
        <sz val="10"/>
        <color rgb="FF000000"/>
        <rFont val="Arial"/>
        <family val="2"/>
      </rPr>
      <t>5 abril/17</t>
    </r>
    <r>
      <rPr>
        <sz val="10"/>
        <color rgb="FF000000"/>
        <rFont val="Arial"/>
        <family val="2"/>
      </rPr>
      <t>.Convenio CAM y Aguas del Huila</t>
    </r>
  </si>
  <si>
    <t>estudios PTAR San Andrés</t>
  </si>
  <si>
    <t xml:space="preserve">Se construyó en el 2016 mediane convenio 006/2016 con EMSERPLA </t>
  </si>
  <si>
    <r>
      <rPr>
        <u/>
        <sz val="10"/>
        <color rgb="FFFF0000"/>
        <rFont val="Arial"/>
        <family val="2"/>
      </rPr>
      <t>Abril 21</t>
    </r>
    <r>
      <rPr>
        <sz val="10"/>
        <color rgb="FF000000"/>
        <rFont val="Arial"/>
        <family val="2"/>
      </rPr>
      <t xml:space="preserve">.  reposiciones Cll 10 entre Cra 10 y cra 7 , Primero de Mayo, cll 6 con cra 9, Cll 7 con cra 9, cll 8 con cra 9 . </t>
    </r>
    <r>
      <rPr>
        <sz val="10"/>
        <color rgb="FFFF5050"/>
        <rFont val="Arial"/>
        <family val="2"/>
      </rPr>
      <t xml:space="preserve"> </t>
    </r>
    <r>
      <rPr>
        <u/>
        <sz val="10"/>
        <color rgb="FFFF5050"/>
        <rFont val="Arial"/>
        <family val="2"/>
      </rPr>
      <t>Mayo</t>
    </r>
    <r>
      <rPr>
        <sz val="10"/>
        <color rgb="FF000000"/>
        <rFont val="Arial"/>
        <family val="2"/>
      </rPr>
      <t xml:space="preserve">. Reposición carrera 1  con cll 8 , 2ML de tubería 6” pvc,Reconstrucción parte superior de los pozos de alcantarillado de aguas residuales. </t>
    </r>
    <r>
      <rPr>
        <u/>
        <sz val="10"/>
        <color rgb="FFFF0000"/>
        <rFont val="Arial"/>
        <family val="2"/>
      </rPr>
      <t xml:space="preserve">Junio. </t>
    </r>
    <r>
      <rPr>
        <sz val="10"/>
        <color theme="1"/>
        <rFont val="Arial"/>
        <family val="2"/>
      </rPr>
      <t xml:space="preserve">Etapa precontractual- convenio 049 Optimización de algunos tramos alcantarillado, Barrio la Floresta, Eudes, Villas de la Hacienda, Jardín, Jordán, villa Manzanares y Centro Poblado de Belén  </t>
    </r>
  </si>
  <si>
    <t xml:space="preserve">  julio 15.  FONVIVIENDA:  48 mjtos urbanos,Aprobado para iniciar contratación.  89 Mjto rural, aprobado en espera aprobac. nacional.  98 Mtos urbanos en ejeeución.  32 Resguardo Gaitana en Ejecución.  28 Mjto Rural, ejecución. 23 Mjto Rural ejecución. </t>
  </si>
  <si>
    <t xml:space="preserve">convenio 012 de 2017 para el manejo de proyecto de Reciclaje </t>
  </si>
  <si>
    <t xml:space="preserve">. Solicitar cdp
. Iniciar proceso contractual  (convenio interadministrativo) con EMSERPLA
. Realizar acta de transferencia.  Hacer acta de inicio.
JULIO 15.  Cda 15 días Belén. Cada mes Gallego, Villalosada y San Andres. Y permanente Sta Leticia, Monserrate y S Vicente.
</t>
  </si>
  <si>
    <t>liquidacion biorganico</t>
  </si>
  <si>
    <t xml:space="preserve">IMPLEMENTACIÓN DE PLANES, ESTRATEGIAS Y PROGRAMAS EN ATENCION A NIÑOS, NIÑAS Y ADOLECENTES LA PLATA, HUILA, CENTRO ORIENTE       </t>
  </si>
  <si>
    <t xml:space="preserve">1. CDI
2. Modalidad familiar
3. Zona Rural
4. Fuerza del cambio
Nov. 21.  23 marzo (vda Florida) 18 Julio Fuerza de cambio
5 Abril.  23 marzo se realizó una brigada integral en la vda La Florida
</t>
  </si>
  <si>
    <t>231803 F 260401(1235500)</t>
  </si>
  <si>
    <t>Se solicitará acompañamiento del ICBF, ESE, Hospital S. Antonio, Sría D. Social para conformación mesa de trabajo y presenar proyecto de acuerdo ante Concejo Municipal.  Nov. 21.  Se encuentra en proceso de diagnóstico</t>
  </si>
  <si>
    <t xml:space="preserve">1.Se conformará Mesa intersectorial con:  ESE; ICBF; Hospital, Sria DS, e Infancia y Adolescencia.
2.  Analizar diagnostico 
3. Identificar las problemáticas del mpio a través de las entidades que conforman la mesa
4. Seguimiento y verificación a los compromisos pactados x entidades
Abril 5 .  8 febrero se reactivo la mesa interesectorial
</t>
  </si>
  <si>
    <t>231803 F 260401(2647500)</t>
  </si>
  <si>
    <t>Se ubican Niños, Niñas y Adolescentes que se encuentran en situación de inobservancia, amenaza y vulneración de sus derechos, por situaciones de maltrato infantil, abuso sexual, drogadicción, situación de calle. nua en el Hogar de Paso Modalidad Familiar.</t>
  </si>
  <si>
    <t>23140203
F. 110101 (10´)
260401 (14´)</t>
  </si>
  <si>
    <t>231403041
260101 (2310.000)
23140305 f 260401 (</t>
  </si>
  <si>
    <t>Se realizarán en las IE modalidad fliar y CDI del mpio de La Plata, para el mejoramiento de la calidad de vida de los NNA.  Nov. 21.  CDI los Lirios, Marillac, CDI San rafael, IE San Sebastián modalidad familiar.</t>
  </si>
  <si>
    <t xml:space="preserve">1.Articular con entidades las estrategias expuestas por prog. De victimas
2. Hacer campaña radial en emisoras
3. Implementar acciones institucionales dirigido a población en gral en pro de evitar el reclutamiento de NNA. Nov. 21  Emisora, Fuerza Cambio
</t>
  </si>
  <si>
    <t xml:space="preserve">1. Realizar campañas educativas a traves de emisoras
2. Capacitaciones en IE 
3. Campaña a través de la Ruta de cambio.
Nov 21.  Emisora, Capacitaciones en IE El Coral, Marillac, San Rafael, Modalidad Fliar San Sebastian </t>
  </si>
  <si>
    <t>1. Crear mesa de trabajo con ICBF para definir estrategia xa implementar prog. Con rehabilitación, resocialización y protección de NNA.</t>
  </si>
  <si>
    <t>Capacitaciones a la IE urbana y rural.  Nov. 21.  Marillac, Modalidad Fliar, San Sebastian y S. Rafael</t>
  </si>
  <si>
    <t>Articular y realizar seguimiento de verificación a la ESE S. Sebastián en los diferentes progr. Que se adelantan en nutrición y desarrollo.
2. Ofertar a la comunidad una feria nutricional x medio de la estrategia "La fuerza del cambio"</t>
  </si>
  <si>
    <t xml:space="preserve">Por medio de la estrategia "La Fuerza del Cambio"
Abril 5.  Se realizó el 23 de marzo en la vda La Florida. </t>
  </si>
  <si>
    <t>231803 F 260401(1412000)</t>
  </si>
  <si>
    <t>Se dará participación de los consejos a los NNA</t>
  </si>
  <si>
    <t xml:space="preserve">Se realizó el 29 de abril en el polideportivo el Pomo con la participación de instituciones educativas, niños con capacidades educativas diferenciales, Policía, Ejercito, el CDI, ICBF donde asistieron aproximadamente 1.800 niñ@s. </t>
  </si>
  <si>
    <t>Articular con entidades para la organización y realización de la caravana navideña.  Nov Se encuentra en proceso de contratación</t>
  </si>
  <si>
    <t>Se promocionará en las emisoras los derechos de los NNA</t>
  </si>
  <si>
    <t>Arituclar y apoyar la estrategia "No te madures Biche"</t>
  </si>
  <si>
    <t>Realizar 24 operativos de control NNA en los establecimientos de comercio en la zona urbana y rural del mpio, de acuerdo al cronograma establecido</t>
  </si>
  <si>
    <t>231403041  F 260101 (7280000)  231803 F 260401(2647500)</t>
  </si>
  <si>
    <t xml:space="preserve">1. Se realizara 3 operativos en la IE, con el fin de prevenir el consumo de sustancia psicoactivas, incautar y disminuir el porte de armas por partes de los NNA.
2. Brindar Sico educación en las IE en pro de mitigar conductas agresivas en las misma, con acompañamiento de la Policia de Infancia y A. </t>
  </si>
  <si>
    <t>Arituclar con Policia de I y A, ICBF, Minist. Trabajo, personeria y comisaria de flia para la implementación de la campaña de trabajo infantil en los establec. Comerciales (galeria, lavaderos, talleres de mecánica y ornamentación)</t>
  </si>
  <si>
    <t>231402041 F 260401 (8750000) 231803 F 260401(1412000)</t>
  </si>
  <si>
    <t>Se realizaron celebraciónes del  día de la Familia por medio de activadades musicales (concursos de émulos) actividades ludicas de recreacion y deporte y obsequio de herramientas para labores agricolas, insentivando la union familiar, la comunicación asertiva y la participacion en actividades sociales.  Nov. 21.  28 de junio se celebro en Belén</t>
  </si>
  <si>
    <t xml:space="preserve">Se iniciará la contratación del personal necesario, enlaces, para la ejecución de los diferentes programas que hacen parte del sector grupos vulnerables. Nov. 21.  Se realizó una capacitación el 31 de oct. En los enlaces mpales sobre apoyo en atención que presta la comisaria ante la problematica de violencia en el contexto fliar, social y educativo. </t>
  </si>
  <si>
    <t xml:space="preserve">Se Dara inició a la ejecución de la obra, una vez se apruebe la respectiva reserva. </t>
  </si>
  <si>
    <t>JOSE YESID ROA CHARRY / JUVENTUD</t>
  </si>
  <si>
    <t xml:space="preserve">IMPLEMENTACIÓN DE ACCIONES, ACTIVIDADES PARA GARANTIZAR EL ACCESO A TODOS GRUPOS ESPECIALES, JUVENTUDES AL ESTATUTO DE CIUDADANIA JUVENIL EN EL MUNICIPIO DE LA PLATA, HUILA                                                                                  </t>
  </si>
  <si>
    <t>está actualmente funcionando todos los martes de 6:00 pm a 7:00pm. (Está conformada por jóvenes de diferentes organizaciones como personeros estudiantiles de la zona urbana, jóvenes en situación de discapacidad, víctimas, grupos juveniles de las parroquias y fundación ambiente sustentable).</t>
  </si>
  <si>
    <t>231418041                 260401</t>
  </si>
  <si>
    <t>Se tiene programado culminar la actividad el 4 de noviembre de 2017.  Nov. 21.  Se ejecutó  lo programado</t>
  </si>
  <si>
    <t xml:space="preserve">No se ha podido elegir porque es una directriz a nivel Nacional de Colombia joven. Se averiguo e informan que el estatuto de ciudadanía juvenil esta en debate en la corte constitucional donde el 12 de octubre se muestra la primera publicación y posiblemente se hagan en agosto de 2018. Existe un consejo juvenil legalmente constituido en el 2012 y vencio el 31 de diciembre de 2015.   Aunque no existe consejo si esta implementando la plataforma juvenil establecida mediante directriz enviada por la gobernación en conjunto con la personería y empezó a regir el 30 de marzo de 2016.
1 Actividad ejecutada el 25 de junio de 2016 y el 25 de junio de 2017.
Se da cumplimiento con la celebración de la semana de la juventud para el periodo 2016  en el Centro Poblado San Vicente y 2017 en el Centro Poblado San Andrés. 
Se han realizado 3 consejos en el periodo del 2016.
En el periodo 2017 se han realizado 4 consejos.
Se proyecta solicitar ajuste a esta meta para que no sea solo participación sino que exista mayor compromiso de los jóvenes en el tema.
</t>
  </si>
  <si>
    <t>Ejecutada el 25 de junio de 2017</t>
  </si>
  <si>
    <t>Se realizó el 25 de agosto en la institución pastrana borrero en donde se articuló con entidades públicas y privadas como cámara de comercio, UNAD, COMFAMILIAR Y COOFISAM, SENA.   A través de estas instituciones se les brindaba las diferentes opciones para poder desarrollar empresa luego de que se vinculen a la comunidad como SENA o UNIVERSIDAD.</t>
  </si>
  <si>
    <t xml:space="preserve">Se da cumplimiento con la celebración de la semana de la juventud para el periodo 2016  en el Centro Poblado San Vicente y 2017 en el Centro Poblado San Andrés. </t>
  </si>
  <si>
    <t xml:space="preserve">Se han realizado 3 consejos en el periodo del 2016.
En el periodo 2017 se han realizado 4 consejos.
Se proyecta solicitar ajuste a esta meta para que no sea solo participación sino que exista mayor compromiso de los jóvenes en el tema.
</t>
  </si>
  <si>
    <t>En el 2016 y el 2017 se realizó en el marco de la semana de la juventud. En el año 2017 se contó con la participación de 9 personeros de instituciones educativas rurales y 5 urbanas.</t>
  </si>
  <si>
    <t>JOSE YESID ROA CHARRY / MUJER</t>
  </si>
  <si>
    <t xml:space="preserve">IMPLEMENTACIÓN PROGRAMA MUJER PLATEÑA LIDER Y EMPRENDEDORA EN EL MUNICIPIO DE LA PLATA, HUILA                            </t>
  </si>
  <si>
    <t>SE realizo la propuesta, se radicó el proyecto ante el banco de proyectos esperando la aceptación para la ejecución de la estrategia</t>
  </si>
  <si>
    <t>Proyectado para el mes de octubre de 2017.  Se realizó en julio</t>
  </si>
  <si>
    <t>Se está trabajando con el capital semilla y se tiene 21 mujeres.  Se adelanto proceso contractual, en este momento se encuentra en página.  Se entregó insumos para huerta casera, pollos,  en agosto y asesorias</t>
  </si>
  <si>
    <t>Articulado con la UDR a través de los grupos asociativos con quienes se ha adelantado un proceso para el acompañamiento y fortalecimiento de la mujer líder y emprendedora.</t>
  </si>
  <si>
    <t>231405041 f. 260401 (
231405042 f 260101</t>
  </si>
  <si>
    <t xml:space="preserve">
* Capacitación en valores, prevención violencia de género
. Logística para resaltar día de mujer Se realizó  la campaña de prevención  sobre violencia de género, teniendo  en cuenta el fortalecimiento en la capacidad de liderazgo  como mujer plateña.</t>
  </si>
  <si>
    <t xml:space="preserve">Se realizó una sesión en la cual se aprobó la modificación de los estatutos y queda programada la siguiente reunión.  El 5 diiembre se realizo consejo comunitario
</t>
  </si>
  <si>
    <t>Nov. 21.  Se creo la mesa para la implementación de la ruta</t>
  </si>
  <si>
    <t>JOSE YESID ROA CHARRY / ADULTO MAYOR</t>
  </si>
  <si>
    <t xml:space="preserve">IMPLEMENTACION DE  PROGRAMAS PARA PROMOVER LA IGUALDAD DE OPORTUNIDADES Y EL DESARROLLO SOCIAL Y ECONOMICO DEL ADULTO MAYOR EN EL MUNICIPIO DE LA PLATA, HUILA             </t>
  </si>
  <si>
    <t xml:space="preserve">Se realizaron  2 en el 2016 (21 de octubre en el parque principal y el 26 de octubre en el colegio San Sebastián)
En el 2017 se realizó en la casa de la cultura el 16 de marzo con madres líderes de  familias en acción y el 25 de marzo en la vereda la azufrada con mujeres líderes del municipio.
</t>
  </si>
  <si>
    <t>231404041 F</t>
  </si>
  <si>
    <t xml:space="preserve">En el 2016 se realizó el levantamiento del techo, apertura de ventanales.
En el 2017 está en proyecto la instalación del enchape del piso de toda la casa proyectado para los meses de octubre a diciembre.
</t>
  </si>
  <si>
    <t xml:space="preserve">Para el 2016 se realizaron 4 jornadas en CP Gallego y Belén en el mes de mayo y en CP San Andrés y Dos Aguas en julio. Se caracterizaron 460 personas.
Para el 2017 se está Ejecutando diariamente a través de la oficina de adulto mayor. A mayo se cuenta con 260 caracterizaciones. con cortea dic 05 se tiene caracterizadas 171 pesnas mas para un total en el sistema colombia ,mayor de 813 personas, se encuentra en espera pa ra inclusion 171.
</t>
  </si>
  <si>
    <t xml:space="preserve">
En el 2017 en transversal con la ESE San Sebastián y el PIC se están realizando quincenalmente los días martes.Se clausuraron actividades el 05 de dic.se dara suplemento mercados segunda y ultima semana de diciembre.
</t>
  </si>
  <si>
    <t>Se ejecuta dos vecs a la semana  (martes y jueves)</t>
  </si>
  <si>
    <t>Mediante escritura pública la señora ROSAMILTA PEREZ, dono al municipio 2 hectáreas para Se tiene el predio proyectado solicitar un rubro específico para el diseño y construcción de centros de atención al adulto mayor, dado que no existe a la fecha.</t>
  </si>
  <si>
    <t xml:space="preserve">DESARROLLO DE PROGRAMAS PARA ACTIVIDADES FISICAS Y RECREATIVAS DIRIGIDAS A POBLA: DISCAPACITADA Y  ADULTO MAYOR DEL MUNICIPIO DE LA PLATA, HUILA                                     </t>
  </si>
  <si>
    <t xml:space="preserve">Se realizó desde el mes de abril de 2016 con la elaboración de instrumentos típicos con apoyo de la casa de la cultura.
Para el 2017 se desarrolló un curso de macramé, escritura, elaboración de tapetes en retazos (oct-nov)-diciembre 1 de cojines navideños.
</t>
  </si>
  <si>
    <t>Se realizó en agosto y diciembre de 2016 y está programada para el 20 d septiembre y 24 de diciembre de 2017.  Se realizó el día del adulto mayor el 08 de septiembre Y SE PROYECTA CELEBRAR DIA NAVIDAD 15 DIC-2017</t>
  </si>
  <si>
    <t>231404041.  Estampilla adulto mayor</t>
  </si>
  <si>
    <t>En ejecución por medio de la contratación del enlace de adulto mayor desde el 15 de abril de 2016 a la fecha. En 2017 contrato 247 desde 7/7/17 hasta 27/12/17</t>
  </si>
  <si>
    <t>20/01/217</t>
  </si>
  <si>
    <t xml:space="preserve">PARA ELIMINAR </t>
  </si>
  <si>
    <t>JOSE YESID ROA CHARRY / INDIGENA</t>
  </si>
  <si>
    <t>FORTALECIMIENTO DEL PROGRAMAS PARA LOS GRUPOS ESPECIALES EN EL MUNICIPIO DE LA PLATA</t>
  </si>
  <si>
    <t>Se realizó un trueque con las comunidades indigenas en la vda Potrerito</t>
  </si>
  <si>
    <t xml:space="preserve">Se capacitó a la guardia indigena en deberes y derechos </t>
  </si>
  <si>
    <t xml:space="preserve">Se realizó durante la celebración del día de la niñez  se realizó la exposición cultural de danza por el resguardo indígena TALAGA. </t>
  </si>
  <si>
    <t>Se en cuentra en proceso contractual la const, de 2 aulas y mejoramiento bateria sanitara en  Inst. Yuluucx .  Se ejecutó la construcción de las bateria sanitaria en la Inst. Yuluucx 2017</t>
  </si>
  <si>
    <t>JOSE YESID ROA CHARRY / LGTBI</t>
  </si>
  <si>
    <t>* Convocar para entrega ficha caracterización.  Se realizó capacitacion en abril
* Realizar reunión
* Realizar capacitación</t>
  </si>
  <si>
    <t xml:space="preserve">*Convocar reunión.  Se realizó en mayo </t>
  </si>
  <si>
    <t>01/0/8/2017</t>
  </si>
  <si>
    <t>*Elaborar protocolo
*Socializarlo en reunión</t>
  </si>
  <si>
    <t>Se realizaron en coord. Con desarrollo social</t>
  </si>
  <si>
    <t>JOSE YESID ROA CHARRY / DISCAPACIDAD</t>
  </si>
  <si>
    <t xml:space="preserve">APOYO Y ATENCIÓN A LA POBLACIÓN DISCAPACITADA EN EL MUNICIPIO DE LA PLATA, HUILA </t>
  </si>
  <si>
    <t xml:space="preserve">Proyectado para diciembre de 2017.
El seguimiento se hace en convenio con el Comité local de discapacidad.se realizo 24 noviembre por mediodel comité local discapacidad.
</t>
  </si>
  <si>
    <t xml:space="preserve">Julio 21:  24 de Mayo con ICBF.  19 abril en Policia Nal. 16 Marzo con madres lideres de progr. Mas flias en acción </t>
  </si>
  <si>
    <t>231407041   Fuente  SGP Otros sectores 260401, 260402</t>
  </si>
  <si>
    <t>Se celebrará el día de la discapacidad el 3 de diciembre del 2016. Se realizó el 2 de diciembre en la Villa Olimpica</t>
  </si>
  <si>
    <t>231407042 fuente 11201</t>
  </si>
  <si>
    <t>Se inicio proceso contractual para transporte area rural.  Se adjudico el contrato esta para realizar acta de inicio en agosto.   Se realizó durante los días 26, 27 y 28 de septiembre de 2017.</t>
  </si>
  <si>
    <t>Se ensta ejecutando proyecto productivo de ceramica dirigido a la población con discapacidad</t>
  </si>
  <si>
    <t xml:space="preserve">GESTION- SENA.  231407041  Fuente 112001  ($2.301.500) 
260401  (3.974.000) </t>
  </si>
  <si>
    <t>JOSE YESID ROA CHARRY / AFRO</t>
  </si>
  <si>
    <t xml:space="preserve">IMPLEMENTACIÓN DE PLANES, PROGRAMAS Y ESTRATEGIAS EN ATENCION A LA POBLACION AFRO DE LA PLATA, HUILA, CENTRO ORIENTE  </t>
  </si>
  <si>
    <t>15 JULio.  Se realizaron el 22 y  29 de junio.</t>
  </si>
  <si>
    <t>231410 Fuente 260404</t>
  </si>
  <si>
    <t>Se realizó dos mesas de trabajo con la población afro en las fechas de 6 de julio de 2017 y 13 de julio de 2017.</t>
  </si>
  <si>
    <t xml:space="preserve">Se está trabajando con una escuela musical artística con el apoyo de la secretaría de educación, cultura, deporte y turismo. 
Se lleva con el proceso 7 meses y 1 clausura en la elaboración de instrumentos musicales.
</t>
  </si>
  <si>
    <t>Se dio inicio con la caracterización de la población y trabajo con los líderes de las 2 organizaciones que existen en el municipio, y está en proceso el proyecto de elaboración de la política.se tienen dos capacitaciones politica publica 6 y21 junio, realizacion de 6 mesas de trabajo con matrices y ejes y propuestas formuladas por la comunidad afro; socializacion borrador politica publica el 11 agosto comunidad y alcalde, esta en revision para aprobacion y presentar ante concejo municipal.</t>
  </si>
  <si>
    <t xml:space="preserve">Se realizó la elección de madres líderes en la zona rural en julio durante los días 12, 13, 14, 15, 19,21 y 22, en la zona urbana el 16 de julio con las cuales se da apoyo a diferentes grupos de población. </t>
  </si>
  <si>
    <t>23141304
260401</t>
  </si>
  <si>
    <t xml:space="preserve">Se realizó en el 2016 por medio de 4 capacitaciones a las madres para que éstas puedan tener un mejor nivel de vida las cuales se llevaron en convenio con la Secretaría de Desarrollo Social, la Policía Nacional, la ESE San Sebastián.
En el 2017 ya llevamos 3111 madres capacitadas en temas de prevención de sustancias psicoactivas con el apoyo de la policía nacional, enlace de discapacidad. 
</t>
  </si>
  <si>
    <t>JOSE YESID ROA CHARRY / VICTIMAS</t>
  </si>
  <si>
    <t xml:space="preserve">IMPLEMENTACIÓN DE ESTRATEGIAS, PLANES Y PROGRAMAS PARA GARANTIZAR LOS DERECHOS DE LA POBLACION VICTIMAS DEL CONFLICTO ARMADO. LA PLATA, HUILA, CENTRO ORIENTE                                                                                                 </t>
  </si>
  <si>
    <t>231520 Fuente</t>
  </si>
  <si>
    <t xml:space="preserve">231420102 Fuente 110201 (1200000), 112001 (6780000), 260401, 260101
</t>
  </si>
  <si>
    <t>Se realizó el 25 de noviembre y 29 julio de 2018</t>
  </si>
  <si>
    <t>231420106 Fuene 260401</t>
  </si>
  <si>
    <t xml:space="preserve">Se realizaron el </t>
  </si>
  <si>
    <t>Se tiene programada para octubre.  Se realizó el 16 de noviembre</t>
  </si>
  <si>
    <t>231420102
Fuente 260404</t>
  </si>
  <si>
    <t>La última se tiene proyectada para octubre.  NO se realizó por inansistencia de comunidad</t>
  </si>
  <si>
    <t>Ejecutado el 7 de abril en casa cultura</t>
  </si>
  <si>
    <t xml:space="preserve">Se tiene programado para octubre.  Se realizó reunión de orientación xa proceso de restitución de tierras </t>
  </si>
  <si>
    <t>231420102 
Fuente 112001</t>
  </si>
  <si>
    <t>Existe cdp x 5000000 y aporta gobernación .  Se realizó la primera jornada de caracterización del 2 al 10 de diciembre</t>
  </si>
  <si>
    <t>231420107
F. 260401
231420206 F. 260101</t>
  </si>
  <si>
    <t>Se realizaron 5 apoyos funerarios</t>
  </si>
  <si>
    <t>Se tiene programada 3 mercados a finales de octubre.  Se entregaron el 27 de diciembre a 32 familia</t>
  </si>
  <si>
    <t>231420102
F. 260401</t>
  </si>
  <si>
    <t>Realizadas por defensa civil el 13 julio a srvidores publicos y contratistas. 14 Julio a mesa de victimas y 15 julio a C.P. Belen. Tema:  Mina antipersonales.  El 25 de Nov. Se realizó capacitación sobre Const. De paz y resolución de conflictos</t>
  </si>
  <si>
    <t>231420102
260401</t>
  </si>
  <si>
    <t>IMPLEMENTACION DEL PLAN LOCAL DE PRODUCTIVIDAD Y COMPETITIVIDAD DEL MUNICIPIO DE LAPLATA</t>
  </si>
  <si>
    <t>Se realizó diagnostico economico visitando empresas xa recoger información situacion actual sector productivo</t>
  </si>
  <si>
    <t>Se viene trabajando con el SENA y CAMARA DE COMERCIO,  en el adelanto de unos procesos de capacitación para evitar y controlar la informalidad en nuestro municipio.</t>
  </si>
  <si>
    <t xml:space="preserve">
21110304
110101 (7735000)
</t>
  </si>
  <si>
    <t>Se firmaron 3 conv.</t>
  </si>
  <si>
    <t xml:space="preserve">231607
F. 260104 
3002 (22,500,000)
</t>
  </si>
  <si>
    <t>CONVENIO CON EL FONDO MIXTO DE CULTURA PARA LA PROTECCION DEL PATRIMONIO CULTURAL - REALIZAR 2 CAPACITACIONES DE INTERES DEL FORTALECIMIENTO AL SECTOR TURISMO</t>
  </si>
  <si>
    <t>RUBRO:231305
FUENTE:110101</t>
  </si>
  <si>
    <t xml:space="preserve">CONVENIO CON EL FONDO MIXTO DE CULTURA PARA LA PROTECCION DEL PATRIMONIO CULTURAL - Julio.   Se realizo inventario turístico de atractivos con su estado (intervención, recuperación y adecuación) </t>
  </si>
  <si>
    <t xml:space="preserve">CONVENIO CON EL FONDO MIXTO DE CULTURA PARA LA PROTECCION DEL PATRIMONIO CULTURAL - CATEDRA PLAEÑA, inventario, video y patrimonio  </t>
  </si>
  <si>
    <t xml:space="preserve">CONVENIO CON EL FONDO MIXTO DE CULTURA PARA LA PROTECCION DEL PATRIMONIO CULTURAL .  Julio.  Se tiene programada para agosto 18 en la cascada La Azufrada y Q. Museñas </t>
  </si>
  <si>
    <t>GESTION CON EMSERPLA (ECOVIGIAS) Y EMPRESAS</t>
  </si>
  <si>
    <t xml:space="preserve">CONVENIO CON EL FONDO MIXTO DE CULTURA PARA LA PROTECCION DEL PATRIMONIO CULTURAL -.  Julio.  Se capacitó  Hoteleros, restaurantes y gremio transportador. </t>
  </si>
  <si>
    <t>CONVENIO CON EL FONDO MIXTO DE CULTURA PARA LA PROTECCION DEL PATRIMONIO CULTURAL - DISEÑO Y PROMOCION DE REVISTAS, PROMOCION EN LA WEB.  Julio 15.  Se partició en ANATO  (vitrina turística)  en marzo, en Bogotá.  Igualmente se tiene adelantado la impresión del mapa turistico del mpio de La Plata</t>
  </si>
  <si>
    <t>.Se capacitó en IE Marillac, S.Sebastián, Ludoteca y Biblioteca
.Se constituyo centro de investigación y se implementó instalando puntos digitales</t>
  </si>
  <si>
    <t xml:space="preserve">.Se realizaron 2 capacitaciones </t>
  </si>
  <si>
    <t>30/16/2017</t>
  </si>
  <si>
    <t>Se implementó en la IE Marillac y San Sebastián, Biblioteca y Ludoteca</t>
  </si>
  <si>
    <t xml:space="preserve">APOYO AL SECTOR AGROPECUARIO EN LA IMPLEMENTACION DE SISTEMAS PRODUCTIVOS MUNICIPIO DE LA PLATA DEPARTAMENTO DEL HUILA </t>
  </si>
  <si>
    <t>Se realizo el proyecto de establecimiento de 45 HAS de cultivo de Plátano para Mujeres Pertenientes a la Asociación AMURCAFE deL Municipio de la Plata Huila Y tambien fue radicado ante la Secretaria de agricultura El Costo Total Asciende a $286.617.500 de las Cuales el Municipio aportaría $15.261.750, valor solicitado a la Secretaria de Agricultira $137.355.750 y la beneficarias aportan en mano de obra $134.000.000</t>
  </si>
  <si>
    <t>R: 230808     F: 260401</t>
  </si>
  <si>
    <t>SE PRESENTO PROYECTO AL MINISTERIO DE AGRICULTURA PARA LA  IMPLANTACION DE 45 HAS DE PLATANO PARA APOYO AL GRUPO ASOCIATIVO AMURCAFE.</t>
  </si>
  <si>
    <t>INCREMENTO DE LA COMPETITIVIDAD DE LA PRODUCCIÓN AGROPECUARIA DEL MUNICIPIO A TRAVES DE ASISTENCIA TÉCNICA INTEGRAL EN EL AREA AGRICOLA Y PECUARIA EN EL MUNICIPIO DE LA PLATA.</t>
  </si>
  <si>
    <t>Actividad Realizada con el ICA, brindando capacitacion a los zorreros del Municipio de la Plata H.</t>
  </si>
  <si>
    <t>R: 230808 - F: 110101</t>
  </si>
  <si>
    <t xml:space="preserve">Se realiza convenio con CEPASS, y con ello mantener la produccion agricola </t>
  </si>
  <si>
    <t>R: 230808 F: 260401</t>
  </si>
  <si>
    <t xml:space="preserve">AMPLIACION DE LA COMPETITIVIDAD DE LA PRODUCCION AGROPECUARIA A TRAVES DE ASISTENCIA TECNICA INTEGRAL EN EL AREA AGRICOLA Y PECUARIA EN EL MUNICPIO DE LA PLATA </t>
  </si>
  <si>
    <t>Convenio No. 851-2017 entre el Municipio y el Comité de Cafeteros; consistente en PROYECTO DE DESCONTAMINACIÓN EN FUENTES HÍDRICAS, AFECTADAS POR EL BENEFICIO DEL CAFÉ POR MEDIO DE LA UTILIZACIÓN E IMPLEMENTACIÓN DE SISTEMAS MODULARES DE TRATAMIENTO ANAEROBIO (SMTA), EN EL MUNICIPIO DE LA PLATA – DEPARTAMENTO DEL HUILA</t>
  </si>
  <si>
    <t>R: 231008         F: 110102</t>
  </si>
  <si>
    <t>Se realizo apoyo economico a 6 Grupos asociativos de Mujer Rural :ASOCIACION DE AGROCOMERCIAL COFFE MUJERES - AGROCOF, ASOCIACION ASMEQUIDAD DEL MCPIO DE LA PATA PARA LA EQUIDAD DE GENERO, ASOCIACION AMURCAFE, ASOCIACION DE MUJERES CAFETEROS DE VILLA MERCEDES DEL MPIO DE LA PLATA,  ASOCIACION DE MUJERES DEL OCCIDENTE DEL MPIO DE LA PLATA.</t>
  </si>
  <si>
    <t xml:space="preserve">R: 230808       F: 110101 -   260101                </t>
  </si>
  <si>
    <t>ASISTENCIA TECNICA A PRODUCTORES PARA MEJORAR LA PRODUCCION AGROPECUARIA EN EL MUNICIPIO DE LA PLATA HUILA.</t>
  </si>
  <si>
    <t xml:space="preserve">Se realizo el Convenio No. 005-2017 entre el Municipio de la Plata Y ASOMSURCA firmado el dia 28 de febrero de 2016  </t>
  </si>
  <si>
    <t xml:space="preserve">R: 230807 F: 260401 </t>
  </si>
  <si>
    <t xml:space="preserve">Se realizo proceso de compra y Venta Contrato No. 408 - 2017 </t>
  </si>
  <si>
    <t>R: 230808        F: 110101  260404</t>
  </si>
  <si>
    <t>Se realizaron las activiades en el centro de acopio donde se encuentra establecido el Mercado Campesino Maria Elena Cortes</t>
  </si>
  <si>
    <t xml:space="preserve">R: 230808  F: 110101 </t>
  </si>
  <si>
    <t xml:space="preserve">Se realizo las capacitaciones en el Sector con apoyo de Instructores del Sena. </t>
  </si>
  <si>
    <t xml:space="preserve">Dentro del Convenio que se Suscribio con la Asociacion Agroempresarial del Sur Occidente del Departamento del Huila Asomsurca;  sehace necesario la operación y funcionamiento de la Unidades Tecnicas, esta entidad atendera a 250 productores agropecuarios de los cuales para este año se enfocaran en la produccion de productos como frutas, cereales, cacao, oleaginosas,caña panelera, entre otras. </t>
  </si>
  <si>
    <t xml:space="preserve">La capacitacion se realizo el pasado 28 de Junio donde se realizo la  rueda  de negocios, con productores de frutas y cafes especiales del Municipio de la Plata, Paicol, Tesalia y la Argentina </t>
  </si>
  <si>
    <t>230808 F 110101</t>
  </si>
  <si>
    <t xml:space="preserve">Se realizo convenio con ASOMSURCA, No. 39/2017debido al brote de la Fiebre Aftosa en el Pais, se cancelo la Feria Version 177. </t>
  </si>
  <si>
    <t>R.230808 F. 110101</t>
  </si>
  <si>
    <t>PARA EJECUTAR EL 2018</t>
  </si>
  <si>
    <t>APOYO AL SECTOR AGROPECUARIO EN LA IMPLEMENTACION DE SISTEMAS PRODUCTIVOS MUNICIPIO LA PLATA DEPARTAMENTO DEL HUIL A</t>
  </si>
  <si>
    <r>
      <t>Se realizo la formulacion del</t>
    </r>
    <r>
      <rPr>
        <b/>
        <sz val="10"/>
        <rFont val="Arial"/>
        <family val="2"/>
      </rPr>
      <t xml:space="preserve"> </t>
    </r>
    <r>
      <rPr>
        <sz val="10"/>
        <rFont val="Arial"/>
        <family val="2"/>
      </rPr>
      <t>proyecto</t>
    </r>
    <r>
      <rPr>
        <b/>
        <sz val="10"/>
        <rFont val="Arial"/>
        <family val="2"/>
      </rPr>
      <t xml:space="preserve">. "CONSTRUCCION DE UN CENTRO AGROINDUSTRIAL EN EL MUNICIPIO DE LA PLATA MEDIANTE LA ASOCIACION PERTENETES A LA ASOCIACIO DE PRODUCTORES DE CADE DE ALTA CALIDD DEL SUROCCIDENTE DEL HUILA" </t>
    </r>
    <r>
      <rPr>
        <sz val="10"/>
        <rFont val="Arial"/>
        <family val="2"/>
      </rPr>
      <t xml:space="preserve">se encuentra en  tramites con la agencia de Desarrollo Rural. </t>
    </r>
  </si>
  <si>
    <r>
      <t>Se formulo el proyecto  e denominado "A</t>
    </r>
    <r>
      <rPr>
        <b/>
        <sz val="10"/>
        <rFont val="Arial"/>
        <family val="2"/>
      </rPr>
      <t xml:space="preserve">LIANZA PRODUCTIVO DE MORA PARA EL FORTALECIMIENTO AGROINDUSTRIAL"  </t>
    </r>
    <r>
      <rPr>
        <sz val="10"/>
        <rFont val="Arial"/>
        <family val="2"/>
      </rPr>
      <t xml:space="preserve">el cual el municipio aportará Diez Millones de Pesos $5.000,000 en efectivo $5,000,00 en bienes de servicios, de las cuales no se expidió CPD, hasta que el Ministerio de Agricultura no desembolse a ASOMSURCA. dicho proyecto se encuentra en revision con la agencia de desarrollo rural. </t>
    </r>
  </si>
  <si>
    <t>R:230808  F: 110101</t>
  </si>
  <si>
    <t xml:space="preserve">Dichas Jornadas se realizaron en los site centros poblados durante las actividades de la celebracion del dia del Campesinos: las entidades que permanentemente participaron y dieron a conocer sus ofertas son las siguientes:    CONTACTAR, BANCO AGRARIO, COOFISAN Y UTRAHUILCA. </t>
  </si>
  <si>
    <t>R: 230808 - F: 260401</t>
  </si>
  <si>
    <t>“IMPLEMENTACIÓN DE ESTRATEGIAS PLANES Y PROGRAMAS DEL DEPARTAMENTO DE PLANEACIÓN, SANEAMIENTOS BÁSICO, ATENCIÓN DESASTRES, EQUIPAMIENTO, FORTALECIMIENTO INSTITUCIONAL EN EL MUNICIPIO DE LA PLATA HUILA”</t>
  </si>
  <si>
    <r>
      <t xml:space="preserve"> Se realizo la "</t>
    </r>
    <r>
      <rPr>
        <b/>
        <sz val="10"/>
        <rFont val="Arial"/>
        <family val="2"/>
      </rPr>
      <t>ADECUACIÓN Y MEJORAMIENTO DE LA PLAZA CAMPESINA, MEDIANTE LA
CONSTRUCCIÓN DE BATERÍA SANITARIA Y MÓDULOS DE EXHIBICIÓN Y VENTA DE
PRODUCTOS AGRÍCOLAS DEL MUNICIPIO DE LA PLATA"</t>
    </r>
  </si>
  <si>
    <t>R: 231505   F: 121202 - 121203</t>
  </si>
  <si>
    <t>Se apoyo al grupo asocativo las Rosas del Municipio de la Plata en capacitacion y asistencia en adecuacion y elaboracion de  almacigos(350 socios)</t>
  </si>
  <si>
    <t>R. 231008    F: 112001</t>
  </si>
  <si>
    <t>Con la Asociación de Ganaderos de la Plata y Occidente del Huila (Asoganplat), en el municipio de La Plata, se adelanta la construcción e instalación de una planta procesadora de leche ultrapasteurizadora con maquinaria y equipos suficientes para industrializar y comercializar la oferta lechera del suroccidente del departamento.                                                                                                                                                               El valor total del proyecto ascendió a $1.667 millones, de los cuales fueron cofinanciados por la ADR alrededor de $1.200 millones. En diciembre pasado se realizó un primer desembolso por valor de $600 millones, recursos destinados a la contratación de la mano de obra y la maquinaria. El saldo de $613 millones fue desembolsado para cofinanciar el 100% de la maquinaria y la compra de los laboratorios.</t>
  </si>
  <si>
    <t xml:space="preserve">PROYECTO FINACIADO POR LA ADR VALOR DE 1,667 MILLONES DE PESOS </t>
  </si>
  <si>
    <t xml:space="preserve">se realizo proceso de compra y venta Contrato No. 408,donde se beneficiarion 200 personas cada uno de 50 pollos y un bulto de purina.  </t>
  </si>
  <si>
    <t xml:space="preserve">R: 230808 F: 110101- 110102 - 260101 260401                  </t>
  </si>
  <si>
    <t>SE REALIZA PROCESO A PAGINA PARA META 2018</t>
  </si>
  <si>
    <t>se realiza aplazamieto 2019- en 2018 se gestionan recursos.</t>
  </si>
  <si>
    <t>El proyecto, que asciende a $560 millones, de los cuales $500 millones son cofinanciados por la ADR, es adelantando en asocio con la Corporación Centro de Desarrollo Tecnológico de las Pasifloras de Colombia, Cepass, y permitirá fortalecer la productividad frutícola mediante la certificación con Protocolo de Buenas Prácticas Agrícolas (BPA) y registro del Instituto Colombiano Agropecuario (ICA) en el departamento del Huila.                                              El cual beneficiará a 39 familias para impulsar l construccion de un centro de acopia de frutas.</t>
  </si>
  <si>
    <t xml:space="preserve">PROYECTO FINACIADO POR LA ADR VALOR DE 560 MILLONES DE PESOS </t>
  </si>
  <si>
    <t xml:space="preserve">AMPLIACION DE LA COMPETITIVIDAD DE LA PRODUCCION AGROPECUARIA A TRAVES DE AISISTENCIA TECNICA INTEGRAL EN EL AREAL AGRICOLA Y PECUARIA EN EL MUNICIPIO DE LA PLATA </t>
  </si>
  <si>
    <t>SE REALIZO CONVENIO NO. 72 DE 2017 CON INFIHUILA, ESTO CON EL FIN DE DESEMBOLSAR LOS RECURSOS ECONOMICOS A LAS 5 ASOCIONES QUE PARTICIPARON DEL LA CONVOCATORIOA DEL  FOMENTO CONCURSAL DE LA MUJER RURAL EN EL MES DE ABRIL DEL PRESENTE AÑO</t>
  </si>
  <si>
    <t>R: 230808  F: 110101 -260101</t>
  </si>
  <si>
    <t xml:space="preserve">Se realizò la actividad del dia del campesino en el Municipio de la plata el dia1 5 de octubre de 2017.  </t>
  </si>
  <si>
    <t>R: 230808 F: 110101</t>
  </si>
  <si>
    <t>CONSERVACION, PROTECCION, RESTAURACION Y APROVECHAMIENTO DE LOS RECURSOS NATURALES Y MEDIO AMBIENTE EN EL MUNICPIO DE LA PLATA HUILA.</t>
  </si>
  <si>
    <t>Se realizó visita a la vereda San vicente, de las cuales se realizo informe y se encuentra  pendiente revisión del convenio para la ejecución del distrito Riego con la secretaria de agricultura.</t>
  </si>
  <si>
    <t>La Gobernacion del  Huila  y gestion del Riesgo realizaron junto con la Alcaldia de la Plata en el año 2016 la entrega de 15 reservorios los cuales cumplieron con un 80% de las meta para el cuatrenio para esta vigencia (2017) es por ello que para la presente vigencia no se realizaran gestiones para adelantar estos procesos. los cinco restantes se realizaran 2019.</t>
  </si>
  <si>
    <t>Se le realizo la entrega de apoyo a la seguridad alimentaria a 10 pequeños empresarios que trabajan el semalmente en el Mercado Campesino Maria Elena Cortes, para la entrega del apoyo se le solicito una certificacion por parte del Presidente de la JAC.</t>
  </si>
  <si>
    <t xml:space="preserve">Se le realizo la entrega de apoyo a la seguridad alimentaria como incentivo a 10 beneficiarios vulnerables victimas del conflicto armado, para la entrega se le solicito certificado de desplazados. </t>
  </si>
  <si>
    <t>MEJORAMIENTO DE LA TRANSITABILIDAD EN LAS VIAS DEL MUNICIPIO DE LA PLATA HUILA</t>
  </si>
  <si>
    <t>Se realizo reunion socializacion 28 sep 2017, falta adto admon. Mediante el cual se crea el Obsercatorio.</t>
  </si>
  <si>
    <t>Se realizará a través de los medios de comunicación del municipio.  Julio 15.  Se encuentra en etapa contractual para publicidad. Dic. 7  Se contrató pautas publicitarias con global Sterreo, zona latina, y TV local</t>
  </si>
  <si>
    <t xml:space="preserve">. Se inició el proceso contractual para la elaboración del estudio la ubicación e implementación de las zonas azules.  Julio 15.  Pendiente de presentar proyecto acuerdo al Concejo para autorización concesión y tarifas, esta pendiemte firma alcalde para reglamentacion.  Dic. 7  Ya firmo ALcalde la reglamentación se encuentr apendiente la adjudicación </t>
  </si>
  <si>
    <t xml:space="preserve">Se inició el proceso contractual para mantenimiento y actualización de los semaforos del mpio de La Plata e instalación de 2 puntos más, de acuerdo al estudio.  Julio 15.  Se encuentra en etapa contractual </t>
  </si>
  <si>
    <t>001/2017</t>
  </si>
  <si>
    <t xml:space="preserve">27.471.210
</t>
  </si>
  <si>
    <t>realizo 1 en febrero,  1 el 18 de mayo una reunión con el consejo municipal de transporte y las diferentes entidades de este orden. La tercera esta programada en diciembre.   Se realizo el 13 de diciembre</t>
  </si>
  <si>
    <t>0,25</t>
  </si>
  <si>
    <t>Se realizo  mediante redes sociales inicio mes de octubre: secretaria detransito facebook, televizado dos certificaciones.</t>
  </si>
  <si>
    <t>Se va a trasladar las oficinas administrativas del terminal a la Alcaldia Municipal, con el fin de facilitar los trámites. Se realizo la campaña a traves de redes sociales, facebook.</t>
  </si>
  <si>
    <t>.Se solicito el cdp expedido con No. 2017000204 por valor de $62.510.950, para la adquisici´n e instalación de señales de tránsito del area urbana y centros poblados del municipio. se adicion para un tptal de $63.117.100</t>
  </si>
  <si>
    <t xml:space="preserve">$ 63.117.100
</t>
  </si>
  <si>
    <t>Se realizan 2 diarios, a la fecha se tiene un total de 670, en el sector rural se realizo  1 en cp. Belen campaña educativa</t>
  </si>
  <si>
    <t>230916
F. 110105</t>
  </si>
  <si>
    <t>Se contrataron 18 agentes de tránsito con un plazo hasta el 30 de abril, desde el mes de octubre a la fecha 6/12/2017, se tienen 4 con contrato hasta 31/12/2017.</t>
  </si>
  <si>
    <t>Julio 5.   Se presentó el Plan a la Superintendencia de Puertos y Transportes para la revisión .  Ya fue revisado y se hicieron observaciones.  Se tiene 2 mese de plazo para corregir las observac. A la fecha 6/12/17 se esta en correccion a las observaciones de la super.</t>
  </si>
  <si>
    <t xml:space="preserve">IMPLEMENTACION DE ESTRATEGIAS PLANES Y PROGRAMAS PARA EL MEJORAMIENTO DE LA RED VIAL RURAL Y URBANA DE LA PLATA HUILA CENTRO ORIENTE </t>
  </si>
  <si>
    <t xml:space="preserve">cambio de filtros de aire, de combustible y cambio de llantas  de la maquinaria pesada del municipio de la plata huila , cambio de llantas           </t>
  </si>
  <si>
    <t xml:space="preserve">invias cedio el puente bajo contrato de comodato se estan haciendo estudios y diseños para los cimientos </t>
  </si>
  <si>
    <t>pavimentacion de las vias urbanas y centros poblados del municipio de la plata huila (proceso contractual). Pavimentacion anillo vial doña ana julia 10446,99 m2</t>
  </si>
  <si>
    <t>230906 (110101=10,000,000)(110102=30,000,000)(260104=70,200,000)(260404=8,000,000)(260405=10,483,000)</t>
  </si>
  <si>
    <t>Se está realizando la identificación de los sectores a intervenir, para destinar recursos e inicar proceso contractual en el segundo semestre del año.</t>
  </si>
  <si>
    <t xml:space="preserve">se estan realizando manteniemientos con recebo y perfilada y adicionalmente se estan habilitando las vias terciarias por derrumbes ocasionados por ola invernal </t>
  </si>
  <si>
    <t>construccion 1050 metros lineales de placa huella en convenio con el comité de cafeteros (EN EJECUCION)</t>
  </si>
  <si>
    <t>230901 (110201=22,954,422)(260104=6,000,000)(260404=74,654,018)</t>
  </si>
  <si>
    <t xml:space="preserve">se van a construir 10 alcantarillas en convenio con el comité de cafeteros (proceso contractual) y 2 en convenio con la vereda de Santa Marta </t>
  </si>
  <si>
    <t>230901 (110101=16391560)</t>
  </si>
  <si>
    <t>contruccion de box culvert en convenio con comité de cafeteros,  (EN EJEUCION)… Mantenimiento y mejoramiento del puente el salado… puente INVIAS</t>
  </si>
  <si>
    <t>230902 (110104=10,537,121)(110103=13,406,056)(260101=12,797,829)(260401=26,209,194)(260404=37,050,000)+230901 (110101=56,558,220)(110102=1288599)(110201=9,703,334)(112001=10,146,666)(260101=127,000,000)(260104=200,000)(260401=130,064,886)(260404=15,649,252)(3004=586,825)(9102=802,218)(260401=18,000,000)</t>
  </si>
  <si>
    <t xml:space="preserve">YA SE CUMPLIO LA META </t>
  </si>
  <si>
    <t xml:space="preserve">CONSTRUCCIÓN ELECTRIFICACIÓN URBANA ASOCIACIÓN DE VIVIENDA ANDALUCIA DEL MUNICIPIO DE LA PLATA HUILA                                                       </t>
  </si>
  <si>
    <t>se encuentra en proceso contractual Anda Lucia que veneficia a 48 familias. Proyecto Villa del Cambis que beneficia a 197 familias se encuentra aprobado por sectorial y gobernacion esta pendiente por aprobar .    Se encuentra en ejecución Villa del Cambis con un 30% equivale 59 familias y 100% Andalucia (48 familias)</t>
  </si>
  <si>
    <t>94010104(7301001=209,311,095)</t>
  </si>
  <si>
    <t xml:space="preserve">IMPLEMENTACIÓN DE PROGRAMAS DE MANTENIMIENTO Y/O AMPLIACIÓN ANUAL AL SISTEMA DE ALUMBRADO PÚBLICO EN EL MUNICIPIO DE LA PLATA, HUILA                                      </t>
  </si>
  <si>
    <t xml:space="preserve">se realiza mantenimiento del alumbrado publico </t>
  </si>
  <si>
    <t>23060202 (121001=100,146,232)(121003=38,853,768)</t>
  </si>
  <si>
    <t xml:space="preserve">AMPLIACIÓN Y MANTENIMIENTO DE LA INFRAESTRUCTURA FÍSICA DE LAS DEPENDENCIAS ADMINISTRATIVAS DEL MUNICIPIO Y BIENES DE USO PÚBLICO EN EL MUNICIPIO DE LA PLATA, HUILA                                                                                          </t>
  </si>
  <si>
    <t>. Elaborar proyecto con diseño y presupuesto
. Solicitar presupuesto
. Iniciar proceso contractual
. Ejecución contrato  (Adecuación instalaciones Admon Mpal).  JULIO 15.  Contrato firmado el 13 de julio y Acta inicio el 25 julio.  Plazo: 45 dias
Julio 15.  Sea realizó contratación para mtto edificio municipal.  Se firmó acta de inicio 
. Supervisión contrato</t>
  </si>
  <si>
    <t>231503 
260401
2302022324 F. 230301.</t>
  </si>
  <si>
    <t xml:space="preserve">ADECUACIÓN PARQUE GARCIA ROVIRA  EN EL MUNICIPIO DE LA PLATA, HUILA      </t>
  </si>
  <si>
    <t>. Elaborar proyecto con diseño y presupuesto
. Solicitar presupuesto
. Iniciar proceso contractual
. Ejecución contrato  (Mejoramiento Parque Custodio Garcia Rovira).  Julio 15.  Ya se ejecutó contrato mejor. Parque. 
. Supervisión contrato</t>
  </si>
  <si>
    <t>231509
231505</t>
  </si>
  <si>
    <t>. Elaborar proyecto 
.Gestionar recursos
. Presentación proyecto ante Entes Nacionales</t>
  </si>
  <si>
    <t>Se adelanto en el año 2016. Se hizo un trabajo de campo con la busqueda el terreno pero no se cumple con las especificaciones exigidas por la policia, por ende tocaba comprarlo y no se cuenta con el dinero para comprarlo.</t>
  </si>
  <si>
    <t xml:space="preserve">CONSTRUCCIÓN DE CENTRO DE INTEGRACION CIUDADANA DEL MUNICIPIO DE LA PLATA, HUILA                                                                                                                                                                              </t>
  </si>
  <si>
    <t xml:space="preserve">.Elaborar y presentar proyecto ante DPS.   Julio 15. Se encuentra pliegos definitivos para contratación esta para adjudicación 15 de agosto.   Y plazo 60 días
. </t>
  </si>
  <si>
    <t>CARLOS ANDRES PUYO</t>
  </si>
  <si>
    <t>Tiene cdp x vr. $1.653.000.000. se encuentra vializado por Gobernación.   Esta pendiente viaiblidad por Ministerior Salud</t>
  </si>
  <si>
    <t xml:space="preserve">. Identificar el lote a adquirir
. Disponer los recursos (adicionar) y solicitar cdp
.Iniciar proceso de compra
</t>
  </si>
  <si>
    <t>.  Solicitar al Ministerio de Educación la sesión del lote (13 hás frente al ITA), con el vo.bo. De la Institción Educativa
. Donarlo al SENA para la construccion del Tecnoparque</t>
  </si>
  <si>
    <t xml:space="preserve">IMPLEMENTACIÓN DE PLANES Y PROGRAMAS PARA EL FORTALECIMIENTO INSTITUCIONAL DEL MUNICIPIO DE LA PLATA HUILA, CENTRO ORIENTE       </t>
  </si>
  <si>
    <t>21110304 F. 110101 (7735000)
21110301 F. 110101, 112001
231701 260402
21110304 f 110101</t>
  </si>
  <si>
    <t>21110301 F. 110101</t>
  </si>
  <si>
    <t>231701 F. 260402</t>
  </si>
  <si>
    <t>. Solicitar autorización Concejo Mpal, para crédito
. Gestionar crédito ante entidades bancarias
. Solicitar cdp
. Iniciar proceso contractual
. Supervisión ejecución contrato</t>
  </si>
  <si>
    <t>. Se firmo convenio con la ESAP
.Se tiene un diagnostico elaborado por la ESAP</t>
  </si>
  <si>
    <t>Se han realizado 2 apoyos de capact.,  x ESAP y Contraloria Gral para generar conocimiento normativo y practico xa ejercicio de sus funciones</t>
  </si>
  <si>
    <t>231701
110101
260402</t>
  </si>
  <si>
    <t>. Solicitar autorización Concejo Mpal, para crédito
. Gestionar crédito ante entidades bancarias
. Solicitar cdp
. Iniciar proceso contractual.    Julio 15.  
Julio 15.  Concejo Mpal Aprobo autorización 
. Supervisión ejecución contrato</t>
  </si>
  <si>
    <t>.Publicar Plan de Acción pág. Web mpio
.solicitar oficinas informe sobre ejecución plan de acción
. Hacer seguimiento con lo reportado por oficinas
.Publicarlo en pag. Web</t>
  </si>
  <si>
    <t>funcionamiento</t>
  </si>
  <si>
    <t>Se hizo compra de equipos con almacen entregados a Desarrollo Social y Hacienda en diciembre de 2016. se está gestionando la compra de software para el servidor.  Se mejoró servidores de sotfware, se compro impresoras, computadores y se mejoro red en hacienda.</t>
  </si>
  <si>
    <t>231702
110102</t>
  </si>
  <si>
    <t xml:space="preserve">Se cerraron NC del 2016 con auditoria de seguimiento.
Seguimiento procesos </t>
  </si>
  <si>
    <t>01/07/207</t>
  </si>
  <si>
    <t>Julio 15.  Almacen adelanto proceso de recolección para dar de baja de equipo.  Se eta buscando empresa certificada para que se recicle.</t>
  </si>
  <si>
    <t>.Solicitar a Srias seguimiento ejecución plan de acción
.Hacer evaluación de la información y evaluar ejecución plan de acción
.Elaborar informe rendición de cuentas
.Presentarlo en consejo de gobierno
Julio 15.  Se hizo seguimiento en marzo y se esta haciendo con corte a 30 de jnio, se publicará pág. 
.Remitir informe a Sistemas para la publicación en pag. web</t>
  </si>
  <si>
    <t xml:space="preserve">En el 2017 se adicionó en el SUIT 79 actividades para dar cumplimiento 89% con respecto respecto al 46% del año 2016. </t>
  </si>
  <si>
    <t>Se realizo desde control interno</t>
  </si>
  <si>
    <t>231707
F. 260401 (12,922,000)
260404 (2,229,500)</t>
  </si>
  <si>
    <t>Se articuló por ley mediante los decretos 648 de 2017 y 649 de 2017 el cual se vera reflejado en el reporte de la plataforma FURAT que se empieza a implementar en la cuenta del 2017 en el año 2018.</t>
  </si>
  <si>
    <t>Julio.  Se expide resolución No. 40.02.03-363  Por la cual se implementa la  politica cero papel del mpio de La Plata.</t>
  </si>
  <si>
    <t>Se dono para C.Salud de Monserrate</t>
  </si>
  <si>
    <t xml:space="preserve">FORTALECIMIENTO DE PROCESOS PARA EL DESAROLLO COMUNITARIO DEL MUNICIPIO DE LA PLATA, HUILA, CENTRO ORIENTE        </t>
  </si>
  <si>
    <t>16 de diciembre celebracion dia de la accion comunal con 130 presidentes jac.</t>
  </si>
  <si>
    <t>01/03/207</t>
  </si>
  <si>
    <t>231601 F. 260401</t>
  </si>
  <si>
    <t>.  Se capacitó el 25 de febrero "Solución de conflictos, código de policía, tratamiento de agua potable y conformación de núcleos de paz.
Dirigda por la Policía Nacional, Empresa de Agua Brasilera Flowar y por el Pdte del Consejo Mpal de Paz</t>
  </si>
  <si>
    <t xml:space="preserve">. Se Programaró para el 25 de febrero en Casa de Cultura
. Se invitaron a todos los lideres de JAC, acueductos regionales,  e Indigenas, vía telefónica
. Se contó con la participación de 280 personas más medios de comunicación y secretarios de despacho
</t>
  </si>
  <si>
    <t>Julio 19.  Se realizó capaciación en normatividad comunal, manejo contable y tributario y veeduria ciudadana dirigido a tereseros y srios de JAC los días 11 y 12 mayo</t>
  </si>
  <si>
    <t>231601 F.. 110101</t>
  </si>
  <si>
    <t>Se firmo conv. Ministerio de las TIC para "Implement- de promoción de las TIC, mediante instalación, puesta en funcionamiento, habilitac.  Mtto de espacios accesos gratuitos al internet a través zona Wiffi</t>
  </si>
  <si>
    <t>el 1 y 2 de diciembre se capacitaro a integrantes de juntas de accion comunal del area urbana y rural.</t>
  </si>
  <si>
    <t>PLAN DE SEGURIDAD PARA LA PRESERVCION DEL ORDEN PUBLICO EN EL MPIO DE LA PLATA
FORTALECER LA MOVILIDAD Y TECNOLOGIA Y DEL CUERPO TECNICO DE INVESTIGACION DEL MPIO DE LA PLATA</t>
  </si>
  <si>
    <t>Se dio cumplimiento a la const. Del centro de mando adelantado en el Batallon Bitter 09 de reentrenamiento y se suministró combustible para ejercito y Cti x 30 millones</t>
  </si>
  <si>
    <t xml:space="preserve">Esta realizado el estudio previo, y se radico en jurídica para que se realice la publicación en página y se continue el proceso.  Se compraron impresoras que facilita la elaboraci´n del informe </t>
  </si>
  <si>
    <t xml:space="preserve">1. Elaborar cronograma
2. Ejecutar cronograma
3. En Julio solicitar la nueva calibración. </t>
  </si>
  <si>
    <t>231418041 F 260401 (2594667)
231402041 (1273008) + 2083333</t>
  </si>
  <si>
    <t>No se ha podido realizar el convenio y está apoyandose con la prestacion del servicio de ellos con el suministro de alimentación.</t>
  </si>
  <si>
    <t>Se esta haciendo la compra de mobiliarios, equipo electronico y dotación por un valor de 900.000.000 apuntandole a mayor presencia en zona rural, al CTI  se le entrega a mobiliarios para incentivar a que la gente denuncie. Se compra una báscula para poder dar cobertura y/o control al material incautado.  Se encuentra en ejecución</t>
  </si>
  <si>
    <t>Ya se tiene todo el proceso y está radicado en oficina de jurídica para continuar con la compra.  Se encuentra en ejecución</t>
  </si>
  <si>
    <t>El plan está enfocado a la atencion de la comunidad por medio de cuadrantes en lo que se proyecto la etapa precontractual para la adquisición de un minibus para atención de la población de infancia y adolescencia, 1 DUSTER incluida dentro del modelo del cuadrante comunitario para mas acercamiento de la poblacion que se encuentra en riesgo de seguridad. Adicionalmente se gestionó con la Gobernación del Huila, la adquisición de un CAI móvil y 6 motos las cuales fueron recibidas en julio del 2017.  Compra Duster, MIni bus y camioneta doble cabina 4x4  Policía y CTI</t>
  </si>
  <si>
    <t>En articulación con la comisaria, personeria, policia de infancia se realizará el plan desarme en IE y barrios del mpio. Nov. 21.   18 abril  (5 I.E. Mpio La Plata) y 24 agosto en San Andres</t>
  </si>
  <si>
    <t xml:space="preserve">Se está gestionando la compra de los elementos que está requiriendo la policia nacional para la implementación.  Se realizo una compra para dotación de elementos de comunicación  Contrato compraventa 396/2017 </t>
  </si>
  <si>
    <t>Se proyectó para realizar en el año 2018.</t>
  </si>
  <si>
    <t>Se realizó un diagnostico del estado de las cámaras para solicitar cdp. Por parte de la gobernación entregan informe de la revisión de las 10 camaras que se comprometen entregando funcionando a finales de septiembre de 2017.</t>
  </si>
  <si>
    <t>En articulación con c. flia, personeria se implementará el programa.  Nov. 21.  Nueva Irlanda el 27 julio.</t>
  </si>
  <si>
    <t>Mediante la estrategia "La Fuerza del cambio" se implementara una campaña para la prevención de violencia intrafamiliar, genero y maltrato infantil</t>
  </si>
  <si>
    <t xml:space="preserve">1. Elaboración y registro del proyecto.
2. Soliciar cotizaciones
3. Solicitar c.d.p.
3. Iniciar precontractual y contractual.  Nov. 21  En proceso de contratación
4. liquidación contrato
</t>
  </si>
  <si>
    <t xml:space="preserve">231809
</t>
  </si>
  <si>
    <t>Se realizará un conv. Interadministrativo con la Cámara de Comercio para fortalecer los programas de conciliadores en equidad.  Nov. 21.  Se realizó conciliaton los días 26,27,28 sept.</t>
  </si>
  <si>
    <t>231807
231402041</t>
  </si>
  <si>
    <t xml:space="preserve">Se realizará una capacitación en mecanismos altrnativos en solución de conflictos dirigidos a los pdtes JAC del mpio.  Nov. 21.  Se capacito a los Pdte JAC en C.P. San Vicente </t>
  </si>
  <si>
    <t>Se tiene establecido el consejo Nacional de Paz y tambien se realizan la invitacion a las instituciiones que brindan seguridad y velan por la pacifica convivencia ciudadana en el municipio haciendolos participes de la toma de decisiones de la solución de los conflictos menores.</t>
  </si>
  <si>
    <t>Se suscribio un convenio de cooperación con el INPEC para la compra de materiales y construcción de unas aulas en el estabblecimieto por un valor de $10.000.000 que se encuentra en proceso de cotizaciones.</t>
  </si>
  <si>
    <t>1 Se solicitará cdp
2. Se iniciara etapa contractual</t>
  </si>
  <si>
    <t>231807 110101</t>
  </si>
  <si>
    <t xml:space="preserve">1. Elaborar cronograma
2. Ejecutar procedimiento. </t>
  </si>
  <si>
    <t>Ejecutar procedimiento</t>
  </si>
  <si>
    <t xml:space="preserve">CONSERVACION, PROTECCION Y RESTAURACION DE MICROCUENCAS, PROTECCION NATURAL DEL MEDIO  AMBIENTE LA IMPLEMENTACION DE PROGRAMAS EDUCATIVOS EN CULTURA AMBIENTAL EN EL MUNICIPIO DE LA PLATA. </t>
  </si>
  <si>
    <t>PARA LA PRESENTE VIGENCIA SE CUMPLIERON CON LAS 10 PREDIOS EN MATERIA DE IMPUESTO PREDIAL, este se cumple el primer semestre de cada año.</t>
  </si>
  <si>
    <t>R: 231008 Fuente 120201</t>
  </si>
  <si>
    <t xml:space="preserve">En el primer trimestre se realizó, la siembra de arboles de la region y reforestacion a las Quebrada Barbillas, Quiebramuelas y los Muertos. Para el mes de septiembre se realizo reforestacion al nacimiento de la quebrada barbillas de la vereda las mercedes </t>
  </si>
  <si>
    <t xml:space="preserve">R: 231008 F: 110101                  </t>
  </si>
  <si>
    <t>CONSERVACION PROTECCION RESTAURACIÓN Y APROVECHAMIENTO DE LOS RECURSOS NATURALES Y MEDIO AMBIENTE EN EL MUNICIPIO DE LA PLATA HUILA.</t>
  </si>
  <si>
    <t>Se realizo el embellecimiento a la ceiba donde se le realizo la adecuaciòn  el 14 y 15 de diciembre de 2017</t>
  </si>
  <si>
    <t xml:space="preserve">R:231011 F:120201 </t>
  </si>
  <si>
    <t xml:space="preserve">PROCESO QUE SE ADELANTA PARA EL 2018 </t>
  </si>
  <si>
    <t>CONSERVACION PROTECCION Y RESTAURACION DE MICROCUENCAS, PROTECCION NATURAL DEL MEDIO AMBIENTE MEDIANTE LA IMPLEMENTACION DE PROGRAMAS EDUCATIVOS EN CULTURA EN CULTURA AMBIENTAL EN EL MUNICIPIO DE LA PLATA.</t>
  </si>
  <si>
    <t>Se realizo reforestacion en la vereda las mercedes donde participo la comunidad, la cual se realizo en el nacimiento de la quebrada barbillas sembrando arboles forestales como cuchiyuyo, caucho y lehero.</t>
  </si>
  <si>
    <t xml:space="preserve">R: 231008 F: 110102                   </t>
  </si>
  <si>
    <t xml:space="preserve">CONSERVACION PROTECCION Y RESTAURACION DE MICROCUENCAS, PROTECCION NATURAL DEL MEDIO AMBIENTE LA IMPLEMENTACION DE PROGRAMAS EDUCATIVOS EN CULTURA AMBIENTAL EN EL MUNICIPIO D ELA PLATA </t>
  </si>
  <si>
    <t>Se realizaran trabajos  mancomunados  con la Instituciones Educativas y entidades del Municipio, esto con el fin de llevar a cabo limpiezas de las fuentes hidircas, separacion en la fuente y la recoleccion de residuos sólidos. Convio no. 40 entre asomsurca y el muniipio apoyo logistico</t>
  </si>
  <si>
    <t>R: 231002 F: 112001</t>
  </si>
  <si>
    <t>Actividades realizadas con Instituciones Educativas, Entidades, Policia, Bomberos, y Ejercito  Nacional.</t>
  </si>
  <si>
    <t>R:231011 F:120201</t>
  </si>
  <si>
    <t xml:space="preserve">Se suscribio el 16 de marzo  Convenio no.009 de 2017 entre Asogacentro y el Municipio de la Plata. </t>
  </si>
  <si>
    <t>R: 230808 F: 260101</t>
  </si>
  <si>
    <t xml:space="preserve">se realizo esta activiada en conjunto con el SENA,  INSITUCIONES EDUCATIVAS, ENLACE DE JUVENTUDES, donde se programaron actividades de la semana ambiental en el mes de septiembre, se realizaron reforestaciones, limpieza a las quebradas, capacitaciones. </t>
  </si>
  <si>
    <t>R: 231008  F: 110101</t>
  </si>
  <si>
    <t>Se realizo la capacitacion en la Plaza de ferias junto con el Instituto Colombiano Agropecuario -ICA; a los zorreros dieños de los Vehiculos de Traccíon animal.</t>
  </si>
  <si>
    <t>R:231005 F: 120201</t>
  </si>
  <si>
    <t xml:space="preserve">se formulo el proyecto para el año 2016, el cual fue radicado en el ministerio de agricultura. </t>
  </si>
  <si>
    <t>se realizo solo la visitas para verificar si los posibles predios cumplen con la normatividad tecnica y ambiental</t>
  </si>
  <si>
    <t>R: 231005 F: 120201</t>
  </si>
  <si>
    <t>para el desarrollo de la Meta se realizaron dos capacitaciones consistente en capacitacion con la intervencion de la comunidad.  Esta se realizo en el cnetro poblado de belen y centro poblado de Monserrate.</t>
  </si>
  <si>
    <t xml:space="preserve">se trabajo con la I. Educativa los Angeles donde se hicieron participes los estudiantes y la comunidad </t>
  </si>
  <si>
    <t xml:space="preserve">APOYO AL SECTOR AGROPECUARIO EN LA IMPLEMENTACION DE SISTEMAS PRODUCTIVOS DEL MUNICIPIO DE LA PLATA DEPARTAMENTO DEL HUILA </t>
  </si>
  <si>
    <t>Se trabajo con los Cinco grupos asociativos de mujer rural-.</t>
  </si>
  <si>
    <t>se cumplio con 40 hornillas mediante entrega que realizò  la gobernacion, se programan 110 para 2018 en donde se suscribira un convenio con com. De cafeteros donde el municipio aportra 50 millones.  Segundo semestre 2018.</t>
  </si>
  <si>
    <t>Se le realizo visita a la vereda el cerrito el el cultivo de granadilla</t>
  </si>
  <si>
    <t>R:230808  F: 260401</t>
  </si>
  <si>
    <t>convenio cooperacion No. 0851-2017: valor $238.623.252: APORTE COMITÉ DE CAFETEROS $131.637.280  - APORTE MUNICPIO $65.399.896 Representados así: $30.000.000 dinero respaldado por CDP No. 2017000241 y $35.399.896 representados en 15 (SMTA 600).</t>
  </si>
  <si>
    <t xml:space="preserve">R: 231008 F: 110102   - 120201                    </t>
  </si>
  <si>
    <t>se realizo embellecimiento a  la ceiba que se encuentra ubicada en la rivera del rio que comunica el puente principal</t>
  </si>
  <si>
    <t>se realizo Dos Compras de Predio:                  1. MARIA LIDIA CUCHUMBE, ubicado en la verda San Vicente, treinta (30 HAS).                2. ALBA LEONOR THOLA, lote denominado "Paraiso" ubicado en agua Bonita del Centro Poblado de Belèn. Treinta y cuatro (34 HAS)</t>
  </si>
  <si>
    <r>
      <rPr>
        <b/>
        <sz val="10"/>
        <color rgb="FF000000"/>
        <rFont val="Arial"/>
        <family val="2"/>
      </rPr>
      <t xml:space="preserve">R: 231009   F: 110101   260101  260102  </t>
    </r>
    <r>
      <rPr>
        <sz val="10"/>
        <color rgb="FF000000"/>
        <rFont val="Arial"/>
        <family val="2"/>
      </rPr>
      <t xml:space="preserve">                      R: 231009  F: 110101   110102   110103   1103  112001 120201</t>
    </r>
  </si>
  <si>
    <t xml:space="preserve">SE REALIZO  la actividad de Esterilización en la vereda LA FLORIDA EN EL MES DE JUNIO EN APOYO DE LA SECRETARIA DE DESARROLLO SOCIAL </t>
  </si>
  <si>
    <t>R: 231008  F: 110102</t>
  </si>
  <si>
    <t xml:space="preserve">SE REALIZO E 14 DE SEPTIEMBRE UNA INSPECCION TEMPORAL No. KKQ 10301 EN EL AREA RURAL, LA CUAL LA VISITA LA VERIFICO LA AGENCIA NACIONAL DE MNERA </t>
  </si>
  <si>
    <t>01 ENRO</t>
  </si>
  <si>
    <t xml:space="preserve">Se realizo el proceo de compra y venta de elementos requeridos para el aislamiento y proteccion de las fuentes hidricas y ecosistemas de gran importancia estrategicas para el municipio de la plata, dicho aislamiento se realizo en predios de la Administracion Municipa de la vereda el Coral  donde no habia elemntos de aislamientos </t>
  </si>
  <si>
    <t>R: 231001 - 231009  F: 120201</t>
  </si>
  <si>
    <t>Se realizo la formulacion del proyecto donde se esta trabajando con la Escuela de la Vereda Los angeles.</t>
  </si>
  <si>
    <t>R: 231008 F: 112001</t>
  </si>
  <si>
    <t xml:space="preserve">Se realizo la campaña de concientizacion en el Centro Polblado de San Vicente el dia 16 de diciembre de 2017 </t>
  </si>
  <si>
    <t xml:space="preserve">Se realizo proceso de Compra y venta de elementos agricolas, para ser entregados a la Escuela Educativa del Centro Poblado de Belen, con el fin de apoyar en la adecuacion e implementación de un vivero forestal. De las cuales se les hace entrega de rastrillo, palas, zapapico, manguera, tanque de 1000 LT, polisombra entre otros. </t>
  </si>
  <si>
    <t>R: 231003  231008   F:110103</t>
  </si>
  <si>
    <t>Se realizo esta actividad con el grupo Asociativo de la Ascofrupaez que se encuentra liderando en el mercado Maria Elena Cortes, con ello se trabajo en el mes de diciembre donde se elaboraron pesebres entreo otros reutilzando lo que utilizan en su trabajo.</t>
  </si>
  <si>
    <t xml:space="preserve">IMPLEMENTACIÓN DE PLANES Y PROGRAMAS PARA LA MITIGACION DEL RIESGO EN EL MUNICIPIO DE LA PLATA, HUILA, CENTRO ORIENTE  </t>
  </si>
  <si>
    <t>. 23 Marzo. Se coordinará con la CAM ejecución del Inventario.  Julio : Se esta adelantando inventario con el apoyo de voluntarios de  bomberos, cruz roja y defensa civil.  Se realizó el censo de las viviendas ubicadas a la rivera del rio la Plata, quebrada los muertos,cuchayaco, Azufrada, quiebramuelas , museñas.  Esta pendiente de censar quebrada zapatero y barbillas.  Igulamente se realizo a las veredas cercanas al rio Aguacatal. ( Tesorito, Acacias, Sauces, Aurora, Cedral)</t>
  </si>
  <si>
    <t xml:space="preserve">23 Marzo.  Se encuentra en ejecución la obra con un avance del 90%, se tiene proyectado entregar la obra en un mes aproximadamente. </t>
  </si>
  <si>
    <t>23 Marzo.   La obra fue terminada en febrero y entregada a la comunidad.  ?????? Averiguar si esta incompleta</t>
  </si>
  <si>
    <t>Se adquirieron 2 radios, 2 antenas, para el  Monitoreo del RioAgucatal, mayor aflunte al rio la Plata</t>
  </si>
  <si>
    <t xml:space="preserve">23 Marzo.  Se solicitará adicionar recursos </t>
  </si>
  <si>
    <t xml:space="preserve">23 Marzo.  Se contrató desde enero a agosto el apoyo técnico adtivo </t>
  </si>
  <si>
    <t>. Solicitar cdp
. Iniciar proceso contractual
.Seguimiento, cancelación actas y liquidación del m ismo.
Marzo 23.  Existe un convenio con el Cuerpo de Bomberos Voluntarios</t>
  </si>
  <si>
    <t>. Solicitar permiso a la IE Pastrana Borrero
Marzo 23.  En este momento se esta solicitando permiso, con el fin de realizar la capacitación en abril, de parte de los Bomberos
Se realizó capacitación a las estudiantes y comunidad de las In.Educativas vda Tesorito y La Acacias. el 2 de agosto sobre socialización del plan de contingencia y simulacro</t>
  </si>
  <si>
    <t>Se realizara de acuerdo a lo programado a nivel nacional</t>
  </si>
  <si>
    <t>Marzo 23.  Se solicitará cdp por $15.114.189 para compra de gaviones.  Julio.  Se adquieron gaviones</t>
  </si>
  <si>
    <t>30/2017</t>
  </si>
  <si>
    <t>231208 F. 260101, 260401</t>
  </si>
  <si>
    <t xml:space="preserve">Se hizo el reconocimiento a </t>
  </si>
  <si>
    <t>PROMOCION DESARROLLO</t>
  </si>
  <si>
    <t>META PROGRAMADA</t>
  </si>
  <si>
    <t>META EJECUTADA</t>
  </si>
  <si>
    <t>RUBRO Y FUENTE</t>
  </si>
  <si>
    <t xml:space="preserve">VALOR </t>
  </si>
  <si>
    <t>CIENCIA Y TECNOLOGIA</t>
  </si>
  <si>
    <t>TABLERO DE CONTROL AVANCE EJECUCION METAS PLAN DESARROLLO VIGENCIA 2017</t>
  </si>
  <si>
    <t>PROGRAMADAS 2017</t>
  </si>
  <si>
    <t>% EJECUCION 2017</t>
  </si>
  <si>
    <t xml:space="preserve">30 % 2017 </t>
  </si>
  <si>
    <t>Secretario</t>
  </si>
  <si>
    <t>JOSE YESID ROA CHARRY / FAMILIAS EN ACCION</t>
  </si>
  <si>
    <t>PLAN DE DESARROLLO  "EL CAMBIO LO HACEMOS TODOS  2016-2019"
PLANES DE ACCION VIGENCIA 2018</t>
  </si>
  <si>
    <t>CODIGO BPIN</t>
  </si>
  <si>
    <t>MEJORAMIENTO  DE LA COBERTURA Y CALIDAD DE LA EDUCACION EN EL MPIO DE LA PLATA HUILA</t>
  </si>
  <si>
    <t>25 de abril se hace entrega de 150 kit escolares a 6 sedes educativas indigenas donacion iglesia d elos santos de los ultimos dìas</t>
  </si>
  <si>
    <t xml:space="preserve">SERVICIOS EDUCATIVOS: Instituciones Educativas Beneficiarias:  18
según resolución N° 40.02.3-495 del 25 de julio de 2018. 
</t>
  </si>
  <si>
    <t>01/02/</t>
  </si>
  <si>
    <t>rubro23010206 fuente220101</t>
  </si>
  <si>
    <t>se encuentra en proceso de licitacion para construcción de la primera fase del colegio de la felicidad</t>
  </si>
  <si>
    <t>02m feb</t>
  </si>
  <si>
    <t>mantenimiento y repqaración de la placa del polideportivo de la I.E EL SALADO sede ppal</t>
  </si>
  <si>
    <t>rubro 23010203 fuente 220101</t>
  </si>
  <si>
    <t>construcción de siete aulas( dos en las I.E Yu Luucx sede principal, dos en la I.E Villalosada sede Principal , una en la I.E Cansarrocines sede Bajo Getzen,  1 San Miguel sede Buenos Aires,  y construcción de un aula I.E las acacias sede alto aurora ). Valor  $ 419.872.778,16  interventoría  $18.196.000; Acacias sede el Cedra; 7 aulas colegio EL Carmelo; 6 San Miguel
Julio 15.  Se encuentra en proceso la construcción de un aula en la IE las Acacias sede el Cedral. 7 aula IE el Carmelo y 6 aulas IE san miguel FFIE Ley 21</t>
  </si>
  <si>
    <t>rubro 23010202 fuente 220103</t>
  </si>
  <si>
    <t xml:space="preserve">Julio 15.  El ITA,  el Carmelo  y  San miguel </t>
  </si>
  <si>
    <t>rubro 23010202 fuente 220101</t>
  </si>
  <si>
    <t>cubierta polideportivo Sede la Reforma CDP 2018000189 Construccion  cerramiento y graderia polideportivo sede santa marta CDP 2018000190, Construccion cerramiento IE salado CDP 2018000303 CDP2018000305,  en Proceso area administrativa, blioteca y sala de profesores ITA CDP 2017000153, Construccion ambientes sede bajo cañada y sede san miguel FFIE</t>
  </si>
  <si>
    <t>23010202 Fuente 200101, 3005, 220103,</t>
  </si>
  <si>
    <t>se entregó a Planeación municipal información para la elaboración del proyecto</t>
  </si>
  <si>
    <t>se realizo acompañamiento en las i.e a las escuelas de padres en las 18 ie, a traves de charlas "manejo de autoridad en el hogar</t>
  </si>
  <si>
    <t>se garantizo la matricula para 124 niños, niñas y jovenes de los grados preescoalr a once y se aperturó dos nuevos grados para sexto</t>
  </si>
  <si>
    <t>ya se eligieron cada uno de los representantes de los diferentes estamentos para la jume y se encuentra en estudio el reglamento interno para su instalacion</t>
  </si>
  <si>
    <t>se realiza la tercera entrega del convenio interadministrativo para 17 sedes educativas</t>
  </si>
  <si>
    <t xml:space="preserve">se esta  realizando con CULTIVARTE y en Banco Davivienda capacitacion en educacion financiera a los estudiantes de la I.E marillac </t>
  </si>
  <si>
    <t>se realiza proceso de inclusion de NNA victimas del conflicto reportados por personeria municipal</t>
  </si>
  <si>
    <t>el 25 de octubre se realiza el proceso de orientacion vocacional para los estudiantes del greado once de las 18 IE Educativas con la SURCOLOMBIANA</t>
  </si>
  <si>
    <t>IMPLEMENTACION DE PROGRAMAS DE CALIDAD EDUCATIVA PARA UN CAMBIO REAL EN MUNICIPIO DE LA PLATA HUILA</t>
  </si>
  <si>
    <t>se doto a 10 sedes educativas con mobiliario con el apoyo de la Iglesia de los santos de los ultimos dìas. Se entregaron 500 ejemplares del libro reminiscencias a las 18 I.e del municipio</t>
  </si>
  <si>
    <t>rubro 23010205 fuente 220101</t>
  </si>
  <si>
    <t xml:space="preserve">Instituciones Educativas Beneficiarias: 17
Valor: $ 1.073.102.182 Según CDP Nº 2018000643 del 25 de JULIO de 201 8.
</t>
  </si>
  <si>
    <t>27 DE JULIO CAPACITACION A DOCENTES, DIRECTIVOS DOCENTES ACTUALIZACION DE MANUAL DE CONVIVENCIA</t>
  </si>
  <si>
    <t>contratacion directa  contrato Nº 152 de 2108 grupo Hernanos Pardo S.A.S</t>
  </si>
  <si>
    <t>rubro 230102005 fuente 22101</t>
  </si>
  <si>
    <t>se han Emitido 225 certificados de descuento segun convnio con la UNAD</t>
  </si>
  <si>
    <t>Se realizo el 1 de noviembre contrato interadtivo 330 con FONCULTURA</t>
  </si>
  <si>
    <t>se realizo DIPLOMADO EN EQUIDAD Y GENERO A DOCENTES DE LAS 18 IE DEL MUNICIPIO</t>
  </si>
  <si>
    <t>GESTION CON GOBERNACION DEL HUILA</t>
  </si>
  <si>
    <t>ESTUDIO QUE VIENE REALIZANDO LA ESAP</t>
  </si>
  <si>
    <t>Se viene apoyando a la i.e Villa Andes "Produc.cafe Especial:  Misael P. "Sotfware y sistema".  Sta Lucia "Turismo".  Marillac "…  ITA "Café especial; "… San Sebastian (sotfware y sistema) "…</t>
  </si>
  <si>
    <t>SOLICITAR ANULACION D ELA META POR NO TENER RECURSOS EL SENA</t>
  </si>
  <si>
    <t>Para Eliminar</t>
  </si>
  <si>
    <t>con el apoyo de la SED se cuenta con dos docentes de apoyo, un tiflologo y tres interpretes de señas</t>
  </si>
  <si>
    <t>el 30 de octubre se realizará con la secretaria de desarrollo social en la IE Villa de los andes campaña contra embarazos a temprana edad</t>
  </si>
  <si>
    <t>se continua con el proceso de restablecimeinto de derechos con el Apoyo de la Comisaria d familia e ICBF a niños reportados por la ie ITA por trabajo infantil.  Se participo en Neiva una de las mejores experiencia en la erradicación de trabajo infantil</t>
  </si>
  <si>
    <t>eliminar meta El Articulo 65 de la Ley 30 de 1992, el numeral 5 del Artículo 24 del Acuerdo 075 de 1994 indican que es competencia del  Consejo Superior Universitario la creación de nuevas facultades o programas en la Universidad SURCOLOMBIANA. La Alcaldía municipal por tanto solo puede sugerir situación que ya se ha hecho en diferentes reuniones, pero dependemos de lo que ellos decidan</t>
  </si>
  <si>
    <t>apoyar a la ESAP n sus procesos de pregrafdo y post grado</t>
  </si>
  <si>
    <t xml:space="preserve">se viene realizando gestiones con la UNAD.  Dic.  Se realizó la primera olimpiada de ingles con las IE zona urbana  y apoyo de la UNAD </t>
  </si>
  <si>
    <t>se viene trabajando con el SIMTIC para la busqueda de apoyo a los semilleros de investigacion que se encuentran en la ie y universidades</t>
  </si>
  <si>
    <t>01 fbereo 2018</t>
  </si>
  <si>
    <t>Se viene realizando apoyo a las  14 IE que vienen realizando los 33 proyectos</t>
  </si>
  <si>
    <t>IMPLEMENTACION DEL PROGRFAMA "TODOS EN EL AULA" LA PLATA HUILA</t>
  </si>
  <si>
    <t>viene Apoyar a las I.E para que continuen su procso de alfabetizacion a traves de los clei y se ha solicitado a la SED la apertura de otros</t>
  </si>
  <si>
    <t>estamos pendientes de la resolucion del valor a girar para la confinanciación a la bolsa comun PAE</t>
  </si>
  <si>
    <t xml:space="preserve">Se realizo entrega de menaje beneficiada 30 sedes educativas </t>
  </si>
  <si>
    <t>contrato de prestacion de servicios Nº 184 SOTRANSVEGA SAS</t>
  </si>
  <si>
    <t>RUBRO 23010207 FUENTE 220101</t>
  </si>
  <si>
    <t>IMPLEMENTACION DEL PROG. CON CULTURA HACEMOS EL CAMBIO EN EL MPIO DE LA PLATA</t>
  </si>
  <si>
    <t>Convocatoria a la participacion en las Escuelas de Formacion Artística y Cultural (danza, musica, teatro, elaboración instrume. Tipicos zona urbana y rural del mpio)</t>
  </si>
  <si>
    <t xml:space="preserve">(1) Diplomado en Dirección de Bandas, otorgados por la Secretaría de Cultura y Turismo Departamental, (1) Diplomado del programa Cultivarte - Davivienda, en la que los instructuctores de las Escuelas de Formación Artística y Cultural participaron con su gestión. </t>
  </si>
  <si>
    <t>(1) Programa primer semestre de Escuela de Formación Artística y Cultural áreas: Danza, Música (Iniciación, Banda Sinfónica, Banda Marcial y Música Tradicional), Teatro, Artesanías. (1) Taller de Formación Musical de la Corporación Sinfónica del Huila otorgado por la Secretaría de Cultural y Turismo Departamental.</t>
  </si>
  <si>
    <t>rubro 230501 fuente 120401</t>
  </si>
  <si>
    <t>El grupo de Vigías del Patrimonio Covalonga es una agrupación autónoma que brinda apoyo a la Secretaría de Educación, Cultura, Deporte y Turismo, según alianza estratégica.</t>
  </si>
  <si>
    <t>(1) a convocatoria de Concertación Departamental, (3) A convocatoria de INC de Ministerio de Cultura, (1) A Plan Nacional de Estímulos del Ministerio de Cultura, (2) Gestión de presentación de proyectos ante la Asociación de Municipios de Montaña en España.</t>
  </si>
  <si>
    <t>Gestión o apoyo artístico para los siguientes eventos: Víspera y cumpleaños de La Plata (Junio 5); Semana Santa 2018 (Abril 13 al 16); Eucaristía del Beato Pedro María Ramirez (Abril 10); "Día Nacional de la memoria y solidaridad con las víctimas (Abril 14)"; Conmemoración del 21 de mayo "Día Internacional de la Diversidad Cultural y Día Nacional de la Afrocolombianidad.</t>
  </si>
  <si>
    <t>(1) 15 Festival de circuitos teatrales por el Huila un gesto de Paz, Mayo: 17, 18 y 24 ; (1) Apoyo a Rondas Clasificatorias al Festival Folclórico de Neiva, Mayo 11; (1) Muestra Cultural Estudiantil 2018, Junio: 13 y 14.</t>
  </si>
  <si>
    <t>rubro 230501 fuente 120401 fuente 260301, 260302</t>
  </si>
  <si>
    <t>Apoyo a programa Cultivarte de Ludoteca - Davivienda</t>
  </si>
  <si>
    <t>rubro 2305</t>
  </si>
  <si>
    <t>Contratación con Fomcultura con el objeto: Garantizar la realización de un proyecto de investigación sobre la identificación del patrimonio cultural y turístico, como soporte para llevar a cabo acciones de salvaguardia y protección a las manisfestaciones culturales consideradas patrimonio cultural inmaterial de las festividades sampedrinas y otros patrimonio culturales y turísticos del municipio de La Plata.</t>
  </si>
  <si>
    <t>rubro 230503 231305 fuente 260301, 260101</t>
  </si>
  <si>
    <t>Gestión y contratación para el desarrollo del 61 Festival Foclórico y Sampedrino del Municipio de La Plata con FUNDACOV Contrato de prestacion de servicion  Nº 210-2018</t>
  </si>
  <si>
    <t>rubro230501 fuente 120401, 120409, 260301, 260302, 260303</t>
  </si>
  <si>
    <t>Aplazado para el año 2019</t>
  </si>
  <si>
    <t>se vinene realizando gestiones con la secretaría Departamental para el Laboratorio Artesanal</t>
  </si>
  <si>
    <t>Se adelanta gestión para la ejecución del proyecto aprobado por el Ministerio de Cultura (con recursos del INC de telefonía movil 2017): "Inventario de Patrimonio Cultural Inmaterial de las expresiones culturales que nutren el Festival Folclórico y Sampedrino del Municipio de La Plata". Que es una medida de salvaguardia el patrimonio cultural</t>
  </si>
  <si>
    <t>Se realizaron las peñas culturales: (1) Vísperas del cumpleaños de La Plata en el Parque Principal del Municipio de La Plata y; (1) en la cancha del Barrio San Isidro. Muestra cultural estudiantil</t>
  </si>
  <si>
    <t>230501 fuente 260301, 260302</t>
  </si>
  <si>
    <t>compra de  corno frances ACEPTACION DE LA OFERTA MINIMA CUANTIA  Nº 211-2018</t>
  </si>
  <si>
    <t>rubro 2305 01  fuente 120401,120409,260301,260302,260303</t>
  </si>
  <si>
    <t>Personas vinculadas a los programas de música en los proceso de iniciación musical, Banda Sinfónica y Música tradicional de la Escuela de Formación Artística y Cultural del Municipio de La Plata. En el que se brinda el aporte a los instructores respectivos.</t>
  </si>
  <si>
    <t>SE VIENE REALIZANDO ESTUDIOS CON LA ESAP</t>
  </si>
  <si>
    <t>Martes 26 de junio, gestión para apoyo al acompañamiento a la candidata de La Plata, en el desfile Reinado Departamental del Bambuco en Neiva. Miércoles 27 de junio, gestión para apoyo al acompañamiento a la candidata de La Plata, en el evento de Coronación Reina Departamental del Bambuco. Jueves 28 junio, gestión para apoyo para participación de agrupación clasificada al Encuentro Departamental de Rajaleñas Infantil "Ulises Charry" del Festival del Bambuco en Neiva. Sábado 30 junio, gestión para apoyo para participación de agrupación clasificada al Encuentro Departamental de Música Andina y Chirimía del Festival del Bambuco en Neiva.</t>
  </si>
  <si>
    <t>Dìa internacional de la afrocolombianidad y celebración del día de La Raza con muestra gastronómica.</t>
  </si>
  <si>
    <t>aportes a artistas destacados y participantes en la version 61 del festival folclorico y san pedrino</t>
  </si>
  <si>
    <t>se realizo acuerdo en el 2017</t>
  </si>
  <si>
    <t xml:space="preserve">Se realizo convenio con Occidente 30 días para la difusión periodistica y  promoción cultural </t>
  </si>
  <si>
    <t>FORMULACION DEL PROGR. CULTURA ONSTRUCTORA DE PAZ EN EL MPIO DE LA PLATA</t>
  </si>
  <si>
    <t>se realizo capacitacion en manejo de las tic  y llaves del saber</t>
  </si>
  <si>
    <t>230501, 23050602</t>
  </si>
  <si>
    <t>se realizo la vinculacion de 2000 personas en promocion de lectura en voz alta, audio cuentos, hora del cuento, leer es mi cuento en la biblioteca, entre otras</t>
  </si>
  <si>
    <t>230501 23050602</t>
  </si>
  <si>
    <t>Acceso a internet en ptos vive digital en 5 IE y 1 parque Garcia Rovira</t>
  </si>
  <si>
    <t>se realizo apoyo de promocion de lectura en la ludoteca de cultivarte</t>
  </si>
  <si>
    <t>el ministerio de cultura a traves de la biblioteca nacional realizo una dotacion de material bibliografico en el año 2018 a la BPSB del miunicipio</t>
  </si>
  <si>
    <t>asisitir a las capacitaciones ofrecidas por la red nacional de bibliotecas publicas del 03 al 05 junio en Pitalito</t>
  </si>
  <si>
    <t>se realizo acompañamiento con el Biblio bus en la i.e de villalosada, liceo moderno, san sebatian</t>
  </si>
  <si>
    <t>se implemento el programa leer es mi cuento con los niños de primera infancia del CDI lirios de plata y con jardines infantiles del municipio de la Plata</t>
  </si>
  <si>
    <t>solictud de cdp, para apoyo de proyecto de finalización de restauración del Templo de San Andres La Plata como BIC del ámbito departamental.</t>
  </si>
  <si>
    <t>FORMULACION PROG. DEPORTE Y RECREACION EN EL MPIO DE LA PLATA</t>
  </si>
  <si>
    <t>Se esta realizando el dianostico de escenarios deportivos del Municipio para la actualizacion del plan local del deporte.</t>
  </si>
  <si>
    <t xml:space="preserve">se  realizo la cuntrucion y aducuacion complejo deportivo villa olimpica mediante contrato n. 350 de 2017. en este contrato se realizo la construcion de la cubierta, construcion de los camerinos, graderias, baterias sanitarias, placa del polideportivo , una enfermeria  para la piscina y baterias sanitarias valor total del contrato 1042284936 </t>
  </si>
  <si>
    <t>rubro 94010206 y 940010105    fuente 7301001</t>
  </si>
  <si>
    <t>rubro 94010106     fuente 7301001 rubro 94010107 fuente 7301001 rubro 231808  fuente 8110101</t>
  </si>
  <si>
    <t xml:space="preserve">se realizo el contrato n° 075 de 2018 cuyo objeto es brindar el  mantenimiento y adecuacion de los escenarios deportivos: Villa olimpica, polideportivo el pomo y polideportivo camilo torres </t>
  </si>
  <si>
    <t>rubro 230402  fuente 260201</t>
  </si>
  <si>
    <t xml:space="preserve">se  realizo la construcion  de un parque viosaludable en la villa olimpica mediante el contrato n° 350 de 2017                       Se realizo la construcion de  un parque biosaludable en el parque de la primera infancia antiguo matadero este parque se construyo con el inderhuila.                     </t>
  </si>
  <si>
    <t xml:space="preserve">Se solicito eliminar por que la meta tambien esta en comisaria </t>
  </si>
  <si>
    <t>Se realizo con el club  LA TAMAL el torne de ULTIMATE FRISBEE SOL CRECIENTE como deporte alternativo en nuestro Municipio de la Plata los dias 10 y 11  de noviembre en la villa olimpica con la participacion de 154 deportistas.</t>
  </si>
  <si>
    <t>Se realizo el festival personas con discapaciodad el dia dos de diciembre en la villa olimpica con la participacion de 65 personas la cual se realizaron diferentes actividades recreativas con la poblacion de inclucion en el Municipio.</t>
  </si>
  <si>
    <t>rubro 230401    fuente 260201,  121101, 1104 y 260404</t>
  </si>
  <si>
    <t>Se  encuentra en ejecucion del proyecto y viavilizacion de los recursos</t>
  </si>
  <si>
    <t>se realizo el contrato n° 080 Y 306 de 2018 quien es  la persona encargada en el municipio de bridar el acompañamiento ala  poblacion adulta mayor en actividad fisica.</t>
  </si>
  <si>
    <t>rubro 230401   fuente 260201  y 121101</t>
  </si>
  <si>
    <t>se ralizo la contratacion de cinco instructores y un apoyo de deportes  con N° de contratos   066/ 071-/ 069/ 070/ 068,  087 Y 285 de 2018 quienes son los encargados de bridar el acompañamiento y apoyo  alas escuelas de formacion  deportivas en: centro poblado de belen, escuela de formacion villa san sebastian, escuela de formacion vereda san francisco, escuela de formacion vereda de getsen, escuela de formacion  la libertad y escula de formacion 7 de agosto.</t>
  </si>
  <si>
    <t>rubro  230405 y 230401   fuente 260201 y 121101</t>
  </si>
  <si>
    <t>FORTALECIMIENTO DEL DPTE PARA LA PREVENCION SOIAL EN EL MPIO DE LA PLATA</t>
  </si>
  <si>
    <t>Se realizo el apoyo a deportistas del municipio la cual nos representaron en la fase departamental de los juegos intercolegiados superate en Rivera donde se les realizo la entrega de uniformes para su buena presentacion de los deportistas</t>
  </si>
  <si>
    <t>Se realizo el apoyo a 60  deportistas del municipio la cual nos representaron en la fase departamental de los juegos intercolegiados superate en Rivera donde se les realizo la entrega de uniformes.</t>
  </si>
  <si>
    <t>Se solicito aplazar la meta por falta de recursos. La meta se cumplia con el recurso de Telefonia movil y mediante circular 0001 del 15 de junio expedida por Coldeportes nos dan aconocer la no asignacion de los recursos.</t>
  </si>
  <si>
    <t>Se realizo un encuentro deportivo con la academia Fc de manizales los dias 17  y 18 de febrero con las categorias sub 15, sub 17 y sub 20 este evento se realizo en la cacha de futbol tiguana.  Se realizo un campeonato treinta horas en la vereda el tablon los dias 17 y 18 marzo con la participacion de 8 equipos de nuestro municipio.  Se relizo una clacica de ciclismo el dia 08 de abril  en nuestro municipio con la participacion de 128 pedalistas en diferentes  categorias.   Se realizo un campeonato intermunicipal con la participacion de 6 equipos lo cual se realizo los partidos en las diferentes zonas de los equipos participantes octeniendo una gran acogida para nuestros deportistas del municipio. Se realizo un campeonato libre en la cancha de futbol de tiguana con una participacion de 6 equipos.    Se realizo el primer  campeonato libre en la villa olimpica obteniendo la participacion de 24 equipos de la zona rural y urbana del Municipio.     Se realizo el primer campeonato de futbol de salon y baloncesto femenino en el C.I.C de la vereda el tablon donde participaron 16 equipos de futbol de salon y 4 de baloncesto femenino.   Se realizo una carrera atletica por los heroes de colombia el dia 14 de octubre la cual fue organizada en convenio con el Ejercito Nacional.   Se realizo los dias 30 y 31 de octubre en el polideportivo el festival escolar con la participacion de 14 I.E del sector urbano y rural del Municio.   Se realizo el dia 12 de noviembre en la villa olimpica una carrera denominada carrera atletica POR TU SALUD la cual participaron niños, niñas, jovenes y adolesentes de nuestro Municipio, inspecion de san marcos y san adolfo del Municipio de Acevedo Huila. Se realizo el dia 2 de diciembre el festival de natacion villa san sebastian con la participacion de 95 deportistas esta activadad se desarrollo en la villa olimpica. Festival de escuelas de formacion deportiva: la actividad se desarrollo el dia 2 de diciembre en la villa olimpica la actividad conto con la participacion 220 deportistas en las edades de 5  a los 17 años.</t>
  </si>
  <si>
    <t>Se realizo el apoyo al club deportivo Independiente con material deportivo, para el fortalecimiento de los procesos formativos  que bienen realizando en el Municipio.</t>
  </si>
  <si>
    <t>Se realizo una de Juzgamiento de actualizacion de baloncesto los dias 28 y 29 de octubre con la participacion de 40 personas entre jovenes y adultos del sector rural y urbano del Municipio.  Se realizo una capacitacion en reglas actuales en futsal los 20, 21 y 22 de julio esta capacitacion se desarrollo en la villa olimpica y casa de la cultura.</t>
  </si>
  <si>
    <t>Se realizo los juegos intercolegiados superate los dias 22, 23 y 24 de mayo con una participacion de 18 I:E y 1958 estudiastes para la realizacion de dicho evento se realizo el contrato n° 188 del 2018 cuyo objeto es: garantizar la realizacion de los juegos intercol,egiados superate fase municipal.</t>
  </si>
  <si>
    <t>rubro 230401 fuente 200201</t>
  </si>
  <si>
    <t>meta cumplida</t>
  </si>
  <si>
    <t xml:space="preserve">Conv. Minist. Vivienda intradomiciliarias.  Fonvivienda </t>
  </si>
  <si>
    <t>Titulación barrio San José, La Reforma, Las Mercedes</t>
  </si>
  <si>
    <t>Espacio público puente vehicular+parques infantiles+Polid.Reforma+Villa Olimpica+Cedro</t>
  </si>
  <si>
    <t>0,9</t>
  </si>
  <si>
    <t>.Convocar  asociaciones vivienda
.Coordinar con entidades financieras</t>
  </si>
  <si>
    <t xml:space="preserve">.Coordinar con FONVIHUILA </t>
  </si>
  <si>
    <t>.Coordinar con Entidades a nivel Dptal y Nacional</t>
  </si>
  <si>
    <t>IMPLEMENTACION DE PROGRAMAS DE CALIDAD DE AGUA PARA UN MUNICIPIO MEJOR EN EL MUNICIPIO DE LA PLATA HUILA</t>
  </si>
  <si>
    <t>Se presento proyecto ante Minist de Vivienda esta en etapa de viabilización</t>
  </si>
  <si>
    <t xml:space="preserve">.Compra insumos contrato Agualimsu
.Contrato bocatomero
</t>
  </si>
  <si>
    <t>Fue presentado el avance en el cumplimiento de metas ante la CAM, el cual fue evaluado en cumplimiento 100% en diciembre</t>
  </si>
  <si>
    <t>Se ejecuto  mediante convenio 006/2018</t>
  </si>
  <si>
    <t>Convenio interadministrativo  No. 001 enero 3/2018</t>
  </si>
  <si>
    <t>30/15/2018</t>
  </si>
  <si>
    <t>.Sensibilización a comunidad contrato 003</t>
  </si>
  <si>
    <t>.Legalización conexiones fraudulentas
.proyecto de vivienda San Sebastián</t>
  </si>
  <si>
    <t>.Reportes x parte lectores a la of. Facturación</t>
  </si>
  <si>
    <t>.Ejecución con contrato 003
.Seguimiento indicador of. Facturación y recaudo</t>
  </si>
  <si>
    <t>Ejecutar proyecto acueducto regional santa marta</t>
  </si>
  <si>
    <t>.Solicitar cdp
.Elaborar acta transferencia</t>
  </si>
  <si>
    <t>MEJORAMIENTO DEL ALCANTARILLADO URBANO Y TRATAMIENTO DE AGUAS RESIDUALES EN EL MUNICIPIO DE LA PLATA HUILA</t>
  </si>
  <si>
    <t>Se presento proyecto ante Ministerio de Vivienda</t>
  </si>
  <si>
    <t>Cordialidd, Estancia, A.S.Sebastian, Belen, Eudes, G.Rovira, Libertad y Monserrate</t>
  </si>
  <si>
    <t>.Legalización conexiones fraudulenta
.Proyec. Vivienda B. San Sebastian</t>
  </si>
  <si>
    <t>Se ejecuto a traves del contrato</t>
  </si>
  <si>
    <t>SERVICIO DE ASEO LA PLATA SIN BASURAS MUNICIPIO DE LA PLATA HUILA</t>
  </si>
  <si>
    <t>Convenio interadministrativo  No. 011/2018</t>
  </si>
  <si>
    <t>.Elaborar convenio
.Ejecutar convenio</t>
  </si>
  <si>
    <t>30/16/2018</t>
  </si>
  <si>
    <t>Se ubican Niños, Niñas y Adolescentes que se encuentran en situación de inobservancia, amenaza y vulneración de sus derechos, por situaciones de maltrato infantil, abuso sexual, drogadicción, situación de calle. en el Hogar de Paso Modalidad Familiar.</t>
  </si>
  <si>
    <t xml:space="preserve">Ejecutada 100% </t>
  </si>
  <si>
    <t>IMPLEMENTACION DEL PROYECTO LOS JOVENES APORTAN AL CAMBIO EN EL MUNICIPIO DE LA PLATA HUILA</t>
  </si>
  <si>
    <t xml:space="preserve">18/04/2018.  Se realizó el 13 de abril mediante 1ra asamblea juvenil </t>
  </si>
  <si>
    <t xml:space="preserve">15/04/2018  Se realizo el 13 de abril mediante primera asamblea juvenil y la segunda se realizó el 21 novie. Casa cultura. </t>
  </si>
  <si>
    <t>Se realizó en articulación casa cultura en parque Custodio G. Rovira el 25 nov. 2018, contr. 281</t>
  </si>
  <si>
    <t xml:space="preserve">se va averiguar con gobernación si es de obligatorio cumplimiento.  Hasta la tarde plazo </t>
  </si>
  <si>
    <t>Se realizó oferta los días 28 y 29 noviembre en articulación con la Sría de Hda en instalac. Cámara Cio</t>
  </si>
  <si>
    <t xml:space="preserve">Se realizó con contrato 337/2018 cdp 2018000853 11/octu/2018.  Vr. 1000000 se ejecuto 2 nov. </t>
  </si>
  <si>
    <t>Se realizó el 21 de diciembre</t>
  </si>
  <si>
    <t>Se realizó con el contrato 337/2018. cdp 2018000853 11 octu/2018</t>
  </si>
  <si>
    <t>.Elaborar proyecto
.Solicita cdp
.Hacer proceso formacón
.Realiación feria</t>
  </si>
  <si>
    <t>18/04/2018. se realizó caminata y capacitación 17 marzo</t>
  </si>
  <si>
    <t xml:space="preserve">Se realizó las 2 sesiones el 11 y 12 diciembre </t>
  </si>
  <si>
    <t>Se realizó jornada sensibiilzación vda Dos Aguas y vdas aledañas el 27 abril.  Igualmente el 14 de mayo a lideres de mas familias en accion zona urbana</t>
  </si>
  <si>
    <t>231404041 F. 120801</t>
  </si>
  <si>
    <t>El proceso se subio a pagina, por no alcanzar el tiempo se bajo pagina y se publicará en el 2019</t>
  </si>
  <si>
    <t>Se realizó drante los meses marz, abril, y mayo en la of. Adulta mayor</t>
  </si>
  <si>
    <t xml:space="preserve">.Desarrollar jornadas a traves PIC
.  </t>
  </si>
  <si>
    <t>30/11/201/</t>
  </si>
  <si>
    <t xml:space="preserve">.Realizar jornadas espacios saludbales los martes y jueves </t>
  </si>
  <si>
    <t xml:space="preserve">.Modificar Acuerdo Estampilla (incluir diseño y constr.) .  Se creo el rubro en el 2018 y se iniciará proceso contractual en el 2019.
</t>
  </si>
  <si>
    <t>Se esta ejecutando con el SENA los dias miercoles de 2 a 5 tarde, recibiendo asesoria en la parte microempresarial</t>
  </si>
  <si>
    <t>.Hacer proyecto
.Solicitar cdp
.Iniciar proceso contractual
.Realizar actividades</t>
  </si>
  <si>
    <t>Se les ofrece almuerzo y cena el dia de adulto mayor y navidad.  Igualmente se les da refrigerio 16 mensuales, en los meses oct, nov. Dic.</t>
  </si>
  <si>
    <t>231409 F. 260401</t>
  </si>
  <si>
    <t>visita tecnica materiales entregados comuniddes indigenas</t>
  </si>
  <si>
    <t>Ceremonia "Recibimiento el SOL año nuevo Andino.  21 junio. Resguardo Juan tama</t>
  </si>
  <si>
    <t>Construcción baterias sanitarias, mantenimiento sede educativa, constr. 2 aulas sede educativa</t>
  </si>
  <si>
    <t xml:space="preserve">Se realizó en casa cultura en coord. Con Sría salud Dptal y Mpal conpoblación indigena y campesina el 1 nov. /2018 </t>
  </si>
  <si>
    <t>Se realiz´11 dic/2018  en Balcones de la Pradera, se hi zo entrega folleto</t>
  </si>
  <si>
    <t xml:space="preserve">Se realizó con el gabinete municipal el 20 Dic en Sala de juntas </t>
  </si>
  <si>
    <t>Se elaboro y e entregao al ing. De calidad para aprobación- el 14 de nov2018</t>
  </si>
  <si>
    <t>mi negoocio YA?????</t>
  </si>
  <si>
    <t>Contrato 140 y 281 F anombre Lida Ximena</t>
  </si>
  <si>
    <t>231407041 F. 110101</t>
  </si>
  <si>
    <t>Contrato No. 131</t>
  </si>
  <si>
    <t>Se declaro desierto el proceso de licitanción para la celebración del dia de discapacidad. Se celebro San Pedrito mediante contrato 209/2018</t>
  </si>
  <si>
    <t>3/12/2018/</t>
  </si>
  <si>
    <t>231404042 F. 110101</t>
  </si>
  <si>
    <t>encargar´na a planeaciónn de estudio</t>
  </si>
  <si>
    <t>En articulacion con el SENA se ralizaron proyectos productivos de artesanias para que la población genere sus propios ingresos  (artesanias en biscocho y elaboración de floreroes en papel mache).  Contrato No. 233.  Yeny</t>
  </si>
  <si>
    <t>231407041 F. 260401</t>
  </si>
  <si>
    <t>Se realizo en Dto 1745, en relación a territorios colectivos 21 Nov. Con cdp 2018000917 x 2,4025, contrt. 341
- 22 Nov. Se realizó la capacitac. En consejos comunitarios</t>
  </si>
  <si>
    <t>Se realizo el analisis de los ejes de la politica publica en marzo. EN oct. Se entrego dcos que contiene priorizacion de probleas y formulación de la politica a la sría de gbno y finalmente se socializó el dcto con Inst. Alcaldia y repres. Legales del Consejo Comunitario, organizac. y lideres con apoyo abogado especialista</t>
  </si>
  <si>
    <t xml:space="preserve">Se apoyo curso de vigilancia a diferente población. La administ. Apoyo con la logistica </t>
  </si>
  <si>
    <t>Se realizará el 15 y 16 mayo. Contrato 181.  Se realizó segunda plenaria 12 y 13 julio, 20 y 21 de sept. Y el 19 y 20 de diciembre</t>
  </si>
  <si>
    <t>231420106, 231420103  F. 110101, 231420203 F 110103
fuent 110101</t>
  </si>
  <si>
    <t>Contrato PS. 126  de 16 enero al 3 de octubre.    Y contrato 329 19 oct al 30 diciembre</t>
  </si>
  <si>
    <t>231420102 F. 110101, 260404 (1500)
Fuente 110101</t>
  </si>
  <si>
    <t>Se realizó el 29 abril en vda Dos Aguas "Jornada de Salud Integral" y el 28 de diciembre de 2018 mediante contrato 181/2018</t>
  </si>
  <si>
    <t>27/0/2018</t>
  </si>
  <si>
    <t>231420102 F. 110101 (2000000); 
Fuente 110101</t>
  </si>
  <si>
    <t>Se participo primer consejo el 26 enero y agosto</t>
  </si>
  <si>
    <t>Se realizaron el 26 diciembre</t>
  </si>
  <si>
    <t>23141202 F.110101</t>
  </si>
  <si>
    <t>EL 19 febrero se enviaron carpetas para expedi.  7 libretas militares</t>
  </si>
  <si>
    <t>30/06/208</t>
  </si>
  <si>
    <t>231420102 110101</t>
  </si>
  <si>
    <t>Convenio 1498/2018  se entregaron 19 unidades productivas el 11 diciembre 2018 en coord. Gobernación, SENA y Unidad xa victimas</t>
  </si>
  <si>
    <t>231420103 Fuente 110101 (15´), 231420203 110105 (5¨)
231420203 F. 110103</t>
  </si>
  <si>
    <t>En programa de vivienda Alto San Sebastán se asignaran 75 viviendas</t>
  </si>
  <si>
    <t>231420102 F 110101</t>
  </si>
  <si>
    <t>Se programa el 5 abril, ultima semana mayo y 30 agosto.  Abril 24:  se realizó el 14 abril conmemoración dia memoria y solidaridad convictimas conflicto armado</t>
  </si>
  <si>
    <t>231420102  F. 110101,
110103</t>
  </si>
  <si>
    <t>11 y 12 enero se llevo acabo con unidad para atención reparación de victi. Jornada especial de atención .  8 al 26 febr. Se apoyo con unidad movil ICBF  se realizó diagnostico psicosocial y nutricional a población desplazada y se termino con mural, 8 de noviembre jornada asistencia en Belén; 21| sept. jronada sensbilización Unid.Restituc. Tierras y Agencia Nal. Tierras</t>
  </si>
  <si>
    <t>Se articulo con SENA y se ofrecieron 4 cursos de gastronomia</t>
  </si>
  <si>
    <t>231420102 F. 260404</t>
  </si>
  <si>
    <t>Se entregó el 2 mayo con un total de 625 hogares</t>
  </si>
  <si>
    <t>Contraro suministro 168/2018 se entregaron 3 cofres funebres y 1 osario</t>
  </si>
  <si>
    <t>23141602  F. 110101 (600.) 231420102 110101 (450,)</t>
  </si>
  <si>
    <t>Es una actividad por demanda y se ejecuta durante la vigencia a la fecha 10 solicitudes que ocmprenden 14 hogares y 40 personas</t>
  </si>
  <si>
    <t xml:space="preserve">231420102 F. 110101, </t>
  </si>
  <si>
    <t>10 Febrero conmemoración dia internac. Contra reclutamiento infantil y 22 abril se hizo cierre primera fase</t>
  </si>
  <si>
    <t>MEJORAMIENTO DEL DESARROLLO ECONOMICO DEL MUNICIPIO DE LA PLATA HUILA</t>
  </si>
  <si>
    <t>. Programar capacitación con Of. Productividad y competitivdad del Huila
. Elaboración Plan local</t>
  </si>
  <si>
    <t>Fase diagnóstico y analisis estuto tributario</t>
  </si>
  <si>
    <t>.Realizar censo y caracteriación
.Elaborar estrategia</t>
  </si>
  <si>
    <t>.Reuniones con entidades
.Elaborar convenio</t>
  </si>
  <si>
    <t>Se ha realizado  seminario con ESAP 20 y 21 marzo "Innovación Organizacional"  113 personas.  "Formulación y Gestión Proyectos " 30 y 31 mayo 62 asistentes. "Feria Escolar" 16 y 17 febrero asistentes 800</t>
  </si>
  <si>
    <t>.suscribir convenios con Cámara de comercio y SENA</t>
  </si>
  <si>
    <t>.Programar cn C.Cio y entidades afines para la realización del evento</t>
  </si>
  <si>
    <t xml:space="preserve">"Agenda Empresarial sector comercio" 51 asistentes. 16 abril  SENA-Ccio.  "Jornada Fortalec. Emprendedor Plateño" Asist: 34  .14 abril. </t>
  </si>
  <si>
    <t>.Coord. Con SENA y C.Cio progr. De formación como taller o seminario con certificación h oras</t>
  </si>
  <si>
    <t xml:space="preserve">8 Marzo  "Micro rueda empleo mujer plateña".  Articulado SENA, Agencia P Empleo. Asist:  116.  "Proceso Entrevista Empresa Mercaderia SAS".  11 personas SENA-Alcaldia. "Capacit. Libro fiscal y formulario Ind. Y Cio"  6 febrero. Asist:  110.  "Punto movil DIAN" 22 y 23 feb. DIAN-CCIO-Alcald.  31 asistentes. "Capc. autoriz. sanitarias empresar.Occ.Huila" 28 feb. CCIO-INVIMA-Alcald. 48 asist. "Socializ. Red VITEC Huila" 6 feb.-CCio, Asist. 46.  "Capa. Direcc.Estrategica pqueños productores" 25 abril; Asist: 32. "Capc. exportación pqueña escala product. cafe" CCio-Alcald; 26 abril; Asist. 32.  "Capct. propiedad industrial" 41 asist. </t>
  </si>
  <si>
    <t>se necesita gestionar recursos para la creacion del plan estratégico</t>
  </si>
  <si>
    <t>Capacitacion y manejo del SYTIC HUILA (Sistema de información turistico y cultural del Huila en Parque Garcia ROvia) y una individual cada establecimiento</t>
  </si>
  <si>
    <t>dic 30 2018</t>
  </si>
  <si>
    <t>Se realizó capacitación a tra´ves del ministerio de Turismo en líneas de crédito</t>
  </si>
  <si>
    <t>meta debe asignada a secretaría de Gobierno</t>
  </si>
  <si>
    <t>pendiente realizar apoyo enEl Proyecto la Divina Misericordia</t>
  </si>
  <si>
    <t>01 junio de 2018</t>
  </si>
  <si>
    <t>se esta gestionando ante secretaria de cultura y turismo departamental orientación para elaboración del proyecto</t>
  </si>
  <si>
    <t>eliminar meta</t>
  </si>
  <si>
    <t>envìar meta a secretaria de gobierno (mi negocio ya)</t>
  </si>
  <si>
    <t>Se realizò mapa de caracterización de sitios turisticos del municipio de La Plata</t>
  </si>
  <si>
    <t>minga "mantenimiento monumentos parques del municipio de la Plata</t>
  </si>
  <si>
    <t>se capacito a 70 actores del sector turistico (servicios turisticos)</t>
  </si>
  <si>
    <t>feria: vitrina turistica de ANATO 2018</t>
  </si>
  <si>
    <t>.</t>
  </si>
  <si>
    <t>Desarrollo del proyecto una paz sin fronteras, agro productivo con cambio y progreso en el municipio de La Plata</t>
  </si>
  <si>
    <t xml:space="preserve">Se espera el Segundo Semestre realizar Proyectos a Grupos de Mujer RURAL. </t>
  </si>
  <si>
    <t>SE SOLICITO CDP, PARA EL APOYO ECONOMICO A LA ALIANZA PRODUCTIVA DE MOREROS DE SANTA MARTHA, DE LAS CUALES SE VAN A UTILIZAR EN LA COMPRA DE ELEMENTOS, NSUMOS  ENTRE OTROS.</t>
  </si>
  <si>
    <t>Se realizo una campaña con el Instituto Agropecauario Ica en la entidad de la camara de comercio, donde se permitio, el 6 de Julio de 2018</t>
  </si>
  <si>
    <t>Se esta proyectando estudios previos para convenio con asomsurca, se solicito cdp. Se firmo convenio con ASOMSURCA 026/2018 se inicio el 18 octubre</t>
  </si>
  <si>
    <t>R: 230808 F260101 (1033300).  2</t>
  </si>
  <si>
    <t xml:space="preserve">CONVENIO ASISTENCIA TECNICA ENTTRE ASOMSURCA Y EL MUNICIPIO, LOS CUALES SE REALIZARAN ACOMPAÑAMIENTO Y APOYO A PRODUCTORES DE AGUACATE Y MORA. </t>
  </si>
  <si>
    <t xml:space="preserve">CONVENIO ASISTENCIA TECNICA ENTRE ASOMSURCA No. 01/2018 Y EL MUNICIPIO, LOS CUALES SE REALIZARAN ACOMPAÑAMIENTO Y APOYO A PRODUCTORES DE AGUACATE Y MORA. </t>
  </si>
  <si>
    <t>R: 230806 -230807        F: 110102 (10000000) -110103(30000000)</t>
  </si>
  <si>
    <t>SE REALIZARA CONVENIO ENTRE EL MUNICIPIO Y EL COMITÉ DE CAFETEROS. PAR EL MES DE AGOSTO. YA SE SOLICTO CERTIFICADO DE DISPONIBILIDAD.</t>
  </si>
  <si>
    <t>SE REALIZARA CONVENIO ENTRE EL MUNICIPIO Y EL COMITÉ DE CAFETEROS. Se suscribio conve. 1412/2018 se inicio 18 Nov. Se encuentra en ejecición</t>
  </si>
  <si>
    <t xml:space="preserve">Se va a apoyar a 6 grupos asociativos del Municipio de la Plata urbanos y rurales, de las cuales se les apoyara en la adqusicion de Insumos agricolasElementos de ferreteria, animales para cria y concentrado de las cuales ya solicito cdp y las cotizaciones se encuentran en almacen Muncipal, se espera el resultado de ella </t>
  </si>
  <si>
    <t xml:space="preserve">Se va a apoyar a 6 grupos asociativos del Municipio de la Plata urbanos y rurales, de las cuales se les apoyara en la adqusicion de Insumos agricolasElementos de ferreteria, animales para cria y concentrado de las cuales ya solicito cdp y las cotizaciones se encuentran en almacen Muncipal.  Se firmo contrato 353/2018 </t>
  </si>
  <si>
    <t>R: 230808 - F:260101 (21000000) -</t>
  </si>
  <si>
    <t xml:space="preserve">CONVENIO ENTRE ASOMSURCA Y EL MUNICIPIO DE LA PLATA HUILA. </t>
  </si>
  <si>
    <t>CONVENIO 001 ENTRE ASOMSURCA Y EL MUNICIPIO DE LA PLATA HUILA.  EN EJECUCION</t>
  </si>
  <si>
    <t>R: 230806 -230807        F: 1101012 -110103</t>
  </si>
  <si>
    <t>Se celebro contrato 353/2018 se inicio 28 dieicimebre.  Suministro semillas comunes para implementacion huertas caseras</t>
  </si>
  <si>
    <t>230808 F. 110102 (3504488)</t>
  </si>
  <si>
    <t>230808 F. 110101 (8004000))</t>
  </si>
  <si>
    <t xml:space="preserve">Se realizara convenio para la realizacion de estas acitivdades, el conveniente sera ASOMSURCA </t>
  </si>
  <si>
    <t>Se realizará convenio 026 con ASOMSURCA la realizacion de estas acitivdades, el conveniente sera ASOMSURCA - se solicito cdp - etapa precontractual.  Se firmó conv. Con ASOMSURCA se hizo capacitaciones</t>
  </si>
  <si>
    <t>230808 F110101</t>
  </si>
  <si>
    <t>SE REALIZO CAPACITACION A LOS INTEGRANTES DE LOS 6 GRUPOS ASOCIATIVOS QUE PARTICIPARAN EN EL APOYODELCAPITAL SEMILLA.</t>
  </si>
  <si>
    <t>SE REALIZO CAPACITACION A LOS INTEGRANTES DE LOS 6 GRUPOS ASOCIATIVOS QUE PARTICIPARAN EN EL APOYO DEL CAPITAL SEMILLA. ()</t>
  </si>
  <si>
    <t>R: 230808 F:110101</t>
  </si>
  <si>
    <t>REALIZACION DEL CONVENIO DE ASISTENCIA TECNICA ASOMSURCA Y EL MUNICIPIO.</t>
  </si>
  <si>
    <t>R: 230807 -230807        F: 1101012 -110103</t>
  </si>
  <si>
    <t>SE ESPERA REALIZAR LA META CON LA REALIZACION DE FERIA EXPODCCIODENTE.</t>
  </si>
  <si>
    <t>convenio con ASOMSUCRA- DIA DEL CAMPESINO- EVENTOS CULTURALES AMBIENTALES Y AGROPECUARIOS - SOLICITO CDP- PROYECCION ESTUDIOS PREVIOS.  Conv. 026/2018</t>
  </si>
  <si>
    <t>PARA EL MES DE JULIO SE REALIZARA LA FERIA VERSION 177 EXPOCCIDENTE EQUINA GRADO B.</t>
  </si>
  <si>
    <t>SE EJECUTO CON EL CONVENIO 002-2018 CON ASOMSURCA - PENDIENTE LIQUIDAR</t>
  </si>
  <si>
    <t>230804, 230808 F. 260101, 260404</t>
  </si>
  <si>
    <t>Se solicito Disponibilidad para el apoyo y Fortaecimiento a la Alianza Productiva para el Grupo Asociativo Productores de Mora de la Vereda Santa Martha. El apoyo consiste en la adquisicion de elementos e insumos agropecuarios.</t>
  </si>
  <si>
    <t>Se solicito CDP 2018000316 para el apoyo y Fortaecimiento a la Alianza Productiva para el Grupo Asociativo Productores de Mora de la Vereda Santa Martha. El apoyo consiste en la adquisicion de elementos e insumos agropecuarios.</t>
  </si>
  <si>
    <t>R:230804  F: 110101</t>
  </si>
  <si>
    <t>Se suscribio convenio de arrendamiento con camara de comercio de Stand para participar en EXPOFERIAS  en Garzon el 18 octubre</t>
  </si>
  <si>
    <t>230808 F. 110102 (3000000)</t>
  </si>
  <si>
    <t xml:space="preserve">se encuentra en formulacion y realizacion del proyecto </t>
  </si>
  <si>
    <t xml:space="preserve">se encuentra en formulacion y realizacion del proyecto (VERIFICAR EL ESTADO) </t>
  </si>
  <si>
    <t xml:space="preserve">Se realizo la construccion del centro de acopio </t>
  </si>
  <si>
    <t>Se realizo la construccion del centro de acopio (Mercado Campesino Maria Elena Cortes)</t>
  </si>
  <si>
    <t>30/012/2016</t>
  </si>
  <si>
    <t>R: 94010161   F: 7301001</t>
  </si>
  <si>
    <t>SE ESPERA QUE PARA EL MES DE OCTUBRE. SE REALICE UN PROCESO CONTRACTUAL CON EL FIN DE CUMPLIR LA META PRODUCTO.</t>
  </si>
  <si>
    <t>Se realizara convenio para la realizacion de estas acitivdades, el conveniente sera ASOMSURCA - se solicito cdp - etapa precontractual</t>
  </si>
  <si>
    <t>PARA EL SEGUNDO SEMSTRE SE REALIZARA PROCESO CONTRACTUTAL CON EL FIN DE CUMPLIR CON LA META PRODUCTO.</t>
  </si>
  <si>
    <t xml:space="preserve"> Mediante contrato 353/20189 compra semillas para huertas caseras</t>
  </si>
  <si>
    <t xml:space="preserve">DESDE EL MES DE MARZO SE ENVIO EL PROCESO A JURIDICA Y  A LA FECHANO SE HA EJECUTADO. </t>
  </si>
  <si>
    <t>DICMEBRE 2018</t>
  </si>
  <si>
    <t>SE TRASLADO AL 2019</t>
  </si>
  <si>
    <t>SECUMPLIO CON EL CONVENIO No. 072 DE INFIHUILA CELEBRADO EN EL AÑO 2017</t>
  </si>
  <si>
    <t>PARA EL SEGUNDO SEMESTRE SE REALIZARA CONVENIO PARA LA REALIZACION DE ESTAS ACTIVIDADES.</t>
  </si>
  <si>
    <t>Se firmo convenio con ASOMSURCA 026/2018</t>
  </si>
  <si>
    <t>230809  F. 110101</t>
  </si>
  <si>
    <t>ESTA META NO SE REALIZADA DEBIDO AL BAJO FLUJO FINANCIERON PARA SU CRACION.</t>
  </si>
  <si>
    <t>La Gobernacion del  Huila  y gestion del Riesgo realizaron junto con la Alcaldia de la Plara en el año 2016 la entrega de 15 reservorios los cuales cumplieron con un 80% de las meta para el cuatrenio para esta vigencia (2017) es por ello que para la presente vigencia no se realizaran gestiones para adelantar estos procesos.</t>
  </si>
  <si>
    <t>R: 231008   F: 110101</t>
  </si>
  <si>
    <t>CONLOS PROCESOS CONTRACTUALES QUE SE LLEVARAN EN EL SEGUNDO SEMESTRE SE ESPERA CUMPLIR LA META</t>
  </si>
  <si>
    <t>230208  260101</t>
  </si>
  <si>
    <t>EN EL SEGUNDO SEMESTRE SEREALIZARA UNPROCEOS CONTRACTUAL CON EL FIN DE CUMPLIR LA META.</t>
  </si>
  <si>
    <t xml:space="preserve">se esta adelantando el proceso de insgumos agropecuarios - esta en proceso de revision de presupuesto en Almacen </t>
  </si>
  <si>
    <t>MEJORAMIENTO DE LA TRANSITABILIDAD EN LAS VIAS DEL MPI DE LA PLATA HUILA</t>
  </si>
  <si>
    <t>Se han realizado dos reuniones ocn los integrantes del observatorio: Hospital,  bomberos, policiía, policia carreteras y Sría tránsito</t>
  </si>
  <si>
    <t>Se encuentra en ejecución las diferentes zonas azules en el area urbana. Se demarco la zona azul del parque principal, cra 6 entre call 6 y 5, cra 5 entre 3 y 2</t>
  </si>
  <si>
    <t>27/04/2018.  Se realizó reunión el 25 abril</t>
  </si>
  <si>
    <t>Por las diferentes emisoras,  televisión y redes sociales se habla sobre seguridad vial</t>
  </si>
  <si>
    <t>Se realizó a través de la página, medios comunicaciones</t>
  </si>
  <si>
    <t xml:space="preserve">Se ejecuto mediante contrato NO. 278/2018. </t>
  </si>
  <si>
    <t>230916 F. 110105</t>
  </si>
  <si>
    <t>Se realiza programación mensual.
.Ejecutar cronograma</t>
  </si>
  <si>
    <t>Se contrataron 6 agentes de transito mediante contratos 047,049,045,048,054,053,051,318,318,321,052,050,046,320,273,319</t>
  </si>
  <si>
    <t xml:space="preserve">Se encuentra en ejecución las diferentes zonas azules en el area urbana. </t>
  </si>
  <si>
    <t xml:space="preserve">cambio de filtros de aire de la maquinaria pesada del municipio de la plata huila , cambio de llantas           </t>
  </si>
  <si>
    <t>21120213 (110101)</t>
  </si>
  <si>
    <t xml:space="preserve">se esta haciento el proceso para comprar GPS y cracterizar vias terciarias y poder hacer compre de maquinaria </t>
  </si>
  <si>
    <t>SE CUMPLIO META</t>
  </si>
  <si>
    <t xml:space="preserve">anillo vial doña ana julia 10446,99 m2 esta en ejecucion con un avance del 30% este contrato viene del año anterior </t>
  </si>
  <si>
    <t xml:space="preserve">se va a contruir con el contrato de anillo vial doña ana julia </t>
  </si>
  <si>
    <t>se estan realizando manteniemientos con recebo y perfilada  y reparcheo</t>
  </si>
  <si>
    <t>230902(110101,110102,280101)</t>
  </si>
  <si>
    <t xml:space="preserve">placa huella panorama la esperanza contrato 490 de la gobernacion </t>
  </si>
  <si>
    <t>contrato 176-2018 puentes sobre las quebradas el  aguacatal, la isla y el zapatero</t>
  </si>
  <si>
    <t>94010109(7301001), 94010210(7301001)</t>
  </si>
  <si>
    <t xml:space="preserve">esta en proceso de contratacion convenio con la gobernacion para mpliacion de la via la independecia </t>
  </si>
  <si>
    <t xml:space="preserve">IMPLEMENTACION DE PROGRAMAS DE MANTENIMIENTO Y/O AMPLIACION ANUAL AL SISTEMA DE ALUMBRADO PUBLICO EN EL MUNICIPIO DE LA PLATA HUILA  </t>
  </si>
  <si>
    <t>contrato No  385  del 2017   Villa del Cambis que beneficia a 197 familias  CDP. 2017000655  RGP 2017000946- 2017000946</t>
  </si>
  <si>
    <t>94010104(7301001=209,311,095) 230608(121402=52,000,000)</t>
  </si>
  <si>
    <t>contrato 296-2018 Compra de materiales electricos N ° CDP 2018000686 RP 2018000865</t>
  </si>
  <si>
    <t>AMPLIACION DE PROGRAMAS A OTROS SERVICIOS PUBLICOS QUE PRESTA EL MUNICIPIO DE LA PLATA HUILA</t>
  </si>
  <si>
    <t>MEJORAMIENTO DEL EQUIPAMIENTO MUNICIPAL EN EL MUNICIPIO DE LA PLATA</t>
  </si>
  <si>
    <t>.Solicitar cdp
.Elaborar proyecto
.Iniciar proceso contactual
.Ejecución const, adecuac. y/o mto</t>
  </si>
  <si>
    <t>.Definir lote
. Elaborar estudios
.Elaborar proyecto</t>
  </si>
  <si>
    <t>ELIMINADA</t>
  </si>
  <si>
    <t>Elaborar proyecto</t>
  </si>
  <si>
    <t>Mediante convenio interadmitivo No. 005 /2018 con ESE San Sebastián.  Por valor de $1.647.300.495.  En la ejecución de obra va el 40% de avance.  Y en recursos se pago el 50%.  Equivale a $823,650,247,5</t>
  </si>
  <si>
    <t>2302040606 F. 23010106 (1,632,660,641)  F. 71502 (14,639,854)</t>
  </si>
  <si>
    <t>.buscar lote
.elaborar proyecto
.solicitar cdp
.Ralizar compra</t>
  </si>
  <si>
    <t>No Programada</t>
  </si>
  <si>
    <t xml:space="preserve">Se gestión desde el 2016 ante la IE ITA y ante Ministerio de Educación Nacional, </t>
  </si>
  <si>
    <t>IMPLEMENTACION DE POLITICAS PARA EL FORTALECIMIENTO INSTITUCIONAL DEL MPIO DE LA PLATA HUILA</t>
  </si>
  <si>
    <t xml:space="preserve">CONTRATACION DE 5 TÉCNICOS O TECNÓLOGOS EN ÁREAS AFINES A LA FINANCIERA Y 1 PROFESIONAL TITULADO EN DERECHO.
CONTRATACIÓN DE SERVICIO DE CORREO CERTIFICADO PARA NOTIFICACIONES DE LOS DIFERENTES PROCESOS DE COBRO DE LOS IMPUESTOS
</t>
  </si>
  <si>
    <t>ANALISIS DE LA DEUDA PÚBLICA DE LA ENTIDAD</t>
  </si>
  <si>
    <t>CAPACITACION EN GESTIÓN FISCAL A LOS FUNCIONARIOS DE LA ENTIDAD</t>
  </si>
  <si>
    <t xml:space="preserve">EVALUACION PERIODICA DE LOS INGRESOS Y GASTOS DE LA ENTIDAD DE FORMA TRIMESTRAL </t>
  </si>
  <si>
    <t>Se realizo el proceso contractual, se firmo contrato,  se firmo acta de inicio y se realizaron pagos de anticipo y parciales</t>
  </si>
  <si>
    <t>Continuar con la ejecución del convenio firmado con la ESAP</t>
  </si>
  <si>
    <t>.Solicitar cdp
.Iniciar proceso contractual
.Ejecutar contrato</t>
  </si>
  <si>
    <t>Se capacito y coformo veeduría en la vda la Esperanza y Panorama el 13 abril 2018 para el contrato 1353/2017 con la Unión Temporal MEVIHU PLACA HUELLA</t>
  </si>
  <si>
    <t>Contrato 012/ enero/2018 y  220 julio/2018</t>
  </si>
  <si>
    <t>231701 F. 260401 y 02</t>
  </si>
  <si>
    <t>Se realizaron 16 capacitaciones de 28 proyectadas para un cumplimiento de 57.14%
Elaborar Plan de capacitaciones
.Ejecutar</t>
  </si>
  <si>
    <t>Se realizo proceso contactual, se firmo contrato y se hizo primer pago</t>
  </si>
  <si>
    <t>.Solicitar información secretarias
.Consolidar información
.Hacer seguimiento
.Tomar acciones</t>
  </si>
  <si>
    <t>.Mejorar el SUIT
.Mejorar la página
.Avance de redes sociales</t>
  </si>
  <si>
    <t>.Mejorar y actualizar al 100% para adquirir certificado de la red en las HAS.</t>
  </si>
  <si>
    <t>231702
260401
231711
110101</t>
  </si>
  <si>
    <t>Lograr una calificación de 80 puntos en la dimensión de controlinterno del MIPG</t>
  </si>
  <si>
    <t>.Verificación de Actualización en secretarias
.Plan de capacitación
.Ejecución del Plan territorial
.Plan Anual de Auditoria</t>
  </si>
  <si>
    <t>.Definir la certificación con la cual se quiere continuar 9001</t>
  </si>
  <si>
    <t>El proyecto "NASkA DIGITAL" en cofinanciación con Gobernación,  se dará inicio en las IE. Y comunidad . Consiste enseñar niños crear videojuegos, manejar programas de diseños para ser presentados a empresas</t>
  </si>
  <si>
    <t>.Se contratará con una empresa de la goberación para el manejo del material obsoleto de reciclaje de equipos de cómputo</t>
  </si>
  <si>
    <t xml:space="preserve">Se realizo el 24 noviembre </t>
  </si>
  <si>
    <t xml:space="preserve">Se programara capacitaciones en el Plan de Capacitaciónes </t>
  </si>
  <si>
    <t>Realizar el avance en la implementación de modulo integrado del plan de acción y gestión</t>
  </si>
  <si>
    <t xml:space="preserve">Se creo resolución.  Se paso Almacén para hacer seguimiento consumo por oficina </t>
  </si>
  <si>
    <t>Conv. Interadmitvivo 016/2018. Fecha contrato 15/09/2018. ya se entrego ESE S.Sebastián. CDP 2018000780</t>
  </si>
  <si>
    <t>2302040607  F.260401</t>
  </si>
  <si>
    <t>DESARROLLO COMUNITARIO EL CAMBIO SE HACE CON PARTICIPACION EN EL MPIO DE LA PLATA HUILA</t>
  </si>
  <si>
    <t>Se realizó el 24 de noviembre  con cdpo 892 30/10/2018. Cont. 341/2018</t>
  </si>
  <si>
    <t>Proy. Const. Placa polideptivo Vda Cauchos x 20 millones cdp 513.  Proy. Adecuac. 18 Km Cerrito-La Estrella Resgu. La Gaitana cdp 766 (8 millones)
.Inicio proceso contractual
.Ejecución actividad</t>
  </si>
  <si>
    <t xml:space="preserve">Contrato PS y AG No. 127-2018.    Contrato 231/2018 </t>
  </si>
  <si>
    <t>231601 F. 260401
Fuente 260401</t>
  </si>
  <si>
    <t>27/04/2018:  3/02/2018 con lideres comunales.  23 feb. Vda San Rafael con directivos comunales.  3 marzo vda Laderas y 5 marzo vda La Esperanza</t>
  </si>
  <si>
    <t>231601
Fuente 260401</t>
  </si>
  <si>
    <t>2 mayo.  Se realizo el 28 de abril en SENA</t>
  </si>
  <si>
    <t>Se realizó el 16 de mayo en Casa Cultura</t>
  </si>
  <si>
    <t>Se capacitó a 45 jovenes comunalitos del CP Monserrate</t>
  </si>
  <si>
    <t>.Solicitar cdp
.Inicio proceso contractual
.Convocar comunidad
.Ejecución actividad
.</t>
  </si>
  <si>
    <t>Se realizó el 16 de mayo con Integrnates comité convivencia y conciliación de las JAC en el SENA</t>
  </si>
  <si>
    <r>
      <t xml:space="preserve">Se hizo entrega de un periodico d 12 paginas on informe del año a la comunidad </t>
    </r>
    <r>
      <rPr>
        <sz val="10"/>
        <color rgb="FF000000"/>
        <rFont val="Arial"/>
        <family val="2"/>
      </rPr>
      <t xml:space="preserve">
.Consolidarla
.Imprimir informe</t>
    </r>
  </si>
  <si>
    <t>ADMINISTRACION DE JUSTICIA Y SEGURIDAD EN EL MUNICIPIO DE LA PLATA HUILA</t>
  </si>
  <si>
    <t>Se implemento a través de la adición contrato const. Centro mando adelantado para ejercito.. Igualmente se hizo mejoramiento unidades sanitarias estación policia</t>
  </si>
  <si>
    <t>23180407  F. 120301(43) + (24)</t>
  </si>
  <si>
    <t>.Convocar
.Realizar reunión y acta</t>
  </si>
  <si>
    <t>Cuerpo tecnico investigación presento junio/18 en consejo de seguridad y policia presento en dic/2018</t>
  </si>
  <si>
    <t>YAMILETH MARTINEZ</t>
  </si>
  <si>
    <t xml:space="preserve">Se realizaron el 21 nov. (graneros y viveres galería).  22 Nov. (carnicerias galeria).  23 Nov. (Establecimiento vta alimentos no procesados).  27 Dic. (Establec. No procesado B/S. Rafael)
3. Ejecutar cronograma
</t>
  </si>
  <si>
    <t>21110304 F. 110101</t>
  </si>
  <si>
    <t>Con relaación llegaron 2 bachilleres de apoyo para octubre y 3 en diciembre. Se apoya con alimentación y adecuación instalaciones hospedaje.  Contrato alimentac. No. 198/2018</t>
  </si>
  <si>
    <t>23180405 F. 120301</t>
  </si>
  <si>
    <t>contrato de alojamiento y alimentacion unidades de apoyo x contrato 198/2018  50millones 2318</t>
  </si>
  <si>
    <t xml:space="preserve">Se realizará Compra elementos pedagogicos preventivos y adeucar sala de delitos sexuales.  Se encuentra proceso planeación estdis previos.  Dic. /2018.  Esta en proceso de adjudicación, esta suspendido, se reiniciará 2019.  Igualmente se adquirio combustible   </t>
  </si>
  <si>
    <t>231804 F. 120302</t>
  </si>
  <si>
    <t>Se realizaron 2 reunion en barrios Estancia y Brisas entre noviembre y diciembre.  Y en zona rural Monserrate y Carmelo en Diciembre</t>
  </si>
  <si>
    <t>En articulación con la policia nacional se realizó operativos a los establecimientos de comercio localizados avenida lIbertadoers el 23 Noviembre 2018.</t>
  </si>
  <si>
    <t>231701  F. 260401</t>
  </si>
  <si>
    <t>Se adelanto gestión con Minist Interior reuniendo requisitos para suscripción convenio a traves recursos FONSECOn.  Adicional se envio una nota solicitando a Sria Gbno Dptal teniendo encuenta compromiso adquirido en 2018.</t>
  </si>
  <si>
    <t xml:space="preserve">Se ralizó diagnostico de camaras, a traves de ingenieros de la administración, determinando que solo 3 estan habilitadas y las otras requieren compra optica para su funcioamiento </t>
  </si>
  <si>
    <t xml:space="preserve">En articulacion con enlace de victimas se realizaró un programa de capacitacion que promueva la garantia de derechos humanos a la poblacion victima del municipio de la plata el 14 de abril/2018 en la Casa de la Cultura </t>
  </si>
  <si>
    <t>En el Momento no se ha solicitado recursos para la meta</t>
  </si>
  <si>
    <t xml:space="preserve">Se ejecuto  con la conciliaton en el mes de abril de  2018 reportando al ministerio de justicia un total de 55 entre inspeccion de policia y comisaria de familia </t>
  </si>
  <si>
    <t>Se realizo una capacitacion una capacitación sobre mecanismos alternativos de solución de conflictos a los presidentes y afiliados  de las juntas de acción comunal del centro poblado de Villa Losada.</t>
  </si>
  <si>
    <t xml:space="preserve">5 Oct.  Se realizara estrategias y actividades con 13 octubre con jac y consttructores de paz.. Se esta adelantando dentro proceso suspendido una dotación de elementos de prevencion para campañas de seguridad para llegar a barrios en aras de iniciar campañas de prevencion de paz, convivencia y seguridad </t>
  </si>
  <si>
    <t>oct 5.  existe 10 milones y carta intención para suscripcion convenio con USPEC y a la fecha no ha dado respuesta. Dic.  Se envio oficio al establecimiento en el que se informaba que habia disponibi. De 10millones, sin embargo respondieron que teniendo en cuenta habian habido cambios directrices inpec ya no se contrataba directamente con INPEC sino con USPEC</t>
  </si>
  <si>
    <t xml:space="preserve">Desde el mes de enero se viene garantizando el funcionamiento del coso municipal a través de un contrato de prestación de servicios de apoyo a las funciones de Inspeccion de Policia y las instalaciones se encuentran ubicadas en la plaza de ferias de este ente territorial. </t>
  </si>
  <si>
    <t>231807  F. 110101, 260101</t>
  </si>
  <si>
    <t>El 22 de Abril de 2018 Se realizo en la casa de la Cultura, una campaña de prevencion del delito dirigida a los jovenes que pertenecen a la estrategia de prevencion de reclutamiento de la agencia colombiana para la reintegracion - el dia 26 de Abril de 2018 se realizo una campaña de prevencion del delito en la feria de servicios Fiscalia en su comunidad y sus lineas educativas</t>
  </si>
  <si>
    <t>Se realizaron el 19 julio  a los establecimientos comercio dedicados vta bebidas embriagantes ubicado avenida Libertadores  y 21 de agosto a establecim.  Comercialización al detal de bienes ubincados cra 5 entre cle 5 y 6
2. Ejecutar procedimiento.</t>
  </si>
  <si>
    <t>Realizada 100%</t>
  </si>
  <si>
    <t>Protección del medio ambiente en el municipio de La Plata</t>
  </si>
  <si>
    <t>Ya se cumplieron la meta.</t>
  </si>
  <si>
    <t>Se realizaron los siguientes descuentos:   Resolucion No. 40.02.03-110 del 13 de Febrero de 2018  Resolucion No. 40.02.03-111 del 13 de Febrero de 2018; Resolucion No. 40.02.03-112 del 13 de Febrero de 2018; Resolucion No. 40.02.03-167 del 12 de Marzo de 2018; Resolucion No. 40.02.03-168 del 12 de Marzo de 2018; Resolucion No. 40.02.03-290 del 21deAbril de 2018; Resolucion No. 40.02.03-407 del 19 de Mayo de 2018;  Resolucion No. 40.02.03-288 del 21 de Abril de 2018; Resolucion No. No. 40.02.03-287 del 21 de Abril de 2018;  Resolucion No. No. 40.02.03-289 del 21 de Abril de 2018</t>
  </si>
  <si>
    <t xml:space="preserve">SE REALIZARON LA PROTECCION DE LA MICROCUENCA DE LA VEREDA SAN JUAN,LA CAÑADA Y LAS MERECEDES. </t>
  </si>
  <si>
    <t>SE REALIZARON LA PROTECCION DE LA MICROCUENCA DE LA VEREDA SAN JUAN, LA CAÑADA Y LAS MERECEDES, acompañamiento que fue realizado por un contratista dde la UDR - Contrato No. 120-2018</t>
  </si>
  <si>
    <t xml:space="preserve">R: 231008 F: 120101                  </t>
  </si>
  <si>
    <t>PARA EL SEGUNDO SEMESTRE DE LA VIGENCIA 2018</t>
  </si>
  <si>
    <t>SE EMPEZO A REALIZAR EL INVENTARIO DESDEEL MES DE MAYO.</t>
  </si>
  <si>
    <t>Contrato de Consultoria No. 180 de 2018 Corporacion Villegas, se encuentra en estado de liqudiacion</t>
  </si>
  <si>
    <t>R:231008 F:110101 -110102</t>
  </si>
  <si>
    <t>SE LE REALIZO ENTREGA DE MATERIAL VEGETAL A LA INSPECCION DE BELEN.Y A TRES GRUPOS ASOCIATIVO DEL MUNICIPIOD E LA PLATA, CON EL FIN DE REFORESTAR Y PROTEGER.</t>
  </si>
  <si>
    <t xml:space="preserve">Contrato No. 119 y 120 - 2018  se entrego Material Vegetal para la Institucion Educativa Sna Vicente; </t>
  </si>
  <si>
    <t xml:space="preserve">R: 231008 F: 110201                   </t>
  </si>
  <si>
    <t xml:space="preserve">se han realizado actividade en la Escuela Educativa San vicente, el la vereda el Perico y en la zona urbana del Municipio, con el apoyo del ejercito Nacional y Grupos Ambientalistas </t>
  </si>
  <si>
    <t xml:space="preserve">SE REALIZARON EN CONJUNTO CON LA FUNDACION SOSTENIBLE, LAS DEBIDAS LIMPIEZAS DE LOSAFLUENTES HIDRICOS. COMO TAMBIEN CON LAPARTICIPACION DE LA CAM. </t>
  </si>
  <si>
    <t xml:space="preserve">Se ejecuto a traves convenio 026/2018 </t>
  </si>
  <si>
    <t>231008 F. 120204</t>
  </si>
  <si>
    <t>Se cumpliò la viegencia anterior</t>
  </si>
  <si>
    <t>Se suscribio Convenio con Asogacentro No. 009 de 2017</t>
  </si>
  <si>
    <t>Creacion Decreto CDEA  - No 10 - 119-2018 dfel 04 de Octubre de 2018</t>
  </si>
  <si>
    <t>EN EL MES DE JUNIO SE REALIZO LA CMAPAÑA CONTRA LA FIEBRE AFTOSO Y LA BRUCELOSIS BOVINA, ACTIVIADAD DESARROLLADA POR EL INCA EN LA PLAZA DE FERIAS.</t>
  </si>
  <si>
    <t>R: 231008  F: 120201</t>
  </si>
  <si>
    <t xml:space="preserve">Estas actividades se enmarcan dentro del convenio para la celebracion de los dias del campesino para ello, por parte de asomsurca aporta las capacitaciones y es ahí donde se puede dar cumplimiento a ello </t>
  </si>
  <si>
    <t>Se realizaron capacitacion en los Resguardos de Talaga y la Gaitana, los dias 24 y 25 de  Agsoto de 2018</t>
  </si>
  <si>
    <t xml:space="preserve">DURANTE LAS ACTIVIDADE DE CELEBRACION DE LOS DIA DEL CAMPESINOS EN LOS CENTRO POBLADOS SE ESPERAN DICTAR LAS DEBIDAS CAPACTACIONES </t>
  </si>
  <si>
    <t>Se realizo capacipacion con los padres de Familia de la Institucion Educativa de San Vicente - 09 de Agosto de 2018</t>
  </si>
  <si>
    <t>Se realizo una capacitacion en la Vereda San Vicente de la cuales se incluyeron los estudiantes de la misma Institución y los Padres de Famiila</t>
  </si>
  <si>
    <t>R: 230808 F: 120201</t>
  </si>
  <si>
    <t>SE REALIZA CONVENIO PARA EL SEGUNDO SEMESTRE CON EL COMITÉ DE CAFETEROS, DE LAS CUALES YA SE SOLICITO LA DISPONIBILIDAD</t>
  </si>
  <si>
    <t>Convenio comité de Cafeteros, se encuentra en eta aprecontractual, proyeccion de estudios previos, Solicitud de CDP.. Convenio interadm. 1412/2018/</t>
  </si>
  <si>
    <t>231008 F. 120201(38000000)   120204 (12000000</t>
  </si>
  <si>
    <t xml:space="preserve">SE DESARROLLARA UN ENCUENTRO REGIONAL DONDE SE VAN A EXPONER TEMAS EN PRODUCCION LIMPIA PARA EL 27 DE ABRIL </t>
  </si>
  <si>
    <t>A LA FECHA SE ESTAN RECIBIENDO LAS PROPUESTAS PARA LA COMPRA DE LOS PREDIOS DE CONSERVACION.</t>
  </si>
  <si>
    <t>Convenio con la CAM , aduisicino del predio el Chuscal, etapa precontractual, solicitud de CDP</t>
  </si>
  <si>
    <t xml:space="preserve">SE REALIZO UN AILAMIENTO EN LAS VERDAS LAS MERCEDES EN EL PREDIO LA OSEA DONDE SE ESTA CONSERVANDOEL AFLUENTE HIDIRICO DE LA BOCATOMA DE LA QUEBRADA DE </t>
  </si>
  <si>
    <t>R:231008 F: 120201</t>
  </si>
  <si>
    <t>Se realiza vistas de Seguimiento y monitoreo a los predios Adquiridos por la Admon, con ello tambien se realizan las debidas capacitaciones que son concernientes a ello</t>
  </si>
  <si>
    <t>Se realizo mediante contrato 310/2018</t>
  </si>
  <si>
    <t>R: 231008 F: 120204</t>
  </si>
  <si>
    <t>compra de insumos agropecuarios apoyo a l vivero Institucion Educativa de Gallego - proyeccion estudios previos- revision de presupuesto Almacen. Contrato 353/2018</t>
  </si>
  <si>
    <t>231005  F. 120204</t>
  </si>
  <si>
    <t xml:space="preserve">R: 230808 - 230804 </t>
  </si>
  <si>
    <t>PROTECCION DEL MEDIO AMBIENTE EN EL MPIO DE LA PLATA</t>
  </si>
  <si>
    <t>IMPLEMENTACION DEL PROGRAMA LA PLATA SOLIDARIA PARA ATENDE RIESGOS DE DESASTRES EN EL MPIO DE L APLATA HUILA</t>
  </si>
  <si>
    <t>Estar en contacto permanente con Dpto por ser ejecutores obra</t>
  </si>
  <si>
    <t>Se convoca
Se realiza reunión
Elaboración acta
Se envia a los entes de control</t>
  </si>
  <si>
    <t xml:space="preserve">.Solicitar cdp
.Inicio etapa contractal
</t>
  </si>
  <si>
    <t>.Solicitar ante gobernación</t>
  </si>
  <si>
    <t>.Solicitar cdp
.Inicio etapa contractual
.Ejecuciuón</t>
  </si>
  <si>
    <t>23121301 Ff. 110101</t>
  </si>
  <si>
    <t>.Solicitar cdp
.Elaborar convenio
.Ejecutar convenio</t>
  </si>
  <si>
    <t>231212   F.  121301
121303</t>
  </si>
  <si>
    <t>e</t>
  </si>
  <si>
    <t>.Coordinar con organismos socorro e IE para la realización de la capacitación</t>
  </si>
  <si>
    <t xml:space="preserve">.Capacitar a los integrantes Consejo  Riesgo
. Elaboración del guion
Inscripción de Mpio ante la Unidad Nacional
.Divulgar a la comunidad la fecha del simulacro
</t>
  </si>
  <si>
    <t>. Solicitud cdp
.Iniciar proceso contractual
.Compra material para emercia</t>
  </si>
  <si>
    <t>Se hizo condecoración a los organismos de socorro existentes en el mpio el 5 de junio de 2018</t>
  </si>
  <si>
    <t>.Realizar visita ocular
.Determinar inversión
.Hacer presupuesto
.Solicitar cdp
.Iniciar proceso</t>
  </si>
  <si>
    <t>15/02/018</t>
  </si>
  <si>
    <t>METAS PRODUCTO PLANEACION</t>
  </si>
  <si>
    <t>DESCRIPCION</t>
  </si>
  <si>
    <t>ACUMULADO</t>
  </si>
  <si>
    <t>% CUMPLIMIENTO</t>
  </si>
  <si>
    <t>Realizar 1 capacitación anual a los jóvenes de las Instituciones educativas urbanas, para que asuman el reto de ser voluntarios en organismos de socorro.</t>
  </si>
  <si>
    <t>PLAN TERRITORIAL DE SALUD MUNICIPIO DE LA PLATA 2016  -  2019</t>
  </si>
  <si>
    <t>PRESUPUESTO PROGRAMADO</t>
  </si>
  <si>
    <t>PRESUPUESTO EJECUTADO</t>
  </si>
  <si>
    <t>DIMENSION</t>
  </si>
  <si>
    <t>COMPONENTE</t>
  </si>
  <si>
    <t>INDICADOR DE RESULTADO</t>
  </si>
  <si>
    <t>No DE METAS</t>
  </si>
  <si>
    <t>VALOR CUATRENIO</t>
  </si>
  <si>
    <t>NOMBRE PROYECTO</t>
  </si>
  <si>
    <t>F. FINALIZACION</t>
  </si>
  <si>
    <t>Codigo</t>
  </si>
  <si>
    <t>Fuente</t>
  </si>
  <si>
    <t>AÑO 2016</t>
  </si>
  <si>
    <t>AÑO 2017</t>
  </si>
  <si>
    <t>AÑO 2018</t>
  </si>
  <si>
    <t>AÑO 2019</t>
  </si>
  <si>
    <t>TOTAL METAS DE PRODUCTO CUATRIENIO</t>
  </si>
  <si>
    <t>PRESUPUESTO PROGRAMADO AÑO 2017</t>
  </si>
  <si>
    <t>PRESUPUESTO EJECUTADO 2018</t>
  </si>
  <si>
    <t>MP ESPERADO 2016-2019</t>
  </si>
  <si>
    <t>ESPERADO 2017</t>
  </si>
  <si>
    <t>2018 PRIMER TRIMESTRE</t>
  </si>
  <si>
    <t>2018 SEGUNDO TRIMESTRE</t>
  </si>
  <si>
    <t>2018 PROMEDIO TERCER TRIMESTRE</t>
  </si>
  <si>
    <t>CUARTO TRIMESTRE</t>
  </si>
  <si>
    <t>PRESUPUESTO EJECUTADO PRIMER TRIMESTRE</t>
  </si>
  <si>
    <t>PRESUPUESTO EJECUTADO SEGUNDO TRIMESTRE</t>
  </si>
  <si>
    <t>PRESUPUESTO EJECUTADO TERCER TRIMESTRE</t>
  </si>
  <si>
    <t>PRESUPUESTO EJECUTADO CUARTO TRIMESTRE</t>
  </si>
  <si>
    <t>ACUMULADO INDICDOR</t>
  </si>
  <si>
    <t>% EJECUCKON 2017</t>
  </si>
  <si>
    <t>Dimension Salud Ambiental</t>
  </si>
  <si>
    <t>Habitat Saludable</t>
  </si>
  <si>
    <t>Mantener la tasa de mortalidad general en 329.01 muertes x 100.000 habitantes.</t>
  </si>
  <si>
    <t>329.01 muertes x 100.000 N.V.</t>
  </si>
  <si>
    <t>Tasa de mortalidad general x 100.000 habitantes.</t>
  </si>
  <si>
    <t>Implementar una (1) estrategia para fomentar la movilidad segura en el municipio.</t>
  </si>
  <si>
    <t>IMPLEMENTACION DE PLANES, PROGRAMAS Y ESTRATEGIAS PARA LA SALUD AMBIENTAL LA PLATA (HUILA) CENTRO ORIENTE.</t>
  </si>
  <si>
    <t>No hay dato</t>
  </si>
  <si>
    <t>Porcentaje de implementación de la estrategia</t>
  </si>
  <si>
    <t>Realizar actividades de educación en el 10% de las instituciones educativas de la zona urbana y rural del municipio, sobre la estrategia de entornos saludables orientada al desarrollo humano sustentable y la equidad en salud, bajo enfoques que privilegien la familia y la comunidad.</t>
  </si>
  <si>
    <t>Porcentaje de instituciones educativas</t>
  </si>
  <si>
    <t>Realizar visitas a 25 viviendas del municipio entre el área urbana y rural para realizar la caracterización de los factores de riesgos en salud y educar sobre entornos saludables.</t>
  </si>
  <si>
    <t>porcentaje  de viviendas entre el área urbana y  rural para caracterizar los factores de riesgo en salud y capacitar en entornos saludables</t>
  </si>
  <si>
    <t>Dimensión vida saludable y condiciones no transmisibles</t>
  </si>
  <si>
    <t>Modos condiciones y estilos de vida saludable</t>
  </si>
  <si>
    <t>Mantener la tasa de mortalidad por causas asociadas a ENT por debajo de 39.4 muertes x 100.000 habitantes.</t>
  </si>
  <si>
    <t>39,4 x 100.000 habitantes.</t>
  </si>
  <si>
    <t>Tasa de mortalidad por ENT.</t>
  </si>
  <si>
    <t>Implementar acciones para promover la donación, trasplantes de órganos y tejidos en el Municipio de la Plata.</t>
  </si>
  <si>
    <t>IMPLEMENTACION DE PROGRAAMAS EN VIDA SALUDABLE Y CONDICIONES NO TRANSMISIBLES EN EL MUNICIPIO DE LA PLATA (HUILA)</t>
  </si>
  <si>
    <t>Porcentaje acciones implementadas</t>
  </si>
  <si>
    <t>Realizar nueve (9) actividades IEC para promover espacios 100% libres de humo de tabaco y sus derivados, en los lugares definidos por la ley 1335 de 2009.</t>
  </si>
  <si>
    <t>Número de actividades IEC implementadas</t>
  </si>
  <si>
    <t>Aumentar en el  10% la actividad física en espacios públicos del municipio en población de 13 a 64 años</t>
  </si>
  <si>
    <t>15.000 personas</t>
  </si>
  <si>
    <t>Porcentaje de personas con actividad física de 13 a 64 años.</t>
  </si>
  <si>
    <t>Realizar actividades de educación en dieciocho (18) instituciones educativas para la mitigación del consumo nocivo de alcohol en el municipio.</t>
  </si>
  <si>
    <t>Numero de Instituciones educativas</t>
  </si>
  <si>
    <t>Condiciones cronicas prevalentes</t>
  </si>
  <si>
    <t>Mantener en 7.1% índice de COP promedio a los 12 años.</t>
  </si>
  <si>
    <t>7.1% indice COP</t>
  </si>
  <si>
    <t>% índice de COP</t>
  </si>
  <si>
    <t>Mantener en 108 x 100.000 habitantes la tasa de mortalidad por enfermedades del sistema circulatorio.</t>
  </si>
  <si>
    <t>108 x 100.000</t>
  </si>
  <si>
    <t>108 x 100.000 habitantes</t>
  </si>
  <si>
    <t>Tasa de mortalidad por enfermedades del sistema circulatorio.</t>
  </si>
  <si>
    <t>108X100000</t>
  </si>
  <si>
    <t>Implementar estrategias de educación en el 10% de la población hasta los 70 años de edad, orientadas a estimular la detección temprana de los canceres priorizados en el plan decenal para el control del cáncer en Colombia - PDCCC - cáncer de mama, cáncer cervico-uterino, cáncer de próstata, cáncer de colon y recto y cáncer infantil (leucemia pediátrica), cáncer de piel, y los de mayor incidencia del Municipio.</t>
  </si>
  <si>
    <t>10% de poblacion hasta los 70 años (467).  Total 1868</t>
  </si>
  <si>
    <t>4.670 personas atendidas (467 personas a atender)</t>
  </si>
  <si>
    <t>Estrategias de educacion</t>
  </si>
  <si>
    <t>Mantener en 21.1 x 100.000 la tasa de mortalidad prematura por tumor maligno de cuello uterino en población entre 30 y 70 años de edad.</t>
  </si>
  <si>
    <t xml:space="preserve">Mantener en 21.1 x 100.000 </t>
  </si>
  <si>
    <t>21.1x100.000</t>
  </si>
  <si>
    <t>Tasa de mortalidad por cáncer cervicouterino.</t>
  </si>
  <si>
    <t>17,13x100.000</t>
  </si>
  <si>
    <t>Incrementar el 10% las prácticas de autocuidado en las acciones de prevención y manejo de las enfermedades no transmisibles ENT.</t>
  </si>
  <si>
    <t>Aumentar el 10% ( 12.295 en el año)</t>
  </si>
  <si>
    <t>0.25%</t>
  </si>
  <si>
    <t>11.178 personas</t>
  </si>
  <si>
    <t>Proporción de personas que recibieron instrucción en práctica del autocuidado.</t>
  </si>
  <si>
    <t>Dimension convivencia social y salud mental</t>
  </si>
  <si>
    <t>Promocion de la salud mental y la convivencia</t>
  </si>
  <si>
    <t xml:space="preserve">A 2019 Implementar un plan de acción convivencia social y salud mental con todas las prioridades de salud pública de la dimensión. </t>
  </si>
  <si>
    <t>Porcentaje de implementación del plan de acción convivencia social y salud mental.</t>
  </si>
  <si>
    <t>Plan local intersectorial de salud mental municipal adoptado y adaptado conforme a los lineamientos y desarrollos técnicos definidos por el ministerio de salud y protección social que incluya los componentes de drogas, violencia y suicidio.</t>
  </si>
  <si>
    <t>IMPLEMENTACION DE PROGRAMAS CONVIVENCIA SOCIAL Y SALUD MENTAL EN EL MUNICIPIO DE LA PLATA (HUILA)</t>
  </si>
  <si>
    <t>Elaboración del plan local intersectorial de salud mental municipal adoptado y adaptado conforme a los lineamientos y desarrollos técnicos definidos por el ministerio de salud y protección social que incluya los componentes de drogas, violencia y suicidio.</t>
  </si>
  <si>
    <t>Prevencion y atencion integral a problemas y trastornos mentales y a diferentes formas de violencia.</t>
  </si>
  <si>
    <t>Realizar el seguimiento a la atención psicosocial al 97% de los eventos de violencia de género y demás eventos de salud mental reportados al SIVIGILA.</t>
  </si>
  <si>
    <t>Porcentaje de intervención psicosocial de los eventos de violencia de género y demás eventos de salud mental reportados al SIVIGILA.</t>
  </si>
  <si>
    <t>Dimension seguridad alimentaria y nutricional</t>
  </si>
  <si>
    <t>Consumo y aprovechaamiento biologico de los alimentos</t>
  </si>
  <si>
    <t>Mantener en cero la tasa de mortalidad por DNT en menores de 5 años.</t>
  </si>
  <si>
    <t>Tasa de mortalidad por DNT en menores de 5 años x 100.000 N.V.</t>
  </si>
  <si>
    <t>Mantener en 2.4 el porcentaje de desnutrición global en menores de 5 años.</t>
  </si>
  <si>
    <t xml:space="preserve"> 2,4%</t>
  </si>
  <si>
    <t>PREVENCION EN SEGURIDAD ALIMENTARIA Y NUTRICIONAL EN EL MUNICIPIO DE LA PLATA (HUILA)</t>
  </si>
  <si>
    <t>2.4%</t>
  </si>
  <si>
    <t>Porcentaje de desnutrición global en menores de 5 años.</t>
  </si>
  <si>
    <t>????</t>
  </si>
  <si>
    <t>Mantener en 11 el porcentaje de desnutrición crónica en menores de 5 años.</t>
  </si>
  <si>
    <t>Porcentaje de desnutrición crónica en menores de 5 años.</t>
  </si>
  <si>
    <t>Mantener en 1.8 el porcentaje de desnutrición aguda en menores de 5 años.</t>
  </si>
  <si>
    <t>1.8%</t>
  </si>
  <si>
    <t>Porcentaje de desnutrición aguda en menores de 5 años.Porcentaje de desnutrición aguda en menores de 5 años.</t>
  </si>
  <si>
    <t>???</t>
  </si>
  <si>
    <t>Incrementar en dos (2) meses la duración media de la lactancia materna exclusiva en menores de seis (6) meses.</t>
  </si>
  <si>
    <t xml:space="preserve">Un mes </t>
  </si>
  <si>
    <t>Duración de la lactancia materna exclusiva n menores de seis (6) meses</t>
  </si>
  <si>
    <t>Mantener en 4.7 el porcentaje de nacidos vivos con bajo peso al nacer.</t>
  </si>
  <si>
    <t>4.7%</t>
  </si>
  <si>
    <t xml:space="preserve">A 2019 diseñar e implementar el Plan Territorial de Seguridad Alimentaria y Nutricional. </t>
  </si>
  <si>
    <t>Porcentaje de implementación del plan.</t>
  </si>
  <si>
    <t>Mantener en 18.5% el exceso de peso de niños, niñas y adolescentes menores de 17 años.</t>
  </si>
  <si>
    <t>18.5%</t>
  </si>
  <si>
    <t>Porcentaje de exceso de peso de niños, niñas y adolescentes menores de 17 años.</t>
  </si>
  <si>
    <t xml:space="preserve">Disminuir a 9.2 el porcentaje de prevalencia de anemia en mujeres gestantes </t>
  </si>
  <si>
    <t>prevalencia de anemia en gestantes</t>
  </si>
  <si>
    <t xml:space="preserve">Aumentar al 70% la notificación de eta en el municipio de la plata </t>
  </si>
  <si>
    <t>% de eventos notificados de eta en el municipio de la plata</t>
  </si>
  <si>
    <t>Dimension sexualidad, derechos sexuales y reproductivos</t>
  </si>
  <si>
    <t>Prevencion y atencion integral en salud sexual y reproductiva desde enfoque de genero</t>
  </si>
  <si>
    <t>Mantener en 9,47 x 1000 nacidos vivos la tasa mortalidad infantil (0-1 año).</t>
  </si>
  <si>
    <t>9.47</t>
  </si>
  <si>
    <t>Tasa mortalidad infantil.</t>
  </si>
  <si>
    <t>Mantener la incidencia de sífilis congénita en 0.07 x 1000 N.V.</t>
  </si>
  <si>
    <t xml:space="preserve"> 0.07 x 1000 NV</t>
  </si>
  <si>
    <t>IMPLEMENTACION DE PROGRAMAS DE SEXUALIDAD DERECHOS SEXUALES Y REPRODUCTIVOS EN EL MUNICIPIO DE LA PLATA (HUILA)</t>
  </si>
  <si>
    <t>Incidencia de sífilis congénita</t>
  </si>
  <si>
    <t>Mantener en cero (0) el porcentaje de transmisión vertical materno infantil de VIH.</t>
  </si>
  <si>
    <t>Mantener en 0</t>
  </si>
  <si>
    <t>% de transmisión vertical del VIH.</t>
  </si>
  <si>
    <t>Reducir en 12 la tasa de mortalidad neonatal a 12 x 1.000 N.V.</t>
  </si>
  <si>
    <t>Tasa de mortalidad neonatal a 12 x 1.000 NV.</t>
  </si>
  <si>
    <t>Disminuir a 80 la razón de la mortalidad materna por cada 100.000 nacidos vivos.</t>
  </si>
  <si>
    <t>152.7</t>
  </si>
  <si>
    <t>Razón de mortalidad materna.</t>
  </si>
  <si>
    <t>Aumentar al 80 el porcentaje de mujeres gestantes que ingresan al control prenatal antes de la semana 12 de edad gestacional.</t>
  </si>
  <si>
    <t>Porcentaje de mujeres que ingresan al control prenatal antes de la semana 12 de edad gestacional.</t>
  </si>
  <si>
    <t>Promocion de los derechos sexuales y reproductivos y equidad de gènero</t>
  </si>
  <si>
    <t>Aumentar a 95 el porcentaje de mujeres gestantes con 4 o más controles prenatales.</t>
  </si>
  <si>
    <t>86.43</t>
  </si>
  <si>
    <t>Porcentaje de mujeres gestantes que tienen 4 o más controles prenatales</t>
  </si>
  <si>
    <t xml:space="preserve">Disminuir a 97 x 1.000 la tasa especifica de fecundidad en mujeres adolescentes de 15 a 19 años </t>
  </si>
  <si>
    <t xml:space="preserve"> 97x1.000</t>
  </si>
  <si>
    <t>105X1000</t>
  </si>
  <si>
    <t>100X1000</t>
  </si>
  <si>
    <t>97X1000</t>
  </si>
  <si>
    <t>Tasa especifica de fecundidad de mujeres adolescentes de 15 a 19 años.</t>
  </si>
  <si>
    <t>Se debe dar en tasa y no %.  Que valor es ???</t>
  </si>
  <si>
    <t>Aumentar al 50% el uso de métodos modernos de anticoncepción en mujeres en edad fértil de 15 a 49 años.</t>
  </si>
  <si>
    <t>Aumentar al 50%</t>
  </si>
  <si>
    <t xml:space="preserve">% de uso de métodos anticonceptivo de mujeres de edad fertil de 15 a 49 años </t>
  </si>
  <si>
    <t xml:space="preserve">Mantener por encima de 95.3 el porcentaje de partos institucionales en el municipio. </t>
  </si>
  <si>
    <t>Porcentaje de partos institucionales.</t>
  </si>
  <si>
    <t>329.01 muertes x 100.000 N.V</t>
  </si>
  <si>
    <t>Tasa de mortalidad general.</t>
  </si>
  <si>
    <t>Mantener en 100% el porcentaje de las mujeres en control prenatal con tamizaje para hepatitis B.</t>
  </si>
  <si>
    <t>Mantener en 100%</t>
  </si>
  <si>
    <t>Porcentaje de mujeres con tamizaje para hepatitis B en control prenatal</t>
  </si>
  <si>
    <t>Mantener la prevalencia de infección por VIH en menos de 1% en población de 15 a 49 años.</t>
  </si>
  <si>
    <t>0.00013</t>
  </si>
  <si>
    <t>Prevalencia de VIH/SIDA</t>
  </si>
  <si>
    <t>Mantener la tasa de mortalidad por VIH por debajo del 1,57 por 100.000 habitantes.</t>
  </si>
  <si>
    <t xml:space="preserve"> 1.57 x  100.000 habitantes</t>
  </si>
  <si>
    <t>1.57x100.000 habitantes</t>
  </si>
  <si>
    <t xml:space="preserve"> Tasa de mortalidad por VIH </t>
  </si>
  <si>
    <t>Vida saludable y enfermedades transmisibles</t>
  </si>
  <si>
    <t>Enfermedades Emergentes Reemergentes y desatendidas</t>
  </si>
  <si>
    <t>Mantener en cero la discapacidad en grado 2 en los casos nuevos diagnosticados de Hansen</t>
  </si>
  <si>
    <t>IMPLEMENTACION DE PROGRAMAS VIDA SALUDABLE Y ENFERMEDADES TRNASMISIBLES EN EL MUNICIPIO DE LA PLATA (HUILA)</t>
  </si>
  <si>
    <t>Tasa de discapacidad en grado 2 en los casos diagnosticados de Hansen</t>
  </si>
  <si>
    <t>Aumentar en un 70% la detección de tuberculosis en el municipio.</t>
  </si>
  <si>
    <t>Porcentaje de detección de tuberculosis.</t>
  </si>
  <si>
    <t>Condiciones y situaciones endemoepidemicas</t>
  </si>
  <si>
    <t>Mantener en cero la incidencia de rabia humana y animal en el municipio.</t>
  </si>
  <si>
    <t>Tasa de incidencia de rabia humana y animal</t>
  </si>
  <si>
    <t>Estrategia implementada y operativizada de gestión integral EGI en el municipio de la plata según lineamientos MSPS.</t>
  </si>
  <si>
    <t>Estrategia EGI implementada por resolución y conformado el equipo funcional.</t>
  </si>
  <si>
    <t>Enfermedades inmunoprevenibles</t>
  </si>
  <si>
    <t>Alcanzar el 95% o más de cobertura en todos los biológicos que hacen parte del esquema nacional, en las poblaciones objeto del programa</t>
  </si>
  <si>
    <t>99.7%</t>
  </si>
  <si>
    <t>Garantizar la cobertura de vacunación  al 95% en DTP en niños y niñas menores de un año</t>
  </si>
  <si>
    <t>Garantizar el 95% en DTP en menores de un año</t>
  </si>
  <si>
    <t xml:space="preserve">Porcentaje de cobertura de vacunación de niños y niñas menores de 1 año. (porcentaje de niños y niñas menores de 1 año con esquema de vacunación / total de niños y niña menores de 1 año) </t>
  </si>
  <si>
    <t>Garantizar la cobertura de vacunación  en 95% en triple  viral en niños y niñas de  un año</t>
  </si>
  <si>
    <t>Garantizar el 95% Triple Viral en niños y niñas de un año</t>
  </si>
  <si>
    <t xml:space="preserve">Porcentaje de cobertura de vacunación de niños y niñas de 1 año. (porcentaje de niños y niñas  de 1 año con esquema de vacunación / total de niños y niña  de 1 año) </t>
  </si>
  <si>
    <t>Garantizar la cobertura de vacunación al 95% en triple viral en niños y niñas de cinco años.</t>
  </si>
  <si>
    <t>Garantizar el 95% Triple Viral en niños y niñas de cinco años</t>
  </si>
  <si>
    <t xml:space="preserve">Porcentaje de cobertura de vacunación de niños y niñas de 5 años. (porcentaje de niños y niñas  de 5 año con esquema de vacunación / total de niños y niña  de 5 años) </t>
  </si>
  <si>
    <t xml:space="preserve">Dimension Salud Pública en Emergencias y Desastres </t>
  </si>
  <si>
    <t>Respuesta en salud ante situaciones de emergencias y desastres</t>
  </si>
  <si>
    <t>A 2019 se logra la formulación y socialización del plan sectorial de gestión integral del riesgo de desastres en el municipio.</t>
  </si>
  <si>
    <t>Documento técnico elaborado</t>
  </si>
  <si>
    <t>Lograr que el municipio responda con eficacia al 100% de las emergencias y desastres que enfrente.</t>
  </si>
  <si>
    <t>IMPLEMENTACION DE PROGRAMAS DE SALUD PUBLICA EN EMERGENCIAS Y DESASTRES EN EL MUNICIPIO DE LA PLATA (HUILA)</t>
  </si>
  <si>
    <t>Mortalidad por emergencias y desastres</t>
  </si>
  <si>
    <t>Libre Impuesto</t>
  </si>
  <si>
    <t>Dimension salud y ambito laboral</t>
  </si>
  <si>
    <t>Situaciones prevalentes de origen laboral</t>
  </si>
  <si>
    <t>A 2019 se logra asegurar el 100% de las acciones de promoción de la salud y prevención de riesgos laborales en la población del sector formal e informal de la economía.</t>
  </si>
  <si>
    <t>Porcentaje de acciones de promoción y prevención realizadas.</t>
  </si>
  <si>
    <t>Implementar la estrategia de promoción de entornos laborales saludables en el sector Formal e informal del municipio.</t>
  </si>
  <si>
    <t>IMPLEMENTACION DE PROGRAMAS DE SALUD Y AMBITO LABORAL EN EL MUNICIPIO DE LA PLATA (HUILA)</t>
  </si>
  <si>
    <t>Dimension gestion diferencial de poblaciones vulnerables</t>
  </si>
  <si>
    <t>Desarrollo integral de las niñas niños y adolescentes</t>
  </si>
  <si>
    <t>Implementar un plan de acción gestión diferencial de poblaciones vulnerables con adecuación en el curso de vida, género, etnicidad y en las necesidades diferenciales de la población con discapacidad y víctimas del conflicto.</t>
  </si>
  <si>
    <t>porcentaje de ejecución del plan de acción gestión diferencial de poblaciones vulnerables.</t>
  </si>
  <si>
    <t>Mantener en 11.05 x 1000 nacidos vivos la tasa mortalidad en la niñez (1-5 años).</t>
  </si>
  <si>
    <t>11.05 x 1.000 NV mortalidad en la niñez</t>
  </si>
  <si>
    <t>IMPLEMENTACION DE PROGRAMAS GESTION DIFERENCIAL DE POBLACIONES VULNERABLES  EN EL MUNICIPIO DE LA PLATA (HUILA).</t>
  </si>
  <si>
    <t>Tasa mortalidad en la niñez (1-5 años).</t>
  </si>
  <si>
    <t>Reducir en un 10% la tasa de morbilidad por EDA en menores de 5 años.</t>
  </si>
  <si>
    <t xml:space="preserve"> Tasa de morbilidad por EDA en menores de 5 años.</t>
  </si>
  <si>
    <t>Reducir en un 10% la tasa de morbilidad por IRA en menores de 5 años.</t>
  </si>
  <si>
    <t xml:space="preserve"> Tasa de morbilidad por IRA en menores de 5 años.</t>
  </si>
  <si>
    <t>Envejecimiento y vejez</t>
  </si>
  <si>
    <t>Implementar acciones para promover el envejecimiento activo y fomento de una cultura positiva de la vejez.</t>
  </si>
  <si>
    <t xml:space="preserve">Acciones de promocion </t>
  </si>
  <si>
    <t>Porcentaje de acciones implementadas.</t>
  </si>
  <si>
    <t>Salud y genero</t>
  </si>
  <si>
    <t>Adaptar, socializar e implementar la ruta de atención integral al enfoque de género, orientada a la reducción de las inequidades en el 100% de las IPS y EAPB del Municipio.</t>
  </si>
  <si>
    <t>Porcentaje de las IPS y EAPB del municipio con implementación de la ruta de atención integral en equidad de género.</t>
  </si>
  <si>
    <t>Salud en poblaciones etnicas</t>
  </si>
  <si>
    <t>Adaptar, socializar e implementar la ruta de atención integral en salud con adecuación etnocultural en el 100% de las IPS y EAPB del municipio.</t>
  </si>
  <si>
    <t>Porcentaje de las IPS y EAPB del municipio con implementación de la ruta de atención integral con adecuación etnocultural.</t>
  </si>
  <si>
    <t>Discapacidad</t>
  </si>
  <si>
    <t>Adaptar, socializar e implementar la ruta de atención integral en salud para personas con discapacidad en el 100% de las IPS y EAPB del municipio.</t>
  </si>
  <si>
    <t>Porcentaje de las IPS y EAPB del municipio con implementación de la ruta de atención integral para personas con discapacidad.</t>
  </si>
  <si>
    <t>Victimas del conflicto armado interno</t>
  </si>
  <si>
    <t>Adaptar, socializar e implementar la ruta de atención de atención psicosocial y salud integral para personas víctimas del conflicto en el 100% de las IPS y EAPB del municipio.</t>
  </si>
  <si>
    <t>Porcentaje de las IPS y EAPB del municipio con implementación de la ruta de atención integral para personas víctimas del conflicto.</t>
  </si>
  <si>
    <t>Dimension fortalecimiento a la autoridad sanitaria</t>
  </si>
  <si>
    <t>Fortalecimiento de la autoridad sanitaria</t>
  </si>
  <si>
    <t>Implementar el 100% de las acciones del plan de acción de la dimensión fortalecimiento a la autoridad sanitaria con todas las prioridades de salud pública de la dimensión.</t>
  </si>
  <si>
    <t>Porcentaje de las acciones del plan de acción  fortalecimiento a la autoridad sanitaria</t>
  </si>
  <si>
    <t>Evaluación del cumplimiento del 100% de las acciones de fortalecimiento a la autoridad sanitaria con todas las prioridades de salud pública de la dimensión.</t>
  </si>
  <si>
    <t>IMPLEMENTACION DE ESTRATEGIAS, PLANES Y PROGRAMAS PARA EL FORTALECIMIENTO DE LA AUTORIDAD SANITARIA DEL MUNICIPIO DE LA PLATA (HUILA) CENTRO ORIENTE</t>
  </si>
  <si>
    <t>Porcentaje de cumplimiento de las prioridades de la dimensión fortalecimiento a la autoridad sanitaria</t>
  </si>
  <si>
    <t>Mantener el 92% el cargue, calidad, coincidencia y consistencia de la BDUA.</t>
  </si>
  <si>
    <t>Porcentaje de cargue y consistencia de la BDUA.</t>
  </si>
  <si>
    <t xml:space="preserve">El municipio de la plata cuenta con el sistema de información para la vigilancia en salud publica funcionando y operando al 90% </t>
  </si>
  <si>
    <t xml:space="preserve">Porcentaje de cumplimiento de las acciones de vigilancia epidemiológica </t>
  </si>
  <si>
    <t>Implementar una estrategia para promocionar la afiliación de la población con capacidad de pago y evitar el uso indebido del subsidio.</t>
  </si>
  <si>
    <t xml:space="preserve">Porcentaje de ejecución de la estrategia </t>
  </si>
  <si>
    <t>Mantener el 96% de la cobertura de aseguramiento al SGSSS.</t>
  </si>
  <si>
    <t>Porcentaje de cobertura de aseguramiento</t>
  </si>
  <si>
    <t xml:space="preserve">FOSYGA Continuidad </t>
  </si>
  <si>
    <t>FOSYGA PPNA</t>
  </si>
  <si>
    <t>APORTES DEL DPTO</t>
  </si>
  <si>
    <t>A. MPIO COLJUEGOS</t>
  </si>
  <si>
    <t>FONPET</t>
  </si>
  <si>
    <t>R. P. CCF</t>
  </si>
  <si>
    <t>R. B SGP</t>
  </si>
  <si>
    <t>FOSYGA IVC</t>
  </si>
  <si>
    <t>SGP Prestacion de Servicios de salud a los Vinculados</t>
  </si>
  <si>
    <t>Implementar una estrategia para la canalización del PPNA y su vinculación al régimen de seguridad social en salud.</t>
  </si>
  <si>
    <t>Porcentaje de cumplimiento de las acciones de salud pública en fortalecimiento de la autoridad sanitaria</t>
  </si>
  <si>
    <t>Asignar el 100% de los procesos de vigilancia al régimen subsidiado en el municipio.</t>
  </si>
  <si>
    <t>Porcentaje de ejecución de la vigilancia al régimen subsidiado.</t>
  </si>
  <si>
    <t>Asignar el 100% de recursos para el financiamiento del régimen subsidiado apropiados al presupuesto de la vigencia y comprometido a las EPS.</t>
  </si>
  <si>
    <t>Porcentaje de recursos asignados</t>
  </si>
  <si>
    <t>El municipio de la plata cuenta con un sistema de interventoría/auditoria del aseguramiento al 100%.</t>
  </si>
  <si>
    <t>Porcentaje de operatividad del sistema de interventoría/auditoria.</t>
  </si>
  <si>
    <t>Total Metas de Resultado para el cuatrienio</t>
  </si>
  <si>
    <t>TOTAL METAS DE PRODUCTOS POR AÑO PROYECTADOS</t>
  </si>
  <si>
    <t>TABLERO DE CONTROL AVANCE EJECUCION METAS PLAN DESARROLLO VIGENCIA 2018</t>
  </si>
  <si>
    <t>TABLERO DE BALANCES SOBRE METAS CUMPLIDAS Y POR CUMPLIR PLAN DE DESARROLLO 2016-2019</t>
  </si>
  <si>
    <t>SOBRESALIENTE
MAYOR 85%</t>
  </si>
  <si>
    <t>SATISFACTORIA
70%-85%</t>
  </si>
  <si>
    <t>MEDIO
60%-70%</t>
  </si>
  <si>
    <t>BAJO
40%-60%</t>
  </si>
  <si>
    <t>CRITICO
20%-40%</t>
  </si>
  <si>
    <t>MUY CRITICO
0-20%</t>
  </si>
  <si>
    <t>NO PROGRAMADA</t>
  </si>
  <si>
    <t>PARA  MODIFICAR</t>
  </si>
  <si>
    <t xml:space="preserve">% EJECUCION </t>
  </si>
  <si>
    <t>PROGRAMADAS 2018</t>
  </si>
  <si>
    <t>VEB</t>
  </si>
  <si>
    <t>AMB</t>
  </si>
  <si>
    <t>ROB</t>
  </si>
  <si>
    <t>NP</t>
  </si>
  <si>
    <t>2017</t>
  </si>
  <si>
    <t>2018</t>
  </si>
  <si>
    <t>2019</t>
  </si>
  <si>
    <t>CUETRENIO</t>
  </si>
  <si>
    <t xml:space="preserve">PROGRAMADAS </t>
  </si>
  <si>
    <t>2016</t>
  </si>
  <si>
    <t>SECRETARIO</t>
  </si>
  <si>
    <t>se encuentra en proceso de elabracion proyeto en planeacion  contrato 059de 2019</t>
  </si>
  <si>
    <t>Meta cumplida</t>
  </si>
  <si>
    <t>30/17/2019</t>
  </si>
  <si>
    <t>MEJORAMIENTO Y CONSTRUCCION DE VIVIENDA DE INTERES SOCIAL PARA PERSONAS VULNERABLES Y DE POBREZA EXTREMA EN EL MPIO DE LA PLATA</t>
  </si>
  <si>
    <t>Vinulación asignación medidor y trabajos realizados por operarios</t>
  </si>
  <si>
    <t>Instalación redes con apoyo de operarios</t>
  </si>
  <si>
    <t>Recolección y disposición</t>
  </si>
  <si>
    <t>Adriana Marcela Cerquera</t>
  </si>
  <si>
    <t>Alexander Ayala Rodriguez</t>
  </si>
  <si>
    <t>Johana Andrea Chaguendo</t>
  </si>
  <si>
    <t>Marly Rodriguez</t>
  </si>
  <si>
    <t>Jhonier, Flor, diomedes</t>
  </si>
  <si>
    <t>Diana Paola Puliche</t>
  </si>
  <si>
    <t>Piedad Anaya</t>
  </si>
  <si>
    <t>Pendiente asignación de recursos para esta meta.</t>
  </si>
  <si>
    <t>La meta se debe trabajar en conjunto Secretaría de Gobierno y Secretaría de Hacienda.</t>
  </si>
  <si>
    <t>PENDIENTE, por falta de recursos para asignar como capital semilla desde S.E.C.D.T.</t>
  </si>
  <si>
    <t>PENDIENTE enviar para compartir meta a secretaria de gobierno (mi negocio ya).</t>
  </si>
  <si>
    <t xml:space="preserve">construccion con el contrato de anillo vial doña ana julia </t>
  </si>
  <si>
    <t>ae deriva del mismo proceso de combustible y lubricantes</t>
  </si>
  <si>
    <t>Ampliacion via antonio Nariño convenio Comité de Cafetero  N° CN°-2018-1547</t>
  </si>
  <si>
    <t>ya se cumplio meta</t>
  </si>
  <si>
    <t>en proceso de viabilidad de proyecto.</t>
  </si>
  <si>
    <t>FORTALECIMIENTO DE LA PARTICIPACION CIUDADANA EN LA PLANEACION ESTRATEGICA EN EL MPIO DE L APLATA</t>
  </si>
  <si>
    <t>ADMINISTRACION DE JUSTICIA Y SEGURIDAD EN EL MPIO DE LA PLATA</t>
  </si>
  <si>
    <t>|</t>
  </si>
  <si>
    <t>IMPLEMENTACION PROGRAMA JUSTICIA PARA EL CAMBIO EN EL M PIO DE LA PLATA</t>
  </si>
  <si>
    <t>PROTECCION, CONSERVACION DEL MEDIO AMBIENTE EN EL MPIO DE LA PLATA</t>
  </si>
  <si>
    <t>Contrato PS 124/2019. CDP 2019000102 12/01/2019.  RP 2019000180 15/02/2019</t>
  </si>
  <si>
    <t>PROGRAMADAS 2019</t>
  </si>
  <si>
    <t>% EJECUCION 2018</t>
  </si>
  <si>
    <t xml:space="preserve">30 % 2018 </t>
  </si>
  <si>
    <t>Adulto Mayor</t>
  </si>
  <si>
    <t>Afro</t>
  </si>
  <si>
    <t>Celimo</t>
  </si>
  <si>
    <t>Eliana</t>
  </si>
  <si>
    <t>Familias en Accion</t>
  </si>
  <si>
    <t>Harley</t>
  </si>
  <si>
    <t>Indigena</t>
  </si>
  <si>
    <t>JAC</t>
  </si>
  <si>
    <t>Juventud</t>
  </si>
  <si>
    <t>Lizeth</t>
  </si>
  <si>
    <t>Paola</t>
  </si>
  <si>
    <t>Mujer</t>
  </si>
  <si>
    <t>Natalia</t>
  </si>
  <si>
    <t>Neiser</t>
  </si>
  <si>
    <t>Secretario de Gobierno</t>
  </si>
  <si>
    <t>Victimas</t>
  </si>
  <si>
    <t>%</t>
  </si>
  <si>
    <t>para eliminar</t>
  </si>
  <si>
    <t xml:space="preserve">revisar </t>
  </si>
  <si>
    <t xml:space="preserve">Se realizó en la Camara de Comerio una rendición de cuentas con servidores publicos el 20junio.  </t>
  </si>
  <si>
    <t>Contrato PSP. 041/2019 Hector Sandino</t>
  </si>
  <si>
    <t xml:space="preserve">Se realizó el SEK BUY durante los días 20 y 21 de  junio de 2019, en el Resguardo Estación Talaga </t>
  </si>
  <si>
    <t>SE recibió el 11 de abril por parte de todos los gobernadores de los Cabildos y Resguardos, los censos actualizados por Ministerio del Interior .</t>
  </si>
  <si>
    <t>Se realizo dentro del devento de la Feria Expooccidente en 3 al 5 mayo.  Se esta programando otra feria de artesanos durante los días 27, 28 29 y 30 de junio.  Se tiene igualmente programada en octubre en coordinación con la c. cio</t>
  </si>
  <si>
    <t>Se realizo el 7d e febrero en la USCO a los estudiantes de 8 semes. De psicologia.  Otra los grados 9 y 11 de las IE area urbana en la Estación de policia.   el 11 de abril y en edifico municipal a los servidores publicos.</t>
  </si>
  <si>
    <t>Se realizó en la vda la linea el 23 de marzo.  Se priorizaron 3.  Igualmente en el edif . Mpal desde el 23 de abril al 11 de mayo||</t>
  </si>
  <si>
    <t xml:space="preserve">Los días martes 12 y 26 de febrero, 12 y 26 marzo; 8 y 29 de abril; 6 y 20 mayo con la ESE S. Sebastian. Asi mismo se esta adelantando proceso para complemento alimencio para 300 adultos del area urbana y rural </t>
  </si>
  <si>
    <t>Se han ralizado los martes 12, 26 y 14 y 28 marzo con la Sría de Cultura. Se ejecuto 6499500, dia sampedrito</t>
  </si>
  <si>
    <t xml:space="preserve">Se solicito cdp x vr 40.000.000 para inscrip. Proye. Villas de la Sabiduria para diseño </t>
  </si>
  <si>
    <t>Se realizó el 11 abril en Edificio Mpal con particip. Con funcionarios plantas y contratistas  Tema:  Socializac protocolo atención a la población</t>
  </si>
  <si>
    <t>Se realizó en la vda la Linea el 23 marzo y El Perico el 12 abril</t>
  </si>
  <si>
    <t xml:space="preserve">Se conformó el 15 marzo para el proyecto Altos de San Sebastian I y II. Se encuentra pendiente reconocimiento de personería </t>
  </si>
  <si>
    <t>Contrato 067 enero/2019</t>
  </si>
  <si>
    <t>Se realizó capacitación el 31 mayo en Casa Cultura a los Srios y Tesoreros de las JAC del area urbana y rural Mpio. Tema: Manejo de libros</t>
  </si>
  <si>
    <t xml:space="preserve">Se realizo el 23 febrero en auditorio SENA conpresencia de 120 lideres </t>
  </si>
  <si>
    <t>Entrega de 147 kit escolares (gestora social) contrato 059-2019 SANDRA QUIJANO</t>
  </si>
  <si>
    <t>junio</t>
  </si>
  <si>
    <t>Se realiza entrega de 250 pupitres universitarios a las ie Villalosada, San Sebastian,Marillac,Pastrana e ITA contrato N° 163/2019 DOTACIONES TECNICAS SAS</t>
  </si>
  <si>
    <t>con el apoyo de la SED se cuenta con un docente de apoyo, en la Sede Pedro María , un tiflologo y tres interpretes de señas</t>
  </si>
  <si>
    <t>marz</t>
  </si>
  <si>
    <t>juni</t>
  </si>
  <si>
    <t>noviebre</t>
  </si>
  <si>
    <t>se apoyó a las I.E para que continuen su proceso de alfabetizacion a traves de los clei  en IE Rurales y Ubanas y se ha solicitado a la SED la apertura de otros contrato n° 059 de 2019 Sandra Quijano</t>
  </si>
  <si>
    <t>se adjudica contrato n°142/2019 SOTRANSVEGA S.A.S</t>
  </si>
  <si>
    <t>Programa de formación Musical de la Banda Municipal Santa Cecilia con instructores contratados. Contratos 136-2019, 137-2019, 138-2019</t>
  </si>
  <si>
    <t>Se contrata un personal para realizar acompañamiento de apoyo al grupo vigente en La Plata, contrato: 120-2019</t>
  </si>
  <si>
    <t>Se contrata un personal para seguimiento y formulacion de proyectos. Contrato 120-19</t>
  </si>
  <si>
    <t>Apoyo al  ENCUENTRO ARTÍSTICO Y CULTURAL DE LOS MUNICIPIOS DEL SUROCCIDENTE HUILENSE EN EL MUNICIPIO DE LA PLATA HUILA. Contrato: 188-19</t>
  </si>
  <si>
    <t>El apoyo en gestión de se logró la elaboración del Plan Especial de Salvaguardia, que sustentó la resolución 0238 de 2019 emitida por la Gobernación del Huila, que declara como patrimonio el Festival Sampedrino de La Plata Huila. Apoyo de gestón contrato: 120-19</t>
  </si>
  <si>
    <t>En desarrollo el proyecto del Laboratorio de diseño Artesanal del Departamento del Huila, en convenio con la Gobernación del Huila: http://www.laplata-huila.gov.co/noticias/banner-taller-laboratorio-diseno-artesanal</t>
  </si>
  <si>
    <t>Se recibió una pequeña dotación de instrumentos y trajes típicos por parte de la Goberanción del Huila.</t>
  </si>
  <si>
    <t>Se desarrolla el programa con personal contratado: 136-2019</t>
  </si>
  <si>
    <t>Se dispuso los recuros de cultura, para apoyar el proyecto: Fortalecimiento de la ceremonia cultural "SEK BUY" recibimiento del sol o año nuevo andino, en el resguardo indígena la estación Tálaga. CONVENIO 006-2019</t>
  </si>
  <si>
    <t>Los aportes realizados a los creadores y gestores cultural que participaron activamente en el 62 Festival Folclórico y Sampedrino del Municipio de La Plata.</t>
  </si>
  <si>
    <t>Ya existe acto administrativo en el nivel municipal</t>
  </si>
  <si>
    <t>El proyecto del 62 Festival Foclórico y Sampedrino del Municipio de La Plata contempló actividades de difusión. Contrato 258-2019</t>
  </si>
  <si>
    <t>Desde el mes de febrero se estan realizando actividades de promoción de lectura en la biblioteca y como estención bibliotecaria</t>
  </si>
  <si>
    <t>Se realizo un contrato de prestacion y de servicios y apoyo ala gestion N. 160 de 2019 la cual es la persona encargada de brindar el acomñpañamiento en actividad fisica a la poblacion adulta mayor.</t>
  </si>
  <si>
    <t xml:space="preserve">1. CDI () 2. Modalidad familiar ()  3. Zona Rural () 4. Zona Urbana ( marzo 15 Acta 41020021 http://www.laplata-huila.gov.co/noticias/actividades-del-15-de-marzo-de-la-comisaria-de-familia - 5 de Abril ESE San Sebastian Acta 41021040 - 9 de mayo Hotel Balcones de la Pradera Acta 41021067 - 13 de mayo cdi villa losada 41021073)
</t>
  </si>
  <si>
    <r>
      <t xml:space="preserve">Se realizarán en las IE modalidad fliar y CDI del mpio de La Plata y Veredas aledañas al municipio  para el mejoramiento de la calidad de vida de los NNA, </t>
    </r>
    <r>
      <rPr>
        <sz val="10"/>
        <color rgb="FF0070C0"/>
        <rFont val="Arial"/>
        <family val="2"/>
      </rPr>
      <t xml:space="preserve">( 7 Febrero Acta 4102001 Vereda el Salado - 12 Febrero Acta 41021004 CP IE Villa Losada - 13 de Febrero IE San Sebastian Acta 41021008) </t>
    </r>
  </si>
  <si>
    <r>
      <t xml:space="preserve">Articular y Apoyar a las estrategias del ICBF, Secretaria de Educacion Municipal, Enlace de Discapacidad y Gobernacion del Huila sobre insercion educativa en niños con necesidades especiales.(con el acta </t>
    </r>
    <r>
      <rPr>
        <sz val="10"/>
        <color rgb="FF0066FF"/>
        <rFont val="Arial"/>
        <family val="2"/>
      </rPr>
      <t>41-02-1-028 del 28 de marzo de 2019</t>
    </r>
    <r>
      <rPr>
        <sz val="10"/>
        <color rgb="FF000000"/>
        <rFont val="Arial"/>
        <family val="2"/>
      </rPr>
      <t xml:space="preserve"> se deja constancia que teniendo en cuenta la falta de infraestructura y personal calificado)</t>
    </r>
  </si>
  <si>
    <r>
      <t xml:space="preserve">Capacitaciones a la IE urbana y rural </t>
    </r>
    <r>
      <rPr>
        <sz val="10"/>
        <color rgb="FF0070C0"/>
        <rFont val="Arial"/>
        <family val="2"/>
      </rPr>
      <t>(15 de Febrero IE Vereda la Aguinea Acta 41021011-  27 de Febrero IE Liceno Moderno Plateño Acta 41021013 - 29 de Marzo IE Marillac Acta 41021032 - 1 de Abril IE Marillac Acta 41021038)</t>
    </r>
  </si>
  <si>
    <t>Estar pendiente de la fechas de los consejos para la participacion ()</t>
  </si>
  <si>
    <r>
      <t xml:space="preserve">1. Articulacion con la diferentes entiidades </t>
    </r>
    <r>
      <rPr>
        <sz val="10"/>
        <color rgb="FF00B0F0"/>
        <rFont val="Arial"/>
        <family val="2"/>
      </rPr>
      <t>(Marzo 12 Socializacion para la Celebracion del dia del Niño Acta 41021016 - 11 Abril Barrio las Mercedes - 30 Abril Parque la Pola Acta 41021063)</t>
    </r>
  </si>
  <si>
    <r>
      <t xml:space="preserve">Se promocionará en las emisoras los derechos de los NNA </t>
    </r>
    <r>
      <rPr>
        <sz val="10"/>
        <color rgb="FF00B0F0"/>
        <rFont val="Arial"/>
        <family val="2"/>
      </rPr>
      <t>(Febrero 12 Acta 41021005 - Marzo 15 Acta 41021015 - 30 de abril Emisora Colombia Stereo Acta 41021062)</t>
    </r>
  </si>
  <si>
    <r>
      <t>1. Se realizara 3 operativos en la IE, con el fin de prevenir el consumo de sustancia psicoactivas, incautar y disminuir el porte de armas por partes de los NNA. y  Brindar Psico educación en las IE en pro de mitigar conductas agresivas en las misma,</t>
    </r>
    <r>
      <rPr>
        <sz val="10"/>
        <color rgb="FF0066FF"/>
        <rFont val="Arial"/>
        <family val="2"/>
      </rPr>
      <t xml:space="preserve"> (Mayo 22 Acta 41021076 Colegio Evita Roso - Mayo 24 Acta 41021078 IE San Sebastian - Mayo 29 Acta 41021079 IE Marillac)</t>
    </r>
  </si>
  <si>
    <t>se realizo la entrega de la ruta de atencion en las entidades de icbf, hospital departamental san antonio de padua, ese san sebastian, comisaria de familia, secretaria de salud municipal 15 de mayo acta 41021075</t>
  </si>
  <si>
    <t>En el Momento no se ha solicitado cdp para la meta porque no hay recursos</t>
  </si>
  <si>
    <t xml:space="preserve">El día 22 de marzo se realizó capacitación para promover garantía de derechos humanos a las madres comunitarias en la Vereda San Isidro como consta en acta No. 41.02.01.029. </t>
  </si>
  <si>
    <t>Los días 21, 22 y 23 de mayo se realizó la Jornada Gratuita Conciliatón 2019 en la Casa de La Justicia, como consta en acta No. 41.02.1.77</t>
  </si>
  <si>
    <t>El día 22 de marzo se realizo capacitacion sobre los mecanismos alternartivos de solucion de conflictos como consta en acta No. 41.02.01.030</t>
  </si>
  <si>
    <t>Control de calidad
.Operación planta con insumos quimicos
.Dotación de equipos</t>
  </si>
  <si>
    <t>Const. Red acueducto Aldea de la Felicidad.  Conv. 004 marzo 22/19</t>
  </si>
  <si>
    <t>Contrato Interadmnistivo 001 4/01/2019 x Vr T. 611,643,105.  Usuarios beneficiados 151</t>
  </si>
  <si>
    <t>Publicdidad radial y perifoneo</t>
  </si>
  <si>
    <t xml:space="preserve">Operadores fontaneria con detector de fuga en sectores parte céntrica </t>
  </si>
  <si>
    <t>Avenid. Libertadores (4 Ml), Garcia Rovira (4 ml) Garc. Herreros (2ml) San José (4ml) Batallón (5ml)</t>
  </si>
  <si>
    <t>Se solicito cdp No. 2019000613  12/06/2019 x 305030741</t>
  </si>
  <si>
    <t xml:space="preserve">Reposiciones menores </t>
  </si>
  <si>
    <t>Contrato Interadmnistivo 001 4/01/2019 x Vr T. 611,643,105.  Usuarios beneficiados 111</t>
  </si>
  <si>
    <t>Convenio 009 mayo 8/2019</t>
  </si>
  <si>
    <t>Contrato Interadmnistivo 001 4/01/2019 x Vr T. 611,643,105.  Usuarios beneficiados 122</t>
  </si>
  <si>
    <t>Se realizan los controloes y campañas de sensibilización para su utilización; sin embargo no se estan cobrando.  En 2018 se adelantaron 2 procesos, los cuales fuern declarados desiertos.</t>
  </si>
  <si>
    <t xml:space="preserve">Se inicio proceso de cotizaciones, se va a realizar mantenimiento y actualizacion de tarjetas </t>
  </si>
  <si>
    <t xml:space="preserve">cambio de filtros de aire de la maquinaria pesada del municipio de la plata huila , cambio de llantas (CDP 2019000180-2019000288)  -  esta en proceso de contratacion         </t>
  </si>
  <si>
    <t xml:space="preserve">se esta haciento el proceso para comprar GPS y cracterizar vias terciarias y poder hacer compra de maquinaria </t>
  </si>
  <si>
    <t xml:space="preserve">contrato suministro 254/2018 alimentación y alojamiento para unidades de apoyo policia Nal.  </t>
  </si>
  <si>
    <t>Se inicio el proceso de contratación para la compra de 2 camaras de seguridad.  Sin embargo existe un compromiso con el gobierno dptal para la donación de 10 camaras de seguridad al mpio, las cuales ya fueron incluidas en el plan de adquisición del dpto.</t>
  </si>
  <si>
    <t>Se inicio el proceso de contración para el mantenimiento preventivo y correctivo de 14 camaras de seguridad para restablecer el circutio cerrado de tv</t>
  </si>
  <si>
    <t xml:space="preserve">Celebracion Convenio No. 005-2019 con ASOMSURCA se encuentra en ejecucion. </t>
  </si>
  <si>
    <t xml:space="preserve">CUMPLIDO </t>
  </si>
  <si>
    <t xml:space="preserve">CUMPLIDA </t>
  </si>
  <si>
    <t>Contrato No. 235-2019</t>
  </si>
  <si>
    <t>Contrato No. 082-2019</t>
  </si>
  <si>
    <t>Contrato No. 082-2019: informe de capacitacion I.E Alto cañada</t>
  </si>
  <si>
    <t xml:space="preserve">Contrato No. 234-2019 Convenio No. 157-2019 suscripcion 25/06/2019 </t>
  </si>
  <si>
    <t>“Fortalecimiento y Acreditación Internacional a emprendedores digitales del Departamento del Huila” "Telemedicina"  (dotar de tecnología a las IPS en convenio publico-privado)
Proyecto: “Historia Clínica Electrónica Unificada – Primera Fase”
Proyecto: “Plataforma Educativa Unificada”. Financiados con Gobernción, Minist. TIC, OCAD</t>
  </si>
  <si>
    <t>Planta tratamiento agua potable vda cabuyal</t>
  </si>
  <si>
    <r>
      <t xml:space="preserve">Se esta a la espera de un listado de cruce de información con el DPS, de acuerdo a acta de concertación realizada en febrero de 2017 .  Julio 15.  DPS 104 benefiiarios.  previsto A Inicio en septiembre. Se presentaron proyectos a:  Banco Agrario. 44 flias.  </t>
    </r>
    <r>
      <rPr>
        <sz val="10"/>
        <color rgb="FFFF0000"/>
        <rFont val="Arial"/>
        <family val="2"/>
      </rPr>
      <t xml:space="preserve"> REGALIAS 135 beneficiados.   FONVIVIENDA:  48 mjtos urbanos,Aprobado para iniciar contratación.  89 Mjto rural, aprobado en espera aprobac. nacional.  98 Mtos urbanos en ejeeución (490 personas beneficiadas).  32 Resguardo Gaitana en Ejecución (160 personas benef).  28 Mjto Rural (140 personas), ejecución. 23 Mjto Rural ejecución (115 personas benefic.). </t>
    </r>
  </si>
  <si>
    <t>Se realizaron con Consorsio PVG2 en casa de la cultura</t>
  </si>
  <si>
    <t>Se firmo convenio con EMSERPLA  No. 036/2019</t>
  </si>
  <si>
    <t xml:space="preserve">intradomiciliaria, fonvihuila. + 16 conv. Emserpla. Convenio 013/2018. </t>
  </si>
  <si>
    <t>20 Baterias sanitarias Cont. Obra 68573-014-2018  (PAF-ADR-0-009-2018)con Agencia desarrollo Rural</t>
  </si>
  <si>
    <t xml:space="preserve">se realizo la construcion de la cubierta vereda  el Cedro mediante  contrato n° 356 de 2017                               Se encuentra en ejecucion lla cubierta del barrio la libertad mediante contrato N° 172 del 2018    Se realizo la  construcion de  la cubierta en  la vereda la mesa de monserrate esta cubierta se esta ejecuto medianate contrato: "cunstrucion de 5 cubirtas en el Huila los recursos son cofinanciados por INDERHUILA."             Se realizo la construcion del CIC el tablon mediante contrato N° 315 del 2017 en esta obra se realizo la contrucion de una cubierta, graderias, camerinos y una tarima.                       </t>
  </si>
  <si>
    <t xml:space="preserve">Realizó capacitación </t>
  </si>
  <si>
    <t xml:space="preserve">10/08/2019.  Se coordino con la comisión de la verdad y el Alto Comisionado para la Paz toma de entrevistas grupales y taller comunitario el 8 de agosto 2019 en la biblioteca  mpal con la asistencia de 40 personas </t>
  </si>
  <si>
    <t>10/08/2019.  Existen 3 kits en bodega de ayuda humanitaria inmediata.  El 26 de abril se recepcion dctación necesaria para la formalizaci´n en apoyo subsidiario para la bolsa común dptal de 182 millones se cargo la formalización en lapag. SPAE los cuales entran en proceso de acreditación.   Contrato 106</t>
  </si>
  <si>
    <t>Se apoyo en la titulación de los bariios y/o urbanizaciones: La Reforma: 60; Mercedes: 57; Guamito I:  29;  Guamito II: 12;   San Isidro: 27; Villa Milena: 47; La Repetidora de Belén:; 22; para un total de 254 familias beneficiadas</t>
  </si>
  <si>
    <t>Cubierta Libertad (Cont. 172/2018.  686.46 M2. Vr. Total $571,313,693.  1AP $343,324,339.  2AP  $139,802,711), Bajo Moscopan (cont. 305/junio 2019.  504 M2)+ placas polideporitvos Vda cedral; aurora, EL Cerrito, Talaga, N. Irlanda, La mOrena</t>
  </si>
  <si>
    <t>Se han construido 2 torres proyecto Altos San sebastián I y II</t>
  </si>
  <si>
    <t>Julio  15.  Se apoyo a las asociciac.  Altos de Marcella, Ciudadela la Victoria, Andalucia, con un descuento del 50% en la liquidación x licenias urbanisticas</t>
  </si>
  <si>
    <t>Se apoyo en la convocatoria para la postulación de las posibles familias a beneficiarse en el proyecto Vivienda Nueva ejecutado en las vedas La Reforma, y Tálaga de Bélen, el cual viene ejecutando COMFACA</t>
  </si>
  <si>
    <t>248 Familias beneficiadas Acueudcto Santa Marta, esta en proceso de construcción</t>
  </si>
  <si>
    <t>Adecuación, instalación y pintura 2do piso Concejo Municipal, donde funciona actualmente IGAC</t>
  </si>
  <si>
    <t>Se realizo una reunión con el consejo mpal de transporte el 10 de julio de 2019, 10 de agosto.</t>
  </si>
  <si>
    <t>Se realizan campañas y cuñas radiales diferenes emisoras</t>
  </si>
  <si>
    <t>30/08/2019.  Se contrato estudio y se envio a la Superintendencia para revisión, y aún no se han realizado los ajustes sugeridos por Super</t>
  </si>
  <si>
    <t>se estan realizando manteniemientos con recebo y perfilada  y reparcheo en diferentes  vias terciarias del municipio.</t>
  </si>
  <si>
    <t xml:space="preserve">avance con el comité de cafetero  y proyecto con la OCAD paz  por medio de la gobernacion. ( 3800metros)
4.6 km la Florida y Alto Cañada </t>
  </si>
  <si>
    <t xml:space="preserve">en ejecucion convenio comité de cafetero No CN-2019-0719  Para la construcion de 76 alcantarillas  en las vias terciarias del Municipio de la Plata </t>
  </si>
  <si>
    <t xml:space="preserve">ya se cumplio la meta contrato 176-2018 puentes sobre las quebradas el  aguacatal, la isla y el zapatero  CDP 2018000171   RP 2018000340  ya se cumplio la Meta </t>
  </si>
  <si>
    <t>23 de enero se socializó el incio de la obra por parte del contratista Consorcio Huila Con Futuro, contrato N°1465 de 2018 Gobernación del Huila, 4 de abril se conforma la veeduría. 30/08/2019.  Se hizo excavación de tierra, con un avance de 5%</t>
  </si>
  <si>
    <t>SE REALIZA EL GIRO DEL 100% DE LOS RECURSOS A LAS IE SEGÚN RESOLUCION N°40.02.3-204 de abril 13 de 2019</t>
  </si>
  <si>
    <t xml:space="preserve">Se realizara el octubre </t>
  </si>
  <si>
    <r>
      <t xml:space="preserve">Capacit. "Educación tributaria, Indus y Cio y Predial".  Enero a marzo.  C. Cio, vdas Monserrate, Gallego, Villalosada, Belen y San Andres.  Participantes:  </t>
    </r>
    <r>
      <rPr>
        <sz val="10"/>
        <color rgb="FFFF0000"/>
        <rFont val="Arial"/>
        <family val="2"/>
      </rPr>
      <t>xxxx.   
.  Apertura procesos cobros coactivos. 101 notificación de predial 1 de Indus. y Cioo.     73% de ejecución de programas</t>
    </r>
  </si>
  <si>
    <r>
      <t>El día 26 de marzo de 2019 como consta en acta No. 41.02.1.027 se realizó un plan desarme denominado INTERVENCIONES Y DESARMA TU CORAZON en la IE Marillac El 13 de abril de 2019 se realizó plan desarme “intervenciones y desarma tu corazón” en la inauguración del mural “Ángeles de vida y pactos de paz” con estudiantes de la Institución Educativa MISAEL PASTRANA BORRERO y LUIS CARLOS TRUJILLO POLANCO tal y como consta en acta No. 41.02.1.050.</t>
    </r>
    <r>
      <rPr>
        <sz val="10"/>
        <color rgb="FFFF0000"/>
        <rFont val="Arial"/>
        <family val="2"/>
      </rPr>
      <t xml:space="preserve"> 31/08/2019:</t>
    </r>
    <r>
      <rPr>
        <sz val="10"/>
        <color rgb="FF000000"/>
        <rFont val="Arial"/>
        <family val="2"/>
      </rPr>
      <t xml:space="preserve">   4 julio 2019 s7n acta 41,02,1.091 se realizo plan desarme denominado "Desarmate chevere"barrio Las Mecedes.</t>
    </r>
  </si>
  <si>
    <t xml:space="preserve">Evaluacion periodica de ingresos y gastos trimestral, notas estados financieros </t>
  </si>
  <si>
    <t xml:space="preserve">1. Realizar campañas educativas a traves de emisoras (16 de julio emisora colombia estereo según acta 41-02-1-96)
2. Realizar 6 Capacitaciones en IE (2 de agosto IE liceo moderno Acta 41.02.1.106 -  26 de julio IE barrio san antonio acta 41-02-1- 100)
3. Barrios 1 y Veredas 1  (13 de agosto  vereda el tablon y vereda san isidro acta 41-02-1-110 ) </t>
  </si>
  <si>
    <t>Articular y Apoyar a las estrategias con el ICBF, sobre rehabilitacion, resocializacion y proteccion nna, (el dia 9 de julio se realizo taller pedagogico en el cdi los lirios según acta 41-02-1-95 -  30 de  julio ie san antonio acta 41-02-1-102 - 6 de agosto cdi los lirios 41-02-1-107 - 6 de agosto cdi los lirios acta 41-02-1-108 - 25 de agosto barrio altos de san sebastian acta 41-02-1-117 - 28 de agosto ie san jose 41-02-1-122)</t>
  </si>
  <si>
    <t xml:space="preserve">1. Articulacion con la diferentes entiidades
(28 de agosto colegio marillac campañas de prevencion con el grado noveno 41-02-1-120 - 30 agosto ie san sebastian docentes 41-02-1-124 - 3o de agosto villa olimpica 41-02-126) </t>
  </si>
  <si>
    <t>el 7 de junio se realizo la celebracion en el polideportivo el pomo con la asistencia de 700 personas según acta numero 41-02-1-083</t>
  </si>
  <si>
    <t xml:space="preserve">  Trabajo con padres de familia de las IE con Tema maltrato infantil contraato 059 DE 2019</t>
  </si>
  <si>
    <t>se matricularon 292 NNA,entre el mes de enero agosto. Contrato 059/2019</t>
  </si>
  <si>
    <t>se viene trabajando en convenio con el bco Davivienda a través de cultivarte, capacitando a los niños en manejo financiero y ahorro a la fecha se han capacitado 120 estudiantes de los grados quintos de la IE Marillac</t>
  </si>
  <si>
    <t>en el 2019 se  han matriculado 684 NNA victimas del conflicto contrato 059/2019</t>
  </si>
  <si>
    <t>se tiene previsto realizar a finales de agosto en apoyo con la USCO, UNAD, ESAP . Contrato 059/2019 sandra quijano</t>
  </si>
  <si>
    <t>resolucion N° 40.02.3-411</t>
  </si>
  <si>
    <t>se realizó capacitacion a docentes coloquio estudialtil  historico contrato 059/2019</t>
  </si>
  <si>
    <t>se realizó convenio 003 de 2019 con la USCO para brindar apoyo a 26 estudiantes con mejores promedios</t>
  </si>
  <si>
    <t>Se firma convenio inderadministratico con FONCULTURA N°325 del 18 de junio de 2019</t>
  </si>
  <si>
    <t>se realizó capacitaion a docentes en el area de ciencias sociales para la construcción de textos históricos</t>
  </si>
  <si>
    <t xml:space="preserve">estudio realizado por la esap </t>
  </si>
  <si>
    <t>Con el apoyo de la sec de Desarrollo Social y la ESE San Sebastian, se  realizará capacitaciones enlas 18 IE a partir del segundo semestre contrato n° 317 de 2019 claudia suaza</t>
  </si>
  <si>
    <t>se realizó depuracion de la base de datos con el fin de garantizar derechos a los NNA contrato 317/2019</t>
  </si>
  <si>
    <t>se realizó acompañamiento a la universidad a traves de solicitud contrato n° 059 de 2019 Sandra Quijano con el fin de analaizar la posibilidad de crear la carrera de gestion deportiva</t>
  </si>
  <si>
    <t>se apertura una nueva corte primer semestreen la esap</t>
  </si>
  <si>
    <t xml:space="preserve">contrato 317 /2019 Durante el mes de Julio-agosto se ha realizado seguimiento de los proyectos establecidos como son:
-- UNAD-proyecto de estudio y diseño de un sistema de alarma hidrométrica para inundaciones –avalanchas sobre el rio la plata.
- Reciclaje y reutilización para obtener energía limpia. I.E.”SAN SEBASTIAN”  
Durante el mes de Julio-agosto se ha realizado seguimiento de los proyectos establecidos como son:
-- UNAD-proyecto de estudio y diseño de un sistema de alarma hidrométrica para inundaciones –avalanchas sobre el rio la plata.
- Reciclaje y reutilización para obtener energía limpia. I.E.”SAN SEBASTIAN”  
</t>
  </si>
  <si>
    <t>Resolución N° 40.02.3-424 del 31 de julio de 2019</t>
  </si>
  <si>
    <t>Se lleva a cabo la convocatoria y  talleres en el primer semestre con instructores contratados: 155-2019, 156-2019, 144-2019, 199-2019, 304-2019</t>
  </si>
  <si>
    <t>Lanzamiento del 62 Festival Folclórico en el Marco de Expooccidente 2019, 13 Festival de la Cultura “Por un Huila en Sana Convivencia”. Contrato: 171-2019. Apoyo en gestión al Evento de Afrocolombianidad. Contrato 058-2019 acompañamiento a eventos y actividades culturales. Contrato 127-2019 acompañamiento. 320-2019 (20 Julio)</t>
  </si>
  <si>
    <t>Contratación de personal para apoyara estas actividades. Contrato: 123-2019, 127-2019.</t>
  </si>
  <si>
    <t>Se desarrolló el 62 Festival Folclórico y Sampedrino del Municipio de La Plata del 21 junio al 1 de julio de 2019. Contratos: 258-2019, 120-19, 245-2019 (carrozas).</t>
  </si>
  <si>
    <t>Se logró la declaratoria de Patrimonio cultural inmaterial el 21 de mayo de 2018, con la resolución 0238 de 2019 emitida por la Gobernación del Huila. Apoyo por parte de la gestión del contrato: 120-19, 304-2019 (inventario)</t>
  </si>
  <si>
    <t>Se desarrollaron 4 peñas urbanas y 2 rurales. Contrato: Contrato: 171-2019, 127-2019 acompañamiento.</t>
  </si>
  <si>
    <t>se realizó estudio de  vibilidad de la esap</t>
  </si>
  <si>
    <t>La contratista Monica Molina esta realizando mensualmente capacitación a 10 personas en manejo de  TICS y llave del saber (70) personas hasta el mes de agosto contrato 123-2019 y 304-2019</t>
  </si>
  <si>
    <t xml:space="preserve">Es un convenio durante el cuatrienio y este ya fue celebrado en el año 2016, por lo tanto esta meta ya se cumplio en su totalidad, y tambien se estan haciendo apoyos culturales en la ludoteca producto del convenio.114-2019 </t>
  </si>
  <si>
    <t>en febrero de  2019 se gestiono una dotacion bibliografica por parte del ministerio de cultura a travez de la biblioteca nacional y el municipio dotó de bibliografía contrato 321-2019</t>
  </si>
  <si>
    <t>se realizo capacitacion en el municipio de Gigante los dias 1 y 2 de agosto de 2019 a travez de la red departamental de bibliotecas publicas.</t>
  </si>
  <si>
    <t xml:space="preserve">se desarrollo biblioteca  movil en la zona urmaba ie luiscarlos, hohar infantil la plata y ced; enla zona rural I E tecnico agricola; y el Salado </t>
  </si>
  <si>
    <t xml:space="preserve">programa promocion de lectura   en hogares comunitarios del municipio </t>
  </si>
  <si>
    <t>esta en proceso de contaratación para el segundo seemestre fase final de restauracion templo san Andres; se presento proyecto para infraestructura de biblioteca quedo viabilizado a la espera de recursos.y se contrato al señor Carlos Mario Achury para el mantenimiento de la casa de la cultura numero de contrato 164-2019</t>
  </si>
  <si>
    <t>SE ESTA ACTUALIZANDO EL PLAN LOCAL DEPORTE</t>
  </si>
  <si>
    <t>se realizo la  contrucion de  la cubierta barrio la libertad  N de contrato 172 de 2018. Se encuentra en aprovacion por parte de regalias la construcion de 8 cubiertas en el municipio. Se realizo la construccion de las cubirtas del san andres, alto rico y pedro maria ramires la cual en el 2017 se realizo el contrato pero no estaban reportadas como terminadas. Se realizo la construccion de la cubierta en la vereda la florida. la obra fue realizada por el INDERHUILA. Se realizo la Construcion de la cubierta de la villa olimpica mediante contrato 350 de 2017.</t>
  </si>
  <si>
    <t>Se realizo el contrato de prestacion de servicios y apoyo a la gestion N. 122 de 2019 quien es la persona encargada de realizar el mantenimiento  de los escenarios deportivos villa olimpica, polideportivo el pomo y polideportivo de barrio camilo torres. Se realizo la construccion de graderias y tarima de la cancha cubierta vereda la florida mediante contrato 150 de 2019. Se realizo la contrucion y mantenimiento de la malla de proctecion de los escenarios deportivos villa olimpica, polideportivo el pomo y polideportivo del barrio san rafael mediante contrato 350 de 2018</t>
  </si>
  <si>
    <t>Se encuentra en proceso de contratacion en la gobernacion para la costrucion de un parque biosaludable en el barrio divino niño.</t>
  </si>
  <si>
    <t>Se encuentra en proyecion una actividad de un deporte alternativo a desarrollarse en el municipio</t>
  </si>
  <si>
    <t>Se presento un proyecto a Inderhuila Para la cofinanciacion de un festival deportivo y recreativo para personas con discapacidad la actividad esta programada para desarrollarse en el mes de septiembre.</t>
  </si>
  <si>
    <t>Se encuentra en proceso de aprobacion el proyecto de construcion de la aldea de la feliciad la cual quedara ubicacda en la salida a garzon</t>
  </si>
  <si>
    <t>Se realizo un contrato de prestacion y de servicios y apoyo ala gestion N. 151 de 2019 la cual es la persona encargada de brindar el acompañamiento a la escuela de formacion Villa San sebastian en la disciplina de futbol  y la escuela deportiva san francisco. Se realizo un contrato de prestacion de servios y apoyo a la gestion N 265 de 2019 cuyo objeto es bridar el acompalñamiento a las escuelas de formacion de Belemitas, gallego y el cedro.</t>
  </si>
  <si>
    <t>Se realizo apoyo a 40 deportitas con uniformes deportivos la cual nos van a representar en los juegos intercolegiados superate  fase departamental mediante contrato 319 de 2019</t>
  </si>
  <si>
    <t>Se realizo apoyo al Clud Deportivo Independiente con hidratacion para la realizacion del festval de futbolsala la cual se realizo el dia 25 de agosto.</t>
  </si>
  <si>
    <t>1) Publicación del Mapa turístico de la Plata segunda versión. Publicado para descarga en página web de la Alcaldía: http://www.laplata-huila.gov.co/turismo/mapa-turistico-de-la-plata-suroccidente-del-huila-y-341396 . 2) También participación en la 38 Vitrina Turística de Anato 2019, ver página web de la Alcaldía de La Plata: http://www.laplata-huila.gov.co/noticias/mapas-turisticos. 3) Gestión de coordinación para participación de empresas turísticas en Stand de Expoccidente 2019.</t>
  </si>
  <si>
    <t xml:space="preserve">Celebracion Convenio No. 005-2019 con ASOMSURCA se encuentra en ejecucion. 1) Informe 001  (se reportan 53 actas de visita en la veredas: San Francisco, laderas,independencia,Alto patico,Alto Getzen, Bajo Retiro,El Rosal, El limon en el periodo comprendido 17 de junio al 24 de julio de 2019)    </t>
  </si>
  <si>
    <t xml:space="preserve">Convenio No.030-2019 Realizacion de la version 178 feria equina que se llevo acabo en el municipio de La Plata Huila entre los dias 26,27,28,29 de julio de 2019; estado terminado, pendiente informe final y liquidacion </t>
  </si>
  <si>
    <t xml:space="preserve">Celebracion Convenio No. 005-2019 con ASOMSURCA se encuentra en ejecucion. (taller de capacitacion de seguridad alimentaria en el proceso productivo beneficiando 55 usuario de las diferentes veredas: Cerrito, Bajo Getzen, Bajo Retiro La Morena, El Bosque, Cabuyal, El Rosal, Villa Mercedes, Gallego y El Paraiso  </t>
  </si>
  <si>
    <t xml:space="preserve">Celebracion Convenio No. 005-2019 con ASOMSURCA se encuentra en ejecucion. (realizacion de dos acompañamientos para mejoramiento paisajistico en articulacion con aprendices del sena </t>
  </si>
  <si>
    <t xml:space="preserve">Celebracion Convenio No. 005-2019 con ASOMSURCA se encuentra en ejecucion. Siembre de 2000 especimenes para reforestacion actividad que se llevo a cabo el 9, 29 de abril de 2019, en articulacion con la CAM en la vereda Chiclicambe.  Contrato No. 080/2019 fecha inicio 18/01/2019 fecha finalizacion 16/05/2019. </t>
  </si>
  <si>
    <t xml:space="preserve">Contrato No. 081-2019  (Formulación y presentación del proyecto PLAN INTEGRAL DE SUSTITUCION DE VEHICULOS DE  TRACCION ANIMAL EN EL MUNICIPIO DE LA PLATA DEPARTAMENTO DEL HUILA cuyo objetivo es Sustituir 33 vehículos de tracción animal, a través de un Plan Integral que se compone de dos alternativas productivas en el municipio de La Plata Departamento del Huila. Este proyecto se radico en la Gobernacion del Huila  (La copia del oficio de radicación reposa en la carpeta del CPS 081-2019) En espera de la respuesta) Contrato No. 234/2019 fecha inicio 05/06/2019 finalizacion 14/12/2019: </t>
  </si>
  <si>
    <t>REPETIDA EN EL PUNTO 468</t>
  </si>
  <si>
    <t xml:space="preserve">Contrato No. 234-2019 </t>
  </si>
  <si>
    <t xml:space="preserve">Convenio No. 344-2018 Adquisicion predio El Chuscal, escritura No. 542 y registrado mediante la matricula N 204-17734, con una superficie de 230 has con 3294 metros2 </t>
  </si>
  <si>
    <t xml:space="preserve">Contato No. 234-2019 </t>
  </si>
  <si>
    <t xml:space="preserve">Convenio No. 005-2019 ASOMSURCA realizacion de dos capacitaciones sobre efectos del cambio climatico y practicas para contrarestarlo actividad llevada a cabo los dias 12 y 13 de junio de 2019, beneficianco a 51 usuario de las diferentes veredas del municipio de La Plata  </t>
  </si>
  <si>
    <t>En proceso de contratación adecuación pabellón de carnes.  Igualmente mediante contrato prestación servicio a través del sector deporte se hace mantenimiento a las zonas verdes de los diferentes espacios publicos y parques</t>
  </si>
  <si>
    <t>Ejecución un 78%</t>
  </si>
  <si>
    <t>30-09-2019.  Avance trabajo zona urbana 24.74% y zona rural 28,36%</t>
  </si>
  <si>
    <t xml:space="preserve">Dotación equipos mobiliarios para las salas de bilinguismo y tecnologia e informatica de la insticuion educativa tecnico agricola la plata.
2.  zona wiffi ministerio convenio ineradministrativo NO. 1779 de 2016 suscrito entre la nación miniterio de linterior fondo Nacional de Seguridad y Convivencia ciudadana FONSECON y el municipio de La Plata.
3.  Ventanilla Unica
4.  Computadores para Educar </t>
  </si>
  <si>
    <t xml:space="preserve">Se tiene programado reunion el 11 sept. Con profesores de la IE ITA para revisar 2 proyectos que estan realizando.  Igulamente 13 de sept. Con Sr Pablo Riascos profesor IE San Sebastián quien es el responsable del program ade semilleros.  Proyecto "Desarrllo de como mejorar los resultados de las pruebas externas a traves del uso eficiente de las herramientas tecnologicas, presentado por el Licenciado Carlos Humberto Charry Rivera de la I:E. Marillac.  </t>
  </si>
  <si>
    <t>Se logro la actualización gobierno en linea a traves de la herramienta SUIT logrando la meta de 100%</t>
  </si>
  <si>
    <t>A través de la sría de planeación se implementó un sistema de comunicación virtual mediante el uso de herramienta digital llamada "recepción de solicitud" la cual esta acoplada con elsistema de Extranet o ventanilla unica, se encuentra en la pag WEB del mpio, con el fin de que usuarios puedan solicitar ciertos t´ramites el línea.  "Menú, atención ciudadano-recepción solicitudes".    A través de la herramienta SUIT se integraron 88 trámites inscritos y aprobados en  especiales los de la sría de hacienda mpal.</t>
  </si>
  <si>
    <t>MEJORAMIENTO DE LAS CONDICIONES DE HABITABILIDAD EN EL MUNICIPIO DE LA PLATA -FONVIHUILA-</t>
  </si>
  <si>
    <t>230707
260104</t>
  </si>
  <si>
    <t>Contrato PSAG No. 012-2019. del 10 enero al 8 mayo 2019, 15 DE OCTUBRE CONTRATO 178 DE MAYO DE 2019 VALOR 9.173.300  RUBRO 231701 FUENTE 260404</t>
  </si>
  <si>
    <t xml:space="preserve">30 AGOSTO, SE SUSCIBIO EL CONVENIO INTERADMINISTRATIVO N° 770 DE 2017 CON LA ESAP  PARA ARTICULLAR ESFUERZO TECNICO ADMON DEL ESTUDIO TECNICO DE LA RESTRUCTURACION ADMON DEL MUNICIPIO, A LA FECHA SE CUENTA CON EL DIAGNOSTICO DE LA ORGANIZACIÓN Y EL ESTUDIO TECNICO PARA EL REDISEÑO Y REMODERNIZACION. NO AFECTO PRESUPUESTO, 15 DE OCTUBRE DE CONFORMIDDAD CON EL ACUERDO N°13-010 DEL 6 DE JUNIO DE 2019, POR MEDIO DEL CUAL SE ACTUALIZA Y COMPLILA LA NORMATIVA RELATIVA A LA ESTRUCTURA ORGANICA DDE LA ADMINISTRACION CENTRLA DEL MPIO DE LA PLATA H Y SE DICTAN OTRAS DISPOSICIONES APROBADA POR EL CONCEJO MPAL EL DIA 6 DE JUNIO DE 2019. </t>
  </si>
  <si>
    <t>OJO ELIANA INFORMACION RUBRO 231701 SE CONTRATAN PROFESIONALES EN DERECHO, CONTRATISTAS S. HACIENDA, SISTEMAS. VALOR 323.965.350 EJECUTADO A LA FECHA 31 DE AGOSTO</t>
  </si>
  <si>
    <t xml:space="preserve">SE REALIZO CAPACITACION EL DIA 13 DE AGOSTO DE EMPALME APOYADO POR EL ASESOR DE CONTROL INTERNO, DIRIGIDO AL EQUIPO DE LA ADMINISTRACCION MPAL, EN LA SALA DE JUNTAS DEL EDIFICIO MUNICIPAL, LA 2 CAPACITACION SE REALIZO  SE DIO CON EL SEMINARIO DE CONTRATACION ESTATAL EL DIA 26 Y 27 DE SEPTIEMBRE CON CONTROL INTERNO DIRIGIDO A PERSONAL DE LA ADIMINISTRACION MUNICIPAL DADO POR LA ESAP.  </t>
  </si>
  <si>
    <r>
      <t xml:space="preserve">El 24 de abril de 2019 se realizó operativos de pesas y medidas en la plaza de mercado de este municipio, tal y como consta en acta No. 41.02.1.053. El 25 de abril de 2019 se realizó operativo de pesas y medidas en los establecimientos de comercio localizados en el Barrio San Rafael y La Pola tal y como consta en acta No. 41.02.1.057 El 26 de abril de 2019 se realizó operativo de pesas y medidas en los establecimientos de comercio ubicados en la Plaza de mercado de este municipio tal y como consta en acta No. 41.02.1.059 El 23 de abril de 2019 se realizó operativo de pesas y medidas a la plaza de mercado de este municipio tal y como consta en acta No. 41.02.1.052  INFORME </t>
    </r>
    <r>
      <rPr>
        <sz val="10"/>
        <color rgb="FFFF0000"/>
        <rFont val="Arial"/>
        <family val="2"/>
      </rPr>
      <t xml:space="preserve">AGOSTO 30 se realizó operativo de pesas y medidas a la plaza de mercado de este municipio tal y como consta en acta No. 41.02.1.052. El 13 de agosto de 2019 se realizó operativos de pesas y medidas en las estaciones de servicio  de este municipio, tal y como consta en acta No. 41.02.1.111 - 15 DE OCTUBRE,      EL DIA 24 OCTU SE REALIZO OPERT EN PLAZA DE MERCADO ACT 41.02.1.172, DIA 25 OCT EN EL BARRIO LA POLA ACTA 41.02.1.174                                                                                               </t>
    </r>
  </si>
  <si>
    <r>
      <t>DUSTER; Minibus infancia y adolescencia y camioneta doble camina CTI,  esta compra se realizo en el 2017 junto con las motocicletas.</t>
    </r>
    <r>
      <rPr>
        <sz val="10"/>
        <color rgb="FFFF0000"/>
        <rFont val="Arial"/>
        <family val="2"/>
      </rPr>
      <t xml:space="preserve"> 15 OCTUBR, DURANTE LA VIGENCIA 2019 LAS INSTITUCI ENCARGAD DE BRIINDAR SEGUR Y GARANTIZA UNA PACIFIC CONVIVENCA CIUDADNA NO PRESETNARON ENTRE SUS NECESIDADES LA ADQUISICION DE MAS VEHICULO.</t>
    </r>
  </si>
  <si>
    <t xml:space="preserve">La Policia Nal. Presento un plan de estrategias para la sana convivencia y seguridad ciudada y const. De paz donde determinó la compra de materiales de prevención para hacer diferentes campañas. Se proyecto dentro del mismo plan un recurso 2,140,000.  Teniendo en cuenta que existe una adición presupuestal de 100 millones para las instituciones se esta a la espera de los proyectos para realizar contrataciones conjuntas. </t>
  </si>
  <si>
    <r>
      <t xml:space="preserve">Existe 10 millones y se ocmunico la existencia de los recursos, y se esta a la espera de la contestacion donde ocomunicquen interes de suscribir conv. De cooperación para la asignación de los recursos,  </t>
    </r>
    <r>
      <rPr>
        <sz val="10"/>
        <color rgb="FFFF0000"/>
        <rFont val="Arial"/>
        <family val="2"/>
      </rPr>
      <t>SE REITERO OFICIO EN EL MES DE JULIO DE 2019, SIN EMBARGO A LA FECHA CORTE 30 AGOSTO EL INPEC HA OMITIDO RESPUESTA OPERANDO</t>
    </r>
    <r>
      <rPr>
        <sz val="10"/>
        <color rgb="FF000000"/>
        <rFont val="Arial"/>
        <family val="2"/>
      </rPr>
      <t xml:space="preserve"> </t>
    </r>
    <r>
      <rPr>
        <sz val="10"/>
        <color rgb="FFFF0000"/>
        <rFont val="Arial"/>
        <family val="2"/>
      </rPr>
      <t>SILENCIO PARA SUSCRIBIR CONVENIO. EL INPEC NO MANIFESTO CARTA DE INTENSION PARA LA SUSCCRIPCION DEL CONVENIO, POR TANTO PARA LA ACTUAL VIGENCIA NO SE REALIZARA CONVENIO INTERADMINISTRATIVO CON ESTA ENTIDAD</t>
    </r>
  </si>
  <si>
    <r>
      <t>Desde enero hasta la fecha se han realizado 62 operativos de los cuales se han decomisado 6 bovinos y 28 equinos garantizando de esta manera el funcionamiento del cos</t>
    </r>
    <r>
      <rPr>
        <sz val="10"/>
        <color rgb="FFFF0000"/>
        <rFont val="Arial"/>
        <family val="2"/>
      </rPr>
      <t>o municipal.  15 OCT SE CUMPLE CON EL CONTRATO CRISTIAN VALOR 6 MILLONES</t>
    </r>
  </si>
  <si>
    <t>AGOSTO A TRAVES DE COMVOCATORIA A LOS PERSONEROS Y ORGANIZACIONES JUVENILES SE REALIZO LA RENOVACION DE INTEGRANTES DE LA PLATAFORMA Y REACTIVACION DE LA MISMA EN LAS FECHAS 16 DE JULIO Y 16 DE AGOSTO DE 2019  CON LA PARTICIPACION DE 12 INTEGRANTES, CONTRATO 263 RUBROS 231407041-231418041 Y FUENTE 110101 RECURSO HYMANO 117.800.</t>
  </si>
  <si>
    <r>
      <t xml:space="preserve">Se realizó 1 el 12 de marzo, participación 120 personas, REPORTE DEL </t>
    </r>
    <r>
      <rPr>
        <sz val="10"/>
        <color rgb="FFFF0000"/>
        <rFont val="Arial"/>
        <family val="2"/>
      </rPr>
      <t>29 OCTUBRE, SE REALIZA EL VIERNES 1 DE NOVIEMBRE CONTRATO 351 DE APOYO LOGISTICO DE 2019, RUBRO 231418041, 231407041, FUENTE 110101 VALOR 1.181.667, POBLACION BENEFICIADA 150 PERSONAS APROXIMADAMENTE.</t>
    </r>
  </si>
  <si>
    <r>
      <rPr>
        <sz val="10"/>
        <color rgb="FF0066FF"/>
        <rFont val="Arial"/>
        <family val="2"/>
      </rPr>
      <t>INFORME DEL 15 SEPTI</t>
    </r>
    <r>
      <rPr>
        <sz val="10"/>
        <color rgb="FFFF0000"/>
        <rFont val="Arial"/>
        <family val="2"/>
      </rPr>
      <t xml:space="preserve">  ....SE</t>
    </r>
    <r>
      <rPr>
        <sz val="10"/>
        <color rgb="FF00B050"/>
        <rFont val="Arial"/>
        <family val="2"/>
      </rPr>
      <t xml:space="preserve"> REALIZO EL DIA 6 DE SEPT REUNION CON LA PLATAFORMA PARA PARA SOCIALIZAR EL ACUERDO N° 10.02.02-066 DEL 21 DE JUNIO DE 2019 LUGAR OFICIAN ENLACE DISCAPACIDAD VALOR  61.240</t>
    </r>
    <r>
      <rPr>
        <sz val="10"/>
        <color rgb="FFFF0000"/>
        <rFont val="Arial"/>
        <family val="2"/>
      </rPr>
      <t>, SE REALIZO EL DIA VIERNES 13 DE SEPTI EN LA CASA DE LA CULTURA HOR 4:00 PM, CON LA PARTICIPACION DE 12 INTEGRANTES DE LA COMISION DE CONCERTACION Y DECISION. RUBRO 231407041, 231418041 FUENTE 110101 CONTRATO TALENTO HUMNO 263 POR 61.290. 15 OCTUBRE SE HISO REUNIION EL DIA 18 DE OCTUVRE DE 2019 PARA LA SOCIALZIACION DE TEMAS DE JUVENTUD EN POLITICA PUBLICA Y RENDICION CUENTAS DE JUVENTUD EN LA SALA DE JUNTA DE LA ALCALDIA PARTICIPACION DE 15 PESONAS VALOR D61.290</t>
    </r>
  </si>
  <si>
    <t xml:space="preserve">29 DE OCTUBRE, EN ARTICULACION CON CASA DE LA C,D Y TURISMO SE TIENE PROGRAMADO REALIZAR UN FESTIVAL CULTURAL PARA POBLACION JOVEN, CONTRATO LOGISTICO EN EJECUCION 351 DE 2019 RUBRO 231418041, 231407041, FUENTE 110101, VALOR 2.006.000 </t>
  </si>
  <si>
    <t>29 OCTUBRE, CONTRATO 351 DE 2019, PARA GARANTIZAR EL APOYO LOGISTICO DEL ENCUENTRO DE JUVENTUD DONDE SE REALIZARAN ACTIVIDADES REACREATIVAS Y MURALISMO EL DIA SABADO 2 DE NOVIEMBRE EN LA VILLA OLIMPICA, RUBRO 231418041-231407041, FUENTE 110101 VALOR 2.701.920</t>
  </si>
  <si>
    <t>CONTRATO 351 DE 2019, PARA GARANTIZAR EL APOYO LOGISTICO DEL ENCUENTRO DE PERSONEROS DDE I.E  SE REALIZARA ACTIVIDAD DE CAPACITACION EN LIDERAZGO EL DIA 31 DE OCTUBRE EN LA LA BIBILOTECA MUPAL RUBRO 231418041-231407041, FUENTE 110101 VALOR 1.762.000</t>
  </si>
  <si>
    <t>15 OCTUBRE,  SE ESTA EN PROCESO DE ESTUDIO DE NORMAS LEGALES QUE REGULAN LOSS DERECHOS DE LA MUJER, ASI MISMO SE CUENTA CON UN AVANCE DEL % DE MUJERES DEL MUNICIPIO OTORGADO POR EL SISBEN COMO SUMINISTRO PARA INICIAR LA CARACTERIZACION, SE CUENTA CON EL INDICADOR DE VIOLENCIA DE GENERO CON UN INDICADOR DE 496 DEL 2017 AL 2019 SE CUENTA CON 508 CASOS. CONTRATO 311, RUBRO 231410, FUENTE 260401, VALOR 483.333</t>
  </si>
  <si>
    <t>SE REALIZO CONVOCATORIA EL DIA 9 DE AGOSTO CON LOS ENLACES DE LA ADMINISTRACION Y SE RALIZO LA CAMPAÑA CON CAPACITACION EL DIA 14 DE AGOSTO EN LA CASA DE LA CULTURA CON LA PRESENCIA DE 20 MUJERES APROXIMADAMENTE.</t>
  </si>
  <si>
    <t>SE CONVOCO AL CONSEJO EL DIA 5 DE JULIO Y LA ACTIVIDAD SE REALIZO EL DIA 12 DE JULIO EN LA SALA DE JUNTAS CON LA PRESENCIA DE UN ENLACE DE LA GOBERNACION, EN LA CUAL SE ELIGIO DOS REPRESENTANTE AL CONSEJO DEPARTAMENTAL DE MUJERES, Y EL DIA 26 DE OCTUBRE SE REALIZO EL ENCUETNRO Y SE RENOVO EL CONSEJO EN LA SALA DE JUNTAS</t>
  </si>
  <si>
    <r>
      <t xml:space="preserve">Se solicito cdp x vr 67,678,541 para adecuación y mjoto de la infraest. Casa centro día.  Se subio a pag. El 15 de mayo, </t>
    </r>
    <r>
      <rPr>
        <sz val="10"/>
        <color rgb="FFFF0000"/>
        <rFont val="Arial"/>
        <family val="2"/>
      </rPr>
      <t>CORTE 17 OCTUBRE</t>
    </r>
    <r>
      <rPr>
        <sz val="10"/>
        <color rgb="FF000000"/>
        <rFont val="Arial"/>
        <family val="2"/>
      </rPr>
      <t xml:space="preserve"> </t>
    </r>
    <r>
      <rPr>
        <sz val="10"/>
        <color rgb="FFFF0000"/>
        <rFont val="Arial"/>
        <family val="2"/>
      </rPr>
      <t>ESTA EJECUTANDO CONTRATO314 de 2019 POR VALOR DE 67.677.291  VAN EN EL 100%, RUBRO 23140401 FUENTE 120803, PENDIENTE LIQUIDAR</t>
    </r>
  </si>
  <si>
    <r>
      <t xml:space="preserve">Se esta ralizando desde febrero los días miercoles y jueves en los sectores de Bellavista y Casa Centro día, articulado con SENA, </t>
    </r>
    <r>
      <rPr>
        <sz val="10"/>
        <color rgb="FFFF0000"/>
        <rFont val="Arial"/>
        <family val="2"/>
      </rPr>
      <t>17 0CT SE TERMINA ACTIVIDAD  EN EL MES DE NOVIEMBRE CON EL SENA ESTAN FIJADAS FECHAS CONTRATO 244 DE 2019 FUENTE 120803, RUBRO 231404041 VAOLOR  400.000</t>
    </r>
  </si>
  <si>
    <t>CONTRATO N 104 DE 2019 POR VALOR DE 5.000.000 FUENTE 120805, RUBRO 23140401, Y CONTRATO 244 VALOR 7.000.000 ADEMAS DEL CONTRATO DE PRESTACION DE SERVICIOS CUIDADO INTEGRAL Y ALOJAMIENTO DE 16 ADULTOS MAYORES CONTRATO CON EL HOGAR LA MILAGROSA CON LA FUNDACION SAN VICCENTE DE PAUL VALOR 42.000.000 FUENTE 120803, RUBRO 231404041</t>
  </si>
  <si>
    <t>SE ELABORO PROTOCOLO DE ATENCION Y SE APROBO EN EL CONSEJO DE GOBIERNO EL DIA 17 DE OCTUBRE ACTA N° 33 PARA QUE DIVULGUE CON LAS DEPENDENICAS Y SE INICIE SU IMPLEMENTACION A PARTIR DE SU APROBACION.</t>
  </si>
  <si>
    <t>SE REALIZO CAPACITACION EL DIA 12 DE JUNIO EN LA I.E EL SALADO POR LA SECRETA EN TEMAS DE CONCEPTOS DE GENERO, SEXUALIDAD, EL DIA 20 DE AGOSTO 2019, EN I.E MISAEL PASTRAN TEMAS DE PROMOVER EL RESPETO Y LA ACCEPTACION DE LAS DIRERENCIAS DIRIGIDAS A LA POBL LGBTI Y ENTONO COMUNITARIO A LA ADOLESCENCIA Y A LA VEJEZ EN LA ZONA URBANA EN CONCEPTOS DE SEXUALIDAD, SEXO E IDENTIDAD DE GENERO.</t>
  </si>
  <si>
    <r>
      <rPr>
        <sz val="10"/>
        <color rgb="FF0066FF"/>
        <rFont val="Arial"/>
        <family val="2"/>
      </rPr>
      <t>INFORME SEP 15</t>
    </r>
    <r>
      <rPr>
        <sz val="10"/>
        <color rgb="FFFF0000"/>
        <rFont val="Arial"/>
        <family val="2"/>
      </rPr>
      <t xml:space="preserve"> ----SE REALIZO EL 4 SEGUIMIENTO A LA POLITICA PUBLICA DE DISCAPACIDAD MEDIANTE COMITÉ LOCAL DE DISCAPACIDAD, EL DIA 11 DE SEPT DE 2019 EN LAS INSTALACIONES DE LA ALCALDIA CON LA PRESENCIA DE 16 INTEGRANTES DE REPRESENTANTE DE DISCAPACIDA Y SECRET DE DESPACCHO. TALENTO H CONTR 262 RUBRO 23140-7041 FUENTE 110101 VALOR 40.300 Y CONTR 263 RUBRO 231407041-231418041 FUENTE 110101 VALOR 61.290.</t>
    </r>
  </si>
  <si>
    <t>PRIMERO SE CREO EL PROYECTO DE ACURDO PARA LA CREACION DE UN BANCO DE AYUDAS TECNICAS, Y LUEGO SE ALIMENTÓ EL MISMO CON DOTACION EL CUAL NO ESTABA PROGRAMADO  CONTRATO 342 DE 2019 RUBRO 231407042 FUENTE 110101 VALOR 8.099.980</t>
  </si>
  <si>
    <r>
      <t>Ya se ejecuto la fiesta san pedrina y se realizará el día discapacidad el 22 noviembre,</t>
    </r>
    <r>
      <rPr>
        <sz val="10"/>
        <color rgb="FFFF0000"/>
        <rFont val="Arial"/>
        <family val="2"/>
      </rPr>
      <t xml:space="preserve"> 29 OCTUB, EL DIA 30 DE OCTUBRE DE 2019 SE REALIZARA LA CELEBARACION DEL DIA DE LA DISCAP EN LA VILLA OLIMPICA CON LA PARTICIAPACION DE APROXIMAD 150 PERSONAS, CONTRATO 351 DE 2019,  RUBRO 231418041-231407041, FUENTE 110101 VALOR 3.999.000</t>
    </r>
  </si>
  <si>
    <t>17 OCTUBRE SE COMPRO MATERIALES PARA CURSO DE MADERA COUNTRY EN ARTICULACION CON EL SENA CDP 2019000767 FUENTE 23147042 RBRO 231407042 VALOR CONTRATO 1.020.000 # 342 DE 2019 CONTR.</t>
  </si>
  <si>
    <t>15 DE OCTUBRE , REALIZO CAPACITACION EN INCLUSION SOCIAL AFRODECIENDIENTE EL DIA 31 DE AGOSTO EN LA CASA DE LA CULTURA DIRIGIDO A 14 INTEGRANTES RUBRO 231410, FUENTE  260401, VALOR RECURSO HUMANO- 43.333 DEL CONTRATO 311 DE 2019 LA SEGUNDA SE REALIZO SOBRE EL IMPACTO DE LA LEY POSITIVO DE LA LEY 70 DE LA POBLACION AFRO DIRIGIDO A 54 PARTICIPANTES EL DIA 28 DE SEPTIEMBRE VALOR 43.333</t>
  </si>
  <si>
    <t>SE CAPACITO A 75 AFROS EN ARTICULACION CON EL SENA EN LOS MESES DE JULIO Y AGOSTO POR FASES Y A CORTE 30 DE AGOSTO SE CUMPLE EL 100 DE LAS FASES EN LA PRIMERA FASE, CURSO COMPLEMENTARIO DE PLANTAS MEDICINALES AROMATICAS,CONDIMENTARIAS CON ENFOQUE A LAS BUENAS PRACTICAS AGRICOLAS, RUBRO 231410, FUENTE  260401, VALOR RECURSO HUMANO- 966.666 DEL CONTRATO 311 DE 2019</t>
  </si>
  <si>
    <t>SE CELEBRO EL DIA 18 DE MAYO EN EL CENTRO RECREACIONAL EL POMO CON LA PRESENCIA CON APROXIMADAMENTE 120 PERSONAS. LA SEGUNDA ACTIVIDAD SE REALIZO EL DIA DOMINGO 25 DE AGOSTO EN LA CASA DE LA CULTURA CON LA PRESENCIA DE 70 PARTICIPANTES APROXIMADAMENTE, RUBRO 231410, FUENTE  260401, VALOR RECURSO HUMANO- 966.666 DEL CONTRATO 311 DE 2019</t>
  </si>
  <si>
    <r>
      <t xml:space="preserve">Se radico proy. Para realizar el plenaria el 21 mayo.  10/08/2019.  Se realizó la primera plenaria  el 8 y 9 agosto en Restaurante puerta 54.  Se tiene proyectado realizar la segunda el 27 y 28 de agosto. </t>
    </r>
    <r>
      <rPr>
        <sz val="10"/>
        <color rgb="FFFF0000"/>
        <rFont val="Arial"/>
        <family val="2"/>
      </rPr>
      <t>AGOSTO 30 CONTR N°328 DE 2019  SE REALIZO PRIMER PLENARIO ORDINARIO LOS DIAS 8-9 DE AGOSTO Y PRIMER PLENARIO EXTRAHORDINARIO EL DIA 24 DE AGOSTO EN EL RESTAURANTE PUERTA 54 RUBRO 231420103 -231420106-231420203, FUENTE 110101 APOYO LOGISTICO 5.133.000 INSENTIVO 7.867.000, SEGUNDO PLENARIO ORDINARIO  EL DIA 4-5 DE AGOSTO,</t>
    </r>
    <r>
      <rPr>
        <sz val="10"/>
        <color rgb="FF0066FF"/>
        <rFont val="Arial"/>
        <family val="2"/>
      </rPr>
      <t xml:space="preserve"> 5 NOVIEMBRE, EL DIA 5-6 DE NOVIEMBRE SE REALZIO 3 PLENARIA ORDINARIA EN RESTAURATNE PUERTA 54, PRESENCIA 12 PARTICIPANTES   RECURSO SUMA 13 MILLONE</t>
    </r>
  </si>
  <si>
    <r>
      <t xml:space="preserve">SE ha brindado asistencia, orientiación y atención a 515 personas que acuden a la oficina de victimas , </t>
    </r>
    <r>
      <rPr>
        <sz val="10"/>
        <color rgb="FFFF0000"/>
        <rFont val="Arial"/>
        <family val="2"/>
      </rPr>
      <t>AGOSTO 30, CONTRATO 106 Y 250 DE 2019, RUBRO 231420102-231420202, FUENTE 110101 VALOR 7.650.000</t>
    </r>
  </si>
  <si>
    <r>
      <t xml:space="preserve">La Sria educación convoco para el 23 marzo; sin embargo no se realizó. </t>
    </r>
    <r>
      <rPr>
        <sz val="10"/>
        <color rgb="FFFF0000"/>
        <rFont val="Arial"/>
        <family val="2"/>
      </rPr>
      <t>AGOSTO PARTIC IPO EN LA R EL DIA 15 DE AGOSTO EN EL COMITÉ TECN DE DIRECTIVOS CASA CULTURA, 15 DE OCTUBRE, SE REALIZO CONSEJO DIRECTIVO EL DIA 22 DE OCTUBRE EN LA CASA DE LA CULTURA VALOR RECURSO HUMANO............RUBRO.........FUENTE........... VALOR  META 850.000</t>
    </r>
  </si>
  <si>
    <r>
      <t>Jornada articulda con la UARIV y SISBEN, aseguramiento y EPS para realizar joranda de aseguramiento y actualizacián de datos y radicación de quejas para el 23 de agosto.,</t>
    </r>
    <r>
      <rPr>
        <sz val="10"/>
        <color rgb="FFFF0000"/>
        <rFont val="Arial"/>
        <family val="2"/>
      </rPr>
      <t xml:space="preserve"> 30 AGOSTO, SE DIO CUMPLIMEINTO EL DIA 23 DE AGOSTO, RUBRO 231420102-231420202, FUENTE 110101 VALOR 850.000</t>
    </r>
  </si>
  <si>
    <t>30 DE AGOSTO, SE CONCERTO CON EL MINVIVIENDA LA DISTRIBUCION DE LAS 150 DE INTERES PRIORITARIO DE LAS CUALES SE ASIGNARON A LA POBLACION VICTIMA 60 VIVIENDAS</t>
  </si>
  <si>
    <r>
      <t xml:space="preserve">Se realizó el 15 junio con la presencia de 130 personas 30 </t>
    </r>
    <r>
      <rPr>
        <sz val="10"/>
        <color rgb="FFFF0000"/>
        <rFont val="Arial"/>
        <family val="2"/>
      </rPr>
      <t>AGOSTO, proceso de minima cuntia DE 2019, RUBRO 231420102-231420202, FUENTE 110101 VALOR 4.990.000</t>
    </r>
  </si>
  <si>
    <r>
      <t xml:space="preserve">10/08/2019.  Se tiene proyecto ejecutar 10 unidades productivas en noviembre </t>
    </r>
    <r>
      <rPr>
        <sz val="10"/>
        <color rgb="FFFF0000"/>
        <rFont val="Arial"/>
        <family val="2"/>
      </rPr>
      <t xml:space="preserve">  15 OCTUBRE CDP 2019000845 RUBRO 231420102-231420202 FUENTE 110201 Y 110101 VALOR 14 MILLONES, SE TIENE BANCO DE PROYECTO, FICHA DE ADQUISICION, Y PROYECTO </t>
    </r>
  </si>
  <si>
    <t>30 AGOSTO, SE ELABORO PLAN DE APOYO FUNERARIO PARA LA OTORGACION DE AUXILIO PARA COFRES FUNEBRES Y SE ENTREGAN MEDIANTE RESOLUSION POR DEMANDA DEL CDP 2019747 RUBRO 231420102-231420202 FUENTE 110101 VALOR 2.000.000</t>
  </si>
  <si>
    <t xml:space="preserve">Solicito apoyo a la ofic. Productividad y competitivdad Dptal s7n oficio xxxx de fechaxxx DIAGNOSTICO DARWIN, PLAN COSTO </t>
  </si>
  <si>
    <r>
      <t xml:space="preserve">Se presenará el proyecto de acuerdo en agosto </t>
    </r>
    <r>
      <rPr>
        <sz val="10"/>
        <color rgb="FFFF0000"/>
        <rFont val="Arial"/>
        <family val="2"/>
      </rPr>
      <t>PEDIR COPIA ACUREDO A DARWIN AGOSTO 20</t>
    </r>
  </si>
  <si>
    <t>contrato 216 DE 2019 Y 71 DE 2109</t>
  </si>
  <si>
    <r>
      <t xml:space="preserve">Se tiene programada para la 2da semana de julio una capacitación sobre emprendiimiento en apoyo con el </t>
    </r>
    <r>
      <rPr>
        <sz val="10"/>
        <color rgb="FFFF0000"/>
        <rFont val="Arial"/>
        <family val="2"/>
      </rPr>
      <t>SENA} CON SANDRA QUIJANO PEDIR INFORMACIO DE LAS I.E</t>
    </r>
  </si>
  <si>
    <t xml:space="preserve">Se esta ejecutando un curso de "Evaluación y o formulación de planes de negocio" con el SENA, Participantes 33 personas, </t>
  </si>
  <si>
    <r>
      <t xml:space="preserve">Una vez aprobado los planes integrados se da l aimplementación, fue aprobado en nov. 2018, los proyectos de policia, ejercito y CTI.  Se autorizo la contratación combustible para ejecución diferentes actividades de convivencia y seguridad ciudadana, </t>
    </r>
    <r>
      <rPr>
        <sz val="10"/>
        <color rgb="FFFF0000"/>
        <rFont val="Arial"/>
        <family val="2"/>
      </rPr>
      <t>AGOSTO 30. EL PLAN INTEGRAN DE CONVIVIENDCIA CCIUDADAN SE IMPLEMENTO EN AGOSTO DE 2016, EL CUAL ANUALMENTE SE EJECUTA A TRAVS DE LOS DIFERENTES PROYECTOS QUE PRESENTA EL EJERCITO LA POLICIA Y CTI CADA AÑO, EN EL PRESENTE AÑOS SE APROBARON DIFERENTES NECESIDADES PARA ESTAS INSTITUCIONES DENTRO DLE CUAL SE SUSCRIBIO CONTRATO POR VALOR DE 21.895,672 SON PARA COMBUSTIBLE CON EL FIN DE SUMINISTRAR COMBUSTIBLE A LA FUERZA PIBLICA Y MILITAR LOGRANDO GARANTIZAR DE MANERA INMEDIATA EL DESARROLLO DE LA SEGURIDAD Y SALVAGUARDAR LA CONVIVENCIA EN EL MDUNICIPIO DE LA PLATA RUBRO 23180407, FUENTE 120302 Y LOS 35.104.328 PARA ALOJAMIENTO Y ALIMENTACION PARA LA POLICIA</t>
    </r>
  </si>
  <si>
    <t>DEACUERDO A LAS DENUNCIAS COLOCADAS DEL SECTOR DEL BARRIO EL JARDIN Y VDA SAN ISIDRO SE CONVOCO AL CONSEJO DE SEGURIDAD Y SE PRESENTARON LAS DENUNCIAS REALIZADAS EL DIA….Y 21 DE AGOSTO DE 2019  Y EN CONSEJOS DE SEGURIDAD</t>
  </si>
  <si>
    <t>Se realizó capacitación el 7 de noviembre de 2019.  Alumnos I.E. La Pastrana.  Beneficiarios 50..  Tema.  Prevención y atención desastres.  Evidencias:  Expediente Enlace. Karol Andrea</t>
  </si>
  <si>
    <r>
      <t xml:space="preserve">Mediante a las Mesa intersectorial que se realizan en la Comisaría de Familia se mostraran avances y pondran compromisos para realizar la PPPIIA y asi  presentar proyecto de acuerdo ante Concejo Municipal, </t>
    </r>
    <r>
      <rPr>
        <sz val="10"/>
        <color rgb="FF0070C0"/>
        <rFont val="Arial"/>
        <family val="2"/>
      </rPr>
      <t>(14 Febrero Acta 41021010 - Marzo 1 Socializacion del cuestionario con los rectores, 18 de marzo miaf enfocada en la rendicion de cuentas territorial. acta 41021024, se presento el proyecto de acuerdo ante el Concejo Municipal</t>
    </r>
  </si>
  <si>
    <r>
      <t xml:space="preserve">1.Realizar seguimiento a los compromisos pactados en las reuniones anteriores respecto a la implementacion de la PPPIIA </t>
    </r>
    <r>
      <rPr>
        <sz val="10"/>
        <color rgb="FF0070C0"/>
        <rFont val="Arial"/>
        <family val="2"/>
      </rPr>
      <t>(14 de Febrero 41021010)</t>
    </r>
    <r>
      <rPr>
        <sz val="10"/>
        <color rgb="FF000000"/>
        <rFont val="Arial"/>
        <family val="2"/>
      </rPr>
      <t xml:space="preserve"> 2. Articular las acciones necesarias para la ejecucion de las metas del plan de accion con las entidades intermunicipales.( 24 de julio casa de la cultura acta 41-02-1-098 segunda mesa intersectorial) pendiente realizar ultime mesa en el mes de Diciembre</t>
    </r>
  </si>
  <si>
    <r>
      <t xml:space="preserve">1.Articular con entidades las estrategias expuestas por prog. De victimas </t>
    </r>
    <r>
      <rPr>
        <sz val="10"/>
        <color rgb="FF0070C0"/>
        <rFont val="Arial"/>
        <family val="2"/>
      </rPr>
      <t>(12 Febrero Acta 41,02,1,007 Conmemoracion dia internacional al no recluatamiento http://www.laplata-huila.gov.co/noticias/la-alcaldia-municipal-de-la-plata-desde-la-oficina-de)</t>
    </r>
    <r>
      <rPr>
        <sz val="10"/>
        <color rgb="FF000000"/>
        <rFont val="Arial"/>
        <family val="2"/>
      </rPr>
      <t xml:space="preserve">
2. Hacer campaña radial en emisoras (Emisora Colombia Estereo 9 de octubre acta 152)    3.  Implementar acciones institucionales dirigido a población en gral en pro de evitar el reclutamiento de NNA ( 30 de agosto ie marillac 41-02-1-125), no reclutamiento en la galeria municipal 14 de septiembre acta 137</t>
    </r>
  </si>
  <si>
    <t>El Comisario de Familia y la Trabajadora Social realizaran una visita a la ESE San Sebastian para definir la existencia del programa de nutricion. En el primer trimestre del año 2019.  (El 15 de abril visita ESE segun acta 39 1 de septiembre se realizo visita a la ESE según Acta 140)</t>
  </si>
  <si>
    <t>1. Articulacion con la diferentes entiidades (17 septiembre articulacion según acta 141)
2. Elaborar Cronograma ()
3. Ejecucion en el mes de Diciembre ()</t>
  </si>
  <si>
    <r>
      <t>Según la disponibilidad de la Policia Nacional y de Infancia y Adolescencia se programaran los 29 operativos en el año 2019 (</t>
    </r>
    <r>
      <rPr>
        <sz val="10"/>
        <color rgb="FF0070C0"/>
        <rFont val="Arial"/>
        <family val="2"/>
      </rPr>
      <t xml:space="preserve"> Febrero 21 Acta 41021012 - Marzo 16 Acta 22 - Marzo 22 Acta 24 - Abril 26 Acta 60 - Abril 27 Acta 61 - Mayo 11 Acta 70 - Mayo 31 Acta 80  - Junio 14 Acta 85 - Julio 5 Acta 92 - Julio 7 Acta 93 - agosto 22 Acta 119 - septiembre 10 Acta 133 - septiembre 12 Acta 135 -  septiembre 14 Acta 139 - septiembre 21 Acta 143 -  </t>
    </r>
  </si>
  <si>
    <t xml:space="preserve">Articular con Policia de I y A, ICBF, Minist. Trabajo, personeria y comisaria de familia para la implementación de la campaña de trabajo infantil en los establec. Comerciales: Galeria, Lavaderos, Talleres de Mecánica y Ornamentación, como la depuracion de la Base de Datos Siriti) (14 de septiembre galeria acta 138) </t>
  </si>
  <si>
    <t>Se realizara capacitacion por grupos vulnerables sobre las necesidades basicas de los NNA en el municipio ( septiembre 5 socializacion enlaces casa de la cultura según acta 129</t>
  </si>
  <si>
    <t>Se paso la carpeta con todos los documentos necesarios a la dependencia de Almacen para realizar las respectivas cotizaciones. El 2 de julio de 2019 - 21 de agosto se rectifica la cantidad de unidades solicitadas para la respectiva dotacion. El proceso se encuentra en el proceso de compra</t>
  </si>
  <si>
    <t xml:space="preserve">1) Campañas educativas en las instalaciones de Casa de Justicia-   2) Realizar Campañas en Barrios e IE (4 de junio unidad de victimas casa de justicia acta 41-02-1-081 - 7 de junio polideportivo el pomo acta 41-02-1-084 - 27 de julio av libertadores acta 41-02-1-101 - 31 de julio casa de justicia acta 41-02-1-103) 3) Realizar Video para publicarlo en la Pagina de La Plata </t>
  </si>
  <si>
    <t>231803 F.110101 (4962750)</t>
  </si>
  <si>
    <t>21402041 F.260401 (9945000)</t>
  </si>
  <si>
    <t>23140203 F.260401 (12000000) 231403042 F.260401 (2349750)</t>
  </si>
  <si>
    <t xml:space="preserve">231403041 F.260401 (25795000) 830101 (10318500) - 231403042 F.260401 (2349750)  - 23140305 F.260401 (8158500) </t>
  </si>
  <si>
    <t>231803 F.110101 (2778750) F. 260401 (2730000)</t>
  </si>
  <si>
    <t>231803 F.260401 (7184000)</t>
  </si>
  <si>
    <t>231803 F.110101 (2778750)  F. 260401 (2,730,000)</t>
  </si>
  <si>
    <t>231803 F:  260101 (1820000)</t>
  </si>
  <si>
    <t>231803 F.110101 (2778750) 260401 (2730000)</t>
  </si>
  <si>
    <t>231803 F 260401 (2184000)</t>
  </si>
  <si>
    <t>231803 F.260401 (7184000) - 231402042 F.110103 (9000000) F.260402 (2250000)</t>
  </si>
  <si>
    <t>231803 F. 110101 (2184000), 231402042 F. 110103 (15250000) 260402 (2750000)</t>
  </si>
  <si>
    <t>231803 F.110101 (2778750), 260401 (2184000)</t>
  </si>
  <si>
    <t>21402041 F.260401 (5015000)</t>
  </si>
  <si>
    <t>231803 F.110101 (5557500), 260101 (1820000)</t>
  </si>
  <si>
    <t>231803 F.110101 (5557500), 260101 (3640000)</t>
  </si>
  <si>
    <t>231803 F. 110101 (2184000). 231402042 F. 110103 (15000000)</t>
  </si>
  <si>
    <t>231803 F. 260401 (2730000)</t>
  </si>
  <si>
    <t>23140101 F. 280203</t>
  </si>
  <si>
    <t>231803 F. 260401</t>
  </si>
  <si>
    <t>231803 F.110101 (2778750), 260401 (2730000)</t>
  </si>
  <si>
    <t xml:space="preserve">Se esta adelantando con Agus del Huila la const. de tanque almacenamiento para el plan maestro, para servicio 24 horas.  Se realizó la aprobación de recursos de regalías para la implementación de una primera fase correspondiente al plan maestro de acueducto y alcantarillado por valor de 2.261.348.617  para la optimización de redes de alcantarillado sanitario y pluvial. </t>
  </si>
  <si>
    <t>Contrato No. 028-2019. Contrato No. 224/2019 inicio 01/06/2019 finalizacion 14/12/2019</t>
  </si>
  <si>
    <t xml:space="preserve">Contrato No. 081-2019  Contrato No. 235-2019 fecha inicio 05/06/2019 finalizacion 17/12/2019 : Se realizaron ocho (8) campañas de sensibilizacion sobre la importancia de producir alimentos de forma nutritiva limpia y organica: 1) Vereda Alto Cañada realizada el 12-02-2019, beneficiando a 16 personas. 2) Vereda Las Mercedes realizada realizada el dia 05-02-2019 beneficiarios 16 personas 3) Vereda San Vicente realizada el dia 14-02-2019 beneficiando 9 personas. 4) Vereda Dos Aguas realizada el dia 13-02-2019 beneficiando a 12 personas. 5) Vereda Panorama realizada el dia 15-02-2019 beneficiando a 34 personas. 6) Resguardo La Gaitana realizada el dia 20-02-2019 beneficiaron a 11 personas. 7) Vereda La Aurora realizada el dia 21-02-2019 beneficiando a 7 personas. 8) Vereda El Arrayan realizada el dia  22-02-2019 beneficiando a 22 personas. Estas actividades se presentaron dentro las actividades ejecutas en el contrato 081-2019. Los soportes fotograficos y listados de asistencia reposan en la carpeta del contratista. Capacitacion en buenas practicas agericolas en vivero forestal llevada a cabo el 5 de septiembre de 2019 en la Institucion Educativa Tecnico Agricola, beneificiando a 9 estudiantes segun informe No. 4 presentado por la contratista en ejecucion del contrato No. 235-2019. </t>
  </si>
  <si>
    <t>se realiza solicitud de cdp 2019000984 de 07 de noviembre del 2019, proyecta estudio de compra</t>
  </si>
  <si>
    <t>Celebracion Convenio No. 005-2019 con ASOMSURCA se encuentra en ejecucion. Realizada el dia 16/04/2019</t>
  </si>
  <si>
    <t>Contrato No. 235-2019: Se  viene realizando acompañamiento al proyecto para los construccion de una Microcentral de Beneficio de cafe en la vereda Monserrate con el Grupo Asociativo PROAGROMIL: 1) Se realizó visita técnica de verificación para avalar el lote que solicita la asociación PROAGROMIL en COMODATO para el desarrollo del proyecto. Fecha 08 de Mayo de 2019. Hora 10 am  Lugar: Predio El Lote. C.P Monserrate. Socializacion del proyecto de construccion de la microcentral de beneficio en el centro poblado de monserrate, participantes: oficina de planeacion, ODRE, representantes del Concejo Mpal, equipo tecnico del comite de cafeteros, cam, asociados y comunidad en general jornada q se llevo a cabo el dia 26-09-2019    
2) Realice acompañamiento al Grupo Proagromil en la elaboración de la solicitud del comodato del predio requerido para la construcción de la microcentral. La documentación solicitada ya fue radicada en la Oficina de Jurídica para su revisión y debido proceso. En espera de una respuesta. Se anexa copia del oficio radicado. (CPS 081-2019 Y CPS 235-2019)</t>
  </si>
  <si>
    <t>resolucion 40,02,3-145 de 15/03/2019, Resolucion 40.02.3-144 de 15/03/2019,  40,02,03-124 de 23 /02 /2019: Predios: Lote 1 chorrillo, El Armadillo, El vergel, Las Mercedes, Las Mercedes, 6 predios de luis lizcano vereda el retiro.</t>
  </si>
  <si>
    <t xml:space="preserve">Convenio No. 005-2019 ASOMSURCA Capacitacion teorico practico reforestacion con especies nativas y aislamiento de cobertura censible, llevado a cabo 12/07/2019, en el sector Panorama la Esperanza beneficiando 37 usuarios,  jornada de reforestarion en la fuente hidrica la azufrada articulado con la UNAD contrato 082 del 2019.  </t>
  </si>
  <si>
    <t>CONTRATO No. 236-2019 (se brindo acompañamiento a la Universidad surcolombiana y ASOMSURCA en la  jornada de reforestacion realizada en la quebrada Barbillas el dia 14 de junio de 2019);  capacitacion de san andres en manejo de residuos solidos, capacitacion en la vereda casarrocines,  jornada de reforestacion vereda panorama, .E san andres,  capacitacoin vereda monserrate, jornada de limpieza quebrada san isidro. contrato 082  y 234  reforestacion en la fuente hidrica la azufrada,  capacitacion en la escuela de alto cañada,  capacitacion manejo de residuos solidos en villa losada,  capacitacion en  gallego, capacitacion fundacion fundar.</t>
  </si>
  <si>
    <t>Contrato No. 082-2019: dia del agua reforestacion fuente hidrica la azurada,   dia del arbol entrega de arboles a las instituciones educativas (san sebastian),dia de la tierra (reforestacion chilicambe). Dia del reciclador capacitacion alto cañada.</t>
  </si>
  <si>
    <t>Contrato No. 080-2019 (capacitacion a madres sustitutas importancia manejo de residuos solidos, realizada el 24 de enero 2019. Se realizaron tres actividades (puerta a puerta) en los centros poblados sanAndres y cansarrocines -  importancia de la separacion de residuos, evitar la contaminacion del suelo y del ambiente llevadas a cabo el 16 y 22 de agosto de 2019.</t>
  </si>
  <si>
    <t>ESTA META NO SE REALIZADA DEBIDO AL BAJO FLUJO FINANCIERON PARA SU CREACION.</t>
  </si>
  <si>
    <t>Contrato No,234/2019: jornada de inspeccion a extraccion de arena en el rio de la plata, envio de oficio a inspeccion de policia, inspeccion de material de cantera sobre la vereda chilicambe, visitas de inspeccion a ladrilleras del area urbana del municipio de la plata-Huila.</t>
  </si>
  <si>
    <t xml:space="preserve">Contrato No. 234-2019 proyecto de hornillas ecoeficientes, el cual se viabiliza por el convenio Nº 157 del 2019, Celebracion Convenio No. 005-2019 con ASOMSURCA se encuentra en ejecucion. - </t>
  </si>
  <si>
    <t xml:space="preserve">Contrato No. 080/2019 (capacitacion ambiental sobre concientizacion del medio ambiente a beneficarios del convenio 1412-2018 federacion nacional de cafeteros). </t>
  </si>
  <si>
    <t xml:space="preserve">Contrato No. 236-2019 . Apoyo a un vivero forestal en la Institucion Tecnico Agricola ITA, llevado a cabo el 27 de agosto de 2019. (abono y material vegetal). 25 Beneficiarios </t>
  </si>
  <si>
    <t xml:space="preserve">. Hacer convenio con las JAC para la entrega de materiales.  Julio 15:  Se encuentra en página SECOP LP Const. acueducto Regional Sta Marta-Birmania.  Beneficia 10  Vdas.  represnenta 400 flias (1751 Habit).  Se encuentra pendiente de la firma del convenio ipara la entrega de materiales a las comunidades beneficiadas vdas Alto Retiro.  (benefici. 25 flias)
</t>
  </si>
  <si>
    <t xml:space="preserve">anillo vial doña ana julia 10446,99 m2 esta en ejecucion con un avance del 93% este contrato viene del año anterior, aporte del Dpto al proyecto Anilla Vial  (2,743,585627).   Pavimentación calle La Fogata (464 Ml)
Pavimentacion vias urbanas en proceso de licitacion  por 5.926.62 m2 </t>
  </si>
  <si>
    <t>proceso de compra de materiales electricos  con contrato No 241 de 2019 + electrificación puente La Villa (34,500)</t>
  </si>
  <si>
    <t xml:space="preserve"> Se implementó el observatorio de accidentalidad durante el cuatrienio, su creación se dio mediante acto administrativo, en la cual los actores tales como el hospital, bomberos, ESE San Sebastián y Alcadia, se reúnen periódicamente con el fin de analizar y buscar estrategias que permitan la reducción de la accidentalidad en el municipio. Decreto 10-028 del 16 de marzo de 2018</t>
  </si>
  <si>
    <t>adjudicado a VISOGROUP SAS para la adecuacion de baterias sanitarias IE Villalosada sede la Guinea y sede el Perico CDP N°2019000356.  Estado contratado.  Sin acta de inicio</t>
  </si>
  <si>
    <t>se realizará la construcción de 10 aulas para la IE Marillac (colegio la felicidad). contrato N°1465 de 2018 Gobernación del Huila.;  se cuenta con CDP N° 2019000354 DEL 10 DE ABRIL 2019.  Se contrató  la construcción de TRES aulas escolares.  Una en la IE San Miguel sede Los Cauchos, una en la  IE San Vicente sede Bajo San Mateo y una en Bajo San Francisco por valor de 180 millones se encuentra en un 10% ejec. a la fecha.  Se esta tramitando anticipo x valor de 54 millones.   3 aulas en la sede peñón tálaga, con recursos de regalias x valor xxxx  con acta de recibo</t>
  </si>
  <si>
    <t xml:space="preserve"> restaurante colegio de la felicidad MARILLAC contrato N°1465 de 2018 Gobernación del Huila, 4 de abril se conforma la veeduría </t>
  </si>
  <si>
    <r>
      <t xml:space="preserve">SE HA REALIZADO 5 ENCUENSTAS A POBLACION JOVEN EN INSTITUCIONES EDUCATIVAS PASTRANA, MARILLAC, C.P MONSERRATE Y DOS GRUPOS ORGANIZATIVOS DE JUVENTUD DE LA U SUR COLOMBIANA GRUPO DE ARTE Y TEATRO Y DEL GRUPO RELIGIOSO MARIA AUXILIADORA CON APROXIMADAMENTE 300 ENCUESTAS. CONTRATO 263 RUBROS 231407041 Y 231418041 FUENTE 110101 RECURSO HUMANO 294.500 15 OCTUBRE SE HA REALIZADO EL ANALISIS DE DATOS DE LAS ENCUENTAS APLICADAS A LA POBLACION APLICADAS EL DIA 3 DE OCTUBRE Y SE INICIO ELABORACION DE DOC PARA PRESENTAR AL CONCEJO MUNICIPAL EN EL MES DE NOVI PARA SU SOCILIZACION. </t>
    </r>
    <r>
      <rPr>
        <u/>
        <sz val="10"/>
        <color rgb="FFFF0000"/>
        <rFont val="Arial"/>
        <family val="2"/>
      </rPr>
      <t xml:space="preserve"> 20/12/2019</t>
    </r>
    <r>
      <rPr>
        <sz val="10"/>
        <color rgb="FFFF0000"/>
        <rFont val="Arial"/>
        <family val="2"/>
      </rPr>
      <t>.  Se presentó proyecto de acuerdo al Concejo Mpal, para su aprobación, el cual esta para sanción del Alcalde mediante  Acuerdo 13020 "Por el cual se adopta la política pública".</t>
    </r>
  </si>
  <si>
    <t>SE ENVIO OFICIO A REGISTRADURIA SOLICITANDO INFORMACION DE LAS FECHAS DE LOS CONSEJOS DE JUVENTUD MUNICIPALES EL DIA 24 SEP 2019 AL CUAL RESPONDIERNO EL 27 SEP MEIDIANTE OFICO #8231 QUE EL DESPACHO AUN NO AHA ESTABLECIDO EL CALENDARIO PARA LA IMPLEMENTACION DEL CONSEJO Y QUE UNA VEZ TENGAN CONOCIMIENTO INFORMARAN LA SITUACION. CONTRATO 263 RUBRO 23147041-231418041 FUENTE 110101 VALOR 122.580, LA META NO SE CUMPLE PORQUE EL APOYO LOGISTICO Y LA ORGANIZACION CORREN POR CUENTA DE LA REGISTRADURIA NACIONAL DEL ESTADO CIVIL LA CUAL NO HA FIJADO FECHA.  20/12/2019.  La meta no se cumple porque el apoyo logistico y la organización corren por cuenta de la registraduría nacional del Estado Civil, la cual no ha fijado fecha.</t>
  </si>
  <si>
    <r>
      <t xml:space="preserve">Se realizó consejo politico social el 22 marzo y 20 de junio en la camara de comercio </t>
    </r>
    <r>
      <rPr>
        <sz val="10"/>
        <color rgb="FFFF0000"/>
        <rFont val="Arial"/>
        <family val="2"/>
      </rPr>
      <t>17 OCTUBRE,  SE REALIZO CONSEJO EL DIA 17 DE OCTUBRE Y PARTIPO EL JOVEN JESUS ANTONIO ORTIZ, SE REALIZO OFICIO PARA SOLICITAR FECHA DEL CONSEJO DE POLITIC SOCIAL A LA FECHA NO HAN DADO RESPUESTA, OFICO 22 DE OCTUB.  20/12/2019.  Participó del consejo de politica social, el joven Jesús Antonio Ortíz el 22 de noviembre</t>
    </r>
  </si>
  <si>
    <t>Se realizaron en la feria Expo Occidente 1 al 5 de mayo y en la Felia Grado B en julio</t>
  </si>
  <si>
    <r>
      <t>Esta programada para realizarse el 27 de agosto y 29 de noviembre,,</t>
    </r>
    <r>
      <rPr>
        <sz val="10"/>
        <color rgb="FFFF0000"/>
        <rFont val="Arial"/>
        <family val="2"/>
      </rPr>
      <t xml:space="preserve"> INFORME 10 SEPTIEMBRE,     SE REALIZARON 3 CELEBRACIONES EN LOS SECTORES DE LA FLORESTA EL DIA 21 DE AGOSTO CON 100 PERSONAS, EL DIA 22 AGOSTO EN EL CENTRO POBLADO MONSERRATE APROX 100 PERSONA Y EL DIA 5 DE SPETIEMBRE EN LA CASA DE LA CULTURA APROXI 300 PERSONAS, RECURSO HUMANO CONTRATO 244 DE 2019 RUBRO 231404041 FUENTE 120803 VALOR 138.000  </t>
    </r>
    <r>
      <rPr>
        <sz val="10"/>
        <color rgb="FF7030A0"/>
        <rFont val="Arial"/>
        <family val="2"/>
      </rPr>
      <t xml:space="preserve">CONTRATO 214-244 DEJA 2 MILLONES.  20/12/2019.  Se realizó celebración paseo navideño el 29 nov. a la finca La camelia para hacer cierre de los abuelos activos en las jornadas de ocupación del tiempo libre participaron 140 adultos mayores </t>
    </r>
  </si>
  <si>
    <r>
      <t xml:space="preserve">Se realizo teleton el 13 abril Parque Custudio G Rovira, La Pola y frente Alcaldia vr. Recaudado 723,000 que fueron entregados a la Junta Directiva de la Fundación S. Vicente paul  </t>
    </r>
    <r>
      <rPr>
        <sz val="10"/>
        <color rgb="FF7030A0"/>
        <rFont val="Arial"/>
        <family val="2"/>
      </rPr>
      <t>CONTRATO 104 Y 244  DE AIFA SE DEJO 2 MILLONES.  20/12/2019.  Con el contrato 346/2019 objeto "Garantizar la asistencia integral, cuidado, protección  y habitación a los adultos mayores en condicion de abandono del mpio" por vr. "42,0000,000</t>
    </r>
  </si>
  <si>
    <t>SE REALIZO PROYECTO DE LA NECESIDAD DE REUBICACION DE LA UAI EL DIA 26 DE JULIO, PERO SE HIZO REVISION DEL MISMO EL 29 DE AGOSTO DONDE SE REALIZARON MODIFICACIONES. SE REALIZA ENTREGA DEL PROYECTO MODIFICADO Y EN ESPERA DE RESPUESTA EL DIA 30 DE AGOSTO 2019 POR PARTE DE LA S. PLANEACION.  CONT 263, RUBRO 231407041-231418041 FUENTE 110101 RECURSO HUMANO 1.900.000, 29 OCTU, ENVIO OFICIO NUEVAMENTE SOLICITANDO EL DIA 22 OCT INFORMACION ACERCA DE LA META DE PROYECTO REUBICACION DE LA UNIDAD DE ANTENCIO INTEGRAL, A LA FECHA NO HAN DADO RESPUESTA. 20/12/2019.  La respuesta de planeación es que no hay terreno disponible para ejecutar la reubicación de la UAI</t>
  </si>
  <si>
    <r>
      <t xml:space="preserve">Se esta preparando en semillero artístico en danza con enfoque diferencial  </t>
    </r>
    <r>
      <rPr>
        <sz val="10"/>
        <color rgb="FFFF0000"/>
        <rFont val="Arial"/>
        <family val="2"/>
      </rPr>
      <t xml:space="preserve">RUBRO 231410, FUENTE  260401, VALOR RECURSO HUMANO- 966.666 DEL CONTRATO 311 DE 2019, 15 OCTUBRE, SE PRESENTO PROYECTO A LA OFICINA DE JURIDICCA EL DIA 11 DE OCTUBRE PROYECTO PARA LA COMPRA DE TRAJES TIPICOS DE DANZA AFROCOLOMBIANA, INSTRUMENTOS TIPICOS DEL PACIFICO </t>
    </r>
  </si>
  <si>
    <t>RUBRO 231410, FUENTE  260401, VALOR RECURSO HUMANO- 966.666 DEL CONTRATO 311 DE 2019.  Se adelantó el borrador de la Política Pública, para la población Afro, queda pendiente para ser presentada para aprobación ante el Concejo Municipal</t>
  </si>
  <si>
    <t>El 4 de diciembre se realizó la compra de artículos e insumo para garantizar la implementación del programa para la formación y generación de empleo dirigido a mujeres líderes del municipio de La Plata, a través del contrato 363 del 2019 x vr. De 8000000  población beneficiada 200 mujeres</t>
  </si>
  <si>
    <r>
      <t xml:space="preserve">EL 6 marzo se reunió con UDR, para que sea incluido en el proyecto de4 acompañamiento tecnico para comercialización de café.  10/08/2019. 30 AGOSTO </t>
    </r>
    <r>
      <rPr>
        <sz val="10"/>
        <color rgb="FFFF0000"/>
        <rFont val="Arial"/>
        <family val="2"/>
      </rPr>
      <t>Unidades productivas a entregar en noviembre a 3 mujeres en proceso de normalización, victiamas del conflicto armado, 15 OCTUBRE CDP 2019000845 RUBRO 231420102-231420202 FUENTE 110201 Y 110101 VALOR 6  MILLONES, SE TIENE BANCO DE PROYECTO, FICHA DE ADQUISICION, Y PROYECTO.  20/12/2019.  Se entregará 10 unidades productivas 3 de pollo engorde, 2 peluquería, 1 de café, 1 tienda veredal, 2 restaurantes y 1 de carpintería, a la fecha se encuentra pendiente de legalizar contrato.</t>
    </r>
  </si>
  <si>
    <t xml:space="preserve">20/12/2019.  EL 4 de diciembres se realizo la compra de los articulos e insumos para garantizar la implementación del programa para la formación y generación de empleo dirigido a 200 mujeres liders del mpio de La Plata.  Contrato 363 de 2019.  Vr. 8000000 </t>
  </si>
  <si>
    <t xml:space="preserve">Se tiene programado realizarla el  28 de sept.  20/12/2019.  El día 6 de diciembre se realizó la celebraicón del día de la Acción comunal en el salon de fistas y bufett con la participación de 105  personas </t>
  </si>
  <si>
    <t>Se entrego un periodico con la ejecución de obras realizadas en convenio con el Dpto y el Mpio.</t>
  </si>
  <si>
    <t>esta pendiente definir por el alcalde la fecha de la Reunión para la creacion de la JUME. Contrato 059/2019 sandra quijano.  20/12/2019.  Se hizo convocatoria per no se logro cumplir ya que no cumplieron con la citación y  no se alcanzaron a escoger los delegados de la comunidades indigenas y de las IE privadas.</t>
  </si>
  <si>
    <t>se viene realizando trabjajo con el apoyo de ENACTIVA</t>
  </si>
  <si>
    <t xml:space="preserve">noviembre 08 se realiza la segunda olimpiada de ingles con el apoyo de la UNAD. contrato n 317/2019 </t>
  </si>
  <si>
    <t>se encuentra en proceso de contratación menor cuantía y se dotó a 10 sedes con menaje gestion realizada con la iglesia de los santos de los ultimos dias</t>
  </si>
  <si>
    <t>capacitacion a instructores artisiticos tema danza tradicional 21 y 22 de julio.  Y en programación una última capacitación para los instructores de la Casa de La Cultura.</t>
  </si>
  <si>
    <t>Apoyo en gestión para la participación de 4 grupos de danza, a su gira de presentaciones en el 59 Festival Foclórico de Neiva, Apoyo a la Gira de La Banda de los Borrachos al Municipio de Santa María Boyacá, Apoyo a la gira de Intercambio de la Agrupación Aire de Los Andes a las Fiesta de La Virgen de Las Mercedes en Nátaga.</t>
  </si>
  <si>
    <t>Se realizo entrega de uniformes deportivos a 148 deportistas de la escuela de formacion villa san sebastian, donde  se gestiono el convenio 011 con INDERHUILA para realizar compra de implementos deportivos. El municipo adelanto el proceso de compraventa N</t>
  </si>
  <si>
    <t>Se realizaron las olimpiadas campesinas en el municipo de la plata logrando vincular diferentes veredas, donde participaron en las disciplinas deportivas en : baloncesto, futbol y futbol de salon contrato de apoyo 371 de 2019</t>
  </si>
  <si>
    <t>Se realizo un campeonato 30 horas los dias 8 y 9 de junio  en la vereda el cedro con la participacion de 10 equipos de la zona rural contrato de apoyo 121 de 2019. Se realizo un campeonato de municipal de futbol en tijuana la cual participaron 8 equipos e</t>
  </si>
  <si>
    <t xml:space="preserve">Se realizo el dia 11 de junio una capacitacion de las reglas actuales en futbol la cual fue dirigada a profesores de educacion fisica, arbitros y lideres deportivos del Municipio la capacitacion fue gestionada ante la liga de futbol del Huila Contrato de </t>
  </si>
  <si>
    <t>Se realizo la inscricion de 1681 estudiantes para que participaen en los  juegos intercolegiados 2019. la fase Municipal se desarrollo los dias 18 y 19 de julio, la fase subzonal el dia 26 de julio y la fase zonal el dia 29 de julio cumpliendo el municipi</t>
  </si>
  <si>
    <t>Pendiente continuar con el desarrollo de dos (2) capacitaciones más.</t>
  </si>
  <si>
    <t>Pendiente buscar alternativas para divulgarla a los empresarios del sector turísmo interesados.</t>
  </si>
  <si>
    <t>Pendiente realizar apoyo en El Proyecto la Divina Misericordia.</t>
  </si>
  <si>
    <t>Se instaló material informativo en el Parque Principal Custodio García Rovira de La Plata, un sitio de interés cultural y turístico de La Región, rodeado de monumentos, el templo de San Sebastián (patrimonio cultural departamental) y el Santuario del Beato Pedro María.  Ver Publicación de la página web de la Alcaldía de La Plata.</t>
  </si>
  <si>
    <t>Se cuenta con la segunda edición del mapa de La Plata - Huila. Que funciona como material didactico para procesos de formación.</t>
  </si>
  <si>
    <t>Pendiente programar minga de protección y conservación del patrimonio turístico de La Plata.</t>
  </si>
  <si>
    <t>EN EL TRANSCURSO DEL AÑO SE HAN CONVOCADO  A 11 CONSEJOS DE SEGURIDAD ENTRE ELLO 2 EXTRAORIDNARIOS EN LAS FECHAS DE 22 DE ENERO, 6 FEBRERO, 7 DE MARZO, 11 Y 23 DE ABRIL, 16 DE MAYO, 6, 13, 25 DE JUNIO, 21 DE AGOSTO Y 4 DE SEPTIEMBRE, LAS ACTAS REPOSAN EN LOS ARCHIVOS DE LA S. GOBIERNO.  20/12/2019.  El 23 octubre acta No. 14.  15 Nov. acta No. 15.  19 Dic. Acta No. 16</t>
  </si>
  <si>
    <r>
      <t xml:space="preserve">Policia enviara en julio que presentan con relacion a focos delincuenciales del mpio, para adoptar medidas, </t>
    </r>
    <r>
      <rPr>
        <b/>
        <sz val="10"/>
        <color rgb="FFFF0000"/>
        <rFont val="Arial"/>
        <family val="2"/>
      </rPr>
      <t xml:space="preserve">AGOSTO 30 </t>
    </r>
    <r>
      <rPr>
        <sz val="10"/>
        <color rgb="FFFF0000"/>
        <rFont val="Arial"/>
        <family val="2"/>
      </rPr>
      <t>EL 30 DE AGOSTO EL  COMANDANTE DE ESTAION DE POLICIA RADICCO ELINFORME DDEL OBSRVATORIO DEL DELITO EL CUAL DEBERA SER SOCIALIZADO EN EL COMITÉ TERR DE ORDEN PUBLICO</t>
    </r>
    <r>
      <rPr>
        <sz val="10"/>
        <color rgb="FF000000"/>
        <rFont val="Arial"/>
        <family val="2"/>
      </rPr>
      <t xml:space="preserve">. 20/12/2019.  El Cdte de policia presentó ante el Mpio el informe de actividad delictiva registrados en el 2 trimestre </t>
    </r>
  </si>
  <si>
    <r>
      <t>contrato suministro 254/2018 alimentación y alojamiento para unidades de apoyo policia Nal.</t>
    </r>
    <r>
      <rPr>
        <sz val="10"/>
        <color rgb="FFFF0000"/>
        <rFont val="Arial"/>
        <family val="2"/>
      </rPr>
      <t xml:space="preserve"> OCTUBRE 15 ATRAVES DE LA SUSCRUPCION DEL CONTRATO DE OBRA PARA EL MEJORAMIENTO DE LAS INSTALAC DE LA POLICIA NAC SE BUSCA ESTRATEG GARATIZAR LAS CONDICIONES NECESARIAS PARA QUE LA FUERZA PUBLICA LOGRE DESPLEGAR SUS ACTIVIDADES POLICALES DE SEGURIDAD EN CONDICIONES DIGNAS DE TRABAJO Y EXCELENTE AMBIENTE LABORAL CDP 2019000774 DEL 29 AGOSTO 2019 RUBRO 23180409, FUENTE 120302 VALOR 23.000.000 EN PROCESO.</t>
    </r>
    <r>
      <rPr>
        <sz val="10"/>
        <rFont val="Arial"/>
        <family val="2"/>
      </rPr>
      <t xml:space="preserve">  20/12/2019.  Se realizó un plan a través de la estrategia de apoyo a la fuerzo pública por valor de 45000000, el cual no se alcanzo a ejecutar. </t>
    </r>
  </si>
  <si>
    <t xml:space="preserve">Se enuentra en proceso de contratación la compra de camara s de seguridad (2) y mantenimiento preventivo y correctivo del ciruito cerrado de tv. 20/12/2019.  En el mes de junio la policia radico ante Admon el Plan Operativo Anual de Inversión POAI, se logro la adquisición de elementos de prevención como DUMIS, bicicletas, balones, petos.   Contrato 110/2019 </t>
  </si>
  <si>
    <t>El 13 de abril de 2019 se realizó campaña de prevención social del delito en el Barrio La Pola dirigido a los estudiantes de la Institución Educativa MISAEL PASTRANA BORRERO y LUIS CARLOS TRUJILLO POLANCO exponiendo el SRPA en la inauguración del muro ANGELES DE VIDA Y PACTOS DE PAZ tal y como consta en acta No. 41.02.051.  20/12/25019.  Se ralizo la campaña en parque Garcia Rovira co nlos niños de la civica para exponer el sistema de responsabilidad penal para adolescente y el uso de pólvera Acta 196 del 13/12/2019</t>
  </si>
  <si>
    <r>
      <t xml:space="preserve">El 30 de marzo de 2019 se realizó operativo de contaminación auditiva y visual en el sector comercio Barrio La Pola ubicado en el Municipio de La Plata tal y como consta en acta No. 41.02.1.037. El 06 de abril de 2019 se realizó operativo de contaminación auditiva y visual en el sector comercio Avenida Libertadores ubicado en el Municipio de La Plata tal y como consta en acta No. 41.02.1.045. El 12 de abril de 2019 se realizó operativo de contaminación auditiva y visual en los establecimientos de comercio de venta de bebidas alcohólicas del sector Barrio El Altico tal y como consta en acta No. 41.02.1.049. El 06 de abril de 2019 se realizó operativo de prevención de contaminación auditiva a los establecimientos de comercio dedicados a la venta de bebidas embriagantes ubicados en la Avenida Libertadores de este municipio tal y como consta en acta No. 41.02.1.042. </t>
    </r>
    <r>
      <rPr>
        <sz val="10"/>
        <color rgb="FFFF0000"/>
        <rFont val="Arial"/>
        <family val="2"/>
      </rPr>
      <t xml:space="preserve"> ---30 AGOST O--EL 8,17,23 DE AGOSTO SE REALIZARON OPERATIVOS DE PREVENSION CONTAMINACION VISUAL ENE ESTABLECIMIENTOS DE COMENRCIO ZONA CENTRO ACTAS 41.02.1.109, 116,113 Y 123- 15 OCTUBRE- SE REALIZO OPERATIVO DE CONTAMINACION VISULA EN LA ZONA CENTRO EL DIA 25 SEP ACTA 41.02.1-147, LOS DIAS  9-17-18-22 DE OCTUBRE EN LA ZONA CENTRO ACTAS  N 150,  157, 159,168, EL DIA 11-12-18-19-22-23-24 -25 -26 OCTU OPERATIVO CONTAMINACION AUDITIVA EN LOS ESTABLEC COMENRCIO AVENIDA , ZONA CENTRO, LIBERTADORES, SECTOR LAS AMERICAS Y ALTICO, Y BARR LA POLA ACTAS 40.02.1-154-156-158-162-164-171, 170-173,-175--176 , DIA 26 Y 29 OCT CONT VISIAL SECTORES CARRERA 4 Y CALLE 6, ACTAS N° 177 Y 179 del 6 de Novi, contaminación visual.  Acta 183 y 185, 186 del 28 y 29 nov. sobre contaminación 2</t>
    </r>
    <r>
      <rPr>
        <u/>
        <sz val="10"/>
        <color rgb="FFFF0000"/>
        <rFont val="Arial"/>
        <family val="2"/>
      </rPr>
      <t>0/12/2019</t>
    </r>
    <r>
      <rPr>
        <sz val="10"/>
        <color rgb="FFFF0000"/>
        <rFont val="Arial"/>
        <family val="2"/>
      </rPr>
      <t>.  Acta 190 del 3 de Dic. 194 del 7 y 195 del 11 de Dici. de contaminación visual en los diferentes sectores del mpio.</t>
    </r>
  </si>
  <si>
    <r>
      <t xml:space="preserve">Mediante a las Mesa intersectorial que se realizan en la Comisaría de Familia se mostraran avances y pondran compromisos para realizar la PPPIIA y asi  presentar proyecto de acuerdo ante Concejo Municipal, </t>
    </r>
    <r>
      <rPr>
        <sz val="10"/>
        <color rgb="FF0070C0"/>
        <rFont val="Arial"/>
        <family val="2"/>
      </rPr>
      <t>(14 Febrero Acta 41021010 - Marzo 1 Socializacion del cuestionario con los rectores, 18 de marzo miaf enfocada en la rendicion de cuentas territorial. acta 41021024, se presento el proyecto de acuerdo ante el Concejo Municipal, el 3 de diciembre el Concejo Municipal aprobo la Politica.</t>
    </r>
  </si>
  <si>
    <t>El Comisario de Familia y la Trabajadora Social realizaran una visita a la ESE San Sebastian para definir la existencia del programa de nutricion. En el primer trimestre del año 2019.  (El 15 de abril visita ESE segun acta 39 1 de septiembre se realizo visita a la ESE según Acta 140)  (El 20 de diciembre se realizo una visita ESE segun acta Acta 200)</t>
  </si>
  <si>
    <t xml:space="preserve">Se realizaron en las siguientes fechas 22 de marzo auditorio camara de comercio, 20 junio auditorio hospital, 17 octubre auditorio del hospital. </t>
  </si>
  <si>
    <t>Se realizaron las actividades programadas en compañía del Pic, Gestora Social, Comisaria de Familia, policia infancia y adolescencia, Camara de Comercio en el Barrio san antonio, El Lucernario, Centro Poblado Monserrate, la informacion se encuentra soportado  Según el Contrato 374-2019</t>
  </si>
  <si>
    <r>
      <t>Según la disponibilidad de la Policia Nacional y de Infancia y Adolescencia se programaran los 29 operativos en el año 2019 (</t>
    </r>
    <r>
      <rPr>
        <sz val="10"/>
        <color rgb="FF0070C0"/>
        <rFont val="Arial"/>
        <family val="2"/>
      </rPr>
      <t xml:space="preserve"> Febrero 21 Acta 41021012 - Marzo 16 Acta 22 - Marzo 22 Acta 24 - Abril 26 Acta 60 - Abril 27 Acta 61 - Mayo 11 Acta 70 - Mayo 31 Acta 80  - Junio 14 Acta 85 - Julio 5 Acta 92 - Julio 7 Acta 93 - agosto 22 Acta 119 - septiembre 10 Acta 133 - septiembre 12 Acta 135 -  septiembre 14 Acta 139 - septiembre 21 Acta 143 -   Noviembre 2 Acta 181 - Noviembre 23 Acta 184 -  Diciembre 13 Acta 197.</t>
    </r>
  </si>
  <si>
    <t>Articular con Policia de I y A, ICBF, Minist. Trabajo, personeria y comisaria de familia para la implementación de la campaña de trabajo infantil en los establec. Comerciales: Galeria, Lavaderos, Talleres de Mecánica y Ornamentación, como la depuracion de la Base de Datos Siriti) (14 de septiembre galeria acta 138) 13 de diciembre operativo de control de trabajo infantil en billares y casinos de la zona centro del municipio de la plata segun acta No. Acta 198</t>
  </si>
  <si>
    <t>Se paso la carpeta con todos los documentos necesarios a la dependencia de Almacen para realizar las respectivas cotizaciones. El 2 de julio de 2019 - 21 de agosto se rectifica la cantidad de unidades solicitadas para la respectiva dotacion. El proceso se encuentra en el proceso de compra, la Dotacion se encuentra en la oficina de la alcaldia para la respectiva entrega al ICBF</t>
  </si>
  <si>
    <t>Convenio 017/2019 placa polideportivo el cerrito, convenio 016/2019 placa polideportivo y bateria sanitaria sede la aurora, convenio 033/2019 ampliacion aula sekdxi los angeles, convenio 034 placa polid. Fxiw paez, convenio 025 /2019 placa sede la morena,  convenio 023/2019 cubierta y pisos la florida, convenio 024 adec bat sanitarias, cubierta aula y cocina sede san mateo, convenio 028 cerramiento talaga, convenio 018 placa cedral, convenio 020 cerramiento triunfo.     Proceso adjudicado y con acta de inicio y visita por parte del contratista para iniciar obras proximo año  que incluye. Adecuacuin cubierta sedes la primavera,los laureles,las acacias,la linea,porvenir,la Palma, la azufrada,cooperativo. baterias sanitarias el limon, altocañada,villade eiva,el perico,la guinea,getzen, piso de aulasan rafael, san francisco, adecuacion restaurante marillac. adjudicado a VISOGROUP SAS  interventoria construccio aulas .aula stem san sebastian cdp 2019000966.  20/12/2019.  Estos contratos estan a la espera de que se de inicio</t>
  </si>
  <si>
    <t xml:space="preserve">1).Se presento un proyecto de siembra de 10 has de aguacate Has en la Vereda Buena Vista y El Perico. 2). Proyecto de Huertas para la produccion de hortalizas en la Vereda El Tablon. 3). Formulacion del proyecto sfortalecimiento productivo pecuario 60 familias del municipio de la plata huila que trabajan la produccion de huevos: para  beneficiar a los siguientes grupos asociativos: Asociacion de Hogares campesino de Dos Aguas, Grupo Asosiativo productores el Arayan y Asociacion Campesina ATCH presentado a la Secretaria de Agricultura el 18 de marzo de 2019. Contrato No. 235-2019 fecha inicio 05/06/2019 finalizacion 17/12/2019.  4) Se apoyo a la ADR en la caracterizacion y formulacion de proyecto territorial para el encadenamiento productivo de cafe y Mora que beneficiara 8 grupos asociativos. </t>
  </si>
  <si>
    <t>Celebracion Convenio No. 005-2019 con ASOMSURCA se realizo fortalecimiento a Mercado Campesino Mercado Maria Helena Cortes, seis (6) actividades. Contrato No. 081-2019. • Acompañamiento a productores del grupo asociativo La Primavera en la Feria EXPOCCIDENTE realizada los días 3, 4 y 5 de Mayo de 2019. contrato 235 de 2019 Contrato No. 235-2019. Se realizo la  gestion que permitio la Celebracion de un contrato  de comodato que beneficia la comercializacion de cafe a traves de la Asociacion PROAGROMIL Vereda Monserrate</t>
  </si>
  <si>
    <t xml:space="preserve">Contrato No. 081-2019  Se realizó capacitación en MANIPULACION, INOCUIDAD E HIGIENE DE ALIMENTOS en coordinación con Los profesionales de la Secretaria de Salud Departamental y Desarrollo Social.  capacitación se dirigió a personas que participan en el mercado campesino vendiendo sus productos agrícolas, carnes, alimentos y público en general. 
Fecha 15 de Mayo 2019.  Hora 9. Am. Lugar Unidad de Desarrollo Rural 
</t>
  </si>
  <si>
    <t>Celebracion Convenio No. 005-2019 con ASOMSURCA se encuentra en ejecucion.  Taller teorico-practico sobre la importancia de la semilla en el proceso de siembra y manejo. Colinos de café. Capacitacion y asistencia tecnica  a productores de frutales, aguacate, cafe y cacao</t>
  </si>
  <si>
    <t>Celebracion Convenio No. 005-2019 con ASOMSURCA Entrega de colinos de cafe a empresarios cafeteros..  Contrato 235/2019 Se realizo proceso para compra de Insumos y elementos Agropecuarios que permitan apoyar el grupo asociactivo La Primavera,  Grupo Asociativo  Nuevo Despertar De La Esperanza, ASOAVIP,  ASOCACAOPLAT.</t>
  </si>
  <si>
    <t xml:space="preserve">Convenio No.005-2019 ASOMSURCA. Se realizo acompañamiento a 600 productores a traves de capacitaciones y talleres de fortalecimiento agropecuario. </t>
  </si>
  <si>
    <t>Celebracion Convenio No. 005-2019 con ASOMSURCA se realizaron 6 actividades de fortalecimiento al Mercado Campesino Maria Helena Cortes. Se entrego delantal con los logos del mercado y la administracion bordados.</t>
  </si>
  <si>
    <t xml:space="preserve">Celebracion Convenio No. 005-2019 con ASOMSURCA se realizo acompañamiento tecnico a productores de citricos, aguacate, café y cacao. Fortalecimiento a procesos de cosecha, poscosecha y comercializacion  </t>
  </si>
  <si>
    <t>Celebracion Convenio No. 005-2019 con ASOMSURCA capacitacion a 54 de productores de café a traves de talleres, dias de campo y capacitaciones.</t>
  </si>
  <si>
    <t>Contrato No. 235-2019: se  realizó acompañamiento al proyecto para los construccion de una Microcentral de Beneficio de cafe en la vereda Monserrate con el Grupo Asociativo PROAGROMIL: 1) Se realizó visita técnica de verificación para avalar el lote que solicita la asociación PROAGROMIL en COMODATO para el desarrollo del proyecto. Fecha 08 de Mayo de 2019. Hora 10 am  Lugar: Predio El Lote. C.P Monserrate.  
2) se logro la suscripcion del  contrato de comodato del predio requerido para la construcción de la microcentral.  Carpeta. Se Realizo entrega formal del lote al Grupo Asociativo Proagromill. (CPS 081-2019 Y CPS 235-2019) La documentacion reposa en el archivo documental de la ODRE.</t>
  </si>
  <si>
    <t>Se entregaron dos (2) casetas o centros de acopios para envases agroquimicos, convenio asomsurca  2018.</t>
  </si>
  <si>
    <t xml:space="preserve">Celebracion Convenio No. 005-2019 con ASOMSURCA acompañamiento a procesos de aislamientos en el municipio de La Plata. - Contrato No. 080-2019 fecha inicio 18/01/2019 fecha finalizacion 16/05/2019 </t>
  </si>
  <si>
    <t>OSWALDO RUBIO PLAZAS</t>
  </si>
  <si>
    <t>MARIA ELENA CABRERA VEGA</t>
  </si>
  <si>
    <t>ANDRES EDUARDO HERNANDEZ TEJADA</t>
  </si>
  <si>
    <t>MAYRA NATALIA LOZANO SANCHEZ</t>
  </si>
  <si>
    <t>ARNULFO POLANCO RAMIREZ</t>
  </si>
  <si>
    <t>DIEGO MAURICIO LOSADA CASTRO</t>
  </si>
  <si>
    <t>GLORIA MARCELA ESPITIA LOPEZ</t>
  </si>
  <si>
    <t>OSCAR JAVIER NUÑEZ FALLA</t>
  </si>
  <si>
    <t>CARLOS HERNAN MARTINEZ EMBUS</t>
  </si>
  <si>
    <t>SAHIRA PIEDAD VALENCIA CUELLAR</t>
  </si>
  <si>
    <t>JUAN DAVID ANGEL REYES</t>
  </si>
  <si>
    <r>
      <t xml:space="preserve">EJECUTADO 30 JUNIO/30 SEPT/30 DIC. </t>
    </r>
    <r>
      <rPr>
        <b/>
        <sz val="14"/>
        <color rgb="FF000000"/>
        <rFont val="Arial"/>
        <family val="2"/>
      </rPr>
      <t>2020</t>
    </r>
  </si>
  <si>
    <r>
      <t>VALOR ESPERADO</t>
    </r>
    <r>
      <rPr>
        <b/>
        <sz val="14"/>
        <color rgb="FF000000"/>
        <rFont val="Arial"/>
        <family val="2"/>
      </rPr>
      <t xml:space="preserve"> </t>
    </r>
    <r>
      <rPr>
        <b/>
        <sz val="11"/>
        <color rgb="FF000000"/>
        <rFont val="Arial"/>
        <family val="2"/>
      </rPr>
      <t>CUATRENIO</t>
    </r>
  </si>
  <si>
    <r>
      <t xml:space="preserve">INDICADOR ESPERADO </t>
    </r>
    <r>
      <rPr>
        <b/>
        <sz val="14"/>
        <color rgb="FF000000"/>
        <rFont val="Arial"/>
        <family val="2"/>
      </rPr>
      <t>2020</t>
    </r>
  </si>
  <si>
    <t>OPTIMIZACION DE LA EDUCACION DE CALIDAD PARA UN FUTURO CON OPORTUNIDADES PARA TODOS EN EL MUNICIPIO DE LA PLATA</t>
  </si>
  <si>
    <t>FORTALECIMIENTO DEL PROGRAMA TODOS SOMOS CULTURA: LA ESENCIA DE UN PAIS QUE SE TRANSFORMA, EN EL MUNICIPIO DE LA PLATA</t>
  </si>
  <si>
    <t>FORTALECIMIENTO DEL DEPORTE Y LA RECREACION PARA EL DESARROLLO INTEGRAL DE LOS INDIVIDUOS, PARA LA CONVIVENCIA Y COHESION SOCIAL EN EL MUNICIPIO DE LA PLATA</t>
  </si>
  <si>
    <t>CONSTRUCCION DE VIVIENDA Y ENTORNOS DIGNOS E INCLIUYENTES EN EL MUNICIPIO DE LA PLATA</t>
  </si>
  <si>
    <t>SERVICIO AGUA LIMPIA Y SANEAMIENTO BASICO ADECUADO: HACIA UNA GESTION RESPONSABLE, SOSTENIBLE Y EQUITATIVA EN EL MUNICIPIO DE LA PLATA</t>
  </si>
  <si>
    <t>IMPLEMENTACION DEL PROGRAMA JUVENTUD NARANJA.  Todos los talentos cuentan para construir un pais en el municipio de la Plata</t>
  </si>
  <si>
    <t>COMPROMISO CON LA EQUIDAD EN LA DIVERSIDAD EN EL MUNICIPIO DE LA PLATA</t>
  </si>
  <si>
    <t>IMPLANTACION DEL PROGRAMA "DIGNIDAD Y FELICIDAD PARA TODOS LOS ADULTOS MAYORES" EN EL MUNICIPIO DE LA PLATA</t>
  </si>
  <si>
    <t>CONSOLIDACION DEL PACTO POR LA EQUIDAD DE LOS GRUPOS INDIGENAS, NEGROS, AFROS, REAIZALES, PALENQUEROS Y ROM EN EL MUNICIPIO DE LA PLATA</t>
  </si>
  <si>
    <t>FORTALECIMIENTO DE LA ALIANZA POR LA INCLUSION Y LA DIGNIDAD DE TODAS LA PERSONAS CON DISCAPACIDAD EN EL MUNICIPIO DE LA PLATA</t>
  </si>
  <si>
    <t>CONSOLIDACION DEL PACTO POR LA EQUIDAD DE LOS GRUPOS INDIGENAS, NEGROS, AFROS, RAIZALES, PALENQUEROS Y ROM EN EL MPIO DE LA PLATA</t>
  </si>
  <si>
    <t>COMPROMISO QUE NADIE SE QUEDE ATRÁS: ACCIONES COORDINADAS PARA LA REDUCCION DE LA POBREZA EN EL MUNICIPIO DE LA PLATA</t>
  </si>
  <si>
    <t>REPARACION "COLOMBIA ATIENDE Y REPARA LAS VICTIMAS" MUNICIPIO DE LA PLATA</t>
  </si>
  <si>
    <t>DESARROLLO DEL PROGRAMA PRIMERO LAS NIÑAS Y LOS NIÑOS: DESARROLLO INTEGRAL DESDE LA PRIMERA INFANCIA HASTA LA ADOLESCENCIA EN EL MUNICIPIO DE LA PLATA</t>
  </si>
  <si>
    <t>IMPLEMENTACION DEL DERECHO DE LAS MUJERES A UNA VIDA LIBRE DE VIOLENCIA EN EL MUNICIPIO DE LA PLATA</t>
  </si>
  <si>
    <t>FORMACION, EMPRENDIMIENTO Y DINAMIZACION EMPRESARIAL, PILARES DEL ENTORNO PARA CRECER EN EL MUNICIPIO DE LA PLATA</t>
  </si>
  <si>
    <t>IMPLANTACION DEL PROGRAMA TURISMO: EL PROPOSITO QUE NOS UNE EN EL MUNICIPIO DE LA PLATA</t>
  </si>
  <si>
    <t>COMPROMISO CAMPO CON PROGRESO: UNA ALIANZA PARA DINAMIZAR EL DESARROLLO Y LA PRODUCTIVIDAD DE LA COLOMBIA RURAL EN EL MUNICIPIO DE LA PLATA</t>
  </si>
  <si>
    <t>OPTIMIZACION DE LA MOVILIDAD URBANO-REGIONAL SOSTENIBLE PARA LA EQUIDAD, LA COMPETITIVIDAD Y LA CALIDAD LA PLATA</t>
  </si>
  <si>
    <t>PRESTACION DEL SERVICIO ENERGIA QUE TRANSFORMA: HACIA UN SECTOR ENERGÉTICO MAS INNOVADOR, COMPETITIVO, LIMPIO Y EQUITATIVO EN EL MUNICIPIO DE LA PLATA</t>
  </si>
  <si>
    <t>ADMINISTRACION CON GOBIERNOS TERRITORIALES CAPACES Y EFECTIVOS: FORTALECIMIENTO INSTITUCIONAL Y MODERNIZACION PARA LA DESCENTRALIZACION EFECTIVA Y RESPONSABLE EN EL MUNICIPIO DE LA PLATA</t>
  </si>
  <si>
    <t>arnULFO POLANCO RAMIREZ</t>
  </si>
  <si>
    <t>IMPLEMENTACION DEL PROGRAMA SECTORES COMPROMETIDOS CON LA SOSTENIBILIDAD Y LA MITIGACION DEL CAMBIO CLIMATICO EN EL MPIO DE LA PLATA</t>
  </si>
  <si>
    <t>IMPLEMENTACION DEL PROGRAMA IMPERIO DE LA LEY Y CONVIVENCIA: JUSTICIA ACCESIBLE, OPORTUNA EN TODA COLOMBIA, PARA TODOS, A REALIZAR EN EL MUNICIPIO DE LA PLATA</t>
  </si>
  <si>
    <t>IMPLEMENTACION  DEL PROGRAMA COLOMBIA RESILIENTE: CONOCIMIENTO Y PREVENCION PARA LA GESTION DEL RIESGO DE DESASTRE Y LA ADAPTACION AL CAMBIO CLIMATICO EN EL MUNICIPIO DE LA PLATA</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</si>
</sst>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_-;\-* #,##0_-;_-* &quot;-&quot;_-;_-@_-"/>
    <numFmt numFmtId="165" formatCode="_-&quot;$&quot;* #,##0.00_-;\-&quot;$&quot;* #,##0.00_-;_-&quot;$&quot;* &quot;-&quot;??_-;_-@_-"/>
    <numFmt numFmtId="166" formatCode="_-* #,##0.00_-;\-* #,##0.00_-;_-* &quot;-&quot;??_-;_-@_-"/>
    <numFmt numFmtId="167" formatCode="_-&quot;$&quot;\ * #,##0_-;\-&quot;$&quot;\ * #,##0_-;_-&quot;$&quot;\ * &quot;-&quot;_-;_-@_-"/>
    <numFmt numFmtId="168" formatCode="_-* #,##0.00_-;\-* #,##0.00_-;_-* &quot;-&quot;_-;_-@_-"/>
    <numFmt numFmtId="169" formatCode="_-* #,##0.0_-;\-* #,##0.0_-;_-* &quot;-&quot;??_-;_-@_-"/>
    <numFmt numFmtId="170" formatCode="0.0%"/>
    <numFmt numFmtId="171" formatCode="#,##0_ ;\-#,##0\ "/>
    <numFmt numFmtId="172" formatCode="_-&quot;$&quot;* #,##0_-;\-&quot;$&quot;* #,##0_-;_-&quot;$&quot;* &quot;-&quot;??_-;_-@_-"/>
    <numFmt numFmtId="173" formatCode="0.0"/>
  </numFmts>
  <fonts count="93" x14ac:knownFonts="1">
    <font>
      <sz val="11"/>
      <color theme="1"/>
      <name val="Calibri"/>
      <family val="2"/>
      <scheme val="minor"/>
    </font>
    <font>
      <b/>
      <sz val="10"/>
      <color rgb="FF000000"/>
      <name val="Arial"/>
      <family val="2"/>
    </font>
    <font>
      <sz val="10"/>
      <color rgb="FF000000"/>
      <name val="Arial"/>
      <family val="2"/>
    </font>
    <font>
      <sz val="10"/>
      <color theme="1"/>
      <name val="Arial"/>
      <family val="2"/>
    </font>
    <font>
      <u/>
      <sz val="11"/>
      <color theme="10"/>
      <name val="Calibri"/>
      <family val="2"/>
      <scheme val="minor"/>
    </font>
    <font>
      <u/>
      <sz val="11"/>
      <color theme="11"/>
      <name val="Calibri"/>
      <family val="2"/>
      <scheme val="minor"/>
    </font>
    <font>
      <sz val="11"/>
      <color theme="1"/>
      <name val="Tahoma"/>
      <family val="2"/>
    </font>
    <font>
      <sz val="10"/>
      <color rgb="FFFF0000"/>
      <name val="Arial"/>
      <family val="2"/>
    </font>
    <font>
      <b/>
      <sz val="10"/>
      <color theme="1"/>
      <name val="Arial"/>
      <family val="2"/>
    </font>
    <font>
      <sz val="10"/>
      <name val="Arial"/>
      <family val="2"/>
    </font>
    <font>
      <sz val="11"/>
      <color theme="1"/>
      <name val="Calibri"/>
      <family val="2"/>
      <scheme val="minor"/>
    </font>
    <font>
      <b/>
      <sz val="10"/>
      <name val="Arial"/>
      <family val="2"/>
    </font>
    <font>
      <sz val="11"/>
      <color rgb="FFFF0000"/>
      <name val="Calibri"/>
      <family val="2"/>
      <scheme val="minor"/>
    </font>
    <font>
      <b/>
      <sz val="11"/>
      <color theme="1"/>
      <name val="Calibri"/>
      <family val="2"/>
      <scheme val="minor"/>
    </font>
    <font>
      <b/>
      <sz val="10"/>
      <color theme="1"/>
      <name val="Calibri"/>
      <family val="2"/>
      <scheme val="minor"/>
    </font>
    <font>
      <sz val="9"/>
      <color theme="1"/>
      <name val="Arial"/>
      <family val="2"/>
    </font>
    <font>
      <b/>
      <sz val="9"/>
      <color theme="1"/>
      <name val="Arial"/>
      <family val="2"/>
    </font>
    <font>
      <b/>
      <sz val="9"/>
      <color rgb="FF000000"/>
      <name val="Arial"/>
      <family val="2"/>
    </font>
    <font>
      <sz val="10"/>
      <color theme="1"/>
      <name val="Calibri"/>
      <family val="2"/>
      <scheme val="minor"/>
    </font>
    <font>
      <b/>
      <sz val="8"/>
      <color theme="1"/>
      <name val="Calibri"/>
      <family val="2"/>
      <scheme val="minor"/>
    </font>
    <font>
      <b/>
      <sz val="9"/>
      <color theme="1"/>
      <name val="Calibri"/>
      <family val="2"/>
      <scheme val="minor"/>
    </font>
    <font>
      <sz val="10"/>
      <color rgb="FF000000"/>
      <name val="Calibri"/>
      <family val="2"/>
      <scheme val="minor"/>
    </font>
    <font>
      <sz val="10"/>
      <color indexed="8"/>
      <name val="Calibri"/>
      <family val="2"/>
      <scheme val="minor"/>
    </font>
    <font>
      <sz val="11"/>
      <color indexed="8"/>
      <name val="Calibri"/>
      <family val="2"/>
      <scheme val="minor"/>
    </font>
    <font>
      <b/>
      <sz val="8"/>
      <color theme="1"/>
      <name val="Arial"/>
      <family val="2"/>
    </font>
    <font>
      <b/>
      <sz val="10"/>
      <color rgb="FFFF0000"/>
      <name val="Arial"/>
      <family val="2"/>
    </font>
    <font>
      <sz val="12"/>
      <color theme="1"/>
      <name val="Calibri"/>
      <family val="2"/>
      <scheme val="minor"/>
    </font>
    <font>
      <sz val="9"/>
      <color rgb="FF000000"/>
      <name val="Arial"/>
      <family val="2"/>
    </font>
    <font>
      <u/>
      <sz val="10"/>
      <color rgb="FF000000"/>
      <name val="Arial"/>
      <family val="2"/>
    </font>
    <font>
      <sz val="7"/>
      <color indexed="8"/>
      <name val="Arial"/>
      <family val="2"/>
    </font>
    <font>
      <shadow/>
      <sz val="10"/>
      <name val="Arial"/>
      <family val="2"/>
    </font>
    <font>
      <sz val="11"/>
      <name val="Calibri"/>
      <family val="2"/>
      <scheme val="minor"/>
    </font>
    <font>
      <sz val="10"/>
      <color indexed="8"/>
      <name val="Arial"/>
      <family val="2"/>
    </font>
    <font>
      <b/>
      <sz val="7"/>
      <color indexed="8"/>
      <name val="Arial"/>
      <family val="2"/>
    </font>
    <font>
      <sz val="7"/>
      <color rgb="FFFF0000"/>
      <name val="Arial"/>
      <family val="2"/>
    </font>
    <font>
      <sz val="7"/>
      <name val="Arial"/>
      <family val="2"/>
    </font>
    <font>
      <b/>
      <sz val="14"/>
      <color rgb="FF000000"/>
      <name val="Arial"/>
      <family val="2"/>
    </font>
    <font>
      <b/>
      <sz val="20"/>
      <color rgb="FF000000"/>
      <name val="Arial"/>
      <family val="2"/>
    </font>
    <font>
      <b/>
      <sz val="18"/>
      <color rgb="FF000000"/>
      <name val="Arial"/>
      <family val="2"/>
    </font>
    <font>
      <b/>
      <sz val="24"/>
      <color theme="1"/>
      <name val="Arial"/>
      <family val="2"/>
    </font>
    <font>
      <b/>
      <sz val="14"/>
      <color theme="1"/>
      <name val="Arial"/>
      <family val="2"/>
    </font>
    <font>
      <b/>
      <sz val="14"/>
      <name val="Arial"/>
      <family val="2"/>
    </font>
    <font>
      <sz val="14"/>
      <color rgb="FF000000"/>
      <name val="Arial"/>
      <family val="2"/>
    </font>
    <font>
      <b/>
      <sz val="18"/>
      <color theme="1"/>
      <name val="Arial"/>
      <family val="2"/>
    </font>
    <font>
      <sz val="24"/>
      <color theme="1"/>
      <name val="Arial"/>
      <family val="2"/>
    </font>
    <font>
      <b/>
      <sz val="22"/>
      <color rgb="FF000000"/>
      <name val="Arial"/>
      <family val="2"/>
    </font>
    <font>
      <b/>
      <sz val="24"/>
      <color rgb="FF000000"/>
      <name val="Arial"/>
      <family val="2"/>
    </font>
    <font>
      <b/>
      <sz val="11"/>
      <color theme="1"/>
      <name val="Arial"/>
      <family val="2"/>
    </font>
    <font>
      <b/>
      <sz val="22"/>
      <color theme="1"/>
      <name val="Calibri"/>
      <family val="2"/>
      <scheme val="minor"/>
    </font>
    <font>
      <b/>
      <sz val="16"/>
      <color rgb="FF000000"/>
      <name val="Arial"/>
      <family val="2"/>
    </font>
    <font>
      <sz val="16"/>
      <color rgb="FF000000"/>
      <name val="Arial"/>
      <family val="2"/>
    </font>
    <font>
      <sz val="18"/>
      <color rgb="FF000000"/>
      <name val="Arial"/>
      <family val="2"/>
    </font>
    <font>
      <sz val="22"/>
      <color theme="1"/>
      <name val="Calibri"/>
      <family val="2"/>
      <scheme val="minor"/>
    </font>
    <font>
      <b/>
      <sz val="8"/>
      <color rgb="FF000000"/>
      <name val="Arial"/>
      <family val="2"/>
    </font>
    <font>
      <u/>
      <sz val="10"/>
      <color rgb="FF00B0F0"/>
      <name val="Arial"/>
      <family val="2"/>
    </font>
    <font>
      <sz val="10"/>
      <color rgb="FF00B0F0"/>
      <name val="Arial"/>
      <family val="2"/>
    </font>
    <font>
      <u/>
      <sz val="10"/>
      <color rgb="FFFF0000"/>
      <name val="Arial"/>
      <family val="2"/>
    </font>
    <font>
      <u/>
      <sz val="10"/>
      <name val="Arial"/>
      <family val="2"/>
    </font>
    <font>
      <sz val="10"/>
      <color theme="9" tint="0.59999389629810485"/>
      <name val="Arial"/>
      <family val="2"/>
    </font>
    <font>
      <u/>
      <sz val="9"/>
      <color rgb="FFFF0000"/>
      <name val="Arial"/>
      <family val="2"/>
    </font>
    <font>
      <b/>
      <sz val="18"/>
      <color theme="1"/>
      <name val="Calibri"/>
      <family val="2"/>
      <scheme val="minor"/>
    </font>
    <font>
      <b/>
      <u/>
      <sz val="10"/>
      <color rgb="FFFF0000"/>
      <name val="Arial"/>
      <family val="2"/>
    </font>
    <font>
      <sz val="8"/>
      <color rgb="FF000000"/>
      <name val="Arial"/>
      <family val="2"/>
    </font>
    <font>
      <b/>
      <sz val="8"/>
      <name val="Arial"/>
      <family val="2"/>
    </font>
    <font>
      <sz val="8"/>
      <name val="Arial"/>
      <family val="2"/>
    </font>
    <font>
      <sz val="10"/>
      <color rgb="FFFF5050"/>
      <name val="Arial"/>
      <family val="2"/>
    </font>
    <font>
      <u/>
      <sz val="10"/>
      <color rgb="FFFF5050"/>
      <name val="Arial"/>
      <family val="2"/>
    </font>
    <font>
      <sz val="9"/>
      <name val="Arial"/>
      <family val="2"/>
    </font>
    <font>
      <sz val="8"/>
      <color theme="1"/>
      <name val="Arial"/>
      <family val="2"/>
    </font>
    <font>
      <sz val="14"/>
      <color theme="1"/>
      <name val="Calibri"/>
      <family val="2"/>
      <scheme val="minor"/>
    </font>
    <font>
      <sz val="10"/>
      <color rgb="FFC00000"/>
      <name val="Arial"/>
      <family val="2"/>
    </font>
    <font>
      <sz val="18"/>
      <color theme="1"/>
      <name val="Calibri"/>
      <family val="2"/>
      <scheme val="minor"/>
    </font>
    <font>
      <sz val="10"/>
      <color theme="8" tint="-0.499984740745262"/>
      <name val="Arial"/>
      <family val="2"/>
    </font>
    <font>
      <sz val="12"/>
      <name val="Calibri"/>
      <family val="2"/>
      <scheme val="minor"/>
    </font>
    <font>
      <sz val="12"/>
      <color theme="0"/>
      <name val="Calibri"/>
      <family val="2"/>
      <scheme val="minor"/>
    </font>
    <font>
      <sz val="16"/>
      <color theme="1"/>
      <name val="Calibri"/>
      <family val="2"/>
      <scheme val="minor"/>
    </font>
    <font>
      <b/>
      <sz val="12"/>
      <color theme="1"/>
      <name val="Calibri"/>
      <family val="2"/>
      <scheme val="minor"/>
    </font>
    <font>
      <b/>
      <sz val="16"/>
      <color theme="1"/>
      <name val="Calibri"/>
      <family val="2"/>
      <scheme val="minor"/>
    </font>
    <font>
      <b/>
      <sz val="9"/>
      <color indexed="81"/>
      <name val="Tahoma"/>
      <family val="2"/>
    </font>
    <font>
      <sz val="9"/>
      <color indexed="81"/>
      <name val="Tahoma"/>
      <family val="2"/>
    </font>
    <font>
      <sz val="11"/>
      <color theme="1"/>
      <name val="Arial"/>
      <family val="2"/>
    </font>
    <font>
      <b/>
      <sz val="10"/>
      <color rgb="FFFF5050"/>
      <name val="Arial"/>
      <family val="2"/>
    </font>
    <font>
      <u/>
      <sz val="9"/>
      <color indexed="81"/>
      <name val="Tahoma"/>
      <family val="2"/>
    </font>
    <font>
      <sz val="10"/>
      <color rgb="FF0070C0"/>
      <name val="Arial"/>
      <family val="2"/>
    </font>
    <font>
      <sz val="10"/>
      <color rgb="FF0066FF"/>
      <name val="Arial"/>
      <family val="2"/>
    </font>
    <font>
      <sz val="9"/>
      <color rgb="FF0066FF"/>
      <name val="Arial"/>
      <family val="2"/>
    </font>
    <font>
      <sz val="11"/>
      <color theme="1"/>
      <name val="Calibri"/>
      <family val="2"/>
    </font>
    <font>
      <sz val="10"/>
      <color indexed="81"/>
      <name val="Tahoma"/>
      <family val="2"/>
    </font>
    <font>
      <sz val="10"/>
      <color rgb="FF00B050"/>
      <name val="Arial"/>
      <family val="2"/>
    </font>
    <font>
      <sz val="10"/>
      <color rgb="FF7030A0"/>
      <name val="Arial"/>
      <family val="2"/>
    </font>
    <font>
      <sz val="11"/>
      <color indexed="8"/>
      <name val="Arial"/>
      <family val="2"/>
    </font>
    <font>
      <b/>
      <sz val="11"/>
      <color rgb="FF000000"/>
      <name val="Arial"/>
      <family val="2"/>
    </font>
    <font>
      <sz val="11"/>
      <color theme="0"/>
      <name val="Calibri"/>
      <family val="2"/>
      <scheme val="minor"/>
    </font>
  </fonts>
  <fills count="53">
    <fill>
      <patternFill patternType="none"/>
    </fill>
    <fill>
      <patternFill patternType="gray125"/>
    </fill>
    <fill>
      <patternFill patternType="solid">
        <fgColor rgb="FFFFFF00"/>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00B0F0"/>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92D050"/>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FFC000"/>
        <bgColor indexed="64"/>
      </patternFill>
    </fill>
    <fill>
      <patternFill patternType="solid">
        <fgColor theme="9" tint="-0.249977111117893"/>
        <bgColor indexed="64"/>
      </patternFill>
    </fill>
    <fill>
      <patternFill patternType="solid">
        <fgColor rgb="FFCCCC00"/>
        <bgColor indexed="64"/>
      </patternFill>
    </fill>
    <fill>
      <patternFill patternType="solid">
        <fgColor rgb="FFFFFF99"/>
        <bgColor indexed="64"/>
      </patternFill>
    </fill>
    <fill>
      <patternFill patternType="solid">
        <fgColor rgb="FFFFFFCC"/>
        <bgColor indexed="64"/>
      </patternFill>
    </fill>
    <fill>
      <patternFill patternType="solid">
        <fgColor theme="9" tint="0.79998168889431442"/>
        <bgColor indexed="64"/>
      </patternFill>
    </fill>
    <fill>
      <patternFill patternType="solid">
        <fgColor rgb="FFFF5050"/>
        <bgColor indexed="64"/>
      </patternFill>
    </fill>
    <fill>
      <patternFill patternType="solid">
        <fgColor rgb="FFFFFF66"/>
        <bgColor indexed="64"/>
      </patternFill>
    </fill>
    <fill>
      <patternFill patternType="solid">
        <fgColor theme="9"/>
        <bgColor indexed="64"/>
      </patternFill>
    </fill>
    <fill>
      <patternFill patternType="solid">
        <fgColor rgb="FFFFE8A7"/>
        <bgColor indexed="64"/>
      </patternFill>
    </fill>
    <fill>
      <patternFill patternType="solid">
        <fgColor rgb="FFFF9966"/>
        <bgColor indexed="64"/>
      </patternFill>
    </fill>
    <fill>
      <patternFill patternType="solid">
        <fgColor rgb="FFFF7C80"/>
        <bgColor indexed="64"/>
      </patternFill>
    </fill>
    <fill>
      <patternFill patternType="solid">
        <fgColor rgb="FFFF9999"/>
        <bgColor indexed="64"/>
      </patternFill>
    </fill>
    <fill>
      <patternFill patternType="solid">
        <fgColor rgb="FFFFAFB1"/>
        <bgColor indexed="64"/>
      </patternFill>
    </fill>
    <fill>
      <patternFill patternType="solid">
        <fgColor theme="6" tint="0.79998168889431442"/>
        <bgColor indexed="64"/>
      </patternFill>
    </fill>
    <fill>
      <patternFill patternType="solid">
        <fgColor rgb="FF0066FF"/>
        <bgColor indexed="64"/>
      </patternFill>
    </fill>
    <fill>
      <patternFill patternType="solid">
        <fgColor theme="4" tint="-0.249977111117893"/>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rgb="FF00B050"/>
        <bgColor indexed="64"/>
      </patternFill>
    </fill>
    <fill>
      <patternFill patternType="solid">
        <fgColor theme="2" tint="-0.499984740745262"/>
        <bgColor indexed="64"/>
      </patternFill>
    </fill>
    <fill>
      <patternFill patternType="solid">
        <fgColor theme="6" tint="0.59999389629810485"/>
        <bgColor indexed="64"/>
      </patternFill>
    </fill>
    <fill>
      <patternFill patternType="solid">
        <fgColor rgb="FF0070C0"/>
        <bgColor indexed="64"/>
      </patternFill>
    </fill>
    <fill>
      <patternFill patternType="solid">
        <fgColor theme="8" tint="-0.249977111117893"/>
        <bgColor indexed="64"/>
      </patternFill>
    </fill>
    <fill>
      <patternFill patternType="solid">
        <fgColor rgb="FFFF3300"/>
        <bgColor indexed="64"/>
      </patternFill>
    </fill>
    <fill>
      <patternFill patternType="solid">
        <fgColor rgb="FFD7E3BC"/>
        <bgColor indexed="64"/>
      </patternFill>
    </fill>
    <fill>
      <patternFill patternType="solid">
        <fgColor theme="9"/>
      </patternFill>
    </fill>
  </fills>
  <borders count="49">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style="thin">
        <color auto="1"/>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style="thin">
        <color auto="1"/>
      </left>
      <right style="thin">
        <color auto="1"/>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top style="thin">
        <color auto="1"/>
      </top>
      <bottom/>
      <diagonal/>
    </border>
    <border>
      <left style="thin">
        <color auto="1"/>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top/>
      <bottom style="medium">
        <color auto="1"/>
      </bottom>
      <diagonal/>
    </border>
    <border>
      <left style="medium">
        <color auto="1"/>
      </left>
      <right style="thin">
        <color auto="1"/>
      </right>
      <top style="thin">
        <color auto="1"/>
      </top>
      <bottom/>
      <diagonal/>
    </border>
    <border>
      <left style="medium">
        <color auto="1"/>
      </left>
      <right style="thin">
        <color auto="1"/>
      </right>
      <top style="medium">
        <color indexed="64"/>
      </top>
      <bottom style="medium">
        <color indexed="64"/>
      </bottom>
      <diagonal/>
    </border>
    <border>
      <left style="thin">
        <color auto="1"/>
      </left>
      <right style="thin">
        <color auto="1"/>
      </right>
      <top/>
      <bottom style="medium">
        <color indexed="64"/>
      </bottom>
      <diagonal/>
    </border>
    <border>
      <left style="medium">
        <color indexed="64"/>
      </left>
      <right/>
      <top/>
      <bottom/>
      <diagonal/>
    </border>
    <border>
      <left style="medium">
        <color auto="1"/>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bottom style="medium">
        <color indexed="64"/>
      </bottom>
      <diagonal/>
    </border>
    <border>
      <left/>
      <right style="medium">
        <color indexed="64"/>
      </right>
      <top/>
      <bottom/>
      <diagonal/>
    </border>
    <border>
      <left/>
      <right style="medium">
        <color indexed="64"/>
      </right>
      <top/>
      <bottom style="thin">
        <color auto="1"/>
      </bottom>
      <diagonal/>
    </border>
    <border>
      <left style="thin">
        <color auto="1"/>
      </left>
      <right/>
      <top style="medium">
        <color indexed="64"/>
      </top>
      <bottom/>
      <diagonal/>
    </border>
    <border>
      <left style="medium">
        <color auto="1"/>
      </left>
      <right style="medium">
        <color auto="1"/>
      </right>
      <top style="medium">
        <color auto="1"/>
      </top>
      <bottom/>
      <diagonal/>
    </border>
    <border>
      <left/>
      <right style="thin">
        <color auto="1"/>
      </right>
      <top style="medium">
        <color indexed="64"/>
      </top>
      <bottom/>
      <diagonal/>
    </border>
    <border>
      <left style="thin">
        <color auto="1"/>
      </left>
      <right/>
      <top style="thin">
        <color indexed="64"/>
      </top>
      <bottom style="medium">
        <color indexed="64"/>
      </bottom>
      <diagonal/>
    </border>
    <border>
      <left/>
      <right style="thin">
        <color auto="1"/>
      </right>
      <top/>
      <bottom/>
      <diagonal/>
    </border>
    <border>
      <left style="thin">
        <color indexed="64"/>
      </left>
      <right style="thin">
        <color indexed="64"/>
      </right>
      <top style="medium">
        <color indexed="64"/>
      </top>
      <bottom style="thin">
        <color indexed="64"/>
      </bottom>
      <diagonal/>
    </border>
  </borders>
  <cellStyleXfs count="634">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10"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6" fontId="10"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26" fillId="0" borderId="0"/>
    <xf numFmtId="0" fontId="32" fillId="0" borderId="0"/>
    <xf numFmtId="9"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7" fontId="10" fillId="0" borderId="0" applyFont="0" applyFill="0" applyBorder="0" applyAlignment="0" applyProtection="0"/>
    <xf numFmtId="0" fontId="92" fillId="52" borderId="0" applyNumberFormat="0" applyBorder="0" applyAlignment="0" applyProtection="0"/>
  </cellStyleXfs>
  <cellXfs count="1771">
    <xf numFmtId="0" fontId="0" fillId="0" borderId="0" xfId="0"/>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xf>
    <xf numFmtId="0" fontId="3" fillId="0" borderId="0" xfId="0" applyFont="1"/>
    <xf numFmtId="0" fontId="3" fillId="0" borderId="0" xfId="0" applyFont="1" applyAlignment="1">
      <alignment horizontal="center" vertical="center"/>
    </xf>
    <xf numFmtId="0" fontId="3" fillId="0" borderId="0" xfId="0" applyFont="1" applyAlignment="1">
      <alignment horizontal="left" vertical="center" wrapText="1"/>
    </xf>
    <xf numFmtId="0" fontId="1" fillId="2" borderId="1" xfId="0" applyFont="1" applyFill="1" applyBorder="1" applyAlignment="1">
      <alignment horizontal="left" vertical="center" wrapText="1"/>
    </xf>
    <xf numFmtId="0" fontId="3" fillId="0" borderId="1" xfId="0" applyFont="1" applyBorder="1" applyAlignment="1">
      <alignment horizontal="left" vertical="center" wrapText="1"/>
    </xf>
    <xf numFmtId="0" fontId="1" fillId="3" borderId="1" xfId="0" applyFont="1" applyFill="1" applyBorder="1" applyAlignment="1">
      <alignment horizontal="center" vertical="center" wrapText="1"/>
    </xf>
    <xf numFmtId="0" fontId="1" fillId="4" borderId="1" xfId="0" applyFont="1" applyFill="1" applyBorder="1" applyAlignment="1">
      <alignment horizontal="left" vertical="center"/>
    </xf>
    <xf numFmtId="0" fontId="1" fillId="4"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0" fontId="3" fillId="2" borderId="1" xfId="0" applyFont="1" applyFill="1" applyBorder="1" applyAlignment="1">
      <alignment horizontal="left" vertical="center"/>
    </xf>
    <xf numFmtId="0" fontId="3" fillId="0" borderId="0" xfId="0" applyFont="1" applyAlignment="1">
      <alignment horizontal="left" vertical="center"/>
    </xf>
    <xf numFmtId="0" fontId="2" fillId="5" borderId="1" xfId="0" applyFont="1" applyFill="1" applyBorder="1" applyAlignment="1">
      <alignment horizontal="justify" vertical="center" wrapText="1"/>
    </xf>
    <xf numFmtId="0" fontId="2" fillId="2" borderId="1" xfId="0" applyFont="1" applyFill="1" applyBorder="1" applyAlignment="1">
      <alignment horizontal="center" vertical="center" wrapText="1"/>
    </xf>
    <xf numFmtId="0" fontId="1" fillId="0" borderId="1" xfId="0" applyFont="1" applyBorder="1" applyAlignment="1">
      <alignment horizontal="left" vertical="center"/>
    </xf>
    <xf numFmtId="0" fontId="3" fillId="0" borderId="1" xfId="0" applyFont="1" applyBorder="1" applyAlignment="1">
      <alignment horizontal="left" vertical="center"/>
    </xf>
    <xf numFmtId="0" fontId="1" fillId="3" borderId="1" xfId="0" applyFont="1" applyFill="1" applyBorder="1" applyAlignment="1">
      <alignment horizontal="justify" vertical="center" wrapText="1"/>
    </xf>
    <xf numFmtId="0" fontId="1" fillId="4" borderId="1" xfId="0" applyFont="1" applyFill="1" applyBorder="1" applyAlignment="1">
      <alignment horizontal="justify" vertical="center" wrapText="1"/>
    </xf>
    <xf numFmtId="0" fontId="1" fillId="2" borderId="1" xfId="0" applyFont="1" applyFill="1" applyBorder="1" applyAlignment="1">
      <alignment horizontal="justify" vertical="center" wrapText="1"/>
    </xf>
    <xf numFmtId="0" fontId="6" fillId="0" borderId="0" xfId="0" applyFont="1"/>
    <xf numFmtId="0" fontId="3" fillId="2" borderId="1" xfId="0" applyFont="1" applyFill="1" applyBorder="1" applyAlignment="1">
      <alignment horizontal="left" vertical="center" wrapText="1"/>
    </xf>
    <xf numFmtId="0" fontId="2" fillId="2" borderId="1" xfId="0" applyFont="1" applyFill="1" applyBorder="1" applyAlignment="1">
      <alignment horizontal="justify" vertical="center" wrapText="1"/>
    </xf>
    <xf numFmtId="0" fontId="2" fillId="5" borderId="0" xfId="0" applyFont="1" applyFill="1" applyAlignment="1">
      <alignment horizontal="justify" vertical="center" wrapText="1"/>
    </xf>
    <xf numFmtId="0" fontId="3" fillId="0" borderId="0" xfId="0" applyFont="1" applyAlignment="1">
      <alignment vertical="center"/>
    </xf>
    <xf numFmtId="0" fontId="3" fillId="0" borderId="0" xfId="0" applyFont="1" applyAlignment="1">
      <alignment horizontal="justify" vertical="center"/>
    </xf>
    <xf numFmtId="168" fontId="3" fillId="0" borderId="0" xfId="259" applyNumberFormat="1" applyFont="1" applyAlignment="1">
      <alignment horizontal="center" vertical="center"/>
    </xf>
    <xf numFmtId="168" fontId="3" fillId="2" borderId="0" xfId="259" applyNumberFormat="1" applyFont="1" applyFill="1" applyAlignment="1">
      <alignment horizontal="center" vertical="center"/>
    </xf>
    <xf numFmtId="168" fontId="1" fillId="5" borderId="1" xfId="259" applyNumberFormat="1" applyFont="1" applyFill="1" applyBorder="1" applyAlignment="1">
      <alignment horizontal="center" vertical="center" wrapText="1"/>
    </xf>
    <xf numFmtId="168" fontId="1" fillId="0" borderId="1" xfId="259" applyNumberFormat="1" applyFont="1" applyBorder="1" applyAlignment="1">
      <alignment horizontal="center" vertical="center" wrapText="1"/>
    </xf>
    <xf numFmtId="168" fontId="1" fillId="4" borderId="1" xfId="259" applyNumberFormat="1" applyFont="1" applyFill="1" applyBorder="1" applyAlignment="1">
      <alignment horizontal="center" vertical="center" wrapText="1"/>
    </xf>
    <xf numFmtId="168" fontId="1" fillId="2" borderId="1" xfId="259" applyNumberFormat="1" applyFont="1" applyFill="1" applyBorder="1" applyAlignment="1">
      <alignment horizontal="center" vertical="center" wrapText="1"/>
    </xf>
    <xf numFmtId="168" fontId="3" fillId="0" borderId="1" xfId="259" applyNumberFormat="1" applyFont="1" applyBorder="1" applyAlignment="1">
      <alignment horizontal="center" vertical="center"/>
    </xf>
    <xf numFmtId="168" fontId="1" fillId="3" borderId="1" xfId="259" applyNumberFormat="1" applyFont="1" applyFill="1" applyBorder="1" applyAlignment="1">
      <alignment horizontal="center" vertical="center" wrapText="1"/>
    </xf>
    <xf numFmtId="0" fontId="8" fillId="0" borderId="0" xfId="0" applyFont="1"/>
    <xf numFmtId="0" fontId="9" fillId="0" borderId="0" xfId="0" applyFont="1"/>
    <xf numFmtId="168" fontId="3" fillId="0" borderId="0" xfId="259" applyNumberFormat="1" applyFont="1" applyAlignment="1">
      <alignment horizontal="right" vertical="center"/>
    </xf>
    <xf numFmtId="168" fontId="3" fillId="0" borderId="0" xfId="259" applyNumberFormat="1" applyFont="1"/>
    <xf numFmtId="168" fontId="1" fillId="0" borderId="1" xfId="259" applyNumberFormat="1" applyFont="1" applyBorder="1" applyAlignment="1">
      <alignment horizontal="right" vertical="center" wrapText="1"/>
    </xf>
    <xf numFmtId="168" fontId="2" fillId="0" borderId="1" xfId="259" applyNumberFormat="1" applyFont="1" applyBorder="1" applyAlignment="1">
      <alignment horizontal="center" vertical="center" wrapText="1"/>
    </xf>
    <xf numFmtId="168" fontId="2" fillId="2" borderId="1" xfId="259" applyNumberFormat="1" applyFont="1" applyFill="1" applyBorder="1" applyAlignment="1">
      <alignment horizontal="center" vertical="center" wrapText="1"/>
    </xf>
    <xf numFmtId="168" fontId="2" fillId="0" borderId="1" xfId="259" applyNumberFormat="1" applyFont="1" applyBorder="1" applyAlignment="1">
      <alignment vertical="center" wrapText="1"/>
    </xf>
    <xf numFmtId="168" fontId="1" fillId="2" borderId="1" xfId="259" applyNumberFormat="1" applyFont="1" applyFill="1" applyBorder="1" applyAlignment="1">
      <alignment horizontal="right" vertical="center" wrapText="1"/>
    </xf>
    <xf numFmtId="0" fontId="3" fillId="0" borderId="0" xfId="259" applyNumberFormat="1" applyFont="1" applyAlignment="1">
      <alignment horizontal="center" vertical="center"/>
    </xf>
    <xf numFmtId="0" fontId="1" fillId="0" borderId="1" xfId="259" applyNumberFormat="1" applyFont="1" applyBorder="1" applyAlignment="1">
      <alignment horizontal="center" vertical="center" wrapText="1"/>
    </xf>
    <xf numFmtId="0" fontId="1" fillId="4" borderId="1" xfId="259" applyNumberFormat="1" applyFont="1" applyFill="1" applyBorder="1" applyAlignment="1">
      <alignment horizontal="center" vertical="center" wrapText="1"/>
    </xf>
    <xf numFmtId="0" fontId="1" fillId="2" borderId="1" xfId="259" applyNumberFormat="1" applyFont="1" applyFill="1" applyBorder="1" applyAlignment="1">
      <alignment horizontal="center" vertical="center" wrapText="1"/>
    </xf>
    <xf numFmtId="0" fontId="2" fillId="0" borderId="1" xfId="0" applyFont="1" applyBorder="1" applyAlignment="1">
      <alignment vertical="center" wrapText="1"/>
    </xf>
    <xf numFmtId="0" fontId="11" fillId="2" borderId="1" xfId="0" applyFont="1" applyFill="1" applyBorder="1" applyAlignment="1">
      <alignment horizontal="left" vertical="center" wrapText="1"/>
    </xf>
    <xf numFmtId="0" fontId="11" fillId="2" borderId="1" xfId="0" applyFont="1" applyFill="1" applyBorder="1" applyAlignment="1">
      <alignment horizontal="left" vertical="center"/>
    </xf>
    <xf numFmtId="0" fontId="11" fillId="2" borderId="1" xfId="0" applyFont="1" applyFill="1" applyBorder="1" applyAlignment="1">
      <alignment horizontal="center" vertical="center" wrapText="1"/>
    </xf>
    <xf numFmtId="168" fontId="11" fillId="2" borderId="1" xfId="259" applyNumberFormat="1" applyFont="1" applyFill="1" applyBorder="1" applyAlignment="1">
      <alignment horizontal="center" vertical="center" wrapText="1"/>
    </xf>
    <xf numFmtId="168" fontId="3" fillId="0" borderId="0" xfId="259" applyNumberFormat="1" applyFont="1" applyAlignment="1">
      <alignment wrapText="1"/>
    </xf>
    <xf numFmtId="0" fontId="3" fillId="0" borderId="0" xfId="0" applyFont="1" applyAlignment="1">
      <alignment wrapText="1"/>
    </xf>
    <xf numFmtId="0" fontId="2" fillId="2" borderId="1" xfId="0" applyFont="1" applyFill="1" applyBorder="1" applyAlignment="1">
      <alignment vertical="center" wrapText="1"/>
    </xf>
    <xf numFmtId="168" fontId="2" fillId="3" borderId="1" xfId="259" applyNumberFormat="1" applyFont="1" applyFill="1" applyBorder="1" applyAlignment="1">
      <alignment horizontal="center" vertical="center" wrapText="1"/>
    </xf>
    <xf numFmtId="168" fontId="2" fillId="0" borderId="1" xfId="259" applyNumberFormat="1" applyFont="1" applyBorder="1" applyAlignment="1">
      <alignment horizontal="right" vertical="center" wrapText="1"/>
    </xf>
    <xf numFmtId="168" fontId="2" fillId="0" borderId="1" xfId="259" applyNumberFormat="1" applyFont="1" applyBorder="1" applyAlignment="1">
      <alignment horizontal="left" vertical="center" wrapText="1"/>
    </xf>
    <xf numFmtId="168" fontId="9" fillId="0" borderId="1" xfId="259" applyNumberFormat="1" applyFont="1" applyBorder="1" applyAlignment="1">
      <alignment horizontal="center" vertical="center" wrapText="1"/>
    </xf>
    <xf numFmtId="0" fontId="11" fillId="2" borderId="1" xfId="0" applyFont="1" applyFill="1" applyBorder="1" applyAlignment="1">
      <alignment horizontal="justify" vertical="center" wrapText="1"/>
    </xf>
    <xf numFmtId="0" fontId="2" fillId="0" borderId="1" xfId="259" applyNumberFormat="1" applyFont="1" applyBorder="1" applyAlignment="1">
      <alignment horizontal="center" vertical="center" wrapText="1"/>
    </xf>
    <xf numFmtId="0" fontId="2" fillId="0" borderId="3" xfId="0" applyFont="1" applyBorder="1" applyAlignment="1">
      <alignment horizontal="center" vertical="center" wrapText="1"/>
    </xf>
    <xf numFmtId="0" fontId="1" fillId="3" borderId="1" xfId="259" applyNumberFormat="1" applyFont="1" applyFill="1" applyBorder="1" applyAlignment="1">
      <alignment horizontal="center" vertical="center" wrapText="1"/>
    </xf>
    <xf numFmtId="0" fontId="2" fillId="2" borderId="1" xfId="259"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6" borderId="1" xfId="259" applyNumberFormat="1" applyFont="1" applyFill="1" applyBorder="1" applyAlignment="1">
      <alignment horizontal="center" vertical="center" wrapText="1"/>
    </xf>
    <xf numFmtId="0" fontId="2" fillId="0" borderId="4" xfId="0" applyFont="1" applyBorder="1" applyAlignment="1">
      <alignment horizontal="center" vertical="center" wrapText="1"/>
    </xf>
    <xf numFmtId="0" fontId="2" fillId="5" borderId="5" xfId="0" applyFont="1" applyFill="1" applyBorder="1" applyAlignment="1">
      <alignment horizontal="justify" vertical="center" wrapText="1"/>
    </xf>
    <xf numFmtId="0" fontId="9" fillId="5" borderId="1" xfId="0" applyFont="1" applyFill="1" applyBorder="1" applyAlignment="1">
      <alignment horizontal="justify" vertical="center" wrapText="1"/>
    </xf>
    <xf numFmtId="0" fontId="9" fillId="5" borderId="0" xfId="0" applyFont="1" applyFill="1" applyAlignment="1">
      <alignment vertical="center" wrapText="1"/>
    </xf>
    <xf numFmtId="0" fontId="9" fillId="5" borderId="0" xfId="0" applyFont="1" applyFill="1" applyAlignment="1">
      <alignment horizontal="justify" vertical="center" wrapText="1"/>
    </xf>
    <xf numFmtId="0" fontId="3" fillId="5" borderId="1" xfId="0" applyFont="1" applyFill="1" applyBorder="1" applyAlignment="1">
      <alignment horizontal="justify" vertical="center" wrapText="1"/>
    </xf>
    <xf numFmtId="168" fontId="2" fillId="0" borderId="0" xfId="259" applyNumberFormat="1" applyFont="1" applyAlignment="1">
      <alignment horizontal="center" vertical="center" wrapText="1"/>
    </xf>
    <xf numFmtId="168" fontId="1" fillId="0" borderId="1" xfId="259" quotePrefix="1" applyNumberFormat="1" applyFont="1" applyBorder="1" applyAlignment="1">
      <alignment horizontal="center" vertical="center" wrapText="1"/>
    </xf>
    <xf numFmtId="164" fontId="1" fillId="4" borderId="1" xfId="259" applyFont="1" applyFill="1" applyBorder="1" applyAlignment="1">
      <alignment horizontal="center" vertical="center" wrapText="1"/>
    </xf>
    <xf numFmtId="3" fontId="1" fillId="4" borderId="1" xfId="259" applyNumberFormat="1" applyFont="1" applyFill="1" applyBorder="1" applyAlignment="1">
      <alignment horizontal="center" vertical="center" wrapText="1"/>
    </xf>
    <xf numFmtId="0" fontId="1" fillId="2" borderId="1" xfId="0" quotePrefix="1" applyFont="1" applyFill="1" applyBorder="1" applyAlignment="1">
      <alignment horizontal="left" vertical="center"/>
    </xf>
    <xf numFmtId="164" fontId="1" fillId="2" borderId="1" xfId="259" applyFont="1" applyFill="1" applyBorder="1" applyAlignment="1">
      <alignment horizontal="center" vertical="center" wrapText="1"/>
    </xf>
    <xf numFmtId="3" fontId="1" fillId="2" borderId="1" xfId="259" applyNumberFormat="1" applyFont="1" applyFill="1" applyBorder="1" applyAlignment="1">
      <alignment horizontal="center" vertical="center" wrapText="1"/>
    </xf>
    <xf numFmtId="0" fontId="1" fillId="0" borderId="1" xfId="0" applyFont="1" applyBorder="1" applyAlignment="1">
      <alignment horizontal="left" vertical="center" wrapText="1"/>
    </xf>
    <xf numFmtId="9" fontId="1" fillId="0" borderId="1" xfId="0" applyNumberFormat="1" applyFont="1" applyBorder="1" applyAlignment="1">
      <alignment horizontal="justify" vertical="center" wrapText="1"/>
    </xf>
    <xf numFmtId="164" fontId="1" fillId="0" borderId="1" xfId="259" applyFont="1" applyBorder="1" applyAlignment="1">
      <alignment horizontal="center" vertical="center" wrapText="1"/>
    </xf>
    <xf numFmtId="3" fontId="1" fillId="0" borderId="1" xfId="259" applyNumberFormat="1" applyFont="1" applyBorder="1" applyAlignment="1">
      <alignment horizontal="center" vertical="center" wrapText="1"/>
    </xf>
    <xf numFmtId="9" fontId="1" fillId="0" borderId="1" xfId="0" applyNumberFormat="1" applyFont="1" applyBorder="1" applyAlignment="1">
      <alignment horizontal="center" vertical="center" wrapText="1"/>
    </xf>
    <xf numFmtId="9" fontId="1" fillId="0" borderId="1" xfId="259" applyNumberFormat="1" applyFont="1" applyBorder="1" applyAlignment="1">
      <alignment horizontal="center" vertical="center" wrapText="1"/>
    </xf>
    <xf numFmtId="0" fontId="1" fillId="2" borderId="5" xfId="0" quotePrefix="1" applyFont="1" applyFill="1" applyBorder="1" applyAlignment="1">
      <alignment horizontal="left" vertical="center"/>
    </xf>
    <xf numFmtId="0" fontId="0" fillId="0" borderId="1" xfId="0" applyBorder="1"/>
    <xf numFmtId="0" fontId="0" fillId="0" borderId="1" xfId="0" applyBorder="1" applyAlignment="1">
      <alignment horizontal="center" vertical="center"/>
    </xf>
    <xf numFmtId="0" fontId="0" fillId="0" borderId="1" xfId="0" applyBorder="1" applyAlignment="1">
      <alignment vertical="center"/>
    </xf>
    <xf numFmtId="0" fontId="1" fillId="2" borderId="5" xfId="0" applyFont="1" applyFill="1" applyBorder="1" applyAlignment="1">
      <alignment horizontal="center" vertical="center" wrapText="1"/>
    </xf>
    <xf numFmtId="0" fontId="0" fillId="0" borderId="1" xfId="0" quotePrefix="1" applyBorder="1" applyAlignment="1">
      <alignment horizontal="justify" vertical="center" wrapText="1"/>
    </xf>
    <xf numFmtId="0" fontId="0" fillId="0" borderId="1" xfId="0" quotePrefix="1" applyBorder="1" applyAlignment="1">
      <alignment horizontal="justify" wrapText="1"/>
    </xf>
    <xf numFmtId="0" fontId="1" fillId="0" borderId="1" xfId="0" quotePrefix="1" applyFont="1" applyBorder="1" applyAlignment="1">
      <alignment horizontal="left" vertical="center" wrapText="1"/>
    </xf>
    <xf numFmtId="0" fontId="1" fillId="0" borderId="1" xfId="0" applyFont="1" applyBorder="1" applyAlignment="1">
      <alignment vertical="center" wrapText="1"/>
    </xf>
    <xf numFmtId="0" fontId="1" fillId="2" borderId="5" xfId="0" applyFont="1" applyFill="1" applyBorder="1" applyAlignment="1">
      <alignment horizontal="justify" vertical="center" wrapText="1"/>
    </xf>
    <xf numFmtId="164" fontId="1" fillId="2" borderId="5" xfId="259" applyFont="1" applyFill="1" applyBorder="1" applyAlignment="1">
      <alignment horizontal="center" vertical="center" wrapText="1"/>
    </xf>
    <xf numFmtId="3" fontId="1" fillId="2" borderId="5" xfId="259" applyNumberFormat="1" applyFont="1" applyFill="1" applyBorder="1" applyAlignment="1">
      <alignment horizontal="center" vertical="center" wrapText="1"/>
    </xf>
    <xf numFmtId="0" fontId="8" fillId="0" borderId="1" xfId="0" applyFont="1" applyBorder="1" applyAlignment="1">
      <alignment horizontal="justify" vertical="center" wrapText="1"/>
    </xf>
    <xf numFmtId="3" fontId="8" fillId="0" borderId="1" xfId="0" applyNumberFormat="1" applyFont="1" applyBorder="1" applyAlignment="1">
      <alignment horizontal="justify" vertical="center" wrapText="1"/>
    </xf>
    <xf numFmtId="0" fontId="14" fillId="0" borderId="1" xfId="0" applyFont="1" applyBorder="1" applyAlignment="1">
      <alignment horizontal="center"/>
    </xf>
    <xf numFmtId="0" fontId="15" fillId="0" borderId="1" xfId="0" applyFont="1" applyBorder="1" applyAlignment="1">
      <alignment horizontal="justify" vertical="center" wrapText="1"/>
    </xf>
    <xf numFmtId="0" fontId="1" fillId="7" borderId="1" xfId="0" applyFont="1" applyFill="1" applyBorder="1" applyAlignment="1">
      <alignment horizontal="left" vertical="center" wrapText="1"/>
    </xf>
    <xf numFmtId="0" fontId="1" fillId="7" borderId="1" xfId="0" quotePrefix="1" applyFont="1" applyFill="1" applyBorder="1" applyAlignment="1">
      <alignment horizontal="left" vertical="center"/>
    </xf>
    <xf numFmtId="0" fontId="2" fillId="7" borderId="1"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1" fillId="7" borderId="1" xfId="0" applyFont="1" applyFill="1" applyBorder="1" applyAlignment="1">
      <alignment horizontal="justify" vertical="center" wrapText="1"/>
    </xf>
    <xf numFmtId="164" fontId="1" fillId="7" borderId="1" xfId="259" applyFont="1" applyFill="1" applyBorder="1" applyAlignment="1">
      <alignment horizontal="center" vertical="center" wrapText="1"/>
    </xf>
    <xf numFmtId="3" fontId="1" fillId="7" borderId="1" xfId="259" applyNumberFormat="1" applyFont="1" applyFill="1" applyBorder="1" applyAlignment="1">
      <alignment horizontal="center" vertical="center" wrapText="1"/>
    </xf>
    <xf numFmtId="9" fontId="1" fillId="0" borderId="1" xfId="0" quotePrefix="1" applyNumberFormat="1" applyFont="1" applyBorder="1" applyAlignment="1">
      <alignment horizontal="left" vertical="center" wrapText="1"/>
    </xf>
    <xf numFmtId="0" fontId="1" fillId="0" borderId="1" xfId="518" applyNumberFormat="1" applyFont="1" applyBorder="1" applyAlignment="1">
      <alignment horizontal="center" vertical="center" wrapText="1"/>
    </xf>
    <xf numFmtId="9" fontId="1" fillId="0" borderId="1" xfId="259" quotePrefix="1" applyNumberFormat="1" applyFont="1" applyBorder="1" applyAlignment="1">
      <alignment horizontal="justify" vertical="center" wrapText="1"/>
    </xf>
    <xf numFmtId="9" fontId="1" fillId="0" borderId="1" xfId="518" applyNumberFormat="1" applyFont="1" applyBorder="1" applyAlignment="1">
      <alignment horizontal="center" vertical="center" wrapText="1"/>
    </xf>
    <xf numFmtId="0" fontId="1" fillId="0" borderId="1" xfId="518" quotePrefix="1" applyNumberFormat="1" applyFont="1" applyBorder="1" applyAlignment="1">
      <alignment horizontal="center" vertical="center" wrapText="1"/>
    </xf>
    <xf numFmtId="0" fontId="1" fillId="7" borderId="1" xfId="0" quotePrefix="1" applyFont="1" applyFill="1" applyBorder="1" applyAlignment="1">
      <alignment vertical="center"/>
    </xf>
    <xf numFmtId="9" fontId="1" fillId="0" borderId="1" xfId="518" quotePrefix="1" applyNumberFormat="1" applyFont="1" applyBorder="1" applyAlignment="1">
      <alignment horizontal="center" vertical="center" wrapText="1"/>
    </xf>
    <xf numFmtId="0" fontId="16" fillId="0" borderId="1" xfId="0" applyFont="1" applyBorder="1" applyAlignment="1">
      <alignment horizontal="justify" vertical="center" wrapText="1"/>
    </xf>
    <xf numFmtId="10" fontId="1" fillId="0" borderId="1" xfId="518" applyNumberFormat="1" applyFont="1" applyBorder="1" applyAlignment="1">
      <alignment horizontal="center" vertical="center" wrapText="1"/>
    </xf>
    <xf numFmtId="10" fontId="1" fillId="0" borderId="1" xfId="518" quotePrefix="1" applyNumberFormat="1" applyFont="1" applyBorder="1" applyAlignment="1">
      <alignment horizontal="center" vertical="center" wrapText="1"/>
    </xf>
    <xf numFmtId="0" fontId="2" fillId="0" borderId="1" xfId="0" quotePrefix="1" applyFont="1" applyBorder="1" applyAlignment="1">
      <alignment horizontal="left" vertical="center" wrapText="1"/>
    </xf>
    <xf numFmtId="169" fontId="1" fillId="0" borderId="1" xfId="518" applyNumberFormat="1" applyFont="1" applyBorder="1" applyAlignment="1">
      <alignment horizontal="center" vertical="center" wrapText="1"/>
    </xf>
    <xf numFmtId="170" fontId="1" fillId="0" borderId="1" xfId="518" applyNumberFormat="1" applyFont="1" applyBorder="1" applyAlignment="1">
      <alignment horizontal="center" vertical="center" wrapText="1"/>
    </xf>
    <xf numFmtId="166" fontId="1" fillId="0" borderId="1" xfId="518" applyFont="1" applyBorder="1" applyAlignment="1">
      <alignment horizontal="center" vertical="center" wrapText="1"/>
    </xf>
    <xf numFmtId="166" fontId="2" fillId="0" borderId="1" xfId="518" applyFont="1" applyBorder="1" applyAlignment="1">
      <alignment horizontal="center" vertical="center" wrapText="1"/>
    </xf>
    <xf numFmtId="171" fontId="1" fillId="0" borderId="1" xfId="518" applyNumberFormat="1" applyFont="1" applyBorder="1" applyAlignment="1">
      <alignment horizontal="center" vertical="center" wrapText="1"/>
    </xf>
    <xf numFmtId="3" fontId="1" fillId="0" borderId="1" xfId="518" applyNumberFormat="1" applyFont="1" applyBorder="1" applyAlignment="1">
      <alignment horizontal="center" vertical="center" wrapText="1"/>
    </xf>
    <xf numFmtId="0" fontId="0" fillId="0" borderId="1" xfId="0" applyBorder="1" applyAlignment="1">
      <alignment horizontal="center" vertical="center" wrapText="1"/>
    </xf>
    <xf numFmtId="0" fontId="12" fillId="0" borderId="1" xfId="0" applyFont="1" applyBorder="1"/>
    <xf numFmtId="0" fontId="17" fillId="0" borderId="1" xfId="0" applyFont="1" applyBorder="1" applyAlignment="1">
      <alignment horizontal="justify" vertical="center" wrapText="1"/>
    </xf>
    <xf numFmtId="0" fontId="17" fillId="0" borderId="1" xfId="0" applyFont="1" applyBorder="1" applyAlignment="1">
      <alignment vertical="center" wrapText="1"/>
    </xf>
    <xf numFmtId="0" fontId="13" fillId="0" borderId="1" xfId="0" quotePrefix="1" applyFont="1" applyBorder="1" applyAlignment="1">
      <alignment horizontal="justify" wrapText="1"/>
    </xf>
    <xf numFmtId="0" fontId="17" fillId="0" borderId="1" xfId="0" quotePrefix="1" applyFont="1" applyBorder="1" applyAlignment="1">
      <alignment horizontal="justify" vertical="center" wrapText="1"/>
    </xf>
    <xf numFmtId="0" fontId="0" fillId="0" borderId="1" xfId="0" applyBorder="1" applyAlignment="1">
      <alignment horizontal="justify" vertical="center" wrapText="1"/>
    </xf>
    <xf numFmtId="9" fontId="0" fillId="0" borderId="1" xfId="0" applyNumberFormat="1" applyBorder="1" applyAlignment="1">
      <alignment vertical="center"/>
    </xf>
    <xf numFmtId="0" fontId="13" fillId="0" borderId="1" xfId="0" applyFont="1" applyBorder="1" applyAlignment="1">
      <alignment horizontal="justify" vertical="center" wrapText="1"/>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0" fillId="0" borderId="1" xfId="0" applyBorder="1" applyAlignment="1">
      <alignment horizontal="justify" vertical="center"/>
    </xf>
    <xf numFmtId="0" fontId="13" fillId="0" borderId="1" xfId="0" applyFont="1" applyBorder="1" applyAlignment="1">
      <alignment vertical="center" wrapText="1"/>
    </xf>
    <xf numFmtId="0" fontId="1" fillId="2" borderId="5" xfId="0" applyFont="1" applyFill="1" applyBorder="1" applyAlignment="1">
      <alignment horizontal="left" vertical="center" wrapText="1"/>
    </xf>
    <xf numFmtId="0" fontId="1" fillId="0" borderId="5" xfId="0" applyFont="1" applyBorder="1" applyAlignment="1">
      <alignment horizontal="left" vertical="center" wrapText="1"/>
    </xf>
    <xf numFmtId="0" fontId="2" fillId="2" borderId="5" xfId="0" applyFont="1" applyFill="1" applyBorder="1" applyAlignment="1">
      <alignment horizontal="center" vertical="center" wrapText="1"/>
    </xf>
    <xf numFmtId="0" fontId="17" fillId="0" borderId="1" xfId="0" quotePrefix="1" applyFont="1" applyBorder="1" applyAlignment="1">
      <alignment horizontal="left" vertical="center" wrapText="1"/>
    </xf>
    <xf numFmtId="0" fontId="1" fillId="0" borderId="6" xfId="0" applyFont="1" applyBorder="1" applyAlignment="1">
      <alignment horizontal="left" vertical="center" wrapText="1"/>
    </xf>
    <xf numFmtId="168" fontId="11" fillId="8" borderId="1" xfId="259" applyNumberFormat="1" applyFont="1" applyFill="1" applyBorder="1" applyAlignment="1">
      <alignment horizontal="center" vertical="center" wrapText="1"/>
    </xf>
    <xf numFmtId="0" fontId="2" fillId="0" borderId="0" xfId="0" applyFont="1" applyAlignment="1">
      <alignment horizontal="center" vertical="center" wrapText="1"/>
    </xf>
    <xf numFmtId="0" fontId="2" fillId="0" borderId="8" xfId="0" applyFont="1" applyBorder="1" applyAlignment="1">
      <alignment horizontal="center" vertical="center" wrapText="1"/>
    </xf>
    <xf numFmtId="0" fontId="3" fillId="0" borderId="6" xfId="0" applyFont="1" applyBorder="1" applyAlignment="1">
      <alignment horizontal="left" vertical="center"/>
    </xf>
    <xf numFmtId="0" fontId="0" fillId="0" borderId="0" xfId="0" applyAlignment="1">
      <alignment wrapText="1"/>
    </xf>
    <xf numFmtId="0" fontId="3" fillId="0" borderId="1" xfId="0" applyFont="1" applyBorder="1"/>
    <xf numFmtId="0" fontId="6" fillId="0" borderId="1" xfId="0" applyFont="1" applyBorder="1"/>
    <xf numFmtId="0" fontId="3" fillId="0" borderId="1" xfId="0" applyFont="1" applyBorder="1" applyAlignment="1">
      <alignment horizontal="center" vertical="center"/>
    </xf>
    <xf numFmtId="0" fontId="2" fillId="2" borderId="1" xfId="0" applyFont="1" applyFill="1" applyBorder="1" applyAlignment="1">
      <alignment horizontal="left" vertical="center" wrapText="1"/>
    </xf>
    <xf numFmtId="0" fontId="2" fillId="2" borderId="1" xfId="0" applyFont="1" applyFill="1" applyBorder="1" applyAlignment="1">
      <alignment horizontal="left" vertical="center"/>
    </xf>
    <xf numFmtId="0" fontId="19" fillId="8" borderId="1" xfId="0" applyFont="1" applyFill="1" applyBorder="1" applyAlignment="1">
      <alignment horizontal="center" vertical="center" wrapText="1"/>
    </xf>
    <xf numFmtId="0" fontId="13" fillId="8"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4" fillId="0" borderId="1" xfId="0" applyFont="1" applyBorder="1" applyAlignment="1">
      <alignment horizontal="center" vertical="center"/>
    </xf>
    <xf numFmtId="0" fontId="21" fillId="10" borderId="5" xfId="0" applyFont="1" applyFill="1" applyBorder="1" applyAlignment="1">
      <alignment horizontal="left" vertical="center" wrapText="1"/>
    </xf>
    <xf numFmtId="0" fontId="21" fillId="10" borderId="5" xfId="0" applyFont="1" applyFill="1" applyBorder="1" applyAlignment="1">
      <alignment horizontal="center" vertical="center" wrapText="1"/>
    </xf>
    <xf numFmtId="0" fontId="21" fillId="10" borderId="1" xfId="0" applyFont="1" applyFill="1" applyBorder="1" applyAlignment="1">
      <alignment horizontal="center" vertical="center" wrapText="1"/>
    </xf>
    <xf numFmtId="0" fontId="18" fillId="0" borderId="1" xfId="0" applyFont="1" applyBorder="1" applyAlignment="1">
      <alignment horizontal="left" vertical="center" wrapText="1"/>
    </xf>
    <xf numFmtId="0" fontId="21" fillId="10" borderId="1" xfId="0" applyFont="1" applyFill="1" applyBorder="1" applyAlignment="1">
      <alignment horizontal="left" vertical="center" wrapText="1"/>
    </xf>
    <xf numFmtId="0" fontId="18" fillId="11" borderId="5" xfId="0" applyFont="1" applyFill="1" applyBorder="1" applyAlignment="1">
      <alignment horizontal="left" vertical="center" wrapText="1"/>
    </xf>
    <xf numFmtId="0" fontId="18" fillId="11" borderId="5" xfId="0" applyFont="1" applyFill="1" applyBorder="1" applyAlignment="1">
      <alignment horizontal="center" vertical="center" wrapText="1"/>
    </xf>
    <xf numFmtId="0" fontId="21" fillId="11" borderId="5" xfId="0" applyFont="1" applyFill="1" applyBorder="1" applyAlignment="1">
      <alignment horizontal="left" vertical="center" wrapText="1"/>
    </xf>
    <xf numFmtId="0" fontId="18" fillId="11" borderId="1" xfId="0" applyFont="1" applyFill="1" applyBorder="1" applyAlignment="1">
      <alignment horizontal="left" vertical="center" wrapText="1"/>
    </xf>
    <xf numFmtId="0" fontId="18" fillId="11" borderId="1" xfId="0" applyFont="1" applyFill="1" applyBorder="1" applyAlignment="1">
      <alignment horizontal="center" vertical="center" wrapText="1"/>
    </xf>
    <xf numFmtId="0" fontId="21" fillId="11" borderId="1" xfId="0" applyFont="1" applyFill="1" applyBorder="1" applyAlignment="1">
      <alignment horizontal="left" vertical="center" wrapText="1"/>
    </xf>
    <xf numFmtId="0" fontId="21" fillId="4" borderId="1" xfId="0" applyFont="1" applyFill="1" applyBorder="1" applyAlignment="1">
      <alignment horizontal="left" vertical="center" wrapText="1"/>
    </xf>
    <xf numFmtId="0" fontId="21" fillId="4" borderId="1" xfId="0" applyFont="1" applyFill="1" applyBorder="1" applyAlignment="1">
      <alignment horizontal="center" vertical="center" wrapText="1"/>
    </xf>
    <xf numFmtId="0" fontId="21" fillId="4" borderId="5" xfId="0" applyFont="1" applyFill="1" applyBorder="1" applyAlignment="1">
      <alignment horizontal="left" vertical="center" wrapText="1"/>
    </xf>
    <xf numFmtId="0" fontId="21" fillId="4" borderId="5" xfId="0" applyFont="1" applyFill="1" applyBorder="1" applyAlignment="1">
      <alignment horizontal="center" vertical="center" wrapText="1"/>
    </xf>
    <xf numFmtId="0" fontId="18" fillId="4" borderId="1" xfId="0" applyFont="1" applyFill="1" applyBorder="1" applyAlignment="1">
      <alignment horizontal="left" vertical="center" wrapText="1"/>
    </xf>
    <xf numFmtId="0" fontId="21" fillId="9" borderId="5" xfId="0" applyFont="1" applyFill="1" applyBorder="1" applyAlignment="1">
      <alignment horizontal="left" vertical="center" wrapText="1"/>
    </xf>
    <xf numFmtId="0" fontId="21" fillId="9" borderId="5" xfId="0" applyFont="1" applyFill="1" applyBorder="1" applyAlignment="1">
      <alignment horizontal="center" vertical="center" wrapText="1"/>
    </xf>
    <xf numFmtId="0" fontId="21" fillId="9" borderId="1" xfId="0" applyFont="1" applyFill="1" applyBorder="1" applyAlignment="1">
      <alignment horizontal="left" vertical="center" wrapText="1"/>
    </xf>
    <xf numFmtId="0" fontId="21" fillId="9" borderId="1" xfId="0" applyFont="1" applyFill="1" applyBorder="1" applyAlignment="1">
      <alignment horizontal="center" vertical="center" wrapText="1"/>
    </xf>
    <xf numFmtId="0" fontId="18" fillId="12" borderId="1" xfId="0" applyFont="1" applyFill="1" applyBorder="1" applyAlignment="1">
      <alignment horizontal="left" vertical="center" wrapText="1"/>
    </xf>
    <xf numFmtId="0" fontId="18" fillId="12" borderId="1" xfId="0" applyFont="1" applyFill="1" applyBorder="1" applyAlignment="1">
      <alignment horizontal="center" vertical="center" wrapText="1"/>
    </xf>
    <xf numFmtId="0" fontId="18" fillId="12" borderId="5" xfId="0" applyFont="1" applyFill="1" applyBorder="1" applyAlignment="1">
      <alignment horizontal="left" vertical="center" wrapText="1"/>
    </xf>
    <xf numFmtId="0" fontId="18" fillId="12" borderId="5" xfId="0" applyFont="1" applyFill="1" applyBorder="1" applyAlignment="1">
      <alignment horizontal="center" vertical="center" wrapText="1"/>
    </xf>
    <xf numFmtId="0" fontId="18" fillId="13" borderId="1" xfId="0" applyFont="1" applyFill="1" applyBorder="1" applyAlignment="1">
      <alignment horizontal="left" vertical="center" wrapText="1"/>
    </xf>
    <xf numFmtId="0" fontId="18" fillId="13" borderId="1" xfId="0" applyFont="1" applyFill="1" applyBorder="1" applyAlignment="1">
      <alignment horizontal="center" vertical="center" wrapText="1"/>
    </xf>
    <xf numFmtId="0" fontId="18" fillId="13" borderId="5" xfId="0" applyFont="1" applyFill="1" applyBorder="1" applyAlignment="1">
      <alignment horizontal="left" vertical="top" wrapText="1"/>
    </xf>
    <xf numFmtId="0" fontId="18" fillId="13" borderId="5" xfId="0" applyFont="1" applyFill="1" applyBorder="1" applyAlignment="1">
      <alignment horizontal="center" vertical="center" wrapText="1"/>
    </xf>
    <xf numFmtId="0" fontId="18" fillId="13" borderId="5" xfId="0" applyFont="1" applyFill="1" applyBorder="1" applyAlignment="1">
      <alignment horizontal="left" vertical="center" wrapText="1"/>
    </xf>
    <xf numFmtId="0" fontId="18" fillId="13" borderId="1" xfId="0" applyFont="1" applyFill="1" applyBorder="1" applyAlignment="1">
      <alignment horizontal="left" vertical="top" wrapText="1"/>
    </xf>
    <xf numFmtId="0" fontId="22" fillId="13" borderId="1" xfId="0" applyFont="1" applyFill="1" applyBorder="1" applyAlignment="1">
      <alignment horizontal="left" vertical="center" wrapText="1"/>
    </xf>
    <xf numFmtId="0" fontId="18" fillId="14" borderId="5" xfId="0" applyFont="1" applyFill="1" applyBorder="1" applyAlignment="1">
      <alignment horizontal="left" vertical="center" wrapText="1"/>
    </xf>
    <xf numFmtId="0" fontId="18" fillId="14" borderId="5" xfId="0" applyFont="1" applyFill="1" applyBorder="1" applyAlignment="1">
      <alignment horizontal="center" vertical="center" wrapText="1"/>
    </xf>
    <xf numFmtId="0" fontId="18" fillId="14" borderId="1" xfId="0" applyFont="1" applyFill="1" applyBorder="1" applyAlignment="1">
      <alignment horizontal="left" vertical="center" wrapText="1"/>
    </xf>
    <xf numFmtId="0" fontId="18" fillId="14" borderId="1" xfId="0" applyFont="1" applyFill="1" applyBorder="1" applyAlignment="1">
      <alignment horizontal="center" vertical="center" wrapText="1"/>
    </xf>
    <xf numFmtId="0" fontId="18" fillId="3" borderId="1" xfId="0" applyFont="1" applyFill="1" applyBorder="1" applyAlignment="1">
      <alignment horizontal="left" vertical="center" wrapText="1"/>
    </xf>
    <xf numFmtId="0" fontId="18" fillId="3" borderId="1" xfId="0" applyFont="1" applyFill="1" applyBorder="1" applyAlignment="1">
      <alignment horizontal="center" vertical="center" wrapText="1"/>
    </xf>
    <xf numFmtId="0" fontId="18" fillId="3" borderId="5" xfId="0" applyFont="1" applyFill="1" applyBorder="1" applyAlignment="1">
      <alignment horizontal="left" vertical="center" wrapText="1"/>
    </xf>
    <xf numFmtId="0" fontId="18" fillId="3" borderId="5" xfId="0" applyFont="1" applyFill="1" applyBorder="1" applyAlignment="1">
      <alignment horizontal="center" vertical="center" wrapText="1"/>
    </xf>
    <xf numFmtId="0" fontId="18" fillId="15" borderId="5" xfId="0" applyFont="1" applyFill="1" applyBorder="1" applyAlignment="1">
      <alignment horizontal="left" vertical="center" wrapText="1"/>
    </xf>
    <xf numFmtId="0" fontId="18" fillId="15" borderId="5" xfId="0" applyFont="1" applyFill="1" applyBorder="1" applyAlignment="1">
      <alignment horizontal="center" vertical="center" wrapText="1"/>
    </xf>
    <xf numFmtId="0" fontId="18" fillId="5" borderId="1" xfId="0" applyFont="1" applyFill="1" applyBorder="1" applyAlignment="1">
      <alignment horizontal="left" vertical="center" wrapText="1"/>
    </xf>
    <xf numFmtId="0" fontId="18" fillId="5" borderId="1" xfId="0" applyFont="1" applyFill="1" applyBorder="1" applyAlignment="1">
      <alignment horizontal="center" vertical="center" wrapText="1"/>
    </xf>
    <xf numFmtId="0" fontId="18" fillId="5" borderId="5" xfId="0" applyFont="1" applyFill="1" applyBorder="1" applyAlignment="1">
      <alignment horizontal="center" vertical="center" wrapText="1"/>
    </xf>
    <xf numFmtId="0" fontId="18" fillId="5" borderId="5" xfId="0" applyFont="1" applyFill="1" applyBorder="1" applyAlignment="1">
      <alignment horizontal="left" vertical="center" wrapText="1"/>
    </xf>
    <xf numFmtId="0" fontId="18" fillId="16" borderId="1" xfId="0" applyFont="1" applyFill="1" applyBorder="1" applyAlignment="1">
      <alignment horizontal="left" vertical="center" wrapText="1"/>
    </xf>
    <xf numFmtId="0" fontId="18" fillId="16" borderId="1" xfId="0" applyFont="1" applyFill="1" applyBorder="1" applyAlignment="1">
      <alignment horizontal="center" vertical="center" wrapText="1"/>
    </xf>
    <xf numFmtId="0" fontId="22" fillId="16" borderId="1" xfId="0" applyFont="1" applyFill="1" applyBorder="1" applyAlignment="1">
      <alignment horizontal="left" vertical="center" wrapText="1"/>
    </xf>
    <xf numFmtId="0" fontId="18" fillId="17" borderId="1" xfId="0" applyFont="1" applyFill="1" applyBorder="1" applyAlignment="1">
      <alignment horizontal="left" vertical="center" wrapText="1"/>
    </xf>
    <xf numFmtId="0" fontId="18" fillId="17" borderId="1" xfId="0" applyFont="1" applyFill="1" applyBorder="1" applyAlignment="1">
      <alignment horizontal="center" vertical="center" wrapText="1"/>
    </xf>
    <xf numFmtId="0" fontId="18" fillId="18" borderId="1" xfId="0" applyFont="1" applyFill="1" applyBorder="1" applyAlignment="1">
      <alignment horizontal="left" vertical="center" wrapText="1"/>
    </xf>
    <xf numFmtId="0" fontId="18" fillId="18" borderId="1" xfId="0" applyFont="1" applyFill="1" applyBorder="1" applyAlignment="1">
      <alignment horizontal="center" vertical="center" wrapText="1"/>
    </xf>
    <xf numFmtId="0" fontId="18" fillId="19" borderId="1" xfId="0" applyFont="1" applyFill="1" applyBorder="1" applyAlignment="1">
      <alignment horizontal="left" vertical="center" wrapText="1"/>
    </xf>
    <xf numFmtId="0" fontId="18" fillId="19" borderId="1" xfId="0" applyFont="1" applyFill="1" applyBorder="1" applyAlignment="1">
      <alignment horizontal="center" vertical="center" wrapText="1"/>
    </xf>
    <xf numFmtId="0" fontId="18" fillId="7" borderId="5" xfId="0" applyFont="1" applyFill="1" applyBorder="1" applyAlignment="1">
      <alignment horizontal="left" vertical="center" wrapText="1"/>
    </xf>
    <xf numFmtId="0" fontId="18" fillId="7" borderId="5" xfId="0" applyFont="1" applyFill="1" applyBorder="1" applyAlignment="1">
      <alignment horizontal="center" vertical="center" wrapText="1"/>
    </xf>
    <xf numFmtId="0" fontId="18" fillId="7" borderId="1" xfId="0" applyFont="1" applyFill="1" applyBorder="1" applyAlignment="1">
      <alignment horizontal="center" vertical="center" wrapText="1"/>
    </xf>
    <xf numFmtId="0" fontId="18" fillId="7" borderId="1" xfId="0" applyFont="1" applyFill="1" applyBorder="1" applyAlignment="1">
      <alignment horizontal="left" vertical="center" wrapText="1"/>
    </xf>
    <xf numFmtId="0" fontId="18" fillId="20" borderId="1" xfId="0" applyFont="1" applyFill="1" applyBorder="1" applyAlignment="1">
      <alignment horizontal="left" vertical="center" wrapText="1"/>
    </xf>
    <xf numFmtId="0" fontId="18" fillId="20" borderId="1" xfId="0" applyFont="1" applyFill="1" applyBorder="1" applyAlignment="1">
      <alignment horizontal="center" vertical="center" wrapText="1"/>
    </xf>
    <xf numFmtId="0" fontId="24" fillId="0" borderId="1" xfId="0" applyFont="1" applyBorder="1" applyAlignment="1">
      <alignment horizontal="center" vertical="center" wrapText="1"/>
    </xf>
    <xf numFmtId="168" fontId="9" fillId="3" borderId="1" xfId="259" applyNumberFormat="1" applyFont="1" applyFill="1" applyBorder="1" applyAlignment="1">
      <alignment horizontal="center" vertical="center" wrapText="1"/>
    </xf>
    <xf numFmtId="166" fontId="3" fillId="0" borderId="0" xfId="0" applyNumberFormat="1" applyFont="1"/>
    <xf numFmtId="168" fontId="9" fillId="0" borderId="0" xfId="259" applyNumberFormat="1" applyFont="1"/>
    <xf numFmtId="0" fontId="2" fillId="4" borderId="1" xfId="0" applyFont="1" applyFill="1" applyBorder="1" applyAlignment="1">
      <alignment horizontal="justify" vertical="center" wrapText="1"/>
    </xf>
    <xf numFmtId="0" fontId="0" fillId="22" borderId="1" xfId="0" applyFill="1" applyBorder="1"/>
    <xf numFmtId="0" fontId="0" fillId="2" borderId="1" xfId="0" applyFill="1" applyBorder="1"/>
    <xf numFmtId="0" fontId="0" fillId="21" borderId="1" xfId="0" applyFill="1" applyBorder="1"/>
    <xf numFmtId="0" fontId="0" fillId="0" borderId="1" xfId="0" applyBorder="1" applyAlignment="1">
      <alignment wrapText="1"/>
    </xf>
    <xf numFmtId="0" fontId="26" fillId="0" borderId="0" xfId="627"/>
    <xf numFmtId="0" fontId="26" fillId="0" borderId="0" xfId="627" applyAlignment="1">
      <alignment horizontal="center" vertical="center"/>
    </xf>
    <xf numFmtId="0" fontId="31" fillId="0" borderId="0" xfId="0" applyFont="1"/>
    <xf numFmtId="0" fontId="32" fillId="0" borderId="0" xfId="628" applyAlignment="1">
      <alignment horizontal="left"/>
    </xf>
    <xf numFmtId="0" fontId="32" fillId="0" borderId="0" xfId="628"/>
    <xf numFmtId="0" fontId="29" fillId="0" borderId="0" xfId="628" applyFont="1" applyAlignment="1">
      <alignment horizontal="left" wrapText="1"/>
    </xf>
    <xf numFmtId="4" fontId="29" fillId="0" borderId="0" xfId="628" applyNumberFormat="1" applyFont="1" applyAlignment="1">
      <alignment horizontal="right"/>
    </xf>
    <xf numFmtId="0" fontId="29" fillId="2" borderId="0" xfId="628" applyFont="1" applyFill="1" applyAlignment="1">
      <alignment horizontal="left" wrapText="1"/>
    </xf>
    <xf numFmtId="4" fontId="29" fillId="2" borderId="0" xfId="628" applyNumberFormat="1" applyFont="1" applyFill="1" applyAlignment="1">
      <alignment horizontal="right"/>
    </xf>
    <xf numFmtId="0" fontId="33" fillId="0" borderId="0" xfId="628" applyFont="1" applyAlignment="1">
      <alignment horizontal="left" wrapText="1"/>
    </xf>
    <xf numFmtId="0" fontId="33" fillId="2" borderId="0" xfId="628" applyFont="1" applyFill="1" applyAlignment="1">
      <alignment horizontal="left" vertical="center" wrapText="1"/>
    </xf>
    <xf numFmtId="4" fontId="33" fillId="2" borderId="0" xfId="628" applyNumberFormat="1" applyFont="1" applyFill="1" applyAlignment="1">
      <alignment horizontal="right" vertical="center"/>
    </xf>
    <xf numFmtId="0" fontId="7" fillId="0" borderId="0" xfId="628" applyFont="1"/>
    <xf numFmtId="4" fontId="34" fillId="0" borderId="0" xfId="628" applyNumberFormat="1" applyFont="1" applyAlignment="1">
      <alignment horizontal="right"/>
    </xf>
    <xf numFmtId="4" fontId="35" fillId="0" borderId="0" xfId="628" applyNumberFormat="1" applyFont="1" applyAlignment="1">
      <alignment horizontal="right"/>
    </xf>
    <xf numFmtId="0" fontId="29" fillId="17" borderId="0" xfId="628" applyFont="1" applyFill="1" applyAlignment="1">
      <alignment horizontal="left" wrapText="1"/>
    </xf>
    <xf numFmtId="4" fontId="29" fillId="17" borderId="0" xfId="628" applyNumberFormat="1" applyFont="1" applyFill="1" applyAlignment="1">
      <alignment horizontal="right"/>
    </xf>
    <xf numFmtId="0" fontId="34" fillId="0" borderId="0" xfId="628" applyFont="1" applyAlignment="1">
      <alignment horizontal="left" wrapText="1"/>
    </xf>
    <xf numFmtId="4" fontId="33" fillId="0" borderId="0" xfId="628" applyNumberFormat="1" applyFont="1" applyAlignment="1">
      <alignment horizontal="right"/>
    </xf>
    <xf numFmtId="0" fontId="33" fillId="2" borderId="0" xfId="628" applyFont="1" applyFill="1" applyAlignment="1">
      <alignment horizontal="left" wrapText="1"/>
    </xf>
    <xf numFmtId="4" fontId="33" fillId="2" borderId="0" xfId="628" applyNumberFormat="1" applyFont="1" applyFill="1" applyAlignment="1">
      <alignment horizontal="right"/>
    </xf>
    <xf numFmtId="0" fontId="32" fillId="0" borderId="0" xfId="628" applyAlignment="1">
      <alignment wrapText="1"/>
    </xf>
    <xf numFmtId="0" fontId="3" fillId="0" borderId="1" xfId="0" applyFont="1" applyBorder="1" applyAlignment="1">
      <alignment horizontal="center" vertical="center" wrapText="1"/>
    </xf>
    <xf numFmtId="0" fontId="3" fillId="0" borderId="0" xfId="0" applyFont="1" applyAlignment="1">
      <alignment horizont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0" fontId="3" fillId="0" borderId="0" xfId="0" applyFont="1" applyAlignment="1" applyProtection="1">
      <alignment horizontal="center" vertical="center"/>
      <protection locked="0"/>
    </xf>
    <xf numFmtId="0" fontId="3" fillId="0" borderId="0" xfId="259" applyNumberFormat="1" applyFont="1" applyAlignment="1" applyProtection="1">
      <alignment horizontal="center" vertical="center"/>
      <protection locked="0"/>
    </xf>
    <xf numFmtId="0" fontId="3" fillId="0" borderId="0" xfId="259" applyNumberFormat="1" applyFont="1" applyAlignment="1" applyProtection="1">
      <alignment horizontal="justify" vertical="center"/>
      <protection locked="0"/>
    </xf>
    <xf numFmtId="168" fontId="3" fillId="0" borderId="0" xfId="259" applyNumberFormat="1" applyFont="1" applyAlignment="1" applyProtection="1">
      <alignment horizontal="center" vertical="center"/>
      <protection locked="0"/>
    </xf>
    <xf numFmtId="168" fontId="3" fillId="0" borderId="0" xfId="259" applyNumberFormat="1" applyFont="1" applyAlignment="1" applyProtection="1">
      <alignment horizontal="right" vertical="center"/>
      <protection locked="0"/>
    </xf>
    <xf numFmtId="0" fontId="1" fillId="4" borderId="1" xfId="259" applyNumberFormat="1"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1" fillId="2" borderId="1" xfId="259" applyNumberFormat="1" applyFont="1" applyFill="1" applyBorder="1" applyAlignment="1" applyProtection="1">
      <alignment horizontal="center" vertical="center" wrapText="1"/>
      <protection locked="0"/>
    </xf>
    <xf numFmtId="0" fontId="1" fillId="2" borderId="1" xfId="259" applyNumberFormat="1" applyFont="1" applyFill="1" applyBorder="1" applyAlignment="1" applyProtection="1">
      <alignment horizontal="justify" vertical="center" wrapText="1"/>
      <protection locked="0"/>
    </xf>
    <xf numFmtId="168" fontId="1" fillId="2" borderId="1" xfId="259"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7" borderId="1" xfId="259" applyNumberFormat="1" applyFont="1" applyFill="1" applyBorder="1" applyAlignment="1" applyProtection="1">
      <alignment horizontal="justify" vertical="center" wrapText="1"/>
      <protection locked="0"/>
    </xf>
    <xf numFmtId="0" fontId="3" fillId="2" borderId="1" xfId="0" applyFont="1" applyFill="1" applyBorder="1" applyAlignment="1" applyProtection="1">
      <alignment horizontal="center" vertical="center" wrapText="1"/>
      <protection locked="0"/>
    </xf>
    <xf numFmtId="0" fontId="2" fillId="0" borderId="1" xfId="259" applyNumberFormat="1" applyFont="1" applyBorder="1" applyAlignment="1" applyProtection="1">
      <alignment horizontal="center" vertical="center" wrapText="1"/>
      <protection locked="0"/>
    </xf>
    <xf numFmtId="0" fontId="2" fillId="0" borderId="1" xfId="259" applyNumberFormat="1" applyFont="1" applyBorder="1" applyAlignment="1" applyProtection="1">
      <alignment horizontal="justify" vertical="center" wrapText="1"/>
      <protection locked="0"/>
    </xf>
    <xf numFmtId="0" fontId="2" fillId="2" borderId="1" xfId="0" applyFont="1" applyFill="1" applyBorder="1" applyAlignment="1" applyProtection="1">
      <alignment horizontal="center" vertical="center" wrapText="1"/>
      <protection locked="0"/>
    </xf>
    <xf numFmtId="0" fontId="2" fillId="2" borderId="1" xfId="259" applyNumberFormat="1" applyFont="1" applyFill="1" applyBorder="1" applyAlignment="1" applyProtection="1">
      <alignment horizontal="center" vertical="center" wrapText="1"/>
      <protection locked="0"/>
    </xf>
    <xf numFmtId="0" fontId="2" fillId="2" borderId="1" xfId="259" applyNumberFormat="1" applyFont="1" applyFill="1" applyBorder="1" applyAlignment="1" applyProtection="1">
      <alignment horizontal="justify" vertical="center" wrapText="1"/>
      <protection locked="0"/>
    </xf>
    <xf numFmtId="0" fontId="1" fillId="2" borderId="1" xfId="0" applyFont="1" applyFill="1" applyBorder="1" applyAlignment="1" applyProtection="1">
      <alignment horizontal="justify" vertical="center" wrapText="1"/>
      <protection locked="0"/>
    </xf>
    <xf numFmtId="0" fontId="2" fillId="0" borderId="1" xfId="0" applyFont="1" applyBorder="1" applyAlignment="1" applyProtection="1">
      <alignment horizontal="justify" vertical="center" wrapText="1"/>
      <protection locked="0"/>
    </xf>
    <xf numFmtId="0" fontId="11" fillId="2" borderId="1" xfId="0" applyFont="1" applyFill="1" applyBorder="1" applyAlignment="1" applyProtection="1">
      <alignment horizontal="center" vertical="center" wrapText="1"/>
      <protection locked="0"/>
    </xf>
    <xf numFmtId="0" fontId="11" fillId="2" borderId="1" xfId="0" applyFont="1" applyFill="1" applyBorder="1" applyAlignment="1" applyProtection="1">
      <alignment horizontal="justify" vertical="center" wrapText="1"/>
      <protection locked="0"/>
    </xf>
    <xf numFmtId="0" fontId="2" fillId="7" borderId="1" xfId="0" applyFont="1" applyFill="1" applyBorder="1" applyAlignment="1" applyProtection="1">
      <alignment horizontal="justify" vertical="center" wrapText="1"/>
      <protection locked="0"/>
    </xf>
    <xf numFmtId="0" fontId="9" fillId="7" borderId="1" xfId="0" applyFont="1" applyFill="1" applyBorder="1" applyAlignment="1" applyProtection="1">
      <alignment horizontal="justify" vertical="center" wrapText="1"/>
      <protection locked="0"/>
    </xf>
    <xf numFmtId="0" fontId="2" fillId="2" borderId="1" xfId="0" applyFont="1" applyFill="1" applyBorder="1" applyAlignment="1" applyProtection="1">
      <alignment horizontal="justify" vertical="center" wrapText="1"/>
      <protection locked="0"/>
    </xf>
    <xf numFmtId="0" fontId="9" fillId="2" borderId="1" xfId="0"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10" fontId="32" fillId="2" borderId="0" xfId="629" applyNumberFormat="1" applyFont="1" applyFill="1"/>
    <xf numFmtId="166" fontId="26" fillId="0" borderId="0" xfId="518" applyFont="1"/>
    <xf numFmtId="0" fontId="1" fillId="22" borderId="1" xfId="0" applyFont="1" applyFill="1" applyBorder="1" applyAlignment="1">
      <alignment horizontal="center" vertical="center" wrapText="1"/>
    </xf>
    <xf numFmtId="49" fontId="1" fillId="22" borderId="1" xfId="0" applyNumberFormat="1" applyFont="1" applyFill="1" applyBorder="1" applyAlignment="1">
      <alignment horizontal="center" vertical="center" wrapText="1"/>
    </xf>
    <xf numFmtId="0" fontId="2" fillId="22" borderId="1" xfId="0" applyFont="1" applyFill="1" applyBorder="1" applyAlignment="1">
      <alignment horizontal="center" vertical="center" wrapText="1"/>
    </xf>
    <xf numFmtId="0" fontId="1" fillId="22" borderId="1" xfId="0" applyFont="1" applyFill="1" applyBorder="1" applyAlignment="1" applyProtection="1">
      <alignment horizontal="center" vertical="center" wrapText="1"/>
      <protection locked="0"/>
    </xf>
    <xf numFmtId="0" fontId="1" fillId="22" borderId="1" xfId="259" applyNumberFormat="1" applyFont="1" applyFill="1" applyBorder="1" applyAlignment="1" applyProtection="1">
      <alignment horizontal="center" vertical="center" wrapText="1"/>
      <protection locked="0"/>
    </xf>
    <xf numFmtId="0" fontId="1" fillId="22" borderId="1" xfId="259" applyNumberFormat="1" applyFont="1" applyFill="1" applyBorder="1" applyAlignment="1" applyProtection="1">
      <alignment horizontal="justify" vertical="center" wrapText="1"/>
      <protection locked="0"/>
    </xf>
    <xf numFmtId="0" fontId="3" fillId="25" borderId="0" xfId="0" applyFont="1" applyFill="1"/>
    <xf numFmtId="0" fontId="2" fillId="25" borderId="1" xfId="0" applyFont="1" applyFill="1" applyBorder="1" applyAlignment="1">
      <alignment horizontal="center" vertical="center" wrapText="1"/>
    </xf>
    <xf numFmtId="0" fontId="1" fillId="25" borderId="1" xfId="259" applyNumberFormat="1" applyFont="1" applyFill="1" applyBorder="1" applyAlignment="1" applyProtection="1">
      <alignment horizontal="center" vertical="center" wrapText="1"/>
      <protection locked="0"/>
    </xf>
    <xf numFmtId="0" fontId="3" fillId="26" borderId="1" xfId="0" applyFont="1" applyFill="1" applyBorder="1" applyAlignment="1">
      <alignment horizontal="left" vertical="center" wrapText="1"/>
    </xf>
    <xf numFmtId="0" fontId="1" fillId="26" borderId="1" xfId="259" applyNumberFormat="1" applyFont="1" applyFill="1" applyBorder="1" applyAlignment="1" applyProtection="1">
      <alignment horizontal="center" vertical="center" wrapText="1"/>
      <protection locked="0"/>
    </xf>
    <xf numFmtId="0" fontId="3" fillId="2" borderId="0" xfId="0" applyFont="1" applyFill="1" applyAlignment="1">
      <alignment horizontal="center" vertical="center"/>
    </xf>
    <xf numFmtId="0" fontId="3" fillId="2" borderId="0" xfId="0" applyFont="1" applyFill="1"/>
    <xf numFmtId="0" fontId="3" fillId="25" borderId="1" xfId="0" applyFont="1" applyFill="1" applyBorder="1" applyAlignment="1">
      <alignment horizontal="left" vertical="center" wrapText="1"/>
    </xf>
    <xf numFmtId="0" fontId="3" fillId="27" borderId="1" xfId="0" applyFont="1" applyFill="1" applyBorder="1" applyAlignment="1">
      <alignment horizontal="center" vertical="center"/>
    </xf>
    <xf numFmtId="0" fontId="3" fillId="27" borderId="1" xfId="0" applyFont="1" applyFill="1" applyBorder="1" applyAlignment="1">
      <alignment horizontal="left" vertical="center" wrapText="1"/>
    </xf>
    <xf numFmtId="49" fontId="2" fillId="27" borderId="1" xfId="0" applyNumberFormat="1" applyFont="1" applyFill="1" applyBorder="1" applyAlignment="1">
      <alignment horizontal="center" vertical="center" wrapText="1"/>
    </xf>
    <xf numFmtId="0" fontId="2" fillId="27" borderId="1" xfId="0" applyFont="1" applyFill="1" applyBorder="1" applyAlignment="1">
      <alignment vertical="center" wrapText="1"/>
    </xf>
    <xf numFmtId="0" fontId="2" fillId="28" borderId="1" xfId="0" applyFont="1" applyFill="1" applyBorder="1" applyAlignment="1">
      <alignment horizontal="justify" vertical="center" wrapText="1"/>
    </xf>
    <xf numFmtId="0" fontId="2" fillId="28" borderId="1" xfId="0" applyFont="1" applyFill="1" applyBorder="1" applyAlignment="1">
      <alignment horizontal="center" vertical="center" wrapText="1"/>
    </xf>
    <xf numFmtId="0" fontId="2" fillId="28" borderId="1" xfId="0" applyFont="1" applyFill="1" applyBorder="1" applyAlignment="1" applyProtection="1">
      <alignment horizontal="center" vertical="center" wrapText="1"/>
      <protection locked="0"/>
    </xf>
    <xf numFmtId="0" fontId="2" fillId="28" borderId="1" xfId="259" applyNumberFormat="1" applyFont="1" applyFill="1" applyBorder="1" applyAlignment="1" applyProtection="1">
      <alignment horizontal="center" vertical="center" wrapText="1"/>
      <protection locked="0"/>
    </xf>
    <xf numFmtId="0" fontId="2" fillId="28" borderId="1" xfId="259" applyNumberFormat="1" applyFont="1" applyFill="1" applyBorder="1" applyAlignment="1" applyProtection="1">
      <alignment horizontal="justify" vertical="center" wrapText="1"/>
      <protection locked="0"/>
    </xf>
    <xf numFmtId="0" fontId="2" fillId="27" borderId="1" xfId="259" applyNumberFormat="1" applyFont="1" applyFill="1" applyBorder="1" applyAlignment="1" applyProtection="1">
      <alignment horizontal="justify" vertical="center" wrapText="1"/>
      <protection locked="0"/>
    </xf>
    <xf numFmtId="0" fontId="2" fillId="27" borderId="1" xfId="259" applyNumberFormat="1" applyFont="1" applyFill="1" applyBorder="1" applyAlignment="1" applyProtection="1">
      <alignment horizontal="center" vertical="center" wrapText="1"/>
      <protection locked="0"/>
    </xf>
    <xf numFmtId="16" fontId="2" fillId="27" borderId="1" xfId="259" applyNumberFormat="1" applyFont="1" applyFill="1" applyBorder="1" applyAlignment="1" applyProtection="1">
      <alignment horizontal="center" vertical="center" wrapText="1"/>
      <protection locked="0"/>
    </xf>
    <xf numFmtId="168" fontId="2" fillId="27" borderId="1" xfId="259" applyNumberFormat="1" applyFont="1" applyFill="1" applyBorder="1" applyAlignment="1" applyProtection="1">
      <alignment horizontal="center" vertical="center" wrapText="1"/>
      <protection locked="0"/>
    </xf>
    <xf numFmtId="0" fontId="3" fillId="0" borderId="5" xfId="0" applyFont="1" applyBorder="1"/>
    <xf numFmtId="0" fontId="3" fillId="0" borderId="5" xfId="0" applyFont="1" applyBorder="1" applyAlignment="1">
      <alignment horizontal="left" vertical="center" wrapText="1"/>
    </xf>
    <xf numFmtId="0" fontId="2" fillId="0" borderId="5" xfId="0" applyFont="1" applyBorder="1" applyAlignment="1" applyProtection="1">
      <alignment horizontal="center" vertical="center" wrapText="1"/>
      <protection locked="0"/>
    </xf>
    <xf numFmtId="0" fontId="2" fillId="0" borderId="5" xfId="259" applyNumberFormat="1" applyFont="1" applyBorder="1" applyAlignment="1" applyProtection="1">
      <alignment horizontal="center" vertical="center" wrapText="1"/>
      <protection locked="0"/>
    </xf>
    <xf numFmtId="0" fontId="2" fillId="0" borderId="5" xfId="259" applyNumberFormat="1" applyFont="1" applyBorder="1" applyAlignment="1" applyProtection="1">
      <alignment horizontal="justify" vertical="center" wrapText="1"/>
      <protection locked="0"/>
    </xf>
    <xf numFmtId="0" fontId="1" fillId="2" borderId="6" xfId="0" applyFont="1" applyFill="1" applyBorder="1" applyAlignment="1">
      <alignment horizontal="left" vertical="center" wrapText="1"/>
    </xf>
    <xf numFmtId="0" fontId="1" fillId="2" borderId="6" xfId="0" applyFont="1" applyFill="1" applyBorder="1" applyAlignment="1">
      <alignment horizontal="center" vertical="center" wrapText="1"/>
    </xf>
    <xf numFmtId="0" fontId="1" fillId="2" borderId="6" xfId="0" applyFont="1" applyFill="1" applyBorder="1" applyAlignment="1">
      <alignment horizontal="justify" vertical="center" wrapText="1"/>
    </xf>
    <xf numFmtId="0" fontId="1" fillId="2" borderId="6" xfId="0" applyFont="1" applyFill="1" applyBorder="1" applyAlignment="1" applyProtection="1">
      <alignment horizontal="center" vertical="center" wrapText="1"/>
      <protection locked="0"/>
    </xf>
    <xf numFmtId="0" fontId="1" fillId="2" borderId="6" xfId="259" applyNumberFormat="1" applyFont="1" applyFill="1" applyBorder="1" applyAlignment="1" applyProtection="1">
      <alignment horizontal="center" vertical="center" wrapText="1"/>
      <protection locked="0"/>
    </xf>
    <xf numFmtId="0" fontId="1" fillId="2" borderId="6" xfId="259" applyNumberFormat="1" applyFont="1" applyFill="1" applyBorder="1" applyAlignment="1" applyProtection="1">
      <alignment horizontal="justify" vertical="center" wrapText="1"/>
      <protection locked="0"/>
    </xf>
    <xf numFmtId="0" fontId="1" fillId="25" borderId="4" xfId="259" applyNumberFormat="1" applyFont="1" applyFill="1" applyBorder="1" applyAlignment="1" applyProtection="1">
      <alignment horizontal="center" vertical="center" wrapText="1"/>
      <protection locked="0"/>
    </xf>
    <xf numFmtId="0" fontId="3" fillId="26" borderId="5" xfId="0" applyFont="1" applyFill="1" applyBorder="1"/>
    <xf numFmtId="0" fontId="3" fillId="26" borderId="5" xfId="0" applyFont="1" applyFill="1" applyBorder="1" applyAlignment="1">
      <alignment horizontal="left" vertical="center" wrapText="1"/>
    </xf>
    <xf numFmtId="0" fontId="1" fillId="26" borderId="5" xfId="0" applyFont="1" applyFill="1" applyBorder="1" applyAlignment="1">
      <alignment horizontal="center" vertical="center" wrapText="1"/>
    </xf>
    <xf numFmtId="0" fontId="2" fillId="26" borderId="5" xfId="0" applyFont="1" applyFill="1" applyBorder="1" applyAlignment="1">
      <alignment horizontal="center" vertical="center" wrapText="1"/>
    </xf>
    <xf numFmtId="0" fontId="1" fillId="26" borderId="5" xfId="0" applyFont="1" applyFill="1" applyBorder="1" applyAlignment="1">
      <alignment horizontal="justify" vertical="center" wrapText="1"/>
    </xf>
    <xf numFmtId="0" fontId="1" fillId="26" borderId="5" xfId="0" applyFont="1" applyFill="1" applyBorder="1" applyAlignment="1" applyProtection="1">
      <alignment horizontal="center" vertical="center" wrapText="1"/>
      <protection locked="0"/>
    </xf>
    <xf numFmtId="0" fontId="1" fillId="26" borderId="5" xfId="259" applyNumberFormat="1" applyFont="1" applyFill="1" applyBorder="1" applyAlignment="1" applyProtection="1">
      <alignment horizontal="center" vertical="center" wrapText="1"/>
      <protection locked="0"/>
    </xf>
    <xf numFmtId="0" fontId="1" fillId="26" borderId="5" xfId="259" applyNumberFormat="1" applyFont="1" applyFill="1" applyBorder="1" applyAlignment="1" applyProtection="1">
      <alignment horizontal="justify" vertical="center" wrapText="1"/>
      <protection locked="0"/>
    </xf>
    <xf numFmtId="0" fontId="3" fillId="2" borderId="6" xfId="0" applyFont="1" applyFill="1" applyBorder="1" applyAlignment="1">
      <alignment horizontal="left" vertical="center" wrapText="1"/>
    </xf>
    <xf numFmtId="49" fontId="3" fillId="27" borderId="1" xfId="0" applyNumberFormat="1" applyFont="1" applyFill="1" applyBorder="1" applyAlignment="1">
      <alignment horizontal="center" vertical="center" wrapText="1"/>
    </xf>
    <xf numFmtId="0" fontId="3" fillId="28" borderId="1" xfId="0" applyFont="1" applyFill="1" applyBorder="1" applyAlignment="1">
      <alignment horizontal="justify" vertical="center" wrapText="1"/>
    </xf>
    <xf numFmtId="0" fontId="3" fillId="28" borderId="1" xfId="0" applyFont="1" applyFill="1" applyBorder="1" applyAlignment="1">
      <alignment horizontal="center" vertical="center" wrapText="1"/>
    </xf>
    <xf numFmtId="17" fontId="2" fillId="27" borderId="1" xfId="259" applyNumberFormat="1" applyFont="1" applyFill="1" applyBorder="1" applyAlignment="1" applyProtection="1">
      <alignment horizontal="center" vertical="center" wrapText="1"/>
      <protection locked="0"/>
    </xf>
    <xf numFmtId="0" fontId="9" fillId="27" borderId="1" xfId="259" applyNumberFormat="1" applyFont="1" applyFill="1" applyBorder="1" applyAlignment="1" applyProtection="1">
      <alignment horizontal="justify" vertical="center" wrapText="1"/>
      <protection locked="0"/>
    </xf>
    <xf numFmtId="0" fontId="9" fillId="27" borderId="1" xfId="259" applyNumberFormat="1" applyFont="1" applyFill="1" applyBorder="1" applyAlignment="1" applyProtection="1">
      <alignment horizontal="center" vertical="center" wrapText="1"/>
      <protection locked="0"/>
    </xf>
    <xf numFmtId="0" fontId="9" fillId="28" borderId="1" xfId="259" applyNumberFormat="1" applyFont="1" applyFill="1" applyBorder="1" applyAlignment="1" applyProtection="1">
      <alignment horizontal="justify" vertical="center" wrapText="1"/>
      <protection locked="0"/>
    </xf>
    <xf numFmtId="17" fontId="9" fillId="27" borderId="1" xfId="259" applyNumberFormat="1" applyFont="1" applyFill="1" applyBorder="1" applyAlignment="1" applyProtection="1">
      <alignment horizontal="center" vertical="center" wrapText="1"/>
      <protection locked="0"/>
    </xf>
    <xf numFmtId="0" fontId="3" fillId="27" borderId="0" xfId="259" applyNumberFormat="1" applyFont="1" applyFill="1" applyAlignment="1" applyProtection="1">
      <alignment horizontal="justify" vertical="center" wrapText="1"/>
      <protection locked="0"/>
    </xf>
    <xf numFmtId="0" fontId="2" fillId="28" borderId="1" xfId="0" applyFont="1" applyFill="1" applyBorder="1" applyAlignment="1" applyProtection="1">
      <alignment horizontal="justify" vertical="center" wrapText="1"/>
      <protection locked="0"/>
    </xf>
    <xf numFmtId="0" fontId="9" fillId="28" borderId="1" xfId="0" applyFont="1" applyFill="1" applyBorder="1" applyAlignment="1" applyProtection="1">
      <alignment horizontal="center" vertical="center" wrapText="1"/>
      <protection locked="0"/>
    </xf>
    <xf numFmtId="0" fontId="9" fillId="28" borderId="1" xfId="0" applyFont="1" applyFill="1" applyBorder="1" applyAlignment="1" applyProtection="1">
      <alignment horizontal="justify" vertical="center" wrapText="1"/>
      <protection locked="0"/>
    </xf>
    <xf numFmtId="0" fontId="3" fillId="28" borderId="0" xfId="259" applyNumberFormat="1" applyFont="1" applyFill="1" applyAlignment="1" applyProtection="1">
      <alignment horizontal="justify" vertical="center"/>
      <protection locked="0"/>
    </xf>
    <xf numFmtId="0" fontId="9" fillId="28" borderId="1" xfId="0" applyFont="1" applyFill="1" applyBorder="1" applyAlignment="1">
      <alignment horizontal="justify" vertical="center" wrapText="1"/>
    </xf>
    <xf numFmtId="0" fontId="9" fillId="28" borderId="1" xfId="0" applyFont="1" applyFill="1" applyBorder="1" applyAlignment="1">
      <alignment horizontal="center" vertical="center" wrapText="1"/>
    </xf>
    <xf numFmtId="0" fontId="27" fillId="28" borderId="1" xfId="0" applyFont="1" applyFill="1" applyBorder="1" applyAlignment="1" applyProtection="1">
      <alignment horizontal="justify" vertical="center" wrapText="1"/>
      <protection locked="0"/>
    </xf>
    <xf numFmtId="0" fontId="2" fillId="28" borderId="4" xfId="0" applyFont="1" applyFill="1" applyBorder="1" applyAlignment="1">
      <alignment horizontal="justify" vertical="center" wrapText="1"/>
    </xf>
    <xf numFmtId="0" fontId="7" fillId="28" borderId="1" xfId="259" applyNumberFormat="1" applyFont="1" applyFill="1" applyBorder="1" applyAlignment="1" applyProtection="1">
      <alignment horizontal="justify" vertical="center" wrapText="1"/>
      <protection locked="0"/>
    </xf>
    <xf numFmtId="0" fontId="2" fillId="28" borderId="5" xfId="0" applyFont="1" applyFill="1" applyBorder="1" applyAlignment="1">
      <alignment horizontal="justify" vertical="center" wrapText="1"/>
    </xf>
    <xf numFmtId="0" fontId="2" fillId="28" borderId="4" xfId="0" applyFont="1" applyFill="1" applyBorder="1" applyAlignment="1">
      <alignment horizontal="center" vertical="center" wrapText="1"/>
    </xf>
    <xf numFmtId="0" fontId="2" fillId="28" borderId="6" xfId="0" applyFont="1" applyFill="1" applyBorder="1" applyAlignment="1">
      <alignment horizontal="justify" vertical="center" wrapText="1"/>
    </xf>
    <xf numFmtId="0" fontId="27" fillId="28" borderId="1" xfId="259" applyNumberFormat="1" applyFont="1" applyFill="1" applyBorder="1" applyAlignment="1" applyProtection="1">
      <alignment horizontal="justify" vertical="center" wrapText="1"/>
      <protection locked="0"/>
    </xf>
    <xf numFmtId="0" fontId="9" fillId="27" borderId="1" xfId="0" applyFont="1" applyFill="1" applyBorder="1" applyAlignment="1">
      <alignment horizontal="center" vertical="center"/>
    </xf>
    <xf numFmtId="0" fontId="2" fillId="27" borderId="1" xfId="0" applyFont="1" applyFill="1" applyBorder="1" applyAlignment="1" applyProtection="1">
      <alignment horizontal="justify" vertical="center" wrapText="1"/>
      <protection locked="0"/>
    </xf>
    <xf numFmtId="17" fontId="2" fillId="27" borderId="1" xfId="0" applyNumberFormat="1" applyFont="1" applyFill="1" applyBorder="1" applyAlignment="1" applyProtection="1">
      <alignment horizontal="center" vertical="center" wrapText="1"/>
      <protection locked="0"/>
    </xf>
    <xf numFmtId="0" fontId="2" fillId="27" borderId="4" xfId="0" applyFont="1" applyFill="1" applyBorder="1" applyAlignment="1" applyProtection="1">
      <alignment horizontal="center" vertical="center" wrapText="1"/>
      <protection locked="0"/>
    </xf>
    <xf numFmtId="0" fontId="2" fillId="27" borderId="1" xfId="0" applyFont="1" applyFill="1" applyBorder="1" applyAlignment="1" applyProtection="1">
      <alignment horizontal="center" vertical="center" wrapText="1"/>
      <protection locked="0"/>
    </xf>
    <xf numFmtId="14" fontId="2" fillId="27" borderId="1" xfId="0" applyNumberFormat="1" applyFont="1" applyFill="1" applyBorder="1" applyAlignment="1" applyProtection="1">
      <alignment horizontal="center" vertical="center" wrapText="1"/>
      <protection locked="0"/>
    </xf>
    <xf numFmtId="0" fontId="2" fillId="27" borderId="0" xfId="0" applyFont="1" applyFill="1" applyAlignment="1" applyProtection="1">
      <alignment horizontal="center" vertical="center" wrapText="1"/>
      <protection locked="0"/>
    </xf>
    <xf numFmtId="0" fontId="9" fillId="27" borderId="1" xfId="0" applyFont="1" applyFill="1" applyBorder="1" applyAlignment="1" applyProtection="1">
      <alignment horizontal="justify" vertical="center" wrapText="1"/>
      <protection locked="0"/>
    </xf>
    <xf numFmtId="0" fontId="9" fillId="27" borderId="1" xfId="0" applyFont="1" applyFill="1" applyBorder="1" applyAlignment="1" applyProtection="1">
      <alignment horizontal="center" vertical="center" wrapText="1"/>
      <protection locked="0"/>
    </xf>
    <xf numFmtId="16" fontId="2" fillId="27" borderId="1" xfId="0" applyNumberFormat="1" applyFont="1" applyFill="1" applyBorder="1" applyAlignment="1" applyProtection="1">
      <alignment horizontal="center" vertical="center" wrapText="1"/>
      <protection locked="0"/>
    </xf>
    <xf numFmtId="0" fontId="42" fillId="2" borderId="1" xfId="0" applyFont="1" applyFill="1" applyBorder="1" applyAlignment="1">
      <alignment horizontal="center" vertical="center" wrapText="1"/>
    </xf>
    <xf numFmtId="0" fontId="41" fillId="2" borderId="1" xfId="0" applyFont="1" applyFill="1" applyBorder="1" applyAlignment="1">
      <alignment horizontal="justify" vertical="center" wrapText="1"/>
    </xf>
    <xf numFmtId="0" fontId="36" fillId="2" borderId="1" xfId="0" applyFont="1" applyFill="1" applyBorder="1" applyAlignment="1">
      <alignment horizontal="left" vertical="center" wrapText="1"/>
    </xf>
    <xf numFmtId="0" fontId="36" fillId="2" borderId="1" xfId="0" applyFont="1" applyFill="1" applyBorder="1" applyAlignment="1">
      <alignment horizontal="left" vertical="center"/>
    </xf>
    <xf numFmtId="0" fontId="36" fillId="2" borderId="1" xfId="0" applyFont="1" applyFill="1" applyBorder="1" applyAlignment="1">
      <alignment horizontal="center" vertical="center" wrapText="1"/>
    </xf>
    <xf numFmtId="0" fontId="36" fillId="2" borderId="1" xfId="0" applyFont="1" applyFill="1" applyBorder="1" applyAlignment="1">
      <alignment horizontal="justify" vertical="center" wrapText="1"/>
    </xf>
    <xf numFmtId="3" fontId="2" fillId="2" borderId="1" xfId="0" applyNumberFormat="1" applyFont="1" applyFill="1" applyBorder="1" applyAlignment="1">
      <alignment horizontal="center" vertical="center" wrapText="1"/>
    </xf>
    <xf numFmtId="49" fontId="9" fillId="27" borderId="1" xfId="0" applyNumberFormat="1" applyFont="1" applyFill="1" applyBorder="1" applyAlignment="1">
      <alignment horizontal="center" vertical="center" wrapText="1"/>
    </xf>
    <xf numFmtId="0" fontId="9" fillId="27" borderId="1" xfId="0" applyFont="1" applyFill="1" applyBorder="1" applyAlignment="1">
      <alignment vertical="center" wrapText="1"/>
    </xf>
    <xf numFmtId="0" fontId="3" fillId="27" borderId="0" xfId="0" applyFont="1" applyFill="1" applyAlignment="1">
      <alignment horizontal="center" vertical="center"/>
    </xf>
    <xf numFmtId="168" fontId="1" fillId="27" borderId="1" xfId="259" applyNumberFormat="1" applyFont="1" applyFill="1" applyBorder="1" applyAlignment="1" applyProtection="1">
      <alignment horizontal="center" vertical="center" wrapText="1"/>
      <protection locked="0"/>
    </xf>
    <xf numFmtId="49" fontId="2" fillId="27" borderId="3" xfId="0" applyNumberFormat="1" applyFont="1" applyFill="1" applyBorder="1" applyAlignment="1">
      <alignment horizontal="center" vertical="center" wrapText="1"/>
    </xf>
    <xf numFmtId="0" fontId="7" fillId="27" borderId="1" xfId="259" applyNumberFormat="1" applyFont="1" applyFill="1" applyBorder="1" applyAlignment="1" applyProtection="1">
      <alignment horizontal="center" vertical="center" wrapText="1"/>
      <protection locked="0"/>
    </xf>
    <xf numFmtId="0" fontId="9" fillId="27" borderId="0" xfId="259" applyNumberFormat="1" applyFont="1" applyFill="1" applyAlignment="1" applyProtection="1">
      <alignment horizontal="justify" vertical="center" wrapText="1"/>
      <protection locked="0"/>
    </xf>
    <xf numFmtId="17" fontId="9" fillId="27" borderId="1" xfId="0" applyNumberFormat="1" applyFont="1" applyFill="1" applyBorder="1" applyAlignment="1" applyProtection="1">
      <alignment horizontal="center" vertical="center" wrapText="1"/>
      <protection locked="0"/>
    </xf>
    <xf numFmtId="0" fontId="2" fillId="27" borderId="3" xfId="0" applyFont="1" applyFill="1" applyBorder="1" applyAlignment="1">
      <alignment horizontal="center" vertical="center" wrapText="1"/>
    </xf>
    <xf numFmtId="168" fontId="3" fillId="27" borderId="1" xfId="259" applyNumberFormat="1" applyFont="1" applyFill="1" applyBorder="1" applyAlignment="1" applyProtection="1">
      <alignment horizontal="center" vertical="center"/>
      <protection locked="0"/>
    </xf>
    <xf numFmtId="0" fontId="1" fillId="25" borderId="6" xfId="0" applyFont="1" applyFill="1" applyBorder="1" applyAlignment="1">
      <alignment horizontal="center" vertical="center" wrapText="1"/>
    </xf>
    <xf numFmtId="0" fontId="2" fillId="25" borderId="6" xfId="0" applyFont="1" applyFill="1" applyBorder="1" applyAlignment="1">
      <alignment horizontal="center" vertical="center" wrapText="1"/>
    </xf>
    <xf numFmtId="0" fontId="1" fillId="25" borderId="6" xfId="0" applyFont="1" applyFill="1" applyBorder="1" applyAlignment="1">
      <alignment horizontal="justify" vertical="center" wrapText="1"/>
    </xf>
    <xf numFmtId="0" fontId="1" fillId="0" borderId="5" xfId="0" applyFont="1" applyBorder="1" applyAlignment="1">
      <alignment horizontal="left" vertical="center"/>
    </xf>
    <xf numFmtId="0" fontId="1" fillId="3" borderId="5"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1" fillId="3" borderId="5" xfId="0" applyFont="1" applyFill="1" applyBorder="1" applyAlignment="1">
      <alignment horizontal="justify" vertical="center" wrapText="1"/>
    </xf>
    <xf numFmtId="0" fontId="1" fillId="3" borderId="5" xfId="0" applyFont="1" applyFill="1" applyBorder="1" applyAlignment="1" applyProtection="1">
      <alignment horizontal="center" vertical="center" wrapText="1"/>
      <protection locked="0"/>
    </xf>
    <xf numFmtId="0" fontId="1" fillId="3" borderId="5" xfId="259" applyNumberFormat="1" applyFont="1" applyFill="1" applyBorder="1" applyAlignment="1" applyProtection="1">
      <alignment horizontal="center" vertical="center" wrapText="1"/>
      <protection locked="0"/>
    </xf>
    <xf numFmtId="0" fontId="1" fillId="3" borderId="5" xfId="259" applyNumberFormat="1" applyFont="1" applyFill="1" applyBorder="1" applyAlignment="1" applyProtection="1">
      <alignment horizontal="justify" vertical="center" wrapText="1"/>
      <protection locked="0"/>
    </xf>
    <xf numFmtId="0" fontId="3" fillId="2" borderId="6" xfId="0" applyFont="1" applyFill="1" applyBorder="1"/>
    <xf numFmtId="0" fontId="0" fillId="0" borderId="10" xfId="0" applyBorder="1"/>
    <xf numFmtId="0" fontId="3" fillId="27" borderId="5" xfId="0" applyFont="1" applyFill="1" applyBorder="1" applyAlignment="1">
      <alignment horizontal="center" vertical="center"/>
    </xf>
    <xf numFmtId="0" fontId="3" fillId="27" borderId="5" xfId="0" applyFont="1" applyFill="1" applyBorder="1" applyAlignment="1">
      <alignment horizontal="left" vertical="center" wrapText="1"/>
    </xf>
    <xf numFmtId="49" fontId="2" fillId="27" borderId="5" xfId="0" applyNumberFormat="1" applyFont="1" applyFill="1" applyBorder="1" applyAlignment="1">
      <alignment horizontal="center" vertical="center" wrapText="1"/>
    </xf>
    <xf numFmtId="0" fontId="2" fillId="27" borderId="5" xfId="0" applyFont="1" applyFill="1" applyBorder="1" applyAlignment="1">
      <alignment vertical="center" wrapText="1"/>
    </xf>
    <xf numFmtId="0" fontId="2" fillId="28" borderId="5" xfId="0" applyFont="1" applyFill="1" applyBorder="1" applyAlignment="1">
      <alignment horizontal="center" vertical="center" wrapText="1"/>
    </xf>
    <xf numFmtId="0" fontId="2" fillId="28" borderId="5" xfId="0" applyFont="1" applyFill="1" applyBorder="1" applyAlignment="1" applyProtection="1">
      <alignment horizontal="justify" vertical="center" wrapText="1"/>
      <protection locked="0"/>
    </xf>
    <xf numFmtId="0" fontId="2" fillId="27" borderId="5" xfId="0" applyFont="1" applyFill="1" applyBorder="1" applyAlignment="1" applyProtection="1">
      <alignment horizontal="justify" vertical="center" wrapText="1"/>
      <protection locked="0"/>
    </xf>
    <xf numFmtId="0" fontId="2" fillId="27" borderId="5" xfId="0" applyFont="1" applyFill="1" applyBorder="1" applyAlignment="1" applyProtection="1">
      <alignment horizontal="center" vertical="center" wrapText="1"/>
      <protection locked="0"/>
    </xf>
    <xf numFmtId="0" fontId="3" fillId="25" borderId="9" xfId="0" applyFont="1" applyFill="1" applyBorder="1"/>
    <xf numFmtId="0" fontId="3" fillId="25" borderId="22" xfId="0" applyFont="1" applyFill="1" applyBorder="1" applyAlignment="1">
      <alignment horizontal="left" vertical="center" wrapText="1"/>
    </xf>
    <xf numFmtId="0" fontId="3" fillId="25" borderId="1" xfId="0" applyFont="1" applyFill="1" applyBorder="1" applyAlignment="1">
      <alignment horizontal="left" vertical="center"/>
    </xf>
    <xf numFmtId="0" fontId="3" fillId="2" borderId="6" xfId="0" applyFont="1" applyFill="1" applyBorder="1" applyAlignment="1">
      <alignment horizontal="left" vertical="center"/>
    </xf>
    <xf numFmtId="0" fontId="3" fillId="25" borderId="25" xfId="0" applyFont="1" applyFill="1" applyBorder="1" applyAlignment="1">
      <alignment horizontal="left" vertical="center" wrapText="1"/>
    </xf>
    <xf numFmtId="0" fontId="3" fillId="25" borderId="5" xfId="0" applyFont="1" applyFill="1" applyBorder="1"/>
    <xf numFmtId="0" fontId="3" fillId="25" borderId="5" xfId="0" applyFont="1" applyFill="1" applyBorder="1" applyAlignment="1">
      <alignment horizontal="left" vertical="center"/>
    </xf>
    <xf numFmtId="0" fontId="2" fillId="25" borderId="1" xfId="0" applyFont="1" applyFill="1" applyBorder="1" applyAlignment="1">
      <alignment horizontal="justify" vertical="center" wrapText="1"/>
    </xf>
    <xf numFmtId="0" fontId="2" fillId="25" borderId="1" xfId="0" applyFont="1" applyFill="1" applyBorder="1" applyAlignment="1" applyProtection="1">
      <alignment horizontal="center" vertical="center" wrapText="1"/>
      <protection locked="0"/>
    </xf>
    <xf numFmtId="0" fontId="2" fillId="25" borderId="1" xfId="259" applyNumberFormat="1" applyFont="1" applyFill="1" applyBorder="1" applyAlignment="1" applyProtection="1">
      <alignment horizontal="center" vertical="center" wrapText="1"/>
      <protection locked="0"/>
    </xf>
    <xf numFmtId="0" fontId="2" fillId="25" borderId="1" xfId="259" applyNumberFormat="1" applyFont="1" applyFill="1" applyBorder="1" applyAlignment="1" applyProtection="1">
      <alignment horizontal="justify" vertical="center" wrapText="1"/>
      <protection locked="0"/>
    </xf>
    <xf numFmtId="0" fontId="3" fillId="25" borderId="5" xfId="0" applyFont="1" applyFill="1" applyBorder="1" applyAlignment="1">
      <alignment horizontal="left" vertical="center" wrapText="1"/>
    </xf>
    <xf numFmtId="0" fontId="3" fillId="25" borderId="7" xfId="0" applyFont="1" applyFill="1" applyBorder="1" applyAlignment="1">
      <alignment horizontal="left" vertical="center"/>
    </xf>
    <xf numFmtId="0" fontId="2" fillId="25" borderId="7" xfId="0" applyFont="1" applyFill="1" applyBorder="1" applyAlignment="1">
      <alignment horizontal="center" vertical="center" wrapText="1"/>
    </xf>
    <xf numFmtId="0" fontId="2" fillId="25" borderId="5" xfId="0" applyFont="1" applyFill="1" applyBorder="1" applyAlignment="1">
      <alignment horizontal="center" vertical="center" wrapText="1"/>
    </xf>
    <xf numFmtId="0" fontId="2" fillId="25" borderId="5" xfId="0" applyFont="1" applyFill="1" applyBorder="1" applyAlignment="1">
      <alignment horizontal="justify" vertical="center" wrapText="1"/>
    </xf>
    <xf numFmtId="0" fontId="2" fillId="25" borderId="5" xfId="0" applyFont="1" applyFill="1" applyBorder="1" applyAlignment="1" applyProtection="1">
      <alignment horizontal="center" vertical="center" wrapText="1"/>
      <protection locked="0"/>
    </xf>
    <xf numFmtId="0" fontId="2" fillId="25" borderId="5" xfId="259" applyNumberFormat="1" applyFont="1" applyFill="1" applyBorder="1" applyAlignment="1" applyProtection="1">
      <alignment horizontal="center" vertical="center" wrapText="1"/>
      <protection locked="0"/>
    </xf>
    <xf numFmtId="0" fontId="2" fillId="25" borderId="5" xfId="259" applyNumberFormat="1" applyFont="1" applyFill="1" applyBorder="1" applyAlignment="1" applyProtection="1">
      <alignment horizontal="justify" vertical="center" wrapText="1"/>
      <protection locked="0"/>
    </xf>
    <xf numFmtId="0" fontId="3" fillId="25" borderId="1" xfId="0" applyFont="1" applyFill="1" applyBorder="1"/>
    <xf numFmtId="0" fontId="2" fillId="25" borderId="0" xfId="0" applyFont="1" applyFill="1" applyAlignment="1">
      <alignment horizontal="center" vertical="center" wrapText="1"/>
    </xf>
    <xf numFmtId="0" fontId="2" fillId="25" borderId="0" xfId="0" applyFont="1" applyFill="1" applyAlignment="1">
      <alignment horizontal="justify" vertical="center" wrapText="1"/>
    </xf>
    <xf numFmtId="0" fontId="3" fillId="26" borderId="0" xfId="0" applyFont="1" applyFill="1"/>
    <xf numFmtId="0" fontId="2" fillId="28" borderId="5" xfId="259" applyNumberFormat="1" applyFont="1" applyFill="1" applyBorder="1" applyAlignment="1" applyProtection="1">
      <alignment horizontal="center" vertical="center" wrapText="1"/>
      <protection locked="0"/>
    </xf>
    <xf numFmtId="0" fontId="2" fillId="7" borderId="5" xfId="259" applyNumberFormat="1" applyFont="1" applyFill="1" applyBorder="1" applyAlignment="1" applyProtection="1">
      <alignment horizontal="justify" vertical="center" wrapText="1"/>
      <protection locked="0"/>
    </xf>
    <xf numFmtId="0" fontId="2" fillId="27" borderId="5" xfId="259" applyNumberFormat="1" applyFont="1" applyFill="1" applyBorder="1" applyAlignment="1" applyProtection="1">
      <alignment horizontal="justify" vertical="center" wrapText="1"/>
      <protection locked="0"/>
    </xf>
    <xf numFmtId="0" fontId="2" fillId="27" borderId="5" xfId="259" applyNumberFormat="1" applyFont="1" applyFill="1" applyBorder="1" applyAlignment="1" applyProtection="1">
      <alignment horizontal="center" vertical="center" wrapText="1"/>
      <protection locked="0"/>
    </xf>
    <xf numFmtId="0" fontId="3" fillId="26" borderId="9" xfId="0" applyFont="1" applyFill="1" applyBorder="1"/>
    <xf numFmtId="0" fontId="3" fillId="26" borderId="25" xfId="0" applyFont="1" applyFill="1" applyBorder="1" applyAlignment="1">
      <alignment horizontal="left" vertical="center" wrapText="1"/>
    </xf>
    <xf numFmtId="0" fontId="3" fillId="25" borderId="6" xfId="0" applyFont="1" applyFill="1" applyBorder="1" applyAlignment="1">
      <alignment horizontal="left" vertical="center" wrapText="1"/>
    </xf>
    <xf numFmtId="0" fontId="1" fillId="25" borderId="6" xfId="0" applyFont="1" applyFill="1" applyBorder="1" applyAlignment="1">
      <alignment horizontal="left" vertical="center"/>
    </xf>
    <xf numFmtId="0" fontId="1" fillId="25" borderId="6" xfId="0" applyFont="1" applyFill="1" applyBorder="1" applyAlignment="1" applyProtection="1">
      <alignment horizontal="center" vertical="center" wrapText="1"/>
      <protection locked="0"/>
    </xf>
    <xf numFmtId="0" fontId="1" fillId="25" borderId="6" xfId="259" applyNumberFormat="1" applyFont="1" applyFill="1" applyBorder="1" applyAlignment="1" applyProtection="1">
      <alignment horizontal="center" vertical="center" wrapText="1"/>
      <protection locked="0"/>
    </xf>
    <xf numFmtId="0" fontId="1" fillId="25" borderId="6" xfId="259" applyNumberFormat="1" applyFont="1" applyFill="1" applyBorder="1" applyAlignment="1" applyProtection="1">
      <alignment horizontal="justify" vertical="center" wrapText="1"/>
      <protection locked="0"/>
    </xf>
    <xf numFmtId="0" fontId="1" fillId="26" borderId="4" xfId="259" applyNumberFormat="1"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wrapText="1"/>
      <protection locked="0"/>
    </xf>
    <xf numFmtId="0" fontId="1" fillId="26" borderId="22" xfId="259" applyNumberFormat="1" applyFont="1" applyFill="1" applyBorder="1" applyAlignment="1" applyProtection="1">
      <alignment horizontal="center" vertical="center" wrapText="1"/>
      <protection locked="0"/>
    </xf>
    <xf numFmtId="0" fontId="3" fillId="26" borderId="25" xfId="0" applyFont="1" applyFill="1" applyBorder="1" applyAlignment="1">
      <alignment horizontal="left" vertical="center"/>
    </xf>
    <xf numFmtId="0" fontId="3" fillId="26" borderId="22" xfId="0" applyFont="1" applyFill="1" applyBorder="1" applyAlignment="1">
      <alignment horizontal="left" vertical="center" wrapText="1"/>
    </xf>
    <xf numFmtId="0" fontId="44" fillId="25" borderId="16" xfId="0" applyFont="1" applyFill="1" applyBorder="1" applyAlignment="1">
      <alignment vertical="center"/>
    </xf>
    <xf numFmtId="0" fontId="43" fillId="26" borderId="9" xfId="0" applyFont="1" applyFill="1" applyBorder="1" applyAlignment="1">
      <alignment vertical="center" wrapText="1"/>
    </xf>
    <xf numFmtId="0" fontId="43" fillId="26" borderId="10" xfId="0" applyFont="1" applyFill="1" applyBorder="1" applyAlignment="1">
      <alignment vertical="center" wrapText="1"/>
    </xf>
    <xf numFmtId="0" fontId="2" fillId="0" borderId="26"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17" xfId="0" applyFont="1" applyBorder="1" applyAlignment="1">
      <alignment horizontal="center" vertical="center" wrapText="1"/>
    </xf>
    <xf numFmtId="0" fontId="3" fillId="26" borderId="6" xfId="0" applyFont="1" applyFill="1" applyBorder="1" applyAlignment="1">
      <alignment horizontal="left" vertical="center" wrapText="1"/>
    </xf>
    <xf numFmtId="0" fontId="1" fillId="26" borderId="6" xfId="0" applyFont="1" applyFill="1" applyBorder="1" applyAlignment="1">
      <alignment horizontal="left" vertical="center"/>
    </xf>
    <xf numFmtId="0" fontId="1" fillId="26" borderId="6" xfId="0" applyFont="1" applyFill="1" applyBorder="1" applyAlignment="1">
      <alignment horizontal="center" vertical="center" wrapText="1"/>
    </xf>
    <xf numFmtId="0" fontId="2" fillId="26" borderId="6" xfId="0" applyFont="1" applyFill="1" applyBorder="1" applyAlignment="1">
      <alignment horizontal="center" vertical="center" wrapText="1"/>
    </xf>
    <xf numFmtId="0" fontId="1" fillId="26" borderId="6" xfId="0" applyFont="1" applyFill="1" applyBorder="1" applyAlignment="1">
      <alignment horizontal="justify" vertical="center" wrapText="1"/>
    </xf>
    <xf numFmtId="0" fontId="1" fillId="26" borderId="6" xfId="0" applyFont="1" applyFill="1" applyBorder="1" applyAlignment="1" applyProtection="1">
      <alignment horizontal="center" vertical="center" wrapText="1"/>
      <protection locked="0"/>
    </xf>
    <xf numFmtId="0" fontId="1" fillId="26" borderId="6" xfId="259" applyNumberFormat="1" applyFont="1" applyFill="1" applyBorder="1" applyAlignment="1" applyProtection="1">
      <alignment horizontal="center" vertical="center" wrapText="1"/>
      <protection locked="0"/>
    </xf>
    <xf numFmtId="0" fontId="1" fillId="26" borderId="6" xfId="259" applyNumberFormat="1" applyFont="1" applyFill="1" applyBorder="1" applyAlignment="1" applyProtection="1">
      <alignment horizontal="justify" vertical="center" wrapText="1"/>
      <protection locked="0"/>
    </xf>
    <xf numFmtId="0" fontId="1" fillId="25" borderId="25" xfId="259" applyNumberFormat="1" applyFont="1" applyFill="1" applyBorder="1" applyAlignment="1" applyProtection="1">
      <alignment horizontal="justify" vertical="center" wrapText="1"/>
      <protection locked="0"/>
    </xf>
    <xf numFmtId="0" fontId="9" fillId="28" borderId="5" xfId="259" applyNumberFormat="1" applyFont="1" applyFill="1" applyBorder="1" applyAlignment="1" applyProtection="1">
      <alignment horizontal="justify" vertical="center" wrapText="1"/>
      <protection locked="0"/>
    </xf>
    <xf numFmtId="0" fontId="9" fillId="27" borderId="5" xfId="259" applyNumberFormat="1" applyFont="1" applyFill="1" applyBorder="1" applyAlignment="1" applyProtection="1">
      <alignment horizontal="justify" vertical="center" wrapText="1"/>
      <protection locked="0"/>
    </xf>
    <xf numFmtId="0" fontId="9" fillId="27" borderId="5" xfId="259" applyNumberFormat="1" applyFont="1" applyFill="1" applyBorder="1" applyAlignment="1" applyProtection="1">
      <alignment horizontal="center" vertical="center" wrapText="1"/>
      <protection locked="0"/>
    </xf>
    <xf numFmtId="0" fontId="1" fillId="2" borderId="6" xfId="0" applyFont="1" applyFill="1" applyBorder="1" applyAlignment="1" applyProtection="1">
      <alignment horizontal="justify" vertical="center" wrapText="1"/>
      <protection locked="0"/>
    </xf>
    <xf numFmtId="0" fontId="3" fillId="5" borderId="0" xfId="0" applyFont="1" applyFill="1"/>
    <xf numFmtId="0" fontId="3" fillId="5" borderId="0" xfId="0" applyFont="1" applyFill="1" applyAlignment="1">
      <alignment horizontal="left" vertical="center" wrapText="1"/>
    </xf>
    <xf numFmtId="49" fontId="3" fillId="5" borderId="0" xfId="0" applyNumberFormat="1" applyFont="1" applyFill="1" applyAlignment="1">
      <alignment horizontal="center" vertical="center"/>
    </xf>
    <xf numFmtId="49" fontId="3" fillId="5" borderId="0" xfId="0" applyNumberFormat="1" applyFont="1" applyFill="1" applyAlignment="1">
      <alignment horizontal="center"/>
    </xf>
    <xf numFmtId="0" fontId="3" fillId="5" borderId="0" xfId="0" applyFont="1" applyFill="1" applyAlignment="1">
      <alignment horizontal="center"/>
    </xf>
    <xf numFmtId="0" fontId="3" fillId="5" borderId="0" xfId="0" applyFont="1" applyFill="1" applyAlignment="1">
      <alignment horizontal="justify" vertical="center"/>
    </xf>
    <xf numFmtId="0" fontId="3" fillId="5" borderId="0" xfId="0" applyFont="1" applyFill="1" applyAlignment="1">
      <alignment horizontal="center" vertical="center"/>
    </xf>
    <xf numFmtId="0" fontId="3" fillId="5" borderId="0" xfId="0" applyFont="1" applyFill="1" applyAlignment="1" applyProtection="1">
      <alignment horizontal="center" vertical="center"/>
      <protection locked="0"/>
    </xf>
    <xf numFmtId="0" fontId="3" fillId="5" borderId="0" xfId="259" applyNumberFormat="1" applyFont="1" applyFill="1" applyAlignment="1" applyProtection="1">
      <alignment horizontal="center" vertical="center"/>
      <protection locked="0"/>
    </xf>
    <xf numFmtId="0" fontId="3" fillId="5" borderId="0" xfId="259" applyNumberFormat="1" applyFont="1" applyFill="1" applyAlignment="1" applyProtection="1">
      <alignment horizontal="justify" vertical="center"/>
      <protection locked="0"/>
    </xf>
    <xf numFmtId="0" fontId="2" fillId="5" borderId="0" xfId="0" applyFont="1" applyFill="1" applyAlignment="1" applyProtection="1">
      <alignment horizontal="center" vertical="center" wrapText="1"/>
      <protection locked="0"/>
    </xf>
    <xf numFmtId="168" fontId="2" fillId="27" borderId="1" xfId="259" applyNumberFormat="1" applyFont="1" applyFill="1" applyBorder="1" applyAlignment="1" applyProtection="1">
      <alignment vertical="center" wrapText="1"/>
      <protection locked="0"/>
    </xf>
    <xf numFmtId="168" fontId="9" fillId="27" borderId="1" xfId="259" applyNumberFormat="1" applyFont="1" applyFill="1" applyBorder="1" applyAlignment="1" applyProtection="1">
      <alignment vertical="center" wrapText="1"/>
      <protection locked="0"/>
    </xf>
    <xf numFmtId="168" fontId="9" fillId="27" borderId="1" xfId="259" applyNumberFormat="1" applyFont="1" applyFill="1" applyBorder="1" applyAlignment="1" applyProtection="1">
      <alignment horizontal="center" vertical="center" wrapText="1"/>
      <protection locked="0"/>
    </xf>
    <xf numFmtId="168" fontId="9" fillId="27" borderId="1" xfId="259" applyNumberFormat="1" applyFont="1" applyFill="1" applyBorder="1" applyAlignment="1" applyProtection="1">
      <alignment horizontal="left" vertical="center" wrapText="1"/>
      <protection locked="0"/>
    </xf>
    <xf numFmtId="168" fontId="2" fillId="27" borderId="1" xfId="259" applyNumberFormat="1" applyFont="1" applyFill="1" applyBorder="1" applyAlignment="1" applyProtection="1">
      <alignment horizontal="left" vertical="center" wrapText="1"/>
      <protection locked="0"/>
    </xf>
    <xf numFmtId="168" fontId="7" fillId="27" borderId="1" xfId="259" applyNumberFormat="1" applyFont="1" applyFill="1" applyBorder="1" applyAlignment="1" applyProtection="1">
      <alignment horizontal="center" vertical="center" wrapText="1"/>
      <protection locked="0"/>
    </xf>
    <xf numFmtId="0" fontId="1" fillId="27" borderId="1" xfId="0" applyFont="1" applyFill="1" applyBorder="1" applyAlignment="1">
      <alignment horizontal="center" vertical="center" wrapText="1"/>
    </xf>
    <xf numFmtId="0" fontId="9" fillId="27" borderId="1" xfId="0" applyFont="1" applyFill="1" applyBorder="1" applyAlignment="1">
      <alignment horizontal="left" vertical="center" wrapText="1"/>
    </xf>
    <xf numFmtId="9" fontId="9" fillId="27" borderId="1" xfId="0" applyNumberFormat="1" applyFont="1" applyFill="1" applyBorder="1" applyAlignment="1">
      <alignment horizontal="center" vertical="center" wrapText="1"/>
    </xf>
    <xf numFmtId="0" fontId="11" fillId="27" borderId="1" xfId="0" applyFont="1" applyFill="1" applyBorder="1" applyAlignment="1">
      <alignment horizontal="center" vertical="center" wrapText="1"/>
    </xf>
    <xf numFmtId="0" fontId="25" fillId="27" borderId="1" xfId="0" applyFont="1" applyFill="1" applyBorder="1" applyAlignment="1">
      <alignment horizontal="center" vertical="center" wrapText="1"/>
    </xf>
    <xf numFmtId="168" fontId="2" fillId="27" borderId="1" xfId="259" applyNumberFormat="1" applyFont="1" applyFill="1" applyBorder="1" applyAlignment="1">
      <alignment horizontal="center" vertical="center" wrapText="1"/>
    </xf>
    <xf numFmtId="168" fontId="3" fillId="27" borderId="0" xfId="259" applyNumberFormat="1" applyFont="1" applyFill="1" applyAlignment="1">
      <alignment horizontal="center" vertical="center"/>
    </xf>
    <xf numFmtId="168" fontId="2" fillId="27" borderId="1" xfId="259" applyNumberFormat="1" applyFont="1" applyFill="1" applyBorder="1" applyAlignment="1">
      <alignment vertical="center" wrapText="1"/>
    </xf>
    <xf numFmtId="0" fontId="3" fillId="6" borderId="0" xfId="0" applyFont="1" applyFill="1"/>
    <xf numFmtId="0" fontId="1" fillId="6" borderId="1" xfId="0" applyFont="1" applyFill="1" applyBorder="1" applyAlignment="1">
      <alignment horizontal="center" vertical="center" wrapText="1"/>
    </xf>
    <xf numFmtId="0" fontId="1" fillId="6" borderId="1" xfId="0" applyFont="1" applyFill="1" applyBorder="1" applyAlignment="1">
      <alignment horizontal="justify" vertical="center" wrapText="1"/>
    </xf>
    <xf numFmtId="0" fontId="1" fillId="6" borderId="1" xfId="259" applyNumberFormat="1" applyFont="1" applyFill="1" applyBorder="1" applyAlignment="1">
      <alignment horizontal="center" vertical="center" wrapText="1"/>
    </xf>
    <xf numFmtId="168" fontId="1" fillId="6" borderId="1" xfId="259" applyNumberFormat="1" applyFont="1" applyFill="1" applyBorder="1" applyAlignment="1">
      <alignment horizontal="center" vertical="center" wrapText="1"/>
    </xf>
    <xf numFmtId="168" fontId="3" fillId="6" borderId="0" xfId="259" applyNumberFormat="1" applyFont="1" applyFill="1"/>
    <xf numFmtId="168" fontId="25" fillId="6" borderId="1" xfId="259" applyNumberFormat="1" applyFont="1" applyFill="1" applyBorder="1" applyAlignment="1">
      <alignment horizontal="center" vertical="center" wrapText="1"/>
    </xf>
    <xf numFmtId="168" fontId="2" fillId="23" borderId="1" xfId="259" applyNumberFormat="1" applyFont="1" applyFill="1" applyBorder="1" applyAlignment="1">
      <alignment horizontal="center" vertical="center" wrapText="1"/>
    </xf>
    <xf numFmtId="168" fontId="9" fillId="23" borderId="1" xfId="259" applyNumberFormat="1" applyFont="1" applyFill="1" applyBorder="1" applyAlignment="1">
      <alignment horizontal="center" vertical="center" wrapText="1"/>
    </xf>
    <xf numFmtId="168" fontId="2" fillId="23" borderId="1" xfId="259" applyNumberFormat="1" applyFont="1" applyFill="1" applyBorder="1" applyAlignment="1">
      <alignment vertical="center" wrapText="1"/>
    </xf>
    <xf numFmtId="168" fontId="1" fillId="17" borderId="1" xfId="259" applyNumberFormat="1" applyFont="1" applyFill="1" applyBorder="1" applyAlignment="1">
      <alignment horizontal="center" vertical="center" wrapText="1"/>
    </xf>
    <xf numFmtId="168" fontId="2" fillId="23" borderId="1" xfId="259" applyNumberFormat="1" applyFont="1" applyFill="1" applyBorder="1" applyAlignment="1">
      <alignment horizontal="left" vertical="center" wrapText="1"/>
    </xf>
    <xf numFmtId="168" fontId="9" fillId="23" borderId="1" xfId="259" applyNumberFormat="1" applyFont="1" applyFill="1" applyBorder="1" applyAlignment="1">
      <alignment horizontal="left" vertical="center" wrapText="1"/>
    </xf>
    <xf numFmtId="168" fontId="1" fillId="29" borderId="1" xfId="259" applyNumberFormat="1" applyFont="1" applyFill="1" applyBorder="1" applyAlignment="1">
      <alignment horizontal="center" vertical="center" wrapText="1"/>
    </xf>
    <xf numFmtId="0" fontId="2" fillId="23" borderId="1" xfId="259" applyNumberFormat="1" applyFont="1" applyFill="1" applyBorder="1" applyAlignment="1">
      <alignment horizontal="center" vertical="center" wrapText="1"/>
    </xf>
    <xf numFmtId="0" fontId="0" fillId="23" borderId="1" xfId="0" applyFill="1" applyBorder="1"/>
    <xf numFmtId="168" fontId="3" fillId="23" borderId="1" xfId="259" applyNumberFormat="1" applyFont="1" applyFill="1" applyBorder="1" applyAlignment="1">
      <alignment horizontal="center" vertical="center"/>
    </xf>
    <xf numFmtId="0" fontId="3" fillId="17" borderId="1" xfId="0" applyFont="1" applyFill="1" applyBorder="1" applyAlignment="1" applyProtection="1">
      <alignment horizontal="center" vertical="center" wrapText="1"/>
      <protection locked="0"/>
    </xf>
    <xf numFmtId="0" fontId="3" fillId="0" borderId="5" xfId="0" applyFont="1" applyBorder="1" applyAlignment="1">
      <alignment horizontal="center" vertical="center" wrapText="1"/>
    </xf>
    <xf numFmtId="0" fontId="1" fillId="5" borderId="3" xfId="259" applyNumberFormat="1" applyFont="1" applyFill="1" applyBorder="1" applyAlignment="1" applyProtection="1">
      <alignment horizontal="justify" vertical="center" wrapText="1"/>
      <protection locked="0"/>
    </xf>
    <xf numFmtId="0" fontId="1" fillId="25" borderId="3" xfId="259" applyNumberFormat="1" applyFont="1" applyFill="1" applyBorder="1" applyAlignment="1" applyProtection="1">
      <alignment horizontal="center" vertical="center" wrapText="1"/>
      <protection locked="0"/>
    </xf>
    <xf numFmtId="0" fontId="1" fillId="26" borderId="3" xfId="259" applyNumberFormat="1" applyFont="1" applyFill="1" applyBorder="1" applyAlignment="1" applyProtection="1">
      <alignment horizontal="center" vertical="center" wrapText="1"/>
      <protection locked="0"/>
    </xf>
    <xf numFmtId="0" fontId="1" fillId="5" borderId="3" xfId="259" applyNumberFormat="1" applyFont="1" applyFill="1" applyBorder="1" applyAlignment="1" applyProtection="1">
      <alignment horizontal="center" vertical="center" wrapText="1"/>
      <protection locked="0"/>
    </xf>
    <xf numFmtId="0" fontId="2" fillId="5" borderId="3" xfId="259" applyNumberFormat="1" applyFont="1" applyFill="1" applyBorder="1" applyAlignment="1" applyProtection="1">
      <alignment horizontal="center" vertical="center" wrapText="1"/>
      <protection locked="0"/>
    </xf>
    <xf numFmtId="0" fontId="2" fillId="5" borderId="3" xfId="259" applyNumberFormat="1" applyFont="1" applyFill="1" applyBorder="1" applyAlignment="1" applyProtection="1">
      <alignment horizontal="justify" vertical="center" wrapText="1"/>
      <protection locked="0"/>
    </xf>
    <xf numFmtId="168" fontId="2" fillId="5" borderId="3" xfId="259" applyNumberFormat="1" applyFont="1" applyFill="1" applyBorder="1" applyAlignment="1" applyProtection="1">
      <alignment horizontal="center" vertical="center" wrapText="1"/>
      <protection locked="0"/>
    </xf>
    <xf numFmtId="0" fontId="9" fillId="5" borderId="3" xfId="259" applyNumberFormat="1" applyFont="1" applyFill="1" applyBorder="1" applyAlignment="1" applyProtection="1">
      <alignment horizontal="center" vertical="center" wrapText="1"/>
      <protection locked="0"/>
    </xf>
    <xf numFmtId="0" fontId="29" fillId="5" borderId="3" xfId="627" applyFont="1" applyFill="1" applyBorder="1" applyAlignment="1" applyProtection="1">
      <alignment horizontal="center" vertical="center" wrapText="1"/>
      <protection locked="0"/>
    </xf>
    <xf numFmtId="0" fontId="2" fillId="5" borderId="3" xfId="0" applyFont="1" applyFill="1" applyBorder="1" applyAlignment="1" applyProtection="1">
      <alignment horizontal="center" vertical="center" wrapText="1"/>
      <protection locked="0"/>
    </xf>
    <xf numFmtId="0" fontId="9" fillId="5" borderId="3" xfId="0" applyFont="1" applyFill="1" applyBorder="1" applyAlignment="1" applyProtection="1">
      <alignment horizontal="center" vertical="center" wrapText="1"/>
      <protection locked="0"/>
    </xf>
    <xf numFmtId="168" fontId="1" fillId="5" borderId="3" xfId="259" applyNumberFormat="1" applyFont="1" applyFill="1" applyBorder="1" applyAlignment="1" applyProtection="1">
      <alignment horizontal="center" vertical="center" wrapText="1"/>
      <protection locked="0"/>
    </xf>
    <xf numFmtId="0" fontId="2" fillId="5" borderId="3" xfId="259" applyNumberFormat="1" applyFont="1" applyFill="1" applyBorder="1" applyAlignment="1" applyProtection="1">
      <alignment horizontal="left" vertical="center" wrapText="1"/>
      <protection locked="0"/>
    </xf>
    <xf numFmtId="0" fontId="2" fillId="5" borderId="26" xfId="259" applyNumberFormat="1" applyFont="1" applyFill="1" applyBorder="1" applyAlignment="1" applyProtection="1">
      <alignment horizontal="center" vertical="center" wrapText="1"/>
      <protection locked="0"/>
    </xf>
    <xf numFmtId="0" fontId="1" fillId="5" borderId="24" xfId="259" applyNumberFormat="1" applyFont="1" applyFill="1" applyBorder="1" applyAlignment="1" applyProtection="1">
      <alignment horizontal="center" vertical="center" wrapText="1"/>
      <protection locked="0"/>
    </xf>
    <xf numFmtId="0" fontId="1" fillId="5" borderId="8" xfId="259" applyNumberFormat="1" applyFont="1" applyFill="1" applyBorder="1" applyAlignment="1" applyProtection="1">
      <alignment horizontal="center" vertical="center" wrapText="1"/>
      <protection locked="0"/>
    </xf>
    <xf numFmtId="0" fontId="7" fillId="5" borderId="3" xfId="259" applyNumberFormat="1" applyFont="1" applyFill="1" applyBorder="1" applyAlignment="1" applyProtection="1">
      <alignment horizontal="center" vertical="center" wrapText="1"/>
      <protection locked="0"/>
    </xf>
    <xf numFmtId="0" fontId="1" fillId="5" borderId="26" xfId="259" applyNumberFormat="1" applyFont="1" applyFill="1" applyBorder="1" applyAlignment="1" applyProtection="1">
      <alignment horizontal="center" vertical="center" wrapText="1"/>
      <protection locked="0"/>
    </xf>
    <xf numFmtId="168" fontId="2" fillId="0" borderId="4" xfId="259" applyNumberFormat="1" applyFont="1" applyBorder="1" applyAlignment="1">
      <alignment horizontal="center" vertical="center" wrapText="1"/>
    </xf>
    <xf numFmtId="168" fontId="1" fillId="2" borderId="4" xfId="259" applyNumberFormat="1" applyFont="1" applyFill="1" applyBorder="1" applyAlignment="1">
      <alignment horizontal="center" vertical="center" wrapText="1"/>
    </xf>
    <xf numFmtId="168" fontId="1" fillId="0" borderId="4" xfId="259" applyNumberFormat="1" applyFont="1" applyBorder="1" applyAlignment="1">
      <alignment horizontal="center" vertical="center" wrapText="1"/>
    </xf>
    <xf numFmtId="168" fontId="1" fillId="27" borderId="28" xfId="259" applyNumberFormat="1" applyFont="1" applyFill="1" applyBorder="1" applyAlignment="1" applyProtection="1">
      <alignment horizontal="center" vertical="center" wrapText="1"/>
      <protection locked="0"/>
    </xf>
    <xf numFmtId="168" fontId="2" fillId="27" borderId="28" xfId="259" applyNumberFormat="1" applyFont="1" applyFill="1" applyBorder="1" applyAlignment="1" applyProtection="1">
      <alignment horizontal="center" vertical="center" wrapText="1"/>
      <protection locked="0"/>
    </xf>
    <xf numFmtId="168" fontId="2" fillId="27" borderId="28" xfId="259" applyNumberFormat="1" applyFont="1" applyFill="1" applyBorder="1" applyAlignment="1" applyProtection="1">
      <alignment vertical="center" wrapText="1"/>
      <protection locked="0"/>
    </xf>
    <xf numFmtId="168" fontId="9" fillId="27" borderId="28" xfId="259" applyNumberFormat="1" applyFont="1" applyFill="1" applyBorder="1" applyAlignment="1" applyProtection="1">
      <alignment vertical="center" wrapText="1"/>
      <protection locked="0"/>
    </xf>
    <xf numFmtId="168" fontId="9" fillId="27" borderId="28" xfId="259" applyNumberFormat="1" applyFont="1" applyFill="1" applyBorder="1" applyAlignment="1" applyProtection="1">
      <alignment horizontal="center" vertical="center" wrapText="1"/>
      <protection locked="0"/>
    </xf>
    <xf numFmtId="168" fontId="9" fillId="27" borderId="28" xfId="259" applyNumberFormat="1" applyFont="1" applyFill="1" applyBorder="1" applyAlignment="1" applyProtection="1">
      <alignment horizontal="left" vertical="center" wrapText="1"/>
      <protection locked="0"/>
    </xf>
    <xf numFmtId="168" fontId="2" fillId="27" borderId="28" xfId="259" applyNumberFormat="1" applyFont="1" applyFill="1" applyBorder="1" applyAlignment="1" applyProtection="1">
      <alignment horizontal="left" vertical="center" wrapText="1"/>
      <protection locked="0"/>
    </xf>
    <xf numFmtId="168" fontId="3" fillId="27" borderId="28" xfId="259" applyNumberFormat="1" applyFont="1" applyFill="1" applyBorder="1" applyAlignment="1" applyProtection="1">
      <alignment horizontal="center" vertical="center"/>
      <protection locked="0"/>
    </xf>
    <xf numFmtId="168" fontId="7" fillId="27" borderId="28" xfId="259" applyNumberFormat="1" applyFont="1" applyFill="1" applyBorder="1" applyAlignment="1" applyProtection="1">
      <alignment horizontal="center" vertical="center" wrapText="1"/>
      <protection locked="0"/>
    </xf>
    <xf numFmtId="168" fontId="2" fillId="27" borderId="29" xfId="259" applyNumberFormat="1" applyFont="1" applyFill="1" applyBorder="1" applyAlignment="1" applyProtection="1">
      <alignment horizontal="center" vertical="center" wrapText="1"/>
      <protection locked="0"/>
    </xf>
    <xf numFmtId="168" fontId="2" fillId="27" borderId="30" xfId="259" applyNumberFormat="1" applyFont="1" applyFill="1" applyBorder="1" applyAlignment="1" applyProtection="1">
      <alignment horizontal="center" vertical="center" wrapText="1"/>
      <protection locked="0"/>
    </xf>
    <xf numFmtId="168" fontId="1" fillId="27" borderId="31" xfId="259" applyNumberFormat="1" applyFont="1" applyFill="1" applyBorder="1" applyAlignment="1" applyProtection="1">
      <alignment horizontal="center" vertical="center" wrapText="1"/>
      <protection locked="0"/>
    </xf>
    <xf numFmtId="168" fontId="1" fillId="5" borderId="31" xfId="259" applyNumberFormat="1" applyFont="1" applyFill="1" applyBorder="1" applyAlignment="1" applyProtection="1">
      <alignment horizontal="center" vertical="center" wrapText="1"/>
      <protection locked="0"/>
    </xf>
    <xf numFmtId="168" fontId="1" fillId="22" borderId="31" xfId="259" applyNumberFormat="1" applyFont="1" applyFill="1" applyBorder="1" applyAlignment="1" applyProtection="1">
      <alignment horizontal="center" vertical="center" wrapText="1"/>
      <protection locked="0"/>
    </xf>
    <xf numFmtId="168" fontId="1" fillId="22" borderId="9" xfId="259" applyNumberFormat="1" applyFont="1" applyFill="1" applyBorder="1" applyAlignment="1" applyProtection="1">
      <alignment horizontal="right" vertical="center" wrapText="1"/>
      <protection locked="0"/>
    </xf>
    <xf numFmtId="168" fontId="1" fillId="2" borderId="0" xfId="259" applyNumberFormat="1" applyFont="1" applyFill="1" applyAlignment="1">
      <alignment horizontal="center" vertical="center" wrapText="1"/>
    </xf>
    <xf numFmtId="168" fontId="1" fillId="0" borderId="0" xfId="259" applyNumberFormat="1" applyFont="1" applyAlignment="1">
      <alignment horizontal="center" vertical="center" wrapText="1"/>
    </xf>
    <xf numFmtId="168" fontId="1" fillId="26" borderId="28" xfId="259" applyNumberFormat="1" applyFont="1" applyFill="1" applyBorder="1" applyAlignment="1" applyProtection="1">
      <alignment horizontal="center" vertical="center" wrapText="1"/>
      <protection locked="0"/>
    </xf>
    <xf numFmtId="168" fontId="1" fillId="26" borderId="1" xfId="259" applyNumberFormat="1" applyFont="1" applyFill="1" applyBorder="1" applyAlignment="1" applyProtection="1">
      <alignment horizontal="center" vertical="center" wrapText="1"/>
      <protection locked="0"/>
    </xf>
    <xf numFmtId="168" fontId="1" fillId="26" borderId="8" xfId="259" applyNumberFormat="1" applyFont="1" applyFill="1" applyBorder="1" applyAlignment="1" applyProtection="1">
      <alignment horizontal="center" vertical="center" wrapText="1"/>
      <protection locked="0"/>
    </xf>
    <xf numFmtId="168" fontId="1" fillId="27" borderId="8" xfId="259" applyNumberFormat="1" applyFont="1" applyFill="1" applyBorder="1" applyAlignment="1" applyProtection="1">
      <alignment horizontal="center" vertical="center" wrapText="1"/>
      <protection locked="0"/>
    </xf>
    <xf numFmtId="168" fontId="9" fillId="27" borderId="1" xfId="259" applyNumberFormat="1" applyFont="1" applyFill="1" applyBorder="1" applyAlignment="1" applyProtection="1">
      <alignment horizontal="center" vertical="center"/>
      <protection locked="0"/>
    </xf>
    <xf numFmtId="168" fontId="1" fillId="27" borderId="33" xfId="259" applyNumberFormat="1" applyFont="1" applyFill="1" applyBorder="1" applyAlignment="1" applyProtection="1">
      <alignment horizontal="center" vertical="center" wrapText="1"/>
      <protection locked="0"/>
    </xf>
    <xf numFmtId="0" fontId="0" fillId="5" borderId="1" xfId="0" applyFill="1" applyBorder="1"/>
    <xf numFmtId="168" fontId="2" fillId="5" borderId="1" xfId="259" applyNumberFormat="1" applyFont="1" applyFill="1" applyBorder="1" applyAlignment="1">
      <alignment horizontal="center" vertical="center" wrapText="1"/>
    </xf>
    <xf numFmtId="168" fontId="1" fillId="30" borderId="28" xfId="259" applyNumberFormat="1" applyFont="1" applyFill="1" applyBorder="1" applyAlignment="1" applyProtection="1">
      <alignment horizontal="center" vertical="center" wrapText="1"/>
      <protection locked="0"/>
    </xf>
    <xf numFmtId="168" fontId="1" fillId="30" borderId="1" xfId="259" applyNumberFormat="1" applyFont="1" applyFill="1" applyBorder="1" applyAlignment="1" applyProtection="1">
      <alignment horizontal="center" vertical="center" wrapText="1"/>
      <protection locked="0"/>
    </xf>
    <xf numFmtId="168" fontId="1" fillId="30" borderId="8" xfId="259" applyNumberFormat="1" applyFont="1" applyFill="1" applyBorder="1" applyAlignment="1" applyProtection="1">
      <alignment horizontal="center" vertical="center" wrapText="1"/>
      <protection locked="0"/>
    </xf>
    <xf numFmtId="0" fontId="48" fillId="25" borderId="5" xfId="0" applyFont="1" applyFill="1" applyBorder="1" applyAlignment="1">
      <alignment vertical="center" textRotation="90"/>
    </xf>
    <xf numFmtId="168" fontId="1" fillId="25" borderId="32" xfId="259" applyNumberFormat="1" applyFont="1" applyFill="1" applyBorder="1" applyAlignment="1" applyProtection="1">
      <alignment horizontal="center" vertical="center" wrapText="1"/>
      <protection locked="0"/>
    </xf>
    <xf numFmtId="168" fontId="1" fillId="25" borderId="6" xfId="259" applyNumberFormat="1" applyFont="1" applyFill="1" applyBorder="1" applyAlignment="1" applyProtection="1">
      <alignment horizontal="center" vertical="center" wrapText="1"/>
      <protection locked="0"/>
    </xf>
    <xf numFmtId="168" fontId="1" fillId="25" borderId="8" xfId="259" applyNumberFormat="1" applyFont="1" applyFill="1" applyBorder="1" applyAlignment="1" applyProtection="1">
      <alignment horizontal="center" vertical="center" wrapText="1"/>
      <protection locked="0"/>
    </xf>
    <xf numFmtId="0" fontId="0" fillId="25" borderId="1" xfId="0" applyFill="1" applyBorder="1"/>
    <xf numFmtId="0" fontId="0" fillId="25" borderId="0" xfId="0" applyFill="1"/>
    <xf numFmtId="0" fontId="48" fillId="26" borderId="7" xfId="0" applyFont="1" applyFill="1" applyBorder="1" applyAlignment="1">
      <alignment vertical="center" textRotation="90"/>
    </xf>
    <xf numFmtId="0" fontId="0" fillId="26" borderId="0" xfId="0" applyFill="1"/>
    <xf numFmtId="0" fontId="0" fillId="26" borderId="5" xfId="0" applyFill="1" applyBorder="1"/>
    <xf numFmtId="0" fontId="0" fillId="5" borderId="6" xfId="0" applyFill="1" applyBorder="1"/>
    <xf numFmtId="0" fontId="48" fillId="30" borderId="1" xfId="0" applyFont="1" applyFill="1" applyBorder="1" applyAlignment="1">
      <alignment vertical="center" textRotation="90"/>
    </xf>
    <xf numFmtId="0" fontId="0" fillId="30" borderId="1" xfId="0" applyFill="1" applyBorder="1"/>
    <xf numFmtId="168" fontId="1" fillId="24" borderId="22" xfId="259" applyNumberFormat="1" applyFont="1" applyFill="1" applyBorder="1" applyAlignment="1" applyProtection="1">
      <alignment horizontal="center" vertical="center" wrapText="1"/>
      <protection locked="0"/>
    </xf>
    <xf numFmtId="168" fontId="1" fillId="24" borderId="24" xfId="259" applyNumberFormat="1" applyFont="1" applyFill="1" applyBorder="1" applyAlignment="1" applyProtection="1">
      <alignment horizontal="right" vertical="center" wrapText="1"/>
      <protection locked="0"/>
    </xf>
    <xf numFmtId="0" fontId="0" fillId="24" borderId="22" xfId="0" applyFill="1" applyBorder="1"/>
    <xf numFmtId="0" fontId="0" fillId="24" borderId="10" xfId="0" applyFill="1" applyBorder="1"/>
    <xf numFmtId="0" fontId="0" fillId="24" borderId="11" xfId="0" applyFill="1" applyBorder="1"/>
    <xf numFmtId="0" fontId="13" fillId="25"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0" fontId="14" fillId="5" borderId="6" xfId="0" applyFont="1" applyFill="1" applyBorder="1" applyAlignment="1">
      <alignment horizontal="center" vertical="center" textRotation="90" wrapText="1"/>
    </xf>
    <xf numFmtId="0" fontId="2" fillId="28" borderId="1" xfId="259" applyNumberFormat="1" applyFont="1" applyFill="1" applyBorder="1" applyAlignment="1">
      <alignment horizontal="center" vertical="center" wrapText="1"/>
    </xf>
    <xf numFmtId="0" fontId="1" fillId="28" borderId="1" xfId="0" applyFont="1" applyFill="1" applyBorder="1" applyAlignment="1">
      <alignment horizontal="justify" vertical="center" wrapText="1"/>
    </xf>
    <xf numFmtId="0" fontId="1" fillId="28" borderId="1" xfId="0" applyFont="1" applyFill="1" applyBorder="1" applyAlignment="1">
      <alignment horizontal="center" vertical="center" wrapText="1"/>
    </xf>
    <xf numFmtId="0" fontId="1" fillId="28" borderId="1" xfId="259" applyNumberFormat="1" applyFont="1" applyFill="1" applyBorder="1" applyAlignment="1">
      <alignment horizontal="center" vertical="center" wrapText="1"/>
    </xf>
    <xf numFmtId="0" fontId="9" fillId="28" borderId="1" xfId="259" applyNumberFormat="1" applyFont="1" applyFill="1" applyBorder="1" applyAlignment="1">
      <alignment horizontal="center" vertical="center" wrapText="1"/>
    </xf>
    <xf numFmtId="168" fontId="9" fillId="27" borderId="1" xfId="259" applyNumberFormat="1" applyFont="1" applyFill="1" applyBorder="1" applyAlignment="1">
      <alignment vertical="center" wrapText="1"/>
    </xf>
    <xf numFmtId="168" fontId="2" fillId="27" borderId="1" xfId="259" applyNumberFormat="1" applyFont="1" applyFill="1" applyBorder="1" applyAlignment="1">
      <alignment horizontal="right" vertical="center" wrapText="1"/>
    </xf>
    <xf numFmtId="168" fontId="9" fillId="27" borderId="1" xfId="259" applyNumberFormat="1" applyFont="1" applyFill="1" applyBorder="1" applyAlignment="1">
      <alignment horizontal="center" vertical="center" wrapText="1"/>
    </xf>
    <xf numFmtId="0" fontId="9" fillId="27" borderId="0" xfId="0" applyFont="1" applyFill="1"/>
    <xf numFmtId="168" fontId="2" fillId="27" borderId="1" xfId="259" applyNumberFormat="1" applyFont="1" applyFill="1" applyBorder="1" applyAlignment="1">
      <alignment horizontal="left" vertical="center" wrapText="1"/>
    </xf>
    <xf numFmtId="168" fontId="1" fillId="27" borderId="1" xfId="259" applyNumberFormat="1" applyFont="1" applyFill="1" applyBorder="1" applyAlignment="1">
      <alignment horizontal="center" vertical="center" wrapText="1"/>
    </xf>
    <xf numFmtId="168" fontId="7" fillId="27" borderId="1" xfId="259" applyNumberFormat="1" applyFont="1" applyFill="1" applyBorder="1" applyAlignment="1">
      <alignment horizontal="center" vertical="center" wrapText="1"/>
    </xf>
    <xf numFmtId="168" fontId="3" fillId="27" borderId="1" xfId="259" applyNumberFormat="1" applyFont="1" applyFill="1" applyBorder="1" applyAlignment="1">
      <alignment horizontal="center" vertical="center"/>
    </xf>
    <xf numFmtId="17" fontId="2" fillId="27" borderId="1" xfId="259" applyNumberFormat="1" applyFont="1" applyFill="1" applyBorder="1" applyAlignment="1">
      <alignment horizontal="center" vertical="center" wrapText="1"/>
    </xf>
    <xf numFmtId="0" fontId="2" fillId="27" borderId="1" xfId="259" applyNumberFormat="1" applyFont="1" applyFill="1" applyBorder="1" applyAlignment="1">
      <alignment horizontal="center" vertical="center" wrapText="1"/>
    </xf>
    <xf numFmtId="168" fontId="2" fillId="5" borderId="1" xfId="259" applyNumberFormat="1" applyFont="1" applyFill="1" applyBorder="1" applyAlignment="1">
      <alignment vertical="center" wrapText="1"/>
    </xf>
    <xf numFmtId="168" fontId="3" fillId="5" borderId="0" xfId="259" applyNumberFormat="1" applyFont="1" applyFill="1" applyAlignment="1">
      <alignment horizontal="center" vertical="center"/>
    </xf>
    <xf numFmtId="168" fontId="9" fillId="5" borderId="1" xfId="259" applyNumberFormat="1" applyFont="1" applyFill="1" applyBorder="1" applyAlignment="1">
      <alignment horizontal="center" vertical="center" wrapText="1"/>
    </xf>
    <xf numFmtId="168" fontId="2" fillId="5" borderId="1" xfId="259" applyNumberFormat="1" applyFont="1" applyFill="1" applyBorder="1" applyAlignment="1">
      <alignment horizontal="left" vertical="center" wrapText="1"/>
    </xf>
    <xf numFmtId="168" fontId="2" fillId="5" borderId="0" xfId="259" applyNumberFormat="1" applyFont="1" applyFill="1" applyAlignment="1">
      <alignment horizontal="center" vertical="center" wrapText="1"/>
    </xf>
    <xf numFmtId="168" fontId="3" fillId="5" borderId="1" xfId="259" applyNumberFormat="1" applyFont="1" applyFill="1" applyBorder="1" applyAlignment="1">
      <alignment horizontal="center" vertical="center"/>
    </xf>
    <xf numFmtId="0" fontId="0" fillId="5" borderId="0" xfId="0" applyFill="1"/>
    <xf numFmtId="168" fontId="2" fillId="5" borderId="3" xfId="259" applyNumberFormat="1" applyFont="1" applyFill="1" applyBorder="1" applyAlignment="1">
      <alignment horizontal="center" vertical="center" wrapText="1"/>
    </xf>
    <xf numFmtId="0" fontId="0" fillId="27" borderId="1" xfId="0" applyFill="1" applyBorder="1"/>
    <xf numFmtId="0" fontId="3" fillId="5" borderId="2" xfId="0" applyFont="1" applyFill="1" applyBorder="1" applyAlignment="1">
      <alignment vertical="center"/>
    </xf>
    <xf numFmtId="0" fontId="1" fillId="25" borderId="1" xfId="0" applyFont="1" applyFill="1" applyBorder="1" applyAlignment="1">
      <alignment horizontal="center" vertical="center" wrapText="1"/>
    </xf>
    <xf numFmtId="0" fontId="1" fillId="25" borderId="1" xfId="0" applyFont="1" applyFill="1" applyBorder="1" applyAlignment="1">
      <alignment horizontal="justify" vertical="center" wrapText="1"/>
    </xf>
    <xf numFmtId="0" fontId="1" fillId="25" borderId="1" xfId="259" applyNumberFormat="1" applyFont="1" applyFill="1" applyBorder="1" applyAlignment="1">
      <alignment horizontal="center" vertical="center" wrapText="1"/>
    </xf>
    <xf numFmtId="168" fontId="1" fillId="25" borderId="1" xfId="259" applyNumberFormat="1" applyFont="1" applyFill="1" applyBorder="1" applyAlignment="1">
      <alignment horizontal="center" vertical="center" wrapText="1"/>
    </xf>
    <xf numFmtId="168" fontId="11" fillId="25" borderId="1" xfId="259" applyNumberFormat="1" applyFont="1" applyFill="1" applyBorder="1" applyAlignment="1">
      <alignment horizontal="center" vertical="center" wrapText="1"/>
    </xf>
    <xf numFmtId="168" fontId="1" fillId="25" borderId="1" xfId="259" applyNumberFormat="1" applyFont="1" applyFill="1" applyBorder="1" applyAlignment="1">
      <alignment horizontal="right" vertical="center" wrapText="1"/>
    </xf>
    <xf numFmtId="0" fontId="3" fillId="2" borderId="1" xfId="0" applyFont="1" applyFill="1" applyBorder="1"/>
    <xf numFmtId="0" fontId="3" fillId="3" borderId="1" xfId="0" applyFont="1" applyFill="1" applyBorder="1"/>
    <xf numFmtId="0" fontId="3" fillId="31" borderId="1" xfId="0" applyFont="1" applyFill="1" applyBorder="1"/>
    <xf numFmtId="0" fontId="1" fillId="31" borderId="1" xfId="0" applyFont="1" applyFill="1" applyBorder="1" applyAlignment="1">
      <alignment horizontal="center" vertical="center" wrapText="1"/>
    </xf>
    <xf numFmtId="0" fontId="1" fillId="31" borderId="1" xfId="0" applyFont="1" applyFill="1" applyBorder="1" applyAlignment="1">
      <alignment horizontal="justify" vertical="center" wrapText="1"/>
    </xf>
    <xf numFmtId="0" fontId="1" fillId="31" borderId="1" xfId="259" applyNumberFormat="1" applyFont="1" applyFill="1" applyBorder="1" applyAlignment="1">
      <alignment horizontal="center" vertical="center" wrapText="1"/>
    </xf>
    <xf numFmtId="168" fontId="1" fillId="31" borderId="1" xfId="259" applyNumberFormat="1" applyFont="1" applyFill="1" applyBorder="1" applyAlignment="1">
      <alignment horizontal="center" vertical="center" wrapText="1"/>
    </xf>
    <xf numFmtId="168" fontId="1" fillId="31" borderId="1" xfId="259" applyNumberFormat="1" applyFont="1" applyFill="1" applyBorder="1" applyAlignment="1">
      <alignment horizontal="right" vertical="center" wrapText="1"/>
    </xf>
    <xf numFmtId="0" fontId="3" fillId="5" borderId="0" xfId="0" applyFont="1" applyFill="1" applyAlignment="1">
      <alignment vertical="center"/>
    </xf>
    <xf numFmtId="0" fontId="1" fillId="2" borderId="3" xfId="259" applyNumberFormat="1" applyFont="1" applyFill="1" applyBorder="1" applyAlignment="1" applyProtection="1">
      <alignment horizontal="center" vertical="center" wrapText="1"/>
      <protection locked="0"/>
    </xf>
    <xf numFmtId="0" fontId="0" fillId="2" borderId="6" xfId="0" applyFill="1" applyBorder="1"/>
    <xf numFmtId="168" fontId="1" fillId="2" borderId="1" xfId="0" applyNumberFormat="1" applyFont="1" applyFill="1" applyBorder="1" applyAlignment="1">
      <alignment horizontal="justify" vertical="center" wrapText="1"/>
    </xf>
    <xf numFmtId="0" fontId="1" fillId="2" borderId="3" xfId="259" applyNumberFormat="1" applyFont="1" applyFill="1" applyBorder="1" applyAlignment="1" applyProtection="1">
      <alignment horizontal="justify" vertical="center" wrapText="1"/>
      <protection locked="0"/>
    </xf>
    <xf numFmtId="168" fontId="1" fillId="2" borderId="28" xfId="259" applyNumberFormat="1" applyFont="1" applyFill="1" applyBorder="1" applyAlignment="1" applyProtection="1">
      <alignment horizontal="center" vertical="center" wrapText="1"/>
      <protection locked="0"/>
    </xf>
    <xf numFmtId="168" fontId="1" fillId="2" borderId="8" xfId="259" applyNumberFormat="1" applyFont="1" applyFill="1" applyBorder="1" applyAlignment="1" applyProtection="1">
      <alignment horizontal="center" vertical="center" wrapText="1"/>
      <protection locked="0"/>
    </xf>
    <xf numFmtId="0" fontId="2" fillId="2" borderId="3" xfId="259" applyNumberFormat="1" applyFont="1" applyFill="1" applyBorder="1" applyAlignment="1" applyProtection="1">
      <alignment horizontal="justify" vertical="center" wrapText="1"/>
      <protection locked="0"/>
    </xf>
    <xf numFmtId="168" fontId="2" fillId="2" borderId="28" xfId="259" applyNumberFormat="1" applyFont="1" applyFill="1" applyBorder="1" applyAlignment="1" applyProtection="1">
      <alignment horizontal="center" vertical="center" wrapText="1"/>
      <protection locked="0"/>
    </xf>
    <xf numFmtId="0" fontId="0" fillId="26" borderId="1" xfId="0" applyFill="1" applyBorder="1"/>
    <xf numFmtId="0" fontId="6" fillId="0" borderId="5" xfId="0" applyFont="1" applyBorder="1"/>
    <xf numFmtId="0" fontId="3" fillId="0" borderId="5" xfId="0" applyFont="1" applyBorder="1" applyAlignment="1">
      <alignment horizontal="left" vertical="center"/>
    </xf>
    <xf numFmtId="168" fontId="2" fillId="27" borderId="34" xfId="259" applyNumberFormat="1" applyFont="1" applyFill="1" applyBorder="1" applyAlignment="1" applyProtection="1">
      <alignment horizontal="center" vertical="center" wrapText="1"/>
      <protection locked="0"/>
    </xf>
    <xf numFmtId="168" fontId="2" fillId="27" borderId="5" xfId="259" applyNumberFormat="1" applyFont="1" applyFill="1" applyBorder="1" applyAlignment="1" applyProtection="1">
      <alignment horizontal="center" vertical="center" wrapText="1"/>
      <protection locked="0"/>
    </xf>
    <xf numFmtId="168" fontId="1" fillId="27" borderId="27" xfId="259" applyNumberFormat="1" applyFont="1" applyFill="1" applyBorder="1" applyAlignment="1" applyProtection="1">
      <alignment horizontal="center" vertical="center" wrapText="1"/>
      <protection locked="0"/>
    </xf>
    <xf numFmtId="0" fontId="1" fillId="26" borderId="24" xfId="259" applyNumberFormat="1" applyFont="1" applyFill="1" applyBorder="1" applyAlignment="1" applyProtection="1">
      <alignment horizontal="center" vertical="center" wrapText="1"/>
      <protection locked="0"/>
    </xf>
    <xf numFmtId="168" fontId="1" fillId="26" borderId="35" xfId="259" applyNumberFormat="1" applyFont="1" applyFill="1" applyBorder="1" applyAlignment="1" applyProtection="1">
      <alignment horizontal="center" vertical="center" wrapText="1"/>
      <protection locked="0"/>
    </xf>
    <xf numFmtId="168" fontId="1" fillId="26" borderId="22" xfId="259" applyNumberFormat="1" applyFont="1" applyFill="1" applyBorder="1" applyAlignment="1" applyProtection="1">
      <alignment horizontal="center" vertical="center" wrapText="1"/>
      <protection locked="0"/>
    </xf>
    <xf numFmtId="168" fontId="1" fillId="26" borderId="24" xfId="259" applyNumberFormat="1" applyFont="1" applyFill="1" applyBorder="1" applyAlignment="1" applyProtection="1">
      <alignment horizontal="center" vertical="center" wrapText="1"/>
      <protection locked="0"/>
    </xf>
    <xf numFmtId="0" fontId="1" fillId="2" borderId="8" xfId="259" applyNumberFormat="1" applyFont="1" applyFill="1" applyBorder="1" applyAlignment="1" applyProtection="1">
      <alignment horizontal="center" vertical="center" wrapText="1"/>
      <protection locked="0"/>
    </xf>
    <xf numFmtId="168" fontId="1" fillId="2" borderId="32" xfId="259" applyNumberFormat="1" applyFont="1" applyFill="1" applyBorder="1" applyAlignment="1" applyProtection="1">
      <alignment horizontal="center" vertical="center" wrapText="1"/>
      <protection locked="0"/>
    </xf>
    <xf numFmtId="168" fontId="1" fillId="25" borderId="28" xfId="259" applyNumberFormat="1" applyFont="1" applyFill="1" applyBorder="1" applyAlignment="1" applyProtection="1">
      <alignment horizontal="center" vertical="center" wrapText="1"/>
      <protection locked="0"/>
    </xf>
    <xf numFmtId="168" fontId="1" fillId="25" borderId="1" xfId="259" applyNumberFormat="1" applyFont="1" applyFill="1" applyBorder="1" applyAlignment="1" applyProtection="1">
      <alignment horizontal="center" vertical="center" wrapText="1"/>
      <protection locked="0"/>
    </xf>
    <xf numFmtId="168" fontId="1" fillId="26" borderId="25" xfId="259" applyNumberFormat="1"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9" fillId="5" borderId="26" xfId="259" applyNumberFormat="1" applyFont="1" applyFill="1" applyBorder="1" applyAlignment="1" applyProtection="1">
      <alignment horizontal="center" vertical="center" wrapText="1"/>
      <protection locked="0"/>
    </xf>
    <xf numFmtId="168" fontId="9" fillId="27" borderId="34" xfId="259" applyNumberFormat="1" applyFont="1" applyFill="1" applyBorder="1" applyAlignment="1" applyProtection="1">
      <alignment horizontal="left" vertical="center" wrapText="1"/>
      <protection locked="0"/>
    </xf>
    <xf numFmtId="168" fontId="9" fillId="27" borderId="5" xfId="259" applyNumberFormat="1" applyFont="1" applyFill="1" applyBorder="1" applyAlignment="1" applyProtection="1">
      <alignment horizontal="left" vertical="center" wrapText="1"/>
      <protection locked="0"/>
    </xf>
    <xf numFmtId="0" fontId="1" fillId="2" borderId="8" xfId="0" applyFont="1" applyFill="1" applyBorder="1" applyAlignment="1" applyProtection="1">
      <alignment horizontal="center" vertical="center" wrapText="1"/>
      <protection locked="0"/>
    </xf>
    <xf numFmtId="0" fontId="1" fillId="26" borderId="35" xfId="259" applyNumberFormat="1" applyFont="1" applyFill="1" applyBorder="1" applyAlignment="1" applyProtection="1">
      <alignment horizontal="center" vertical="center" wrapText="1"/>
      <protection locked="0"/>
    </xf>
    <xf numFmtId="0" fontId="1" fillId="25" borderId="24" xfId="259" applyNumberFormat="1"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168" fontId="11" fillId="2" borderId="28" xfId="259" applyNumberFormat="1" applyFont="1" applyFill="1" applyBorder="1" applyAlignment="1" applyProtection="1">
      <alignment horizontal="center" vertical="center" wrapText="1"/>
      <protection locked="0"/>
    </xf>
    <xf numFmtId="0" fontId="2" fillId="2" borderId="3" xfId="0" applyFont="1" applyFill="1" applyBorder="1" applyAlignment="1" applyProtection="1">
      <alignment horizontal="center" vertical="center" wrapText="1"/>
      <protection locked="0"/>
    </xf>
    <xf numFmtId="168" fontId="1" fillId="2" borderId="3" xfId="259" applyNumberFormat="1" applyFont="1" applyFill="1" applyBorder="1" applyAlignment="1" applyProtection="1">
      <alignment horizontal="center" vertical="center" wrapText="1"/>
      <protection locked="0"/>
    </xf>
    <xf numFmtId="0" fontId="1" fillId="26" borderId="1" xfId="259" applyNumberFormat="1" applyFont="1" applyFill="1" applyBorder="1" applyAlignment="1" applyProtection="1">
      <alignment horizontal="justify" vertical="center" wrapText="1"/>
      <protection locked="0"/>
    </xf>
    <xf numFmtId="0" fontId="0" fillId="26" borderId="6" xfId="0" applyFill="1" applyBorder="1"/>
    <xf numFmtId="168" fontId="2" fillId="25" borderId="1" xfId="259" applyNumberFormat="1" applyFont="1" applyFill="1" applyBorder="1" applyAlignment="1">
      <alignment horizontal="center" vertical="center" wrapText="1"/>
    </xf>
    <xf numFmtId="0" fontId="0" fillId="25" borderId="5" xfId="0" applyFill="1" applyBorder="1"/>
    <xf numFmtId="0" fontId="0" fillId="25" borderId="22" xfId="0" applyFill="1" applyBorder="1"/>
    <xf numFmtId="0" fontId="0" fillId="25" borderId="6" xfId="0" applyFill="1" applyBorder="1"/>
    <xf numFmtId="0" fontId="0" fillId="25" borderId="4" xfId="0" applyFill="1" applyBorder="1"/>
    <xf numFmtId="0" fontId="31" fillId="25" borderId="1" xfId="0" applyFont="1" applyFill="1" applyBorder="1"/>
    <xf numFmtId="0" fontId="48" fillId="25" borderId="7" xfId="0" applyFont="1" applyFill="1" applyBorder="1" applyAlignment="1">
      <alignment vertical="center" textRotation="90"/>
    </xf>
    <xf numFmtId="0" fontId="48" fillId="25" borderId="1" xfId="0" applyFont="1" applyFill="1" applyBorder="1" applyAlignment="1">
      <alignment vertical="center" textRotation="90"/>
    </xf>
    <xf numFmtId="0" fontId="1" fillId="25" borderId="5" xfId="0" applyFont="1" applyFill="1" applyBorder="1" applyAlignment="1">
      <alignment horizontal="justify" vertical="center" wrapText="1"/>
    </xf>
    <xf numFmtId="0" fontId="1" fillId="22" borderId="1" xfId="0" applyFont="1" applyFill="1" applyBorder="1" applyAlignment="1" applyProtection="1">
      <alignment horizontal="center" vertical="center" textRotation="90" wrapText="1"/>
      <protection locked="0"/>
    </xf>
    <xf numFmtId="0" fontId="1" fillId="22" borderId="1" xfId="259" applyNumberFormat="1" applyFont="1" applyFill="1" applyBorder="1" applyAlignment="1" applyProtection="1">
      <alignment horizontal="center" vertical="center" textRotation="90" wrapText="1"/>
      <protection locked="0"/>
    </xf>
    <xf numFmtId="0" fontId="1" fillId="26" borderId="26" xfId="259" applyNumberFormat="1" applyFont="1" applyFill="1" applyBorder="1" applyAlignment="1" applyProtection="1">
      <alignment horizontal="center" vertical="center" wrapText="1"/>
      <protection locked="0"/>
    </xf>
    <xf numFmtId="0" fontId="1" fillId="26" borderId="3" xfId="259" applyNumberFormat="1" applyFont="1" applyFill="1" applyBorder="1" applyAlignment="1" applyProtection="1">
      <alignment horizontal="justify" vertical="center" wrapText="1"/>
      <protection locked="0"/>
    </xf>
    <xf numFmtId="0" fontId="0" fillId="26" borderId="15" xfId="0" applyFill="1" applyBorder="1"/>
    <xf numFmtId="0" fontId="1" fillId="25" borderId="23" xfId="259" applyNumberFormat="1" applyFont="1" applyFill="1" applyBorder="1" applyAlignment="1" applyProtection="1">
      <alignment horizontal="center" vertical="center" wrapText="1"/>
      <protection locked="0"/>
    </xf>
    <xf numFmtId="0" fontId="18" fillId="5" borderId="1" xfId="0" applyFont="1" applyFill="1" applyBorder="1" applyAlignment="1">
      <alignment horizontal="center" vertical="center" textRotation="90"/>
    </xf>
    <xf numFmtId="0" fontId="2" fillId="13" borderId="1" xfId="259" applyNumberFormat="1" applyFont="1" applyFill="1" applyBorder="1" applyAlignment="1" applyProtection="1">
      <alignment horizontal="justify" vertical="center" wrapText="1"/>
      <protection locked="0"/>
    </xf>
    <xf numFmtId="0" fontId="2" fillId="32" borderId="1" xfId="259" applyNumberFormat="1" applyFont="1" applyFill="1" applyBorder="1" applyAlignment="1" applyProtection="1">
      <alignment horizontal="center" vertical="center" wrapText="1"/>
      <protection locked="0"/>
    </xf>
    <xf numFmtId="0" fontId="1" fillId="27" borderId="6" xfId="259" applyNumberFormat="1" applyFont="1" applyFill="1" applyBorder="1" applyAlignment="1" applyProtection="1">
      <alignment horizontal="center" vertical="center" textRotation="90" wrapText="1"/>
      <protection locked="0"/>
    </xf>
    <xf numFmtId="0" fontId="9" fillId="32" borderId="1" xfId="259" applyNumberFormat="1" applyFont="1" applyFill="1" applyBorder="1" applyAlignment="1" applyProtection="1">
      <alignment horizontal="center" vertical="center" wrapText="1"/>
      <protection locked="0"/>
    </xf>
    <xf numFmtId="0" fontId="9" fillId="32" borderId="5" xfId="259" applyNumberFormat="1" applyFont="1" applyFill="1" applyBorder="1" applyAlignment="1" applyProtection="1">
      <alignment horizontal="center" vertical="center" wrapText="1"/>
      <protection locked="0"/>
    </xf>
    <xf numFmtId="0" fontId="2" fillId="32" borderId="1" xfId="0" applyFont="1" applyFill="1" applyBorder="1" applyAlignment="1" applyProtection="1">
      <alignment horizontal="center" vertical="center" wrapText="1"/>
      <protection locked="0"/>
    </xf>
    <xf numFmtId="0" fontId="9" fillId="32" borderId="1" xfId="0" applyFont="1" applyFill="1" applyBorder="1" applyAlignment="1" applyProtection="1">
      <alignment horizontal="center" vertical="center" wrapText="1"/>
      <protection locked="0"/>
    </xf>
    <xf numFmtId="0" fontId="2" fillId="32" borderId="5" xfId="0" applyFont="1" applyFill="1" applyBorder="1" applyAlignment="1" applyProtection="1">
      <alignment horizontal="center" vertical="center" wrapText="1"/>
      <protection locked="0"/>
    </xf>
    <xf numFmtId="0" fontId="2" fillId="32" borderId="5" xfId="259" applyNumberFormat="1" applyFont="1" applyFill="1" applyBorder="1" applyAlignment="1" applyProtection="1">
      <alignment horizontal="center" vertical="center" wrapText="1"/>
      <protection locked="0"/>
    </xf>
    <xf numFmtId="3" fontId="2" fillId="32" borderId="1" xfId="259" applyNumberFormat="1" applyFont="1" applyFill="1" applyBorder="1" applyAlignment="1" applyProtection="1">
      <alignment horizontal="center" vertical="center" wrapText="1"/>
      <protection locked="0"/>
    </xf>
    <xf numFmtId="9" fontId="0" fillId="5" borderId="6" xfId="0" applyNumberFormat="1" applyFill="1" applyBorder="1" applyAlignment="1">
      <alignment horizontal="center" vertical="center"/>
    </xf>
    <xf numFmtId="9" fontId="0" fillId="5" borderId="1" xfId="0" applyNumberFormat="1" applyFill="1" applyBorder="1" applyAlignment="1">
      <alignment horizontal="center" vertical="center"/>
    </xf>
    <xf numFmtId="0" fontId="1" fillId="23" borderId="6" xfId="0" applyFont="1" applyFill="1" applyBorder="1" applyAlignment="1" applyProtection="1">
      <alignment horizontal="center" vertical="center" wrapText="1"/>
      <protection locked="0"/>
    </xf>
    <xf numFmtId="0" fontId="2" fillId="23" borderId="1" xfId="0" applyFont="1" applyFill="1" applyBorder="1" applyAlignment="1" applyProtection="1">
      <alignment horizontal="center" vertical="center" wrapText="1"/>
      <protection locked="0"/>
    </xf>
    <xf numFmtId="0" fontId="3" fillId="23" borderId="0" xfId="0" applyFont="1" applyFill="1" applyAlignment="1" applyProtection="1">
      <alignment horizontal="center" vertical="center"/>
      <protection locked="0"/>
    </xf>
    <xf numFmtId="0" fontId="1" fillId="23" borderId="1" xfId="0" applyFont="1" applyFill="1" applyBorder="1" applyAlignment="1" applyProtection="1">
      <alignment horizontal="center" vertical="center" textRotation="90" wrapText="1"/>
      <protection locked="0"/>
    </xf>
    <xf numFmtId="0" fontId="1" fillId="23" borderId="5" xfId="0" applyFont="1" applyFill="1" applyBorder="1" applyAlignment="1" applyProtection="1">
      <alignment horizontal="center" vertical="center" wrapText="1"/>
      <protection locked="0"/>
    </xf>
    <xf numFmtId="0" fontId="1" fillId="23" borderId="1" xfId="0" applyFont="1" applyFill="1" applyBorder="1" applyAlignment="1" applyProtection="1">
      <alignment horizontal="center" vertical="center" wrapText="1"/>
      <protection locked="0"/>
    </xf>
    <xf numFmtId="0" fontId="2" fillId="23" borderId="5" xfId="0" applyFont="1" applyFill="1" applyBorder="1" applyAlignment="1" applyProtection="1">
      <alignment horizontal="center" vertical="center" wrapText="1"/>
      <protection locked="0"/>
    </xf>
    <xf numFmtId="0" fontId="11" fillId="23" borderId="1" xfId="0" applyFont="1" applyFill="1" applyBorder="1" applyAlignment="1" applyProtection="1">
      <alignment horizontal="center" vertical="center" wrapText="1"/>
      <protection locked="0"/>
    </xf>
    <xf numFmtId="0" fontId="2" fillId="29" borderId="1" xfId="0" applyFont="1" applyFill="1" applyBorder="1" applyAlignment="1">
      <alignment horizontal="center" vertical="center" wrapText="1"/>
    </xf>
    <xf numFmtId="0" fontId="2" fillId="29" borderId="1" xfId="259" applyNumberFormat="1" applyFont="1" applyFill="1" applyBorder="1" applyAlignment="1">
      <alignment horizontal="center" vertical="center" wrapText="1"/>
    </xf>
    <xf numFmtId="172" fontId="2" fillId="28" borderId="1" xfId="630" applyNumberFormat="1" applyFont="1" applyFill="1" applyBorder="1" applyAlignment="1">
      <alignment horizontal="center" vertical="center" wrapText="1"/>
    </xf>
    <xf numFmtId="172" fontId="2" fillId="28" borderId="1" xfId="630" applyNumberFormat="1" applyFont="1" applyFill="1" applyBorder="1" applyAlignment="1">
      <alignment horizontal="center" vertical="center" textRotation="90" wrapText="1"/>
    </xf>
    <xf numFmtId="165" fontId="2" fillId="28" borderId="1" xfId="630" applyFont="1" applyFill="1" applyBorder="1" applyAlignment="1">
      <alignment horizontal="center" vertical="center" textRotation="90" wrapText="1"/>
    </xf>
    <xf numFmtId="172" fontId="1" fillId="2" borderId="1" xfId="0" applyNumberFormat="1" applyFont="1" applyFill="1" applyBorder="1" applyAlignment="1" applyProtection="1">
      <alignment horizontal="center" vertical="center" wrapText="1"/>
      <protection locked="0"/>
    </xf>
    <xf numFmtId="172" fontId="1" fillId="2" borderId="1" xfId="259" applyNumberFormat="1" applyFont="1" applyFill="1" applyBorder="1" applyAlignment="1" applyProtection="1">
      <alignment horizontal="center" vertical="center" wrapText="1"/>
      <protection locked="0"/>
    </xf>
    <xf numFmtId="0" fontId="53" fillId="2" borderId="1" xfId="0" applyFont="1" applyFill="1" applyBorder="1" applyAlignment="1" applyProtection="1">
      <alignment horizontal="center" vertical="center" wrapText="1"/>
      <protection locked="0"/>
    </xf>
    <xf numFmtId="0" fontId="53" fillId="2" borderId="1" xfId="259" applyNumberFormat="1" applyFont="1" applyFill="1" applyBorder="1" applyAlignment="1" applyProtection="1">
      <alignment horizontal="center" vertical="center" wrapText="1"/>
      <protection locked="0"/>
    </xf>
    <xf numFmtId="172" fontId="53" fillId="2" borderId="1" xfId="0" applyNumberFormat="1" applyFont="1" applyFill="1" applyBorder="1" applyAlignment="1" applyProtection="1">
      <alignment horizontal="center" vertical="center" wrapText="1"/>
      <protection locked="0"/>
    </xf>
    <xf numFmtId="172" fontId="53" fillId="2" borderId="1" xfId="259" applyNumberFormat="1" applyFont="1" applyFill="1" applyBorder="1" applyAlignment="1" applyProtection="1">
      <alignment horizontal="center" vertical="center" wrapText="1"/>
      <protection locked="0"/>
    </xf>
    <xf numFmtId="172" fontId="1" fillId="2" borderId="6" xfId="0" applyNumberFormat="1" applyFont="1" applyFill="1" applyBorder="1" applyAlignment="1" applyProtection="1">
      <alignment horizontal="center" vertical="center" wrapText="1"/>
      <protection locked="0"/>
    </xf>
    <xf numFmtId="165" fontId="1" fillId="2" borderId="6" xfId="0" applyNumberFormat="1" applyFont="1" applyFill="1" applyBorder="1" applyAlignment="1" applyProtection="1">
      <alignment horizontal="center" vertical="center" wrapText="1"/>
      <protection locked="0"/>
    </xf>
    <xf numFmtId="165" fontId="1" fillId="2" borderId="6" xfId="259" applyNumberFormat="1" applyFont="1" applyFill="1" applyBorder="1" applyAlignment="1" applyProtection="1">
      <alignment horizontal="center" vertical="center" wrapText="1"/>
      <protection locked="0"/>
    </xf>
    <xf numFmtId="172" fontId="2" fillId="2" borderId="1" xfId="630" applyNumberFormat="1" applyFont="1" applyFill="1" applyBorder="1" applyAlignment="1">
      <alignment horizontal="center" vertical="center" textRotation="90" wrapText="1"/>
    </xf>
    <xf numFmtId="0" fontId="2" fillId="23" borderId="1" xfId="0" applyFont="1" applyFill="1" applyBorder="1" applyAlignment="1">
      <alignment horizontal="center" vertical="center" wrapText="1"/>
    </xf>
    <xf numFmtId="168" fontId="3" fillId="23" borderId="0" xfId="259" applyNumberFormat="1" applyFont="1" applyFill="1" applyAlignment="1">
      <alignment horizontal="center" vertical="center"/>
    </xf>
    <xf numFmtId="168" fontId="2" fillId="29" borderId="1" xfId="259" applyNumberFormat="1" applyFont="1" applyFill="1" applyBorder="1" applyAlignment="1">
      <alignment horizontal="center" vertical="center" wrapText="1"/>
    </xf>
    <xf numFmtId="172" fontId="2" fillId="2" borderId="1" xfId="630" applyNumberFormat="1" applyFont="1" applyFill="1" applyBorder="1" applyAlignment="1">
      <alignment horizontal="center" vertical="center" wrapText="1"/>
    </xf>
    <xf numFmtId="172" fontId="11" fillId="2" borderId="1" xfId="0" applyNumberFormat="1" applyFont="1" applyFill="1" applyBorder="1" applyAlignment="1" applyProtection="1">
      <alignment horizontal="center" vertical="center" wrapText="1"/>
      <protection locked="0"/>
    </xf>
    <xf numFmtId="0" fontId="9" fillId="23" borderId="1" xfId="0" applyFont="1" applyFill="1" applyBorder="1" applyAlignment="1">
      <alignment horizontal="center" vertical="center" wrapText="1"/>
    </xf>
    <xf numFmtId="172" fontId="2" fillId="2" borderId="1" xfId="0" applyNumberFormat="1" applyFont="1" applyFill="1" applyBorder="1" applyAlignment="1" applyProtection="1">
      <alignment horizontal="center" vertical="center" wrapText="1"/>
      <protection locked="0"/>
    </xf>
    <xf numFmtId="0" fontId="1" fillId="25" borderId="1" xfId="259" applyNumberFormat="1" applyFont="1" applyFill="1" applyBorder="1" applyAlignment="1">
      <alignment horizontal="right" vertical="center" wrapText="1"/>
    </xf>
    <xf numFmtId="172" fontId="1" fillId="2" borderId="1" xfId="630" applyNumberFormat="1" applyFont="1" applyFill="1" applyBorder="1" applyAlignment="1" applyProtection="1">
      <alignment horizontal="center" vertical="center" wrapText="1"/>
      <protection locked="0"/>
    </xf>
    <xf numFmtId="172" fontId="1" fillId="2" borderId="6" xfId="259" applyNumberFormat="1" applyFont="1" applyFill="1" applyBorder="1" applyAlignment="1" applyProtection="1">
      <alignment horizontal="center" vertical="center" wrapText="1"/>
      <protection locked="0"/>
    </xf>
    <xf numFmtId="0" fontId="3" fillId="29" borderId="1" xfId="0" applyFont="1" applyFill="1" applyBorder="1" applyAlignment="1" applyProtection="1">
      <alignment horizontal="center" vertical="center" wrapText="1"/>
      <protection locked="0"/>
    </xf>
    <xf numFmtId="0" fontId="1" fillId="23" borderId="1" xfId="259" applyNumberFormat="1" applyFont="1" applyFill="1" applyBorder="1" applyAlignment="1">
      <alignment horizontal="center" vertical="center" wrapText="1"/>
    </xf>
    <xf numFmtId="168" fontId="0" fillId="5" borderId="0" xfId="0" applyNumberFormat="1" applyFill="1"/>
    <xf numFmtId="168" fontId="0" fillId="27" borderId="1" xfId="0" applyNumberFormat="1" applyFill="1" applyBorder="1"/>
    <xf numFmtId="172" fontId="2" fillId="2" borderId="1" xfId="630" applyNumberFormat="1" applyFont="1" applyFill="1" applyBorder="1" applyAlignment="1" applyProtection="1">
      <alignment horizontal="center" vertical="center" wrapText="1"/>
      <protection locked="0"/>
    </xf>
    <xf numFmtId="172" fontId="2" fillId="2" borderId="1" xfId="259" applyNumberFormat="1" applyFont="1" applyFill="1" applyBorder="1" applyAlignment="1" applyProtection="1">
      <alignment horizontal="center" vertical="center" wrapText="1"/>
      <protection locked="0"/>
    </xf>
    <xf numFmtId="0" fontId="2" fillId="34" borderId="1" xfId="259" applyNumberFormat="1" applyFont="1" applyFill="1" applyBorder="1" applyAlignment="1">
      <alignment horizontal="center" vertical="center" wrapText="1"/>
    </xf>
    <xf numFmtId="168" fontId="2" fillId="14" borderId="1" xfId="259" applyNumberFormat="1" applyFont="1" applyFill="1" applyBorder="1" applyAlignment="1">
      <alignment horizontal="center" vertical="center" wrapText="1"/>
    </xf>
    <xf numFmtId="0" fontId="2" fillId="14" borderId="1" xfId="0" applyFont="1" applyFill="1" applyBorder="1" applyAlignment="1">
      <alignment horizontal="justify" vertical="center" wrapText="1"/>
    </xf>
    <xf numFmtId="168" fontId="2" fillId="14" borderId="1" xfId="259" applyNumberFormat="1" applyFont="1" applyFill="1" applyBorder="1" applyAlignment="1">
      <alignment horizontal="left" vertical="center" wrapText="1"/>
    </xf>
    <xf numFmtId="168" fontId="2" fillId="14" borderId="1" xfId="259" applyNumberFormat="1" applyFont="1" applyFill="1" applyBorder="1" applyAlignment="1">
      <alignment vertical="center" wrapText="1"/>
    </xf>
    <xf numFmtId="168" fontId="2" fillId="27" borderId="28" xfId="259" applyNumberFormat="1" applyFont="1" applyFill="1" applyBorder="1" applyAlignment="1" applyProtection="1">
      <alignment horizontal="center" vertical="center" textRotation="90" wrapText="1"/>
      <protection locked="0"/>
    </xf>
    <xf numFmtId="168" fontId="2" fillId="27" borderId="1" xfId="259" applyNumberFormat="1" applyFont="1" applyFill="1" applyBorder="1" applyAlignment="1" applyProtection="1">
      <alignment horizontal="center" vertical="center" textRotation="90" wrapText="1"/>
      <protection locked="0"/>
    </xf>
    <xf numFmtId="168" fontId="1" fillId="27" borderId="8" xfId="259" applyNumberFormat="1" applyFont="1" applyFill="1" applyBorder="1" applyAlignment="1" applyProtection="1">
      <alignment horizontal="center" vertical="center" textRotation="90" wrapText="1"/>
      <protection locked="0"/>
    </xf>
    <xf numFmtId="168" fontId="3" fillId="27" borderId="1" xfId="259" applyNumberFormat="1" applyFont="1" applyFill="1" applyBorder="1" applyAlignment="1" applyProtection="1">
      <alignment horizontal="center" vertical="center" textRotation="90"/>
      <protection locked="0"/>
    </xf>
    <xf numFmtId="164" fontId="2" fillId="27" borderId="28" xfId="259" applyFont="1" applyFill="1" applyBorder="1" applyAlignment="1" applyProtection="1">
      <alignment horizontal="center" vertical="center" textRotation="90" wrapText="1"/>
      <protection locked="0"/>
    </xf>
    <xf numFmtId="164" fontId="2" fillId="27" borderId="1" xfId="259" applyFont="1" applyFill="1" applyBorder="1" applyAlignment="1" applyProtection="1">
      <alignment horizontal="center" vertical="center" textRotation="90" wrapText="1"/>
      <protection locked="0"/>
    </xf>
    <xf numFmtId="164" fontId="1" fillId="27" borderId="8" xfId="259" applyFont="1" applyFill="1" applyBorder="1" applyAlignment="1" applyProtection="1">
      <alignment horizontal="center" vertical="center" textRotation="90" wrapText="1"/>
      <protection locked="0"/>
    </xf>
    <xf numFmtId="164" fontId="3" fillId="27" borderId="1" xfId="259" applyFont="1" applyFill="1" applyBorder="1" applyAlignment="1" applyProtection="1">
      <alignment horizontal="center" vertical="center" textRotation="90"/>
      <protection locked="0"/>
    </xf>
    <xf numFmtId="0" fontId="2" fillId="33" borderId="3" xfId="0" applyFont="1" applyFill="1" applyBorder="1" applyAlignment="1" applyProtection="1">
      <alignment horizontal="center" vertical="center" wrapText="1"/>
      <protection locked="0"/>
    </xf>
    <xf numFmtId="172" fontId="2" fillId="27" borderId="28" xfId="630" applyNumberFormat="1" applyFont="1" applyFill="1" applyBorder="1" applyAlignment="1" applyProtection="1">
      <alignment horizontal="center" vertical="center" textRotation="90" wrapText="1"/>
      <protection locked="0"/>
    </xf>
    <xf numFmtId="172" fontId="2" fillId="27" borderId="1" xfId="630" applyNumberFormat="1" applyFont="1" applyFill="1" applyBorder="1" applyAlignment="1" applyProtection="1">
      <alignment horizontal="center" vertical="center" textRotation="90" wrapText="1"/>
      <protection locked="0"/>
    </xf>
    <xf numFmtId="172" fontId="1" fillId="27" borderId="8" xfId="630" applyNumberFormat="1" applyFont="1" applyFill="1" applyBorder="1" applyAlignment="1" applyProtection="1">
      <alignment horizontal="center" vertical="center" textRotation="90" wrapText="1"/>
      <protection locked="0"/>
    </xf>
    <xf numFmtId="172" fontId="9" fillId="27" borderId="28" xfId="630" applyNumberFormat="1" applyFont="1" applyFill="1" applyBorder="1" applyAlignment="1" applyProtection="1">
      <alignment horizontal="center" vertical="center" textRotation="90" wrapText="1"/>
      <protection locked="0"/>
    </xf>
    <xf numFmtId="172" fontId="9" fillId="27" borderId="1" xfId="630" applyNumberFormat="1" applyFont="1" applyFill="1" applyBorder="1" applyAlignment="1" applyProtection="1">
      <alignment horizontal="center" vertical="center" textRotation="90" wrapText="1"/>
      <protection locked="0"/>
    </xf>
    <xf numFmtId="172" fontId="2" fillId="27" borderId="28" xfId="630" applyNumberFormat="1" applyFont="1" applyFill="1" applyBorder="1" applyAlignment="1" applyProtection="1">
      <alignment vertical="center" textRotation="90" wrapText="1"/>
      <protection locked="0"/>
    </xf>
    <xf numFmtId="172" fontId="2" fillId="27" borderId="1" xfId="630" applyNumberFormat="1" applyFont="1" applyFill="1" applyBorder="1" applyAlignment="1" applyProtection="1">
      <alignment vertical="center" textRotation="90" wrapText="1"/>
      <protection locked="0"/>
    </xf>
    <xf numFmtId="172" fontId="2" fillId="27" borderId="8" xfId="630" applyNumberFormat="1" applyFont="1" applyFill="1" applyBorder="1" applyAlignment="1" applyProtection="1">
      <alignment horizontal="center" vertical="center" textRotation="90" wrapText="1"/>
      <protection locked="0"/>
    </xf>
    <xf numFmtId="168" fontId="2" fillId="33" borderId="1" xfId="259" applyNumberFormat="1" applyFont="1" applyFill="1" applyBorder="1" applyAlignment="1" applyProtection="1">
      <alignment horizontal="center" vertical="center" textRotation="90" wrapText="1"/>
      <protection locked="0"/>
    </xf>
    <xf numFmtId="0" fontId="56" fillId="27" borderId="1" xfId="0" applyFont="1" applyFill="1" applyBorder="1" applyAlignment="1" applyProtection="1">
      <alignment horizontal="justify" vertical="center" wrapText="1"/>
      <protection locked="0"/>
    </xf>
    <xf numFmtId="0" fontId="58" fillId="28" borderId="1" xfId="0" applyFont="1" applyFill="1" applyBorder="1" applyAlignment="1" applyProtection="1">
      <alignment horizontal="justify" vertical="center" wrapText="1"/>
      <protection locked="0"/>
    </xf>
    <xf numFmtId="172" fontId="3" fillId="27" borderId="28" xfId="630" applyNumberFormat="1" applyFont="1" applyFill="1" applyBorder="1" applyAlignment="1" applyProtection="1">
      <alignment horizontal="center" vertical="center" textRotation="90"/>
      <protection locked="0"/>
    </xf>
    <xf numFmtId="172" fontId="1" fillId="27" borderId="28" xfId="630" applyNumberFormat="1" applyFont="1" applyFill="1" applyBorder="1" applyAlignment="1" applyProtection="1">
      <alignment horizontal="center" vertical="center" textRotation="90" wrapText="1"/>
      <protection locked="0"/>
    </xf>
    <xf numFmtId="172" fontId="1" fillId="27" borderId="1" xfId="630" applyNumberFormat="1" applyFont="1" applyFill="1" applyBorder="1" applyAlignment="1" applyProtection="1">
      <alignment horizontal="center" vertical="center" textRotation="90" wrapText="1"/>
      <protection locked="0"/>
    </xf>
    <xf numFmtId="1" fontId="2" fillId="5" borderId="3" xfId="259" applyNumberFormat="1" applyFont="1" applyFill="1" applyBorder="1" applyAlignment="1" applyProtection="1">
      <alignment horizontal="center" vertical="center" wrapText="1"/>
      <protection locked="0"/>
    </xf>
    <xf numFmtId="0" fontId="2" fillId="35" borderId="3" xfId="259" applyNumberFormat="1" applyFont="1" applyFill="1" applyBorder="1" applyAlignment="1" applyProtection="1">
      <alignment horizontal="center" vertical="center" wrapText="1"/>
      <protection locked="0"/>
    </xf>
    <xf numFmtId="172" fontId="2" fillId="35" borderId="28" xfId="630" applyNumberFormat="1" applyFont="1" applyFill="1" applyBorder="1" applyAlignment="1" applyProtection="1">
      <alignment horizontal="center" vertical="center" textRotation="90" wrapText="1"/>
      <protection locked="0"/>
    </xf>
    <xf numFmtId="0" fontId="29" fillId="23" borderId="0" xfId="628" applyFont="1" applyFill="1" applyAlignment="1">
      <alignment horizontal="left" wrapText="1"/>
    </xf>
    <xf numFmtId="0" fontId="34" fillId="23" borderId="0" xfId="628" applyFont="1" applyFill="1" applyAlignment="1">
      <alignment horizontal="left" wrapText="1"/>
    </xf>
    <xf numFmtId="0" fontId="2" fillId="27" borderId="0" xfId="0" applyFont="1" applyFill="1" applyAlignment="1">
      <alignment horizontal="center" vertical="center" wrapText="1"/>
    </xf>
    <xf numFmtId="0" fontId="29" fillId="27" borderId="0" xfId="628" applyFont="1" applyFill="1" applyAlignment="1">
      <alignment horizontal="left" wrapText="1"/>
    </xf>
    <xf numFmtId="0" fontId="27" fillId="27" borderId="1" xfId="0" applyFont="1" applyFill="1" applyBorder="1" applyAlignment="1" applyProtection="1">
      <alignment horizontal="justify" vertical="center" wrapText="1"/>
      <protection locked="0"/>
    </xf>
    <xf numFmtId="172" fontId="2" fillId="35" borderId="1" xfId="630" applyNumberFormat="1" applyFont="1" applyFill="1" applyBorder="1" applyAlignment="1" applyProtection="1">
      <alignment horizontal="center" vertical="center" textRotation="90" wrapText="1"/>
      <protection locked="0"/>
    </xf>
    <xf numFmtId="0" fontId="30" fillId="28" borderId="1" xfId="627" applyFont="1" applyFill="1" applyBorder="1" applyAlignment="1" applyProtection="1">
      <alignment horizontal="justify" vertical="top" wrapText="1"/>
      <protection locked="0"/>
    </xf>
    <xf numFmtId="168" fontId="2" fillId="35" borderId="28" xfId="259" applyNumberFormat="1" applyFont="1" applyFill="1" applyBorder="1" applyAlignment="1" applyProtection="1">
      <alignment horizontal="center" vertical="center" wrapText="1"/>
      <protection locked="0"/>
    </xf>
    <xf numFmtId="168" fontId="2" fillId="35" borderId="1" xfId="259" applyNumberFormat="1" applyFont="1" applyFill="1" applyBorder="1" applyAlignment="1" applyProtection="1">
      <alignment horizontal="center" vertical="center" wrapText="1"/>
      <protection locked="0"/>
    </xf>
    <xf numFmtId="168" fontId="1" fillId="35" borderId="8" xfId="259" applyNumberFormat="1" applyFont="1" applyFill="1" applyBorder="1" applyAlignment="1" applyProtection="1">
      <alignment horizontal="center" vertical="center" wrapText="1"/>
      <protection locked="0"/>
    </xf>
    <xf numFmtId="0" fontId="3" fillId="21" borderId="1" xfId="0" applyFont="1" applyFill="1" applyBorder="1" applyAlignment="1" applyProtection="1">
      <alignment horizontal="center" vertical="center" wrapText="1"/>
      <protection locked="0"/>
    </xf>
    <xf numFmtId="164" fontId="1" fillId="2" borderId="8" xfId="259" applyFont="1" applyFill="1" applyBorder="1" applyAlignment="1" applyProtection="1">
      <alignment horizontal="center" vertical="center" wrapText="1"/>
      <protection locked="0"/>
    </xf>
    <xf numFmtId="164" fontId="1" fillId="2" borderId="28" xfId="259" applyFont="1" applyFill="1" applyBorder="1" applyAlignment="1" applyProtection="1">
      <alignment horizontal="center" vertical="center" wrapText="1"/>
      <protection locked="0"/>
    </xf>
    <xf numFmtId="164" fontId="2" fillId="27" borderId="1" xfId="259" applyFont="1" applyFill="1" applyBorder="1" applyAlignment="1" applyProtection="1">
      <alignment horizontal="center" vertical="center" wrapText="1"/>
      <protection locked="0"/>
    </xf>
    <xf numFmtId="164" fontId="2" fillId="27" borderId="1" xfId="259" applyFont="1" applyFill="1" applyBorder="1" applyAlignment="1" applyProtection="1">
      <alignment vertical="center" wrapText="1"/>
      <protection locked="0"/>
    </xf>
    <xf numFmtId="164" fontId="9" fillId="27" borderId="1" xfId="259" applyFont="1" applyFill="1" applyBorder="1" applyAlignment="1" applyProtection="1">
      <alignment horizontal="center" vertical="center" wrapText="1"/>
      <protection locked="0"/>
    </xf>
    <xf numFmtId="172" fontId="2" fillId="25" borderId="1" xfId="630" applyNumberFormat="1" applyFont="1" applyFill="1" applyBorder="1" applyAlignment="1">
      <alignment horizontal="center" vertical="center" textRotation="90" wrapText="1"/>
    </xf>
    <xf numFmtId="172" fontId="3" fillId="27" borderId="1" xfId="630" applyNumberFormat="1" applyFont="1" applyFill="1" applyBorder="1" applyAlignment="1" applyProtection="1">
      <alignment horizontal="center" vertical="center" textRotation="90"/>
      <protection locked="0"/>
    </xf>
    <xf numFmtId="0" fontId="56" fillId="27" borderId="1" xfId="259" applyNumberFormat="1" applyFont="1" applyFill="1" applyBorder="1" applyAlignment="1" applyProtection="1">
      <alignment horizontal="justify" vertical="center" wrapText="1"/>
      <protection locked="0"/>
    </xf>
    <xf numFmtId="0" fontId="2" fillId="5" borderId="0" xfId="0" applyFont="1" applyFill="1" applyAlignment="1" applyProtection="1">
      <alignment horizontal="left" vertical="center" wrapText="1"/>
      <protection locked="0"/>
    </xf>
    <xf numFmtId="168" fontId="2" fillId="27" borderId="4" xfId="259" applyNumberFormat="1" applyFont="1" applyFill="1" applyBorder="1" applyAlignment="1" applyProtection="1">
      <alignment horizontal="center" vertical="center" wrapText="1"/>
      <protection locked="0"/>
    </xf>
    <xf numFmtId="0" fontId="2" fillId="5" borderId="1" xfId="0" applyFont="1" applyFill="1" applyBorder="1" applyAlignment="1" applyProtection="1">
      <alignment horizontal="left" vertical="center" wrapText="1"/>
      <protection locked="0"/>
    </xf>
    <xf numFmtId="168" fontId="2" fillId="25" borderId="1" xfId="259" applyNumberFormat="1" applyFont="1" applyFill="1" applyBorder="1" applyAlignment="1">
      <alignment vertical="center" wrapText="1"/>
    </xf>
    <xf numFmtId="0" fontId="1" fillId="27" borderId="1" xfId="259" applyNumberFormat="1" applyFont="1" applyFill="1" applyBorder="1" applyAlignment="1" applyProtection="1">
      <alignment horizontal="justify" vertical="center" wrapText="1"/>
      <protection locked="0"/>
    </xf>
    <xf numFmtId="0" fontId="26" fillId="5" borderId="1" xfId="627" applyFill="1" applyBorder="1" applyAlignment="1">
      <alignment horizontal="center" vertical="center"/>
    </xf>
    <xf numFmtId="0" fontId="26" fillId="26" borderId="1" xfId="627" applyFill="1" applyBorder="1" applyAlignment="1">
      <alignment horizontal="center" vertical="center"/>
    </xf>
    <xf numFmtId="166" fontId="26" fillId="22" borderId="1" xfId="518" applyFont="1" applyFill="1" applyBorder="1"/>
    <xf numFmtId="166" fontId="26" fillId="22" borderId="1" xfId="518" applyFont="1" applyFill="1" applyBorder="1" applyAlignment="1">
      <alignment horizontal="center"/>
    </xf>
    <xf numFmtId="0" fontId="26" fillId="36" borderId="1" xfId="627" applyFill="1" applyBorder="1" applyAlignment="1">
      <alignment horizontal="center" vertical="center"/>
    </xf>
    <xf numFmtId="0" fontId="26" fillId="19" borderId="1" xfId="627" applyFill="1" applyBorder="1" applyAlignment="1">
      <alignment wrapText="1"/>
    </xf>
    <xf numFmtId="0" fontId="26" fillId="19" borderId="1" xfId="627" applyFill="1" applyBorder="1"/>
    <xf numFmtId="0" fontId="26" fillId="19" borderId="1" xfId="627" applyFill="1" applyBorder="1" applyAlignment="1">
      <alignment horizontal="center" vertical="center"/>
    </xf>
    <xf numFmtId="0" fontId="26" fillId="19" borderId="1" xfId="627" applyFill="1" applyBorder="1" applyAlignment="1">
      <alignment horizontal="center" wrapText="1"/>
    </xf>
    <xf numFmtId="0" fontId="26" fillId="15" borderId="1" xfId="627" applyFill="1" applyBorder="1" applyAlignment="1">
      <alignment horizontal="center" vertical="center"/>
    </xf>
    <xf numFmtId="0" fontId="26" fillId="19" borderId="6" xfId="627" applyFill="1" applyBorder="1" applyAlignment="1">
      <alignment wrapText="1"/>
    </xf>
    <xf numFmtId="0" fontId="26" fillId="19" borderId="6" xfId="627" applyFill="1" applyBorder="1"/>
    <xf numFmtId="0" fontId="26" fillId="19" borderId="6" xfId="627" applyFill="1" applyBorder="1" applyAlignment="1">
      <alignment horizontal="center" vertical="center"/>
    </xf>
    <xf numFmtId="0" fontId="26" fillId="5" borderId="6" xfId="627" applyFill="1" applyBorder="1" applyAlignment="1">
      <alignment horizontal="center" vertical="center"/>
    </xf>
    <xf numFmtId="0" fontId="26" fillId="26" borderId="6" xfId="627" applyFill="1" applyBorder="1" applyAlignment="1">
      <alignment horizontal="center" vertical="center"/>
    </xf>
    <xf numFmtId="0" fontId="26" fillId="36" borderId="6" xfId="627" applyFill="1" applyBorder="1" applyAlignment="1">
      <alignment horizontal="center" vertical="center"/>
    </xf>
    <xf numFmtId="0" fontId="26" fillId="15" borderId="6" xfId="627" applyFill="1" applyBorder="1" applyAlignment="1">
      <alignment horizontal="center" vertical="center"/>
    </xf>
    <xf numFmtId="166" fontId="26" fillId="22" borderId="6" xfId="518" applyFont="1" applyFill="1" applyBorder="1"/>
    <xf numFmtId="0" fontId="26" fillId="6" borderId="35" xfId="627" applyFill="1" applyBorder="1" applyAlignment="1">
      <alignment horizontal="center"/>
    </xf>
    <xf numFmtId="0" fontId="26" fillId="6" borderId="22" xfId="627" applyFill="1" applyBorder="1" applyAlignment="1">
      <alignment horizontal="center"/>
    </xf>
    <xf numFmtId="0" fontId="26" fillId="6" borderId="22" xfId="627" applyFill="1" applyBorder="1" applyAlignment="1">
      <alignment horizontal="center" vertical="center"/>
    </xf>
    <xf numFmtId="0" fontId="26" fillId="6" borderId="22" xfId="627" applyFill="1" applyBorder="1" applyAlignment="1">
      <alignment horizontal="center" vertical="center" wrapText="1"/>
    </xf>
    <xf numFmtId="166" fontId="26" fillId="24" borderId="25" xfId="518" applyFont="1" applyFill="1" applyBorder="1" applyAlignment="1">
      <alignment horizontal="center" wrapText="1"/>
    </xf>
    <xf numFmtId="168" fontId="2" fillId="29" borderId="28" xfId="259" applyNumberFormat="1" applyFont="1" applyFill="1" applyBorder="1" applyAlignment="1" applyProtection="1">
      <alignment horizontal="center" vertical="center" wrapText="1"/>
      <protection locked="0"/>
    </xf>
    <xf numFmtId="168" fontId="2" fillId="29" borderId="1" xfId="259" applyNumberFormat="1" applyFont="1" applyFill="1" applyBorder="1" applyAlignment="1" applyProtection="1">
      <alignment horizontal="center" vertical="center" wrapText="1"/>
      <protection locked="0"/>
    </xf>
    <xf numFmtId="0" fontId="2" fillId="34" borderId="1" xfId="0" applyFont="1" applyFill="1" applyBorder="1" applyAlignment="1" applyProtection="1">
      <alignment horizontal="center" vertical="center" wrapText="1"/>
      <protection locked="0"/>
    </xf>
    <xf numFmtId="0" fontId="9" fillId="34" borderId="1" xfId="0" applyFont="1" applyFill="1" applyBorder="1" applyAlignment="1" applyProtection="1">
      <alignment horizontal="justify" vertical="center" wrapText="1"/>
      <protection locked="0"/>
    </xf>
    <xf numFmtId="0" fontId="9" fillId="34" borderId="3" xfId="0" applyFont="1" applyFill="1" applyBorder="1" applyAlignment="1" applyProtection="1">
      <alignment horizontal="center" vertical="center" wrapText="1"/>
      <protection locked="0"/>
    </xf>
    <xf numFmtId="168" fontId="9" fillId="34" borderId="28" xfId="259" applyNumberFormat="1" applyFont="1" applyFill="1" applyBorder="1" applyAlignment="1" applyProtection="1">
      <alignment horizontal="center" vertical="center" wrapText="1"/>
      <protection locked="0"/>
    </xf>
    <xf numFmtId="168" fontId="9" fillId="34" borderId="1" xfId="259" applyNumberFormat="1" applyFont="1" applyFill="1" applyBorder="1" applyAlignment="1" applyProtection="1">
      <alignment horizontal="center" vertical="center" wrapText="1"/>
      <protection locked="0"/>
    </xf>
    <xf numFmtId="168" fontId="1" fillId="34" borderId="8" xfId="259" applyNumberFormat="1" applyFont="1" applyFill="1" applyBorder="1" applyAlignment="1" applyProtection="1">
      <alignment horizontal="center" vertical="center" wrapText="1"/>
      <protection locked="0"/>
    </xf>
    <xf numFmtId="168" fontId="2" fillId="34" borderId="28" xfId="259" applyNumberFormat="1" applyFont="1" applyFill="1" applyBorder="1" applyAlignment="1" applyProtection="1">
      <alignment horizontal="center" vertical="center" textRotation="90" wrapText="1"/>
      <protection locked="0"/>
    </xf>
    <xf numFmtId="164" fontId="2" fillId="34" borderId="28" xfId="259" applyFont="1" applyFill="1" applyBorder="1" applyAlignment="1" applyProtection="1">
      <alignment horizontal="center" vertical="center" textRotation="90" wrapText="1"/>
      <protection locked="0"/>
    </xf>
    <xf numFmtId="166" fontId="26" fillId="24" borderId="24" xfId="518" applyFont="1" applyFill="1" applyBorder="1" applyAlignment="1">
      <alignment horizontal="center" wrapText="1"/>
    </xf>
    <xf numFmtId="0" fontId="26" fillId="24" borderId="35" xfId="627" applyFill="1" applyBorder="1" applyAlignment="1">
      <alignment horizontal="center" vertical="center" wrapText="1"/>
    </xf>
    <xf numFmtId="0" fontId="26" fillId="24" borderId="25" xfId="627" applyFill="1" applyBorder="1" applyAlignment="1">
      <alignment horizontal="center" wrapText="1"/>
    </xf>
    <xf numFmtId="0" fontId="3" fillId="2" borderId="36" xfId="0" applyFont="1" applyFill="1" applyBorder="1" applyAlignment="1">
      <alignment horizontal="center" vertical="center" wrapText="1"/>
    </xf>
    <xf numFmtId="0" fontId="26" fillId="17" borderId="1" xfId="627" applyFill="1" applyBorder="1" applyAlignment="1">
      <alignment horizontal="center" vertical="center"/>
    </xf>
    <xf numFmtId="0" fontId="26" fillId="2" borderId="1" xfId="627" applyFill="1" applyBorder="1" applyAlignment="1">
      <alignment horizontal="center" vertical="center"/>
    </xf>
    <xf numFmtId="0" fontId="26" fillId="21" borderId="1" xfId="627" applyFill="1" applyBorder="1" applyAlignment="1">
      <alignment horizontal="center" vertical="center"/>
    </xf>
    <xf numFmtId="0" fontId="26" fillId="7" borderId="1" xfId="627" applyFill="1" applyBorder="1" applyAlignment="1">
      <alignment horizontal="center" vertical="center"/>
    </xf>
    <xf numFmtId="0" fontId="3" fillId="35" borderId="1" xfId="0" applyFont="1" applyFill="1" applyBorder="1" applyAlignment="1">
      <alignment horizontal="center" vertical="center"/>
    </xf>
    <xf numFmtId="0" fontId="3" fillId="35" borderId="1" xfId="0" applyFont="1" applyFill="1" applyBorder="1" applyAlignment="1">
      <alignment horizontal="left" vertical="center" wrapText="1"/>
    </xf>
    <xf numFmtId="0" fontId="3" fillId="35" borderId="6" xfId="0" applyFont="1" applyFill="1" applyBorder="1" applyAlignment="1">
      <alignment horizontal="center" vertical="center" wrapText="1"/>
    </xf>
    <xf numFmtId="0" fontId="2" fillId="35" borderId="6" xfId="0" applyFont="1" applyFill="1" applyBorder="1" applyAlignment="1">
      <alignment horizontal="center" vertical="center" wrapText="1"/>
    </xf>
    <xf numFmtId="0" fontId="2" fillId="35" borderId="1" xfId="0" applyFont="1" applyFill="1" applyBorder="1" applyAlignment="1">
      <alignment horizontal="center" vertical="center" wrapText="1"/>
    </xf>
    <xf numFmtId="0" fontId="2" fillId="35" borderId="3" xfId="0" applyFont="1" applyFill="1" applyBorder="1" applyAlignment="1">
      <alignment horizontal="center" vertical="center" wrapText="1"/>
    </xf>
    <xf numFmtId="3" fontId="2" fillId="35" borderId="1" xfId="0" applyNumberFormat="1" applyFont="1" applyFill="1" applyBorder="1" applyAlignment="1">
      <alignment horizontal="center" vertical="center" wrapText="1"/>
    </xf>
    <xf numFmtId="0" fontId="2" fillId="35" borderId="1" xfId="0" applyFont="1" applyFill="1" applyBorder="1" applyAlignment="1">
      <alignment vertical="center" wrapText="1"/>
    </xf>
    <xf numFmtId="0" fontId="1" fillId="35" borderId="1" xfId="0" applyFont="1" applyFill="1" applyBorder="1" applyAlignment="1">
      <alignment horizontal="center" vertical="center" wrapText="1"/>
    </xf>
    <xf numFmtId="0" fontId="2" fillId="35" borderId="1" xfId="0" applyFont="1" applyFill="1" applyBorder="1" applyAlignment="1">
      <alignment horizontal="justify" vertical="center" wrapText="1"/>
    </xf>
    <xf numFmtId="0" fontId="2" fillId="35" borderId="6" xfId="0" applyFont="1" applyFill="1" applyBorder="1" applyAlignment="1">
      <alignment horizontal="justify" vertical="center" wrapText="1"/>
    </xf>
    <xf numFmtId="0" fontId="2" fillId="35" borderId="4" xfId="0" applyFont="1" applyFill="1" applyBorder="1" applyAlignment="1">
      <alignment horizontal="center" vertical="center" wrapText="1"/>
    </xf>
    <xf numFmtId="0" fontId="2" fillId="35" borderId="1" xfId="259" applyNumberFormat="1" applyFont="1" applyFill="1" applyBorder="1" applyAlignment="1">
      <alignment horizontal="center" vertical="center" wrapText="1"/>
    </xf>
    <xf numFmtId="168" fontId="2" fillId="35" borderId="1" xfId="259" applyNumberFormat="1" applyFont="1" applyFill="1" applyBorder="1" applyAlignment="1">
      <alignment horizontal="center" vertical="center" wrapText="1"/>
    </xf>
    <xf numFmtId="168" fontId="3" fillId="35" borderId="1" xfId="259" applyNumberFormat="1" applyFont="1" applyFill="1" applyBorder="1" applyAlignment="1">
      <alignment horizontal="center" vertical="center"/>
    </xf>
    <xf numFmtId="17" fontId="2" fillId="35" borderId="1" xfId="259" applyNumberFormat="1" applyFont="1" applyFill="1" applyBorder="1" applyAlignment="1">
      <alignment horizontal="center" vertical="center" wrapText="1"/>
    </xf>
    <xf numFmtId="0" fontId="3" fillId="35" borderId="1" xfId="0" applyFont="1" applyFill="1" applyBorder="1" applyAlignment="1">
      <alignment horizontal="center" vertical="center" wrapText="1"/>
    </xf>
    <xf numFmtId="168" fontId="0" fillId="35" borderId="0" xfId="0" applyNumberFormat="1" applyFill="1"/>
    <xf numFmtId="0" fontId="0" fillId="35" borderId="1" xfId="0" applyFill="1" applyBorder="1"/>
    <xf numFmtId="168" fontId="0" fillId="35" borderId="1" xfId="0" applyNumberFormat="1" applyFill="1" applyBorder="1"/>
    <xf numFmtId="0" fontId="0" fillId="35" borderId="0" xfId="0" applyFill="1"/>
    <xf numFmtId="0" fontId="2" fillId="36" borderId="1" xfId="0" applyFont="1" applyFill="1" applyBorder="1" applyAlignment="1" applyProtection="1">
      <alignment horizontal="center" vertical="center" wrapText="1"/>
      <protection locked="0"/>
    </xf>
    <xf numFmtId="168" fontId="2" fillId="28" borderId="1" xfId="259" applyNumberFormat="1" applyFont="1" applyFill="1" applyBorder="1" applyAlignment="1">
      <alignment horizontal="center" vertical="center" wrapText="1"/>
    </xf>
    <xf numFmtId="0" fontId="3" fillId="28" borderId="1" xfId="0" applyFont="1" applyFill="1" applyBorder="1" applyAlignment="1" applyProtection="1">
      <alignment horizontal="center" vertical="center" wrapText="1"/>
      <protection locked="0"/>
    </xf>
    <xf numFmtId="9" fontId="0" fillId="5" borderId="6" xfId="0" applyNumberFormat="1" applyFill="1" applyBorder="1"/>
    <xf numFmtId="0" fontId="2" fillId="14" borderId="1" xfId="259" applyNumberFormat="1" applyFont="1" applyFill="1" applyBorder="1" applyAlignment="1" applyProtection="1">
      <alignment horizontal="center" vertical="center" wrapText="1"/>
      <protection locked="0"/>
    </xf>
    <xf numFmtId="0" fontId="2" fillId="21" borderId="1" xfId="259" applyNumberFormat="1" applyFont="1" applyFill="1" applyBorder="1" applyAlignment="1" applyProtection="1">
      <alignment horizontal="center" vertical="center" wrapText="1"/>
      <protection locked="0"/>
    </xf>
    <xf numFmtId="14" fontId="2" fillId="27" borderId="1" xfId="259" applyNumberFormat="1" applyFont="1" applyFill="1" applyBorder="1" applyAlignment="1" applyProtection="1">
      <alignment horizontal="center" vertical="center" wrapText="1"/>
      <protection locked="0"/>
    </xf>
    <xf numFmtId="2" fontId="2" fillId="28" borderId="1" xfId="630" applyNumberFormat="1" applyFont="1" applyFill="1" applyBorder="1" applyAlignment="1">
      <alignment horizontal="center" vertical="center" textRotation="90" wrapText="1"/>
    </xf>
    <xf numFmtId="168" fontId="9" fillId="21" borderId="28" xfId="259" applyNumberFormat="1" applyFont="1" applyFill="1" applyBorder="1" applyAlignment="1" applyProtection="1">
      <alignment horizontal="left" vertical="center" wrapText="1"/>
      <protection locked="0"/>
    </xf>
    <xf numFmtId="168" fontId="9" fillId="21" borderId="1" xfId="259" applyNumberFormat="1" applyFont="1" applyFill="1" applyBorder="1" applyAlignment="1" applyProtection="1">
      <alignment horizontal="left" vertical="center" wrapText="1"/>
      <protection locked="0"/>
    </xf>
    <xf numFmtId="168" fontId="1" fillId="21" borderId="8" xfId="259" applyNumberFormat="1" applyFont="1" applyFill="1" applyBorder="1" applyAlignment="1" applyProtection="1">
      <alignment horizontal="center" vertical="center" wrapText="1"/>
      <protection locked="0"/>
    </xf>
    <xf numFmtId="0" fontId="2" fillId="6" borderId="1" xfId="259" applyNumberFormat="1" applyFont="1" applyFill="1" applyBorder="1" applyAlignment="1" applyProtection="1">
      <alignment horizontal="center" vertical="center" wrapText="1"/>
      <protection locked="0"/>
    </xf>
    <xf numFmtId="0" fontId="2" fillId="6" borderId="1" xfId="0" applyFont="1" applyFill="1" applyBorder="1" applyAlignment="1" applyProtection="1">
      <alignment horizontal="center" vertical="center" wrapText="1"/>
      <protection locked="0"/>
    </xf>
    <xf numFmtId="0" fontId="9" fillId="6" borderId="1" xfId="259" applyNumberFormat="1" applyFont="1" applyFill="1" applyBorder="1" applyAlignment="1" applyProtection="1">
      <alignment horizontal="center" vertical="center" wrapText="1"/>
      <protection locked="0"/>
    </xf>
    <xf numFmtId="0" fontId="2" fillId="3" borderId="1" xfId="0" applyFont="1" applyFill="1" applyBorder="1" applyAlignment="1">
      <alignment horizontal="center" vertical="center" wrapText="1"/>
    </xf>
    <xf numFmtId="0" fontId="2" fillId="3" borderId="1" xfId="259" applyNumberFormat="1" applyFont="1" applyFill="1" applyBorder="1" applyAlignment="1" applyProtection="1">
      <alignment horizontal="center" vertical="center" wrapText="1"/>
      <protection locked="0"/>
    </xf>
    <xf numFmtId="0" fontId="2" fillId="21" borderId="1" xfId="0" applyFont="1" applyFill="1" applyBorder="1" applyAlignment="1" applyProtection="1">
      <alignment horizontal="center" vertical="center" wrapText="1"/>
      <protection locked="0"/>
    </xf>
    <xf numFmtId="14" fontId="2" fillId="27" borderId="1" xfId="0" applyNumberFormat="1" applyFont="1" applyFill="1" applyBorder="1" applyAlignment="1" applyProtection="1">
      <alignment horizontal="center" vertical="center" textRotation="90" wrapText="1"/>
      <protection locked="0"/>
    </xf>
    <xf numFmtId="14" fontId="9" fillId="27" borderId="1" xfId="0" applyNumberFormat="1" applyFont="1" applyFill="1" applyBorder="1" applyAlignment="1" applyProtection="1">
      <alignment horizontal="center" vertical="center" wrapText="1"/>
      <protection locked="0"/>
    </xf>
    <xf numFmtId="168" fontId="9" fillId="29" borderId="28" xfId="259" applyNumberFormat="1" applyFont="1" applyFill="1" applyBorder="1" applyAlignment="1" applyProtection="1">
      <alignment horizontal="center" vertical="center" wrapText="1"/>
      <protection locked="0"/>
    </xf>
    <xf numFmtId="168" fontId="9" fillId="29" borderId="1" xfId="259" applyNumberFormat="1" applyFont="1" applyFill="1" applyBorder="1" applyAlignment="1" applyProtection="1">
      <alignment horizontal="center" vertical="center" wrapText="1"/>
      <protection locked="0"/>
    </xf>
    <xf numFmtId="168" fontId="1" fillId="29" borderId="8" xfId="259" applyNumberFormat="1" applyFont="1" applyFill="1" applyBorder="1" applyAlignment="1" applyProtection="1">
      <alignment horizontal="center" vertical="center" wrapText="1"/>
      <protection locked="0"/>
    </xf>
    <xf numFmtId="0" fontId="2" fillId="29" borderId="1" xfId="0" applyFont="1" applyFill="1" applyBorder="1" applyAlignment="1" applyProtection="1">
      <alignment horizontal="center" vertical="center" wrapText="1"/>
      <protection locked="0"/>
    </xf>
    <xf numFmtId="0" fontId="2" fillId="3" borderId="1" xfId="0" applyFont="1" applyFill="1" applyBorder="1" applyAlignment="1" applyProtection="1">
      <alignment horizontal="center" vertical="center" wrapText="1"/>
      <protection locked="0"/>
    </xf>
    <xf numFmtId="0" fontId="2" fillId="36" borderId="1" xfId="0" applyFont="1" applyFill="1" applyBorder="1" applyAlignment="1">
      <alignment horizontal="justify" vertical="center" wrapText="1"/>
    </xf>
    <xf numFmtId="0" fontId="2" fillId="29" borderId="1" xfId="259" applyNumberFormat="1" applyFont="1" applyFill="1" applyBorder="1" applyAlignment="1" applyProtection="1">
      <alignment horizontal="center" vertical="center" wrapText="1"/>
      <protection locked="0"/>
    </xf>
    <xf numFmtId="0" fontId="3" fillId="2" borderId="1" xfId="0" applyFont="1" applyFill="1" applyBorder="1" applyAlignment="1">
      <alignment horizontal="center" vertical="center"/>
    </xf>
    <xf numFmtId="49" fontId="2" fillId="2" borderId="1" xfId="0" applyNumberFormat="1" applyFont="1" applyFill="1" applyBorder="1" applyAlignment="1">
      <alignment horizontal="center" vertical="center" wrapText="1"/>
    </xf>
    <xf numFmtId="17" fontId="2" fillId="2" borderId="1" xfId="259" applyNumberFormat="1" applyFont="1" applyFill="1" applyBorder="1" applyAlignment="1" applyProtection="1">
      <alignment horizontal="center" vertical="center" wrapText="1"/>
      <protection locked="0"/>
    </xf>
    <xf numFmtId="0" fontId="2" fillId="2" borderId="3" xfId="259" applyNumberFormat="1" applyFont="1" applyFill="1" applyBorder="1" applyAlignment="1" applyProtection="1">
      <alignment horizontal="center" vertical="center" wrapText="1"/>
      <protection locked="0"/>
    </xf>
    <xf numFmtId="168" fontId="2" fillId="2" borderId="1" xfId="259" applyNumberFormat="1" applyFont="1" applyFill="1" applyBorder="1" applyAlignment="1" applyProtection="1">
      <alignment horizontal="center" vertical="center" wrapText="1"/>
      <protection locked="0"/>
    </xf>
    <xf numFmtId="0" fontId="18" fillId="2" borderId="1" xfId="0" applyFont="1" applyFill="1" applyBorder="1" applyAlignment="1">
      <alignment horizontal="center" vertical="center" textRotation="90"/>
    </xf>
    <xf numFmtId="9" fontId="0" fillId="2" borderId="6" xfId="0" applyNumberFormat="1" applyFill="1" applyBorder="1" applyAlignment="1">
      <alignment horizontal="center" vertical="center"/>
    </xf>
    <xf numFmtId="0" fontId="0" fillId="2" borderId="0" xfId="0" applyFill="1"/>
    <xf numFmtId="0" fontId="2" fillId="35" borderId="5" xfId="0" applyFont="1" applyFill="1" applyBorder="1" applyAlignment="1">
      <alignment horizontal="justify" vertical="center" wrapText="1"/>
    </xf>
    <xf numFmtId="9" fontId="0" fillId="2" borderId="6" xfId="0" applyNumberFormat="1" applyFill="1" applyBorder="1"/>
    <xf numFmtId="9" fontId="0" fillId="26" borderId="6" xfId="0" applyNumberFormat="1" applyFill="1" applyBorder="1"/>
    <xf numFmtId="9" fontId="0" fillId="26" borderId="15" xfId="0" applyNumberFormat="1" applyFill="1" applyBorder="1"/>
    <xf numFmtId="0" fontId="2" fillId="25" borderId="3" xfId="259" applyNumberFormat="1" applyFont="1" applyFill="1" applyBorder="1" applyAlignment="1" applyProtection="1">
      <alignment horizontal="center" vertical="center" wrapText="1"/>
      <protection locked="0"/>
    </xf>
    <xf numFmtId="168" fontId="2" fillId="25" borderId="28" xfId="259" applyNumberFormat="1" applyFont="1" applyFill="1" applyBorder="1" applyAlignment="1" applyProtection="1">
      <alignment horizontal="center" vertical="center" wrapText="1"/>
      <protection locked="0"/>
    </xf>
    <xf numFmtId="168" fontId="2" fillId="25" borderId="1" xfId="259" applyNumberFormat="1" applyFont="1" applyFill="1" applyBorder="1" applyAlignment="1" applyProtection="1">
      <alignment horizontal="center" vertical="center" wrapText="1"/>
      <protection locked="0"/>
    </xf>
    <xf numFmtId="0" fontId="18" fillId="25" borderId="1" xfId="0" applyFont="1" applyFill="1" applyBorder="1" applyAlignment="1">
      <alignment horizontal="center" vertical="center" textRotation="90"/>
    </xf>
    <xf numFmtId="9" fontId="0" fillId="25" borderId="6" xfId="0" applyNumberFormat="1" applyFill="1" applyBorder="1" applyAlignment="1">
      <alignment horizontal="center" vertical="center"/>
    </xf>
    <xf numFmtId="9" fontId="0" fillId="25" borderId="1" xfId="0" applyNumberFormat="1" applyFill="1" applyBorder="1" applyAlignment="1">
      <alignment horizontal="center" vertical="center"/>
    </xf>
    <xf numFmtId="0" fontId="18" fillId="26" borderId="1" xfId="0" applyFont="1" applyFill="1" applyBorder="1" applyAlignment="1">
      <alignment horizontal="center" vertical="center" textRotation="90"/>
    </xf>
    <xf numFmtId="9" fontId="0" fillId="26" borderId="6" xfId="0" applyNumberFormat="1" applyFill="1" applyBorder="1" applyAlignment="1">
      <alignment horizontal="center" vertical="center"/>
    </xf>
    <xf numFmtId="9" fontId="0" fillId="26" borderId="1" xfId="0" applyNumberFormat="1" applyFill="1" applyBorder="1" applyAlignment="1">
      <alignment horizontal="center" vertical="center"/>
    </xf>
    <xf numFmtId="0" fontId="9" fillId="36" borderId="1" xfId="259" applyNumberFormat="1" applyFont="1" applyFill="1" applyBorder="1" applyAlignment="1" applyProtection="1">
      <alignment horizontal="center" vertical="center" wrapText="1"/>
      <protection locked="0"/>
    </xf>
    <xf numFmtId="0" fontId="9" fillId="6" borderId="1" xfId="259" applyNumberFormat="1" applyFont="1" applyFill="1" applyBorder="1" applyAlignment="1" applyProtection="1">
      <alignment horizontal="justify" vertical="center" wrapText="1"/>
      <protection locked="0"/>
    </xf>
    <xf numFmtId="15" fontId="2" fillId="27" borderId="1" xfId="259" applyNumberFormat="1" applyFont="1" applyFill="1" applyBorder="1" applyAlignment="1" applyProtection="1">
      <alignment horizontal="center" vertical="center" wrapText="1"/>
      <protection locked="0"/>
    </xf>
    <xf numFmtId="0" fontId="3" fillId="13" borderId="0" xfId="259" applyNumberFormat="1" applyFont="1" applyFill="1" applyAlignment="1" applyProtection="1">
      <alignment horizontal="justify" vertical="center"/>
      <protection locked="0"/>
    </xf>
    <xf numFmtId="0" fontId="2" fillId="24" borderId="1" xfId="0" applyFont="1" applyFill="1" applyBorder="1" applyAlignment="1">
      <alignment horizontal="justify" vertical="center" wrapText="1"/>
    </xf>
    <xf numFmtId="0" fontId="9" fillId="24" borderId="1" xfId="0" applyFont="1" applyFill="1" applyBorder="1" applyAlignment="1">
      <alignment horizontal="justify" vertical="center" wrapText="1"/>
    </xf>
    <xf numFmtId="172" fontId="2" fillId="19" borderId="1" xfId="630" applyNumberFormat="1" applyFont="1" applyFill="1" applyBorder="1" applyAlignment="1" applyProtection="1">
      <alignment horizontal="center" vertical="center" textRotation="90" wrapText="1"/>
      <protection locked="0"/>
    </xf>
    <xf numFmtId="0" fontId="53" fillId="28" borderId="1" xfId="259" applyNumberFormat="1" applyFont="1" applyFill="1" applyBorder="1" applyAlignment="1" applyProtection="1">
      <alignment horizontal="justify" vertical="center" wrapText="1"/>
      <protection locked="0"/>
    </xf>
    <xf numFmtId="0" fontId="62" fillId="28" borderId="1" xfId="259" applyNumberFormat="1" applyFont="1" applyFill="1" applyBorder="1" applyAlignment="1" applyProtection="1">
      <alignment horizontal="justify" vertical="center" wrapText="1"/>
      <protection locked="0"/>
    </xf>
    <xf numFmtId="0" fontId="63" fillId="28" borderId="1" xfId="259" applyNumberFormat="1" applyFont="1" applyFill="1" applyBorder="1" applyAlignment="1" applyProtection="1">
      <alignment horizontal="justify" vertical="center" wrapText="1"/>
      <protection locked="0"/>
    </xf>
    <xf numFmtId="0" fontId="11" fillId="5" borderId="3" xfId="259" applyNumberFormat="1" applyFont="1" applyFill="1" applyBorder="1" applyAlignment="1" applyProtection="1">
      <alignment horizontal="center" vertical="center" wrapText="1"/>
      <protection locked="0"/>
    </xf>
    <xf numFmtId="16" fontId="9" fillId="27" borderId="1" xfId="259" applyNumberFormat="1" applyFont="1" applyFill="1" applyBorder="1" applyAlignment="1" applyProtection="1">
      <alignment horizontal="center" vertical="center" wrapText="1"/>
      <protection locked="0"/>
    </xf>
    <xf numFmtId="0" fontId="62" fillId="37" borderId="1" xfId="259" applyNumberFormat="1" applyFont="1" applyFill="1" applyBorder="1" applyAlignment="1" applyProtection="1">
      <alignment horizontal="justify" vertical="center" wrapText="1"/>
      <protection locked="0"/>
    </xf>
    <xf numFmtId="0" fontId="64" fillId="28" borderId="1" xfId="259" applyNumberFormat="1" applyFont="1" applyFill="1" applyBorder="1" applyAlignment="1" applyProtection="1">
      <alignment horizontal="justify" vertical="center" wrapText="1"/>
      <protection locked="0"/>
    </xf>
    <xf numFmtId="168" fontId="2" fillId="5" borderId="1" xfId="259" applyNumberFormat="1" applyFont="1" applyFill="1" applyBorder="1" applyAlignment="1" applyProtection="1">
      <alignment horizontal="center" vertical="center" wrapText="1"/>
      <protection locked="0"/>
    </xf>
    <xf numFmtId="2" fontId="2" fillId="32" borderId="1" xfId="259" applyNumberFormat="1" applyFont="1" applyFill="1" applyBorder="1" applyAlignment="1" applyProtection="1">
      <alignment horizontal="center" vertical="center" wrapText="1"/>
      <protection locked="0"/>
    </xf>
    <xf numFmtId="0" fontId="2" fillId="33" borderId="1" xfId="259" applyNumberFormat="1" applyFont="1" applyFill="1" applyBorder="1" applyAlignment="1">
      <alignment horizontal="center" vertical="center" wrapText="1"/>
    </xf>
    <xf numFmtId="0" fontId="2" fillId="33" borderId="1" xfId="259" applyNumberFormat="1" applyFont="1" applyFill="1" applyBorder="1" applyAlignment="1" applyProtection="1">
      <alignment horizontal="center" vertical="center" wrapText="1"/>
      <protection locked="0"/>
    </xf>
    <xf numFmtId="0" fontId="2" fillId="35" borderId="1" xfId="259" applyNumberFormat="1" applyFont="1" applyFill="1" applyBorder="1" applyAlignment="1" applyProtection="1">
      <alignment horizontal="justify" vertical="center" wrapText="1"/>
      <protection locked="0"/>
    </xf>
    <xf numFmtId="14" fontId="9" fillId="27" borderId="1" xfId="259" applyNumberFormat="1" applyFont="1" applyFill="1" applyBorder="1" applyAlignment="1" applyProtection="1">
      <alignment horizontal="center" vertical="center" wrapText="1"/>
      <protection locked="0"/>
    </xf>
    <xf numFmtId="0" fontId="3" fillId="32" borderId="1" xfId="259" applyNumberFormat="1" applyFont="1" applyFill="1" applyBorder="1" applyAlignment="1" applyProtection="1">
      <alignment horizontal="center" vertical="center" wrapText="1"/>
      <protection locked="0"/>
    </xf>
    <xf numFmtId="0" fontId="3" fillId="27" borderId="1" xfId="259" applyNumberFormat="1" applyFont="1" applyFill="1" applyBorder="1" applyAlignment="1" applyProtection="1">
      <alignment horizontal="justify" vertical="center" wrapText="1"/>
      <protection locked="0"/>
    </xf>
    <xf numFmtId="165" fontId="1" fillId="27" borderId="8" xfId="630" applyFont="1" applyFill="1" applyBorder="1" applyAlignment="1" applyProtection="1">
      <alignment horizontal="center" vertical="center" wrapText="1"/>
      <protection locked="0"/>
    </xf>
    <xf numFmtId="0" fontId="2" fillId="32" borderId="1" xfId="629" applyNumberFormat="1" applyFont="1" applyFill="1" applyBorder="1" applyAlignment="1" applyProtection="1">
      <alignment horizontal="center" vertical="center" wrapText="1"/>
      <protection locked="0"/>
    </xf>
    <xf numFmtId="0" fontId="3" fillId="5" borderId="3" xfId="0" applyFont="1" applyFill="1" applyBorder="1" applyAlignment="1" applyProtection="1">
      <alignment horizontal="center" vertical="center" wrapText="1"/>
      <protection locked="0"/>
    </xf>
    <xf numFmtId="0" fontId="2" fillId="23" borderId="1" xfId="259" applyNumberFormat="1" applyFont="1" applyFill="1" applyBorder="1" applyAlignment="1" applyProtection="1">
      <alignment horizontal="center" vertical="center" wrapText="1"/>
      <protection locked="0"/>
    </xf>
    <xf numFmtId="2" fontId="0" fillId="5" borderId="6" xfId="0" applyNumberFormat="1" applyFill="1" applyBorder="1"/>
    <xf numFmtId="16" fontId="2" fillId="23" borderId="1" xfId="259" applyNumberFormat="1" applyFont="1" applyFill="1" applyBorder="1" applyAlignment="1" applyProtection="1">
      <alignment horizontal="center" vertical="center" wrapText="1"/>
      <protection locked="0"/>
    </xf>
    <xf numFmtId="0" fontId="1" fillId="5" borderId="1" xfId="0" applyFont="1" applyFill="1" applyBorder="1" applyAlignment="1">
      <alignment horizontal="justify" vertical="center" wrapText="1"/>
    </xf>
    <xf numFmtId="0" fontId="9" fillId="6" borderId="1" xfId="0" applyFont="1" applyFill="1" applyBorder="1" applyAlignment="1">
      <alignment horizontal="justify" vertical="center" wrapText="1"/>
    </xf>
    <xf numFmtId="10" fontId="0" fillId="5" borderId="6" xfId="0" applyNumberFormat="1" applyFill="1" applyBorder="1" applyAlignment="1">
      <alignment vertical="center"/>
    </xf>
    <xf numFmtId="9" fontId="0" fillId="5" borderId="6" xfId="0" applyNumberFormat="1" applyFill="1" applyBorder="1" applyAlignment="1">
      <alignment vertical="center"/>
    </xf>
    <xf numFmtId="0" fontId="60" fillId="28" borderId="9" xfId="627" applyFont="1" applyFill="1" applyBorder="1" applyAlignment="1">
      <alignment vertical="center"/>
    </xf>
    <xf numFmtId="0" fontId="60" fillId="28" borderId="10" xfId="627" applyFont="1" applyFill="1" applyBorder="1" applyAlignment="1">
      <alignment vertical="center"/>
    </xf>
    <xf numFmtId="0" fontId="60" fillId="28" borderId="31" xfId="627" applyFont="1" applyFill="1" applyBorder="1" applyAlignment="1">
      <alignment vertical="center"/>
    </xf>
    <xf numFmtId="0" fontId="26" fillId="28" borderId="11" xfId="627" applyFill="1" applyBorder="1"/>
    <xf numFmtId="0" fontId="9" fillId="29" borderId="1" xfId="0" applyFont="1" applyFill="1" applyBorder="1" applyAlignment="1" applyProtection="1">
      <alignment horizontal="center" vertical="center" wrapText="1"/>
      <protection locked="0"/>
    </xf>
    <xf numFmtId="9" fontId="0" fillId="21" borderId="6" xfId="0" applyNumberFormat="1" applyFill="1" applyBorder="1" applyAlignment="1">
      <alignment horizontal="center" vertical="center"/>
    </xf>
    <xf numFmtId="9" fontId="0" fillId="35" borderId="6" xfId="0" applyNumberFormat="1" applyFill="1" applyBorder="1" applyAlignment="1">
      <alignment horizontal="center" vertical="center"/>
    </xf>
    <xf numFmtId="9" fontId="0" fillId="29" borderId="6" xfId="0" applyNumberFormat="1" applyFill="1" applyBorder="1" applyAlignment="1">
      <alignment horizontal="center" vertical="center"/>
    </xf>
    <xf numFmtId="0" fontId="67" fillId="20" borderId="1" xfId="259" applyNumberFormat="1" applyFont="1" applyFill="1" applyBorder="1" applyAlignment="1" applyProtection="1">
      <alignment horizontal="justify" vertical="center" wrapText="1"/>
      <protection locked="0"/>
    </xf>
    <xf numFmtId="0" fontId="27" fillId="20" borderId="1" xfId="259" applyNumberFormat="1" applyFont="1" applyFill="1" applyBorder="1" applyAlignment="1" applyProtection="1">
      <alignment horizontal="justify" vertical="center" wrapText="1"/>
      <protection locked="0"/>
    </xf>
    <xf numFmtId="0" fontId="2" fillId="20" borderId="1" xfId="259" applyNumberFormat="1" applyFont="1" applyFill="1" applyBorder="1" applyAlignment="1" applyProtection="1">
      <alignment horizontal="justify" vertical="center" wrapText="1"/>
      <protection locked="0"/>
    </xf>
    <xf numFmtId="0" fontId="3" fillId="20" borderId="1" xfId="259" applyNumberFormat="1" applyFont="1" applyFill="1" applyBorder="1" applyAlignment="1" applyProtection="1">
      <alignment horizontal="justify" vertical="center" wrapText="1"/>
      <protection locked="0"/>
    </xf>
    <xf numFmtId="0" fontId="68" fillId="28" borderId="1" xfId="259" applyNumberFormat="1" applyFont="1" applyFill="1" applyBorder="1" applyAlignment="1" applyProtection="1">
      <alignment horizontal="justify" vertical="center" wrapText="1"/>
      <protection locked="0"/>
    </xf>
    <xf numFmtId="0" fontId="3" fillId="5" borderId="3" xfId="259" applyNumberFormat="1" applyFont="1" applyFill="1" applyBorder="1" applyAlignment="1" applyProtection="1">
      <alignment horizontal="left" vertical="center" wrapText="1"/>
      <protection locked="0"/>
    </xf>
    <xf numFmtId="0" fontId="3" fillId="35" borderId="1" xfId="0" applyFont="1" applyFill="1" applyBorder="1" applyAlignment="1" applyProtection="1">
      <alignment horizontal="center" vertical="center" wrapText="1"/>
      <protection locked="0"/>
    </xf>
    <xf numFmtId="0" fontId="2" fillId="6" borderId="3" xfId="259" applyNumberFormat="1" applyFont="1" applyFill="1" applyBorder="1" applyAlignment="1" applyProtection="1">
      <alignment horizontal="justify" vertical="center" wrapText="1"/>
      <protection locked="0"/>
    </xf>
    <xf numFmtId="0" fontId="69" fillId="0" borderId="1" xfId="0" applyFont="1" applyBorder="1" applyAlignment="1">
      <alignment horizontal="center"/>
    </xf>
    <xf numFmtId="0" fontId="50" fillId="5" borderId="1" xfId="0" applyFont="1" applyFill="1" applyBorder="1" applyAlignment="1">
      <alignment horizontal="justify" vertical="center" wrapText="1"/>
    </xf>
    <xf numFmtId="0" fontId="42" fillId="5" borderId="1" xfId="0" applyFont="1" applyFill="1" applyBorder="1" applyAlignment="1">
      <alignment horizontal="justify" vertical="center" wrapText="1"/>
    </xf>
    <xf numFmtId="0" fontId="0" fillId="0" borderId="3" xfId="0" applyBorder="1" applyAlignment="1">
      <alignment wrapText="1"/>
    </xf>
    <xf numFmtId="0" fontId="0" fillId="0" borderId="3" xfId="0" applyBorder="1"/>
    <xf numFmtId="0" fontId="9" fillId="0" borderId="1" xfId="0" applyFont="1" applyBorder="1" applyAlignment="1" applyProtection="1">
      <alignment horizontal="justify" vertical="center" wrapText="1"/>
      <protection locked="0"/>
    </xf>
    <xf numFmtId="0" fontId="2" fillId="14" borderId="1" xfId="0" applyFont="1" applyFill="1" applyBorder="1" applyAlignment="1" applyProtection="1">
      <alignment horizontal="center" vertical="center" wrapText="1"/>
      <protection locked="0"/>
    </xf>
    <xf numFmtId="2" fontId="2" fillId="28" borderId="1" xfId="0" applyNumberFormat="1" applyFont="1" applyFill="1" applyBorder="1" applyAlignment="1">
      <alignment horizontal="center" vertical="center" wrapText="1"/>
    </xf>
    <xf numFmtId="0" fontId="2" fillId="35" borderId="1" xfId="0" applyFont="1" applyFill="1" applyBorder="1" applyAlignment="1" applyProtection="1">
      <alignment horizontal="center" vertical="center" wrapText="1"/>
      <protection locked="0"/>
    </xf>
    <xf numFmtId="0" fontId="9" fillId="21" borderId="1" xfId="259" applyNumberFormat="1" applyFont="1" applyFill="1" applyBorder="1" applyAlignment="1" applyProtection="1">
      <alignment horizontal="center" vertical="center" wrapText="1"/>
      <protection locked="0"/>
    </xf>
    <xf numFmtId="172" fontId="2" fillId="35" borderId="1" xfId="630" applyNumberFormat="1" applyFont="1" applyFill="1" applyBorder="1" applyAlignment="1">
      <alignment horizontal="center" vertical="center" textRotation="90" wrapText="1"/>
    </xf>
    <xf numFmtId="0" fontId="9" fillId="35" borderId="1" xfId="0" applyFont="1" applyFill="1" applyBorder="1" applyAlignment="1">
      <alignment horizontal="justify" vertical="center" wrapText="1"/>
    </xf>
    <xf numFmtId="0" fontId="2" fillId="35" borderId="1" xfId="259" applyNumberFormat="1" applyFont="1" applyFill="1" applyBorder="1" applyAlignment="1" applyProtection="1">
      <alignment horizontal="center" vertical="center" wrapText="1"/>
      <protection locked="0"/>
    </xf>
    <xf numFmtId="0" fontId="2" fillId="22" borderId="1" xfId="0" applyFont="1" applyFill="1" applyBorder="1" applyAlignment="1">
      <alignment horizontal="justify" vertical="center" wrapText="1"/>
    </xf>
    <xf numFmtId="0" fontId="9" fillId="2" borderId="1" xfId="0" applyFont="1" applyFill="1" applyBorder="1" applyAlignment="1">
      <alignment horizontal="justify" vertical="center" wrapText="1"/>
    </xf>
    <xf numFmtId="0" fontId="2" fillId="29" borderId="1" xfId="0" applyFont="1" applyFill="1" applyBorder="1" applyAlignment="1">
      <alignment horizontal="justify" vertical="center" wrapText="1"/>
    </xf>
    <xf numFmtId="0" fontId="3" fillId="29" borderId="1" xfId="0" applyFont="1" applyFill="1" applyBorder="1" applyAlignment="1">
      <alignment horizontal="justify" vertical="center" wrapText="1"/>
    </xf>
    <xf numFmtId="166" fontId="26" fillId="0" borderId="0" xfId="627" applyNumberFormat="1"/>
    <xf numFmtId="0" fontId="7" fillId="23" borderId="1" xfId="259" applyNumberFormat="1" applyFont="1" applyFill="1" applyBorder="1" applyAlignment="1" applyProtection="1">
      <alignment horizontal="center" vertical="center" wrapText="1"/>
      <protection locked="0"/>
    </xf>
    <xf numFmtId="0" fontId="1" fillId="27" borderId="5" xfId="0" applyFont="1" applyFill="1" applyBorder="1" applyAlignment="1" applyProtection="1">
      <alignment horizontal="justify" vertical="center" wrapText="1"/>
      <protection locked="0"/>
    </xf>
    <xf numFmtId="165" fontId="2" fillId="27" borderId="28" xfId="630" applyFont="1" applyFill="1" applyBorder="1" applyAlignment="1" applyProtection="1">
      <alignment horizontal="center" vertical="center" wrapText="1"/>
      <protection locked="0"/>
    </xf>
    <xf numFmtId="0" fontId="26" fillId="35" borderId="1" xfId="627" applyFill="1" applyBorder="1" applyAlignment="1">
      <alignment horizontal="center" vertical="center"/>
    </xf>
    <xf numFmtId="0" fontId="18" fillId="28" borderId="1" xfId="0" applyFont="1" applyFill="1" applyBorder="1" applyAlignment="1">
      <alignment horizontal="center" vertical="center" textRotation="90"/>
    </xf>
    <xf numFmtId="0" fontId="26" fillId="0" borderId="1" xfId="0" applyFont="1" applyBorder="1" applyAlignment="1">
      <alignment horizontal="center" wrapText="1"/>
    </xf>
    <xf numFmtId="0" fontId="0" fillId="28" borderId="1" xfId="0" applyFill="1" applyBorder="1" applyAlignment="1">
      <alignment horizontal="center"/>
    </xf>
    <xf numFmtId="9" fontId="0" fillId="17" borderId="6" xfId="0" applyNumberFormat="1" applyFill="1" applyBorder="1" applyAlignment="1">
      <alignment horizontal="center" vertical="center"/>
    </xf>
    <xf numFmtId="0" fontId="0" fillId="28" borderId="1" xfId="0" applyFill="1" applyBorder="1"/>
    <xf numFmtId="0" fontId="8" fillId="2" borderId="1" xfId="0" applyFont="1" applyFill="1" applyBorder="1" applyAlignment="1" applyProtection="1">
      <alignment horizontal="center" vertical="center" wrapText="1"/>
      <protection locked="0"/>
    </xf>
    <xf numFmtId="0" fontId="0" fillId="0" borderId="0" xfId="0" applyAlignment="1">
      <alignment horizontal="left"/>
    </xf>
    <xf numFmtId="0" fontId="26" fillId="6" borderId="38" xfId="627" applyFill="1" applyBorder="1" applyAlignment="1">
      <alignment horizontal="center"/>
    </xf>
    <xf numFmtId="0" fontId="26" fillId="6" borderId="39" xfId="627" applyFill="1" applyBorder="1" applyAlignment="1">
      <alignment horizontal="center"/>
    </xf>
    <xf numFmtId="0" fontId="26" fillId="6" borderId="39" xfId="627" applyFill="1" applyBorder="1" applyAlignment="1">
      <alignment horizontal="center" vertical="center" wrapText="1"/>
    </xf>
    <xf numFmtId="0" fontId="3" fillId="2" borderId="7" xfId="0" applyFont="1" applyFill="1" applyBorder="1" applyAlignment="1">
      <alignment horizontal="center" vertical="center" wrapText="1"/>
    </xf>
    <xf numFmtId="0" fontId="0" fillId="0" borderId="1" xfId="0" applyBorder="1" applyAlignment="1">
      <alignment horizontal="left"/>
    </xf>
    <xf numFmtId="0" fontId="26" fillId="0" borderId="1" xfId="627" applyBorder="1"/>
    <xf numFmtId="14" fontId="2" fillId="27" borderId="1" xfId="0" applyNumberFormat="1" applyFont="1" applyFill="1" applyBorder="1" applyAlignment="1" applyProtection="1">
      <alignment horizontal="justify" vertical="center" wrapText="1"/>
      <protection locked="0"/>
    </xf>
    <xf numFmtId="0" fontId="18" fillId="0" borderId="11" xfId="0" applyFont="1" applyBorder="1" applyAlignment="1">
      <alignment horizontal="justify" vertical="center" wrapText="1"/>
    </xf>
    <xf numFmtId="0" fontId="2" fillId="3" borderId="1" xfId="259" applyNumberFormat="1" applyFont="1" applyFill="1" applyBorder="1" applyAlignment="1">
      <alignment horizontal="center" vertical="center" wrapText="1"/>
    </xf>
    <xf numFmtId="172" fontId="2" fillId="27" borderId="28" xfId="630" applyNumberFormat="1" applyFont="1" applyFill="1" applyBorder="1" applyAlignment="1" applyProtection="1">
      <alignment horizontal="center" textRotation="90" wrapText="1"/>
      <protection locked="0"/>
    </xf>
    <xf numFmtId="172" fontId="2" fillId="27" borderId="1" xfId="630" applyNumberFormat="1" applyFont="1" applyFill="1" applyBorder="1" applyAlignment="1" applyProtection="1">
      <alignment horizontal="center" textRotation="90" wrapText="1"/>
      <protection locked="0"/>
    </xf>
    <xf numFmtId="172" fontId="3" fillId="27" borderId="28" xfId="630" applyNumberFormat="1" applyFont="1" applyFill="1" applyBorder="1" applyAlignment="1" applyProtection="1">
      <alignment horizontal="center" textRotation="90"/>
      <protection locked="0"/>
    </xf>
    <xf numFmtId="172" fontId="3" fillId="27" borderId="1" xfId="630" applyNumberFormat="1" applyFont="1" applyFill="1" applyBorder="1" applyAlignment="1" applyProtection="1">
      <alignment horizontal="center" textRotation="90"/>
      <protection locked="0"/>
    </xf>
    <xf numFmtId="172" fontId="9" fillId="27" borderId="28" xfId="630" applyNumberFormat="1" applyFont="1" applyFill="1" applyBorder="1" applyAlignment="1" applyProtection="1">
      <alignment horizontal="center" textRotation="90" wrapText="1"/>
      <protection locked="0"/>
    </xf>
    <xf numFmtId="172" fontId="9" fillId="27" borderId="1" xfId="630" applyNumberFormat="1" applyFont="1" applyFill="1" applyBorder="1" applyAlignment="1" applyProtection="1">
      <alignment horizontal="center" textRotation="90" wrapText="1"/>
      <protection locked="0"/>
    </xf>
    <xf numFmtId="172" fontId="25" fillId="27" borderId="1" xfId="630" applyNumberFormat="1" applyFont="1" applyFill="1" applyBorder="1" applyAlignment="1" applyProtection="1">
      <alignment horizontal="center" textRotation="90" wrapText="1"/>
      <protection locked="0"/>
    </xf>
    <xf numFmtId="168" fontId="2" fillId="27" borderId="28" xfId="259" applyNumberFormat="1" applyFont="1" applyFill="1" applyBorder="1" applyAlignment="1" applyProtection="1">
      <alignment horizontal="center" wrapText="1"/>
      <protection locked="0"/>
    </xf>
    <xf numFmtId="168" fontId="2" fillId="27" borderId="1" xfId="259" applyNumberFormat="1" applyFont="1" applyFill="1" applyBorder="1" applyAlignment="1" applyProtection="1">
      <alignment horizontal="center" wrapText="1"/>
      <protection locked="0"/>
    </xf>
    <xf numFmtId="0" fontId="3" fillId="13" borderId="0" xfId="0" applyFont="1" applyFill="1" applyAlignment="1">
      <alignment horizontal="center" vertical="center" wrapText="1"/>
    </xf>
    <xf numFmtId="168" fontId="1" fillId="27" borderId="8" xfId="259" applyNumberFormat="1" applyFont="1" applyFill="1" applyBorder="1" applyAlignment="1" applyProtection="1">
      <alignment horizontal="center" wrapText="1"/>
      <protection locked="0"/>
    </xf>
    <xf numFmtId="164" fontId="2" fillId="27" borderId="1" xfId="259" applyFont="1" applyFill="1" applyBorder="1" applyAlignment="1" applyProtection="1">
      <alignment horizontal="center" wrapText="1"/>
      <protection locked="0"/>
    </xf>
    <xf numFmtId="168" fontId="3" fillId="27" borderId="1" xfId="259" applyNumberFormat="1" applyFont="1" applyFill="1" applyBorder="1" applyAlignment="1" applyProtection="1">
      <alignment horizontal="center"/>
      <protection locked="0"/>
    </xf>
    <xf numFmtId="0" fontId="2" fillId="38" borderId="1" xfId="259" applyNumberFormat="1" applyFont="1" applyFill="1" applyBorder="1" applyAlignment="1" applyProtection="1">
      <alignment horizontal="justify" vertical="center" wrapText="1"/>
      <protection locked="0"/>
    </xf>
    <xf numFmtId="0" fontId="2" fillId="37" borderId="1" xfId="259" applyNumberFormat="1" applyFont="1" applyFill="1" applyBorder="1" applyAlignment="1" applyProtection="1">
      <alignment horizontal="justify" vertical="center" wrapText="1"/>
      <protection locked="0"/>
    </xf>
    <xf numFmtId="0" fontId="2" fillId="10" borderId="1" xfId="259" applyNumberFormat="1" applyFont="1" applyFill="1" applyBorder="1" applyAlignment="1" applyProtection="1">
      <alignment horizontal="justify" vertical="center" wrapText="1"/>
      <protection locked="0"/>
    </xf>
    <xf numFmtId="172" fontId="2" fillId="19" borderId="1" xfId="630" applyNumberFormat="1" applyFont="1" applyFill="1" applyBorder="1" applyAlignment="1" applyProtection="1">
      <alignment horizontal="center" textRotation="90" wrapText="1"/>
      <protection locked="0"/>
    </xf>
    <xf numFmtId="0" fontId="2" fillId="28" borderId="0" xfId="259" applyNumberFormat="1" applyFont="1" applyFill="1" applyAlignment="1" applyProtection="1">
      <alignment horizontal="justify" vertical="center" wrapText="1"/>
      <protection locked="0"/>
    </xf>
    <xf numFmtId="0" fontId="2" fillId="28" borderId="5" xfId="259" applyNumberFormat="1" applyFont="1" applyFill="1" applyBorder="1" applyAlignment="1" applyProtection="1">
      <alignment horizontal="justify" vertical="center" wrapText="1"/>
      <protection locked="0"/>
    </xf>
    <xf numFmtId="172" fontId="2" fillId="25" borderId="27" xfId="630" applyNumberFormat="1" applyFont="1" applyFill="1" applyBorder="1" applyAlignment="1">
      <alignment horizontal="center" vertical="center" textRotation="90" wrapText="1"/>
    </xf>
    <xf numFmtId="1" fontId="2" fillId="13" borderId="1" xfId="259" applyNumberFormat="1" applyFont="1" applyFill="1" applyBorder="1" applyAlignment="1" applyProtection="1">
      <alignment horizontal="justify" vertical="center" wrapText="1"/>
      <protection locked="0"/>
    </xf>
    <xf numFmtId="14" fontId="2" fillId="27" borderId="1" xfId="259" applyNumberFormat="1" applyFont="1" applyFill="1" applyBorder="1" applyAlignment="1" applyProtection="1">
      <alignment horizontal="justify" vertical="center" wrapText="1"/>
      <protection locked="0"/>
    </xf>
    <xf numFmtId="1" fontId="2" fillId="28" borderId="1" xfId="259" applyNumberFormat="1" applyFont="1" applyFill="1" applyBorder="1" applyAlignment="1" applyProtection="1">
      <alignment horizontal="justify" vertical="center" wrapText="1"/>
      <protection locked="0"/>
    </xf>
    <xf numFmtId="168" fontId="2" fillId="21" borderId="28" xfId="259" applyNumberFormat="1" applyFont="1" applyFill="1" applyBorder="1" applyAlignment="1" applyProtection="1">
      <alignment horizontal="center" vertical="center" wrapText="1"/>
      <protection locked="0"/>
    </xf>
    <xf numFmtId="168" fontId="2" fillId="21" borderId="1" xfId="259" applyNumberFormat="1" applyFont="1" applyFill="1" applyBorder="1" applyAlignment="1" applyProtection="1">
      <alignment horizontal="center" vertical="center" wrapText="1"/>
      <protection locked="0"/>
    </xf>
    <xf numFmtId="1" fontId="64" fillId="28" borderId="1" xfId="259" applyNumberFormat="1" applyFont="1" applyFill="1" applyBorder="1" applyAlignment="1" applyProtection="1">
      <alignment horizontal="justify" vertical="center" wrapText="1"/>
      <protection locked="0"/>
    </xf>
    <xf numFmtId="1" fontId="67" fillId="20" borderId="1" xfId="259" applyNumberFormat="1" applyFont="1" applyFill="1" applyBorder="1" applyAlignment="1" applyProtection="1">
      <alignment horizontal="justify" vertical="center" wrapText="1"/>
      <protection locked="0"/>
    </xf>
    <xf numFmtId="0" fontId="2" fillId="28" borderId="5" xfId="0" applyFont="1" applyFill="1" applyBorder="1" applyAlignment="1" applyProtection="1">
      <alignment vertical="center" wrapText="1"/>
      <protection locked="0"/>
    </xf>
    <xf numFmtId="17" fontId="2" fillId="35" borderId="1" xfId="259" applyNumberFormat="1" applyFont="1" applyFill="1" applyBorder="1" applyAlignment="1" applyProtection="1">
      <alignment horizontal="center" vertical="center" wrapText="1"/>
      <protection locked="0"/>
    </xf>
    <xf numFmtId="1" fontId="0" fillId="0" borderId="0" xfId="0" applyNumberFormat="1"/>
    <xf numFmtId="0" fontId="2" fillId="27" borderId="4" xfId="0" applyFont="1" applyFill="1" applyBorder="1" applyAlignment="1" applyProtection="1">
      <alignment horizontal="justify" vertical="center" wrapText="1"/>
      <protection locked="0"/>
    </xf>
    <xf numFmtId="0" fontId="3" fillId="28" borderId="1" xfId="259" applyNumberFormat="1" applyFont="1" applyFill="1" applyBorder="1" applyAlignment="1" applyProtection="1">
      <alignment horizontal="justify" vertical="center"/>
      <protection locked="0"/>
    </xf>
    <xf numFmtId="0" fontId="72" fillId="5" borderId="3" xfId="0" applyFont="1" applyFill="1" applyBorder="1" applyAlignment="1" applyProtection="1">
      <alignment horizontal="center" vertical="center" wrapText="1"/>
      <protection locked="0"/>
    </xf>
    <xf numFmtId="0" fontId="2" fillId="27" borderId="1" xfId="0" applyFont="1" applyFill="1" applyBorder="1" applyAlignment="1" applyProtection="1">
      <alignment horizontal="left" vertical="center" wrapText="1"/>
      <protection locked="0"/>
    </xf>
    <xf numFmtId="172" fontId="2" fillId="25" borderId="6" xfId="630" applyNumberFormat="1" applyFont="1" applyFill="1" applyBorder="1" applyAlignment="1">
      <alignment horizontal="center" vertical="center" textRotation="90" wrapText="1"/>
    </xf>
    <xf numFmtId="0" fontId="2" fillId="28" borderId="1" xfId="0" applyFont="1" applyFill="1" applyBorder="1" applyAlignment="1" applyProtection="1">
      <alignment vertical="center" wrapText="1"/>
      <protection locked="0"/>
    </xf>
    <xf numFmtId="1" fontId="0" fillId="28" borderId="0" xfId="0" applyNumberFormat="1" applyFill="1"/>
    <xf numFmtId="165" fontId="1" fillId="17" borderId="8" xfId="630" applyFont="1" applyFill="1" applyBorder="1" applyAlignment="1" applyProtection="1">
      <alignment horizontal="center" vertical="center" wrapText="1"/>
      <protection locked="0"/>
    </xf>
    <xf numFmtId="165" fontId="1" fillId="27" borderId="8" xfId="259" applyNumberFormat="1" applyFont="1" applyFill="1" applyBorder="1" applyAlignment="1" applyProtection="1">
      <alignment horizontal="center" vertical="center" wrapText="1"/>
      <protection locked="0"/>
    </xf>
    <xf numFmtId="168" fontId="1" fillId="17" borderId="8" xfId="259" applyNumberFormat="1" applyFont="1" applyFill="1" applyBorder="1" applyAlignment="1" applyProtection="1">
      <alignment horizontal="center" vertical="center" wrapText="1"/>
      <protection locked="0"/>
    </xf>
    <xf numFmtId="168" fontId="9" fillId="17" borderId="1" xfId="259" applyNumberFormat="1" applyFont="1" applyFill="1" applyBorder="1" applyAlignment="1" applyProtection="1">
      <alignment horizontal="center" vertical="center" wrapText="1"/>
      <protection locked="0"/>
    </xf>
    <xf numFmtId="0" fontId="3" fillId="22" borderId="1" xfId="0" applyFont="1" applyFill="1" applyBorder="1" applyAlignment="1" applyProtection="1">
      <alignment horizontal="center" vertical="center" wrapText="1"/>
      <protection locked="0"/>
    </xf>
    <xf numFmtId="0" fontId="2" fillId="27" borderId="1" xfId="259" applyNumberFormat="1" applyFont="1" applyFill="1" applyBorder="1" applyAlignment="1" applyProtection="1">
      <alignment horizontal="justify" vertical="center"/>
      <protection locked="0"/>
    </xf>
    <xf numFmtId="0" fontId="2" fillId="21" borderId="1" xfId="259" applyNumberFormat="1" applyFont="1" applyFill="1" applyBorder="1" applyAlignment="1" applyProtection="1">
      <alignment horizontal="justify" vertical="center"/>
      <protection locked="0"/>
    </xf>
    <xf numFmtId="164" fontId="9" fillId="27" borderId="28" xfId="259" applyFont="1" applyFill="1" applyBorder="1" applyAlignment="1" applyProtection="1">
      <alignment horizontal="center" vertical="center" wrapText="1"/>
      <protection locked="0"/>
    </xf>
    <xf numFmtId="164" fontId="2" fillId="27" borderId="28" xfId="259" applyFont="1" applyFill="1" applyBorder="1" applyAlignment="1" applyProtection="1">
      <alignment horizontal="center" vertical="center" wrapText="1"/>
      <protection locked="0"/>
    </xf>
    <xf numFmtId="0" fontId="26" fillId="22" borderId="1" xfId="627" applyFill="1" applyBorder="1" applyAlignment="1">
      <alignment horizontal="center" vertical="center"/>
    </xf>
    <xf numFmtId="0" fontId="26" fillId="24" borderId="6" xfId="627" applyFill="1" applyBorder="1" applyAlignment="1">
      <alignment horizontal="center" vertical="center"/>
    </xf>
    <xf numFmtId="0" fontId="26" fillId="27" borderId="6" xfId="627" applyFill="1" applyBorder="1" applyAlignment="1">
      <alignment horizontal="center" vertical="center"/>
    </xf>
    <xf numFmtId="0" fontId="26" fillId="27" borderId="1" xfId="627" applyFill="1" applyBorder="1" applyAlignment="1">
      <alignment horizontal="center" vertical="center"/>
    </xf>
    <xf numFmtId="0" fontId="26" fillId="21" borderId="6" xfId="627" applyFill="1" applyBorder="1" applyAlignment="1">
      <alignment horizontal="center" vertical="center"/>
    </xf>
    <xf numFmtId="0" fontId="26" fillId="2" borderId="6" xfId="627" applyFill="1" applyBorder="1" applyAlignment="1">
      <alignment horizontal="center" vertical="center"/>
    </xf>
    <xf numFmtId="0" fontId="73" fillId="21" borderId="1" xfId="627" applyFont="1" applyFill="1" applyBorder="1" applyAlignment="1">
      <alignment horizontal="center" vertical="center"/>
    </xf>
    <xf numFmtId="0" fontId="26" fillId="6" borderId="24" xfId="627" applyFill="1" applyBorder="1" applyAlignment="1">
      <alignment horizontal="center" vertical="center" wrapText="1"/>
    </xf>
    <xf numFmtId="166" fontId="26" fillId="24" borderId="11" xfId="518" applyFont="1" applyFill="1" applyBorder="1" applyAlignment="1">
      <alignment horizontal="center" wrapText="1"/>
    </xf>
    <xf numFmtId="0" fontId="3" fillId="14" borderId="22" xfId="0" applyFont="1" applyFill="1" applyBorder="1" applyAlignment="1">
      <alignment horizontal="center" vertical="center" wrapText="1"/>
    </xf>
    <xf numFmtId="0" fontId="26" fillId="27" borderId="22" xfId="627" applyFill="1" applyBorder="1" applyAlignment="1">
      <alignment horizontal="center" vertical="center"/>
    </xf>
    <xf numFmtId="0" fontId="26" fillId="36" borderId="22" xfId="627" applyFill="1" applyBorder="1" applyAlignment="1">
      <alignment horizontal="center" vertical="center"/>
    </xf>
    <xf numFmtId="0" fontId="3" fillId="21" borderId="22"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26" fillId="22" borderId="23" xfId="627" applyFill="1" applyBorder="1" applyAlignment="1">
      <alignment horizontal="center" vertical="center"/>
    </xf>
    <xf numFmtId="0" fontId="26" fillId="24" borderId="31" xfId="627" applyFill="1" applyBorder="1" applyAlignment="1">
      <alignment horizontal="center" vertical="center"/>
    </xf>
    <xf numFmtId="0" fontId="26" fillId="22" borderId="22" xfId="627" applyFill="1" applyBorder="1" applyAlignment="1">
      <alignment horizontal="center" vertical="center" wrapText="1"/>
    </xf>
    <xf numFmtId="0" fontId="26" fillId="2" borderId="22" xfId="627" applyFill="1" applyBorder="1" applyAlignment="1">
      <alignment horizontal="center" vertical="center" wrapText="1"/>
    </xf>
    <xf numFmtId="0" fontId="26" fillId="27" borderId="22" xfId="627" applyFill="1" applyBorder="1" applyAlignment="1">
      <alignment horizontal="center" vertical="center" wrapText="1"/>
    </xf>
    <xf numFmtId="0" fontId="26" fillId="36" borderId="22" xfId="627" applyFill="1" applyBorder="1" applyAlignment="1">
      <alignment horizontal="center" vertical="center" wrapText="1"/>
    </xf>
    <xf numFmtId="0" fontId="26" fillId="21" borderId="22" xfId="627" applyFill="1" applyBorder="1" applyAlignment="1">
      <alignment horizontal="center" vertical="center" wrapText="1"/>
    </xf>
    <xf numFmtId="0" fontId="26" fillId="7" borderId="25" xfId="627" applyFill="1" applyBorder="1" applyAlignment="1">
      <alignment horizontal="center" vertical="center"/>
    </xf>
    <xf numFmtId="0" fontId="14" fillId="27" borderId="7" xfId="0" applyFont="1" applyFill="1" applyBorder="1" applyAlignment="1">
      <alignment horizontal="center" vertical="center" textRotation="90" wrapText="1"/>
    </xf>
    <xf numFmtId="0" fontId="74" fillId="24" borderId="35" xfId="627" applyFont="1" applyFill="1" applyBorder="1" applyAlignment="1">
      <alignment horizontal="center" vertical="center" wrapText="1"/>
    </xf>
    <xf numFmtId="0" fontId="74" fillId="24" borderId="31" xfId="627" applyFont="1" applyFill="1" applyBorder="1" applyAlignment="1">
      <alignment horizontal="center" vertical="center"/>
    </xf>
    <xf numFmtId="0" fontId="74" fillId="24" borderId="1" xfId="627" applyFont="1" applyFill="1" applyBorder="1" applyAlignment="1">
      <alignment horizontal="center" vertical="center"/>
    </xf>
    <xf numFmtId="0" fontId="74" fillId="24" borderId="15" xfId="627" applyFont="1" applyFill="1" applyBorder="1" applyAlignment="1">
      <alignment horizontal="center" vertical="center"/>
    </xf>
    <xf numFmtId="0" fontId="26" fillId="19" borderId="6" xfId="627" applyFill="1" applyBorder="1" applyAlignment="1">
      <alignment horizontal="center" wrapText="1"/>
    </xf>
    <xf numFmtId="0" fontId="26" fillId="7" borderId="40" xfId="627" applyFill="1" applyBorder="1" applyAlignment="1">
      <alignment horizontal="center" vertical="center"/>
    </xf>
    <xf numFmtId="9" fontId="26" fillId="7" borderId="40" xfId="629" applyFont="1" applyFill="1" applyBorder="1" applyAlignment="1">
      <alignment horizontal="center" vertical="center"/>
    </xf>
    <xf numFmtId="9" fontId="74" fillId="24" borderId="1" xfId="629" applyFont="1" applyFill="1" applyBorder="1" applyAlignment="1">
      <alignment horizontal="center" vertical="center"/>
    </xf>
    <xf numFmtId="9" fontId="26" fillId="22" borderId="1" xfId="629" applyFont="1" applyFill="1" applyBorder="1" applyAlignment="1">
      <alignment horizontal="center" vertical="center"/>
    </xf>
    <xf numFmtId="9" fontId="26" fillId="2" borderId="1" xfId="629" applyFont="1" applyFill="1" applyBorder="1" applyAlignment="1">
      <alignment horizontal="center" vertical="center"/>
    </xf>
    <xf numFmtId="9" fontId="26" fillId="27" borderId="1" xfId="629" applyFont="1" applyFill="1" applyBorder="1" applyAlignment="1">
      <alignment horizontal="center" vertical="center"/>
    </xf>
    <xf numFmtId="9" fontId="26" fillId="36" borderId="1" xfId="629" applyFont="1" applyFill="1" applyBorder="1" applyAlignment="1">
      <alignment horizontal="center" vertical="center"/>
    </xf>
    <xf numFmtId="9" fontId="73" fillId="21" borderId="1" xfId="629" applyFont="1" applyFill="1" applyBorder="1" applyAlignment="1">
      <alignment horizontal="center" vertical="center"/>
    </xf>
    <xf numFmtId="9" fontId="0" fillId="5" borderId="6" xfId="0" applyNumberFormat="1" applyFill="1" applyBorder="1" applyAlignment="1">
      <alignment horizontal="center" vertical="center" wrapText="1"/>
    </xf>
    <xf numFmtId="0" fontId="0" fillId="24" borderId="22" xfId="0" applyFill="1" applyBorder="1" applyAlignment="1">
      <alignment wrapText="1"/>
    </xf>
    <xf numFmtId="0" fontId="0" fillId="24" borderId="10" xfId="0" applyFill="1" applyBorder="1" applyAlignment="1">
      <alignment wrapText="1"/>
    </xf>
    <xf numFmtId="0" fontId="0" fillId="24" borderId="11" xfId="0" applyFill="1" applyBorder="1" applyAlignment="1">
      <alignment wrapText="1"/>
    </xf>
    <xf numFmtId="0" fontId="0" fillId="25" borderId="1" xfId="0" applyFill="1" applyBorder="1" applyAlignment="1">
      <alignment wrapText="1"/>
    </xf>
    <xf numFmtId="0" fontId="0" fillId="25" borderId="0" xfId="0" applyFill="1" applyAlignment="1">
      <alignment wrapText="1"/>
    </xf>
    <xf numFmtId="0" fontId="0" fillId="26" borderId="5" xfId="0" applyFill="1" applyBorder="1" applyAlignment="1">
      <alignment wrapText="1"/>
    </xf>
    <xf numFmtId="0" fontId="0" fillId="26" borderId="0" xfId="0" applyFill="1" applyAlignment="1">
      <alignment wrapText="1"/>
    </xf>
    <xf numFmtId="0" fontId="0" fillId="30" borderId="1" xfId="0" applyFill="1" applyBorder="1" applyAlignment="1">
      <alignment wrapText="1"/>
    </xf>
    <xf numFmtId="0" fontId="26" fillId="19" borderId="1" xfId="627" applyFill="1" applyBorder="1" applyAlignment="1">
      <alignment vertical="center" wrapText="1"/>
    </xf>
    <xf numFmtId="0" fontId="26" fillId="19" borderId="1" xfId="627" applyFill="1" applyBorder="1" applyAlignment="1">
      <alignment horizontal="center" vertical="center" wrapText="1"/>
    </xf>
    <xf numFmtId="0" fontId="26" fillId="19" borderId="6" xfId="627" applyFill="1" applyBorder="1" applyAlignment="1">
      <alignment vertical="center" wrapText="1"/>
    </xf>
    <xf numFmtId="0" fontId="26" fillId="6" borderId="38" xfId="627" applyFill="1" applyBorder="1" applyAlignment="1">
      <alignment horizontal="center" vertical="center"/>
    </xf>
    <xf numFmtId="0" fontId="26" fillId="6" borderId="43" xfId="627" applyFill="1" applyBorder="1" applyAlignment="1">
      <alignment horizontal="center" vertical="center" wrapText="1"/>
    </xf>
    <xf numFmtId="0" fontId="26" fillId="24" borderId="44" xfId="627" applyFill="1" applyBorder="1" applyAlignment="1">
      <alignment horizontal="center" vertical="center"/>
    </xf>
    <xf numFmtId="0" fontId="26" fillId="22" borderId="45" xfId="627" applyFill="1" applyBorder="1" applyAlignment="1">
      <alignment horizontal="center" vertical="center"/>
    </xf>
    <xf numFmtId="0" fontId="3" fillId="14" borderId="39" xfId="0" applyFont="1" applyFill="1" applyBorder="1" applyAlignment="1">
      <alignment horizontal="center" vertical="center" wrapText="1"/>
    </xf>
    <xf numFmtId="0" fontId="26" fillId="27" borderId="39" xfId="627" applyFill="1" applyBorder="1" applyAlignment="1">
      <alignment horizontal="center" vertical="center"/>
    </xf>
    <xf numFmtId="0" fontId="26" fillId="36" borderId="39" xfId="627" applyFill="1" applyBorder="1" applyAlignment="1">
      <alignment horizontal="center" vertical="center"/>
    </xf>
    <xf numFmtId="0" fontId="3" fillId="21" borderId="39" xfId="0" applyFont="1" applyFill="1" applyBorder="1" applyAlignment="1">
      <alignment horizontal="center" vertical="center" wrapText="1"/>
    </xf>
    <xf numFmtId="0" fontId="26" fillId="24" borderId="1" xfId="627" applyFill="1" applyBorder="1" applyAlignment="1">
      <alignment horizontal="center" vertical="center"/>
    </xf>
    <xf numFmtId="0" fontId="26" fillId="7" borderId="24" xfId="627" applyFill="1" applyBorder="1" applyAlignment="1">
      <alignment horizontal="center" vertical="center"/>
    </xf>
    <xf numFmtId="0" fontId="3" fillId="2" borderId="43" xfId="0" applyFont="1" applyFill="1" applyBorder="1" applyAlignment="1">
      <alignment horizontal="center" vertical="center" wrapText="1"/>
    </xf>
    <xf numFmtId="0" fontId="26" fillId="15" borderId="3" xfId="627" applyFill="1" applyBorder="1" applyAlignment="1">
      <alignment horizontal="center" vertical="center"/>
    </xf>
    <xf numFmtId="0" fontId="26" fillId="29" borderId="1" xfId="627" applyFill="1" applyBorder="1" applyAlignment="1">
      <alignment horizontal="center" vertical="center"/>
    </xf>
    <xf numFmtId="0" fontId="0" fillId="8" borderId="0" xfId="0" applyFill="1"/>
    <xf numFmtId="0" fontId="0" fillId="8" borderId="1" xfId="0" applyFill="1" applyBorder="1"/>
    <xf numFmtId="0" fontId="75" fillId="8" borderId="1" xfId="0" applyFont="1" applyFill="1" applyBorder="1" applyAlignment="1">
      <alignment horizontal="center"/>
    </xf>
    <xf numFmtId="165" fontId="0" fillId="8" borderId="1" xfId="630" applyFont="1" applyFill="1" applyBorder="1" applyAlignment="1">
      <alignment horizontal="center" vertical="center"/>
    </xf>
    <xf numFmtId="0" fontId="0" fillId="8" borderId="1" xfId="0" applyFill="1" applyBorder="1" applyAlignment="1">
      <alignment horizontal="center" vertical="center"/>
    </xf>
    <xf numFmtId="1" fontId="0" fillId="8" borderId="1" xfId="0" applyNumberFormat="1" applyFill="1" applyBorder="1" applyAlignment="1">
      <alignment horizontal="center" vertical="center"/>
    </xf>
    <xf numFmtId="0" fontId="0" fillId="0" borderId="1" xfId="0" applyBorder="1" applyAlignment="1">
      <alignment vertical="center" wrapText="1"/>
    </xf>
    <xf numFmtId="165" fontId="0" fillId="8" borderId="1" xfId="630" applyFont="1" applyFill="1" applyBorder="1" applyAlignment="1">
      <alignment horizontal="center"/>
    </xf>
    <xf numFmtId="1" fontId="0" fillId="0" borderId="0" xfId="0" applyNumberForma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0" fillId="8" borderId="6" xfId="0" applyFill="1" applyBorder="1"/>
    <xf numFmtId="0" fontId="75" fillId="8" borderId="6" xfId="0" applyFont="1" applyFill="1" applyBorder="1" applyAlignment="1">
      <alignment horizontal="center"/>
    </xf>
    <xf numFmtId="165" fontId="0" fillId="8" borderId="6" xfId="630" applyFont="1" applyFill="1" applyBorder="1" applyAlignment="1">
      <alignment horizontal="center" vertical="center"/>
    </xf>
    <xf numFmtId="0" fontId="0" fillId="8" borderId="6" xfId="0" applyFill="1" applyBorder="1" applyAlignment="1">
      <alignment horizontal="center" vertical="center"/>
    </xf>
    <xf numFmtId="1" fontId="0" fillId="8" borderId="6" xfId="0" applyNumberFormat="1" applyFill="1" applyBorder="1" applyAlignment="1">
      <alignment horizontal="center" vertical="center"/>
    </xf>
    <xf numFmtId="0" fontId="0" fillId="0" borderId="6" xfId="0" applyBorder="1" applyAlignment="1">
      <alignment horizontal="center" vertical="center"/>
    </xf>
    <xf numFmtId="0" fontId="0" fillId="0" borderId="6" xfId="0" applyBorder="1" applyAlignment="1">
      <alignment vertical="center" wrapText="1"/>
    </xf>
    <xf numFmtId="0" fontId="0" fillId="0" borderId="6" xfId="0" applyBorder="1"/>
    <xf numFmtId="0" fontId="0" fillId="0" borderId="6" xfId="0" applyBorder="1" applyAlignment="1">
      <alignment horizontal="center" vertical="center" wrapText="1"/>
    </xf>
    <xf numFmtId="165" fontId="0" fillId="8" borderId="6" xfId="630" applyFont="1" applyFill="1" applyBorder="1" applyAlignment="1">
      <alignment horizontal="center"/>
    </xf>
    <xf numFmtId="0" fontId="0" fillId="8" borderId="1" xfId="0" applyFill="1" applyBorder="1" applyAlignment="1">
      <alignment vertical="center" wrapText="1"/>
    </xf>
    <xf numFmtId="0" fontId="0" fillId="8" borderId="1" xfId="0" applyFill="1" applyBorder="1" applyAlignment="1">
      <alignment horizontal="center"/>
    </xf>
    <xf numFmtId="10" fontId="0" fillId="8" borderId="1" xfId="0" applyNumberFormat="1" applyFill="1" applyBorder="1"/>
    <xf numFmtId="165" fontId="0" fillId="8" borderId="1" xfId="0" applyNumberFormat="1" applyFill="1" applyBorder="1"/>
    <xf numFmtId="1" fontId="0" fillId="8" borderId="1" xfId="0" applyNumberFormat="1" applyFill="1" applyBorder="1" applyAlignment="1">
      <alignment vertical="center"/>
    </xf>
    <xf numFmtId="4" fontId="0" fillId="8" borderId="1" xfId="0" applyNumberFormat="1" applyFill="1" applyBorder="1" applyAlignment="1">
      <alignment vertical="center"/>
    </xf>
    <xf numFmtId="165" fontId="14" fillId="8" borderId="1" xfId="630" applyFont="1" applyFill="1" applyBorder="1" applyAlignment="1">
      <alignment horizontal="center" vertical="center" wrapText="1"/>
    </xf>
    <xf numFmtId="165" fontId="14" fillId="8" borderId="1" xfId="630" applyFont="1" applyFill="1" applyBorder="1" applyAlignment="1">
      <alignment vertical="center" wrapText="1"/>
    </xf>
    <xf numFmtId="1" fontId="76" fillId="8" borderId="1" xfId="0" applyNumberFormat="1" applyFont="1" applyFill="1" applyBorder="1" applyAlignment="1">
      <alignment horizontal="center" vertical="center" wrapText="1"/>
    </xf>
    <xf numFmtId="9" fontId="0" fillId="17" borderId="1" xfId="0" applyNumberFormat="1" applyFill="1" applyBorder="1" applyAlignment="1">
      <alignment horizontal="center" vertical="center"/>
    </xf>
    <xf numFmtId="165" fontId="0" fillId="8" borderId="1" xfId="0" applyNumberFormat="1" applyFill="1" applyBorder="1" applyAlignment="1">
      <alignment vertical="center"/>
    </xf>
    <xf numFmtId="165" fontId="0" fillId="8" borderId="1" xfId="0" applyNumberFormat="1" applyFill="1" applyBorder="1" applyAlignment="1">
      <alignment vertical="center" wrapText="1"/>
    </xf>
    <xf numFmtId="9" fontId="0" fillId="2" borderId="1" xfId="0" applyNumberFormat="1" applyFill="1" applyBorder="1" applyAlignment="1">
      <alignment horizontal="center" vertical="center" wrapText="1"/>
    </xf>
    <xf numFmtId="165" fontId="0" fillId="17" borderId="1" xfId="0" applyNumberFormat="1" applyFill="1" applyBorder="1" applyAlignment="1">
      <alignment vertical="center" wrapText="1"/>
    </xf>
    <xf numFmtId="165" fontId="0" fillId="18" borderId="1" xfId="0" applyNumberFormat="1" applyFill="1" applyBorder="1" applyAlignment="1">
      <alignment vertical="center" wrapText="1"/>
    </xf>
    <xf numFmtId="165" fontId="0" fillId="40" borderId="1" xfId="0" applyNumberFormat="1" applyFill="1" applyBorder="1" applyAlignment="1">
      <alignment vertical="center"/>
    </xf>
    <xf numFmtId="165" fontId="0" fillId="40" borderId="1" xfId="0" applyNumberFormat="1" applyFill="1" applyBorder="1"/>
    <xf numFmtId="0" fontId="0" fillId="17" borderId="1" xfId="0" applyFill="1" applyBorder="1" applyAlignment="1">
      <alignment horizontal="center" vertical="center"/>
    </xf>
    <xf numFmtId="9" fontId="0" fillId="0" borderId="1" xfId="0" applyNumberFormat="1" applyBorder="1" applyAlignment="1">
      <alignment horizontal="center" vertical="center"/>
    </xf>
    <xf numFmtId="9" fontId="0" fillId="8" borderId="1" xfId="0" applyNumberFormat="1" applyFill="1" applyBorder="1" applyAlignment="1">
      <alignment vertical="center" wrapText="1"/>
    </xf>
    <xf numFmtId="165" fontId="0" fillId="41" borderId="1" xfId="0" applyNumberFormat="1" applyFill="1" applyBorder="1" applyAlignment="1">
      <alignment vertical="center" wrapText="1"/>
    </xf>
    <xf numFmtId="165" fontId="0" fillId="6" borderId="1" xfId="0" applyNumberFormat="1" applyFill="1" applyBorder="1" applyAlignment="1">
      <alignment horizontal="center" vertical="center" wrapText="1"/>
    </xf>
    <xf numFmtId="165" fontId="0" fillId="42" borderId="1" xfId="0" applyNumberFormat="1" applyFill="1" applyBorder="1" applyAlignment="1">
      <alignment horizontal="center" vertical="center"/>
    </xf>
    <xf numFmtId="165" fontId="0" fillId="43" borderId="1" xfId="0" applyNumberFormat="1" applyFill="1" applyBorder="1" applyAlignment="1">
      <alignment horizontal="center" vertical="center" wrapText="1"/>
    </xf>
    <xf numFmtId="0" fontId="0" fillId="40" borderId="1" xfId="0" applyFill="1" applyBorder="1" applyAlignment="1">
      <alignment horizontal="center" vertical="center"/>
    </xf>
    <xf numFmtId="165" fontId="0" fillId="24" borderId="1" xfId="0" applyNumberFormat="1" applyFill="1" applyBorder="1" applyAlignment="1">
      <alignment horizontal="center" vertical="center"/>
    </xf>
    <xf numFmtId="9" fontId="0" fillId="29" borderId="1" xfId="0" applyNumberFormat="1" applyFill="1" applyBorder="1" applyAlignment="1">
      <alignment horizontal="center" vertical="center"/>
    </xf>
    <xf numFmtId="9" fontId="0" fillId="8" borderId="1" xfId="629" applyFont="1" applyFill="1" applyBorder="1" applyAlignment="1">
      <alignment horizontal="center" vertical="center"/>
    </xf>
    <xf numFmtId="165" fontId="0" fillId="6" borderId="1" xfId="0" applyNumberFormat="1" applyFill="1" applyBorder="1" applyAlignment="1">
      <alignment horizontal="center" vertical="center"/>
    </xf>
    <xf numFmtId="165" fontId="0" fillId="24" borderId="1" xfId="0" applyNumberFormat="1" applyFill="1" applyBorder="1" applyAlignment="1">
      <alignment wrapText="1"/>
    </xf>
    <xf numFmtId="10" fontId="0" fillId="29" borderId="1" xfId="0" applyNumberFormat="1" applyFill="1" applyBorder="1" applyAlignment="1">
      <alignment horizontal="center" vertical="center"/>
    </xf>
    <xf numFmtId="10" fontId="0" fillId="8" borderId="1" xfId="0" applyNumberFormat="1" applyFill="1" applyBorder="1" applyAlignment="1">
      <alignment horizontal="center" vertical="center" wrapText="1"/>
    </xf>
    <xf numFmtId="10" fontId="0" fillId="2" borderId="1" xfId="629" applyNumberFormat="1" applyFont="1" applyFill="1" applyBorder="1" applyAlignment="1">
      <alignment horizontal="center" vertical="center"/>
    </xf>
    <xf numFmtId="10" fontId="0" fillId="2" borderId="1" xfId="0" applyNumberFormat="1" applyFill="1" applyBorder="1" applyAlignment="1">
      <alignment horizontal="center" vertical="center"/>
    </xf>
    <xf numFmtId="10" fontId="0" fillId="8" borderId="1" xfId="0" applyNumberFormat="1" applyFill="1" applyBorder="1" applyAlignment="1">
      <alignment horizontal="center" vertical="center"/>
    </xf>
    <xf numFmtId="165" fontId="0" fillId="21" borderId="1" xfId="0" applyNumberFormat="1" applyFill="1" applyBorder="1" applyAlignment="1">
      <alignment vertical="center" wrapText="1"/>
    </xf>
    <xf numFmtId="165" fontId="0" fillId="44" borderId="1" xfId="0" applyNumberFormat="1" applyFill="1" applyBorder="1" applyAlignment="1">
      <alignment horizontal="center" vertical="center" wrapText="1"/>
    </xf>
    <xf numFmtId="170" fontId="0" fillId="8" borderId="1" xfId="629" applyNumberFormat="1" applyFont="1" applyFill="1" applyBorder="1" applyAlignment="1">
      <alignment horizontal="center" vertical="center"/>
    </xf>
    <xf numFmtId="170" fontId="0" fillId="2" borderId="1" xfId="629" applyNumberFormat="1" applyFont="1" applyFill="1" applyBorder="1" applyAlignment="1">
      <alignment horizontal="center" vertical="center"/>
    </xf>
    <xf numFmtId="170" fontId="0" fillId="2" borderId="1" xfId="0" applyNumberFormat="1" applyFill="1" applyBorder="1" applyAlignment="1">
      <alignment horizontal="center" vertical="center"/>
    </xf>
    <xf numFmtId="165" fontId="0" fillId="29" borderId="1" xfId="0" applyNumberFormat="1" applyFill="1" applyBorder="1" applyAlignment="1">
      <alignment vertical="center" wrapText="1"/>
    </xf>
    <xf numFmtId="165" fontId="0" fillId="23" borderId="1" xfId="0" applyNumberFormat="1" applyFill="1" applyBorder="1" applyAlignment="1">
      <alignment horizontal="center" vertical="center" wrapText="1"/>
    </xf>
    <xf numFmtId="165" fontId="0" fillId="22" borderId="1" xfId="0" applyNumberFormat="1" applyFill="1" applyBorder="1" applyAlignment="1">
      <alignment horizontal="center" vertical="center" wrapText="1"/>
    </xf>
    <xf numFmtId="9" fontId="0" fillId="2" borderId="1" xfId="629" applyFont="1" applyFill="1" applyBorder="1" applyAlignment="1">
      <alignment horizontal="center" vertical="center"/>
    </xf>
    <xf numFmtId="165" fontId="0" fillId="45" borderId="1" xfId="0" applyNumberFormat="1" applyFill="1" applyBorder="1" applyAlignment="1">
      <alignment horizontal="center" vertical="center" wrapText="1"/>
    </xf>
    <xf numFmtId="165" fontId="0" fillId="23" borderId="1" xfId="0" applyNumberFormat="1" applyFill="1" applyBorder="1" applyAlignment="1">
      <alignment vertical="center" wrapText="1"/>
    </xf>
    <xf numFmtId="165" fontId="0" fillId="26" borderId="1" xfId="0" applyNumberFormat="1" applyFill="1" applyBorder="1" applyAlignment="1">
      <alignment horizontal="center" vertical="center" wrapText="1"/>
    </xf>
    <xf numFmtId="165" fontId="0" fillId="2" borderId="1" xfId="0" applyNumberFormat="1" applyFill="1" applyBorder="1" applyAlignment="1">
      <alignment horizontal="center" vertical="center" wrapText="1"/>
    </xf>
    <xf numFmtId="9" fontId="0" fillId="40" borderId="1" xfId="0" applyNumberFormat="1" applyFill="1" applyBorder="1" applyAlignment="1">
      <alignment horizontal="center" vertical="center"/>
    </xf>
    <xf numFmtId="10" fontId="0" fillId="40" borderId="1" xfId="0" applyNumberFormat="1" applyFill="1" applyBorder="1" applyAlignment="1">
      <alignment horizontal="center" vertical="center"/>
    </xf>
    <xf numFmtId="165" fontId="0" fillId="8" borderId="1" xfId="0" applyNumberFormat="1" applyFill="1" applyBorder="1" applyAlignment="1">
      <alignment horizontal="left" vertical="center" wrapText="1"/>
    </xf>
    <xf numFmtId="165" fontId="0" fillId="7" borderId="1" xfId="0" applyNumberFormat="1" applyFill="1" applyBorder="1" applyAlignment="1">
      <alignment horizontal="center" vertical="center" wrapText="1"/>
    </xf>
    <xf numFmtId="9" fontId="0" fillId="24" borderId="1" xfId="0" applyNumberFormat="1" applyFill="1" applyBorder="1" applyAlignment="1">
      <alignment horizontal="center" vertical="center"/>
    </xf>
    <xf numFmtId="0" fontId="0" fillId="29" borderId="1" xfId="0" applyFill="1" applyBorder="1" applyAlignment="1">
      <alignment horizontal="center" vertical="center"/>
    </xf>
    <xf numFmtId="9" fontId="0" fillId="24" borderId="1" xfId="629" applyFont="1" applyFill="1" applyBorder="1" applyAlignment="1">
      <alignment horizontal="center" vertical="center"/>
    </xf>
    <xf numFmtId="10" fontId="0" fillId="17" borderId="1" xfId="0" applyNumberFormat="1" applyFill="1" applyBorder="1" applyAlignment="1">
      <alignment horizontal="center" vertical="center"/>
    </xf>
    <xf numFmtId="9" fontId="0" fillId="46" borderId="1" xfId="629" applyFont="1" applyFill="1" applyBorder="1" applyAlignment="1">
      <alignment horizontal="center" vertical="center"/>
    </xf>
    <xf numFmtId="165" fontId="0" fillId="26" borderId="1" xfId="0" applyNumberFormat="1" applyFill="1" applyBorder="1" applyAlignment="1">
      <alignment vertical="center" wrapText="1"/>
    </xf>
    <xf numFmtId="9" fontId="0" fillId="46" borderId="1" xfId="0" applyNumberFormat="1" applyFill="1" applyBorder="1" applyAlignment="1">
      <alignment horizontal="center" vertical="center"/>
    </xf>
    <xf numFmtId="165" fontId="0" fillId="13" borderId="1" xfId="0" applyNumberFormat="1" applyFill="1" applyBorder="1" applyAlignment="1">
      <alignment vertical="center" wrapText="1"/>
    </xf>
    <xf numFmtId="165" fontId="0" fillId="13" borderId="1" xfId="0" applyNumberFormat="1" applyFill="1" applyBorder="1" applyAlignment="1">
      <alignment horizontal="center" vertical="center" wrapText="1"/>
    </xf>
    <xf numFmtId="170" fontId="0" fillId="46" borderId="1" xfId="629" applyNumberFormat="1" applyFont="1" applyFill="1" applyBorder="1" applyAlignment="1">
      <alignment horizontal="center" vertical="center"/>
    </xf>
    <xf numFmtId="170" fontId="0" fillId="8" borderId="1" xfId="0" applyNumberFormat="1" applyFill="1" applyBorder="1" applyAlignment="1">
      <alignment horizontal="center" vertical="center" wrapText="1"/>
    </xf>
    <xf numFmtId="165" fontId="0" fillId="21" borderId="1" xfId="0" applyNumberFormat="1" applyFill="1" applyBorder="1"/>
    <xf numFmtId="9" fontId="0" fillId="21" borderId="1" xfId="0" applyNumberFormat="1" applyFill="1" applyBorder="1" applyAlignment="1">
      <alignment horizontal="center" vertical="center"/>
    </xf>
    <xf numFmtId="165" fontId="0" fillId="47" borderId="1" xfId="0" applyNumberFormat="1" applyFill="1" applyBorder="1" applyAlignment="1">
      <alignment vertical="center"/>
    </xf>
    <xf numFmtId="165" fontId="0" fillId="5" borderId="1" xfId="0" applyNumberFormat="1" applyFill="1" applyBorder="1" applyAlignment="1">
      <alignment vertical="center" wrapText="1"/>
    </xf>
    <xf numFmtId="165" fontId="0" fillId="5" borderId="1" xfId="0" applyNumberFormat="1" applyFill="1" applyBorder="1" applyAlignment="1">
      <alignment horizontal="center" vertical="center" wrapText="1"/>
    </xf>
    <xf numFmtId="1" fontId="0" fillId="2" borderId="1" xfId="0" applyNumberFormat="1" applyFill="1" applyBorder="1" applyAlignment="1">
      <alignment horizontal="center" vertical="center"/>
    </xf>
    <xf numFmtId="170" fontId="0" fillId="48" borderId="1" xfId="629" applyNumberFormat="1" applyFont="1" applyFill="1" applyBorder="1" applyAlignment="1">
      <alignment horizontal="center" vertical="center"/>
    </xf>
    <xf numFmtId="165" fontId="0" fillId="47" borderId="1" xfId="0" applyNumberFormat="1" applyFill="1" applyBorder="1" applyAlignment="1">
      <alignment horizontal="center" vertical="center"/>
    </xf>
    <xf numFmtId="9" fontId="0" fillId="48" borderId="1" xfId="0" applyNumberFormat="1" applyFill="1" applyBorder="1" applyAlignment="1">
      <alignment horizontal="center" vertical="center"/>
    </xf>
    <xf numFmtId="165" fontId="0" fillId="4" borderId="1" xfId="0" applyNumberFormat="1" applyFill="1" applyBorder="1" applyAlignment="1">
      <alignment vertical="center" wrapText="1"/>
    </xf>
    <xf numFmtId="165" fontId="0" fillId="4" borderId="1" xfId="0" applyNumberFormat="1" applyFill="1" applyBorder="1" applyAlignment="1">
      <alignment horizontal="center" vertical="center" wrapText="1"/>
    </xf>
    <xf numFmtId="1" fontId="0" fillId="40" borderId="1" xfId="0" applyNumberFormat="1" applyFill="1" applyBorder="1" applyAlignment="1">
      <alignment horizontal="center" vertical="center"/>
    </xf>
    <xf numFmtId="0" fontId="31" fillId="8" borderId="1" xfId="0" applyFont="1" applyFill="1" applyBorder="1" applyAlignment="1">
      <alignment horizontal="center" vertical="center"/>
    </xf>
    <xf numFmtId="9" fontId="31" fillId="2" borderId="1" xfId="629" applyFont="1" applyFill="1" applyBorder="1" applyAlignment="1">
      <alignment horizontal="center" vertical="center"/>
    </xf>
    <xf numFmtId="1" fontId="31" fillId="8" borderId="1" xfId="0" applyNumberFormat="1" applyFont="1" applyFill="1" applyBorder="1" applyAlignment="1">
      <alignment horizontal="center" vertical="center" wrapText="1"/>
    </xf>
    <xf numFmtId="9" fontId="31" fillId="8" borderId="1" xfId="0" applyNumberFormat="1" applyFont="1" applyFill="1" applyBorder="1" applyAlignment="1">
      <alignment horizontal="center" vertical="center" wrapText="1"/>
    </xf>
    <xf numFmtId="165" fontId="31" fillId="17" borderId="1" xfId="0" applyNumberFormat="1" applyFont="1" applyFill="1" applyBorder="1" applyAlignment="1">
      <alignment vertical="center" wrapText="1"/>
    </xf>
    <xf numFmtId="165" fontId="0" fillId="3" borderId="1" xfId="0" applyNumberFormat="1" applyFill="1" applyBorder="1" applyAlignment="1">
      <alignment vertical="center" wrapText="1"/>
    </xf>
    <xf numFmtId="2" fontId="0" fillId="49" borderId="1" xfId="0" applyNumberFormat="1" applyFill="1" applyBorder="1" applyAlignment="1">
      <alignment horizontal="center" vertical="center"/>
    </xf>
    <xf numFmtId="0" fontId="0" fillId="21" borderId="1" xfId="0" applyFill="1" applyBorder="1" applyAlignment="1">
      <alignment vertical="center" wrapText="1"/>
    </xf>
    <xf numFmtId="1" fontId="0" fillId="29" borderId="1" xfId="0" applyNumberFormat="1" applyFill="1" applyBorder="1" applyAlignment="1">
      <alignment horizontal="center" vertical="center"/>
    </xf>
    <xf numFmtId="0" fontId="0" fillId="17" borderId="1" xfId="0" applyFill="1" applyBorder="1" applyAlignment="1">
      <alignment vertical="center" wrapText="1"/>
    </xf>
    <xf numFmtId="165" fontId="0" fillId="50" borderId="1" xfId="0" applyNumberFormat="1" applyFill="1" applyBorder="1" applyAlignment="1">
      <alignment vertical="center" wrapText="1"/>
    </xf>
    <xf numFmtId="165" fontId="0" fillId="3" borderId="1" xfId="0" applyNumberFormat="1" applyFill="1" applyBorder="1" applyAlignment="1">
      <alignment horizontal="center" vertical="center" wrapText="1"/>
    </xf>
    <xf numFmtId="170" fontId="31" fillId="2" borderId="1" xfId="0" applyNumberFormat="1" applyFont="1" applyFill="1" applyBorder="1" applyAlignment="1">
      <alignment horizontal="center" vertical="center"/>
    </xf>
    <xf numFmtId="0" fontId="31" fillId="8" borderId="1" xfId="0" applyFont="1" applyFill="1" applyBorder="1" applyAlignment="1">
      <alignment horizontal="center" vertical="center" wrapText="1"/>
    </xf>
    <xf numFmtId="173" fontId="0" fillId="40" borderId="1" xfId="0" applyNumberFormat="1" applyFill="1" applyBorder="1" applyAlignment="1">
      <alignment horizontal="center" vertical="center"/>
    </xf>
    <xf numFmtId="165" fontId="0" fillId="40" borderId="1" xfId="0" applyNumberFormat="1" applyFill="1" applyBorder="1" applyAlignment="1">
      <alignment vertical="center" wrapText="1"/>
    </xf>
    <xf numFmtId="173" fontId="0" fillId="17" borderId="1" xfId="0" applyNumberFormat="1" applyFill="1" applyBorder="1" applyAlignment="1">
      <alignment horizontal="center" vertical="center"/>
    </xf>
    <xf numFmtId="166" fontId="18" fillId="8" borderId="1" xfId="518" applyFont="1" applyFill="1" applyBorder="1" applyAlignment="1">
      <alignment vertical="center" wrapText="1"/>
    </xf>
    <xf numFmtId="165" fontId="18" fillId="40" borderId="1" xfId="630" applyFont="1" applyFill="1" applyBorder="1" applyAlignment="1">
      <alignment vertical="center" wrapText="1"/>
    </xf>
    <xf numFmtId="166" fontId="18" fillId="40" borderId="1" xfId="518" applyFont="1" applyFill="1" applyBorder="1" applyAlignment="1">
      <alignment vertical="center" wrapText="1"/>
    </xf>
    <xf numFmtId="173" fontId="0" fillId="8" borderId="1" xfId="0" applyNumberFormat="1" applyFill="1" applyBorder="1" applyAlignment="1">
      <alignment horizontal="center" vertical="center"/>
    </xf>
    <xf numFmtId="173" fontId="0" fillId="2" borderId="1" xfId="0" applyNumberFormat="1" applyFill="1" applyBorder="1" applyAlignment="1">
      <alignment horizontal="center" vertical="center"/>
    </xf>
    <xf numFmtId="0" fontId="76" fillId="51" borderId="1" xfId="0" applyFont="1" applyFill="1" applyBorder="1" applyAlignment="1">
      <alignment horizontal="center" vertical="center" wrapText="1"/>
    </xf>
    <xf numFmtId="0" fontId="76" fillId="22" borderId="1" xfId="0" applyFont="1" applyFill="1" applyBorder="1" applyAlignment="1">
      <alignment horizontal="center" vertical="center" wrapText="1"/>
    </xf>
    <xf numFmtId="0" fontId="77" fillId="22" borderId="0" xfId="0" applyFont="1" applyFill="1" applyAlignment="1">
      <alignment horizontal="center" vertical="center" wrapText="1"/>
    </xf>
    <xf numFmtId="1" fontId="77" fillId="8" borderId="1" xfId="0" applyNumberFormat="1" applyFont="1" applyFill="1" applyBorder="1" applyAlignment="1">
      <alignment horizontal="center" vertical="center" wrapText="1"/>
    </xf>
    <xf numFmtId="0" fontId="77" fillId="0" borderId="1" xfId="0" applyFont="1" applyBorder="1" applyAlignment="1">
      <alignment horizontal="center" vertical="center" wrapText="1"/>
    </xf>
    <xf numFmtId="1" fontId="77" fillId="0" borderId="18" xfId="0" applyNumberFormat="1" applyFont="1" applyBorder="1" applyAlignment="1">
      <alignment horizontal="center" vertical="center" wrapText="1"/>
    </xf>
    <xf numFmtId="0" fontId="0" fillId="2" borderId="1" xfId="0" applyFill="1" applyBorder="1" applyAlignment="1">
      <alignment horizontal="left"/>
    </xf>
    <xf numFmtId="0" fontId="26" fillId="23" borderId="1" xfId="627" applyFill="1" applyBorder="1" applyAlignment="1">
      <alignment horizontal="center" vertical="center"/>
    </xf>
    <xf numFmtId="0" fontId="2" fillId="23" borderId="1" xfId="0" applyFont="1" applyFill="1" applyBorder="1" applyAlignment="1">
      <alignment horizontal="justify" vertical="center" wrapText="1"/>
    </xf>
    <xf numFmtId="0" fontId="2" fillId="34" borderId="1" xfId="0" applyFont="1" applyFill="1" applyBorder="1" applyAlignment="1">
      <alignment horizontal="justify" vertical="center" wrapText="1"/>
    </xf>
    <xf numFmtId="0" fontId="3" fillId="23" borderId="1" xfId="0" applyFont="1" applyFill="1" applyBorder="1" applyAlignment="1">
      <alignment horizontal="justify" vertical="center" wrapText="1"/>
    </xf>
    <xf numFmtId="0" fontId="9" fillId="23" borderId="1" xfId="0" applyFont="1" applyFill="1" applyBorder="1" applyAlignment="1">
      <alignment horizontal="justify" vertical="center" wrapText="1"/>
    </xf>
    <xf numFmtId="0" fontId="9" fillId="34" borderId="1" xfId="0" applyFont="1" applyFill="1" applyBorder="1" applyAlignment="1">
      <alignment horizontal="justify" vertical="center" wrapText="1"/>
    </xf>
    <xf numFmtId="0" fontId="2" fillId="19" borderId="1" xfId="259" applyNumberFormat="1" applyFont="1" applyFill="1" applyBorder="1" applyAlignment="1" applyProtection="1">
      <alignment horizontal="center" vertical="center" wrapText="1"/>
      <protection locked="0"/>
    </xf>
    <xf numFmtId="0" fontId="2" fillId="19" borderId="1" xfId="259" applyNumberFormat="1" applyFont="1" applyFill="1" applyBorder="1" applyAlignment="1" applyProtection="1">
      <alignment horizontal="justify" vertical="center" wrapText="1"/>
      <protection locked="0"/>
    </xf>
    <xf numFmtId="0" fontId="3" fillId="20" borderId="5" xfId="259" applyNumberFormat="1" applyFont="1" applyFill="1" applyBorder="1" applyAlignment="1" applyProtection="1">
      <alignment horizontal="justify" vertical="center" wrapText="1"/>
      <protection locked="0"/>
    </xf>
    <xf numFmtId="0" fontId="2" fillId="32" borderId="30" xfId="259" applyNumberFormat="1" applyFont="1" applyFill="1" applyBorder="1" applyAlignment="1" applyProtection="1">
      <alignment horizontal="center" vertical="center" wrapText="1"/>
      <protection locked="0"/>
    </xf>
    <xf numFmtId="0" fontId="2" fillId="35" borderId="30" xfId="259" applyNumberFormat="1" applyFont="1" applyFill="1" applyBorder="1" applyAlignment="1" applyProtection="1">
      <alignment horizontal="justify" vertical="center" wrapText="1"/>
      <protection locked="0"/>
    </xf>
    <xf numFmtId="0" fontId="2" fillId="27" borderId="30" xfId="259" applyNumberFormat="1" applyFont="1" applyFill="1" applyBorder="1" applyAlignment="1" applyProtection="1">
      <alignment horizontal="justify" vertical="center" wrapText="1"/>
      <protection locked="0"/>
    </xf>
    <xf numFmtId="16" fontId="2" fillId="27" borderId="30" xfId="259" applyNumberFormat="1" applyFont="1" applyFill="1" applyBorder="1" applyAlignment="1" applyProtection="1">
      <alignment horizontal="center" vertical="center" wrapText="1"/>
      <protection locked="0"/>
    </xf>
    <xf numFmtId="0" fontId="2" fillId="27" borderId="30" xfId="259" applyNumberFormat="1" applyFont="1" applyFill="1" applyBorder="1" applyAlignment="1" applyProtection="1">
      <alignment horizontal="center" vertical="center" wrapText="1"/>
      <protection locked="0"/>
    </xf>
    <xf numFmtId="0" fontId="68" fillId="0" borderId="0" xfId="0" applyFont="1" applyAlignment="1">
      <alignment vertical="center" wrapText="1"/>
    </xf>
    <xf numFmtId="0" fontId="68" fillId="0" borderId="1" xfId="0" applyFont="1" applyBorder="1" applyAlignment="1">
      <alignment vertical="center" wrapText="1"/>
    </xf>
    <xf numFmtId="0" fontId="2" fillId="29" borderId="1" xfId="259" applyNumberFormat="1" applyFont="1" applyFill="1" applyBorder="1" applyAlignment="1" applyProtection="1">
      <alignment horizontal="justify" vertical="center" wrapText="1"/>
      <protection locked="0"/>
    </xf>
    <xf numFmtId="0" fontId="2" fillId="27" borderId="3" xfId="259" applyNumberFormat="1" applyFont="1" applyFill="1" applyBorder="1" applyAlignment="1" applyProtection="1">
      <alignment horizontal="center" vertical="center" wrapText="1"/>
      <protection locked="0"/>
    </xf>
    <xf numFmtId="172" fontId="1" fillId="27" borderId="8" xfId="630" applyNumberFormat="1" applyFont="1" applyFill="1" applyBorder="1" applyAlignment="1" applyProtection="1">
      <alignment horizontal="center" textRotation="90" wrapText="1"/>
      <protection locked="0"/>
    </xf>
    <xf numFmtId="172" fontId="1" fillId="29" borderId="8" xfId="630" applyNumberFormat="1" applyFont="1" applyFill="1" applyBorder="1" applyAlignment="1" applyProtection="1">
      <alignment horizontal="center" textRotation="90" wrapText="1"/>
      <protection locked="0"/>
    </xf>
    <xf numFmtId="172" fontId="11" fillId="27" borderId="8" xfId="630" applyNumberFormat="1" applyFont="1" applyFill="1" applyBorder="1" applyAlignment="1" applyProtection="1">
      <alignment horizontal="center" textRotation="90" wrapText="1"/>
      <protection locked="0"/>
    </xf>
    <xf numFmtId="172" fontId="1" fillId="27" borderId="8" xfId="630" applyNumberFormat="1" applyFont="1" applyFill="1" applyBorder="1" applyAlignment="1">
      <alignment horizontal="center" textRotation="90" wrapText="1"/>
    </xf>
    <xf numFmtId="0" fontId="2" fillId="19" borderId="3" xfId="259" applyNumberFormat="1" applyFont="1" applyFill="1" applyBorder="1" applyAlignment="1" applyProtection="1">
      <alignment horizontal="center" vertical="center" wrapText="1"/>
      <protection locked="0"/>
    </xf>
    <xf numFmtId="172" fontId="2" fillId="19" borderId="28" xfId="630" applyNumberFormat="1" applyFont="1" applyFill="1" applyBorder="1" applyAlignment="1" applyProtection="1">
      <alignment horizontal="center" vertical="center" textRotation="90" wrapText="1"/>
      <protection locked="0"/>
    </xf>
    <xf numFmtId="172" fontId="1" fillId="19" borderId="8" xfId="630" applyNumberFormat="1" applyFont="1" applyFill="1" applyBorder="1" applyAlignment="1" applyProtection="1">
      <alignment horizontal="center" vertical="center" textRotation="90" wrapText="1"/>
      <protection locked="0"/>
    </xf>
    <xf numFmtId="172" fontId="2" fillId="27" borderId="34" xfId="630" applyNumberFormat="1" applyFont="1" applyFill="1" applyBorder="1" applyAlignment="1" applyProtection="1">
      <alignment horizontal="center" textRotation="90" wrapText="1"/>
      <protection locked="0"/>
    </xf>
    <xf numFmtId="172" fontId="2" fillId="27" borderId="5" xfId="630" applyNumberFormat="1" applyFont="1" applyFill="1" applyBorder="1" applyAlignment="1" applyProtection="1">
      <alignment horizontal="center" textRotation="90" wrapText="1"/>
      <protection locked="0"/>
    </xf>
    <xf numFmtId="172" fontId="1" fillId="27" borderId="27" xfId="630" applyNumberFormat="1" applyFont="1" applyFill="1" applyBorder="1" applyAlignment="1" applyProtection="1">
      <alignment horizontal="center" textRotation="90" wrapText="1"/>
      <protection locked="0"/>
    </xf>
    <xf numFmtId="172" fontId="2" fillId="27" borderId="29" xfId="630" applyNumberFormat="1" applyFont="1" applyFill="1" applyBorder="1" applyAlignment="1" applyProtection="1">
      <alignment horizontal="center" textRotation="90" wrapText="1"/>
      <protection locked="0"/>
    </xf>
    <xf numFmtId="172" fontId="2" fillId="27" borderId="30" xfId="630" applyNumberFormat="1" applyFont="1" applyFill="1" applyBorder="1" applyAlignment="1" applyProtection="1">
      <alignment horizontal="center" textRotation="90" wrapText="1"/>
      <protection locked="0"/>
    </xf>
    <xf numFmtId="172" fontId="1" fillId="27" borderId="46" xfId="630" applyNumberFormat="1" applyFont="1" applyFill="1" applyBorder="1" applyAlignment="1" applyProtection="1">
      <alignment horizontal="center" textRotation="90" wrapText="1"/>
      <protection locked="0"/>
    </xf>
    <xf numFmtId="0" fontId="25" fillId="5" borderId="3" xfId="259" applyNumberFormat="1" applyFont="1" applyFill="1" applyBorder="1" applyAlignment="1" applyProtection="1">
      <alignment horizontal="center" vertical="center" wrapText="1"/>
      <protection locked="0"/>
    </xf>
    <xf numFmtId="168" fontId="25" fillId="27" borderId="28" xfId="259" applyNumberFormat="1" applyFont="1" applyFill="1" applyBorder="1" applyAlignment="1" applyProtection="1">
      <alignment horizontal="center" wrapText="1"/>
      <protection locked="0"/>
    </xf>
    <xf numFmtId="0" fontId="2" fillId="45" borderId="1" xfId="0" applyFont="1" applyFill="1" applyBorder="1" applyAlignment="1">
      <alignment horizontal="justify" vertical="center" wrapText="1"/>
    </xf>
    <xf numFmtId="0" fontId="2" fillId="34" borderId="5" xfId="0" applyFont="1" applyFill="1" applyBorder="1" applyAlignment="1">
      <alignment horizontal="justify" vertical="center" wrapText="1"/>
    </xf>
    <xf numFmtId="0" fontId="2" fillId="22" borderId="1" xfId="259" applyNumberFormat="1" applyFont="1" applyFill="1" applyBorder="1" applyAlignment="1">
      <alignment horizontal="center" vertical="center" wrapText="1"/>
    </xf>
    <xf numFmtId="172" fontId="2" fillId="22" borderId="1" xfId="630" applyNumberFormat="1" applyFont="1" applyFill="1" applyBorder="1" applyAlignment="1">
      <alignment horizontal="center" vertical="center" textRotation="90" wrapText="1"/>
    </xf>
    <xf numFmtId="172" fontId="2" fillId="34" borderId="1" xfId="630" applyNumberFormat="1" applyFont="1" applyFill="1" applyBorder="1" applyAlignment="1">
      <alignment horizontal="center" vertical="center" textRotation="90" wrapText="1"/>
    </xf>
    <xf numFmtId="0" fontId="2" fillId="24" borderId="1" xfId="0" applyFont="1" applyFill="1" applyBorder="1" applyAlignment="1">
      <alignment horizontal="center" vertical="center" wrapText="1"/>
    </xf>
    <xf numFmtId="0" fontId="26" fillId="6" borderId="35" xfId="627" applyFill="1" applyBorder="1" applyAlignment="1">
      <alignment horizontal="center" vertical="center"/>
    </xf>
    <xf numFmtId="0" fontId="2" fillId="22" borderId="1" xfId="0" applyFont="1" applyFill="1" applyBorder="1" applyAlignment="1" applyProtection="1">
      <alignment horizontal="center" vertical="center" wrapText="1"/>
      <protection locked="0"/>
    </xf>
    <xf numFmtId="2" fontId="2" fillId="22" borderId="1" xfId="0" applyNumberFormat="1" applyFont="1" applyFill="1" applyBorder="1" applyAlignment="1">
      <alignment horizontal="center" vertical="center" wrapText="1"/>
    </xf>
    <xf numFmtId="0" fontId="9" fillId="22" borderId="1" xfId="259" applyNumberFormat="1" applyFont="1" applyFill="1" applyBorder="1" applyAlignment="1">
      <alignment horizontal="center" vertical="center" wrapText="1"/>
    </xf>
    <xf numFmtId="0" fontId="9" fillId="22" borderId="1" xfId="0" applyFont="1" applyFill="1" applyBorder="1" applyAlignment="1">
      <alignment horizontal="center" vertical="center" wrapText="1"/>
    </xf>
    <xf numFmtId="0" fontId="14" fillId="5" borderId="7" xfId="0" applyFont="1" applyFill="1" applyBorder="1" applyAlignment="1">
      <alignment horizontal="center" vertical="center" textRotation="90" wrapText="1"/>
    </xf>
    <xf numFmtId="0" fontId="0" fillId="0" borderId="0" xfId="0" applyBorder="1"/>
    <xf numFmtId="0" fontId="26" fillId="3" borderId="1" xfId="627" applyFill="1" applyBorder="1" applyAlignment="1">
      <alignment horizontal="center" vertical="center" wrapText="1"/>
    </xf>
    <xf numFmtId="0" fontId="26" fillId="29" borderId="1" xfId="627" applyFill="1" applyBorder="1" applyAlignment="1">
      <alignment horizontal="center" vertical="center" wrapText="1"/>
    </xf>
    <xf numFmtId="0" fontId="26" fillId="23" borderId="1" xfId="627" applyFill="1" applyBorder="1" applyAlignment="1">
      <alignment horizontal="center" vertical="center" wrapText="1"/>
    </xf>
    <xf numFmtId="0" fontId="3" fillId="3" borderId="1" xfId="0" applyFont="1" applyFill="1" applyBorder="1" applyAlignment="1">
      <alignment horizontal="center" vertical="center" wrapText="1"/>
    </xf>
    <xf numFmtId="0" fontId="0" fillId="0" borderId="0" xfId="0" applyFill="1"/>
    <xf numFmtId="168" fontId="2" fillId="0" borderId="0" xfId="259" applyNumberFormat="1" applyFont="1" applyFill="1" applyAlignment="1">
      <alignment horizontal="center" vertical="center" wrapText="1"/>
    </xf>
    <xf numFmtId="0" fontId="26" fillId="48" borderId="1" xfId="627" applyFill="1" applyBorder="1" applyAlignment="1">
      <alignment horizontal="center" vertical="center"/>
    </xf>
    <xf numFmtId="0" fontId="26" fillId="48" borderId="3" xfId="627" applyFill="1" applyBorder="1" applyAlignment="1">
      <alignment horizontal="center" vertical="center"/>
    </xf>
    <xf numFmtId="166" fontId="26" fillId="24" borderId="1" xfId="518" applyFont="1" applyFill="1" applyBorder="1" applyAlignment="1">
      <alignment horizontal="center" vertical="center" wrapText="1"/>
    </xf>
    <xf numFmtId="2" fontId="26" fillId="22" borderId="6" xfId="518" applyNumberFormat="1" applyFont="1" applyFill="1" applyBorder="1"/>
    <xf numFmtId="0" fontId="26" fillId="19" borderId="1" xfId="627" applyFill="1" applyBorder="1" applyAlignment="1">
      <alignment horizontal="left" vertical="center" wrapText="1"/>
    </xf>
    <xf numFmtId="166" fontId="26" fillId="48" borderId="6" xfId="518" applyFont="1" applyFill="1" applyBorder="1"/>
    <xf numFmtId="0" fontId="26" fillId="7" borderId="6" xfId="627" applyFill="1" applyBorder="1" applyAlignment="1">
      <alignment horizontal="center" vertical="center"/>
    </xf>
    <xf numFmtId="0" fontId="26" fillId="7" borderId="3" xfId="627" applyFill="1" applyBorder="1" applyAlignment="1">
      <alignment horizontal="center" vertical="center"/>
    </xf>
    <xf numFmtId="0" fontId="26" fillId="3" borderId="6" xfId="627" applyFill="1" applyBorder="1" applyAlignment="1">
      <alignment horizontal="center" vertical="center"/>
    </xf>
    <xf numFmtId="0" fontId="26" fillId="3" borderId="1" xfId="627" applyFill="1" applyBorder="1" applyAlignment="1">
      <alignment horizontal="center" vertical="center"/>
    </xf>
    <xf numFmtId="0" fontId="26" fillId="3" borderId="3" xfId="627" applyFill="1" applyBorder="1" applyAlignment="1">
      <alignment horizontal="center" vertical="center"/>
    </xf>
    <xf numFmtId="9" fontId="0" fillId="25" borderId="6" xfId="0" applyNumberFormat="1" applyFill="1" applyBorder="1" applyAlignment="1">
      <alignment horizontal="center" vertical="center" wrapText="1"/>
    </xf>
    <xf numFmtId="0" fontId="2" fillId="29" borderId="1" xfId="0" applyFont="1" applyFill="1" applyBorder="1" applyAlignment="1" applyProtection="1">
      <alignment horizontal="justify" vertical="center" wrapText="1"/>
      <protection locked="0"/>
    </xf>
    <xf numFmtId="0" fontId="7" fillId="27" borderId="1" xfId="259" applyNumberFormat="1" applyFont="1" applyFill="1" applyBorder="1" applyAlignment="1" applyProtection="1">
      <alignment horizontal="justify" vertical="center" wrapText="1"/>
      <protection locked="0"/>
    </xf>
    <xf numFmtId="16" fontId="3" fillId="27" borderId="1" xfId="259" applyNumberFormat="1" applyFont="1" applyFill="1" applyBorder="1" applyAlignment="1" applyProtection="1">
      <alignment horizontal="center" vertical="center" wrapText="1"/>
      <protection locked="0"/>
    </xf>
    <xf numFmtId="164" fontId="2" fillId="27" borderId="1" xfId="259" applyNumberFormat="1" applyFont="1" applyFill="1" applyBorder="1" applyAlignment="1" applyProtection="1">
      <alignment horizontal="center" vertical="center" textRotation="90" wrapText="1"/>
      <protection locked="0"/>
    </xf>
    <xf numFmtId="0" fontId="2" fillId="28" borderId="1" xfId="0" applyNumberFormat="1" applyFont="1" applyFill="1" applyBorder="1" applyAlignment="1">
      <alignment horizontal="center" vertical="center" wrapText="1"/>
    </xf>
    <xf numFmtId="0" fontId="2" fillId="27" borderId="1" xfId="631" applyNumberFormat="1" applyFont="1" applyFill="1" applyBorder="1" applyAlignment="1" applyProtection="1">
      <alignment horizontal="justify" vertical="center" wrapText="1"/>
      <protection locked="0"/>
    </xf>
    <xf numFmtId="0" fontId="10" fillId="24" borderId="35" xfId="627" applyFont="1" applyFill="1" applyBorder="1" applyAlignment="1">
      <alignment horizontal="center" vertical="center" wrapText="1"/>
    </xf>
    <xf numFmtId="0" fontId="10" fillId="22" borderId="22" xfId="627" applyFont="1" applyFill="1" applyBorder="1" applyAlignment="1">
      <alignment horizontal="center" vertical="center" wrapText="1"/>
    </xf>
    <xf numFmtId="0" fontId="10" fillId="2" borderId="22" xfId="627" applyFont="1" applyFill="1" applyBorder="1" applyAlignment="1">
      <alignment horizontal="center" vertical="center" wrapText="1"/>
    </xf>
    <xf numFmtId="0" fontId="10" fillId="27" borderId="22" xfId="627" applyFont="1" applyFill="1" applyBorder="1" applyAlignment="1">
      <alignment horizontal="center" vertical="center" wrapText="1"/>
    </xf>
    <xf numFmtId="0" fontId="10" fillId="36" borderId="22" xfId="627" applyFont="1" applyFill="1" applyBorder="1" applyAlignment="1">
      <alignment horizontal="center" vertical="center" wrapText="1"/>
    </xf>
    <xf numFmtId="0" fontId="10" fillId="21" borderId="22" xfId="627" applyFont="1" applyFill="1" applyBorder="1" applyAlignment="1">
      <alignment horizontal="center" vertical="center" wrapText="1"/>
    </xf>
    <xf numFmtId="0" fontId="10" fillId="7" borderId="25" xfId="627" applyFont="1" applyFill="1" applyBorder="1" applyAlignment="1">
      <alignment horizontal="center" vertical="center"/>
    </xf>
    <xf numFmtId="0" fontId="10" fillId="3" borderId="1" xfId="627" applyFont="1" applyFill="1" applyBorder="1" applyAlignment="1">
      <alignment horizontal="center" vertical="center" wrapText="1"/>
    </xf>
    <xf numFmtId="0" fontId="10" fillId="29" borderId="1" xfId="627" applyFont="1" applyFill="1" applyBorder="1" applyAlignment="1">
      <alignment horizontal="center" vertical="center" wrapText="1"/>
    </xf>
    <xf numFmtId="0" fontId="10" fillId="23" borderId="1" xfId="627" applyFont="1" applyFill="1" applyBorder="1" applyAlignment="1">
      <alignment horizontal="center" vertical="center" wrapText="1"/>
    </xf>
    <xf numFmtId="49" fontId="10" fillId="24" borderId="1" xfId="518" applyNumberFormat="1" applyFont="1" applyFill="1" applyBorder="1" applyAlignment="1">
      <alignment horizontal="center" vertical="center" wrapText="1"/>
    </xf>
    <xf numFmtId="49" fontId="18" fillId="24" borderId="1" xfId="518" applyNumberFormat="1" applyFont="1" applyFill="1" applyBorder="1" applyAlignment="1">
      <alignment horizontal="center" vertical="center" wrapText="1"/>
    </xf>
    <xf numFmtId="0" fontId="10" fillId="0" borderId="0" xfId="627" applyFont="1"/>
    <xf numFmtId="0" fontId="10" fillId="0" borderId="0" xfId="627" applyFont="1" applyAlignment="1">
      <alignment horizontal="center" vertical="center"/>
    </xf>
    <xf numFmtId="0" fontId="10" fillId="7" borderId="24" xfId="627" applyFont="1" applyFill="1" applyBorder="1" applyAlignment="1">
      <alignment horizontal="center" vertical="center"/>
    </xf>
    <xf numFmtId="0" fontId="10" fillId="6" borderId="38" xfId="627" applyFont="1" applyFill="1" applyBorder="1" applyAlignment="1">
      <alignment horizontal="center" vertical="center"/>
    </xf>
    <xf numFmtId="0" fontId="10" fillId="6" borderId="39" xfId="627" applyFont="1" applyFill="1" applyBorder="1" applyAlignment="1">
      <alignment horizontal="center" vertical="center" wrapText="1"/>
    </xf>
    <xf numFmtId="0" fontId="10" fillId="6" borderId="43" xfId="627" applyFont="1" applyFill="1" applyBorder="1" applyAlignment="1">
      <alignment horizontal="center" vertical="center" wrapText="1"/>
    </xf>
    <xf numFmtId="0" fontId="10" fillId="24" borderId="44" xfId="627" applyFont="1" applyFill="1" applyBorder="1" applyAlignment="1">
      <alignment horizontal="center" vertical="center"/>
    </xf>
    <xf numFmtId="0" fontId="10" fillId="22" borderId="45" xfId="627" applyFont="1" applyFill="1" applyBorder="1" applyAlignment="1">
      <alignment horizontal="center" vertical="center"/>
    </xf>
    <xf numFmtId="0" fontId="80" fillId="14" borderId="39" xfId="0" applyFont="1" applyFill="1" applyBorder="1" applyAlignment="1">
      <alignment horizontal="center" vertical="center" wrapText="1"/>
    </xf>
    <xf numFmtId="0" fontId="10" fillId="27" borderId="39" xfId="627" applyFont="1" applyFill="1" applyBorder="1" applyAlignment="1">
      <alignment horizontal="center" vertical="center"/>
    </xf>
    <xf numFmtId="0" fontId="10" fillId="36" borderId="39" xfId="627" applyFont="1" applyFill="1" applyBorder="1" applyAlignment="1">
      <alignment horizontal="center" vertical="center"/>
    </xf>
    <xf numFmtId="0" fontId="80" fillId="21" borderId="39" xfId="0" applyFont="1" applyFill="1" applyBorder="1" applyAlignment="1">
      <alignment horizontal="center" vertical="center" wrapText="1"/>
    </xf>
    <xf numFmtId="0" fontId="80" fillId="2" borderId="43" xfId="0" applyFont="1" applyFill="1" applyBorder="1" applyAlignment="1">
      <alignment horizontal="center" vertical="center" wrapText="1"/>
    </xf>
    <xf numFmtId="0" fontId="80" fillId="3" borderId="1" xfId="0" applyFont="1" applyFill="1" applyBorder="1" applyAlignment="1">
      <alignment horizontal="center" vertical="center" wrapText="1"/>
    </xf>
    <xf numFmtId="0" fontId="7" fillId="23" borderId="1" xfId="0" applyFont="1" applyFill="1" applyBorder="1" applyAlignment="1" applyProtection="1">
      <alignment horizontal="center" vertical="center" wrapText="1"/>
      <protection locked="0"/>
    </xf>
    <xf numFmtId="0" fontId="56" fillId="23" borderId="1" xfId="0" applyFont="1" applyFill="1" applyBorder="1" applyAlignment="1" applyProtection="1">
      <alignment horizontal="center" vertical="center" wrapText="1"/>
      <protection locked="0"/>
    </xf>
    <xf numFmtId="172" fontId="2" fillId="29" borderId="1" xfId="630" applyNumberFormat="1" applyFont="1" applyFill="1" applyBorder="1" applyAlignment="1">
      <alignment horizontal="center" vertical="center" textRotation="90" wrapText="1"/>
    </xf>
    <xf numFmtId="0" fontId="7" fillId="22" borderId="1" xfId="259" applyNumberFormat="1" applyFont="1" applyFill="1" applyBorder="1" applyAlignment="1" applyProtection="1">
      <alignment horizontal="center" vertical="center" wrapText="1"/>
      <protection locked="0"/>
    </xf>
    <xf numFmtId="0" fontId="9" fillId="23" borderId="0" xfId="0" applyFont="1" applyFill="1" applyAlignment="1">
      <alignment vertical="center" wrapText="1"/>
    </xf>
    <xf numFmtId="172" fontId="7" fillId="28" borderId="1" xfId="630" applyNumberFormat="1" applyFont="1" applyFill="1" applyBorder="1" applyAlignment="1">
      <alignment horizontal="center" vertical="center" textRotation="90" wrapText="1"/>
    </xf>
    <xf numFmtId="0" fontId="7" fillId="23" borderId="1" xfId="259" applyNumberFormat="1" applyFont="1" applyFill="1" applyBorder="1" applyAlignment="1">
      <alignment horizontal="center" vertical="center" wrapText="1"/>
    </xf>
    <xf numFmtId="0" fontId="56" fillId="28" borderId="1" xfId="0" applyFont="1" applyFill="1" applyBorder="1" applyAlignment="1">
      <alignment horizontal="justify" vertical="center" wrapText="1"/>
    </xf>
    <xf numFmtId="0" fontId="56" fillId="23" borderId="1" xfId="0" applyFont="1" applyFill="1" applyBorder="1" applyAlignment="1">
      <alignment horizontal="justify" vertical="center" wrapText="1"/>
    </xf>
    <xf numFmtId="0" fontId="56" fillId="23" borderId="1" xfId="259" applyNumberFormat="1" applyFont="1" applyFill="1" applyBorder="1" applyAlignment="1">
      <alignment horizontal="center" vertical="center" wrapText="1"/>
    </xf>
    <xf numFmtId="0" fontId="7" fillId="23" borderId="1" xfId="0" applyFont="1" applyFill="1" applyBorder="1" applyAlignment="1">
      <alignment horizontal="justify" vertical="center" wrapText="1"/>
    </xf>
    <xf numFmtId="0" fontId="7" fillId="23" borderId="1" xfId="0" applyFont="1" applyFill="1" applyBorder="1" applyAlignment="1">
      <alignment horizontal="center" vertical="center" wrapText="1"/>
    </xf>
    <xf numFmtId="0" fontId="2" fillId="34" borderId="1" xfId="259" applyNumberFormat="1" applyFont="1" applyFill="1" applyBorder="1" applyAlignment="1" applyProtection="1">
      <alignment horizontal="center" vertical="center" wrapText="1"/>
      <protection locked="0"/>
    </xf>
    <xf numFmtId="0" fontId="2" fillId="34" borderId="1" xfId="259" applyNumberFormat="1" applyFont="1" applyFill="1" applyBorder="1" applyAlignment="1" applyProtection="1">
      <alignment horizontal="justify" vertical="center" wrapText="1"/>
      <protection locked="0"/>
    </xf>
    <xf numFmtId="0" fontId="2" fillId="34" borderId="4" xfId="0" applyFont="1" applyFill="1" applyBorder="1" applyAlignment="1">
      <alignment horizontal="justify" vertical="center" wrapText="1"/>
    </xf>
    <xf numFmtId="2" fontId="2" fillId="34" borderId="1" xfId="0" applyNumberFormat="1" applyFont="1" applyFill="1" applyBorder="1" applyAlignment="1">
      <alignment horizontal="center" vertical="center" wrapText="1"/>
    </xf>
    <xf numFmtId="0" fontId="9" fillId="34" borderId="1" xfId="259" applyNumberFormat="1" applyFont="1" applyFill="1" applyBorder="1" applyAlignment="1" applyProtection="1">
      <alignment horizontal="center" vertical="center" wrapText="1"/>
      <protection locked="0"/>
    </xf>
    <xf numFmtId="0" fontId="2" fillId="25" borderId="1" xfId="259" applyNumberFormat="1" applyFont="1" applyFill="1" applyBorder="1" applyAlignment="1">
      <alignment horizontal="center" vertical="center" wrapText="1"/>
    </xf>
    <xf numFmtId="2" fontId="2" fillId="25" borderId="1" xfId="0" applyNumberFormat="1" applyFont="1" applyFill="1" applyBorder="1" applyAlignment="1">
      <alignment horizontal="center" vertical="center" wrapText="1"/>
    </xf>
    <xf numFmtId="0" fontId="9" fillId="25" borderId="1" xfId="0" applyFont="1" applyFill="1" applyBorder="1" applyAlignment="1">
      <alignment horizontal="center" vertical="center" wrapText="1"/>
    </xf>
    <xf numFmtId="168" fontId="2" fillId="34" borderId="1" xfId="259" applyNumberFormat="1" applyFont="1" applyFill="1" applyBorder="1" applyAlignment="1" applyProtection="1">
      <alignment horizontal="center" vertical="center" wrapText="1"/>
      <protection locked="0"/>
    </xf>
    <xf numFmtId="0" fontId="65" fillId="34" borderId="3" xfId="259" applyNumberFormat="1" applyFont="1" applyFill="1" applyBorder="1" applyAlignment="1" applyProtection="1">
      <alignment horizontal="center" vertical="center" wrapText="1"/>
      <protection locked="0"/>
    </xf>
    <xf numFmtId="172" fontId="65" fillId="34" borderId="28" xfId="630" applyNumberFormat="1" applyFont="1" applyFill="1" applyBorder="1" applyAlignment="1" applyProtection="1">
      <alignment horizontal="center" vertical="center" textRotation="90" wrapText="1"/>
      <protection locked="0"/>
    </xf>
    <xf numFmtId="172" fontId="65" fillId="34" borderId="1" xfId="630" applyNumberFormat="1" applyFont="1" applyFill="1" applyBorder="1" applyAlignment="1" applyProtection="1">
      <alignment horizontal="center" textRotation="90" wrapText="1"/>
      <protection locked="0"/>
    </xf>
    <xf numFmtId="172" fontId="65" fillId="34" borderId="1" xfId="630" applyNumberFormat="1" applyFont="1" applyFill="1" applyBorder="1" applyAlignment="1" applyProtection="1">
      <alignment horizontal="center" vertical="center" textRotation="90" wrapText="1"/>
      <protection locked="0"/>
    </xf>
    <xf numFmtId="172" fontId="81" fillId="34" borderId="8" xfId="630" applyNumberFormat="1" applyFont="1" applyFill="1" applyBorder="1" applyAlignment="1" applyProtection="1">
      <alignment horizontal="center" vertical="center" textRotation="90" wrapText="1"/>
      <protection locked="0"/>
    </xf>
    <xf numFmtId="168" fontId="65" fillId="34" borderId="28" xfId="259" applyNumberFormat="1" applyFont="1" applyFill="1" applyBorder="1" applyAlignment="1" applyProtection="1">
      <alignment horizontal="center" vertical="center" wrapText="1"/>
      <protection locked="0"/>
    </xf>
    <xf numFmtId="168" fontId="65" fillId="34" borderId="1" xfId="259" applyNumberFormat="1" applyFont="1" applyFill="1" applyBorder="1" applyAlignment="1" applyProtection="1">
      <alignment horizontal="center" vertical="center" wrapText="1"/>
      <protection locked="0"/>
    </xf>
    <xf numFmtId="168" fontId="81" fillId="34" borderId="8" xfId="259" applyNumberFormat="1" applyFont="1" applyFill="1" applyBorder="1" applyAlignment="1" applyProtection="1">
      <alignment horizontal="center" vertical="center" wrapText="1"/>
      <protection locked="0"/>
    </xf>
    <xf numFmtId="0" fontId="1" fillId="27" borderId="3" xfId="259" applyNumberFormat="1" applyFont="1" applyFill="1" applyBorder="1" applyAlignment="1" applyProtection="1">
      <alignment horizontal="center" vertical="center" wrapText="1"/>
      <protection locked="0"/>
    </xf>
    <xf numFmtId="168" fontId="2" fillId="34" borderId="28" xfId="259" applyNumberFormat="1" applyFont="1" applyFill="1" applyBorder="1" applyAlignment="1" applyProtection="1">
      <alignment horizontal="center" vertical="center" wrapText="1"/>
      <protection locked="0"/>
    </xf>
    <xf numFmtId="0" fontId="2" fillId="36" borderId="1" xfId="259" applyNumberFormat="1" applyFont="1" applyFill="1" applyBorder="1" applyAlignment="1" applyProtection="1">
      <alignment horizontal="justify" vertical="center" wrapText="1"/>
      <protection locked="0"/>
    </xf>
    <xf numFmtId="16" fontId="2" fillId="36" borderId="1" xfId="259" applyNumberFormat="1" applyFont="1" applyFill="1" applyBorder="1" applyAlignment="1" applyProtection="1">
      <alignment horizontal="center" vertical="center" wrapText="1"/>
      <protection locked="0"/>
    </xf>
    <xf numFmtId="0" fontId="2" fillId="36" borderId="1" xfId="259" applyNumberFormat="1" applyFont="1" applyFill="1" applyBorder="1" applyAlignment="1" applyProtection="1">
      <alignment horizontal="center" vertical="center" wrapText="1"/>
      <protection locked="0"/>
    </xf>
    <xf numFmtId="0" fontId="2" fillId="34" borderId="3" xfId="259" applyNumberFormat="1" applyFont="1" applyFill="1" applyBorder="1" applyAlignment="1" applyProtection="1">
      <alignment horizontal="center" vertical="center" wrapText="1"/>
      <protection locked="0"/>
    </xf>
    <xf numFmtId="0" fontId="3" fillId="25" borderId="1" xfId="0" applyFont="1" applyFill="1" applyBorder="1" applyAlignment="1" applyProtection="1">
      <alignment horizontal="center" vertical="center" wrapText="1"/>
      <protection locked="0"/>
    </xf>
    <xf numFmtId="0" fontId="7" fillId="25" borderId="1" xfId="259" applyNumberFormat="1" applyFont="1" applyFill="1" applyBorder="1" applyAlignment="1" applyProtection="1">
      <alignment horizontal="center" vertical="center" wrapText="1"/>
      <protection locked="0"/>
    </xf>
    <xf numFmtId="0" fontId="9" fillId="22" borderId="1" xfId="0" applyFont="1" applyFill="1" applyBorder="1" applyAlignment="1" applyProtection="1">
      <alignment horizontal="center" vertical="center" wrapText="1"/>
      <protection locked="0"/>
    </xf>
    <xf numFmtId="168" fontId="2" fillId="36" borderId="28" xfId="259" applyNumberFormat="1" applyFont="1" applyFill="1" applyBorder="1" applyAlignment="1" applyProtection="1">
      <alignment horizontal="center" vertical="center" wrapText="1"/>
      <protection locked="0"/>
    </xf>
    <xf numFmtId="168" fontId="2" fillId="36" borderId="1" xfId="259" applyNumberFormat="1" applyFont="1" applyFill="1" applyBorder="1" applyAlignment="1" applyProtection="1">
      <alignment horizontal="center" vertical="center" wrapText="1"/>
      <protection locked="0"/>
    </xf>
    <xf numFmtId="168" fontId="1" fillId="36" borderId="8" xfId="259" applyNumberFormat="1" applyFont="1" applyFill="1" applyBorder="1" applyAlignment="1" applyProtection="1">
      <alignment horizontal="center" vertical="center" wrapText="1"/>
      <protection locked="0"/>
    </xf>
    <xf numFmtId="168" fontId="2" fillId="34" borderId="1" xfId="259" applyNumberFormat="1" applyFont="1" applyFill="1" applyBorder="1" applyAlignment="1" applyProtection="1">
      <alignment horizontal="left" vertical="center" wrapText="1"/>
      <protection locked="0"/>
    </xf>
    <xf numFmtId="16" fontId="2" fillId="27" borderId="1" xfId="0" applyNumberFormat="1" applyFont="1" applyFill="1" applyBorder="1" applyAlignment="1" applyProtection="1">
      <alignment horizontal="justify" vertical="center" wrapText="1"/>
      <protection locked="0"/>
    </xf>
    <xf numFmtId="0" fontId="7" fillId="25" borderId="1" xfId="259" applyNumberFormat="1" applyFont="1" applyFill="1" applyBorder="1" applyAlignment="1">
      <alignment horizontal="center" vertical="center" wrapText="1"/>
    </xf>
    <xf numFmtId="1" fontId="2" fillId="28" borderId="1" xfId="0" applyNumberFormat="1" applyFont="1" applyFill="1" applyBorder="1" applyAlignment="1">
      <alignment horizontal="center" vertical="center" wrapText="1"/>
    </xf>
    <xf numFmtId="168" fontId="3" fillId="34" borderId="1" xfId="259" applyNumberFormat="1" applyFont="1" applyFill="1" applyBorder="1" applyAlignment="1" applyProtection="1">
      <alignment horizontal="center" vertical="center"/>
      <protection locked="0"/>
    </xf>
    <xf numFmtId="0" fontId="2" fillId="34" borderId="1" xfId="0" applyFont="1" applyFill="1" applyBorder="1" applyAlignment="1" applyProtection="1">
      <alignment horizontal="justify" vertical="center" wrapText="1"/>
      <protection locked="0"/>
    </xf>
    <xf numFmtId="1" fontId="2" fillId="34" borderId="1" xfId="259" applyNumberFormat="1" applyFont="1" applyFill="1" applyBorder="1" applyAlignment="1" applyProtection="1">
      <alignment horizontal="justify" vertical="center" wrapText="1"/>
      <protection locked="0"/>
    </xf>
    <xf numFmtId="14" fontId="2" fillId="34" borderId="1" xfId="0" applyNumberFormat="1" applyFont="1" applyFill="1" applyBorder="1" applyAlignment="1" applyProtection="1">
      <alignment horizontal="center" vertical="center" wrapText="1"/>
      <protection locked="0"/>
    </xf>
    <xf numFmtId="0" fontId="3" fillId="34" borderId="1" xfId="0" applyFont="1" applyFill="1" applyBorder="1" applyAlignment="1" applyProtection="1">
      <alignment horizontal="center" vertical="center" wrapText="1"/>
      <protection locked="0"/>
    </xf>
    <xf numFmtId="0" fontId="2" fillId="34" borderId="3" xfId="0" applyFont="1" applyFill="1" applyBorder="1" applyAlignment="1" applyProtection="1">
      <alignment horizontal="center" vertical="center" wrapText="1"/>
      <protection locked="0"/>
    </xf>
    <xf numFmtId="168" fontId="2" fillId="34" borderId="1" xfId="259" applyNumberFormat="1" applyFont="1" applyFill="1" applyBorder="1" applyAlignment="1" applyProtection="1">
      <alignment horizontal="center" vertical="center" textRotation="90" wrapText="1"/>
      <protection locked="0"/>
    </xf>
    <xf numFmtId="0" fontId="26" fillId="25" borderId="1" xfId="627" applyFill="1" applyBorder="1"/>
    <xf numFmtId="9" fontId="0" fillId="34" borderId="6" xfId="0" applyNumberFormat="1" applyFill="1" applyBorder="1" applyAlignment="1">
      <alignment horizontal="center" vertical="center" wrapText="1"/>
    </xf>
    <xf numFmtId="0" fontId="3" fillId="34" borderId="1" xfId="0" applyFont="1" applyFill="1" applyBorder="1" applyAlignment="1">
      <alignment horizontal="center" vertical="center"/>
    </xf>
    <xf numFmtId="0" fontId="3" fillId="34" borderId="1" xfId="0" applyFont="1" applyFill="1" applyBorder="1" applyAlignment="1">
      <alignment horizontal="left" vertical="center" wrapText="1"/>
    </xf>
    <xf numFmtId="0" fontId="2" fillId="34" borderId="3" xfId="0" applyFont="1" applyFill="1" applyBorder="1" applyAlignment="1">
      <alignment horizontal="center" vertical="center" wrapText="1"/>
    </xf>
    <xf numFmtId="3" fontId="2" fillId="34" borderId="1" xfId="0" applyNumberFormat="1" applyFont="1" applyFill="1" applyBorder="1" applyAlignment="1">
      <alignment horizontal="center" vertical="center" wrapText="1"/>
    </xf>
    <xf numFmtId="0" fontId="2" fillId="34" borderId="1" xfId="0" applyFont="1" applyFill="1" applyBorder="1" applyAlignment="1">
      <alignment vertical="center" wrapText="1"/>
    </xf>
    <xf numFmtId="0" fontId="1" fillId="34" borderId="1" xfId="0" applyFont="1" applyFill="1" applyBorder="1" applyAlignment="1">
      <alignment horizontal="center" vertical="center" wrapText="1"/>
    </xf>
    <xf numFmtId="168" fontId="2" fillId="34" borderId="1" xfId="259" applyNumberFormat="1" applyFont="1" applyFill="1" applyBorder="1" applyAlignment="1">
      <alignment horizontal="center" vertical="center" wrapText="1"/>
    </xf>
    <xf numFmtId="168" fontId="7" fillId="34" borderId="1" xfId="259" applyNumberFormat="1" applyFont="1" applyFill="1" applyBorder="1" applyAlignment="1">
      <alignment horizontal="center" vertical="center" wrapText="1"/>
    </xf>
    <xf numFmtId="168" fontId="3" fillId="34" borderId="0" xfId="259" applyNumberFormat="1" applyFont="1" applyFill="1"/>
    <xf numFmtId="0" fontId="3" fillId="34" borderId="0" xfId="0" applyFont="1" applyFill="1"/>
    <xf numFmtId="168" fontId="3" fillId="34" borderId="1" xfId="259" applyNumberFormat="1" applyFont="1" applyFill="1" applyBorder="1" applyAlignment="1">
      <alignment horizontal="center" vertical="center"/>
    </xf>
    <xf numFmtId="168" fontId="2" fillId="34" borderId="1" xfId="259" applyNumberFormat="1" applyFont="1" applyFill="1" applyBorder="1" applyAlignment="1">
      <alignment vertical="center" wrapText="1"/>
    </xf>
    <xf numFmtId="0" fontId="3" fillId="0" borderId="1" xfId="0" applyFont="1" applyBorder="1" applyAlignment="1">
      <alignment vertical="center" wrapText="1"/>
    </xf>
    <xf numFmtId="14" fontId="2" fillId="35" borderId="1" xfId="259" applyNumberFormat="1" applyFont="1" applyFill="1" applyBorder="1" applyAlignment="1" applyProtection="1">
      <alignment horizontal="center" vertical="center" wrapText="1"/>
      <protection locked="0"/>
    </xf>
    <xf numFmtId="0" fontId="3" fillId="27" borderId="0" xfId="0" applyFont="1" applyFill="1" applyBorder="1" applyAlignment="1">
      <alignment horizontal="center" vertical="center"/>
    </xf>
    <xf numFmtId="0" fontId="18" fillId="5" borderId="8" xfId="0" applyFont="1" applyFill="1" applyBorder="1" applyAlignment="1">
      <alignment horizontal="center" vertical="center" textRotation="90"/>
    </xf>
    <xf numFmtId="9" fontId="0" fillId="5" borderId="8" xfId="0" applyNumberFormat="1" applyFill="1" applyBorder="1" applyAlignment="1">
      <alignment horizontal="center" vertical="center" wrapText="1"/>
    </xf>
    <xf numFmtId="0" fontId="2" fillId="6" borderId="1" xfId="0" applyFont="1" applyFill="1" applyBorder="1" applyAlignment="1">
      <alignment horizontal="justify" vertical="center" wrapText="1"/>
    </xf>
    <xf numFmtId="0" fontId="3" fillId="6" borderId="1" xfId="0" applyFont="1" applyFill="1" applyBorder="1" applyAlignment="1">
      <alignment horizontal="left" vertical="center" wrapText="1"/>
    </xf>
    <xf numFmtId="0" fontId="3" fillId="6" borderId="6"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6" borderId="1" xfId="0" applyFont="1" applyFill="1" applyBorder="1" applyAlignment="1">
      <alignment vertical="center" wrapText="1"/>
    </xf>
    <xf numFmtId="168" fontId="2" fillId="6" borderId="1" xfId="259" applyNumberFormat="1" applyFont="1" applyFill="1" applyBorder="1" applyAlignment="1">
      <alignment horizontal="center" vertical="center" wrapText="1"/>
    </xf>
    <xf numFmtId="0" fontId="3" fillId="6" borderId="1" xfId="0" applyFont="1" applyFill="1" applyBorder="1" applyAlignment="1">
      <alignment horizontal="center" vertical="center"/>
    </xf>
    <xf numFmtId="3" fontId="2" fillId="6" borderId="1" xfId="0" applyNumberFormat="1" applyFont="1" applyFill="1" applyBorder="1" applyAlignment="1">
      <alignment horizontal="center" vertical="center" wrapText="1"/>
    </xf>
    <xf numFmtId="0" fontId="2" fillId="27" borderId="4" xfId="0" applyFont="1" applyFill="1" applyBorder="1" applyAlignment="1">
      <alignment horizontal="center" vertical="center" wrapText="1"/>
    </xf>
    <xf numFmtId="164" fontId="2" fillId="27" borderId="4" xfId="259" applyFont="1" applyFill="1" applyBorder="1" applyAlignment="1" applyProtection="1">
      <alignment horizontal="center" vertical="center" textRotation="90" wrapText="1"/>
      <protection locked="0"/>
    </xf>
    <xf numFmtId="164" fontId="3" fillId="27" borderId="4" xfId="259" applyFont="1" applyFill="1" applyBorder="1" applyAlignment="1" applyProtection="1">
      <alignment horizontal="center" vertical="center" textRotation="90"/>
      <protection locked="0"/>
    </xf>
    <xf numFmtId="168" fontId="3" fillId="27" borderId="4" xfId="259" applyNumberFormat="1" applyFont="1" applyFill="1" applyBorder="1" applyAlignment="1" applyProtection="1">
      <alignment horizontal="center" vertical="center"/>
      <protection locked="0"/>
    </xf>
    <xf numFmtId="0" fontId="2" fillId="6" borderId="18" xfId="0" applyFont="1" applyFill="1" applyBorder="1" applyAlignment="1">
      <alignment horizontal="center" vertical="center" wrapText="1"/>
    </xf>
    <xf numFmtId="49" fontId="2" fillId="6" borderId="1" xfId="0" applyNumberFormat="1" applyFont="1" applyFill="1" applyBorder="1" applyAlignment="1">
      <alignment horizontal="center" vertical="center" wrapText="1"/>
    </xf>
    <xf numFmtId="0" fontId="2" fillId="6" borderId="4" xfId="0" applyFont="1" applyFill="1" applyBorder="1" applyAlignment="1">
      <alignment horizontal="center" vertical="center" wrapText="1"/>
    </xf>
    <xf numFmtId="0" fontId="2" fillId="6" borderId="1" xfId="0" applyFont="1" applyFill="1" applyBorder="1" applyAlignment="1" applyProtection="1">
      <alignment horizontal="justify" vertical="center" wrapText="1"/>
      <protection locked="0"/>
    </xf>
    <xf numFmtId="16" fontId="2" fillId="6" borderId="1" xfId="259" applyNumberFormat="1" applyFont="1" applyFill="1" applyBorder="1" applyAlignment="1" applyProtection="1">
      <alignment horizontal="center" vertical="center" wrapText="1"/>
      <protection locked="0"/>
    </xf>
    <xf numFmtId="17" fontId="2" fillId="6" borderId="1" xfId="0" applyNumberFormat="1" applyFont="1" applyFill="1" applyBorder="1" applyAlignment="1" applyProtection="1">
      <alignment horizontal="center" vertical="center" wrapText="1"/>
      <protection locked="0"/>
    </xf>
    <xf numFmtId="0" fontId="3" fillId="6" borderId="1" xfId="0" applyFont="1" applyFill="1" applyBorder="1" applyAlignment="1" applyProtection="1">
      <alignment horizontal="center" vertical="center" wrapText="1"/>
      <protection locked="0"/>
    </xf>
    <xf numFmtId="164" fontId="2" fillId="6" borderId="28" xfId="259" applyFont="1" applyFill="1" applyBorder="1" applyAlignment="1" applyProtection="1">
      <alignment horizontal="center" vertical="center" textRotation="90" wrapText="1"/>
      <protection locked="0"/>
    </xf>
    <xf numFmtId="164" fontId="2" fillId="6" borderId="4" xfId="259" applyFont="1" applyFill="1" applyBorder="1" applyAlignment="1" applyProtection="1">
      <alignment horizontal="center" vertical="center" textRotation="90" wrapText="1"/>
      <protection locked="0"/>
    </xf>
    <xf numFmtId="164" fontId="3" fillId="6" borderId="4" xfId="259" applyFont="1" applyFill="1" applyBorder="1" applyAlignment="1" applyProtection="1">
      <alignment horizontal="center" vertical="center" textRotation="90"/>
      <protection locked="0"/>
    </xf>
    <xf numFmtId="164" fontId="1" fillId="6" borderId="8" xfId="259" applyFont="1" applyFill="1" applyBorder="1" applyAlignment="1" applyProtection="1">
      <alignment horizontal="center" vertical="center" textRotation="90" wrapText="1"/>
      <protection locked="0"/>
    </xf>
    <xf numFmtId="168" fontId="2" fillId="6" borderId="28" xfId="259" applyNumberFormat="1" applyFont="1" applyFill="1" applyBorder="1" applyAlignment="1" applyProtection="1">
      <alignment horizontal="center" vertical="center" wrapText="1"/>
      <protection locked="0"/>
    </xf>
    <xf numFmtId="168" fontId="2" fillId="6" borderId="4" xfId="259" applyNumberFormat="1" applyFont="1" applyFill="1" applyBorder="1" applyAlignment="1" applyProtection="1">
      <alignment horizontal="center" vertical="center" wrapText="1"/>
      <protection locked="0"/>
    </xf>
    <xf numFmtId="168" fontId="3" fillId="6" borderId="4" xfId="259" applyNumberFormat="1" applyFont="1" applyFill="1" applyBorder="1" applyAlignment="1" applyProtection="1">
      <alignment horizontal="center" vertical="center"/>
      <protection locked="0"/>
    </xf>
    <xf numFmtId="168" fontId="1" fillId="6" borderId="8" xfId="259" applyNumberFormat="1" applyFont="1" applyFill="1" applyBorder="1" applyAlignment="1" applyProtection="1">
      <alignment horizontal="center" vertical="center" wrapText="1"/>
      <protection locked="0"/>
    </xf>
    <xf numFmtId="9" fontId="0" fillId="6" borderId="8" xfId="0" applyNumberFormat="1" applyFill="1" applyBorder="1" applyAlignment="1">
      <alignment horizontal="center" vertical="center" wrapText="1"/>
    </xf>
    <xf numFmtId="9" fontId="0" fillId="6" borderId="6" xfId="0" applyNumberFormat="1" applyFill="1" applyBorder="1" applyAlignment="1">
      <alignment horizontal="center" vertical="center" wrapText="1"/>
    </xf>
    <xf numFmtId="0" fontId="0" fillId="6" borderId="0" xfId="0" applyFill="1"/>
    <xf numFmtId="168" fontId="2" fillId="27" borderId="4" xfId="259" applyNumberFormat="1" applyFont="1" applyFill="1" applyBorder="1" applyAlignment="1" applyProtection="1">
      <alignment horizontal="center" vertical="center" textRotation="90" wrapText="1"/>
      <protection locked="0"/>
    </xf>
    <xf numFmtId="0" fontId="1"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3" fillId="6" borderId="1" xfId="0" applyFont="1" applyFill="1" applyBorder="1" applyAlignment="1">
      <alignment horizontal="justify" vertical="center" wrapText="1"/>
    </xf>
    <xf numFmtId="1" fontId="2" fillId="25" borderId="1" xfId="0" applyNumberFormat="1" applyFont="1" applyFill="1" applyBorder="1" applyAlignment="1">
      <alignment horizontal="center" vertical="center" wrapText="1"/>
    </xf>
    <xf numFmtId="0" fontId="0" fillId="34" borderId="0" xfId="0" applyFill="1"/>
    <xf numFmtId="0" fontId="26" fillId="19" borderId="6" xfId="627" applyFill="1" applyBorder="1" applyAlignment="1">
      <alignment horizontal="left" vertical="center" wrapText="1"/>
    </xf>
    <xf numFmtId="0" fontId="26" fillId="19" borderId="1" xfId="627" applyFill="1" applyBorder="1" applyAlignment="1">
      <alignment horizontal="left" wrapText="1"/>
    </xf>
    <xf numFmtId="0" fontId="26" fillId="19" borderId="8" xfId="627" applyFill="1" applyBorder="1" applyAlignment="1">
      <alignment horizontal="center" vertical="center"/>
    </xf>
    <xf numFmtId="0" fontId="10" fillId="24" borderId="1" xfId="627" applyFont="1" applyFill="1" applyBorder="1" applyAlignment="1">
      <alignment horizontal="center" vertical="center" wrapText="1"/>
    </xf>
    <xf numFmtId="0" fontId="10" fillId="22" borderId="1" xfId="627" applyFont="1" applyFill="1" applyBorder="1" applyAlignment="1">
      <alignment horizontal="center" vertical="center" wrapText="1"/>
    </xf>
    <xf numFmtId="0" fontId="10" fillId="2" borderId="1" xfId="627" applyFont="1" applyFill="1" applyBorder="1" applyAlignment="1">
      <alignment horizontal="center" vertical="center" wrapText="1"/>
    </xf>
    <xf numFmtId="0" fontId="10" fillId="27" borderId="1" xfId="627" applyFont="1" applyFill="1" applyBorder="1" applyAlignment="1">
      <alignment horizontal="center" vertical="center" wrapText="1"/>
    </xf>
    <xf numFmtId="0" fontId="10" fillId="36" borderId="1" xfId="627" applyFont="1" applyFill="1" applyBorder="1" applyAlignment="1">
      <alignment horizontal="center" vertical="center" wrapText="1"/>
    </xf>
    <xf numFmtId="0" fontId="10" fillId="21" borderId="1" xfId="627" applyFont="1" applyFill="1" applyBorder="1" applyAlignment="1">
      <alignment horizontal="center" vertical="center" wrapText="1"/>
    </xf>
    <xf numFmtId="0" fontId="10" fillId="7" borderId="1" xfId="627" applyFont="1" applyFill="1" applyBorder="1" applyAlignment="1">
      <alignment horizontal="center" vertical="center"/>
    </xf>
    <xf numFmtId="0" fontId="3" fillId="14" borderId="1" xfId="0" applyFont="1" applyFill="1" applyBorder="1" applyAlignment="1">
      <alignment horizontal="center" vertical="center" wrapText="1"/>
    </xf>
    <xf numFmtId="0" fontId="3" fillId="21" borderId="1" xfId="0" applyFont="1" applyFill="1" applyBorder="1" applyAlignment="1">
      <alignment horizontal="center" vertical="center" wrapText="1"/>
    </xf>
    <xf numFmtId="49" fontId="2" fillId="34" borderId="1" xfId="0" applyNumberFormat="1" applyFont="1" applyFill="1" applyBorder="1" applyAlignment="1">
      <alignment horizontal="center" vertical="center" wrapText="1"/>
    </xf>
    <xf numFmtId="16" fontId="2" fillId="34" borderId="1" xfId="259" applyNumberFormat="1" applyFont="1" applyFill="1" applyBorder="1" applyAlignment="1" applyProtection="1">
      <alignment horizontal="center" vertical="center" wrapText="1"/>
      <protection locked="0"/>
    </xf>
    <xf numFmtId="0" fontId="7" fillId="34" borderId="1" xfId="0" applyFont="1" applyFill="1" applyBorder="1" applyAlignment="1" applyProtection="1">
      <alignment horizontal="center" vertical="center" wrapText="1"/>
      <protection locked="0"/>
    </xf>
    <xf numFmtId="0" fontId="0" fillId="34" borderId="1" xfId="0" applyFill="1" applyBorder="1"/>
    <xf numFmtId="0" fontId="18" fillId="34" borderId="1" xfId="0" applyFont="1" applyFill="1" applyBorder="1" applyAlignment="1">
      <alignment horizontal="center" vertical="center" textRotation="90"/>
    </xf>
    <xf numFmtId="17" fontId="2" fillId="34" borderId="1" xfId="259" applyNumberFormat="1" applyFont="1" applyFill="1" applyBorder="1" applyAlignment="1" applyProtection="1">
      <alignment horizontal="center" vertical="center" wrapText="1"/>
      <protection locked="0"/>
    </xf>
    <xf numFmtId="14" fontId="2" fillId="34" borderId="1" xfId="259" applyNumberFormat="1" applyFont="1" applyFill="1" applyBorder="1" applyAlignment="1" applyProtection="1">
      <alignment horizontal="center" vertical="center" wrapText="1"/>
      <protection locked="0"/>
    </xf>
    <xf numFmtId="0" fontId="3" fillId="29" borderId="1" xfId="0" applyFont="1" applyFill="1" applyBorder="1" applyAlignment="1">
      <alignment horizontal="center" vertical="center"/>
    </xf>
    <xf numFmtId="0" fontId="3" fillId="29" borderId="1" xfId="0" applyFont="1" applyFill="1" applyBorder="1" applyAlignment="1">
      <alignment horizontal="left" vertical="center" wrapText="1"/>
    </xf>
    <xf numFmtId="49" fontId="2" fillId="34" borderId="3" xfId="0" applyNumberFormat="1" applyFont="1" applyFill="1" applyBorder="1" applyAlignment="1">
      <alignment horizontal="center" vertical="center" wrapText="1"/>
    </xf>
    <xf numFmtId="164" fontId="1" fillId="27" borderId="8" xfId="259" applyNumberFormat="1" applyFont="1" applyFill="1" applyBorder="1" applyAlignment="1" applyProtection="1">
      <alignment horizontal="center" vertical="center" wrapText="1"/>
      <protection locked="0"/>
    </xf>
    <xf numFmtId="0" fontId="3" fillId="27" borderId="5" xfId="0" applyFont="1" applyFill="1" applyBorder="1" applyAlignment="1">
      <alignment horizontal="center" vertical="center" wrapText="1"/>
    </xf>
    <xf numFmtId="0" fontId="3" fillId="27" borderId="6" xfId="0" applyFont="1" applyFill="1" applyBorder="1" applyAlignment="1">
      <alignment horizontal="center" vertical="center" wrapText="1"/>
    </xf>
    <xf numFmtId="0" fontId="2" fillId="27" borderId="1" xfId="0" applyFont="1" applyFill="1" applyBorder="1" applyAlignment="1">
      <alignment horizontal="center" vertical="center" wrapText="1"/>
    </xf>
    <xf numFmtId="0" fontId="2" fillId="27" borderId="5" xfId="0" applyFont="1" applyFill="1" applyBorder="1" applyAlignment="1">
      <alignment horizontal="center" vertical="center" wrapText="1"/>
    </xf>
    <xf numFmtId="0" fontId="2" fillId="27" borderId="6" xfId="0" applyFont="1" applyFill="1" applyBorder="1" applyAlignment="1">
      <alignment horizontal="center" vertical="center" wrapText="1"/>
    </xf>
    <xf numFmtId="3" fontId="2" fillId="27" borderId="1" xfId="0" applyNumberFormat="1" applyFont="1" applyFill="1" applyBorder="1" applyAlignment="1">
      <alignment horizontal="center" vertical="center" wrapText="1"/>
    </xf>
    <xf numFmtId="0" fontId="3" fillId="27" borderId="1" xfId="0" applyFont="1" applyFill="1" applyBorder="1" applyAlignment="1">
      <alignment horizontal="center" vertical="center" wrapText="1"/>
    </xf>
    <xf numFmtId="9" fontId="2" fillId="27" borderId="1" xfId="0" applyNumberFormat="1" applyFont="1" applyFill="1" applyBorder="1" applyAlignment="1">
      <alignment horizontal="center" vertical="center" wrapText="1"/>
    </xf>
    <xf numFmtId="0" fontId="38" fillId="26" borderId="4" xfId="0" applyFont="1" applyFill="1" applyBorder="1" applyAlignment="1">
      <alignment horizontal="center" vertical="center"/>
    </xf>
    <xf numFmtId="0" fontId="9" fillId="27" borderId="1" xfId="0" applyFont="1" applyFill="1" applyBorder="1" applyAlignment="1">
      <alignment horizontal="center" vertical="center" wrapText="1"/>
    </xf>
    <xf numFmtId="0" fontId="2" fillId="28" borderId="5" xfId="0" applyFont="1" applyFill="1" applyBorder="1" applyAlignment="1" applyProtection="1">
      <alignment horizontal="center" vertical="center" wrapText="1"/>
      <protection locked="0"/>
    </xf>
    <xf numFmtId="0" fontId="2" fillId="0" borderId="5" xfId="0" applyFont="1" applyBorder="1" applyAlignment="1">
      <alignment horizontal="justify" vertical="center" wrapText="1"/>
    </xf>
    <xf numFmtId="0" fontId="2" fillId="0" borderId="7" xfId="0" applyFont="1" applyBorder="1" applyAlignment="1">
      <alignment horizontal="justify" vertical="center" wrapText="1"/>
    </xf>
    <xf numFmtId="0" fontId="2" fillId="0" borderId="6" xfId="0" applyFont="1" applyBorder="1" applyAlignment="1">
      <alignment horizontal="justify" vertical="center" wrapText="1"/>
    </xf>
    <xf numFmtId="0" fontId="1" fillId="0" borderId="5" xfId="0" applyFont="1" applyBorder="1" applyAlignment="1">
      <alignment horizontal="justify" vertical="center" wrapText="1"/>
    </xf>
    <xf numFmtId="0" fontId="1" fillId="0" borderId="1" xfId="0" applyFont="1" applyBorder="1" applyAlignment="1">
      <alignment horizontal="justify" vertical="center" wrapText="1"/>
    </xf>
    <xf numFmtId="0" fontId="1" fillId="0" borderId="1" xfId="0" quotePrefix="1" applyFont="1" applyBorder="1" applyAlignment="1">
      <alignment horizontal="justify" vertical="center" wrapText="1"/>
    </xf>
    <xf numFmtId="0" fontId="2" fillId="0" borderId="1" xfId="0" applyFont="1" applyBorder="1" applyAlignment="1">
      <alignment horizontal="justify" vertical="center" wrapText="1"/>
    </xf>
    <xf numFmtId="0" fontId="2" fillId="0" borderId="1" xfId="0" quotePrefix="1" applyFont="1" applyBorder="1" applyAlignment="1">
      <alignment horizontal="justify" vertical="center" wrapText="1"/>
    </xf>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165" fontId="0" fillId="8" borderId="1" xfId="0" applyNumberFormat="1" applyFill="1" applyBorder="1" applyAlignment="1">
      <alignment horizontal="center" vertical="center"/>
    </xf>
    <xf numFmtId="165" fontId="0" fillId="40" borderId="1" xfId="0" applyNumberFormat="1" applyFill="1" applyBorder="1" applyAlignment="1">
      <alignment horizontal="center" vertical="center"/>
    </xf>
    <xf numFmtId="165" fontId="0" fillId="8" borderId="1" xfId="0" applyNumberFormat="1" applyFill="1" applyBorder="1" applyAlignment="1">
      <alignment horizontal="center" vertical="center" wrapText="1"/>
    </xf>
    <xf numFmtId="9" fontId="0" fillId="2" borderId="1" xfId="0" applyNumberFormat="1" applyFill="1" applyBorder="1" applyAlignment="1">
      <alignment horizontal="center" vertical="center"/>
    </xf>
    <xf numFmtId="0" fontId="0" fillId="2" borderId="1" xfId="0" applyFill="1" applyBorder="1" applyAlignment="1">
      <alignment horizontal="center" vertical="center"/>
    </xf>
    <xf numFmtId="9" fontId="0" fillId="8" borderId="1" xfId="0" applyNumberFormat="1" applyFill="1" applyBorder="1" applyAlignment="1">
      <alignment horizontal="center" vertical="center" wrapText="1"/>
    </xf>
    <xf numFmtId="0" fontId="0" fillId="8" borderId="1" xfId="0" applyFill="1" applyBorder="1" applyAlignment="1">
      <alignment horizontal="center" vertical="center" wrapText="1"/>
    </xf>
    <xf numFmtId="1" fontId="0" fillId="8" borderId="1" xfId="0" applyNumberFormat="1" applyFill="1" applyBorder="1" applyAlignment="1">
      <alignment horizontal="center" vertical="center"/>
    </xf>
    <xf numFmtId="0" fontId="0" fillId="8" borderId="1" xfId="0" applyFill="1" applyBorder="1" applyAlignment="1">
      <alignment horizontal="center" vertical="center"/>
    </xf>
    <xf numFmtId="9" fontId="0" fillId="8" borderId="1" xfId="0" applyNumberFormat="1" applyFill="1" applyBorder="1" applyAlignment="1">
      <alignment horizontal="center" vertical="center"/>
    </xf>
    <xf numFmtId="0" fontId="77" fillId="0" borderId="18" xfId="0" applyFont="1" applyBorder="1" applyAlignment="1">
      <alignment horizontal="center" vertical="center" wrapText="1"/>
    </xf>
    <xf numFmtId="0" fontId="77" fillId="8" borderId="1" xfId="0" applyFont="1" applyFill="1" applyBorder="1" applyAlignment="1">
      <alignment horizontal="center" vertical="center" wrapText="1"/>
    </xf>
    <xf numFmtId="0" fontId="76" fillId="9" borderId="1" xfId="0" applyFont="1" applyFill="1" applyBorder="1" applyAlignment="1">
      <alignment horizontal="center" vertical="center" wrapText="1"/>
    </xf>
    <xf numFmtId="165" fontId="0" fillId="39" borderId="1" xfId="0" applyNumberFormat="1" applyFill="1" applyBorder="1" applyAlignment="1">
      <alignment horizontal="center" vertical="center" wrapText="1"/>
    </xf>
    <xf numFmtId="0" fontId="76" fillId="8" borderId="1" xfId="0" applyFont="1" applyFill="1" applyBorder="1" applyAlignment="1">
      <alignment horizontal="center" vertical="center" wrapText="1"/>
    </xf>
    <xf numFmtId="0" fontId="77" fillId="0" borderId="0" xfId="627" applyFont="1" applyAlignment="1">
      <alignment horizontal="center"/>
    </xf>
    <xf numFmtId="0" fontId="2" fillId="34" borderId="1" xfId="0" applyFont="1" applyFill="1" applyBorder="1" applyAlignment="1">
      <alignment horizontal="center" vertical="center" wrapText="1"/>
    </xf>
    <xf numFmtId="49" fontId="26" fillId="24" borderId="1" xfId="518" applyNumberFormat="1" applyFont="1" applyFill="1" applyBorder="1" applyAlignment="1">
      <alignment horizontal="center" vertical="center" wrapText="1"/>
    </xf>
    <xf numFmtId="9" fontId="0" fillId="0" borderId="0" xfId="0" applyNumberFormat="1"/>
    <xf numFmtId="4" fontId="2" fillId="32" borderId="1" xfId="259" applyNumberFormat="1" applyFont="1" applyFill="1" applyBorder="1" applyAlignment="1" applyProtection="1">
      <alignment horizontal="center" vertical="center" wrapText="1"/>
      <protection locked="0"/>
    </xf>
    <xf numFmtId="0" fontId="2" fillId="3" borderId="3" xfId="259" applyNumberFormat="1" applyFont="1" applyFill="1" applyBorder="1" applyAlignment="1" applyProtection="1">
      <alignment horizontal="center" vertical="center" wrapText="1"/>
      <protection locked="0"/>
    </xf>
    <xf numFmtId="0" fontId="2" fillId="34" borderId="1" xfId="0" applyFont="1" applyFill="1" applyBorder="1" applyAlignment="1">
      <alignment horizontal="center" vertical="center" wrapText="1"/>
    </xf>
    <xf numFmtId="0" fontId="0" fillId="27" borderId="0" xfId="0" applyFill="1" applyAlignment="1">
      <alignment wrapText="1"/>
    </xf>
    <xf numFmtId="0" fontId="85" fillId="27" borderId="1" xfId="259" applyNumberFormat="1" applyFont="1" applyFill="1" applyBorder="1" applyAlignment="1" applyProtection="1">
      <alignment horizontal="justify" vertical="center" wrapText="1"/>
      <protection locked="0"/>
    </xf>
    <xf numFmtId="0" fontId="84" fillId="27" borderId="1" xfId="259" applyNumberFormat="1" applyFont="1" applyFill="1" applyBorder="1" applyAlignment="1" applyProtection="1">
      <alignment horizontal="justify" vertical="center" wrapText="1"/>
      <protection locked="0"/>
    </xf>
    <xf numFmtId="17" fontId="84" fillId="27" borderId="1" xfId="259" applyNumberFormat="1" applyFont="1" applyFill="1" applyBorder="1" applyAlignment="1" applyProtection="1">
      <alignment horizontal="center" vertical="center" wrapText="1"/>
      <protection locked="0"/>
    </xf>
    <xf numFmtId="14" fontId="84" fillId="27" borderId="1" xfId="259" applyNumberFormat="1" applyFont="1" applyFill="1" applyBorder="1" applyAlignment="1" applyProtection="1">
      <alignment horizontal="center" vertical="center" wrapText="1"/>
      <protection locked="0"/>
    </xf>
    <xf numFmtId="16" fontId="84" fillId="27" borderId="1" xfId="259" applyNumberFormat="1" applyFont="1" applyFill="1" applyBorder="1" applyAlignment="1" applyProtection="1">
      <alignment horizontal="center" vertical="center" wrapText="1"/>
      <protection locked="0"/>
    </xf>
    <xf numFmtId="0" fontId="84" fillId="27" borderId="1" xfId="259" applyNumberFormat="1" applyFont="1" applyFill="1" applyBorder="1" applyAlignment="1" applyProtection="1">
      <alignment horizontal="center" vertical="center" wrapText="1"/>
      <protection locked="0"/>
    </xf>
    <xf numFmtId="0" fontId="2" fillId="5" borderId="1" xfId="0" applyFont="1" applyFill="1" applyBorder="1" applyAlignment="1">
      <alignment horizontal="center" vertical="center" wrapText="1"/>
    </xf>
    <xf numFmtId="172" fontId="2" fillId="5" borderId="1" xfId="630" applyNumberFormat="1" applyFont="1" applyFill="1" applyBorder="1" applyAlignment="1">
      <alignment horizontal="center" vertical="center" textRotation="90" wrapText="1"/>
    </xf>
    <xf numFmtId="0" fontId="2" fillId="5" borderId="1" xfId="259" applyNumberFormat="1" applyFont="1" applyFill="1" applyBorder="1" applyAlignment="1">
      <alignment horizontal="center" vertical="center" wrapText="1"/>
    </xf>
    <xf numFmtId="16" fontId="2" fillId="34" borderId="1" xfId="0" applyNumberFormat="1" applyFont="1" applyFill="1" applyBorder="1" applyAlignment="1" applyProtection="1">
      <alignment horizontal="center" vertical="center" wrapText="1"/>
      <protection locked="0"/>
    </xf>
    <xf numFmtId="172" fontId="2" fillId="34" borderId="28" xfId="630" applyNumberFormat="1" applyFont="1" applyFill="1" applyBorder="1" applyAlignment="1" applyProtection="1">
      <alignment horizontal="center" vertical="center" textRotation="90" wrapText="1"/>
      <protection locked="0"/>
    </xf>
    <xf numFmtId="172" fontId="2" fillId="34" borderId="1" xfId="630" applyNumberFormat="1" applyFont="1" applyFill="1" applyBorder="1" applyAlignment="1" applyProtection="1">
      <alignment horizontal="center" vertical="center" textRotation="90" wrapText="1"/>
      <protection locked="0"/>
    </xf>
    <xf numFmtId="172" fontId="1" fillId="34" borderId="8" xfId="630" applyNumberFormat="1" applyFont="1" applyFill="1" applyBorder="1" applyAlignment="1" applyProtection="1">
      <alignment horizontal="center" vertical="center" textRotation="90" wrapText="1"/>
      <protection locked="0"/>
    </xf>
    <xf numFmtId="172" fontId="2" fillId="34" borderId="28" xfId="630" applyNumberFormat="1" applyFont="1" applyFill="1" applyBorder="1" applyAlignment="1" applyProtection="1">
      <alignment horizontal="center" textRotation="90" wrapText="1"/>
      <protection locked="0"/>
    </xf>
    <xf numFmtId="172" fontId="2" fillId="34" borderId="1" xfId="630" applyNumberFormat="1" applyFont="1" applyFill="1" applyBorder="1" applyAlignment="1" applyProtection="1">
      <alignment horizontal="center" textRotation="90" wrapText="1"/>
      <protection locked="0"/>
    </xf>
    <xf numFmtId="172" fontId="1" fillId="34" borderId="8" xfId="630" applyNumberFormat="1" applyFont="1" applyFill="1" applyBorder="1" applyAlignment="1" applyProtection="1">
      <alignment horizontal="center" textRotation="90" wrapText="1"/>
      <protection locked="0"/>
    </xf>
    <xf numFmtId="168" fontId="1" fillId="34" borderId="8" xfId="259" applyNumberFormat="1" applyFont="1" applyFill="1" applyBorder="1" applyAlignment="1" applyProtection="1">
      <alignment horizontal="center" vertical="center" textRotation="90" wrapText="1"/>
      <protection locked="0"/>
    </xf>
    <xf numFmtId="168" fontId="2" fillId="34" borderId="28" xfId="259" applyNumberFormat="1" applyFont="1" applyFill="1" applyBorder="1" applyAlignment="1" applyProtection="1">
      <alignment horizontal="center" wrapText="1"/>
      <protection locked="0"/>
    </xf>
    <xf numFmtId="168" fontId="2" fillId="34" borderId="1" xfId="259" applyNumberFormat="1" applyFont="1" applyFill="1" applyBorder="1" applyAlignment="1" applyProtection="1">
      <alignment horizontal="center" wrapText="1"/>
      <protection locked="0"/>
    </xf>
    <xf numFmtId="168" fontId="1" fillId="34" borderId="8" xfId="259" applyNumberFormat="1" applyFont="1" applyFill="1" applyBorder="1" applyAlignment="1" applyProtection="1">
      <alignment horizontal="center" wrapText="1"/>
      <protection locked="0"/>
    </xf>
    <xf numFmtId="0" fontId="7" fillId="27" borderId="1" xfId="0" applyFont="1" applyFill="1" applyBorder="1" applyAlignment="1" applyProtection="1">
      <alignment horizontal="justify" vertical="center" wrapText="1"/>
      <protection locked="0"/>
    </xf>
    <xf numFmtId="0" fontId="12" fillId="0" borderId="0" xfId="0" applyFont="1" applyAlignment="1">
      <alignment wrapText="1"/>
    </xf>
    <xf numFmtId="0" fontId="88" fillId="32" borderId="1" xfId="0" applyFont="1" applyFill="1" applyBorder="1" applyAlignment="1" applyProtection="1">
      <alignment horizontal="center" vertical="center" wrapText="1"/>
      <protection locked="0"/>
    </xf>
    <xf numFmtId="0" fontId="2" fillId="21" borderId="1" xfId="0" applyFont="1" applyFill="1" applyBorder="1" applyAlignment="1" applyProtection="1">
      <alignment horizontal="justify" vertical="center" wrapText="1"/>
      <protection locked="0"/>
    </xf>
    <xf numFmtId="0" fontId="2" fillId="13" borderId="1" xfId="0" applyFont="1" applyFill="1" applyBorder="1" applyAlignment="1" applyProtection="1">
      <alignment horizontal="justify" vertical="center" wrapText="1"/>
      <protection locked="0"/>
    </xf>
    <xf numFmtId="167" fontId="0" fillId="13" borderId="1" xfId="632" applyFont="1" applyFill="1" applyBorder="1"/>
    <xf numFmtId="168" fontId="2" fillId="19" borderId="28" xfId="259" applyNumberFormat="1" applyFont="1" applyFill="1" applyBorder="1" applyAlignment="1" applyProtection="1">
      <alignment horizontal="center" vertical="center" wrapText="1"/>
      <protection locked="0"/>
    </xf>
    <xf numFmtId="168" fontId="2" fillId="19" borderId="1" xfId="259" applyNumberFormat="1" applyFont="1" applyFill="1" applyBorder="1" applyAlignment="1" applyProtection="1">
      <alignment horizontal="center" vertical="center" wrapText="1"/>
      <protection locked="0"/>
    </xf>
    <xf numFmtId="167" fontId="0" fillId="27" borderId="1" xfId="632" applyFont="1" applyFill="1" applyBorder="1"/>
    <xf numFmtId="3" fontId="90" fillId="27" borderId="1" xfId="0" applyNumberFormat="1" applyFont="1" applyFill="1" applyBorder="1" applyAlignment="1">
      <alignment horizontal="right"/>
    </xf>
    <xf numFmtId="0" fontId="2" fillId="17" borderId="1" xfId="259" applyNumberFormat="1" applyFont="1" applyFill="1" applyBorder="1" applyAlignment="1" applyProtection="1">
      <alignment horizontal="center" vertical="center" wrapText="1"/>
      <protection locked="0"/>
    </xf>
    <xf numFmtId="0" fontId="86" fillId="5" borderId="0" xfId="0" applyFont="1" applyFill="1" applyAlignment="1">
      <alignment horizontal="justify" vertical="center"/>
    </xf>
    <xf numFmtId="0" fontId="0" fillId="0" borderId="48" xfId="0" applyBorder="1" applyAlignment="1">
      <alignment vertical="center" wrapText="1"/>
    </xf>
    <xf numFmtId="0" fontId="2" fillId="13" borderId="1" xfId="0" applyFont="1" applyFill="1" applyBorder="1" applyAlignment="1" applyProtection="1">
      <alignment horizontal="center" vertical="center" wrapText="1"/>
      <protection locked="0"/>
    </xf>
    <xf numFmtId="0" fontId="9" fillId="14" borderId="1" xfId="0" applyFont="1" applyFill="1" applyBorder="1" applyAlignment="1" applyProtection="1">
      <alignment horizontal="center" vertical="center" wrapText="1"/>
      <protection locked="0"/>
    </xf>
    <xf numFmtId="168" fontId="11" fillId="27" borderId="1" xfId="259" applyNumberFormat="1" applyFont="1" applyFill="1" applyBorder="1" applyAlignment="1" applyProtection="1">
      <alignment horizontal="center" vertical="center" textRotation="90" wrapText="1"/>
      <protection locked="0"/>
    </xf>
    <xf numFmtId="168" fontId="11" fillId="27" borderId="1" xfId="259" applyNumberFormat="1" applyFont="1" applyFill="1" applyBorder="1" applyAlignment="1" applyProtection="1">
      <alignment horizontal="center" vertical="center" wrapText="1"/>
      <protection locked="0"/>
    </xf>
    <xf numFmtId="168" fontId="11" fillId="27" borderId="28" xfId="259" applyNumberFormat="1" applyFont="1" applyFill="1" applyBorder="1" applyAlignment="1" applyProtection="1">
      <alignment vertical="center" textRotation="90" wrapText="1"/>
      <protection locked="0"/>
    </xf>
    <xf numFmtId="168" fontId="11" fillId="27" borderId="1" xfId="259" applyNumberFormat="1" applyFont="1" applyFill="1" applyBorder="1" applyAlignment="1" applyProtection="1">
      <alignment vertical="center" textRotation="90" wrapText="1"/>
      <protection locked="0"/>
    </xf>
    <xf numFmtId="168" fontId="11" fillId="27" borderId="1" xfId="259" applyNumberFormat="1" applyFont="1" applyFill="1" applyBorder="1" applyAlignment="1" applyProtection="1">
      <alignment vertical="center" wrapText="1"/>
      <protection locked="0"/>
    </xf>
    <xf numFmtId="168" fontId="11" fillId="27" borderId="28" xfId="259" applyNumberFormat="1" applyFont="1" applyFill="1" applyBorder="1" applyAlignment="1" applyProtection="1">
      <alignment horizontal="center" vertical="center" textRotation="90" wrapText="1"/>
      <protection locked="0"/>
    </xf>
    <xf numFmtId="0" fontId="11" fillId="5" borderId="1" xfId="0" applyFont="1" applyFill="1" applyBorder="1" applyAlignment="1">
      <alignment horizontal="justify" vertical="center" wrapText="1"/>
    </xf>
    <xf numFmtId="0" fontId="2" fillId="27" borderId="1" xfId="0" applyFont="1" applyFill="1" applyBorder="1" applyAlignment="1">
      <alignment horizontal="center" vertical="center" wrapText="1"/>
    </xf>
    <xf numFmtId="0" fontId="2" fillId="27" borderId="1" xfId="0" applyFont="1" applyFill="1" applyBorder="1" applyAlignment="1">
      <alignment horizontal="center" vertical="center" wrapText="1"/>
    </xf>
    <xf numFmtId="0" fontId="2" fillId="26" borderId="1" xfId="0" applyFont="1" applyFill="1" applyBorder="1" applyAlignment="1">
      <alignment horizontal="justify" vertical="center" wrapText="1"/>
    </xf>
    <xf numFmtId="0" fontId="18" fillId="5" borderId="5" xfId="0" applyFont="1" applyFill="1" applyBorder="1" applyAlignment="1">
      <alignment horizontal="center" vertical="center" textRotation="90"/>
    </xf>
    <xf numFmtId="9" fontId="0" fillId="5" borderId="7" xfId="0" applyNumberFormat="1" applyFill="1" applyBorder="1" applyAlignment="1">
      <alignment horizontal="center" vertical="center" wrapText="1"/>
    </xf>
    <xf numFmtId="0" fontId="1" fillId="26" borderId="9" xfId="259" applyNumberFormat="1" applyFont="1" applyFill="1" applyBorder="1" applyAlignment="1" applyProtection="1">
      <alignment horizontal="center" vertical="center" wrapText="1"/>
      <protection locked="0"/>
    </xf>
    <xf numFmtId="0" fontId="0" fillId="26" borderId="22" xfId="0" applyFill="1" applyBorder="1"/>
    <xf numFmtId="9" fontId="0" fillId="26" borderId="25" xfId="0" applyNumberFormat="1" applyFill="1" applyBorder="1" applyAlignment="1">
      <alignment horizontal="center" vertical="center" wrapText="1"/>
    </xf>
    <xf numFmtId="0" fontId="1" fillId="26" borderId="2" xfId="259" applyNumberFormat="1" applyFont="1" applyFill="1" applyBorder="1" applyAlignment="1" applyProtection="1">
      <alignment horizontal="center" vertical="center" wrapText="1"/>
      <protection locked="0"/>
    </xf>
    <xf numFmtId="0" fontId="2" fillId="5" borderId="26" xfId="0" applyFont="1" applyFill="1" applyBorder="1" applyAlignment="1" applyProtection="1">
      <alignment horizontal="center" vertical="center" wrapText="1"/>
      <protection locked="0"/>
    </xf>
    <xf numFmtId="168" fontId="3" fillId="27" borderId="5" xfId="259" applyNumberFormat="1" applyFont="1" applyFill="1" applyBorder="1" applyAlignment="1" applyProtection="1">
      <alignment horizontal="center" vertical="center"/>
      <protection locked="0"/>
    </xf>
    <xf numFmtId="0" fontId="1" fillId="26" borderId="23" xfId="259" applyNumberFormat="1" applyFont="1" applyFill="1" applyBorder="1" applyAlignment="1" applyProtection="1">
      <alignment horizontal="center" vertical="center" wrapText="1"/>
      <protection locked="0"/>
    </xf>
    <xf numFmtId="0" fontId="2" fillId="27" borderId="1" xfId="0" applyFont="1" applyFill="1" applyBorder="1" applyAlignment="1">
      <alignment horizontal="center" vertical="center" wrapText="1"/>
    </xf>
    <xf numFmtId="1" fontId="2" fillId="28" borderId="5" xfId="259" applyNumberFormat="1" applyFont="1" applyFill="1" applyBorder="1" applyAlignment="1" applyProtection="1">
      <alignment horizontal="justify" vertical="center" wrapText="1"/>
      <protection locked="0"/>
    </xf>
    <xf numFmtId="172" fontId="17" fillId="2" borderId="1" xfId="0" applyNumberFormat="1" applyFont="1" applyFill="1" applyBorder="1" applyAlignment="1" applyProtection="1">
      <alignment horizontal="center" vertical="center" wrapText="1"/>
      <protection locked="0"/>
    </xf>
    <xf numFmtId="172" fontId="25" fillId="2" borderId="1" xfId="259" applyNumberFormat="1" applyFont="1" applyFill="1" applyBorder="1" applyAlignment="1" applyProtection="1">
      <alignment horizontal="center" vertical="center" wrapText="1"/>
      <protection locked="0"/>
    </xf>
    <xf numFmtId="0" fontId="7" fillId="28" borderId="1" xfId="259" applyNumberFormat="1" applyFont="1" applyFill="1" applyBorder="1" applyAlignment="1" applyProtection="1">
      <alignment horizontal="center" vertical="center" wrapText="1"/>
      <protection locked="0"/>
    </xf>
    <xf numFmtId="172" fontId="7" fillId="34" borderId="1" xfId="630" applyNumberFormat="1" applyFont="1" applyFill="1" applyBorder="1" applyAlignment="1">
      <alignment horizontal="center" vertical="center" textRotation="90" wrapText="1"/>
    </xf>
    <xf numFmtId="0" fontId="9" fillId="28" borderId="1" xfId="259" applyNumberFormat="1" applyFont="1" applyFill="1" applyBorder="1" applyAlignment="1" applyProtection="1">
      <alignment horizontal="center" vertical="center" wrapText="1"/>
      <protection locked="0"/>
    </xf>
    <xf numFmtId="172" fontId="9" fillId="28" borderId="1" xfId="630" applyNumberFormat="1" applyFont="1" applyFill="1" applyBorder="1" applyAlignment="1">
      <alignment horizontal="center" vertical="center" wrapText="1"/>
    </xf>
    <xf numFmtId="172" fontId="92" fillId="52" borderId="1" xfId="633" applyNumberFormat="1" applyBorder="1" applyAlignment="1">
      <alignment horizontal="center" vertical="center" textRotation="90" wrapText="1"/>
    </xf>
    <xf numFmtId="0" fontId="38" fillId="31" borderId="3" xfId="0" applyFont="1" applyFill="1" applyBorder="1" applyAlignment="1">
      <alignment horizontal="center" vertical="center" wrapText="1"/>
    </xf>
    <xf numFmtId="0" fontId="38" fillId="31" borderId="2" xfId="0" applyFont="1" applyFill="1" applyBorder="1" applyAlignment="1">
      <alignment horizontal="center" vertical="center" wrapText="1"/>
    </xf>
    <xf numFmtId="0" fontId="38" fillId="31" borderId="4" xfId="0" applyFont="1" applyFill="1" applyBorder="1" applyAlignment="1">
      <alignment horizontal="center" vertical="center" wrapText="1"/>
    </xf>
    <xf numFmtId="0" fontId="8" fillId="5" borderId="1" xfId="0" applyFont="1" applyFill="1" applyBorder="1" applyAlignment="1">
      <alignment horizontal="center" vertical="center"/>
    </xf>
    <xf numFmtId="168" fontId="3" fillId="26" borderId="2" xfId="259" applyNumberFormat="1" applyFont="1" applyFill="1" applyBorder="1" applyAlignment="1">
      <alignment horizontal="center" vertical="center"/>
    </xf>
    <xf numFmtId="168" fontId="3" fillId="26" borderId="2" xfId="259" applyNumberFormat="1" applyFont="1" applyFill="1" applyBorder="1" applyAlignment="1">
      <alignment horizontal="right" vertical="center"/>
    </xf>
    <xf numFmtId="168" fontId="3" fillId="5" borderId="2" xfId="259" applyNumberFormat="1" applyFont="1" applyFill="1" applyBorder="1" applyAlignment="1">
      <alignment horizontal="center" vertical="center"/>
    </xf>
    <xf numFmtId="168" fontId="3" fillId="2" borderId="2" xfId="259" applyNumberFormat="1" applyFont="1" applyFill="1" applyBorder="1" applyAlignment="1">
      <alignment horizontal="center" vertical="center"/>
    </xf>
    <xf numFmtId="0" fontId="38" fillId="6" borderId="2" xfId="0" applyFont="1" applyFill="1" applyBorder="1" applyAlignment="1">
      <alignment horizontal="center" vertical="center"/>
    </xf>
    <xf numFmtId="0" fontId="38" fillId="6" borderId="4" xfId="0" applyFont="1" applyFill="1" applyBorder="1" applyAlignment="1">
      <alignment horizontal="center" vertical="center"/>
    </xf>
    <xf numFmtId="0" fontId="49" fillId="25" borderId="3" xfId="0" applyFont="1" applyFill="1" applyBorder="1" applyAlignment="1">
      <alignment horizontal="center" vertical="center"/>
    </xf>
    <xf numFmtId="0" fontId="49" fillId="25" borderId="2" xfId="0" applyFont="1" applyFill="1" applyBorder="1" applyAlignment="1">
      <alignment horizontal="center" vertical="center"/>
    </xf>
    <xf numFmtId="0" fontId="49" fillId="25" borderId="4" xfId="0" applyFont="1" applyFill="1" applyBorder="1" applyAlignment="1">
      <alignment horizontal="center" vertical="center"/>
    </xf>
    <xf numFmtId="0" fontId="3" fillId="27" borderId="5" xfId="0" applyFont="1" applyFill="1" applyBorder="1" applyAlignment="1">
      <alignment horizontal="center" vertical="center" wrapText="1"/>
    </xf>
    <xf numFmtId="0" fontId="3" fillId="27" borderId="7" xfId="0" applyFont="1" applyFill="1" applyBorder="1" applyAlignment="1">
      <alignment horizontal="center" vertical="center" wrapText="1"/>
    </xf>
    <xf numFmtId="0" fontId="3" fillId="27" borderId="6" xfId="0" applyFont="1" applyFill="1" applyBorder="1" applyAlignment="1">
      <alignment horizontal="center" vertical="center" wrapText="1"/>
    </xf>
    <xf numFmtId="0" fontId="2" fillId="27" borderId="1" xfId="0" applyFont="1" applyFill="1" applyBorder="1" applyAlignment="1">
      <alignment horizontal="center" vertical="center" wrapText="1"/>
    </xf>
    <xf numFmtId="0" fontId="2" fillId="27" borderId="5" xfId="0" applyFont="1" applyFill="1" applyBorder="1" applyAlignment="1">
      <alignment horizontal="center" vertical="center" wrapText="1"/>
    </xf>
    <xf numFmtId="0" fontId="2" fillId="27" borderId="7" xfId="0" applyFont="1" applyFill="1" applyBorder="1" applyAlignment="1">
      <alignment horizontal="center" vertical="center" wrapText="1"/>
    </xf>
    <xf numFmtId="0" fontId="2" fillId="27" borderId="6" xfId="0" applyFont="1" applyFill="1" applyBorder="1" applyAlignment="1">
      <alignment horizontal="center" vertical="center" wrapText="1"/>
    </xf>
    <xf numFmtId="0" fontId="36" fillId="25" borderId="3" xfId="0" applyFont="1" applyFill="1" applyBorder="1" applyAlignment="1">
      <alignment horizontal="center" vertical="center"/>
    </xf>
    <xf numFmtId="0" fontId="36" fillId="25" borderId="2" xfId="0" applyFont="1" applyFill="1" applyBorder="1" applyAlignment="1">
      <alignment horizontal="center" vertical="center"/>
    </xf>
    <xf numFmtId="0" fontId="36" fillId="25" borderId="4" xfId="0" applyFont="1" applyFill="1" applyBorder="1" applyAlignment="1">
      <alignment horizontal="center" vertical="center"/>
    </xf>
    <xf numFmtId="0" fontId="42" fillId="25" borderId="3" xfId="0" applyFont="1" applyFill="1" applyBorder="1" applyAlignment="1">
      <alignment horizontal="center" vertical="center"/>
    </xf>
    <xf numFmtId="0" fontId="42" fillId="25" borderId="2" xfId="0" applyFont="1" applyFill="1" applyBorder="1" applyAlignment="1">
      <alignment horizontal="center" vertical="center"/>
    </xf>
    <xf numFmtId="0" fontId="42" fillId="25" borderId="4" xfId="0" applyFont="1" applyFill="1" applyBorder="1" applyAlignment="1">
      <alignment horizontal="center" vertical="center"/>
    </xf>
    <xf numFmtId="0" fontId="3" fillId="27" borderId="1" xfId="0" applyFont="1" applyFill="1" applyBorder="1" applyAlignment="1">
      <alignment horizontal="center" vertical="center" wrapText="1"/>
    </xf>
    <xf numFmtId="10" fontId="2" fillId="27" borderId="1" xfId="0" applyNumberFormat="1" applyFont="1" applyFill="1" applyBorder="1" applyAlignment="1">
      <alignment horizontal="center" vertical="center" wrapText="1"/>
    </xf>
    <xf numFmtId="9" fontId="2" fillId="27" borderId="1" xfId="0" applyNumberFormat="1" applyFont="1" applyFill="1" applyBorder="1" applyAlignment="1">
      <alignment horizontal="center" vertical="center" wrapText="1"/>
    </xf>
    <xf numFmtId="3" fontId="2" fillId="27" borderId="1" xfId="0" applyNumberFormat="1" applyFont="1" applyFill="1" applyBorder="1" applyAlignment="1">
      <alignment horizontal="center" vertical="center" wrapText="1"/>
    </xf>
    <xf numFmtId="0" fontId="38" fillId="3" borderId="16" xfId="0" applyFont="1" applyFill="1" applyBorder="1" applyAlignment="1">
      <alignment horizontal="center" vertical="center"/>
    </xf>
    <xf numFmtId="0" fontId="38" fillId="3" borderId="17" xfId="0" applyFont="1" applyFill="1" applyBorder="1" applyAlignment="1">
      <alignment horizontal="center" vertical="center"/>
    </xf>
    <xf numFmtId="0" fontId="50" fillId="25" borderId="3" xfId="0" applyFont="1" applyFill="1" applyBorder="1" applyAlignment="1">
      <alignment horizontal="center" vertical="center"/>
    </xf>
    <xf numFmtId="0" fontId="50" fillId="25" borderId="2" xfId="0" applyFont="1" applyFill="1" applyBorder="1" applyAlignment="1">
      <alignment horizontal="center" vertical="center"/>
    </xf>
    <xf numFmtId="0" fontId="50" fillId="25" borderId="4" xfId="0" applyFont="1" applyFill="1" applyBorder="1" applyAlignment="1">
      <alignment horizontal="center" vertical="center"/>
    </xf>
    <xf numFmtId="0" fontId="51" fillId="25" borderId="3" xfId="0" applyFont="1" applyFill="1" applyBorder="1" applyAlignment="1">
      <alignment horizontal="center" vertical="center"/>
    </xf>
    <xf numFmtId="0" fontId="51" fillId="25" borderId="2" xfId="0" applyFont="1" applyFill="1" applyBorder="1" applyAlignment="1">
      <alignment horizontal="center" vertical="center"/>
    </xf>
    <xf numFmtId="0" fontId="51" fillId="25" borderId="4" xfId="0" applyFont="1" applyFill="1" applyBorder="1" applyAlignment="1">
      <alignment horizontal="center" vertical="center"/>
    </xf>
    <xf numFmtId="0" fontId="38" fillId="3" borderId="3" xfId="0" applyFont="1" applyFill="1" applyBorder="1" applyAlignment="1">
      <alignment horizontal="center" vertical="center"/>
    </xf>
    <xf numFmtId="0" fontId="38" fillId="3" borderId="2" xfId="0" applyFont="1" applyFill="1" applyBorder="1" applyAlignment="1">
      <alignment horizontal="center" vertical="center"/>
    </xf>
    <xf numFmtId="0" fontId="38" fillId="3" borderId="4" xfId="0" applyFont="1" applyFill="1" applyBorder="1" applyAlignment="1">
      <alignment horizontal="center" vertical="center"/>
    </xf>
    <xf numFmtId="0" fontId="36" fillId="2" borderId="3" xfId="0" applyFont="1" applyFill="1" applyBorder="1" applyAlignment="1">
      <alignment horizontal="center" vertical="center"/>
    </xf>
    <xf numFmtId="0" fontId="36" fillId="2" borderId="2" xfId="0" applyFont="1" applyFill="1" applyBorder="1" applyAlignment="1">
      <alignment horizontal="center" vertical="center"/>
    </xf>
    <xf numFmtId="0" fontId="36" fillId="2" borderId="4" xfId="0" applyFont="1" applyFill="1" applyBorder="1" applyAlignment="1">
      <alignment horizontal="center" vertical="center"/>
    </xf>
    <xf numFmtId="0" fontId="37" fillId="26" borderId="24" xfId="0" applyFont="1" applyFill="1" applyBorder="1" applyAlignment="1">
      <alignment horizontal="center" vertical="center"/>
    </xf>
    <xf numFmtId="0" fontId="37" fillId="26" borderId="10" xfId="0" applyFont="1" applyFill="1" applyBorder="1" applyAlignment="1">
      <alignment horizontal="center" vertical="center"/>
    </xf>
    <xf numFmtId="0" fontId="2" fillId="28" borderId="5" xfId="0" applyFont="1" applyFill="1" applyBorder="1" applyAlignment="1" applyProtection="1">
      <alignment horizontal="center" vertical="center" wrapText="1"/>
      <protection locked="0"/>
    </xf>
    <xf numFmtId="0" fontId="2" fillId="28" borderId="7" xfId="0" applyFont="1" applyFill="1" applyBorder="1" applyAlignment="1" applyProtection="1">
      <alignment horizontal="center" vertical="center" wrapText="1"/>
      <protection locked="0"/>
    </xf>
    <xf numFmtId="0" fontId="2" fillId="28" borderId="6" xfId="0" applyFont="1" applyFill="1" applyBorder="1" applyAlignment="1" applyProtection="1">
      <alignment horizontal="center" vertical="center" wrapText="1"/>
      <protection locked="0"/>
    </xf>
    <xf numFmtId="0" fontId="48" fillId="25" borderId="7" xfId="0" applyFont="1" applyFill="1" applyBorder="1" applyAlignment="1">
      <alignment horizontal="center" vertical="center" textRotation="90"/>
    </xf>
    <xf numFmtId="0" fontId="48" fillId="25" borderId="6" xfId="0" applyFont="1" applyFill="1" applyBorder="1" applyAlignment="1">
      <alignment horizontal="center" vertical="center" textRotation="90"/>
    </xf>
    <xf numFmtId="0" fontId="39" fillId="33" borderId="9" xfId="0" applyFont="1" applyFill="1" applyBorder="1" applyAlignment="1">
      <alignment horizontal="center" vertical="center"/>
    </xf>
    <xf numFmtId="0" fontId="39" fillId="33" borderId="10" xfId="0" applyFont="1" applyFill="1" applyBorder="1" applyAlignment="1">
      <alignment horizontal="center" vertical="center"/>
    </xf>
    <xf numFmtId="0" fontId="39" fillId="33" borderId="11" xfId="0" applyFont="1" applyFill="1" applyBorder="1" applyAlignment="1">
      <alignment horizontal="center" vertical="center"/>
    </xf>
    <xf numFmtId="0" fontId="13" fillId="5" borderId="9" xfId="0" applyFont="1" applyFill="1" applyBorder="1" applyAlignment="1">
      <alignment horizontal="center"/>
    </xf>
    <xf numFmtId="0" fontId="13" fillId="5" borderId="10" xfId="0" applyFont="1" applyFill="1" applyBorder="1" applyAlignment="1">
      <alignment horizontal="center"/>
    </xf>
    <xf numFmtId="0" fontId="13" fillId="5" borderId="11" xfId="0" applyFont="1" applyFill="1" applyBorder="1" applyAlignment="1">
      <alignment horizontal="center"/>
    </xf>
    <xf numFmtId="0" fontId="43" fillId="26" borderId="10" xfId="0" applyFont="1" applyFill="1" applyBorder="1" applyAlignment="1">
      <alignment horizontal="center" vertical="center" wrapText="1"/>
    </xf>
    <xf numFmtId="0" fontId="43" fillId="26" borderId="11" xfId="0" applyFont="1" applyFill="1" applyBorder="1" applyAlignment="1">
      <alignment horizontal="center" vertical="center" wrapText="1"/>
    </xf>
    <xf numFmtId="0" fontId="36" fillId="2" borderId="19" xfId="0" applyFont="1" applyFill="1" applyBorder="1" applyAlignment="1">
      <alignment horizontal="center" vertical="center"/>
    </xf>
    <xf numFmtId="0" fontId="36" fillId="2" borderId="20" xfId="0" applyFont="1" applyFill="1" applyBorder="1" applyAlignment="1">
      <alignment horizontal="center" vertical="center"/>
    </xf>
    <xf numFmtId="0" fontId="36" fillId="2" borderId="21" xfId="0" applyFont="1" applyFill="1" applyBorder="1" applyAlignment="1">
      <alignment horizontal="center" vertical="center"/>
    </xf>
    <xf numFmtId="0" fontId="38" fillId="26" borderId="3" xfId="0" applyFont="1" applyFill="1" applyBorder="1" applyAlignment="1">
      <alignment horizontal="center" vertical="center"/>
    </xf>
    <xf numFmtId="0" fontId="38" fillId="26" borderId="2" xfId="0" applyFont="1" applyFill="1" applyBorder="1" applyAlignment="1">
      <alignment horizontal="center" vertical="center"/>
    </xf>
    <xf numFmtId="0" fontId="38" fillId="26" borderId="4" xfId="0" applyFont="1" applyFill="1" applyBorder="1" applyAlignment="1">
      <alignment horizontal="center" vertical="center"/>
    </xf>
    <xf numFmtId="0" fontId="7" fillId="27" borderId="7" xfId="0" applyFont="1" applyFill="1" applyBorder="1" applyAlignment="1">
      <alignment horizontal="center" vertical="center" wrapText="1"/>
    </xf>
    <xf numFmtId="0" fontId="9" fillId="27" borderId="7" xfId="0" applyFont="1" applyFill="1" applyBorder="1" applyAlignment="1">
      <alignment horizontal="center" vertical="center" wrapText="1"/>
    </xf>
    <xf numFmtId="0" fontId="7" fillId="27" borderId="1" xfId="0" applyFont="1" applyFill="1" applyBorder="1" applyAlignment="1">
      <alignment horizontal="center" vertical="center" wrapText="1"/>
    </xf>
    <xf numFmtId="0" fontId="9" fillId="27" borderId="1" xfId="0" applyFont="1" applyFill="1" applyBorder="1" applyAlignment="1">
      <alignment horizontal="center" vertical="center" wrapText="1"/>
    </xf>
    <xf numFmtId="0" fontId="41" fillId="2" borderId="3" xfId="0" applyFont="1" applyFill="1" applyBorder="1" applyAlignment="1">
      <alignment horizontal="center" vertical="center"/>
    </xf>
    <xf numFmtId="0" fontId="41" fillId="2" borderId="2" xfId="0" applyFont="1" applyFill="1" applyBorder="1" applyAlignment="1">
      <alignment horizontal="center" vertical="center"/>
    </xf>
    <xf numFmtId="0" fontId="41" fillId="2" borderId="4" xfId="0" applyFont="1" applyFill="1" applyBorder="1" applyAlignment="1">
      <alignment horizontal="center" vertical="center"/>
    </xf>
    <xf numFmtId="0" fontId="36" fillId="2" borderId="8" xfId="0" applyFont="1" applyFill="1" applyBorder="1" applyAlignment="1">
      <alignment horizontal="center" vertical="center"/>
    </xf>
    <xf numFmtId="0" fontId="36" fillId="2" borderId="18" xfId="0" applyFont="1" applyFill="1" applyBorder="1" applyAlignment="1">
      <alignment horizontal="center" vertical="center"/>
    </xf>
    <xf numFmtId="0" fontId="36" fillId="2" borderId="15" xfId="0" applyFont="1" applyFill="1" applyBorder="1" applyAlignment="1">
      <alignment horizontal="center" vertical="center"/>
    </xf>
    <xf numFmtId="0" fontId="45" fillId="26" borderId="9" xfId="0" applyFont="1" applyFill="1" applyBorder="1" applyAlignment="1">
      <alignment horizontal="center" vertical="center"/>
    </xf>
    <xf numFmtId="0" fontId="45" fillId="26" borderId="10" xfId="0" applyFont="1" applyFill="1" applyBorder="1" applyAlignment="1">
      <alignment horizontal="center" vertical="center"/>
    </xf>
    <xf numFmtId="0" fontId="45" fillId="26" borderId="11" xfId="0" applyFont="1" applyFill="1" applyBorder="1" applyAlignment="1">
      <alignment horizontal="center" vertical="center"/>
    </xf>
    <xf numFmtId="0" fontId="36" fillId="2" borderId="8"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1" fillId="2" borderId="15" xfId="0" applyFont="1" applyFill="1" applyBorder="1" applyAlignment="1">
      <alignment horizontal="center" vertical="center" wrapText="1"/>
    </xf>
    <xf numFmtId="168" fontId="47" fillId="26" borderId="12" xfId="259" applyNumberFormat="1" applyFont="1" applyFill="1" applyBorder="1" applyAlignment="1" applyProtection="1">
      <alignment horizontal="center" vertical="center"/>
      <protection locked="0"/>
    </xf>
    <xf numFmtId="168" fontId="47" fillId="26" borderId="13" xfId="259" applyNumberFormat="1" applyFont="1" applyFill="1" applyBorder="1" applyAlignment="1" applyProtection="1">
      <alignment horizontal="center" vertical="center"/>
      <protection locked="0"/>
    </xf>
    <xf numFmtId="168" fontId="47" fillId="26" borderId="14" xfId="259" applyNumberFormat="1" applyFont="1" applyFill="1" applyBorder="1" applyAlignment="1" applyProtection="1">
      <alignment horizontal="right" vertical="center"/>
      <protection locked="0"/>
    </xf>
    <xf numFmtId="0" fontId="38" fillId="31" borderId="9" xfId="0" applyFont="1" applyFill="1" applyBorder="1" applyAlignment="1">
      <alignment horizontal="center" vertical="center" wrapText="1"/>
    </xf>
    <xf numFmtId="0" fontId="38" fillId="31" borderId="10" xfId="0" applyFont="1" applyFill="1" applyBorder="1" applyAlignment="1">
      <alignment horizontal="center" vertical="center" wrapText="1"/>
    </xf>
    <xf numFmtId="0" fontId="46" fillId="25" borderId="2" xfId="0" applyFont="1" applyFill="1" applyBorder="1" applyAlignment="1">
      <alignment horizontal="center" vertical="center"/>
    </xf>
    <xf numFmtId="0" fontId="46" fillId="25" borderId="4" xfId="0" applyFont="1" applyFill="1" applyBorder="1" applyAlignment="1">
      <alignment horizontal="center" vertical="center"/>
    </xf>
    <xf numFmtId="0" fontId="47" fillId="26" borderId="9" xfId="259" applyNumberFormat="1" applyFont="1" applyFill="1" applyBorder="1" applyAlignment="1" applyProtection="1">
      <alignment horizontal="center" vertical="center"/>
      <protection locked="0"/>
    </xf>
    <xf numFmtId="0" fontId="47" fillId="26" borderId="10" xfId="259" applyNumberFormat="1" applyFont="1" applyFill="1" applyBorder="1" applyAlignment="1" applyProtection="1">
      <alignment horizontal="center" vertical="center"/>
      <protection locked="0"/>
    </xf>
    <xf numFmtId="0" fontId="47" fillId="26" borderId="11" xfId="259" applyNumberFormat="1" applyFont="1" applyFill="1" applyBorder="1" applyAlignment="1" applyProtection="1">
      <alignment horizontal="center" vertical="center"/>
      <protection locked="0"/>
    </xf>
    <xf numFmtId="0" fontId="40" fillId="2" borderId="3" xfId="0" applyFont="1" applyFill="1" applyBorder="1" applyAlignment="1">
      <alignment horizontal="center" vertical="center"/>
    </xf>
    <xf numFmtId="0" fontId="40" fillId="2" borderId="2" xfId="0" applyFont="1" applyFill="1" applyBorder="1" applyAlignment="1">
      <alignment horizontal="center" vertical="center"/>
    </xf>
    <xf numFmtId="0" fontId="40" fillId="2" borderId="4" xfId="0" applyFont="1" applyFill="1" applyBorder="1" applyAlignment="1">
      <alignment horizontal="center" vertical="center"/>
    </xf>
    <xf numFmtId="0" fontId="38" fillId="26" borderId="10" xfId="0" applyFont="1" applyFill="1" applyBorder="1" applyAlignment="1">
      <alignment horizontal="center" vertical="center"/>
    </xf>
    <xf numFmtId="0" fontId="38" fillId="26" borderId="11" xfId="0" applyFont="1" applyFill="1" applyBorder="1" applyAlignment="1">
      <alignment horizontal="center" vertical="center"/>
    </xf>
    <xf numFmtId="0" fontId="38" fillId="26" borderId="3" xfId="0" applyFont="1" applyFill="1" applyBorder="1" applyAlignment="1" applyProtection="1">
      <alignment horizontal="center" vertical="center" wrapText="1"/>
      <protection locked="0"/>
    </xf>
    <xf numFmtId="0" fontId="38" fillId="26" borderId="2" xfId="0" applyFont="1" applyFill="1" applyBorder="1" applyAlignment="1" applyProtection="1">
      <alignment horizontal="center" vertical="center" wrapText="1"/>
      <protection locked="0"/>
    </xf>
    <xf numFmtId="0" fontId="38" fillId="26" borderId="4" xfId="0" applyFont="1" applyFill="1" applyBorder="1" applyAlignment="1" applyProtection="1">
      <alignment horizontal="center" vertical="center" wrapText="1"/>
      <protection locked="0"/>
    </xf>
    <xf numFmtId="0" fontId="45" fillId="25" borderId="9" xfId="0" applyFont="1" applyFill="1" applyBorder="1" applyAlignment="1">
      <alignment horizontal="center" vertical="center"/>
    </xf>
    <xf numFmtId="0" fontId="45" fillId="25" borderId="10" xfId="0" applyFont="1" applyFill="1" applyBorder="1" applyAlignment="1">
      <alignment horizontal="center" vertical="center"/>
    </xf>
    <xf numFmtId="0" fontId="45" fillId="25" borderId="11" xfId="0" applyFont="1" applyFill="1" applyBorder="1" applyAlignment="1">
      <alignment horizontal="center" vertical="center"/>
    </xf>
    <xf numFmtId="0" fontId="45" fillId="26" borderId="24" xfId="0" applyFont="1" applyFill="1" applyBorder="1" applyAlignment="1">
      <alignment horizontal="center" vertical="center"/>
    </xf>
    <xf numFmtId="0" fontId="38" fillId="26" borderId="24" xfId="0" applyFont="1" applyFill="1" applyBorder="1" applyAlignment="1">
      <alignment horizontal="center" vertical="center"/>
    </xf>
    <xf numFmtId="0" fontId="52" fillId="25" borderId="5" xfId="0" applyFont="1" applyFill="1" applyBorder="1" applyAlignment="1">
      <alignment horizontal="center" vertical="center" textRotation="90"/>
    </xf>
    <xf numFmtId="0" fontId="52" fillId="25" borderId="7" xfId="0" applyFont="1" applyFill="1" applyBorder="1" applyAlignment="1">
      <alignment horizontal="center" vertical="center" textRotation="90"/>
    </xf>
    <xf numFmtId="0" fontId="52" fillId="25" borderId="6" xfId="0" applyFont="1" applyFill="1" applyBorder="1" applyAlignment="1">
      <alignment horizontal="center" vertical="center" textRotation="90"/>
    </xf>
    <xf numFmtId="0" fontId="36" fillId="2" borderId="6" xfId="0" applyFont="1" applyFill="1" applyBorder="1" applyAlignment="1">
      <alignment horizontal="center" vertical="center"/>
    </xf>
    <xf numFmtId="0" fontId="43" fillId="26" borderId="23" xfId="0" applyFont="1" applyFill="1" applyBorder="1" applyAlignment="1">
      <alignment horizontal="center" vertical="center" wrapText="1"/>
    </xf>
    <xf numFmtId="0" fontId="44" fillId="25" borderId="2" xfId="0" applyFont="1" applyFill="1" applyBorder="1" applyAlignment="1">
      <alignment horizontal="center" vertical="center"/>
    </xf>
    <xf numFmtId="0" fontId="44" fillId="25" borderId="4" xfId="0" applyFont="1" applyFill="1" applyBorder="1" applyAlignment="1">
      <alignment horizontal="center" vertical="center"/>
    </xf>
    <xf numFmtId="0" fontId="37" fillId="26" borderId="11" xfId="0" applyFont="1" applyFill="1" applyBorder="1" applyAlignment="1">
      <alignment horizontal="center" vertical="center"/>
    </xf>
    <xf numFmtId="0" fontId="60" fillId="28" borderId="9" xfId="627" applyFont="1" applyFill="1" applyBorder="1" applyAlignment="1">
      <alignment horizontal="center" vertical="center"/>
    </xf>
    <xf numFmtId="0" fontId="60" fillId="28" borderId="10" xfId="627" applyFont="1" applyFill="1" applyBorder="1" applyAlignment="1">
      <alignment horizontal="center" vertical="center"/>
    </xf>
    <xf numFmtId="0" fontId="60" fillId="28" borderId="11" xfId="627" applyFont="1" applyFill="1" applyBorder="1" applyAlignment="1">
      <alignment horizontal="center" vertical="center"/>
    </xf>
    <xf numFmtId="0" fontId="1" fillId="0" borderId="3" xfId="259" applyNumberFormat="1" applyFont="1" applyBorder="1" applyAlignment="1">
      <alignment horizontal="center" vertical="center" wrapText="1"/>
    </xf>
    <xf numFmtId="0" fontId="1" fillId="0" borderId="2" xfId="259" applyNumberFormat="1" applyFont="1" applyBorder="1" applyAlignment="1">
      <alignment horizontal="center" vertical="center" wrapText="1"/>
    </xf>
    <xf numFmtId="0" fontId="1" fillId="0" borderId="4" xfId="259" applyNumberFormat="1" applyFont="1" applyBorder="1" applyAlignment="1">
      <alignment horizontal="center" vertical="center" wrapText="1"/>
    </xf>
    <xf numFmtId="0" fontId="0" fillId="0" borderId="5" xfId="0" applyBorder="1" applyAlignment="1">
      <alignment horizontal="justify"/>
    </xf>
    <xf numFmtId="0" fontId="0" fillId="0" borderId="6" xfId="0" applyBorder="1" applyAlignment="1">
      <alignment horizontal="justify"/>
    </xf>
    <xf numFmtId="0" fontId="2" fillId="0" borderId="5" xfId="0" applyFont="1" applyBorder="1" applyAlignment="1">
      <alignment horizontal="justify" vertical="center" wrapText="1"/>
    </xf>
    <xf numFmtId="0" fontId="2" fillId="0" borderId="6" xfId="0" applyFont="1" applyBorder="1" applyAlignment="1">
      <alignment horizontal="justify" vertical="center" wrapText="1"/>
    </xf>
    <xf numFmtId="0" fontId="0" fillId="0" borderId="5" xfId="0" applyBorder="1" applyAlignment="1">
      <alignment horizontal="justify" vertical="center" wrapText="1"/>
    </xf>
    <xf numFmtId="0" fontId="0" fillId="0" borderId="6" xfId="0" applyBorder="1" applyAlignment="1">
      <alignment horizontal="justify" vertical="center" wrapText="1"/>
    </xf>
    <xf numFmtId="0" fontId="0" fillId="0" borderId="5" xfId="0" applyBorder="1" applyAlignment="1">
      <alignment horizontal="justify" vertical="center"/>
    </xf>
    <xf numFmtId="0" fontId="0" fillId="0" borderId="6" xfId="0" applyBorder="1" applyAlignment="1">
      <alignment horizontal="justify" vertical="center"/>
    </xf>
    <xf numFmtId="0" fontId="12" fillId="0" borderId="5" xfId="0" applyFont="1" applyBorder="1" applyAlignment="1">
      <alignment horizontal="justify"/>
    </xf>
    <xf numFmtId="0" fontId="12" fillId="0" borderId="6" xfId="0" applyFont="1" applyBorder="1" applyAlignment="1">
      <alignment horizontal="justify"/>
    </xf>
    <xf numFmtId="3" fontId="2" fillId="0" borderId="5" xfId="259" applyNumberFormat="1" applyFont="1" applyBorder="1" applyAlignment="1">
      <alignment horizontal="center" vertical="center" wrapText="1"/>
    </xf>
    <xf numFmtId="3" fontId="2" fillId="0" borderId="6" xfId="259" applyNumberFormat="1" applyFont="1" applyBorder="1" applyAlignment="1">
      <alignment horizontal="center" vertical="center" wrapText="1"/>
    </xf>
    <xf numFmtId="3" fontId="1" fillId="0" borderId="5" xfId="259" applyNumberFormat="1" applyFont="1" applyBorder="1" applyAlignment="1">
      <alignment horizontal="center" vertical="center" wrapText="1"/>
    </xf>
    <xf numFmtId="3" fontId="1" fillId="0" borderId="6" xfId="259" applyNumberFormat="1" applyFont="1" applyBorder="1" applyAlignment="1">
      <alignment horizontal="center" vertical="center" wrapText="1"/>
    </xf>
    <xf numFmtId="3" fontId="2" fillId="0" borderId="7" xfId="259" applyNumberFormat="1" applyFont="1" applyBorder="1" applyAlignment="1">
      <alignment horizontal="center" vertical="center" wrapText="1"/>
    </xf>
    <xf numFmtId="3" fontId="1" fillId="0" borderId="7" xfId="259" applyNumberFormat="1" applyFont="1" applyBorder="1" applyAlignment="1">
      <alignment horizontal="center" vertical="center" wrapText="1"/>
    </xf>
    <xf numFmtId="1" fontId="2" fillId="0" borderId="5" xfId="0" quotePrefix="1" applyNumberFormat="1" applyFont="1" applyBorder="1" applyAlignment="1">
      <alignment horizontal="justify" vertical="center" wrapText="1"/>
    </xf>
    <xf numFmtId="1" fontId="2" fillId="0" borderId="6" xfId="0" quotePrefix="1" applyNumberFormat="1" applyFont="1" applyBorder="1" applyAlignment="1">
      <alignment horizontal="justify"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9" fontId="2" fillId="0" borderId="5" xfId="0" applyNumberFormat="1" applyFont="1" applyBorder="1" applyAlignment="1">
      <alignment horizontal="center" vertical="center" wrapText="1"/>
    </xf>
    <xf numFmtId="9" fontId="2" fillId="0" borderId="6" xfId="0" applyNumberFormat="1" applyFont="1" applyBorder="1" applyAlignment="1">
      <alignment horizontal="center" vertical="center" wrapText="1"/>
    </xf>
    <xf numFmtId="0" fontId="2" fillId="0" borderId="5" xfId="0" quotePrefix="1" applyFont="1" applyBorder="1" applyAlignment="1">
      <alignment horizontal="justify" vertical="center" wrapText="1"/>
    </xf>
    <xf numFmtId="0" fontId="2" fillId="0" borderId="6" xfId="0" quotePrefix="1" applyFont="1" applyBorder="1" applyAlignment="1">
      <alignment horizontal="justify" vertical="center" wrapText="1"/>
    </xf>
    <xf numFmtId="0" fontId="2" fillId="0" borderId="7" xfId="0" quotePrefix="1" applyFont="1" applyBorder="1" applyAlignment="1">
      <alignment horizontal="justify" vertical="center" wrapText="1"/>
    </xf>
    <xf numFmtId="0" fontId="2" fillId="0" borderId="7" xfId="0" applyFont="1" applyBorder="1" applyAlignment="1">
      <alignment horizontal="justify" vertical="center" wrapText="1"/>
    </xf>
    <xf numFmtId="9" fontId="2" fillId="0" borderId="5" xfId="0" applyNumberFormat="1" applyFont="1" applyBorder="1" applyAlignment="1">
      <alignment horizontal="justify" vertical="center" wrapText="1"/>
    </xf>
    <xf numFmtId="9" fontId="2" fillId="0" borderId="7" xfId="0" applyNumberFormat="1" applyFont="1" applyBorder="1" applyAlignment="1">
      <alignment horizontal="justify" vertical="center" wrapText="1"/>
    </xf>
    <xf numFmtId="9" fontId="2" fillId="0" borderId="6" xfId="0" applyNumberFormat="1" applyFont="1" applyBorder="1" applyAlignment="1">
      <alignment horizontal="justify" vertical="center" wrapText="1"/>
    </xf>
    <xf numFmtId="0" fontId="2" fillId="0" borderId="5" xfId="0" quotePrefix="1" applyFont="1" applyBorder="1" applyAlignment="1">
      <alignment horizontal="center" vertical="center" wrapText="1"/>
    </xf>
    <xf numFmtId="0" fontId="2" fillId="0" borderId="7" xfId="0" quotePrefix="1" applyFont="1" applyBorder="1" applyAlignment="1">
      <alignment horizontal="center" vertical="center" wrapText="1"/>
    </xf>
    <xf numFmtId="0" fontId="2" fillId="0" borderId="6" xfId="0" quotePrefix="1" applyFont="1" applyBorder="1" applyAlignment="1">
      <alignment horizontal="center" vertical="center" wrapText="1"/>
    </xf>
    <xf numFmtId="0" fontId="2" fillId="0" borderId="7" xfId="0" applyFont="1" applyBorder="1" applyAlignment="1">
      <alignment horizontal="center" vertical="center" wrapText="1"/>
    </xf>
    <xf numFmtId="9" fontId="2" fillId="0" borderId="7" xfId="0" applyNumberFormat="1" applyFont="1" applyBorder="1" applyAlignment="1">
      <alignment horizontal="center" vertical="center" wrapText="1"/>
    </xf>
    <xf numFmtId="0" fontId="2" fillId="0" borderId="1" xfId="0" quotePrefix="1" applyFont="1" applyBorder="1" applyAlignment="1">
      <alignment horizontal="justify" vertical="center" wrapText="1"/>
    </xf>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1" xfId="0" applyFont="1" applyBorder="1" applyAlignment="1">
      <alignment horizontal="justify" vertical="center" wrapText="1"/>
    </xf>
    <xf numFmtId="0" fontId="2" fillId="0" borderId="1" xfId="0" quotePrefix="1" applyFont="1" applyBorder="1" applyAlignment="1">
      <alignment horizontal="center" vertical="center" wrapText="1"/>
    </xf>
    <xf numFmtId="0" fontId="1" fillId="0" borderId="5" xfId="0" quotePrefix="1" applyFont="1" applyBorder="1" applyAlignment="1">
      <alignment horizontal="center" vertical="center" textRotation="90" wrapText="1"/>
    </xf>
    <xf numFmtId="0" fontId="1" fillId="0" borderId="7" xfId="0" applyFont="1" applyBorder="1" applyAlignment="1">
      <alignment horizontal="center" vertical="center" textRotation="90" wrapText="1"/>
    </xf>
    <xf numFmtId="0" fontId="1" fillId="0" borderId="6" xfId="0" applyFont="1" applyBorder="1" applyAlignment="1">
      <alignment horizontal="center" vertical="center" textRotation="90" wrapText="1"/>
    </xf>
    <xf numFmtId="9" fontId="1" fillId="0" borderId="5" xfId="0" applyNumberFormat="1" applyFont="1" applyBorder="1" applyAlignment="1">
      <alignment horizontal="center"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 fillId="0" borderId="5" xfId="0" applyFont="1" applyBorder="1" applyAlignment="1">
      <alignment horizontal="center" vertical="center" textRotation="90" wrapText="1"/>
    </xf>
    <xf numFmtId="0" fontId="1" fillId="0" borderId="5" xfId="0" quotePrefix="1" applyFont="1" applyBorder="1" applyAlignment="1">
      <alignment horizontal="justify" vertical="center" wrapText="1"/>
    </xf>
    <xf numFmtId="0" fontId="1" fillId="0" borderId="7" xfId="0" quotePrefix="1" applyFont="1" applyBorder="1" applyAlignment="1">
      <alignment horizontal="justify" vertical="center" wrapText="1"/>
    </xf>
    <xf numFmtId="0" fontId="1" fillId="0" borderId="6" xfId="0" quotePrefix="1" applyFont="1" applyBorder="1" applyAlignment="1">
      <alignment horizontal="justify" vertical="center" wrapText="1"/>
    </xf>
    <xf numFmtId="2" fontId="1" fillId="0" borderId="5" xfId="0" applyNumberFormat="1" applyFont="1" applyBorder="1" applyAlignment="1">
      <alignment horizontal="center" vertical="center" wrapText="1"/>
    </xf>
    <xf numFmtId="2" fontId="1" fillId="0" borderId="6" xfId="0" applyNumberFormat="1" applyFont="1" applyBorder="1" applyAlignment="1">
      <alignment horizontal="center" vertical="center" wrapText="1"/>
    </xf>
    <xf numFmtId="0" fontId="1" fillId="0" borderId="5" xfId="0" quotePrefix="1" applyFont="1" applyBorder="1" applyAlignment="1">
      <alignment horizontal="center" vertical="center" wrapText="1"/>
    </xf>
    <xf numFmtId="0" fontId="1" fillId="0" borderId="1" xfId="0" applyFont="1" applyBorder="1" applyAlignment="1">
      <alignment horizontal="justify" vertical="center" wrapText="1"/>
    </xf>
    <xf numFmtId="0" fontId="1" fillId="0" borderId="1" xfId="0" quotePrefix="1" applyFont="1" applyBorder="1" applyAlignment="1">
      <alignment horizontal="justify" vertical="center" wrapText="1"/>
    </xf>
    <xf numFmtId="0" fontId="1" fillId="0" borderId="5" xfId="0" applyFont="1" applyBorder="1" applyAlignment="1">
      <alignment horizontal="center" vertical="center" wrapText="1"/>
    </xf>
    <xf numFmtId="168" fontId="3" fillId="2" borderId="2" xfId="259" applyNumberFormat="1" applyFont="1" applyFill="1" applyBorder="1" applyAlignment="1">
      <alignment horizontal="right" vertical="center"/>
    </xf>
    <xf numFmtId="168" fontId="3" fillId="4" borderId="2" xfId="259" applyNumberFormat="1" applyFont="1" applyFill="1" applyBorder="1" applyAlignment="1">
      <alignment horizontal="center" vertical="center"/>
    </xf>
    <xf numFmtId="0" fontId="1" fillId="0" borderId="5" xfId="0" applyFont="1" applyBorder="1" applyAlignment="1">
      <alignment horizontal="justify" vertical="center" wrapText="1"/>
    </xf>
    <xf numFmtId="0" fontId="1" fillId="0" borderId="7" xfId="0" applyFont="1" applyBorder="1" applyAlignment="1">
      <alignment horizontal="justify" vertical="center" wrapText="1"/>
    </xf>
    <xf numFmtId="0" fontId="1" fillId="0" borderId="6" xfId="0" applyFont="1" applyBorder="1" applyAlignment="1">
      <alignment horizontal="justify" vertical="center" wrapText="1"/>
    </xf>
    <xf numFmtId="0" fontId="39" fillId="33" borderId="9" xfId="0" applyFont="1" applyFill="1" applyBorder="1" applyAlignment="1">
      <alignment horizontal="center" vertical="center" wrapText="1"/>
    </xf>
    <xf numFmtId="0" fontId="60" fillId="28" borderId="37" xfId="627" applyFont="1" applyFill="1" applyBorder="1" applyAlignment="1">
      <alignment horizontal="center" vertical="center"/>
    </xf>
    <xf numFmtId="0" fontId="60" fillId="28" borderId="0" xfId="627" applyFont="1" applyFill="1" applyAlignment="1">
      <alignment horizontal="center" vertical="center"/>
    </xf>
    <xf numFmtId="2" fontId="2" fillId="34" borderId="3" xfId="0" applyNumberFormat="1" applyFont="1" applyFill="1" applyBorder="1" applyAlignment="1">
      <alignment horizontal="center" vertical="center" wrapText="1"/>
    </xf>
    <xf numFmtId="2" fontId="2" fillId="34" borderId="2" xfId="0" applyNumberFormat="1" applyFont="1" applyFill="1" applyBorder="1" applyAlignment="1">
      <alignment horizontal="center" vertical="center" wrapText="1"/>
    </xf>
    <xf numFmtId="2" fontId="2" fillId="34" borderId="4" xfId="0" applyNumberFormat="1" applyFont="1" applyFill="1" applyBorder="1" applyAlignment="1">
      <alignment horizontal="center" vertical="center" wrapText="1"/>
    </xf>
    <xf numFmtId="0" fontId="71" fillId="0" borderId="1" xfId="0" applyFont="1" applyBorder="1" applyAlignment="1">
      <alignment horizontal="center"/>
    </xf>
    <xf numFmtId="0" fontId="77" fillId="22" borderId="1" xfId="0" applyFont="1" applyFill="1" applyBorder="1" applyAlignment="1">
      <alignment horizontal="center" vertical="center" wrapText="1"/>
    </xf>
    <xf numFmtId="165" fontId="0" fillId="18" borderId="1" xfId="0" applyNumberFormat="1" applyFill="1" applyBorder="1" applyAlignment="1">
      <alignment horizontal="center" vertical="center" wrapText="1"/>
    </xf>
    <xf numFmtId="165" fontId="0" fillId="39" borderId="1" xfId="0" applyNumberFormat="1" applyFill="1" applyBorder="1" applyAlignment="1">
      <alignment horizontal="center" vertical="center" wrapText="1"/>
    </xf>
    <xf numFmtId="0" fontId="76" fillId="47" borderId="1" xfId="0" applyFont="1" applyFill="1" applyBorder="1" applyAlignment="1">
      <alignment horizontal="center" vertical="center" wrapText="1"/>
    </xf>
    <xf numFmtId="0" fontId="76" fillId="8" borderId="1" xfId="0" applyFont="1" applyFill="1" applyBorder="1" applyAlignment="1">
      <alignment horizontal="center" vertical="center" wrapText="1"/>
    </xf>
    <xf numFmtId="0" fontId="76" fillId="8" borderId="1" xfId="0" applyFont="1" applyFill="1" applyBorder="1" applyAlignment="1">
      <alignment horizontal="right" vertical="center" wrapText="1"/>
    </xf>
    <xf numFmtId="165" fontId="0" fillId="8" borderId="1" xfId="0" applyNumberFormat="1" applyFill="1" applyBorder="1" applyAlignment="1">
      <alignment horizontal="center" vertical="center"/>
    </xf>
    <xf numFmtId="165" fontId="0" fillId="40" borderId="1" xfId="0" applyNumberFormat="1" applyFill="1" applyBorder="1" applyAlignment="1">
      <alignment horizontal="center" vertical="center"/>
    </xf>
    <xf numFmtId="0" fontId="0" fillId="8" borderId="1" xfId="0" applyFill="1" applyBorder="1" applyAlignment="1">
      <alignment horizontal="center" vertical="center"/>
    </xf>
    <xf numFmtId="165" fontId="0" fillId="8" borderId="1" xfId="0" applyNumberFormat="1" applyFill="1" applyBorder="1" applyAlignment="1">
      <alignment horizontal="center" vertical="center" wrapText="1"/>
    </xf>
    <xf numFmtId="9" fontId="0" fillId="8" borderId="1" xfId="0" applyNumberFormat="1" applyFill="1" applyBorder="1" applyAlignment="1">
      <alignment horizontal="center" vertical="center" wrapText="1"/>
    </xf>
    <xf numFmtId="0" fontId="76" fillId="9" borderId="1" xfId="0" applyFont="1" applyFill="1" applyBorder="1" applyAlignment="1">
      <alignment horizontal="center" vertical="center" wrapText="1"/>
    </xf>
    <xf numFmtId="0" fontId="76" fillId="29" borderId="1" xfId="0" applyFont="1" applyFill="1" applyBorder="1" applyAlignment="1">
      <alignment horizontal="center" vertical="center" wrapText="1"/>
    </xf>
    <xf numFmtId="1" fontId="76" fillId="47" borderId="1" xfId="0" applyNumberFormat="1" applyFont="1" applyFill="1" applyBorder="1" applyAlignment="1">
      <alignment horizontal="center" vertical="center" wrapText="1"/>
    </xf>
    <xf numFmtId="0" fontId="77" fillId="0" borderId="18" xfId="0" applyFont="1" applyBorder="1" applyAlignment="1">
      <alignment horizontal="center" vertical="center" wrapText="1"/>
    </xf>
    <xf numFmtId="0" fontId="77" fillId="8" borderId="1" xfId="0" applyFont="1" applyFill="1" applyBorder="1" applyAlignment="1">
      <alignment horizontal="center" vertical="center" wrapText="1"/>
    </xf>
    <xf numFmtId="0" fontId="76" fillId="10" borderId="5" xfId="0" applyFont="1" applyFill="1" applyBorder="1" applyAlignment="1">
      <alignment horizontal="center" vertical="center" wrapText="1"/>
    </xf>
    <xf numFmtId="0" fontId="76" fillId="10" borderId="6" xfId="0" applyFont="1" applyFill="1" applyBorder="1" applyAlignment="1">
      <alignment horizontal="center" vertical="center" wrapText="1"/>
    </xf>
    <xf numFmtId="0" fontId="76" fillId="19" borderId="5" xfId="0" applyFont="1" applyFill="1" applyBorder="1" applyAlignment="1">
      <alignment horizontal="center" vertical="center" wrapText="1"/>
    </xf>
    <xf numFmtId="0" fontId="76" fillId="19" borderId="6" xfId="0" applyFont="1" applyFill="1" applyBorder="1" applyAlignment="1">
      <alignment horizontal="center" vertical="center" wrapText="1"/>
    </xf>
    <xf numFmtId="1" fontId="76" fillId="19" borderId="26" xfId="0" applyNumberFormat="1" applyFont="1" applyFill="1" applyBorder="1" applyAlignment="1">
      <alignment horizontal="center" vertical="center" wrapText="1"/>
    </xf>
    <xf numFmtId="1" fontId="76" fillId="19" borderId="8" xfId="0" applyNumberFormat="1" applyFont="1" applyFill="1" applyBorder="1" applyAlignment="1">
      <alignment horizontal="center" vertical="center" wrapText="1"/>
    </xf>
    <xf numFmtId="165" fontId="76" fillId="19" borderId="1" xfId="630" applyFont="1" applyFill="1" applyBorder="1" applyAlignment="1">
      <alignment horizontal="center" vertical="center" wrapText="1"/>
    </xf>
    <xf numFmtId="165" fontId="13" fillId="47" borderId="1" xfId="630" applyFont="1" applyFill="1" applyBorder="1" applyAlignment="1">
      <alignment horizontal="center" vertical="center" wrapText="1"/>
    </xf>
    <xf numFmtId="165" fontId="0" fillId="8" borderId="1" xfId="0" applyNumberFormat="1" applyFill="1" applyBorder="1" applyAlignment="1">
      <alignment horizontal="center"/>
    </xf>
    <xf numFmtId="9" fontId="0" fillId="8" borderId="1" xfId="0" applyNumberFormat="1" applyFill="1" applyBorder="1" applyAlignment="1">
      <alignment horizontal="center" vertical="center"/>
    </xf>
    <xf numFmtId="9" fontId="0" fillId="8" borderId="5" xfId="0" applyNumberFormat="1" applyFill="1" applyBorder="1" applyAlignment="1">
      <alignment horizontal="center" vertical="center"/>
    </xf>
    <xf numFmtId="9" fontId="0" fillId="8" borderId="7" xfId="0" applyNumberFormat="1" applyFill="1" applyBorder="1" applyAlignment="1">
      <alignment horizontal="center" vertical="center"/>
    </xf>
    <xf numFmtId="9" fontId="0" fillId="8" borderId="6" xfId="0" applyNumberFormat="1" applyFill="1" applyBorder="1" applyAlignment="1">
      <alignment horizontal="center" vertical="center"/>
    </xf>
    <xf numFmtId="9" fontId="0" fillId="2" borderId="1" xfId="0" applyNumberFormat="1" applyFill="1" applyBorder="1" applyAlignment="1">
      <alignment horizontal="center" vertical="center"/>
    </xf>
    <xf numFmtId="0" fontId="0" fillId="2" borderId="1" xfId="0" applyFill="1" applyBorder="1" applyAlignment="1">
      <alignment horizontal="center" vertical="center"/>
    </xf>
    <xf numFmtId="0" fontId="0" fillId="8" borderId="1" xfId="0" applyFill="1" applyBorder="1" applyAlignment="1">
      <alignment horizontal="center" vertical="center" wrapText="1"/>
    </xf>
    <xf numFmtId="165" fontId="0" fillId="17" borderId="1" xfId="0" applyNumberFormat="1" applyFill="1" applyBorder="1" applyAlignment="1">
      <alignment horizontal="center" vertical="center" wrapText="1"/>
    </xf>
    <xf numFmtId="1" fontId="0" fillId="8" borderId="1" xfId="0" applyNumberFormat="1" applyFill="1" applyBorder="1" applyAlignment="1">
      <alignment horizontal="center" vertical="center"/>
    </xf>
    <xf numFmtId="166" fontId="10" fillId="24" borderId="1" xfId="518" applyFont="1" applyFill="1" applyBorder="1" applyAlignment="1">
      <alignment horizontal="center" vertical="center" wrapText="1"/>
    </xf>
    <xf numFmtId="0" fontId="77" fillId="0" borderId="0" xfId="627" applyFont="1" applyAlignment="1">
      <alignment horizontal="center"/>
    </xf>
    <xf numFmtId="0" fontId="43" fillId="26" borderId="13" xfId="0" applyFont="1" applyFill="1" applyBorder="1" applyAlignment="1">
      <alignment horizontal="center" vertical="center" wrapText="1"/>
    </xf>
    <xf numFmtId="0" fontId="3" fillId="34" borderId="7" xfId="0" applyFont="1" applyFill="1" applyBorder="1" applyAlignment="1">
      <alignment horizontal="center" vertical="center" wrapText="1"/>
    </xf>
    <xf numFmtId="0" fontId="2" fillId="34" borderId="1" xfId="0" applyFont="1" applyFill="1" applyBorder="1" applyAlignment="1">
      <alignment horizontal="center" vertical="center" wrapText="1"/>
    </xf>
    <xf numFmtId="0" fontId="38" fillId="25" borderId="16" xfId="0" applyFont="1" applyFill="1" applyBorder="1" applyAlignment="1">
      <alignment horizontal="center" vertical="center"/>
    </xf>
    <xf numFmtId="0" fontId="38" fillId="25" borderId="17" xfId="0" applyFont="1" applyFill="1" applyBorder="1" applyAlignment="1">
      <alignment horizontal="center" vertical="center"/>
    </xf>
    <xf numFmtId="0" fontId="2" fillId="27" borderId="17" xfId="0" applyFont="1" applyFill="1" applyBorder="1" applyAlignment="1">
      <alignment horizontal="center" vertical="center" wrapText="1"/>
    </xf>
    <xf numFmtId="0" fontId="2" fillId="27" borderId="47" xfId="0" applyFont="1" applyFill="1" applyBorder="1" applyAlignment="1">
      <alignment horizontal="center" vertical="center" wrapText="1"/>
    </xf>
    <xf numFmtId="0" fontId="2" fillId="27" borderId="15" xfId="0" applyFont="1" applyFill="1" applyBorder="1" applyAlignment="1">
      <alignment horizontal="center" vertical="center" wrapText="1"/>
    </xf>
    <xf numFmtId="49" fontId="26" fillId="24" borderId="1" xfId="518" applyNumberFormat="1" applyFont="1" applyFill="1" applyBorder="1" applyAlignment="1">
      <alignment horizontal="center" vertical="center" wrapText="1"/>
    </xf>
    <xf numFmtId="49" fontId="10" fillId="24" borderId="5" xfId="518" applyNumberFormat="1" applyFont="1" applyFill="1" applyBorder="1" applyAlignment="1">
      <alignment horizontal="center" vertical="center" wrapText="1"/>
    </xf>
    <xf numFmtId="49" fontId="10" fillId="24" borderId="6" xfId="518" applyNumberFormat="1" applyFont="1" applyFill="1" applyBorder="1" applyAlignment="1">
      <alignment horizontal="center" vertical="center" wrapText="1"/>
    </xf>
    <xf numFmtId="0" fontId="26" fillId="6" borderId="0" xfId="627" applyFill="1" applyAlignment="1">
      <alignment horizontal="center" vertical="center"/>
    </xf>
    <xf numFmtId="0" fontId="26" fillId="6" borderId="18" xfId="627" applyFill="1" applyBorder="1" applyAlignment="1">
      <alignment horizontal="center" vertical="center"/>
    </xf>
    <xf numFmtId="0" fontId="26" fillId="6" borderId="0" xfId="627" applyFill="1" applyAlignment="1">
      <alignment horizontal="center" vertical="center" wrapText="1"/>
    </xf>
    <xf numFmtId="0" fontId="26" fillId="6" borderId="18" xfId="627" applyFill="1" applyBorder="1" applyAlignment="1">
      <alignment horizontal="center" vertical="center" wrapText="1"/>
    </xf>
    <xf numFmtId="0" fontId="26" fillId="7" borderId="41" xfId="627" applyFill="1" applyBorder="1" applyAlignment="1">
      <alignment horizontal="center" vertical="center"/>
    </xf>
    <xf numFmtId="0" fontId="26" fillId="7" borderId="42" xfId="627" applyFill="1" applyBorder="1" applyAlignment="1">
      <alignment horizontal="center" vertical="center"/>
    </xf>
  </cellXfs>
  <cellStyles count="634">
    <cellStyle name="Énfasis6" xfId="633" builtinId="49"/>
    <cellStyle name="Hipervínculo" xfId="257" builtinId="8" hidden="1"/>
    <cellStyle name="Hipervínculo" xfId="225" builtinId="8" hidden="1"/>
    <cellStyle name="Hipervínculo" xfId="193" builtinId="8" hidden="1"/>
    <cellStyle name="Hipervínculo" xfId="161" builtinId="8" hidden="1"/>
    <cellStyle name="Hipervínculo" xfId="129" builtinId="8" hidden="1"/>
    <cellStyle name="Hipervínculo" xfId="97" builtinId="8" hidden="1"/>
    <cellStyle name="Hipervínculo" xfId="65" builtinId="8" hidden="1"/>
    <cellStyle name="Hipervínculo" xfId="41" builtinId="8" hidden="1"/>
    <cellStyle name="Hipervínculo" xfId="63" builtinId="8" hidden="1"/>
    <cellStyle name="Hipervínculo" xfId="11" builtinId="8" hidden="1"/>
    <cellStyle name="Hipervínculo" xfId="1" builtinId="8" hidden="1"/>
    <cellStyle name="Hipervínculo" xfId="15" builtinId="8" hidden="1"/>
    <cellStyle name="Hipervínculo" xfId="61" builtinId="8" hidden="1"/>
    <cellStyle name="Hipervínculo" xfId="43" builtinId="8" hidden="1"/>
    <cellStyle name="Hipervínculo" xfId="23" builtinId="8" hidden="1"/>
    <cellStyle name="Hipervínculo" xfId="93" builtinId="8" hidden="1"/>
    <cellStyle name="Hipervínculo" xfId="125" builtinId="8" hidden="1"/>
    <cellStyle name="Hipervínculo" xfId="157" builtinId="8" hidden="1"/>
    <cellStyle name="Hipervínculo" xfId="189" builtinId="8" hidden="1"/>
    <cellStyle name="Hipervínculo" xfId="221" builtinId="8" hidden="1"/>
    <cellStyle name="Hipervínculo" xfId="253" builtinId="8" hidden="1"/>
    <cellStyle name="Hipervínculo" xfId="286" builtinId="8" hidden="1"/>
    <cellStyle name="Hipervínculo" xfId="318" builtinId="8" hidden="1"/>
    <cellStyle name="Hipervínculo" xfId="350" builtinId="8" hidden="1"/>
    <cellStyle name="Hipervínculo" xfId="382" builtinId="8" hidden="1"/>
    <cellStyle name="Hipervínculo" xfId="414" builtinId="8" hidden="1"/>
    <cellStyle name="Hipervínculo" xfId="446" builtinId="8" hidden="1"/>
    <cellStyle name="Hipervínculo" xfId="478" builtinId="8" hidden="1"/>
    <cellStyle name="Hipervínculo" xfId="510" builtinId="8" hidden="1"/>
    <cellStyle name="Hipervínculo" xfId="543" builtinId="8" hidden="1"/>
    <cellStyle name="Hipervínculo" xfId="575" builtinId="8" hidden="1"/>
    <cellStyle name="Hipervínculo" xfId="607" builtinId="8" hidden="1"/>
    <cellStyle name="Hipervínculo" xfId="613" builtinId="8" hidden="1"/>
    <cellStyle name="Hipervínculo" xfId="581" builtinId="8" hidden="1"/>
    <cellStyle name="Hipervínculo" xfId="549" builtinId="8" hidden="1"/>
    <cellStyle name="Hipervínculo" xfId="516" builtinId="8" hidden="1"/>
    <cellStyle name="Hipervínculo" xfId="484" builtinId="8" hidden="1"/>
    <cellStyle name="Hipervínculo" xfId="452" builtinId="8" hidden="1"/>
    <cellStyle name="Hipervínculo" xfId="420" builtinId="8" hidden="1"/>
    <cellStyle name="Hipervínculo" xfId="388" builtinId="8" hidden="1"/>
    <cellStyle name="Hipervínculo" xfId="356" builtinId="8" hidden="1"/>
    <cellStyle name="Hipervínculo" xfId="324" builtinId="8" hidden="1"/>
    <cellStyle name="Hipervínculo" xfId="292" builtinId="8" hidden="1"/>
    <cellStyle name="Hipervínculo" xfId="260" builtinId="8" hidden="1"/>
    <cellStyle name="Hipervínculo" xfId="227" builtinId="8" hidden="1"/>
    <cellStyle name="Hipervínculo" xfId="195" builtinId="8" hidden="1"/>
    <cellStyle name="Hipervínculo" xfId="127" builtinId="8" hidden="1"/>
    <cellStyle name="Hipervínculo" xfId="147" builtinId="8" hidden="1"/>
    <cellStyle name="Hipervínculo" xfId="167" builtinId="8" hidden="1"/>
    <cellStyle name="Hipervínculo" xfId="191" builtinId="8" hidden="1"/>
    <cellStyle name="Hipervínculo" xfId="139" builtinId="8" hidden="1"/>
    <cellStyle name="Hipervínculo" xfId="87" builtinId="8" hidden="1"/>
    <cellStyle name="Hipervínculo" xfId="91" builtinId="8" hidden="1"/>
    <cellStyle name="Hipervínculo" xfId="67" builtinId="8" hidden="1"/>
    <cellStyle name="Hipervínculo" xfId="75" builtinId="8" hidden="1"/>
    <cellStyle name="Hipervínculo" xfId="95" builtinId="8" hidden="1"/>
    <cellStyle name="Hipervínculo" xfId="123" builtinId="8" hidden="1"/>
    <cellStyle name="Hipervínculo" xfId="187" builtinId="8" hidden="1"/>
    <cellStyle name="Hipervínculo" xfId="175" builtinId="8" hidden="1"/>
    <cellStyle name="Hipervínculo" xfId="151" builtinId="8" hidden="1"/>
    <cellStyle name="Hipervínculo" xfId="131" builtinId="8" hidden="1"/>
    <cellStyle name="Hipervínculo" xfId="111" builtinId="8" hidden="1"/>
    <cellStyle name="Hipervínculo" xfId="219" builtinId="8" hidden="1"/>
    <cellStyle name="Hipervínculo" xfId="251" builtinId="8" hidden="1"/>
    <cellStyle name="Hipervínculo" xfId="284" builtinId="8" hidden="1"/>
    <cellStyle name="Hipervínculo" xfId="316" builtinId="8" hidden="1"/>
    <cellStyle name="Hipervínculo" xfId="348" builtinId="8" hidden="1"/>
    <cellStyle name="Hipervínculo" xfId="380" builtinId="8" hidden="1"/>
    <cellStyle name="Hipervínculo" xfId="412" builtinId="8" hidden="1"/>
    <cellStyle name="Hipervínculo" xfId="444" builtinId="8" hidden="1"/>
    <cellStyle name="Hipervínculo" xfId="476" builtinId="8" hidden="1"/>
    <cellStyle name="Hipervínculo" xfId="508" builtinId="8" hidden="1"/>
    <cellStyle name="Hipervínculo" xfId="541" builtinId="8" hidden="1"/>
    <cellStyle name="Hipervínculo" xfId="573" builtinId="8" hidden="1"/>
    <cellStyle name="Hipervínculo" xfId="605" builtinId="8" hidden="1"/>
    <cellStyle name="Hipervínculo" xfId="615" builtinId="8" hidden="1"/>
    <cellStyle name="Hipervínculo" xfId="583" builtinId="8" hidden="1"/>
    <cellStyle name="Hipervínculo" xfId="551" builtinId="8" hidden="1"/>
    <cellStyle name="Hipervínculo" xfId="519" builtinId="8" hidden="1"/>
    <cellStyle name="Hipervínculo" xfId="486" builtinId="8" hidden="1"/>
    <cellStyle name="Hipervínculo" xfId="454" builtinId="8" hidden="1"/>
    <cellStyle name="Hipervínculo" xfId="422" builtinId="8" hidden="1"/>
    <cellStyle name="Hipervínculo" xfId="390" builtinId="8" hidden="1"/>
    <cellStyle name="Hipervínculo" xfId="358" builtinId="8" hidden="1"/>
    <cellStyle name="Hipervínculo" xfId="326" builtinId="8" hidden="1"/>
    <cellStyle name="Hipervínculo" xfId="294" builtinId="8" hidden="1"/>
    <cellStyle name="Hipervínculo" xfId="262" builtinId="8" hidden="1"/>
    <cellStyle name="Hipervínculo" xfId="229" builtinId="8" hidden="1"/>
    <cellStyle name="Hipervínculo" xfId="197" builtinId="8" hidden="1"/>
    <cellStyle name="Hipervínculo" xfId="165" builtinId="8" hidden="1"/>
    <cellStyle name="Hipervínculo" xfId="133" builtinId="8" hidden="1"/>
    <cellStyle name="Hipervínculo" xfId="101" builtinId="8" hidden="1"/>
    <cellStyle name="Hipervínculo" xfId="69" builtinId="8" hidden="1"/>
    <cellStyle name="Hipervínculo" xfId="39" builtinId="8" hidden="1"/>
    <cellStyle name="Hipervínculo" xfId="59" builtinId="8" hidden="1"/>
    <cellStyle name="Hipervínculo" xfId="9" builtinId="8" hidden="1"/>
    <cellStyle name="Hipervínculo" xfId="3" builtinId="8" hidden="1"/>
    <cellStyle name="Hipervínculo" xfId="17" builtinId="8" hidden="1"/>
    <cellStyle name="Hipervínculo" xfId="53" builtinId="8" hidden="1"/>
    <cellStyle name="Hipervínculo" xfId="47" builtinId="8" hidden="1"/>
    <cellStyle name="Hipervínculo" xfId="25" builtinId="8" hidden="1"/>
    <cellStyle name="Hipervínculo" xfId="89" builtinId="8" hidden="1"/>
    <cellStyle name="Hipervínculo" xfId="121" builtinId="8" hidden="1"/>
    <cellStyle name="Hipervínculo" xfId="153" builtinId="8" hidden="1"/>
    <cellStyle name="Hipervínculo" xfId="185" builtinId="8" hidden="1"/>
    <cellStyle name="Hipervínculo" xfId="217" builtinId="8" hidden="1"/>
    <cellStyle name="Hipervínculo" xfId="249" builtinId="8" hidden="1"/>
    <cellStyle name="Hipervínculo" xfId="282" builtinId="8" hidden="1"/>
    <cellStyle name="Hipervínculo" xfId="314" builtinId="8" hidden="1"/>
    <cellStyle name="Hipervínculo" xfId="346" builtinId="8" hidden="1"/>
    <cellStyle name="Hipervínculo" xfId="378" builtinId="8" hidden="1"/>
    <cellStyle name="Hipervínculo" xfId="410" builtinId="8" hidden="1"/>
    <cellStyle name="Hipervínculo" xfId="442" builtinId="8" hidden="1"/>
    <cellStyle name="Hipervínculo" xfId="474" builtinId="8" hidden="1"/>
    <cellStyle name="Hipervínculo" xfId="506" builtinId="8" hidden="1"/>
    <cellStyle name="Hipervínculo" xfId="539" builtinId="8" hidden="1"/>
    <cellStyle name="Hipervínculo" xfId="571" builtinId="8" hidden="1"/>
    <cellStyle name="Hipervínculo" xfId="603" builtinId="8" hidden="1"/>
    <cellStyle name="Hipervínculo" xfId="617" builtinId="8" hidden="1"/>
    <cellStyle name="Hipervínculo" xfId="585" builtinId="8" hidden="1"/>
    <cellStyle name="Hipervínculo" xfId="553" builtinId="8" hidden="1"/>
    <cellStyle name="Hipervínculo" xfId="521" builtinId="8" hidden="1"/>
    <cellStyle name="Hipervínculo" xfId="488" builtinId="8" hidden="1"/>
    <cellStyle name="Hipervínculo" xfId="456" builtinId="8" hidden="1"/>
    <cellStyle name="Hipervínculo" xfId="296" builtinId="8" hidden="1"/>
    <cellStyle name="Hipervínculo" xfId="320" builtinId="8" hidden="1"/>
    <cellStyle name="Hipervínculo" xfId="336" builtinId="8" hidden="1"/>
    <cellStyle name="Hipervínculo" xfId="360" builtinId="8" hidden="1"/>
    <cellStyle name="Hipervínculo" xfId="384" builtinId="8" hidden="1"/>
    <cellStyle name="Hipervínculo" xfId="400" builtinId="8" hidden="1"/>
    <cellStyle name="Hipervínculo" xfId="424" builtinId="8" hidden="1"/>
    <cellStyle name="Hipervínculo" xfId="448" builtinId="8" hidden="1"/>
    <cellStyle name="Hipervínculo" xfId="408" builtinId="8" hidden="1"/>
    <cellStyle name="Hipervínculo" xfId="344" builtinId="8" hidden="1"/>
    <cellStyle name="Hipervínculo" xfId="280" builtinId="8" hidden="1"/>
    <cellStyle name="Hipervínculo" xfId="239" builtinId="8" hidden="1"/>
    <cellStyle name="Hipervínculo" xfId="264" builtinId="8" hidden="1"/>
    <cellStyle name="Hipervínculo" xfId="247" builtinId="8" hidden="1"/>
    <cellStyle name="Hipervínculo" xfId="223" builtinId="8" hidden="1"/>
    <cellStyle name="Hipervínculo" xfId="199" builtinId="8" hidden="1"/>
    <cellStyle name="Hipervínculo" xfId="207" builtinId="8" hidden="1"/>
    <cellStyle name="Hipervínculo" xfId="215" builtinId="8" hidden="1"/>
    <cellStyle name="Hipervínculo" xfId="272" builtinId="8" hidden="1"/>
    <cellStyle name="Hipervínculo" xfId="255" builtinId="8" hidden="1"/>
    <cellStyle name="Hipervínculo" xfId="231" builtinId="8" hidden="1"/>
    <cellStyle name="Hipervínculo" xfId="312" builtinId="8" hidden="1"/>
    <cellStyle name="Hipervínculo" xfId="376" builtinId="8" hidden="1"/>
    <cellStyle name="Hipervínculo" xfId="440" builtinId="8" hidden="1"/>
    <cellStyle name="Hipervínculo" xfId="432" builtinId="8" hidden="1"/>
    <cellStyle name="Hipervínculo" xfId="416" builtinId="8" hidden="1"/>
    <cellStyle name="Hipervínculo" xfId="392" builtinId="8" hidden="1"/>
    <cellStyle name="Hipervínculo" xfId="368" builtinId="8" hidden="1"/>
    <cellStyle name="Hipervínculo" xfId="352" builtinId="8" hidden="1"/>
    <cellStyle name="Hipervínculo" xfId="328" builtinId="8" hidden="1"/>
    <cellStyle name="Hipervínculo" xfId="304" builtinId="8" hidden="1"/>
    <cellStyle name="Hipervínculo" xfId="288" builtinId="8" hidden="1"/>
    <cellStyle name="Hipervínculo" xfId="472" builtinId="8" hidden="1"/>
    <cellStyle name="Hipervínculo" xfId="504" builtinId="8" hidden="1"/>
    <cellStyle name="Hipervínculo" xfId="537" builtinId="8" hidden="1"/>
    <cellStyle name="Hipervínculo" xfId="569" builtinId="8" hidden="1"/>
    <cellStyle name="Hipervínculo" xfId="601" builtinId="8" hidden="1"/>
    <cellStyle name="Hipervínculo" xfId="619" builtinId="8" hidden="1"/>
    <cellStyle name="Hipervínculo" xfId="587" builtinId="8" hidden="1"/>
    <cellStyle name="Hipervínculo" xfId="555" builtinId="8" hidden="1"/>
    <cellStyle name="Hipervínculo" xfId="523" builtinId="8" hidden="1"/>
    <cellStyle name="Hipervínculo" xfId="490" builtinId="8" hidden="1"/>
    <cellStyle name="Hipervínculo" xfId="458" builtinId="8" hidden="1"/>
    <cellStyle name="Hipervínculo" xfId="426" builtinId="8" hidden="1"/>
    <cellStyle name="Hipervínculo" xfId="394" builtinId="8" hidden="1"/>
    <cellStyle name="Hipervínculo" xfId="362" builtinId="8" hidden="1"/>
    <cellStyle name="Hipervínculo" xfId="330" builtinId="8" hidden="1"/>
    <cellStyle name="Hipervínculo" xfId="298" builtinId="8" hidden="1"/>
    <cellStyle name="Hipervínculo" xfId="266" builtinId="8" hidden="1"/>
    <cellStyle name="Hipervínculo" xfId="233" builtinId="8" hidden="1"/>
    <cellStyle name="Hipervínculo" xfId="201" builtinId="8" hidden="1"/>
    <cellStyle name="Hipervínculo" xfId="169" builtinId="8" hidden="1"/>
    <cellStyle name="Hipervínculo" xfId="137" builtinId="8" hidden="1"/>
    <cellStyle name="Hipervínculo" xfId="105" builtinId="8" hidden="1"/>
    <cellStyle name="Hipervínculo" xfId="73" builtinId="8" hidden="1"/>
    <cellStyle name="Hipervínculo" xfId="35" builtinId="8" hidden="1"/>
    <cellStyle name="Hipervínculo" xfId="57" builtinId="8" hidden="1"/>
    <cellStyle name="Hipervínculo" xfId="21" builtinId="8" hidden="1"/>
    <cellStyle name="Hipervínculo" xfId="7" builtinId="8" hidden="1"/>
    <cellStyle name="Hipervínculo" xfId="19" builtinId="8" hidden="1"/>
    <cellStyle name="Hipervínculo" xfId="45" builtinId="8" hidden="1"/>
    <cellStyle name="Hipervínculo" xfId="49" builtinId="8" hidden="1"/>
    <cellStyle name="Hipervínculo" xfId="27" builtinId="8" hidden="1"/>
    <cellStyle name="Hipervínculo" xfId="85" builtinId="8" hidden="1"/>
    <cellStyle name="Hipervínculo" xfId="117" builtinId="8" hidden="1"/>
    <cellStyle name="Hipervínculo" xfId="149" builtinId="8" hidden="1"/>
    <cellStyle name="Hipervínculo" xfId="181" builtinId="8" hidden="1"/>
    <cellStyle name="Hipervínculo" xfId="213" builtinId="8" hidden="1"/>
    <cellStyle name="Hipervínculo" xfId="245" builtinId="8" hidden="1"/>
    <cellStyle name="Hipervínculo" xfId="278" builtinId="8" hidden="1"/>
    <cellStyle name="Hipervínculo" xfId="310" builtinId="8" hidden="1"/>
    <cellStyle name="Hipervínculo" xfId="342" builtinId="8" hidden="1"/>
    <cellStyle name="Hipervínculo" xfId="374" builtinId="8" hidden="1"/>
    <cellStyle name="Hipervínculo" xfId="406" builtinId="8" hidden="1"/>
    <cellStyle name="Hipervínculo" xfId="438" builtinId="8" hidden="1"/>
    <cellStyle name="Hipervínculo" xfId="470" builtinId="8" hidden="1"/>
    <cellStyle name="Hipervínculo" xfId="502" builtinId="8" hidden="1"/>
    <cellStyle name="Hipervínculo" xfId="535" builtinId="8" hidden="1"/>
    <cellStyle name="Hipervínculo" xfId="567" builtinId="8" hidden="1"/>
    <cellStyle name="Hipervínculo" xfId="599" builtinId="8" hidden="1"/>
    <cellStyle name="Hipervínculo" xfId="621" builtinId="8" hidden="1"/>
    <cellStyle name="Hipervínculo" xfId="589" builtinId="8" hidden="1"/>
    <cellStyle name="Hipervínculo" xfId="557" builtinId="8" hidden="1"/>
    <cellStyle name="Hipervínculo" xfId="525" builtinId="8" hidden="1"/>
    <cellStyle name="Hipervínculo" xfId="492" builtinId="8" hidden="1"/>
    <cellStyle name="Hipervínculo" xfId="460" builtinId="8" hidden="1"/>
    <cellStyle name="Hipervínculo" xfId="428" builtinId="8" hidden="1"/>
    <cellStyle name="Hipervínculo" xfId="396" builtinId="8" hidden="1"/>
    <cellStyle name="Hipervínculo" xfId="364" builtinId="8" hidden="1"/>
    <cellStyle name="Hipervínculo" xfId="332" builtinId="8" hidden="1"/>
    <cellStyle name="Hipervínculo" xfId="300" builtinId="8" hidden="1"/>
    <cellStyle name="Hipervínculo" xfId="268" builtinId="8" hidden="1"/>
    <cellStyle name="Hipervínculo" xfId="235" builtinId="8" hidden="1"/>
    <cellStyle name="Hipervínculo" xfId="203" builtinId="8" hidden="1"/>
    <cellStyle name="Hipervínculo" xfId="119" builtinId="8" hidden="1"/>
    <cellStyle name="Hipervínculo" xfId="143" builtinId="8" hidden="1"/>
    <cellStyle name="Hipervínculo" xfId="163" builtinId="8" hidden="1"/>
    <cellStyle name="Hipervínculo" xfId="183" builtinId="8" hidden="1"/>
    <cellStyle name="Hipervínculo" xfId="155" builtinId="8" hidden="1"/>
    <cellStyle name="Hipervínculo" xfId="83" builtinId="8" hidden="1"/>
    <cellStyle name="Hipervínculo" xfId="103" builtinId="8" hidden="1"/>
    <cellStyle name="Hipervínculo" xfId="71" builtinId="8" hidden="1"/>
    <cellStyle name="Hipervínculo" xfId="79" builtinId="8" hidden="1"/>
    <cellStyle name="Hipervínculo" xfId="99" builtinId="8" hidden="1"/>
    <cellStyle name="Hipervínculo" xfId="107" builtinId="8" hidden="1"/>
    <cellStyle name="Hipervínculo" xfId="171" builtinId="8" hidden="1"/>
    <cellStyle name="Hipervínculo" xfId="179" builtinId="8" hidden="1"/>
    <cellStyle name="Hipervínculo" xfId="159" builtinId="8" hidden="1"/>
    <cellStyle name="Hipervínculo" xfId="135" builtinId="8" hidden="1"/>
    <cellStyle name="Hipervínculo" xfId="115" builtinId="8" hidden="1"/>
    <cellStyle name="Hipervínculo" xfId="211" builtinId="8" hidden="1"/>
    <cellStyle name="Hipervínculo" xfId="243" builtinId="8" hidden="1"/>
    <cellStyle name="Hipervínculo" xfId="276" builtinId="8" hidden="1"/>
    <cellStyle name="Hipervínculo" xfId="308" builtinId="8" hidden="1"/>
    <cellStyle name="Hipervínculo" xfId="340" builtinId="8" hidden="1"/>
    <cellStyle name="Hipervínculo" xfId="372" builtinId="8" hidden="1"/>
    <cellStyle name="Hipervínculo" xfId="404" builtinId="8" hidden="1"/>
    <cellStyle name="Hipervínculo" xfId="436" builtinId="8" hidden="1"/>
    <cellStyle name="Hipervínculo" xfId="468" builtinId="8" hidden="1"/>
    <cellStyle name="Hipervínculo" xfId="500" builtinId="8" hidden="1"/>
    <cellStyle name="Hipervínculo" xfId="533" builtinId="8" hidden="1"/>
    <cellStyle name="Hipervínculo" xfId="565" builtinId="8" hidden="1"/>
    <cellStyle name="Hipervínculo" xfId="597" builtinId="8" hidden="1"/>
    <cellStyle name="Hipervínculo" xfId="623" builtinId="8" hidden="1"/>
    <cellStyle name="Hipervínculo" xfId="591" builtinId="8" hidden="1"/>
    <cellStyle name="Hipervínculo" xfId="559" builtinId="8" hidden="1"/>
    <cellStyle name="Hipervínculo" xfId="527" builtinId="8" hidden="1"/>
    <cellStyle name="Hipervínculo" xfId="494" builtinId="8" hidden="1"/>
    <cellStyle name="Hipervínculo" xfId="462" builtinId="8" hidden="1"/>
    <cellStyle name="Hipervínculo" xfId="430" builtinId="8" hidden="1"/>
    <cellStyle name="Hipervínculo" xfId="398" builtinId="8" hidden="1"/>
    <cellStyle name="Hipervínculo" xfId="366" builtinId="8" hidden="1"/>
    <cellStyle name="Hipervínculo" xfId="334" builtinId="8" hidden="1"/>
    <cellStyle name="Hipervínculo" xfId="302" builtinId="8" hidden="1"/>
    <cellStyle name="Hipervínculo" xfId="270" builtinId="8" hidden="1"/>
    <cellStyle name="Hipervínculo" xfId="237" builtinId="8" hidden="1"/>
    <cellStyle name="Hipervínculo" xfId="205" builtinId="8" hidden="1"/>
    <cellStyle name="Hipervínculo" xfId="173" builtinId="8" hidden="1"/>
    <cellStyle name="Hipervínculo" xfId="141" builtinId="8" hidden="1"/>
    <cellStyle name="Hipervínculo" xfId="109" builtinId="8" hidden="1"/>
    <cellStyle name="Hipervínculo" xfId="77" builtinId="8" hidden="1"/>
    <cellStyle name="Hipervínculo" xfId="33" builtinId="8" hidden="1"/>
    <cellStyle name="Hipervínculo" xfId="55" builtinId="8" hidden="1"/>
    <cellStyle name="Hipervínculo" xfId="29" builtinId="8" hidden="1"/>
    <cellStyle name="Hipervínculo" xfId="5" builtinId="8" hidden="1"/>
    <cellStyle name="Hipervínculo" xfId="13" builtinId="8" hidden="1"/>
    <cellStyle name="Hipervínculo" xfId="37" builtinId="8" hidden="1"/>
    <cellStyle name="Hipervínculo" xfId="51" builtinId="8" hidden="1"/>
    <cellStyle name="Hipervínculo" xfId="31" builtinId="8" hidden="1"/>
    <cellStyle name="Hipervínculo" xfId="81" builtinId="8" hidden="1"/>
    <cellStyle name="Hipervínculo" xfId="113" builtinId="8" hidden="1"/>
    <cellStyle name="Hipervínculo" xfId="145" builtinId="8" hidden="1"/>
    <cellStyle name="Hipervínculo" xfId="177" builtinId="8" hidden="1"/>
    <cellStyle name="Hipervínculo" xfId="209" builtinId="8" hidden="1"/>
    <cellStyle name="Hipervínculo" xfId="241" builtinId="8" hidden="1"/>
    <cellStyle name="Hipervínculo" xfId="274" builtinId="8" hidden="1"/>
    <cellStyle name="Hipervínculo" xfId="611" builtinId="8" hidden="1"/>
    <cellStyle name="Hipervínculo" xfId="595" builtinId="8" hidden="1"/>
    <cellStyle name="Hipervínculo" xfId="579" builtinId="8" hidden="1"/>
    <cellStyle name="Hipervínculo" xfId="547" builtinId="8" hidden="1"/>
    <cellStyle name="Hipervínculo" xfId="531" builtinId="8" hidden="1"/>
    <cellStyle name="Hipervínculo" xfId="514" builtinId="8" hidden="1"/>
    <cellStyle name="Hipervínculo" xfId="482" builtinId="8" hidden="1"/>
    <cellStyle name="Hipervínculo" xfId="466" builtinId="8" hidden="1"/>
    <cellStyle name="Hipervínculo" xfId="450" builtinId="8" hidden="1"/>
    <cellStyle name="Hipervínculo" xfId="418" builtinId="8" hidden="1"/>
    <cellStyle name="Hipervínculo" xfId="402" builtinId="8" hidden="1"/>
    <cellStyle name="Hipervínculo" xfId="386" builtinId="8" hidden="1"/>
    <cellStyle name="Hipervínculo" xfId="354" builtinId="8" hidden="1"/>
    <cellStyle name="Hipervínculo" xfId="338" builtinId="8" hidden="1"/>
    <cellStyle name="Hipervínculo" xfId="322" builtinId="8" hidden="1"/>
    <cellStyle name="Hipervínculo" xfId="290" builtinId="8" hidden="1"/>
    <cellStyle name="Hipervínculo" xfId="306" builtinId="8" hidden="1"/>
    <cellStyle name="Hipervínculo" xfId="370" builtinId="8" hidden="1"/>
    <cellStyle name="Hipervínculo" xfId="434" builtinId="8" hidden="1"/>
    <cellStyle name="Hipervínculo" xfId="498" builtinId="8" hidden="1"/>
    <cellStyle name="Hipervínculo" xfId="563" builtinId="8" hidden="1"/>
    <cellStyle name="Hipervínculo" xfId="625" builtinId="8" hidden="1"/>
    <cellStyle name="Hipervínculo" xfId="529" builtinId="8" hidden="1"/>
    <cellStyle name="Hipervínculo" xfId="545" builtinId="8" hidden="1"/>
    <cellStyle name="Hipervínculo" xfId="577" builtinId="8" hidden="1"/>
    <cellStyle name="Hipervínculo" xfId="593" builtinId="8" hidden="1"/>
    <cellStyle name="Hipervínculo" xfId="609" builtinId="8" hidden="1"/>
    <cellStyle name="Hipervínculo" xfId="561" builtinId="8" hidden="1"/>
    <cellStyle name="Hipervínculo" xfId="496" builtinId="8" hidden="1"/>
    <cellStyle name="Hipervínculo" xfId="512" builtinId="8" hidden="1"/>
    <cellStyle name="Hipervínculo" xfId="480" builtinId="8" hidden="1"/>
    <cellStyle name="Hipervínculo" xfId="464" builtinId="8" hidden="1"/>
    <cellStyle name="Hipervínculo visitado" xfId="307" builtinId="9" hidden="1"/>
    <cellStyle name="Hipervínculo visitado" xfId="309" builtinId="9" hidden="1"/>
    <cellStyle name="Hipervínculo visitado" xfId="315" builtinId="9" hidden="1"/>
    <cellStyle name="Hipervínculo visitado" xfId="321" builtinId="9" hidden="1"/>
    <cellStyle name="Hipervínculo visitado" xfId="325" builtinId="9" hidden="1"/>
    <cellStyle name="Hipervínculo visitado" xfId="329" builtinId="9" hidden="1"/>
    <cellStyle name="Hipervínculo visitado" xfId="339" builtinId="9" hidden="1"/>
    <cellStyle name="Hipervínculo visitado" xfId="341" builtinId="9" hidden="1"/>
    <cellStyle name="Hipervínculo visitado" xfId="345" builtinId="9" hidden="1"/>
    <cellStyle name="Hipervínculo visitado" xfId="353" builtinId="9" hidden="1"/>
    <cellStyle name="Hipervínculo visitado" xfId="355" builtinId="9" hidden="1"/>
    <cellStyle name="Hipervínculo visitado" xfId="361" builtinId="9" hidden="1"/>
    <cellStyle name="Hipervínculo visitado" xfId="291" builtinId="9" hidden="1"/>
    <cellStyle name="Hipervínculo visitado" xfId="265" builtinId="9" hidden="1"/>
    <cellStyle name="Hipervínculo visitado" xfId="267" builtinId="9" hidden="1"/>
    <cellStyle name="Hipervínculo visitado" xfId="275" builtinId="9" hidden="1"/>
    <cellStyle name="Hipervínculo visitado" xfId="277" builtinId="9" hidden="1"/>
    <cellStyle name="Hipervínculo visitado" xfId="281" builtinId="9" hidden="1"/>
    <cellStyle name="Hipervínculo visitado" xfId="289" builtinId="9" hidden="1"/>
    <cellStyle name="Hipervínculo visitado" xfId="244" builtinId="9" hidden="1"/>
    <cellStyle name="Hipervínculo visitado" xfId="250" builtinId="9" hidden="1"/>
    <cellStyle name="Hipervínculo visitado" xfId="256" builtinId="9" hidden="1"/>
    <cellStyle name="Hipervínculo visitado" xfId="236" builtinId="9" hidden="1"/>
    <cellStyle name="Hipervínculo visitado" xfId="240" builtinId="9" hidden="1"/>
    <cellStyle name="Hipervínculo visitado" xfId="232" builtinId="9" hidden="1"/>
    <cellStyle name="Hipervínculo visitado" xfId="234" builtinId="9" hidden="1"/>
    <cellStyle name="Hipervínculo visitado" xfId="258" builtinId="9" hidden="1"/>
    <cellStyle name="Hipervínculo visitado" xfId="283" builtinId="9" hidden="1"/>
    <cellStyle name="Hipervínculo visitado" xfId="273" builtinId="9" hidden="1"/>
    <cellStyle name="Hipervínculo visitado" xfId="261" builtinId="9" hidden="1"/>
    <cellStyle name="Hipervínculo visitado" xfId="347" builtinId="9" hidden="1"/>
    <cellStyle name="Hipervínculo visitado" xfId="337" builtinId="9" hidden="1"/>
    <cellStyle name="Hipervínculo visitado" xfId="323" builtinId="9" hidden="1"/>
    <cellStyle name="Hipervínculo visitado" xfId="301" builtinId="9" hidden="1"/>
    <cellStyle name="Hipervínculo visitado" xfId="377" builtinId="9" hidden="1"/>
    <cellStyle name="Hipervínculo visitado" xfId="461" builtinId="9" hidden="1"/>
    <cellStyle name="Hipervínculo visitado" xfId="522" builtinId="9" hidden="1"/>
    <cellStyle name="Hipervínculo visitado" xfId="509" builtinId="9" hidden="1"/>
    <cellStyle name="Hipervínculo visitado" xfId="497" builtinId="9" hidden="1"/>
    <cellStyle name="Hipervínculo visitado" xfId="473" builtinId="9" hidden="1"/>
    <cellStyle name="Hipervínculo visitado" xfId="459" builtinId="9" hidden="1"/>
    <cellStyle name="Hipervínculo visitado" xfId="449" builtinId="9" hidden="1"/>
    <cellStyle name="Hipervínculo visitado" xfId="425" builtinId="9" hidden="1"/>
    <cellStyle name="Hipervínculo visitado" xfId="411" builtinId="9" hidden="1"/>
    <cellStyle name="Hipervínculo visitado" xfId="401" builtinId="9" hidden="1"/>
    <cellStyle name="Hipervínculo visitado" xfId="373" builtinId="9" hidden="1"/>
    <cellStyle name="Hipervínculo visitado" xfId="363" builtinId="9" hidden="1"/>
    <cellStyle name="Hipervínculo visitado" xfId="570" builtinId="9" hidden="1"/>
    <cellStyle name="Hipervínculo visitado" xfId="544" builtinId="9" hidden="1"/>
    <cellStyle name="Hipervínculo visitado" xfId="415" builtinId="9" hidden="1"/>
    <cellStyle name="Hipervínculo visitado" xfId="287" builtinId="9" hidden="1"/>
    <cellStyle name="Hipervínculo visitado" xfId="154" builtinId="9" hidden="1"/>
    <cellStyle name="Hipervínculo visitado" xfId="192" builtinId="9" hidden="1"/>
    <cellStyle name="Hipervínculo visitado" xfId="228" builtinId="9" hidden="1"/>
    <cellStyle name="Hipervínculo visitado" xfId="96" builtinId="9" hidden="1"/>
    <cellStyle name="Hipervínculo visitado" xfId="14" builtinId="9" hidden="1"/>
    <cellStyle name="Hipervínculo visitado" xfId="10" builtinId="9" hidden="1"/>
    <cellStyle name="Hipervínculo visitado" xfId="42" builtinId="9" hidden="1"/>
    <cellStyle name="Hipervínculo visitado" xfId="30" builtinId="9" hidden="1"/>
    <cellStyle name="Hipervínculo visitado" xfId="78" builtinId="9" hidden="1"/>
    <cellStyle name="Hipervínculo visitado" xfId="76" builtinId="9" hidden="1"/>
    <cellStyle name="Hipervínculo visitado" xfId="66" builtinId="9" hidden="1"/>
    <cellStyle name="Hipervínculo visitado" xfId="56" builtinId="9" hidden="1"/>
    <cellStyle name="Hipervínculo visitado" xfId="359" builtinId="9" hidden="1"/>
    <cellStyle name="Hipervínculo visitado" xfId="343" builtinId="9" hidden="1"/>
    <cellStyle name="Hipervínculo visitado" xfId="335" builtinId="9" hidden="1"/>
    <cellStyle name="Hipervínculo visitado" xfId="303" builtinId="9" hidden="1"/>
    <cellStyle name="Hipervínculo visitado" xfId="295" builtinId="9" hidden="1"/>
    <cellStyle name="Hipervínculo visitado" xfId="279" builtinId="9" hidden="1"/>
    <cellStyle name="Hipervínculo visitado" xfId="263" builtinId="9" hidden="1"/>
    <cellStyle name="Hipervínculo visitado" xfId="246" builtinId="9" hidden="1"/>
    <cellStyle name="Hipervínculo visitado" xfId="238" builtinId="9" hidden="1"/>
    <cellStyle name="Hipervínculo visitado" xfId="104" builtinId="9" hidden="1"/>
    <cellStyle name="Hipervínculo visitado" xfId="106" builtinId="9" hidden="1"/>
    <cellStyle name="Hipervínculo visitado" xfId="112" builtinId="9" hidden="1"/>
    <cellStyle name="Hipervínculo visitado" xfId="116" builtinId="9" hidden="1"/>
    <cellStyle name="Hipervínculo visitado" xfId="120" builtinId="9" hidden="1"/>
    <cellStyle name="Hipervínculo visitado" xfId="124" builtinId="9" hidden="1"/>
    <cellStyle name="Hipervínculo visitado" xfId="132" builtinId="9" hidden="1"/>
    <cellStyle name="Hipervínculo visitado" xfId="134" builtinId="9" hidden="1"/>
    <cellStyle name="Hipervínculo visitado" xfId="138" builtinId="9" hidden="1"/>
    <cellStyle name="Hipervínculo visitado" xfId="144" builtinId="9" hidden="1"/>
    <cellStyle name="Hipervínculo visitado" xfId="150" builtinId="9" hidden="1"/>
    <cellStyle name="Hipervínculo visitado" xfId="152" builtinId="9" hidden="1"/>
    <cellStyle name="Hipervínculo visitado" xfId="160" builtinId="9" hidden="1"/>
    <cellStyle name="Hipervínculo visitado" xfId="162" builtinId="9" hidden="1"/>
    <cellStyle name="Hipervínculo visitado" xfId="166" builtinId="9" hidden="1"/>
    <cellStyle name="Hipervínculo visitado" xfId="176" builtinId="9" hidden="1"/>
    <cellStyle name="Hipervínculo visitado" xfId="178" builtinId="9" hidden="1"/>
    <cellStyle name="Hipervínculo visitado" xfId="180" builtinId="9" hidden="1"/>
    <cellStyle name="Hipervínculo visitado" xfId="186" builtinId="9" hidden="1"/>
    <cellStyle name="Hipervínculo visitado" xfId="188" builtinId="9" hidden="1"/>
    <cellStyle name="Hipervínculo visitado" xfId="194" builtinId="9" hidden="1"/>
    <cellStyle name="Hipervínculo visitado" xfId="202" builtinId="9" hidden="1"/>
    <cellStyle name="Hipervínculo visitado" xfId="204" builtinId="9" hidden="1"/>
    <cellStyle name="Hipervínculo visitado" xfId="208" builtinId="9" hidden="1"/>
    <cellStyle name="Hipervínculo visitado" xfId="214" builtinId="9" hidden="1"/>
    <cellStyle name="Hipervínculo visitado" xfId="216" builtinId="9" hidden="1"/>
    <cellStyle name="Hipervínculo visitado" xfId="224" builtinId="9" hidden="1"/>
    <cellStyle name="Hipervínculo visitado" xfId="222" builtinId="9" hidden="1"/>
    <cellStyle name="Hipervínculo visitado" xfId="206" builtinId="9" hidden="1"/>
    <cellStyle name="Hipervínculo visitado" xfId="190" builtinId="9" hidden="1"/>
    <cellStyle name="Hipervínculo visitado" xfId="142" builtinId="9" hidden="1"/>
    <cellStyle name="Hipervínculo visitado" xfId="48" builtinId="9" hidden="1"/>
    <cellStyle name="Hipervínculo visitado" xfId="50" builtinId="9" hidden="1"/>
    <cellStyle name="Hipervínculo visitado" xfId="126" builtinId="9" hidden="1"/>
    <cellStyle name="Hipervínculo visitado" xfId="220" builtinId="9" hidden="1"/>
    <cellStyle name="Hipervínculo visitado" xfId="196" builtinId="9" hidden="1"/>
    <cellStyle name="Hipervínculo visitado" xfId="148" builtinId="9" hidden="1"/>
    <cellStyle name="Hipervínculo visitado" xfId="122" builtinId="9" hidden="1"/>
    <cellStyle name="Hipervínculo visitado" xfId="230" builtinId="9" hidden="1"/>
    <cellStyle name="Hipervínculo visitado" xfId="620" builtinId="9" hidden="1"/>
    <cellStyle name="Hipervínculo visitado" xfId="626" builtinId="9" hidden="1"/>
    <cellStyle name="Hipervínculo visitado" xfId="624" builtinId="9" hidden="1"/>
    <cellStyle name="Hipervínculo visitado" xfId="600" builtinId="9" hidden="1"/>
    <cellStyle name="Hipervínculo visitado" xfId="592" builtinId="9" hidden="1"/>
    <cellStyle name="Hipervínculo visitado" xfId="584" builtinId="9" hidden="1"/>
    <cellStyle name="Hipervínculo visitado" xfId="560" builtinId="9" hidden="1"/>
    <cellStyle name="Hipervínculo visitado" xfId="552" builtinId="9" hidden="1"/>
    <cellStyle name="Hipervínculo visitado" xfId="536" builtinId="9" hidden="1"/>
    <cellStyle name="Hipervínculo visitado" xfId="520" builtinId="9" hidden="1"/>
    <cellStyle name="Hipervínculo visitado" xfId="503" builtinId="9" hidden="1"/>
    <cellStyle name="Hipervínculo visitado" xfId="495" builtinId="9" hidden="1"/>
    <cellStyle name="Hipervínculo visitado" xfId="463" builtinId="9" hidden="1"/>
    <cellStyle name="Hipervínculo visitado" xfId="455" builtinId="9" hidden="1"/>
    <cellStyle name="Hipervínculo visitado" xfId="439" builtinId="9" hidden="1"/>
    <cellStyle name="Hipervínculo visitado" xfId="423" builtinId="9" hidden="1"/>
    <cellStyle name="Hipervínculo visitado" xfId="407" builtinId="9" hidden="1"/>
    <cellStyle name="Hipervínculo visitado" xfId="399" builtinId="9" hidden="1"/>
    <cellStyle name="Hipervínculo visitado" xfId="375" builtinId="9" hidden="1"/>
    <cellStyle name="Hipervínculo visitado" xfId="487" builtinId="9" hidden="1"/>
    <cellStyle name="Hipervínculo visitado" xfId="618" builtinId="9" hidden="1"/>
    <cellStyle name="Hipervínculo visitado" xfId="582" builtinId="9" hidden="1"/>
    <cellStyle name="Hipervínculo visitado" xfId="586" builtinId="9" hidden="1"/>
    <cellStyle name="Hipervínculo visitado" xfId="588" builtinId="9" hidden="1"/>
    <cellStyle name="Hipervínculo visitado" xfId="596" builtinId="9" hidden="1"/>
    <cellStyle name="Hipervínculo visitado" xfId="598" builtinId="9" hidden="1"/>
    <cellStyle name="Hipervínculo visitado" xfId="604" builtinId="9" hidden="1"/>
    <cellStyle name="Hipervínculo visitado" xfId="610" builtinId="9" hidden="1"/>
    <cellStyle name="Hipervínculo visitado" xfId="614" builtinId="9" hidden="1"/>
    <cellStyle name="Hipervínculo visitado" xfId="556" builtinId="9" hidden="1"/>
    <cellStyle name="Hipervínculo visitado" xfId="564" builtinId="9" hidden="1"/>
    <cellStyle name="Hipervínculo visitado" xfId="566" builtinId="9" hidden="1"/>
    <cellStyle name="Hipervínculo visitado" xfId="572" builtinId="9" hidden="1"/>
    <cellStyle name="Hipervínculo visitado" xfId="546" builtinId="9" hidden="1"/>
    <cellStyle name="Hipervínculo visitado" xfId="550" builtinId="9" hidden="1"/>
    <cellStyle name="Hipervínculo visitado" xfId="554" builtinId="9" hidden="1"/>
    <cellStyle name="Hipervínculo visitado" xfId="540" builtinId="9" hidden="1"/>
    <cellStyle name="Hipervínculo visitado" xfId="542" builtinId="9" hidden="1"/>
    <cellStyle name="Hipervínculo visitado" xfId="574" builtinId="9" hidden="1"/>
    <cellStyle name="Hipervínculo visitado" xfId="562" builtinId="9" hidden="1"/>
    <cellStyle name="Hipervínculo visitado" xfId="606" builtinId="9" hidden="1"/>
    <cellStyle name="Hipervínculo visitado" xfId="594" builtinId="9" hidden="1"/>
    <cellStyle name="Hipervínculo visitado" xfId="578" builtinId="9" hidden="1"/>
    <cellStyle name="Hipervínculo visitado" xfId="391" builtinId="9" hidden="1"/>
    <cellStyle name="Hipervínculo visitado" xfId="431" builtinId="9" hidden="1"/>
    <cellStyle name="Hipervínculo visitado" xfId="471" builtinId="9" hidden="1"/>
    <cellStyle name="Hipervínculo visitado" xfId="528" builtinId="9" hidden="1"/>
    <cellStyle name="Hipervínculo visitado" xfId="568" builtinId="9" hidden="1"/>
    <cellStyle name="Hipervínculo visitado" xfId="616" builtinId="9" hidden="1"/>
    <cellStyle name="Hipervínculo visitado" xfId="311" builtinId="9" hidden="1"/>
    <cellStyle name="Hipervínculo visitado" xfId="170" builtinId="9" hidden="1"/>
    <cellStyle name="Hipervínculo visitado" xfId="52" builtinId="9" hidden="1"/>
    <cellStyle name="Hipervínculo visitado" xfId="158" builtinId="9" hidden="1"/>
    <cellStyle name="Hipervínculo visitado" xfId="226" builtinId="9" hidden="1"/>
    <cellStyle name="Hipervínculo visitado" xfId="212" builtinId="9" hidden="1"/>
    <cellStyle name="Hipervínculo visitado" xfId="198" builtinId="9" hidden="1"/>
    <cellStyle name="Hipervínculo visitado" xfId="184" builtinId="9" hidden="1"/>
    <cellStyle name="Hipervínculo visitado" xfId="168" builtinId="9" hidden="1"/>
    <cellStyle name="Hipervínculo visitado" xfId="156" builtinId="9" hidden="1"/>
    <cellStyle name="Hipervínculo visitado" xfId="140" builtinId="9" hidden="1"/>
    <cellStyle name="Hipervínculo visitado" xfId="130" builtinId="9" hidden="1"/>
    <cellStyle name="Hipervínculo visitado" xfId="114" builtinId="9" hidden="1"/>
    <cellStyle name="Hipervínculo visitado" xfId="102" builtinId="9" hidden="1"/>
    <cellStyle name="Hipervínculo visitado" xfId="271" builtinId="9" hidden="1"/>
    <cellStyle name="Hipervínculo visitado" xfId="327" builtinId="9" hidden="1"/>
    <cellStyle name="Hipervínculo visitado" xfId="367" builtinId="9" hidden="1"/>
    <cellStyle name="Hipervínculo visitado" xfId="90" builtinId="9" hidden="1"/>
    <cellStyle name="Hipervínculo visitado" xfId="18" builtinId="9" hidden="1"/>
    <cellStyle name="Hipervínculo visitado" xfId="62" builtinId="9" hidden="1"/>
    <cellStyle name="Hipervínculo visitado" xfId="118" builtinId="9" hidden="1"/>
    <cellStyle name="Hipervínculo visitado" xfId="612" builtinId="9" hidden="1"/>
    <cellStyle name="Hipervínculo visitado" xfId="387" builtinId="9" hidden="1"/>
    <cellStyle name="Hipervínculo visitado" xfId="435" builtinId="9" hidden="1"/>
    <cellStyle name="Hipervínculo visitado" xfId="485" builtinId="9" hidden="1"/>
    <cellStyle name="Hipervínculo visitado" xfId="534" builtinId="9" hidden="1"/>
    <cellStyle name="Hipervínculo visitado" xfId="313" builtinId="9" hidden="1"/>
    <cellStyle name="Hipervínculo visitado" xfId="357" builtinId="9" hidden="1"/>
    <cellStyle name="Hipervínculo visitado" xfId="248" builtinId="9" hidden="1"/>
    <cellStyle name="Hipervínculo visitado" xfId="242" builtinId="9" hidden="1"/>
    <cellStyle name="Hipervínculo visitado" xfId="252" builtinId="9" hidden="1"/>
    <cellStyle name="Hipervínculo visitado" xfId="285" builtinId="9" hidden="1"/>
    <cellStyle name="Hipervínculo visitado" xfId="269" builtinId="9" hidden="1"/>
    <cellStyle name="Hipervínculo visitado" xfId="333" builtinId="9" hidden="1"/>
    <cellStyle name="Hipervínculo visitado" xfId="349" builtinId="9" hidden="1"/>
    <cellStyle name="Hipervínculo visitado" xfId="331" builtinId="9" hidden="1"/>
    <cellStyle name="Hipervínculo visitado" xfId="317" builtinId="9" hidden="1"/>
    <cellStyle name="Hipervínculo visitado" xfId="305" builtinId="9" hidden="1"/>
    <cellStyle name="Hipervínculo visitado" xfId="351" builtinId="9" hidden="1"/>
    <cellStyle name="Hipervínculo visitado" xfId="383" builtinId="9" hidden="1"/>
    <cellStyle name="Hipervínculo visitado" xfId="447" builtinId="9" hidden="1"/>
    <cellStyle name="Hipervínculo visitado" xfId="479" builtinId="9" hidden="1"/>
    <cellStyle name="Hipervínculo visitado" xfId="511" builtinId="9" hidden="1"/>
    <cellStyle name="Hipervínculo visitado" xfId="608" builtinId="9" hidden="1"/>
    <cellStyle name="Hipervínculo visitado" xfId="622" builtinId="9" hidden="1"/>
    <cellStyle name="Hipervínculo visitado" xfId="602" builtinId="9" hidden="1"/>
    <cellStyle name="Hipervínculo visitado" xfId="590" builtinId="9" hidden="1"/>
    <cellStyle name="Hipervínculo visitado" xfId="580" builtinId="9" hidden="1"/>
    <cellStyle name="Hipervínculo visitado" xfId="558" builtinId="9" hidden="1"/>
    <cellStyle name="Hipervínculo visitado" xfId="548" builtinId="9" hidden="1"/>
    <cellStyle name="Hipervínculo visitado" xfId="365" builtinId="9" hidden="1"/>
    <cellStyle name="Hipervínculo visitado" xfId="369" builtinId="9" hidden="1"/>
    <cellStyle name="Hipervínculo visitado" xfId="371" builtinId="9" hidden="1"/>
    <cellStyle name="Hipervínculo visitado" xfId="379" builtinId="9" hidden="1"/>
    <cellStyle name="Hipervínculo visitado" xfId="381" builtinId="9" hidden="1"/>
    <cellStyle name="Hipervínculo visitado" xfId="385" builtinId="9" hidden="1"/>
    <cellStyle name="Hipervínculo visitado" xfId="389" builtinId="9" hidden="1"/>
    <cellStyle name="Hipervínculo visitado" xfId="395" builtinId="9" hidden="1"/>
    <cellStyle name="Hipervínculo visitado" xfId="403" builtinId="9" hidden="1"/>
    <cellStyle name="Hipervínculo visitado" xfId="405" builtinId="9" hidden="1"/>
    <cellStyle name="Hipervínculo visitado" xfId="409" builtinId="9" hidden="1"/>
    <cellStyle name="Hipervínculo visitado" xfId="413" builtinId="9" hidden="1"/>
    <cellStyle name="Hipervínculo visitado" xfId="417" builtinId="9" hidden="1"/>
    <cellStyle name="Hipervínculo visitado" xfId="421" builtinId="9" hidden="1"/>
    <cellStyle name="Hipervínculo visitado" xfId="429" builtinId="9" hidden="1"/>
    <cellStyle name="Hipervínculo visitado" xfId="433" builtinId="9" hidden="1"/>
    <cellStyle name="Hipervínculo visitado" xfId="437" builtinId="9" hidden="1"/>
    <cellStyle name="Hipervínculo visitado" xfId="443" builtinId="9" hidden="1"/>
    <cellStyle name="Hipervínculo visitado" xfId="445" builtinId="9" hidden="1"/>
    <cellStyle name="Hipervínculo visitado" xfId="451" builtinId="9" hidden="1"/>
    <cellStyle name="Hipervínculo visitado" xfId="453" builtinId="9" hidden="1"/>
    <cellStyle name="Hipervínculo visitado" xfId="465" builtinId="9" hidden="1"/>
    <cellStyle name="Hipervínculo visitado" xfId="467" builtinId="9" hidden="1"/>
    <cellStyle name="Hipervínculo visitado" xfId="469" builtinId="9" hidden="1"/>
    <cellStyle name="Hipervínculo visitado" xfId="475" builtinId="9" hidden="1"/>
    <cellStyle name="Hipervínculo visitado" xfId="477" builtinId="9" hidden="1"/>
    <cellStyle name="Hipervínculo visitado" xfId="481" builtinId="9" hidden="1"/>
    <cellStyle name="Hipervínculo visitado" xfId="489" builtinId="9" hidden="1"/>
    <cellStyle name="Hipervínculo visitado" xfId="493" builtinId="9" hidden="1"/>
    <cellStyle name="Hipervínculo visitado" xfId="499" builtinId="9" hidden="1"/>
    <cellStyle name="Hipervínculo visitado" xfId="501" builtinId="9" hidden="1"/>
    <cellStyle name="Hipervínculo visitado" xfId="507" builtinId="9" hidden="1"/>
    <cellStyle name="Hipervínculo visitado" xfId="513" builtinId="9" hidden="1"/>
    <cellStyle name="Hipervínculo visitado" xfId="515" builtinId="9" hidden="1"/>
    <cellStyle name="Hipervínculo visitado" xfId="517" builtinId="9" hidden="1"/>
    <cellStyle name="Hipervínculo visitado" xfId="530" builtinId="9" hidden="1"/>
    <cellStyle name="Hipervínculo visitado" xfId="532" builtinId="9" hidden="1"/>
    <cellStyle name="Hipervínculo visitado" xfId="526" builtinId="9" hidden="1"/>
    <cellStyle name="Hipervínculo visitado" xfId="505" builtinId="9" hidden="1"/>
    <cellStyle name="Hipervínculo visitado" xfId="483" builtinId="9" hidden="1"/>
    <cellStyle name="Hipervínculo visitado" xfId="441" builtinId="9" hidden="1"/>
    <cellStyle name="Hipervínculo visitado" xfId="419" builtinId="9" hidden="1"/>
    <cellStyle name="Hipervínculo visitado" xfId="293" builtinId="9" hidden="1"/>
    <cellStyle name="Hipervínculo visitado" xfId="297" builtinId="9" hidden="1"/>
    <cellStyle name="Hipervínculo visitado" xfId="299" builtinId="9" hidden="1"/>
    <cellStyle name="Hipervínculo visitado" xfId="397" builtinId="9" hidden="1"/>
    <cellStyle name="Hipervínculo visitado" xfId="524" builtinId="9" hidden="1"/>
    <cellStyle name="Hipervínculo visitado" xfId="491" builtinId="9" hidden="1"/>
    <cellStyle name="Hipervínculo visitado" xfId="457" builtinId="9" hidden="1"/>
    <cellStyle name="Hipervínculo visitado" xfId="427" builtinId="9" hidden="1"/>
    <cellStyle name="Hipervínculo visitado" xfId="393" builtinId="9" hidden="1"/>
    <cellStyle name="Hipervínculo visitado" xfId="538" builtinId="9" hidden="1"/>
    <cellStyle name="Hipervínculo visitado" xfId="576" builtinId="9" hidden="1"/>
    <cellStyle name="Hipervínculo visitado" xfId="8" builtinId="9" hidden="1"/>
    <cellStyle name="Hipervínculo visitado" xfId="2" builtinId="9" hidden="1"/>
    <cellStyle name="Hipervínculo visitado" xfId="4" builtinId="9" hidden="1"/>
    <cellStyle name="Hipervínculo visitado" xfId="22" builtinId="9" hidden="1"/>
    <cellStyle name="Hipervínculo visitado" xfId="40" builtinId="9" hidden="1"/>
    <cellStyle name="Hipervínculo visitado" xfId="32" builtinId="9" hidden="1"/>
    <cellStyle name="Hipervínculo visitado" xfId="24" builtinId="9" hidden="1"/>
    <cellStyle name="Hipervínculo visitado" xfId="88" builtinId="9" hidden="1"/>
    <cellStyle name="Hipervínculo visitado" xfId="80" builtinId="9" hidden="1"/>
    <cellStyle name="Hipervínculo visitado" xfId="70" builtinId="9" hidden="1"/>
    <cellStyle name="Hipervínculo visitado" xfId="54" builtinId="9" hidden="1"/>
    <cellStyle name="Hipervínculo visitado" xfId="110" builtinId="9" hidden="1"/>
    <cellStyle name="Hipervínculo visitado" xfId="174" builtinId="9" hidden="1"/>
    <cellStyle name="Hipervínculo visitado" xfId="218" builtinId="9" hidden="1"/>
    <cellStyle name="Hipervínculo visitado" xfId="210" builtinId="9" hidden="1"/>
    <cellStyle name="Hipervínculo visitado" xfId="182" builtinId="9" hidden="1"/>
    <cellStyle name="Hipervínculo visitado" xfId="172" builtinId="9" hidden="1"/>
    <cellStyle name="Hipervínculo visitado" xfId="164" builtinId="9" hidden="1"/>
    <cellStyle name="Hipervínculo visitado" xfId="146" builtinId="9" hidden="1"/>
    <cellStyle name="Hipervínculo visitado" xfId="136" builtinId="9" hidden="1"/>
    <cellStyle name="Hipervínculo visitado" xfId="128" builtinId="9" hidden="1"/>
    <cellStyle name="Hipervínculo visitado" xfId="108" builtinId="9" hidden="1"/>
    <cellStyle name="Hipervínculo visitado" xfId="100" builtinId="9" hidden="1"/>
    <cellStyle name="Hipervínculo visitado" xfId="254" builtinId="9" hidden="1"/>
    <cellStyle name="Hipervínculo visitado" xfId="319" builtinId="9" hidden="1"/>
    <cellStyle name="Hipervínculo visitado" xfId="200" builtinId="9" hidden="1"/>
    <cellStyle name="Hipervínculo visitado" xfId="6" builtinId="9" hidden="1"/>
    <cellStyle name="Hipervínculo visitado" xfId="98" builtinId="9" hidden="1"/>
    <cellStyle name="Hipervínculo visitado" xfId="46" builtinId="9" hidden="1"/>
    <cellStyle name="Hipervínculo visitado" xfId="26" builtinId="9" hidden="1"/>
    <cellStyle name="Hipervínculo visitado" xfId="28" builtinId="9" hidden="1"/>
    <cellStyle name="Hipervínculo visitado" xfId="34" builtinId="9" hidden="1"/>
    <cellStyle name="Hipervínculo visitado" xfId="36" builtinId="9" hidden="1"/>
    <cellStyle name="Hipervínculo visitado" xfId="38" builtinId="9" hidden="1"/>
    <cellStyle name="Hipervínculo visitado" xfId="44" builtinId="9" hidden="1"/>
    <cellStyle name="Hipervínculo visitado" xfId="12" builtinId="9" hidden="1"/>
    <cellStyle name="Hipervínculo visitado" xfId="16" builtinId="9" hidden="1"/>
    <cellStyle name="Hipervínculo visitado" xfId="20" builtinId="9" hidden="1"/>
    <cellStyle name="Hipervínculo visitado" xfId="74" builtinId="9" hidden="1"/>
    <cellStyle name="Hipervínculo visitado" xfId="82" builtinId="9" hidden="1"/>
    <cellStyle name="Hipervínculo visitado" xfId="84" builtinId="9" hidden="1"/>
    <cellStyle name="Hipervínculo visitado" xfId="86" builtinId="9" hidden="1"/>
    <cellStyle name="Hipervínculo visitado" xfId="92" builtinId="9" hidden="1"/>
    <cellStyle name="Hipervínculo visitado" xfId="94" builtinId="9" hidden="1"/>
    <cellStyle name="Hipervínculo visitado" xfId="64" builtinId="9" hidden="1"/>
    <cellStyle name="Hipervínculo visitado" xfId="68" builtinId="9" hidden="1"/>
    <cellStyle name="Hipervínculo visitado" xfId="72" builtinId="9" hidden="1"/>
    <cellStyle name="Hipervínculo visitado" xfId="60" builtinId="9" hidden="1"/>
    <cellStyle name="Hipervínculo visitado" xfId="58" builtinId="9" hidden="1"/>
    <cellStyle name="Millares" xfId="518" builtinId="3"/>
    <cellStyle name="Millares [0]" xfId="259" builtinId="6"/>
    <cellStyle name="Millares [0] 2" xfId="631"/>
    <cellStyle name="Moneda" xfId="630" builtinId="4"/>
    <cellStyle name="Moneda [0]" xfId="632" builtinId="7"/>
    <cellStyle name="Normal" xfId="0" builtinId="0"/>
    <cellStyle name="Normal 2" xfId="627"/>
    <cellStyle name="Normal 2 2" xfId="628"/>
    <cellStyle name="Porcentaje" xfId="629" builtinId="5"/>
  </cellStyles>
  <dxfs count="3124">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ill>
        <patternFill>
          <bgColor theme="5"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theme="5"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theme="5"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theme="5"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ont>
        <color rgb="FF9C0006"/>
      </font>
      <fill>
        <patternFill>
          <bgColor rgb="FFFFC7CE"/>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theme="5"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ont>
        <color rgb="FF9C0006"/>
      </font>
      <fill>
        <patternFill>
          <bgColor rgb="FFFFC7CE"/>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s>
  <tableStyles count="0" defaultTableStyle="TableStyleMedium2" defaultPivotStyle="PivotStyleLight16"/>
  <colors>
    <mruColors>
      <color rgb="FFCCCC00"/>
      <color rgb="FFFFFFCC"/>
      <color rgb="FFFFE8A7"/>
      <color rgb="FFFFFF99"/>
      <color rgb="FFFF5050"/>
      <color rgb="FFFF7C80"/>
      <color rgb="FFFFAFB1"/>
      <color rgb="FF0066FF"/>
      <color rgb="FFFF9999"/>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6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n-US" sz="1600"/>
              <a:t>AVANCE</a:t>
            </a:r>
            <a:r>
              <a:rPr lang="en-US" sz="1600" baseline="0"/>
              <a:t> METAS SECTOR DEPORTE Y RECREACION - 2016</a:t>
            </a:r>
            <a:endParaRPr lang="en-US" sz="1600"/>
          </a:p>
        </c:rich>
      </c:tx>
      <c:overlay val="0"/>
      <c:spPr>
        <a:solidFill>
          <a:schemeClr val="accent2">
            <a:lumMod val="20000"/>
            <a:lumOff val="80000"/>
          </a:schemeClr>
        </a:solidFill>
      </c:spPr>
    </c:title>
    <c:autoTitleDeleted val="0"/>
    <c:plotArea>
      <c:layout>
        <c:manualLayout>
          <c:layoutTarget val="inner"/>
          <c:xMode val="edge"/>
          <c:yMode val="edge"/>
          <c:x val="6.3834558526016508E-2"/>
          <c:y val="0.31227367234291653"/>
          <c:w val="0.91060005386848641"/>
          <c:h val="0.50222903338887226"/>
        </c:manualLayout>
      </c:layout>
      <c:barChart>
        <c:barDir val="col"/>
        <c:grouping val="clustered"/>
        <c:varyColors val="0"/>
        <c:ser>
          <c:idx val="2"/>
          <c:order val="0"/>
          <c:tx>
            <c:v>CUMPLIDA</c:v>
          </c:tx>
          <c:spPr>
            <a:solidFill>
              <a:srgbClr val="92D050"/>
            </a:solidFill>
            <a:ln>
              <a:noFill/>
            </a:ln>
            <a:effectLst/>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2016'!$C$9</c:f>
              <c:strCache>
                <c:ptCount val="1"/>
                <c:pt idx="0">
                  <c:v>Deporte y Recreación</c:v>
                </c:pt>
              </c:strCache>
              <c:extLst xmlns:c16r2="http://schemas.microsoft.com/office/drawing/2015/06/chart"/>
            </c:strRef>
          </c:cat>
          <c:val>
            <c:numRef>
              <c:f>'TABLERO 2016'!$G$9</c:f>
              <c:numCache>
                <c:formatCode>General</c:formatCode>
                <c:ptCount val="1"/>
                <c:pt idx="0">
                  <c:v>12</c:v>
                </c:pt>
              </c:numCache>
              <c:extLst xmlns:c16r2="http://schemas.microsoft.com/office/drawing/2015/06/chart"/>
            </c:numRef>
          </c:val>
          <c:extLst xmlns:c16r2="http://schemas.microsoft.com/office/drawing/2015/06/chart">
            <c:ext xmlns:c16="http://schemas.microsoft.com/office/drawing/2014/chart" uri="{C3380CC4-5D6E-409C-BE32-E72D297353CC}">
              <c16:uniqueId val="{00000000-6D8A-4C5A-A3F1-7B68FBB784BD}"/>
            </c:ext>
          </c:extLst>
        </c:ser>
        <c:ser>
          <c:idx val="3"/>
          <c:order val="1"/>
          <c:tx>
            <c:v>EJECUCION</c:v>
          </c:tx>
          <c:spPr>
            <a:solidFill>
              <a:srgbClr val="FFFF00"/>
            </a:solidFill>
            <a:ln>
              <a:noFill/>
            </a:ln>
            <a:effectLst/>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2016'!$C$9</c:f>
              <c:strCache>
                <c:ptCount val="1"/>
                <c:pt idx="0">
                  <c:v>Deporte y Recreación</c:v>
                </c:pt>
              </c:strCache>
              <c:extLst xmlns:c16r2="http://schemas.microsoft.com/office/drawing/2015/06/chart"/>
            </c:strRef>
          </c:cat>
          <c:val>
            <c:numRef>
              <c:f>'TABLERO 2016'!$H$9</c:f>
              <c:numCache>
                <c:formatCode>General</c:formatCode>
                <c:ptCount val="1"/>
                <c:pt idx="0">
                  <c:v>2</c:v>
                </c:pt>
              </c:numCache>
              <c:extLst xmlns:c16r2="http://schemas.microsoft.com/office/drawing/2015/06/chart"/>
            </c:numRef>
          </c:val>
          <c:extLst xmlns:c16r2="http://schemas.microsoft.com/office/drawing/2015/06/chart">
            <c:ext xmlns:c16="http://schemas.microsoft.com/office/drawing/2014/chart" uri="{C3380CC4-5D6E-409C-BE32-E72D297353CC}">
              <c16:uniqueId val="{00000001-6D8A-4C5A-A3F1-7B68FBB784BD}"/>
            </c:ext>
          </c:extLst>
        </c:ser>
        <c:ser>
          <c:idx val="4"/>
          <c:order val="2"/>
          <c:tx>
            <c:v>SIN AVANCE</c:v>
          </c:tx>
          <c:spPr>
            <a:solidFill>
              <a:srgbClr val="FF0000"/>
            </a:solidFill>
            <a:ln>
              <a:noFill/>
            </a:ln>
            <a:effectLst/>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2016'!$C$9</c:f>
              <c:strCache>
                <c:ptCount val="1"/>
                <c:pt idx="0">
                  <c:v>Deporte y Recreación</c:v>
                </c:pt>
              </c:strCache>
              <c:extLst xmlns:c16r2="http://schemas.microsoft.com/office/drawing/2015/06/chart"/>
            </c:strRef>
          </c:cat>
          <c:val>
            <c:numRef>
              <c:f>'TABLERO 2016'!$I$9</c:f>
              <c:numCache>
                <c:formatCode>General</c:formatCode>
                <c:ptCount val="1"/>
                <c:pt idx="0">
                  <c:v>3</c:v>
                </c:pt>
              </c:numCache>
              <c:extLst xmlns:c16r2="http://schemas.microsoft.com/office/drawing/2015/06/chart"/>
            </c:numRef>
          </c:val>
          <c:extLst xmlns:c16r2="http://schemas.microsoft.com/office/drawing/2015/06/chart">
            <c:ext xmlns:c16="http://schemas.microsoft.com/office/drawing/2014/chart" uri="{C3380CC4-5D6E-409C-BE32-E72D297353CC}">
              <c16:uniqueId val="{00000002-6D8A-4C5A-A3F1-7B68FBB784BD}"/>
            </c:ext>
          </c:extLst>
        </c:ser>
        <c:ser>
          <c:idx val="5"/>
          <c:order val="3"/>
          <c:tx>
            <c:v>APLAZADA</c:v>
          </c:tx>
          <c:spPr>
            <a:solidFill>
              <a:srgbClr val="00B0F0"/>
            </a:solidFill>
            <a:ln>
              <a:noFill/>
            </a:ln>
            <a:effectLst/>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2016'!$C$9</c:f>
              <c:strCache>
                <c:ptCount val="1"/>
                <c:pt idx="0">
                  <c:v>Deporte y Recreación</c:v>
                </c:pt>
              </c:strCache>
              <c:extLst xmlns:c16r2="http://schemas.microsoft.com/office/drawing/2015/06/chart"/>
            </c:strRef>
          </c:cat>
          <c:val>
            <c:numRef>
              <c:f>'TABLERO 2016'!$J$9</c:f>
              <c:numCache>
                <c:formatCode>General</c:formatCode>
                <c:ptCount val="1"/>
                <c:pt idx="0">
                  <c:v>2</c:v>
                </c:pt>
              </c:numCache>
              <c:extLst xmlns:c16r2="http://schemas.microsoft.com/office/drawing/2015/06/chart"/>
            </c:numRef>
          </c:val>
          <c:extLst xmlns:c16r2="http://schemas.microsoft.com/office/drawing/2015/06/chart">
            <c:ext xmlns:c16="http://schemas.microsoft.com/office/drawing/2014/chart" uri="{C3380CC4-5D6E-409C-BE32-E72D297353CC}">
              <c16:uniqueId val="{00000003-6D8A-4C5A-A3F1-7B68FBB784BD}"/>
            </c:ext>
          </c:extLst>
        </c:ser>
        <c:ser>
          <c:idx val="0"/>
          <c:order val="4"/>
          <c:tx>
            <c:strRef>
              <c:f>'TABLERO 2016'!$F$5</c:f>
              <c:strCache>
                <c:ptCount val="1"/>
                <c:pt idx="0">
                  <c:v>PROGRAMADAS 2016</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'TABLERO 2016'!$F$9</c:f>
              <c:numCache>
                <c:formatCode>General</c:formatCode>
                <c:ptCount val="1"/>
                <c:pt idx="0">
                  <c:v>17</c:v>
                </c:pt>
              </c:numCache>
            </c:numRef>
          </c:val>
          <c:extLst xmlns:c16r2="http://schemas.microsoft.com/office/drawing/2015/06/chart">
            <c:ext xmlns:c16="http://schemas.microsoft.com/office/drawing/2014/chart" uri="{C3380CC4-5D6E-409C-BE32-E72D297353CC}">
              <c16:uniqueId val="{00000004-6D8A-4C5A-A3F1-7B68FBB784BD}"/>
            </c:ext>
          </c:extLst>
        </c:ser>
        <c:dLbls>
          <c:showLegendKey val="0"/>
          <c:showVal val="0"/>
          <c:showCatName val="0"/>
          <c:showSerName val="0"/>
          <c:showPercent val="0"/>
          <c:showBubbleSize val="0"/>
        </c:dLbls>
        <c:gapWidth val="75"/>
        <c:overlap val="-25"/>
        <c:axId val="110401024"/>
        <c:axId val="40117376"/>
        <c:extLst xmlns:c16r2="http://schemas.microsoft.com/office/drawing/2015/06/chart">
          <c:ext xmlns:c15="http://schemas.microsoft.com/office/drawing/2012/chart" uri="{02D57815-91ED-43cb-92C2-25804820EDAC}">
            <c15:filteredBarSeries>
              <c15: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'TABLERO 2016'!$C$9</c15:sqref>
                        </c15:formulaRef>
                      </c:ext>
                    </c:extLst>
                    <c:strCache>
                      <c:ptCount val="1"/>
                      <c:pt idx="0">
                        <c:v>Deporte y Recreación</c:v>
                      </c:pt>
                    </c:strCache>
                  </c:strRef>
                </c:cat>
                <c:val>
                  <c:numRef>
                    <c:extLst xmlns:c16r2="http://schemas.microsoft.com/office/drawing/2015/06/chart">
                      <c:ext uri="{02D57815-91ED-43cb-92C2-25804820EDAC}">
                        <c15:formulaRef>
                          <c15:sqref>'TABLERO 2016'!$D$9</c15:sqref>
                        </c15:formulaRef>
                      </c:ext>
                    </c:extLst>
                  </c:numRef>
                </c:val>
                <c:extLst xmlns:c16r2="http://schemas.microsoft.com/office/drawing/2015/06/chart">
                  <c:ext xmlns:c16="http://schemas.microsoft.com/office/drawing/2014/chart" uri="{C3380CC4-5D6E-409C-BE32-E72D297353CC}">
                    <c16:uniqueId val="{00000005-6D8A-4C5A-A3F1-7B68FBB784BD}"/>
                  </c:ext>
                </c:extLst>
              </c15:ser>
            </c15:filteredBarSeries>
            <c15:filteredBarSeries>
              <c15:ser>
                <c:idx val="6"/>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xmlns:c15="http://schemas.microsoft.com/office/drawing/2012/chart">
                      <c:ext xmlns:c15="http://schemas.microsoft.com/office/drawing/2012/chart" uri="{02D57815-91ED-43cb-92C2-25804820EDAC}">
                        <c15:formulaRef>
                          <c15:sqref>'TABLERO 2016'!$C$9</c15:sqref>
                        </c15:formulaRef>
                      </c:ext>
                    </c:extLst>
                    <c:strCache>
                      <c:ptCount val="1"/>
                      <c:pt idx="0">
                        <c:v>Deporte y Recreación</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'TABLERO 2016'!$E$9</c15:sqref>
                        </c15:formulaRef>
                      </c:ext>
                    </c:extLst>
                    <c:numCache>
                      <c:formatCode>General</c:formatCode>
                      <c:ptCount val="1"/>
                      <c:pt idx="0">
                        <c:v>19</c:v>
                      </c:pt>
                    </c:numCache>
                  </c:numRef>
                </c:val>
                <c:extLst xmlns:c16r2="http://schemas.microsoft.com/office/drawing/2015/06/chart" xmlns:c15="http://schemas.microsoft.com/office/drawing/2012/chart">
                  <c:ext xmlns:c16="http://schemas.microsoft.com/office/drawing/2014/chart" uri="{C3380CC4-5D6E-409C-BE32-E72D297353CC}">
                    <c16:uniqueId val="{00000006-6D8A-4C5A-A3F1-7B68FBB784BD}"/>
                  </c:ext>
                </c:extLst>
              </c15:ser>
            </c15:filteredBarSeries>
          </c:ext>
        </c:extLst>
      </c:barChart>
      <c:catAx>
        <c:axId val="110401024"/>
        <c:scaling>
          <c:orientation val="minMax"/>
        </c:scaling>
        <c:delete val="1"/>
        <c:axPos val="b"/>
        <c:numFmt formatCode="General" sourceLinked="1"/>
        <c:majorTickMark val="none"/>
        <c:minorTickMark val="none"/>
        <c:tickLblPos val="nextTo"/>
        <c:crossAx val="40117376"/>
        <c:crosses val="autoZero"/>
        <c:auto val="1"/>
        <c:lblAlgn val="ctr"/>
        <c:lblOffset val="100"/>
        <c:noMultiLvlLbl val="0"/>
      </c:catAx>
      <c:valAx>
        <c:axId val="401173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6350">
            <a:noFill/>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s-CO"/>
          </a:p>
        </c:txPr>
        <c:crossAx val="110401024"/>
        <c:crosses val="autoZero"/>
        <c:crossBetween val="between"/>
      </c:valAx>
      <c:spPr>
        <a:noFill/>
        <a:ln>
          <a:noFill/>
        </a:ln>
        <a:effectLst/>
      </c:spPr>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w="9525" cap="flat" cmpd="sng" algn="ctr">
      <a:solidFill>
        <a:srgbClr val="0070C0"/>
      </a:solid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a:t>
            </a:r>
            <a:r>
              <a:rPr lang="es-CO" sz="1600" baseline="0"/>
              <a:t> SECTOR ATENCION DESASTRES 2016</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2016'!$C$16</c:f>
              <c:strCache>
                <c:ptCount val="1"/>
                <c:pt idx="0">
                  <c:v>Prevención y atención de desastres</c:v>
                </c:pt>
              </c:strCache>
            </c:strRef>
          </c:cat>
          <c:val>
            <c:numRef>
              <c:f>'TABLERO 2016'!$D$16</c:f>
            </c:numRef>
          </c:val>
          <c:extLst xmlns:c16r2="http://schemas.microsoft.com/office/drawing/2015/06/chart">
            <c:ext xmlns:c16="http://schemas.microsoft.com/office/drawing/2014/chart" uri="{C3380CC4-5D6E-409C-BE32-E72D297353CC}">
              <c16:uniqueId val="{00000000-51E5-4B8F-B59A-254BB1422A08}"/>
            </c:ext>
          </c:extLst>
        </c:ser>
        <c:ser>
          <c:idx val="1"/>
          <c:order val="1"/>
          <c:tx>
            <c:strRef>
              <c:f>'TABLERO 2016'!$E$5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2016'!$C$16</c:f>
              <c:strCache>
                <c:ptCount val="1"/>
                <c:pt idx="0">
                  <c:v>Prevención y atención de desastres</c:v>
                </c:pt>
              </c:strCache>
            </c:strRef>
          </c:cat>
          <c:val>
            <c:numRef>
              <c:f>'TABLERO 2016'!$E$16</c:f>
              <c:numCache>
                <c:formatCode>General</c:formatCode>
                <c:ptCount val="1"/>
                <c:pt idx="0">
                  <c:v>14</c:v>
                </c:pt>
              </c:numCache>
            </c:numRef>
          </c:val>
          <c:extLst xmlns:c16r2="http://schemas.microsoft.com/office/drawing/2015/06/chart">
            <c:ext xmlns:c16="http://schemas.microsoft.com/office/drawing/2014/chart" uri="{C3380CC4-5D6E-409C-BE32-E72D297353CC}">
              <c16:uniqueId val="{00000001-51E5-4B8F-B59A-254BB1422A08}"/>
            </c:ext>
          </c:extLst>
        </c:ser>
        <c:ser>
          <c:idx val="2"/>
          <c:order val="2"/>
          <c:tx>
            <c:strRef>
              <c:f>'TABLERO 2016'!$F$5</c:f>
              <c:strCache>
                <c:ptCount val="1"/>
                <c:pt idx="0">
                  <c:v>PROGRAMADAS 2016</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2016'!$C$16</c:f>
              <c:strCache>
                <c:ptCount val="1"/>
                <c:pt idx="0">
                  <c:v>Prevención y atención de desastres</c:v>
                </c:pt>
              </c:strCache>
            </c:strRef>
          </c:cat>
          <c:val>
            <c:numRef>
              <c:f>'TABLERO 2016'!$F$16</c:f>
              <c:numCache>
                <c:formatCode>General</c:formatCode>
                <c:ptCount val="1"/>
                <c:pt idx="0">
                  <c:v>10</c:v>
                </c:pt>
              </c:numCache>
            </c:numRef>
          </c:val>
          <c:extLst xmlns:c16r2="http://schemas.microsoft.com/office/drawing/2015/06/chart">
            <c:ext xmlns:c16="http://schemas.microsoft.com/office/drawing/2014/chart" uri="{C3380CC4-5D6E-409C-BE32-E72D297353CC}">
              <c16:uniqueId val="{00000002-51E5-4B8F-B59A-254BB1422A08}"/>
            </c:ext>
          </c:extLst>
        </c:ser>
        <c:ser>
          <c:idx val="3"/>
          <c:order val="3"/>
          <c:tx>
            <c:strRef>
              <c:f>'TABLERO 2016'!$G$5</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2016'!$C$16</c:f>
              <c:strCache>
                <c:ptCount val="1"/>
                <c:pt idx="0">
                  <c:v>Prevención y atención de desastres</c:v>
                </c:pt>
              </c:strCache>
            </c:strRef>
          </c:cat>
          <c:val>
            <c:numRef>
              <c:f>'TABLERO 2016'!$G$16</c:f>
              <c:numCache>
                <c:formatCode>General</c:formatCode>
                <c:ptCount val="1"/>
                <c:pt idx="0">
                  <c:v>10</c:v>
                </c:pt>
              </c:numCache>
            </c:numRef>
          </c:val>
          <c:extLst xmlns:c16r2="http://schemas.microsoft.com/office/drawing/2015/06/chart">
            <c:ext xmlns:c16="http://schemas.microsoft.com/office/drawing/2014/chart" uri="{C3380CC4-5D6E-409C-BE32-E72D297353CC}">
              <c16:uniqueId val="{00000003-51E5-4B8F-B59A-254BB1422A08}"/>
            </c:ext>
          </c:extLst>
        </c:ser>
        <c:ser>
          <c:idx val="4"/>
          <c:order val="4"/>
          <c:tx>
            <c:strRef>
              <c:f>'TABLERO 2016'!$H$5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2016'!$C$16</c:f>
              <c:strCache>
                <c:ptCount val="1"/>
                <c:pt idx="0">
                  <c:v>Prevención y atención de desastres</c:v>
                </c:pt>
              </c:strCache>
            </c:strRef>
          </c:cat>
          <c:val>
            <c:numRef>
              <c:f>'TABLERO 2016'!$H$16</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51E5-4B8F-B59A-254BB1422A08}"/>
            </c:ext>
          </c:extLst>
        </c:ser>
        <c:ser>
          <c:idx val="5"/>
          <c:order val="5"/>
          <c:tx>
            <c:strRef>
              <c:f>'TABLERO 2016'!$I$5</c:f>
              <c:strCache>
                <c:ptCount val="1"/>
                <c:pt idx="0">
                  <c:v>RO</c:v>
                </c:pt>
              </c:strCache>
            </c:strRef>
          </c:tx>
          <c:invertIfNegative val="0"/>
          <c:cat>
            <c:strRef>
              <c:f>'TABLERO 2016'!$C$16</c:f>
              <c:strCache>
                <c:ptCount val="1"/>
                <c:pt idx="0">
                  <c:v>Prevención y atención de desastres</c:v>
                </c:pt>
              </c:strCache>
            </c:strRef>
          </c:cat>
          <c:val>
            <c:numRef>
              <c:f>'TABLERO 2016'!$I$16</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51E5-4B8F-B59A-254BB1422A08}"/>
            </c:ext>
          </c:extLst>
        </c:ser>
        <c:ser>
          <c:idx val="6"/>
          <c:order val="6"/>
          <c:tx>
            <c:strRef>
              <c:f>'TABLERO 2016'!$J$5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2016'!$C$16</c:f>
              <c:strCache>
                <c:ptCount val="1"/>
                <c:pt idx="0">
                  <c:v>Prevención y atención de desastres</c:v>
                </c:pt>
              </c:strCache>
            </c:strRef>
          </c:cat>
          <c:val>
            <c:numRef>
              <c:f>'TABLERO 2016'!$J$16</c:f>
              <c:numCache>
                <c:formatCode>General</c:formatCode>
                <c:ptCount val="1"/>
                <c:pt idx="0">
                  <c:v>4</c:v>
                </c:pt>
              </c:numCache>
            </c:numRef>
          </c:val>
          <c:extLst xmlns:c16r2="http://schemas.microsoft.com/office/drawing/2015/06/chart">
            <c:ext xmlns:c16="http://schemas.microsoft.com/office/drawing/2014/chart" uri="{C3380CC4-5D6E-409C-BE32-E72D297353CC}">
              <c16:uniqueId val="{00000006-51E5-4B8F-B59A-254BB1422A08}"/>
            </c:ext>
          </c:extLst>
        </c:ser>
        <c:dLbls>
          <c:showLegendKey val="0"/>
          <c:showVal val="0"/>
          <c:showCatName val="0"/>
          <c:showSerName val="0"/>
          <c:showPercent val="0"/>
          <c:showBubbleSize val="0"/>
        </c:dLbls>
        <c:gapWidth val="75"/>
        <c:overlap val="-25"/>
        <c:axId val="176109568"/>
        <c:axId val="175969920"/>
      </c:barChart>
      <c:catAx>
        <c:axId val="176109568"/>
        <c:scaling>
          <c:orientation val="minMax"/>
        </c:scaling>
        <c:delete val="0"/>
        <c:axPos val="b"/>
        <c:numFmt formatCode="General" sourceLinked="0"/>
        <c:majorTickMark val="none"/>
        <c:minorTickMark val="none"/>
        <c:tickLblPos val="nextTo"/>
        <c:txPr>
          <a:bodyPr/>
          <a:lstStyle/>
          <a:p>
            <a:pPr>
              <a:defRPr lang="es-ES"/>
            </a:pPr>
            <a:endParaRPr lang="es-CO"/>
          </a:p>
        </c:txPr>
        <c:crossAx val="175969920"/>
        <c:crosses val="autoZero"/>
        <c:auto val="1"/>
        <c:lblAlgn val="ctr"/>
        <c:lblOffset val="100"/>
        <c:noMultiLvlLbl val="0"/>
      </c:catAx>
      <c:valAx>
        <c:axId val="175969920"/>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76109568"/>
        <c:crosses val="autoZero"/>
        <c:crossBetween val="between"/>
      </c:valAx>
      <c:spPr>
        <a:solidFill>
          <a:schemeClr val="accent4">
            <a:lumMod val="20000"/>
            <a:lumOff val="80000"/>
          </a:schemeClr>
        </a:solidFill>
      </c:spPr>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PROMOCION DESARROLLO 2016</a:t>
            </a:r>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2016'!$C$17</c:f>
              <c:strCache>
                <c:ptCount val="1"/>
                <c:pt idx="0">
                  <c:v>Promoción del desarrollo</c:v>
                </c:pt>
              </c:strCache>
            </c:strRef>
          </c:cat>
          <c:val>
            <c:numRef>
              <c:f>'TABLERO 2016'!$D$17</c:f>
            </c:numRef>
          </c:val>
          <c:extLst xmlns:c16r2="http://schemas.microsoft.com/office/drawing/2015/06/chart">
            <c:ext xmlns:c16="http://schemas.microsoft.com/office/drawing/2014/chart" uri="{C3380CC4-5D6E-409C-BE32-E72D297353CC}">
              <c16:uniqueId val="{00000000-224B-4848-BAC7-DEBD2EBEA1D6}"/>
            </c:ext>
          </c:extLst>
        </c:ser>
        <c:ser>
          <c:idx val="1"/>
          <c:order val="1"/>
          <c:tx>
            <c:strRef>
              <c:f>'TABLERO 2016'!$E$5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2016'!$C$17</c:f>
              <c:strCache>
                <c:ptCount val="1"/>
                <c:pt idx="0">
                  <c:v>Promoción del desarrollo</c:v>
                </c:pt>
              </c:strCache>
            </c:strRef>
          </c:cat>
          <c:val>
            <c:numRef>
              <c:f>'TABLERO 2016'!$E$17</c:f>
              <c:numCache>
                <c:formatCode>General</c:formatCode>
                <c:ptCount val="1"/>
                <c:pt idx="0">
                  <c:v>27</c:v>
                </c:pt>
              </c:numCache>
            </c:numRef>
          </c:val>
          <c:extLst xmlns:c16r2="http://schemas.microsoft.com/office/drawing/2015/06/chart">
            <c:ext xmlns:c16="http://schemas.microsoft.com/office/drawing/2014/chart" uri="{C3380CC4-5D6E-409C-BE32-E72D297353CC}">
              <c16:uniqueId val="{00000001-224B-4848-BAC7-DEBD2EBEA1D6}"/>
            </c:ext>
          </c:extLst>
        </c:ser>
        <c:ser>
          <c:idx val="2"/>
          <c:order val="2"/>
          <c:tx>
            <c:strRef>
              <c:f>'TABLERO 2016'!$F$5</c:f>
              <c:strCache>
                <c:ptCount val="1"/>
                <c:pt idx="0">
                  <c:v>PROGRAMADAS 2016</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2016'!$C$17</c:f>
              <c:strCache>
                <c:ptCount val="1"/>
                <c:pt idx="0">
                  <c:v>Promoción del desarrollo</c:v>
                </c:pt>
              </c:strCache>
            </c:strRef>
          </c:cat>
          <c:val>
            <c:numRef>
              <c:f>'TABLERO 2016'!$F$17</c:f>
              <c:numCache>
                <c:formatCode>General</c:formatCode>
                <c:ptCount val="1"/>
                <c:pt idx="0">
                  <c:v>10</c:v>
                </c:pt>
              </c:numCache>
            </c:numRef>
          </c:val>
          <c:extLst xmlns:c16r2="http://schemas.microsoft.com/office/drawing/2015/06/chart">
            <c:ext xmlns:c16="http://schemas.microsoft.com/office/drawing/2014/chart" uri="{C3380CC4-5D6E-409C-BE32-E72D297353CC}">
              <c16:uniqueId val="{00000002-224B-4848-BAC7-DEBD2EBEA1D6}"/>
            </c:ext>
          </c:extLst>
        </c:ser>
        <c:ser>
          <c:idx val="3"/>
          <c:order val="3"/>
          <c:tx>
            <c:strRef>
              <c:f>'TABLERO 2016'!$G$5</c:f>
              <c:strCache>
                <c:ptCount val="1"/>
                <c:pt idx="0">
                  <c:v>VE</c:v>
                </c:pt>
              </c:strCache>
            </c:strRef>
          </c:tx>
          <c:spPr>
            <a:solidFill>
              <a:srgbClr val="92D050"/>
            </a:solidFill>
            <a:ln>
              <a:solidFill>
                <a:srgbClr val="92D050"/>
              </a:solidFill>
            </a:ln>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2016'!$C$17</c:f>
              <c:strCache>
                <c:ptCount val="1"/>
                <c:pt idx="0">
                  <c:v>Promoción del desarrollo</c:v>
                </c:pt>
              </c:strCache>
            </c:strRef>
          </c:cat>
          <c:val>
            <c:numRef>
              <c:f>'TABLERO 2016'!$G$17</c:f>
              <c:numCache>
                <c:formatCode>General</c:formatCode>
                <c:ptCount val="1"/>
                <c:pt idx="0">
                  <c:v>7</c:v>
                </c:pt>
              </c:numCache>
            </c:numRef>
          </c:val>
          <c:extLst xmlns:c16r2="http://schemas.microsoft.com/office/drawing/2015/06/chart">
            <c:ext xmlns:c16="http://schemas.microsoft.com/office/drawing/2014/chart" uri="{C3380CC4-5D6E-409C-BE32-E72D297353CC}">
              <c16:uniqueId val="{00000003-224B-4848-BAC7-DEBD2EBEA1D6}"/>
            </c:ext>
          </c:extLst>
        </c:ser>
        <c:ser>
          <c:idx val="4"/>
          <c:order val="4"/>
          <c:tx>
            <c:strRef>
              <c:f>'TABLERO 2016'!$H$5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2016'!$C$17</c:f>
              <c:strCache>
                <c:ptCount val="1"/>
                <c:pt idx="0">
                  <c:v>Promoción del desarrollo</c:v>
                </c:pt>
              </c:strCache>
            </c:strRef>
          </c:cat>
          <c:val>
            <c:numRef>
              <c:f>'TABLERO 2016'!$H$17</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224B-4848-BAC7-DEBD2EBEA1D6}"/>
            </c:ext>
          </c:extLst>
        </c:ser>
        <c:ser>
          <c:idx val="5"/>
          <c:order val="5"/>
          <c:tx>
            <c:strRef>
              <c:f>'TABLERO 2016'!$I$5</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2016'!$C$17</c:f>
              <c:strCache>
                <c:ptCount val="1"/>
                <c:pt idx="0">
                  <c:v>Promoción del desarrollo</c:v>
                </c:pt>
              </c:strCache>
            </c:strRef>
          </c:cat>
          <c:val>
            <c:numRef>
              <c:f>'TABLERO 2016'!$I$17</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5-224B-4848-BAC7-DEBD2EBEA1D6}"/>
            </c:ext>
          </c:extLst>
        </c:ser>
        <c:ser>
          <c:idx val="6"/>
          <c:order val="6"/>
          <c:tx>
            <c:strRef>
              <c:f>'TABLERO 2016'!$J$5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2016'!$C$17</c:f>
              <c:strCache>
                <c:ptCount val="1"/>
                <c:pt idx="0">
                  <c:v>Promoción del desarrollo</c:v>
                </c:pt>
              </c:strCache>
            </c:strRef>
          </c:cat>
          <c:val>
            <c:numRef>
              <c:f>'TABLERO 2016'!$J$17</c:f>
              <c:numCache>
                <c:formatCode>General</c:formatCode>
                <c:ptCount val="1"/>
                <c:pt idx="0">
                  <c:v>17</c:v>
                </c:pt>
              </c:numCache>
            </c:numRef>
          </c:val>
          <c:extLst xmlns:c16r2="http://schemas.microsoft.com/office/drawing/2015/06/chart">
            <c:ext xmlns:c16="http://schemas.microsoft.com/office/drawing/2014/chart" uri="{C3380CC4-5D6E-409C-BE32-E72D297353CC}">
              <c16:uniqueId val="{00000006-224B-4848-BAC7-DEBD2EBEA1D6}"/>
            </c:ext>
          </c:extLst>
        </c:ser>
        <c:dLbls>
          <c:showLegendKey val="0"/>
          <c:showVal val="0"/>
          <c:showCatName val="0"/>
          <c:showSerName val="0"/>
          <c:showPercent val="0"/>
          <c:showBubbleSize val="0"/>
        </c:dLbls>
        <c:gapWidth val="75"/>
        <c:overlap val="-25"/>
        <c:axId val="176390144"/>
        <c:axId val="176791552"/>
      </c:barChart>
      <c:catAx>
        <c:axId val="176390144"/>
        <c:scaling>
          <c:orientation val="minMax"/>
        </c:scaling>
        <c:delete val="0"/>
        <c:axPos val="b"/>
        <c:numFmt formatCode="General" sourceLinked="0"/>
        <c:majorTickMark val="none"/>
        <c:minorTickMark val="none"/>
        <c:tickLblPos val="nextTo"/>
        <c:txPr>
          <a:bodyPr/>
          <a:lstStyle/>
          <a:p>
            <a:pPr>
              <a:defRPr lang="es-ES"/>
            </a:pPr>
            <a:endParaRPr lang="es-CO"/>
          </a:p>
        </c:txPr>
        <c:crossAx val="176791552"/>
        <c:crosses val="autoZero"/>
        <c:auto val="1"/>
        <c:lblAlgn val="ctr"/>
        <c:lblOffset val="100"/>
        <c:noMultiLvlLbl val="0"/>
      </c:catAx>
      <c:valAx>
        <c:axId val="176791552"/>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76390144"/>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cmpd="dbl">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a:t>
            </a:r>
            <a:r>
              <a:rPr lang="es-CO" sz="1600" baseline="0"/>
              <a:t> GRUPOS VULNERABLES 2016</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2016'!$C$18</c:f>
              <c:strCache>
                <c:ptCount val="1"/>
                <c:pt idx="0">
                  <c:v>Atención a grupos vulnerables - promoción social</c:v>
                </c:pt>
              </c:strCache>
            </c:strRef>
          </c:cat>
          <c:val>
            <c:numRef>
              <c:f>'TABLERO 2016'!$D$18</c:f>
            </c:numRef>
          </c:val>
          <c:extLst xmlns:c16r2="http://schemas.microsoft.com/office/drawing/2015/06/chart">
            <c:ext xmlns:c16="http://schemas.microsoft.com/office/drawing/2014/chart" uri="{C3380CC4-5D6E-409C-BE32-E72D297353CC}">
              <c16:uniqueId val="{00000000-837C-41C0-8BF2-A3E969CA8810}"/>
            </c:ext>
          </c:extLst>
        </c:ser>
        <c:ser>
          <c:idx val="1"/>
          <c:order val="1"/>
          <c:tx>
            <c:strRef>
              <c:f>'TABLERO 2016'!$E$5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2016'!$C$18</c:f>
              <c:strCache>
                <c:ptCount val="1"/>
                <c:pt idx="0">
                  <c:v>Atención a grupos vulnerables - promoción social</c:v>
                </c:pt>
              </c:strCache>
            </c:strRef>
          </c:cat>
          <c:val>
            <c:numRef>
              <c:f>'TABLERO 2016'!$E$18</c:f>
              <c:numCache>
                <c:formatCode>General</c:formatCode>
                <c:ptCount val="1"/>
                <c:pt idx="0">
                  <c:v>94</c:v>
                </c:pt>
              </c:numCache>
            </c:numRef>
          </c:val>
          <c:extLst xmlns:c16r2="http://schemas.microsoft.com/office/drawing/2015/06/chart">
            <c:ext xmlns:c16="http://schemas.microsoft.com/office/drawing/2014/chart" uri="{C3380CC4-5D6E-409C-BE32-E72D297353CC}">
              <c16:uniqueId val="{00000001-837C-41C0-8BF2-A3E969CA8810}"/>
            </c:ext>
          </c:extLst>
        </c:ser>
        <c:ser>
          <c:idx val="2"/>
          <c:order val="2"/>
          <c:tx>
            <c:strRef>
              <c:f>'TABLERO 2016'!$F$5</c:f>
              <c:strCache>
                <c:ptCount val="1"/>
                <c:pt idx="0">
                  <c:v>PROGRAMADAS 2016</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2016'!$C$18</c:f>
              <c:strCache>
                <c:ptCount val="1"/>
                <c:pt idx="0">
                  <c:v>Atención a grupos vulnerables - promoción social</c:v>
                </c:pt>
              </c:strCache>
            </c:strRef>
          </c:cat>
          <c:val>
            <c:numRef>
              <c:f>'TABLERO 2016'!$F$18</c:f>
              <c:numCache>
                <c:formatCode>General</c:formatCode>
                <c:ptCount val="1"/>
                <c:pt idx="0">
                  <c:v>67</c:v>
                </c:pt>
              </c:numCache>
            </c:numRef>
          </c:val>
          <c:extLst xmlns:c16r2="http://schemas.microsoft.com/office/drawing/2015/06/chart">
            <c:ext xmlns:c16="http://schemas.microsoft.com/office/drawing/2014/chart" uri="{C3380CC4-5D6E-409C-BE32-E72D297353CC}">
              <c16:uniqueId val="{00000002-837C-41C0-8BF2-A3E969CA8810}"/>
            </c:ext>
          </c:extLst>
        </c:ser>
        <c:ser>
          <c:idx val="3"/>
          <c:order val="3"/>
          <c:tx>
            <c:strRef>
              <c:f>'TABLERO 2016'!$G$5</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2016'!$C$18</c:f>
              <c:strCache>
                <c:ptCount val="1"/>
                <c:pt idx="0">
                  <c:v>Atención a grupos vulnerables - promoción social</c:v>
                </c:pt>
              </c:strCache>
            </c:strRef>
          </c:cat>
          <c:val>
            <c:numRef>
              <c:f>'TABLERO 2016'!$G$18</c:f>
              <c:numCache>
                <c:formatCode>General</c:formatCode>
                <c:ptCount val="1"/>
                <c:pt idx="0">
                  <c:v>36</c:v>
                </c:pt>
              </c:numCache>
            </c:numRef>
          </c:val>
          <c:extLst xmlns:c16r2="http://schemas.microsoft.com/office/drawing/2015/06/chart">
            <c:ext xmlns:c16="http://schemas.microsoft.com/office/drawing/2014/chart" uri="{C3380CC4-5D6E-409C-BE32-E72D297353CC}">
              <c16:uniqueId val="{00000003-837C-41C0-8BF2-A3E969CA8810}"/>
            </c:ext>
          </c:extLst>
        </c:ser>
        <c:ser>
          <c:idx val="4"/>
          <c:order val="4"/>
          <c:tx>
            <c:strRef>
              <c:f>'TABLERO 2016'!$H$5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2016'!$C$18</c:f>
              <c:strCache>
                <c:ptCount val="1"/>
                <c:pt idx="0">
                  <c:v>Atención a grupos vulnerables - promoción social</c:v>
                </c:pt>
              </c:strCache>
            </c:strRef>
          </c:cat>
          <c:val>
            <c:numRef>
              <c:f>'TABLERO 2016'!$H$18</c:f>
              <c:numCache>
                <c:formatCode>General</c:formatCode>
                <c:ptCount val="1"/>
                <c:pt idx="0">
                  <c:v>19</c:v>
                </c:pt>
              </c:numCache>
            </c:numRef>
          </c:val>
          <c:extLst xmlns:c16r2="http://schemas.microsoft.com/office/drawing/2015/06/chart">
            <c:ext xmlns:c16="http://schemas.microsoft.com/office/drawing/2014/chart" uri="{C3380CC4-5D6E-409C-BE32-E72D297353CC}">
              <c16:uniqueId val="{00000004-837C-41C0-8BF2-A3E969CA8810}"/>
            </c:ext>
          </c:extLst>
        </c:ser>
        <c:ser>
          <c:idx val="5"/>
          <c:order val="5"/>
          <c:tx>
            <c:strRef>
              <c:f>'TABLERO 2016'!$I$5</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2016'!$C$18</c:f>
              <c:strCache>
                <c:ptCount val="1"/>
                <c:pt idx="0">
                  <c:v>Atención a grupos vulnerables - promoción social</c:v>
                </c:pt>
              </c:strCache>
            </c:strRef>
          </c:cat>
          <c:val>
            <c:numRef>
              <c:f>'TABLERO 2016'!$I$18</c:f>
              <c:numCache>
                <c:formatCode>General</c:formatCode>
                <c:ptCount val="1"/>
                <c:pt idx="0">
                  <c:v>12</c:v>
                </c:pt>
              </c:numCache>
            </c:numRef>
          </c:val>
          <c:extLst xmlns:c16r2="http://schemas.microsoft.com/office/drawing/2015/06/chart">
            <c:ext xmlns:c16="http://schemas.microsoft.com/office/drawing/2014/chart" uri="{C3380CC4-5D6E-409C-BE32-E72D297353CC}">
              <c16:uniqueId val="{00000005-837C-41C0-8BF2-A3E969CA8810}"/>
            </c:ext>
          </c:extLst>
        </c:ser>
        <c:ser>
          <c:idx val="6"/>
          <c:order val="6"/>
          <c:tx>
            <c:strRef>
              <c:f>'TABLERO 2016'!$J$5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2016'!$C$18</c:f>
              <c:strCache>
                <c:ptCount val="1"/>
                <c:pt idx="0">
                  <c:v>Atención a grupos vulnerables - promoción social</c:v>
                </c:pt>
              </c:strCache>
            </c:strRef>
          </c:cat>
          <c:val>
            <c:numRef>
              <c:f>'TABLERO 2016'!$J$18</c:f>
              <c:numCache>
                <c:formatCode>General</c:formatCode>
                <c:ptCount val="1"/>
                <c:pt idx="0">
                  <c:v>27</c:v>
                </c:pt>
              </c:numCache>
            </c:numRef>
          </c:val>
          <c:extLst xmlns:c16r2="http://schemas.microsoft.com/office/drawing/2015/06/chart">
            <c:ext xmlns:c16="http://schemas.microsoft.com/office/drawing/2014/chart" uri="{C3380CC4-5D6E-409C-BE32-E72D297353CC}">
              <c16:uniqueId val="{00000006-837C-41C0-8BF2-A3E969CA8810}"/>
            </c:ext>
          </c:extLst>
        </c:ser>
        <c:dLbls>
          <c:showLegendKey val="0"/>
          <c:showVal val="0"/>
          <c:showCatName val="0"/>
          <c:showSerName val="0"/>
          <c:showPercent val="0"/>
          <c:showBubbleSize val="0"/>
        </c:dLbls>
        <c:gapWidth val="75"/>
        <c:overlap val="-25"/>
        <c:axId val="176110592"/>
        <c:axId val="176793856"/>
      </c:barChart>
      <c:catAx>
        <c:axId val="176110592"/>
        <c:scaling>
          <c:orientation val="minMax"/>
        </c:scaling>
        <c:delete val="0"/>
        <c:axPos val="b"/>
        <c:numFmt formatCode="General" sourceLinked="0"/>
        <c:majorTickMark val="none"/>
        <c:minorTickMark val="none"/>
        <c:tickLblPos val="nextTo"/>
        <c:txPr>
          <a:bodyPr/>
          <a:lstStyle/>
          <a:p>
            <a:pPr>
              <a:defRPr lang="es-ES"/>
            </a:pPr>
            <a:endParaRPr lang="es-CO"/>
          </a:p>
        </c:txPr>
        <c:crossAx val="176793856"/>
        <c:crosses val="autoZero"/>
        <c:auto val="1"/>
        <c:lblAlgn val="ctr"/>
        <c:lblOffset val="100"/>
        <c:noMultiLvlLbl val="0"/>
      </c:catAx>
      <c:valAx>
        <c:axId val="176793856"/>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76110592"/>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a:t>
            </a:r>
            <a:r>
              <a:rPr lang="es-CO" sz="1600" baseline="0"/>
              <a:t> METAS SECTOR EQUIPAMIENTO 2016</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2016'!$C$19</c:f>
              <c:strCache>
                <c:ptCount val="1"/>
                <c:pt idx="0">
                  <c:v>Equipamiento </c:v>
                </c:pt>
              </c:strCache>
            </c:strRef>
          </c:cat>
          <c:val>
            <c:numRef>
              <c:f>'TABLERO 2016'!$D$19</c:f>
            </c:numRef>
          </c:val>
          <c:extLst xmlns:c16r2="http://schemas.microsoft.com/office/drawing/2015/06/chart">
            <c:ext xmlns:c16="http://schemas.microsoft.com/office/drawing/2014/chart" uri="{C3380CC4-5D6E-409C-BE32-E72D297353CC}">
              <c16:uniqueId val="{00000000-29F3-4DE3-989A-FABC6A943318}"/>
            </c:ext>
          </c:extLst>
        </c:ser>
        <c:ser>
          <c:idx val="1"/>
          <c:order val="1"/>
          <c:tx>
            <c:strRef>
              <c:f>'TABLERO 2016'!$E$5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2016'!$C$19</c:f>
              <c:strCache>
                <c:ptCount val="1"/>
                <c:pt idx="0">
                  <c:v>Equipamiento </c:v>
                </c:pt>
              </c:strCache>
            </c:strRef>
          </c:cat>
          <c:val>
            <c:numRef>
              <c:f>'TABLERO 2016'!$E$19</c:f>
              <c:numCache>
                <c:formatCode>General</c:formatCode>
                <c:ptCount val="1"/>
                <c:pt idx="0">
                  <c:v>9</c:v>
                </c:pt>
              </c:numCache>
            </c:numRef>
          </c:val>
          <c:extLst xmlns:c16r2="http://schemas.microsoft.com/office/drawing/2015/06/chart">
            <c:ext xmlns:c16="http://schemas.microsoft.com/office/drawing/2014/chart" uri="{C3380CC4-5D6E-409C-BE32-E72D297353CC}">
              <c16:uniqueId val="{00000001-29F3-4DE3-989A-FABC6A943318}"/>
            </c:ext>
          </c:extLst>
        </c:ser>
        <c:ser>
          <c:idx val="2"/>
          <c:order val="2"/>
          <c:tx>
            <c:strRef>
              <c:f>'TABLERO 2016'!$F$5</c:f>
              <c:strCache>
                <c:ptCount val="1"/>
                <c:pt idx="0">
                  <c:v>PROGRAMADAS 2016</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2016'!$C$19</c:f>
              <c:strCache>
                <c:ptCount val="1"/>
                <c:pt idx="0">
                  <c:v>Equipamiento </c:v>
                </c:pt>
              </c:strCache>
            </c:strRef>
          </c:cat>
          <c:val>
            <c:numRef>
              <c:f>'TABLERO 2016'!$F$19</c:f>
              <c:numCache>
                <c:formatCode>General</c:formatCode>
                <c:ptCount val="1"/>
                <c:pt idx="0">
                  <c:v>4</c:v>
                </c:pt>
              </c:numCache>
            </c:numRef>
          </c:val>
          <c:extLst xmlns:c16r2="http://schemas.microsoft.com/office/drawing/2015/06/chart">
            <c:ext xmlns:c16="http://schemas.microsoft.com/office/drawing/2014/chart" uri="{C3380CC4-5D6E-409C-BE32-E72D297353CC}">
              <c16:uniqueId val="{00000002-29F3-4DE3-989A-FABC6A943318}"/>
            </c:ext>
          </c:extLst>
        </c:ser>
        <c:ser>
          <c:idx val="3"/>
          <c:order val="3"/>
          <c:tx>
            <c:strRef>
              <c:f>'TABLERO 2016'!$G$5</c:f>
              <c:strCache>
                <c:ptCount val="1"/>
                <c:pt idx="0">
                  <c:v>VE</c:v>
                </c:pt>
              </c:strCache>
            </c:strRef>
          </c:tx>
          <c:invertIfNegative val="0"/>
          <c:cat>
            <c:strRef>
              <c:f>'TABLERO 2016'!$C$19</c:f>
              <c:strCache>
                <c:ptCount val="1"/>
                <c:pt idx="0">
                  <c:v>Equipamiento </c:v>
                </c:pt>
              </c:strCache>
            </c:strRef>
          </c:cat>
          <c:val>
            <c:numRef>
              <c:f>'TABLERO 2016'!$G$19</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29F3-4DE3-989A-FABC6A943318}"/>
            </c:ext>
          </c:extLst>
        </c:ser>
        <c:ser>
          <c:idx val="4"/>
          <c:order val="4"/>
          <c:tx>
            <c:strRef>
              <c:f>'TABLERO 2016'!$H$5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2016'!$C$19</c:f>
              <c:strCache>
                <c:ptCount val="1"/>
                <c:pt idx="0">
                  <c:v>Equipamiento </c:v>
                </c:pt>
              </c:strCache>
            </c:strRef>
          </c:cat>
          <c:val>
            <c:numRef>
              <c:f>'TABLERO 2016'!$H$19</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4-29F3-4DE3-989A-FABC6A943318}"/>
            </c:ext>
          </c:extLst>
        </c:ser>
        <c:ser>
          <c:idx val="5"/>
          <c:order val="5"/>
          <c:tx>
            <c:strRef>
              <c:f>'TABLERO 2016'!$I$5</c:f>
              <c:strCache>
                <c:ptCount val="1"/>
                <c:pt idx="0">
                  <c:v>RO</c:v>
                </c:pt>
              </c:strCache>
            </c:strRef>
          </c:tx>
          <c:invertIfNegative val="0"/>
          <c:cat>
            <c:strRef>
              <c:f>'TABLERO 2016'!$C$19</c:f>
              <c:strCache>
                <c:ptCount val="1"/>
                <c:pt idx="0">
                  <c:v>Equipamiento </c:v>
                </c:pt>
              </c:strCache>
            </c:strRef>
          </c:cat>
          <c:val>
            <c:numRef>
              <c:f>'TABLERO 2016'!$I$19</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5-29F3-4DE3-989A-FABC6A943318}"/>
            </c:ext>
          </c:extLst>
        </c:ser>
        <c:ser>
          <c:idx val="6"/>
          <c:order val="6"/>
          <c:tx>
            <c:strRef>
              <c:f>'TABLERO 2016'!$J$5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2016'!$C$19</c:f>
              <c:strCache>
                <c:ptCount val="1"/>
                <c:pt idx="0">
                  <c:v>Equipamiento </c:v>
                </c:pt>
              </c:strCache>
            </c:strRef>
          </c:cat>
          <c:val>
            <c:numRef>
              <c:f>'TABLERO 2016'!$J$19</c:f>
              <c:numCache>
                <c:formatCode>General</c:formatCode>
                <c:ptCount val="1"/>
                <c:pt idx="0">
                  <c:v>5</c:v>
                </c:pt>
              </c:numCache>
            </c:numRef>
          </c:val>
          <c:extLst xmlns:c16r2="http://schemas.microsoft.com/office/drawing/2015/06/chart">
            <c:ext xmlns:c16="http://schemas.microsoft.com/office/drawing/2014/chart" uri="{C3380CC4-5D6E-409C-BE32-E72D297353CC}">
              <c16:uniqueId val="{00000006-29F3-4DE3-989A-FABC6A943318}"/>
            </c:ext>
          </c:extLst>
        </c:ser>
        <c:dLbls>
          <c:showLegendKey val="0"/>
          <c:showVal val="0"/>
          <c:showCatName val="0"/>
          <c:showSerName val="0"/>
          <c:showPercent val="0"/>
          <c:showBubbleSize val="0"/>
        </c:dLbls>
        <c:gapWidth val="75"/>
        <c:overlap val="-25"/>
        <c:axId val="176393216"/>
        <c:axId val="176796160"/>
      </c:barChart>
      <c:catAx>
        <c:axId val="176393216"/>
        <c:scaling>
          <c:orientation val="minMax"/>
        </c:scaling>
        <c:delete val="0"/>
        <c:axPos val="b"/>
        <c:numFmt formatCode="General" sourceLinked="0"/>
        <c:majorTickMark val="none"/>
        <c:minorTickMark val="none"/>
        <c:tickLblPos val="nextTo"/>
        <c:txPr>
          <a:bodyPr/>
          <a:lstStyle/>
          <a:p>
            <a:pPr>
              <a:defRPr lang="es-ES"/>
            </a:pPr>
            <a:endParaRPr lang="es-CO"/>
          </a:p>
        </c:txPr>
        <c:crossAx val="176796160"/>
        <c:crosses val="autoZero"/>
        <c:auto val="1"/>
        <c:lblAlgn val="ctr"/>
        <c:lblOffset val="100"/>
        <c:noMultiLvlLbl val="0"/>
      </c:catAx>
      <c:valAx>
        <c:axId val="176796160"/>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76393216"/>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DESARROLLO COMUNITARIO 2016</a:t>
            </a:r>
          </a:p>
        </c:rich>
      </c:tx>
      <c:layout>
        <c:manualLayout>
          <c:xMode val="edge"/>
          <c:yMode val="edge"/>
          <c:x val="0.17191666666666672"/>
          <c:y val="2.7777777777777801E-2"/>
        </c:manualLayout>
      </c:layout>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2016'!$C$20</c:f>
              <c:strCache>
                <c:ptCount val="1"/>
                <c:pt idx="0">
                  <c:v>Desarrollo comunitario</c:v>
                </c:pt>
              </c:strCache>
            </c:strRef>
          </c:cat>
          <c:val>
            <c:numRef>
              <c:f>'TABLERO 2016'!$D$20</c:f>
            </c:numRef>
          </c:val>
          <c:extLst xmlns:c16r2="http://schemas.microsoft.com/office/drawing/2015/06/chart">
            <c:ext xmlns:c16="http://schemas.microsoft.com/office/drawing/2014/chart" uri="{C3380CC4-5D6E-409C-BE32-E72D297353CC}">
              <c16:uniqueId val="{00000000-535D-40F9-8319-447ED87E7153}"/>
            </c:ext>
          </c:extLst>
        </c:ser>
        <c:ser>
          <c:idx val="1"/>
          <c:order val="1"/>
          <c:tx>
            <c:strRef>
              <c:f>'TABLERO 2016'!$E$5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2016'!$C$20</c:f>
              <c:strCache>
                <c:ptCount val="1"/>
                <c:pt idx="0">
                  <c:v>Desarrollo comunitario</c:v>
                </c:pt>
              </c:strCache>
            </c:strRef>
          </c:cat>
          <c:val>
            <c:numRef>
              <c:f>'TABLERO 2016'!$E$20</c:f>
              <c:numCache>
                <c:formatCode>General</c:formatCode>
                <c:ptCount val="1"/>
                <c:pt idx="0">
                  <c:v>11</c:v>
                </c:pt>
              </c:numCache>
            </c:numRef>
          </c:val>
          <c:extLst xmlns:c16r2="http://schemas.microsoft.com/office/drawing/2015/06/chart">
            <c:ext xmlns:c16="http://schemas.microsoft.com/office/drawing/2014/chart" uri="{C3380CC4-5D6E-409C-BE32-E72D297353CC}">
              <c16:uniqueId val="{00000001-535D-40F9-8319-447ED87E7153}"/>
            </c:ext>
          </c:extLst>
        </c:ser>
        <c:ser>
          <c:idx val="2"/>
          <c:order val="2"/>
          <c:tx>
            <c:strRef>
              <c:f>'TABLERO 2016'!$F$5</c:f>
              <c:strCache>
                <c:ptCount val="1"/>
                <c:pt idx="0">
                  <c:v>PROGRAMADAS 2016</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2016'!$C$20</c:f>
              <c:strCache>
                <c:ptCount val="1"/>
                <c:pt idx="0">
                  <c:v>Desarrollo comunitario</c:v>
                </c:pt>
              </c:strCache>
            </c:strRef>
          </c:cat>
          <c:val>
            <c:numRef>
              <c:f>'TABLERO 2016'!$F$20</c:f>
              <c:numCache>
                <c:formatCode>General</c:formatCode>
                <c:ptCount val="1"/>
                <c:pt idx="0">
                  <c:v>9</c:v>
                </c:pt>
              </c:numCache>
            </c:numRef>
          </c:val>
          <c:extLst xmlns:c16r2="http://schemas.microsoft.com/office/drawing/2015/06/chart">
            <c:ext xmlns:c16="http://schemas.microsoft.com/office/drawing/2014/chart" uri="{C3380CC4-5D6E-409C-BE32-E72D297353CC}">
              <c16:uniqueId val="{00000002-535D-40F9-8319-447ED87E7153}"/>
            </c:ext>
          </c:extLst>
        </c:ser>
        <c:ser>
          <c:idx val="3"/>
          <c:order val="3"/>
          <c:tx>
            <c:strRef>
              <c:f>'TABLERO 2016'!$G$5</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2016'!$C$20</c:f>
              <c:strCache>
                <c:ptCount val="1"/>
                <c:pt idx="0">
                  <c:v>Desarrollo comunitario</c:v>
                </c:pt>
              </c:strCache>
            </c:strRef>
          </c:cat>
          <c:val>
            <c:numRef>
              <c:f>'TABLERO 2016'!$G$20</c:f>
              <c:numCache>
                <c:formatCode>General</c:formatCode>
                <c:ptCount val="1"/>
                <c:pt idx="0">
                  <c:v>9</c:v>
                </c:pt>
              </c:numCache>
            </c:numRef>
          </c:val>
          <c:extLst xmlns:c16r2="http://schemas.microsoft.com/office/drawing/2015/06/chart">
            <c:ext xmlns:c16="http://schemas.microsoft.com/office/drawing/2014/chart" uri="{C3380CC4-5D6E-409C-BE32-E72D297353CC}">
              <c16:uniqueId val="{00000003-535D-40F9-8319-447ED87E7153}"/>
            </c:ext>
          </c:extLst>
        </c:ser>
        <c:ser>
          <c:idx val="4"/>
          <c:order val="4"/>
          <c:tx>
            <c:strRef>
              <c:f>'TABLERO 2016'!$H$5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2016'!$C$20</c:f>
              <c:strCache>
                <c:ptCount val="1"/>
                <c:pt idx="0">
                  <c:v>Desarrollo comunitario</c:v>
                </c:pt>
              </c:strCache>
            </c:strRef>
          </c:cat>
          <c:val>
            <c:numRef>
              <c:f>'TABLERO 2016'!$H$20</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535D-40F9-8319-447ED87E7153}"/>
            </c:ext>
          </c:extLst>
        </c:ser>
        <c:ser>
          <c:idx val="5"/>
          <c:order val="5"/>
          <c:tx>
            <c:strRef>
              <c:f>'TABLERO 2016'!$I$5</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2016'!$C$20</c:f>
              <c:strCache>
                <c:ptCount val="1"/>
                <c:pt idx="0">
                  <c:v>Desarrollo comunitario</c:v>
                </c:pt>
              </c:strCache>
            </c:strRef>
          </c:cat>
          <c:val>
            <c:numRef>
              <c:f>'TABLERO 2016'!$I$20</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535D-40F9-8319-447ED87E7153}"/>
            </c:ext>
          </c:extLst>
        </c:ser>
        <c:ser>
          <c:idx val="6"/>
          <c:order val="6"/>
          <c:tx>
            <c:strRef>
              <c:f>'TABLERO 2016'!$J$5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2016'!$C$20</c:f>
              <c:strCache>
                <c:ptCount val="1"/>
                <c:pt idx="0">
                  <c:v>Desarrollo comunitario</c:v>
                </c:pt>
              </c:strCache>
            </c:strRef>
          </c:cat>
          <c:val>
            <c:numRef>
              <c:f>'TABLERO 2016'!$J$20</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6-535D-40F9-8319-447ED87E7153}"/>
            </c:ext>
          </c:extLst>
        </c:ser>
        <c:dLbls>
          <c:showLegendKey val="0"/>
          <c:showVal val="0"/>
          <c:showCatName val="0"/>
          <c:showSerName val="0"/>
          <c:showPercent val="0"/>
          <c:showBubbleSize val="0"/>
        </c:dLbls>
        <c:gapWidth val="75"/>
        <c:overlap val="-25"/>
        <c:axId val="176951808"/>
        <c:axId val="176798464"/>
      </c:barChart>
      <c:catAx>
        <c:axId val="176951808"/>
        <c:scaling>
          <c:orientation val="minMax"/>
        </c:scaling>
        <c:delete val="0"/>
        <c:axPos val="b"/>
        <c:numFmt formatCode="General" sourceLinked="0"/>
        <c:majorTickMark val="none"/>
        <c:minorTickMark val="none"/>
        <c:tickLblPos val="nextTo"/>
        <c:txPr>
          <a:bodyPr/>
          <a:lstStyle/>
          <a:p>
            <a:pPr>
              <a:defRPr lang="es-ES"/>
            </a:pPr>
            <a:endParaRPr lang="es-CO"/>
          </a:p>
        </c:txPr>
        <c:crossAx val="176798464"/>
        <c:crosses val="autoZero"/>
        <c:auto val="1"/>
        <c:lblAlgn val="ctr"/>
        <c:lblOffset val="100"/>
        <c:noMultiLvlLbl val="0"/>
      </c:catAx>
      <c:valAx>
        <c:axId val="176798464"/>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76951808"/>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a:t>
            </a:r>
            <a:r>
              <a:rPr lang="es-CO" sz="1600" baseline="0"/>
              <a:t> METAS SECTOR FORTAL.INSTITUCIONAL 20116</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2016'!$C$21</c:f>
              <c:strCache>
                <c:ptCount val="1"/>
                <c:pt idx="0">
                  <c:v>Fortalecimiento institucional</c:v>
                </c:pt>
              </c:strCache>
            </c:strRef>
          </c:cat>
          <c:val>
            <c:numRef>
              <c:f>'TABLERO 2016'!$D$21</c:f>
            </c:numRef>
          </c:val>
          <c:extLst xmlns:c16r2="http://schemas.microsoft.com/office/drawing/2015/06/chart">
            <c:ext xmlns:c16="http://schemas.microsoft.com/office/drawing/2014/chart" uri="{C3380CC4-5D6E-409C-BE32-E72D297353CC}">
              <c16:uniqueId val="{00000000-57D0-482D-B975-D04E85531A29}"/>
            </c:ext>
          </c:extLst>
        </c:ser>
        <c:ser>
          <c:idx val="1"/>
          <c:order val="1"/>
          <c:tx>
            <c:strRef>
              <c:f>'TABLERO 2016'!$E$5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2016'!$C$21</c:f>
              <c:strCache>
                <c:ptCount val="1"/>
                <c:pt idx="0">
                  <c:v>Fortalecimiento institucional</c:v>
                </c:pt>
              </c:strCache>
            </c:strRef>
          </c:cat>
          <c:val>
            <c:numRef>
              <c:f>'TABLERO 2016'!$E$21</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1-57D0-482D-B975-D04E85531A29}"/>
            </c:ext>
          </c:extLst>
        </c:ser>
        <c:ser>
          <c:idx val="2"/>
          <c:order val="2"/>
          <c:tx>
            <c:strRef>
              <c:f>'TABLERO 2016'!$F$5</c:f>
              <c:strCache>
                <c:ptCount val="1"/>
                <c:pt idx="0">
                  <c:v>PROGRAMADAS 2016</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2016'!$C$21</c:f>
              <c:strCache>
                <c:ptCount val="1"/>
                <c:pt idx="0">
                  <c:v>Fortalecimiento institucional</c:v>
                </c:pt>
              </c:strCache>
            </c:strRef>
          </c:cat>
          <c:val>
            <c:numRef>
              <c:f>'TABLERO 2016'!$F$21</c:f>
              <c:numCache>
                <c:formatCode>General</c:formatCode>
                <c:ptCount val="1"/>
                <c:pt idx="0">
                  <c:v>18</c:v>
                </c:pt>
              </c:numCache>
            </c:numRef>
          </c:val>
          <c:extLst xmlns:c16r2="http://schemas.microsoft.com/office/drawing/2015/06/chart">
            <c:ext xmlns:c16="http://schemas.microsoft.com/office/drawing/2014/chart" uri="{C3380CC4-5D6E-409C-BE32-E72D297353CC}">
              <c16:uniqueId val="{00000002-57D0-482D-B975-D04E85531A29}"/>
            </c:ext>
          </c:extLst>
        </c:ser>
        <c:ser>
          <c:idx val="3"/>
          <c:order val="3"/>
          <c:tx>
            <c:strRef>
              <c:f>'TABLERO 2016'!$G$5</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2016'!$C$21</c:f>
              <c:strCache>
                <c:ptCount val="1"/>
                <c:pt idx="0">
                  <c:v>Fortalecimiento institucional</c:v>
                </c:pt>
              </c:strCache>
            </c:strRef>
          </c:cat>
          <c:val>
            <c:numRef>
              <c:f>'TABLERO 2016'!$G$21</c:f>
              <c:numCache>
                <c:formatCode>General</c:formatCode>
                <c:ptCount val="1"/>
                <c:pt idx="0">
                  <c:v>15</c:v>
                </c:pt>
              </c:numCache>
            </c:numRef>
          </c:val>
          <c:extLst xmlns:c16r2="http://schemas.microsoft.com/office/drawing/2015/06/chart">
            <c:ext xmlns:c16="http://schemas.microsoft.com/office/drawing/2014/chart" uri="{C3380CC4-5D6E-409C-BE32-E72D297353CC}">
              <c16:uniqueId val="{00000003-57D0-482D-B975-D04E85531A29}"/>
            </c:ext>
          </c:extLst>
        </c:ser>
        <c:ser>
          <c:idx val="4"/>
          <c:order val="4"/>
          <c:tx>
            <c:strRef>
              <c:f>'TABLERO 2016'!$H$5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2016'!$C$21</c:f>
              <c:strCache>
                <c:ptCount val="1"/>
                <c:pt idx="0">
                  <c:v>Fortalecimiento institucional</c:v>
                </c:pt>
              </c:strCache>
            </c:strRef>
          </c:cat>
          <c:val>
            <c:numRef>
              <c:f>'TABLERO 2016'!$H$21</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57D0-482D-B975-D04E85531A29}"/>
            </c:ext>
          </c:extLst>
        </c:ser>
        <c:ser>
          <c:idx val="5"/>
          <c:order val="5"/>
          <c:tx>
            <c:strRef>
              <c:f>'TABLERO 2016'!$I$5</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2016'!$C$21</c:f>
              <c:strCache>
                <c:ptCount val="1"/>
                <c:pt idx="0">
                  <c:v>Fortalecimiento institucional</c:v>
                </c:pt>
              </c:strCache>
            </c:strRef>
          </c:cat>
          <c:val>
            <c:numRef>
              <c:f>'TABLERO 2016'!$I$21</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5-57D0-482D-B975-D04E85531A29}"/>
            </c:ext>
          </c:extLst>
        </c:ser>
        <c:ser>
          <c:idx val="6"/>
          <c:order val="6"/>
          <c:tx>
            <c:strRef>
              <c:f>'TABLERO 2016'!$J$5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2016'!$C$21</c:f>
              <c:strCache>
                <c:ptCount val="1"/>
                <c:pt idx="0">
                  <c:v>Fortalecimiento institucional</c:v>
                </c:pt>
              </c:strCache>
            </c:strRef>
          </c:cat>
          <c:val>
            <c:numRef>
              <c:f>'TABLERO 2016'!$J$21</c:f>
              <c:numCache>
                <c:formatCode>General</c:formatCode>
                <c:ptCount val="1"/>
                <c:pt idx="0">
                  <c:v>7</c:v>
                </c:pt>
              </c:numCache>
            </c:numRef>
          </c:val>
          <c:extLst xmlns:c16r2="http://schemas.microsoft.com/office/drawing/2015/06/chart">
            <c:ext xmlns:c16="http://schemas.microsoft.com/office/drawing/2014/chart" uri="{C3380CC4-5D6E-409C-BE32-E72D297353CC}">
              <c16:uniqueId val="{00000006-57D0-482D-B975-D04E85531A29}"/>
            </c:ext>
          </c:extLst>
        </c:ser>
        <c:dLbls>
          <c:showLegendKey val="0"/>
          <c:showVal val="0"/>
          <c:showCatName val="0"/>
          <c:showSerName val="0"/>
          <c:showPercent val="0"/>
          <c:showBubbleSize val="0"/>
        </c:dLbls>
        <c:gapWidth val="75"/>
        <c:overlap val="-25"/>
        <c:axId val="176953344"/>
        <c:axId val="176850624"/>
      </c:barChart>
      <c:catAx>
        <c:axId val="176953344"/>
        <c:scaling>
          <c:orientation val="minMax"/>
        </c:scaling>
        <c:delete val="0"/>
        <c:axPos val="b"/>
        <c:numFmt formatCode="General" sourceLinked="0"/>
        <c:majorTickMark val="none"/>
        <c:minorTickMark val="none"/>
        <c:tickLblPos val="nextTo"/>
        <c:txPr>
          <a:bodyPr/>
          <a:lstStyle/>
          <a:p>
            <a:pPr>
              <a:defRPr lang="es-ES"/>
            </a:pPr>
            <a:endParaRPr lang="es-CO"/>
          </a:p>
        </c:txPr>
        <c:crossAx val="176850624"/>
        <c:crosses val="autoZero"/>
        <c:auto val="1"/>
        <c:lblAlgn val="ctr"/>
        <c:lblOffset val="100"/>
        <c:noMultiLvlLbl val="0"/>
      </c:catAx>
      <c:valAx>
        <c:axId val="176850624"/>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76953344"/>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a:t>
            </a:r>
            <a:r>
              <a:rPr lang="es-CO" sz="1600" baseline="0"/>
              <a:t> METAS SECTORES JUSTICIA Y SEGURIDAD  2016</a:t>
            </a:r>
            <a:endParaRPr lang="es-CO" sz="1600"/>
          </a:p>
        </c:rich>
      </c:tx>
      <c:overlay val="0"/>
    </c:title>
    <c:autoTitleDeleted val="0"/>
    <c:plotArea>
      <c:layout/>
      <c:barChart>
        <c:barDir val="col"/>
        <c:grouping val="clustered"/>
        <c:varyColors val="0"/>
        <c:ser>
          <c:idx val="1"/>
          <c:order val="1"/>
          <c:tx>
            <c:strRef>
              <c:f>'TABLERO 2016'!$E$5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2016'!$C$22</c:f>
              <c:strCache>
                <c:ptCount val="1"/>
                <c:pt idx="0">
                  <c:v>Justicia y seguridad</c:v>
                </c:pt>
              </c:strCache>
            </c:strRef>
          </c:cat>
          <c:val>
            <c:numRef>
              <c:f>'TABLERO 2016'!$E$22</c:f>
              <c:numCache>
                <c:formatCode>General</c:formatCode>
                <c:ptCount val="1"/>
                <c:pt idx="0">
                  <c:v>27</c:v>
                </c:pt>
              </c:numCache>
            </c:numRef>
          </c:val>
          <c:extLst xmlns:c16r2="http://schemas.microsoft.com/office/drawing/2015/06/chart">
            <c:ext xmlns:c16="http://schemas.microsoft.com/office/drawing/2014/chart" uri="{C3380CC4-5D6E-409C-BE32-E72D297353CC}">
              <c16:uniqueId val="{00000000-48EA-4B05-8C22-B0F8B0CDBF57}"/>
            </c:ext>
          </c:extLst>
        </c:ser>
        <c:ser>
          <c:idx val="2"/>
          <c:order val="2"/>
          <c:tx>
            <c:strRef>
              <c:f>'TABLERO 2016'!$F$5</c:f>
              <c:strCache>
                <c:ptCount val="1"/>
                <c:pt idx="0">
                  <c:v>PROGRAMADAS 2016</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2016'!$C$22</c:f>
              <c:strCache>
                <c:ptCount val="1"/>
                <c:pt idx="0">
                  <c:v>Justicia y seguridad</c:v>
                </c:pt>
              </c:strCache>
            </c:strRef>
          </c:cat>
          <c:val>
            <c:numRef>
              <c:f>'TABLERO 2016'!$F$22</c:f>
              <c:numCache>
                <c:formatCode>General</c:formatCode>
                <c:ptCount val="1"/>
                <c:pt idx="0">
                  <c:v>23</c:v>
                </c:pt>
              </c:numCache>
            </c:numRef>
          </c:val>
          <c:extLst xmlns:c16r2="http://schemas.microsoft.com/office/drawing/2015/06/chart">
            <c:ext xmlns:c16="http://schemas.microsoft.com/office/drawing/2014/chart" uri="{C3380CC4-5D6E-409C-BE32-E72D297353CC}">
              <c16:uniqueId val="{00000001-48EA-4B05-8C22-B0F8B0CDBF57}"/>
            </c:ext>
          </c:extLst>
        </c:ser>
        <c:ser>
          <c:idx val="3"/>
          <c:order val="3"/>
          <c:tx>
            <c:strRef>
              <c:f>'TABLERO 2016'!$G$5</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2016'!$C$22</c:f>
              <c:strCache>
                <c:ptCount val="1"/>
                <c:pt idx="0">
                  <c:v>Justicia y seguridad</c:v>
                </c:pt>
              </c:strCache>
            </c:strRef>
          </c:cat>
          <c:val>
            <c:numRef>
              <c:f>'TABLERO 2016'!$G$22</c:f>
              <c:numCache>
                <c:formatCode>General</c:formatCode>
                <c:ptCount val="1"/>
                <c:pt idx="0">
                  <c:v>20</c:v>
                </c:pt>
              </c:numCache>
            </c:numRef>
          </c:val>
          <c:extLst xmlns:c16r2="http://schemas.microsoft.com/office/drawing/2015/06/chart">
            <c:ext xmlns:c16="http://schemas.microsoft.com/office/drawing/2014/chart" uri="{C3380CC4-5D6E-409C-BE32-E72D297353CC}">
              <c16:uniqueId val="{00000002-48EA-4B05-8C22-B0F8B0CDBF57}"/>
            </c:ext>
          </c:extLst>
        </c:ser>
        <c:ser>
          <c:idx val="4"/>
          <c:order val="4"/>
          <c:tx>
            <c:strRef>
              <c:f>'TABLERO 2016'!$H$5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2016'!$C$22</c:f>
              <c:strCache>
                <c:ptCount val="1"/>
                <c:pt idx="0">
                  <c:v>Justicia y seguridad</c:v>
                </c:pt>
              </c:strCache>
            </c:strRef>
          </c:cat>
          <c:val>
            <c:numRef>
              <c:f>'TABLERO 2016'!$H$22</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3-48EA-4B05-8C22-B0F8B0CDBF57}"/>
            </c:ext>
          </c:extLst>
        </c:ser>
        <c:ser>
          <c:idx val="5"/>
          <c:order val="5"/>
          <c:tx>
            <c:strRef>
              <c:f>'TABLERO 2016'!$I$5</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2016'!$C$22</c:f>
              <c:strCache>
                <c:ptCount val="1"/>
                <c:pt idx="0">
                  <c:v>Justicia y seguridad</c:v>
                </c:pt>
              </c:strCache>
            </c:strRef>
          </c:cat>
          <c:val>
            <c:numRef>
              <c:f>'TABLERO 2016'!$I$22</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4-48EA-4B05-8C22-B0F8B0CDBF57}"/>
            </c:ext>
          </c:extLst>
        </c:ser>
        <c:ser>
          <c:idx val="6"/>
          <c:order val="6"/>
          <c:tx>
            <c:strRef>
              <c:f>'TABLERO 2016'!$J$5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2016'!$C$22</c:f>
              <c:strCache>
                <c:ptCount val="1"/>
                <c:pt idx="0">
                  <c:v>Justicia y seguridad</c:v>
                </c:pt>
              </c:strCache>
            </c:strRef>
          </c:cat>
          <c:val>
            <c:numRef>
              <c:f>'TABLERO 2016'!$J$22</c:f>
              <c:numCache>
                <c:formatCode>General</c:formatCode>
                <c:ptCount val="1"/>
                <c:pt idx="0">
                  <c:v>4</c:v>
                </c:pt>
              </c:numCache>
            </c:numRef>
          </c:val>
          <c:extLst xmlns:c16r2="http://schemas.microsoft.com/office/drawing/2015/06/chart">
            <c:ext xmlns:c16="http://schemas.microsoft.com/office/drawing/2014/chart" uri="{C3380CC4-5D6E-409C-BE32-E72D297353CC}">
              <c16:uniqueId val="{00000005-48EA-4B05-8C22-B0F8B0CDBF57}"/>
            </c:ext>
          </c:extLst>
        </c:ser>
        <c:ser>
          <c:idx val="0"/>
          <c:order val="0"/>
          <c:tx>
            <c:strRef>
              <c:f>'TABLERO 2016'!$D$5</c:f>
              <c:strCache>
                <c:ptCount val="1"/>
                <c:pt idx="0">
                  <c:v>MR</c:v>
                </c:pt>
              </c:strCache>
            </c:strRef>
          </c:tx>
          <c:invertIfNegative val="0"/>
          <c:cat>
            <c:strRef>
              <c:f>'TABLERO 2016'!$C$22</c:f>
              <c:strCache>
                <c:ptCount val="1"/>
                <c:pt idx="0">
                  <c:v>Justicia y seguridad</c:v>
                </c:pt>
              </c:strCache>
            </c:strRef>
          </c:cat>
          <c:val>
            <c:numRef>
              <c:f>'TABLERO 2016'!$D$22</c:f>
            </c:numRef>
          </c:val>
          <c:extLst xmlns:c16r2="http://schemas.microsoft.com/office/drawing/2015/06/chart">
            <c:ext xmlns:c16="http://schemas.microsoft.com/office/drawing/2014/chart" uri="{C3380CC4-5D6E-409C-BE32-E72D297353CC}">
              <c16:uniqueId val="{00000006-48EA-4B05-8C22-B0F8B0CDBF57}"/>
            </c:ext>
          </c:extLst>
        </c:ser>
        <c:dLbls>
          <c:showLegendKey val="0"/>
          <c:showVal val="0"/>
          <c:showCatName val="0"/>
          <c:showSerName val="0"/>
          <c:showPercent val="0"/>
          <c:showBubbleSize val="0"/>
        </c:dLbls>
        <c:gapWidth val="75"/>
        <c:overlap val="-25"/>
        <c:axId val="176952320"/>
        <c:axId val="176852928"/>
      </c:barChart>
      <c:catAx>
        <c:axId val="176952320"/>
        <c:scaling>
          <c:orientation val="minMax"/>
        </c:scaling>
        <c:delete val="0"/>
        <c:axPos val="b"/>
        <c:numFmt formatCode="General" sourceLinked="0"/>
        <c:majorTickMark val="none"/>
        <c:minorTickMark val="none"/>
        <c:tickLblPos val="nextTo"/>
        <c:txPr>
          <a:bodyPr/>
          <a:lstStyle/>
          <a:p>
            <a:pPr>
              <a:defRPr lang="es-ES"/>
            </a:pPr>
            <a:endParaRPr lang="es-CO"/>
          </a:p>
        </c:txPr>
        <c:crossAx val="176852928"/>
        <c:crosses val="autoZero"/>
        <c:auto val="1"/>
        <c:lblAlgn val="ctr"/>
        <c:lblOffset val="100"/>
        <c:noMultiLvlLbl val="0"/>
      </c:catAx>
      <c:valAx>
        <c:axId val="176852928"/>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76952320"/>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a:pPr>
            <a:r>
              <a:rPr lang="es-CO"/>
              <a:t>CONSOLIDADO</a:t>
            </a:r>
            <a:r>
              <a:rPr lang="es-CO" baseline="0"/>
              <a:t> AVANCE METAS A 30 OCTUBRE 2016</a:t>
            </a:r>
            <a:endParaRPr lang="es-CO"/>
          </a:p>
        </c:rich>
      </c:tx>
      <c:overlay val="0"/>
    </c:title>
    <c:autoTitleDeleted val="0"/>
    <c:plotArea>
      <c:layout/>
      <c:barChart>
        <c:barDir val="col"/>
        <c:grouping val="clustered"/>
        <c:varyColors val="0"/>
        <c:ser>
          <c:idx val="0"/>
          <c:order val="0"/>
          <c:tx>
            <c:strRef>
              <c:f>'TABLERO 2016'!$D$5:$D$7</c:f>
              <c:strCache>
                <c:ptCount val="1"/>
                <c:pt idx="0">
                  <c:v>MR 3</c:v>
                </c:pt>
              </c:strCache>
            </c:strRef>
          </c:tx>
          <c:invertIfNegative val="0"/>
          <c:cat>
            <c:strRef>
              <c:f>'TABLERO 2016'!$C$23</c:f>
              <c:strCache>
                <c:ptCount val="1"/>
                <c:pt idx="0">
                  <c:v>TOTAL</c:v>
                </c:pt>
              </c:strCache>
            </c:strRef>
          </c:cat>
          <c:val>
            <c:numRef>
              <c:f>'TABLERO 2016'!$D$23</c:f>
            </c:numRef>
          </c:val>
          <c:extLst xmlns:c16r2="http://schemas.microsoft.com/office/drawing/2015/06/chart">
            <c:ext xmlns:c16="http://schemas.microsoft.com/office/drawing/2014/chart" uri="{C3380CC4-5D6E-409C-BE32-E72D297353CC}">
              <c16:uniqueId val="{00000000-29C5-44B7-AA98-679A2F8FF190}"/>
            </c:ext>
          </c:extLst>
        </c:ser>
        <c:ser>
          <c:idx val="1"/>
          <c:order val="1"/>
          <c:tx>
            <c:strRef>
              <c:f>'TABLERO 2016'!$E$5:$E$7</c:f>
              <c:strCache>
                <c:ptCount val="1"/>
                <c:pt idx="0">
                  <c:v>TOTAL METAS 37 60</c:v>
                </c:pt>
              </c:strCache>
            </c:strRef>
          </c:tx>
          <c:spPr>
            <a:solidFill>
              <a:srgbClr val="0066FF"/>
            </a:solidFill>
          </c:spPr>
          <c:invertIfNegative val="0"/>
          <c:dLbls>
            <c:dLbl>
              <c:idx val="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9C5-44B7-AA98-679A2F8FF190}"/>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'TABLERO 2016'!$C$23</c:f>
              <c:strCache>
                <c:ptCount val="1"/>
                <c:pt idx="0">
                  <c:v>TOTAL</c:v>
                </c:pt>
              </c:strCache>
            </c:strRef>
          </c:cat>
          <c:val>
            <c:numRef>
              <c:f>'TABLERO 2016'!$E$23</c:f>
              <c:numCache>
                <c:formatCode>General</c:formatCode>
                <c:ptCount val="1"/>
                <c:pt idx="0">
                  <c:v>483</c:v>
                </c:pt>
              </c:numCache>
            </c:numRef>
          </c:val>
          <c:extLst xmlns:c16r2="http://schemas.microsoft.com/office/drawing/2015/06/chart">
            <c:ext xmlns:c16="http://schemas.microsoft.com/office/drawing/2014/chart" uri="{C3380CC4-5D6E-409C-BE32-E72D297353CC}">
              <c16:uniqueId val="{00000002-29C5-44B7-AA98-679A2F8FF190}"/>
            </c:ext>
          </c:extLst>
        </c:ser>
        <c:ser>
          <c:idx val="2"/>
          <c:order val="2"/>
          <c:tx>
            <c:strRef>
              <c:f>'TABLERO 2016'!$F$5:$F$7</c:f>
              <c:strCache>
                <c:ptCount val="1"/>
                <c:pt idx="0">
                  <c:v>PROGRAMADAS 2016 21 60</c:v>
                </c:pt>
              </c:strCache>
            </c:strRef>
          </c:tx>
          <c:spPr>
            <a:solidFill>
              <a:schemeClr val="accent5">
                <a:lumMod val="60000"/>
                <a:lumOff val="40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2016'!$C$23</c:f>
              <c:strCache>
                <c:ptCount val="1"/>
                <c:pt idx="0">
                  <c:v>TOTAL</c:v>
                </c:pt>
              </c:strCache>
            </c:strRef>
          </c:cat>
          <c:val>
            <c:numRef>
              <c:f>'TABLERO 2016'!$F$23</c:f>
              <c:numCache>
                <c:formatCode>General</c:formatCode>
                <c:ptCount val="1"/>
                <c:pt idx="0">
                  <c:v>345</c:v>
                </c:pt>
              </c:numCache>
            </c:numRef>
          </c:val>
          <c:extLst xmlns:c16r2="http://schemas.microsoft.com/office/drawing/2015/06/chart">
            <c:ext xmlns:c16="http://schemas.microsoft.com/office/drawing/2014/chart" uri="{C3380CC4-5D6E-409C-BE32-E72D297353CC}">
              <c16:uniqueId val="{00000003-29C5-44B7-AA98-679A2F8FF190}"/>
            </c:ext>
          </c:extLst>
        </c:ser>
        <c:ser>
          <c:idx val="3"/>
          <c:order val="3"/>
          <c:tx>
            <c:strRef>
              <c:f>'TABLERO 2016'!$G$5:$G$7</c:f>
              <c:strCache>
                <c:ptCount val="1"/>
                <c:pt idx="0">
                  <c:v>VE 13 60</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2016'!$C$23</c:f>
              <c:strCache>
                <c:ptCount val="1"/>
                <c:pt idx="0">
                  <c:v>TOTAL</c:v>
                </c:pt>
              </c:strCache>
            </c:strRef>
          </c:cat>
          <c:val>
            <c:numRef>
              <c:f>'TABLERO 2016'!$G$23</c:f>
              <c:numCache>
                <c:formatCode>General</c:formatCode>
                <c:ptCount val="1"/>
                <c:pt idx="0">
                  <c:v>277</c:v>
                </c:pt>
              </c:numCache>
            </c:numRef>
          </c:val>
          <c:extLst xmlns:c16r2="http://schemas.microsoft.com/office/drawing/2015/06/chart">
            <c:ext xmlns:c16="http://schemas.microsoft.com/office/drawing/2014/chart" uri="{C3380CC4-5D6E-409C-BE32-E72D297353CC}">
              <c16:uniqueId val="{00000004-29C5-44B7-AA98-679A2F8FF190}"/>
            </c:ext>
          </c:extLst>
        </c:ser>
        <c:ser>
          <c:idx val="4"/>
          <c:order val="4"/>
          <c:tx>
            <c:strRef>
              <c:f>'TABLERO 2016'!$H$5:$H$7</c:f>
              <c:strCache>
                <c:ptCount val="1"/>
                <c:pt idx="0">
                  <c:v>AM 2</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2016'!$C$23</c:f>
              <c:strCache>
                <c:ptCount val="1"/>
                <c:pt idx="0">
                  <c:v>TOTAL</c:v>
                </c:pt>
              </c:strCache>
            </c:strRef>
          </c:cat>
          <c:val>
            <c:numRef>
              <c:f>'TABLERO 2016'!$H$23</c:f>
              <c:numCache>
                <c:formatCode>General</c:formatCode>
                <c:ptCount val="1"/>
                <c:pt idx="0">
                  <c:v>29</c:v>
                </c:pt>
              </c:numCache>
            </c:numRef>
          </c:val>
          <c:extLst xmlns:c16r2="http://schemas.microsoft.com/office/drawing/2015/06/chart">
            <c:ext xmlns:c16="http://schemas.microsoft.com/office/drawing/2014/chart" uri="{C3380CC4-5D6E-409C-BE32-E72D297353CC}">
              <c16:uniqueId val="{00000005-29C5-44B7-AA98-679A2F8FF190}"/>
            </c:ext>
          </c:extLst>
        </c:ser>
        <c:ser>
          <c:idx val="5"/>
          <c:order val="5"/>
          <c:tx>
            <c:strRef>
              <c:f>'TABLERO 2016'!$I$5:$I$7</c:f>
              <c:strCache>
                <c:ptCount val="1"/>
                <c:pt idx="0">
                  <c:v>RO 6</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2016'!$C$23</c:f>
              <c:strCache>
                <c:ptCount val="1"/>
                <c:pt idx="0">
                  <c:v>TOTAL</c:v>
                </c:pt>
              </c:strCache>
            </c:strRef>
          </c:cat>
          <c:val>
            <c:numRef>
              <c:f>'TABLERO 2016'!$I$23</c:f>
              <c:numCache>
                <c:formatCode>General</c:formatCode>
                <c:ptCount val="1"/>
                <c:pt idx="0">
                  <c:v>39</c:v>
                </c:pt>
              </c:numCache>
            </c:numRef>
          </c:val>
          <c:extLst xmlns:c16r2="http://schemas.microsoft.com/office/drawing/2015/06/chart">
            <c:ext xmlns:c16="http://schemas.microsoft.com/office/drawing/2014/chart" uri="{C3380CC4-5D6E-409C-BE32-E72D297353CC}">
              <c16:uniqueId val="{00000006-29C5-44B7-AA98-679A2F8FF190}"/>
            </c:ext>
          </c:extLst>
        </c:ser>
        <c:ser>
          <c:idx val="6"/>
          <c:order val="6"/>
          <c:tx>
            <c:strRef>
              <c:f>'TABLERO 2016'!$J$5:$J$7</c:f>
              <c:strCache>
                <c:ptCount val="1"/>
                <c:pt idx="0">
                  <c:v>AZ 16</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2016'!$C$23</c:f>
              <c:strCache>
                <c:ptCount val="1"/>
                <c:pt idx="0">
                  <c:v>TOTAL</c:v>
                </c:pt>
              </c:strCache>
            </c:strRef>
          </c:cat>
          <c:val>
            <c:numRef>
              <c:f>'TABLERO 2016'!$J$23</c:f>
              <c:numCache>
                <c:formatCode>General</c:formatCode>
                <c:ptCount val="1"/>
                <c:pt idx="0">
                  <c:v>138</c:v>
                </c:pt>
              </c:numCache>
            </c:numRef>
          </c:val>
          <c:extLst xmlns:c16r2="http://schemas.microsoft.com/office/drawing/2015/06/chart">
            <c:ext xmlns:c16="http://schemas.microsoft.com/office/drawing/2014/chart" uri="{C3380CC4-5D6E-409C-BE32-E72D297353CC}">
              <c16:uniqueId val="{00000007-29C5-44B7-AA98-679A2F8FF190}"/>
            </c:ext>
          </c:extLst>
        </c:ser>
        <c:ser>
          <c:idx val="7"/>
          <c:order val="7"/>
          <c:tx>
            <c:strRef>
              <c:f>'TABLERO 2016'!$K$5:$K$7</c:f>
              <c:strCache>
                <c:ptCount val="1"/>
                <c:pt idx="0">
                  <c:v>% EJECUCION 2016  66,67   100,00 </c:v>
                </c:pt>
              </c:strCache>
            </c:strRef>
          </c:tx>
          <c:spPr>
            <a:solidFill>
              <a:srgbClr val="FFC000"/>
            </a:solidFill>
          </c:spPr>
          <c:invertIfNegative val="0"/>
          <c:dLbls>
            <c:dLbl>
              <c:idx val="0"/>
              <c:layout>
                <c:manualLayout>
                  <c:x val="-4.4844837304313295E-2"/>
                  <c:y val="-0.3825136217016182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9C5-44B7-AA98-679A2F8FF190}"/>
                </c:ext>
                <c:ext xmlns:c15="http://schemas.microsoft.com/office/drawing/2012/chart" uri="{CE6537A1-D6FC-4f65-9D91-7224C49458BB}"/>
              </c:extLst>
            </c:dLbl>
            <c:spPr>
              <a:solidFill>
                <a:schemeClr val="accent2"/>
              </a:solidFill>
            </c:spPr>
            <c:txPr>
              <a:bodyPr/>
              <a:lstStyle/>
              <a:p>
                <a:pPr>
                  <a:defRPr lang="es-ES" sz="24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2016'!$C$23</c:f>
              <c:strCache>
                <c:ptCount val="1"/>
                <c:pt idx="0">
                  <c:v>TOTAL</c:v>
                </c:pt>
              </c:strCache>
            </c:strRef>
          </c:cat>
          <c:val>
            <c:numRef>
              <c:f>'TABLERO 2016'!$K$23</c:f>
              <c:numCache>
                <c:formatCode>_-* #,##0.00_-;\-* #,##0.00_-;_-* "-"??_-;_-@_-</c:formatCode>
                <c:ptCount val="1"/>
                <c:pt idx="0">
                  <c:v>84.492753623188406</c:v>
                </c:pt>
              </c:numCache>
            </c:numRef>
          </c:val>
          <c:extLst xmlns:c16r2="http://schemas.microsoft.com/office/drawing/2015/06/chart">
            <c:ext xmlns:c16="http://schemas.microsoft.com/office/drawing/2014/chart" uri="{C3380CC4-5D6E-409C-BE32-E72D297353CC}">
              <c16:uniqueId val="{00000009-29C5-44B7-AA98-679A2F8FF190}"/>
            </c:ext>
          </c:extLst>
        </c:ser>
        <c:dLbls>
          <c:showLegendKey val="0"/>
          <c:showVal val="0"/>
          <c:showCatName val="0"/>
          <c:showSerName val="0"/>
          <c:showPercent val="0"/>
          <c:showBubbleSize val="0"/>
        </c:dLbls>
        <c:gapWidth val="75"/>
        <c:overlap val="-25"/>
        <c:axId val="177795584"/>
        <c:axId val="176854656"/>
      </c:barChart>
      <c:catAx>
        <c:axId val="177795584"/>
        <c:scaling>
          <c:orientation val="minMax"/>
        </c:scaling>
        <c:delete val="0"/>
        <c:axPos val="b"/>
        <c:numFmt formatCode="General" sourceLinked="0"/>
        <c:majorTickMark val="none"/>
        <c:minorTickMark val="none"/>
        <c:tickLblPos val="nextTo"/>
        <c:txPr>
          <a:bodyPr/>
          <a:lstStyle/>
          <a:p>
            <a:pPr>
              <a:defRPr lang="es-ES"/>
            </a:pPr>
            <a:endParaRPr lang="es-CO"/>
          </a:p>
        </c:txPr>
        <c:crossAx val="176854656"/>
        <c:crosses val="autoZero"/>
        <c:auto val="1"/>
        <c:lblAlgn val="ctr"/>
        <c:lblOffset val="100"/>
        <c:noMultiLvlLbl val="0"/>
      </c:catAx>
      <c:valAx>
        <c:axId val="176854656"/>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77795584"/>
        <c:crosses val="autoZero"/>
        <c:crossBetween val="between"/>
      </c:valAx>
    </c:plotArea>
    <c:legend>
      <c:legendPos val="b"/>
      <c:overlay val="0"/>
      <c:txPr>
        <a:bodyPr/>
        <a:lstStyle/>
        <a:p>
          <a:pPr>
            <a:defRPr lang="es-ES"/>
          </a:pPr>
          <a:endParaRPr lang="es-CO"/>
        </a:p>
      </c:txPr>
    </c:legend>
    <c:plotVisOnly val="1"/>
    <c:dispBlanksAs val="gap"/>
    <c:showDLblsOverMax val="0"/>
  </c:chart>
  <c:spPr>
    <a:effectLst>
      <a:outerShdw blurRad="50800" dist="50800" dir="5400000" algn="ctr" rotWithShape="0">
        <a:schemeClr val="accent2">
          <a:lumMod val="40000"/>
          <a:lumOff val="60000"/>
        </a:schemeClr>
      </a:outerShdw>
    </a:effectLst>
  </c:spPr>
  <c:printSettings>
    <c:headerFooter/>
    <c:pageMargins b="0.75000000000000022" l="0.70000000000000018" r="0.70000000000000018" t="0.75000000000000022" header="0.3000000000000001" footer="0.30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n-US" sz="1600"/>
              <a:t>AVANCE</a:t>
            </a:r>
            <a:r>
              <a:rPr lang="en-US" sz="1600" baseline="0"/>
              <a:t> METAS SECTOR DEPORTE Y RECREACION - 2017</a:t>
            </a:r>
            <a:endParaRPr lang="en-US" sz="1600"/>
          </a:p>
        </c:rich>
      </c:tx>
      <c:overlay val="0"/>
      <c:spPr>
        <a:solidFill>
          <a:schemeClr val="accent2">
            <a:lumMod val="20000"/>
            <a:lumOff val="80000"/>
          </a:schemeClr>
        </a:solidFill>
      </c:spPr>
    </c:title>
    <c:autoTitleDeleted val="0"/>
    <c:plotArea>
      <c:layout>
        <c:manualLayout>
          <c:layoutTarget val="inner"/>
          <c:xMode val="edge"/>
          <c:yMode val="edge"/>
          <c:x val="6.3834558526016508E-2"/>
          <c:y val="0.31227367234291653"/>
          <c:w val="0.91060005386848641"/>
          <c:h val="0.50222903338887226"/>
        </c:manualLayout>
      </c:layout>
      <c:barChart>
        <c:barDir val="col"/>
        <c:grouping val="clustered"/>
        <c:varyColors val="0"/>
        <c:ser>
          <c:idx val="2"/>
          <c:order val="0"/>
          <c:tx>
            <c:v>CUMPLIDA</c:v>
          </c:tx>
          <c:spPr>
            <a:solidFill>
              <a:srgbClr val="92D050"/>
            </a:solidFill>
            <a:ln>
              <a:noFill/>
            </a:ln>
            <a:effectLst/>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2017'!$C$9</c:f>
              <c:strCache>
                <c:ptCount val="1"/>
                <c:pt idx="0">
                  <c:v>Deporte y Recreación</c:v>
                </c:pt>
              </c:strCache>
            </c:strRef>
          </c:cat>
          <c:val>
            <c:numRef>
              <c:f>'TABLERO 2017'!$G$9</c:f>
              <c:numCache>
                <c:formatCode>General</c:formatCode>
                <c:ptCount val="1"/>
                <c:pt idx="0">
                  <c:v>14</c:v>
                </c:pt>
              </c:numCache>
            </c:numRef>
          </c:val>
          <c:extLst xmlns:c16r2="http://schemas.microsoft.com/office/drawing/2015/06/chart">
            <c:ext xmlns:c16="http://schemas.microsoft.com/office/drawing/2014/chart" uri="{C3380CC4-5D6E-409C-BE32-E72D297353CC}">
              <c16:uniqueId val="{00000000-2FC0-4622-917D-6E9625207A03}"/>
            </c:ext>
          </c:extLst>
        </c:ser>
        <c:ser>
          <c:idx val="3"/>
          <c:order val="1"/>
          <c:tx>
            <c:v>EJECUCION</c:v>
          </c:tx>
          <c:spPr>
            <a:solidFill>
              <a:srgbClr val="FFFF00"/>
            </a:solidFill>
            <a:ln>
              <a:noFill/>
            </a:ln>
            <a:effectLst/>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2017'!$C$9</c:f>
              <c:strCache>
                <c:ptCount val="1"/>
                <c:pt idx="0">
                  <c:v>Deporte y Recreación</c:v>
                </c:pt>
              </c:strCache>
            </c:strRef>
          </c:cat>
          <c:val>
            <c:numRef>
              <c:f>'TABLERO 2017'!$H$9</c:f>
              <c:numCache>
                <c:formatCode>General</c:formatCode>
                <c:ptCount val="1"/>
                <c:pt idx="0">
                  <c:v>4</c:v>
                </c:pt>
              </c:numCache>
            </c:numRef>
          </c:val>
          <c:extLst xmlns:c16r2="http://schemas.microsoft.com/office/drawing/2015/06/chart">
            <c:ext xmlns:c16="http://schemas.microsoft.com/office/drawing/2014/chart" uri="{C3380CC4-5D6E-409C-BE32-E72D297353CC}">
              <c16:uniqueId val="{00000001-2FC0-4622-917D-6E9625207A03}"/>
            </c:ext>
          </c:extLst>
        </c:ser>
        <c:ser>
          <c:idx val="4"/>
          <c:order val="2"/>
          <c:tx>
            <c:v>SIN AVANCE</c:v>
          </c:tx>
          <c:spPr>
            <a:solidFill>
              <a:srgbClr val="FF0000"/>
            </a:solidFill>
            <a:ln>
              <a:noFill/>
            </a:ln>
            <a:effectLst/>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2017'!$C$9</c:f>
              <c:strCache>
                <c:ptCount val="1"/>
                <c:pt idx="0">
                  <c:v>Deporte y Recreación</c:v>
                </c:pt>
              </c:strCache>
            </c:strRef>
          </c:cat>
          <c:val>
            <c:numRef>
              <c:f>'TABLERO 2017'!$I$9</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2-2FC0-4622-917D-6E9625207A03}"/>
            </c:ext>
          </c:extLst>
        </c:ser>
        <c:ser>
          <c:idx val="5"/>
          <c:order val="3"/>
          <c:tx>
            <c:v>APLAZADA</c:v>
          </c:tx>
          <c:spPr>
            <a:solidFill>
              <a:srgbClr val="00B0F0"/>
            </a:solidFill>
            <a:ln>
              <a:noFill/>
            </a:ln>
            <a:effectLst/>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2017'!$C$9</c:f>
              <c:strCache>
                <c:ptCount val="1"/>
                <c:pt idx="0">
                  <c:v>Deporte y Recreación</c:v>
                </c:pt>
              </c:strCache>
            </c:strRef>
          </c:cat>
          <c:val>
            <c:numRef>
              <c:f>'TABLERO 2017'!$J$9</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3-2FC0-4622-917D-6E9625207A03}"/>
            </c:ext>
          </c:extLst>
        </c:ser>
        <c:ser>
          <c:idx val="0"/>
          <c:order val="4"/>
          <c:tx>
            <c:strRef>
              <c:f>'TABLERO 2017'!$F$5</c:f>
              <c:strCache>
                <c:ptCount val="1"/>
                <c:pt idx="0">
                  <c:v>PROGRAMADAS 2017</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'TABLERO 2017'!$F$9</c:f>
              <c:numCache>
                <c:formatCode>General</c:formatCode>
                <c:ptCount val="1"/>
                <c:pt idx="0">
                  <c:v>19</c:v>
                </c:pt>
              </c:numCache>
            </c:numRef>
          </c:val>
          <c:extLst xmlns:c16r2="http://schemas.microsoft.com/office/drawing/2015/06/chart">
            <c:ext xmlns:c16="http://schemas.microsoft.com/office/drawing/2014/chart" uri="{C3380CC4-5D6E-409C-BE32-E72D297353CC}">
              <c16:uniqueId val="{00000004-2FC0-4622-917D-6E9625207A03}"/>
            </c:ext>
          </c:extLst>
        </c:ser>
        <c:dLbls>
          <c:showLegendKey val="0"/>
          <c:showVal val="0"/>
          <c:showCatName val="0"/>
          <c:showSerName val="0"/>
          <c:showPercent val="0"/>
          <c:showBubbleSize val="0"/>
        </c:dLbls>
        <c:gapWidth val="75"/>
        <c:overlap val="-25"/>
        <c:axId val="177938944"/>
        <c:axId val="177521792"/>
        <c:extLst xmlns:c16r2="http://schemas.microsoft.com/office/drawing/2015/06/chart">
          <c:ext xmlns:c15="http://schemas.microsoft.com/office/drawing/2012/chart" uri="{02D57815-91ED-43cb-92C2-25804820EDAC}">
            <c15:filteredBarSeries>
              <c15: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'TABLERO 2016'!$C$9</c15:sqref>
                        </c15:formulaRef>
                      </c:ext>
                    </c:extLst>
                    <c:strCache>
                      <c:ptCount val="1"/>
                      <c:pt idx="0">
                        <c:v>Deporte y Recreación</c:v>
                      </c:pt>
                    </c:strCache>
                  </c:strRef>
                </c:cat>
                <c:val>
                  <c:numRef>
                    <c:extLst xmlns:c16r2="http://schemas.microsoft.com/office/drawing/2015/06/chart">
                      <c:ext uri="{02D57815-91ED-43cb-92C2-25804820EDAC}">
                        <c15:formulaRef>
                          <c15:sqref>'TABLERO 2016'!$D$9</c15:sqref>
                        </c15:formulaRef>
                      </c:ext>
                    </c:extLst>
                  </c:numRef>
                </c:val>
                <c:extLst xmlns:c16r2="http://schemas.microsoft.com/office/drawing/2015/06/chart">
                  <c:ext xmlns:c16="http://schemas.microsoft.com/office/drawing/2014/chart" uri="{C3380CC4-5D6E-409C-BE32-E72D297353CC}">
                    <c16:uniqueId val="{00000005-2FC0-4622-917D-6E9625207A03}"/>
                  </c:ext>
                </c:extLst>
              </c15:ser>
            </c15:filteredBarSeries>
            <c15:filteredBarSeries>
              <c15:ser>
                <c:idx val="6"/>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xmlns:c15="http://schemas.microsoft.com/office/drawing/2012/chart">
                      <c:ext xmlns:c15="http://schemas.microsoft.com/office/drawing/2012/chart" uri="{02D57815-91ED-43cb-92C2-25804820EDAC}">
                        <c15:formulaRef>
                          <c15:sqref>'TABLERO 2017'!$C$9</c15:sqref>
                        </c15:formulaRef>
                      </c:ext>
                    </c:extLst>
                    <c:strCache>
                      <c:ptCount val="1"/>
                      <c:pt idx="0">
                        <c:v>Deporte y Recreación</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'TABLERO 2017'!$E$9</c15:sqref>
                        </c15:formulaRef>
                      </c:ext>
                    </c:extLst>
                    <c:numCache>
                      <c:formatCode>General</c:formatCode>
                      <c:ptCount val="1"/>
                      <c:pt idx="0">
                        <c:v>19</c:v>
                      </c:pt>
                    </c:numCache>
                  </c:numRef>
                </c:val>
                <c:extLst xmlns:c16r2="http://schemas.microsoft.com/office/drawing/2015/06/chart" xmlns:c15="http://schemas.microsoft.com/office/drawing/2012/chart">
                  <c:ext xmlns:c16="http://schemas.microsoft.com/office/drawing/2014/chart" uri="{C3380CC4-5D6E-409C-BE32-E72D297353CC}">
                    <c16:uniqueId val="{00000006-2FC0-4622-917D-6E9625207A03}"/>
                  </c:ext>
                </c:extLst>
              </c15:ser>
            </c15:filteredBarSeries>
          </c:ext>
        </c:extLst>
      </c:barChart>
      <c:catAx>
        <c:axId val="177938944"/>
        <c:scaling>
          <c:orientation val="minMax"/>
        </c:scaling>
        <c:delete val="1"/>
        <c:axPos val="b"/>
        <c:numFmt formatCode="General" sourceLinked="1"/>
        <c:majorTickMark val="none"/>
        <c:minorTickMark val="none"/>
        <c:tickLblPos val="nextTo"/>
        <c:crossAx val="177521792"/>
        <c:crosses val="autoZero"/>
        <c:auto val="1"/>
        <c:lblAlgn val="ctr"/>
        <c:lblOffset val="100"/>
        <c:noMultiLvlLbl val="0"/>
      </c:catAx>
      <c:valAx>
        <c:axId val="1775217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6350">
            <a:noFill/>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s-CO"/>
          </a:p>
        </c:txPr>
        <c:crossAx val="177938944"/>
        <c:crosses val="autoZero"/>
        <c:crossBetween val="between"/>
      </c:valAx>
      <c:spPr>
        <a:noFill/>
        <a:ln>
          <a:noFill/>
        </a:ln>
        <a:effectLst/>
      </c:spPr>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w="9525" cap="flat" cmpd="sng" algn="ctr">
      <a:solidFill>
        <a:srgbClr val="0070C0"/>
      </a:solid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24"/>
    </mc:Choice>
    <mc:Fallback>
      <c:style val="24"/>
    </mc:Fallback>
  </mc:AlternateContent>
  <c:chart>
    <c:title>
      <c:tx>
        <c:rich>
          <a:bodyPr/>
          <a:lstStyle/>
          <a:p>
            <a:pPr>
              <a:defRPr lang="es-ES" sz="1600"/>
            </a:pPr>
            <a:r>
              <a:rPr lang="en-US" sz="1600"/>
              <a:t>AVANCE METAS SECTOR</a:t>
            </a:r>
            <a:r>
              <a:rPr lang="en-US" sz="1600" baseline="0"/>
              <a:t> EDUCACION 2017</a:t>
            </a:r>
            <a:endParaRPr lang="en-US" sz="1600"/>
          </a:p>
        </c:rich>
      </c:tx>
      <c:overlay val="0"/>
    </c:title>
    <c:autoTitleDeleted val="0"/>
    <c:plotArea>
      <c:layout/>
      <c:barChart>
        <c:barDir val="col"/>
        <c:grouping val="clustered"/>
        <c:varyColors val="0"/>
        <c:ser>
          <c:idx val="0"/>
          <c:order val="0"/>
          <c:tx>
            <c:strRef>
              <c:f>'TABLERO 2017'!$F$5</c:f>
              <c:strCache>
                <c:ptCount val="1"/>
                <c:pt idx="0">
                  <c:v>PROGRAMADAS 2017</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2017'!$C$6</c:f>
              <c:strCache>
                <c:ptCount val="1"/>
                <c:pt idx="0">
                  <c:v>Educación</c:v>
                </c:pt>
              </c:strCache>
            </c:strRef>
          </c:cat>
          <c:val>
            <c:numRef>
              <c:f>'TABLERO 2017'!$F$6</c:f>
              <c:numCache>
                <c:formatCode>General</c:formatCode>
                <c:ptCount val="1"/>
                <c:pt idx="0">
                  <c:v>31</c:v>
                </c:pt>
              </c:numCache>
            </c:numRef>
          </c:val>
          <c:extLst xmlns:c16r2="http://schemas.microsoft.com/office/drawing/2015/06/chart">
            <c:ext xmlns:c16="http://schemas.microsoft.com/office/drawing/2014/chart" uri="{C3380CC4-5D6E-409C-BE32-E72D297353CC}">
              <c16:uniqueId val="{00000000-7AFF-42D7-9784-C8D89BB5D0E4}"/>
            </c:ext>
          </c:extLst>
        </c:ser>
        <c:ser>
          <c:idx val="1"/>
          <c:order val="1"/>
          <c:tx>
            <c:v>CUMPLIDAD</c:v>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2017'!$C$6</c:f>
              <c:strCache>
                <c:ptCount val="1"/>
                <c:pt idx="0">
                  <c:v>Educación</c:v>
                </c:pt>
              </c:strCache>
            </c:strRef>
          </c:cat>
          <c:val>
            <c:numRef>
              <c:f>'TABLERO 2017'!$G$6</c:f>
              <c:numCache>
                <c:formatCode>General</c:formatCode>
                <c:ptCount val="1"/>
                <c:pt idx="0">
                  <c:v>28</c:v>
                </c:pt>
              </c:numCache>
            </c:numRef>
          </c:val>
          <c:extLst xmlns:c16r2="http://schemas.microsoft.com/office/drawing/2015/06/chart">
            <c:ext xmlns:c16="http://schemas.microsoft.com/office/drawing/2014/chart" uri="{C3380CC4-5D6E-409C-BE32-E72D297353CC}">
              <c16:uniqueId val="{00000001-7AFF-42D7-9784-C8D89BB5D0E4}"/>
            </c:ext>
          </c:extLst>
        </c:ser>
        <c:ser>
          <c:idx val="2"/>
          <c:order val="2"/>
          <c:tx>
            <c:v>EJECUCION</c:v>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2017'!$C$6</c:f>
              <c:strCache>
                <c:ptCount val="1"/>
                <c:pt idx="0">
                  <c:v>Educación</c:v>
                </c:pt>
              </c:strCache>
            </c:strRef>
          </c:cat>
          <c:val>
            <c:numRef>
              <c:f>'TABLERO 2017'!$H$6</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2-7AFF-42D7-9784-C8D89BB5D0E4}"/>
            </c:ext>
          </c:extLst>
        </c:ser>
        <c:ser>
          <c:idx val="3"/>
          <c:order val="3"/>
          <c:tx>
            <c:v>SIN AVANCE</c:v>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2017'!$C$6</c:f>
              <c:strCache>
                <c:ptCount val="1"/>
                <c:pt idx="0">
                  <c:v>Educación</c:v>
                </c:pt>
              </c:strCache>
            </c:strRef>
          </c:cat>
          <c:val>
            <c:numRef>
              <c:f>'TABLERO 2017'!$I$6</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7AFF-42D7-9784-C8D89BB5D0E4}"/>
            </c:ext>
          </c:extLst>
        </c:ser>
        <c:ser>
          <c:idx val="4"/>
          <c:order val="4"/>
          <c:tx>
            <c:v>APLAZADA</c:v>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2017'!$C$6</c:f>
              <c:strCache>
                <c:ptCount val="1"/>
                <c:pt idx="0">
                  <c:v>Educación</c:v>
                </c:pt>
              </c:strCache>
            </c:strRef>
          </c:cat>
          <c:val>
            <c:numRef>
              <c:f>'TABLERO 2017'!$J$6</c:f>
              <c:numCache>
                <c:formatCode>General</c:formatCode>
                <c:ptCount val="1"/>
                <c:pt idx="0">
                  <c:v>6</c:v>
                </c:pt>
              </c:numCache>
            </c:numRef>
          </c:val>
          <c:extLst xmlns:c16r2="http://schemas.microsoft.com/office/drawing/2015/06/chart">
            <c:ext xmlns:c16="http://schemas.microsoft.com/office/drawing/2014/chart" uri="{C3380CC4-5D6E-409C-BE32-E72D297353CC}">
              <c16:uniqueId val="{00000004-7AFF-42D7-9784-C8D89BB5D0E4}"/>
            </c:ext>
          </c:extLst>
        </c:ser>
        <c:ser>
          <c:idx val="5"/>
          <c:order val="5"/>
          <c:tx>
            <c:strRef>
              <c:f>'TABLERO 2017'!$K$5</c:f>
              <c:strCache>
                <c:ptCount val="1"/>
                <c:pt idx="0">
                  <c:v>% EJECUCION 2017</c:v>
                </c:pt>
              </c:strCache>
            </c:strRef>
          </c:tx>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'TABLERO 2017'!$K$6</c:f>
              <c:numCache>
                <c:formatCode>_-* #,##0.00_-;\-* #,##0.00_-;_-* "-"??_-;_-@_-</c:formatCode>
                <c:ptCount val="1"/>
                <c:pt idx="0">
                  <c:v>93.548387096774192</c:v>
                </c:pt>
              </c:numCache>
            </c:numRef>
          </c:val>
          <c:extLst xmlns:c16r2="http://schemas.microsoft.com/office/drawing/2015/06/chart">
            <c:ext xmlns:c16="http://schemas.microsoft.com/office/drawing/2014/chart" uri="{C3380CC4-5D6E-409C-BE32-E72D297353CC}">
              <c16:uniqueId val="{00000005-7AFF-42D7-9784-C8D89BB5D0E4}"/>
            </c:ext>
          </c:extLst>
        </c:ser>
        <c:dLbls>
          <c:showLegendKey val="0"/>
          <c:showVal val="0"/>
          <c:showCatName val="0"/>
          <c:showSerName val="0"/>
          <c:showPercent val="0"/>
          <c:showBubbleSize val="0"/>
        </c:dLbls>
        <c:gapWidth val="75"/>
        <c:overlap val="-25"/>
        <c:axId val="178052608"/>
        <c:axId val="177523520"/>
      </c:barChart>
      <c:catAx>
        <c:axId val="178052608"/>
        <c:scaling>
          <c:orientation val="minMax"/>
        </c:scaling>
        <c:delete val="0"/>
        <c:axPos val="b"/>
        <c:numFmt formatCode="General" sourceLinked="0"/>
        <c:majorTickMark val="none"/>
        <c:minorTickMark val="none"/>
        <c:tickLblPos val="nextTo"/>
        <c:txPr>
          <a:bodyPr/>
          <a:lstStyle/>
          <a:p>
            <a:pPr>
              <a:defRPr lang="es-ES"/>
            </a:pPr>
            <a:endParaRPr lang="es-CO"/>
          </a:p>
        </c:txPr>
        <c:crossAx val="177523520"/>
        <c:crosses val="autoZero"/>
        <c:auto val="1"/>
        <c:lblAlgn val="ctr"/>
        <c:lblOffset val="100"/>
        <c:noMultiLvlLbl val="0"/>
      </c:catAx>
      <c:valAx>
        <c:axId val="177523520"/>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78052608"/>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cmpd="dbl">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24"/>
    </mc:Choice>
    <mc:Fallback>
      <c:style val="24"/>
    </mc:Fallback>
  </mc:AlternateContent>
  <c:chart>
    <c:title>
      <c:tx>
        <c:rich>
          <a:bodyPr/>
          <a:lstStyle/>
          <a:p>
            <a:pPr>
              <a:defRPr lang="es-ES" sz="1600"/>
            </a:pPr>
            <a:r>
              <a:rPr lang="en-US" sz="1600"/>
              <a:t>AVANCE METAS SECTOR</a:t>
            </a:r>
            <a:r>
              <a:rPr lang="en-US" sz="1600" baseline="0"/>
              <a:t> EDUCACION 2016</a:t>
            </a:r>
            <a:endParaRPr lang="en-US" sz="1600"/>
          </a:p>
        </c:rich>
      </c:tx>
      <c:overlay val="0"/>
    </c:title>
    <c:autoTitleDeleted val="0"/>
    <c:plotArea>
      <c:layout/>
      <c:barChart>
        <c:barDir val="col"/>
        <c:grouping val="clustered"/>
        <c:varyColors val="0"/>
        <c:ser>
          <c:idx val="0"/>
          <c:order val="0"/>
          <c:tx>
            <c:strRef>
              <c:f>'TABLERO 2016'!$F$5</c:f>
              <c:strCache>
                <c:ptCount val="1"/>
                <c:pt idx="0">
                  <c:v>PROGRAMADAS 2016</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2016'!$C$6</c:f>
              <c:strCache>
                <c:ptCount val="1"/>
                <c:pt idx="0">
                  <c:v>Educación</c:v>
                </c:pt>
              </c:strCache>
            </c:strRef>
          </c:cat>
          <c:val>
            <c:numRef>
              <c:f>'TABLERO 2016'!$F$6</c:f>
              <c:numCache>
                <c:formatCode>General</c:formatCode>
                <c:ptCount val="1"/>
                <c:pt idx="0">
                  <c:v>21</c:v>
                </c:pt>
              </c:numCache>
            </c:numRef>
          </c:val>
          <c:extLst xmlns:c16r2="http://schemas.microsoft.com/office/drawing/2015/06/chart">
            <c:ext xmlns:c16="http://schemas.microsoft.com/office/drawing/2014/chart" uri="{C3380CC4-5D6E-409C-BE32-E72D297353CC}">
              <c16:uniqueId val="{00000000-BCAC-48FA-A29A-C3AFF17BC40C}"/>
            </c:ext>
          </c:extLst>
        </c:ser>
        <c:ser>
          <c:idx val="1"/>
          <c:order val="1"/>
          <c:tx>
            <c:v>CUMPLIDAD</c:v>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2016'!$C$6</c:f>
              <c:strCache>
                <c:ptCount val="1"/>
                <c:pt idx="0">
                  <c:v>Educación</c:v>
                </c:pt>
              </c:strCache>
            </c:strRef>
          </c:cat>
          <c:val>
            <c:numRef>
              <c:f>'TABLERO 2016'!$G$6</c:f>
              <c:numCache>
                <c:formatCode>General</c:formatCode>
                <c:ptCount val="1"/>
                <c:pt idx="0">
                  <c:v>13</c:v>
                </c:pt>
              </c:numCache>
            </c:numRef>
          </c:val>
          <c:extLst xmlns:c16r2="http://schemas.microsoft.com/office/drawing/2015/06/chart">
            <c:ext xmlns:c16="http://schemas.microsoft.com/office/drawing/2014/chart" uri="{C3380CC4-5D6E-409C-BE32-E72D297353CC}">
              <c16:uniqueId val="{00000001-BCAC-48FA-A29A-C3AFF17BC40C}"/>
            </c:ext>
          </c:extLst>
        </c:ser>
        <c:ser>
          <c:idx val="2"/>
          <c:order val="2"/>
          <c:tx>
            <c:v>EJECUCION</c:v>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2016'!$C$6</c:f>
              <c:strCache>
                <c:ptCount val="1"/>
                <c:pt idx="0">
                  <c:v>Educación</c:v>
                </c:pt>
              </c:strCache>
            </c:strRef>
          </c:cat>
          <c:val>
            <c:numRef>
              <c:f>'TABLERO 2016'!$H$6</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2-BCAC-48FA-A29A-C3AFF17BC40C}"/>
            </c:ext>
          </c:extLst>
        </c:ser>
        <c:ser>
          <c:idx val="3"/>
          <c:order val="3"/>
          <c:tx>
            <c:v>SIN AVANCE</c:v>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2016'!$C$6</c:f>
              <c:strCache>
                <c:ptCount val="1"/>
                <c:pt idx="0">
                  <c:v>Educación</c:v>
                </c:pt>
              </c:strCache>
            </c:strRef>
          </c:cat>
          <c:val>
            <c:numRef>
              <c:f>'TABLERO 2016'!$I$6</c:f>
              <c:numCache>
                <c:formatCode>General</c:formatCode>
                <c:ptCount val="1"/>
                <c:pt idx="0">
                  <c:v>6</c:v>
                </c:pt>
              </c:numCache>
            </c:numRef>
          </c:val>
          <c:extLst xmlns:c16r2="http://schemas.microsoft.com/office/drawing/2015/06/chart">
            <c:ext xmlns:c16="http://schemas.microsoft.com/office/drawing/2014/chart" uri="{C3380CC4-5D6E-409C-BE32-E72D297353CC}">
              <c16:uniqueId val="{00000003-BCAC-48FA-A29A-C3AFF17BC40C}"/>
            </c:ext>
          </c:extLst>
        </c:ser>
        <c:ser>
          <c:idx val="4"/>
          <c:order val="4"/>
          <c:tx>
            <c:v>APLAZADA</c:v>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2016'!$C$6</c:f>
              <c:strCache>
                <c:ptCount val="1"/>
                <c:pt idx="0">
                  <c:v>Educación</c:v>
                </c:pt>
              </c:strCache>
            </c:strRef>
          </c:cat>
          <c:val>
            <c:numRef>
              <c:f>'TABLERO 2016'!$J$6</c:f>
              <c:numCache>
                <c:formatCode>General</c:formatCode>
                <c:ptCount val="1"/>
                <c:pt idx="0">
                  <c:v>16</c:v>
                </c:pt>
              </c:numCache>
            </c:numRef>
          </c:val>
          <c:extLst xmlns:c16r2="http://schemas.microsoft.com/office/drawing/2015/06/chart">
            <c:ext xmlns:c16="http://schemas.microsoft.com/office/drawing/2014/chart" uri="{C3380CC4-5D6E-409C-BE32-E72D297353CC}">
              <c16:uniqueId val="{00000004-BCAC-48FA-A29A-C3AFF17BC40C}"/>
            </c:ext>
          </c:extLst>
        </c:ser>
        <c:ser>
          <c:idx val="5"/>
          <c:order val="5"/>
          <c:tx>
            <c:strRef>
              <c:f>'TABLERO 2016'!$K$5</c:f>
              <c:strCache>
                <c:ptCount val="1"/>
                <c:pt idx="0">
                  <c:v>% EJECUCION 2016</c:v>
                </c:pt>
              </c:strCache>
            </c:strRef>
          </c:tx>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'TABLERO 2016'!$K$6</c:f>
              <c:numCache>
                <c:formatCode>_-* #,##0.00_-;\-* #,##0.00_-;_-* "-"??_-;_-@_-</c:formatCode>
                <c:ptCount val="1"/>
                <c:pt idx="0">
                  <c:v>66.666666666666671</c:v>
                </c:pt>
              </c:numCache>
            </c:numRef>
          </c:val>
          <c:extLst xmlns:c16r2="http://schemas.microsoft.com/office/drawing/2015/06/chart">
            <c:ext xmlns:c16="http://schemas.microsoft.com/office/drawing/2014/chart" uri="{C3380CC4-5D6E-409C-BE32-E72D297353CC}">
              <c16:uniqueId val="{00000005-BCAC-48FA-A29A-C3AFF17BC40C}"/>
            </c:ext>
          </c:extLst>
        </c:ser>
        <c:dLbls>
          <c:showLegendKey val="0"/>
          <c:showVal val="0"/>
          <c:showCatName val="0"/>
          <c:showSerName val="0"/>
          <c:showPercent val="0"/>
          <c:showBubbleSize val="0"/>
        </c:dLbls>
        <c:gapWidth val="75"/>
        <c:overlap val="-25"/>
        <c:axId val="110402560"/>
        <c:axId val="40119680"/>
      </c:barChart>
      <c:catAx>
        <c:axId val="110402560"/>
        <c:scaling>
          <c:orientation val="minMax"/>
        </c:scaling>
        <c:delete val="0"/>
        <c:axPos val="b"/>
        <c:numFmt formatCode="General" sourceLinked="0"/>
        <c:majorTickMark val="none"/>
        <c:minorTickMark val="none"/>
        <c:tickLblPos val="nextTo"/>
        <c:txPr>
          <a:bodyPr/>
          <a:lstStyle/>
          <a:p>
            <a:pPr>
              <a:defRPr lang="es-ES"/>
            </a:pPr>
            <a:endParaRPr lang="es-CO"/>
          </a:p>
        </c:txPr>
        <c:crossAx val="40119680"/>
        <c:crosses val="autoZero"/>
        <c:auto val="1"/>
        <c:lblAlgn val="ctr"/>
        <c:lblOffset val="100"/>
        <c:noMultiLvlLbl val="0"/>
      </c:catAx>
      <c:valAx>
        <c:axId val="40119680"/>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10402560"/>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cmpd="dbl">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APSB</a:t>
            </a:r>
            <a:r>
              <a:rPr lang="es-CO" sz="1600" baseline="0"/>
              <a:t> 2017</a:t>
            </a:r>
          </a:p>
          <a:p>
            <a:pPr>
              <a:defRPr lang="es-ES" sz="1600"/>
            </a:pPr>
            <a:endParaRPr lang="es-CO" sz="1600"/>
          </a:p>
        </c:rich>
      </c:tx>
      <c:overlay val="0"/>
    </c:title>
    <c:autoTitleDeleted val="0"/>
    <c:plotArea>
      <c:layout/>
      <c:barChart>
        <c:barDir val="col"/>
        <c:grouping val="clustered"/>
        <c:varyColors val="0"/>
        <c:ser>
          <c:idx val="0"/>
          <c:order val="0"/>
          <c:tx>
            <c:v>PROGRAMADA 2017</c:v>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2017'!$F$8</c:f>
              <c:numCache>
                <c:formatCode>General</c:formatCode>
                <c:ptCount val="1"/>
                <c:pt idx="0">
                  <c:v>23</c:v>
                </c:pt>
              </c:numCache>
            </c:numRef>
          </c:val>
          <c:extLst xmlns:c16r2="http://schemas.microsoft.com/office/drawing/2015/06/chart">
            <c:ext xmlns:c16="http://schemas.microsoft.com/office/drawing/2014/chart" uri="{C3380CC4-5D6E-409C-BE32-E72D297353CC}">
              <c16:uniqueId val="{00000000-7607-42AF-9522-8B8FC69EB24A}"/>
            </c:ext>
          </c:extLst>
        </c:ser>
        <c:ser>
          <c:idx val="1"/>
          <c:order val="1"/>
          <c:tx>
            <c:v>CUMPLIDA</c:v>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2017'!$G$8</c:f>
              <c:numCache>
                <c:formatCode>General</c:formatCode>
                <c:ptCount val="1"/>
                <c:pt idx="0">
                  <c:v>19</c:v>
                </c:pt>
              </c:numCache>
            </c:numRef>
          </c:val>
          <c:extLst xmlns:c16r2="http://schemas.microsoft.com/office/drawing/2015/06/chart">
            <c:ext xmlns:c16="http://schemas.microsoft.com/office/drawing/2014/chart" uri="{C3380CC4-5D6E-409C-BE32-E72D297353CC}">
              <c16:uniqueId val="{00000001-7607-42AF-9522-8B8FC69EB24A}"/>
            </c:ext>
          </c:extLst>
        </c:ser>
        <c:ser>
          <c:idx val="2"/>
          <c:order val="2"/>
          <c:tx>
            <c:v>EJECUCION</c:v>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2017'!$H$8</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2-7607-42AF-9522-8B8FC69EB24A}"/>
            </c:ext>
          </c:extLst>
        </c:ser>
        <c:ser>
          <c:idx val="3"/>
          <c:order val="3"/>
          <c:tx>
            <c:v>SIN AVANCE</c:v>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2017'!$I$8</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7607-42AF-9522-8B8FC69EB24A}"/>
            </c:ext>
          </c:extLst>
        </c:ser>
        <c:ser>
          <c:idx val="4"/>
          <c:order val="4"/>
          <c:tx>
            <c:v>APLAZADA</c:v>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2017'!$J$8</c:f>
              <c:numCache>
                <c:formatCode>General</c:formatCode>
                <c:ptCount val="1"/>
                <c:pt idx="0">
                  <c:v>7</c:v>
                </c:pt>
              </c:numCache>
            </c:numRef>
          </c:val>
          <c:extLst xmlns:c16r2="http://schemas.microsoft.com/office/drawing/2015/06/chart">
            <c:ext xmlns:c16="http://schemas.microsoft.com/office/drawing/2014/chart" uri="{C3380CC4-5D6E-409C-BE32-E72D297353CC}">
              <c16:uniqueId val="{00000004-7607-42AF-9522-8B8FC69EB24A}"/>
            </c:ext>
          </c:extLst>
        </c:ser>
        <c:ser>
          <c:idx val="5"/>
          <c:order val="5"/>
          <c:tx>
            <c:v>% EJECUCION</c:v>
          </c:tx>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2017'!$K$8</c:f>
              <c:numCache>
                <c:formatCode>_-* #,##0.00_-;\-* #,##0.00_-;_-* "-"??_-;_-@_-</c:formatCode>
                <c:ptCount val="1"/>
                <c:pt idx="0">
                  <c:v>89.130434782608688</c:v>
                </c:pt>
              </c:numCache>
            </c:numRef>
          </c:val>
          <c:extLst xmlns:c16r2="http://schemas.microsoft.com/office/drawing/2015/06/chart">
            <c:ext xmlns:c16="http://schemas.microsoft.com/office/drawing/2014/chart" uri="{C3380CC4-5D6E-409C-BE32-E72D297353CC}">
              <c16:uniqueId val="{00000005-7607-42AF-9522-8B8FC69EB24A}"/>
            </c:ext>
          </c:extLst>
        </c:ser>
        <c:dLbls>
          <c:showLegendKey val="0"/>
          <c:showVal val="0"/>
          <c:showCatName val="0"/>
          <c:showSerName val="0"/>
          <c:showPercent val="0"/>
          <c:showBubbleSize val="0"/>
        </c:dLbls>
        <c:gapWidth val="75"/>
        <c:overlap val="-25"/>
        <c:axId val="177940992"/>
        <c:axId val="177526400"/>
      </c:barChart>
      <c:catAx>
        <c:axId val="177940992"/>
        <c:scaling>
          <c:orientation val="minMax"/>
        </c:scaling>
        <c:delete val="0"/>
        <c:axPos val="b"/>
        <c:numFmt formatCode="General" sourceLinked="0"/>
        <c:majorTickMark val="none"/>
        <c:minorTickMark val="none"/>
        <c:tickLblPos val="nextTo"/>
        <c:txPr>
          <a:bodyPr/>
          <a:lstStyle/>
          <a:p>
            <a:pPr>
              <a:defRPr lang="es-ES"/>
            </a:pPr>
            <a:endParaRPr lang="es-CO"/>
          </a:p>
        </c:txPr>
        <c:crossAx val="177526400"/>
        <c:crosses val="autoZero"/>
        <c:auto val="1"/>
        <c:lblAlgn val="ctr"/>
        <c:lblOffset val="100"/>
        <c:noMultiLvlLbl val="0"/>
      </c:catAx>
      <c:valAx>
        <c:axId val="177526400"/>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77940992"/>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cmpd="dbl">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CULTURA 2017</a:t>
            </a:r>
          </a:p>
        </c:rich>
      </c:tx>
      <c:overlay val="0"/>
    </c:title>
    <c:autoTitleDeleted val="0"/>
    <c:plotArea>
      <c:layout/>
      <c:barChart>
        <c:barDir val="col"/>
        <c:grouping val="clustered"/>
        <c:varyColors val="0"/>
        <c:ser>
          <c:idx val="0"/>
          <c:order val="0"/>
          <c:tx>
            <c:strRef>
              <c:f>'TABLERO 2017'!$F$5</c:f>
              <c:strCache>
                <c:ptCount val="1"/>
                <c:pt idx="0">
                  <c:v>PROGRAMADAS 2017</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2017'!$C$10</c:f>
              <c:strCache>
                <c:ptCount val="1"/>
                <c:pt idx="0">
                  <c:v>Cultura</c:v>
                </c:pt>
              </c:strCache>
            </c:strRef>
          </c:cat>
          <c:val>
            <c:numRef>
              <c:f>'TABLERO 2017'!$F$10</c:f>
              <c:numCache>
                <c:formatCode>General</c:formatCode>
                <c:ptCount val="1"/>
                <c:pt idx="0">
                  <c:v>31</c:v>
                </c:pt>
              </c:numCache>
            </c:numRef>
          </c:val>
          <c:extLst xmlns:c16r2="http://schemas.microsoft.com/office/drawing/2015/06/chart">
            <c:ext xmlns:c16="http://schemas.microsoft.com/office/drawing/2014/chart" uri="{C3380CC4-5D6E-409C-BE32-E72D297353CC}">
              <c16:uniqueId val="{00000000-B275-4FBD-92CE-CE9F4EF19B7B}"/>
            </c:ext>
          </c:extLst>
        </c:ser>
        <c:ser>
          <c:idx val="1"/>
          <c:order val="1"/>
          <c:tx>
            <c:strRef>
              <c:f>'TABLERO 2017'!$G$5</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2017'!$C$10</c:f>
              <c:strCache>
                <c:ptCount val="1"/>
                <c:pt idx="0">
                  <c:v>Cultura</c:v>
                </c:pt>
              </c:strCache>
            </c:strRef>
          </c:cat>
          <c:val>
            <c:numRef>
              <c:f>'TABLERO 2017'!$G$10</c:f>
              <c:numCache>
                <c:formatCode>General</c:formatCode>
                <c:ptCount val="1"/>
                <c:pt idx="0">
                  <c:v>28</c:v>
                </c:pt>
              </c:numCache>
            </c:numRef>
          </c:val>
          <c:extLst xmlns:c16r2="http://schemas.microsoft.com/office/drawing/2015/06/chart">
            <c:ext xmlns:c16="http://schemas.microsoft.com/office/drawing/2014/chart" uri="{C3380CC4-5D6E-409C-BE32-E72D297353CC}">
              <c16:uniqueId val="{00000001-B275-4FBD-92CE-CE9F4EF19B7B}"/>
            </c:ext>
          </c:extLst>
        </c:ser>
        <c:ser>
          <c:idx val="2"/>
          <c:order val="2"/>
          <c:tx>
            <c:strRef>
              <c:f>'TABLERO 2017'!$H$5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2017'!$C$10</c:f>
              <c:strCache>
                <c:ptCount val="1"/>
                <c:pt idx="0">
                  <c:v>Cultura</c:v>
                </c:pt>
              </c:strCache>
            </c:strRef>
          </c:cat>
          <c:val>
            <c:numRef>
              <c:f>'TABLERO 2017'!$H$10</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2-B275-4FBD-92CE-CE9F4EF19B7B}"/>
            </c:ext>
          </c:extLst>
        </c:ser>
        <c:ser>
          <c:idx val="3"/>
          <c:order val="3"/>
          <c:tx>
            <c:strRef>
              <c:f>'TABLERO 2017'!$I$5</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2017'!$C$10</c:f>
              <c:strCache>
                <c:ptCount val="1"/>
                <c:pt idx="0">
                  <c:v>Cultura</c:v>
                </c:pt>
              </c:strCache>
            </c:strRef>
          </c:cat>
          <c:val>
            <c:numRef>
              <c:f>'TABLERO 2017'!$I$10</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3-B275-4FBD-92CE-CE9F4EF19B7B}"/>
            </c:ext>
          </c:extLst>
        </c:ser>
        <c:ser>
          <c:idx val="4"/>
          <c:order val="4"/>
          <c:tx>
            <c:strRef>
              <c:f>'TABLERO 2017'!$J$5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2017'!$C$10</c:f>
              <c:strCache>
                <c:ptCount val="1"/>
                <c:pt idx="0">
                  <c:v>Cultura</c:v>
                </c:pt>
              </c:strCache>
            </c:strRef>
          </c:cat>
          <c:val>
            <c:numRef>
              <c:f>'TABLERO 2017'!$J$10</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4-B275-4FBD-92CE-CE9F4EF19B7B}"/>
            </c:ext>
          </c:extLst>
        </c:ser>
        <c:dLbls>
          <c:showLegendKey val="0"/>
          <c:showVal val="0"/>
          <c:showCatName val="0"/>
          <c:showSerName val="0"/>
          <c:showPercent val="0"/>
          <c:showBubbleSize val="0"/>
        </c:dLbls>
        <c:gapWidth val="75"/>
        <c:overlap val="-25"/>
        <c:axId val="180731904"/>
        <c:axId val="177528128"/>
      </c:barChart>
      <c:catAx>
        <c:axId val="180731904"/>
        <c:scaling>
          <c:orientation val="minMax"/>
        </c:scaling>
        <c:delete val="0"/>
        <c:axPos val="b"/>
        <c:numFmt formatCode="General" sourceLinked="0"/>
        <c:majorTickMark val="none"/>
        <c:minorTickMark val="none"/>
        <c:tickLblPos val="nextTo"/>
        <c:txPr>
          <a:bodyPr/>
          <a:lstStyle/>
          <a:p>
            <a:pPr>
              <a:defRPr lang="es-ES"/>
            </a:pPr>
            <a:endParaRPr lang="es-CO"/>
          </a:p>
        </c:txPr>
        <c:crossAx val="177528128"/>
        <c:crosses val="autoZero"/>
        <c:auto val="1"/>
        <c:lblAlgn val="ctr"/>
        <c:lblOffset val="100"/>
        <c:noMultiLvlLbl val="0"/>
      </c:catAx>
      <c:valAx>
        <c:axId val="177528128"/>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0731904"/>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lang="es-ES" sz="1600"/>
            </a:pPr>
            <a:r>
              <a:rPr lang="es-CO" sz="1600"/>
              <a:t>AVANCE METAS SECTOR OTROS SERVICIOS 2017</a:t>
            </a:r>
          </a:p>
        </c:rich>
      </c:tx>
      <c:overlay val="0"/>
    </c:title>
    <c:autoTitleDeleted val="0"/>
    <c:plotArea>
      <c:layout/>
      <c:barChart>
        <c:barDir val="col"/>
        <c:grouping val="clustered"/>
        <c:varyColors val="0"/>
        <c:ser>
          <c:idx val="0"/>
          <c:order val="0"/>
          <c:tx>
            <c:strRef>
              <c:f>'TABLERO 2017'!$F$5</c:f>
              <c:strCache>
                <c:ptCount val="1"/>
                <c:pt idx="0">
                  <c:v>PROGRAMADAS 2017</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2017'!$C$11</c:f>
              <c:strCache>
                <c:ptCount val="1"/>
                <c:pt idx="0">
                  <c:v>Otros Servicios Públicos</c:v>
                </c:pt>
              </c:strCache>
            </c:strRef>
          </c:cat>
          <c:val>
            <c:numRef>
              <c:f>'TABLERO 2017'!$F$11</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0-B4F1-4D6A-9C60-17AA40BD819B}"/>
            </c:ext>
          </c:extLst>
        </c:ser>
        <c:ser>
          <c:idx val="1"/>
          <c:order val="1"/>
          <c:tx>
            <c:v>CUMPLIDA</c:v>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2017'!$C$11</c:f>
              <c:strCache>
                <c:ptCount val="1"/>
                <c:pt idx="0">
                  <c:v>Otros Servicios Públicos</c:v>
                </c:pt>
              </c:strCache>
            </c:strRef>
          </c:cat>
          <c:val>
            <c:numRef>
              <c:f>'TABLERO 2017'!$G$11</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1-B4F1-4D6A-9C60-17AA40BD819B}"/>
            </c:ext>
          </c:extLst>
        </c:ser>
        <c:ser>
          <c:idx val="2"/>
          <c:order val="2"/>
          <c:tx>
            <c:v>EJECUCION</c:v>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2017'!$C$11</c:f>
              <c:strCache>
                <c:ptCount val="1"/>
                <c:pt idx="0">
                  <c:v>Otros Servicios Públicos</c:v>
                </c:pt>
              </c:strCache>
            </c:strRef>
          </c:cat>
          <c:val>
            <c:numRef>
              <c:f>'TABLERO 2017'!$H$11</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2-B4F1-4D6A-9C60-17AA40BD819B}"/>
            </c:ext>
          </c:extLst>
        </c:ser>
        <c:ser>
          <c:idx val="3"/>
          <c:order val="3"/>
          <c:tx>
            <c:v>SIN AVANCE</c:v>
          </c:tx>
          <c:invertIfNegative val="0"/>
          <c:cat>
            <c:strRef>
              <c:f>'TABLERO 2017'!$C$11</c:f>
              <c:strCache>
                <c:ptCount val="1"/>
                <c:pt idx="0">
                  <c:v>Otros Servicios Públicos</c:v>
                </c:pt>
              </c:strCache>
            </c:strRef>
          </c:cat>
          <c:val>
            <c:numRef>
              <c:f>'TABLERO 2017'!$I$11</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B4F1-4D6A-9C60-17AA40BD819B}"/>
            </c:ext>
          </c:extLst>
        </c:ser>
        <c:ser>
          <c:idx val="4"/>
          <c:order val="4"/>
          <c:tx>
            <c:v>APLAZADA</c:v>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2017'!$C$11</c:f>
              <c:strCache>
                <c:ptCount val="1"/>
                <c:pt idx="0">
                  <c:v>Otros Servicios Públicos</c:v>
                </c:pt>
              </c:strCache>
            </c:strRef>
          </c:cat>
          <c:val>
            <c:numRef>
              <c:f>'TABLERO 2017'!$J$11</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B4F1-4D6A-9C60-17AA40BD819B}"/>
            </c:ext>
          </c:extLst>
        </c:ser>
        <c:dLbls>
          <c:showLegendKey val="0"/>
          <c:showVal val="0"/>
          <c:showCatName val="0"/>
          <c:showSerName val="0"/>
          <c:showPercent val="0"/>
          <c:showBubbleSize val="0"/>
        </c:dLbls>
        <c:gapWidth val="75"/>
        <c:overlap val="-25"/>
        <c:axId val="180733952"/>
        <c:axId val="180668096"/>
      </c:barChart>
      <c:catAx>
        <c:axId val="180733952"/>
        <c:scaling>
          <c:orientation val="minMax"/>
        </c:scaling>
        <c:delete val="0"/>
        <c:axPos val="b"/>
        <c:numFmt formatCode="General" sourceLinked="0"/>
        <c:majorTickMark val="none"/>
        <c:minorTickMark val="none"/>
        <c:tickLblPos val="nextTo"/>
        <c:txPr>
          <a:bodyPr/>
          <a:lstStyle/>
          <a:p>
            <a:pPr>
              <a:defRPr lang="es-ES"/>
            </a:pPr>
            <a:endParaRPr lang="es-CO"/>
          </a:p>
        </c:txPr>
        <c:crossAx val="180668096"/>
        <c:crosses val="autoZero"/>
        <c:auto val="1"/>
        <c:lblAlgn val="ctr"/>
        <c:lblOffset val="100"/>
        <c:noMultiLvlLbl val="0"/>
      </c:catAx>
      <c:valAx>
        <c:axId val="180668096"/>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0733952"/>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VIVIENDA 2017</a:t>
            </a:r>
          </a:p>
        </c:rich>
      </c:tx>
      <c:overlay val="0"/>
    </c:title>
    <c:autoTitleDeleted val="0"/>
    <c:plotArea>
      <c:layout>
        <c:manualLayout>
          <c:layoutTarget val="inner"/>
          <c:xMode val="edge"/>
          <c:yMode val="edge"/>
          <c:x val="5.8099518810148756E-2"/>
          <c:y val="0.21126166520851555"/>
          <c:w val="0.89745603674540686"/>
          <c:h val="0.58904126567512394"/>
        </c:manualLayout>
      </c:layout>
      <c:barChart>
        <c:barDir val="col"/>
        <c:grouping val="clustered"/>
        <c:varyColors val="0"/>
        <c:ser>
          <c:idx val="0"/>
          <c:order val="0"/>
          <c:tx>
            <c:strRef>
              <c:f>'TABLERO 2016'!$D$5</c:f>
              <c:strCache>
                <c:ptCount val="1"/>
                <c:pt idx="0">
                  <c:v>MR</c:v>
                </c:pt>
              </c:strCache>
            </c:strRef>
          </c:tx>
          <c:invertIfNegative val="0"/>
          <c:cat>
            <c:strRef>
              <c:f>'TABLERO 2016'!$C$12</c:f>
              <c:strCache>
                <c:ptCount val="1"/>
                <c:pt idx="0">
                  <c:v>Vivienda</c:v>
                </c:pt>
              </c:strCache>
            </c:strRef>
          </c:cat>
          <c:val>
            <c:numRef>
              <c:f>'TABLERO 2016'!$D$12</c:f>
            </c:numRef>
          </c:val>
          <c:extLst xmlns:c16r2="http://schemas.microsoft.com/office/drawing/2015/06/chart">
            <c:ext xmlns:c16="http://schemas.microsoft.com/office/drawing/2014/chart" uri="{C3380CC4-5D6E-409C-BE32-E72D297353CC}">
              <c16:uniqueId val="{00000000-9F6C-440A-8303-EFDF5CEDBB27}"/>
            </c:ext>
          </c:extLst>
        </c:ser>
        <c:ser>
          <c:idx val="1"/>
          <c:order val="1"/>
          <c:tx>
            <c:strRef>
              <c:f>'TABLERO 2017'!$E$5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2017'!$C$12</c:f>
              <c:strCache>
                <c:ptCount val="1"/>
                <c:pt idx="0">
                  <c:v>Vivienda</c:v>
                </c:pt>
              </c:strCache>
            </c:strRef>
          </c:cat>
          <c:val>
            <c:numRef>
              <c:f>'TABLERO 2017'!$E$12</c:f>
              <c:numCache>
                <c:formatCode>General</c:formatCode>
                <c:ptCount val="1"/>
                <c:pt idx="0">
                  <c:v>9</c:v>
                </c:pt>
              </c:numCache>
            </c:numRef>
          </c:val>
          <c:extLst xmlns:c16r2="http://schemas.microsoft.com/office/drawing/2015/06/chart">
            <c:ext xmlns:c16="http://schemas.microsoft.com/office/drawing/2014/chart" uri="{C3380CC4-5D6E-409C-BE32-E72D297353CC}">
              <c16:uniqueId val="{00000001-9F6C-440A-8303-EFDF5CEDBB27}"/>
            </c:ext>
          </c:extLst>
        </c:ser>
        <c:ser>
          <c:idx val="2"/>
          <c:order val="2"/>
          <c:tx>
            <c:strRef>
              <c:f>'TABLERO 2017'!$F$5</c:f>
              <c:strCache>
                <c:ptCount val="1"/>
                <c:pt idx="0">
                  <c:v>PROGRAMADAS 2017</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2017'!$C$12</c:f>
              <c:strCache>
                <c:ptCount val="1"/>
                <c:pt idx="0">
                  <c:v>Vivienda</c:v>
                </c:pt>
              </c:strCache>
            </c:strRef>
          </c:cat>
          <c:val>
            <c:numRef>
              <c:f>'TABLERO 2017'!$F$12</c:f>
              <c:numCache>
                <c:formatCode>General</c:formatCode>
                <c:ptCount val="1"/>
                <c:pt idx="0">
                  <c:v>6</c:v>
                </c:pt>
              </c:numCache>
            </c:numRef>
          </c:val>
          <c:extLst xmlns:c16r2="http://schemas.microsoft.com/office/drawing/2015/06/chart">
            <c:ext xmlns:c16="http://schemas.microsoft.com/office/drawing/2014/chart" uri="{C3380CC4-5D6E-409C-BE32-E72D297353CC}">
              <c16:uniqueId val="{00000002-9F6C-440A-8303-EFDF5CEDBB27}"/>
            </c:ext>
          </c:extLst>
        </c:ser>
        <c:ser>
          <c:idx val="3"/>
          <c:order val="3"/>
          <c:tx>
            <c:strRef>
              <c:f>'TABLERO 2017'!$G$5</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2017'!$C$12</c:f>
              <c:strCache>
                <c:ptCount val="1"/>
                <c:pt idx="0">
                  <c:v>Vivienda</c:v>
                </c:pt>
              </c:strCache>
            </c:strRef>
          </c:cat>
          <c:val>
            <c:numRef>
              <c:f>'TABLERO 2017'!$G$12</c:f>
              <c:numCache>
                <c:formatCode>General</c:formatCode>
                <c:ptCount val="1"/>
                <c:pt idx="0">
                  <c:v>5</c:v>
                </c:pt>
              </c:numCache>
            </c:numRef>
          </c:val>
          <c:extLst xmlns:c16r2="http://schemas.microsoft.com/office/drawing/2015/06/chart">
            <c:ext xmlns:c16="http://schemas.microsoft.com/office/drawing/2014/chart" uri="{C3380CC4-5D6E-409C-BE32-E72D297353CC}">
              <c16:uniqueId val="{00000003-9F6C-440A-8303-EFDF5CEDBB27}"/>
            </c:ext>
          </c:extLst>
        </c:ser>
        <c:ser>
          <c:idx val="4"/>
          <c:order val="4"/>
          <c:tx>
            <c:strRef>
              <c:f>'TABLERO 2017'!$H$5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2017'!$C$12</c:f>
              <c:strCache>
                <c:ptCount val="1"/>
                <c:pt idx="0">
                  <c:v>Vivienda</c:v>
                </c:pt>
              </c:strCache>
            </c:strRef>
          </c:cat>
          <c:val>
            <c:numRef>
              <c:f>'TABLERO 2017'!$H$12</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4-9F6C-440A-8303-EFDF5CEDBB27}"/>
            </c:ext>
          </c:extLst>
        </c:ser>
        <c:ser>
          <c:idx val="5"/>
          <c:order val="5"/>
          <c:tx>
            <c:strRef>
              <c:f>'TABLERO 2017'!$I$5</c:f>
              <c:strCache>
                <c:ptCount val="1"/>
                <c:pt idx="0">
                  <c:v>RO</c:v>
                </c:pt>
              </c:strCache>
            </c:strRef>
          </c:tx>
          <c:invertIfNegative val="0"/>
          <c:cat>
            <c:strRef>
              <c:f>'TABLERO 2017'!$C$12</c:f>
              <c:strCache>
                <c:ptCount val="1"/>
                <c:pt idx="0">
                  <c:v>Vivienda</c:v>
                </c:pt>
              </c:strCache>
            </c:strRef>
          </c:cat>
          <c:val>
            <c:numRef>
              <c:f>'TABLERO 2017'!$I$12</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9F6C-440A-8303-EFDF5CEDBB27}"/>
            </c:ext>
          </c:extLst>
        </c:ser>
        <c:ser>
          <c:idx val="6"/>
          <c:order val="6"/>
          <c:tx>
            <c:strRef>
              <c:f>'TABLERO 2017'!$J$5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2017'!$C$12</c:f>
              <c:strCache>
                <c:ptCount val="1"/>
                <c:pt idx="0">
                  <c:v>Vivienda</c:v>
                </c:pt>
              </c:strCache>
            </c:strRef>
          </c:cat>
          <c:val>
            <c:numRef>
              <c:f>'TABLERO 2017'!$J$12</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6-9F6C-440A-8303-EFDF5CEDBB27}"/>
            </c:ext>
          </c:extLst>
        </c:ser>
        <c:dLbls>
          <c:showLegendKey val="0"/>
          <c:showVal val="0"/>
          <c:showCatName val="0"/>
          <c:showSerName val="0"/>
          <c:showPercent val="0"/>
          <c:showBubbleSize val="0"/>
        </c:dLbls>
        <c:gapWidth val="75"/>
        <c:overlap val="-25"/>
        <c:axId val="180732928"/>
        <c:axId val="180670400"/>
      </c:barChart>
      <c:catAx>
        <c:axId val="180732928"/>
        <c:scaling>
          <c:orientation val="minMax"/>
        </c:scaling>
        <c:delete val="0"/>
        <c:axPos val="b"/>
        <c:numFmt formatCode="General" sourceLinked="0"/>
        <c:majorTickMark val="none"/>
        <c:minorTickMark val="none"/>
        <c:tickLblPos val="nextTo"/>
        <c:txPr>
          <a:bodyPr/>
          <a:lstStyle/>
          <a:p>
            <a:pPr>
              <a:defRPr lang="es-ES"/>
            </a:pPr>
            <a:endParaRPr lang="es-CO"/>
          </a:p>
        </c:txPr>
        <c:crossAx val="180670400"/>
        <c:crosses val="autoZero"/>
        <c:auto val="1"/>
        <c:lblAlgn val="ctr"/>
        <c:lblOffset val="100"/>
        <c:noMultiLvlLbl val="0"/>
      </c:catAx>
      <c:valAx>
        <c:axId val="180670400"/>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0732928"/>
        <c:crosses val="autoZero"/>
        <c:crossBetween val="between"/>
      </c:valAx>
      <c:spPr>
        <a:solidFill>
          <a:schemeClr val="accent4">
            <a:lumMod val="20000"/>
            <a:lumOff val="80000"/>
          </a:schemeClr>
        </a:solidFill>
      </c:spPr>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n-US" sz="1600"/>
              <a:t>AVANCE METAS SECTOR D. RURAL</a:t>
            </a:r>
            <a:r>
              <a:rPr lang="en-US" sz="1600" baseline="0"/>
              <a:t> /</a:t>
            </a:r>
            <a:r>
              <a:rPr lang="en-US" sz="1600"/>
              <a:t>AGROPECUARIO 2017</a:t>
            </a:r>
          </a:p>
        </c:rich>
      </c:tx>
      <c:layout>
        <c:manualLayout>
          <c:xMode val="edge"/>
          <c:yMode val="edge"/>
          <c:x val="0.14127654582233673"/>
          <c:y val="0"/>
        </c:manualLayout>
      </c:layout>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2016'!$C$13</c:f>
              <c:strCache>
                <c:ptCount val="1"/>
                <c:pt idx="0">
                  <c:v>Agropecuario</c:v>
                </c:pt>
              </c:strCache>
            </c:strRef>
          </c:cat>
          <c:val>
            <c:numRef>
              <c:f>'TABLERO 2016'!$D$13</c:f>
            </c:numRef>
          </c:val>
          <c:extLst xmlns:c16r2="http://schemas.microsoft.com/office/drawing/2015/06/chart">
            <c:ext xmlns:c16="http://schemas.microsoft.com/office/drawing/2014/chart" uri="{C3380CC4-5D6E-409C-BE32-E72D297353CC}">
              <c16:uniqueId val="{00000000-1E32-4DAF-8EB1-C00B7965C0E4}"/>
            </c:ext>
          </c:extLst>
        </c:ser>
        <c:ser>
          <c:idx val="1"/>
          <c:order val="1"/>
          <c:tx>
            <c:strRef>
              <c:f>'TABLERO 2017'!$E$5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2017'!$C$13</c:f>
              <c:strCache>
                <c:ptCount val="1"/>
                <c:pt idx="0">
                  <c:v>Agropecuario</c:v>
                </c:pt>
              </c:strCache>
            </c:strRef>
          </c:cat>
          <c:val>
            <c:numRef>
              <c:f>'TABLERO 2017'!$E$13</c:f>
              <c:numCache>
                <c:formatCode>General</c:formatCode>
                <c:ptCount val="1"/>
                <c:pt idx="0">
                  <c:v>33</c:v>
                </c:pt>
              </c:numCache>
            </c:numRef>
          </c:val>
          <c:extLst xmlns:c16r2="http://schemas.microsoft.com/office/drawing/2015/06/chart">
            <c:ext xmlns:c16="http://schemas.microsoft.com/office/drawing/2014/chart" uri="{C3380CC4-5D6E-409C-BE32-E72D297353CC}">
              <c16:uniqueId val="{00000001-1E32-4DAF-8EB1-C00B7965C0E4}"/>
            </c:ext>
          </c:extLst>
        </c:ser>
        <c:ser>
          <c:idx val="2"/>
          <c:order val="2"/>
          <c:tx>
            <c:strRef>
              <c:f>'TABLERO 2017'!$F$5</c:f>
              <c:strCache>
                <c:ptCount val="1"/>
                <c:pt idx="0">
                  <c:v>PROGRAMADAS 2017</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2017'!$C$13</c:f>
              <c:strCache>
                <c:ptCount val="1"/>
                <c:pt idx="0">
                  <c:v>Agropecuario</c:v>
                </c:pt>
              </c:strCache>
            </c:strRef>
          </c:cat>
          <c:val>
            <c:numRef>
              <c:f>'TABLERO 2017'!$F$13</c:f>
              <c:numCache>
                <c:formatCode>General</c:formatCode>
                <c:ptCount val="1"/>
                <c:pt idx="0">
                  <c:v>27</c:v>
                </c:pt>
              </c:numCache>
            </c:numRef>
          </c:val>
          <c:extLst xmlns:c16r2="http://schemas.microsoft.com/office/drawing/2015/06/chart">
            <c:ext xmlns:c16="http://schemas.microsoft.com/office/drawing/2014/chart" uri="{C3380CC4-5D6E-409C-BE32-E72D297353CC}">
              <c16:uniqueId val="{00000002-1E32-4DAF-8EB1-C00B7965C0E4}"/>
            </c:ext>
          </c:extLst>
        </c:ser>
        <c:ser>
          <c:idx val="3"/>
          <c:order val="3"/>
          <c:tx>
            <c:strRef>
              <c:f>'TABLERO 2017'!$G$5</c:f>
              <c:strCache>
                <c:ptCount val="1"/>
                <c:pt idx="0">
                  <c:v>VE</c:v>
                </c:pt>
              </c:strCache>
            </c:strRef>
          </c:tx>
          <c:spPr>
            <a:solidFill>
              <a:srgbClr val="FFFF00"/>
            </a:solidFill>
          </c:spPr>
          <c:invertIfNegative val="0"/>
          <c:dPt>
            <c:idx val="0"/>
            <c:invertIfNegative val="0"/>
            <c:bubble3D val="0"/>
            <c:spPr>
              <a:solidFill>
                <a:srgbClr val="92D050"/>
              </a:solidFill>
            </c:spPr>
            <c:extLst xmlns:c16r2="http://schemas.microsoft.com/office/drawing/2015/06/chart">
              <c:ext xmlns:c16="http://schemas.microsoft.com/office/drawing/2014/chart" uri="{C3380CC4-5D6E-409C-BE32-E72D297353CC}">
                <c16:uniqueId val="{00000004-1E32-4DAF-8EB1-C00B7965C0E4}"/>
              </c:ext>
            </c:extLst>
          </c:dPt>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2017'!$C$13</c:f>
              <c:strCache>
                <c:ptCount val="1"/>
                <c:pt idx="0">
                  <c:v>Agropecuario</c:v>
                </c:pt>
              </c:strCache>
            </c:strRef>
          </c:cat>
          <c:val>
            <c:numRef>
              <c:f>'TABLERO 2017'!$G$13</c:f>
              <c:numCache>
                <c:formatCode>General</c:formatCode>
                <c:ptCount val="1"/>
                <c:pt idx="0">
                  <c:v>24</c:v>
                </c:pt>
              </c:numCache>
            </c:numRef>
          </c:val>
          <c:extLst xmlns:c16r2="http://schemas.microsoft.com/office/drawing/2015/06/chart">
            <c:ext xmlns:c16="http://schemas.microsoft.com/office/drawing/2014/chart" uri="{C3380CC4-5D6E-409C-BE32-E72D297353CC}">
              <c16:uniqueId val="{00000005-1E32-4DAF-8EB1-C00B7965C0E4}"/>
            </c:ext>
          </c:extLst>
        </c:ser>
        <c:ser>
          <c:idx val="4"/>
          <c:order val="4"/>
          <c:tx>
            <c:strRef>
              <c:f>'TABLERO 2017'!$H$5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2017'!$C$13</c:f>
              <c:strCache>
                <c:ptCount val="1"/>
                <c:pt idx="0">
                  <c:v>Agropecuario</c:v>
                </c:pt>
              </c:strCache>
            </c:strRef>
          </c:cat>
          <c:val>
            <c:numRef>
              <c:f>'TABLERO 2017'!$H$13</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6-1E32-4DAF-8EB1-C00B7965C0E4}"/>
            </c:ext>
          </c:extLst>
        </c:ser>
        <c:ser>
          <c:idx val="5"/>
          <c:order val="5"/>
          <c:tx>
            <c:strRef>
              <c:f>'TABLERO 2017'!$I$5</c:f>
              <c:strCache>
                <c:ptCount val="1"/>
                <c:pt idx="0">
                  <c:v>RO</c:v>
                </c:pt>
              </c:strCache>
            </c:strRef>
          </c:tx>
          <c:invertIfNegative val="0"/>
          <c:cat>
            <c:strRef>
              <c:f>'TABLERO 2017'!$C$13</c:f>
              <c:strCache>
                <c:ptCount val="1"/>
                <c:pt idx="0">
                  <c:v>Agropecuario</c:v>
                </c:pt>
              </c:strCache>
            </c:strRef>
          </c:cat>
          <c:val>
            <c:numRef>
              <c:f>'TABLERO 2017'!$I$13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7-1E32-4DAF-8EB1-C00B7965C0E4}"/>
            </c:ext>
          </c:extLst>
        </c:ser>
        <c:ser>
          <c:idx val="6"/>
          <c:order val="6"/>
          <c:tx>
            <c:strRef>
              <c:f>'TABLERO 2017'!$J$5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2017'!$C$13</c:f>
              <c:strCache>
                <c:ptCount val="1"/>
                <c:pt idx="0">
                  <c:v>Agropecuario</c:v>
                </c:pt>
              </c:strCache>
            </c:strRef>
          </c:cat>
          <c:val>
            <c:numRef>
              <c:f>'TABLERO 2017'!$J$13</c:f>
              <c:numCache>
                <c:formatCode>General</c:formatCode>
                <c:ptCount val="1"/>
                <c:pt idx="0">
                  <c:v>6</c:v>
                </c:pt>
              </c:numCache>
            </c:numRef>
          </c:val>
          <c:extLst xmlns:c16r2="http://schemas.microsoft.com/office/drawing/2015/06/chart">
            <c:ext xmlns:c16="http://schemas.microsoft.com/office/drawing/2014/chart" uri="{C3380CC4-5D6E-409C-BE32-E72D297353CC}">
              <c16:uniqueId val="{00000008-1E32-4DAF-8EB1-C00B7965C0E4}"/>
            </c:ext>
          </c:extLst>
        </c:ser>
        <c:dLbls>
          <c:showLegendKey val="0"/>
          <c:showVal val="0"/>
          <c:showCatName val="0"/>
          <c:showSerName val="0"/>
          <c:showPercent val="0"/>
          <c:showBubbleSize val="0"/>
        </c:dLbls>
        <c:gapWidth val="75"/>
        <c:overlap val="-25"/>
        <c:axId val="181084160"/>
        <c:axId val="180672704"/>
      </c:barChart>
      <c:catAx>
        <c:axId val="181084160"/>
        <c:scaling>
          <c:orientation val="minMax"/>
        </c:scaling>
        <c:delete val="0"/>
        <c:axPos val="b"/>
        <c:numFmt formatCode="General" sourceLinked="0"/>
        <c:majorTickMark val="none"/>
        <c:minorTickMark val="none"/>
        <c:tickLblPos val="nextTo"/>
        <c:txPr>
          <a:bodyPr/>
          <a:lstStyle/>
          <a:p>
            <a:pPr>
              <a:defRPr lang="es-ES"/>
            </a:pPr>
            <a:endParaRPr lang="es-CO"/>
          </a:p>
        </c:txPr>
        <c:crossAx val="180672704"/>
        <c:crosses val="autoZero"/>
        <c:auto val="1"/>
        <c:lblAlgn val="ctr"/>
        <c:lblOffset val="100"/>
        <c:noMultiLvlLbl val="0"/>
      </c:catAx>
      <c:valAx>
        <c:axId val="180672704"/>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1084160"/>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a:t>
            </a:r>
            <a:r>
              <a:rPr lang="es-CO" sz="1600" baseline="0"/>
              <a:t> METAS SECTOR TRANSPORTE  2017</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2016'!$C$14</c:f>
              <c:strCache>
                <c:ptCount val="1"/>
                <c:pt idx="0">
                  <c:v>Transporte</c:v>
                </c:pt>
              </c:strCache>
            </c:strRef>
          </c:cat>
          <c:val>
            <c:numRef>
              <c:f>'TABLERO 2016'!$D$14</c:f>
            </c:numRef>
          </c:val>
          <c:extLst xmlns:c16r2="http://schemas.microsoft.com/office/drawing/2015/06/chart">
            <c:ext xmlns:c16="http://schemas.microsoft.com/office/drawing/2014/chart" uri="{C3380CC4-5D6E-409C-BE32-E72D297353CC}">
              <c16:uniqueId val="{00000000-ED38-4895-BEF1-D2F95E55EFC7}"/>
            </c:ext>
          </c:extLst>
        </c:ser>
        <c:ser>
          <c:idx val="1"/>
          <c:order val="1"/>
          <c:tx>
            <c:strRef>
              <c:f>'TABLERO 2017'!$E$5</c:f>
              <c:strCache>
                <c:ptCount val="1"/>
                <c:pt idx="0">
                  <c:v>TOTAL METAS</c:v>
                </c:pt>
              </c:strCache>
            </c:strRef>
          </c:tx>
          <c:spPr>
            <a:solidFill>
              <a:srgbClr val="0066FF"/>
            </a:solidFill>
          </c:spPr>
          <c:invertIfNegative val="0"/>
          <c:dLbls>
            <c:dLbl>
              <c:idx val="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D38-4895-BEF1-D2F95E55EFC7}"/>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'TABLERO 2017'!$C$14</c:f>
              <c:strCache>
                <c:ptCount val="1"/>
                <c:pt idx="0">
                  <c:v>Transporte</c:v>
                </c:pt>
              </c:strCache>
            </c:strRef>
          </c:cat>
          <c:val>
            <c:numRef>
              <c:f>'TABLERO 2017'!$E$14</c:f>
              <c:numCache>
                <c:formatCode>General</c:formatCode>
                <c:ptCount val="1"/>
                <c:pt idx="0">
                  <c:v>21</c:v>
                </c:pt>
              </c:numCache>
            </c:numRef>
          </c:val>
          <c:extLst xmlns:c16r2="http://schemas.microsoft.com/office/drawing/2015/06/chart">
            <c:ext xmlns:c16="http://schemas.microsoft.com/office/drawing/2014/chart" uri="{C3380CC4-5D6E-409C-BE32-E72D297353CC}">
              <c16:uniqueId val="{00000002-ED38-4895-BEF1-D2F95E55EFC7}"/>
            </c:ext>
          </c:extLst>
        </c:ser>
        <c:ser>
          <c:idx val="2"/>
          <c:order val="2"/>
          <c:tx>
            <c:strRef>
              <c:f>'TABLERO 2017'!$F$5</c:f>
              <c:strCache>
                <c:ptCount val="1"/>
                <c:pt idx="0">
                  <c:v>PROGRAMADAS 2017</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2017'!$C$14</c:f>
              <c:strCache>
                <c:ptCount val="1"/>
                <c:pt idx="0">
                  <c:v>Transporte</c:v>
                </c:pt>
              </c:strCache>
            </c:strRef>
          </c:cat>
          <c:val>
            <c:numRef>
              <c:f>'TABLERO 2017'!$F$14</c:f>
              <c:numCache>
                <c:formatCode>General</c:formatCode>
                <c:ptCount val="1"/>
                <c:pt idx="0">
                  <c:v>19</c:v>
                </c:pt>
              </c:numCache>
            </c:numRef>
          </c:val>
          <c:extLst xmlns:c16r2="http://schemas.microsoft.com/office/drawing/2015/06/chart">
            <c:ext xmlns:c16="http://schemas.microsoft.com/office/drawing/2014/chart" uri="{C3380CC4-5D6E-409C-BE32-E72D297353CC}">
              <c16:uniqueId val="{00000003-ED38-4895-BEF1-D2F95E55EFC7}"/>
            </c:ext>
          </c:extLst>
        </c:ser>
        <c:ser>
          <c:idx val="3"/>
          <c:order val="3"/>
          <c:tx>
            <c:strRef>
              <c:f>'TABLERO 2017'!$G$5</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2017'!$C$14</c:f>
              <c:strCache>
                <c:ptCount val="1"/>
                <c:pt idx="0">
                  <c:v>Transporte</c:v>
                </c:pt>
              </c:strCache>
            </c:strRef>
          </c:cat>
          <c:val>
            <c:numRef>
              <c:f>'TABLERO 2017'!$G$14</c:f>
              <c:numCache>
                <c:formatCode>General</c:formatCode>
                <c:ptCount val="1"/>
                <c:pt idx="0">
                  <c:v>15</c:v>
                </c:pt>
              </c:numCache>
            </c:numRef>
          </c:val>
          <c:extLst xmlns:c16r2="http://schemas.microsoft.com/office/drawing/2015/06/chart">
            <c:ext xmlns:c16="http://schemas.microsoft.com/office/drawing/2014/chart" uri="{C3380CC4-5D6E-409C-BE32-E72D297353CC}">
              <c16:uniqueId val="{00000004-ED38-4895-BEF1-D2F95E55EFC7}"/>
            </c:ext>
          </c:extLst>
        </c:ser>
        <c:ser>
          <c:idx val="4"/>
          <c:order val="4"/>
          <c:tx>
            <c:strRef>
              <c:f>'TABLERO 2017'!$H$5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2017'!$C$14</c:f>
              <c:strCache>
                <c:ptCount val="1"/>
                <c:pt idx="0">
                  <c:v>Transporte</c:v>
                </c:pt>
              </c:strCache>
            </c:strRef>
          </c:cat>
          <c:val>
            <c:numRef>
              <c:f>'TABLERO 2017'!$H$14</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5-ED38-4895-BEF1-D2F95E55EFC7}"/>
            </c:ext>
          </c:extLst>
        </c:ser>
        <c:ser>
          <c:idx val="5"/>
          <c:order val="5"/>
          <c:tx>
            <c:strRef>
              <c:f>'TABLERO 2017'!$I$5</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2017'!$C$14</c:f>
              <c:strCache>
                <c:ptCount val="1"/>
                <c:pt idx="0">
                  <c:v>Transporte</c:v>
                </c:pt>
              </c:strCache>
            </c:strRef>
          </c:cat>
          <c:val>
            <c:numRef>
              <c:f>'TABLERO 2017'!$I$14</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6-ED38-4895-BEF1-D2F95E55EFC7}"/>
            </c:ext>
          </c:extLst>
        </c:ser>
        <c:ser>
          <c:idx val="6"/>
          <c:order val="6"/>
          <c:tx>
            <c:strRef>
              <c:f>'TABLERO 2017'!$J$5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2017'!$C$14</c:f>
              <c:strCache>
                <c:ptCount val="1"/>
                <c:pt idx="0">
                  <c:v>Transporte</c:v>
                </c:pt>
              </c:strCache>
            </c:strRef>
          </c:cat>
          <c:val>
            <c:numRef>
              <c:f>'TABLERO 2017'!$J$14</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7-ED38-4895-BEF1-D2F95E55EFC7}"/>
            </c:ext>
          </c:extLst>
        </c:ser>
        <c:dLbls>
          <c:showLegendKey val="0"/>
          <c:showVal val="0"/>
          <c:showCatName val="0"/>
          <c:showSerName val="0"/>
          <c:showPercent val="0"/>
          <c:showBubbleSize val="0"/>
        </c:dLbls>
        <c:gapWidth val="75"/>
        <c:overlap val="-25"/>
        <c:axId val="181086208"/>
        <c:axId val="181215808"/>
      </c:barChart>
      <c:catAx>
        <c:axId val="181086208"/>
        <c:scaling>
          <c:orientation val="minMax"/>
        </c:scaling>
        <c:delete val="0"/>
        <c:axPos val="b"/>
        <c:numFmt formatCode="General" sourceLinked="0"/>
        <c:majorTickMark val="none"/>
        <c:minorTickMark val="none"/>
        <c:tickLblPos val="nextTo"/>
        <c:txPr>
          <a:bodyPr/>
          <a:lstStyle/>
          <a:p>
            <a:pPr>
              <a:defRPr lang="es-ES"/>
            </a:pPr>
            <a:endParaRPr lang="es-CO"/>
          </a:p>
        </c:txPr>
        <c:crossAx val="181215808"/>
        <c:crosses val="autoZero"/>
        <c:auto val="1"/>
        <c:lblAlgn val="ctr"/>
        <c:lblOffset val="100"/>
        <c:noMultiLvlLbl val="0"/>
      </c:catAx>
      <c:valAx>
        <c:axId val="181215808"/>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1086208"/>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a:pPr>
            <a:r>
              <a:rPr lang="es-CO" sz="1600"/>
              <a:t>AVANCE</a:t>
            </a:r>
            <a:r>
              <a:rPr lang="es-CO" sz="1600" baseline="0"/>
              <a:t> METAS SECTOR AMBIENTAL 2017</a:t>
            </a:r>
            <a:endParaRPr lang="es-CO" sz="1600"/>
          </a:p>
        </c:rich>
      </c:tx>
      <c:layout>
        <c:manualLayout>
          <c:xMode val="edge"/>
          <c:yMode val="edge"/>
          <c:x val="0.10081295307132583"/>
          <c:y val="3.2090601622975876E-2"/>
        </c:manualLayout>
      </c:layout>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2016'!$C$15</c:f>
              <c:strCache>
                <c:ptCount val="1"/>
                <c:pt idx="0">
                  <c:v>Ambiental</c:v>
                </c:pt>
              </c:strCache>
            </c:strRef>
          </c:cat>
          <c:val>
            <c:numRef>
              <c:f>'TABLERO 2016'!$D$15</c:f>
            </c:numRef>
          </c:val>
          <c:extLst xmlns:c16r2="http://schemas.microsoft.com/office/drawing/2015/06/chart">
            <c:ext xmlns:c16="http://schemas.microsoft.com/office/drawing/2014/chart" uri="{C3380CC4-5D6E-409C-BE32-E72D297353CC}">
              <c16:uniqueId val="{00000000-6D77-4956-98FA-F9372B3EA6AE}"/>
            </c:ext>
          </c:extLst>
        </c:ser>
        <c:ser>
          <c:idx val="1"/>
          <c:order val="1"/>
          <c:tx>
            <c:strRef>
              <c:f>'TABLERO 2017'!$E$5</c:f>
              <c:strCache>
                <c:ptCount val="1"/>
                <c:pt idx="0">
                  <c:v>TOTAL METAS</c:v>
                </c:pt>
              </c:strCache>
            </c:strRef>
          </c:tx>
          <c:spPr>
            <a:solidFill>
              <a:srgbClr val="0066FF"/>
            </a:solidFill>
          </c:spPr>
          <c:invertIfNegative val="0"/>
          <c:cat>
            <c:strRef>
              <c:f>'TABLERO 2017'!$C$15</c:f>
              <c:strCache>
                <c:ptCount val="1"/>
                <c:pt idx="0">
                  <c:v>Ambiental</c:v>
                </c:pt>
              </c:strCache>
            </c:strRef>
          </c:cat>
          <c:val>
            <c:numRef>
              <c:f>'TABLERO 2017'!$E$15</c:f>
              <c:numCache>
                <c:formatCode>General</c:formatCode>
                <c:ptCount val="1"/>
                <c:pt idx="0">
                  <c:v>31</c:v>
                </c:pt>
              </c:numCache>
            </c:numRef>
          </c:val>
          <c:extLst xmlns:c16r2="http://schemas.microsoft.com/office/drawing/2015/06/chart">
            <c:ext xmlns:c16="http://schemas.microsoft.com/office/drawing/2014/chart" uri="{C3380CC4-5D6E-409C-BE32-E72D297353CC}">
              <c16:uniqueId val="{00000001-6D77-4956-98FA-F9372B3EA6AE}"/>
            </c:ext>
          </c:extLst>
        </c:ser>
        <c:ser>
          <c:idx val="2"/>
          <c:order val="2"/>
          <c:tx>
            <c:strRef>
              <c:f>'TABLERO 2017'!$F$5</c:f>
              <c:strCache>
                <c:ptCount val="1"/>
                <c:pt idx="0">
                  <c:v>PROGRAMADAS 2017</c:v>
                </c:pt>
              </c:strCache>
            </c:strRef>
          </c:tx>
          <c:spPr>
            <a:solidFill>
              <a:schemeClr val="accent5">
                <a:lumMod val="75000"/>
              </a:schemeClr>
            </a:solidFill>
          </c:spPr>
          <c:invertIfNegative val="0"/>
          <c:cat>
            <c:strRef>
              <c:f>'TABLERO 2017'!$C$15</c:f>
              <c:strCache>
                <c:ptCount val="1"/>
                <c:pt idx="0">
                  <c:v>Ambiental</c:v>
                </c:pt>
              </c:strCache>
            </c:strRef>
          </c:cat>
          <c:val>
            <c:numRef>
              <c:f>'TABLERO 2017'!$F$15</c:f>
              <c:numCache>
                <c:formatCode>General</c:formatCode>
                <c:ptCount val="1"/>
                <c:pt idx="0">
                  <c:v>28</c:v>
                </c:pt>
              </c:numCache>
            </c:numRef>
          </c:val>
          <c:extLst xmlns:c16r2="http://schemas.microsoft.com/office/drawing/2015/06/chart">
            <c:ext xmlns:c16="http://schemas.microsoft.com/office/drawing/2014/chart" uri="{C3380CC4-5D6E-409C-BE32-E72D297353CC}">
              <c16:uniqueId val="{00000002-6D77-4956-98FA-F9372B3EA6AE}"/>
            </c:ext>
          </c:extLst>
        </c:ser>
        <c:ser>
          <c:idx val="3"/>
          <c:order val="3"/>
          <c:tx>
            <c:strRef>
              <c:f>'TABLERO 2017'!$G$5</c:f>
              <c:strCache>
                <c:ptCount val="1"/>
                <c:pt idx="0">
                  <c:v>VE</c:v>
                </c:pt>
              </c:strCache>
            </c:strRef>
          </c:tx>
          <c:spPr>
            <a:solidFill>
              <a:srgbClr val="92D050"/>
            </a:solidFill>
          </c:spPr>
          <c:invertIfNegative val="0"/>
          <c:cat>
            <c:strRef>
              <c:f>'TABLERO 2017'!$C$15</c:f>
              <c:strCache>
                <c:ptCount val="1"/>
                <c:pt idx="0">
                  <c:v>Ambiental</c:v>
                </c:pt>
              </c:strCache>
            </c:strRef>
          </c:cat>
          <c:val>
            <c:numRef>
              <c:f>'TABLERO 2017'!$G$15</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3-6D77-4956-98FA-F9372B3EA6AE}"/>
            </c:ext>
          </c:extLst>
        </c:ser>
        <c:ser>
          <c:idx val="4"/>
          <c:order val="4"/>
          <c:tx>
            <c:strRef>
              <c:f>'TABLERO 2017'!$H$5</c:f>
              <c:strCache>
                <c:ptCount val="1"/>
                <c:pt idx="0">
                  <c:v>AM</c:v>
                </c:pt>
              </c:strCache>
            </c:strRef>
          </c:tx>
          <c:spPr>
            <a:solidFill>
              <a:srgbClr val="FFFF00"/>
            </a:solidFill>
          </c:spPr>
          <c:invertIfNegative val="0"/>
          <c:cat>
            <c:strRef>
              <c:f>'TABLERO 2017'!$C$15</c:f>
              <c:strCache>
                <c:ptCount val="1"/>
                <c:pt idx="0">
                  <c:v>Ambiental</c:v>
                </c:pt>
              </c:strCache>
            </c:strRef>
          </c:cat>
          <c:val>
            <c:numRef>
              <c:f>'TABLERO 2017'!$H$15</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6D77-4956-98FA-F9372B3EA6AE}"/>
            </c:ext>
          </c:extLst>
        </c:ser>
        <c:ser>
          <c:idx val="5"/>
          <c:order val="5"/>
          <c:tx>
            <c:strRef>
              <c:f>'TABLERO 2017'!$I$5</c:f>
              <c:strCache>
                <c:ptCount val="1"/>
                <c:pt idx="0">
                  <c:v>RO</c:v>
                </c:pt>
              </c:strCache>
            </c:strRef>
          </c:tx>
          <c:invertIfNegative val="0"/>
          <c:cat>
            <c:strRef>
              <c:f>'TABLERO 2017'!$C$15</c:f>
              <c:strCache>
                <c:ptCount val="1"/>
                <c:pt idx="0">
                  <c:v>Ambiental</c:v>
                </c:pt>
              </c:strCache>
            </c:strRef>
          </c:cat>
          <c:val>
            <c:numRef>
              <c:f>'TABLERO 2017'!$I$15</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5-6D77-4956-98FA-F9372B3EA6AE}"/>
            </c:ext>
          </c:extLst>
        </c:ser>
        <c:ser>
          <c:idx val="6"/>
          <c:order val="6"/>
          <c:tx>
            <c:strRef>
              <c:f>'TABLERO 2017'!$J$5</c:f>
              <c:strCache>
                <c:ptCount val="1"/>
                <c:pt idx="0">
                  <c:v>AZ</c:v>
                </c:pt>
              </c:strCache>
            </c:strRef>
          </c:tx>
          <c:spPr>
            <a:solidFill>
              <a:srgbClr val="00B0F0"/>
            </a:solidFill>
          </c:spPr>
          <c:invertIfNegative val="0"/>
          <c:cat>
            <c:strRef>
              <c:f>'TABLERO 2017'!$C$15</c:f>
              <c:strCache>
                <c:ptCount val="1"/>
                <c:pt idx="0">
                  <c:v>Ambiental</c:v>
                </c:pt>
              </c:strCache>
            </c:strRef>
          </c:cat>
          <c:val>
            <c:numRef>
              <c:f>'TABLERO 2017'!$J$15</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6-6D77-4956-98FA-F9372B3EA6AE}"/>
            </c:ext>
          </c:extLst>
        </c:ser>
        <c:dLbls>
          <c:showLegendKey val="0"/>
          <c:showVal val="0"/>
          <c:showCatName val="0"/>
          <c:showSerName val="0"/>
          <c:showPercent val="0"/>
          <c:showBubbleSize val="0"/>
        </c:dLbls>
        <c:gapWidth val="75"/>
        <c:overlap val="-25"/>
        <c:axId val="181085184"/>
        <c:axId val="181218112"/>
      </c:barChart>
      <c:catAx>
        <c:axId val="181085184"/>
        <c:scaling>
          <c:orientation val="minMax"/>
        </c:scaling>
        <c:delete val="0"/>
        <c:axPos val="b"/>
        <c:numFmt formatCode="General" sourceLinked="0"/>
        <c:majorTickMark val="none"/>
        <c:minorTickMark val="none"/>
        <c:tickLblPos val="nextTo"/>
        <c:txPr>
          <a:bodyPr/>
          <a:lstStyle/>
          <a:p>
            <a:pPr>
              <a:defRPr lang="es-ES"/>
            </a:pPr>
            <a:endParaRPr lang="es-CO"/>
          </a:p>
        </c:txPr>
        <c:crossAx val="181218112"/>
        <c:crosses val="autoZero"/>
        <c:auto val="1"/>
        <c:lblAlgn val="ctr"/>
        <c:lblOffset val="100"/>
        <c:noMultiLvlLbl val="0"/>
      </c:catAx>
      <c:valAx>
        <c:axId val="181218112"/>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1085184"/>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a:t>
            </a:r>
            <a:r>
              <a:rPr lang="es-CO" sz="1600" baseline="0"/>
              <a:t> SECTOR ATENCION DESASTRES 2017</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2016'!$C$16</c:f>
              <c:strCache>
                <c:ptCount val="1"/>
                <c:pt idx="0">
                  <c:v>Prevención y atención de desastres</c:v>
                </c:pt>
              </c:strCache>
            </c:strRef>
          </c:cat>
          <c:val>
            <c:numRef>
              <c:f>'TABLERO 2016'!$D$16</c:f>
            </c:numRef>
          </c:val>
          <c:extLst xmlns:c16r2="http://schemas.microsoft.com/office/drawing/2015/06/chart">
            <c:ext xmlns:c16="http://schemas.microsoft.com/office/drawing/2014/chart" uri="{C3380CC4-5D6E-409C-BE32-E72D297353CC}">
              <c16:uniqueId val="{00000000-B4DE-4EA8-A904-1A5EE8C21D94}"/>
            </c:ext>
          </c:extLst>
        </c:ser>
        <c:ser>
          <c:idx val="1"/>
          <c:order val="1"/>
          <c:tx>
            <c:strRef>
              <c:f>'TABLERO 2017'!$E$5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2017'!$C$16</c:f>
              <c:strCache>
                <c:ptCount val="1"/>
                <c:pt idx="0">
                  <c:v>Prevención y atención de desastres</c:v>
                </c:pt>
              </c:strCache>
            </c:strRef>
          </c:cat>
          <c:val>
            <c:numRef>
              <c:f>'TABLERO 2017'!$E$16</c:f>
              <c:numCache>
                <c:formatCode>General</c:formatCode>
                <c:ptCount val="1"/>
                <c:pt idx="0">
                  <c:v>13</c:v>
                </c:pt>
              </c:numCache>
            </c:numRef>
          </c:val>
          <c:extLst xmlns:c16r2="http://schemas.microsoft.com/office/drawing/2015/06/chart">
            <c:ext xmlns:c16="http://schemas.microsoft.com/office/drawing/2014/chart" uri="{C3380CC4-5D6E-409C-BE32-E72D297353CC}">
              <c16:uniqueId val="{00000001-B4DE-4EA8-A904-1A5EE8C21D94}"/>
            </c:ext>
          </c:extLst>
        </c:ser>
        <c:ser>
          <c:idx val="2"/>
          <c:order val="2"/>
          <c:tx>
            <c:strRef>
              <c:f>'TABLERO 2017'!$F$5</c:f>
              <c:strCache>
                <c:ptCount val="1"/>
                <c:pt idx="0">
                  <c:v>PROGRAMADAS 2017</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2017'!$C$16</c:f>
              <c:strCache>
                <c:ptCount val="1"/>
                <c:pt idx="0">
                  <c:v>Prevención y atención de desastres</c:v>
                </c:pt>
              </c:strCache>
            </c:strRef>
          </c:cat>
          <c:val>
            <c:numRef>
              <c:f>'TABLERO 2017'!$F$16</c:f>
              <c:numCache>
                <c:formatCode>General</c:formatCode>
                <c:ptCount val="1"/>
                <c:pt idx="0">
                  <c:v>13</c:v>
                </c:pt>
              </c:numCache>
            </c:numRef>
          </c:val>
          <c:extLst xmlns:c16r2="http://schemas.microsoft.com/office/drawing/2015/06/chart">
            <c:ext xmlns:c16="http://schemas.microsoft.com/office/drawing/2014/chart" uri="{C3380CC4-5D6E-409C-BE32-E72D297353CC}">
              <c16:uniqueId val="{00000002-B4DE-4EA8-A904-1A5EE8C21D94}"/>
            </c:ext>
          </c:extLst>
        </c:ser>
        <c:ser>
          <c:idx val="3"/>
          <c:order val="3"/>
          <c:tx>
            <c:strRef>
              <c:f>'TABLERO 2017'!$G$5</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2017'!$C$16</c:f>
              <c:strCache>
                <c:ptCount val="1"/>
                <c:pt idx="0">
                  <c:v>Prevención y atención de desastres</c:v>
                </c:pt>
              </c:strCache>
            </c:strRef>
          </c:cat>
          <c:val>
            <c:numRef>
              <c:f>'TABLERO 2017'!$G$16</c:f>
              <c:numCache>
                <c:formatCode>General</c:formatCode>
                <c:ptCount val="1"/>
                <c:pt idx="0">
                  <c:v>11</c:v>
                </c:pt>
              </c:numCache>
            </c:numRef>
          </c:val>
          <c:extLst xmlns:c16r2="http://schemas.microsoft.com/office/drawing/2015/06/chart">
            <c:ext xmlns:c16="http://schemas.microsoft.com/office/drawing/2014/chart" uri="{C3380CC4-5D6E-409C-BE32-E72D297353CC}">
              <c16:uniqueId val="{00000003-B4DE-4EA8-A904-1A5EE8C21D94}"/>
            </c:ext>
          </c:extLst>
        </c:ser>
        <c:ser>
          <c:idx val="4"/>
          <c:order val="4"/>
          <c:tx>
            <c:strRef>
              <c:f>'TABLERO 2017'!$H$5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2017'!$C$16</c:f>
              <c:strCache>
                <c:ptCount val="1"/>
                <c:pt idx="0">
                  <c:v>Prevención y atención de desastres</c:v>
                </c:pt>
              </c:strCache>
            </c:strRef>
          </c:cat>
          <c:val>
            <c:numRef>
              <c:f>'TABLERO 2017'!$H$16</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4-B4DE-4EA8-A904-1A5EE8C21D94}"/>
            </c:ext>
          </c:extLst>
        </c:ser>
        <c:ser>
          <c:idx val="5"/>
          <c:order val="5"/>
          <c:tx>
            <c:strRef>
              <c:f>'TABLERO 2017'!$I$5</c:f>
              <c:strCache>
                <c:ptCount val="1"/>
                <c:pt idx="0">
                  <c:v>RO</c:v>
                </c:pt>
              </c:strCache>
            </c:strRef>
          </c:tx>
          <c:invertIfNegative val="0"/>
          <c:cat>
            <c:strRef>
              <c:f>'TABLERO 2017'!$C$16</c:f>
              <c:strCache>
                <c:ptCount val="1"/>
                <c:pt idx="0">
                  <c:v>Prevención y atención de desastres</c:v>
                </c:pt>
              </c:strCache>
            </c:strRef>
          </c:cat>
          <c:val>
            <c:numRef>
              <c:f>'TABLERO 2017'!$I$16</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5-B4DE-4EA8-A904-1A5EE8C21D94}"/>
            </c:ext>
          </c:extLst>
        </c:ser>
        <c:ser>
          <c:idx val="6"/>
          <c:order val="6"/>
          <c:tx>
            <c:strRef>
              <c:f>'TABLERO 2017'!$J$5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2017'!$C$16</c:f>
              <c:strCache>
                <c:ptCount val="1"/>
                <c:pt idx="0">
                  <c:v>Prevención y atención de desastres</c:v>
                </c:pt>
              </c:strCache>
            </c:strRef>
          </c:cat>
          <c:val>
            <c:numRef>
              <c:f>'TABLERO 2017'!$J$16</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B4DE-4EA8-A904-1A5EE8C21D94}"/>
            </c:ext>
          </c:extLst>
        </c:ser>
        <c:dLbls>
          <c:showLegendKey val="0"/>
          <c:showVal val="0"/>
          <c:showCatName val="0"/>
          <c:showSerName val="0"/>
          <c:showPercent val="0"/>
          <c:showBubbleSize val="0"/>
        </c:dLbls>
        <c:gapWidth val="75"/>
        <c:overlap val="-25"/>
        <c:axId val="181559808"/>
        <c:axId val="181220416"/>
      </c:barChart>
      <c:catAx>
        <c:axId val="181559808"/>
        <c:scaling>
          <c:orientation val="minMax"/>
        </c:scaling>
        <c:delete val="0"/>
        <c:axPos val="b"/>
        <c:numFmt formatCode="General" sourceLinked="0"/>
        <c:majorTickMark val="none"/>
        <c:minorTickMark val="none"/>
        <c:tickLblPos val="nextTo"/>
        <c:txPr>
          <a:bodyPr/>
          <a:lstStyle/>
          <a:p>
            <a:pPr>
              <a:defRPr lang="es-ES"/>
            </a:pPr>
            <a:endParaRPr lang="es-CO"/>
          </a:p>
        </c:txPr>
        <c:crossAx val="181220416"/>
        <c:crosses val="autoZero"/>
        <c:auto val="1"/>
        <c:lblAlgn val="ctr"/>
        <c:lblOffset val="100"/>
        <c:noMultiLvlLbl val="0"/>
      </c:catAx>
      <c:valAx>
        <c:axId val="181220416"/>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1559808"/>
        <c:crosses val="autoZero"/>
        <c:crossBetween val="between"/>
      </c:valAx>
      <c:spPr>
        <a:solidFill>
          <a:schemeClr val="accent4">
            <a:lumMod val="20000"/>
            <a:lumOff val="80000"/>
          </a:schemeClr>
        </a:solidFill>
      </c:spPr>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PROMOCION DESARROLLO 2017</a:t>
            </a:r>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2016'!$C$17</c:f>
              <c:strCache>
                <c:ptCount val="1"/>
                <c:pt idx="0">
                  <c:v>Promoción del desarrollo</c:v>
                </c:pt>
              </c:strCache>
            </c:strRef>
          </c:cat>
          <c:val>
            <c:numRef>
              <c:f>'TABLERO 2016'!$D$17</c:f>
            </c:numRef>
          </c:val>
          <c:extLst xmlns:c16r2="http://schemas.microsoft.com/office/drawing/2015/06/chart">
            <c:ext xmlns:c16="http://schemas.microsoft.com/office/drawing/2014/chart" uri="{C3380CC4-5D6E-409C-BE32-E72D297353CC}">
              <c16:uniqueId val="{00000000-724A-438D-86F9-BB8EA61BCDA2}"/>
            </c:ext>
          </c:extLst>
        </c:ser>
        <c:ser>
          <c:idx val="1"/>
          <c:order val="1"/>
          <c:tx>
            <c:strRef>
              <c:f>'TABLERO 2017'!$E$5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2017'!$C$17</c:f>
              <c:strCache>
                <c:ptCount val="1"/>
                <c:pt idx="0">
                  <c:v>Promoción del desarrollo</c:v>
                </c:pt>
              </c:strCache>
            </c:strRef>
          </c:cat>
          <c:val>
            <c:numRef>
              <c:f>'TABLERO 2017'!$E$17</c:f>
              <c:numCache>
                <c:formatCode>General</c:formatCode>
                <c:ptCount val="1"/>
                <c:pt idx="0">
                  <c:v>27</c:v>
                </c:pt>
              </c:numCache>
            </c:numRef>
          </c:val>
          <c:extLst xmlns:c16r2="http://schemas.microsoft.com/office/drawing/2015/06/chart">
            <c:ext xmlns:c16="http://schemas.microsoft.com/office/drawing/2014/chart" uri="{C3380CC4-5D6E-409C-BE32-E72D297353CC}">
              <c16:uniqueId val="{00000001-724A-438D-86F9-BB8EA61BCDA2}"/>
            </c:ext>
          </c:extLst>
        </c:ser>
        <c:ser>
          <c:idx val="2"/>
          <c:order val="2"/>
          <c:tx>
            <c:strRef>
              <c:f>'TABLERO 2017'!$F$5</c:f>
              <c:strCache>
                <c:ptCount val="1"/>
                <c:pt idx="0">
                  <c:v>PROGRAMADAS 2017</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2017'!$C$17</c:f>
              <c:strCache>
                <c:ptCount val="1"/>
                <c:pt idx="0">
                  <c:v>Promoción del desarrollo</c:v>
                </c:pt>
              </c:strCache>
            </c:strRef>
          </c:cat>
          <c:val>
            <c:numRef>
              <c:f>'TABLERO 2017'!$F$17</c:f>
              <c:numCache>
                <c:formatCode>General</c:formatCode>
                <c:ptCount val="1"/>
                <c:pt idx="0">
                  <c:v>17</c:v>
                </c:pt>
              </c:numCache>
            </c:numRef>
          </c:val>
          <c:extLst xmlns:c16r2="http://schemas.microsoft.com/office/drawing/2015/06/chart">
            <c:ext xmlns:c16="http://schemas.microsoft.com/office/drawing/2014/chart" uri="{C3380CC4-5D6E-409C-BE32-E72D297353CC}">
              <c16:uniqueId val="{00000002-724A-438D-86F9-BB8EA61BCDA2}"/>
            </c:ext>
          </c:extLst>
        </c:ser>
        <c:ser>
          <c:idx val="3"/>
          <c:order val="3"/>
          <c:tx>
            <c:strRef>
              <c:f>'TABLERO 2017'!$G$5</c:f>
              <c:strCache>
                <c:ptCount val="1"/>
                <c:pt idx="0">
                  <c:v>VE</c:v>
                </c:pt>
              </c:strCache>
            </c:strRef>
          </c:tx>
          <c:spPr>
            <a:solidFill>
              <a:srgbClr val="92D050"/>
            </a:solidFill>
            <a:ln>
              <a:solidFill>
                <a:srgbClr val="92D050"/>
              </a:solidFill>
            </a:ln>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2017'!$C$17</c:f>
              <c:strCache>
                <c:ptCount val="1"/>
                <c:pt idx="0">
                  <c:v>Promoción del desarrollo</c:v>
                </c:pt>
              </c:strCache>
            </c:strRef>
          </c:cat>
          <c:val>
            <c:numRef>
              <c:f>'TABLERO 2017'!$G$17</c:f>
              <c:numCache>
                <c:formatCode>General</c:formatCode>
                <c:ptCount val="1"/>
                <c:pt idx="0">
                  <c:v>11</c:v>
                </c:pt>
              </c:numCache>
            </c:numRef>
          </c:val>
          <c:extLst xmlns:c16r2="http://schemas.microsoft.com/office/drawing/2015/06/chart">
            <c:ext xmlns:c16="http://schemas.microsoft.com/office/drawing/2014/chart" uri="{C3380CC4-5D6E-409C-BE32-E72D297353CC}">
              <c16:uniqueId val="{00000003-724A-438D-86F9-BB8EA61BCDA2}"/>
            </c:ext>
          </c:extLst>
        </c:ser>
        <c:ser>
          <c:idx val="4"/>
          <c:order val="4"/>
          <c:tx>
            <c:strRef>
              <c:f>'TABLERO 2017'!$H$5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2017'!$C$17</c:f>
              <c:strCache>
                <c:ptCount val="1"/>
                <c:pt idx="0">
                  <c:v>Promoción del desarrollo</c:v>
                </c:pt>
              </c:strCache>
            </c:strRef>
          </c:cat>
          <c:val>
            <c:numRef>
              <c:f>'TABLERO 2017'!$H$17</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4-724A-438D-86F9-BB8EA61BCDA2}"/>
            </c:ext>
          </c:extLst>
        </c:ser>
        <c:ser>
          <c:idx val="5"/>
          <c:order val="5"/>
          <c:tx>
            <c:strRef>
              <c:f>'TABLERO 2017'!$I$5</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2017'!$C$17</c:f>
              <c:strCache>
                <c:ptCount val="1"/>
                <c:pt idx="0">
                  <c:v>Promoción del desarrollo</c:v>
                </c:pt>
              </c:strCache>
            </c:strRef>
          </c:cat>
          <c:val>
            <c:numRef>
              <c:f>'TABLERO 2017'!$I$17</c:f>
              <c:numCache>
                <c:formatCode>General</c:formatCode>
                <c:ptCount val="1"/>
                <c:pt idx="0">
                  <c:v>5</c:v>
                </c:pt>
              </c:numCache>
            </c:numRef>
          </c:val>
          <c:extLst xmlns:c16r2="http://schemas.microsoft.com/office/drawing/2015/06/chart">
            <c:ext xmlns:c16="http://schemas.microsoft.com/office/drawing/2014/chart" uri="{C3380CC4-5D6E-409C-BE32-E72D297353CC}">
              <c16:uniqueId val="{00000005-724A-438D-86F9-BB8EA61BCDA2}"/>
            </c:ext>
          </c:extLst>
        </c:ser>
        <c:ser>
          <c:idx val="6"/>
          <c:order val="6"/>
          <c:tx>
            <c:strRef>
              <c:f>'TABLERO 2017'!$J$5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2017'!$C$17</c:f>
              <c:strCache>
                <c:ptCount val="1"/>
                <c:pt idx="0">
                  <c:v>Promoción del desarrollo</c:v>
                </c:pt>
              </c:strCache>
            </c:strRef>
          </c:cat>
          <c:val>
            <c:numRef>
              <c:f>'TABLERO 2017'!$J$17</c:f>
              <c:numCache>
                <c:formatCode>General</c:formatCode>
                <c:ptCount val="1"/>
                <c:pt idx="0">
                  <c:v>10</c:v>
                </c:pt>
              </c:numCache>
            </c:numRef>
          </c:val>
          <c:extLst xmlns:c16r2="http://schemas.microsoft.com/office/drawing/2015/06/chart">
            <c:ext xmlns:c16="http://schemas.microsoft.com/office/drawing/2014/chart" uri="{C3380CC4-5D6E-409C-BE32-E72D297353CC}">
              <c16:uniqueId val="{00000006-724A-438D-86F9-BB8EA61BCDA2}"/>
            </c:ext>
          </c:extLst>
        </c:ser>
        <c:dLbls>
          <c:showLegendKey val="0"/>
          <c:showVal val="0"/>
          <c:showCatName val="0"/>
          <c:showSerName val="0"/>
          <c:showPercent val="0"/>
          <c:showBubbleSize val="0"/>
        </c:dLbls>
        <c:gapWidth val="75"/>
        <c:overlap val="-25"/>
        <c:axId val="181561344"/>
        <c:axId val="181222720"/>
      </c:barChart>
      <c:catAx>
        <c:axId val="181561344"/>
        <c:scaling>
          <c:orientation val="minMax"/>
        </c:scaling>
        <c:delete val="0"/>
        <c:axPos val="b"/>
        <c:numFmt formatCode="General" sourceLinked="0"/>
        <c:majorTickMark val="none"/>
        <c:minorTickMark val="none"/>
        <c:tickLblPos val="nextTo"/>
        <c:txPr>
          <a:bodyPr/>
          <a:lstStyle/>
          <a:p>
            <a:pPr>
              <a:defRPr lang="es-ES"/>
            </a:pPr>
            <a:endParaRPr lang="es-CO"/>
          </a:p>
        </c:txPr>
        <c:crossAx val="181222720"/>
        <c:crosses val="autoZero"/>
        <c:auto val="1"/>
        <c:lblAlgn val="ctr"/>
        <c:lblOffset val="100"/>
        <c:noMultiLvlLbl val="0"/>
      </c:catAx>
      <c:valAx>
        <c:axId val="181222720"/>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1561344"/>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cmpd="dbl">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a:t>
            </a:r>
            <a:r>
              <a:rPr lang="es-CO" sz="1600" baseline="0"/>
              <a:t> GRUPOS VULNERABLES 2017</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2016'!$C$18</c:f>
              <c:strCache>
                <c:ptCount val="1"/>
                <c:pt idx="0">
                  <c:v>Atención a grupos vulnerables - promoción social</c:v>
                </c:pt>
              </c:strCache>
            </c:strRef>
          </c:cat>
          <c:val>
            <c:numRef>
              <c:f>'TABLERO 2016'!$D$18</c:f>
            </c:numRef>
          </c:val>
          <c:extLst xmlns:c16r2="http://schemas.microsoft.com/office/drawing/2015/06/chart">
            <c:ext xmlns:c16="http://schemas.microsoft.com/office/drawing/2014/chart" uri="{C3380CC4-5D6E-409C-BE32-E72D297353CC}">
              <c16:uniqueId val="{00000000-72F1-4EFD-AF82-8875CF8E3E84}"/>
            </c:ext>
          </c:extLst>
        </c:ser>
        <c:ser>
          <c:idx val="1"/>
          <c:order val="1"/>
          <c:tx>
            <c:strRef>
              <c:f>'TABLERO 2017'!$E$5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2017'!$C$18</c:f>
              <c:strCache>
                <c:ptCount val="1"/>
                <c:pt idx="0">
                  <c:v>Atención a grupos vulnerables - promoción social</c:v>
                </c:pt>
              </c:strCache>
            </c:strRef>
          </c:cat>
          <c:val>
            <c:numRef>
              <c:f>'TABLERO 2017'!$E$18</c:f>
              <c:numCache>
                <c:formatCode>General</c:formatCode>
                <c:ptCount val="1"/>
                <c:pt idx="0">
                  <c:v>94</c:v>
                </c:pt>
              </c:numCache>
            </c:numRef>
          </c:val>
          <c:extLst xmlns:c16r2="http://schemas.microsoft.com/office/drawing/2015/06/chart">
            <c:ext xmlns:c16="http://schemas.microsoft.com/office/drawing/2014/chart" uri="{C3380CC4-5D6E-409C-BE32-E72D297353CC}">
              <c16:uniqueId val="{00000001-72F1-4EFD-AF82-8875CF8E3E84}"/>
            </c:ext>
          </c:extLst>
        </c:ser>
        <c:ser>
          <c:idx val="2"/>
          <c:order val="2"/>
          <c:tx>
            <c:strRef>
              <c:f>'TABLERO 2017'!$F$5</c:f>
              <c:strCache>
                <c:ptCount val="1"/>
                <c:pt idx="0">
                  <c:v>PROGRAMADAS 2017</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2017'!$C$18</c:f>
              <c:strCache>
                <c:ptCount val="1"/>
                <c:pt idx="0">
                  <c:v>Atención a grupos vulnerables - promoción social</c:v>
                </c:pt>
              </c:strCache>
            </c:strRef>
          </c:cat>
          <c:val>
            <c:numRef>
              <c:f>'TABLERO 2017'!$F$18</c:f>
              <c:numCache>
                <c:formatCode>General</c:formatCode>
                <c:ptCount val="1"/>
                <c:pt idx="0">
                  <c:v>81</c:v>
                </c:pt>
              </c:numCache>
            </c:numRef>
          </c:val>
          <c:extLst xmlns:c16r2="http://schemas.microsoft.com/office/drawing/2015/06/chart">
            <c:ext xmlns:c16="http://schemas.microsoft.com/office/drawing/2014/chart" uri="{C3380CC4-5D6E-409C-BE32-E72D297353CC}">
              <c16:uniqueId val="{00000002-72F1-4EFD-AF82-8875CF8E3E84}"/>
            </c:ext>
          </c:extLst>
        </c:ser>
        <c:ser>
          <c:idx val="3"/>
          <c:order val="3"/>
          <c:tx>
            <c:strRef>
              <c:f>'TABLERO 2017'!$G$5</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2017'!$C$18</c:f>
              <c:strCache>
                <c:ptCount val="1"/>
                <c:pt idx="0">
                  <c:v>Atención a grupos vulnerables - promoción social</c:v>
                </c:pt>
              </c:strCache>
            </c:strRef>
          </c:cat>
          <c:val>
            <c:numRef>
              <c:f>'TABLERO 2017'!$G$18</c:f>
              <c:numCache>
                <c:formatCode>General</c:formatCode>
                <c:ptCount val="1"/>
                <c:pt idx="0">
                  <c:v>68</c:v>
                </c:pt>
              </c:numCache>
            </c:numRef>
          </c:val>
          <c:extLst xmlns:c16r2="http://schemas.microsoft.com/office/drawing/2015/06/chart">
            <c:ext xmlns:c16="http://schemas.microsoft.com/office/drawing/2014/chart" uri="{C3380CC4-5D6E-409C-BE32-E72D297353CC}">
              <c16:uniqueId val="{00000003-72F1-4EFD-AF82-8875CF8E3E84}"/>
            </c:ext>
          </c:extLst>
        </c:ser>
        <c:ser>
          <c:idx val="4"/>
          <c:order val="4"/>
          <c:tx>
            <c:strRef>
              <c:f>'TABLERO 2017'!$H$5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2017'!$C$18</c:f>
              <c:strCache>
                <c:ptCount val="1"/>
                <c:pt idx="0">
                  <c:v>Atención a grupos vulnerables - promoción social</c:v>
                </c:pt>
              </c:strCache>
            </c:strRef>
          </c:cat>
          <c:val>
            <c:numRef>
              <c:f>'TABLERO 2017'!$H$18</c:f>
              <c:numCache>
                <c:formatCode>General</c:formatCode>
                <c:ptCount val="1"/>
                <c:pt idx="0">
                  <c:v>8</c:v>
                </c:pt>
              </c:numCache>
            </c:numRef>
          </c:val>
          <c:extLst xmlns:c16r2="http://schemas.microsoft.com/office/drawing/2015/06/chart">
            <c:ext xmlns:c16="http://schemas.microsoft.com/office/drawing/2014/chart" uri="{C3380CC4-5D6E-409C-BE32-E72D297353CC}">
              <c16:uniqueId val="{00000004-72F1-4EFD-AF82-8875CF8E3E84}"/>
            </c:ext>
          </c:extLst>
        </c:ser>
        <c:ser>
          <c:idx val="5"/>
          <c:order val="5"/>
          <c:tx>
            <c:strRef>
              <c:f>'TABLERO 2017'!$I$5</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2017'!$C$18</c:f>
              <c:strCache>
                <c:ptCount val="1"/>
                <c:pt idx="0">
                  <c:v>Atención a grupos vulnerables - promoción social</c:v>
                </c:pt>
              </c:strCache>
            </c:strRef>
          </c:cat>
          <c:val>
            <c:numRef>
              <c:f>'TABLERO 2017'!$I$18</c:f>
              <c:numCache>
                <c:formatCode>General</c:formatCode>
                <c:ptCount val="1"/>
                <c:pt idx="0">
                  <c:v>5</c:v>
                </c:pt>
              </c:numCache>
            </c:numRef>
          </c:val>
          <c:extLst xmlns:c16r2="http://schemas.microsoft.com/office/drawing/2015/06/chart">
            <c:ext xmlns:c16="http://schemas.microsoft.com/office/drawing/2014/chart" uri="{C3380CC4-5D6E-409C-BE32-E72D297353CC}">
              <c16:uniqueId val="{00000005-72F1-4EFD-AF82-8875CF8E3E84}"/>
            </c:ext>
          </c:extLst>
        </c:ser>
        <c:ser>
          <c:idx val="6"/>
          <c:order val="6"/>
          <c:tx>
            <c:strRef>
              <c:f>'TABLERO 2017'!$J$5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2017'!$C$18</c:f>
              <c:strCache>
                <c:ptCount val="1"/>
                <c:pt idx="0">
                  <c:v>Atención a grupos vulnerables - promoción social</c:v>
                </c:pt>
              </c:strCache>
            </c:strRef>
          </c:cat>
          <c:val>
            <c:numRef>
              <c:f>'TABLERO 2017'!$J$18</c:f>
              <c:numCache>
                <c:formatCode>General</c:formatCode>
                <c:ptCount val="1"/>
                <c:pt idx="0">
                  <c:v>13</c:v>
                </c:pt>
              </c:numCache>
            </c:numRef>
          </c:val>
          <c:extLst xmlns:c16r2="http://schemas.microsoft.com/office/drawing/2015/06/chart">
            <c:ext xmlns:c16="http://schemas.microsoft.com/office/drawing/2014/chart" uri="{C3380CC4-5D6E-409C-BE32-E72D297353CC}">
              <c16:uniqueId val="{00000006-72F1-4EFD-AF82-8875CF8E3E84}"/>
            </c:ext>
          </c:extLst>
        </c:ser>
        <c:dLbls>
          <c:showLegendKey val="0"/>
          <c:showVal val="0"/>
          <c:showCatName val="0"/>
          <c:showSerName val="0"/>
          <c:showPercent val="0"/>
          <c:showBubbleSize val="0"/>
        </c:dLbls>
        <c:gapWidth val="75"/>
        <c:overlap val="-25"/>
        <c:axId val="182173696"/>
        <c:axId val="181741248"/>
      </c:barChart>
      <c:catAx>
        <c:axId val="182173696"/>
        <c:scaling>
          <c:orientation val="minMax"/>
        </c:scaling>
        <c:delete val="0"/>
        <c:axPos val="b"/>
        <c:numFmt formatCode="General" sourceLinked="0"/>
        <c:majorTickMark val="none"/>
        <c:minorTickMark val="none"/>
        <c:tickLblPos val="nextTo"/>
        <c:txPr>
          <a:bodyPr/>
          <a:lstStyle/>
          <a:p>
            <a:pPr>
              <a:defRPr lang="es-ES"/>
            </a:pPr>
            <a:endParaRPr lang="es-CO"/>
          </a:p>
        </c:txPr>
        <c:crossAx val="181741248"/>
        <c:crosses val="autoZero"/>
        <c:auto val="1"/>
        <c:lblAlgn val="ctr"/>
        <c:lblOffset val="100"/>
        <c:noMultiLvlLbl val="0"/>
      </c:catAx>
      <c:valAx>
        <c:axId val="181741248"/>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2173696"/>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APSB</a:t>
            </a:r>
            <a:r>
              <a:rPr lang="es-CO" sz="1600" baseline="0"/>
              <a:t> 2016</a:t>
            </a:r>
          </a:p>
          <a:p>
            <a:pPr>
              <a:defRPr lang="es-ES" sz="1600"/>
            </a:pPr>
            <a:endParaRPr lang="es-CO" sz="1600"/>
          </a:p>
        </c:rich>
      </c:tx>
      <c:overlay val="0"/>
    </c:title>
    <c:autoTitleDeleted val="0"/>
    <c:plotArea>
      <c:layout/>
      <c:barChart>
        <c:barDir val="col"/>
        <c:grouping val="clustered"/>
        <c:varyColors val="0"/>
        <c:ser>
          <c:idx val="0"/>
          <c:order val="0"/>
          <c:tx>
            <c:v>PROGRAMADA 2016</c:v>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2016'!$F$8</c:f>
              <c:numCache>
                <c:formatCode>General</c:formatCode>
                <c:ptCount val="1"/>
                <c:pt idx="0">
                  <c:v>22</c:v>
                </c:pt>
              </c:numCache>
            </c:numRef>
          </c:val>
          <c:extLst xmlns:c16r2="http://schemas.microsoft.com/office/drawing/2015/06/chart">
            <c:ext xmlns:c16="http://schemas.microsoft.com/office/drawing/2014/chart" uri="{C3380CC4-5D6E-409C-BE32-E72D297353CC}">
              <c16:uniqueId val="{00000000-2BC1-4349-932B-658C3B78992E}"/>
            </c:ext>
          </c:extLst>
        </c:ser>
        <c:ser>
          <c:idx val="1"/>
          <c:order val="1"/>
          <c:tx>
            <c:v>CUMPLIDA</c:v>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2016'!$G$8</c:f>
              <c:numCache>
                <c:formatCode>General</c:formatCode>
                <c:ptCount val="1"/>
                <c:pt idx="0">
                  <c:v>21</c:v>
                </c:pt>
              </c:numCache>
            </c:numRef>
          </c:val>
          <c:extLst xmlns:c16r2="http://schemas.microsoft.com/office/drawing/2015/06/chart">
            <c:ext xmlns:c16="http://schemas.microsoft.com/office/drawing/2014/chart" uri="{C3380CC4-5D6E-409C-BE32-E72D297353CC}">
              <c16:uniqueId val="{00000001-2BC1-4349-932B-658C3B78992E}"/>
            </c:ext>
          </c:extLst>
        </c:ser>
        <c:ser>
          <c:idx val="2"/>
          <c:order val="2"/>
          <c:tx>
            <c:v>EJECUCION</c:v>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2016'!$H$8</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2-2BC1-4349-932B-658C3B78992E}"/>
            </c:ext>
          </c:extLst>
        </c:ser>
        <c:ser>
          <c:idx val="3"/>
          <c:order val="3"/>
          <c:tx>
            <c:v>SIN AVANCE</c:v>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2016'!$I$8</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3-2BC1-4349-932B-658C3B78992E}"/>
            </c:ext>
          </c:extLst>
        </c:ser>
        <c:ser>
          <c:idx val="4"/>
          <c:order val="4"/>
          <c:tx>
            <c:v>APLAZADA</c:v>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2016'!$J$8</c:f>
              <c:numCache>
                <c:formatCode>General</c:formatCode>
                <c:ptCount val="1"/>
                <c:pt idx="0">
                  <c:v>8</c:v>
                </c:pt>
              </c:numCache>
            </c:numRef>
          </c:val>
          <c:extLst xmlns:c16r2="http://schemas.microsoft.com/office/drawing/2015/06/chart">
            <c:ext xmlns:c16="http://schemas.microsoft.com/office/drawing/2014/chart" uri="{C3380CC4-5D6E-409C-BE32-E72D297353CC}">
              <c16:uniqueId val="{00000004-2BC1-4349-932B-658C3B78992E}"/>
            </c:ext>
          </c:extLst>
        </c:ser>
        <c:ser>
          <c:idx val="5"/>
          <c:order val="5"/>
          <c:tx>
            <c:v>% EJECUCION</c:v>
          </c:tx>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2016'!$K$8</c:f>
              <c:numCache>
                <c:formatCode>_-* #,##0.00_-;\-* #,##0.00_-;_-* "-"??_-;_-@_-</c:formatCode>
                <c:ptCount val="1"/>
                <c:pt idx="0">
                  <c:v>97.727272727272734</c:v>
                </c:pt>
              </c:numCache>
            </c:numRef>
          </c:val>
          <c:extLst xmlns:c16r2="http://schemas.microsoft.com/office/drawing/2015/06/chart">
            <c:ext xmlns:c16="http://schemas.microsoft.com/office/drawing/2014/chart" uri="{C3380CC4-5D6E-409C-BE32-E72D297353CC}">
              <c16:uniqueId val="{00000005-2BC1-4349-932B-658C3B78992E}"/>
            </c:ext>
          </c:extLst>
        </c:ser>
        <c:dLbls>
          <c:showLegendKey val="0"/>
          <c:showVal val="0"/>
          <c:showCatName val="0"/>
          <c:showSerName val="0"/>
          <c:showPercent val="0"/>
          <c:showBubbleSize val="0"/>
        </c:dLbls>
        <c:gapWidth val="75"/>
        <c:overlap val="-25"/>
        <c:axId val="175280640"/>
        <c:axId val="40122560"/>
      </c:barChart>
      <c:catAx>
        <c:axId val="175280640"/>
        <c:scaling>
          <c:orientation val="minMax"/>
        </c:scaling>
        <c:delete val="0"/>
        <c:axPos val="b"/>
        <c:numFmt formatCode="General" sourceLinked="0"/>
        <c:majorTickMark val="none"/>
        <c:minorTickMark val="none"/>
        <c:tickLblPos val="nextTo"/>
        <c:txPr>
          <a:bodyPr/>
          <a:lstStyle/>
          <a:p>
            <a:pPr>
              <a:defRPr lang="es-ES"/>
            </a:pPr>
            <a:endParaRPr lang="es-CO"/>
          </a:p>
        </c:txPr>
        <c:crossAx val="40122560"/>
        <c:crosses val="autoZero"/>
        <c:auto val="1"/>
        <c:lblAlgn val="ctr"/>
        <c:lblOffset val="100"/>
        <c:noMultiLvlLbl val="0"/>
      </c:catAx>
      <c:valAx>
        <c:axId val="40122560"/>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75280640"/>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cmpd="dbl">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a:t>
            </a:r>
            <a:r>
              <a:rPr lang="es-CO" sz="1600" baseline="0"/>
              <a:t> METAS SECTOR EQUIPAMIENTO 2017</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2016'!$C$19</c:f>
              <c:strCache>
                <c:ptCount val="1"/>
                <c:pt idx="0">
                  <c:v>Equipamiento </c:v>
                </c:pt>
              </c:strCache>
            </c:strRef>
          </c:cat>
          <c:val>
            <c:numRef>
              <c:f>'TABLERO 2016'!$D$19</c:f>
            </c:numRef>
          </c:val>
          <c:extLst xmlns:c16r2="http://schemas.microsoft.com/office/drawing/2015/06/chart">
            <c:ext xmlns:c16="http://schemas.microsoft.com/office/drawing/2014/chart" uri="{C3380CC4-5D6E-409C-BE32-E72D297353CC}">
              <c16:uniqueId val="{00000000-E72F-4536-B1A7-2E43EA74A39A}"/>
            </c:ext>
          </c:extLst>
        </c:ser>
        <c:ser>
          <c:idx val="1"/>
          <c:order val="1"/>
          <c:tx>
            <c:strRef>
              <c:f>'TABLERO 2017'!$E$5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2017'!$C$19</c:f>
              <c:strCache>
                <c:ptCount val="1"/>
                <c:pt idx="0">
                  <c:v>Equipamiento </c:v>
                </c:pt>
              </c:strCache>
            </c:strRef>
          </c:cat>
          <c:val>
            <c:numRef>
              <c:f>'TABLERO 2017'!$E$19</c:f>
              <c:numCache>
                <c:formatCode>General</c:formatCode>
                <c:ptCount val="1"/>
                <c:pt idx="0">
                  <c:v>8</c:v>
                </c:pt>
              </c:numCache>
            </c:numRef>
          </c:val>
          <c:extLst xmlns:c16r2="http://schemas.microsoft.com/office/drawing/2015/06/chart">
            <c:ext xmlns:c16="http://schemas.microsoft.com/office/drawing/2014/chart" uri="{C3380CC4-5D6E-409C-BE32-E72D297353CC}">
              <c16:uniqueId val="{00000001-E72F-4536-B1A7-2E43EA74A39A}"/>
            </c:ext>
          </c:extLst>
        </c:ser>
        <c:ser>
          <c:idx val="2"/>
          <c:order val="2"/>
          <c:tx>
            <c:strRef>
              <c:f>'TABLERO 2017'!$F$5</c:f>
              <c:strCache>
                <c:ptCount val="1"/>
                <c:pt idx="0">
                  <c:v>PROGRAMADAS 2017</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2017'!$C$19</c:f>
              <c:strCache>
                <c:ptCount val="1"/>
                <c:pt idx="0">
                  <c:v>Equipamiento </c:v>
                </c:pt>
              </c:strCache>
            </c:strRef>
          </c:cat>
          <c:val>
            <c:numRef>
              <c:f>'TABLERO 2017'!$F$19</c:f>
              <c:numCache>
                <c:formatCode>General</c:formatCode>
                <c:ptCount val="1"/>
                <c:pt idx="0">
                  <c:v>5</c:v>
                </c:pt>
              </c:numCache>
            </c:numRef>
          </c:val>
          <c:extLst xmlns:c16r2="http://schemas.microsoft.com/office/drawing/2015/06/chart">
            <c:ext xmlns:c16="http://schemas.microsoft.com/office/drawing/2014/chart" uri="{C3380CC4-5D6E-409C-BE32-E72D297353CC}">
              <c16:uniqueId val="{00000002-E72F-4536-B1A7-2E43EA74A39A}"/>
            </c:ext>
          </c:extLst>
        </c:ser>
        <c:ser>
          <c:idx val="3"/>
          <c:order val="3"/>
          <c:tx>
            <c:strRef>
              <c:f>'TABLERO 2017'!$G$5</c:f>
              <c:strCache>
                <c:ptCount val="1"/>
                <c:pt idx="0">
                  <c:v>VE</c:v>
                </c:pt>
              </c:strCache>
            </c:strRef>
          </c:tx>
          <c:invertIfNegative val="0"/>
          <c:cat>
            <c:strRef>
              <c:f>'TABLERO 2017'!$C$19</c:f>
              <c:strCache>
                <c:ptCount val="1"/>
                <c:pt idx="0">
                  <c:v>Equipamiento </c:v>
                </c:pt>
              </c:strCache>
            </c:strRef>
          </c:cat>
          <c:val>
            <c:numRef>
              <c:f>'TABLERO 2017'!$G$19</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3-E72F-4536-B1A7-2E43EA74A39A}"/>
            </c:ext>
          </c:extLst>
        </c:ser>
        <c:ser>
          <c:idx val="4"/>
          <c:order val="4"/>
          <c:tx>
            <c:strRef>
              <c:f>'TABLERO 2017'!$H$5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2017'!$C$19</c:f>
              <c:strCache>
                <c:ptCount val="1"/>
                <c:pt idx="0">
                  <c:v>Equipamiento </c:v>
                </c:pt>
              </c:strCache>
            </c:strRef>
          </c:cat>
          <c:val>
            <c:numRef>
              <c:f>'TABLERO 2017'!$H$19</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E72F-4536-B1A7-2E43EA74A39A}"/>
            </c:ext>
          </c:extLst>
        </c:ser>
        <c:ser>
          <c:idx val="5"/>
          <c:order val="5"/>
          <c:tx>
            <c:strRef>
              <c:f>'TABLERO 2017'!$I$5</c:f>
              <c:strCache>
                <c:ptCount val="1"/>
                <c:pt idx="0">
                  <c:v>RO</c:v>
                </c:pt>
              </c:strCache>
            </c:strRef>
          </c:tx>
          <c:invertIfNegative val="0"/>
          <c:cat>
            <c:strRef>
              <c:f>'TABLERO 2017'!$C$19</c:f>
              <c:strCache>
                <c:ptCount val="1"/>
                <c:pt idx="0">
                  <c:v>Equipamiento </c:v>
                </c:pt>
              </c:strCache>
            </c:strRef>
          </c:cat>
          <c:val>
            <c:numRef>
              <c:f>'TABLERO 2017'!$I$19</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5-E72F-4536-B1A7-2E43EA74A39A}"/>
            </c:ext>
          </c:extLst>
        </c:ser>
        <c:ser>
          <c:idx val="6"/>
          <c:order val="6"/>
          <c:tx>
            <c:strRef>
              <c:f>'TABLERO 2017'!$J$5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2017'!$C$19</c:f>
              <c:strCache>
                <c:ptCount val="1"/>
                <c:pt idx="0">
                  <c:v>Equipamiento </c:v>
                </c:pt>
              </c:strCache>
            </c:strRef>
          </c:cat>
          <c:val>
            <c:numRef>
              <c:f>'TABLERO 2017'!$J$19</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6-E72F-4536-B1A7-2E43EA74A39A}"/>
            </c:ext>
          </c:extLst>
        </c:ser>
        <c:dLbls>
          <c:showLegendKey val="0"/>
          <c:showVal val="0"/>
          <c:showCatName val="0"/>
          <c:showSerName val="0"/>
          <c:showPercent val="0"/>
          <c:showBubbleSize val="0"/>
        </c:dLbls>
        <c:gapWidth val="75"/>
        <c:overlap val="-25"/>
        <c:axId val="182175744"/>
        <c:axId val="181743552"/>
      </c:barChart>
      <c:catAx>
        <c:axId val="182175744"/>
        <c:scaling>
          <c:orientation val="minMax"/>
        </c:scaling>
        <c:delete val="0"/>
        <c:axPos val="b"/>
        <c:numFmt formatCode="General" sourceLinked="0"/>
        <c:majorTickMark val="none"/>
        <c:minorTickMark val="none"/>
        <c:tickLblPos val="nextTo"/>
        <c:txPr>
          <a:bodyPr/>
          <a:lstStyle/>
          <a:p>
            <a:pPr>
              <a:defRPr lang="es-ES"/>
            </a:pPr>
            <a:endParaRPr lang="es-CO"/>
          </a:p>
        </c:txPr>
        <c:crossAx val="181743552"/>
        <c:crosses val="autoZero"/>
        <c:auto val="1"/>
        <c:lblAlgn val="ctr"/>
        <c:lblOffset val="100"/>
        <c:noMultiLvlLbl val="0"/>
      </c:catAx>
      <c:valAx>
        <c:axId val="181743552"/>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2175744"/>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DESARROLLO COMUNITARIO 2017</a:t>
            </a:r>
          </a:p>
        </c:rich>
      </c:tx>
      <c:layout>
        <c:manualLayout>
          <c:xMode val="edge"/>
          <c:yMode val="edge"/>
          <c:x val="0.17191666666666672"/>
          <c:y val="2.7777777777777801E-2"/>
        </c:manualLayout>
      </c:layout>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2016'!$C$20</c:f>
              <c:strCache>
                <c:ptCount val="1"/>
                <c:pt idx="0">
                  <c:v>Desarrollo comunitario</c:v>
                </c:pt>
              </c:strCache>
            </c:strRef>
          </c:cat>
          <c:val>
            <c:numRef>
              <c:f>'TABLERO 2016'!$D$20</c:f>
            </c:numRef>
          </c:val>
          <c:extLst xmlns:c16r2="http://schemas.microsoft.com/office/drawing/2015/06/chart">
            <c:ext xmlns:c16="http://schemas.microsoft.com/office/drawing/2014/chart" uri="{C3380CC4-5D6E-409C-BE32-E72D297353CC}">
              <c16:uniqueId val="{00000000-4855-497A-A0D3-E6FAFAB1F513}"/>
            </c:ext>
          </c:extLst>
        </c:ser>
        <c:ser>
          <c:idx val="1"/>
          <c:order val="1"/>
          <c:tx>
            <c:strRef>
              <c:f>'TABLERO 2017'!$E$5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2017'!$C$20</c:f>
              <c:strCache>
                <c:ptCount val="1"/>
                <c:pt idx="0">
                  <c:v>Desarrollo comunitario</c:v>
                </c:pt>
              </c:strCache>
            </c:strRef>
          </c:cat>
          <c:val>
            <c:numRef>
              <c:f>'TABLERO 2017'!$E$20</c:f>
              <c:numCache>
                <c:formatCode>General</c:formatCode>
                <c:ptCount val="1"/>
                <c:pt idx="0">
                  <c:v>10</c:v>
                </c:pt>
              </c:numCache>
            </c:numRef>
          </c:val>
          <c:extLst xmlns:c16r2="http://schemas.microsoft.com/office/drawing/2015/06/chart">
            <c:ext xmlns:c16="http://schemas.microsoft.com/office/drawing/2014/chart" uri="{C3380CC4-5D6E-409C-BE32-E72D297353CC}">
              <c16:uniqueId val="{00000001-4855-497A-A0D3-E6FAFAB1F513}"/>
            </c:ext>
          </c:extLst>
        </c:ser>
        <c:ser>
          <c:idx val="2"/>
          <c:order val="2"/>
          <c:tx>
            <c:strRef>
              <c:f>'TABLERO 2017'!$F$5</c:f>
              <c:strCache>
                <c:ptCount val="1"/>
                <c:pt idx="0">
                  <c:v>PROGRAMADAS 2017</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2017'!$C$20</c:f>
              <c:strCache>
                <c:ptCount val="1"/>
                <c:pt idx="0">
                  <c:v>Desarrollo comunitario</c:v>
                </c:pt>
              </c:strCache>
            </c:strRef>
          </c:cat>
          <c:val>
            <c:numRef>
              <c:f>'TABLERO 2017'!$F$20</c:f>
              <c:numCache>
                <c:formatCode>General</c:formatCode>
                <c:ptCount val="1"/>
                <c:pt idx="0">
                  <c:v>10</c:v>
                </c:pt>
              </c:numCache>
            </c:numRef>
          </c:val>
          <c:extLst xmlns:c16r2="http://schemas.microsoft.com/office/drawing/2015/06/chart">
            <c:ext xmlns:c16="http://schemas.microsoft.com/office/drawing/2014/chart" uri="{C3380CC4-5D6E-409C-BE32-E72D297353CC}">
              <c16:uniqueId val="{00000002-4855-497A-A0D3-E6FAFAB1F513}"/>
            </c:ext>
          </c:extLst>
        </c:ser>
        <c:ser>
          <c:idx val="3"/>
          <c:order val="3"/>
          <c:tx>
            <c:strRef>
              <c:f>'TABLERO 2017'!$G$5</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2017'!$C$20</c:f>
              <c:strCache>
                <c:ptCount val="1"/>
                <c:pt idx="0">
                  <c:v>Desarrollo comunitario</c:v>
                </c:pt>
              </c:strCache>
            </c:strRef>
          </c:cat>
          <c:val>
            <c:numRef>
              <c:f>'TABLERO 2017'!$G$20</c:f>
              <c:numCache>
                <c:formatCode>General</c:formatCode>
                <c:ptCount val="1"/>
                <c:pt idx="0">
                  <c:v>10</c:v>
                </c:pt>
              </c:numCache>
            </c:numRef>
          </c:val>
          <c:extLst xmlns:c16r2="http://schemas.microsoft.com/office/drawing/2015/06/chart">
            <c:ext xmlns:c16="http://schemas.microsoft.com/office/drawing/2014/chart" uri="{C3380CC4-5D6E-409C-BE32-E72D297353CC}">
              <c16:uniqueId val="{00000003-4855-497A-A0D3-E6FAFAB1F513}"/>
            </c:ext>
          </c:extLst>
        </c:ser>
        <c:ser>
          <c:idx val="4"/>
          <c:order val="4"/>
          <c:tx>
            <c:strRef>
              <c:f>'TABLERO 2017'!$H$5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2017'!$C$20</c:f>
              <c:strCache>
                <c:ptCount val="1"/>
                <c:pt idx="0">
                  <c:v>Desarrollo comunitario</c:v>
                </c:pt>
              </c:strCache>
            </c:strRef>
          </c:cat>
          <c:val>
            <c:numRef>
              <c:f>'TABLERO 2017'!$H$20</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4855-497A-A0D3-E6FAFAB1F513}"/>
            </c:ext>
          </c:extLst>
        </c:ser>
        <c:ser>
          <c:idx val="5"/>
          <c:order val="5"/>
          <c:tx>
            <c:strRef>
              <c:f>'TABLERO 2017'!$I$5</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2017'!$C$20</c:f>
              <c:strCache>
                <c:ptCount val="1"/>
                <c:pt idx="0">
                  <c:v>Desarrollo comunitario</c:v>
                </c:pt>
              </c:strCache>
            </c:strRef>
          </c:cat>
          <c:val>
            <c:numRef>
              <c:f>'TABLERO 2017'!$I$20</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4855-497A-A0D3-E6FAFAB1F513}"/>
            </c:ext>
          </c:extLst>
        </c:ser>
        <c:ser>
          <c:idx val="6"/>
          <c:order val="6"/>
          <c:tx>
            <c:strRef>
              <c:f>'TABLERO 2017'!$J$5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2017'!$C$20</c:f>
              <c:strCache>
                <c:ptCount val="1"/>
                <c:pt idx="0">
                  <c:v>Desarrollo comunitario</c:v>
                </c:pt>
              </c:strCache>
            </c:strRef>
          </c:cat>
          <c:val>
            <c:numRef>
              <c:f>'TABLERO 2017'!$J$20</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4855-497A-A0D3-E6FAFAB1F513}"/>
            </c:ext>
          </c:extLst>
        </c:ser>
        <c:dLbls>
          <c:showLegendKey val="0"/>
          <c:showVal val="0"/>
          <c:showCatName val="0"/>
          <c:showSerName val="0"/>
          <c:showPercent val="0"/>
          <c:showBubbleSize val="0"/>
        </c:dLbls>
        <c:gapWidth val="75"/>
        <c:overlap val="-25"/>
        <c:axId val="181562368"/>
        <c:axId val="181745856"/>
      </c:barChart>
      <c:catAx>
        <c:axId val="181562368"/>
        <c:scaling>
          <c:orientation val="minMax"/>
        </c:scaling>
        <c:delete val="0"/>
        <c:axPos val="b"/>
        <c:numFmt formatCode="General" sourceLinked="0"/>
        <c:majorTickMark val="none"/>
        <c:minorTickMark val="none"/>
        <c:tickLblPos val="nextTo"/>
        <c:txPr>
          <a:bodyPr/>
          <a:lstStyle/>
          <a:p>
            <a:pPr>
              <a:defRPr lang="es-ES"/>
            </a:pPr>
            <a:endParaRPr lang="es-CO"/>
          </a:p>
        </c:txPr>
        <c:crossAx val="181745856"/>
        <c:crosses val="autoZero"/>
        <c:auto val="1"/>
        <c:lblAlgn val="ctr"/>
        <c:lblOffset val="100"/>
        <c:noMultiLvlLbl val="0"/>
      </c:catAx>
      <c:valAx>
        <c:axId val="181745856"/>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1562368"/>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a:t>
            </a:r>
            <a:r>
              <a:rPr lang="es-CO" sz="1600" baseline="0"/>
              <a:t> METAS SECTOR FORTAL.INSTITUCIONAL 2017</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2016'!$C$21</c:f>
              <c:strCache>
                <c:ptCount val="1"/>
                <c:pt idx="0">
                  <c:v>Fortalecimiento institucional</c:v>
                </c:pt>
              </c:strCache>
            </c:strRef>
          </c:cat>
          <c:val>
            <c:numRef>
              <c:f>'TABLERO 2016'!$D$21</c:f>
            </c:numRef>
          </c:val>
          <c:extLst xmlns:c16r2="http://schemas.microsoft.com/office/drawing/2015/06/chart">
            <c:ext xmlns:c16="http://schemas.microsoft.com/office/drawing/2014/chart" uri="{C3380CC4-5D6E-409C-BE32-E72D297353CC}">
              <c16:uniqueId val="{00000000-F844-4A00-A571-160B2B2F793E}"/>
            </c:ext>
          </c:extLst>
        </c:ser>
        <c:ser>
          <c:idx val="1"/>
          <c:order val="1"/>
          <c:tx>
            <c:strRef>
              <c:f>'TABLERO 2017'!$E$5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2017'!$C$21</c:f>
              <c:strCache>
                <c:ptCount val="1"/>
                <c:pt idx="0">
                  <c:v>Fortalecimiento institucional</c:v>
                </c:pt>
              </c:strCache>
            </c:strRef>
          </c:cat>
          <c:val>
            <c:numRef>
              <c:f>'TABLERO 2017'!$E$21</c:f>
              <c:numCache>
                <c:formatCode>General</c:formatCode>
                <c:ptCount val="1"/>
                <c:pt idx="0">
                  <c:v>24</c:v>
                </c:pt>
              </c:numCache>
            </c:numRef>
          </c:val>
          <c:extLst xmlns:c16r2="http://schemas.microsoft.com/office/drawing/2015/06/chart">
            <c:ext xmlns:c16="http://schemas.microsoft.com/office/drawing/2014/chart" uri="{C3380CC4-5D6E-409C-BE32-E72D297353CC}">
              <c16:uniqueId val="{00000001-F844-4A00-A571-160B2B2F793E}"/>
            </c:ext>
          </c:extLst>
        </c:ser>
        <c:ser>
          <c:idx val="2"/>
          <c:order val="2"/>
          <c:tx>
            <c:strRef>
              <c:f>'TABLERO 2017'!$F$5</c:f>
              <c:strCache>
                <c:ptCount val="1"/>
                <c:pt idx="0">
                  <c:v>PROGRAMADAS 2017</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2017'!$C$21</c:f>
              <c:strCache>
                <c:ptCount val="1"/>
                <c:pt idx="0">
                  <c:v>Fortalecimiento institucional</c:v>
                </c:pt>
              </c:strCache>
            </c:strRef>
          </c:cat>
          <c:val>
            <c:numRef>
              <c:f>'TABLERO 2017'!$F$21</c:f>
              <c:numCache>
                <c:formatCode>General</c:formatCode>
                <c:ptCount val="1"/>
                <c:pt idx="0">
                  <c:v>22</c:v>
                </c:pt>
              </c:numCache>
            </c:numRef>
          </c:val>
          <c:extLst xmlns:c16r2="http://schemas.microsoft.com/office/drawing/2015/06/chart">
            <c:ext xmlns:c16="http://schemas.microsoft.com/office/drawing/2014/chart" uri="{C3380CC4-5D6E-409C-BE32-E72D297353CC}">
              <c16:uniqueId val="{00000002-F844-4A00-A571-160B2B2F793E}"/>
            </c:ext>
          </c:extLst>
        </c:ser>
        <c:ser>
          <c:idx val="3"/>
          <c:order val="3"/>
          <c:tx>
            <c:strRef>
              <c:f>'TABLERO 2017'!$G$5</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2017'!$C$21</c:f>
              <c:strCache>
                <c:ptCount val="1"/>
                <c:pt idx="0">
                  <c:v>Fortalecimiento institucional</c:v>
                </c:pt>
              </c:strCache>
            </c:strRef>
          </c:cat>
          <c:val>
            <c:numRef>
              <c:f>'TABLERO 2017'!$G$21</c:f>
              <c:numCache>
                <c:formatCode>General</c:formatCode>
                <c:ptCount val="1"/>
                <c:pt idx="0">
                  <c:v>20</c:v>
                </c:pt>
              </c:numCache>
            </c:numRef>
          </c:val>
          <c:extLst xmlns:c16r2="http://schemas.microsoft.com/office/drawing/2015/06/chart">
            <c:ext xmlns:c16="http://schemas.microsoft.com/office/drawing/2014/chart" uri="{C3380CC4-5D6E-409C-BE32-E72D297353CC}">
              <c16:uniqueId val="{00000003-F844-4A00-A571-160B2B2F793E}"/>
            </c:ext>
          </c:extLst>
        </c:ser>
        <c:ser>
          <c:idx val="4"/>
          <c:order val="4"/>
          <c:tx>
            <c:strRef>
              <c:f>'TABLERO 2017'!$H$5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2017'!$C$21</c:f>
              <c:strCache>
                <c:ptCount val="1"/>
                <c:pt idx="0">
                  <c:v>Fortalecimiento institucional</c:v>
                </c:pt>
              </c:strCache>
            </c:strRef>
          </c:cat>
          <c:val>
            <c:numRef>
              <c:f>'TABLERO 2017'!$H$21</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4-F844-4A00-A571-160B2B2F793E}"/>
            </c:ext>
          </c:extLst>
        </c:ser>
        <c:ser>
          <c:idx val="5"/>
          <c:order val="5"/>
          <c:tx>
            <c:strRef>
              <c:f>'TABLERO 2017'!$I$5</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2017'!$C$21</c:f>
              <c:strCache>
                <c:ptCount val="1"/>
                <c:pt idx="0">
                  <c:v>Fortalecimiento institucional</c:v>
                </c:pt>
              </c:strCache>
            </c:strRef>
          </c:cat>
          <c:val>
            <c:numRef>
              <c:f>'TABLERO 2017'!$I$21</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F844-4A00-A571-160B2B2F793E}"/>
            </c:ext>
          </c:extLst>
        </c:ser>
        <c:ser>
          <c:idx val="6"/>
          <c:order val="6"/>
          <c:tx>
            <c:strRef>
              <c:f>'TABLERO 2017'!$J$5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2017'!$C$21</c:f>
              <c:strCache>
                <c:ptCount val="1"/>
                <c:pt idx="0">
                  <c:v>Fortalecimiento institucional</c:v>
                </c:pt>
              </c:strCache>
            </c:strRef>
          </c:cat>
          <c:val>
            <c:numRef>
              <c:f>'TABLERO 2017'!$J$21</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6-F844-4A00-A571-160B2B2F793E}"/>
            </c:ext>
          </c:extLst>
        </c:ser>
        <c:dLbls>
          <c:showLegendKey val="0"/>
          <c:showVal val="0"/>
          <c:showCatName val="0"/>
          <c:showSerName val="0"/>
          <c:showPercent val="0"/>
          <c:showBubbleSize val="0"/>
        </c:dLbls>
        <c:gapWidth val="75"/>
        <c:overlap val="-25"/>
        <c:axId val="182014464"/>
        <c:axId val="181978240"/>
      </c:barChart>
      <c:catAx>
        <c:axId val="182014464"/>
        <c:scaling>
          <c:orientation val="minMax"/>
        </c:scaling>
        <c:delete val="0"/>
        <c:axPos val="b"/>
        <c:numFmt formatCode="General" sourceLinked="0"/>
        <c:majorTickMark val="none"/>
        <c:minorTickMark val="none"/>
        <c:tickLblPos val="nextTo"/>
        <c:txPr>
          <a:bodyPr/>
          <a:lstStyle/>
          <a:p>
            <a:pPr>
              <a:defRPr lang="es-ES"/>
            </a:pPr>
            <a:endParaRPr lang="es-CO"/>
          </a:p>
        </c:txPr>
        <c:crossAx val="181978240"/>
        <c:crosses val="autoZero"/>
        <c:auto val="1"/>
        <c:lblAlgn val="ctr"/>
        <c:lblOffset val="100"/>
        <c:noMultiLvlLbl val="0"/>
      </c:catAx>
      <c:valAx>
        <c:axId val="181978240"/>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2014464"/>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a:t>
            </a:r>
            <a:r>
              <a:rPr lang="es-CO" sz="1600" baseline="0"/>
              <a:t> METAS SECTORES JUSTICIA Y SEGURIDAD  2017</a:t>
            </a:r>
            <a:endParaRPr lang="es-CO" sz="1600"/>
          </a:p>
        </c:rich>
      </c:tx>
      <c:overlay val="0"/>
    </c:title>
    <c:autoTitleDeleted val="0"/>
    <c:plotArea>
      <c:layout/>
      <c:barChart>
        <c:barDir val="col"/>
        <c:grouping val="clustered"/>
        <c:varyColors val="0"/>
        <c:ser>
          <c:idx val="1"/>
          <c:order val="1"/>
          <c:tx>
            <c:strRef>
              <c:f>'TABLERO 2017'!$E$5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2017'!$C$22</c:f>
              <c:strCache>
                <c:ptCount val="1"/>
                <c:pt idx="0">
                  <c:v>Justicia y seguridad</c:v>
                </c:pt>
              </c:strCache>
            </c:strRef>
          </c:cat>
          <c:val>
            <c:numRef>
              <c:f>'TABLERO 2017'!$E$22</c:f>
              <c:numCache>
                <c:formatCode>General</c:formatCode>
                <c:ptCount val="1"/>
                <c:pt idx="0">
                  <c:v>26</c:v>
                </c:pt>
              </c:numCache>
            </c:numRef>
          </c:val>
          <c:extLst xmlns:c16r2="http://schemas.microsoft.com/office/drawing/2015/06/chart">
            <c:ext xmlns:c16="http://schemas.microsoft.com/office/drawing/2014/chart" uri="{C3380CC4-5D6E-409C-BE32-E72D297353CC}">
              <c16:uniqueId val="{00000000-96AE-4B73-A236-2DAF61919BAA}"/>
            </c:ext>
          </c:extLst>
        </c:ser>
        <c:ser>
          <c:idx val="2"/>
          <c:order val="2"/>
          <c:tx>
            <c:strRef>
              <c:f>'TABLERO 2017'!$F$5</c:f>
              <c:strCache>
                <c:ptCount val="1"/>
                <c:pt idx="0">
                  <c:v>PROGRAMADAS 2017</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2017'!$C$22</c:f>
              <c:strCache>
                <c:ptCount val="1"/>
                <c:pt idx="0">
                  <c:v>Justicia y seguridad</c:v>
                </c:pt>
              </c:strCache>
            </c:strRef>
          </c:cat>
          <c:val>
            <c:numRef>
              <c:f>'TABLERO 2017'!$F$22</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1-96AE-4B73-A236-2DAF61919BAA}"/>
            </c:ext>
          </c:extLst>
        </c:ser>
        <c:ser>
          <c:idx val="3"/>
          <c:order val="3"/>
          <c:tx>
            <c:strRef>
              <c:f>'TABLERO 2017'!$G$5</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2017'!$C$22</c:f>
              <c:strCache>
                <c:ptCount val="1"/>
                <c:pt idx="0">
                  <c:v>Justicia y seguridad</c:v>
                </c:pt>
              </c:strCache>
            </c:strRef>
          </c:cat>
          <c:val>
            <c:numRef>
              <c:f>'TABLERO 2017'!$G$22</c:f>
              <c:numCache>
                <c:formatCode>General</c:formatCode>
                <c:ptCount val="1"/>
                <c:pt idx="0">
                  <c:v>22</c:v>
                </c:pt>
              </c:numCache>
            </c:numRef>
          </c:val>
          <c:extLst xmlns:c16r2="http://schemas.microsoft.com/office/drawing/2015/06/chart">
            <c:ext xmlns:c16="http://schemas.microsoft.com/office/drawing/2014/chart" uri="{C3380CC4-5D6E-409C-BE32-E72D297353CC}">
              <c16:uniqueId val="{00000002-96AE-4B73-A236-2DAF61919BAA}"/>
            </c:ext>
          </c:extLst>
        </c:ser>
        <c:ser>
          <c:idx val="4"/>
          <c:order val="4"/>
          <c:tx>
            <c:strRef>
              <c:f>'TABLERO 2017'!$H$5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2017'!$C$22</c:f>
              <c:strCache>
                <c:ptCount val="1"/>
                <c:pt idx="0">
                  <c:v>Justicia y seguridad</c:v>
                </c:pt>
              </c:strCache>
            </c:strRef>
          </c:cat>
          <c:val>
            <c:numRef>
              <c:f>'TABLERO 2017'!$H$22</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3-96AE-4B73-A236-2DAF61919BAA}"/>
            </c:ext>
          </c:extLst>
        </c:ser>
        <c:ser>
          <c:idx val="5"/>
          <c:order val="5"/>
          <c:tx>
            <c:strRef>
              <c:f>'TABLERO 2017'!$I$5</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2017'!$C$22</c:f>
              <c:strCache>
                <c:ptCount val="1"/>
                <c:pt idx="0">
                  <c:v>Justicia y seguridad</c:v>
                </c:pt>
              </c:strCache>
            </c:strRef>
          </c:cat>
          <c:val>
            <c:numRef>
              <c:f>'TABLERO 2017'!$I$22</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4-96AE-4B73-A236-2DAF61919BAA}"/>
            </c:ext>
          </c:extLst>
        </c:ser>
        <c:ser>
          <c:idx val="6"/>
          <c:order val="6"/>
          <c:tx>
            <c:strRef>
              <c:f>'TABLERO 2017'!$J$5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2017'!$C$22</c:f>
              <c:strCache>
                <c:ptCount val="1"/>
                <c:pt idx="0">
                  <c:v>Justicia y seguridad</c:v>
                </c:pt>
              </c:strCache>
            </c:strRef>
          </c:cat>
          <c:val>
            <c:numRef>
              <c:f>'TABLERO 2017'!$J$22</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5-96AE-4B73-A236-2DAF61919BAA}"/>
            </c:ext>
          </c:extLst>
        </c:ser>
        <c:ser>
          <c:idx val="0"/>
          <c:order val="0"/>
          <c:tx>
            <c:strRef>
              <c:f>'TABLERO 2016'!$D$5</c:f>
              <c:strCache>
                <c:ptCount val="1"/>
                <c:pt idx="0">
                  <c:v>MR</c:v>
                </c:pt>
              </c:strCache>
            </c:strRef>
          </c:tx>
          <c:invertIfNegative val="0"/>
          <c:cat>
            <c:strRef>
              <c:f>'TABLERO 2016'!$C$22</c:f>
              <c:strCache>
                <c:ptCount val="1"/>
                <c:pt idx="0">
                  <c:v>Justicia y seguridad</c:v>
                </c:pt>
              </c:strCache>
            </c:strRef>
          </c:cat>
          <c:val>
            <c:numRef>
              <c:f>'TABLERO 2016'!$D$22</c:f>
            </c:numRef>
          </c:val>
          <c:extLst xmlns:c16r2="http://schemas.microsoft.com/office/drawing/2015/06/chart">
            <c:ext xmlns:c16="http://schemas.microsoft.com/office/drawing/2014/chart" uri="{C3380CC4-5D6E-409C-BE32-E72D297353CC}">
              <c16:uniqueId val="{00000006-96AE-4B73-A236-2DAF61919BAA}"/>
            </c:ext>
          </c:extLst>
        </c:ser>
        <c:dLbls>
          <c:showLegendKey val="0"/>
          <c:showVal val="0"/>
          <c:showCatName val="0"/>
          <c:showSerName val="0"/>
          <c:showPercent val="0"/>
          <c:showBubbleSize val="0"/>
        </c:dLbls>
        <c:gapWidth val="75"/>
        <c:overlap val="-25"/>
        <c:axId val="182016000"/>
        <c:axId val="181980544"/>
      </c:barChart>
      <c:catAx>
        <c:axId val="182016000"/>
        <c:scaling>
          <c:orientation val="minMax"/>
        </c:scaling>
        <c:delete val="0"/>
        <c:axPos val="b"/>
        <c:numFmt formatCode="General" sourceLinked="0"/>
        <c:majorTickMark val="none"/>
        <c:minorTickMark val="none"/>
        <c:tickLblPos val="nextTo"/>
        <c:txPr>
          <a:bodyPr/>
          <a:lstStyle/>
          <a:p>
            <a:pPr>
              <a:defRPr lang="es-ES"/>
            </a:pPr>
            <a:endParaRPr lang="es-CO"/>
          </a:p>
        </c:txPr>
        <c:crossAx val="181980544"/>
        <c:crosses val="autoZero"/>
        <c:auto val="1"/>
        <c:lblAlgn val="ctr"/>
        <c:lblOffset val="100"/>
        <c:noMultiLvlLbl val="0"/>
      </c:catAx>
      <c:valAx>
        <c:axId val="181980544"/>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2016000"/>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a:pPr>
            <a:r>
              <a:rPr lang="es-CO"/>
              <a:t>CONSOLIDADO</a:t>
            </a:r>
            <a:r>
              <a:rPr lang="es-CO" baseline="0"/>
              <a:t> AVANCE METAS A 30 JUNIO 2017</a:t>
            </a:r>
            <a:endParaRPr lang="es-CO"/>
          </a:p>
        </c:rich>
      </c:tx>
      <c:overlay val="0"/>
    </c:title>
    <c:autoTitleDeleted val="0"/>
    <c:plotArea>
      <c:layout/>
      <c:barChart>
        <c:barDir val="col"/>
        <c:grouping val="clustered"/>
        <c:varyColors val="0"/>
        <c:ser>
          <c:idx val="0"/>
          <c:order val="0"/>
          <c:tx>
            <c:strRef>
              <c:f>'TABLERO 2016'!$D$5:$D$7</c:f>
              <c:strCache>
                <c:ptCount val="1"/>
                <c:pt idx="0">
                  <c:v>MR 3</c:v>
                </c:pt>
              </c:strCache>
            </c:strRef>
          </c:tx>
          <c:invertIfNegative val="0"/>
          <c:cat>
            <c:strRef>
              <c:f>'TABLERO 2016'!$C$23</c:f>
              <c:strCache>
                <c:ptCount val="1"/>
                <c:pt idx="0">
                  <c:v>TOTAL</c:v>
                </c:pt>
              </c:strCache>
            </c:strRef>
          </c:cat>
          <c:val>
            <c:numRef>
              <c:f>'TABLERO 2016'!$D$23</c:f>
            </c:numRef>
          </c:val>
          <c:extLst xmlns:c16r2="http://schemas.microsoft.com/office/drawing/2015/06/chart">
            <c:ext xmlns:c16="http://schemas.microsoft.com/office/drawing/2014/chart" uri="{C3380CC4-5D6E-409C-BE32-E72D297353CC}">
              <c16:uniqueId val="{00000000-26A5-4755-B8E9-D3E0E71F92FB}"/>
            </c:ext>
          </c:extLst>
        </c:ser>
        <c:ser>
          <c:idx val="1"/>
          <c:order val="1"/>
          <c:tx>
            <c:strRef>
              <c:f>'TABLERO 2017'!$E$5:$E$7</c:f>
              <c:strCache>
                <c:ptCount val="1"/>
                <c:pt idx="0">
                  <c:v>TOTAL METAS 37 61</c:v>
                </c:pt>
              </c:strCache>
            </c:strRef>
          </c:tx>
          <c:spPr>
            <a:solidFill>
              <a:srgbClr val="0066FF"/>
            </a:solidFill>
          </c:spPr>
          <c:invertIfNegative val="0"/>
          <c:dLbls>
            <c:dLbl>
              <c:idx val="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6A5-4755-B8E9-D3E0E71F92FB}"/>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'TABLERO 2017'!$C$23</c:f>
              <c:strCache>
                <c:ptCount val="1"/>
                <c:pt idx="0">
                  <c:v>TOTAL</c:v>
                </c:pt>
              </c:strCache>
            </c:strRef>
          </c:cat>
          <c:val>
            <c:numRef>
              <c:f>'TABLERO 2017'!$E$23</c:f>
              <c:numCache>
                <c:formatCode>General</c:formatCode>
                <c:ptCount val="1"/>
                <c:pt idx="0">
                  <c:v>478</c:v>
                </c:pt>
              </c:numCache>
            </c:numRef>
          </c:val>
          <c:extLst xmlns:c16r2="http://schemas.microsoft.com/office/drawing/2015/06/chart">
            <c:ext xmlns:c16="http://schemas.microsoft.com/office/drawing/2014/chart" uri="{C3380CC4-5D6E-409C-BE32-E72D297353CC}">
              <c16:uniqueId val="{00000002-26A5-4755-B8E9-D3E0E71F92FB}"/>
            </c:ext>
          </c:extLst>
        </c:ser>
        <c:ser>
          <c:idx val="2"/>
          <c:order val="2"/>
          <c:tx>
            <c:strRef>
              <c:f>'TABLERO 2017'!$F$5:$F$7</c:f>
              <c:strCache>
                <c:ptCount val="1"/>
                <c:pt idx="0">
                  <c:v>PROGRAMADAS 2017 31 61</c:v>
                </c:pt>
              </c:strCache>
            </c:strRef>
          </c:tx>
          <c:spPr>
            <a:solidFill>
              <a:schemeClr val="accent5">
                <a:lumMod val="60000"/>
                <a:lumOff val="40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2017'!$C$23</c:f>
              <c:strCache>
                <c:ptCount val="1"/>
                <c:pt idx="0">
                  <c:v>TOTAL</c:v>
                </c:pt>
              </c:strCache>
            </c:strRef>
          </c:cat>
          <c:val>
            <c:numRef>
              <c:f>'TABLERO 2017'!$F$23</c:f>
              <c:numCache>
                <c:formatCode>General</c:formatCode>
                <c:ptCount val="1"/>
                <c:pt idx="0">
                  <c:v>421</c:v>
                </c:pt>
              </c:numCache>
            </c:numRef>
          </c:val>
          <c:extLst xmlns:c16r2="http://schemas.microsoft.com/office/drawing/2015/06/chart">
            <c:ext xmlns:c16="http://schemas.microsoft.com/office/drawing/2014/chart" uri="{C3380CC4-5D6E-409C-BE32-E72D297353CC}">
              <c16:uniqueId val="{00000003-26A5-4755-B8E9-D3E0E71F92FB}"/>
            </c:ext>
          </c:extLst>
        </c:ser>
        <c:ser>
          <c:idx val="3"/>
          <c:order val="3"/>
          <c:tx>
            <c:strRef>
              <c:f>'TABLERO 2017'!$G$5:$G$7</c:f>
              <c:strCache>
                <c:ptCount val="1"/>
                <c:pt idx="0">
                  <c:v>VE 28 50</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2017'!$C$23</c:f>
              <c:strCache>
                <c:ptCount val="1"/>
                <c:pt idx="0">
                  <c:v>TOTAL</c:v>
                </c:pt>
              </c:strCache>
            </c:strRef>
          </c:cat>
          <c:val>
            <c:numRef>
              <c:f>'TABLERO 2017'!$G$23</c:f>
              <c:numCache>
                <c:formatCode>General</c:formatCode>
                <c:ptCount val="1"/>
                <c:pt idx="0">
                  <c:v>355</c:v>
                </c:pt>
              </c:numCache>
            </c:numRef>
          </c:val>
          <c:extLst xmlns:c16r2="http://schemas.microsoft.com/office/drawing/2015/06/chart">
            <c:ext xmlns:c16="http://schemas.microsoft.com/office/drawing/2014/chart" uri="{C3380CC4-5D6E-409C-BE32-E72D297353CC}">
              <c16:uniqueId val="{00000004-26A5-4755-B8E9-D3E0E71F92FB}"/>
            </c:ext>
          </c:extLst>
        </c:ser>
        <c:ser>
          <c:idx val="4"/>
          <c:order val="4"/>
          <c:tx>
            <c:strRef>
              <c:f>'TABLERO 2017'!$H$5:$H$7</c:f>
              <c:strCache>
                <c:ptCount val="1"/>
                <c:pt idx="0">
                  <c:v>AM 2 0</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2017'!$C$23</c:f>
              <c:strCache>
                <c:ptCount val="1"/>
                <c:pt idx="0">
                  <c:v>TOTAL</c:v>
                </c:pt>
              </c:strCache>
            </c:strRef>
          </c:cat>
          <c:val>
            <c:numRef>
              <c:f>'TABLERO 2017'!$H$23</c:f>
              <c:numCache>
                <c:formatCode>General</c:formatCode>
                <c:ptCount val="1"/>
                <c:pt idx="0">
                  <c:v>31</c:v>
                </c:pt>
              </c:numCache>
            </c:numRef>
          </c:val>
          <c:extLst xmlns:c16r2="http://schemas.microsoft.com/office/drawing/2015/06/chart">
            <c:ext xmlns:c16="http://schemas.microsoft.com/office/drawing/2014/chart" uri="{C3380CC4-5D6E-409C-BE32-E72D297353CC}">
              <c16:uniqueId val="{00000005-26A5-4755-B8E9-D3E0E71F92FB}"/>
            </c:ext>
          </c:extLst>
        </c:ser>
        <c:ser>
          <c:idx val="5"/>
          <c:order val="5"/>
          <c:tx>
            <c:strRef>
              <c:f>'TABLERO 2017'!$I$5:$I$7</c:f>
              <c:strCache>
                <c:ptCount val="1"/>
                <c:pt idx="0">
                  <c:v>RO 1 11</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2017'!$C$23</c:f>
              <c:strCache>
                <c:ptCount val="1"/>
                <c:pt idx="0">
                  <c:v>TOTAL</c:v>
                </c:pt>
              </c:strCache>
            </c:strRef>
          </c:cat>
          <c:val>
            <c:numRef>
              <c:f>'TABLERO 2017'!$I$23</c:f>
              <c:numCache>
                <c:formatCode>General</c:formatCode>
                <c:ptCount val="1"/>
                <c:pt idx="0">
                  <c:v>35</c:v>
                </c:pt>
              </c:numCache>
            </c:numRef>
          </c:val>
          <c:extLst xmlns:c16r2="http://schemas.microsoft.com/office/drawing/2015/06/chart">
            <c:ext xmlns:c16="http://schemas.microsoft.com/office/drawing/2014/chart" uri="{C3380CC4-5D6E-409C-BE32-E72D297353CC}">
              <c16:uniqueId val="{00000006-26A5-4755-B8E9-D3E0E71F92FB}"/>
            </c:ext>
          </c:extLst>
        </c:ser>
        <c:ser>
          <c:idx val="6"/>
          <c:order val="6"/>
          <c:tx>
            <c:strRef>
              <c:f>'TABLERO 2017'!$J$5:$J$7</c:f>
              <c:strCache>
                <c:ptCount val="1"/>
                <c:pt idx="0">
                  <c:v>AZ 6 0</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2017'!$C$23</c:f>
              <c:strCache>
                <c:ptCount val="1"/>
                <c:pt idx="0">
                  <c:v>TOTAL</c:v>
                </c:pt>
              </c:strCache>
            </c:strRef>
          </c:cat>
          <c:val>
            <c:numRef>
              <c:f>'TABLERO 2017'!$J$23</c:f>
              <c:numCache>
                <c:formatCode>General</c:formatCode>
                <c:ptCount val="1"/>
                <c:pt idx="0">
                  <c:v>57</c:v>
                </c:pt>
              </c:numCache>
            </c:numRef>
          </c:val>
          <c:extLst xmlns:c16r2="http://schemas.microsoft.com/office/drawing/2015/06/chart">
            <c:ext xmlns:c16="http://schemas.microsoft.com/office/drawing/2014/chart" uri="{C3380CC4-5D6E-409C-BE32-E72D297353CC}">
              <c16:uniqueId val="{00000007-26A5-4755-B8E9-D3E0E71F92FB}"/>
            </c:ext>
          </c:extLst>
        </c:ser>
        <c:ser>
          <c:idx val="7"/>
          <c:order val="7"/>
          <c:tx>
            <c:strRef>
              <c:f>'TABLERO 2017'!$K$5:$K$7</c:f>
              <c:strCache>
                <c:ptCount val="1"/>
                <c:pt idx="0">
                  <c:v>% EJECUCION 2017  93,55   81,97 </c:v>
                </c:pt>
              </c:strCache>
            </c:strRef>
          </c:tx>
          <c:spPr>
            <a:solidFill>
              <a:srgbClr val="FFC000"/>
            </a:solidFill>
          </c:spPr>
          <c:invertIfNegative val="0"/>
          <c:dLbls>
            <c:dLbl>
              <c:idx val="0"/>
              <c:layout>
                <c:manualLayout>
                  <c:x val="-4.4844837304313295E-2"/>
                  <c:y val="-0.3825136217016182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6A5-4755-B8E9-D3E0E71F92FB}"/>
                </c:ext>
                <c:ext xmlns:c15="http://schemas.microsoft.com/office/drawing/2012/chart" uri="{CE6537A1-D6FC-4f65-9D91-7224C49458BB}"/>
              </c:extLst>
            </c:dLbl>
            <c:spPr>
              <a:solidFill>
                <a:schemeClr val="accent2"/>
              </a:solidFill>
            </c:spPr>
            <c:txPr>
              <a:bodyPr/>
              <a:lstStyle/>
              <a:p>
                <a:pPr>
                  <a:defRPr lang="es-ES" sz="24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2017'!$C$23</c:f>
              <c:strCache>
                <c:ptCount val="1"/>
                <c:pt idx="0">
                  <c:v>TOTAL</c:v>
                </c:pt>
              </c:strCache>
            </c:strRef>
          </c:cat>
          <c:val>
            <c:numRef>
              <c:f>'TABLERO 2017'!$K$23</c:f>
              <c:numCache>
                <c:formatCode>_-* #,##0.00_-;\-* #,##0.00_-;_-* "-"??_-;_-@_-</c:formatCode>
                <c:ptCount val="1"/>
                <c:pt idx="0">
                  <c:v>88.004750593824227</c:v>
                </c:pt>
              </c:numCache>
            </c:numRef>
          </c:val>
          <c:extLst xmlns:c16r2="http://schemas.microsoft.com/office/drawing/2015/06/chart">
            <c:ext xmlns:c16="http://schemas.microsoft.com/office/drawing/2014/chart" uri="{C3380CC4-5D6E-409C-BE32-E72D297353CC}">
              <c16:uniqueId val="{00000009-26A5-4755-B8E9-D3E0E71F92FB}"/>
            </c:ext>
          </c:extLst>
        </c:ser>
        <c:dLbls>
          <c:showLegendKey val="0"/>
          <c:showVal val="0"/>
          <c:showCatName val="0"/>
          <c:showSerName val="0"/>
          <c:showPercent val="0"/>
          <c:showBubbleSize val="0"/>
        </c:dLbls>
        <c:gapWidth val="75"/>
        <c:overlap val="-25"/>
        <c:axId val="182992896"/>
        <c:axId val="181983424"/>
      </c:barChart>
      <c:catAx>
        <c:axId val="182992896"/>
        <c:scaling>
          <c:orientation val="minMax"/>
        </c:scaling>
        <c:delete val="0"/>
        <c:axPos val="b"/>
        <c:numFmt formatCode="General" sourceLinked="0"/>
        <c:majorTickMark val="none"/>
        <c:minorTickMark val="none"/>
        <c:tickLblPos val="nextTo"/>
        <c:txPr>
          <a:bodyPr/>
          <a:lstStyle/>
          <a:p>
            <a:pPr>
              <a:defRPr lang="es-ES"/>
            </a:pPr>
            <a:endParaRPr lang="es-CO"/>
          </a:p>
        </c:txPr>
        <c:crossAx val="181983424"/>
        <c:crosses val="autoZero"/>
        <c:auto val="1"/>
        <c:lblAlgn val="ctr"/>
        <c:lblOffset val="100"/>
        <c:noMultiLvlLbl val="0"/>
      </c:catAx>
      <c:valAx>
        <c:axId val="181983424"/>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2992896"/>
        <c:crosses val="autoZero"/>
        <c:crossBetween val="between"/>
      </c:valAx>
    </c:plotArea>
    <c:legend>
      <c:legendPos val="b"/>
      <c:overlay val="0"/>
      <c:txPr>
        <a:bodyPr/>
        <a:lstStyle/>
        <a:p>
          <a:pPr>
            <a:defRPr lang="es-ES"/>
          </a:pPr>
          <a:endParaRPr lang="es-CO"/>
        </a:p>
      </c:txPr>
    </c:legend>
    <c:plotVisOnly val="1"/>
    <c:dispBlanksAs val="gap"/>
    <c:showDLblsOverMax val="0"/>
  </c:chart>
  <c:spPr>
    <a:effectLst>
      <a:outerShdw blurRad="50800" dist="50800" dir="5400000" algn="ctr" rotWithShape="0">
        <a:schemeClr val="accent2">
          <a:lumMod val="40000"/>
          <a:lumOff val="60000"/>
        </a:schemeClr>
      </a:outerShdw>
    </a:effectLst>
  </c:spPr>
  <c:printSettings>
    <c:headerFooter/>
    <c:pageMargins b="0.75000000000000022" l="0.70000000000000018" r="0.70000000000000018" t="0.75000000000000022" header="0.3000000000000001" footer="0.3000000000000001"/>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n-US" sz="1600"/>
              <a:t>AVANCE</a:t>
            </a:r>
            <a:r>
              <a:rPr lang="en-US" sz="1600" baseline="0"/>
              <a:t> METAS SECTOR DEPORTE Y RECREACION - 2017</a:t>
            </a:r>
            <a:endParaRPr lang="en-US" sz="1600"/>
          </a:p>
        </c:rich>
      </c:tx>
      <c:overlay val="0"/>
      <c:spPr>
        <a:solidFill>
          <a:schemeClr val="accent2">
            <a:lumMod val="20000"/>
            <a:lumOff val="80000"/>
          </a:schemeClr>
        </a:solidFill>
      </c:spPr>
    </c:title>
    <c:autoTitleDeleted val="0"/>
    <c:plotArea>
      <c:layout>
        <c:manualLayout>
          <c:layoutTarget val="inner"/>
          <c:xMode val="edge"/>
          <c:yMode val="edge"/>
          <c:x val="6.3834558526016508E-2"/>
          <c:y val="0.31227367234291653"/>
          <c:w val="0.91060005386848641"/>
          <c:h val="0.50222903338887226"/>
        </c:manualLayout>
      </c:layout>
      <c:barChart>
        <c:barDir val="col"/>
        <c:grouping val="clustered"/>
        <c:varyColors val="0"/>
        <c:ser>
          <c:idx val="2"/>
          <c:order val="0"/>
          <c:tx>
            <c:v>CUMPLIDA</c:v>
          </c:tx>
          <c:spPr>
            <a:solidFill>
              <a:srgbClr val="92D050"/>
            </a:solidFill>
            <a:ln>
              <a:noFill/>
            </a:ln>
            <a:effectLst/>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2018'!$C$12</c:f>
              <c:strCache>
                <c:ptCount val="1"/>
                <c:pt idx="0">
                  <c:v>Deporte y Recreación</c:v>
                </c:pt>
              </c:strCache>
            </c:strRef>
          </c:cat>
          <c:val>
            <c:numRef>
              <c:f>'TABLERO 2018'!$F$12</c:f>
              <c:numCache>
                <c:formatCode>General</c:formatCode>
                <c:ptCount val="1"/>
                <c:pt idx="0">
                  <c:v>13</c:v>
                </c:pt>
              </c:numCache>
            </c:numRef>
          </c:val>
          <c:extLst xmlns:c16r2="http://schemas.microsoft.com/office/drawing/2015/06/chart">
            <c:ext xmlns:c16="http://schemas.microsoft.com/office/drawing/2014/chart" uri="{C3380CC4-5D6E-409C-BE32-E72D297353CC}">
              <c16:uniqueId val="{00000000-E0B3-479E-B262-D4E6597EEB61}"/>
            </c:ext>
          </c:extLst>
        </c:ser>
        <c:ser>
          <c:idx val="3"/>
          <c:order val="1"/>
          <c:tx>
            <c:v>EJECUCION</c:v>
          </c:tx>
          <c:spPr>
            <a:solidFill>
              <a:srgbClr val="FFFF00"/>
            </a:solidFill>
            <a:ln>
              <a:noFill/>
            </a:ln>
            <a:effectLst/>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2018'!$C$12</c:f>
              <c:strCache>
                <c:ptCount val="1"/>
                <c:pt idx="0">
                  <c:v>Deporte y Recreación</c:v>
                </c:pt>
              </c:strCache>
            </c:strRef>
          </c:cat>
          <c:val>
            <c:numRef>
              <c:f>'TABLERO 2018'!$H$12</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1-E0B3-479E-B262-D4E6597EEB61}"/>
            </c:ext>
          </c:extLst>
        </c:ser>
        <c:ser>
          <c:idx val="4"/>
          <c:order val="2"/>
          <c:tx>
            <c:v>SIN AVANCE</c:v>
          </c:tx>
          <c:spPr>
            <a:solidFill>
              <a:srgbClr val="FF0000"/>
            </a:solidFill>
            <a:ln>
              <a:noFill/>
            </a:ln>
            <a:effectLst/>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2018'!$C$12</c:f>
              <c:strCache>
                <c:ptCount val="1"/>
                <c:pt idx="0">
                  <c:v>Deporte y Recreación</c:v>
                </c:pt>
              </c:strCache>
            </c:strRef>
          </c:cat>
          <c:val>
            <c:numRef>
              <c:f>'TABLERO 2018'!$J$12</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2-E0B3-479E-B262-D4E6597EEB61}"/>
            </c:ext>
          </c:extLst>
        </c:ser>
        <c:ser>
          <c:idx val="5"/>
          <c:order val="3"/>
          <c:tx>
            <c:v>APLAZADA</c:v>
          </c:tx>
          <c:spPr>
            <a:solidFill>
              <a:srgbClr val="00B0F0"/>
            </a:solidFill>
            <a:ln>
              <a:noFill/>
            </a:ln>
            <a:effectLst/>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2018'!$C$12</c:f>
              <c:strCache>
                <c:ptCount val="1"/>
                <c:pt idx="0">
                  <c:v>Deporte y Recreación</c:v>
                </c:pt>
              </c:strCache>
            </c:strRef>
          </c:cat>
          <c:val>
            <c:numRef>
              <c:f>'TABLERO 2018'!$L$12</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3-E0B3-479E-B262-D4E6597EEB61}"/>
            </c:ext>
          </c:extLst>
        </c:ser>
        <c:ser>
          <c:idx val="0"/>
          <c:order val="4"/>
          <c:tx>
            <c:strRef>
              <c:f>'TABLERO 2018'!$E$8</c:f>
              <c:strCache>
                <c:ptCount val="1"/>
                <c:pt idx="0">
                  <c:v>PROGRAMADAS 2018</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'TABLERO 2018'!$E$12</c:f>
              <c:numCache>
                <c:formatCode>General</c:formatCode>
                <c:ptCount val="1"/>
                <c:pt idx="0">
                  <c:v>14</c:v>
                </c:pt>
              </c:numCache>
            </c:numRef>
          </c:val>
          <c:extLst xmlns:c16r2="http://schemas.microsoft.com/office/drawing/2015/06/chart">
            <c:ext xmlns:c16="http://schemas.microsoft.com/office/drawing/2014/chart" uri="{C3380CC4-5D6E-409C-BE32-E72D297353CC}">
              <c16:uniqueId val="{00000004-E0B3-479E-B262-D4E6597EEB61}"/>
            </c:ext>
          </c:extLst>
        </c:ser>
        <c:dLbls>
          <c:showLegendKey val="0"/>
          <c:showVal val="0"/>
          <c:showCatName val="0"/>
          <c:showSerName val="0"/>
          <c:showPercent val="0"/>
          <c:showBubbleSize val="0"/>
        </c:dLbls>
        <c:gapWidth val="75"/>
        <c:overlap val="-25"/>
        <c:axId val="183572480"/>
        <c:axId val="182907392"/>
        <c:extLst xmlns:c16r2="http://schemas.microsoft.com/office/drawing/2015/06/chart">
          <c:ext xmlns:c15="http://schemas.microsoft.com/office/drawing/2012/chart" uri="{02D57815-91ED-43cb-92C2-25804820EDAC}">
            <c15:filteredBarSeries>
              <c15: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'TABLERO 2016'!$C$9</c15:sqref>
                        </c15:formulaRef>
                      </c:ext>
                    </c:extLst>
                    <c:strCache>
                      <c:ptCount val="1"/>
                      <c:pt idx="0">
                        <c:v>Deporte y Recreación</c:v>
                      </c:pt>
                    </c:strCache>
                  </c:strRef>
                </c:cat>
                <c:val>
                  <c:numRef>
                    <c:extLst xmlns:c16r2="http://schemas.microsoft.com/office/drawing/2015/06/chart">
                      <c:ext uri="{02D57815-91ED-43cb-92C2-25804820EDAC}">
                        <c15:formulaRef>
                          <c15:sqref>'TABLERO 2016'!$D$9</c15:sqref>
                        </c15:formulaRef>
                      </c:ext>
                    </c:extLst>
                  </c:numRef>
                </c:val>
                <c:extLst xmlns:c16r2="http://schemas.microsoft.com/office/drawing/2015/06/chart">
                  <c:ext xmlns:c16="http://schemas.microsoft.com/office/drawing/2014/chart" uri="{C3380CC4-5D6E-409C-BE32-E72D297353CC}">
                    <c16:uniqueId val="{00000005-E0B3-479E-B262-D4E6597EEB61}"/>
                  </c:ext>
                </c:extLst>
              </c15:ser>
            </c15:filteredBarSeries>
            <c15:filteredBarSeries>
              <c15:ser>
                <c:idx val="6"/>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xmlns:c15="http://schemas.microsoft.com/office/drawing/2012/chart">
                      <c:ext xmlns:c15="http://schemas.microsoft.com/office/drawing/2012/chart" uri="{02D57815-91ED-43cb-92C2-25804820EDAC}">
                        <c15:formulaRef>
                          <c15:sqref>'TABLERO 2018'!$C$12</c15:sqref>
                        </c15:formulaRef>
                      </c:ext>
                    </c:extLst>
                    <c:strCache>
                      <c:ptCount val="1"/>
                      <c:pt idx="0">
                        <c:v>Deporte y Recreación</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'TABLERO 2018'!$D$12</c15:sqref>
                        </c15:formulaRef>
                      </c:ext>
                    </c:extLst>
                    <c:numCache>
                      <c:formatCode>General</c:formatCode>
                      <c:ptCount val="1"/>
                      <c:pt idx="0">
                        <c:v>18</c:v>
                      </c:pt>
                    </c:numCache>
                  </c:numRef>
                </c:val>
                <c:extLst xmlns:c16r2="http://schemas.microsoft.com/office/drawing/2015/06/chart" xmlns:c15="http://schemas.microsoft.com/office/drawing/2012/chart">
                  <c:ext xmlns:c16="http://schemas.microsoft.com/office/drawing/2014/chart" uri="{C3380CC4-5D6E-409C-BE32-E72D297353CC}">
                    <c16:uniqueId val="{00000006-E0B3-479E-B262-D4E6597EEB61}"/>
                  </c:ext>
                </c:extLst>
              </c15:ser>
            </c15:filteredBarSeries>
          </c:ext>
        </c:extLst>
      </c:barChart>
      <c:catAx>
        <c:axId val="183572480"/>
        <c:scaling>
          <c:orientation val="minMax"/>
        </c:scaling>
        <c:delete val="1"/>
        <c:axPos val="b"/>
        <c:numFmt formatCode="General" sourceLinked="1"/>
        <c:majorTickMark val="none"/>
        <c:minorTickMark val="none"/>
        <c:tickLblPos val="nextTo"/>
        <c:crossAx val="182907392"/>
        <c:crosses val="autoZero"/>
        <c:auto val="1"/>
        <c:lblAlgn val="ctr"/>
        <c:lblOffset val="100"/>
        <c:noMultiLvlLbl val="0"/>
      </c:catAx>
      <c:valAx>
        <c:axId val="182907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6350">
            <a:noFill/>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s-CO"/>
          </a:p>
        </c:txPr>
        <c:crossAx val="183572480"/>
        <c:crosses val="autoZero"/>
        <c:crossBetween val="between"/>
      </c:valAx>
      <c:spPr>
        <a:noFill/>
        <a:ln>
          <a:noFill/>
        </a:ln>
        <a:effectLst/>
      </c:spPr>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w="9525" cap="flat" cmpd="sng" algn="ctr">
      <a:solidFill>
        <a:srgbClr val="0070C0"/>
      </a:solid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24"/>
    </mc:Choice>
    <mc:Fallback>
      <c:style val="24"/>
    </mc:Fallback>
  </mc:AlternateContent>
  <c:chart>
    <c:title>
      <c:tx>
        <c:rich>
          <a:bodyPr/>
          <a:lstStyle/>
          <a:p>
            <a:pPr>
              <a:defRPr lang="es-ES" sz="1600"/>
            </a:pPr>
            <a:r>
              <a:rPr lang="en-US" sz="1600"/>
              <a:t>AVANCE METAS SECTOR</a:t>
            </a:r>
            <a:r>
              <a:rPr lang="en-US" sz="1600" baseline="0"/>
              <a:t> EDUCACION 2017</a:t>
            </a:r>
            <a:endParaRPr lang="en-US" sz="1600"/>
          </a:p>
        </c:rich>
      </c:tx>
      <c:overlay val="0"/>
    </c:title>
    <c:autoTitleDeleted val="0"/>
    <c:plotArea>
      <c:layout/>
      <c:barChart>
        <c:barDir val="col"/>
        <c:grouping val="clustered"/>
        <c:varyColors val="0"/>
        <c:ser>
          <c:idx val="0"/>
          <c:order val="0"/>
          <c:tx>
            <c:strRef>
              <c:f>'TABLERO 2018'!$E$8</c:f>
              <c:strCache>
                <c:ptCount val="1"/>
                <c:pt idx="0">
                  <c:v>PROGRAMADAS 2018</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2018'!$C$9</c:f>
              <c:strCache>
                <c:ptCount val="1"/>
                <c:pt idx="0">
                  <c:v>Educación</c:v>
                </c:pt>
              </c:strCache>
            </c:strRef>
          </c:cat>
          <c:val>
            <c:numRef>
              <c:f>'TABLERO 2018'!$E$9</c:f>
              <c:numCache>
                <c:formatCode>General</c:formatCode>
                <c:ptCount val="1"/>
                <c:pt idx="0">
                  <c:v>31</c:v>
                </c:pt>
              </c:numCache>
            </c:numRef>
          </c:val>
          <c:extLst xmlns:c16r2="http://schemas.microsoft.com/office/drawing/2015/06/chart">
            <c:ext xmlns:c16="http://schemas.microsoft.com/office/drawing/2014/chart" uri="{C3380CC4-5D6E-409C-BE32-E72D297353CC}">
              <c16:uniqueId val="{00000000-6AED-40DF-86AC-6DD6292D6B3B}"/>
            </c:ext>
          </c:extLst>
        </c:ser>
        <c:ser>
          <c:idx val="1"/>
          <c:order val="1"/>
          <c:tx>
            <c:v>CUMPLIDAD</c:v>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2018'!$C$9</c:f>
              <c:strCache>
                <c:ptCount val="1"/>
                <c:pt idx="0">
                  <c:v>Educación</c:v>
                </c:pt>
              </c:strCache>
            </c:strRef>
          </c:cat>
          <c:val>
            <c:numRef>
              <c:f>'TABLERO 2018'!$F$9</c:f>
              <c:numCache>
                <c:formatCode>General</c:formatCode>
                <c:ptCount val="1"/>
                <c:pt idx="0">
                  <c:v>28</c:v>
                </c:pt>
              </c:numCache>
            </c:numRef>
          </c:val>
          <c:extLst xmlns:c16r2="http://schemas.microsoft.com/office/drawing/2015/06/chart">
            <c:ext xmlns:c16="http://schemas.microsoft.com/office/drawing/2014/chart" uri="{C3380CC4-5D6E-409C-BE32-E72D297353CC}">
              <c16:uniqueId val="{00000001-6AED-40DF-86AC-6DD6292D6B3B}"/>
            </c:ext>
          </c:extLst>
        </c:ser>
        <c:ser>
          <c:idx val="2"/>
          <c:order val="2"/>
          <c:tx>
            <c:v>EJECUCION</c:v>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2018'!$C$9</c:f>
              <c:strCache>
                <c:ptCount val="1"/>
                <c:pt idx="0">
                  <c:v>Educación</c:v>
                </c:pt>
              </c:strCache>
            </c:strRef>
          </c:cat>
          <c:val>
            <c:numRef>
              <c:f>'TABLERO 2018'!$H$9</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2-6AED-40DF-86AC-6DD6292D6B3B}"/>
            </c:ext>
          </c:extLst>
        </c:ser>
        <c:ser>
          <c:idx val="3"/>
          <c:order val="3"/>
          <c:tx>
            <c:v>SIN AVANCE</c:v>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2018'!$C$9</c:f>
              <c:strCache>
                <c:ptCount val="1"/>
                <c:pt idx="0">
                  <c:v>Educación</c:v>
                </c:pt>
              </c:strCache>
            </c:strRef>
          </c:cat>
          <c:val>
            <c:numRef>
              <c:f>'TABLERO 2018'!$J$9</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3-6AED-40DF-86AC-6DD6292D6B3B}"/>
            </c:ext>
          </c:extLst>
        </c:ser>
        <c:ser>
          <c:idx val="4"/>
          <c:order val="4"/>
          <c:tx>
            <c:v>APLAZADA</c:v>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2018'!$C$9</c:f>
              <c:strCache>
                <c:ptCount val="1"/>
                <c:pt idx="0">
                  <c:v>Educación</c:v>
                </c:pt>
              </c:strCache>
            </c:strRef>
          </c:cat>
          <c:val>
            <c:numRef>
              <c:f>'TABLERO 2018'!$L$9</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6AED-40DF-86AC-6DD6292D6B3B}"/>
            </c:ext>
          </c:extLst>
        </c:ser>
        <c:ser>
          <c:idx val="5"/>
          <c:order val="5"/>
          <c:tx>
            <c:strRef>
              <c:f>'TABLERO 2018'!$R$8</c:f>
              <c:strCache>
                <c:ptCount val="1"/>
                <c:pt idx="0">
                  <c:v>2018</c:v>
                </c:pt>
              </c:strCache>
            </c:strRef>
          </c:tx>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'TABLERO 2018'!$R$9</c:f>
              <c:numCache>
                <c:formatCode>_-* #,##0.00_-;\-* #,##0.00_-;_-* "-"??_-;_-@_-</c:formatCode>
                <c:ptCount val="1"/>
                <c:pt idx="0">
                  <c:v>93.75</c:v>
                </c:pt>
              </c:numCache>
            </c:numRef>
          </c:val>
          <c:extLst xmlns:c16r2="http://schemas.microsoft.com/office/drawing/2015/06/chart">
            <c:ext xmlns:c16="http://schemas.microsoft.com/office/drawing/2014/chart" uri="{C3380CC4-5D6E-409C-BE32-E72D297353CC}">
              <c16:uniqueId val="{00000005-6AED-40DF-86AC-6DD6292D6B3B}"/>
            </c:ext>
          </c:extLst>
        </c:ser>
        <c:dLbls>
          <c:showLegendKey val="0"/>
          <c:showVal val="0"/>
          <c:showCatName val="0"/>
          <c:showSerName val="0"/>
          <c:showPercent val="0"/>
          <c:showBubbleSize val="0"/>
        </c:dLbls>
        <c:gapWidth val="75"/>
        <c:overlap val="-25"/>
        <c:axId val="178050560"/>
        <c:axId val="182909696"/>
      </c:barChart>
      <c:catAx>
        <c:axId val="178050560"/>
        <c:scaling>
          <c:orientation val="minMax"/>
        </c:scaling>
        <c:delete val="0"/>
        <c:axPos val="b"/>
        <c:numFmt formatCode="General" sourceLinked="0"/>
        <c:majorTickMark val="none"/>
        <c:minorTickMark val="none"/>
        <c:tickLblPos val="nextTo"/>
        <c:txPr>
          <a:bodyPr/>
          <a:lstStyle/>
          <a:p>
            <a:pPr>
              <a:defRPr lang="es-ES"/>
            </a:pPr>
            <a:endParaRPr lang="es-CO"/>
          </a:p>
        </c:txPr>
        <c:crossAx val="182909696"/>
        <c:crosses val="autoZero"/>
        <c:auto val="1"/>
        <c:lblAlgn val="ctr"/>
        <c:lblOffset val="100"/>
        <c:noMultiLvlLbl val="0"/>
      </c:catAx>
      <c:valAx>
        <c:axId val="182909696"/>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78050560"/>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cmpd="dbl">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APSB</a:t>
            </a:r>
            <a:r>
              <a:rPr lang="es-CO" sz="1600" baseline="0"/>
              <a:t> 2017</a:t>
            </a:r>
          </a:p>
          <a:p>
            <a:pPr>
              <a:defRPr lang="es-ES" sz="1600"/>
            </a:pPr>
            <a:endParaRPr lang="es-CO" sz="1600"/>
          </a:p>
        </c:rich>
      </c:tx>
      <c:overlay val="0"/>
    </c:title>
    <c:autoTitleDeleted val="0"/>
    <c:plotArea>
      <c:layout/>
      <c:barChart>
        <c:barDir val="col"/>
        <c:grouping val="clustered"/>
        <c:varyColors val="0"/>
        <c:ser>
          <c:idx val="0"/>
          <c:order val="0"/>
          <c:tx>
            <c:v>PROGRAMADA 2017</c:v>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2018'!$E$11</c:f>
              <c:numCache>
                <c:formatCode>General</c:formatCode>
                <c:ptCount val="1"/>
                <c:pt idx="0">
                  <c:v>22</c:v>
                </c:pt>
              </c:numCache>
            </c:numRef>
          </c:val>
          <c:extLst xmlns:c16r2="http://schemas.microsoft.com/office/drawing/2015/06/chart">
            <c:ext xmlns:c16="http://schemas.microsoft.com/office/drawing/2014/chart" uri="{C3380CC4-5D6E-409C-BE32-E72D297353CC}">
              <c16:uniqueId val="{00000000-3E60-48A8-A28A-FD207319D82A}"/>
            </c:ext>
          </c:extLst>
        </c:ser>
        <c:ser>
          <c:idx val="1"/>
          <c:order val="1"/>
          <c:tx>
            <c:v>CUMPLIDA</c:v>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2018'!$F$11</c:f>
              <c:numCache>
                <c:formatCode>General</c:formatCode>
                <c:ptCount val="1"/>
                <c:pt idx="0">
                  <c:v>20</c:v>
                </c:pt>
              </c:numCache>
            </c:numRef>
          </c:val>
          <c:extLst xmlns:c16r2="http://schemas.microsoft.com/office/drawing/2015/06/chart">
            <c:ext xmlns:c16="http://schemas.microsoft.com/office/drawing/2014/chart" uri="{C3380CC4-5D6E-409C-BE32-E72D297353CC}">
              <c16:uniqueId val="{00000001-3E60-48A8-A28A-FD207319D82A}"/>
            </c:ext>
          </c:extLst>
        </c:ser>
        <c:ser>
          <c:idx val="2"/>
          <c:order val="2"/>
          <c:tx>
            <c:v>EJECUCION</c:v>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2018'!$H$11</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2-3E60-48A8-A28A-FD207319D82A}"/>
            </c:ext>
          </c:extLst>
        </c:ser>
        <c:ser>
          <c:idx val="3"/>
          <c:order val="3"/>
          <c:tx>
            <c:v>SIN AVANCE</c:v>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2018'!$J$11</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3E60-48A8-A28A-FD207319D82A}"/>
            </c:ext>
          </c:extLst>
        </c:ser>
        <c:ser>
          <c:idx val="4"/>
          <c:order val="4"/>
          <c:tx>
            <c:v>APLAZADA</c:v>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2018'!$L$11</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3E60-48A8-A28A-FD207319D82A}"/>
            </c:ext>
          </c:extLst>
        </c:ser>
        <c:ser>
          <c:idx val="5"/>
          <c:order val="5"/>
          <c:tx>
            <c:v>% EJECUCION</c:v>
          </c:tx>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2018'!$R$11</c:f>
              <c:numCache>
                <c:formatCode>_-* #,##0.00_-;\-* #,##0.00_-;_-* "-"??_-;_-@_-</c:formatCode>
                <c:ptCount val="1"/>
                <c:pt idx="0">
                  <c:v>90.909090909090907</c:v>
                </c:pt>
              </c:numCache>
            </c:numRef>
          </c:val>
          <c:extLst xmlns:c16r2="http://schemas.microsoft.com/office/drawing/2015/06/chart">
            <c:ext xmlns:c16="http://schemas.microsoft.com/office/drawing/2014/chart" uri="{C3380CC4-5D6E-409C-BE32-E72D297353CC}">
              <c16:uniqueId val="{00000005-3E60-48A8-A28A-FD207319D82A}"/>
            </c:ext>
          </c:extLst>
        </c:ser>
        <c:dLbls>
          <c:showLegendKey val="0"/>
          <c:showVal val="0"/>
          <c:showCatName val="0"/>
          <c:showSerName val="0"/>
          <c:showPercent val="0"/>
          <c:showBubbleSize val="0"/>
        </c:dLbls>
        <c:gapWidth val="75"/>
        <c:overlap val="-25"/>
        <c:axId val="185680384"/>
        <c:axId val="185960128"/>
      </c:barChart>
      <c:catAx>
        <c:axId val="185680384"/>
        <c:scaling>
          <c:orientation val="minMax"/>
        </c:scaling>
        <c:delete val="0"/>
        <c:axPos val="b"/>
        <c:numFmt formatCode="General" sourceLinked="0"/>
        <c:majorTickMark val="none"/>
        <c:minorTickMark val="none"/>
        <c:tickLblPos val="nextTo"/>
        <c:txPr>
          <a:bodyPr/>
          <a:lstStyle/>
          <a:p>
            <a:pPr>
              <a:defRPr lang="es-ES"/>
            </a:pPr>
            <a:endParaRPr lang="es-CO"/>
          </a:p>
        </c:txPr>
        <c:crossAx val="185960128"/>
        <c:crosses val="autoZero"/>
        <c:auto val="1"/>
        <c:lblAlgn val="ctr"/>
        <c:lblOffset val="100"/>
        <c:noMultiLvlLbl val="0"/>
      </c:catAx>
      <c:valAx>
        <c:axId val="185960128"/>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5680384"/>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cmpd="dbl">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CULTURA 2017</a:t>
            </a:r>
          </a:p>
        </c:rich>
      </c:tx>
      <c:overlay val="0"/>
    </c:title>
    <c:autoTitleDeleted val="0"/>
    <c:plotArea>
      <c:layout/>
      <c:barChart>
        <c:barDir val="col"/>
        <c:grouping val="clustered"/>
        <c:varyColors val="0"/>
        <c:ser>
          <c:idx val="0"/>
          <c:order val="0"/>
          <c:tx>
            <c:strRef>
              <c:f>'TABLERO 2018'!$E$8</c:f>
              <c:strCache>
                <c:ptCount val="1"/>
                <c:pt idx="0">
                  <c:v>PROGRAMADAS 2018</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2018'!$C$13</c:f>
              <c:strCache>
                <c:ptCount val="1"/>
                <c:pt idx="0">
                  <c:v>Cultura</c:v>
                </c:pt>
              </c:strCache>
            </c:strRef>
          </c:cat>
          <c:val>
            <c:numRef>
              <c:f>'TABLERO 2018'!$E$13</c:f>
              <c:numCache>
                <c:formatCode>General</c:formatCode>
                <c:ptCount val="1"/>
                <c:pt idx="0">
                  <c:v>28</c:v>
                </c:pt>
              </c:numCache>
            </c:numRef>
          </c:val>
          <c:extLst xmlns:c16r2="http://schemas.microsoft.com/office/drawing/2015/06/chart">
            <c:ext xmlns:c16="http://schemas.microsoft.com/office/drawing/2014/chart" uri="{C3380CC4-5D6E-409C-BE32-E72D297353CC}">
              <c16:uniqueId val="{00000000-8A26-43DE-A5AE-C21E058BA6F1}"/>
            </c:ext>
          </c:extLst>
        </c:ser>
        <c:ser>
          <c:idx val="1"/>
          <c:order val="1"/>
          <c:tx>
            <c:strRef>
              <c:f>'TABLERO 2018'!$F$8</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2018'!$C$13</c:f>
              <c:strCache>
                <c:ptCount val="1"/>
                <c:pt idx="0">
                  <c:v>Cultura</c:v>
                </c:pt>
              </c:strCache>
            </c:strRef>
          </c:cat>
          <c:val>
            <c:numRef>
              <c:f>'TABLERO 2018'!$F$13</c:f>
              <c:numCache>
                <c:formatCode>General</c:formatCode>
                <c:ptCount val="1"/>
                <c:pt idx="0">
                  <c:v>24</c:v>
                </c:pt>
              </c:numCache>
            </c:numRef>
          </c:val>
          <c:extLst xmlns:c16r2="http://schemas.microsoft.com/office/drawing/2015/06/chart">
            <c:ext xmlns:c16="http://schemas.microsoft.com/office/drawing/2014/chart" uri="{C3380CC4-5D6E-409C-BE32-E72D297353CC}">
              <c16:uniqueId val="{00000001-8A26-43DE-A5AE-C21E058BA6F1}"/>
            </c:ext>
          </c:extLst>
        </c:ser>
        <c:ser>
          <c:idx val="2"/>
          <c:order val="2"/>
          <c:tx>
            <c:strRef>
              <c:f>'TABLERO 2018'!$H$8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2018'!$C$13</c:f>
              <c:strCache>
                <c:ptCount val="1"/>
                <c:pt idx="0">
                  <c:v>Cultura</c:v>
                </c:pt>
              </c:strCache>
            </c:strRef>
          </c:cat>
          <c:val>
            <c:numRef>
              <c:f>'TABLERO 2018'!$H$13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2-8A26-43DE-A5AE-C21E058BA6F1}"/>
            </c:ext>
          </c:extLst>
        </c:ser>
        <c:ser>
          <c:idx val="3"/>
          <c:order val="3"/>
          <c:tx>
            <c:strRef>
              <c:f>'TABLERO 2018'!$J$8</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2018'!$C$13</c:f>
              <c:strCache>
                <c:ptCount val="1"/>
                <c:pt idx="0">
                  <c:v>Cultura</c:v>
                </c:pt>
              </c:strCache>
            </c:strRef>
          </c:cat>
          <c:val>
            <c:numRef>
              <c:f>'TABLERO 2018'!$J$13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3-8A26-43DE-A5AE-C21E058BA6F1}"/>
            </c:ext>
          </c:extLst>
        </c:ser>
        <c:ser>
          <c:idx val="4"/>
          <c:order val="4"/>
          <c:tx>
            <c:strRef>
              <c:f>'TABLERO 2018'!$L$8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2018'!$C$13</c:f>
              <c:strCache>
                <c:ptCount val="1"/>
                <c:pt idx="0">
                  <c:v>Cultura</c:v>
                </c:pt>
              </c:strCache>
            </c:strRef>
          </c:cat>
          <c:val>
            <c:numRef>
              <c:f>'TABLERO 2018'!$L$13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8A26-43DE-A5AE-C21E058BA6F1}"/>
            </c:ext>
          </c:extLst>
        </c:ser>
        <c:dLbls>
          <c:showLegendKey val="0"/>
          <c:showVal val="0"/>
          <c:showCatName val="0"/>
          <c:showSerName val="0"/>
          <c:showPercent val="0"/>
          <c:showBubbleSize val="0"/>
        </c:dLbls>
        <c:gapWidth val="75"/>
        <c:overlap val="-25"/>
        <c:axId val="185681920"/>
        <c:axId val="185961856"/>
      </c:barChart>
      <c:catAx>
        <c:axId val="185681920"/>
        <c:scaling>
          <c:orientation val="minMax"/>
        </c:scaling>
        <c:delete val="0"/>
        <c:axPos val="b"/>
        <c:numFmt formatCode="General" sourceLinked="0"/>
        <c:majorTickMark val="none"/>
        <c:minorTickMark val="none"/>
        <c:tickLblPos val="nextTo"/>
        <c:txPr>
          <a:bodyPr/>
          <a:lstStyle/>
          <a:p>
            <a:pPr>
              <a:defRPr lang="es-ES"/>
            </a:pPr>
            <a:endParaRPr lang="es-CO"/>
          </a:p>
        </c:txPr>
        <c:crossAx val="185961856"/>
        <c:crosses val="autoZero"/>
        <c:auto val="1"/>
        <c:lblAlgn val="ctr"/>
        <c:lblOffset val="100"/>
        <c:noMultiLvlLbl val="0"/>
      </c:catAx>
      <c:valAx>
        <c:axId val="185961856"/>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5681920"/>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lang="es-ES" sz="1600"/>
            </a:pPr>
            <a:r>
              <a:rPr lang="es-CO" sz="1600"/>
              <a:t>AVANCE METAS SECTOR OTROS SERVICIOS 2017</a:t>
            </a:r>
          </a:p>
        </c:rich>
      </c:tx>
      <c:overlay val="0"/>
    </c:title>
    <c:autoTitleDeleted val="0"/>
    <c:plotArea>
      <c:layout/>
      <c:barChart>
        <c:barDir val="col"/>
        <c:grouping val="clustered"/>
        <c:varyColors val="0"/>
        <c:ser>
          <c:idx val="0"/>
          <c:order val="0"/>
          <c:tx>
            <c:strRef>
              <c:f>'TABLERO 2018'!$E$8</c:f>
              <c:strCache>
                <c:ptCount val="1"/>
                <c:pt idx="0">
                  <c:v>PROGRAMADAS 2018</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2018'!$C$14</c:f>
              <c:strCache>
                <c:ptCount val="1"/>
                <c:pt idx="0">
                  <c:v>Otros Servicios Públicos</c:v>
                </c:pt>
              </c:strCache>
            </c:strRef>
          </c:cat>
          <c:val>
            <c:numRef>
              <c:f>'TABLERO 2018'!$E$14</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0-9F1C-47B0-9F90-B56639D4DA88}"/>
            </c:ext>
          </c:extLst>
        </c:ser>
        <c:ser>
          <c:idx val="1"/>
          <c:order val="1"/>
          <c:tx>
            <c:v>CUMPLIDA</c:v>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2018'!$C$14</c:f>
              <c:strCache>
                <c:ptCount val="1"/>
                <c:pt idx="0">
                  <c:v>Otros Servicios Públicos</c:v>
                </c:pt>
              </c:strCache>
            </c:strRef>
          </c:cat>
          <c:val>
            <c:numRef>
              <c:f>'TABLERO 2018'!$F$14</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1-9F1C-47B0-9F90-B56639D4DA88}"/>
            </c:ext>
          </c:extLst>
        </c:ser>
        <c:ser>
          <c:idx val="2"/>
          <c:order val="2"/>
          <c:tx>
            <c:v>EJECUCION</c:v>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2018'!$C$14</c:f>
              <c:strCache>
                <c:ptCount val="1"/>
                <c:pt idx="0">
                  <c:v>Otros Servicios Públicos</c:v>
                </c:pt>
              </c:strCache>
            </c:strRef>
          </c:cat>
          <c:val>
            <c:numRef>
              <c:f>'TABLERO 2018'!$H$14</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2-9F1C-47B0-9F90-B56639D4DA88}"/>
            </c:ext>
          </c:extLst>
        </c:ser>
        <c:ser>
          <c:idx val="3"/>
          <c:order val="3"/>
          <c:tx>
            <c:v>SIN AVANCE</c:v>
          </c:tx>
          <c:invertIfNegative val="0"/>
          <c:cat>
            <c:strRef>
              <c:f>'TABLERO 2018'!$C$14</c:f>
              <c:strCache>
                <c:ptCount val="1"/>
                <c:pt idx="0">
                  <c:v>Otros Servicios Públicos</c:v>
                </c:pt>
              </c:strCache>
            </c:strRef>
          </c:cat>
          <c:val>
            <c:numRef>
              <c:f>'TABLERO 2018'!$J$14</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3-9F1C-47B0-9F90-B56639D4DA88}"/>
            </c:ext>
          </c:extLst>
        </c:ser>
        <c:ser>
          <c:idx val="4"/>
          <c:order val="4"/>
          <c:tx>
            <c:v>APLAZADA</c:v>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2018'!$C$14</c:f>
              <c:strCache>
                <c:ptCount val="1"/>
                <c:pt idx="0">
                  <c:v>Otros Servicios Públicos</c:v>
                </c:pt>
              </c:strCache>
            </c:strRef>
          </c:cat>
          <c:val>
            <c:numRef>
              <c:f>'TABLERO 2018'!$L$14</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9F1C-47B0-9F90-B56639D4DA88}"/>
            </c:ext>
          </c:extLst>
        </c:ser>
        <c:dLbls>
          <c:showLegendKey val="0"/>
          <c:showVal val="0"/>
          <c:showCatName val="0"/>
          <c:showSerName val="0"/>
          <c:showPercent val="0"/>
          <c:showBubbleSize val="0"/>
        </c:dLbls>
        <c:gapWidth val="75"/>
        <c:overlap val="-25"/>
        <c:axId val="186400768"/>
        <c:axId val="185964160"/>
      </c:barChart>
      <c:catAx>
        <c:axId val="186400768"/>
        <c:scaling>
          <c:orientation val="minMax"/>
        </c:scaling>
        <c:delete val="0"/>
        <c:axPos val="b"/>
        <c:numFmt formatCode="General" sourceLinked="0"/>
        <c:majorTickMark val="none"/>
        <c:minorTickMark val="none"/>
        <c:tickLblPos val="nextTo"/>
        <c:txPr>
          <a:bodyPr/>
          <a:lstStyle/>
          <a:p>
            <a:pPr>
              <a:defRPr lang="es-ES"/>
            </a:pPr>
            <a:endParaRPr lang="es-CO"/>
          </a:p>
        </c:txPr>
        <c:crossAx val="185964160"/>
        <c:crosses val="autoZero"/>
        <c:auto val="1"/>
        <c:lblAlgn val="ctr"/>
        <c:lblOffset val="100"/>
        <c:noMultiLvlLbl val="0"/>
      </c:catAx>
      <c:valAx>
        <c:axId val="185964160"/>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6400768"/>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CULTURA 2016</a:t>
            </a:r>
          </a:p>
        </c:rich>
      </c:tx>
      <c:overlay val="0"/>
    </c:title>
    <c:autoTitleDeleted val="0"/>
    <c:plotArea>
      <c:layout/>
      <c:barChart>
        <c:barDir val="col"/>
        <c:grouping val="clustered"/>
        <c:varyColors val="0"/>
        <c:ser>
          <c:idx val="0"/>
          <c:order val="0"/>
          <c:tx>
            <c:strRef>
              <c:f>'TABLERO 2016'!$F$5</c:f>
              <c:strCache>
                <c:ptCount val="1"/>
                <c:pt idx="0">
                  <c:v>PROGRAMADAS 2016</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2016'!$C$10</c:f>
              <c:strCache>
                <c:ptCount val="1"/>
                <c:pt idx="0">
                  <c:v>Cultura</c:v>
                </c:pt>
              </c:strCache>
            </c:strRef>
          </c:cat>
          <c:val>
            <c:numRef>
              <c:f>'TABLERO 2016'!$F$10</c:f>
              <c:numCache>
                <c:formatCode>General</c:formatCode>
                <c:ptCount val="1"/>
                <c:pt idx="0">
                  <c:v>24</c:v>
                </c:pt>
              </c:numCache>
            </c:numRef>
          </c:val>
          <c:extLst xmlns:c16r2="http://schemas.microsoft.com/office/drawing/2015/06/chart">
            <c:ext xmlns:c16="http://schemas.microsoft.com/office/drawing/2014/chart" uri="{C3380CC4-5D6E-409C-BE32-E72D297353CC}">
              <c16:uniqueId val="{00000000-4D3B-4CB6-BD54-AE1ED67E086D}"/>
            </c:ext>
          </c:extLst>
        </c:ser>
        <c:ser>
          <c:idx val="1"/>
          <c:order val="1"/>
          <c:tx>
            <c:strRef>
              <c:f>'TABLERO 2016'!$G$5</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2016'!$C$10</c:f>
              <c:strCache>
                <c:ptCount val="1"/>
                <c:pt idx="0">
                  <c:v>Cultura</c:v>
                </c:pt>
              </c:strCache>
            </c:strRef>
          </c:cat>
          <c:val>
            <c:numRef>
              <c:f>'TABLERO 2016'!$G$10</c:f>
              <c:numCache>
                <c:formatCode>General</c:formatCode>
                <c:ptCount val="1"/>
                <c:pt idx="0">
                  <c:v>22</c:v>
                </c:pt>
              </c:numCache>
            </c:numRef>
          </c:val>
          <c:extLst xmlns:c16r2="http://schemas.microsoft.com/office/drawing/2015/06/chart">
            <c:ext xmlns:c16="http://schemas.microsoft.com/office/drawing/2014/chart" uri="{C3380CC4-5D6E-409C-BE32-E72D297353CC}">
              <c16:uniqueId val="{00000001-4D3B-4CB6-BD54-AE1ED67E086D}"/>
            </c:ext>
          </c:extLst>
        </c:ser>
        <c:ser>
          <c:idx val="2"/>
          <c:order val="2"/>
          <c:tx>
            <c:strRef>
              <c:f>'TABLERO 2016'!$H$5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2016'!$C$10</c:f>
              <c:strCache>
                <c:ptCount val="1"/>
                <c:pt idx="0">
                  <c:v>Cultura</c:v>
                </c:pt>
              </c:strCache>
            </c:strRef>
          </c:cat>
          <c:val>
            <c:numRef>
              <c:f>'TABLERO 2016'!$H$10</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2-4D3B-4CB6-BD54-AE1ED67E086D}"/>
            </c:ext>
          </c:extLst>
        </c:ser>
        <c:ser>
          <c:idx val="3"/>
          <c:order val="3"/>
          <c:tx>
            <c:strRef>
              <c:f>'TABLERO 2016'!$I$5</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2016'!$C$10</c:f>
              <c:strCache>
                <c:ptCount val="1"/>
                <c:pt idx="0">
                  <c:v>Cultura</c:v>
                </c:pt>
              </c:strCache>
            </c:strRef>
          </c:cat>
          <c:val>
            <c:numRef>
              <c:f>'TABLERO 2016'!$I$10</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3-4D3B-4CB6-BD54-AE1ED67E086D}"/>
            </c:ext>
          </c:extLst>
        </c:ser>
        <c:ser>
          <c:idx val="4"/>
          <c:order val="4"/>
          <c:tx>
            <c:strRef>
              <c:f>'TABLERO 2016'!$J$5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2016'!$C$10</c:f>
              <c:strCache>
                <c:ptCount val="1"/>
                <c:pt idx="0">
                  <c:v>Cultura</c:v>
                </c:pt>
              </c:strCache>
            </c:strRef>
          </c:cat>
          <c:val>
            <c:numRef>
              <c:f>'TABLERO 2016'!$J$10</c:f>
              <c:numCache>
                <c:formatCode>General</c:formatCode>
                <c:ptCount val="1"/>
                <c:pt idx="0">
                  <c:v>8</c:v>
                </c:pt>
              </c:numCache>
            </c:numRef>
          </c:val>
          <c:extLst xmlns:c16r2="http://schemas.microsoft.com/office/drawing/2015/06/chart">
            <c:ext xmlns:c16="http://schemas.microsoft.com/office/drawing/2014/chart" uri="{C3380CC4-5D6E-409C-BE32-E72D297353CC}">
              <c16:uniqueId val="{00000004-4D3B-4CB6-BD54-AE1ED67E086D}"/>
            </c:ext>
          </c:extLst>
        </c:ser>
        <c:dLbls>
          <c:showLegendKey val="0"/>
          <c:showVal val="0"/>
          <c:showCatName val="0"/>
          <c:showSerName val="0"/>
          <c:showPercent val="0"/>
          <c:showBubbleSize val="0"/>
        </c:dLbls>
        <c:gapWidth val="75"/>
        <c:overlap val="-25"/>
        <c:axId val="175282176"/>
        <c:axId val="175382528"/>
      </c:barChart>
      <c:catAx>
        <c:axId val="175282176"/>
        <c:scaling>
          <c:orientation val="minMax"/>
        </c:scaling>
        <c:delete val="0"/>
        <c:axPos val="b"/>
        <c:numFmt formatCode="General" sourceLinked="0"/>
        <c:majorTickMark val="none"/>
        <c:minorTickMark val="none"/>
        <c:tickLblPos val="nextTo"/>
        <c:txPr>
          <a:bodyPr/>
          <a:lstStyle/>
          <a:p>
            <a:pPr>
              <a:defRPr lang="es-ES"/>
            </a:pPr>
            <a:endParaRPr lang="es-CO"/>
          </a:p>
        </c:txPr>
        <c:crossAx val="175382528"/>
        <c:crosses val="autoZero"/>
        <c:auto val="1"/>
        <c:lblAlgn val="ctr"/>
        <c:lblOffset val="100"/>
        <c:noMultiLvlLbl val="0"/>
      </c:catAx>
      <c:valAx>
        <c:axId val="175382528"/>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75282176"/>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VIVIENDA 2017</a:t>
            </a:r>
          </a:p>
        </c:rich>
      </c:tx>
      <c:overlay val="0"/>
    </c:title>
    <c:autoTitleDeleted val="0"/>
    <c:plotArea>
      <c:layout>
        <c:manualLayout>
          <c:layoutTarget val="inner"/>
          <c:xMode val="edge"/>
          <c:yMode val="edge"/>
          <c:x val="5.8099518810148756E-2"/>
          <c:y val="0.21126166520851555"/>
          <c:w val="0.89745603674540686"/>
          <c:h val="0.58904126567512394"/>
        </c:manualLayout>
      </c:layout>
      <c:barChart>
        <c:barDir val="col"/>
        <c:grouping val="clustered"/>
        <c:varyColors val="0"/>
        <c:ser>
          <c:idx val="0"/>
          <c:order val="0"/>
          <c:tx>
            <c:strRef>
              <c:f>'TABLERO 2016'!$D$5</c:f>
              <c:strCache>
                <c:ptCount val="1"/>
                <c:pt idx="0">
                  <c:v>MR</c:v>
                </c:pt>
              </c:strCache>
            </c:strRef>
          </c:tx>
          <c:invertIfNegative val="0"/>
          <c:cat>
            <c:strRef>
              <c:f>'TABLERO 2016'!$C$12</c:f>
              <c:strCache>
                <c:ptCount val="1"/>
                <c:pt idx="0">
                  <c:v>Vivienda</c:v>
                </c:pt>
              </c:strCache>
            </c:strRef>
          </c:cat>
          <c:val>
            <c:numRef>
              <c:f>'TABLERO 2016'!$D$12</c:f>
            </c:numRef>
          </c:val>
          <c:extLst xmlns:c16r2="http://schemas.microsoft.com/office/drawing/2015/06/chart">
            <c:ext xmlns:c16="http://schemas.microsoft.com/office/drawing/2014/chart" uri="{C3380CC4-5D6E-409C-BE32-E72D297353CC}">
              <c16:uniqueId val="{00000000-1418-48CD-94E0-9F6308BAA962}"/>
            </c:ext>
          </c:extLst>
        </c:ser>
        <c:ser>
          <c:idx val="1"/>
          <c:order val="1"/>
          <c:tx>
            <c:strRef>
              <c:f>'TABLERO 2018'!$D$8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2018'!$C$15</c:f>
              <c:strCache>
                <c:ptCount val="1"/>
                <c:pt idx="0">
                  <c:v>Vivienda</c:v>
                </c:pt>
              </c:strCache>
            </c:strRef>
          </c:cat>
          <c:val>
            <c:numRef>
              <c:f>'TABLERO 2018'!$D$15</c:f>
              <c:numCache>
                <c:formatCode>General</c:formatCode>
                <c:ptCount val="1"/>
                <c:pt idx="0">
                  <c:v>9</c:v>
                </c:pt>
              </c:numCache>
            </c:numRef>
          </c:val>
          <c:extLst xmlns:c16r2="http://schemas.microsoft.com/office/drawing/2015/06/chart">
            <c:ext xmlns:c16="http://schemas.microsoft.com/office/drawing/2014/chart" uri="{C3380CC4-5D6E-409C-BE32-E72D297353CC}">
              <c16:uniqueId val="{00000001-1418-48CD-94E0-9F6308BAA962}"/>
            </c:ext>
          </c:extLst>
        </c:ser>
        <c:ser>
          <c:idx val="2"/>
          <c:order val="2"/>
          <c:tx>
            <c:strRef>
              <c:f>'TABLERO 2018'!$E$8</c:f>
              <c:strCache>
                <c:ptCount val="1"/>
                <c:pt idx="0">
                  <c:v>PROGRAMADAS 2018</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2018'!$C$15</c:f>
              <c:strCache>
                <c:ptCount val="1"/>
                <c:pt idx="0">
                  <c:v>Vivienda</c:v>
                </c:pt>
              </c:strCache>
            </c:strRef>
          </c:cat>
          <c:val>
            <c:numRef>
              <c:f>'TABLERO 2018'!$E$15</c:f>
              <c:numCache>
                <c:formatCode>General</c:formatCode>
                <c:ptCount val="1"/>
                <c:pt idx="0">
                  <c:v>7</c:v>
                </c:pt>
              </c:numCache>
            </c:numRef>
          </c:val>
          <c:extLst xmlns:c16r2="http://schemas.microsoft.com/office/drawing/2015/06/chart">
            <c:ext xmlns:c16="http://schemas.microsoft.com/office/drawing/2014/chart" uri="{C3380CC4-5D6E-409C-BE32-E72D297353CC}">
              <c16:uniqueId val="{00000002-1418-48CD-94E0-9F6308BAA962}"/>
            </c:ext>
          </c:extLst>
        </c:ser>
        <c:ser>
          <c:idx val="3"/>
          <c:order val="3"/>
          <c:tx>
            <c:strRef>
              <c:f>'TABLERO 2018'!$F$8</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2018'!$C$15</c:f>
              <c:strCache>
                <c:ptCount val="1"/>
                <c:pt idx="0">
                  <c:v>Vivienda</c:v>
                </c:pt>
              </c:strCache>
            </c:strRef>
          </c:cat>
          <c:val>
            <c:numRef>
              <c:f>'TABLERO 2018'!$F$15</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3-1418-48CD-94E0-9F6308BAA962}"/>
            </c:ext>
          </c:extLst>
        </c:ser>
        <c:ser>
          <c:idx val="4"/>
          <c:order val="4"/>
          <c:tx>
            <c:strRef>
              <c:f>'TABLERO 2018'!$H$8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2018'!$C$15</c:f>
              <c:strCache>
                <c:ptCount val="1"/>
                <c:pt idx="0">
                  <c:v>Vivienda</c:v>
                </c:pt>
              </c:strCache>
            </c:strRef>
          </c:cat>
          <c:val>
            <c:numRef>
              <c:f>'TABLERO 2018'!$H$15</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4-1418-48CD-94E0-9F6308BAA962}"/>
            </c:ext>
          </c:extLst>
        </c:ser>
        <c:ser>
          <c:idx val="5"/>
          <c:order val="5"/>
          <c:tx>
            <c:strRef>
              <c:f>'TABLERO 2018'!$J$8</c:f>
              <c:strCache>
                <c:ptCount val="1"/>
                <c:pt idx="0">
                  <c:v>RO</c:v>
                </c:pt>
              </c:strCache>
            </c:strRef>
          </c:tx>
          <c:invertIfNegative val="0"/>
          <c:cat>
            <c:strRef>
              <c:f>'TABLERO 2018'!$C$15</c:f>
              <c:strCache>
                <c:ptCount val="1"/>
                <c:pt idx="0">
                  <c:v>Vivienda</c:v>
                </c:pt>
              </c:strCache>
            </c:strRef>
          </c:cat>
          <c:val>
            <c:numRef>
              <c:f>'TABLERO 2018'!$J$15</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1418-48CD-94E0-9F6308BAA962}"/>
            </c:ext>
          </c:extLst>
        </c:ser>
        <c:ser>
          <c:idx val="6"/>
          <c:order val="6"/>
          <c:tx>
            <c:strRef>
              <c:f>'TABLERO 2018'!$L$8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2018'!$C$15</c:f>
              <c:strCache>
                <c:ptCount val="1"/>
                <c:pt idx="0">
                  <c:v>Vivienda</c:v>
                </c:pt>
              </c:strCache>
            </c:strRef>
          </c:cat>
          <c:val>
            <c:numRef>
              <c:f>'TABLERO 2018'!$L$15</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1418-48CD-94E0-9F6308BAA962}"/>
            </c:ext>
          </c:extLst>
        </c:ser>
        <c:dLbls>
          <c:showLegendKey val="0"/>
          <c:showVal val="0"/>
          <c:showCatName val="0"/>
          <c:showSerName val="0"/>
          <c:showPercent val="0"/>
          <c:showBubbleSize val="0"/>
        </c:dLbls>
        <c:gapWidth val="75"/>
        <c:overlap val="-25"/>
        <c:axId val="185682944"/>
        <c:axId val="186474496"/>
      </c:barChart>
      <c:catAx>
        <c:axId val="185682944"/>
        <c:scaling>
          <c:orientation val="minMax"/>
        </c:scaling>
        <c:delete val="0"/>
        <c:axPos val="b"/>
        <c:numFmt formatCode="General" sourceLinked="0"/>
        <c:majorTickMark val="none"/>
        <c:minorTickMark val="none"/>
        <c:tickLblPos val="nextTo"/>
        <c:txPr>
          <a:bodyPr/>
          <a:lstStyle/>
          <a:p>
            <a:pPr>
              <a:defRPr lang="es-ES"/>
            </a:pPr>
            <a:endParaRPr lang="es-CO"/>
          </a:p>
        </c:txPr>
        <c:crossAx val="186474496"/>
        <c:crosses val="autoZero"/>
        <c:auto val="1"/>
        <c:lblAlgn val="ctr"/>
        <c:lblOffset val="100"/>
        <c:noMultiLvlLbl val="0"/>
      </c:catAx>
      <c:valAx>
        <c:axId val="186474496"/>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5682944"/>
        <c:crosses val="autoZero"/>
        <c:crossBetween val="between"/>
      </c:valAx>
      <c:spPr>
        <a:solidFill>
          <a:schemeClr val="accent4">
            <a:lumMod val="20000"/>
            <a:lumOff val="80000"/>
          </a:schemeClr>
        </a:solidFill>
      </c:spPr>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n-US" sz="1600"/>
              <a:t>AVANCE METAS SECTOR D. RURAL</a:t>
            </a:r>
            <a:r>
              <a:rPr lang="en-US" sz="1600" baseline="0"/>
              <a:t> /</a:t>
            </a:r>
            <a:r>
              <a:rPr lang="en-US" sz="1600"/>
              <a:t>AGROPECUARIO 2017</a:t>
            </a:r>
          </a:p>
        </c:rich>
      </c:tx>
      <c:layout>
        <c:manualLayout>
          <c:xMode val="edge"/>
          <c:yMode val="edge"/>
          <c:x val="0.14127654582233673"/>
          <c:y val="0"/>
        </c:manualLayout>
      </c:layout>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2016'!$C$13</c:f>
              <c:strCache>
                <c:ptCount val="1"/>
                <c:pt idx="0">
                  <c:v>Agropecuario</c:v>
                </c:pt>
              </c:strCache>
            </c:strRef>
          </c:cat>
          <c:val>
            <c:numRef>
              <c:f>'TABLERO 2016'!$D$13</c:f>
            </c:numRef>
          </c:val>
          <c:extLst xmlns:c16r2="http://schemas.microsoft.com/office/drawing/2015/06/chart">
            <c:ext xmlns:c16="http://schemas.microsoft.com/office/drawing/2014/chart" uri="{C3380CC4-5D6E-409C-BE32-E72D297353CC}">
              <c16:uniqueId val="{00000000-4463-402A-BA42-2AF9EDF225BA}"/>
            </c:ext>
          </c:extLst>
        </c:ser>
        <c:ser>
          <c:idx val="1"/>
          <c:order val="1"/>
          <c:tx>
            <c:strRef>
              <c:f>'TABLERO 2018'!$D$8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2018'!$C$16</c:f>
              <c:strCache>
                <c:ptCount val="1"/>
                <c:pt idx="0">
                  <c:v>Agropecuario</c:v>
                </c:pt>
              </c:strCache>
            </c:strRef>
          </c:cat>
          <c:val>
            <c:numRef>
              <c:f>'TABLERO 2018'!$D$16</c:f>
              <c:numCache>
                <c:formatCode>General</c:formatCode>
                <c:ptCount val="1"/>
                <c:pt idx="0">
                  <c:v>31</c:v>
                </c:pt>
              </c:numCache>
            </c:numRef>
          </c:val>
          <c:extLst xmlns:c16r2="http://schemas.microsoft.com/office/drawing/2015/06/chart">
            <c:ext xmlns:c16="http://schemas.microsoft.com/office/drawing/2014/chart" uri="{C3380CC4-5D6E-409C-BE32-E72D297353CC}">
              <c16:uniqueId val="{00000001-4463-402A-BA42-2AF9EDF225BA}"/>
            </c:ext>
          </c:extLst>
        </c:ser>
        <c:ser>
          <c:idx val="2"/>
          <c:order val="2"/>
          <c:tx>
            <c:strRef>
              <c:f>'TABLERO 2018'!$E$8</c:f>
              <c:strCache>
                <c:ptCount val="1"/>
                <c:pt idx="0">
                  <c:v>PROGRAMADAS 2018</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2018'!$C$16</c:f>
              <c:strCache>
                <c:ptCount val="1"/>
                <c:pt idx="0">
                  <c:v>Agropecuario</c:v>
                </c:pt>
              </c:strCache>
            </c:strRef>
          </c:cat>
          <c:val>
            <c:numRef>
              <c:f>'TABLERO 2018'!$E$16</c:f>
              <c:numCache>
                <c:formatCode>General</c:formatCode>
                <c:ptCount val="1"/>
                <c:pt idx="0">
                  <c:v>19</c:v>
                </c:pt>
              </c:numCache>
            </c:numRef>
          </c:val>
          <c:extLst xmlns:c16r2="http://schemas.microsoft.com/office/drawing/2015/06/chart">
            <c:ext xmlns:c16="http://schemas.microsoft.com/office/drawing/2014/chart" uri="{C3380CC4-5D6E-409C-BE32-E72D297353CC}">
              <c16:uniqueId val="{00000002-4463-402A-BA42-2AF9EDF225BA}"/>
            </c:ext>
          </c:extLst>
        </c:ser>
        <c:ser>
          <c:idx val="3"/>
          <c:order val="3"/>
          <c:tx>
            <c:strRef>
              <c:f>'TABLERO 2018'!$F$8</c:f>
              <c:strCache>
                <c:ptCount val="1"/>
                <c:pt idx="0">
                  <c:v>VE</c:v>
                </c:pt>
              </c:strCache>
            </c:strRef>
          </c:tx>
          <c:spPr>
            <a:solidFill>
              <a:srgbClr val="FFFF00"/>
            </a:solidFill>
          </c:spPr>
          <c:invertIfNegative val="0"/>
          <c:dPt>
            <c:idx val="0"/>
            <c:invertIfNegative val="0"/>
            <c:bubble3D val="0"/>
            <c:spPr>
              <a:solidFill>
                <a:srgbClr val="92D050"/>
              </a:solidFill>
            </c:spPr>
            <c:extLst xmlns:c16r2="http://schemas.microsoft.com/office/drawing/2015/06/chart">
              <c:ext xmlns:c16="http://schemas.microsoft.com/office/drawing/2014/chart" uri="{C3380CC4-5D6E-409C-BE32-E72D297353CC}">
                <c16:uniqueId val="{00000004-4463-402A-BA42-2AF9EDF225BA}"/>
              </c:ext>
            </c:extLst>
          </c:dPt>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2018'!$C$16</c:f>
              <c:strCache>
                <c:ptCount val="1"/>
                <c:pt idx="0">
                  <c:v>Agropecuario</c:v>
                </c:pt>
              </c:strCache>
            </c:strRef>
          </c:cat>
          <c:val>
            <c:numRef>
              <c:f>'TABLERO 2018'!$F$16</c:f>
              <c:numCache>
                <c:formatCode>General</c:formatCode>
                <c:ptCount val="1"/>
                <c:pt idx="0">
                  <c:v>17</c:v>
                </c:pt>
              </c:numCache>
            </c:numRef>
          </c:val>
          <c:extLst xmlns:c16r2="http://schemas.microsoft.com/office/drawing/2015/06/chart">
            <c:ext xmlns:c16="http://schemas.microsoft.com/office/drawing/2014/chart" uri="{C3380CC4-5D6E-409C-BE32-E72D297353CC}">
              <c16:uniqueId val="{00000005-4463-402A-BA42-2AF9EDF225BA}"/>
            </c:ext>
          </c:extLst>
        </c:ser>
        <c:ser>
          <c:idx val="4"/>
          <c:order val="4"/>
          <c:tx>
            <c:strRef>
              <c:f>'TABLERO 2018'!$H$8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2018'!$C$16</c:f>
              <c:strCache>
                <c:ptCount val="1"/>
                <c:pt idx="0">
                  <c:v>Agropecuario</c:v>
                </c:pt>
              </c:strCache>
            </c:strRef>
          </c:cat>
          <c:val>
            <c:numRef>
              <c:f>'TABLERO 2018'!$H$16</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4463-402A-BA42-2AF9EDF225BA}"/>
            </c:ext>
          </c:extLst>
        </c:ser>
        <c:ser>
          <c:idx val="5"/>
          <c:order val="5"/>
          <c:tx>
            <c:strRef>
              <c:f>'TABLERO 2018'!$J$8</c:f>
              <c:strCache>
                <c:ptCount val="1"/>
                <c:pt idx="0">
                  <c:v>RO</c:v>
                </c:pt>
              </c:strCache>
            </c:strRef>
          </c:tx>
          <c:invertIfNegative val="0"/>
          <c:cat>
            <c:strRef>
              <c:f>'TABLERO 2018'!$C$16</c:f>
              <c:strCache>
                <c:ptCount val="1"/>
                <c:pt idx="0">
                  <c:v>Agropecuario</c:v>
                </c:pt>
              </c:strCache>
            </c:strRef>
          </c:cat>
          <c:val>
            <c:numRef>
              <c:f>'TABLERO 2018'!$J$16</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7-4463-402A-BA42-2AF9EDF225BA}"/>
            </c:ext>
          </c:extLst>
        </c:ser>
        <c:ser>
          <c:idx val="6"/>
          <c:order val="6"/>
          <c:tx>
            <c:strRef>
              <c:f>'TABLERO 2018'!$L$8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2018'!$C$16</c:f>
              <c:strCache>
                <c:ptCount val="1"/>
                <c:pt idx="0">
                  <c:v>Agropecuario</c:v>
                </c:pt>
              </c:strCache>
            </c:strRef>
          </c:cat>
          <c:val>
            <c:numRef>
              <c:f>'TABLERO 2018'!$L$16</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8-4463-402A-BA42-2AF9EDF225BA}"/>
            </c:ext>
          </c:extLst>
        </c:ser>
        <c:dLbls>
          <c:showLegendKey val="0"/>
          <c:showVal val="0"/>
          <c:showCatName val="0"/>
          <c:showSerName val="0"/>
          <c:showPercent val="0"/>
          <c:showBubbleSize val="0"/>
        </c:dLbls>
        <c:gapWidth val="75"/>
        <c:overlap val="-25"/>
        <c:axId val="186402816"/>
        <c:axId val="186476800"/>
      </c:barChart>
      <c:catAx>
        <c:axId val="186402816"/>
        <c:scaling>
          <c:orientation val="minMax"/>
        </c:scaling>
        <c:delete val="0"/>
        <c:axPos val="b"/>
        <c:numFmt formatCode="General" sourceLinked="0"/>
        <c:majorTickMark val="none"/>
        <c:minorTickMark val="none"/>
        <c:tickLblPos val="nextTo"/>
        <c:txPr>
          <a:bodyPr/>
          <a:lstStyle/>
          <a:p>
            <a:pPr>
              <a:defRPr lang="es-ES"/>
            </a:pPr>
            <a:endParaRPr lang="es-CO"/>
          </a:p>
        </c:txPr>
        <c:crossAx val="186476800"/>
        <c:crosses val="autoZero"/>
        <c:auto val="1"/>
        <c:lblAlgn val="ctr"/>
        <c:lblOffset val="100"/>
        <c:noMultiLvlLbl val="0"/>
      </c:catAx>
      <c:valAx>
        <c:axId val="186476800"/>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6402816"/>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a:t>
            </a:r>
            <a:r>
              <a:rPr lang="es-CO" sz="1600" baseline="0"/>
              <a:t> METAS SECTOR TRANSPORTE  2017</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2016'!$C$14</c:f>
              <c:strCache>
                <c:ptCount val="1"/>
                <c:pt idx="0">
                  <c:v>Transporte</c:v>
                </c:pt>
              </c:strCache>
            </c:strRef>
          </c:cat>
          <c:val>
            <c:numRef>
              <c:f>'TABLERO 2016'!$D$14</c:f>
            </c:numRef>
          </c:val>
          <c:extLst xmlns:c16r2="http://schemas.microsoft.com/office/drawing/2015/06/chart">
            <c:ext xmlns:c16="http://schemas.microsoft.com/office/drawing/2014/chart" uri="{C3380CC4-5D6E-409C-BE32-E72D297353CC}">
              <c16:uniqueId val="{00000000-9CDE-4714-B58A-024F32D2B57B}"/>
            </c:ext>
          </c:extLst>
        </c:ser>
        <c:ser>
          <c:idx val="1"/>
          <c:order val="1"/>
          <c:tx>
            <c:strRef>
              <c:f>'TABLERO 2018'!$D$8</c:f>
              <c:strCache>
                <c:ptCount val="1"/>
                <c:pt idx="0">
                  <c:v>TOTAL METAS</c:v>
                </c:pt>
              </c:strCache>
            </c:strRef>
          </c:tx>
          <c:spPr>
            <a:solidFill>
              <a:srgbClr val="0066FF"/>
            </a:solidFill>
          </c:spPr>
          <c:invertIfNegative val="0"/>
          <c:dLbls>
            <c:dLbl>
              <c:idx val="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CDE-4714-B58A-024F32D2B57B}"/>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'TABLERO 2018'!$C$17</c:f>
              <c:strCache>
                <c:ptCount val="1"/>
                <c:pt idx="0">
                  <c:v>Transporte</c:v>
                </c:pt>
              </c:strCache>
            </c:strRef>
          </c:cat>
          <c:val>
            <c:numRef>
              <c:f>'TABLERO 2018'!$D$17</c:f>
              <c:numCache>
                <c:formatCode>General</c:formatCode>
                <c:ptCount val="1"/>
                <c:pt idx="0">
                  <c:v>21</c:v>
                </c:pt>
              </c:numCache>
            </c:numRef>
          </c:val>
          <c:extLst xmlns:c16r2="http://schemas.microsoft.com/office/drawing/2015/06/chart">
            <c:ext xmlns:c16="http://schemas.microsoft.com/office/drawing/2014/chart" uri="{C3380CC4-5D6E-409C-BE32-E72D297353CC}">
              <c16:uniqueId val="{00000002-9CDE-4714-B58A-024F32D2B57B}"/>
            </c:ext>
          </c:extLst>
        </c:ser>
        <c:ser>
          <c:idx val="2"/>
          <c:order val="2"/>
          <c:tx>
            <c:strRef>
              <c:f>'TABLERO 2018'!$E$8</c:f>
              <c:strCache>
                <c:ptCount val="1"/>
                <c:pt idx="0">
                  <c:v>PROGRAMADAS 2018</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2018'!$C$17</c:f>
              <c:strCache>
                <c:ptCount val="1"/>
                <c:pt idx="0">
                  <c:v>Transporte</c:v>
                </c:pt>
              </c:strCache>
            </c:strRef>
          </c:cat>
          <c:val>
            <c:numRef>
              <c:f>'TABLERO 2018'!$E$17</c:f>
              <c:numCache>
                <c:formatCode>General</c:formatCode>
                <c:ptCount val="1"/>
                <c:pt idx="0">
                  <c:v>17</c:v>
                </c:pt>
              </c:numCache>
            </c:numRef>
          </c:val>
          <c:extLst xmlns:c16r2="http://schemas.microsoft.com/office/drawing/2015/06/chart">
            <c:ext xmlns:c16="http://schemas.microsoft.com/office/drawing/2014/chart" uri="{C3380CC4-5D6E-409C-BE32-E72D297353CC}">
              <c16:uniqueId val="{00000003-9CDE-4714-B58A-024F32D2B57B}"/>
            </c:ext>
          </c:extLst>
        </c:ser>
        <c:ser>
          <c:idx val="3"/>
          <c:order val="3"/>
          <c:tx>
            <c:strRef>
              <c:f>'TABLERO 2018'!$F$8</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2018'!$C$17</c:f>
              <c:strCache>
                <c:ptCount val="1"/>
                <c:pt idx="0">
                  <c:v>Transporte</c:v>
                </c:pt>
              </c:strCache>
            </c:strRef>
          </c:cat>
          <c:val>
            <c:numRef>
              <c:f>'TABLERO 2018'!$F$17</c:f>
              <c:numCache>
                <c:formatCode>General</c:formatCode>
                <c:ptCount val="1"/>
                <c:pt idx="0">
                  <c:v>8</c:v>
                </c:pt>
              </c:numCache>
            </c:numRef>
          </c:val>
          <c:extLst xmlns:c16r2="http://schemas.microsoft.com/office/drawing/2015/06/chart">
            <c:ext xmlns:c16="http://schemas.microsoft.com/office/drawing/2014/chart" uri="{C3380CC4-5D6E-409C-BE32-E72D297353CC}">
              <c16:uniqueId val="{00000004-9CDE-4714-B58A-024F32D2B57B}"/>
            </c:ext>
          </c:extLst>
        </c:ser>
        <c:ser>
          <c:idx val="4"/>
          <c:order val="4"/>
          <c:tx>
            <c:strRef>
              <c:f>'TABLERO 2018'!$H$8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2018'!$C$17</c:f>
              <c:strCache>
                <c:ptCount val="1"/>
                <c:pt idx="0">
                  <c:v>Transporte</c:v>
                </c:pt>
              </c:strCache>
            </c:strRef>
          </c:cat>
          <c:val>
            <c:numRef>
              <c:f>'TABLERO 2018'!$H$17</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5-9CDE-4714-B58A-024F32D2B57B}"/>
            </c:ext>
          </c:extLst>
        </c:ser>
        <c:ser>
          <c:idx val="5"/>
          <c:order val="5"/>
          <c:tx>
            <c:strRef>
              <c:f>'TABLERO 2018'!$J$8</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2018'!$C$17</c:f>
              <c:strCache>
                <c:ptCount val="1"/>
                <c:pt idx="0">
                  <c:v>Transporte</c:v>
                </c:pt>
              </c:strCache>
            </c:strRef>
          </c:cat>
          <c:val>
            <c:numRef>
              <c:f>'TABLERO 2018'!$J$17</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6-9CDE-4714-B58A-024F32D2B57B}"/>
            </c:ext>
          </c:extLst>
        </c:ser>
        <c:ser>
          <c:idx val="6"/>
          <c:order val="6"/>
          <c:tx>
            <c:strRef>
              <c:f>'TABLERO 2018'!$L$8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2018'!$C$17</c:f>
              <c:strCache>
                <c:ptCount val="1"/>
                <c:pt idx="0">
                  <c:v>Transporte</c:v>
                </c:pt>
              </c:strCache>
            </c:strRef>
          </c:cat>
          <c:val>
            <c:numRef>
              <c:f>'TABLERO 2018'!$L$17</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7-9CDE-4714-B58A-024F32D2B57B}"/>
            </c:ext>
          </c:extLst>
        </c:ser>
        <c:dLbls>
          <c:showLegendKey val="0"/>
          <c:showVal val="0"/>
          <c:showCatName val="0"/>
          <c:showSerName val="0"/>
          <c:showPercent val="0"/>
          <c:showBubbleSize val="0"/>
        </c:dLbls>
        <c:gapWidth val="75"/>
        <c:overlap val="-25"/>
        <c:axId val="186368512"/>
        <c:axId val="186479104"/>
      </c:barChart>
      <c:catAx>
        <c:axId val="186368512"/>
        <c:scaling>
          <c:orientation val="minMax"/>
        </c:scaling>
        <c:delete val="0"/>
        <c:axPos val="b"/>
        <c:numFmt formatCode="General" sourceLinked="0"/>
        <c:majorTickMark val="none"/>
        <c:minorTickMark val="none"/>
        <c:tickLblPos val="nextTo"/>
        <c:txPr>
          <a:bodyPr/>
          <a:lstStyle/>
          <a:p>
            <a:pPr>
              <a:defRPr lang="es-ES"/>
            </a:pPr>
            <a:endParaRPr lang="es-CO"/>
          </a:p>
        </c:txPr>
        <c:crossAx val="186479104"/>
        <c:crosses val="autoZero"/>
        <c:auto val="1"/>
        <c:lblAlgn val="ctr"/>
        <c:lblOffset val="100"/>
        <c:noMultiLvlLbl val="0"/>
      </c:catAx>
      <c:valAx>
        <c:axId val="186479104"/>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6368512"/>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a:pPr>
            <a:r>
              <a:rPr lang="es-CO" sz="1600"/>
              <a:t>AVANCE</a:t>
            </a:r>
            <a:r>
              <a:rPr lang="es-CO" sz="1600" baseline="0"/>
              <a:t> METAS SECTOR AMBIENTAL 2017</a:t>
            </a:r>
            <a:endParaRPr lang="es-CO" sz="1600"/>
          </a:p>
        </c:rich>
      </c:tx>
      <c:layout>
        <c:manualLayout>
          <c:xMode val="edge"/>
          <c:yMode val="edge"/>
          <c:x val="0.10081295307132583"/>
          <c:y val="3.2090601622975876E-2"/>
        </c:manualLayout>
      </c:layout>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2016'!$C$15</c:f>
              <c:strCache>
                <c:ptCount val="1"/>
                <c:pt idx="0">
                  <c:v>Ambiental</c:v>
                </c:pt>
              </c:strCache>
            </c:strRef>
          </c:cat>
          <c:val>
            <c:numRef>
              <c:f>'TABLERO 2016'!$D$15</c:f>
            </c:numRef>
          </c:val>
          <c:extLst xmlns:c16r2="http://schemas.microsoft.com/office/drawing/2015/06/chart">
            <c:ext xmlns:c16="http://schemas.microsoft.com/office/drawing/2014/chart" uri="{C3380CC4-5D6E-409C-BE32-E72D297353CC}">
              <c16:uniqueId val="{00000000-E30E-445F-BB27-9DB529C53A31}"/>
            </c:ext>
          </c:extLst>
        </c:ser>
        <c:ser>
          <c:idx val="1"/>
          <c:order val="1"/>
          <c:tx>
            <c:strRef>
              <c:f>'TABLERO 2018'!$D$8</c:f>
              <c:strCache>
                <c:ptCount val="1"/>
                <c:pt idx="0">
                  <c:v>TOTAL METAS</c:v>
                </c:pt>
              </c:strCache>
            </c:strRef>
          </c:tx>
          <c:spPr>
            <a:solidFill>
              <a:srgbClr val="0066FF"/>
            </a:solidFill>
          </c:spPr>
          <c:invertIfNegative val="0"/>
          <c:cat>
            <c:strRef>
              <c:f>'TABLERO 2018'!$C$18</c:f>
              <c:strCache>
                <c:ptCount val="1"/>
                <c:pt idx="0">
                  <c:v>Ambiental</c:v>
                </c:pt>
              </c:strCache>
            </c:strRef>
          </c:cat>
          <c:val>
            <c:numRef>
              <c:f>'TABLERO 2018'!$D$18</c:f>
              <c:numCache>
                <c:formatCode>General</c:formatCode>
                <c:ptCount val="1"/>
                <c:pt idx="0">
                  <c:v>31</c:v>
                </c:pt>
              </c:numCache>
            </c:numRef>
          </c:val>
          <c:extLst xmlns:c16r2="http://schemas.microsoft.com/office/drawing/2015/06/chart">
            <c:ext xmlns:c16="http://schemas.microsoft.com/office/drawing/2014/chart" uri="{C3380CC4-5D6E-409C-BE32-E72D297353CC}">
              <c16:uniqueId val="{00000001-E30E-445F-BB27-9DB529C53A31}"/>
            </c:ext>
          </c:extLst>
        </c:ser>
        <c:ser>
          <c:idx val="2"/>
          <c:order val="2"/>
          <c:tx>
            <c:strRef>
              <c:f>'TABLERO 2018'!$E$8</c:f>
              <c:strCache>
                <c:ptCount val="1"/>
                <c:pt idx="0">
                  <c:v>PROGRAMADAS 2018</c:v>
                </c:pt>
              </c:strCache>
            </c:strRef>
          </c:tx>
          <c:spPr>
            <a:solidFill>
              <a:schemeClr val="accent5">
                <a:lumMod val="75000"/>
              </a:schemeClr>
            </a:solidFill>
          </c:spPr>
          <c:invertIfNegative val="0"/>
          <c:cat>
            <c:strRef>
              <c:f>'TABLERO 2018'!$C$18</c:f>
              <c:strCache>
                <c:ptCount val="1"/>
                <c:pt idx="0">
                  <c:v>Ambiental</c:v>
                </c:pt>
              </c:strCache>
            </c:strRef>
          </c:cat>
          <c:val>
            <c:numRef>
              <c:f>'TABLERO 2018'!$E$18</c:f>
              <c:numCache>
                <c:formatCode>General</c:formatCode>
                <c:ptCount val="1"/>
                <c:pt idx="0">
                  <c:v>16</c:v>
                </c:pt>
              </c:numCache>
            </c:numRef>
          </c:val>
          <c:extLst xmlns:c16r2="http://schemas.microsoft.com/office/drawing/2015/06/chart">
            <c:ext xmlns:c16="http://schemas.microsoft.com/office/drawing/2014/chart" uri="{C3380CC4-5D6E-409C-BE32-E72D297353CC}">
              <c16:uniqueId val="{00000002-E30E-445F-BB27-9DB529C53A31}"/>
            </c:ext>
          </c:extLst>
        </c:ser>
        <c:ser>
          <c:idx val="3"/>
          <c:order val="3"/>
          <c:tx>
            <c:strRef>
              <c:f>'TABLERO 2018'!$F$8</c:f>
              <c:strCache>
                <c:ptCount val="1"/>
                <c:pt idx="0">
                  <c:v>VE</c:v>
                </c:pt>
              </c:strCache>
            </c:strRef>
          </c:tx>
          <c:spPr>
            <a:solidFill>
              <a:srgbClr val="92D050"/>
            </a:solidFill>
          </c:spPr>
          <c:invertIfNegative val="0"/>
          <c:cat>
            <c:strRef>
              <c:f>'TABLERO 2018'!$C$18</c:f>
              <c:strCache>
                <c:ptCount val="1"/>
                <c:pt idx="0">
                  <c:v>Ambiental</c:v>
                </c:pt>
              </c:strCache>
            </c:strRef>
          </c:cat>
          <c:val>
            <c:numRef>
              <c:f>'TABLERO 2018'!$F$18</c:f>
              <c:numCache>
                <c:formatCode>General</c:formatCode>
                <c:ptCount val="1"/>
                <c:pt idx="0">
                  <c:v>12</c:v>
                </c:pt>
              </c:numCache>
            </c:numRef>
          </c:val>
          <c:extLst xmlns:c16r2="http://schemas.microsoft.com/office/drawing/2015/06/chart">
            <c:ext xmlns:c16="http://schemas.microsoft.com/office/drawing/2014/chart" uri="{C3380CC4-5D6E-409C-BE32-E72D297353CC}">
              <c16:uniqueId val="{00000003-E30E-445F-BB27-9DB529C53A31}"/>
            </c:ext>
          </c:extLst>
        </c:ser>
        <c:ser>
          <c:idx val="4"/>
          <c:order val="4"/>
          <c:tx>
            <c:strRef>
              <c:f>'TABLERO 2018'!$H$8</c:f>
              <c:strCache>
                <c:ptCount val="1"/>
                <c:pt idx="0">
                  <c:v>AM</c:v>
                </c:pt>
              </c:strCache>
            </c:strRef>
          </c:tx>
          <c:spPr>
            <a:solidFill>
              <a:srgbClr val="FFFF00"/>
            </a:solidFill>
          </c:spPr>
          <c:invertIfNegative val="0"/>
          <c:cat>
            <c:strRef>
              <c:f>'TABLERO 2018'!$C$18</c:f>
              <c:strCache>
                <c:ptCount val="1"/>
                <c:pt idx="0">
                  <c:v>Ambiental</c:v>
                </c:pt>
              </c:strCache>
            </c:strRef>
          </c:cat>
          <c:val>
            <c:numRef>
              <c:f>'TABLERO 2018'!$H$18</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E30E-445F-BB27-9DB529C53A31}"/>
            </c:ext>
          </c:extLst>
        </c:ser>
        <c:ser>
          <c:idx val="5"/>
          <c:order val="5"/>
          <c:tx>
            <c:strRef>
              <c:f>'TABLERO 2018'!$J$8</c:f>
              <c:strCache>
                <c:ptCount val="1"/>
                <c:pt idx="0">
                  <c:v>RO</c:v>
                </c:pt>
              </c:strCache>
            </c:strRef>
          </c:tx>
          <c:invertIfNegative val="0"/>
          <c:cat>
            <c:strRef>
              <c:f>'TABLERO 2018'!$C$18</c:f>
              <c:strCache>
                <c:ptCount val="1"/>
                <c:pt idx="0">
                  <c:v>Ambiental</c:v>
                </c:pt>
              </c:strCache>
            </c:strRef>
          </c:cat>
          <c:val>
            <c:numRef>
              <c:f>'TABLERO 2018'!$J$18</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E30E-445F-BB27-9DB529C53A31}"/>
            </c:ext>
          </c:extLst>
        </c:ser>
        <c:ser>
          <c:idx val="6"/>
          <c:order val="6"/>
          <c:tx>
            <c:strRef>
              <c:f>'TABLERO 2018'!$L$8</c:f>
              <c:strCache>
                <c:ptCount val="1"/>
                <c:pt idx="0">
                  <c:v>AZ</c:v>
                </c:pt>
              </c:strCache>
            </c:strRef>
          </c:tx>
          <c:spPr>
            <a:solidFill>
              <a:srgbClr val="00B0F0"/>
            </a:solidFill>
          </c:spPr>
          <c:invertIfNegative val="0"/>
          <c:cat>
            <c:strRef>
              <c:f>'TABLERO 2018'!$C$18</c:f>
              <c:strCache>
                <c:ptCount val="1"/>
                <c:pt idx="0">
                  <c:v>Ambiental</c:v>
                </c:pt>
              </c:strCache>
            </c:strRef>
          </c:cat>
          <c:val>
            <c:numRef>
              <c:f>'TABLERO 2018'!$L$18</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6-E30E-445F-BB27-9DB529C53A31}"/>
            </c:ext>
          </c:extLst>
        </c:ser>
        <c:dLbls>
          <c:showLegendKey val="0"/>
          <c:showVal val="0"/>
          <c:showCatName val="0"/>
          <c:showSerName val="0"/>
          <c:showPercent val="0"/>
          <c:showBubbleSize val="0"/>
        </c:dLbls>
        <c:gapWidth val="75"/>
        <c:overlap val="-25"/>
        <c:axId val="186404352"/>
        <c:axId val="186481408"/>
      </c:barChart>
      <c:catAx>
        <c:axId val="186404352"/>
        <c:scaling>
          <c:orientation val="minMax"/>
        </c:scaling>
        <c:delete val="0"/>
        <c:axPos val="b"/>
        <c:numFmt formatCode="General" sourceLinked="0"/>
        <c:majorTickMark val="none"/>
        <c:minorTickMark val="none"/>
        <c:tickLblPos val="nextTo"/>
        <c:txPr>
          <a:bodyPr/>
          <a:lstStyle/>
          <a:p>
            <a:pPr>
              <a:defRPr lang="es-ES"/>
            </a:pPr>
            <a:endParaRPr lang="es-CO"/>
          </a:p>
        </c:txPr>
        <c:crossAx val="186481408"/>
        <c:crosses val="autoZero"/>
        <c:auto val="1"/>
        <c:lblAlgn val="ctr"/>
        <c:lblOffset val="100"/>
        <c:noMultiLvlLbl val="0"/>
      </c:catAx>
      <c:valAx>
        <c:axId val="186481408"/>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6404352"/>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a:t>
            </a:r>
            <a:r>
              <a:rPr lang="es-CO" sz="1600" baseline="0"/>
              <a:t> SECTOR ATENCION DESASTRES 2017</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2016'!$C$16</c:f>
              <c:strCache>
                <c:ptCount val="1"/>
                <c:pt idx="0">
                  <c:v>Prevención y atención de desastres</c:v>
                </c:pt>
              </c:strCache>
            </c:strRef>
          </c:cat>
          <c:val>
            <c:numRef>
              <c:f>'TABLERO 2016'!$D$16</c:f>
            </c:numRef>
          </c:val>
          <c:extLst xmlns:c16r2="http://schemas.microsoft.com/office/drawing/2015/06/chart">
            <c:ext xmlns:c16="http://schemas.microsoft.com/office/drawing/2014/chart" uri="{C3380CC4-5D6E-409C-BE32-E72D297353CC}">
              <c16:uniqueId val="{00000000-3387-40CB-ADEB-021D8143A180}"/>
            </c:ext>
          </c:extLst>
        </c:ser>
        <c:ser>
          <c:idx val="1"/>
          <c:order val="1"/>
          <c:tx>
            <c:strRef>
              <c:f>'TABLERO 2018'!$D$8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2018'!$C$19</c:f>
              <c:strCache>
                <c:ptCount val="1"/>
                <c:pt idx="0">
                  <c:v>Prevención y atención de desastres</c:v>
                </c:pt>
              </c:strCache>
            </c:strRef>
          </c:cat>
          <c:val>
            <c:numRef>
              <c:f>'TABLERO 2018'!$D$19</c:f>
              <c:numCache>
                <c:formatCode>General</c:formatCode>
                <c:ptCount val="1"/>
                <c:pt idx="0">
                  <c:v>14</c:v>
                </c:pt>
              </c:numCache>
            </c:numRef>
          </c:val>
          <c:extLst xmlns:c16r2="http://schemas.microsoft.com/office/drawing/2015/06/chart">
            <c:ext xmlns:c16="http://schemas.microsoft.com/office/drawing/2014/chart" uri="{C3380CC4-5D6E-409C-BE32-E72D297353CC}">
              <c16:uniqueId val="{00000001-3387-40CB-ADEB-021D8143A180}"/>
            </c:ext>
          </c:extLst>
        </c:ser>
        <c:ser>
          <c:idx val="2"/>
          <c:order val="2"/>
          <c:tx>
            <c:strRef>
              <c:f>'TABLERO 2018'!$E$8</c:f>
              <c:strCache>
                <c:ptCount val="1"/>
                <c:pt idx="0">
                  <c:v>PROGRAMADAS 2018</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2018'!$C$19</c:f>
              <c:strCache>
                <c:ptCount val="1"/>
                <c:pt idx="0">
                  <c:v>Prevención y atención de desastres</c:v>
                </c:pt>
              </c:strCache>
            </c:strRef>
          </c:cat>
          <c:val>
            <c:numRef>
              <c:f>'TABLERO 2018'!$E$19</c:f>
              <c:numCache>
                <c:formatCode>General</c:formatCode>
                <c:ptCount val="1"/>
                <c:pt idx="0">
                  <c:v>7</c:v>
                </c:pt>
              </c:numCache>
            </c:numRef>
          </c:val>
          <c:extLst xmlns:c16r2="http://schemas.microsoft.com/office/drawing/2015/06/chart">
            <c:ext xmlns:c16="http://schemas.microsoft.com/office/drawing/2014/chart" uri="{C3380CC4-5D6E-409C-BE32-E72D297353CC}">
              <c16:uniqueId val="{00000002-3387-40CB-ADEB-021D8143A180}"/>
            </c:ext>
          </c:extLst>
        </c:ser>
        <c:ser>
          <c:idx val="3"/>
          <c:order val="3"/>
          <c:tx>
            <c:strRef>
              <c:f>'TABLERO 2018'!$F$8</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2018'!$C$19</c:f>
              <c:strCache>
                <c:ptCount val="1"/>
                <c:pt idx="0">
                  <c:v>Prevención y atención de desastres</c:v>
                </c:pt>
              </c:strCache>
            </c:strRef>
          </c:cat>
          <c:val>
            <c:numRef>
              <c:f>'TABLERO 2018'!$F$19</c:f>
              <c:numCache>
                <c:formatCode>General</c:formatCode>
                <c:ptCount val="1"/>
                <c:pt idx="0">
                  <c:v>7</c:v>
                </c:pt>
              </c:numCache>
            </c:numRef>
          </c:val>
          <c:extLst xmlns:c16r2="http://schemas.microsoft.com/office/drawing/2015/06/chart">
            <c:ext xmlns:c16="http://schemas.microsoft.com/office/drawing/2014/chart" uri="{C3380CC4-5D6E-409C-BE32-E72D297353CC}">
              <c16:uniqueId val="{00000003-3387-40CB-ADEB-021D8143A180}"/>
            </c:ext>
          </c:extLst>
        </c:ser>
        <c:ser>
          <c:idx val="4"/>
          <c:order val="4"/>
          <c:tx>
            <c:strRef>
              <c:f>'TABLERO 2018'!$H$8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2018'!$C$19</c:f>
              <c:strCache>
                <c:ptCount val="1"/>
                <c:pt idx="0">
                  <c:v>Prevención y atención de desastres</c:v>
                </c:pt>
              </c:strCache>
            </c:strRef>
          </c:cat>
          <c:val>
            <c:numRef>
              <c:f>'TABLERO 2018'!$H$19</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3387-40CB-ADEB-021D8143A180}"/>
            </c:ext>
          </c:extLst>
        </c:ser>
        <c:ser>
          <c:idx val="5"/>
          <c:order val="5"/>
          <c:tx>
            <c:strRef>
              <c:f>'TABLERO 2018'!$J$8</c:f>
              <c:strCache>
                <c:ptCount val="1"/>
                <c:pt idx="0">
                  <c:v>RO</c:v>
                </c:pt>
              </c:strCache>
            </c:strRef>
          </c:tx>
          <c:invertIfNegative val="0"/>
          <c:cat>
            <c:strRef>
              <c:f>'TABLERO 2018'!$C$19</c:f>
              <c:strCache>
                <c:ptCount val="1"/>
                <c:pt idx="0">
                  <c:v>Prevención y atención de desastres</c:v>
                </c:pt>
              </c:strCache>
            </c:strRef>
          </c:cat>
          <c:val>
            <c:numRef>
              <c:f>'TABLERO 2018'!$J$19</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3387-40CB-ADEB-021D8143A180}"/>
            </c:ext>
          </c:extLst>
        </c:ser>
        <c:ser>
          <c:idx val="6"/>
          <c:order val="6"/>
          <c:tx>
            <c:strRef>
              <c:f>'TABLERO 2018'!$L$8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2018'!$C$19</c:f>
              <c:strCache>
                <c:ptCount val="1"/>
                <c:pt idx="0">
                  <c:v>Prevención y atención de desastres</c:v>
                </c:pt>
              </c:strCache>
            </c:strRef>
          </c:cat>
          <c:val>
            <c:numRef>
              <c:f>'TABLERO 2018'!$L$19</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3387-40CB-ADEB-021D8143A180}"/>
            </c:ext>
          </c:extLst>
        </c:ser>
        <c:dLbls>
          <c:showLegendKey val="0"/>
          <c:showVal val="0"/>
          <c:showCatName val="0"/>
          <c:showSerName val="0"/>
          <c:showPercent val="0"/>
          <c:showBubbleSize val="0"/>
        </c:dLbls>
        <c:gapWidth val="75"/>
        <c:overlap val="-25"/>
        <c:axId val="186370560"/>
        <c:axId val="186565760"/>
      </c:barChart>
      <c:catAx>
        <c:axId val="186370560"/>
        <c:scaling>
          <c:orientation val="minMax"/>
        </c:scaling>
        <c:delete val="0"/>
        <c:axPos val="b"/>
        <c:numFmt formatCode="General" sourceLinked="0"/>
        <c:majorTickMark val="none"/>
        <c:minorTickMark val="none"/>
        <c:tickLblPos val="nextTo"/>
        <c:txPr>
          <a:bodyPr/>
          <a:lstStyle/>
          <a:p>
            <a:pPr>
              <a:defRPr lang="es-ES"/>
            </a:pPr>
            <a:endParaRPr lang="es-CO"/>
          </a:p>
        </c:txPr>
        <c:crossAx val="186565760"/>
        <c:crosses val="autoZero"/>
        <c:auto val="1"/>
        <c:lblAlgn val="ctr"/>
        <c:lblOffset val="100"/>
        <c:noMultiLvlLbl val="0"/>
      </c:catAx>
      <c:valAx>
        <c:axId val="186565760"/>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6370560"/>
        <c:crosses val="autoZero"/>
        <c:crossBetween val="between"/>
      </c:valAx>
      <c:spPr>
        <a:solidFill>
          <a:schemeClr val="accent4">
            <a:lumMod val="20000"/>
            <a:lumOff val="80000"/>
          </a:schemeClr>
        </a:solidFill>
      </c:spPr>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PROMOCION DESARROLLO 2017</a:t>
            </a:r>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2016'!$C$17</c:f>
              <c:strCache>
                <c:ptCount val="1"/>
                <c:pt idx="0">
                  <c:v>Promoción del desarrollo</c:v>
                </c:pt>
              </c:strCache>
            </c:strRef>
          </c:cat>
          <c:val>
            <c:numRef>
              <c:f>'TABLERO 2016'!$D$17</c:f>
            </c:numRef>
          </c:val>
          <c:extLst xmlns:c16r2="http://schemas.microsoft.com/office/drawing/2015/06/chart">
            <c:ext xmlns:c16="http://schemas.microsoft.com/office/drawing/2014/chart" uri="{C3380CC4-5D6E-409C-BE32-E72D297353CC}">
              <c16:uniqueId val="{00000000-5102-4A72-953E-8F24C527017C}"/>
            </c:ext>
          </c:extLst>
        </c:ser>
        <c:ser>
          <c:idx val="1"/>
          <c:order val="1"/>
          <c:tx>
            <c:strRef>
              <c:f>'TABLERO 2018'!$D$8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2018'!$C$20</c:f>
              <c:strCache>
                <c:ptCount val="1"/>
                <c:pt idx="0">
                  <c:v>Desarrollo Económico/Promoción del desarrollo</c:v>
                </c:pt>
              </c:strCache>
            </c:strRef>
          </c:cat>
          <c:val>
            <c:numRef>
              <c:f>'TABLERO 2018'!$D$20</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1-5102-4A72-953E-8F24C527017C}"/>
            </c:ext>
          </c:extLst>
        </c:ser>
        <c:ser>
          <c:idx val="2"/>
          <c:order val="2"/>
          <c:tx>
            <c:strRef>
              <c:f>'TABLERO 2018'!$E$8</c:f>
              <c:strCache>
                <c:ptCount val="1"/>
                <c:pt idx="0">
                  <c:v>PROGRAMADAS 2018</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2018'!$C$20</c:f>
              <c:strCache>
                <c:ptCount val="1"/>
                <c:pt idx="0">
                  <c:v>Desarrollo Económico/Promoción del desarrollo</c:v>
                </c:pt>
              </c:strCache>
            </c:strRef>
          </c:cat>
          <c:val>
            <c:numRef>
              <c:f>'TABLERO 2018'!$E$20</c:f>
              <c:numCache>
                <c:formatCode>General</c:formatCode>
                <c:ptCount val="1"/>
                <c:pt idx="0">
                  <c:v>9</c:v>
                </c:pt>
              </c:numCache>
            </c:numRef>
          </c:val>
          <c:extLst xmlns:c16r2="http://schemas.microsoft.com/office/drawing/2015/06/chart">
            <c:ext xmlns:c16="http://schemas.microsoft.com/office/drawing/2014/chart" uri="{C3380CC4-5D6E-409C-BE32-E72D297353CC}">
              <c16:uniqueId val="{00000002-5102-4A72-953E-8F24C527017C}"/>
            </c:ext>
          </c:extLst>
        </c:ser>
        <c:ser>
          <c:idx val="3"/>
          <c:order val="3"/>
          <c:tx>
            <c:strRef>
              <c:f>'TABLERO 2018'!$F$8</c:f>
              <c:strCache>
                <c:ptCount val="1"/>
                <c:pt idx="0">
                  <c:v>VE</c:v>
                </c:pt>
              </c:strCache>
            </c:strRef>
          </c:tx>
          <c:spPr>
            <a:solidFill>
              <a:srgbClr val="92D050"/>
            </a:solidFill>
            <a:ln>
              <a:solidFill>
                <a:srgbClr val="92D050"/>
              </a:solidFill>
            </a:ln>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2018'!$C$20</c:f>
              <c:strCache>
                <c:ptCount val="1"/>
                <c:pt idx="0">
                  <c:v>Desarrollo Económico/Promoción del desarrollo</c:v>
                </c:pt>
              </c:strCache>
            </c:strRef>
          </c:cat>
          <c:val>
            <c:numRef>
              <c:f>'TABLERO 2018'!$F$20</c:f>
              <c:numCache>
                <c:formatCode>General</c:formatCode>
                <c:ptCount val="1"/>
                <c:pt idx="0">
                  <c:v>7</c:v>
                </c:pt>
              </c:numCache>
            </c:numRef>
          </c:val>
          <c:extLst xmlns:c16r2="http://schemas.microsoft.com/office/drawing/2015/06/chart">
            <c:ext xmlns:c16="http://schemas.microsoft.com/office/drawing/2014/chart" uri="{C3380CC4-5D6E-409C-BE32-E72D297353CC}">
              <c16:uniqueId val="{00000003-5102-4A72-953E-8F24C527017C}"/>
            </c:ext>
          </c:extLst>
        </c:ser>
        <c:ser>
          <c:idx val="4"/>
          <c:order val="4"/>
          <c:tx>
            <c:strRef>
              <c:f>'TABLERO 2018'!$H$8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2018'!$C$20</c:f>
              <c:strCache>
                <c:ptCount val="1"/>
                <c:pt idx="0">
                  <c:v>Desarrollo Económico/Promoción del desarrollo</c:v>
                </c:pt>
              </c:strCache>
            </c:strRef>
          </c:cat>
          <c:val>
            <c:numRef>
              <c:f>'TABLERO 2018'!$H$20</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5102-4A72-953E-8F24C527017C}"/>
            </c:ext>
          </c:extLst>
        </c:ser>
        <c:ser>
          <c:idx val="5"/>
          <c:order val="5"/>
          <c:tx>
            <c:strRef>
              <c:f>'TABLERO 2018'!$J$8</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2018'!$C$20</c:f>
              <c:strCache>
                <c:ptCount val="1"/>
                <c:pt idx="0">
                  <c:v>Desarrollo Económico/Promoción del desarrollo</c:v>
                </c:pt>
              </c:strCache>
            </c:strRef>
          </c:cat>
          <c:val>
            <c:numRef>
              <c:f>'TABLERO 2018'!$J$20</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5-5102-4A72-953E-8F24C527017C}"/>
            </c:ext>
          </c:extLst>
        </c:ser>
        <c:ser>
          <c:idx val="6"/>
          <c:order val="6"/>
          <c:tx>
            <c:strRef>
              <c:f>'TABLERO 2018'!$L$8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2018'!$C$20</c:f>
              <c:strCache>
                <c:ptCount val="1"/>
                <c:pt idx="0">
                  <c:v>Desarrollo Económico/Promoción del desarrollo</c:v>
                </c:pt>
              </c:strCache>
            </c:strRef>
          </c:cat>
          <c:val>
            <c:numRef>
              <c:f>'TABLERO 2018'!$L$20</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5102-4A72-953E-8F24C527017C}"/>
            </c:ext>
          </c:extLst>
        </c:ser>
        <c:dLbls>
          <c:showLegendKey val="0"/>
          <c:showVal val="0"/>
          <c:showCatName val="0"/>
          <c:showSerName val="0"/>
          <c:showPercent val="0"/>
          <c:showBubbleSize val="0"/>
        </c:dLbls>
        <c:gapWidth val="75"/>
        <c:overlap val="-25"/>
        <c:axId val="186916864"/>
        <c:axId val="186568064"/>
      </c:barChart>
      <c:catAx>
        <c:axId val="186916864"/>
        <c:scaling>
          <c:orientation val="minMax"/>
        </c:scaling>
        <c:delete val="0"/>
        <c:axPos val="b"/>
        <c:numFmt formatCode="General" sourceLinked="0"/>
        <c:majorTickMark val="none"/>
        <c:minorTickMark val="none"/>
        <c:tickLblPos val="nextTo"/>
        <c:txPr>
          <a:bodyPr/>
          <a:lstStyle/>
          <a:p>
            <a:pPr>
              <a:defRPr lang="es-ES"/>
            </a:pPr>
            <a:endParaRPr lang="es-CO"/>
          </a:p>
        </c:txPr>
        <c:crossAx val="186568064"/>
        <c:crosses val="autoZero"/>
        <c:auto val="1"/>
        <c:lblAlgn val="ctr"/>
        <c:lblOffset val="100"/>
        <c:noMultiLvlLbl val="0"/>
      </c:catAx>
      <c:valAx>
        <c:axId val="186568064"/>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6916864"/>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cmpd="dbl">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a:t>
            </a:r>
            <a:r>
              <a:rPr lang="es-CO" sz="1600" baseline="0"/>
              <a:t> GRUPOS VULNERABLES 2017</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2016'!$C$18</c:f>
              <c:strCache>
                <c:ptCount val="1"/>
                <c:pt idx="0">
                  <c:v>Atención a grupos vulnerables - promoción social</c:v>
                </c:pt>
              </c:strCache>
            </c:strRef>
          </c:cat>
          <c:val>
            <c:numRef>
              <c:f>'TABLERO 2016'!$D$18</c:f>
            </c:numRef>
          </c:val>
          <c:extLst xmlns:c16r2="http://schemas.microsoft.com/office/drawing/2015/06/chart">
            <c:ext xmlns:c16="http://schemas.microsoft.com/office/drawing/2014/chart" uri="{C3380CC4-5D6E-409C-BE32-E72D297353CC}">
              <c16:uniqueId val="{00000000-FB95-41CB-8E46-B6E10C637C21}"/>
            </c:ext>
          </c:extLst>
        </c:ser>
        <c:ser>
          <c:idx val="1"/>
          <c:order val="1"/>
          <c:tx>
            <c:strRef>
              <c:f>'TABLERO 2018'!$D$8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2018'!$C$21</c:f>
              <c:strCache>
                <c:ptCount val="1"/>
                <c:pt idx="0">
                  <c:v>Atención a grupos vulnerables - promoción social</c:v>
                </c:pt>
              </c:strCache>
            </c:strRef>
          </c:cat>
          <c:val>
            <c:numRef>
              <c:f>'TABLERO 2018'!$D$21</c:f>
              <c:numCache>
                <c:formatCode>General</c:formatCode>
                <c:ptCount val="1"/>
                <c:pt idx="0">
                  <c:v>95</c:v>
                </c:pt>
              </c:numCache>
            </c:numRef>
          </c:val>
          <c:extLst xmlns:c16r2="http://schemas.microsoft.com/office/drawing/2015/06/chart">
            <c:ext xmlns:c16="http://schemas.microsoft.com/office/drawing/2014/chart" uri="{C3380CC4-5D6E-409C-BE32-E72D297353CC}">
              <c16:uniqueId val="{00000001-FB95-41CB-8E46-B6E10C637C21}"/>
            </c:ext>
          </c:extLst>
        </c:ser>
        <c:ser>
          <c:idx val="2"/>
          <c:order val="2"/>
          <c:tx>
            <c:strRef>
              <c:f>'TABLERO 2018'!$E$8</c:f>
              <c:strCache>
                <c:ptCount val="1"/>
                <c:pt idx="0">
                  <c:v>PROGRAMADAS 2018</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2018'!$C$21</c:f>
              <c:strCache>
                <c:ptCount val="1"/>
                <c:pt idx="0">
                  <c:v>Atención a grupos vulnerables - promoción social</c:v>
                </c:pt>
              </c:strCache>
            </c:strRef>
          </c:cat>
          <c:val>
            <c:numRef>
              <c:f>'TABLERO 2018'!$E$21</c:f>
              <c:numCache>
                <c:formatCode>General</c:formatCode>
                <c:ptCount val="1"/>
                <c:pt idx="0">
                  <c:v>79</c:v>
                </c:pt>
              </c:numCache>
            </c:numRef>
          </c:val>
          <c:extLst xmlns:c16r2="http://schemas.microsoft.com/office/drawing/2015/06/chart">
            <c:ext xmlns:c16="http://schemas.microsoft.com/office/drawing/2014/chart" uri="{C3380CC4-5D6E-409C-BE32-E72D297353CC}">
              <c16:uniqueId val="{00000002-FB95-41CB-8E46-B6E10C637C21}"/>
            </c:ext>
          </c:extLst>
        </c:ser>
        <c:ser>
          <c:idx val="3"/>
          <c:order val="3"/>
          <c:tx>
            <c:strRef>
              <c:f>'TABLERO 2018'!$F$8</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2018'!$C$21</c:f>
              <c:strCache>
                <c:ptCount val="1"/>
                <c:pt idx="0">
                  <c:v>Atención a grupos vulnerables - promoción social</c:v>
                </c:pt>
              </c:strCache>
            </c:strRef>
          </c:cat>
          <c:val>
            <c:numRef>
              <c:f>'TABLERO 2018'!$F$21</c:f>
              <c:numCache>
                <c:formatCode>General</c:formatCode>
                <c:ptCount val="1"/>
                <c:pt idx="0">
                  <c:v>69</c:v>
                </c:pt>
              </c:numCache>
            </c:numRef>
          </c:val>
          <c:extLst xmlns:c16r2="http://schemas.microsoft.com/office/drawing/2015/06/chart">
            <c:ext xmlns:c16="http://schemas.microsoft.com/office/drawing/2014/chart" uri="{C3380CC4-5D6E-409C-BE32-E72D297353CC}">
              <c16:uniqueId val="{00000003-FB95-41CB-8E46-B6E10C637C21}"/>
            </c:ext>
          </c:extLst>
        </c:ser>
        <c:ser>
          <c:idx val="4"/>
          <c:order val="4"/>
          <c:tx>
            <c:strRef>
              <c:f>'TABLERO 2018'!$H$8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2018'!$C$21</c:f>
              <c:strCache>
                <c:ptCount val="1"/>
                <c:pt idx="0">
                  <c:v>Atención a grupos vulnerables - promoción social</c:v>
                </c:pt>
              </c:strCache>
            </c:strRef>
          </c:cat>
          <c:val>
            <c:numRef>
              <c:f>'TABLERO 2018'!$H$21</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FB95-41CB-8E46-B6E10C637C21}"/>
            </c:ext>
          </c:extLst>
        </c:ser>
        <c:ser>
          <c:idx val="5"/>
          <c:order val="5"/>
          <c:tx>
            <c:strRef>
              <c:f>'TABLERO 2018'!$J$8</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2018'!$C$21</c:f>
              <c:strCache>
                <c:ptCount val="1"/>
                <c:pt idx="0">
                  <c:v>Atención a grupos vulnerables - promoción social</c:v>
                </c:pt>
              </c:strCache>
            </c:strRef>
          </c:cat>
          <c:val>
            <c:numRef>
              <c:f>'TABLERO 2018'!$J$21</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FB95-41CB-8E46-B6E10C637C21}"/>
            </c:ext>
          </c:extLst>
        </c:ser>
        <c:ser>
          <c:idx val="6"/>
          <c:order val="6"/>
          <c:tx>
            <c:strRef>
              <c:f>'TABLERO 2018'!$L$8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2018'!$C$21</c:f>
              <c:strCache>
                <c:ptCount val="1"/>
                <c:pt idx="0">
                  <c:v>Atención a grupos vulnerables - promoción social</c:v>
                </c:pt>
              </c:strCache>
            </c:strRef>
          </c:cat>
          <c:val>
            <c:numRef>
              <c:f>'TABLERO 2018'!$L$21</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FB95-41CB-8E46-B6E10C637C21}"/>
            </c:ext>
          </c:extLst>
        </c:ser>
        <c:dLbls>
          <c:showLegendKey val="0"/>
          <c:showVal val="0"/>
          <c:showCatName val="0"/>
          <c:showSerName val="0"/>
          <c:showPercent val="0"/>
          <c:showBubbleSize val="0"/>
        </c:dLbls>
        <c:gapWidth val="75"/>
        <c:overlap val="-25"/>
        <c:axId val="186918912"/>
        <c:axId val="186570368"/>
      </c:barChart>
      <c:catAx>
        <c:axId val="186918912"/>
        <c:scaling>
          <c:orientation val="minMax"/>
        </c:scaling>
        <c:delete val="0"/>
        <c:axPos val="b"/>
        <c:numFmt formatCode="General" sourceLinked="0"/>
        <c:majorTickMark val="none"/>
        <c:minorTickMark val="none"/>
        <c:tickLblPos val="nextTo"/>
        <c:txPr>
          <a:bodyPr/>
          <a:lstStyle/>
          <a:p>
            <a:pPr>
              <a:defRPr lang="es-ES"/>
            </a:pPr>
            <a:endParaRPr lang="es-CO"/>
          </a:p>
        </c:txPr>
        <c:crossAx val="186570368"/>
        <c:crosses val="autoZero"/>
        <c:auto val="1"/>
        <c:lblAlgn val="ctr"/>
        <c:lblOffset val="100"/>
        <c:noMultiLvlLbl val="0"/>
      </c:catAx>
      <c:valAx>
        <c:axId val="186570368"/>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6918912"/>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a:t>
            </a:r>
            <a:r>
              <a:rPr lang="es-CO" sz="1600" baseline="0"/>
              <a:t> METAS SECTOR EQUIPAMIENTO 2017</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2016'!$C$19</c:f>
              <c:strCache>
                <c:ptCount val="1"/>
                <c:pt idx="0">
                  <c:v>Equipamiento </c:v>
                </c:pt>
              </c:strCache>
            </c:strRef>
          </c:cat>
          <c:val>
            <c:numRef>
              <c:f>'TABLERO 2016'!$D$19</c:f>
            </c:numRef>
          </c:val>
          <c:extLst xmlns:c16r2="http://schemas.microsoft.com/office/drawing/2015/06/chart">
            <c:ext xmlns:c16="http://schemas.microsoft.com/office/drawing/2014/chart" uri="{C3380CC4-5D6E-409C-BE32-E72D297353CC}">
              <c16:uniqueId val="{00000000-E4CC-4274-85B3-65AD28FEDB3B}"/>
            </c:ext>
          </c:extLst>
        </c:ser>
        <c:ser>
          <c:idx val="1"/>
          <c:order val="1"/>
          <c:tx>
            <c:strRef>
              <c:f>'TABLERO 2018'!$D$8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2018'!$C$22</c:f>
              <c:strCache>
                <c:ptCount val="1"/>
                <c:pt idx="0">
                  <c:v>Equipamiento </c:v>
                </c:pt>
              </c:strCache>
            </c:strRef>
          </c:cat>
          <c:val>
            <c:numRef>
              <c:f>'TABLERO 2018'!$D$22</c:f>
              <c:numCache>
                <c:formatCode>General</c:formatCode>
                <c:ptCount val="1"/>
                <c:pt idx="0">
                  <c:v>7</c:v>
                </c:pt>
              </c:numCache>
            </c:numRef>
          </c:val>
          <c:extLst xmlns:c16r2="http://schemas.microsoft.com/office/drawing/2015/06/chart">
            <c:ext xmlns:c16="http://schemas.microsoft.com/office/drawing/2014/chart" uri="{C3380CC4-5D6E-409C-BE32-E72D297353CC}">
              <c16:uniqueId val="{00000001-E4CC-4274-85B3-65AD28FEDB3B}"/>
            </c:ext>
          </c:extLst>
        </c:ser>
        <c:ser>
          <c:idx val="2"/>
          <c:order val="2"/>
          <c:tx>
            <c:strRef>
              <c:f>'TABLERO 2018'!$E$8</c:f>
              <c:strCache>
                <c:ptCount val="1"/>
                <c:pt idx="0">
                  <c:v>PROGRAMADAS 2018</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2018'!$C$22</c:f>
              <c:strCache>
                <c:ptCount val="1"/>
                <c:pt idx="0">
                  <c:v>Equipamiento </c:v>
                </c:pt>
              </c:strCache>
            </c:strRef>
          </c:cat>
          <c:val>
            <c:numRef>
              <c:f>'TABLERO 2018'!$E$22</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2-E4CC-4274-85B3-65AD28FEDB3B}"/>
            </c:ext>
          </c:extLst>
        </c:ser>
        <c:ser>
          <c:idx val="3"/>
          <c:order val="3"/>
          <c:tx>
            <c:strRef>
              <c:f>'TABLERO 2018'!$F$8</c:f>
              <c:strCache>
                <c:ptCount val="1"/>
                <c:pt idx="0">
                  <c:v>VE</c:v>
                </c:pt>
              </c:strCache>
            </c:strRef>
          </c:tx>
          <c:invertIfNegative val="0"/>
          <c:cat>
            <c:strRef>
              <c:f>'TABLERO 2018'!$C$22</c:f>
              <c:strCache>
                <c:ptCount val="1"/>
                <c:pt idx="0">
                  <c:v>Equipamiento </c:v>
                </c:pt>
              </c:strCache>
            </c:strRef>
          </c:cat>
          <c:val>
            <c:numRef>
              <c:f>'TABLERO 2018'!$F$22</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3-E4CC-4274-85B3-65AD28FEDB3B}"/>
            </c:ext>
          </c:extLst>
        </c:ser>
        <c:ser>
          <c:idx val="4"/>
          <c:order val="4"/>
          <c:tx>
            <c:strRef>
              <c:f>'TABLERO 2018'!$H$8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2018'!$C$22</c:f>
              <c:strCache>
                <c:ptCount val="1"/>
                <c:pt idx="0">
                  <c:v>Equipamiento </c:v>
                </c:pt>
              </c:strCache>
            </c:strRef>
          </c:cat>
          <c:val>
            <c:numRef>
              <c:f>'TABLERO 2018'!$H$22</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E4CC-4274-85B3-65AD28FEDB3B}"/>
            </c:ext>
          </c:extLst>
        </c:ser>
        <c:ser>
          <c:idx val="5"/>
          <c:order val="5"/>
          <c:tx>
            <c:strRef>
              <c:f>'TABLERO 2018'!$J$8</c:f>
              <c:strCache>
                <c:ptCount val="1"/>
                <c:pt idx="0">
                  <c:v>RO</c:v>
                </c:pt>
              </c:strCache>
            </c:strRef>
          </c:tx>
          <c:invertIfNegative val="0"/>
          <c:cat>
            <c:strRef>
              <c:f>'TABLERO 2018'!$C$22</c:f>
              <c:strCache>
                <c:ptCount val="1"/>
                <c:pt idx="0">
                  <c:v>Equipamiento </c:v>
                </c:pt>
              </c:strCache>
            </c:strRef>
          </c:cat>
          <c:val>
            <c:numRef>
              <c:f>'TABLERO 2018'!$J$22</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E4CC-4274-85B3-65AD28FEDB3B}"/>
            </c:ext>
          </c:extLst>
        </c:ser>
        <c:ser>
          <c:idx val="6"/>
          <c:order val="6"/>
          <c:tx>
            <c:strRef>
              <c:f>'TABLERO 2018'!$L$8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2018'!$C$22</c:f>
              <c:strCache>
                <c:ptCount val="1"/>
                <c:pt idx="0">
                  <c:v>Equipamiento </c:v>
                </c:pt>
              </c:strCache>
            </c:strRef>
          </c:cat>
          <c:val>
            <c:numRef>
              <c:f>'TABLERO 2018'!$L$22</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E4CC-4274-85B3-65AD28FEDB3B}"/>
            </c:ext>
          </c:extLst>
        </c:ser>
        <c:dLbls>
          <c:showLegendKey val="0"/>
          <c:showVal val="0"/>
          <c:showCatName val="0"/>
          <c:showSerName val="0"/>
          <c:showPercent val="0"/>
          <c:showBubbleSize val="0"/>
        </c:dLbls>
        <c:gapWidth val="75"/>
        <c:overlap val="-25"/>
        <c:axId val="186917888"/>
        <c:axId val="187097088"/>
      </c:barChart>
      <c:catAx>
        <c:axId val="186917888"/>
        <c:scaling>
          <c:orientation val="minMax"/>
        </c:scaling>
        <c:delete val="0"/>
        <c:axPos val="b"/>
        <c:numFmt formatCode="General" sourceLinked="0"/>
        <c:majorTickMark val="none"/>
        <c:minorTickMark val="none"/>
        <c:tickLblPos val="nextTo"/>
        <c:txPr>
          <a:bodyPr/>
          <a:lstStyle/>
          <a:p>
            <a:pPr>
              <a:defRPr lang="es-ES"/>
            </a:pPr>
            <a:endParaRPr lang="es-CO"/>
          </a:p>
        </c:txPr>
        <c:crossAx val="187097088"/>
        <c:crosses val="autoZero"/>
        <c:auto val="1"/>
        <c:lblAlgn val="ctr"/>
        <c:lblOffset val="100"/>
        <c:noMultiLvlLbl val="0"/>
      </c:catAx>
      <c:valAx>
        <c:axId val="187097088"/>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6917888"/>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DESARROLLO COMUNITARIO 2017</a:t>
            </a:r>
          </a:p>
        </c:rich>
      </c:tx>
      <c:layout>
        <c:manualLayout>
          <c:xMode val="edge"/>
          <c:yMode val="edge"/>
          <c:x val="0.17191666666666672"/>
          <c:y val="2.7777777777777801E-2"/>
        </c:manualLayout>
      </c:layout>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2016'!$C$20</c:f>
              <c:strCache>
                <c:ptCount val="1"/>
                <c:pt idx="0">
                  <c:v>Desarrollo comunitario</c:v>
                </c:pt>
              </c:strCache>
            </c:strRef>
          </c:cat>
          <c:val>
            <c:numRef>
              <c:f>'TABLERO 2016'!$D$20</c:f>
            </c:numRef>
          </c:val>
          <c:extLst xmlns:c16r2="http://schemas.microsoft.com/office/drawing/2015/06/chart">
            <c:ext xmlns:c16="http://schemas.microsoft.com/office/drawing/2014/chart" uri="{C3380CC4-5D6E-409C-BE32-E72D297353CC}">
              <c16:uniqueId val="{00000000-D8B8-4D4A-ABA4-4214227B36BF}"/>
            </c:ext>
          </c:extLst>
        </c:ser>
        <c:ser>
          <c:idx val="1"/>
          <c:order val="1"/>
          <c:tx>
            <c:strRef>
              <c:f>'TABLERO 2018'!$D$8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2018'!$C$23</c:f>
              <c:strCache>
                <c:ptCount val="1"/>
                <c:pt idx="0">
                  <c:v>Desarrollo comunitario</c:v>
                </c:pt>
              </c:strCache>
            </c:strRef>
          </c:cat>
          <c:val>
            <c:numRef>
              <c:f>'TABLERO 2018'!$D$23</c:f>
              <c:numCache>
                <c:formatCode>General</c:formatCode>
                <c:ptCount val="1"/>
                <c:pt idx="0">
                  <c:v>9</c:v>
                </c:pt>
              </c:numCache>
            </c:numRef>
          </c:val>
          <c:extLst xmlns:c16r2="http://schemas.microsoft.com/office/drawing/2015/06/chart">
            <c:ext xmlns:c16="http://schemas.microsoft.com/office/drawing/2014/chart" uri="{C3380CC4-5D6E-409C-BE32-E72D297353CC}">
              <c16:uniqueId val="{00000001-D8B8-4D4A-ABA4-4214227B36BF}"/>
            </c:ext>
          </c:extLst>
        </c:ser>
        <c:ser>
          <c:idx val="2"/>
          <c:order val="2"/>
          <c:tx>
            <c:strRef>
              <c:f>'TABLERO 2018'!$E$8</c:f>
              <c:strCache>
                <c:ptCount val="1"/>
                <c:pt idx="0">
                  <c:v>PROGRAMADAS 2018</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2018'!$C$23</c:f>
              <c:strCache>
                <c:ptCount val="1"/>
                <c:pt idx="0">
                  <c:v>Desarrollo comunitario</c:v>
                </c:pt>
              </c:strCache>
            </c:strRef>
          </c:cat>
          <c:val>
            <c:numRef>
              <c:f>'TABLERO 2018'!$E$23</c:f>
              <c:numCache>
                <c:formatCode>General</c:formatCode>
                <c:ptCount val="1"/>
                <c:pt idx="0">
                  <c:v>7</c:v>
                </c:pt>
              </c:numCache>
            </c:numRef>
          </c:val>
          <c:extLst xmlns:c16r2="http://schemas.microsoft.com/office/drawing/2015/06/chart">
            <c:ext xmlns:c16="http://schemas.microsoft.com/office/drawing/2014/chart" uri="{C3380CC4-5D6E-409C-BE32-E72D297353CC}">
              <c16:uniqueId val="{00000002-D8B8-4D4A-ABA4-4214227B36BF}"/>
            </c:ext>
          </c:extLst>
        </c:ser>
        <c:ser>
          <c:idx val="3"/>
          <c:order val="3"/>
          <c:tx>
            <c:strRef>
              <c:f>'TABLERO 2018'!$F$8</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2018'!$C$23</c:f>
              <c:strCache>
                <c:ptCount val="1"/>
                <c:pt idx="0">
                  <c:v>Desarrollo comunitario</c:v>
                </c:pt>
              </c:strCache>
            </c:strRef>
          </c:cat>
          <c:val>
            <c:numRef>
              <c:f>'TABLERO 2018'!$F$23</c:f>
              <c:numCache>
                <c:formatCode>General</c:formatCode>
                <c:ptCount val="1"/>
                <c:pt idx="0">
                  <c:v>9</c:v>
                </c:pt>
              </c:numCache>
            </c:numRef>
          </c:val>
          <c:extLst xmlns:c16r2="http://schemas.microsoft.com/office/drawing/2015/06/chart">
            <c:ext xmlns:c16="http://schemas.microsoft.com/office/drawing/2014/chart" uri="{C3380CC4-5D6E-409C-BE32-E72D297353CC}">
              <c16:uniqueId val="{00000003-D8B8-4D4A-ABA4-4214227B36BF}"/>
            </c:ext>
          </c:extLst>
        </c:ser>
        <c:ser>
          <c:idx val="4"/>
          <c:order val="4"/>
          <c:tx>
            <c:strRef>
              <c:f>'TABLERO 2018'!$H$8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2018'!$C$23</c:f>
              <c:strCache>
                <c:ptCount val="1"/>
                <c:pt idx="0">
                  <c:v>Desarrollo comunitario</c:v>
                </c:pt>
              </c:strCache>
            </c:strRef>
          </c:cat>
          <c:val>
            <c:numRef>
              <c:f>'TABLERO 2018'!$H$23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D8B8-4D4A-ABA4-4214227B36BF}"/>
            </c:ext>
          </c:extLst>
        </c:ser>
        <c:ser>
          <c:idx val="5"/>
          <c:order val="5"/>
          <c:tx>
            <c:strRef>
              <c:f>'TABLERO 2018'!$J$8</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2018'!$C$23</c:f>
              <c:strCache>
                <c:ptCount val="1"/>
                <c:pt idx="0">
                  <c:v>Desarrollo comunitario</c:v>
                </c:pt>
              </c:strCache>
            </c:strRef>
          </c:cat>
          <c:val>
            <c:numRef>
              <c:f>'TABLERO 2018'!$J$23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D8B8-4D4A-ABA4-4214227B36BF}"/>
            </c:ext>
          </c:extLst>
        </c:ser>
        <c:ser>
          <c:idx val="6"/>
          <c:order val="6"/>
          <c:tx>
            <c:strRef>
              <c:f>'TABLERO 2018'!$L$8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2018'!$C$23</c:f>
              <c:strCache>
                <c:ptCount val="1"/>
                <c:pt idx="0">
                  <c:v>Desarrollo comunitario</c:v>
                </c:pt>
              </c:strCache>
            </c:strRef>
          </c:cat>
          <c:val>
            <c:numRef>
              <c:f>'TABLERO 2018'!$L$23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D8B8-4D4A-ABA4-4214227B36BF}"/>
            </c:ext>
          </c:extLst>
        </c:ser>
        <c:dLbls>
          <c:showLegendKey val="0"/>
          <c:showVal val="0"/>
          <c:showCatName val="0"/>
          <c:showSerName val="0"/>
          <c:showPercent val="0"/>
          <c:showBubbleSize val="0"/>
        </c:dLbls>
        <c:gapWidth val="75"/>
        <c:overlap val="-25"/>
        <c:axId val="187601408"/>
        <c:axId val="187099392"/>
      </c:barChart>
      <c:catAx>
        <c:axId val="187601408"/>
        <c:scaling>
          <c:orientation val="minMax"/>
        </c:scaling>
        <c:delete val="0"/>
        <c:axPos val="b"/>
        <c:numFmt formatCode="General" sourceLinked="0"/>
        <c:majorTickMark val="none"/>
        <c:minorTickMark val="none"/>
        <c:tickLblPos val="nextTo"/>
        <c:txPr>
          <a:bodyPr/>
          <a:lstStyle/>
          <a:p>
            <a:pPr>
              <a:defRPr lang="es-ES"/>
            </a:pPr>
            <a:endParaRPr lang="es-CO"/>
          </a:p>
        </c:txPr>
        <c:crossAx val="187099392"/>
        <c:crosses val="autoZero"/>
        <c:auto val="1"/>
        <c:lblAlgn val="ctr"/>
        <c:lblOffset val="100"/>
        <c:noMultiLvlLbl val="0"/>
      </c:catAx>
      <c:valAx>
        <c:axId val="187099392"/>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7601408"/>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a:t>
            </a:r>
            <a:r>
              <a:rPr lang="es-CO" sz="1600" baseline="0"/>
              <a:t> METAS SECTOR FORTAL.INSTITUCIONAL 2017</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2016'!$C$21</c:f>
              <c:strCache>
                <c:ptCount val="1"/>
                <c:pt idx="0">
                  <c:v>Fortalecimiento institucional</c:v>
                </c:pt>
              </c:strCache>
            </c:strRef>
          </c:cat>
          <c:val>
            <c:numRef>
              <c:f>'TABLERO 2016'!$D$21</c:f>
            </c:numRef>
          </c:val>
          <c:extLst xmlns:c16r2="http://schemas.microsoft.com/office/drawing/2015/06/chart">
            <c:ext xmlns:c16="http://schemas.microsoft.com/office/drawing/2014/chart" uri="{C3380CC4-5D6E-409C-BE32-E72D297353CC}">
              <c16:uniqueId val="{00000000-A4B8-4D25-A7DE-CDDA24341094}"/>
            </c:ext>
          </c:extLst>
        </c:ser>
        <c:ser>
          <c:idx val="1"/>
          <c:order val="1"/>
          <c:tx>
            <c:strRef>
              <c:f>'TABLERO 2018'!$D$8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2018'!$C$24</c:f>
              <c:strCache>
                <c:ptCount val="1"/>
                <c:pt idx="0">
                  <c:v>Fortalecimiento institucional</c:v>
                </c:pt>
              </c:strCache>
            </c:strRef>
          </c:cat>
          <c:val>
            <c:numRef>
              <c:f>'TABLERO 2018'!$D$24</c:f>
              <c:numCache>
                <c:formatCode>General</c:formatCode>
                <c:ptCount val="1"/>
                <c:pt idx="0">
                  <c:v>24</c:v>
                </c:pt>
              </c:numCache>
            </c:numRef>
          </c:val>
          <c:extLst xmlns:c16r2="http://schemas.microsoft.com/office/drawing/2015/06/chart">
            <c:ext xmlns:c16="http://schemas.microsoft.com/office/drawing/2014/chart" uri="{C3380CC4-5D6E-409C-BE32-E72D297353CC}">
              <c16:uniqueId val="{00000001-A4B8-4D25-A7DE-CDDA24341094}"/>
            </c:ext>
          </c:extLst>
        </c:ser>
        <c:ser>
          <c:idx val="2"/>
          <c:order val="2"/>
          <c:tx>
            <c:strRef>
              <c:f>'TABLERO 2018'!$E$8</c:f>
              <c:strCache>
                <c:ptCount val="1"/>
                <c:pt idx="0">
                  <c:v>PROGRAMADAS 2018</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2018'!$C$24</c:f>
              <c:strCache>
                <c:ptCount val="1"/>
                <c:pt idx="0">
                  <c:v>Fortalecimiento institucional</c:v>
                </c:pt>
              </c:strCache>
            </c:strRef>
          </c:cat>
          <c:val>
            <c:numRef>
              <c:f>'TABLERO 2018'!$E$24</c:f>
              <c:numCache>
                <c:formatCode>General</c:formatCode>
                <c:ptCount val="1"/>
                <c:pt idx="0">
                  <c:v>19</c:v>
                </c:pt>
              </c:numCache>
            </c:numRef>
          </c:val>
          <c:extLst xmlns:c16r2="http://schemas.microsoft.com/office/drawing/2015/06/chart">
            <c:ext xmlns:c16="http://schemas.microsoft.com/office/drawing/2014/chart" uri="{C3380CC4-5D6E-409C-BE32-E72D297353CC}">
              <c16:uniqueId val="{00000002-A4B8-4D25-A7DE-CDDA24341094}"/>
            </c:ext>
          </c:extLst>
        </c:ser>
        <c:ser>
          <c:idx val="3"/>
          <c:order val="3"/>
          <c:tx>
            <c:strRef>
              <c:f>'TABLERO 2018'!$F$8</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2018'!$C$24</c:f>
              <c:strCache>
                <c:ptCount val="1"/>
                <c:pt idx="0">
                  <c:v>Fortalecimiento institucional</c:v>
                </c:pt>
              </c:strCache>
            </c:strRef>
          </c:cat>
          <c:val>
            <c:numRef>
              <c:f>'TABLERO 2018'!$F$24</c:f>
              <c:numCache>
                <c:formatCode>General</c:formatCode>
                <c:ptCount val="1"/>
                <c:pt idx="0">
                  <c:v>17</c:v>
                </c:pt>
              </c:numCache>
            </c:numRef>
          </c:val>
          <c:extLst xmlns:c16r2="http://schemas.microsoft.com/office/drawing/2015/06/chart">
            <c:ext xmlns:c16="http://schemas.microsoft.com/office/drawing/2014/chart" uri="{C3380CC4-5D6E-409C-BE32-E72D297353CC}">
              <c16:uniqueId val="{00000003-A4B8-4D25-A7DE-CDDA24341094}"/>
            </c:ext>
          </c:extLst>
        </c:ser>
        <c:ser>
          <c:idx val="4"/>
          <c:order val="4"/>
          <c:tx>
            <c:strRef>
              <c:f>'TABLERO 2018'!$H$8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2018'!$C$24</c:f>
              <c:strCache>
                <c:ptCount val="1"/>
                <c:pt idx="0">
                  <c:v>Fortalecimiento institucional</c:v>
                </c:pt>
              </c:strCache>
            </c:strRef>
          </c:cat>
          <c:val>
            <c:numRef>
              <c:f>'TABLERO 2018'!$H$24</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A4B8-4D25-A7DE-CDDA24341094}"/>
            </c:ext>
          </c:extLst>
        </c:ser>
        <c:ser>
          <c:idx val="5"/>
          <c:order val="5"/>
          <c:tx>
            <c:strRef>
              <c:f>'TABLERO 2018'!$J$8</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2018'!$C$24</c:f>
              <c:strCache>
                <c:ptCount val="1"/>
                <c:pt idx="0">
                  <c:v>Fortalecimiento institucional</c:v>
                </c:pt>
              </c:strCache>
            </c:strRef>
          </c:cat>
          <c:val>
            <c:numRef>
              <c:f>'TABLERO 2018'!$J$24</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A4B8-4D25-A7DE-CDDA24341094}"/>
            </c:ext>
          </c:extLst>
        </c:ser>
        <c:ser>
          <c:idx val="6"/>
          <c:order val="6"/>
          <c:tx>
            <c:strRef>
              <c:f>'TABLERO 2018'!$L$8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2018'!$C$24</c:f>
              <c:strCache>
                <c:ptCount val="1"/>
                <c:pt idx="0">
                  <c:v>Fortalecimiento institucional</c:v>
                </c:pt>
              </c:strCache>
            </c:strRef>
          </c:cat>
          <c:val>
            <c:numRef>
              <c:f>'TABLERO 2018'!$L$24</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A4B8-4D25-A7DE-CDDA24341094}"/>
            </c:ext>
          </c:extLst>
        </c:ser>
        <c:dLbls>
          <c:showLegendKey val="0"/>
          <c:showVal val="0"/>
          <c:showCatName val="0"/>
          <c:showSerName val="0"/>
          <c:showPercent val="0"/>
          <c:showBubbleSize val="0"/>
        </c:dLbls>
        <c:gapWidth val="75"/>
        <c:overlap val="-25"/>
        <c:axId val="187602944"/>
        <c:axId val="187102272"/>
      </c:barChart>
      <c:catAx>
        <c:axId val="187602944"/>
        <c:scaling>
          <c:orientation val="minMax"/>
        </c:scaling>
        <c:delete val="0"/>
        <c:axPos val="b"/>
        <c:numFmt formatCode="General" sourceLinked="0"/>
        <c:majorTickMark val="none"/>
        <c:minorTickMark val="none"/>
        <c:tickLblPos val="nextTo"/>
        <c:txPr>
          <a:bodyPr/>
          <a:lstStyle/>
          <a:p>
            <a:pPr>
              <a:defRPr lang="es-ES"/>
            </a:pPr>
            <a:endParaRPr lang="es-CO"/>
          </a:p>
        </c:txPr>
        <c:crossAx val="187102272"/>
        <c:crosses val="autoZero"/>
        <c:auto val="1"/>
        <c:lblAlgn val="ctr"/>
        <c:lblOffset val="100"/>
        <c:noMultiLvlLbl val="0"/>
      </c:catAx>
      <c:valAx>
        <c:axId val="187102272"/>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7602944"/>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lang="es-ES" sz="1600"/>
            </a:pPr>
            <a:r>
              <a:rPr lang="es-CO" sz="1600"/>
              <a:t>AVANCE METAS SECTOR OTROS SERVICIOS 2016</a:t>
            </a:r>
          </a:p>
        </c:rich>
      </c:tx>
      <c:overlay val="0"/>
    </c:title>
    <c:autoTitleDeleted val="0"/>
    <c:plotArea>
      <c:layout/>
      <c:barChart>
        <c:barDir val="col"/>
        <c:grouping val="clustered"/>
        <c:varyColors val="0"/>
        <c:ser>
          <c:idx val="0"/>
          <c:order val="0"/>
          <c:tx>
            <c:strRef>
              <c:f>'TABLERO 2016'!$F$5</c:f>
              <c:strCache>
                <c:ptCount val="1"/>
                <c:pt idx="0">
                  <c:v>PROGRAMADAS 2016</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2016'!$C$11</c:f>
              <c:strCache>
                <c:ptCount val="1"/>
                <c:pt idx="0">
                  <c:v>Otros Servicios Públicos</c:v>
                </c:pt>
              </c:strCache>
            </c:strRef>
          </c:cat>
          <c:val>
            <c:numRef>
              <c:f>'TABLERO 2016'!$F$11</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0-1841-4F47-8FA4-2464BC3F2F39}"/>
            </c:ext>
          </c:extLst>
        </c:ser>
        <c:ser>
          <c:idx val="1"/>
          <c:order val="1"/>
          <c:tx>
            <c:v>CUMPLIDA</c:v>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2016'!$C$11</c:f>
              <c:strCache>
                <c:ptCount val="1"/>
                <c:pt idx="0">
                  <c:v>Otros Servicios Públicos</c:v>
                </c:pt>
              </c:strCache>
            </c:strRef>
          </c:cat>
          <c:val>
            <c:numRef>
              <c:f>'TABLERO 2016'!$G$11</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1-1841-4F47-8FA4-2464BC3F2F39}"/>
            </c:ext>
          </c:extLst>
        </c:ser>
        <c:ser>
          <c:idx val="2"/>
          <c:order val="2"/>
          <c:tx>
            <c:v>EJECUCION</c:v>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2016'!$C$11</c:f>
              <c:strCache>
                <c:ptCount val="1"/>
                <c:pt idx="0">
                  <c:v>Otros Servicios Públicos</c:v>
                </c:pt>
              </c:strCache>
            </c:strRef>
          </c:cat>
          <c:val>
            <c:numRef>
              <c:f>'TABLERO 2016'!$H$11</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2-1841-4F47-8FA4-2464BC3F2F39}"/>
            </c:ext>
          </c:extLst>
        </c:ser>
        <c:ser>
          <c:idx val="3"/>
          <c:order val="3"/>
          <c:tx>
            <c:v>SIN AVANCE</c:v>
          </c:tx>
          <c:invertIfNegative val="0"/>
          <c:cat>
            <c:strRef>
              <c:f>'TABLERO 2016'!$C$11</c:f>
              <c:strCache>
                <c:ptCount val="1"/>
                <c:pt idx="0">
                  <c:v>Otros Servicios Públicos</c:v>
                </c:pt>
              </c:strCache>
            </c:strRef>
          </c:cat>
          <c:val>
            <c:numRef>
              <c:f>'TABLERO 2016'!$I$11</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3-1841-4F47-8FA4-2464BC3F2F39}"/>
            </c:ext>
          </c:extLst>
        </c:ser>
        <c:ser>
          <c:idx val="4"/>
          <c:order val="4"/>
          <c:tx>
            <c:v>APLAZADA</c:v>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2016'!$C$11</c:f>
              <c:strCache>
                <c:ptCount val="1"/>
                <c:pt idx="0">
                  <c:v>Otros Servicios Públicos</c:v>
                </c:pt>
              </c:strCache>
            </c:strRef>
          </c:cat>
          <c:val>
            <c:numRef>
              <c:f>'TABLERO 2016'!$J$11</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4-1841-4F47-8FA4-2464BC3F2F39}"/>
            </c:ext>
          </c:extLst>
        </c:ser>
        <c:dLbls>
          <c:showLegendKey val="0"/>
          <c:showVal val="0"/>
          <c:showCatName val="0"/>
          <c:showSerName val="0"/>
          <c:showPercent val="0"/>
          <c:showBubbleSize val="0"/>
        </c:dLbls>
        <c:gapWidth val="75"/>
        <c:overlap val="-25"/>
        <c:axId val="175951872"/>
        <c:axId val="175384832"/>
      </c:barChart>
      <c:catAx>
        <c:axId val="175951872"/>
        <c:scaling>
          <c:orientation val="minMax"/>
        </c:scaling>
        <c:delete val="0"/>
        <c:axPos val="b"/>
        <c:numFmt formatCode="General" sourceLinked="0"/>
        <c:majorTickMark val="none"/>
        <c:minorTickMark val="none"/>
        <c:tickLblPos val="nextTo"/>
        <c:txPr>
          <a:bodyPr/>
          <a:lstStyle/>
          <a:p>
            <a:pPr>
              <a:defRPr lang="es-ES"/>
            </a:pPr>
            <a:endParaRPr lang="es-CO"/>
          </a:p>
        </c:txPr>
        <c:crossAx val="175384832"/>
        <c:crosses val="autoZero"/>
        <c:auto val="1"/>
        <c:lblAlgn val="ctr"/>
        <c:lblOffset val="100"/>
        <c:noMultiLvlLbl val="0"/>
      </c:catAx>
      <c:valAx>
        <c:axId val="175384832"/>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75951872"/>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a:t>
            </a:r>
            <a:r>
              <a:rPr lang="es-CO" sz="1600" baseline="0"/>
              <a:t> METAS SECTORES JUSTICIA Y SEGURIDAD  2017</a:t>
            </a:r>
            <a:endParaRPr lang="es-CO" sz="1600"/>
          </a:p>
        </c:rich>
      </c:tx>
      <c:overlay val="0"/>
    </c:title>
    <c:autoTitleDeleted val="0"/>
    <c:plotArea>
      <c:layout/>
      <c:barChart>
        <c:barDir val="col"/>
        <c:grouping val="clustered"/>
        <c:varyColors val="0"/>
        <c:ser>
          <c:idx val="1"/>
          <c:order val="1"/>
          <c:tx>
            <c:strRef>
              <c:f>'TABLERO 2018'!$D$8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2018'!$C$25</c:f>
              <c:strCache>
                <c:ptCount val="1"/>
                <c:pt idx="0">
                  <c:v>Justicia y seguridad</c:v>
                </c:pt>
              </c:strCache>
            </c:strRef>
          </c:cat>
          <c:val>
            <c:numRef>
              <c:f>'TABLERO 2018'!$D$25</c:f>
              <c:numCache>
                <c:formatCode>General</c:formatCode>
                <c:ptCount val="1"/>
                <c:pt idx="0">
                  <c:v>28</c:v>
                </c:pt>
              </c:numCache>
            </c:numRef>
          </c:val>
          <c:extLst xmlns:c16r2="http://schemas.microsoft.com/office/drawing/2015/06/chart">
            <c:ext xmlns:c16="http://schemas.microsoft.com/office/drawing/2014/chart" uri="{C3380CC4-5D6E-409C-BE32-E72D297353CC}">
              <c16:uniqueId val="{00000000-3E9D-44A6-8AD8-E503082647CB}"/>
            </c:ext>
          </c:extLst>
        </c:ser>
        <c:ser>
          <c:idx val="2"/>
          <c:order val="2"/>
          <c:tx>
            <c:strRef>
              <c:f>'TABLERO 2018'!$E$8</c:f>
              <c:strCache>
                <c:ptCount val="1"/>
                <c:pt idx="0">
                  <c:v>PROGRAMADAS 2018</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2018'!$C$25</c:f>
              <c:strCache>
                <c:ptCount val="1"/>
                <c:pt idx="0">
                  <c:v>Justicia y seguridad</c:v>
                </c:pt>
              </c:strCache>
            </c:strRef>
          </c:cat>
          <c:val>
            <c:numRef>
              <c:f>'TABLERO 2018'!$E$25</c:f>
              <c:numCache>
                <c:formatCode>General</c:formatCode>
                <c:ptCount val="1"/>
                <c:pt idx="0">
                  <c:v>22</c:v>
                </c:pt>
              </c:numCache>
            </c:numRef>
          </c:val>
          <c:extLst xmlns:c16r2="http://schemas.microsoft.com/office/drawing/2015/06/chart">
            <c:ext xmlns:c16="http://schemas.microsoft.com/office/drawing/2014/chart" uri="{C3380CC4-5D6E-409C-BE32-E72D297353CC}">
              <c16:uniqueId val="{00000001-3E9D-44A6-8AD8-E503082647CB}"/>
            </c:ext>
          </c:extLst>
        </c:ser>
        <c:ser>
          <c:idx val="3"/>
          <c:order val="3"/>
          <c:tx>
            <c:strRef>
              <c:f>'TABLERO 2018'!$F$8</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2018'!$C$25</c:f>
              <c:strCache>
                <c:ptCount val="1"/>
                <c:pt idx="0">
                  <c:v>Justicia y seguridad</c:v>
                </c:pt>
              </c:strCache>
            </c:strRef>
          </c:cat>
          <c:val>
            <c:numRef>
              <c:f>'TABLERO 2018'!$F$25</c:f>
              <c:numCache>
                <c:formatCode>General</c:formatCode>
                <c:ptCount val="1"/>
                <c:pt idx="0">
                  <c:v>13</c:v>
                </c:pt>
              </c:numCache>
            </c:numRef>
          </c:val>
          <c:extLst xmlns:c16r2="http://schemas.microsoft.com/office/drawing/2015/06/chart">
            <c:ext xmlns:c16="http://schemas.microsoft.com/office/drawing/2014/chart" uri="{C3380CC4-5D6E-409C-BE32-E72D297353CC}">
              <c16:uniqueId val="{00000002-3E9D-44A6-8AD8-E503082647CB}"/>
            </c:ext>
          </c:extLst>
        </c:ser>
        <c:ser>
          <c:idx val="4"/>
          <c:order val="4"/>
          <c:tx>
            <c:strRef>
              <c:f>'TABLERO 2018'!$H$8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2018'!$C$25</c:f>
              <c:strCache>
                <c:ptCount val="1"/>
                <c:pt idx="0">
                  <c:v>Justicia y seguridad</c:v>
                </c:pt>
              </c:strCache>
            </c:strRef>
          </c:cat>
          <c:val>
            <c:numRef>
              <c:f>'TABLERO 2018'!$H$25</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3E9D-44A6-8AD8-E503082647CB}"/>
            </c:ext>
          </c:extLst>
        </c:ser>
        <c:ser>
          <c:idx val="5"/>
          <c:order val="5"/>
          <c:tx>
            <c:strRef>
              <c:f>'TABLERO 2018'!$J$8</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2018'!$C$25</c:f>
              <c:strCache>
                <c:ptCount val="1"/>
                <c:pt idx="0">
                  <c:v>Justicia y seguridad</c:v>
                </c:pt>
              </c:strCache>
            </c:strRef>
          </c:cat>
          <c:val>
            <c:numRef>
              <c:f>'TABLERO 2018'!$J$25</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4-3E9D-44A6-8AD8-E503082647CB}"/>
            </c:ext>
          </c:extLst>
        </c:ser>
        <c:ser>
          <c:idx val="6"/>
          <c:order val="6"/>
          <c:tx>
            <c:strRef>
              <c:f>'TABLERO 2018'!$L$8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2018'!$C$25</c:f>
              <c:strCache>
                <c:ptCount val="1"/>
                <c:pt idx="0">
                  <c:v>Justicia y seguridad</c:v>
                </c:pt>
              </c:strCache>
            </c:strRef>
          </c:cat>
          <c:val>
            <c:numRef>
              <c:f>'TABLERO 2018'!$L$25</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5-3E9D-44A6-8AD8-E503082647CB}"/>
            </c:ext>
          </c:extLst>
        </c:ser>
        <c:ser>
          <c:idx val="0"/>
          <c:order val="0"/>
          <c:tx>
            <c:strRef>
              <c:f>'TABLERO 2016'!$D$5</c:f>
              <c:strCache>
                <c:ptCount val="1"/>
                <c:pt idx="0">
                  <c:v>MR</c:v>
                </c:pt>
              </c:strCache>
            </c:strRef>
          </c:tx>
          <c:invertIfNegative val="0"/>
          <c:cat>
            <c:strRef>
              <c:f>'TABLERO 2016'!$C$22</c:f>
              <c:strCache>
                <c:ptCount val="1"/>
                <c:pt idx="0">
                  <c:v>Justicia y seguridad</c:v>
                </c:pt>
              </c:strCache>
            </c:strRef>
          </c:cat>
          <c:val>
            <c:numRef>
              <c:f>'TABLERO 2016'!$D$22</c:f>
            </c:numRef>
          </c:val>
          <c:extLst xmlns:c16r2="http://schemas.microsoft.com/office/drawing/2015/06/chart">
            <c:ext xmlns:c16="http://schemas.microsoft.com/office/drawing/2014/chart" uri="{C3380CC4-5D6E-409C-BE32-E72D297353CC}">
              <c16:uniqueId val="{00000006-3E9D-44A6-8AD8-E503082647CB}"/>
            </c:ext>
          </c:extLst>
        </c:ser>
        <c:dLbls>
          <c:showLegendKey val="0"/>
          <c:showVal val="0"/>
          <c:showCatName val="0"/>
          <c:showSerName val="0"/>
          <c:showPercent val="0"/>
          <c:showBubbleSize val="0"/>
        </c:dLbls>
        <c:gapWidth val="75"/>
        <c:overlap val="-25"/>
        <c:axId val="187601920"/>
        <c:axId val="187104576"/>
      </c:barChart>
      <c:catAx>
        <c:axId val="187601920"/>
        <c:scaling>
          <c:orientation val="minMax"/>
        </c:scaling>
        <c:delete val="0"/>
        <c:axPos val="b"/>
        <c:numFmt formatCode="General" sourceLinked="0"/>
        <c:majorTickMark val="none"/>
        <c:minorTickMark val="none"/>
        <c:tickLblPos val="nextTo"/>
        <c:txPr>
          <a:bodyPr/>
          <a:lstStyle/>
          <a:p>
            <a:pPr>
              <a:defRPr lang="es-ES"/>
            </a:pPr>
            <a:endParaRPr lang="es-CO"/>
          </a:p>
        </c:txPr>
        <c:crossAx val="187104576"/>
        <c:crosses val="autoZero"/>
        <c:auto val="1"/>
        <c:lblAlgn val="ctr"/>
        <c:lblOffset val="100"/>
        <c:noMultiLvlLbl val="0"/>
      </c:catAx>
      <c:valAx>
        <c:axId val="187104576"/>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7601920"/>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n-US" sz="1600"/>
              <a:t>AVANCE</a:t>
            </a:r>
            <a:r>
              <a:rPr lang="en-US" sz="1600" baseline="0"/>
              <a:t> METAS SECTOR DEPORTE Y RECREACION - 2017</a:t>
            </a:r>
            <a:endParaRPr lang="en-US" sz="1600"/>
          </a:p>
        </c:rich>
      </c:tx>
      <c:overlay val="0"/>
      <c:spPr>
        <a:solidFill>
          <a:schemeClr val="accent2">
            <a:lumMod val="20000"/>
            <a:lumOff val="80000"/>
          </a:schemeClr>
        </a:solidFill>
      </c:spPr>
    </c:title>
    <c:autoTitleDeleted val="0"/>
    <c:plotArea>
      <c:layout>
        <c:manualLayout>
          <c:layoutTarget val="inner"/>
          <c:xMode val="edge"/>
          <c:yMode val="edge"/>
          <c:x val="6.3834558526016508E-2"/>
          <c:y val="0.31227367234291653"/>
          <c:w val="0.91060005386848641"/>
          <c:h val="0.50222903338887226"/>
        </c:manualLayout>
      </c:layout>
      <c:barChart>
        <c:barDir val="col"/>
        <c:grouping val="clustered"/>
        <c:varyColors val="0"/>
        <c:ser>
          <c:idx val="2"/>
          <c:order val="0"/>
          <c:tx>
            <c:v>CUMPLIDA</c:v>
          </c:tx>
          <c:spPr>
            <a:solidFill>
              <a:srgbClr val="92D050"/>
            </a:solidFill>
            <a:ln>
              <a:noFill/>
            </a:ln>
            <a:effectLst/>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2019'!$C$12</c:f>
              <c:strCache>
                <c:ptCount val="1"/>
                <c:pt idx="0">
                  <c:v>Deporte y Recreación</c:v>
                </c:pt>
              </c:strCache>
            </c:strRef>
          </c:cat>
          <c:val>
            <c:numRef>
              <c:f>'TABLERO 2019'!$F$12</c:f>
              <c:numCache>
                <c:formatCode>General</c:formatCode>
                <c:ptCount val="1"/>
                <c:pt idx="0">
                  <c:v>14</c:v>
                </c:pt>
              </c:numCache>
            </c:numRef>
          </c:val>
          <c:extLst xmlns:c16r2="http://schemas.microsoft.com/office/drawing/2015/06/chart">
            <c:ext xmlns:c16="http://schemas.microsoft.com/office/drawing/2014/chart" uri="{C3380CC4-5D6E-409C-BE32-E72D297353CC}">
              <c16:uniqueId val="{00000000-AD5B-4CA3-93F2-79C9D411B160}"/>
            </c:ext>
          </c:extLst>
        </c:ser>
        <c:ser>
          <c:idx val="3"/>
          <c:order val="1"/>
          <c:tx>
            <c:v>EJECUCION</c:v>
          </c:tx>
          <c:spPr>
            <a:solidFill>
              <a:srgbClr val="FFFF00"/>
            </a:solidFill>
            <a:ln>
              <a:noFill/>
            </a:ln>
            <a:effectLst/>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2019'!$C$12</c:f>
              <c:strCache>
                <c:ptCount val="1"/>
                <c:pt idx="0">
                  <c:v>Deporte y Recreación</c:v>
                </c:pt>
              </c:strCache>
            </c:strRef>
          </c:cat>
          <c:val>
            <c:numRef>
              <c:f>'TABLERO 2019'!$H$12</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1-AD5B-4CA3-93F2-79C9D411B160}"/>
            </c:ext>
          </c:extLst>
        </c:ser>
        <c:ser>
          <c:idx val="4"/>
          <c:order val="2"/>
          <c:tx>
            <c:v>SIN AVANCE</c:v>
          </c:tx>
          <c:spPr>
            <a:solidFill>
              <a:srgbClr val="FF0000"/>
            </a:solidFill>
            <a:ln>
              <a:noFill/>
            </a:ln>
            <a:effectLst/>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2019'!$C$12</c:f>
              <c:strCache>
                <c:ptCount val="1"/>
                <c:pt idx="0">
                  <c:v>Deporte y Recreación</c:v>
                </c:pt>
              </c:strCache>
            </c:strRef>
          </c:cat>
          <c:val>
            <c:numRef>
              <c:f>'TABLERO 2019'!$J$12</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2-AD5B-4CA3-93F2-79C9D411B160}"/>
            </c:ext>
          </c:extLst>
        </c:ser>
        <c:ser>
          <c:idx val="5"/>
          <c:order val="3"/>
          <c:tx>
            <c:v>APLAZADA</c:v>
          </c:tx>
          <c:spPr>
            <a:solidFill>
              <a:srgbClr val="00B0F0"/>
            </a:solidFill>
            <a:ln>
              <a:noFill/>
            </a:ln>
            <a:effectLst/>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2019'!$C$12</c:f>
              <c:strCache>
                <c:ptCount val="1"/>
                <c:pt idx="0">
                  <c:v>Deporte y Recreación</c:v>
                </c:pt>
              </c:strCache>
            </c:strRef>
          </c:cat>
          <c:val>
            <c:numRef>
              <c:f>'TABLERO 2019'!$L$12</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3-AD5B-4CA3-93F2-79C9D411B160}"/>
            </c:ext>
          </c:extLst>
        </c:ser>
        <c:ser>
          <c:idx val="0"/>
          <c:order val="4"/>
          <c:tx>
            <c:strRef>
              <c:f>'TABLERO 2019'!$E$8</c:f>
              <c:strCache>
                <c:ptCount val="1"/>
                <c:pt idx="0">
                  <c:v>PROGRAMADAS 2019</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'TABLERO 2019'!$E$12</c:f>
              <c:numCache>
                <c:formatCode>General</c:formatCode>
                <c:ptCount val="1"/>
                <c:pt idx="0">
                  <c:v>16</c:v>
                </c:pt>
              </c:numCache>
            </c:numRef>
          </c:val>
          <c:extLst xmlns:c16r2="http://schemas.microsoft.com/office/drawing/2015/06/chart">
            <c:ext xmlns:c16="http://schemas.microsoft.com/office/drawing/2014/chart" uri="{C3380CC4-5D6E-409C-BE32-E72D297353CC}">
              <c16:uniqueId val="{00000004-AD5B-4CA3-93F2-79C9D411B160}"/>
            </c:ext>
          </c:extLst>
        </c:ser>
        <c:dLbls>
          <c:showLegendKey val="0"/>
          <c:showVal val="0"/>
          <c:showCatName val="0"/>
          <c:showSerName val="0"/>
          <c:showPercent val="0"/>
          <c:showBubbleSize val="0"/>
        </c:dLbls>
        <c:gapWidth val="75"/>
        <c:overlap val="-25"/>
        <c:axId val="141025792"/>
        <c:axId val="187806784"/>
        <c:extLst xmlns:c16r2="http://schemas.microsoft.com/office/drawing/2015/06/chart">
          <c:ext xmlns:c15="http://schemas.microsoft.com/office/drawing/2012/chart" uri="{02D57815-91ED-43cb-92C2-25804820EDAC}">
            <c15:filteredBarSeries>
              <c15: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'TABLERO 2016'!$C$9</c15:sqref>
                        </c15:formulaRef>
                      </c:ext>
                    </c:extLst>
                    <c:strCache>
                      <c:ptCount val="1"/>
                      <c:pt idx="0">
                        <c:v>Deporte y Recreación</c:v>
                      </c:pt>
                    </c:strCache>
                  </c:strRef>
                </c:cat>
                <c:val>
                  <c:numRef>
                    <c:extLst xmlns:c16r2="http://schemas.microsoft.com/office/drawing/2015/06/chart">
                      <c:ext uri="{02D57815-91ED-43cb-92C2-25804820EDAC}">
                        <c15:formulaRef>
                          <c15:sqref>'TABLERO 2016'!$D$9</c15:sqref>
                        </c15:formulaRef>
                      </c:ext>
                    </c:extLst>
                  </c:numRef>
                </c:val>
                <c:extLst xmlns:c16r2="http://schemas.microsoft.com/office/drawing/2015/06/chart">
                  <c:ext xmlns:c16="http://schemas.microsoft.com/office/drawing/2014/chart" uri="{C3380CC4-5D6E-409C-BE32-E72D297353CC}">
                    <c16:uniqueId val="{00000005-AD5B-4CA3-93F2-79C9D411B160}"/>
                  </c:ext>
                </c:extLst>
              </c15:ser>
            </c15:filteredBarSeries>
            <c15:filteredBarSeries>
              <c15:ser>
                <c:idx val="6"/>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xmlns:c15="http://schemas.microsoft.com/office/drawing/2012/chart">
                      <c:ext xmlns:c15="http://schemas.microsoft.com/office/drawing/2012/chart" uri="{02D57815-91ED-43cb-92C2-25804820EDAC}">
                        <c15:formulaRef>
                          <c15:sqref>'TABLERO 2018'!$C$12</c15:sqref>
                        </c15:formulaRef>
                      </c:ext>
                    </c:extLst>
                    <c:strCache>
                      <c:ptCount val="1"/>
                      <c:pt idx="0">
                        <c:v>Deporte y Recreación</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'TABLERO 2018'!$D$12</c15:sqref>
                        </c15:formulaRef>
                      </c:ext>
                    </c:extLst>
                    <c:numCache>
                      <c:formatCode>General</c:formatCode>
                      <c:ptCount val="1"/>
                      <c:pt idx="0">
                        <c:v>18</c:v>
                      </c:pt>
                    </c:numCache>
                  </c:numRef>
                </c:val>
                <c:extLst xmlns:c16r2="http://schemas.microsoft.com/office/drawing/2015/06/chart" xmlns:c15="http://schemas.microsoft.com/office/drawing/2012/chart">
                  <c:ext xmlns:c16="http://schemas.microsoft.com/office/drawing/2014/chart" uri="{C3380CC4-5D6E-409C-BE32-E72D297353CC}">
                    <c16:uniqueId val="{00000006-AD5B-4CA3-93F2-79C9D411B160}"/>
                  </c:ext>
                </c:extLst>
              </c15:ser>
            </c15:filteredBarSeries>
          </c:ext>
        </c:extLst>
      </c:barChart>
      <c:catAx>
        <c:axId val="141025792"/>
        <c:scaling>
          <c:orientation val="minMax"/>
        </c:scaling>
        <c:delete val="1"/>
        <c:axPos val="b"/>
        <c:numFmt formatCode="General" sourceLinked="1"/>
        <c:majorTickMark val="none"/>
        <c:minorTickMark val="none"/>
        <c:tickLblPos val="nextTo"/>
        <c:crossAx val="187806784"/>
        <c:crosses val="autoZero"/>
        <c:auto val="1"/>
        <c:lblAlgn val="ctr"/>
        <c:lblOffset val="100"/>
        <c:noMultiLvlLbl val="0"/>
      </c:catAx>
      <c:valAx>
        <c:axId val="1878067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6350">
            <a:noFill/>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s-CO"/>
          </a:p>
        </c:txPr>
        <c:crossAx val="141025792"/>
        <c:crosses val="autoZero"/>
        <c:crossBetween val="between"/>
      </c:valAx>
      <c:spPr>
        <a:noFill/>
        <a:ln>
          <a:noFill/>
        </a:ln>
        <a:effectLst/>
      </c:spPr>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w="9525" cap="flat" cmpd="sng" algn="ctr">
      <a:solidFill>
        <a:srgbClr val="0070C0"/>
      </a:solid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24"/>
    </mc:Choice>
    <mc:Fallback>
      <c:style val="24"/>
    </mc:Fallback>
  </mc:AlternateContent>
  <c:chart>
    <c:title>
      <c:tx>
        <c:rich>
          <a:bodyPr/>
          <a:lstStyle/>
          <a:p>
            <a:pPr>
              <a:defRPr lang="es-ES" sz="1600"/>
            </a:pPr>
            <a:r>
              <a:rPr lang="en-US" sz="1600"/>
              <a:t>AVANCE METAS SECTOR</a:t>
            </a:r>
            <a:r>
              <a:rPr lang="en-US" sz="1600" baseline="0"/>
              <a:t> EDUCACION 2017</a:t>
            </a:r>
            <a:endParaRPr lang="en-US" sz="1600"/>
          </a:p>
        </c:rich>
      </c:tx>
      <c:overlay val="0"/>
    </c:title>
    <c:autoTitleDeleted val="0"/>
    <c:plotArea>
      <c:layout/>
      <c:barChart>
        <c:barDir val="col"/>
        <c:grouping val="clustered"/>
        <c:varyColors val="0"/>
        <c:ser>
          <c:idx val="0"/>
          <c:order val="0"/>
          <c:tx>
            <c:strRef>
              <c:f>'TABLERO 2019'!$E$8</c:f>
              <c:strCache>
                <c:ptCount val="1"/>
                <c:pt idx="0">
                  <c:v>PROGRAMADAS 2019</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2019'!$C$9</c:f>
              <c:strCache>
                <c:ptCount val="1"/>
                <c:pt idx="0">
                  <c:v>Educación</c:v>
                </c:pt>
              </c:strCache>
            </c:strRef>
          </c:cat>
          <c:val>
            <c:numRef>
              <c:f>'TABLERO 2019'!$E$9</c:f>
              <c:numCache>
                <c:formatCode>General</c:formatCode>
                <c:ptCount val="1"/>
                <c:pt idx="0">
                  <c:v>29</c:v>
                </c:pt>
              </c:numCache>
            </c:numRef>
          </c:val>
          <c:extLst xmlns:c16r2="http://schemas.microsoft.com/office/drawing/2015/06/chart">
            <c:ext xmlns:c16="http://schemas.microsoft.com/office/drawing/2014/chart" uri="{C3380CC4-5D6E-409C-BE32-E72D297353CC}">
              <c16:uniqueId val="{00000000-5227-4C3C-9866-3035E1D363D8}"/>
            </c:ext>
          </c:extLst>
        </c:ser>
        <c:ser>
          <c:idx val="1"/>
          <c:order val="1"/>
          <c:tx>
            <c:v>CUMPLIDAD</c:v>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2019'!$C$9</c:f>
              <c:strCache>
                <c:ptCount val="1"/>
                <c:pt idx="0">
                  <c:v>Educación</c:v>
                </c:pt>
              </c:strCache>
            </c:strRef>
          </c:cat>
          <c:val>
            <c:numRef>
              <c:f>'TABLERO 2019'!$F$9</c:f>
              <c:numCache>
                <c:formatCode>General</c:formatCode>
                <c:ptCount val="1"/>
                <c:pt idx="0">
                  <c:v>24</c:v>
                </c:pt>
              </c:numCache>
            </c:numRef>
          </c:val>
          <c:extLst xmlns:c16r2="http://schemas.microsoft.com/office/drawing/2015/06/chart">
            <c:ext xmlns:c16="http://schemas.microsoft.com/office/drawing/2014/chart" uri="{C3380CC4-5D6E-409C-BE32-E72D297353CC}">
              <c16:uniqueId val="{00000001-5227-4C3C-9866-3035E1D363D8}"/>
            </c:ext>
          </c:extLst>
        </c:ser>
        <c:ser>
          <c:idx val="2"/>
          <c:order val="2"/>
          <c:tx>
            <c:v>EJECUCION</c:v>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2019'!$C$9</c:f>
              <c:strCache>
                <c:ptCount val="1"/>
                <c:pt idx="0">
                  <c:v>Educación</c:v>
                </c:pt>
              </c:strCache>
            </c:strRef>
          </c:cat>
          <c:val>
            <c:numRef>
              <c:f>'TABLERO 2019'!$H$9</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2-5227-4C3C-9866-3035E1D363D8}"/>
            </c:ext>
          </c:extLst>
        </c:ser>
        <c:ser>
          <c:idx val="3"/>
          <c:order val="3"/>
          <c:tx>
            <c:v>SIN AVANCE</c:v>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2019'!$C$9</c:f>
              <c:strCache>
                <c:ptCount val="1"/>
                <c:pt idx="0">
                  <c:v>Educación</c:v>
                </c:pt>
              </c:strCache>
            </c:strRef>
          </c:cat>
          <c:val>
            <c:numRef>
              <c:f>'TABLERO 2019'!$J$9</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3-5227-4C3C-9866-3035E1D363D8}"/>
            </c:ext>
          </c:extLst>
        </c:ser>
        <c:ser>
          <c:idx val="4"/>
          <c:order val="4"/>
          <c:tx>
            <c:v>APLAZADA</c:v>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2019'!$C$9</c:f>
              <c:strCache>
                <c:ptCount val="1"/>
                <c:pt idx="0">
                  <c:v>Educación</c:v>
                </c:pt>
              </c:strCache>
            </c:strRef>
          </c:cat>
          <c:val>
            <c:numRef>
              <c:f>'TABLERO 2019'!$L$9</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5227-4C3C-9866-3035E1D363D8}"/>
            </c:ext>
          </c:extLst>
        </c:ser>
        <c:ser>
          <c:idx val="5"/>
          <c:order val="5"/>
          <c:tx>
            <c:strRef>
              <c:f>'TABLERO 2019'!$R$8</c:f>
              <c:strCache>
                <c:ptCount val="1"/>
                <c:pt idx="0">
                  <c:v>2018</c:v>
                </c:pt>
              </c:strCache>
            </c:strRef>
          </c:tx>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'TABLERO 2019'!$R$9</c:f>
              <c:numCache>
                <c:formatCode>_-* #,##0.00_-;\-* #,##0.00_-;_-* "-"??_-;_-@_-</c:formatCode>
                <c:ptCount val="1"/>
                <c:pt idx="0">
                  <c:v>93.75</c:v>
                </c:pt>
              </c:numCache>
            </c:numRef>
          </c:val>
          <c:extLst xmlns:c16r2="http://schemas.microsoft.com/office/drawing/2015/06/chart">
            <c:ext xmlns:c16="http://schemas.microsoft.com/office/drawing/2014/chart" uri="{C3380CC4-5D6E-409C-BE32-E72D297353CC}">
              <c16:uniqueId val="{00000005-5227-4C3C-9866-3035E1D363D8}"/>
            </c:ext>
          </c:extLst>
        </c:ser>
        <c:dLbls>
          <c:showLegendKey val="0"/>
          <c:showVal val="0"/>
          <c:showCatName val="0"/>
          <c:showSerName val="0"/>
          <c:showPercent val="0"/>
          <c:showBubbleSize val="0"/>
        </c:dLbls>
        <c:gapWidth val="75"/>
        <c:overlap val="-25"/>
        <c:axId val="141027328"/>
        <c:axId val="187809088"/>
      </c:barChart>
      <c:catAx>
        <c:axId val="141027328"/>
        <c:scaling>
          <c:orientation val="minMax"/>
        </c:scaling>
        <c:delete val="0"/>
        <c:axPos val="b"/>
        <c:numFmt formatCode="General" sourceLinked="0"/>
        <c:majorTickMark val="none"/>
        <c:minorTickMark val="none"/>
        <c:tickLblPos val="nextTo"/>
        <c:txPr>
          <a:bodyPr/>
          <a:lstStyle/>
          <a:p>
            <a:pPr>
              <a:defRPr lang="es-ES"/>
            </a:pPr>
            <a:endParaRPr lang="es-CO"/>
          </a:p>
        </c:txPr>
        <c:crossAx val="187809088"/>
        <c:crosses val="autoZero"/>
        <c:auto val="1"/>
        <c:lblAlgn val="ctr"/>
        <c:lblOffset val="100"/>
        <c:noMultiLvlLbl val="0"/>
      </c:catAx>
      <c:valAx>
        <c:axId val="187809088"/>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41027328"/>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cmpd="dbl">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APSB</a:t>
            </a:r>
            <a:r>
              <a:rPr lang="es-CO" sz="1600" baseline="0"/>
              <a:t> 2017</a:t>
            </a:r>
          </a:p>
          <a:p>
            <a:pPr>
              <a:defRPr lang="es-ES" sz="1600"/>
            </a:pPr>
            <a:endParaRPr lang="es-CO" sz="1600"/>
          </a:p>
        </c:rich>
      </c:tx>
      <c:overlay val="0"/>
    </c:title>
    <c:autoTitleDeleted val="0"/>
    <c:plotArea>
      <c:layout/>
      <c:barChart>
        <c:barDir val="col"/>
        <c:grouping val="clustered"/>
        <c:varyColors val="0"/>
        <c:ser>
          <c:idx val="0"/>
          <c:order val="0"/>
          <c:tx>
            <c:v>PROGRAMADA 2017</c:v>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2019'!$E$11</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0-75EF-4AFF-93F5-F194C55C5329}"/>
            </c:ext>
          </c:extLst>
        </c:ser>
        <c:ser>
          <c:idx val="1"/>
          <c:order val="1"/>
          <c:tx>
            <c:v>CUMPLIDA</c:v>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2019'!$F$11</c:f>
              <c:numCache>
                <c:formatCode>General</c:formatCode>
                <c:ptCount val="1"/>
                <c:pt idx="0">
                  <c:v>11</c:v>
                </c:pt>
              </c:numCache>
            </c:numRef>
          </c:val>
          <c:extLst xmlns:c16r2="http://schemas.microsoft.com/office/drawing/2015/06/chart">
            <c:ext xmlns:c16="http://schemas.microsoft.com/office/drawing/2014/chart" uri="{C3380CC4-5D6E-409C-BE32-E72D297353CC}">
              <c16:uniqueId val="{00000001-75EF-4AFF-93F5-F194C55C5329}"/>
            </c:ext>
          </c:extLst>
        </c:ser>
        <c:ser>
          <c:idx val="2"/>
          <c:order val="2"/>
          <c:tx>
            <c:v>EJECUCION</c:v>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2019'!$H$11</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2-75EF-4AFF-93F5-F194C55C5329}"/>
            </c:ext>
          </c:extLst>
        </c:ser>
        <c:ser>
          <c:idx val="3"/>
          <c:order val="3"/>
          <c:tx>
            <c:v>SIN AVANCE</c:v>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2019'!$J$11</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3-75EF-4AFF-93F5-F194C55C5329}"/>
            </c:ext>
          </c:extLst>
        </c:ser>
        <c:ser>
          <c:idx val="4"/>
          <c:order val="4"/>
          <c:tx>
            <c:v>APLAZADA</c:v>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2019'!$L$11</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75EF-4AFF-93F5-F194C55C5329}"/>
            </c:ext>
          </c:extLst>
        </c:ser>
        <c:ser>
          <c:idx val="5"/>
          <c:order val="5"/>
          <c:tx>
            <c:v>% EJECUCION</c:v>
          </c:tx>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2019'!$R$11</c:f>
              <c:numCache>
                <c:formatCode>_-* #,##0.00_-;\-* #,##0.00_-;_-* "-"??_-;_-@_-</c:formatCode>
                <c:ptCount val="1"/>
                <c:pt idx="0">
                  <c:v>90.909090909090907</c:v>
                </c:pt>
              </c:numCache>
            </c:numRef>
          </c:val>
          <c:extLst xmlns:c16r2="http://schemas.microsoft.com/office/drawing/2015/06/chart">
            <c:ext xmlns:c16="http://schemas.microsoft.com/office/drawing/2014/chart" uri="{C3380CC4-5D6E-409C-BE32-E72D297353CC}">
              <c16:uniqueId val="{00000005-75EF-4AFF-93F5-F194C55C5329}"/>
            </c:ext>
          </c:extLst>
        </c:ser>
        <c:dLbls>
          <c:showLegendKey val="0"/>
          <c:showVal val="0"/>
          <c:showCatName val="0"/>
          <c:showSerName val="0"/>
          <c:showPercent val="0"/>
          <c:showBubbleSize val="0"/>
        </c:dLbls>
        <c:gapWidth val="75"/>
        <c:overlap val="-25"/>
        <c:axId val="185322496"/>
        <c:axId val="141117696"/>
      </c:barChart>
      <c:catAx>
        <c:axId val="185322496"/>
        <c:scaling>
          <c:orientation val="minMax"/>
        </c:scaling>
        <c:delete val="0"/>
        <c:axPos val="b"/>
        <c:numFmt formatCode="General" sourceLinked="0"/>
        <c:majorTickMark val="none"/>
        <c:minorTickMark val="none"/>
        <c:tickLblPos val="nextTo"/>
        <c:txPr>
          <a:bodyPr/>
          <a:lstStyle/>
          <a:p>
            <a:pPr>
              <a:defRPr lang="es-ES"/>
            </a:pPr>
            <a:endParaRPr lang="es-CO"/>
          </a:p>
        </c:txPr>
        <c:crossAx val="141117696"/>
        <c:crosses val="autoZero"/>
        <c:auto val="1"/>
        <c:lblAlgn val="ctr"/>
        <c:lblOffset val="100"/>
        <c:noMultiLvlLbl val="0"/>
      </c:catAx>
      <c:valAx>
        <c:axId val="141117696"/>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5322496"/>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cmpd="dbl">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CULTURA 2017</a:t>
            </a:r>
          </a:p>
        </c:rich>
      </c:tx>
      <c:overlay val="0"/>
    </c:title>
    <c:autoTitleDeleted val="0"/>
    <c:plotArea>
      <c:layout/>
      <c:barChart>
        <c:barDir val="col"/>
        <c:grouping val="clustered"/>
        <c:varyColors val="0"/>
        <c:ser>
          <c:idx val="0"/>
          <c:order val="0"/>
          <c:tx>
            <c:strRef>
              <c:f>'TABLERO 2019'!$E$8</c:f>
              <c:strCache>
                <c:ptCount val="1"/>
                <c:pt idx="0">
                  <c:v>PROGRAMADAS 2019</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2019'!$C$13</c:f>
              <c:strCache>
                <c:ptCount val="1"/>
                <c:pt idx="0">
                  <c:v>Cultura</c:v>
                </c:pt>
              </c:strCache>
            </c:strRef>
          </c:cat>
          <c:val>
            <c:numRef>
              <c:f>'TABLERO 2019'!$E$13</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0-7C02-46C6-9C7F-457D922A894A}"/>
            </c:ext>
          </c:extLst>
        </c:ser>
        <c:ser>
          <c:idx val="1"/>
          <c:order val="1"/>
          <c:tx>
            <c:strRef>
              <c:f>'TABLERO 2019'!$F$8</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2019'!$C$13</c:f>
              <c:strCache>
                <c:ptCount val="1"/>
                <c:pt idx="0">
                  <c:v>Cultura</c:v>
                </c:pt>
              </c:strCache>
            </c:strRef>
          </c:cat>
          <c:val>
            <c:numRef>
              <c:f>'TABLERO 2019'!$F$13</c:f>
              <c:numCache>
                <c:formatCode>General</c:formatCode>
                <c:ptCount val="1"/>
                <c:pt idx="0">
                  <c:v>23</c:v>
                </c:pt>
              </c:numCache>
            </c:numRef>
          </c:val>
          <c:extLst xmlns:c16r2="http://schemas.microsoft.com/office/drawing/2015/06/chart">
            <c:ext xmlns:c16="http://schemas.microsoft.com/office/drawing/2014/chart" uri="{C3380CC4-5D6E-409C-BE32-E72D297353CC}">
              <c16:uniqueId val="{00000001-7C02-46C6-9C7F-457D922A894A}"/>
            </c:ext>
          </c:extLst>
        </c:ser>
        <c:ser>
          <c:idx val="2"/>
          <c:order val="2"/>
          <c:tx>
            <c:strRef>
              <c:f>'TABLERO 2019'!$H$8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2019'!$C$13</c:f>
              <c:strCache>
                <c:ptCount val="1"/>
                <c:pt idx="0">
                  <c:v>Cultura</c:v>
                </c:pt>
              </c:strCache>
            </c:strRef>
          </c:cat>
          <c:val>
            <c:numRef>
              <c:f>'TABLERO 2019'!$H$13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2-7C02-46C6-9C7F-457D922A894A}"/>
            </c:ext>
          </c:extLst>
        </c:ser>
        <c:ser>
          <c:idx val="3"/>
          <c:order val="3"/>
          <c:tx>
            <c:strRef>
              <c:f>'TABLERO 2019'!$J$8</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2019'!$C$13</c:f>
              <c:strCache>
                <c:ptCount val="1"/>
                <c:pt idx="0">
                  <c:v>Cultura</c:v>
                </c:pt>
              </c:strCache>
            </c:strRef>
          </c:cat>
          <c:val>
            <c:numRef>
              <c:f>'TABLERO 2019'!$J$13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3-7C02-46C6-9C7F-457D922A894A}"/>
            </c:ext>
          </c:extLst>
        </c:ser>
        <c:ser>
          <c:idx val="4"/>
          <c:order val="4"/>
          <c:tx>
            <c:strRef>
              <c:f>'TABLERO 2019'!$L$8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2019'!$C$13</c:f>
              <c:strCache>
                <c:ptCount val="1"/>
                <c:pt idx="0">
                  <c:v>Cultura</c:v>
                </c:pt>
              </c:strCache>
            </c:strRef>
          </c:cat>
          <c:val>
            <c:numRef>
              <c:f>'TABLERO 2019'!$L$13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7C02-46C6-9C7F-457D922A894A}"/>
            </c:ext>
          </c:extLst>
        </c:ser>
        <c:dLbls>
          <c:showLegendKey val="0"/>
          <c:showVal val="0"/>
          <c:showCatName val="0"/>
          <c:showSerName val="0"/>
          <c:showPercent val="0"/>
          <c:showBubbleSize val="0"/>
        </c:dLbls>
        <c:gapWidth val="75"/>
        <c:overlap val="-25"/>
        <c:axId val="141316608"/>
        <c:axId val="141119424"/>
      </c:barChart>
      <c:catAx>
        <c:axId val="141316608"/>
        <c:scaling>
          <c:orientation val="minMax"/>
        </c:scaling>
        <c:delete val="0"/>
        <c:axPos val="b"/>
        <c:numFmt formatCode="General" sourceLinked="0"/>
        <c:majorTickMark val="none"/>
        <c:minorTickMark val="none"/>
        <c:tickLblPos val="nextTo"/>
        <c:txPr>
          <a:bodyPr/>
          <a:lstStyle/>
          <a:p>
            <a:pPr>
              <a:defRPr lang="es-ES"/>
            </a:pPr>
            <a:endParaRPr lang="es-CO"/>
          </a:p>
        </c:txPr>
        <c:crossAx val="141119424"/>
        <c:crosses val="autoZero"/>
        <c:auto val="1"/>
        <c:lblAlgn val="ctr"/>
        <c:lblOffset val="100"/>
        <c:noMultiLvlLbl val="0"/>
      </c:catAx>
      <c:valAx>
        <c:axId val="141119424"/>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41316608"/>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lang="es-ES" sz="1600"/>
            </a:pPr>
            <a:r>
              <a:rPr lang="es-CO" sz="1600"/>
              <a:t>AVANCE METAS SECTOR OTROS SERVICIOS 2017</a:t>
            </a:r>
          </a:p>
        </c:rich>
      </c:tx>
      <c:overlay val="0"/>
    </c:title>
    <c:autoTitleDeleted val="0"/>
    <c:plotArea>
      <c:layout/>
      <c:barChart>
        <c:barDir val="col"/>
        <c:grouping val="clustered"/>
        <c:varyColors val="0"/>
        <c:ser>
          <c:idx val="0"/>
          <c:order val="0"/>
          <c:tx>
            <c:strRef>
              <c:f>'TABLERO 2019'!$E$8</c:f>
              <c:strCache>
                <c:ptCount val="1"/>
                <c:pt idx="0">
                  <c:v>PROGRAMADAS 2019</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2019'!$C$14</c:f>
              <c:strCache>
                <c:ptCount val="1"/>
                <c:pt idx="0">
                  <c:v>Otros Servicios Públicos</c:v>
                </c:pt>
              </c:strCache>
            </c:strRef>
          </c:cat>
          <c:val>
            <c:numRef>
              <c:f>'TABLERO 2019'!$E$14</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0-EB40-417E-9A96-695CB448A9FC}"/>
            </c:ext>
          </c:extLst>
        </c:ser>
        <c:ser>
          <c:idx val="1"/>
          <c:order val="1"/>
          <c:tx>
            <c:v>CUMPLIDA</c:v>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2019'!$C$14</c:f>
              <c:strCache>
                <c:ptCount val="1"/>
                <c:pt idx="0">
                  <c:v>Otros Servicios Públicos</c:v>
                </c:pt>
              </c:strCache>
            </c:strRef>
          </c:cat>
          <c:val>
            <c:numRef>
              <c:f>'TABLERO 2019'!$F$14</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1-EB40-417E-9A96-695CB448A9FC}"/>
            </c:ext>
          </c:extLst>
        </c:ser>
        <c:ser>
          <c:idx val="2"/>
          <c:order val="2"/>
          <c:tx>
            <c:v>EJECUCION</c:v>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2019'!$C$14</c:f>
              <c:strCache>
                <c:ptCount val="1"/>
                <c:pt idx="0">
                  <c:v>Otros Servicios Públicos</c:v>
                </c:pt>
              </c:strCache>
            </c:strRef>
          </c:cat>
          <c:val>
            <c:numRef>
              <c:f>'TABLERO 2019'!$H$14</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2-EB40-417E-9A96-695CB448A9FC}"/>
            </c:ext>
          </c:extLst>
        </c:ser>
        <c:ser>
          <c:idx val="3"/>
          <c:order val="3"/>
          <c:tx>
            <c:v>SIN AVANCE</c:v>
          </c:tx>
          <c:invertIfNegative val="0"/>
          <c:cat>
            <c:strRef>
              <c:f>'TABLERO 2019'!$C$14</c:f>
              <c:strCache>
                <c:ptCount val="1"/>
                <c:pt idx="0">
                  <c:v>Otros Servicios Públicos</c:v>
                </c:pt>
              </c:strCache>
            </c:strRef>
          </c:cat>
          <c:val>
            <c:numRef>
              <c:f>'TABLERO 2019'!$J$14</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EB40-417E-9A96-695CB448A9FC}"/>
            </c:ext>
          </c:extLst>
        </c:ser>
        <c:ser>
          <c:idx val="4"/>
          <c:order val="4"/>
          <c:tx>
            <c:v>APLAZADA</c:v>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2019'!$C$14</c:f>
              <c:strCache>
                <c:ptCount val="1"/>
                <c:pt idx="0">
                  <c:v>Otros Servicios Públicos</c:v>
                </c:pt>
              </c:strCache>
            </c:strRef>
          </c:cat>
          <c:val>
            <c:numRef>
              <c:f>'TABLERO 2019'!$L$14</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EB40-417E-9A96-695CB448A9FC}"/>
            </c:ext>
          </c:extLst>
        </c:ser>
        <c:dLbls>
          <c:showLegendKey val="0"/>
          <c:showVal val="0"/>
          <c:showCatName val="0"/>
          <c:showSerName val="0"/>
          <c:showPercent val="0"/>
          <c:showBubbleSize val="0"/>
        </c:dLbls>
        <c:gapWidth val="75"/>
        <c:overlap val="-25"/>
        <c:axId val="141318144"/>
        <c:axId val="141121728"/>
      </c:barChart>
      <c:catAx>
        <c:axId val="141318144"/>
        <c:scaling>
          <c:orientation val="minMax"/>
        </c:scaling>
        <c:delete val="0"/>
        <c:axPos val="b"/>
        <c:numFmt formatCode="General" sourceLinked="0"/>
        <c:majorTickMark val="none"/>
        <c:minorTickMark val="none"/>
        <c:tickLblPos val="nextTo"/>
        <c:txPr>
          <a:bodyPr/>
          <a:lstStyle/>
          <a:p>
            <a:pPr>
              <a:defRPr lang="es-ES"/>
            </a:pPr>
            <a:endParaRPr lang="es-CO"/>
          </a:p>
        </c:txPr>
        <c:crossAx val="141121728"/>
        <c:crosses val="autoZero"/>
        <c:auto val="1"/>
        <c:lblAlgn val="ctr"/>
        <c:lblOffset val="100"/>
        <c:noMultiLvlLbl val="0"/>
      </c:catAx>
      <c:valAx>
        <c:axId val="141121728"/>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41318144"/>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VIVIENDA 2017</a:t>
            </a:r>
          </a:p>
        </c:rich>
      </c:tx>
      <c:overlay val="0"/>
    </c:title>
    <c:autoTitleDeleted val="0"/>
    <c:plotArea>
      <c:layout>
        <c:manualLayout>
          <c:layoutTarget val="inner"/>
          <c:xMode val="edge"/>
          <c:yMode val="edge"/>
          <c:x val="5.8099518810148756E-2"/>
          <c:y val="0.21126166520851555"/>
          <c:w val="0.89745603674540686"/>
          <c:h val="0.58904126567512394"/>
        </c:manualLayout>
      </c:layout>
      <c:barChart>
        <c:barDir val="col"/>
        <c:grouping val="clustered"/>
        <c:varyColors val="0"/>
        <c:ser>
          <c:idx val="0"/>
          <c:order val="0"/>
          <c:tx>
            <c:strRef>
              <c:f>'TABLERO 2016'!$D$5</c:f>
              <c:strCache>
                <c:ptCount val="1"/>
                <c:pt idx="0">
                  <c:v>MR</c:v>
                </c:pt>
              </c:strCache>
            </c:strRef>
          </c:tx>
          <c:invertIfNegative val="0"/>
          <c:cat>
            <c:strRef>
              <c:f>'TABLERO 2016'!$C$12</c:f>
              <c:strCache>
                <c:ptCount val="1"/>
                <c:pt idx="0">
                  <c:v>Vivienda</c:v>
                </c:pt>
              </c:strCache>
            </c:strRef>
          </c:cat>
          <c:val>
            <c:numRef>
              <c:f>'TABLERO 2016'!$D$12</c:f>
            </c:numRef>
          </c:val>
          <c:extLst xmlns:c16r2="http://schemas.microsoft.com/office/drawing/2015/06/chart">
            <c:ext xmlns:c16="http://schemas.microsoft.com/office/drawing/2014/chart" uri="{C3380CC4-5D6E-409C-BE32-E72D297353CC}">
              <c16:uniqueId val="{00000000-FF91-46E4-8563-661D3A357A18}"/>
            </c:ext>
          </c:extLst>
        </c:ser>
        <c:ser>
          <c:idx val="1"/>
          <c:order val="1"/>
          <c:tx>
            <c:strRef>
              <c:f>'TABLERO 2019'!$D$8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2019'!$C$15</c:f>
              <c:strCache>
                <c:ptCount val="1"/>
                <c:pt idx="0">
                  <c:v>Vivienda</c:v>
                </c:pt>
              </c:strCache>
            </c:strRef>
          </c:cat>
          <c:val>
            <c:numRef>
              <c:f>'TABLERO 2019'!$D$15</c:f>
              <c:numCache>
                <c:formatCode>General</c:formatCode>
                <c:ptCount val="1"/>
                <c:pt idx="0">
                  <c:v>9</c:v>
                </c:pt>
              </c:numCache>
            </c:numRef>
          </c:val>
          <c:extLst xmlns:c16r2="http://schemas.microsoft.com/office/drawing/2015/06/chart">
            <c:ext xmlns:c16="http://schemas.microsoft.com/office/drawing/2014/chart" uri="{C3380CC4-5D6E-409C-BE32-E72D297353CC}">
              <c16:uniqueId val="{00000001-FF91-46E4-8563-661D3A357A18}"/>
            </c:ext>
          </c:extLst>
        </c:ser>
        <c:ser>
          <c:idx val="2"/>
          <c:order val="2"/>
          <c:tx>
            <c:strRef>
              <c:f>'TABLERO 2019'!$E$8</c:f>
              <c:strCache>
                <c:ptCount val="1"/>
                <c:pt idx="0">
                  <c:v>PROGRAMADAS 2019</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2019'!$C$15</c:f>
              <c:strCache>
                <c:ptCount val="1"/>
                <c:pt idx="0">
                  <c:v>Vivienda</c:v>
                </c:pt>
              </c:strCache>
            </c:strRef>
          </c:cat>
          <c:val>
            <c:numRef>
              <c:f>'TABLERO 2019'!$E$15</c:f>
              <c:numCache>
                <c:formatCode>General</c:formatCode>
                <c:ptCount val="1"/>
                <c:pt idx="0">
                  <c:v>6</c:v>
                </c:pt>
              </c:numCache>
            </c:numRef>
          </c:val>
          <c:extLst xmlns:c16r2="http://schemas.microsoft.com/office/drawing/2015/06/chart">
            <c:ext xmlns:c16="http://schemas.microsoft.com/office/drawing/2014/chart" uri="{C3380CC4-5D6E-409C-BE32-E72D297353CC}">
              <c16:uniqueId val="{00000002-FF91-46E4-8563-661D3A357A18}"/>
            </c:ext>
          </c:extLst>
        </c:ser>
        <c:ser>
          <c:idx val="3"/>
          <c:order val="3"/>
          <c:tx>
            <c:strRef>
              <c:f>'TABLERO 2019'!$F$8</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2019'!$C$15</c:f>
              <c:strCache>
                <c:ptCount val="1"/>
                <c:pt idx="0">
                  <c:v>Vivienda</c:v>
                </c:pt>
              </c:strCache>
            </c:strRef>
          </c:cat>
          <c:val>
            <c:numRef>
              <c:f>'TABLERO 2019'!$F$15</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3-FF91-46E4-8563-661D3A357A18}"/>
            </c:ext>
          </c:extLst>
        </c:ser>
        <c:ser>
          <c:idx val="4"/>
          <c:order val="4"/>
          <c:tx>
            <c:strRef>
              <c:f>'TABLERO 2019'!$H$8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2019'!$C$15</c:f>
              <c:strCache>
                <c:ptCount val="1"/>
                <c:pt idx="0">
                  <c:v>Vivienda</c:v>
                </c:pt>
              </c:strCache>
            </c:strRef>
          </c:cat>
          <c:val>
            <c:numRef>
              <c:f>'TABLERO 2019'!$H$15</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FF91-46E4-8563-661D3A357A18}"/>
            </c:ext>
          </c:extLst>
        </c:ser>
        <c:ser>
          <c:idx val="5"/>
          <c:order val="5"/>
          <c:tx>
            <c:strRef>
              <c:f>'TABLERO 2019'!$J$8</c:f>
              <c:strCache>
                <c:ptCount val="1"/>
                <c:pt idx="0">
                  <c:v>RO</c:v>
                </c:pt>
              </c:strCache>
            </c:strRef>
          </c:tx>
          <c:invertIfNegative val="0"/>
          <c:cat>
            <c:strRef>
              <c:f>'TABLERO 2019'!$C$15</c:f>
              <c:strCache>
                <c:ptCount val="1"/>
                <c:pt idx="0">
                  <c:v>Vivienda</c:v>
                </c:pt>
              </c:strCache>
            </c:strRef>
          </c:cat>
          <c:val>
            <c:numRef>
              <c:f>'TABLERO 2019'!$J$15</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FF91-46E4-8563-661D3A357A18}"/>
            </c:ext>
          </c:extLst>
        </c:ser>
        <c:ser>
          <c:idx val="6"/>
          <c:order val="6"/>
          <c:tx>
            <c:strRef>
              <c:f>'TABLERO 2019'!$L$8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2019'!$C$15</c:f>
              <c:strCache>
                <c:ptCount val="1"/>
                <c:pt idx="0">
                  <c:v>Vivienda</c:v>
                </c:pt>
              </c:strCache>
            </c:strRef>
          </c:cat>
          <c:val>
            <c:numRef>
              <c:f>'TABLERO 2019'!$L$15</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FF91-46E4-8563-661D3A357A18}"/>
            </c:ext>
          </c:extLst>
        </c:ser>
        <c:dLbls>
          <c:showLegendKey val="0"/>
          <c:showVal val="0"/>
          <c:showCatName val="0"/>
          <c:showSerName val="0"/>
          <c:showPercent val="0"/>
          <c:showBubbleSize val="0"/>
        </c:dLbls>
        <c:gapWidth val="75"/>
        <c:overlap val="-25"/>
        <c:axId val="141901824"/>
        <c:axId val="141550144"/>
      </c:barChart>
      <c:catAx>
        <c:axId val="141901824"/>
        <c:scaling>
          <c:orientation val="minMax"/>
        </c:scaling>
        <c:delete val="0"/>
        <c:axPos val="b"/>
        <c:numFmt formatCode="General" sourceLinked="0"/>
        <c:majorTickMark val="none"/>
        <c:minorTickMark val="none"/>
        <c:tickLblPos val="nextTo"/>
        <c:txPr>
          <a:bodyPr/>
          <a:lstStyle/>
          <a:p>
            <a:pPr>
              <a:defRPr lang="es-ES"/>
            </a:pPr>
            <a:endParaRPr lang="es-CO"/>
          </a:p>
        </c:txPr>
        <c:crossAx val="141550144"/>
        <c:crosses val="autoZero"/>
        <c:auto val="1"/>
        <c:lblAlgn val="ctr"/>
        <c:lblOffset val="100"/>
        <c:noMultiLvlLbl val="0"/>
      </c:catAx>
      <c:valAx>
        <c:axId val="141550144"/>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41901824"/>
        <c:crosses val="autoZero"/>
        <c:crossBetween val="between"/>
      </c:valAx>
      <c:spPr>
        <a:solidFill>
          <a:schemeClr val="accent4">
            <a:lumMod val="20000"/>
            <a:lumOff val="80000"/>
          </a:schemeClr>
        </a:solidFill>
      </c:spPr>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n-US" sz="1600"/>
              <a:t>AVANCE METAS SECTOR D. RURAL</a:t>
            </a:r>
            <a:r>
              <a:rPr lang="en-US" sz="1600" baseline="0"/>
              <a:t> /</a:t>
            </a:r>
            <a:r>
              <a:rPr lang="en-US" sz="1600"/>
              <a:t>AGROPECUARIO 2017</a:t>
            </a:r>
          </a:p>
        </c:rich>
      </c:tx>
      <c:layout>
        <c:manualLayout>
          <c:xMode val="edge"/>
          <c:yMode val="edge"/>
          <c:x val="0.14127654582233673"/>
          <c:y val="0"/>
        </c:manualLayout>
      </c:layout>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2016'!$C$13</c:f>
              <c:strCache>
                <c:ptCount val="1"/>
                <c:pt idx="0">
                  <c:v>Agropecuario</c:v>
                </c:pt>
              </c:strCache>
            </c:strRef>
          </c:cat>
          <c:val>
            <c:numRef>
              <c:f>'TABLERO 2016'!$D$13</c:f>
            </c:numRef>
          </c:val>
          <c:extLst xmlns:c16r2="http://schemas.microsoft.com/office/drawing/2015/06/chart">
            <c:ext xmlns:c16="http://schemas.microsoft.com/office/drawing/2014/chart" uri="{C3380CC4-5D6E-409C-BE32-E72D297353CC}">
              <c16:uniqueId val="{00000000-B753-46BC-88D5-D3ABCC27257B}"/>
            </c:ext>
          </c:extLst>
        </c:ser>
        <c:ser>
          <c:idx val="1"/>
          <c:order val="1"/>
          <c:tx>
            <c:strRef>
              <c:f>'TABLERO 2019'!$D$8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2019'!$C$16</c:f>
              <c:strCache>
                <c:ptCount val="1"/>
                <c:pt idx="0">
                  <c:v>Agropecuario</c:v>
                </c:pt>
              </c:strCache>
            </c:strRef>
          </c:cat>
          <c:val>
            <c:numRef>
              <c:f>'TABLERO 2019'!$D$16</c:f>
              <c:numCache>
                <c:formatCode>General</c:formatCode>
                <c:ptCount val="1"/>
                <c:pt idx="0">
                  <c:v>31</c:v>
                </c:pt>
              </c:numCache>
            </c:numRef>
          </c:val>
          <c:extLst xmlns:c16r2="http://schemas.microsoft.com/office/drawing/2015/06/chart">
            <c:ext xmlns:c16="http://schemas.microsoft.com/office/drawing/2014/chart" uri="{C3380CC4-5D6E-409C-BE32-E72D297353CC}">
              <c16:uniqueId val="{00000001-B753-46BC-88D5-D3ABCC27257B}"/>
            </c:ext>
          </c:extLst>
        </c:ser>
        <c:ser>
          <c:idx val="2"/>
          <c:order val="2"/>
          <c:tx>
            <c:strRef>
              <c:f>'TABLERO 2019'!$E$8</c:f>
              <c:strCache>
                <c:ptCount val="1"/>
                <c:pt idx="0">
                  <c:v>PROGRAMADAS 2019</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2019'!$C$16</c:f>
              <c:strCache>
                <c:ptCount val="1"/>
                <c:pt idx="0">
                  <c:v>Agropecuario</c:v>
                </c:pt>
              </c:strCache>
            </c:strRef>
          </c:cat>
          <c:val>
            <c:numRef>
              <c:f>'TABLERO 2019'!$E$16</c:f>
              <c:numCache>
                <c:formatCode>General</c:formatCode>
                <c:ptCount val="1"/>
                <c:pt idx="0">
                  <c:v>26</c:v>
                </c:pt>
              </c:numCache>
            </c:numRef>
          </c:val>
          <c:extLst xmlns:c16r2="http://schemas.microsoft.com/office/drawing/2015/06/chart">
            <c:ext xmlns:c16="http://schemas.microsoft.com/office/drawing/2014/chart" uri="{C3380CC4-5D6E-409C-BE32-E72D297353CC}">
              <c16:uniqueId val="{00000002-B753-46BC-88D5-D3ABCC27257B}"/>
            </c:ext>
          </c:extLst>
        </c:ser>
        <c:ser>
          <c:idx val="3"/>
          <c:order val="3"/>
          <c:tx>
            <c:strRef>
              <c:f>'TABLERO 2019'!$F$8</c:f>
              <c:strCache>
                <c:ptCount val="1"/>
                <c:pt idx="0">
                  <c:v>VE</c:v>
                </c:pt>
              </c:strCache>
            </c:strRef>
          </c:tx>
          <c:spPr>
            <a:solidFill>
              <a:srgbClr val="FFFF00"/>
            </a:solidFill>
          </c:spPr>
          <c:invertIfNegative val="0"/>
          <c:dPt>
            <c:idx val="0"/>
            <c:invertIfNegative val="0"/>
            <c:bubble3D val="0"/>
            <c:spPr>
              <a:solidFill>
                <a:srgbClr val="92D050"/>
              </a:solidFill>
            </c:spPr>
            <c:extLst xmlns:c16r2="http://schemas.microsoft.com/office/drawing/2015/06/chart">
              <c:ext xmlns:c16="http://schemas.microsoft.com/office/drawing/2014/chart" uri="{C3380CC4-5D6E-409C-BE32-E72D297353CC}">
                <c16:uniqueId val="{00000004-B753-46BC-88D5-D3ABCC27257B}"/>
              </c:ext>
            </c:extLst>
          </c:dPt>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2019'!$C$16</c:f>
              <c:strCache>
                <c:ptCount val="1"/>
                <c:pt idx="0">
                  <c:v>Agropecuario</c:v>
                </c:pt>
              </c:strCache>
            </c:strRef>
          </c:cat>
          <c:val>
            <c:numRef>
              <c:f>'TABLERO 2019'!$F$16</c:f>
              <c:numCache>
                <c:formatCode>General</c:formatCode>
                <c:ptCount val="1"/>
                <c:pt idx="0">
                  <c:v>16</c:v>
                </c:pt>
              </c:numCache>
            </c:numRef>
          </c:val>
          <c:extLst xmlns:c16r2="http://schemas.microsoft.com/office/drawing/2015/06/chart">
            <c:ext xmlns:c16="http://schemas.microsoft.com/office/drawing/2014/chart" uri="{C3380CC4-5D6E-409C-BE32-E72D297353CC}">
              <c16:uniqueId val="{00000005-B753-46BC-88D5-D3ABCC27257B}"/>
            </c:ext>
          </c:extLst>
        </c:ser>
        <c:ser>
          <c:idx val="4"/>
          <c:order val="4"/>
          <c:tx>
            <c:strRef>
              <c:f>'TABLERO 2019'!$H$8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2019'!$C$16</c:f>
              <c:strCache>
                <c:ptCount val="1"/>
                <c:pt idx="0">
                  <c:v>Agropecuario</c:v>
                </c:pt>
              </c:strCache>
            </c:strRef>
          </c:cat>
          <c:val>
            <c:numRef>
              <c:f>'TABLERO 2019'!$H$16</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B753-46BC-88D5-D3ABCC27257B}"/>
            </c:ext>
          </c:extLst>
        </c:ser>
        <c:ser>
          <c:idx val="5"/>
          <c:order val="5"/>
          <c:tx>
            <c:strRef>
              <c:f>'TABLERO 2019'!$J$8</c:f>
              <c:strCache>
                <c:ptCount val="1"/>
                <c:pt idx="0">
                  <c:v>RO</c:v>
                </c:pt>
              </c:strCache>
            </c:strRef>
          </c:tx>
          <c:invertIfNegative val="0"/>
          <c:cat>
            <c:strRef>
              <c:f>'TABLERO 2019'!$C$16</c:f>
              <c:strCache>
                <c:ptCount val="1"/>
                <c:pt idx="0">
                  <c:v>Agropecuario</c:v>
                </c:pt>
              </c:strCache>
            </c:strRef>
          </c:cat>
          <c:val>
            <c:numRef>
              <c:f>'TABLERO 2019'!$J$16</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7-B753-46BC-88D5-D3ABCC27257B}"/>
            </c:ext>
          </c:extLst>
        </c:ser>
        <c:ser>
          <c:idx val="6"/>
          <c:order val="6"/>
          <c:tx>
            <c:strRef>
              <c:f>'TABLERO 2019'!$L$8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2019'!$C$16</c:f>
              <c:strCache>
                <c:ptCount val="1"/>
                <c:pt idx="0">
                  <c:v>Agropecuario</c:v>
                </c:pt>
              </c:strCache>
            </c:strRef>
          </c:cat>
          <c:val>
            <c:numRef>
              <c:f>'TABLERO 2019'!$L$16</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8-B753-46BC-88D5-D3ABCC27257B}"/>
            </c:ext>
          </c:extLst>
        </c:ser>
        <c:dLbls>
          <c:showLegendKey val="0"/>
          <c:showVal val="0"/>
          <c:showCatName val="0"/>
          <c:showSerName val="0"/>
          <c:showPercent val="0"/>
          <c:showBubbleSize val="0"/>
        </c:dLbls>
        <c:gapWidth val="75"/>
        <c:overlap val="-25"/>
        <c:axId val="185294336"/>
        <c:axId val="141552448"/>
      </c:barChart>
      <c:catAx>
        <c:axId val="185294336"/>
        <c:scaling>
          <c:orientation val="minMax"/>
        </c:scaling>
        <c:delete val="0"/>
        <c:axPos val="b"/>
        <c:numFmt formatCode="General" sourceLinked="0"/>
        <c:majorTickMark val="none"/>
        <c:minorTickMark val="none"/>
        <c:tickLblPos val="nextTo"/>
        <c:txPr>
          <a:bodyPr/>
          <a:lstStyle/>
          <a:p>
            <a:pPr>
              <a:defRPr lang="es-ES"/>
            </a:pPr>
            <a:endParaRPr lang="es-CO"/>
          </a:p>
        </c:txPr>
        <c:crossAx val="141552448"/>
        <c:crosses val="autoZero"/>
        <c:auto val="1"/>
        <c:lblAlgn val="ctr"/>
        <c:lblOffset val="100"/>
        <c:noMultiLvlLbl val="0"/>
      </c:catAx>
      <c:valAx>
        <c:axId val="141552448"/>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5294336"/>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a:t>
            </a:r>
            <a:r>
              <a:rPr lang="es-CO" sz="1600" baseline="0"/>
              <a:t> METAS SECTOR TRANSPORTE  2017</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2016'!$C$14</c:f>
              <c:strCache>
                <c:ptCount val="1"/>
                <c:pt idx="0">
                  <c:v>Transporte</c:v>
                </c:pt>
              </c:strCache>
            </c:strRef>
          </c:cat>
          <c:val>
            <c:numRef>
              <c:f>'TABLERO 2016'!$D$14</c:f>
            </c:numRef>
          </c:val>
          <c:extLst xmlns:c16r2="http://schemas.microsoft.com/office/drawing/2015/06/chart">
            <c:ext xmlns:c16="http://schemas.microsoft.com/office/drawing/2014/chart" uri="{C3380CC4-5D6E-409C-BE32-E72D297353CC}">
              <c16:uniqueId val="{00000000-D3E2-47DB-A553-88F09EFFB2F0}"/>
            </c:ext>
          </c:extLst>
        </c:ser>
        <c:ser>
          <c:idx val="1"/>
          <c:order val="1"/>
          <c:tx>
            <c:strRef>
              <c:f>'TABLERO 2019'!$D$8</c:f>
              <c:strCache>
                <c:ptCount val="1"/>
                <c:pt idx="0">
                  <c:v>TOTAL METAS</c:v>
                </c:pt>
              </c:strCache>
            </c:strRef>
          </c:tx>
          <c:spPr>
            <a:solidFill>
              <a:srgbClr val="0066FF"/>
            </a:solidFill>
          </c:spPr>
          <c:invertIfNegative val="0"/>
          <c:dLbls>
            <c:dLbl>
              <c:idx val="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3E2-47DB-A553-88F09EFFB2F0}"/>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'TABLERO 2019'!$C$17</c:f>
              <c:strCache>
                <c:ptCount val="1"/>
                <c:pt idx="0">
                  <c:v>Transporte</c:v>
                </c:pt>
              </c:strCache>
            </c:strRef>
          </c:cat>
          <c:val>
            <c:numRef>
              <c:f>'TABLERO 2019'!$D$17</c:f>
              <c:numCache>
                <c:formatCode>General</c:formatCode>
                <c:ptCount val="1"/>
                <c:pt idx="0">
                  <c:v>21</c:v>
                </c:pt>
              </c:numCache>
            </c:numRef>
          </c:val>
          <c:extLst xmlns:c16r2="http://schemas.microsoft.com/office/drawing/2015/06/chart">
            <c:ext xmlns:c16="http://schemas.microsoft.com/office/drawing/2014/chart" uri="{C3380CC4-5D6E-409C-BE32-E72D297353CC}">
              <c16:uniqueId val="{00000002-D3E2-47DB-A553-88F09EFFB2F0}"/>
            </c:ext>
          </c:extLst>
        </c:ser>
        <c:ser>
          <c:idx val="2"/>
          <c:order val="2"/>
          <c:tx>
            <c:strRef>
              <c:f>'TABLERO 2019'!$E$8</c:f>
              <c:strCache>
                <c:ptCount val="1"/>
                <c:pt idx="0">
                  <c:v>PROGRAMADAS 2019</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2019'!$C$17</c:f>
              <c:strCache>
                <c:ptCount val="1"/>
                <c:pt idx="0">
                  <c:v>Transporte</c:v>
                </c:pt>
              </c:strCache>
            </c:strRef>
          </c:cat>
          <c:val>
            <c:numRef>
              <c:f>'TABLERO 2019'!$E$17</c:f>
              <c:numCache>
                <c:formatCode>General</c:formatCode>
                <c:ptCount val="1"/>
                <c:pt idx="0">
                  <c:v>18</c:v>
                </c:pt>
              </c:numCache>
            </c:numRef>
          </c:val>
          <c:extLst xmlns:c16r2="http://schemas.microsoft.com/office/drawing/2015/06/chart">
            <c:ext xmlns:c16="http://schemas.microsoft.com/office/drawing/2014/chart" uri="{C3380CC4-5D6E-409C-BE32-E72D297353CC}">
              <c16:uniqueId val="{00000003-D3E2-47DB-A553-88F09EFFB2F0}"/>
            </c:ext>
          </c:extLst>
        </c:ser>
        <c:ser>
          <c:idx val="3"/>
          <c:order val="3"/>
          <c:tx>
            <c:strRef>
              <c:f>'TABLERO 2019'!$F$8</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2019'!$C$17</c:f>
              <c:strCache>
                <c:ptCount val="1"/>
                <c:pt idx="0">
                  <c:v>Transporte</c:v>
                </c:pt>
              </c:strCache>
            </c:strRef>
          </c:cat>
          <c:val>
            <c:numRef>
              <c:f>'TABLERO 2019'!$F$17</c:f>
              <c:numCache>
                <c:formatCode>General</c:formatCode>
                <c:ptCount val="1"/>
                <c:pt idx="0">
                  <c:v>14</c:v>
                </c:pt>
              </c:numCache>
            </c:numRef>
          </c:val>
          <c:extLst xmlns:c16r2="http://schemas.microsoft.com/office/drawing/2015/06/chart">
            <c:ext xmlns:c16="http://schemas.microsoft.com/office/drawing/2014/chart" uri="{C3380CC4-5D6E-409C-BE32-E72D297353CC}">
              <c16:uniqueId val="{00000004-D3E2-47DB-A553-88F09EFFB2F0}"/>
            </c:ext>
          </c:extLst>
        </c:ser>
        <c:ser>
          <c:idx val="4"/>
          <c:order val="4"/>
          <c:tx>
            <c:strRef>
              <c:f>'TABLERO 2019'!$H$8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2019'!$C$17</c:f>
              <c:strCache>
                <c:ptCount val="1"/>
                <c:pt idx="0">
                  <c:v>Transporte</c:v>
                </c:pt>
              </c:strCache>
            </c:strRef>
          </c:cat>
          <c:val>
            <c:numRef>
              <c:f>'TABLERO 2019'!$H$17</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D3E2-47DB-A553-88F09EFFB2F0}"/>
            </c:ext>
          </c:extLst>
        </c:ser>
        <c:ser>
          <c:idx val="5"/>
          <c:order val="5"/>
          <c:tx>
            <c:strRef>
              <c:f>'TABLERO 2019'!$J$8</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2019'!$C$17</c:f>
              <c:strCache>
                <c:ptCount val="1"/>
                <c:pt idx="0">
                  <c:v>Transporte</c:v>
                </c:pt>
              </c:strCache>
            </c:strRef>
          </c:cat>
          <c:val>
            <c:numRef>
              <c:f>'TABLERO 2019'!$J$17</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D3E2-47DB-A553-88F09EFFB2F0}"/>
            </c:ext>
          </c:extLst>
        </c:ser>
        <c:ser>
          <c:idx val="6"/>
          <c:order val="6"/>
          <c:tx>
            <c:strRef>
              <c:f>'TABLERO 2019'!$L$8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2019'!$C$17</c:f>
              <c:strCache>
                <c:ptCount val="1"/>
                <c:pt idx="0">
                  <c:v>Transporte</c:v>
                </c:pt>
              </c:strCache>
            </c:strRef>
          </c:cat>
          <c:val>
            <c:numRef>
              <c:f>'TABLERO 2019'!$L$17</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7-D3E2-47DB-A553-88F09EFFB2F0}"/>
            </c:ext>
          </c:extLst>
        </c:ser>
        <c:dLbls>
          <c:showLegendKey val="0"/>
          <c:showVal val="0"/>
          <c:showCatName val="0"/>
          <c:showSerName val="0"/>
          <c:showPercent val="0"/>
          <c:showBubbleSize val="0"/>
        </c:dLbls>
        <c:gapWidth val="75"/>
        <c:overlap val="-25"/>
        <c:axId val="141903872"/>
        <c:axId val="141554752"/>
      </c:barChart>
      <c:catAx>
        <c:axId val="141903872"/>
        <c:scaling>
          <c:orientation val="minMax"/>
        </c:scaling>
        <c:delete val="0"/>
        <c:axPos val="b"/>
        <c:numFmt formatCode="General" sourceLinked="0"/>
        <c:majorTickMark val="none"/>
        <c:minorTickMark val="none"/>
        <c:tickLblPos val="nextTo"/>
        <c:txPr>
          <a:bodyPr/>
          <a:lstStyle/>
          <a:p>
            <a:pPr>
              <a:defRPr lang="es-ES"/>
            </a:pPr>
            <a:endParaRPr lang="es-CO"/>
          </a:p>
        </c:txPr>
        <c:crossAx val="141554752"/>
        <c:crosses val="autoZero"/>
        <c:auto val="1"/>
        <c:lblAlgn val="ctr"/>
        <c:lblOffset val="100"/>
        <c:noMultiLvlLbl val="0"/>
      </c:catAx>
      <c:valAx>
        <c:axId val="141554752"/>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41903872"/>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a:pPr>
            <a:r>
              <a:rPr lang="es-CO" sz="1600"/>
              <a:t>AVANCE</a:t>
            </a:r>
            <a:r>
              <a:rPr lang="es-CO" sz="1600" baseline="0"/>
              <a:t> METAS SECTOR AMBIENTAL 2017</a:t>
            </a:r>
            <a:endParaRPr lang="es-CO" sz="1600"/>
          </a:p>
        </c:rich>
      </c:tx>
      <c:layout>
        <c:manualLayout>
          <c:xMode val="edge"/>
          <c:yMode val="edge"/>
          <c:x val="0.10081295307132583"/>
          <c:y val="3.2090601622975876E-2"/>
        </c:manualLayout>
      </c:layout>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2016'!$C$15</c:f>
              <c:strCache>
                <c:ptCount val="1"/>
                <c:pt idx="0">
                  <c:v>Ambiental</c:v>
                </c:pt>
              </c:strCache>
            </c:strRef>
          </c:cat>
          <c:val>
            <c:numRef>
              <c:f>'TABLERO 2016'!$D$15</c:f>
            </c:numRef>
          </c:val>
          <c:extLst xmlns:c16r2="http://schemas.microsoft.com/office/drawing/2015/06/chart">
            <c:ext xmlns:c16="http://schemas.microsoft.com/office/drawing/2014/chart" uri="{C3380CC4-5D6E-409C-BE32-E72D297353CC}">
              <c16:uniqueId val="{00000000-9185-4C98-84B5-6C264DA71215}"/>
            </c:ext>
          </c:extLst>
        </c:ser>
        <c:ser>
          <c:idx val="1"/>
          <c:order val="1"/>
          <c:tx>
            <c:strRef>
              <c:f>'TABLERO 2019'!$D$8</c:f>
              <c:strCache>
                <c:ptCount val="1"/>
                <c:pt idx="0">
                  <c:v>TOTAL METAS</c:v>
                </c:pt>
              </c:strCache>
            </c:strRef>
          </c:tx>
          <c:spPr>
            <a:solidFill>
              <a:srgbClr val="0066FF"/>
            </a:solidFill>
          </c:spPr>
          <c:invertIfNegative val="0"/>
          <c:cat>
            <c:strRef>
              <c:f>'TABLERO 2019'!$C$18</c:f>
              <c:strCache>
                <c:ptCount val="1"/>
                <c:pt idx="0">
                  <c:v>Ambiental</c:v>
                </c:pt>
              </c:strCache>
            </c:strRef>
          </c:cat>
          <c:val>
            <c:numRef>
              <c:f>'TABLERO 2019'!$D$18</c:f>
              <c:numCache>
                <c:formatCode>General</c:formatCode>
                <c:ptCount val="1"/>
                <c:pt idx="0">
                  <c:v>31</c:v>
                </c:pt>
              </c:numCache>
            </c:numRef>
          </c:val>
          <c:extLst xmlns:c16r2="http://schemas.microsoft.com/office/drawing/2015/06/chart">
            <c:ext xmlns:c16="http://schemas.microsoft.com/office/drawing/2014/chart" uri="{C3380CC4-5D6E-409C-BE32-E72D297353CC}">
              <c16:uniqueId val="{00000001-9185-4C98-84B5-6C264DA71215}"/>
            </c:ext>
          </c:extLst>
        </c:ser>
        <c:ser>
          <c:idx val="2"/>
          <c:order val="2"/>
          <c:tx>
            <c:strRef>
              <c:f>'TABLERO 2019'!$E$8</c:f>
              <c:strCache>
                <c:ptCount val="1"/>
                <c:pt idx="0">
                  <c:v>PROGRAMADAS 2019</c:v>
                </c:pt>
              </c:strCache>
            </c:strRef>
          </c:tx>
          <c:spPr>
            <a:solidFill>
              <a:schemeClr val="accent5">
                <a:lumMod val="75000"/>
              </a:schemeClr>
            </a:solidFill>
          </c:spPr>
          <c:invertIfNegative val="0"/>
          <c:cat>
            <c:strRef>
              <c:f>'TABLERO 2019'!$C$18</c:f>
              <c:strCache>
                <c:ptCount val="1"/>
                <c:pt idx="0">
                  <c:v>Ambiental</c:v>
                </c:pt>
              </c:strCache>
            </c:strRef>
          </c:cat>
          <c:val>
            <c:numRef>
              <c:f>'TABLERO 2019'!$E$18</c:f>
              <c:numCache>
                <c:formatCode>General</c:formatCode>
                <c:ptCount val="1"/>
                <c:pt idx="0">
                  <c:v>24</c:v>
                </c:pt>
              </c:numCache>
            </c:numRef>
          </c:val>
          <c:extLst xmlns:c16r2="http://schemas.microsoft.com/office/drawing/2015/06/chart">
            <c:ext xmlns:c16="http://schemas.microsoft.com/office/drawing/2014/chart" uri="{C3380CC4-5D6E-409C-BE32-E72D297353CC}">
              <c16:uniqueId val="{00000002-9185-4C98-84B5-6C264DA71215}"/>
            </c:ext>
          </c:extLst>
        </c:ser>
        <c:ser>
          <c:idx val="3"/>
          <c:order val="3"/>
          <c:tx>
            <c:strRef>
              <c:f>'TABLERO 2019'!$F$8</c:f>
              <c:strCache>
                <c:ptCount val="1"/>
                <c:pt idx="0">
                  <c:v>VE</c:v>
                </c:pt>
              </c:strCache>
            </c:strRef>
          </c:tx>
          <c:spPr>
            <a:solidFill>
              <a:srgbClr val="92D050"/>
            </a:solidFill>
          </c:spPr>
          <c:invertIfNegative val="0"/>
          <c:cat>
            <c:strRef>
              <c:f>'TABLERO 2019'!$C$18</c:f>
              <c:strCache>
                <c:ptCount val="1"/>
                <c:pt idx="0">
                  <c:v>Ambiental</c:v>
                </c:pt>
              </c:strCache>
            </c:strRef>
          </c:cat>
          <c:val>
            <c:numRef>
              <c:f>'TABLERO 2019'!$F$18</c:f>
              <c:numCache>
                <c:formatCode>General</c:formatCode>
                <c:ptCount val="1"/>
                <c:pt idx="0">
                  <c:v>17</c:v>
                </c:pt>
              </c:numCache>
            </c:numRef>
          </c:val>
          <c:extLst xmlns:c16r2="http://schemas.microsoft.com/office/drawing/2015/06/chart">
            <c:ext xmlns:c16="http://schemas.microsoft.com/office/drawing/2014/chart" uri="{C3380CC4-5D6E-409C-BE32-E72D297353CC}">
              <c16:uniqueId val="{00000003-9185-4C98-84B5-6C264DA71215}"/>
            </c:ext>
          </c:extLst>
        </c:ser>
        <c:ser>
          <c:idx val="4"/>
          <c:order val="4"/>
          <c:tx>
            <c:strRef>
              <c:f>'TABLERO 2019'!$H$8</c:f>
              <c:strCache>
                <c:ptCount val="1"/>
                <c:pt idx="0">
                  <c:v>AM</c:v>
                </c:pt>
              </c:strCache>
            </c:strRef>
          </c:tx>
          <c:spPr>
            <a:solidFill>
              <a:srgbClr val="FFFF00"/>
            </a:solidFill>
          </c:spPr>
          <c:invertIfNegative val="0"/>
          <c:cat>
            <c:strRef>
              <c:f>'TABLERO 2019'!$C$18</c:f>
              <c:strCache>
                <c:ptCount val="1"/>
                <c:pt idx="0">
                  <c:v>Ambiental</c:v>
                </c:pt>
              </c:strCache>
            </c:strRef>
          </c:cat>
          <c:val>
            <c:numRef>
              <c:f>'TABLERO 2019'!$H$18</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9185-4C98-84B5-6C264DA71215}"/>
            </c:ext>
          </c:extLst>
        </c:ser>
        <c:ser>
          <c:idx val="5"/>
          <c:order val="5"/>
          <c:tx>
            <c:strRef>
              <c:f>'TABLERO 2019'!$J$8</c:f>
              <c:strCache>
                <c:ptCount val="1"/>
                <c:pt idx="0">
                  <c:v>RO</c:v>
                </c:pt>
              </c:strCache>
            </c:strRef>
          </c:tx>
          <c:invertIfNegative val="0"/>
          <c:cat>
            <c:strRef>
              <c:f>'TABLERO 2019'!$C$18</c:f>
              <c:strCache>
                <c:ptCount val="1"/>
                <c:pt idx="0">
                  <c:v>Ambiental</c:v>
                </c:pt>
              </c:strCache>
            </c:strRef>
          </c:cat>
          <c:val>
            <c:numRef>
              <c:f>'TABLERO 2019'!$J$18</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9185-4C98-84B5-6C264DA71215}"/>
            </c:ext>
          </c:extLst>
        </c:ser>
        <c:ser>
          <c:idx val="6"/>
          <c:order val="6"/>
          <c:tx>
            <c:strRef>
              <c:f>'TABLERO 2019'!$L$8</c:f>
              <c:strCache>
                <c:ptCount val="1"/>
                <c:pt idx="0">
                  <c:v>AZ</c:v>
                </c:pt>
              </c:strCache>
            </c:strRef>
          </c:tx>
          <c:spPr>
            <a:solidFill>
              <a:srgbClr val="00B0F0"/>
            </a:solidFill>
          </c:spPr>
          <c:invertIfNegative val="0"/>
          <c:cat>
            <c:strRef>
              <c:f>'TABLERO 2019'!$C$18</c:f>
              <c:strCache>
                <c:ptCount val="1"/>
                <c:pt idx="0">
                  <c:v>Ambiental</c:v>
                </c:pt>
              </c:strCache>
            </c:strRef>
          </c:cat>
          <c:val>
            <c:numRef>
              <c:f>'TABLERO 2019'!$L$18</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9185-4C98-84B5-6C264DA71215}"/>
            </c:ext>
          </c:extLst>
        </c:ser>
        <c:dLbls>
          <c:showLegendKey val="0"/>
          <c:showVal val="0"/>
          <c:showCatName val="0"/>
          <c:showSerName val="0"/>
          <c:showPercent val="0"/>
          <c:showBubbleSize val="0"/>
        </c:dLbls>
        <c:gapWidth val="75"/>
        <c:overlap val="-25"/>
        <c:axId val="142548992"/>
        <c:axId val="141557056"/>
      </c:barChart>
      <c:catAx>
        <c:axId val="142548992"/>
        <c:scaling>
          <c:orientation val="minMax"/>
        </c:scaling>
        <c:delete val="0"/>
        <c:axPos val="b"/>
        <c:numFmt formatCode="General" sourceLinked="0"/>
        <c:majorTickMark val="none"/>
        <c:minorTickMark val="none"/>
        <c:tickLblPos val="nextTo"/>
        <c:txPr>
          <a:bodyPr/>
          <a:lstStyle/>
          <a:p>
            <a:pPr>
              <a:defRPr lang="es-ES"/>
            </a:pPr>
            <a:endParaRPr lang="es-CO"/>
          </a:p>
        </c:txPr>
        <c:crossAx val="141557056"/>
        <c:crosses val="autoZero"/>
        <c:auto val="1"/>
        <c:lblAlgn val="ctr"/>
        <c:lblOffset val="100"/>
        <c:noMultiLvlLbl val="0"/>
      </c:catAx>
      <c:valAx>
        <c:axId val="141557056"/>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42548992"/>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VIVIENDA 2016</a:t>
            </a:r>
          </a:p>
        </c:rich>
      </c:tx>
      <c:overlay val="0"/>
    </c:title>
    <c:autoTitleDeleted val="0"/>
    <c:plotArea>
      <c:layout>
        <c:manualLayout>
          <c:layoutTarget val="inner"/>
          <c:xMode val="edge"/>
          <c:yMode val="edge"/>
          <c:x val="5.8099518810148756E-2"/>
          <c:y val="0.21126166520851555"/>
          <c:w val="0.89745603674540686"/>
          <c:h val="0.58904126567512394"/>
        </c:manualLayout>
      </c:layout>
      <c:barChart>
        <c:barDir val="col"/>
        <c:grouping val="clustered"/>
        <c:varyColors val="0"/>
        <c:ser>
          <c:idx val="0"/>
          <c:order val="0"/>
          <c:tx>
            <c:strRef>
              <c:f>'TABLERO 2016'!$D$5</c:f>
              <c:strCache>
                <c:ptCount val="1"/>
                <c:pt idx="0">
                  <c:v>MR</c:v>
                </c:pt>
              </c:strCache>
            </c:strRef>
          </c:tx>
          <c:invertIfNegative val="0"/>
          <c:cat>
            <c:strRef>
              <c:f>'TABLERO 2016'!$C$12</c:f>
              <c:strCache>
                <c:ptCount val="1"/>
                <c:pt idx="0">
                  <c:v>Vivienda</c:v>
                </c:pt>
              </c:strCache>
            </c:strRef>
          </c:cat>
          <c:val>
            <c:numRef>
              <c:f>'TABLERO 2016'!$D$12</c:f>
            </c:numRef>
          </c:val>
          <c:extLst xmlns:c16r2="http://schemas.microsoft.com/office/drawing/2015/06/chart">
            <c:ext xmlns:c16="http://schemas.microsoft.com/office/drawing/2014/chart" uri="{C3380CC4-5D6E-409C-BE32-E72D297353CC}">
              <c16:uniqueId val="{00000000-D7B4-471A-82C4-1CA71C94378B}"/>
            </c:ext>
          </c:extLst>
        </c:ser>
        <c:ser>
          <c:idx val="1"/>
          <c:order val="1"/>
          <c:tx>
            <c:strRef>
              <c:f>'TABLERO 2016'!$E$5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2016'!$C$12</c:f>
              <c:strCache>
                <c:ptCount val="1"/>
                <c:pt idx="0">
                  <c:v>Vivienda</c:v>
                </c:pt>
              </c:strCache>
            </c:strRef>
          </c:cat>
          <c:val>
            <c:numRef>
              <c:f>'TABLERO 2016'!$E$12</c:f>
              <c:numCache>
                <c:formatCode>General</c:formatCode>
                <c:ptCount val="1"/>
                <c:pt idx="0">
                  <c:v>9</c:v>
                </c:pt>
              </c:numCache>
            </c:numRef>
          </c:val>
          <c:extLst xmlns:c16r2="http://schemas.microsoft.com/office/drawing/2015/06/chart">
            <c:ext xmlns:c16="http://schemas.microsoft.com/office/drawing/2014/chart" uri="{C3380CC4-5D6E-409C-BE32-E72D297353CC}">
              <c16:uniqueId val="{00000001-D7B4-471A-82C4-1CA71C94378B}"/>
            </c:ext>
          </c:extLst>
        </c:ser>
        <c:ser>
          <c:idx val="2"/>
          <c:order val="2"/>
          <c:tx>
            <c:strRef>
              <c:f>'TABLERO 2016'!$F$5</c:f>
              <c:strCache>
                <c:ptCount val="1"/>
                <c:pt idx="0">
                  <c:v>PROGRAMADAS 2016</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2016'!$C$12</c:f>
              <c:strCache>
                <c:ptCount val="1"/>
                <c:pt idx="0">
                  <c:v>Vivienda</c:v>
                </c:pt>
              </c:strCache>
            </c:strRef>
          </c:cat>
          <c:val>
            <c:numRef>
              <c:f>'TABLERO 2016'!$F$12</c:f>
              <c:numCache>
                <c:formatCode>General</c:formatCode>
                <c:ptCount val="1"/>
                <c:pt idx="0">
                  <c:v>5</c:v>
                </c:pt>
              </c:numCache>
            </c:numRef>
          </c:val>
          <c:extLst xmlns:c16r2="http://schemas.microsoft.com/office/drawing/2015/06/chart">
            <c:ext xmlns:c16="http://schemas.microsoft.com/office/drawing/2014/chart" uri="{C3380CC4-5D6E-409C-BE32-E72D297353CC}">
              <c16:uniqueId val="{00000002-D7B4-471A-82C4-1CA71C94378B}"/>
            </c:ext>
          </c:extLst>
        </c:ser>
        <c:ser>
          <c:idx val="3"/>
          <c:order val="3"/>
          <c:tx>
            <c:strRef>
              <c:f>'TABLERO 2016'!$G$5</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2016'!$C$12</c:f>
              <c:strCache>
                <c:ptCount val="1"/>
                <c:pt idx="0">
                  <c:v>Vivienda</c:v>
                </c:pt>
              </c:strCache>
            </c:strRef>
          </c:cat>
          <c:val>
            <c:numRef>
              <c:f>'TABLERO 2016'!$G$12</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3-D7B4-471A-82C4-1CA71C94378B}"/>
            </c:ext>
          </c:extLst>
        </c:ser>
        <c:ser>
          <c:idx val="4"/>
          <c:order val="4"/>
          <c:tx>
            <c:strRef>
              <c:f>'TABLERO 2016'!$H$5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2016'!$C$12</c:f>
              <c:strCache>
                <c:ptCount val="1"/>
                <c:pt idx="0">
                  <c:v>Vivienda</c:v>
                </c:pt>
              </c:strCache>
            </c:strRef>
          </c:cat>
          <c:val>
            <c:numRef>
              <c:f>'TABLERO 2016'!$H$12</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4-D7B4-471A-82C4-1CA71C94378B}"/>
            </c:ext>
          </c:extLst>
        </c:ser>
        <c:ser>
          <c:idx val="5"/>
          <c:order val="5"/>
          <c:tx>
            <c:strRef>
              <c:f>'TABLERO 2016'!$I$5</c:f>
              <c:strCache>
                <c:ptCount val="1"/>
                <c:pt idx="0">
                  <c:v>RO</c:v>
                </c:pt>
              </c:strCache>
            </c:strRef>
          </c:tx>
          <c:invertIfNegative val="0"/>
          <c:cat>
            <c:strRef>
              <c:f>'TABLERO 2016'!$C$12</c:f>
              <c:strCache>
                <c:ptCount val="1"/>
                <c:pt idx="0">
                  <c:v>Vivienda</c:v>
                </c:pt>
              </c:strCache>
            </c:strRef>
          </c:cat>
          <c:val>
            <c:numRef>
              <c:f>'TABLERO 2016'!$I$12</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5-D7B4-471A-82C4-1CA71C94378B}"/>
            </c:ext>
          </c:extLst>
        </c:ser>
        <c:ser>
          <c:idx val="6"/>
          <c:order val="6"/>
          <c:tx>
            <c:strRef>
              <c:f>'TABLERO 2016'!$J$5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2016'!$C$12</c:f>
              <c:strCache>
                <c:ptCount val="1"/>
                <c:pt idx="0">
                  <c:v>Vivienda</c:v>
                </c:pt>
              </c:strCache>
            </c:strRef>
          </c:cat>
          <c:val>
            <c:numRef>
              <c:f>'TABLERO 2016'!$J$12</c:f>
              <c:numCache>
                <c:formatCode>General</c:formatCode>
                <c:ptCount val="1"/>
                <c:pt idx="0">
                  <c:v>4</c:v>
                </c:pt>
              </c:numCache>
            </c:numRef>
          </c:val>
          <c:extLst xmlns:c16r2="http://schemas.microsoft.com/office/drawing/2015/06/chart">
            <c:ext xmlns:c16="http://schemas.microsoft.com/office/drawing/2014/chart" uri="{C3380CC4-5D6E-409C-BE32-E72D297353CC}">
              <c16:uniqueId val="{00000006-D7B4-471A-82C4-1CA71C94378B}"/>
            </c:ext>
          </c:extLst>
        </c:ser>
        <c:dLbls>
          <c:showLegendKey val="0"/>
          <c:showVal val="0"/>
          <c:showCatName val="0"/>
          <c:showSerName val="0"/>
          <c:showPercent val="0"/>
          <c:showBubbleSize val="0"/>
        </c:dLbls>
        <c:gapWidth val="75"/>
        <c:overlap val="-25"/>
        <c:axId val="175283200"/>
        <c:axId val="175387136"/>
      </c:barChart>
      <c:catAx>
        <c:axId val="175283200"/>
        <c:scaling>
          <c:orientation val="minMax"/>
        </c:scaling>
        <c:delete val="0"/>
        <c:axPos val="b"/>
        <c:numFmt formatCode="General" sourceLinked="0"/>
        <c:majorTickMark val="none"/>
        <c:minorTickMark val="none"/>
        <c:tickLblPos val="nextTo"/>
        <c:txPr>
          <a:bodyPr/>
          <a:lstStyle/>
          <a:p>
            <a:pPr>
              <a:defRPr lang="es-ES"/>
            </a:pPr>
            <a:endParaRPr lang="es-CO"/>
          </a:p>
        </c:txPr>
        <c:crossAx val="175387136"/>
        <c:crosses val="autoZero"/>
        <c:auto val="1"/>
        <c:lblAlgn val="ctr"/>
        <c:lblOffset val="100"/>
        <c:noMultiLvlLbl val="0"/>
      </c:catAx>
      <c:valAx>
        <c:axId val="175387136"/>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75283200"/>
        <c:crosses val="autoZero"/>
        <c:crossBetween val="between"/>
      </c:valAx>
      <c:spPr>
        <a:solidFill>
          <a:schemeClr val="accent4">
            <a:lumMod val="20000"/>
            <a:lumOff val="80000"/>
          </a:schemeClr>
        </a:solidFill>
      </c:spPr>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a:t>
            </a:r>
            <a:r>
              <a:rPr lang="es-CO" sz="1600" baseline="0"/>
              <a:t> SECTOR ATENCION DESASTRES 2017</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2016'!$C$16</c:f>
              <c:strCache>
                <c:ptCount val="1"/>
                <c:pt idx="0">
                  <c:v>Prevención y atención de desastres</c:v>
                </c:pt>
              </c:strCache>
            </c:strRef>
          </c:cat>
          <c:val>
            <c:numRef>
              <c:f>'TABLERO 2016'!$D$16</c:f>
            </c:numRef>
          </c:val>
          <c:extLst xmlns:c16r2="http://schemas.microsoft.com/office/drawing/2015/06/chart">
            <c:ext xmlns:c16="http://schemas.microsoft.com/office/drawing/2014/chart" uri="{C3380CC4-5D6E-409C-BE32-E72D297353CC}">
              <c16:uniqueId val="{00000000-56CD-493F-959D-772F94C8C15F}"/>
            </c:ext>
          </c:extLst>
        </c:ser>
        <c:ser>
          <c:idx val="1"/>
          <c:order val="1"/>
          <c:tx>
            <c:strRef>
              <c:f>'TABLERO 2019'!$D$8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2019'!$C$19</c:f>
              <c:strCache>
                <c:ptCount val="1"/>
                <c:pt idx="0">
                  <c:v>Prevención y atención de desastres</c:v>
                </c:pt>
              </c:strCache>
            </c:strRef>
          </c:cat>
          <c:val>
            <c:numRef>
              <c:f>'TABLERO 2019'!$D$19</c:f>
              <c:numCache>
                <c:formatCode>General</c:formatCode>
                <c:ptCount val="1"/>
                <c:pt idx="0">
                  <c:v>14</c:v>
                </c:pt>
              </c:numCache>
            </c:numRef>
          </c:val>
          <c:extLst xmlns:c16r2="http://schemas.microsoft.com/office/drawing/2015/06/chart">
            <c:ext xmlns:c16="http://schemas.microsoft.com/office/drawing/2014/chart" uri="{C3380CC4-5D6E-409C-BE32-E72D297353CC}">
              <c16:uniqueId val="{00000001-56CD-493F-959D-772F94C8C15F}"/>
            </c:ext>
          </c:extLst>
        </c:ser>
        <c:ser>
          <c:idx val="2"/>
          <c:order val="2"/>
          <c:tx>
            <c:strRef>
              <c:f>'TABLERO 2019'!$E$8</c:f>
              <c:strCache>
                <c:ptCount val="1"/>
                <c:pt idx="0">
                  <c:v>PROGRAMADAS 2019</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2019'!$C$19</c:f>
              <c:strCache>
                <c:ptCount val="1"/>
                <c:pt idx="0">
                  <c:v>Prevención y atención de desastres</c:v>
                </c:pt>
              </c:strCache>
            </c:strRef>
          </c:cat>
          <c:val>
            <c:numRef>
              <c:f>'TABLERO 2019'!$E$19</c:f>
              <c:numCache>
                <c:formatCode>General</c:formatCode>
                <c:ptCount val="1"/>
                <c:pt idx="0">
                  <c:v>12</c:v>
                </c:pt>
              </c:numCache>
            </c:numRef>
          </c:val>
          <c:extLst xmlns:c16r2="http://schemas.microsoft.com/office/drawing/2015/06/chart">
            <c:ext xmlns:c16="http://schemas.microsoft.com/office/drawing/2014/chart" uri="{C3380CC4-5D6E-409C-BE32-E72D297353CC}">
              <c16:uniqueId val="{00000002-56CD-493F-959D-772F94C8C15F}"/>
            </c:ext>
          </c:extLst>
        </c:ser>
        <c:ser>
          <c:idx val="3"/>
          <c:order val="3"/>
          <c:tx>
            <c:strRef>
              <c:f>'TABLERO 2019'!$F$8</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2019'!$C$19</c:f>
              <c:strCache>
                <c:ptCount val="1"/>
                <c:pt idx="0">
                  <c:v>Prevención y atención de desastres</c:v>
                </c:pt>
              </c:strCache>
            </c:strRef>
          </c:cat>
          <c:val>
            <c:numRef>
              <c:f>'TABLERO 2019'!$F$19</c:f>
              <c:numCache>
                <c:formatCode>General</c:formatCode>
                <c:ptCount val="1"/>
                <c:pt idx="0">
                  <c:v>5</c:v>
                </c:pt>
              </c:numCache>
            </c:numRef>
          </c:val>
          <c:extLst xmlns:c16r2="http://schemas.microsoft.com/office/drawing/2015/06/chart">
            <c:ext xmlns:c16="http://schemas.microsoft.com/office/drawing/2014/chart" uri="{C3380CC4-5D6E-409C-BE32-E72D297353CC}">
              <c16:uniqueId val="{00000003-56CD-493F-959D-772F94C8C15F}"/>
            </c:ext>
          </c:extLst>
        </c:ser>
        <c:ser>
          <c:idx val="4"/>
          <c:order val="4"/>
          <c:tx>
            <c:strRef>
              <c:f>'TABLERO 2019'!$H$8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2019'!$C$19</c:f>
              <c:strCache>
                <c:ptCount val="1"/>
                <c:pt idx="0">
                  <c:v>Prevención y atención de desastres</c:v>
                </c:pt>
              </c:strCache>
            </c:strRef>
          </c:cat>
          <c:val>
            <c:numRef>
              <c:f>'TABLERO 2019'!$H$19</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4-56CD-493F-959D-772F94C8C15F}"/>
            </c:ext>
          </c:extLst>
        </c:ser>
        <c:ser>
          <c:idx val="5"/>
          <c:order val="5"/>
          <c:tx>
            <c:strRef>
              <c:f>'TABLERO 2019'!$J$8</c:f>
              <c:strCache>
                <c:ptCount val="1"/>
                <c:pt idx="0">
                  <c:v>RO</c:v>
                </c:pt>
              </c:strCache>
            </c:strRef>
          </c:tx>
          <c:invertIfNegative val="0"/>
          <c:cat>
            <c:strRef>
              <c:f>'TABLERO 2019'!$C$19</c:f>
              <c:strCache>
                <c:ptCount val="1"/>
                <c:pt idx="0">
                  <c:v>Prevención y atención de desastres</c:v>
                </c:pt>
              </c:strCache>
            </c:strRef>
          </c:cat>
          <c:val>
            <c:numRef>
              <c:f>'TABLERO 2019'!$J$19</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56CD-493F-959D-772F94C8C15F}"/>
            </c:ext>
          </c:extLst>
        </c:ser>
        <c:ser>
          <c:idx val="6"/>
          <c:order val="6"/>
          <c:tx>
            <c:strRef>
              <c:f>'TABLERO 2019'!$L$8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2019'!$C$19</c:f>
              <c:strCache>
                <c:ptCount val="1"/>
                <c:pt idx="0">
                  <c:v>Prevención y atención de desastres</c:v>
                </c:pt>
              </c:strCache>
            </c:strRef>
          </c:cat>
          <c:val>
            <c:numRef>
              <c:f>'TABLERO 2019'!$L$19</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56CD-493F-959D-772F94C8C15F}"/>
            </c:ext>
          </c:extLst>
        </c:ser>
        <c:dLbls>
          <c:showLegendKey val="0"/>
          <c:showVal val="0"/>
          <c:showCatName val="0"/>
          <c:showSerName val="0"/>
          <c:showPercent val="0"/>
          <c:showBubbleSize val="0"/>
        </c:dLbls>
        <c:gapWidth val="75"/>
        <c:overlap val="-25"/>
        <c:axId val="141904896"/>
        <c:axId val="141747904"/>
      </c:barChart>
      <c:catAx>
        <c:axId val="141904896"/>
        <c:scaling>
          <c:orientation val="minMax"/>
        </c:scaling>
        <c:delete val="0"/>
        <c:axPos val="b"/>
        <c:numFmt formatCode="General" sourceLinked="0"/>
        <c:majorTickMark val="none"/>
        <c:minorTickMark val="none"/>
        <c:tickLblPos val="nextTo"/>
        <c:txPr>
          <a:bodyPr/>
          <a:lstStyle/>
          <a:p>
            <a:pPr>
              <a:defRPr lang="es-ES"/>
            </a:pPr>
            <a:endParaRPr lang="es-CO"/>
          </a:p>
        </c:txPr>
        <c:crossAx val="141747904"/>
        <c:crosses val="autoZero"/>
        <c:auto val="1"/>
        <c:lblAlgn val="ctr"/>
        <c:lblOffset val="100"/>
        <c:noMultiLvlLbl val="0"/>
      </c:catAx>
      <c:valAx>
        <c:axId val="141747904"/>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41904896"/>
        <c:crosses val="autoZero"/>
        <c:crossBetween val="between"/>
      </c:valAx>
      <c:spPr>
        <a:solidFill>
          <a:schemeClr val="accent4">
            <a:lumMod val="20000"/>
            <a:lumOff val="80000"/>
          </a:schemeClr>
        </a:solidFill>
      </c:spPr>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PROMOCION DESARROLLO 2017</a:t>
            </a:r>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2016'!$C$17</c:f>
              <c:strCache>
                <c:ptCount val="1"/>
                <c:pt idx="0">
                  <c:v>Promoción del desarrollo</c:v>
                </c:pt>
              </c:strCache>
            </c:strRef>
          </c:cat>
          <c:val>
            <c:numRef>
              <c:f>'TABLERO 2016'!$D$17</c:f>
            </c:numRef>
          </c:val>
          <c:extLst xmlns:c16r2="http://schemas.microsoft.com/office/drawing/2015/06/chart">
            <c:ext xmlns:c16="http://schemas.microsoft.com/office/drawing/2014/chart" uri="{C3380CC4-5D6E-409C-BE32-E72D297353CC}">
              <c16:uniqueId val="{00000000-8FC1-4DD2-881C-47EC442BEE9D}"/>
            </c:ext>
          </c:extLst>
        </c:ser>
        <c:ser>
          <c:idx val="1"/>
          <c:order val="1"/>
          <c:tx>
            <c:strRef>
              <c:f>'TABLERO 2019'!$D$8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2019'!$C$20</c:f>
              <c:strCache>
                <c:ptCount val="1"/>
                <c:pt idx="0">
                  <c:v>Desarrollo Económico/Promoción del desarrollo</c:v>
                </c:pt>
              </c:strCache>
            </c:strRef>
          </c:cat>
          <c:val>
            <c:numRef>
              <c:f>'TABLERO 2019'!$D$20</c:f>
              <c:numCache>
                <c:formatCode>General</c:formatCode>
                <c:ptCount val="1"/>
                <c:pt idx="0">
                  <c:v>28</c:v>
                </c:pt>
              </c:numCache>
            </c:numRef>
          </c:val>
          <c:extLst xmlns:c16r2="http://schemas.microsoft.com/office/drawing/2015/06/chart">
            <c:ext xmlns:c16="http://schemas.microsoft.com/office/drawing/2014/chart" uri="{C3380CC4-5D6E-409C-BE32-E72D297353CC}">
              <c16:uniqueId val="{00000001-8FC1-4DD2-881C-47EC442BEE9D}"/>
            </c:ext>
          </c:extLst>
        </c:ser>
        <c:ser>
          <c:idx val="2"/>
          <c:order val="2"/>
          <c:tx>
            <c:strRef>
              <c:f>'TABLERO 2019'!$E$8</c:f>
              <c:strCache>
                <c:ptCount val="1"/>
                <c:pt idx="0">
                  <c:v>PROGRAMADAS 2019</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2019'!$C$20</c:f>
              <c:strCache>
                <c:ptCount val="1"/>
                <c:pt idx="0">
                  <c:v>Desarrollo Económico/Promoción del desarrollo</c:v>
                </c:pt>
              </c:strCache>
            </c:strRef>
          </c:cat>
          <c:val>
            <c:numRef>
              <c:f>'TABLERO 2019'!$E$20</c:f>
              <c:numCache>
                <c:formatCode>General</c:formatCode>
                <c:ptCount val="1"/>
                <c:pt idx="0">
                  <c:v>19</c:v>
                </c:pt>
              </c:numCache>
            </c:numRef>
          </c:val>
          <c:extLst xmlns:c16r2="http://schemas.microsoft.com/office/drawing/2015/06/chart">
            <c:ext xmlns:c16="http://schemas.microsoft.com/office/drawing/2014/chart" uri="{C3380CC4-5D6E-409C-BE32-E72D297353CC}">
              <c16:uniqueId val="{00000002-8FC1-4DD2-881C-47EC442BEE9D}"/>
            </c:ext>
          </c:extLst>
        </c:ser>
        <c:ser>
          <c:idx val="3"/>
          <c:order val="3"/>
          <c:tx>
            <c:strRef>
              <c:f>'TABLERO 2019'!$F$8</c:f>
              <c:strCache>
                <c:ptCount val="1"/>
                <c:pt idx="0">
                  <c:v>VE</c:v>
                </c:pt>
              </c:strCache>
            </c:strRef>
          </c:tx>
          <c:spPr>
            <a:solidFill>
              <a:srgbClr val="92D050"/>
            </a:solidFill>
            <a:ln>
              <a:solidFill>
                <a:srgbClr val="92D050"/>
              </a:solidFill>
            </a:ln>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2019'!$C$20</c:f>
              <c:strCache>
                <c:ptCount val="1"/>
                <c:pt idx="0">
                  <c:v>Desarrollo Económico/Promoción del desarrollo</c:v>
                </c:pt>
              </c:strCache>
            </c:strRef>
          </c:cat>
          <c:val>
            <c:numRef>
              <c:f>'TABLERO 2019'!$F$20</c:f>
              <c:numCache>
                <c:formatCode>General</c:formatCode>
                <c:ptCount val="1"/>
                <c:pt idx="0">
                  <c:v>6</c:v>
                </c:pt>
              </c:numCache>
            </c:numRef>
          </c:val>
          <c:extLst xmlns:c16r2="http://schemas.microsoft.com/office/drawing/2015/06/chart">
            <c:ext xmlns:c16="http://schemas.microsoft.com/office/drawing/2014/chart" uri="{C3380CC4-5D6E-409C-BE32-E72D297353CC}">
              <c16:uniqueId val="{00000003-8FC1-4DD2-881C-47EC442BEE9D}"/>
            </c:ext>
          </c:extLst>
        </c:ser>
        <c:ser>
          <c:idx val="4"/>
          <c:order val="4"/>
          <c:tx>
            <c:strRef>
              <c:f>'TABLERO 2019'!$H$8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2019'!$C$20</c:f>
              <c:strCache>
                <c:ptCount val="1"/>
                <c:pt idx="0">
                  <c:v>Desarrollo Económico/Promoción del desarrollo</c:v>
                </c:pt>
              </c:strCache>
            </c:strRef>
          </c:cat>
          <c:val>
            <c:numRef>
              <c:f>'TABLERO 2019'!$H$20</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8FC1-4DD2-881C-47EC442BEE9D}"/>
            </c:ext>
          </c:extLst>
        </c:ser>
        <c:ser>
          <c:idx val="5"/>
          <c:order val="5"/>
          <c:tx>
            <c:strRef>
              <c:f>'TABLERO 2019'!$J$8</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2019'!$C$20</c:f>
              <c:strCache>
                <c:ptCount val="1"/>
                <c:pt idx="0">
                  <c:v>Desarrollo Económico/Promoción del desarrollo</c:v>
                </c:pt>
              </c:strCache>
            </c:strRef>
          </c:cat>
          <c:val>
            <c:numRef>
              <c:f>'TABLERO 2019'!$J$20</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5-8FC1-4DD2-881C-47EC442BEE9D}"/>
            </c:ext>
          </c:extLst>
        </c:ser>
        <c:ser>
          <c:idx val="6"/>
          <c:order val="6"/>
          <c:tx>
            <c:strRef>
              <c:f>'TABLERO 2019'!$L$8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2019'!$C$20</c:f>
              <c:strCache>
                <c:ptCount val="1"/>
                <c:pt idx="0">
                  <c:v>Desarrollo Económico/Promoción del desarrollo</c:v>
                </c:pt>
              </c:strCache>
            </c:strRef>
          </c:cat>
          <c:val>
            <c:numRef>
              <c:f>'TABLERO 2019'!$L$20</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8FC1-4DD2-881C-47EC442BEE9D}"/>
            </c:ext>
          </c:extLst>
        </c:ser>
        <c:dLbls>
          <c:showLegendKey val="0"/>
          <c:showVal val="0"/>
          <c:showCatName val="0"/>
          <c:showSerName val="0"/>
          <c:showPercent val="0"/>
          <c:showBubbleSize val="0"/>
        </c:dLbls>
        <c:gapWidth val="75"/>
        <c:overlap val="-25"/>
        <c:axId val="142551552"/>
        <c:axId val="141750208"/>
      </c:barChart>
      <c:catAx>
        <c:axId val="142551552"/>
        <c:scaling>
          <c:orientation val="minMax"/>
        </c:scaling>
        <c:delete val="0"/>
        <c:axPos val="b"/>
        <c:numFmt formatCode="General" sourceLinked="0"/>
        <c:majorTickMark val="none"/>
        <c:minorTickMark val="none"/>
        <c:tickLblPos val="nextTo"/>
        <c:txPr>
          <a:bodyPr/>
          <a:lstStyle/>
          <a:p>
            <a:pPr>
              <a:defRPr lang="es-ES"/>
            </a:pPr>
            <a:endParaRPr lang="es-CO"/>
          </a:p>
        </c:txPr>
        <c:crossAx val="141750208"/>
        <c:crosses val="autoZero"/>
        <c:auto val="1"/>
        <c:lblAlgn val="ctr"/>
        <c:lblOffset val="100"/>
        <c:noMultiLvlLbl val="0"/>
      </c:catAx>
      <c:valAx>
        <c:axId val="141750208"/>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42551552"/>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cmpd="dbl">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a:t>
            </a:r>
            <a:r>
              <a:rPr lang="es-CO" sz="1600" baseline="0"/>
              <a:t> GRUPOS VULNERABLES 2017</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2016'!$C$18</c:f>
              <c:strCache>
                <c:ptCount val="1"/>
                <c:pt idx="0">
                  <c:v>Atención a grupos vulnerables - promoción social</c:v>
                </c:pt>
              </c:strCache>
            </c:strRef>
          </c:cat>
          <c:val>
            <c:numRef>
              <c:f>'TABLERO 2016'!$D$18</c:f>
            </c:numRef>
          </c:val>
          <c:extLst xmlns:c16r2="http://schemas.microsoft.com/office/drawing/2015/06/chart">
            <c:ext xmlns:c16="http://schemas.microsoft.com/office/drawing/2014/chart" uri="{C3380CC4-5D6E-409C-BE32-E72D297353CC}">
              <c16:uniqueId val="{00000000-A9A1-4E73-AC94-F9E7D5E2E64C}"/>
            </c:ext>
          </c:extLst>
        </c:ser>
        <c:ser>
          <c:idx val="1"/>
          <c:order val="1"/>
          <c:tx>
            <c:strRef>
              <c:f>'TABLERO 2019'!$D$8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2019'!$C$21</c:f>
              <c:strCache>
                <c:ptCount val="1"/>
                <c:pt idx="0">
                  <c:v>Atención a grupos vulnerables - promoción social</c:v>
                </c:pt>
              </c:strCache>
            </c:strRef>
          </c:cat>
          <c:val>
            <c:numRef>
              <c:f>'TABLERO 2019'!$D$21</c:f>
              <c:numCache>
                <c:formatCode>General</c:formatCode>
                <c:ptCount val="1"/>
                <c:pt idx="0">
                  <c:v>98</c:v>
                </c:pt>
              </c:numCache>
            </c:numRef>
          </c:val>
          <c:extLst xmlns:c16r2="http://schemas.microsoft.com/office/drawing/2015/06/chart">
            <c:ext xmlns:c16="http://schemas.microsoft.com/office/drawing/2014/chart" uri="{C3380CC4-5D6E-409C-BE32-E72D297353CC}">
              <c16:uniqueId val="{00000001-A9A1-4E73-AC94-F9E7D5E2E64C}"/>
            </c:ext>
          </c:extLst>
        </c:ser>
        <c:ser>
          <c:idx val="2"/>
          <c:order val="2"/>
          <c:tx>
            <c:strRef>
              <c:f>'TABLERO 2019'!$E$8</c:f>
              <c:strCache>
                <c:ptCount val="1"/>
                <c:pt idx="0">
                  <c:v>PROGRAMADAS 2019</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2019'!$C$21</c:f>
              <c:strCache>
                <c:ptCount val="1"/>
                <c:pt idx="0">
                  <c:v>Atención a grupos vulnerables - promoción social</c:v>
                </c:pt>
              </c:strCache>
            </c:strRef>
          </c:cat>
          <c:val>
            <c:numRef>
              <c:f>'TABLERO 2019'!$E$21</c:f>
              <c:numCache>
                <c:formatCode>General</c:formatCode>
                <c:ptCount val="1"/>
                <c:pt idx="0">
                  <c:v>85</c:v>
                </c:pt>
              </c:numCache>
            </c:numRef>
          </c:val>
          <c:extLst xmlns:c16r2="http://schemas.microsoft.com/office/drawing/2015/06/chart">
            <c:ext xmlns:c16="http://schemas.microsoft.com/office/drawing/2014/chart" uri="{C3380CC4-5D6E-409C-BE32-E72D297353CC}">
              <c16:uniqueId val="{00000002-A9A1-4E73-AC94-F9E7D5E2E64C}"/>
            </c:ext>
          </c:extLst>
        </c:ser>
        <c:ser>
          <c:idx val="3"/>
          <c:order val="3"/>
          <c:tx>
            <c:strRef>
              <c:f>'TABLERO 2019'!$F$8</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2019'!$C$21</c:f>
              <c:strCache>
                <c:ptCount val="1"/>
                <c:pt idx="0">
                  <c:v>Atención a grupos vulnerables - promoción social</c:v>
                </c:pt>
              </c:strCache>
            </c:strRef>
          </c:cat>
          <c:val>
            <c:numRef>
              <c:f>'TABLERO 2019'!$F$21</c:f>
              <c:numCache>
                <c:formatCode>General</c:formatCode>
                <c:ptCount val="1"/>
                <c:pt idx="0">
                  <c:v>61</c:v>
                </c:pt>
              </c:numCache>
            </c:numRef>
          </c:val>
          <c:extLst xmlns:c16r2="http://schemas.microsoft.com/office/drawing/2015/06/chart">
            <c:ext xmlns:c16="http://schemas.microsoft.com/office/drawing/2014/chart" uri="{C3380CC4-5D6E-409C-BE32-E72D297353CC}">
              <c16:uniqueId val="{00000003-A9A1-4E73-AC94-F9E7D5E2E64C}"/>
            </c:ext>
          </c:extLst>
        </c:ser>
        <c:ser>
          <c:idx val="4"/>
          <c:order val="4"/>
          <c:tx>
            <c:strRef>
              <c:f>'TABLERO 2019'!$H$8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2019'!$C$21</c:f>
              <c:strCache>
                <c:ptCount val="1"/>
                <c:pt idx="0">
                  <c:v>Atención a grupos vulnerables - promoción social</c:v>
                </c:pt>
              </c:strCache>
            </c:strRef>
          </c:cat>
          <c:val>
            <c:numRef>
              <c:f>'TABLERO 2019'!$H$21</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4-A9A1-4E73-AC94-F9E7D5E2E64C}"/>
            </c:ext>
          </c:extLst>
        </c:ser>
        <c:ser>
          <c:idx val="5"/>
          <c:order val="5"/>
          <c:tx>
            <c:strRef>
              <c:f>'TABLERO 2019'!$J$8</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2019'!$C$21</c:f>
              <c:strCache>
                <c:ptCount val="1"/>
                <c:pt idx="0">
                  <c:v>Atención a grupos vulnerables - promoción social</c:v>
                </c:pt>
              </c:strCache>
            </c:strRef>
          </c:cat>
          <c:val>
            <c:numRef>
              <c:f>'TABLERO 2019'!$J$21</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5-A9A1-4E73-AC94-F9E7D5E2E64C}"/>
            </c:ext>
          </c:extLst>
        </c:ser>
        <c:ser>
          <c:idx val="6"/>
          <c:order val="6"/>
          <c:tx>
            <c:strRef>
              <c:f>'TABLERO 2019'!$L$8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2019'!$C$21</c:f>
              <c:strCache>
                <c:ptCount val="1"/>
                <c:pt idx="0">
                  <c:v>Atención a grupos vulnerables - promoción social</c:v>
                </c:pt>
              </c:strCache>
            </c:strRef>
          </c:cat>
          <c:val>
            <c:numRef>
              <c:f>'TABLERO 2019'!$L$21</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A9A1-4E73-AC94-F9E7D5E2E64C}"/>
            </c:ext>
          </c:extLst>
        </c:ser>
        <c:dLbls>
          <c:showLegendKey val="0"/>
          <c:showVal val="0"/>
          <c:showCatName val="0"/>
          <c:showSerName val="0"/>
          <c:showPercent val="0"/>
          <c:showBubbleSize val="0"/>
        </c:dLbls>
        <c:gapWidth val="75"/>
        <c:overlap val="-25"/>
        <c:axId val="142250496"/>
        <c:axId val="141752512"/>
      </c:barChart>
      <c:catAx>
        <c:axId val="142250496"/>
        <c:scaling>
          <c:orientation val="minMax"/>
        </c:scaling>
        <c:delete val="0"/>
        <c:axPos val="b"/>
        <c:numFmt formatCode="General" sourceLinked="0"/>
        <c:majorTickMark val="none"/>
        <c:minorTickMark val="none"/>
        <c:tickLblPos val="nextTo"/>
        <c:txPr>
          <a:bodyPr/>
          <a:lstStyle/>
          <a:p>
            <a:pPr>
              <a:defRPr lang="es-ES"/>
            </a:pPr>
            <a:endParaRPr lang="es-CO"/>
          </a:p>
        </c:txPr>
        <c:crossAx val="141752512"/>
        <c:crosses val="autoZero"/>
        <c:auto val="1"/>
        <c:lblAlgn val="ctr"/>
        <c:lblOffset val="100"/>
        <c:noMultiLvlLbl val="0"/>
      </c:catAx>
      <c:valAx>
        <c:axId val="141752512"/>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42250496"/>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a:t>
            </a:r>
            <a:r>
              <a:rPr lang="es-CO" sz="1600" baseline="0"/>
              <a:t> METAS SECTOR EQUIPAMIENTO 2017</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2016'!$C$19</c:f>
              <c:strCache>
                <c:ptCount val="1"/>
                <c:pt idx="0">
                  <c:v>Equipamiento </c:v>
                </c:pt>
              </c:strCache>
            </c:strRef>
          </c:cat>
          <c:val>
            <c:numRef>
              <c:f>'TABLERO 2016'!$D$19</c:f>
            </c:numRef>
          </c:val>
          <c:extLst xmlns:c16r2="http://schemas.microsoft.com/office/drawing/2015/06/chart">
            <c:ext xmlns:c16="http://schemas.microsoft.com/office/drawing/2014/chart" uri="{C3380CC4-5D6E-409C-BE32-E72D297353CC}">
              <c16:uniqueId val="{00000000-385B-4478-AC0B-DC60CC2ABE26}"/>
            </c:ext>
          </c:extLst>
        </c:ser>
        <c:ser>
          <c:idx val="1"/>
          <c:order val="1"/>
          <c:tx>
            <c:strRef>
              <c:f>'TABLERO 2019'!$D$8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2019'!$C$22</c:f>
              <c:strCache>
                <c:ptCount val="1"/>
                <c:pt idx="0">
                  <c:v>Equipamiento </c:v>
                </c:pt>
              </c:strCache>
            </c:strRef>
          </c:cat>
          <c:val>
            <c:numRef>
              <c:f>'TABLERO 2019'!$D$22</c:f>
              <c:numCache>
                <c:formatCode>General</c:formatCode>
                <c:ptCount val="1"/>
                <c:pt idx="0">
                  <c:v>7</c:v>
                </c:pt>
              </c:numCache>
            </c:numRef>
          </c:val>
          <c:extLst xmlns:c16r2="http://schemas.microsoft.com/office/drawing/2015/06/chart">
            <c:ext xmlns:c16="http://schemas.microsoft.com/office/drawing/2014/chart" uri="{C3380CC4-5D6E-409C-BE32-E72D297353CC}">
              <c16:uniqueId val="{00000001-385B-4478-AC0B-DC60CC2ABE26}"/>
            </c:ext>
          </c:extLst>
        </c:ser>
        <c:ser>
          <c:idx val="2"/>
          <c:order val="2"/>
          <c:tx>
            <c:strRef>
              <c:f>'TABLERO 2019'!$E$8</c:f>
              <c:strCache>
                <c:ptCount val="1"/>
                <c:pt idx="0">
                  <c:v>PROGRAMADAS 2019</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2019'!$C$22</c:f>
              <c:strCache>
                <c:ptCount val="1"/>
                <c:pt idx="0">
                  <c:v>Equipamiento </c:v>
                </c:pt>
              </c:strCache>
            </c:strRef>
          </c:cat>
          <c:val>
            <c:numRef>
              <c:f>'TABLERO 2019'!$E$22</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2-385B-4478-AC0B-DC60CC2ABE26}"/>
            </c:ext>
          </c:extLst>
        </c:ser>
        <c:ser>
          <c:idx val="3"/>
          <c:order val="3"/>
          <c:tx>
            <c:strRef>
              <c:f>'TABLERO 2019'!$F$8</c:f>
              <c:strCache>
                <c:ptCount val="1"/>
                <c:pt idx="0">
                  <c:v>VE</c:v>
                </c:pt>
              </c:strCache>
            </c:strRef>
          </c:tx>
          <c:invertIfNegative val="0"/>
          <c:cat>
            <c:strRef>
              <c:f>'TABLERO 2019'!$C$22</c:f>
              <c:strCache>
                <c:ptCount val="1"/>
                <c:pt idx="0">
                  <c:v>Equipamiento </c:v>
                </c:pt>
              </c:strCache>
            </c:strRef>
          </c:cat>
          <c:val>
            <c:numRef>
              <c:f>'TABLERO 2019'!$F$22</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3-385B-4478-AC0B-DC60CC2ABE26}"/>
            </c:ext>
          </c:extLst>
        </c:ser>
        <c:ser>
          <c:idx val="4"/>
          <c:order val="4"/>
          <c:tx>
            <c:strRef>
              <c:f>'TABLERO 2019'!$H$8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2019'!$C$22</c:f>
              <c:strCache>
                <c:ptCount val="1"/>
                <c:pt idx="0">
                  <c:v>Equipamiento </c:v>
                </c:pt>
              </c:strCache>
            </c:strRef>
          </c:cat>
          <c:val>
            <c:numRef>
              <c:f>'TABLERO 2019'!$H$22</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385B-4478-AC0B-DC60CC2ABE26}"/>
            </c:ext>
          </c:extLst>
        </c:ser>
        <c:ser>
          <c:idx val="5"/>
          <c:order val="5"/>
          <c:tx>
            <c:strRef>
              <c:f>'TABLERO 2019'!$J$8</c:f>
              <c:strCache>
                <c:ptCount val="1"/>
                <c:pt idx="0">
                  <c:v>RO</c:v>
                </c:pt>
              </c:strCache>
            </c:strRef>
          </c:tx>
          <c:invertIfNegative val="0"/>
          <c:cat>
            <c:strRef>
              <c:f>'TABLERO 2019'!$C$22</c:f>
              <c:strCache>
                <c:ptCount val="1"/>
                <c:pt idx="0">
                  <c:v>Equipamiento </c:v>
                </c:pt>
              </c:strCache>
            </c:strRef>
          </c:cat>
          <c:val>
            <c:numRef>
              <c:f>'TABLERO 2019'!$J$22</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385B-4478-AC0B-DC60CC2ABE26}"/>
            </c:ext>
          </c:extLst>
        </c:ser>
        <c:ser>
          <c:idx val="6"/>
          <c:order val="6"/>
          <c:tx>
            <c:strRef>
              <c:f>'TABLERO 2019'!$L$8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2019'!$C$22</c:f>
              <c:strCache>
                <c:ptCount val="1"/>
                <c:pt idx="0">
                  <c:v>Equipamiento </c:v>
                </c:pt>
              </c:strCache>
            </c:strRef>
          </c:cat>
          <c:val>
            <c:numRef>
              <c:f>'TABLERO 2019'!$L$22</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385B-4478-AC0B-DC60CC2ABE26}"/>
            </c:ext>
          </c:extLst>
        </c:ser>
        <c:dLbls>
          <c:showLegendKey val="0"/>
          <c:showVal val="0"/>
          <c:showCatName val="0"/>
          <c:showSerName val="0"/>
          <c:showPercent val="0"/>
          <c:showBubbleSize val="0"/>
        </c:dLbls>
        <c:gapWidth val="75"/>
        <c:overlap val="-25"/>
        <c:axId val="142252032"/>
        <c:axId val="142705216"/>
      </c:barChart>
      <c:catAx>
        <c:axId val="142252032"/>
        <c:scaling>
          <c:orientation val="minMax"/>
        </c:scaling>
        <c:delete val="0"/>
        <c:axPos val="b"/>
        <c:numFmt formatCode="General" sourceLinked="0"/>
        <c:majorTickMark val="none"/>
        <c:minorTickMark val="none"/>
        <c:tickLblPos val="nextTo"/>
        <c:txPr>
          <a:bodyPr/>
          <a:lstStyle/>
          <a:p>
            <a:pPr>
              <a:defRPr lang="es-ES"/>
            </a:pPr>
            <a:endParaRPr lang="es-CO"/>
          </a:p>
        </c:txPr>
        <c:crossAx val="142705216"/>
        <c:crosses val="autoZero"/>
        <c:auto val="1"/>
        <c:lblAlgn val="ctr"/>
        <c:lblOffset val="100"/>
        <c:noMultiLvlLbl val="0"/>
      </c:catAx>
      <c:valAx>
        <c:axId val="142705216"/>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42252032"/>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DESARROLLO COMUNITARIO 2017</a:t>
            </a:r>
          </a:p>
        </c:rich>
      </c:tx>
      <c:layout>
        <c:manualLayout>
          <c:xMode val="edge"/>
          <c:yMode val="edge"/>
          <c:x val="0.17191666666666672"/>
          <c:y val="2.7777777777777801E-2"/>
        </c:manualLayout>
      </c:layout>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2016'!$C$20</c:f>
              <c:strCache>
                <c:ptCount val="1"/>
                <c:pt idx="0">
                  <c:v>Desarrollo comunitario</c:v>
                </c:pt>
              </c:strCache>
            </c:strRef>
          </c:cat>
          <c:val>
            <c:numRef>
              <c:f>'TABLERO 2016'!$D$20</c:f>
            </c:numRef>
          </c:val>
          <c:extLst xmlns:c16r2="http://schemas.microsoft.com/office/drawing/2015/06/chart">
            <c:ext xmlns:c16="http://schemas.microsoft.com/office/drawing/2014/chart" uri="{C3380CC4-5D6E-409C-BE32-E72D297353CC}">
              <c16:uniqueId val="{00000000-9480-4010-B9C3-8FFA91A95BA1}"/>
            </c:ext>
          </c:extLst>
        </c:ser>
        <c:ser>
          <c:idx val="1"/>
          <c:order val="1"/>
          <c:tx>
            <c:strRef>
              <c:f>'TABLERO 2019'!$D$8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2019'!$C$23</c:f>
              <c:strCache>
                <c:ptCount val="1"/>
                <c:pt idx="0">
                  <c:v>Desarrollo comunitario</c:v>
                </c:pt>
              </c:strCache>
            </c:strRef>
          </c:cat>
          <c:val>
            <c:numRef>
              <c:f>'TABLERO 2019'!$D$23</c:f>
              <c:numCache>
                <c:formatCode>General</c:formatCode>
                <c:ptCount val="1"/>
                <c:pt idx="0">
                  <c:v>9</c:v>
                </c:pt>
              </c:numCache>
            </c:numRef>
          </c:val>
          <c:extLst xmlns:c16r2="http://schemas.microsoft.com/office/drawing/2015/06/chart">
            <c:ext xmlns:c16="http://schemas.microsoft.com/office/drawing/2014/chart" uri="{C3380CC4-5D6E-409C-BE32-E72D297353CC}">
              <c16:uniqueId val="{00000001-9480-4010-B9C3-8FFA91A95BA1}"/>
            </c:ext>
          </c:extLst>
        </c:ser>
        <c:ser>
          <c:idx val="2"/>
          <c:order val="2"/>
          <c:tx>
            <c:strRef>
              <c:f>'TABLERO 2019'!$E$8</c:f>
              <c:strCache>
                <c:ptCount val="1"/>
                <c:pt idx="0">
                  <c:v>PROGRAMADAS 2019</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2019'!$C$23</c:f>
              <c:strCache>
                <c:ptCount val="1"/>
                <c:pt idx="0">
                  <c:v>Desarrollo comunitario</c:v>
                </c:pt>
              </c:strCache>
            </c:strRef>
          </c:cat>
          <c:val>
            <c:numRef>
              <c:f>'TABLERO 2019'!$E$23</c:f>
              <c:numCache>
                <c:formatCode>General</c:formatCode>
                <c:ptCount val="1"/>
                <c:pt idx="0">
                  <c:v>6</c:v>
                </c:pt>
              </c:numCache>
            </c:numRef>
          </c:val>
          <c:extLst xmlns:c16r2="http://schemas.microsoft.com/office/drawing/2015/06/chart">
            <c:ext xmlns:c16="http://schemas.microsoft.com/office/drawing/2014/chart" uri="{C3380CC4-5D6E-409C-BE32-E72D297353CC}">
              <c16:uniqueId val="{00000002-9480-4010-B9C3-8FFA91A95BA1}"/>
            </c:ext>
          </c:extLst>
        </c:ser>
        <c:ser>
          <c:idx val="3"/>
          <c:order val="3"/>
          <c:tx>
            <c:strRef>
              <c:f>'TABLERO 2019'!$F$8</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2019'!$C$23</c:f>
              <c:strCache>
                <c:ptCount val="1"/>
                <c:pt idx="0">
                  <c:v>Desarrollo comunitario</c:v>
                </c:pt>
              </c:strCache>
            </c:strRef>
          </c:cat>
          <c:val>
            <c:numRef>
              <c:f>'TABLERO 2019'!$F$23</c:f>
              <c:numCache>
                <c:formatCode>General</c:formatCode>
                <c:ptCount val="1"/>
                <c:pt idx="0">
                  <c:v>6</c:v>
                </c:pt>
              </c:numCache>
            </c:numRef>
          </c:val>
          <c:extLst xmlns:c16r2="http://schemas.microsoft.com/office/drawing/2015/06/chart">
            <c:ext xmlns:c16="http://schemas.microsoft.com/office/drawing/2014/chart" uri="{C3380CC4-5D6E-409C-BE32-E72D297353CC}">
              <c16:uniqueId val="{00000003-9480-4010-B9C3-8FFA91A95BA1}"/>
            </c:ext>
          </c:extLst>
        </c:ser>
        <c:ser>
          <c:idx val="4"/>
          <c:order val="4"/>
          <c:tx>
            <c:strRef>
              <c:f>'TABLERO 2019'!$H$8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2019'!$C$23</c:f>
              <c:strCache>
                <c:ptCount val="1"/>
                <c:pt idx="0">
                  <c:v>Desarrollo comunitario</c:v>
                </c:pt>
              </c:strCache>
            </c:strRef>
          </c:cat>
          <c:val>
            <c:numRef>
              <c:f>'TABLERO 2019'!$H$23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9480-4010-B9C3-8FFA91A95BA1}"/>
            </c:ext>
          </c:extLst>
        </c:ser>
        <c:ser>
          <c:idx val="5"/>
          <c:order val="5"/>
          <c:tx>
            <c:strRef>
              <c:f>'TABLERO 2019'!$J$8</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2019'!$C$23</c:f>
              <c:strCache>
                <c:ptCount val="1"/>
                <c:pt idx="0">
                  <c:v>Desarrollo comunitario</c:v>
                </c:pt>
              </c:strCache>
            </c:strRef>
          </c:cat>
          <c:val>
            <c:numRef>
              <c:f>'TABLERO 2019'!$J$23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9480-4010-B9C3-8FFA91A95BA1}"/>
            </c:ext>
          </c:extLst>
        </c:ser>
        <c:ser>
          <c:idx val="6"/>
          <c:order val="6"/>
          <c:tx>
            <c:strRef>
              <c:f>'TABLERO 2019'!$L$8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2019'!$C$23</c:f>
              <c:strCache>
                <c:ptCount val="1"/>
                <c:pt idx="0">
                  <c:v>Desarrollo comunitario</c:v>
                </c:pt>
              </c:strCache>
            </c:strRef>
          </c:cat>
          <c:val>
            <c:numRef>
              <c:f>'TABLERO 2019'!$L$23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9480-4010-B9C3-8FFA91A95BA1}"/>
            </c:ext>
          </c:extLst>
        </c:ser>
        <c:dLbls>
          <c:showLegendKey val="0"/>
          <c:showVal val="0"/>
          <c:showCatName val="0"/>
          <c:showSerName val="0"/>
          <c:showPercent val="0"/>
          <c:showBubbleSize val="0"/>
        </c:dLbls>
        <c:gapWidth val="75"/>
        <c:overlap val="-25"/>
        <c:axId val="139502080"/>
        <c:axId val="142707520"/>
      </c:barChart>
      <c:catAx>
        <c:axId val="139502080"/>
        <c:scaling>
          <c:orientation val="minMax"/>
        </c:scaling>
        <c:delete val="0"/>
        <c:axPos val="b"/>
        <c:numFmt formatCode="General" sourceLinked="0"/>
        <c:majorTickMark val="none"/>
        <c:minorTickMark val="none"/>
        <c:tickLblPos val="nextTo"/>
        <c:txPr>
          <a:bodyPr/>
          <a:lstStyle/>
          <a:p>
            <a:pPr>
              <a:defRPr lang="es-ES"/>
            </a:pPr>
            <a:endParaRPr lang="es-CO"/>
          </a:p>
        </c:txPr>
        <c:crossAx val="142707520"/>
        <c:crosses val="autoZero"/>
        <c:auto val="1"/>
        <c:lblAlgn val="ctr"/>
        <c:lblOffset val="100"/>
        <c:noMultiLvlLbl val="0"/>
      </c:catAx>
      <c:valAx>
        <c:axId val="142707520"/>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39502080"/>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a:t>
            </a:r>
            <a:r>
              <a:rPr lang="es-CO" sz="1600" baseline="0"/>
              <a:t> METAS SECTOR FORTAL.INSTITUCIONAL 2017</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2016'!$C$21</c:f>
              <c:strCache>
                <c:ptCount val="1"/>
                <c:pt idx="0">
                  <c:v>Fortalecimiento institucional</c:v>
                </c:pt>
              </c:strCache>
            </c:strRef>
          </c:cat>
          <c:val>
            <c:numRef>
              <c:f>'TABLERO 2016'!$D$21</c:f>
            </c:numRef>
          </c:val>
          <c:extLst xmlns:c16r2="http://schemas.microsoft.com/office/drawing/2015/06/chart">
            <c:ext xmlns:c16="http://schemas.microsoft.com/office/drawing/2014/chart" uri="{C3380CC4-5D6E-409C-BE32-E72D297353CC}">
              <c16:uniqueId val="{00000000-8E04-447E-BDFD-FBED6688588F}"/>
            </c:ext>
          </c:extLst>
        </c:ser>
        <c:ser>
          <c:idx val="1"/>
          <c:order val="1"/>
          <c:tx>
            <c:strRef>
              <c:f>'TABLERO 2019'!$D$8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2019'!$C$24</c:f>
              <c:strCache>
                <c:ptCount val="1"/>
                <c:pt idx="0">
                  <c:v>Fortalecimiento institucional</c:v>
                </c:pt>
              </c:strCache>
            </c:strRef>
          </c:cat>
          <c:val>
            <c:numRef>
              <c:f>'TABLERO 2019'!$D$24</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1-8E04-447E-BDFD-FBED6688588F}"/>
            </c:ext>
          </c:extLst>
        </c:ser>
        <c:ser>
          <c:idx val="2"/>
          <c:order val="2"/>
          <c:tx>
            <c:strRef>
              <c:f>'TABLERO 2019'!$E$8</c:f>
              <c:strCache>
                <c:ptCount val="1"/>
                <c:pt idx="0">
                  <c:v>PROGRAMADAS 2019</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2019'!$C$24</c:f>
              <c:strCache>
                <c:ptCount val="1"/>
                <c:pt idx="0">
                  <c:v>Fortalecimiento institucional</c:v>
                </c:pt>
              </c:strCache>
            </c:strRef>
          </c:cat>
          <c:val>
            <c:numRef>
              <c:f>'TABLERO 2019'!$E$24</c:f>
              <c:numCache>
                <c:formatCode>General</c:formatCode>
                <c:ptCount val="1"/>
                <c:pt idx="0">
                  <c:v>19</c:v>
                </c:pt>
              </c:numCache>
            </c:numRef>
          </c:val>
          <c:extLst xmlns:c16r2="http://schemas.microsoft.com/office/drawing/2015/06/chart">
            <c:ext xmlns:c16="http://schemas.microsoft.com/office/drawing/2014/chart" uri="{C3380CC4-5D6E-409C-BE32-E72D297353CC}">
              <c16:uniqueId val="{00000002-8E04-447E-BDFD-FBED6688588F}"/>
            </c:ext>
          </c:extLst>
        </c:ser>
        <c:ser>
          <c:idx val="3"/>
          <c:order val="3"/>
          <c:tx>
            <c:strRef>
              <c:f>'TABLERO 2019'!$F$8</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2019'!$C$24</c:f>
              <c:strCache>
                <c:ptCount val="1"/>
                <c:pt idx="0">
                  <c:v>Fortalecimiento institucional</c:v>
                </c:pt>
              </c:strCache>
            </c:strRef>
          </c:cat>
          <c:val>
            <c:numRef>
              <c:f>'TABLERO 2019'!$F$24</c:f>
              <c:numCache>
                <c:formatCode>General</c:formatCode>
                <c:ptCount val="1"/>
                <c:pt idx="0">
                  <c:v>15</c:v>
                </c:pt>
              </c:numCache>
            </c:numRef>
          </c:val>
          <c:extLst xmlns:c16r2="http://schemas.microsoft.com/office/drawing/2015/06/chart">
            <c:ext xmlns:c16="http://schemas.microsoft.com/office/drawing/2014/chart" uri="{C3380CC4-5D6E-409C-BE32-E72D297353CC}">
              <c16:uniqueId val="{00000003-8E04-447E-BDFD-FBED6688588F}"/>
            </c:ext>
          </c:extLst>
        </c:ser>
        <c:ser>
          <c:idx val="4"/>
          <c:order val="4"/>
          <c:tx>
            <c:strRef>
              <c:f>'TABLERO 2019'!$H$8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2019'!$C$24</c:f>
              <c:strCache>
                <c:ptCount val="1"/>
                <c:pt idx="0">
                  <c:v>Fortalecimiento institucional</c:v>
                </c:pt>
              </c:strCache>
            </c:strRef>
          </c:cat>
          <c:val>
            <c:numRef>
              <c:f>'TABLERO 2019'!$H$24</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8E04-447E-BDFD-FBED6688588F}"/>
            </c:ext>
          </c:extLst>
        </c:ser>
        <c:ser>
          <c:idx val="5"/>
          <c:order val="5"/>
          <c:tx>
            <c:strRef>
              <c:f>'TABLERO 2019'!$J$8</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2019'!$C$24</c:f>
              <c:strCache>
                <c:ptCount val="1"/>
                <c:pt idx="0">
                  <c:v>Fortalecimiento institucional</c:v>
                </c:pt>
              </c:strCache>
            </c:strRef>
          </c:cat>
          <c:val>
            <c:numRef>
              <c:f>'TABLERO 2019'!$J$24</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5-8E04-447E-BDFD-FBED6688588F}"/>
            </c:ext>
          </c:extLst>
        </c:ser>
        <c:ser>
          <c:idx val="6"/>
          <c:order val="6"/>
          <c:tx>
            <c:strRef>
              <c:f>'TABLERO 2019'!$L$8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2019'!$C$24</c:f>
              <c:strCache>
                <c:ptCount val="1"/>
                <c:pt idx="0">
                  <c:v>Fortalecimiento institucional</c:v>
                </c:pt>
              </c:strCache>
            </c:strRef>
          </c:cat>
          <c:val>
            <c:numRef>
              <c:f>'TABLERO 2019'!$L$24</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8E04-447E-BDFD-FBED6688588F}"/>
            </c:ext>
          </c:extLst>
        </c:ser>
        <c:dLbls>
          <c:showLegendKey val="0"/>
          <c:showVal val="0"/>
          <c:showCatName val="0"/>
          <c:showSerName val="0"/>
          <c:showPercent val="0"/>
          <c:showBubbleSize val="0"/>
        </c:dLbls>
        <c:gapWidth val="75"/>
        <c:overlap val="-25"/>
        <c:axId val="142253056"/>
        <c:axId val="142710400"/>
      </c:barChart>
      <c:catAx>
        <c:axId val="142253056"/>
        <c:scaling>
          <c:orientation val="minMax"/>
        </c:scaling>
        <c:delete val="0"/>
        <c:axPos val="b"/>
        <c:numFmt formatCode="General" sourceLinked="0"/>
        <c:majorTickMark val="none"/>
        <c:minorTickMark val="none"/>
        <c:tickLblPos val="nextTo"/>
        <c:txPr>
          <a:bodyPr/>
          <a:lstStyle/>
          <a:p>
            <a:pPr>
              <a:defRPr lang="es-ES"/>
            </a:pPr>
            <a:endParaRPr lang="es-CO"/>
          </a:p>
        </c:txPr>
        <c:crossAx val="142710400"/>
        <c:crosses val="autoZero"/>
        <c:auto val="1"/>
        <c:lblAlgn val="ctr"/>
        <c:lblOffset val="100"/>
        <c:noMultiLvlLbl val="0"/>
      </c:catAx>
      <c:valAx>
        <c:axId val="142710400"/>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42253056"/>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a:t>
            </a:r>
            <a:r>
              <a:rPr lang="es-CO" sz="1600" baseline="0"/>
              <a:t> METAS SECTORES JUSTICIA Y SEGURIDAD  2017</a:t>
            </a:r>
            <a:endParaRPr lang="es-CO" sz="1600"/>
          </a:p>
        </c:rich>
      </c:tx>
      <c:overlay val="0"/>
    </c:title>
    <c:autoTitleDeleted val="0"/>
    <c:plotArea>
      <c:layout/>
      <c:barChart>
        <c:barDir val="col"/>
        <c:grouping val="clustered"/>
        <c:varyColors val="0"/>
        <c:ser>
          <c:idx val="1"/>
          <c:order val="1"/>
          <c:tx>
            <c:strRef>
              <c:f>'TABLERO 2019'!$D$8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2019'!$C$25</c:f>
              <c:strCache>
                <c:ptCount val="1"/>
                <c:pt idx="0">
                  <c:v>Justicia y seguridad</c:v>
                </c:pt>
              </c:strCache>
            </c:strRef>
          </c:cat>
          <c:val>
            <c:numRef>
              <c:f>'TABLERO 2019'!$D$25</c:f>
              <c:numCache>
                <c:formatCode>General</c:formatCode>
                <c:ptCount val="1"/>
                <c:pt idx="0">
                  <c:v>28</c:v>
                </c:pt>
              </c:numCache>
            </c:numRef>
          </c:val>
          <c:extLst xmlns:c16r2="http://schemas.microsoft.com/office/drawing/2015/06/chart">
            <c:ext xmlns:c16="http://schemas.microsoft.com/office/drawing/2014/chart" uri="{C3380CC4-5D6E-409C-BE32-E72D297353CC}">
              <c16:uniqueId val="{00000000-BB9E-41FE-A9A1-4FE0D75691D9}"/>
            </c:ext>
          </c:extLst>
        </c:ser>
        <c:ser>
          <c:idx val="2"/>
          <c:order val="2"/>
          <c:tx>
            <c:strRef>
              <c:f>'TABLERO 2019'!$E$8</c:f>
              <c:strCache>
                <c:ptCount val="1"/>
                <c:pt idx="0">
                  <c:v>PROGRAMADAS 2019</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2019'!$C$25</c:f>
              <c:strCache>
                <c:ptCount val="1"/>
                <c:pt idx="0">
                  <c:v>Justicia y seguridad</c:v>
                </c:pt>
              </c:strCache>
            </c:strRef>
          </c:cat>
          <c:val>
            <c:numRef>
              <c:f>'TABLERO 2019'!$E$25</c:f>
              <c:numCache>
                <c:formatCode>General</c:formatCode>
                <c:ptCount val="1"/>
                <c:pt idx="0">
                  <c:v>23</c:v>
                </c:pt>
              </c:numCache>
            </c:numRef>
          </c:val>
          <c:extLst xmlns:c16r2="http://schemas.microsoft.com/office/drawing/2015/06/chart">
            <c:ext xmlns:c16="http://schemas.microsoft.com/office/drawing/2014/chart" uri="{C3380CC4-5D6E-409C-BE32-E72D297353CC}">
              <c16:uniqueId val="{00000001-BB9E-41FE-A9A1-4FE0D75691D9}"/>
            </c:ext>
          </c:extLst>
        </c:ser>
        <c:ser>
          <c:idx val="3"/>
          <c:order val="3"/>
          <c:tx>
            <c:strRef>
              <c:f>'TABLERO 2019'!$F$8</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2019'!$C$25</c:f>
              <c:strCache>
                <c:ptCount val="1"/>
                <c:pt idx="0">
                  <c:v>Justicia y seguridad</c:v>
                </c:pt>
              </c:strCache>
            </c:strRef>
          </c:cat>
          <c:val>
            <c:numRef>
              <c:f>'TABLERO 2019'!$F$25</c:f>
              <c:numCache>
                <c:formatCode>General</c:formatCode>
                <c:ptCount val="1"/>
                <c:pt idx="0">
                  <c:v>19</c:v>
                </c:pt>
              </c:numCache>
            </c:numRef>
          </c:val>
          <c:extLst xmlns:c16r2="http://schemas.microsoft.com/office/drawing/2015/06/chart">
            <c:ext xmlns:c16="http://schemas.microsoft.com/office/drawing/2014/chart" uri="{C3380CC4-5D6E-409C-BE32-E72D297353CC}">
              <c16:uniqueId val="{00000002-BB9E-41FE-A9A1-4FE0D75691D9}"/>
            </c:ext>
          </c:extLst>
        </c:ser>
        <c:ser>
          <c:idx val="4"/>
          <c:order val="4"/>
          <c:tx>
            <c:strRef>
              <c:f>'TABLERO 2019'!$H$8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2019'!$C$25</c:f>
              <c:strCache>
                <c:ptCount val="1"/>
                <c:pt idx="0">
                  <c:v>Justicia y seguridad</c:v>
                </c:pt>
              </c:strCache>
            </c:strRef>
          </c:cat>
          <c:val>
            <c:numRef>
              <c:f>'TABLERO 2019'!$H$25</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3-BB9E-41FE-A9A1-4FE0D75691D9}"/>
            </c:ext>
          </c:extLst>
        </c:ser>
        <c:ser>
          <c:idx val="5"/>
          <c:order val="5"/>
          <c:tx>
            <c:strRef>
              <c:f>'TABLERO 2019'!$J$8</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2019'!$C$25</c:f>
              <c:strCache>
                <c:ptCount val="1"/>
                <c:pt idx="0">
                  <c:v>Justicia y seguridad</c:v>
                </c:pt>
              </c:strCache>
            </c:strRef>
          </c:cat>
          <c:val>
            <c:numRef>
              <c:f>'TABLERO 2019'!$J$25</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BB9E-41FE-A9A1-4FE0D75691D9}"/>
            </c:ext>
          </c:extLst>
        </c:ser>
        <c:ser>
          <c:idx val="6"/>
          <c:order val="6"/>
          <c:tx>
            <c:strRef>
              <c:f>'TABLERO 2019'!$L$8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2019'!$C$25</c:f>
              <c:strCache>
                <c:ptCount val="1"/>
                <c:pt idx="0">
                  <c:v>Justicia y seguridad</c:v>
                </c:pt>
              </c:strCache>
            </c:strRef>
          </c:cat>
          <c:val>
            <c:numRef>
              <c:f>'TABLERO 2019'!$L$25</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BB9E-41FE-A9A1-4FE0D75691D9}"/>
            </c:ext>
          </c:extLst>
        </c:ser>
        <c:ser>
          <c:idx val="0"/>
          <c:order val="0"/>
          <c:tx>
            <c:strRef>
              <c:f>'TABLERO 2016'!$D$5</c:f>
              <c:strCache>
                <c:ptCount val="1"/>
                <c:pt idx="0">
                  <c:v>MR</c:v>
                </c:pt>
              </c:strCache>
            </c:strRef>
          </c:tx>
          <c:invertIfNegative val="0"/>
          <c:cat>
            <c:strRef>
              <c:f>'TABLERO 2016'!$C$22</c:f>
              <c:strCache>
                <c:ptCount val="1"/>
                <c:pt idx="0">
                  <c:v>Justicia y seguridad</c:v>
                </c:pt>
              </c:strCache>
            </c:strRef>
          </c:cat>
          <c:val>
            <c:numRef>
              <c:f>'TABLERO 2016'!$D$22</c:f>
            </c:numRef>
          </c:val>
          <c:extLst xmlns:c16r2="http://schemas.microsoft.com/office/drawing/2015/06/chart">
            <c:ext xmlns:c16="http://schemas.microsoft.com/office/drawing/2014/chart" uri="{C3380CC4-5D6E-409C-BE32-E72D297353CC}">
              <c16:uniqueId val="{00000006-BB9E-41FE-A9A1-4FE0D75691D9}"/>
            </c:ext>
          </c:extLst>
        </c:ser>
        <c:dLbls>
          <c:showLegendKey val="0"/>
          <c:showVal val="0"/>
          <c:showCatName val="0"/>
          <c:showSerName val="0"/>
          <c:showPercent val="0"/>
          <c:showBubbleSize val="0"/>
        </c:dLbls>
        <c:gapWidth val="75"/>
        <c:overlap val="-25"/>
        <c:axId val="139503616"/>
        <c:axId val="142711552"/>
      </c:barChart>
      <c:catAx>
        <c:axId val="139503616"/>
        <c:scaling>
          <c:orientation val="minMax"/>
        </c:scaling>
        <c:delete val="0"/>
        <c:axPos val="b"/>
        <c:numFmt formatCode="General" sourceLinked="0"/>
        <c:majorTickMark val="none"/>
        <c:minorTickMark val="none"/>
        <c:tickLblPos val="nextTo"/>
        <c:txPr>
          <a:bodyPr/>
          <a:lstStyle/>
          <a:p>
            <a:pPr>
              <a:defRPr lang="es-ES"/>
            </a:pPr>
            <a:endParaRPr lang="es-CO"/>
          </a:p>
        </c:txPr>
        <c:crossAx val="142711552"/>
        <c:crosses val="autoZero"/>
        <c:auto val="1"/>
        <c:lblAlgn val="ctr"/>
        <c:lblOffset val="100"/>
        <c:noMultiLvlLbl val="0"/>
      </c:catAx>
      <c:valAx>
        <c:axId val="142711552"/>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39503616"/>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1919198834446192E-2"/>
          <c:y val="0.16370370370370371"/>
          <c:w val="0.93033682321519084"/>
          <c:h val="0.47091340593920011"/>
        </c:manualLayout>
      </c:layout>
      <c:barChart>
        <c:barDir val="col"/>
        <c:grouping val="clustered"/>
        <c:varyColors val="0"/>
        <c:ser>
          <c:idx val="0"/>
          <c:order val="0"/>
          <c:tx>
            <c:strRef>
              <c:f>'TABLERO 2019'!$P$8</c:f>
              <c:strCache>
                <c:ptCount val="1"/>
                <c:pt idx="0">
                  <c:v>2016</c:v>
                </c:pt>
              </c:strCache>
            </c:strRef>
          </c:tx>
          <c:spPr>
            <a:solidFill>
              <a:schemeClr val="accent1"/>
            </a:solidFill>
            <a:ln>
              <a:noFill/>
            </a:ln>
            <a:effectLst/>
          </c:spPr>
          <c:invertIfNegative val="0"/>
          <c:cat>
            <c:strRef>
              <c:f>'TABLERO 2019'!$C$9:$C$25</c:f>
              <c:strCache>
                <c:ptCount val="17"/>
                <c:pt idx="0">
                  <c:v>Educación</c:v>
                </c:pt>
                <c:pt idx="1">
                  <c:v>Salud</c:v>
                </c:pt>
                <c:pt idx="2">
                  <c:v>APSB</c:v>
                </c:pt>
                <c:pt idx="3">
                  <c:v>Deporte y Recreación</c:v>
                </c:pt>
                <c:pt idx="4">
                  <c:v>Cultura</c:v>
                </c:pt>
                <c:pt idx="5">
                  <c:v>Otros Servicios Públicos</c:v>
                </c:pt>
                <c:pt idx="6">
                  <c:v>Vivienda</c:v>
                </c:pt>
                <c:pt idx="7">
                  <c:v>Agropecuario</c:v>
                </c:pt>
                <c:pt idx="8">
                  <c:v>Transporte</c:v>
                </c:pt>
                <c:pt idx="9">
                  <c:v>Ambiental</c:v>
                </c:pt>
                <c:pt idx="10">
                  <c:v>Prevención y atención de desastres</c:v>
                </c:pt>
                <c:pt idx="11">
                  <c:v>Desarrollo Económico/Promoción del desarrollo</c:v>
                </c:pt>
                <c:pt idx="12">
                  <c:v>Atención a grupos vulnerables - promoción social</c:v>
                </c:pt>
                <c:pt idx="13">
                  <c:v>Equipamiento </c:v>
                </c:pt>
                <c:pt idx="14">
                  <c:v>Desarrollo comunitario</c:v>
                </c:pt>
                <c:pt idx="15">
                  <c:v>Fortalecimiento institucional</c:v>
                </c:pt>
                <c:pt idx="16">
                  <c:v>Justicia y seguridad</c:v>
                </c:pt>
              </c:strCache>
            </c:strRef>
          </c:cat>
          <c:val>
            <c:numRef>
              <c:f>'TABLERO 2019'!$P$9:$P$25</c:f>
              <c:numCache>
                <c:formatCode>_-* #,##0.00_-;\-* #,##0.00_-;_-* "-"??_-;_-@_-</c:formatCode>
                <c:ptCount val="17"/>
                <c:pt idx="0">
                  <c:v>66.666666666666671</c:v>
                </c:pt>
                <c:pt idx="1">
                  <c:v>100</c:v>
                </c:pt>
                <c:pt idx="2">
                  <c:v>97.727272727272734</c:v>
                </c:pt>
                <c:pt idx="3">
                  <c:v>76.47058823529413</c:v>
                </c:pt>
                <c:pt idx="4">
                  <c:v>91.666666666666657</c:v>
                </c:pt>
                <c:pt idx="5">
                  <c:v>75</c:v>
                </c:pt>
                <c:pt idx="6">
                  <c:v>60.000000000000007</c:v>
                </c:pt>
                <c:pt idx="7">
                  <c:v>94.73684210526315</c:v>
                </c:pt>
                <c:pt idx="8">
                  <c:v>76.470588235294116</c:v>
                </c:pt>
                <c:pt idx="9">
                  <c:v>100</c:v>
                </c:pt>
                <c:pt idx="10">
                  <c:v>100</c:v>
                </c:pt>
                <c:pt idx="11">
                  <c:v>70</c:v>
                </c:pt>
                <c:pt idx="12">
                  <c:v>67.910447761194021</c:v>
                </c:pt>
                <c:pt idx="13">
                  <c:v>50</c:v>
                </c:pt>
                <c:pt idx="14">
                  <c:v>100</c:v>
                </c:pt>
                <c:pt idx="15">
                  <c:v>83.333333333333343</c:v>
                </c:pt>
                <c:pt idx="16">
                  <c:v>86.956521739130437</c:v>
                </c:pt>
              </c:numCache>
            </c:numRef>
          </c:val>
          <c:extLst xmlns:c16r2="http://schemas.microsoft.com/office/drawing/2015/06/chart">
            <c:ext xmlns:c16="http://schemas.microsoft.com/office/drawing/2014/chart" uri="{C3380CC4-5D6E-409C-BE32-E72D297353CC}">
              <c16:uniqueId val="{00000000-1227-49C8-AB80-1E28BE934364}"/>
            </c:ext>
          </c:extLst>
        </c:ser>
        <c:ser>
          <c:idx val="1"/>
          <c:order val="1"/>
          <c:tx>
            <c:strRef>
              <c:f>'TABLERO 2019'!$Q$8</c:f>
              <c:strCache>
                <c:ptCount val="1"/>
                <c:pt idx="0">
                  <c:v>2017</c:v>
                </c:pt>
              </c:strCache>
            </c:strRef>
          </c:tx>
          <c:spPr>
            <a:solidFill>
              <a:schemeClr val="accent2"/>
            </a:solidFill>
            <a:ln>
              <a:noFill/>
            </a:ln>
            <a:effectLst/>
          </c:spPr>
          <c:invertIfNegative val="0"/>
          <c:cat>
            <c:strRef>
              <c:f>'TABLERO 2019'!$C$9:$C$25</c:f>
              <c:strCache>
                <c:ptCount val="17"/>
                <c:pt idx="0">
                  <c:v>Educación</c:v>
                </c:pt>
                <c:pt idx="1">
                  <c:v>Salud</c:v>
                </c:pt>
                <c:pt idx="2">
                  <c:v>APSB</c:v>
                </c:pt>
                <c:pt idx="3">
                  <c:v>Deporte y Recreación</c:v>
                </c:pt>
                <c:pt idx="4">
                  <c:v>Cultura</c:v>
                </c:pt>
                <c:pt idx="5">
                  <c:v>Otros Servicios Públicos</c:v>
                </c:pt>
                <c:pt idx="6">
                  <c:v>Vivienda</c:v>
                </c:pt>
                <c:pt idx="7">
                  <c:v>Agropecuario</c:v>
                </c:pt>
                <c:pt idx="8">
                  <c:v>Transporte</c:v>
                </c:pt>
                <c:pt idx="9">
                  <c:v>Ambiental</c:v>
                </c:pt>
                <c:pt idx="10">
                  <c:v>Prevención y atención de desastres</c:v>
                </c:pt>
                <c:pt idx="11">
                  <c:v>Desarrollo Económico/Promoción del desarrollo</c:v>
                </c:pt>
                <c:pt idx="12">
                  <c:v>Atención a grupos vulnerables - promoción social</c:v>
                </c:pt>
                <c:pt idx="13">
                  <c:v>Equipamiento </c:v>
                </c:pt>
                <c:pt idx="14">
                  <c:v>Desarrollo comunitario</c:v>
                </c:pt>
                <c:pt idx="15">
                  <c:v>Fortalecimiento institucional</c:v>
                </c:pt>
                <c:pt idx="16">
                  <c:v>Justicia y seguridad</c:v>
                </c:pt>
              </c:strCache>
            </c:strRef>
          </c:cat>
          <c:val>
            <c:numRef>
              <c:f>'TABLERO 2019'!$Q$9:$Q$25</c:f>
              <c:numCache>
                <c:formatCode>_-* #,##0.00_-;\-* #,##0.00_-;_-* "-"??_-;_-@_-</c:formatCode>
                <c:ptCount val="17"/>
                <c:pt idx="0">
                  <c:v>93.548387096774192</c:v>
                </c:pt>
                <c:pt idx="1">
                  <c:v>91</c:v>
                </c:pt>
                <c:pt idx="2">
                  <c:v>89.130434782608688</c:v>
                </c:pt>
                <c:pt idx="3">
                  <c:v>84.210526315789465</c:v>
                </c:pt>
                <c:pt idx="4">
                  <c:v>91.935483870967744</c:v>
                </c:pt>
                <c:pt idx="5">
                  <c:v>66.666666666666657</c:v>
                </c:pt>
                <c:pt idx="6">
                  <c:v>91.666666666666671</c:v>
                </c:pt>
                <c:pt idx="7">
                  <c:v>94.444444444444443</c:v>
                </c:pt>
                <c:pt idx="8">
                  <c:v>86.842105263157904</c:v>
                </c:pt>
                <c:pt idx="9">
                  <c:v>89.285714285714292</c:v>
                </c:pt>
                <c:pt idx="10">
                  <c:v>88.461538461538453</c:v>
                </c:pt>
                <c:pt idx="11">
                  <c:v>67.64705882352942</c:v>
                </c:pt>
                <c:pt idx="12">
                  <c:v>88.888888888888886</c:v>
                </c:pt>
                <c:pt idx="13">
                  <c:v>60</c:v>
                </c:pt>
                <c:pt idx="14">
                  <c:v>100</c:v>
                </c:pt>
                <c:pt idx="15">
                  <c:v>95.454545454545453</c:v>
                </c:pt>
                <c:pt idx="16">
                  <c:v>92</c:v>
                </c:pt>
              </c:numCache>
            </c:numRef>
          </c:val>
          <c:extLst xmlns:c16r2="http://schemas.microsoft.com/office/drawing/2015/06/chart">
            <c:ext xmlns:c16="http://schemas.microsoft.com/office/drawing/2014/chart" uri="{C3380CC4-5D6E-409C-BE32-E72D297353CC}">
              <c16:uniqueId val="{00000001-1227-49C8-AB80-1E28BE934364}"/>
            </c:ext>
          </c:extLst>
        </c:ser>
        <c:ser>
          <c:idx val="2"/>
          <c:order val="2"/>
          <c:tx>
            <c:strRef>
              <c:f>'TABLERO 2019'!$R$8</c:f>
              <c:strCache>
                <c:ptCount val="1"/>
                <c:pt idx="0">
                  <c:v>2018</c:v>
                </c:pt>
              </c:strCache>
            </c:strRef>
          </c:tx>
          <c:spPr>
            <a:solidFill>
              <a:schemeClr val="accent3"/>
            </a:solidFill>
            <a:ln>
              <a:noFill/>
            </a:ln>
            <a:effectLst/>
          </c:spPr>
          <c:invertIfNegative val="0"/>
          <c:cat>
            <c:strRef>
              <c:f>'TABLERO 2019'!$C$9:$C$25</c:f>
              <c:strCache>
                <c:ptCount val="17"/>
                <c:pt idx="0">
                  <c:v>Educación</c:v>
                </c:pt>
                <c:pt idx="1">
                  <c:v>Salud</c:v>
                </c:pt>
                <c:pt idx="2">
                  <c:v>APSB</c:v>
                </c:pt>
                <c:pt idx="3">
                  <c:v>Deporte y Recreación</c:v>
                </c:pt>
                <c:pt idx="4">
                  <c:v>Cultura</c:v>
                </c:pt>
                <c:pt idx="5">
                  <c:v>Otros Servicios Públicos</c:v>
                </c:pt>
                <c:pt idx="6">
                  <c:v>Vivienda</c:v>
                </c:pt>
                <c:pt idx="7">
                  <c:v>Agropecuario</c:v>
                </c:pt>
                <c:pt idx="8">
                  <c:v>Transporte</c:v>
                </c:pt>
                <c:pt idx="9">
                  <c:v>Ambiental</c:v>
                </c:pt>
                <c:pt idx="10">
                  <c:v>Prevención y atención de desastres</c:v>
                </c:pt>
                <c:pt idx="11">
                  <c:v>Desarrollo Económico/Promoción del desarrollo</c:v>
                </c:pt>
                <c:pt idx="12">
                  <c:v>Atención a grupos vulnerables - promoción social</c:v>
                </c:pt>
                <c:pt idx="13">
                  <c:v>Equipamiento </c:v>
                </c:pt>
                <c:pt idx="14">
                  <c:v>Desarrollo comunitario</c:v>
                </c:pt>
                <c:pt idx="15">
                  <c:v>Fortalecimiento institucional</c:v>
                </c:pt>
                <c:pt idx="16">
                  <c:v>Justicia y seguridad</c:v>
                </c:pt>
              </c:strCache>
            </c:strRef>
          </c:cat>
          <c:val>
            <c:numRef>
              <c:f>'TABLERO 2019'!$R$9:$R$25</c:f>
              <c:numCache>
                <c:formatCode>_-* #,##0.00_-;\-* #,##0.00_-;_-* "-"??_-;_-@_-</c:formatCode>
                <c:ptCount val="17"/>
                <c:pt idx="0">
                  <c:v>93.75</c:v>
                </c:pt>
                <c:pt idx="1">
                  <c:v>91.525423728813564</c:v>
                </c:pt>
                <c:pt idx="2">
                  <c:v>90.909090909090907</c:v>
                </c:pt>
                <c:pt idx="3">
                  <c:v>93.333333333333329</c:v>
                </c:pt>
                <c:pt idx="4">
                  <c:v>89.285714285714292</c:v>
                </c:pt>
                <c:pt idx="5">
                  <c:v>66.666666666666657</c:v>
                </c:pt>
                <c:pt idx="6">
                  <c:v>42.857142857142854</c:v>
                </c:pt>
                <c:pt idx="7">
                  <c:v>83.333333333333343</c:v>
                </c:pt>
                <c:pt idx="8">
                  <c:v>64.705882352941174</c:v>
                </c:pt>
                <c:pt idx="9">
                  <c:v>76.470588235294116</c:v>
                </c:pt>
                <c:pt idx="10">
                  <c:v>100</c:v>
                </c:pt>
                <c:pt idx="11">
                  <c:v>68.181818181818173</c:v>
                </c:pt>
                <c:pt idx="12">
                  <c:v>93.506493506493499</c:v>
                </c:pt>
                <c:pt idx="13">
                  <c:v>80</c:v>
                </c:pt>
                <c:pt idx="14">
                  <c:v>100</c:v>
                </c:pt>
                <c:pt idx="15">
                  <c:v>100</c:v>
                </c:pt>
                <c:pt idx="16">
                  <c:v>73.809523809523796</c:v>
                </c:pt>
              </c:numCache>
            </c:numRef>
          </c:val>
          <c:extLst xmlns:c16r2="http://schemas.microsoft.com/office/drawing/2015/06/chart">
            <c:ext xmlns:c16="http://schemas.microsoft.com/office/drawing/2014/chart" uri="{C3380CC4-5D6E-409C-BE32-E72D297353CC}">
              <c16:uniqueId val="{00000002-1227-49C8-AB80-1E28BE934364}"/>
            </c:ext>
          </c:extLst>
        </c:ser>
        <c:ser>
          <c:idx val="3"/>
          <c:order val="3"/>
          <c:tx>
            <c:strRef>
              <c:f>'TABLERO 2019'!$S$8</c:f>
              <c:strCache>
                <c:ptCount val="1"/>
                <c:pt idx="0">
                  <c:v>2019</c:v>
                </c:pt>
              </c:strCache>
            </c:strRef>
          </c:tx>
          <c:spPr>
            <a:solidFill>
              <a:schemeClr val="accent4"/>
            </a:solidFill>
            <a:ln>
              <a:noFill/>
            </a:ln>
            <a:effectLst/>
          </c:spPr>
          <c:invertIfNegative val="0"/>
          <c:cat>
            <c:strRef>
              <c:f>'TABLERO 2019'!$C$9:$C$25</c:f>
              <c:strCache>
                <c:ptCount val="17"/>
                <c:pt idx="0">
                  <c:v>Educación</c:v>
                </c:pt>
                <c:pt idx="1">
                  <c:v>Salud</c:v>
                </c:pt>
                <c:pt idx="2">
                  <c:v>APSB</c:v>
                </c:pt>
                <c:pt idx="3">
                  <c:v>Deporte y Recreación</c:v>
                </c:pt>
                <c:pt idx="4">
                  <c:v>Cultura</c:v>
                </c:pt>
                <c:pt idx="5">
                  <c:v>Otros Servicios Públicos</c:v>
                </c:pt>
                <c:pt idx="6">
                  <c:v>Vivienda</c:v>
                </c:pt>
                <c:pt idx="7">
                  <c:v>Agropecuario</c:v>
                </c:pt>
                <c:pt idx="8">
                  <c:v>Transporte</c:v>
                </c:pt>
                <c:pt idx="9">
                  <c:v>Ambiental</c:v>
                </c:pt>
                <c:pt idx="10">
                  <c:v>Prevención y atención de desastres</c:v>
                </c:pt>
                <c:pt idx="11">
                  <c:v>Desarrollo Económico/Promoción del desarrollo</c:v>
                </c:pt>
                <c:pt idx="12">
                  <c:v>Atención a grupos vulnerables - promoción social</c:v>
                </c:pt>
                <c:pt idx="13">
                  <c:v>Equipamiento </c:v>
                </c:pt>
                <c:pt idx="14">
                  <c:v>Desarrollo comunitario</c:v>
                </c:pt>
                <c:pt idx="15">
                  <c:v>Fortalecimiento institucional</c:v>
                </c:pt>
                <c:pt idx="16">
                  <c:v>Justicia y seguridad</c:v>
                </c:pt>
              </c:strCache>
            </c:strRef>
          </c:cat>
          <c:val>
            <c:numRef>
              <c:f>'TABLERO 2019'!$S$9:$S$25</c:f>
              <c:numCache>
                <c:formatCode>_-* #,##0.00_-;\-* #,##0.00_-;_-* "-"??_-;_-@_-</c:formatCode>
                <c:ptCount val="17"/>
                <c:pt idx="0">
                  <c:v>82.758620689655174</c:v>
                </c:pt>
                <c:pt idx="1">
                  <c:v>93.442622950819683</c:v>
                </c:pt>
                <c:pt idx="2">
                  <c:v>54</c:v>
                </c:pt>
                <c:pt idx="3">
                  <c:v>87.5</c:v>
                </c:pt>
                <c:pt idx="4">
                  <c:v>92</c:v>
                </c:pt>
                <c:pt idx="5">
                  <c:v>0</c:v>
                </c:pt>
                <c:pt idx="6">
                  <c:v>66.666666666666657</c:v>
                </c:pt>
                <c:pt idx="7">
                  <c:v>65.384615384615387</c:v>
                </c:pt>
                <c:pt idx="8">
                  <c:v>77.777777777777786</c:v>
                </c:pt>
                <c:pt idx="9">
                  <c:v>75</c:v>
                </c:pt>
                <c:pt idx="10">
                  <c:v>45.833333333333336</c:v>
                </c:pt>
                <c:pt idx="11">
                  <c:v>31.578947368421051</c:v>
                </c:pt>
                <c:pt idx="12">
                  <c:v>75.925925925925924</c:v>
                </c:pt>
                <c:pt idx="13">
                  <c:v>50</c:v>
                </c:pt>
                <c:pt idx="14">
                  <c:v>100</c:v>
                </c:pt>
                <c:pt idx="15">
                  <c:v>94.444444444444443</c:v>
                </c:pt>
                <c:pt idx="16">
                  <c:v>86.956521739130437</c:v>
                </c:pt>
              </c:numCache>
            </c:numRef>
          </c:val>
          <c:extLst xmlns:c16r2="http://schemas.microsoft.com/office/drawing/2015/06/chart">
            <c:ext xmlns:c16="http://schemas.microsoft.com/office/drawing/2014/chart" uri="{C3380CC4-5D6E-409C-BE32-E72D297353CC}">
              <c16:uniqueId val="{00000003-1227-49C8-AB80-1E28BE934364}"/>
            </c:ext>
          </c:extLst>
        </c:ser>
        <c:dLbls>
          <c:showLegendKey val="0"/>
          <c:showVal val="0"/>
          <c:showCatName val="0"/>
          <c:showSerName val="0"/>
          <c:showPercent val="0"/>
          <c:showBubbleSize val="0"/>
        </c:dLbls>
        <c:gapWidth val="219"/>
        <c:overlap val="-27"/>
        <c:axId val="139505152"/>
        <c:axId val="139838016"/>
      </c:barChart>
      <c:catAx>
        <c:axId val="139505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9838016"/>
        <c:crosses val="autoZero"/>
        <c:auto val="1"/>
        <c:lblAlgn val="ctr"/>
        <c:lblOffset val="100"/>
        <c:noMultiLvlLbl val="0"/>
      </c:catAx>
      <c:valAx>
        <c:axId val="139838016"/>
        <c:scaling>
          <c:orientation val="minMax"/>
        </c:scaling>
        <c:delete val="0"/>
        <c:axPos val="l"/>
        <c:majorGridlines>
          <c:spPr>
            <a:ln w="9525" cap="flat" cmpd="sng" algn="ctr">
              <a:solidFill>
                <a:schemeClr val="tx1">
                  <a:lumMod val="15000"/>
                  <a:lumOff val="85000"/>
                </a:schemeClr>
              </a:solidFill>
              <a:round/>
            </a:ln>
            <a:effectLst/>
          </c:spPr>
        </c:majorGridlines>
        <c:numFmt formatCode="_-* #,##0.00_-;\-* #,##0.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9505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n-US" sz="1600"/>
              <a:t>AVANCE METAS SECTOR D. RURAL</a:t>
            </a:r>
            <a:r>
              <a:rPr lang="en-US" sz="1600" baseline="0"/>
              <a:t> /</a:t>
            </a:r>
            <a:r>
              <a:rPr lang="en-US" sz="1600"/>
              <a:t>AGROPECUARIO 2016</a:t>
            </a:r>
          </a:p>
        </c:rich>
      </c:tx>
      <c:layout>
        <c:manualLayout>
          <c:xMode val="edge"/>
          <c:yMode val="edge"/>
          <c:x val="0.14127654582233673"/>
          <c:y val="0"/>
        </c:manualLayout>
      </c:layout>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2016'!$C$13</c:f>
              <c:strCache>
                <c:ptCount val="1"/>
                <c:pt idx="0">
                  <c:v>Agropecuario</c:v>
                </c:pt>
              </c:strCache>
            </c:strRef>
          </c:cat>
          <c:val>
            <c:numRef>
              <c:f>'TABLERO 2016'!$D$13</c:f>
            </c:numRef>
          </c:val>
          <c:extLst xmlns:c16r2="http://schemas.microsoft.com/office/drawing/2015/06/chart">
            <c:ext xmlns:c16="http://schemas.microsoft.com/office/drawing/2014/chart" uri="{C3380CC4-5D6E-409C-BE32-E72D297353CC}">
              <c16:uniqueId val="{00000000-FB69-4CF7-BDF9-AE5802E838EF}"/>
            </c:ext>
          </c:extLst>
        </c:ser>
        <c:ser>
          <c:idx val="1"/>
          <c:order val="1"/>
          <c:tx>
            <c:strRef>
              <c:f>'TABLERO 2016'!$E$5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2016'!$C$13</c:f>
              <c:strCache>
                <c:ptCount val="1"/>
                <c:pt idx="0">
                  <c:v>Agropecuario</c:v>
                </c:pt>
              </c:strCache>
            </c:strRef>
          </c:cat>
          <c:val>
            <c:numRef>
              <c:f>'TABLERO 2016'!$E$13</c:f>
              <c:numCache>
                <c:formatCode>General</c:formatCode>
                <c:ptCount val="1"/>
                <c:pt idx="0">
                  <c:v>33</c:v>
                </c:pt>
              </c:numCache>
            </c:numRef>
          </c:val>
          <c:extLst xmlns:c16r2="http://schemas.microsoft.com/office/drawing/2015/06/chart">
            <c:ext xmlns:c16="http://schemas.microsoft.com/office/drawing/2014/chart" uri="{C3380CC4-5D6E-409C-BE32-E72D297353CC}">
              <c16:uniqueId val="{00000001-FB69-4CF7-BDF9-AE5802E838EF}"/>
            </c:ext>
          </c:extLst>
        </c:ser>
        <c:ser>
          <c:idx val="2"/>
          <c:order val="2"/>
          <c:tx>
            <c:strRef>
              <c:f>'TABLERO 2016'!$F$5</c:f>
              <c:strCache>
                <c:ptCount val="1"/>
                <c:pt idx="0">
                  <c:v>PROGRAMADAS 2016</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2016'!$C$13</c:f>
              <c:strCache>
                <c:ptCount val="1"/>
                <c:pt idx="0">
                  <c:v>Agropecuario</c:v>
                </c:pt>
              </c:strCache>
            </c:strRef>
          </c:cat>
          <c:val>
            <c:numRef>
              <c:f>'TABLERO 2016'!$F$13</c:f>
              <c:numCache>
                <c:formatCode>General</c:formatCode>
                <c:ptCount val="1"/>
                <c:pt idx="0">
                  <c:v>19</c:v>
                </c:pt>
              </c:numCache>
            </c:numRef>
          </c:val>
          <c:extLst xmlns:c16r2="http://schemas.microsoft.com/office/drawing/2015/06/chart">
            <c:ext xmlns:c16="http://schemas.microsoft.com/office/drawing/2014/chart" uri="{C3380CC4-5D6E-409C-BE32-E72D297353CC}">
              <c16:uniqueId val="{00000002-FB69-4CF7-BDF9-AE5802E838EF}"/>
            </c:ext>
          </c:extLst>
        </c:ser>
        <c:ser>
          <c:idx val="3"/>
          <c:order val="3"/>
          <c:tx>
            <c:strRef>
              <c:f>'TABLERO 2016'!$G$5</c:f>
              <c:strCache>
                <c:ptCount val="1"/>
                <c:pt idx="0">
                  <c:v>VE</c:v>
                </c:pt>
              </c:strCache>
            </c:strRef>
          </c:tx>
          <c:spPr>
            <a:solidFill>
              <a:srgbClr val="FFFF00"/>
            </a:solidFill>
          </c:spPr>
          <c:invertIfNegative val="0"/>
          <c:dPt>
            <c:idx val="0"/>
            <c:invertIfNegative val="0"/>
            <c:bubble3D val="0"/>
            <c:spPr>
              <a:solidFill>
                <a:srgbClr val="92D050"/>
              </a:solidFill>
            </c:spPr>
            <c:extLst xmlns:c16r2="http://schemas.microsoft.com/office/drawing/2015/06/chart">
              <c:ext xmlns:c16="http://schemas.microsoft.com/office/drawing/2014/chart" uri="{C3380CC4-5D6E-409C-BE32-E72D297353CC}">
                <c16:uniqueId val="{00000004-FB69-4CF7-BDF9-AE5802E838EF}"/>
              </c:ext>
            </c:extLst>
          </c:dPt>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2016'!$C$13</c:f>
              <c:strCache>
                <c:ptCount val="1"/>
                <c:pt idx="0">
                  <c:v>Agropecuario</c:v>
                </c:pt>
              </c:strCache>
            </c:strRef>
          </c:cat>
          <c:val>
            <c:numRef>
              <c:f>'TABLERO 2016'!$G$13</c:f>
              <c:numCache>
                <c:formatCode>General</c:formatCode>
                <c:ptCount val="1"/>
                <c:pt idx="0">
                  <c:v>18</c:v>
                </c:pt>
              </c:numCache>
            </c:numRef>
          </c:val>
          <c:extLst xmlns:c16r2="http://schemas.microsoft.com/office/drawing/2015/06/chart">
            <c:ext xmlns:c16="http://schemas.microsoft.com/office/drawing/2014/chart" uri="{C3380CC4-5D6E-409C-BE32-E72D297353CC}">
              <c16:uniqueId val="{00000005-FB69-4CF7-BDF9-AE5802E838EF}"/>
            </c:ext>
          </c:extLst>
        </c:ser>
        <c:ser>
          <c:idx val="4"/>
          <c:order val="4"/>
          <c:tx>
            <c:strRef>
              <c:f>'TABLERO 2016'!$H$5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2016'!$C$13</c:f>
              <c:strCache>
                <c:ptCount val="1"/>
                <c:pt idx="0">
                  <c:v>Agropecuario</c:v>
                </c:pt>
              </c:strCache>
            </c:strRef>
          </c:cat>
          <c:val>
            <c:numRef>
              <c:f>'TABLERO 2016'!$H$13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FB69-4CF7-BDF9-AE5802E838EF}"/>
            </c:ext>
          </c:extLst>
        </c:ser>
        <c:ser>
          <c:idx val="5"/>
          <c:order val="5"/>
          <c:tx>
            <c:strRef>
              <c:f>'TABLERO 2016'!$I$5</c:f>
              <c:strCache>
                <c:ptCount val="1"/>
                <c:pt idx="0">
                  <c:v>RO</c:v>
                </c:pt>
              </c:strCache>
            </c:strRef>
          </c:tx>
          <c:invertIfNegative val="0"/>
          <c:cat>
            <c:strRef>
              <c:f>'TABLERO 2016'!$C$13</c:f>
              <c:strCache>
                <c:ptCount val="1"/>
                <c:pt idx="0">
                  <c:v>Agropecuario</c:v>
                </c:pt>
              </c:strCache>
            </c:strRef>
          </c:cat>
          <c:val>
            <c:numRef>
              <c:f>'TABLERO 2016'!$I$13</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7-FB69-4CF7-BDF9-AE5802E838EF}"/>
            </c:ext>
          </c:extLst>
        </c:ser>
        <c:ser>
          <c:idx val="6"/>
          <c:order val="6"/>
          <c:tx>
            <c:strRef>
              <c:f>'TABLERO 2016'!$J$5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2016'!$C$13</c:f>
              <c:strCache>
                <c:ptCount val="1"/>
                <c:pt idx="0">
                  <c:v>Agropecuario</c:v>
                </c:pt>
              </c:strCache>
            </c:strRef>
          </c:cat>
          <c:val>
            <c:numRef>
              <c:f>'TABLERO 2016'!$J$13</c:f>
              <c:numCache>
                <c:formatCode>General</c:formatCode>
                <c:ptCount val="1"/>
                <c:pt idx="0">
                  <c:v>14</c:v>
                </c:pt>
              </c:numCache>
            </c:numRef>
          </c:val>
          <c:extLst xmlns:c16r2="http://schemas.microsoft.com/office/drawing/2015/06/chart">
            <c:ext xmlns:c16="http://schemas.microsoft.com/office/drawing/2014/chart" uri="{C3380CC4-5D6E-409C-BE32-E72D297353CC}">
              <c16:uniqueId val="{00000008-FB69-4CF7-BDF9-AE5802E838EF}"/>
            </c:ext>
          </c:extLst>
        </c:ser>
        <c:dLbls>
          <c:showLegendKey val="0"/>
          <c:showVal val="0"/>
          <c:showCatName val="0"/>
          <c:showSerName val="0"/>
          <c:showPercent val="0"/>
          <c:showBubbleSize val="0"/>
        </c:dLbls>
        <c:gapWidth val="75"/>
        <c:overlap val="-25"/>
        <c:axId val="175953920"/>
        <c:axId val="175389440"/>
      </c:barChart>
      <c:catAx>
        <c:axId val="175953920"/>
        <c:scaling>
          <c:orientation val="minMax"/>
        </c:scaling>
        <c:delete val="0"/>
        <c:axPos val="b"/>
        <c:numFmt formatCode="General" sourceLinked="0"/>
        <c:majorTickMark val="none"/>
        <c:minorTickMark val="none"/>
        <c:tickLblPos val="nextTo"/>
        <c:txPr>
          <a:bodyPr/>
          <a:lstStyle/>
          <a:p>
            <a:pPr>
              <a:defRPr lang="es-ES"/>
            </a:pPr>
            <a:endParaRPr lang="es-CO"/>
          </a:p>
        </c:txPr>
        <c:crossAx val="175389440"/>
        <c:crosses val="autoZero"/>
        <c:auto val="1"/>
        <c:lblAlgn val="ctr"/>
        <c:lblOffset val="100"/>
        <c:noMultiLvlLbl val="0"/>
      </c:catAx>
      <c:valAx>
        <c:axId val="175389440"/>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75953920"/>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a:t>
            </a:r>
            <a:r>
              <a:rPr lang="es-CO" sz="1600" baseline="0"/>
              <a:t> METAS SECTOR TRANSPORTE  2016</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2016'!$C$14</c:f>
              <c:strCache>
                <c:ptCount val="1"/>
                <c:pt idx="0">
                  <c:v>Transporte</c:v>
                </c:pt>
              </c:strCache>
            </c:strRef>
          </c:cat>
          <c:val>
            <c:numRef>
              <c:f>'TABLERO 2016'!$D$14</c:f>
            </c:numRef>
          </c:val>
          <c:extLst xmlns:c16r2="http://schemas.microsoft.com/office/drawing/2015/06/chart">
            <c:ext xmlns:c16="http://schemas.microsoft.com/office/drawing/2014/chart" uri="{C3380CC4-5D6E-409C-BE32-E72D297353CC}">
              <c16:uniqueId val="{00000000-1769-4644-B626-4491F4557751}"/>
            </c:ext>
          </c:extLst>
        </c:ser>
        <c:ser>
          <c:idx val="1"/>
          <c:order val="1"/>
          <c:tx>
            <c:strRef>
              <c:f>'TABLERO 2016'!$E$5</c:f>
              <c:strCache>
                <c:ptCount val="1"/>
                <c:pt idx="0">
                  <c:v>TOTAL METAS</c:v>
                </c:pt>
              </c:strCache>
            </c:strRef>
          </c:tx>
          <c:spPr>
            <a:solidFill>
              <a:srgbClr val="0066FF"/>
            </a:solidFill>
          </c:spPr>
          <c:invertIfNegative val="0"/>
          <c:dLbls>
            <c:dLbl>
              <c:idx val="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769-4644-B626-4491F4557751}"/>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'TABLERO 2016'!$C$14</c:f>
              <c:strCache>
                <c:ptCount val="1"/>
                <c:pt idx="0">
                  <c:v>Transporte</c:v>
                </c:pt>
              </c:strCache>
            </c:strRef>
          </c:cat>
          <c:val>
            <c:numRef>
              <c:f>'TABLERO 2016'!$E$14</c:f>
              <c:numCache>
                <c:formatCode>General</c:formatCode>
                <c:ptCount val="1"/>
                <c:pt idx="0">
                  <c:v>21</c:v>
                </c:pt>
              </c:numCache>
            </c:numRef>
          </c:val>
          <c:extLst xmlns:c16r2="http://schemas.microsoft.com/office/drawing/2015/06/chart">
            <c:ext xmlns:c16="http://schemas.microsoft.com/office/drawing/2014/chart" uri="{C3380CC4-5D6E-409C-BE32-E72D297353CC}">
              <c16:uniqueId val="{00000002-1769-4644-B626-4491F4557751}"/>
            </c:ext>
          </c:extLst>
        </c:ser>
        <c:ser>
          <c:idx val="2"/>
          <c:order val="2"/>
          <c:tx>
            <c:strRef>
              <c:f>'TABLERO 2016'!$F$5</c:f>
              <c:strCache>
                <c:ptCount val="1"/>
                <c:pt idx="0">
                  <c:v>PROGRAMADAS 2016</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2016'!$C$14</c:f>
              <c:strCache>
                <c:ptCount val="1"/>
                <c:pt idx="0">
                  <c:v>Transporte</c:v>
                </c:pt>
              </c:strCache>
            </c:strRef>
          </c:cat>
          <c:val>
            <c:numRef>
              <c:f>'TABLERO 2016'!$F$14</c:f>
              <c:numCache>
                <c:formatCode>General</c:formatCode>
                <c:ptCount val="1"/>
                <c:pt idx="0">
                  <c:v>17</c:v>
                </c:pt>
              </c:numCache>
            </c:numRef>
          </c:val>
          <c:extLst xmlns:c16r2="http://schemas.microsoft.com/office/drawing/2015/06/chart">
            <c:ext xmlns:c16="http://schemas.microsoft.com/office/drawing/2014/chart" uri="{C3380CC4-5D6E-409C-BE32-E72D297353CC}">
              <c16:uniqueId val="{00000003-1769-4644-B626-4491F4557751}"/>
            </c:ext>
          </c:extLst>
        </c:ser>
        <c:ser>
          <c:idx val="3"/>
          <c:order val="3"/>
          <c:tx>
            <c:strRef>
              <c:f>'TABLERO 2016'!$G$5</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2016'!$C$14</c:f>
              <c:strCache>
                <c:ptCount val="1"/>
                <c:pt idx="0">
                  <c:v>Transporte</c:v>
                </c:pt>
              </c:strCache>
            </c:strRef>
          </c:cat>
          <c:val>
            <c:numRef>
              <c:f>'TABLERO 2016'!$G$14</c:f>
              <c:numCache>
                <c:formatCode>General</c:formatCode>
                <c:ptCount val="1"/>
                <c:pt idx="0">
                  <c:v>13</c:v>
                </c:pt>
              </c:numCache>
            </c:numRef>
          </c:val>
          <c:extLst xmlns:c16r2="http://schemas.microsoft.com/office/drawing/2015/06/chart">
            <c:ext xmlns:c16="http://schemas.microsoft.com/office/drawing/2014/chart" uri="{C3380CC4-5D6E-409C-BE32-E72D297353CC}">
              <c16:uniqueId val="{00000004-1769-4644-B626-4491F4557751}"/>
            </c:ext>
          </c:extLst>
        </c:ser>
        <c:ser>
          <c:idx val="4"/>
          <c:order val="4"/>
          <c:tx>
            <c:strRef>
              <c:f>'TABLERO 2016'!$H$5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2016'!$C$14</c:f>
              <c:strCache>
                <c:ptCount val="1"/>
                <c:pt idx="0">
                  <c:v>Transporte</c:v>
                </c:pt>
              </c:strCache>
            </c:strRef>
          </c:cat>
          <c:val>
            <c:numRef>
              <c:f>'TABLERO 2016'!$H$14</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1769-4644-B626-4491F4557751}"/>
            </c:ext>
          </c:extLst>
        </c:ser>
        <c:ser>
          <c:idx val="5"/>
          <c:order val="5"/>
          <c:tx>
            <c:strRef>
              <c:f>'TABLERO 2016'!$I$5</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2016'!$C$14</c:f>
              <c:strCache>
                <c:ptCount val="1"/>
                <c:pt idx="0">
                  <c:v>Transporte</c:v>
                </c:pt>
              </c:strCache>
            </c:strRef>
          </c:cat>
          <c:val>
            <c:numRef>
              <c:f>'TABLERO 2016'!$I$14</c:f>
              <c:numCache>
                <c:formatCode>General</c:formatCode>
                <c:ptCount val="1"/>
                <c:pt idx="0">
                  <c:v>4</c:v>
                </c:pt>
              </c:numCache>
            </c:numRef>
          </c:val>
          <c:extLst xmlns:c16r2="http://schemas.microsoft.com/office/drawing/2015/06/chart">
            <c:ext xmlns:c16="http://schemas.microsoft.com/office/drawing/2014/chart" uri="{C3380CC4-5D6E-409C-BE32-E72D297353CC}">
              <c16:uniqueId val="{00000006-1769-4644-B626-4491F4557751}"/>
            </c:ext>
          </c:extLst>
        </c:ser>
        <c:ser>
          <c:idx val="6"/>
          <c:order val="6"/>
          <c:tx>
            <c:strRef>
              <c:f>'TABLERO 2016'!$J$5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2016'!$C$14</c:f>
              <c:strCache>
                <c:ptCount val="1"/>
                <c:pt idx="0">
                  <c:v>Transporte</c:v>
                </c:pt>
              </c:strCache>
            </c:strRef>
          </c:cat>
          <c:val>
            <c:numRef>
              <c:f>'TABLERO 2016'!$J$14</c:f>
              <c:numCache>
                <c:formatCode>General</c:formatCode>
                <c:ptCount val="1"/>
                <c:pt idx="0">
                  <c:v>4</c:v>
                </c:pt>
              </c:numCache>
            </c:numRef>
          </c:val>
          <c:extLst xmlns:c16r2="http://schemas.microsoft.com/office/drawing/2015/06/chart">
            <c:ext xmlns:c16="http://schemas.microsoft.com/office/drawing/2014/chart" uri="{C3380CC4-5D6E-409C-BE32-E72D297353CC}">
              <c16:uniqueId val="{00000007-1769-4644-B626-4491F4557751}"/>
            </c:ext>
          </c:extLst>
        </c:ser>
        <c:dLbls>
          <c:showLegendKey val="0"/>
          <c:showVal val="0"/>
          <c:showCatName val="0"/>
          <c:showSerName val="0"/>
          <c:showPercent val="0"/>
          <c:showBubbleSize val="0"/>
        </c:dLbls>
        <c:gapWidth val="75"/>
        <c:overlap val="-25"/>
        <c:axId val="176107520"/>
        <c:axId val="175965312"/>
      </c:barChart>
      <c:catAx>
        <c:axId val="176107520"/>
        <c:scaling>
          <c:orientation val="minMax"/>
        </c:scaling>
        <c:delete val="0"/>
        <c:axPos val="b"/>
        <c:numFmt formatCode="General" sourceLinked="0"/>
        <c:majorTickMark val="none"/>
        <c:minorTickMark val="none"/>
        <c:tickLblPos val="nextTo"/>
        <c:txPr>
          <a:bodyPr/>
          <a:lstStyle/>
          <a:p>
            <a:pPr>
              <a:defRPr lang="es-ES"/>
            </a:pPr>
            <a:endParaRPr lang="es-CO"/>
          </a:p>
        </c:txPr>
        <c:crossAx val="175965312"/>
        <c:crosses val="autoZero"/>
        <c:auto val="1"/>
        <c:lblAlgn val="ctr"/>
        <c:lblOffset val="100"/>
        <c:noMultiLvlLbl val="0"/>
      </c:catAx>
      <c:valAx>
        <c:axId val="175965312"/>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76107520"/>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a:pPr>
            <a:r>
              <a:rPr lang="es-CO" sz="1600"/>
              <a:t>AVANCE</a:t>
            </a:r>
            <a:r>
              <a:rPr lang="es-CO" sz="1600" baseline="0"/>
              <a:t> METAS SECTOR AMBIENTAL 2016</a:t>
            </a:r>
            <a:endParaRPr lang="es-CO" sz="1600"/>
          </a:p>
        </c:rich>
      </c:tx>
      <c:layout>
        <c:manualLayout>
          <c:xMode val="edge"/>
          <c:yMode val="edge"/>
          <c:x val="0.10081295307132583"/>
          <c:y val="3.2090601622975876E-2"/>
        </c:manualLayout>
      </c:layout>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2016'!$C$15</c:f>
              <c:strCache>
                <c:ptCount val="1"/>
                <c:pt idx="0">
                  <c:v>Ambiental</c:v>
                </c:pt>
              </c:strCache>
            </c:strRef>
          </c:cat>
          <c:val>
            <c:numRef>
              <c:f>'TABLERO 2016'!$D$15</c:f>
            </c:numRef>
          </c:val>
          <c:extLst xmlns:c16r2="http://schemas.microsoft.com/office/drawing/2015/06/chart">
            <c:ext xmlns:c16="http://schemas.microsoft.com/office/drawing/2014/chart" uri="{C3380CC4-5D6E-409C-BE32-E72D297353CC}">
              <c16:uniqueId val="{00000000-3386-4030-B786-357E42035018}"/>
            </c:ext>
          </c:extLst>
        </c:ser>
        <c:ser>
          <c:idx val="1"/>
          <c:order val="1"/>
          <c:tx>
            <c:strRef>
              <c:f>'TABLERO 2016'!$E$5</c:f>
              <c:strCache>
                <c:ptCount val="1"/>
                <c:pt idx="0">
                  <c:v>TOTAL METAS</c:v>
                </c:pt>
              </c:strCache>
            </c:strRef>
          </c:tx>
          <c:spPr>
            <a:solidFill>
              <a:srgbClr val="0066FF"/>
            </a:solidFill>
          </c:spPr>
          <c:invertIfNegative val="0"/>
          <c:cat>
            <c:strRef>
              <c:f>'TABLERO 2016'!$C$15</c:f>
              <c:strCache>
                <c:ptCount val="1"/>
                <c:pt idx="0">
                  <c:v>Ambiental</c:v>
                </c:pt>
              </c:strCache>
            </c:strRef>
          </c:cat>
          <c:val>
            <c:numRef>
              <c:f>'TABLERO 2016'!$E$15</c:f>
              <c:numCache>
                <c:formatCode>General</c:formatCode>
                <c:ptCount val="1"/>
                <c:pt idx="0">
                  <c:v>32</c:v>
                </c:pt>
              </c:numCache>
            </c:numRef>
          </c:val>
          <c:extLst xmlns:c16r2="http://schemas.microsoft.com/office/drawing/2015/06/chart">
            <c:ext xmlns:c16="http://schemas.microsoft.com/office/drawing/2014/chart" uri="{C3380CC4-5D6E-409C-BE32-E72D297353CC}">
              <c16:uniqueId val="{00000001-3386-4030-B786-357E42035018}"/>
            </c:ext>
          </c:extLst>
        </c:ser>
        <c:ser>
          <c:idx val="2"/>
          <c:order val="2"/>
          <c:tx>
            <c:strRef>
              <c:f>'TABLERO 2016'!$F$5</c:f>
              <c:strCache>
                <c:ptCount val="1"/>
                <c:pt idx="0">
                  <c:v>PROGRAMADAS 2016</c:v>
                </c:pt>
              </c:strCache>
            </c:strRef>
          </c:tx>
          <c:spPr>
            <a:solidFill>
              <a:schemeClr val="accent5">
                <a:lumMod val="75000"/>
              </a:schemeClr>
            </a:solidFill>
          </c:spPr>
          <c:invertIfNegative val="0"/>
          <c:cat>
            <c:strRef>
              <c:f>'TABLERO 2016'!$C$15</c:f>
              <c:strCache>
                <c:ptCount val="1"/>
                <c:pt idx="0">
                  <c:v>Ambiental</c:v>
                </c:pt>
              </c:strCache>
            </c:strRef>
          </c:cat>
          <c:val>
            <c:numRef>
              <c:f>'TABLERO 2016'!$F$15</c:f>
              <c:numCache>
                <c:formatCode>General</c:formatCode>
                <c:ptCount val="1"/>
                <c:pt idx="0">
                  <c:v>17</c:v>
                </c:pt>
              </c:numCache>
            </c:numRef>
          </c:val>
          <c:extLst xmlns:c16r2="http://schemas.microsoft.com/office/drawing/2015/06/chart">
            <c:ext xmlns:c16="http://schemas.microsoft.com/office/drawing/2014/chart" uri="{C3380CC4-5D6E-409C-BE32-E72D297353CC}">
              <c16:uniqueId val="{00000002-3386-4030-B786-357E42035018}"/>
            </c:ext>
          </c:extLst>
        </c:ser>
        <c:ser>
          <c:idx val="3"/>
          <c:order val="3"/>
          <c:tx>
            <c:strRef>
              <c:f>'TABLERO 2016'!$G$5</c:f>
              <c:strCache>
                <c:ptCount val="1"/>
                <c:pt idx="0">
                  <c:v>VE</c:v>
                </c:pt>
              </c:strCache>
            </c:strRef>
          </c:tx>
          <c:spPr>
            <a:solidFill>
              <a:srgbClr val="92D050"/>
            </a:solidFill>
          </c:spPr>
          <c:invertIfNegative val="0"/>
          <c:cat>
            <c:strRef>
              <c:f>'TABLERO 2016'!$C$15</c:f>
              <c:strCache>
                <c:ptCount val="1"/>
                <c:pt idx="0">
                  <c:v>Ambiental</c:v>
                </c:pt>
              </c:strCache>
            </c:strRef>
          </c:cat>
          <c:val>
            <c:numRef>
              <c:f>'TABLERO 2016'!$G$15</c:f>
              <c:numCache>
                <c:formatCode>General</c:formatCode>
                <c:ptCount val="1"/>
                <c:pt idx="0">
                  <c:v>17</c:v>
                </c:pt>
              </c:numCache>
            </c:numRef>
          </c:val>
          <c:extLst xmlns:c16r2="http://schemas.microsoft.com/office/drawing/2015/06/chart">
            <c:ext xmlns:c16="http://schemas.microsoft.com/office/drawing/2014/chart" uri="{C3380CC4-5D6E-409C-BE32-E72D297353CC}">
              <c16:uniqueId val="{00000003-3386-4030-B786-357E42035018}"/>
            </c:ext>
          </c:extLst>
        </c:ser>
        <c:ser>
          <c:idx val="4"/>
          <c:order val="4"/>
          <c:tx>
            <c:strRef>
              <c:f>'TABLERO 2016'!$H$5</c:f>
              <c:strCache>
                <c:ptCount val="1"/>
                <c:pt idx="0">
                  <c:v>AM</c:v>
                </c:pt>
              </c:strCache>
            </c:strRef>
          </c:tx>
          <c:spPr>
            <a:solidFill>
              <a:srgbClr val="FFFF00"/>
            </a:solidFill>
          </c:spPr>
          <c:invertIfNegative val="0"/>
          <c:cat>
            <c:strRef>
              <c:f>'TABLERO 2016'!$C$15</c:f>
              <c:strCache>
                <c:ptCount val="1"/>
                <c:pt idx="0">
                  <c:v>Ambiental</c:v>
                </c:pt>
              </c:strCache>
            </c:strRef>
          </c:cat>
          <c:val>
            <c:numRef>
              <c:f>'TABLERO 2016'!$H$15</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3386-4030-B786-357E42035018}"/>
            </c:ext>
          </c:extLst>
        </c:ser>
        <c:ser>
          <c:idx val="5"/>
          <c:order val="5"/>
          <c:tx>
            <c:strRef>
              <c:f>'TABLERO 2016'!$I$5</c:f>
              <c:strCache>
                <c:ptCount val="1"/>
                <c:pt idx="0">
                  <c:v>RO</c:v>
                </c:pt>
              </c:strCache>
            </c:strRef>
          </c:tx>
          <c:invertIfNegative val="0"/>
          <c:cat>
            <c:strRef>
              <c:f>'TABLERO 2016'!$C$15</c:f>
              <c:strCache>
                <c:ptCount val="1"/>
                <c:pt idx="0">
                  <c:v>Ambiental</c:v>
                </c:pt>
              </c:strCache>
            </c:strRef>
          </c:cat>
          <c:val>
            <c:numRef>
              <c:f>'TABLERO 2016'!$I$15</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3386-4030-B786-357E42035018}"/>
            </c:ext>
          </c:extLst>
        </c:ser>
        <c:ser>
          <c:idx val="6"/>
          <c:order val="6"/>
          <c:tx>
            <c:strRef>
              <c:f>'TABLERO 2016'!$J$5</c:f>
              <c:strCache>
                <c:ptCount val="1"/>
                <c:pt idx="0">
                  <c:v>AZ</c:v>
                </c:pt>
              </c:strCache>
            </c:strRef>
          </c:tx>
          <c:spPr>
            <a:solidFill>
              <a:srgbClr val="00B0F0"/>
            </a:solidFill>
          </c:spPr>
          <c:invertIfNegative val="0"/>
          <c:cat>
            <c:strRef>
              <c:f>'TABLERO 2016'!$C$15</c:f>
              <c:strCache>
                <c:ptCount val="1"/>
                <c:pt idx="0">
                  <c:v>Ambiental</c:v>
                </c:pt>
              </c:strCache>
            </c:strRef>
          </c:cat>
          <c:val>
            <c:numRef>
              <c:f>'TABLERO 2016'!$J$15</c:f>
              <c:numCache>
                <c:formatCode>General</c:formatCode>
                <c:ptCount val="1"/>
                <c:pt idx="0">
                  <c:v>15</c:v>
                </c:pt>
              </c:numCache>
            </c:numRef>
          </c:val>
          <c:extLst xmlns:c16r2="http://schemas.microsoft.com/office/drawing/2015/06/chart">
            <c:ext xmlns:c16="http://schemas.microsoft.com/office/drawing/2014/chart" uri="{C3380CC4-5D6E-409C-BE32-E72D297353CC}">
              <c16:uniqueId val="{00000006-3386-4030-B786-357E42035018}"/>
            </c:ext>
          </c:extLst>
        </c:ser>
        <c:dLbls>
          <c:showLegendKey val="0"/>
          <c:showVal val="0"/>
          <c:showCatName val="0"/>
          <c:showSerName val="0"/>
          <c:showPercent val="0"/>
          <c:showBubbleSize val="0"/>
        </c:dLbls>
        <c:gapWidth val="75"/>
        <c:overlap val="-25"/>
        <c:axId val="176108544"/>
        <c:axId val="175967616"/>
      </c:barChart>
      <c:catAx>
        <c:axId val="176108544"/>
        <c:scaling>
          <c:orientation val="minMax"/>
        </c:scaling>
        <c:delete val="0"/>
        <c:axPos val="b"/>
        <c:numFmt formatCode="General" sourceLinked="0"/>
        <c:majorTickMark val="none"/>
        <c:minorTickMark val="none"/>
        <c:tickLblPos val="nextTo"/>
        <c:txPr>
          <a:bodyPr/>
          <a:lstStyle/>
          <a:p>
            <a:pPr>
              <a:defRPr lang="es-ES"/>
            </a:pPr>
            <a:endParaRPr lang="es-CO"/>
          </a:p>
        </c:txPr>
        <c:crossAx val="175967616"/>
        <c:crosses val="autoZero"/>
        <c:auto val="1"/>
        <c:lblAlgn val="ctr"/>
        <c:lblOffset val="100"/>
        <c:noMultiLvlLbl val="0"/>
      </c:catAx>
      <c:valAx>
        <c:axId val="175967616"/>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76108544"/>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5.xml"/><Relationship Id="rId13" Type="http://schemas.openxmlformats.org/officeDocument/2006/relationships/chart" Target="../charts/chart30.xml"/><Relationship Id="rId3" Type="http://schemas.openxmlformats.org/officeDocument/2006/relationships/chart" Target="../charts/chart20.xml"/><Relationship Id="rId7" Type="http://schemas.openxmlformats.org/officeDocument/2006/relationships/chart" Target="../charts/chart24.xml"/><Relationship Id="rId12" Type="http://schemas.openxmlformats.org/officeDocument/2006/relationships/chart" Target="../charts/chart29.xml"/><Relationship Id="rId17" Type="http://schemas.openxmlformats.org/officeDocument/2006/relationships/chart" Target="../charts/chart34.xml"/><Relationship Id="rId2" Type="http://schemas.openxmlformats.org/officeDocument/2006/relationships/chart" Target="../charts/chart19.xml"/><Relationship Id="rId16" Type="http://schemas.openxmlformats.org/officeDocument/2006/relationships/chart" Target="../charts/chart33.xml"/><Relationship Id="rId1" Type="http://schemas.openxmlformats.org/officeDocument/2006/relationships/chart" Target="../charts/chart18.xml"/><Relationship Id="rId6" Type="http://schemas.openxmlformats.org/officeDocument/2006/relationships/chart" Target="../charts/chart23.xml"/><Relationship Id="rId11" Type="http://schemas.openxmlformats.org/officeDocument/2006/relationships/chart" Target="../charts/chart28.xml"/><Relationship Id="rId5" Type="http://schemas.openxmlformats.org/officeDocument/2006/relationships/chart" Target="../charts/chart22.xml"/><Relationship Id="rId15" Type="http://schemas.openxmlformats.org/officeDocument/2006/relationships/chart" Target="../charts/chart3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 Id="rId14" Type="http://schemas.openxmlformats.org/officeDocument/2006/relationships/chart" Target="../charts/chart3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42.xml"/><Relationship Id="rId13" Type="http://schemas.openxmlformats.org/officeDocument/2006/relationships/chart" Target="../charts/chart47.xml"/><Relationship Id="rId3" Type="http://schemas.openxmlformats.org/officeDocument/2006/relationships/chart" Target="../charts/chart37.xml"/><Relationship Id="rId7" Type="http://schemas.openxmlformats.org/officeDocument/2006/relationships/chart" Target="../charts/chart41.xml"/><Relationship Id="rId12" Type="http://schemas.openxmlformats.org/officeDocument/2006/relationships/chart" Target="../charts/chart46.xml"/><Relationship Id="rId2" Type="http://schemas.openxmlformats.org/officeDocument/2006/relationships/chart" Target="../charts/chart36.xml"/><Relationship Id="rId16" Type="http://schemas.openxmlformats.org/officeDocument/2006/relationships/chart" Target="../charts/chart50.xml"/><Relationship Id="rId1" Type="http://schemas.openxmlformats.org/officeDocument/2006/relationships/chart" Target="../charts/chart35.xml"/><Relationship Id="rId6" Type="http://schemas.openxmlformats.org/officeDocument/2006/relationships/chart" Target="../charts/chart40.xml"/><Relationship Id="rId11" Type="http://schemas.openxmlformats.org/officeDocument/2006/relationships/chart" Target="../charts/chart45.xml"/><Relationship Id="rId5" Type="http://schemas.openxmlformats.org/officeDocument/2006/relationships/chart" Target="../charts/chart39.xml"/><Relationship Id="rId15" Type="http://schemas.openxmlformats.org/officeDocument/2006/relationships/chart" Target="../charts/chart49.xml"/><Relationship Id="rId10" Type="http://schemas.openxmlformats.org/officeDocument/2006/relationships/chart" Target="../charts/chart44.xml"/><Relationship Id="rId4" Type="http://schemas.openxmlformats.org/officeDocument/2006/relationships/chart" Target="../charts/chart38.xml"/><Relationship Id="rId9" Type="http://schemas.openxmlformats.org/officeDocument/2006/relationships/chart" Target="../charts/chart43.xml"/><Relationship Id="rId14" Type="http://schemas.openxmlformats.org/officeDocument/2006/relationships/chart" Target="../charts/chart48.xml"/></Relationships>
</file>

<file path=xl/drawings/_rels/drawing4.xml.rels><?xml version="1.0" encoding="UTF-8" standalone="yes"?>
<Relationships xmlns="http://schemas.openxmlformats.org/package/2006/relationships"><Relationship Id="rId8" Type="http://schemas.openxmlformats.org/officeDocument/2006/relationships/chart" Target="../charts/chart58.xml"/><Relationship Id="rId13" Type="http://schemas.openxmlformats.org/officeDocument/2006/relationships/chart" Target="../charts/chart63.xml"/><Relationship Id="rId3" Type="http://schemas.openxmlformats.org/officeDocument/2006/relationships/chart" Target="../charts/chart53.xml"/><Relationship Id="rId7" Type="http://schemas.openxmlformats.org/officeDocument/2006/relationships/chart" Target="../charts/chart57.xml"/><Relationship Id="rId12" Type="http://schemas.openxmlformats.org/officeDocument/2006/relationships/chart" Target="../charts/chart62.xml"/><Relationship Id="rId17" Type="http://schemas.openxmlformats.org/officeDocument/2006/relationships/chart" Target="../charts/chart67.xml"/><Relationship Id="rId2" Type="http://schemas.openxmlformats.org/officeDocument/2006/relationships/chart" Target="../charts/chart52.xml"/><Relationship Id="rId16" Type="http://schemas.openxmlformats.org/officeDocument/2006/relationships/chart" Target="../charts/chart66.xml"/><Relationship Id="rId1" Type="http://schemas.openxmlformats.org/officeDocument/2006/relationships/chart" Target="../charts/chart51.xml"/><Relationship Id="rId6" Type="http://schemas.openxmlformats.org/officeDocument/2006/relationships/chart" Target="../charts/chart56.xml"/><Relationship Id="rId11" Type="http://schemas.openxmlformats.org/officeDocument/2006/relationships/chart" Target="../charts/chart61.xml"/><Relationship Id="rId5" Type="http://schemas.openxmlformats.org/officeDocument/2006/relationships/chart" Target="../charts/chart55.xml"/><Relationship Id="rId15" Type="http://schemas.openxmlformats.org/officeDocument/2006/relationships/chart" Target="../charts/chart65.xml"/><Relationship Id="rId10" Type="http://schemas.openxmlformats.org/officeDocument/2006/relationships/chart" Target="../charts/chart60.xml"/><Relationship Id="rId4" Type="http://schemas.openxmlformats.org/officeDocument/2006/relationships/chart" Target="../charts/chart54.xml"/><Relationship Id="rId9" Type="http://schemas.openxmlformats.org/officeDocument/2006/relationships/chart" Target="../charts/chart59.xml"/><Relationship Id="rId14" Type="http://schemas.openxmlformats.org/officeDocument/2006/relationships/chart" Target="../charts/chart64.xml"/></Relationships>
</file>

<file path=xl/drawings/drawing1.xml><?xml version="1.0" encoding="utf-8"?>
<xdr:wsDr xmlns:xdr="http://schemas.openxmlformats.org/drawingml/2006/spreadsheetDrawing" xmlns:a="http://schemas.openxmlformats.org/drawingml/2006/main">
  <xdr:twoCellAnchor>
    <xdr:from>
      <xdr:col>13</xdr:col>
      <xdr:colOff>41377</xdr:colOff>
      <xdr:row>29</xdr:row>
      <xdr:rowOff>11206</xdr:rowOff>
    </xdr:from>
    <xdr:to>
      <xdr:col>19</xdr:col>
      <xdr:colOff>56029</xdr:colOff>
      <xdr:row>41</xdr:row>
      <xdr:rowOff>168087</xdr:rowOff>
    </xdr:to>
    <xdr:graphicFrame macro="">
      <xdr:nvGraphicFramePr>
        <xdr:cNvPr id="3" name="Gráfico 2">
          <a:extLst>
            <a:ext uri="{FF2B5EF4-FFF2-40B4-BE49-F238E27FC236}">
              <a16:creationId xmlns=""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44823</xdr:colOff>
      <xdr:row>29</xdr:row>
      <xdr:rowOff>44823</xdr:rowOff>
    </xdr:from>
    <xdr:to>
      <xdr:col>5</xdr:col>
      <xdr:colOff>218515</xdr:colOff>
      <xdr:row>42</xdr:row>
      <xdr:rowOff>0</xdr:rowOff>
    </xdr:to>
    <xdr:graphicFrame macro="">
      <xdr:nvGraphicFramePr>
        <xdr:cNvPr id="5" name="4 Gráfico">
          <a:extLst>
            <a:ext uri="{FF2B5EF4-FFF2-40B4-BE49-F238E27FC236}">
              <a16:creationId xmlns=""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971710</xdr:colOff>
      <xdr:row>29</xdr:row>
      <xdr:rowOff>21166</xdr:rowOff>
    </xdr:from>
    <xdr:to>
      <xdr:col>12</xdr:col>
      <xdr:colOff>1</xdr:colOff>
      <xdr:row>42</xdr:row>
      <xdr:rowOff>0</xdr:rowOff>
    </xdr:to>
    <xdr:graphicFrame macro="">
      <xdr:nvGraphicFramePr>
        <xdr:cNvPr id="7" name="6 Gráfico">
          <a:extLst>
            <a:ext uri="{FF2B5EF4-FFF2-40B4-BE49-F238E27FC236}">
              <a16:creationId xmlns="" xmlns:a16="http://schemas.microsoft.com/office/drawing/2014/main" id="{00000000-0008-0000-0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56029</xdr:colOff>
      <xdr:row>44</xdr:row>
      <xdr:rowOff>190500</xdr:rowOff>
    </xdr:from>
    <xdr:to>
      <xdr:col>4</xdr:col>
      <xdr:colOff>1283074</xdr:colOff>
      <xdr:row>57</xdr:row>
      <xdr:rowOff>22414</xdr:rowOff>
    </xdr:to>
    <xdr:graphicFrame macro="">
      <xdr:nvGraphicFramePr>
        <xdr:cNvPr id="8" name="7 Gráfico">
          <a:extLst>
            <a:ext uri="{FF2B5EF4-FFF2-40B4-BE49-F238E27FC236}">
              <a16:creationId xmlns="" xmlns:a16="http://schemas.microsoft.com/office/drawing/2014/main" id="{00000000-0008-0000-0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1092575</xdr:colOff>
      <xdr:row>44</xdr:row>
      <xdr:rowOff>163607</xdr:rowOff>
    </xdr:from>
    <xdr:to>
      <xdr:col>11</xdr:col>
      <xdr:colOff>739589</xdr:colOff>
      <xdr:row>57</xdr:row>
      <xdr:rowOff>11207</xdr:rowOff>
    </xdr:to>
    <xdr:graphicFrame macro="">
      <xdr:nvGraphicFramePr>
        <xdr:cNvPr id="9" name="8 Gráfico">
          <a:extLst>
            <a:ext uri="{FF2B5EF4-FFF2-40B4-BE49-F238E27FC236}">
              <a16:creationId xmlns="" xmlns:a16="http://schemas.microsoft.com/office/drawing/2014/main" id="{00000000-0008-0000-08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5603</xdr:colOff>
      <xdr:row>45</xdr:row>
      <xdr:rowOff>6724</xdr:rowOff>
    </xdr:from>
    <xdr:to>
      <xdr:col>19</xdr:col>
      <xdr:colOff>5603</xdr:colOff>
      <xdr:row>56</xdr:row>
      <xdr:rowOff>190500</xdr:rowOff>
    </xdr:to>
    <xdr:graphicFrame macro="">
      <xdr:nvGraphicFramePr>
        <xdr:cNvPr id="10" name="9 Gráfico">
          <a:extLst>
            <a:ext uri="{FF2B5EF4-FFF2-40B4-BE49-F238E27FC236}">
              <a16:creationId xmlns="" xmlns:a16="http://schemas.microsoft.com/office/drawing/2014/main" id="{00000000-0008-0000-0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28014</xdr:colOff>
      <xdr:row>59</xdr:row>
      <xdr:rowOff>40342</xdr:rowOff>
    </xdr:from>
    <xdr:to>
      <xdr:col>4</xdr:col>
      <xdr:colOff>1249455</xdr:colOff>
      <xdr:row>71</xdr:row>
      <xdr:rowOff>56029</xdr:rowOff>
    </xdr:to>
    <xdr:graphicFrame macro="">
      <xdr:nvGraphicFramePr>
        <xdr:cNvPr id="16" name="15 Gráfico">
          <a:extLst>
            <a:ext uri="{FF2B5EF4-FFF2-40B4-BE49-F238E27FC236}">
              <a16:creationId xmlns="" xmlns:a16="http://schemas.microsoft.com/office/drawing/2014/main" id="{00000000-0008-0000-08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5603</xdr:colOff>
      <xdr:row>59</xdr:row>
      <xdr:rowOff>67235</xdr:rowOff>
    </xdr:from>
    <xdr:to>
      <xdr:col>12</xdr:col>
      <xdr:colOff>72838</xdr:colOff>
      <xdr:row>70</xdr:row>
      <xdr:rowOff>190500</xdr:rowOff>
    </xdr:to>
    <xdr:graphicFrame macro="">
      <xdr:nvGraphicFramePr>
        <xdr:cNvPr id="11" name="10 Gráfico">
          <a:extLst>
            <a:ext uri="{FF2B5EF4-FFF2-40B4-BE49-F238E27FC236}">
              <a16:creationId xmlns="" xmlns:a16="http://schemas.microsoft.com/office/drawing/2014/main" id="{00000000-0008-0000-08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41622</xdr:colOff>
      <xdr:row>59</xdr:row>
      <xdr:rowOff>115580</xdr:rowOff>
    </xdr:from>
    <xdr:to>
      <xdr:col>19</xdr:col>
      <xdr:colOff>17609</xdr:colOff>
      <xdr:row>71</xdr:row>
      <xdr:rowOff>40821</xdr:rowOff>
    </xdr:to>
    <xdr:graphicFrame macro="">
      <xdr:nvGraphicFramePr>
        <xdr:cNvPr id="12" name="11 Gráfico">
          <a:extLst>
            <a:ext uri="{FF2B5EF4-FFF2-40B4-BE49-F238E27FC236}">
              <a16:creationId xmlns="" xmlns:a16="http://schemas.microsoft.com/office/drawing/2014/main" id="{00000000-0008-0000-08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6802</xdr:colOff>
      <xdr:row>73</xdr:row>
      <xdr:rowOff>2721</xdr:rowOff>
    </xdr:from>
    <xdr:to>
      <xdr:col>4</xdr:col>
      <xdr:colOff>1231445</xdr:colOff>
      <xdr:row>86</xdr:row>
      <xdr:rowOff>92528</xdr:rowOff>
    </xdr:to>
    <xdr:graphicFrame macro="">
      <xdr:nvGraphicFramePr>
        <xdr:cNvPr id="14" name="13 Gráfico">
          <a:extLst>
            <a:ext uri="{FF2B5EF4-FFF2-40B4-BE49-F238E27FC236}">
              <a16:creationId xmlns="" xmlns:a16="http://schemas.microsoft.com/office/drawing/2014/main" id="{00000000-0008-0000-08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61232</xdr:colOff>
      <xdr:row>73</xdr:row>
      <xdr:rowOff>57151</xdr:rowOff>
    </xdr:from>
    <xdr:to>
      <xdr:col>12</xdr:col>
      <xdr:colOff>68036</xdr:colOff>
      <xdr:row>86</xdr:row>
      <xdr:rowOff>13607</xdr:rowOff>
    </xdr:to>
    <xdr:graphicFrame macro="">
      <xdr:nvGraphicFramePr>
        <xdr:cNvPr id="15" name="14 Gráfico">
          <a:extLst>
            <a:ext uri="{FF2B5EF4-FFF2-40B4-BE49-F238E27FC236}">
              <a16:creationId xmlns="" xmlns:a16="http://schemas.microsoft.com/office/drawing/2014/main" id="{00000000-0008-0000-08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61231</xdr:colOff>
      <xdr:row>73</xdr:row>
      <xdr:rowOff>43543</xdr:rowOff>
    </xdr:from>
    <xdr:to>
      <xdr:col>19</xdr:col>
      <xdr:colOff>61231</xdr:colOff>
      <xdr:row>86</xdr:row>
      <xdr:rowOff>0</xdr:rowOff>
    </xdr:to>
    <xdr:graphicFrame macro="">
      <xdr:nvGraphicFramePr>
        <xdr:cNvPr id="17" name="16 Gráfico">
          <a:extLst>
            <a:ext uri="{FF2B5EF4-FFF2-40B4-BE49-F238E27FC236}">
              <a16:creationId xmlns="" xmlns:a16="http://schemas.microsoft.com/office/drawing/2014/main" id="{00000000-0008-0000-08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34016</xdr:colOff>
      <xdr:row>89</xdr:row>
      <xdr:rowOff>29935</xdr:rowOff>
    </xdr:from>
    <xdr:to>
      <xdr:col>4</xdr:col>
      <xdr:colOff>1258659</xdr:colOff>
      <xdr:row>102</xdr:row>
      <xdr:rowOff>119742</xdr:rowOff>
    </xdr:to>
    <xdr:graphicFrame macro="">
      <xdr:nvGraphicFramePr>
        <xdr:cNvPr id="18" name="17 Gráfico">
          <a:extLst>
            <a:ext uri="{FF2B5EF4-FFF2-40B4-BE49-F238E27FC236}">
              <a16:creationId xmlns="" xmlns:a16="http://schemas.microsoft.com/office/drawing/2014/main" id="{00000000-0008-0000-08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61230</xdr:colOff>
      <xdr:row>88</xdr:row>
      <xdr:rowOff>193222</xdr:rowOff>
    </xdr:from>
    <xdr:to>
      <xdr:col>12</xdr:col>
      <xdr:colOff>156480</xdr:colOff>
      <xdr:row>102</xdr:row>
      <xdr:rowOff>78922</xdr:rowOff>
    </xdr:to>
    <xdr:graphicFrame macro="">
      <xdr:nvGraphicFramePr>
        <xdr:cNvPr id="19" name="18 Gráfico">
          <a:extLst>
            <a:ext uri="{FF2B5EF4-FFF2-40B4-BE49-F238E27FC236}">
              <a16:creationId xmlns="" xmlns:a16="http://schemas.microsoft.com/office/drawing/2014/main" id="{00000000-0008-0000-08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47624</xdr:colOff>
      <xdr:row>89</xdr:row>
      <xdr:rowOff>16330</xdr:rowOff>
    </xdr:from>
    <xdr:to>
      <xdr:col>19</xdr:col>
      <xdr:colOff>47624</xdr:colOff>
      <xdr:row>102</xdr:row>
      <xdr:rowOff>106137</xdr:rowOff>
    </xdr:to>
    <xdr:graphicFrame macro="">
      <xdr:nvGraphicFramePr>
        <xdr:cNvPr id="20" name="19 Gráfico">
          <a:extLst>
            <a:ext uri="{FF2B5EF4-FFF2-40B4-BE49-F238E27FC236}">
              <a16:creationId xmlns="" xmlns:a16="http://schemas.microsoft.com/office/drawing/2014/main" id="{00000000-0008-0000-08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34016</xdr:colOff>
      <xdr:row>105</xdr:row>
      <xdr:rowOff>29936</xdr:rowOff>
    </xdr:from>
    <xdr:to>
      <xdr:col>4</xdr:col>
      <xdr:colOff>1258659</xdr:colOff>
      <xdr:row>118</xdr:row>
      <xdr:rowOff>119743</xdr:rowOff>
    </xdr:to>
    <xdr:graphicFrame macro="">
      <xdr:nvGraphicFramePr>
        <xdr:cNvPr id="21" name="20 Gráfico">
          <a:extLst>
            <a:ext uri="{FF2B5EF4-FFF2-40B4-BE49-F238E27FC236}">
              <a16:creationId xmlns="" xmlns:a16="http://schemas.microsoft.com/office/drawing/2014/main" id="{00000000-0008-0000-08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306159</xdr:colOff>
      <xdr:row>2</xdr:row>
      <xdr:rowOff>176893</xdr:rowOff>
    </xdr:from>
    <xdr:to>
      <xdr:col>23</xdr:col>
      <xdr:colOff>244928</xdr:colOff>
      <xdr:row>21</xdr:row>
      <xdr:rowOff>68036</xdr:rowOff>
    </xdr:to>
    <xdr:graphicFrame macro="">
      <xdr:nvGraphicFramePr>
        <xdr:cNvPr id="24" name="23 Gráfico">
          <a:extLst>
            <a:ext uri="{FF2B5EF4-FFF2-40B4-BE49-F238E27FC236}">
              <a16:creationId xmlns="" xmlns:a16="http://schemas.microsoft.com/office/drawing/2014/main" id="{00000000-0008-0000-08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41377</xdr:colOff>
      <xdr:row>29</xdr:row>
      <xdr:rowOff>11206</xdr:rowOff>
    </xdr:from>
    <xdr:to>
      <xdr:col>19</xdr:col>
      <xdr:colOff>56029</xdr:colOff>
      <xdr:row>41</xdr:row>
      <xdr:rowOff>168087</xdr:rowOff>
    </xdr:to>
    <xdr:graphicFrame macro="">
      <xdr:nvGraphicFramePr>
        <xdr:cNvPr id="2" name="Gráfico 1">
          <a:extLst>
            <a:ext uri="{FF2B5EF4-FFF2-40B4-BE49-F238E27FC236}">
              <a16:creationId xmlns=""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44823</xdr:colOff>
      <xdr:row>29</xdr:row>
      <xdr:rowOff>44823</xdr:rowOff>
    </xdr:from>
    <xdr:to>
      <xdr:col>5</xdr:col>
      <xdr:colOff>218515</xdr:colOff>
      <xdr:row>42</xdr:row>
      <xdr:rowOff>0</xdr:rowOff>
    </xdr:to>
    <xdr:graphicFrame macro="">
      <xdr:nvGraphicFramePr>
        <xdr:cNvPr id="3" name="4 Gráfico">
          <a:extLst>
            <a:ext uri="{FF2B5EF4-FFF2-40B4-BE49-F238E27FC236}">
              <a16:creationId xmlns=""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971710</xdr:colOff>
      <xdr:row>29</xdr:row>
      <xdr:rowOff>21166</xdr:rowOff>
    </xdr:from>
    <xdr:to>
      <xdr:col>12</xdr:col>
      <xdr:colOff>1</xdr:colOff>
      <xdr:row>42</xdr:row>
      <xdr:rowOff>0</xdr:rowOff>
    </xdr:to>
    <xdr:graphicFrame macro="">
      <xdr:nvGraphicFramePr>
        <xdr:cNvPr id="4" name="6 Gráfico">
          <a:extLst>
            <a:ext uri="{FF2B5EF4-FFF2-40B4-BE49-F238E27FC236}">
              <a16:creationId xmlns=""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56029</xdr:colOff>
      <xdr:row>44</xdr:row>
      <xdr:rowOff>190500</xdr:rowOff>
    </xdr:from>
    <xdr:to>
      <xdr:col>4</xdr:col>
      <xdr:colOff>1283074</xdr:colOff>
      <xdr:row>57</xdr:row>
      <xdr:rowOff>22414</xdr:rowOff>
    </xdr:to>
    <xdr:graphicFrame macro="">
      <xdr:nvGraphicFramePr>
        <xdr:cNvPr id="5" name="7 Gráfico">
          <a:extLst>
            <a:ext uri="{FF2B5EF4-FFF2-40B4-BE49-F238E27FC236}">
              <a16:creationId xmlns=""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1092575</xdr:colOff>
      <xdr:row>44</xdr:row>
      <xdr:rowOff>163607</xdr:rowOff>
    </xdr:from>
    <xdr:to>
      <xdr:col>11</xdr:col>
      <xdr:colOff>739589</xdr:colOff>
      <xdr:row>57</xdr:row>
      <xdr:rowOff>11207</xdr:rowOff>
    </xdr:to>
    <xdr:graphicFrame macro="">
      <xdr:nvGraphicFramePr>
        <xdr:cNvPr id="6" name="8 Gráfico">
          <a:extLst>
            <a:ext uri="{FF2B5EF4-FFF2-40B4-BE49-F238E27FC236}">
              <a16:creationId xmlns=""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5603</xdr:colOff>
      <xdr:row>45</xdr:row>
      <xdr:rowOff>6724</xdr:rowOff>
    </xdr:from>
    <xdr:to>
      <xdr:col>19</xdr:col>
      <xdr:colOff>5603</xdr:colOff>
      <xdr:row>56</xdr:row>
      <xdr:rowOff>190500</xdr:rowOff>
    </xdr:to>
    <xdr:graphicFrame macro="">
      <xdr:nvGraphicFramePr>
        <xdr:cNvPr id="7" name="9 Gráfico">
          <a:extLst>
            <a:ext uri="{FF2B5EF4-FFF2-40B4-BE49-F238E27FC236}">
              <a16:creationId xmlns=""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28014</xdr:colOff>
      <xdr:row>59</xdr:row>
      <xdr:rowOff>40342</xdr:rowOff>
    </xdr:from>
    <xdr:to>
      <xdr:col>4</xdr:col>
      <xdr:colOff>1249455</xdr:colOff>
      <xdr:row>71</xdr:row>
      <xdr:rowOff>56029</xdr:rowOff>
    </xdr:to>
    <xdr:graphicFrame macro="">
      <xdr:nvGraphicFramePr>
        <xdr:cNvPr id="8" name="15 Gráfico">
          <a:extLst>
            <a:ext uri="{FF2B5EF4-FFF2-40B4-BE49-F238E27FC236}">
              <a16:creationId xmlns=""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5603</xdr:colOff>
      <xdr:row>59</xdr:row>
      <xdr:rowOff>67235</xdr:rowOff>
    </xdr:from>
    <xdr:to>
      <xdr:col>12</xdr:col>
      <xdr:colOff>72838</xdr:colOff>
      <xdr:row>70</xdr:row>
      <xdr:rowOff>190500</xdr:rowOff>
    </xdr:to>
    <xdr:graphicFrame macro="">
      <xdr:nvGraphicFramePr>
        <xdr:cNvPr id="9" name="10 Gráfico">
          <a:extLst>
            <a:ext uri="{FF2B5EF4-FFF2-40B4-BE49-F238E27FC236}">
              <a16:creationId xmlns=""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41622</xdr:colOff>
      <xdr:row>59</xdr:row>
      <xdr:rowOff>115580</xdr:rowOff>
    </xdr:from>
    <xdr:to>
      <xdr:col>19</xdr:col>
      <xdr:colOff>17609</xdr:colOff>
      <xdr:row>71</xdr:row>
      <xdr:rowOff>40821</xdr:rowOff>
    </xdr:to>
    <xdr:graphicFrame macro="">
      <xdr:nvGraphicFramePr>
        <xdr:cNvPr id="10" name="11 Gráfico">
          <a:extLst>
            <a:ext uri="{FF2B5EF4-FFF2-40B4-BE49-F238E27FC236}">
              <a16:creationId xmlns=""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6802</xdr:colOff>
      <xdr:row>73</xdr:row>
      <xdr:rowOff>2721</xdr:rowOff>
    </xdr:from>
    <xdr:to>
      <xdr:col>4</xdr:col>
      <xdr:colOff>1231445</xdr:colOff>
      <xdr:row>86</xdr:row>
      <xdr:rowOff>92528</xdr:rowOff>
    </xdr:to>
    <xdr:graphicFrame macro="">
      <xdr:nvGraphicFramePr>
        <xdr:cNvPr id="11" name="13 Gráfico">
          <a:extLst>
            <a:ext uri="{FF2B5EF4-FFF2-40B4-BE49-F238E27FC236}">
              <a16:creationId xmlns="" xmlns:a16="http://schemas.microsoft.com/office/drawing/2014/main" id="{00000000-0008-0000-0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61232</xdr:colOff>
      <xdr:row>73</xdr:row>
      <xdr:rowOff>57151</xdr:rowOff>
    </xdr:from>
    <xdr:to>
      <xdr:col>12</xdr:col>
      <xdr:colOff>68036</xdr:colOff>
      <xdr:row>86</xdr:row>
      <xdr:rowOff>13607</xdr:rowOff>
    </xdr:to>
    <xdr:graphicFrame macro="">
      <xdr:nvGraphicFramePr>
        <xdr:cNvPr id="12" name="14 Gráfico">
          <a:extLst>
            <a:ext uri="{FF2B5EF4-FFF2-40B4-BE49-F238E27FC236}">
              <a16:creationId xmlns=""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61231</xdr:colOff>
      <xdr:row>73</xdr:row>
      <xdr:rowOff>43543</xdr:rowOff>
    </xdr:from>
    <xdr:to>
      <xdr:col>19</xdr:col>
      <xdr:colOff>61231</xdr:colOff>
      <xdr:row>86</xdr:row>
      <xdr:rowOff>0</xdr:rowOff>
    </xdr:to>
    <xdr:graphicFrame macro="">
      <xdr:nvGraphicFramePr>
        <xdr:cNvPr id="13" name="16 Gráfico">
          <a:extLst>
            <a:ext uri="{FF2B5EF4-FFF2-40B4-BE49-F238E27FC236}">
              <a16:creationId xmlns="" xmlns:a16="http://schemas.microsoft.com/office/drawing/2014/main" id="{00000000-0008-0000-0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34016</xdr:colOff>
      <xdr:row>89</xdr:row>
      <xdr:rowOff>29935</xdr:rowOff>
    </xdr:from>
    <xdr:to>
      <xdr:col>4</xdr:col>
      <xdr:colOff>1258659</xdr:colOff>
      <xdr:row>102</xdr:row>
      <xdr:rowOff>119742</xdr:rowOff>
    </xdr:to>
    <xdr:graphicFrame macro="">
      <xdr:nvGraphicFramePr>
        <xdr:cNvPr id="14" name="17 Gráfico">
          <a:extLst>
            <a:ext uri="{FF2B5EF4-FFF2-40B4-BE49-F238E27FC236}">
              <a16:creationId xmlns=""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61230</xdr:colOff>
      <xdr:row>88</xdr:row>
      <xdr:rowOff>193222</xdr:rowOff>
    </xdr:from>
    <xdr:to>
      <xdr:col>12</xdr:col>
      <xdr:colOff>156480</xdr:colOff>
      <xdr:row>102</xdr:row>
      <xdr:rowOff>78922</xdr:rowOff>
    </xdr:to>
    <xdr:graphicFrame macro="">
      <xdr:nvGraphicFramePr>
        <xdr:cNvPr id="15" name="18 Gráfico">
          <a:extLst>
            <a:ext uri="{FF2B5EF4-FFF2-40B4-BE49-F238E27FC236}">
              <a16:creationId xmlns="" xmlns:a16="http://schemas.microsoft.com/office/drawing/2014/main"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47624</xdr:colOff>
      <xdr:row>89</xdr:row>
      <xdr:rowOff>16330</xdr:rowOff>
    </xdr:from>
    <xdr:to>
      <xdr:col>19</xdr:col>
      <xdr:colOff>47624</xdr:colOff>
      <xdr:row>102</xdr:row>
      <xdr:rowOff>106137</xdr:rowOff>
    </xdr:to>
    <xdr:graphicFrame macro="">
      <xdr:nvGraphicFramePr>
        <xdr:cNvPr id="16" name="19 Gráfico">
          <a:extLst>
            <a:ext uri="{FF2B5EF4-FFF2-40B4-BE49-F238E27FC236}">
              <a16:creationId xmlns=""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34016</xdr:colOff>
      <xdr:row>105</xdr:row>
      <xdr:rowOff>29936</xdr:rowOff>
    </xdr:from>
    <xdr:to>
      <xdr:col>4</xdr:col>
      <xdr:colOff>1258659</xdr:colOff>
      <xdr:row>118</xdr:row>
      <xdr:rowOff>119743</xdr:rowOff>
    </xdr:to>
    <xdr:graphicFrame macro="">
      <xdr:nvGraphicFramePr>
        <xdr:cNvPr id="17" name="20 Gráfico">
          <a:extLst>
            <a:ext uri="{FF2B5EF4-FFF2-40B4-BE49-F238E27FC236}">
              <a16:creationId xmlns="" xmlns:a16="http://schemas.microsoft.com/office/drawing/2014/main" id="{00000000-0008-0000-0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295576</xdr:colOff>
      <xdr:row>26</xdr:row>
      <xdr:rowOff>60476</xdr:rowOff>
    </xdr:from>
    <xdr:to>
      <xdr:col>23</xdr:col>
      <xdr:colOff>234345</xdr:colOff>
      <xdr:row>48</xdr:row>
      <xdr:rowOff>142119</xdr:rowOff>
    </xdr:to>
    <xdr:graphicFrame macro="">
      <xdr:nvGraphicFramePr>
        <xdr:cNvPr id="18" name="23 Gráfico">
          <a:extLst>
            <a:ext uri="{FF2B5EF4-FFF2-40B4-BE49-F238E27FC236}">
              <a16:creationId xmlns="" xmlns:a16="http://schemas.microsoft.com/office/drawing/2014/main"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21</xdr:col>
      <xdr:colOff>57150</xdr:colOff>
      <xdr:row>74</xdr:row>
      <xdr:rowOff>192181</xdr:rowOff>
    </xdr:from>
    <xdr:to>
      <xdr:col>25</xdr:col>
      <xdr:colOff>875179</xdr:colOff>
      <xdr:row>87</xdr:row>
      <xdr:rowOff>149037</xdr:rowOff>
    </xdr:to>
    <xdr:graphicFrame macro="">
      <xdr:nvGraphicFramePr>
        <xdr:cNvPr id="2" name="Gráfico 1">
          <a:extLst>
            <a:ext uri="{FF2B5EF4-FFF2-40B4-BE49-F238E27FC236}">
              <a16:creationId xmlns=""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44823</xdr:colOff>
      <xdr:row>75</xdr:row>
      <xdr:rowOff>44823</xdr:rowOff>
    </xdr:from>
    <xdr:to>
      <xdr:col>4</xdr:col>
      <xdr:colOff>218515</xdr:colOff>
      <xdr:row>88</xdr:row>
      <xdr:rowOff>0</xdr:rowOff>
    </xdr:to>
    <xdr:graphicFrame macro="">
      <xdr:nvGraphicFramePr>
        <xdr:cNvPr id="3" name="4 Gráfico">
          <a:extLst>
            <a:ext uri="{FF2B5EF4-FFF2-40B4-BE49-F238E27FC236}">
              <a16:creationId xmlns=""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971710</xdr:colOff>
      <xdr:row>75</xdr:row>
      <xdr:rowOff>21166</xdr:rowOff>
    </xdr:from>
    <xdr:to>
      <xdr:col>20</xdr:col>
      <xdr:colOff>0</xdr:colOff>
      <xdr:row>88</xdr:row>
      <xdr:rowOff>0</xdr:rowOff>
    </xdr:to>
    <xdr:graphicFrame macro="">
      <xdr:nvGraphicFramePr>
        <xdr:cNvPr id="4" name="6 Gráfico">
          <a:extLst>
            <a:ext uri="{FF2B5EF4-FFF2-40B4-BE49-F238E27FC236}">
              <a16:creationId xmlns=""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56029</xdr:colOff>
      <xdr:row>90</xdr:row>
      <xdr:rowOff>190500</xdr:rowOff>
    </xdr:from>
    <xdr:to>
      <xdr:col>3</xdr:col>
      <xdr:colOff>1283074</xdr:colOff>
      <xdr:row>103</xdr:row>
      <xdr:rowOff>22414</xdr:rowOff>
    </xdr:to>
    <xdr:graphicFrame macro="">
      <xdr:nvGraphicFramePr>
        <xdr:cNvPr id="5" name="7 Gráfico">
          <a:extLst>
            <a:ext uri="{FF2B5EF4-FFF2-40B4-BE49-F238E27FC236}">
              <a16:creationId xmlns=""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1092575</xdr:colOff>
      <xdr:row>90</xdr:row>
      <xdr:rowOff>163607</xdr:rowOff>
    </xdr:from>
    <xdr:to>
      <xdr:col>19</xdr:col>
      <xdr:colOff>739589</xdr:colOff>
      <xdr:row>103</xdr:row>
      <xdr:rowOff>11207</xdr:rowOff>
    </xdr:to>
    <xdr:graphicFrame macro="">
      <xdr:nvGraphicFramePr>
        <xdr:cNvPr id="6" name="8 Gráfico">
          <a:extLst>
            <a:ext uri="{FF2B5EF4-FFF2-40B4-BE49-F238E27FC236}">
              <a16:creationId xmlns=""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9525</xdr:colOff>
      <xdr:row>90</xdr:row>
      <xdr:rowOff>140074</xdr:rowOff>
    </xdr:from>
    <xdr:to>
      <xdr:col>25</xdr:col>
      <xdr:colOff>777128</xdr:colOff>
      <xdr:row>102</xdr:row>
      <xdr:rowOff>123825</xdr:rowOff>
    </xdr:to>
    <xdr:graphicFrame macro="">
      <xdr:nvGraphicFramePr>
        <xdr:cNvPr id="7" name="9 Gráfico">
          <a:extLst>
            <a:ext uri="{FF2B5EF4-FFF2-40B4-BE49-F238E27FC236}">
              <a16:creationId xmlns=""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28014</xdr:colOff>
      <xdr:row>105</xdr:row>
      <xdr:rowOff>40342</xdr:rowOff>
    </xdr:from>
    <xdr:to>
      <xdr:col>3</xdr:col>
      <xdr:colOff>1249455</xdr:colOff>
      <xdr:row>117</xdr:row>
      <xdr:rowOff>56029</xdr:rowOff>
    </xdr:to>
    <xdr:graphicFrame macro="">
      <xdr:nvGraphicFramePr>
        <xdr:cNvPr id="8" name="15 Gráfico">
          <a:extLst>
            <a:ext uri="{FF2B5EF4-FFF2-40B4-BE49-F238E27FC236}">
              <a16:creationId xmlns=""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5603</xdr:colOff>
      <xdr:row>105</xdr:row>
      <xdr:rowOff>67235</xdr:rowOff>
    </xdr:from>
    <xdr:to>
      <xdr:col>20</xdr:col>
      <xdr:colOff>0</xdr:colOff>
      <xdr:row>116</xdr:row>
      <xdr:rowOff>190500</xdr:rowOff>
    </xdr:to>
    <xdr:graphicFrame macro="">
      <xdr:nvGraphicFramePr>
        <xdr:cNvPr id="9" name="10 Gráfico">
          <a:extLst>
            <a:ext uri="{FF2B5EF4-FFF2-40B4-BE49-F238E27FC236}">
              <a16:creationId xmlns=""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xdr:col>
      <xdr:colOff>704850</xdr:colOff>
      <xdr:row>105</xdr:row>
      <xdr:rowOff>20330</xdr:rowOff>
    </xdr:from>
    <xdr:to>
      <xdr:col>25</xdr:col>
      <xdr:colOff>722459</xdr:colOff>
      <xdr:row>116</xdr:row>
      <xdr:rowOff>145596</xdr:rowOff>
    </xdr:to>
    <xdr:graphicFrame macro="">
      <xdr:nvGraphicFramePr>
        <xdr:cNvPr id="10" name="11 Gráfico">
          <a:extLst>
            <a:ext uri="{FF2B5EF4-FFF2-40B4-BE49-F238E27FC236}">
              <a16:creationId xmlns="" xmlns:a16="http://schemas.microsoft.com/office/drawing/2014/main" id="{00000000-0008-0000-1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6802</xdr:colOff>
      <xdr:row>119</xdr:row>
      <xdr:rowOff>2721</xdr:rowOff>
    </xdr:from>
    <xdr:to>
      <xdr:col>3</xdr:col>
      <xdr:colOff>1231445</xdr:colOff>
      <xdr:row>132</xdr:row>
      <xdr:rowOff>92528</xdr:rowOff>
    </xdr:to>
    <xdr:graphicFrame macro="">
      <xdr:nvGraphicFramePr>
        <xdr:cNvPr id="11" name="13 Gráfico">
          <a:extLst>
            <a:ext uri="{FF2B5EF4-FFF2-40B4-BE49-F238E27FC236}">
              <a16:creationId xmlns=""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61232</xdr:colOff>
      <xdr:row>119</xdr:row>
      <xdr:rowOff>57151</xdr:rowOff>
    </xdr:from>
    <xdr:to>
      <xdr:col>20</xdr:col>
      <xdr:colOff>0</xdr:colOff>
      <xdr:row>132</xdr:row>
      <xdr:rowOff>13607</xdr:rowOff>
    </xdr:to>
    <xdr:graphicFrame macro="">
      <xdr:nvGraphicFramePr>
        <xdr:cNvPr id="12" name="14 Gráfico">
          <a:extLst>
            <a:ext uri="{FF2B5EF4-FFF2-40B4-BE49-F238E27FC236}">
              <a16:creationId xmlns=""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20</xdr:col>
      <xdr:colOff>723900</xdr:colOff>
      <xdr:row>118</xdr:row>
      <xdr:rowOff>195943</xdr:rowOff>
    </xdr:from>
    <xdr:to>
      <xdr:col>25</xdr:col>
      <xdr:colOff>785131</xdr:colOff>
      <xdr:row>131</xdr:row>
      <xdr:rowOff>152400</xdr:rowOff>
    </xdr:to>
    <xdr:graphicFrame macro="">
      <xdr:nvGraphicFramePr>
        <xdr:cNvPr id="13" name="16 Gráfico">
          <a:extLst>
            <a:ext uri="{FF2B5EF4-FFF2-40B4-BE49-F238E27FC236}">
              <a16:creationId xmlns="" xmlns:a16="http://schemas.microsoft.com/office/drawing/2014/main" id="{00000000-0008-0000-1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34016</xdr:colOff>
      <xdr:row>135</xdr:row>
      <xdr:rowOff>29935</xdr:rowOff>
    </xdr:from>
    <xdr:to>
      <xdr:col>3</xdr:col>
      <xdr:colOff>1258659</xdr:colOff>
      <xdr:row>148</xdr:row>
      <xdr:rowOff>119742</xdr:rowOff>
    </xdr:to>
    <xdr:graphicFrame macro="">
      <xdr:nvGraphicFramePr>
        <xdr:cNvPr id="14" name="17 Gráfico">
          <a:extLst>
            <a:ext uri="{FF2B5EF4-FFF2-40B4-BE49-F238E27FC236}">
              <a16:creationId xmlns="" xmlns:a16="http://schemas.microsoft.com/office/drawing/2014/main" id="{00000000-0008-0000-1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61230</xdr:colOff>
      <xdr:row>134</xdr:row>
      <xdr:rowOff>193222</xdr:rowOff>
    </xdr:from>
    <xdr:to>
      <xdr:col>20</xdr:col>
      <xdr:colOff>0</xdr:colOff>
      <xdr:row>148</xdr:row>
      <xdr:rowOff>78922</xdr:rowOff>
    </xdr:to>
    <xdr:graphicFrame macro="">
      <xdr:nvGraphicFramePr>
        <xdr:cNvPr id="15" name="18 Gráfico">
          <a:extLst>
            <a:ext uri="{FF2B5EF4-FFF2-40B4-BE49-F238E27FC236}">
              <a16:creationId xmlns="" xmlns:a16="http://schemas.microsoft.com/office/drawing/2014/main" id="{00000000-0008-0000-1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0</xdr:colOff>
      <xdr:row>135</xdr:row>
      <xdr:rowOff>16330</xdr:rowOff>
    </xdr:from>
    <xdr:to>
      <xdr:col>25</xdr:col>
      <xdr:colOff>47624</xdr:colOff>
      <xdr:row>148</xdr:row>
      <xdr:rowOff>106137</xdr:rowOff>
    </xdr:to>
    <xdr:graphicFrame macro="">
      <xdr:nvGraphicFramePr>
        <xdr:cNvPr id="16" name="19 Gráfico">
          <a:extLst>
            <a:ext uri="{FF2B5EF4-FFF2-40B4-BE49-F238E27FC236}">
              <a16:creationId xmlns="" xmlns:a16="http://schemas.microsoft.com/office/drawing/2014/main" id="{00000000-0008-0000-1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34016</xdr:colOff>
      <xdr:row>151</xdr:row>
      <xdr:rowOff>29936</xdr:rowOff>
    </xdr:from>
    <xdr:to>
      <xdr:col>3</xdr:col>
      <xdr:colOff>1258659</xdr:colOff>
      <xdr:row>164</xdr:row>
      <xdr:rowOff>119743</xdr:rowOff>
    </xdr:to>
    <xdr:graphicFrame macro="">
      <xdr:nvGraphicFramePr>
        <xdr:cNvPr id="17" name="20 Gráfico">
          <a:extLst>
            <a:ext uri="{FF2B5EF4-FFF2-40B4-BE49-F238E27FC236}">
              <a16:creationId xmlns="" xmlns:a16="http://schemas.microsoft.com/office/drawing/2014/main" id="{00000000-0008-0000-1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21</xdr:col>
      <xdr:colOff>57150</xdr:colOff>
      <xdr:row>74</xdr:row>
      <xdr:rowOff>192181</xdr:rowOff>
    </xdr:from>
    <xdr:to>
      <xdr:col>25</xdr:col>
      <xdr:colOff>875179</xdr:colOff>
      <xdr:row>87</xdr:row>
      <xdr:rowOff>149037</xdr:rowOff>
    </xdr:to>
    <xdr:graphicFrame macro="">
      <xdr:nvGraphicFramePr>
        <xdr:cNvPr id="2" name="Gráfico 1">
          <a:extLst>
            <a:ext uri="{FF2B5EF4-FFF2-40B4-BE49-F238E27FC236}">
              <a16:creationId xmlns=""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44823</xdr:colOff>
      <xdr:row>75</xdr:row>
      <xdr:rowOff>44823</xdr:rowOff>
    </xdr:from>
    <xdr:to>
      <xdr:col>4</xdr:col>
      <xdr:colOff>218515</xdr:colOff>
      <xdr:row>88</xdr:row>
      <xdr:rowOff>0</xdr:rowOff>
    </xdr:to>
    <xdr:graphicFrame macro="">
      <xdr:nvGraphicFramePr>
        <xdr:cNvPr id="3" name="4 Gráfico">
          <a:extLst>
            <a:ext uri="{FF2B5EF4-FFF2-40B4-BE49-F238E27FC236}">
              <a16:creationId xmlns=""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971710</xdr:colOff>
      <xdr:row>75</xdr:row>
      <xdr:rowOff>21166</xdr:rowOff>
    </xdr:from>
    <xdr:to>
      <xdr:col>20</xdr:col>
      <xdr:colOff>0</xdr:colOff>
      <xdr:row>88</xdr:row>
      <xdr:rowOff>0</xdr:rowOff>
    </xdr:to>
    <xdr:graphicFrame macro="">
      <xdr:nvGraphicFramePr>
        <xdr:cNvPr id="4" name="6 Gráfico">
          <a:extLst>
            <a:ext uri="{FF2B5EF4-FFF2-40B4-BE49-F238E27FC236}">
              <a16:creationId xmlns=""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56029</xdr:colOff>
      <xdr:row>90</xdr:row>
      <xdr:rowOff>190500</xdr:rowOff>
    </xdr:from>
    <xdr:to>
      <xdr:col>3</xdr:col>
      <xdr:colOff>1283074</xdr:colOff>
      <xdr:row>103</xdr:row>
      <xdr:rowOff>22414</xdr:rowOff>
    </xdr:to>
    <xdr:graphicFrame macro="">
      <xdr:nvGraphicFramePr>
        <xdr:cNvPr id="5" name="7 Gráfico">
          <a:extLst>
            <a:ext uri="{FF2B5EF4-FFF2-40B4-BE49-F238E27FC236}">
              <a16:creationId xmlns=""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1092575</xdr:colOff>
      <xdr:row>90</xdr:row>
      <xdr:rowOff>163607</xdr:rowOff>
    </xdr:from>
    <xdr:to>
      <xdr:col>19</xdr:col>
      <xdr:colOff>739589</xdr:colOff>
      <xdr:row>103</xdr:row>
      <xdr:rowOff>11207</xdr:rowOff>
    </xdr:to>
    <xdr:graphicFrame macro="">
      <xdr:nvGraphicFramePr>
        <xdr:cNvPr id="6" name="8 Gráfico">
          <a:extLst>
            <a:ext uri="{FF2B5EF4-FFF2-40B4-BE49-F238E27FC236}">
              <a16:creationId xmlns="" xmlns:a16="http://schemas.microsoft.com/office/drawing/2014/main"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9525</xdr:colOff>
      <xdr:row>90</xdr:row>
      <xdr:rowOff>140074</xdr:rowOff>
    </xdr:from>
    <xdr:to>
      <xdr:col>25</xdr:col>
      <xdr:colOff>777128</xdr:colOff>
      <xdr:row>102</xdr:row>
      <xdr:rowOff>123825</xdr:rowOff>
    </xdr:to>
    <xdr:graphicFrame macro="">
      <xdr:nvGraphicFramePr>
        <xdr:cNvPr id="7" name="9 Gráfico">
          <a:extLst>
            <a:ext uri="{FF2B5EF4-FFF2-40B4-BE49-F238E27FC236}">
              <a16:creationId xmlns="" xmlns:a16="http://schemas.microsoft.com/office/drawing/2014/main"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28014</xdr:colOff>
      <xdr:row>105</xdr:row>
      <xdr:rowOff>40342</xdr:rowOff>
    </xdr:from>
    <xdr:to>
      <xdr:col>3</xdr:col>
      <xdr:colOff>1249455</xdr:colOff>
      <xdr:row>117</xdr:row>
      <xdr:rowOff>56029</xdr:rowOff>
    </xdr:to>
    <xdr:graphicFrame macro="">
      <xdr:nvGraphicFramePr>
        <xdr:cNvPr id="8" name="15 Gráfico">
          <a:extLst>
            <a:ext uri="{FF2B5EF4-FFF2-40B4-BE49-F238E27FC236}">
              <a16:creationId xmlns="" xmlns:a16="http://schemas.microsoft.com/office/drawing/2014/main" id="{00000000-0008-0000-1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5603</xdr:colOff>
      <xdr:row>105</xdr:row>
      <xdr:rowOff>67235</xdr:rowOff>
    </xdr:from>
    <xdr:to>
      <xdr:col>20</xdr:col>
      <xdr:colOff>0</xdr:colOff>
      <xdr:row>116</xdr:row>
      <xdr:rowOff>190500</xdr:rowOff>
    </xdr:to>
    <xdr:graphicFrame macro="">
      <xdr:nvGraphicFramePr>
        <xdr:cNvPr id="9" name="10 Gráfico">
          <a:extLst>
            <a:ext uri="{FF2B5EF4-FFF2-40B4-BE49-F238E27FC236}">
              <a16:creationId xmlns=""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xdr:col>
      <xdr:colOff>704850</xdr:colOff>
      <xdr:row>105</xdr:row>
      <xdr:rowOff>20330</xdr:rowOff>
    </xdr:from>
    <xdr:to>
      <xdr:col>25</xdr:col>
      <xdr:colOff>722459</xdr:colOff>
      <xdr:row>116</xdr:row>
      <xdr:rowOff>145596</xdr:rowOff>
    </xdr:to>
    <xdr:graphicFrame macro="">
      <xdr:nvGraphicFramePr>
        <xdr:cNvPr id="10" name="11 Gráfico">
          <a:extLst>
            <a:ext uri="{FF2B5EF4-FFF2-40B4-BE49-F238E27FC236}">
              <a16:creationId xmlns="" xmlns:a16="http://schemas.microsoft.com/office/drawing/2014/main" id="{00000000-0008-0000-1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6802</xdr:colOff>
      <xdr:row>119</xdr:row>
      <xdr:rowOff>2721</xdr:rowOff>
    </xdr:from>
    <xdr:to>
      <xdr:col>3</xdr:col>
      <xdr:colOff>1231445</xdr:colOff>
      <xdr:row>132</xdr:row>
      <xdr:rowOff>92528</xdr:rowOff>
    </xdr:to>
    <xdr:graphicFrame macro="">
      <xdr:nvGraphicFramePr>
        <xdr:cNvPr id="11" name="13 Gráfico">
          <a:extLst>
            <a:ext uri="{FF2B5EF4-FFF2-40B4-BE49-F238E27FC236}">
              <a16:creationId xmlns="" xmlns:a16="http://schemas.microsoft.com/office/drawing/2014/main" id="{00000000-0008-0000-1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61232</xdr:colOff>
      <xdr:row>119</xdr:row>
      <xdr:rowOff>57151</xdr:rowOff>
    </xdr:from>
    <xdr:to>
      <xdr:col>20</xdr:col>
      <xdr:colOff>0</xdr:colOff>
      <xdr:row>132</xdr:row>
      <xdr:rowOff>13607</xdr:rowOff>
    </xdr:to>
    <xdr:graphicFrame macro="">
      <xdr:nvGraphicFramePr>
        <xdr:cNvPr id="12" name="14 Gráfico">
          <a:extLst>
            <a:ext uri="{FF2B5EF4-FFF2-40B4-BE49-F238E27FC236}">
              <a16:creationId xmlns="" xmlns:a16="http://schemas.microsoft.com/office/drawing/2014/main" id="{00000000-0008-0000-1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20</xdr:col>
      <xdr:colOff>723900</xdr:colOff>
      <xdr:row>118</xdr:row>
      <xdr:rowOff>195943</xdr:rowOff>
    </xdr:from>
    <xdr:to>
      <xdr:col>25</xdr:col>
      <xdr:colOff>785131</xdr:colOff>
      <xdr:row>131</xdr:row>
      <xdr:rowOff>152400</xdr:rowOff>
    </xdr:to>
    <xdr:graphicFrame macro="">
      <xdr:nvGraphicFramePr>
        <xdr:cNvPr id="13" name="16 Gráfico">
          <a:extLst>
            <a:ext uri="{FF2B5EF4-FFF2-40B4-BE49-F238E27FC236}">
              <a16:creationId xmlns="" xmlns:a16="http://schemas.microsoft.com/office/drawing/2014/main" id="{00000000-0008-0000-1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34016</xdr:colOff>
      <xdr:row>135</xdr:row>
      <xdr:rowOff>29935</xdr:rowOff>
    </xdr:from>
    <xdr:to>
      <xdr:col>3</xdr:col>
      <xdr:colOff>1258659</xdr:colOff>
      <xdr:row>148</xdr:row>
      <xdr:rowOff>119742</xdr:rowOff>
    </xdr:to>
    <xdr:graphicFrame macro="">
      <xdr:nvGraphicFramePr>
        <xdr:cNvPr id="14" name="17 Gráfico">
          <a:extLst>
            <a:ext uri="{FF2B5EF4-FFF2-40B4-BE49-F238E27FC236}">
              <a16:creationId xmlns="" xmlns:a16="http://schemas.microsoft.com/office/drawing/2014/main" id="{00000000-0008-0000-1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61230</xdr:colOff>
      <xdr:row>134</xdr:row>
      <xdr:rowOff>193222</xdr:rowOff>
    </xdr:from>
    <xdr:to>
      <xdr:col>20</xdr:col>
      <xdr:colOff>0</xdr:colOff>
      <xdr:row>148</xdr:row>
      <xdr:rowOff>78922</xdr:rowOff>
    </xdr:to>
    <xdr:graphicFrame macro="">
      <xdr:nvGraphicFramePr>
        <xdr:cNvPr id="15" name="18 Gráfico">
          <a:extLst>
            <a:ext uri="{FF2B5EF4-FFF2-40B4-BE49-F238E27FC236}">
              <a16:creationId xmlns="" xmlns:a16="http://schemas.microsoft.com/office/drawing/2014/main" id="{00000000-0008-0000-1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0</xdr:colOff>
      <xdr:row>135</xdr:row>
      <xdr:rowOff>16330</xdr:rowOff>
    </xdr:from>
    <xdr:to>
      <xdr:col>25</xdr:col>
      <xdr:colOff>47624</xdr:colOff>
      <xdr:row>148</xdr:row>
      <xdr:rowOff>106137</xdr:rowOff>
    </xdr:to>
    <xdr:graphicFrame macro="">
      <xdr:nvGraphicFramePr>
        <xdr:cNvPr id="16" name="19 Gráfico">
          <a:extLst>
            <a:ext uri="{FF2B5EF4-FFF2-40B4-BE49-F238E27FC236}">
              <a16:creationId xmlns="" xmlns:a16="http://schemas.microsoft.com/office/drawing/2014/main" id="{00000000-0008-0000-1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34016</xdr:colOff>
      <xdr:row>151</xdr:row>
      <xdr:rowOff>29936</xdr:rowOff>
    </xdr:from>
    <xdr:to>
      <xdr:col>3</xdr:col>
      <xdr:colOff>1258659</xdr:colOff>
      <xdr:row>164</xdr:row>
      <xdr:rowOff>119743</xdr:rowOff>
    </xdr:to>
    <xdr:graphicFrame macro="">
      <xdr:nvGraphicFramePr>
        <xdr:cNvPr id="17" name="20 Gráfico">
          <a:extLst>
            <a:ext uri="{FF2B5EF4-FFF2-40B4-BE49-F238E27FC236}">
              <a16:creationId xmlns="" xmlns:a16="http://schemas.microsoft.com/office/drawing/2014/main" id="{00000000-0008-0000-1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542924</xdr:colOff>
      <xdr:row>26</xdr:row>
      <xdr:rowOff>95250</xdr:rowOff>
    </xdr:from>
    <xdr:to>
      <xdr:col>16</xdr:col>
      <xdr:colOff>685800</xdr:colOff>
      <xdr:row>48</xdr:row>
      <xdr:rowOff>57150</xdr:rowOff>
    </xdr:to>
    <xdr:graphicFrame macro="">
      <xdr:nvGraphicFramePr>
        <xdr:cNvPr id="18" name="Gráfico 17">
          <a:extLst>
            <a:ext uri="{FF2B5EF4-FFF2-40B4-BE49-F238E27FC236}">
              <a16:creationId xmlns="" xmlns:a16="http://schemas.microsoft.com/office/drawing/2014/main" id="{00000000-0008-0000-14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LAN%20INDICATIVO%20GUADALUP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rocesos/Dropbox/Users/Usuario/Desktop/LA%20PLATA/PLAN%20IND%20LA%20PLATA%20Julio%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_Plan Indicativo"/>
      <sheetName val="PLAN DE ACCIÓN"/>
      <sheetName val="Listas"/>
      <sheetName val="Instrucciones "/>
      <sheetName val="1_Metas_Resultados"/>
      <sheetName val="2_Metas_Producto_ y_ $"/>
      <sheetName val="PI_Ejec"/>
    </sheetNames>
    <sheetDataSet>
      <sheetData sheetId="0" refreshError="1"/>
      <sheetData sheetId="1" refreshError="1"/>
      <sheetData sheetId="2">
        <row r="3">
          <cell r="K3" t="str">
            <v>Mantenimiento</v>
          </cell>
        </row>
        <row r="4">
          <cell r="C4" t="str">
            <v>A.1</v>
          </cell>
          <cell r="K4" t="str">
            <v>Reducción</v>
          </cell>
        </row>
        <row r="5">
          <cell r="C5" t="str">
            <v>A.2</v>
          </cell>
          <cell r="K5" t="str">
            <v>Incremento</v>
          </cell>
        </row>
        <row r="6">
          <cell r="C6" t="str">
            <v>A.3</v>
          </cell>
        </row>
        <row r="7">
          <cell r="C7" t="str">
            <v>A.4</v>
          </cell>
        </row>
        <row r="8">
          <cell r="C8" t="str">
            <v>A.5</v>
          </cell>
        </row>
        <row r="9">
          <cell r="C9" t="str">
            <v>A.6</v>
          </cell>
        </row>
        <row r="10">
          <cell r="C10" t="str">
            <v>A.7</v>
          </cell>
        </row>
        <row r="11">
          <cell r="C11" t="str">
            <v>A.8</v>
          </cell>
        </row>
        <row r="12">
          <cell r="C12" t="str">
            <v>A.9</v>
          </cell>
        </row>
        <row r="13">
          <cell r="C13" t="str">
            <v>A.10</v>
          </cell>
        </row>
        <row r="14">
          <cell r="C14" t="str">
            <v>A.11</v>
          </cell>
        </row>
        <row r="15">
          <cell r="C15" t="str">
            <v>A.12</v>
          </cell>
        </row>
        <row r="16">
          <cell r="C16" t="str">
            <v>A.13</v>
          </cell>
        </row>
        <row r="17">
          <cell r="C17" t="str">
            <v>A.14</v>
          </cell>
        </row>
        <row r="18">
          <cell r="C18" t="str">
            <v>A.15</v>
          </cell>
        </row>
        <row r="19">
          <cell r="C19" t="str">
            <v>A.16</v>
          </cell>
        </row>
        <row r="20">
          <cell r="C20" t="str">
            <v>A.17</v>
          </cell>
        </row>
        <row r="21">
          <cell r="C21" t="str">
            <v>A.18</v>
          </cell>
        </row>
      </sheetData>
      <sheetData sheetId="3" refreshError="1"/>
      <sheetData sheetId="4">
        <row r="4">
          <cell r="C4" t="str">
            <v>1.  Aumentar la cobertura neta en educación media  al 40%.</v>
          </cell>
        </row>
        <row r="5">
          <cell r="C5" t="str">
            <v>2. Mantener cobertura en régimen subsidiado en el 98%</v>
          </cell>
        </row>
        <row r="6">
          <cell r="C6" t="str">
            <v>3. Llegar al 10% de la población participando en actividades de salud ambiental.</v>
          </cell>
        </row>
        <row r="7">
          <cell r="C7" t="str">
            <v>4. Mantener la cobertura del programa ampliado de inmunización - PAI  en un 95%.</v>
          </cell>
        </row>
        <row r="8">
          <cell r="C8" t="str">
            <v>5. Mantener en 0%, la tasa de mortalidad por desnutrición en menores de cinco años, por cada 100.000 personas menores de 5 años.</v>
          </cell>
        </row>
        <row r="9">
          <cell r="C9" t="str">
            <v>6. 30% de la población participando en actividades de convivencia pacífica y ciudadana.</v>
          </cell>
        </row>
        <row r="10">
          <cell r="C10" t="str">
            <v>7. 10% de la población participando en actividades relacionadas con  sexualidad, derechos sexuales y reproductivos.</v>
          </cell>
        </row>
        <row r="11">
          <cell r="C11" t="str">
            <v xml:space="preserve">8. 100% de respuesta en salud ante situaciones de emergencias y desastres, durante el cuatrienio. </v>
          </cell>
        </row>
        <row r="12">
          <cell r="C12" t="str">
            <v xml:space="preserve">9. 80% de la población vinculada a empresas formales en riesgos laborales, durante el cuatrienio. </v>
          </cell>
        </row>
        <row r="13">
          <cell r="C13" t="str">
            <v>10. 1 plan de  atención y prestación de servicios en salud con adecuación al ciclo de vida, género, etnicidad, y a las necesidades diferenciales de la población con discapacidad y de la población víctima del armado.</v>
          </cell>
        </row>
        <row r="14">
          <cell r="C14" t="str">
            <v>11. 1 programa para fortalecer capacidades de talento humano para mejorar la salud de la población.</v>
          </cell>
        </row>
        <row r="15">
          <cell r="C15" t="str">
            <v>12. 1 programa de inspección, vigilancia y control en salud pública, implementado.</v>
          </cell>
        </row>
        <row r="16">
          <cell r="C16" t="str">
            <v xml:space="preserve">13. 100% de la PPNA, atendida con servicios de salud, durante el cuatrienio. </v>
          </cell>
        </row>
        <row r="17">
          <cell r="C17" t="str">
            <v>14. 100% de operatividad del fondo local de salud.</v>
          </cell>
        </row>
        <row r="18">
          <cell r="C18" t="str">
            <v>15. Incrementar la cobertura total (urbano-rural) al 60% en servicio de acueducto.</v>
          </cell>
        </row>
        <row r="19">
          <cell r="C19" t="str">
            <v xml:space="preserve">16. Lograr que el 15% de la población participando en actividades deportivas en el Municipio cada año. </v>
          </cell>
        </row>
        <row r="20">
          <cell r="C20" t="str">
            <v>17. 15% de la población participando en actividades culturales.</v>
          </cell>
        </row>
        <row r="21">
          <cell r="C21" t="str">
            <v>18. Reducir el déficit de vivienda al 43,1%.</v>
          </cell>
        </row>
        <row r="22">
          <cell r="C22" t="str">
            <v>19. Implementar 1 programa que garantice los  derechos de niños, niñas y adolescentes, según la Ley 1098 de 2006.</v>
          </cell>
        </row>
        <row r="23">
          <cell r="C23" t="str">
            <v xml:space="preserve">20. Implementar 1 programa que garantice la protección, promoción y defensa de los derechos de los adultos mayores. </v>
          </cell>
        </row>
        <row r="24">
          <cell r="C24" t="str">
            <v xml:space="preserve">21. Implementar 1 programa de transformación, participación activa y prevención de la violencia y discriminación contra las mujeres. </v>
          </cell>
        </row>
        <row r="25">
          <cell r="C25" t="str">
            <v>22. Implementar 1 programa que garantice el goce efectivo de los derechos de las víctimas.</v>
          </cell>
        </row>
        <row r="26">
          <cell r="C26" t="str">
            <v>23.  Implementar 1 programa que garantice el ejercicio efectivo de los derechos de las personas con discapacidad.</v>
          </cell>
        </row>
        <row r="27">
          <cell r="C27" t="str">
            <v xml:space="preserve">24. Implementar 1 programa que garantice el goce efectivo de la oferta institucional que se ofrece a través del Programa Unidos. </v>
          </cell>
        </row>
        <row r="28">
          <cell r="C28" t="str">
            <v xml:space="preserve">25. Implementar 1 programa que garantice el goce efectivo de los derechos de los jóvenes y su participación activa en el desarrollo local. </v>
          </cell>
        </row>
        <row r="29">
          <cell r="C29" t="str">
            <v>26. Implementar 1 programa de atención integral a la población LGTBI.</v>
          </cell>
        </row>
        <row r="30">
          <cell r="C30" t="str">
            <v>27. Lograr que 5.000 turistas hagan turismo religioso en Guadalupe.</v>
          </cell>
        </row>
        <row r="31">
          <cell r="C31" t="str">
            <v xml:space="preserve">28. Aumentar en un 5% la producción agropecuaria durante el periodo. </v>
          </cell>
        </row>
        <row r="32">
          <cell r="C32" t="str">
            <v xml:space="preserve">29. Garantizar la transitabilidad en el 100% de las vías del Municipio.  </v>
          </cell>
        </row>
        <row r="33">
          <cell r="C33" t="str">
            <v>30. Reducir la tasa de muertes por accidente de tránsito al en 2% por cada 100.000 habitantes</v>
          </cell>
        </row>
        <row r="34">
          <cell r="C34" t="str">
            <v>31. Aumentar al 93% la cobertura de electrificación total.</v>
          </cell>
        </row>
        <row r="35">
          <cell r="C35" t="str">
            <v xml:space="preserve">32. Implementar 1 proyecto de apoyo psicosocial y de garantía de derechos a los Guadalupanos que se encuentren privados de su libertad. </v>
          </cell>
        </row>
        <row r="36">
          <cell r="C36" t="str">
            <v>33. Mantener el 100% del equipamiento municipal en condiciones adecuadas para ofrecer un buen servicio a la comunidad.</v>
          </cell>
        </row>
        <row r="37">
          <cell r="C37" t="str">
            <v>34. Mantener el apoyo al 100% de las organizaciones comunitarias.</v>
          </cell>
        </row>
        <row r="38">
          <cell r="C38" t="str">
            <v xml:space="preserve">35. Incrementar el índice de desempeño integral a 85 puntos. </v>
          </cell>
        </row>
        <row r="39">
          <cell r="C39" t="str">
            <v xml:space="preserve">36.  Disminuir la tasa de homicidios a 4,8 por cada 100.000 habitantes. </v>
          </cell>
        </row>
        <row r="40">
          <cell r="C40" t="str">
            <v xml:space="preserve">37. 100% de los desastres naturales atendidos por el ente territorial. </v>
          </cell>
        </row>
        <row r="41">
          <cell r="C41" t="str">
            <v xml:space="preserve">38. Aumentar en 10% los recursos destinados para el medio ambiente, respecto al cuatrienio anterior. </v>
          </cell>
        </row>
        <row r="42">
          <cell r="C42" t="str">
            <v xml:space="preserve"> </v>
          </cell>
        </row>
        <row r="43">
          <cell r="C43" t="str">
            <v xml:space="preserve"> </v>
          </cell>
        </row>
        <row r="44">
          <cell r="C44" t="str">
            <v xml:space="preserve"> </v>
          </cell>
        </row>
        <row r="45">
          <cell r="C45" t="str">
            <v xml:space="preserve"> </v>
          </cell>
        </row>
        <row r="46">
          <cell r="C46" t="str">
            <v xml:space="preserve"> </v>
          </cell>
        </row>
        <row r="47">
          <cell r="C47" t="str">
            <v xml:space="preserve"> </v>
          </cell>
        </row>
        <row r="48">
          <cell r="C48" t="str">
            <v xml:space="preserve"> </v>
          </cell>
        </row>
        <row r="49">
          <cell r="C49" t="str">
            <v xml:space="preserve"> </v>
          </cell>
        </row>
        <row r="50">
          <cell r="C50" t="str">
            <v xml:space="preserve"> </v>
          </cell>
        </row>
        <row r="51">
          <cell r="C51" t="str">
            <v xml:space="preserve"> </v>
          </cell>
        </row>
        <row r="52">
          <cell r="C52" t="str">
            <v xml:space="preserve"> </v>
          </cell>
        </row>
        <row r="53">
          <cell r="C53" t="str">
            <v xml:space="preserve"> </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ecución del Presupuesto de Ga"/>
      <sheetName val="ODS GUIA"/>
      <sheetName val="PLAN INDICATIVO"/>
      <sheetName val="Hoja3"/>
      <sheetName val="PLAN ACCION 2016"/>
      <sheetName val="Hoja1"/>
      <sheetName val="Hoja2"/>
      <sheetName val="PROYECTOS PRIORITARIOS"/>
      <sheetName val="PI SALUD"/>
      <sheetName val="GUIA"/>
      <sheetName val="ODS METAS"/>
      <sheetName val="PLAN DE ACCION EMSERPLA"/>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3">
          <cell r="A3" t="str">
            <v>Mantenimiento</v>
          </cell>
          <cell r="B3" t="str">
            <v>1. Fin de la Pobreza</v>
          </cell>
          <cell r="C3" t="str">
            <v>Educación</v>
          </cell>
          <cell r="F3" t="str">
            <v>Secretaría de Educación, Cultura, deporte y Turismo</v>
          </cell>
        </row>
        <row r="4">
          <cell r="A4" t="str">
            <v xml:space="preserve">Reducción </v>
          </cell>
          <cell r="B4" t="str">
            <v>2. Hambre cero</v>
          </cell>
          <cell r="C4" t="str">
            <v>Salud</v>
          </cell>
          <cell r="F4" t="str">
            <v>Secretaría de Desarrollo Social</v>
          </cell>
        </row>
        <row r="5">
          <cell r="A5" t="str">
            <v>Incremento</v>
          </cell>
          <cell r="B5" t="str">
            <v>3. Salud y Bienestar</v>
          </cell>
          <cell r="C5" t="str">
            <v>APSB</v>
          </cell>
          <cell r="F5" t="str">
            <v>Departamento Municipal de Planeación</v>
          </cell>
        </row>
        <row r="6">
          <cell r="B6" t="str">
            <v>4. Educación de calidad</v>
          </cell>
          <cell r="C6" t="str">
            <v>Deporte y Recreación</v>
          </cell>
          <cell r="F6" t="str">
            <v>EMSERPLA</v>
          </cell>
        </row>
        <row r="7">
          <cell r="B7" t="str">
            <v>5. Igualdad de Género</v>
          </cell>
          <cell r="C7" t="str">
            <v>Cultura</v>
          </cell>
          <cell r="F7" t="str">
            <v>Secretaría de Gobierno</v>
          </cell>
        </row>
        <row r="8">
          <cell r="B8" t="str">
            <v>6. Agua limplia y saneamiento</v>
          </cell>
          <cell r="C8" t="str">
            <v>Servicios Públicos</v>
          </cell>
          <cell r="F8" t="str">
            <v>Comisaría de Familia</v>
          </cell>
        </row>
        <row r="9">
          <cell r="B9" t="str">
            <v>7. Energía Asequible y no contaminante</v>
          </cell>
          <cell r="C9" t="str">
            <v>Vivienda</v>
          </cell>
          <cell r="F9" t="str">
            <v xml:space="preserve">Secretaría de Tránsito </v>
          </cell>
        </row>
        <row r="10">
          <cell r="B10" t="str">
            <v>8. Trabajo decente y crecimiento económico</v>
          </cell>
          <cell r="C10" t="str">
            <v>Agropecuario</v>
          </cell>
          <cell r="F10" t="str">
            <v>Secretaría de Obras Civiles</v>
          </cell>
        </row>
        <row r="11">
          <cell r="B11" t="str">
            <v>9. Industria, innovación e infraestructura</v>
          </cell>
          <cell r="C11" t="str">
            <v>Transporte</v>
          </cell>
          <cell r="F11" t="str">
            <v>Secretaría de Hacienda</v>
          </cell>
        </row>
        <row r="12">
          <cell r="B12" t="str">
            <v>10. Reducción de las desigualdades</v>
          </cell>
          <cell r="C12" t="str">
            <v>Ambiental</v>
          </cell>
          <cell r="F12" t="str">
            <v>Unidad de Desarrollo Rural</v>
          </cell>
        </row>
        <row r="13">
          <cell r="B13" t="str">
            <v>11. Ciudades y comunidades sostenibles</v>
          </cell>
          <cell r="C13" t="str">
            <v>Centros de Reclusión</v>
          </cell>
        </row>
        <row r="14">
          <cell r="B14" t="str">
            <v>12. Producción y consumo responsables</v>
          </cell>
          <cell r="C14" t="str">
            <v>Prevención y atención de desastres</v>
          </cell>
        </row>
        <row r="15">
          <cell r="B15" t="str">
            <v>13. Acción por el clima</v>
          </cell>
          <cell r="C15" t="str">
            <v>Promoción del desarrollo</v>
          </cell>
        </row>
        <row r="16">
          <cell r="B16" t="str">
            <v>14. Vida submarina</v>
          </cell>
          <cell r="C16" t="str">
            <v>Atención a grupos vulnerables - promoción social</v>
          </cell>
        </row>
        <row r="17">
          <cell r="B17" t="str">
            <v>15. Vida de ecosistemas terrestres</v>
          </cell>
          <cell r="C17" t="str">
            <v xml:space="preserve">Equipamiento </v>
          </cell>
        </row>
        <row r="18">
          <cell r="B18" t="str">
            <v>16. Paz, justicia e instituciones sólidas</v>
          </cell>
          <cell r="C18" t="str">
            <v>Desarrollo comunitario</v>
          </cell>
        </row>
        <row r="19">
          <cell r="B19" t="str">
            <v>17. Alianzas para lograr los objetivos</v>
          </cell>
          <cell r="C19" t="str">
            <v>Fortalecimiento institucional</v>
          </cell>
        </row>
        <row r="20">
          <cell r="C20" t="str">
            <v>Justicia y seguridad</v>
          </cell>
        </row>
      </sheetData>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comments" Target="../comments5.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500"/>
  <sheetViews>
    <sheetView topLeftCell="C1" zoomScale="70" zoomScaleNormal="70" zoomScalePageLayoutView="140" workbookViewId="0">
      <pane ySplit="4" topLeftCell="A5" activePane="bottomLeft" state="frozen"/>
      <selection pane="bottomLeft" activeCell="P113" sqref="P113"/>
    </sheetView>
  </sheetViews>
  <sheetFormatPr baseColWidth="10" defaultColWidth="10.88671875" defaultRowHeight="13.2" x14ac:dyDescent="0.25"/>
  <cols>
    <col min="1" max="1" width="22.44140625" style="3" customWidth="1"/>
    <col min="2" max="2" width="18.44140625" style="5" customWidth="1"/>
    <col min="3" max="3" width="13.109375" style="5" customWidth="1"/>
    <col min="4" max="4" width="15.6640625" style="3" customWidth="1"/>
    <col min="5" max="5" width="12" style="3" customWidth="1"/>
    <col min="6" max="6" width="27.5546875" style="3" hidden="1" customWidth="1"/>
    <col min="7" max="7" width="43.88671875" style="3" hidden="1" customWidth="1"/>
    <col min="8" max="8" width="34.33203125" style="3" hidden="1" customWidth="1"/>
    <col min="9" max="9" width="16.6640625" style="4" hidden="1" customWidth="1"/>
    <col min="10" max="10" width="25.6640625" style="3" hidden="1" customWidth="1"/>
    <col min="11" max="11" width="18.88671875" style="3" customWidth="1"/>
    <col min="12" max="12" width="12.44140625" style="3" hidden="1" customWidth="1"/>
    <col min="13" max="13" width="15.44140625" style="252" customWidth="1"/>
    <col min="14" max="14" width="17.5546875" style="3" customWidth="1"/>
    <col min="15" max="15" width="22.33203125" style="252" customWidth="1"/>
    <col min="16" max="16" width="19.88671875" style="252" customWidth="1"/>
    <col min="17" max="17" width="27.88671875" style="27" customWidth="1"/>
    <col min="18" max="18" width="14.44140625" style="28" customWidth="1"/>
    <col min="19" max="19" width="2.33203125" style="4" hidden="1" customWidth="1"/>
    <col min="20" max="20" width="19.5546875" style="4" hidden="1" customWidth="1"/>
    <col min="21" max="21" width="7.44140625" style="4" hidden="1" customWidth="1"/>
    <col min="22" max="22" width="9" style="46" customWidth="1"/>
    <col min="23" max="23" width="6.44140625" style="46" hidden="1" customWidth="1"/>
    <col min="24" max="24" width="11.6640625" style="46" hidden="1" customWidth="1"/>
    <col min="25" max="25" width="4.33203125" style="46" hidden="1" customWidth="1"/>
    <col min="26" max="26" width="9.33203125" style="29" hidden="1" customWidth="1"/>
    <col min="27" max="27" width="10.88671875" style="29" hidden="1" customWidth="1"/>
    <col min="28" max="28" width="14" style="29" hidden="1" customWidth="1"/>
    <col min="29" max="29" width="16.6640625" style="29" hidden="1" customWidth="1"/>
    <col min="30" max="30" width="15.33203125" style="29" hidden="1" customWidth="1"/>
    <col min="31" max="31" width="12.88671875" style="29" hidden="1" customWidth="1"/>
    <col min="32" max="32" width="17.44140625" style="29" hidden="1" customWidth="1"/>
    <col min="33" max="33" width="13.33203125" style="39" hidden="1" customWidth="1"/>
    <col min="34" max="34" width="14.44140625" style="29" customWidth="1"/>
    <col min="35" max="35" width="13.88671875" style="29" customWidth="1"/>
    <col min="36" max="36" width="14" style="29" customWidth="1"/>
    <col min="37" max="37" width="9" style="29" customWidth="1"/>
    <col min="38" max="38" width="7" style="29" customWidth="1"/>
    <col min="39" max="39" width="9.6640625" style="29" customWidth="1"/>
    <col min="40" max="40" width="23.5546875" style="29" customWidth="1"/>
    <col min="41" max="41" width="6.6640625" style="29" hidden="1" customWidth="1"/>
    <col min="42" max="42" width="7.44140625" style="29" hidden="1" customWidth="1"/>
    <col min="43" max="43" width="14.44140625" style="29" hidden="1" customWidth="1"/>
    <col min="44" max="44" width="2.5546875" style="29" hidden="1" customWidth="1"/>
    <col min="45" max="45" width="2.109375" style="29" hidden="1" customWidth="1"/>
    <col min="46" max="46" width="2.44140625" style="29" hidden="1" customWidth="1"/>
    <col min="47" max="47" width="1.5546875" style="29" hidden="1" customWidth="1"/>
    <col min="48" max="48" width="14.109375" style="29" hidden="1" customWidth="1"/>
    <col min="49" max="49" width="9.33203125" style="29" hidden="1" customWidth="1"/>
    <col min="50" max="50" width="7.109375" style="29" hidden="1" customWidth="1"/>
    <col min="51" max="51" width="10.6640625" style="29" hidden="1" customWidth="1"/>
    <col min="52" max="52" width="5.88671875" style="29" hidden="1" customWidth="1"/>
    <col min="53" max="53" width="3.109375" style="29" hidden="1" customWidth="1"/>
    <col min="54" max="54" width="3.6640625" style="29" hidden="1" customWidth="1"/>
    <col min="55" max="55" width="3.44140625" style="29" hidden="1" customWidth="1"/>
    <col min="56" max="56" width="14" style="29" hidden="1" customWidth="1"/>
    <col min="57" max="64" width="12.6640625" style="29" hidden="1" customWidth="1"/>
    <col min="65" max="65" width="10.88671875" style="40"/>
    <col min="66" max="16384" width="10.88671875" style="3"/>
  </cols>
  <sheetData>
    <row r="1" spans="1:65" ht="7.5" customHeight="1" x14ac:dyDescent="0.25">
      <c r="B1" s="15" t="s">
        <v>0</v>
      </c>
      <c r="C1" s="15"/>
      <c r="AC1" s="30"/>
      <c r="AF1" s="30"/>
      <c r="AK1" s="30">
        <v>2200</v>
      </c>
      <c r="AR1" s="30">
        <v>2000</v>
      </c>
      <c r="AS1" s="30"/>
      <c r="AZ1" s="30">
        <v>2000</v>
      </c>
      <c r="BH1" s="30">
        <v>2000</v>
      </c>
    </row>
    <row r="2" spans="1:65" ht="20.25" customHeight="1" x14ac:dyDescent="0.25">
      <c r="A2" s="605"/>
      <c r="B2" s="1533" t="s">
        <v>1</v>
      </c>
      <c r="C2" s="1534"/>
      <c r="D2" s="1534"/>
      <c r="E2" s="1534"/>
      <c r="F2" s="1534"/>
      <c r="G2" s="1534"/>
      <c r="H2" s="1534"/>
      <c r="I2" s="1534"/>
      <c r="J2" s="1534"/>
      <c r="K2" s="1534"/>
      <c r="L2" s="1534"/>
      <c r="M2" s="1535"/>
      <c r="N2" s="606"/>
      <c r="O2" s="606"/>
      <c r="P2" s="606"/>
      <c r="Q2" s="606"/>
      <c r="R2" s="607"/>
      <c r="S2" s="606"/>
      <c r="T2" s="606"/>
      <c r="U2" s="606"/>
      <c r="V2" s="608"/>
      <c r="W2" s="608"/>
      <c r="X2" s="608"/>
      <c r="Y2" s="608"/>
      <c r="Z2" s="609">
        <f t="shared" ref="Z2:BL2" si="0">+Z5+Z261+Z361+Z445</f>
        <v>1511.24</v>
      </c>
      <c r="AA2" s="609">
        <f t="shared" si="0"/>
        <v>664.09999999999991</v>
      </c>
      <c r="AB2" s="609">
        <f t="shared" si="0"/>
        <v>20535.189999999995</v>
      </c>
      <c r="AC2" s="609">
        <f t="shared" si="0"/>
        <v>3137</v>
      </c>
      <c r="AD2" s="609" t="e">
        <f t="shared" si="0"/>
        <v>#VALUE!</v>
      </c>
      <c r="AE2" s="609">
        <f t="shared" si="0"/>
        <v>3967.3799999999997</v>
      </c>
      <c r="AF2" s="609">
        <f t="shared" si="0"/>
        <v>20003</v>
      </c>
      <c r="AG2" s="610">
        <f t="shared" si="0"/>
        <v>49817.909999999996</v>
      </c>
      <c r="AH2" s="609">
        <f t="shared" si="0"/>
        <v>1374.81</v>
      </c>
      <c r="AI2" s="609">
        <f t="shared" si="0"/>
        <v>649.9</v>
      </c>
      <c r="AJ2" s="609">
        <f t="shared" si="0"/>
        <v>21607.649999999998</v>
      </c>
      <c r="AK2" s="609">
        <f t="shared" si="0"/>
        <v>1400</v>
      </c>
      <c r="AL2" s="609">
        <f t="shared" si="0"/>
        <v>0</v>
      </c>
      <c r="AM2" s="609">
        <f t="shared" si="0"/>
        <v>22820</v>
      </c>
      <c r="AN2" s="609">
        <f t="shared" si="0"/>
        <v>47852.36</v>
      </c>
      <c r="AO2" s="609">
        <f t="shared" si="0"/>
        <v>1608.1799999999998</v>
      </c>
      <c r="AP2" s="609">
        <f t="shared" si="0"/>
        <v>674.2</v>
      </c>
      <c r="AQ2" s="609">
        <f t="shared" si="0"/>
        <v>21558.902475000003</v>
      </c>
      <c r="AR2" s="609">
        <f t="shared" si="0"/>
        <v>2200</v>
      </c>
      <c r="AS2" s="609">
        <f t="shared" si="0"/>
        <v>0</v>
      </c>
      <c r="AT2" s="609">
        <f t="shared" si="0"/>
        <v>0</v>
      </c>
      <c r="AU2" s="609">
        <f t="shared" si="0"/>
        <v>23738.04</v>
      </c>
      <c r="AV2" s="609">
        <f t="shared" si="0"/>
        <v>49779.322475000008</v>
      </c>
      <c r="AW2" s="609">
        <f t="shared" si="0"/>
        <v>1497.7449999999999</v>
      </c>
      <c r="AX2" s="609">
        <f t="shared" si="0"/>
        <v>662.6</v>
      </c>
      <c r="AY2" s="609">
        <f t="shared" si="0"/>
        <v>22510.969951625</v>
      </c>
      <c r="AZ2" s="609">
        <f t="shared" si="0"/>
        <v>2000</v>
      </c>
      <c r="BA2" s="609">
        <f t="shared" si="0"/>
        <v>513</v>
      </c>
      <c r="BB2" s="609">
        <f t="shared" si="0"/>
        <v>0</v>
      </c>
      <c r="BC2" s="609">
        <f t="shared" si="0"/>
        <v>19388.161599999999</v>
      </c>
      <c r="BD2" s="609">
        <f t="shared" si="0"/>
        <v>46572.476551624997</v>
      </c>
      <c r="BE2" s="31">
        <f t="shared" si="0"/>
        <v>5990.9750000000004</v>
      </c>
      <c r="BF2" s="31">
        <f t="shared" si="0"/>
        <v>2650.8</v>
      </c>
      <c r="BG2" s="31">
        <f t="shared" si="0"/>
        <v>86202.01242662502</v>
      </c>
      <c r="BH2" s="31">
        <f t="shared" si="0"/>
        <v>8737</v>
      </c>
      <c r="BI2" s="31">
        <f t="shared" si="0"/>
        <v>513</v>
      </c>
      <c r="BJ2" s="31">
        <f t="shared" si="0"/>
        <v>3967.3799999999997</v>
      </c>
      <c r="BK2" s="31">
        <f t="shared" si="0"/>
        <v>85949.2016</v>
      </c>
      <c r="BL2" s="146">
        <f t="shared" si="0"/>
        <v>194010.36902662503</v>
      </c>
    </row>
    <row r="3" spans="1:65" ht="20.25" customHeight="1" x14ac:dyDescent="0.25">
      <c r="A3" s="459"/>
      <c r="B3" s="460"/>
      <c r="C3" s="460"/>
      <c r="D3" s="459"/>
      <c r="E3" s="459"/>
      <c r="F3" s="459"/>
      <c r="G3" s="459"/>
      <c r="H3" s="459"/>
      <c r="I3" s="465"/>
      <c r="J3" s="459"/>
      <c r="K3" s="459"/>
      <c r="L3" s="459"/>
      <c r="M3" s="463"/>
      <c r="N3" s="459"/>
      <c r="O3" s="463"/>
      <c r="P3" s="463"/>
      <c r="Q3" s="611"/>
      <c r="R3" s="464"/>
      <c r="S3" s="596"/>
      <c r="T3" s="596"/>
      <c r="U3" s="1536" t="s">
        <v>2</v>
      </c>
      <c r="V3" s="1536"/>
      <c r="W3" s="1536"/>
      <c r="X3" s="1536"/>
      <c r="Y3" s="1536"/>
      <c r="Z3" s="1537" t="s">
        <v>3</v>
      </c>
      <c r="AA3" s="1537"/>
      <c r="AB3" s="1537"/>
      <c r="AC3" s="1537"/>
      <c r="AD3" s="1537"/>
      <c r="AE3" s="1537"/>
      <c r="AF3" s="1537"/>
      <c r="AG3" s="1538"/>
      <c r="AH3" s="1539" t="s">
        <v>4</v>
      </c>
      <c r="AI3" s="1539"/>
      <c r="AJ3" s="1539"/>
      <c r="AK3" s="1539"/>
      <c r="AL3" s="1539"/>
      <c r="AM3" s="1539"/>
      <c r="AN3" s="1539"/>
      <c r="AO3" s="1537" t="s">
        <v>5</v>
      </c>
      <c r="AP3" s="1537"/>
      <c r="AQ3" s="1537"/>
      <c r="AR3" s="1537"/>
      <c r="AS3" s="1537"/>
      <c r="AT3" s="1537"/>
      <c r="AU3" s="1537"/>
      <c r="AV3" s="1537"/>
      <c r="AW3" s="1539" t="s">
        <v>6</v>
      </c>
      <c r="AX3" s="1539"/>
      <c r="AY3" s="1539"/>
      <c r="AZ3" s="1539"/>
      <c r="BA3" s="1539"/>
      <c r="BB3" s="1539"/>
      <c r="BC3" s="1539"/>
      <c r="BD3" s="1539"/>
      <c r="BE3" s="1540" t="s">
        <v>7</v>
      </c>
      <c r="BF3" s="1540"/>
      <c r="BG3" s="1540"/>
      <c r="BH3" s="1540"/>
      <c r="BI3" s="1540"/>
      <c r="BJ3" s="1540"/>
      <c r="BK3" s="1540"/>
      <c r="BL3" s="1540"/>
    </row>
    <row r="4" spans="1:65" ht="92.4" x14ac:dyDescent="0.25">
      <c r="A4" s="606" t="s">
        <v>8</v>
      </c>
      <c r="B4" s="606" t="s">
        <v>9</v>
      </c>
      <c r="C4" s="606" t="s">
        <v>10</v>
      </c>
      <c r="D4" s="606" t="s">
        <v>11</v>
      </c>
      <c r="E4" s="606" t="s">
        <v>12</v>
      </c>
      <c r="F4" s="606" t="s">
        <v>13</v>
      </c>
      <c r="G4" s="606" t="s">
        <v>14</v>
      </c>
      <c r="H4" s="606" t="s">
        <v>15</v>
      </c>
      <c r="I4" s="606" t="s">
        <v>16</v>
      </c>
      <c r="J4" s="606" t="s">
        <v>17</v>
      </c>
      <c r="K4" s="606" t="s">
        <v>18</v>
      </c>
      <c r="L4" s="606" t="s">
        <v>19</v>
      </c>
      <c r="M4" s="606" t="s">
        <v>20</v>
      </c>
      <c r="N4" s="606" t="s">
        <v>21</v>
      </c>
      <c r="O4" s="606" t="s">
        <v>22</v>
      </c>
      <c r="P4" s="606" t="s">
        <v>23</v>
      </c>
      <c r="Q4" s="606" t="s">
        <v>24</v>
      </c>
      <c r="R4" s="607" t="s">
        <v>12</v>
      </c>
      <c r="S4" s="606" t="s">
        <v>13</v>
      </c>
      <c r="T4" s="606" t="s">
        <v>14</v>
      </c>
      <c r="U4" s="606">
        <v>2016</v>
      </c>
      <c r="V4" s="608">
        <v>2017</v>
      </c>
      <c r="W4" s="608">
        <v>2018</v>
      </c>
      <c r="X4" s="608">
        <v>2019</v>
      </c>
      <c r="Y4" s="608" t="s">
        <v>15</v>
      </c>
      <c r="Z4" s="609" t="s">
        <v>25</v>
      </c>
      <c r="AA4" s="609" t="s">
        <v>26</v>
      </c>
      <c r="AB4" s="609" t="s">
        <v>27</v>
      </c>
      <c r="AC4" s="609" t="s">
        <v>28</v>
      </c>
      <c r="AD4" s="609" t="s">
        <v>29</v>
      </c>
      <c r="AE4" s="609" t="s">
        <v>30</v>
      </c>
      <c r="AF4" s="609" t="s">
        <v>31</v>
      </c>
      <c r="AG4" s="610" t="s">
        <v>32</v>
      </c>
      <c r="AH4" s="609" t="s">
        <v>25</v>
      </c>
      <c r="AI4" s="609" t="s">
        <v>26</v>
      </c>
      <c r="AJ4" s="609" t="s">
        <v>27</v>
      </c>
      <c r="AK4" s="609" t="s">
        <v>28</v>
      </c>
      <c r="AL4" s="609" t="s">
        <v>29</v>
      </c>
      <c r="AM4" s="609" t="s">
        <v>31</v>
      </c>
      <c r="AN4" s="609" t="s">
        <v>32</v>
      </c>
      <c r="AO4" s="609" t="s">
        <v>25</v>
      </c>
      <c r="AP4" s="609" t="s">
        <v>26</v>
      </c>
      <c r="AQ4" s="609" t="s">
        <v>27</v>
      </c>
      <c r="AR4" s="609" t="s">
        <v>28</v>
      </c>
      <c r="AS4" s="609" t="s">
        <v>29</v>
      </c>
      <c r="AT4" s="609" t="s">
        <v>30</v>
      </c>
      <c r="AU4" s="609" t="s">
        <v>31</v>
      </c>
      <c r="AV4" s="609" t="s">
        <v>32</v>
      </c>
      <c r="AW4" s="609" t="s">
        <v>25</v>
      </c>
      <c r="AX4" s="609" t="s">
        <v>26</v>
      </c>
      <c r="AY4" s="609" t="s">
        <v>27</v>
      </c>
      <c r="AZ4" s="609" t="s">
        <v>28</v>
      </c>
      <c r="BA4" s="609" t="s">
        <v>29</v>
      </c>
      <c r="BB4" s="609" t="s">
        <v>30</v>
      </c>
      <c r="BC4" s="609" t="s">
        <v>31</v>
      </c>
      <c r="BD4" s="609" t="s">
        <v>32</v>
      </c>
      <c r="BE4" s="32" t="s">
        <v>25</v>
      </c>
      <c r="BF4" s="32" t="s">
        <v>26</v>
      </c>
      <c r="BG4" s="32" t="s">
        <v>27</v>
      </c>
      <c r="BH4" s="32" t="s">
        <v>28</v>
      </c>
      <c r="BI4" s="32" t="s">
        <v>29</v>
      </c>
      <c r="BJ4" s="32" t="s">
        <v>30</v>
      </c>
      <c r="BK4" s="32" t="s">
        <v>31</v>
      </c>
      <c r="BL4" s="32" t="s">
        <v>32</v>
      </c>
    </row>
    <row r="5" spans="1:65" s="484" customFormat="1" ht="25.5" customHeight="1" x14ac:dyDescent="0.25">
      <c r="A5" s="1541" t="s">
        <v>33</v>
      </c>
      <c r="B5" s="1541"/>
      <c r="C5" s="1541"/>
      <c r="D5" s="1541"/>
      <c r="E5" s="1541"/>
      <c r="F5" s="1541"/>
      <c r="G5" s="1541"/>
      <c r="H5" s="1541"/>
      <c r="I5" s="1541"/>
      <c r="J5" s="1541"/>
      <c r="K5" s="1541"/>
      <c r="L5" s="1541"/>
      <c r="M5" s="1542"/>
      <c r="N5" s="485"/>
      <c r="O5" s="485"/>
      <c r="P5" s="485"/>
      <c r="Q5" s="485"/>
      <c r="R5" s="486"/>
      <c r="S5" s="485"/>
      <c r="T5" s="485"/>
      <c r="U5" s="485"/>
      <c r="V5" s="487"/>
      <c r="W5" s="487"/>
      <c r="X5" s="487"/>
      <c r="Y5" s="487"/>
      <c r="Z5" s="490">
        <f t="shared" ref="Z5:AF5" si="1">+Z7+Z48+Z50+Z86+Z109+Z122+Z156</f>
        <v>451.84000000000003</v>
      </c>
      <c r="AA5" s="490">
        <f t="shared" si="1"/>
        <v>112</v>
      </c>
      <c r="AB5" s="490">
        <f t="shared" si="1"/>
        <v>19529.689999999999</v>
      </c>
      <c r="AC5" s="490">
        <f t="shared" si="1"/>
        <v>2528</v>
      </c>
      <c r="AD5" s="488" t="s">
        <v>34</v>
      </c>
      <c r="AE5" s="490">
        <f t="shared" si="1"/>
        <v>2297.08</v>
      </c>
      <c r="AF5" s="490">
        <f t="shared" si="1"/>
        <v>18503</v>
      </c>
      <c r="AG5" s="488">
        <f>SUM(Z5:AF5)</f>
        <v>43421.61</v>
      </c>
      <c r="AH5" s="490">
        <f t="shared" ref="AH5:AM5" si="2">+AH7+AH48+AH50+AH86+AH109+AH122+AH156</f>
        <v>458.81</v>
      </c>
      <c r="AI5" s="490">
        <f t="shared" si="2"/>
        <v>114</v>
      </c>
      <c r="AJ5" s="490">
        <f t="shared" si="2"/>
        <v>20283.749999999996</v>
      </c>
      <c r="AK5" s="488">
        <f t="shared" si="2"/>
        <v>1200</v>
      </c>
      <c r="AL5" s="488">
        <f t="shared" si="2"/>
        <v>0</v>
      </c>
      <c r="AM5" s="490">
        <f t="shared" si="2"/>
        <v>17644</v>
      </c>
      <c r="AN5" s="488">
        <f>SUM(AH5:AM5)</f>
        <v>39700.559999999998</v>
      </c>
      <c r="AO5" s="488">
        <f t="shared" ref="AO5:AU5" si="3">+AO7+AO48+AO50+AO86+AO109+AO122+AO156</f>
        <v>453.78</v>
      </c>
      <c r="AP5" s="488">
        <f t="shared" si="3"/>
        <v>116</v>
      </c>
      <c r="AQ5" s="488">
        <f t="shared" si="3"/>
        <v>20535.102475000003</v>
      </c>
      <c r="AR5" s="488">
        <f t="shared" si="3"/>
        <v>800</v>
      </c>
      <c r="AS5" s="488">
        <f t="shared" si="3"/>
        <v>0</v>
      </c>
      <c r="AT5" s="488">
        <f t="shared" si="3"/>
        <v>0</v>
      </c>
      <c r="AU5" s="488">
        <f t="shared" si="3"/>
        <v>23035</v>
      </c>
      <c r="AV5" s="488">
        <f>SUM(AO5:AU5)</f>
        <v>44939.882475000006</v>
      </c>
      <c r="AW5" s="488">
        <f t="shared" ref="AW5:BC5" si="4">+AW7+AW48+AW50+AW86+AW109+AW122+AW156</f>
        <v>429.54499999999996</v>
      </c>
      <c r="AX5" s="488">
        <f t="shared" si="4"/>
        <v>122</v>
      </c>
      <c r="AY5" s="488">
        <f t="shared" si="4"/>
        <v>21456.769951625</v>
      </c>
      <c r="AZ5" s="488">
        <f t="shared" si="4"/>
        <v>500</v>
      </c>
      <c r="BA5" s="488">
        <f t="shared" si="4"/>
        <v>513</v>
      </c>
      <c r="BB5" s="488">
        <f t="shared" si="4"/>
        <v>0</v>
      </c>
      <c r="BC5" s="488">
        <f t="shared" si="4"/>
        <v>18657</v>
      </c>
      <c r="BD5" s="488">
        <f>SUM(AW5:BC5)</f>
        <v>41678.314951624998</v>
      </c>
      <c r="BE5" s="488">
        <f t="shared" ref="BE5:BK5" si="5">+BE7+BE48+BE50+BE86+BE109+BE122+BE156</f>
        <v>1792.9750000000001</v>
      </c>
      <c r="BF5" s="488">
        <f t="shared" si="5"/>
        <v>464</v>
      </c>
      <c r="BG5" s="488">
        <f t="shared" si="5"/>
        <v>81794.612426625012</v>
      </c>
      <c r="BH5" s="488">
        <f t="shared" si="5"/>
        <v>5028</v>
      </c>
      <c r="BI5" s="488">
        <f t="shared" si="5"/>
        <v>513</v>
      </c>
      <c r="BJ5" s="488">
        <f t="shared" si="5"/>
        <v>2297.08</v>
      </c>
      <c r="BK5" s="488">
        <f t="shared" si="5"/>
        <v>77839</v>
      </c>
      <c r="BL5" s="488">
        <f>SUM(BE5:BK5)</f>
        <v>169728.66742662503</v>
      </c>
      <c r="BM5" s="489"/>
    </row>
    <row r="6" spans="1:65" ht="2.25" customHeight="1" x14ac:dyDescent="0.25">
      <c r="A6" s="151"/>
      <c r="B6" s="7" t="s">
        <v>35</v>
      </c>
      <c r="C6" s="7"/>
      <c r="D6" s="11" t="s">
        <v>36</v>
      </c>
      <c r="E6" s="11"/>
      <c r="F6" s="11"/>
      <c r="G6" s="11"/>
      <c r="H6" s="11"/>
      <c r="I6" s="11"/>
      <c r="J6" s="11"/>
      <c r="K6" s="11"/>
      <c r="L6" s="11"/>
      <c r="M6" s="11"/>
      <c r="N6" s="11"/>
      <c r="O6" s="11"/>
      <c r="P6" s="11"/>
      <c r="Q6" s="11"/>
      <c r="R6" s="20"/>
      <c r="S6" s="11"/>
      <c r="T6" s="11"/>
      <c r="U6" s="11"/>
      <c r="V6" s="47"/>
      <c r="W6" s="47"/>
      <c r="X6" s="47"/>
      <c r="Y6" s="47"/>
      <c r="Z6" s="32"/>
      <c r="AA6" s="32"/>
      <c r="AB6" s="32">
        <f>2740.9+15.5</f>
        <v>2756.4</v>
      </c>
      <c r="AC6" s="32"/>
      <c r="AD6" s="32"/>
      <c r="AE6" s="32">
        <v>796.6</v>
      </c>
      <c r="AF6" s="32"/>
      <c r="AG6" s="32">
        <f>SUBTOTAL(9,Z6:AF6)</f>
        <v>3553</v>
      </c>
      <c r="AH6" s="32"/>
      <c r="AI6" s="32"/>
      <c r="AJ6" s="32">
        <f>+AB6*1.04</f>
        <v>2866.6560000000004</v>
      </c>
      <c r="AK6" s="32"/>
      <c r="AL6" s="32"/>
      <c r="AM6" s="32"/>
      <c r="AN6" s="32"/>
      <c r="AO6" s="32"/>
      <c r="AP6" s="32"/>
      <c r="AQ6" s="32">
        <f>+AJ6*1.04</f>
        <v>2981.3222400000004</v>
      </c>
      <c r="AR6" s="32"/>
      <c r="AS6" s="32"/>
      <c r="AT6" s="32"/>
      <c r="AU6" s="32"/>
      <c r="AV6" s="32"/>
      <c r="AW6" s="32"/>
      <c r="AX6" s="32"/>
      <c r="AY6" s="32">
        <f>+AQ6*1.04</f>
        <v>3100.5751296000008</v>
      </c>
      <c r="AZ6" s="32"/>
      <c r="BA6" s="32"/>
      <c r="BB6" s="32"/>
      <c r="BC6" s="32"/>
      <c r="BD6" s="32"/>
      <c r="BE6" s="32"/>
      <c r="BF6" s="32"/>
      <c r="BG6" s="32">
        <f>+AY6*1.04</f>
        <v>3224.5981347840011</v>
      </c>
      <c r="BH6" s="32"/>
      <c r="BI6" s="32"/>
      <c r="BJ6" s="32"/>
      <c r="BK6" s="32"/>
      <c r="BL6" s="32"/>
    </row>
    <row r="7" spans="1:65" ht="24.75" hidden="1" customHeight="1" x14ac:dyDescent="0.2">
      <c r="A7" s="420"/>
      <c r="B7" s="1543" t="s">
        <v>35</v>
      </c>
      <c r="C7" s="1544"/>
      <c r="D7" s="1544"/>
      <c r="E7" s="1544"/>
      <c r="F7" s="1544"/>
      <c r="G7" s="1544"/>
      <c r="H7" s="1544"/>
      <c r="I7" s="1544"/>
      <c r="J7" s="1544"/>
      <c r="K7" s="1544"/>
      <c r="L7" s="1544"/>
      <c r="M7" s="1545"/>
      <c r="N7" s="597"/>
      <c r="O7" s="597"/>
      <c r="P7" s="597"/>
      <c r="Q7" s="597"/>
      <c r="R7" s="598"/>
      <c r="S7" s="597"/>
      <c r="T7" s="597"/>
      <c r="U7" s="597"/>
      <c r="V7" s="599"/>
      <c r="W7" s="599"/>
      <c r="X7" s="599"/>
      <c r="Y7" s="599"/>
      <c r="Z7" s="600">
        <f t="shared" ref="Z7:AF7" si="6">+Z8+Z24+Z43</f>
        <v>25</v>
      </c>
      <c r="AA7" s="600">
        <f t="shared" si="6"/>
        <v>0</v>
      </c>
      <c r="AB7" s="600">
        <f t="shared" si="6"/>
        <v>2756.4</v>
      </c>
      <c r="AC7" s="600">
        <f t="shared" si="6"/>
        <v>500</v>
      </c>
      <c r="AD7" s="600">
        <f t="shared" si="6"/>
        <v>0</v>
      </c>
      <c r="AE7" s="600">
        <f t="shared" si="6"/>
        <v>796.6</v>
      </c>
      <c r="AF7" s="600">
        <f t="shared" si="6"/>
        <v>0</v>
      </c>
      <c r="AG7" s="600">
        <f t="shared" ref="AG7:AG46" si="7">SUM(Z7:AF7)</f>
        <v>4078</v>
      </c>
      <c r="AH7" s="600">
        <f t="shared" ref="AH7:AM7" si="8">+AH8+AH24+AH43</f>
        <v>40</v>
      </c>
      <c r="AI7" s="600">
        <f t="shared" si="8"/>
        <v>0</v>
      </c>
      <c r="AJ7" s="600">
        <f t="shared" si="8"/>
        <v>3161.7</v>
      </c>
      <c r="AK7" s="600">
        <f t="shared" si="8"/>
        <v>0</v>
      </c>
      <c r="AL7" s="600">
        <f t="shared" si="8"/>
        <v>0</v>
      </c>
      <c r="AM7" s="600">
        <f t="shared" si="8"/>
        <v>0</v>
      </c>
      <c r="AN7" s="600">
        <f>SUM(AH7:AM7)</f>
        <v>3201.7</v>
      </c>
      <c r="AO7" s="600">
        <f t="shared" ref="AO7:AU7" si="9">+AO8+AO24+AO43</f>
        <v>20</v>
      </c>
      <c r="AP7" s="600">
        <f t="shared" si="9"/>
        <v>0</v>
      </c>
      <c r="AQ7" s="600">
        <f t="shared" si="9"/>
        <v>2820</v>
      </c>
      <c r="AR7" s="600">
        <f t="shared" si="9"/>
        <v>0</v>
      </c>
      <c r="AS7" s="600">
        <f t="shared" si="9"/>
        <v>0</v>
      </c>
      <c r="AT7" s="600">
        <f t="shared" si="9"/>
        <v>0</v>
      </c>
      <c r="AU7" s="600">
        <f t="shared" si="9"/>
        <v>0</v>
      </c>
      <c r="AV7" s="600">
        <f>SUM(AO7:AU7)</f>
        <v>2840</v>
      </c>
      <c r="AW7" s="600">
        <f t="shared" ref="AW7:BC7" si="10">+AW8+AW24+AW43</f>
        <v>20</v>
      </c>
      <c r="AX7" s="600">
        <f t="shared" si="10"/>
        <v>0</v>
      </c>
      <c r="AY7" s="600">
        <f t="shared" si="10"/>
        <v>3100</v>
      </c>
      <c r="AZ7" s="600">
        <f t="shared" si="10"/>
        <v>0</v>
      </c>
      <c r="BA7" s="600">
        <f t="shared" si="10"/>
        <v>0</v>
      </c>
      <c r="BB7" s="600">
        <f t="shared" si="10"/>
        <v>0</v>
      </c>
      <c r="BC7" s="600">
        <f t="shared" si="10"/>
        <v>0</v>
      </c>
      <c r="BD7" s="600">
        <f>SUM(AW7:BC7)</f>
        <v>3120</v>
      </c>
      <c r="BE7" s="33">
        <f t="shared" ref="BE7:BJ21" si="11">+AW7+AO7+AH7+Z7</f>
        <v>105</v>
      </c>
      <c r="BF7" s="33">
        <f t="shared" si="11"/>
        <v>0</v>
      </c>
      <c r="BG7" s="33">
        <f t="shared" si="11"/>
        <v>11838.1</v>
      </c>
      <c r="BH7" s="33">
        <f t="shared" si="11"/>
        <v>500</v>
      </c>
      <c r="BI7" s="33">
        <f t="shared" si="11"/>
        <v>0</v>
      </c>
      <c r="BJ7" s="33">
        <f t="shared" si="11"/>
        <v>796.6</v>
      </c>
      <c r="BK7" s="33">
        <f t="shared" ref="BK7:BL47" si="12">+BC7+AU7+AM7+AF7</f>
        <v>0</v>
      </c>
      <c r="BL7" s="33">
        <f t="shared" si="12"/>
        <v>13239.7</v>
      </c>
    </row>
    <row r="8" spans="1:65" ht="18.75" hidden="1" customHeight="1" x14ac:dyDescent="0.2">
      <c r="A8" s="603"/>
      <c r="B8" s="6" t="s">
        <v>35</v>
      </c>
      <c r="C8" s="6"/>
      <c r="D8" s="2" t="s">
        <v>37</v>
      </c>
      <c r="E8" s="1"/>
      <c r="F8" s="1"/>
      <c r="G8" s="1"/>
      <c r="H8" s="1"/>
      <c r="I8" s="1"/>
      <c r="J8" s="1"/>
      <c r="K8" s="1"/>
      <c r="L8" s="1"/>
      <c r="M8" s="1"/>
      <c r="N8" s="1"/>
      <c r="O8" s="1"/>
      <c r="P8" s="1"/>
      <c r="Q8" s="1"/>
      <c r="R8" s="22"/>
      <c r="S8" s="1"/>
      <c r="T8" s="1"/>
      <c r="U8" s="1"/>
      <c r="V8" s="49"/>
      <c r="W8" s="49"/>
      <c r="X8" s="49"/>
      <c r="Y8" s="49"/>
      <c r="Z8" s="34">
        <f t="shared" ref="Z8:AF8" si="13">SUM(Z9:Z23)</f>
        <v>0</v>
      </c>
      <c r="AA8" s="34">
        <f t="shared" si="13"/>
        <v>0</v>
      </c>
      <c r="AB8" s="34">
        <f t="shared" si="13"/>
        <v>710.40000000000009</v>
      </c>
      <c r="AC8" s="34">
        <f t="shared" si="13"/>
        <v>500</v>
      </c>
      <c r="AD8" s="34">
        <f t="shared" si="13"/>
        <v>0</v>
      </c>
      <c r="AE8" s="34">
        <f t="shared" si="13"/>
        <v>796.43000000000006</v>
      </c>
      <c r="AF8" s="34">
        <f t="shared" si="13"/>
        <v>0</v>
      </c>
      <c r="AG8" s="34">
        <f t="shared" si="7"/>
        <v>2006.8300000000002</v>
      </c>
      <c r="AH8" s="34">
        <f t="shared" ref="AH8:AM8" si="14">SUM(AH9:AH23)</f>
        <v>15</v>
      </c>
      <c r="AI8" s="34">
        <f t="shared" si="14"/>
        <v>0</v>
      </c>
      <c r="AJ8" s="34">
        <f t="shared" si="14"/>
        <v>809.42000000000007</v>
      </c>
      <c r="AK8" s="34">
        <f t="shared" si="14"/>
        <v>0</v>
      </c>
      <c r="AL8" s="34">
        <f t="shared" si="14"/>
        <v>0</v>
      </c>
      <c r="AM8" s="34">
        <f t="shared" si="14"/>
        <v>0</v>
      </c>
      <c r="AN8" s="34">
        <f>SUM(AH8:AM8)</f>
        <v>824.42000000000007</v>
      </c>
      <c r="AO8" s="34">
        <f t="shared" ref="AO8:AU8" si="15">SUM(AO9:AO23)</f>
        <v>15</v>
      </c>
      <c r="AP8" s="34">
        <f t="shared" si="15"/>
        <v>0</v>
      </c>
      <c r="AQ8" s="34">
        <f t="shared" si="15"/>
        <v>1035</v>
      </c>
      <c r="AR8" s="34">
        <f t="shared" si="15"/>
        <v>0</v>
      </c>
      <c r="AS8" s="34">
        <f t="shared" si="15"/>
        <v>0</v>
      </c>
      <c r="AT8" s="34">
        <f t="shared" si="15"/>
        <v>0</v>
      </c>
      <c r="AU8" s="34">
        <f t="shared" si="15"/>
        <v>0</v>
      </c>
      <c r="AV8" s="34">
        <f>SUM(AO8:AU8)</f>
        <v>1050</v>
      </c>
      <c r="AW8" s="34">
        <f t="shared" ref="AW8:BC8" si="16">SUM(AW9:AW23)</f>
        <v>15</v>
      </c>
      <c r="AX8" s="34">
        <f t="shared" si="16"/>
        <v>0</v>
      </c>
      <c r="AY8" s="34">
        <f t="shared" si="16"/>
        <v>1265</v>
      </c>
      <c r="AZ8" s="34">
        <f t="shared" si="16"/>
        <v>0</v>
      </c>
      <c r="BA8" s="34">
        <f t="shared" si="16"/>
        <v>0</v>
      </c>
      <c r="BB8" s="34">
        <f t="shared" si="16"/>
        <v>0</v>
      </c>
      <c r="BC8" s="34">
        <f t="shared" si="16"/>
        <v>0</v>
      </c>
      <c r="BD8" s="34">
        <f>SUM(AW8:BC8)</f>
        <v>1280</v>
      </c>
      <c r="BE8" s="34">
        <f t="shared" si="11"/>
        <v>45</v>
      </c>
      <c r="BF8" s="34">
        <f t="shared" si="11"/>
        <v>0</v>
      </c>
      <c r="BG8" s="34">
        <f t="shared" si="11"/>
        <v>3819.82</v>
      </c>
      <c r="BH8" s="34">
        <f t="shared" si="11"/>
        <v>500</v>
      </c>
      <c r="BI8" s="34">
        <f t="shared" si="11"/>
        <v>0</v>
      </c>
      <c r="BJ8" s="34">
        <f>+AE8+AT8+BB8</f>
        <v>796.43000000000006</v>
      </c>
      <c r="BK8" s="34">
        <f t="shared" si="12"/>
        <v>0</v>
      </c>
      <c r="BL8" s="34">
        <f t="shared" si="12"/>
        <v>5161.25</v>
      </c>
    </row>
    <row r="9" spans="1:65" ht="30.75" hidden="1" customHeight="1" x14ac:dyDescent="0.2">
      <c r="A9" s="298" t="s">
        <v>38</v>
      </c>
      <c r="B9" s="299" t="s">
        <v>39</v>
      </c>
      <c r="C9" s="1546" t="s">
        <v>40</v>
      </c>
      <c r="D9" s="1549" t="s">
        <v>41</v>
      </c>
      <c r="E9" s="1549" t="s">
        <v>42</v>
      </c>
      <c r="F9" s="1549">
        <v>2014</v>
      </c>
      <c r="G9" s="1549">
        <v>37.909999999999997</v>
      </c>
      <c r="H9" s="1549">
        <v>39.5</v>
      </c>
      <c r="I9" s="301"/>
      <c r="J9" s="301"/>
      <c r="K9" s="1425" t="s">
        <v>43</v>
      </c>
      <c r="L9" s="301" t="s">
        <v>44</v>
      </c>
      <c r="M9" s="1425" t="s">
        <v>45</v>
      </c>
      <c r="N9" s="1425" t="s">
        <v>46</v>
      </c>
      <c r="O9" s="1425" t="s">
        <v>47</v>
      </c>
      <c r="P9" s="1425"/>
      <c r="Q9" s="25" t="s">
        <v>48</v>
      </c>
      <c r="R9" s="302" t="s">
        <v>49</v>
      </c>
      <c r="S9" s="303">
        <v>2015</v>
      </c>
      <c r="T9" s="303">
        <v>0</v>
      </c>
      <c r="U9" s="303">
        <v>0</v>
      </c>
      <c r="V9" s="572">
        <v>500</v>
      </c>
      <c r="W9" s="572">
        <v>1000</v>
      </c>
      <c r="X9" s="572">
        <v>1500</v>
      </c>
      <c r="Y9" s="572">
        <v>1500</v>
      </c>
      <c r="Z9" s="481"/>
      <c r="AA9" s="481"/>
      <c r="AB9" s="481"/>
      <c r="AC9" s="481"/>
      <c r="AD9" s="481"/>
      <c r="AE9" s="481"/>
      <c r="AF9" s="481"/>
      <c r="AG9" s="481">
        <f>SUM(Z9:AF9)</f>
        <v>0</v>
      </c>
      <c r="AH9" s="491">
        <v>15</v>
      </c>
      <c r="AI9" s="548"/>
      <c r="AJ9" s="548">
        <v>4.67</v>
      </c>
      <c r="AK9" s="548"/>
      <c r="AL9" s="548"/>
      <c r="AM9" s="548"/>
      <c r="AN9" s="548">
        <f>SUM(AH9:AM9)</f>
        <v>19.670000000000002</v>
      </c>
      <c r="AO9" s="491">
        <v>15</v>
      </c>
      <c r="AP9" s="481"/>
      <c r="AQ9" s="481"/>
      <c r="AR9" s="481"/>
      <c r="AS9" s="481"/>
      <c r="AT9" s="481"/>
      <c r="AU9" s="481"/>
      <c r="AV9" s="481">
        <f>SUM(AO9:AU9)</f>
        <v>15</v>
      </c>
      <c r="AW9" s="491">
        <v>7</v>
      </c>
      <c r="AX9" s="548"/>
      <c r="AY9" s="548"/>
      <c r="AZ9" s="548"/>
      <c r="BA9" s="548"/>
      <c r="BB9" s="548"/>
      <c r="BC9" s="548"/>
      <c r="BD9" s="548">
        <f>SUM(AW9:BC9)</f>
        <v>7</v>
      </c>
      <c r="BE9" s="42">
        <f t="shared" si="11"/>
        <v>37</v>
      </c>
      <c r="BF9" s="42">
        <f t="shared" si="11"/>
        <v>0</v>
      </c>
      <c r="BG9" s="42">
        <f t="shared" si="11"/>
        <v>4.67</v>
      </c>
      <c r="BH9" s="42">
        <f t="shared" si="11"/>
        <v>0</v>
      </c>
      <c r="BI9" s="42">
        <f t="shared" si="11"/>
        <v>0</v>
      </c>
      <c r="BJ9" s="42">
        <f t="shared" ref="BJ9:BJ76" si="17">+AE9+AT9+BB9</f>
        <v>0</v>
      </c>
      <c r="BK9" s="42">
        <f t="shared" si="12"/>
        <v>0</v>
      </c>
      <c r="BL9" s="42">
        <f>+BD9+AV9+AN9+AG9</f>
        <v>41.67</v>
      </c>
    </row>
    <row r="10" spans="1:65" ht="48.75" hidden="1" customHeight="1" x14ac:dyDescent="0.2">
      <c r="A10" s="298" t="s">
        <v>38</v>
      </c>
      <c r="B10" s="299" t="s">
        <v>39</v>
      </c>
      <c r="C10" s="1547"/>
      <c r="D10" s="1550"/>
      <c r="E10" s="1550"/>
      <c r="F10" s="1549"/>
      <c r="G10" s="1549"/>
      <c r="H10" s="1549"/>
      <c r="I10" s="301"/>
      <c r="J10" s="301"/>
      <c r="K10" s="1425" t="s">
        <v>50</v>
      </c>
      <c r="L10" s="301" t="s">
        <v>44</v>
      </c>
      <c r="M10" s="1425" t="s">
        <v>45</v>
      </c>
      <c r="N10" s="1425" t="s">
        <v>46</v>
      </c>
      <c r="O10" s="1425" t="s">
        <v>47</v>
      </c>
      <c r="P10" s="1425"/>
      <c r="Q10" s="16" t="s">
        <v>51</v>
      </c>
      <c r="R10" s="302" t="s">
        <v>52</v>
      </c>
      <c r="S10" s="303">
        <v>2015</v>
      </c>
      <c r="T10" s="303">
        <v>1</v>
      </c>
      <c r="U10" s="303">
        <v>1</v>
      </c>
      <c r="V10" s="572">
        <v>2</v>
      </c>
      <c r="W10" s="572">
        <v>3</v>
      </c>
      <c r="X10" s="572">
        <v>4</v>
      </c>
      <c r="Y10" s="572">
        <v>4</v>
      </c>
      <c r="Z10" s="481"/>
      <c r="AA10" s="481"/>
      <c r="AB10" s="491">
        <v>248</v>
      </c>
      <c r="AC10" s="481"/>
      <c r="AD10" s="481"/>
      <c r="AE10" s="491">
        <v>19.63</v>
      </c>
      <c r="AF10" s="481"/>
      <c r="AG10" s="481">
        <f t="shared" si="7"/>
        <v>267.63</v>
      </c>
      <c r="AH10" s="548"/>
      <c r="AI10" s="548"/>
      <c r="AJ10" s="548">
        <v>260</v>
      </c>
      <c r="AK10" s="548"/>
      <c r="AL10" s="548"/>
      <c r="AM10" s="548"/>
      <c r="AN10" s="548">
        <f>SUM(AH10:AM10)</f>
        <v>260</v>
      </c>
      <c r="AO10" s="481"/>
      <c r="AP10" s="481"/>
      <c r="AQ10" s="491">
        <v>260</v>
      </c>
      <c r="AR10" s="481"/>
      <c r="AS10" s="481"/>
      <c r="AT10" s="481"/>
      <c r="AU10" s="481"/>
      <c r="AV10" s="481">
        <f>SUM(AO10:AU10)</f>
        <v>260</v>
      </c>
      <c r="AW10" s="548"/>
      <c r="AX10" s="548"/>
      <c r="AY10" s="548">
        <v>280</v>
      </c>
      <c r="AZ10" s="548"/>
      <c r="BA10" s="548"/>
      <c r="BB10" s="548"/>
      <c r="BC10" s="548"/>
      <c r="BD10" s="548">
        <f>SUM(AW10:BC10)</f>
        <v>280</v>
      </c>
      <c r="BE10" s="42">
        <f t="shared" si="11"/>
        <v>0</v>
      </c>
      <c r="BF10" s="42">
        <f t="shared" si="11"/>
        <v>0</v>
      </c>
      <c r="BG10" s="42">
        <f t="shared" si="11"/>
        <v>1048</v>
      </c>
      <c r="BH10" s="42">
        <f t="shared" si="11"/>
        <v>0</v>
      </c>
      <c r="BI10" s="42">
        <f t="shared" si="11"/>
        <v>0</v>
      </c>
      <c r="BJ10" s="42">
        <f t="shared" si="17"/>
        <v>19.63</v>
      </c>
      <c r="BK10" s="42">
        <f t="shared" si="12"/>
        <v>0</v>
      </c>
      <c r="BL10" s="42">
        <f t="shared" si="12"/>
        <v>1067.6300000000001</v>
      </c>
    </row>
    <row r="11" spans="1:65" ht="40.5" hidden="1" customHeight="1" x14ac:dyDescent="0.2">
      <c r="A11" s="298" t="s">
        <v>38</v>
      </c>
      <c r="B11" s="299" t="s">
        <v>39</v>
      </c>
      <c r="C11" s="1547"/>
      <c r="D11" s="1549"/>
      <c r="E11" s="1549"/>
      <c r="F11" s="1549"/>
      <c r="G11" s="1549"/>
      <c r="H11" s="1549"/>
      <c r="I11" s="1425" t="s">
        <v>53</v>
      </c>
      <c r="J11" s="301"/>
      <c r="K11" s="1425" t="s">
        <v>54</v>
      </c>
      <c r="L11" s="301" t="s">
        <v>44</v>
      </c>
      <c r="M11" s="1425" t="s">
        <v>45</v>
      </c>
      <c r="N11" s="1425" t="s">
        <v>46</v>
      </c>
      <c r="O11" s="1425" t="s">
        <v>47</v>
      </c>
      <c r="P11" s="1425"/>
      <c r="Q11" s="16" t="s">
        <v>55</v>
      </c>
      <c r="R11" s="302" t="s">
        <v>56</v>
      </c>
      <c r="S11" s="303">
        <v>2015</v>
      </c>
      <c r="T11" s="303">
        <v>1</v>
      </c>
      <c r="U11" s="303">
        <v>0</v>
      </c>
      <c r="V11" s="572">
        <v>0</v>
      </c>
      <c r="W11" s="572">
        <v>1</v>
      </c>
      <c r="X11" s="572">
        <v>2</v>
      </c>
      <c r="Y11" s="572">
        <v>2</v>
      </c>
      <c r="Z11" s="481"/>
      <c r="AA11" s="481"/>
      <c r="AB11" s="481"/>
      <c r="AC11" s="481">
        <v>0</v>
      </c>
      <c r="AD11" s="481"/>
      <c r="AE11" s="481"/>
      <c r="AF11" s="481"/>
      <c r="AG11" s="481">
        <f t="shared" si="7"/>
        <v>0</v>
      </c>
      <c r="AH11" s="548"/>
      <c r="AI11" s="548"/>
      <c r="AJ11" s="548">
        <v>0</v>
      </c>
      <c r="AK11" s="548"/>
      <c r="AL11" s="548"/>
      <c r="AM11" s="548"/>
      <c r="AN11" s="548"/>
      <c r="AO11" s="481"/>
      <c r="AP11" s="481"/>
      <c r="AQ11" s="481">
        <v>120</v>
      </c>
      <c r="AR11" s="481"/>
      <c r="AS11" s="481"/>
      <c r="AT11" s="481"/>
      <c r="AU11" s="481"/>
      <c r="AV11" s="481">
        <f>SUM(AO11:AU11)</f>
        <v>120</v>
      </c>
      <c r="AW11" s="548"/>
      <c r="AX11" s="548"/>
      <c r="AY11" s="548">
        <v>120</v>
      </c>
      <c r="AZ11" s="548"/>
      <c r="BA11" s="548"/>
      <c r="BB11" s="548"/>
      <c r="BC11" s="548"/>
      <c r="BD11" s="548">
        <f>SUM(AW11:BC11)</f>
        <v>120</v>
      </c>
      <c r="BE11" s="42">
        <f t="shared" si="11"/>
        <v>0</v>
      </c>
      <c r="BF11" s="42">
        <f t="shared" si="11"/>
        <v>0</v>
      </c>
      <c r="BG11" s="42">
        <f t="shared" si="11"/>
        <v>240</v>
      </c>
      <c r="BH11" s="42">
        <f t="shared" si="11"/>
        <v>0</v>
      </c>
      <c r="BI11" s="42">
        <f t="shared" si="11"/>
        <v>0</v>
      </c>
      <c r="BJ11" s="42">
        <f t="shared" si="17"/>
        <v>0</v>
      </c>
      <c r="BK11" s="42">
        <f t="shared" si="12"/>
        <v>0</v>
      </c>
      <c r="BL11" s="42">
        <f t="shared" si="12"/>
        <v>240</v>
      </c>
    </row>
    <row r="12" spans="1:65" ht="26.25" hidden="1" customHeight="1" x14ac:dyDescent="0.2">
      <c r="A12" s="298" t="s">
        <v>38</v>
      </c>
      <c r="B12" s="299" t="s">
        <v>39</v>
      </c>
      <c r="C12" s="1547"/>
      <c r="D12" s="1551"/>
      <c r="E12" s="1551"/>
      <c r="F12" s="1549"/>
      <c r="G12" s="1549"/>
      <c r="H12" s="1549"/>
      <c r="I12" s="301"/>
      <c r="J12" s="301"/>
      <c r="K12" s="1425" t="s">
        <v>57</v>
      </c>
      <c r="L12" s="301" t="s">
        <v>44</v>
      </c>
      <c r="M12" s="1425" t="s">
        <v>45</v>
      </c>
      <c r="N12" s="1425" t="s">
        <v>46</v>
      </c>
      <c r="O12" s="1425" t="s">
        <v>47</v>
      </c>
      <c r="P12" s="1425"/>
      <c r="Q12" s="25" t="s">
        <v>58</v>
      </c>
      <c r="R12" s="302" t="s">
        <v>59</v>
      </c>
      <c r="S12" s="303">
        <v>2015</v>
      </c>
      <c r="T12" s="303">
        <v>0</v>
      </c>
      <c r="U12" s="303">
        <v>3</v>
      </c>
      <c r="V12" s="572">
        <v>6</v>
      </c>
      <c r="W12" s="572">
        <v>9</v>
      </c>
      <c r="X12" s="572">
        <v>12</v>
      </c>
      <c r="Y12" s="572">
        <v>12</v>
      </c>
      <c r="Z12" s="481"/>
      <c r="AA12" s="481"/>
      <c r="AB12" s="481">
        <v>30</v>
      </c>
      <c r="AC12" s="481"/>
      <c r="AD12" s="481"/>
      <c r="AE12" s="481">
        <v>132.80000000000001</v>
      </c>
      <c r="AF12" s="481"/>
      <c r="AG12" s="481">
        <f t="shared" si="7"/>
        <v>162.80000000000001</v>
      </c>
      <c r="AH12" s="548"/>
      <c r="AI12" s="548"/>
      <c r="AJ12" s="548">
        <v>50</v>
      </c>
      <c r="AK12" s="548"/>
      <c r="AL12" s="548"/>
      <c r="AM12" s="548"/>
      <c r="AN12" s="548">
        <f t="shared" ref="AN12:AN25" si="18">SUM(AH12:AM12)</f>
        <v>50</v>
      </c>
      <c r="AO12" s="481"/>
      <c r="AP12" s="481"/>
      <c r="AQ12" s="481">
        <v>50</v>
      </c>
      <c r="AR12" s="481"/>
      <c r="AS12" s="481"/>
      <c r="AT12" s="481"/>
      <c r="AU12" s="481"/>
      <c r="AV12" s="481">
        <f t="shared" ref="AV12:AV25" si="19">SUM(AO12:AU12)</f>
        <v>50</v>
      </c>
      <c r="AW12" s="548"/>
      <c r="AX12" s="548"/>
      <c r="AY12" s="548">
        <v>50</v>
      </c>
      <c r="AZ12" s="548"/>
      <c r="BA12" s="548"/>
      <c r="BB12" s="548"/>
      <c r="BC12" s="548"/>
      <c r="BD12" s="548">
        <f t="shared" ref="BD12:BD25" si="20">SUM(AW12:BC12)</f>
        <v>50</v>
      </c>
      <c r="BE12" s="42">
        <f t="shared" si="11"/>
        <v>0</v>
      </c>
      <c r="BF12" s="42">
        <f t="shared" si="11"/>
        <v>0</v>
      </c>
      <c r="BG12" s="42">
        <f t="shared" si="11"/>
        <v>180</v>
      </c>
      <c r="BH12" s="42">
        <f t="shared" si="11"/>
        <v>0</v>
      </c>
      <c r="BI12" s="42">
        <f t="shared" si="11"/>
        <v>0</v>
      </c>
      <c r="BJ12" s="42">
        <f t="shared" si="17"/>
        <v>132.80000000000001</v>
      </c>
      <c r="BK12" s="42">
        <f t="shared" si="12"/>
        <v>0</v>
      </c>
      <c r="BL12" s="42">
        <f t="shared" si="12"/>
        <v>312.8</v>
      </c>
    </row>
    <row r="13" spans="1:65" ht="36.75" hidden="1" customHeight="1" x14ac:dyDescent="0.2">
      <c r="A13" s="298" t="s">
        <v>38</v>
      </c>
      <c r="B13" s="299" t="s">
        <v>39</v>
      </c>
      <c r="C13" s="1547"/>
      <c r="D13" s="1549"/>
      <c r="E13" s="1549"/>
      <c r="F13" s="1549"/>
      <c r="G13" s="1549"/>
      <c r="H13" s="1549"/>
      <c r="I13" s="1425" t="s">
        <v>53</v>
      </c>
      <c r="J13" s="301"/>
      <c r="K13" s="1425" t="s">
        <v>60</v>
      </c>
      <c r="L13" s="301" t="s">
        <v>44</v>
      </c>
      <c r="M13" s="1425" t="s">
        <v>45</v>
      </c>
      <c r="N13" s="1425" t="s">
        <v>46</v>
      </c>
      <c r="O13" s="1425" t="s">
        <v>47</v>
      </c>
      <c r="P13" s="1425"/>
      <c r="Q13" s="25" t="s">
        <v>61</v>
      </c>
      <c r="R13" s="302" t="s">
        <v>62</v>
      </c>
      <c r="S13" s="303">
        <v>2015</v>
      </c>
      <c r="T13" s="303">
        <v>0</v>
      </c>
      <c r="U13" s="303">
        <v>13</v>
      </c>
      <c r="V13" s="572">
        <v>10</v>
      </c>
      <c r="W13" s="572">
        <v>7</v>
      </c>
      <c r="X13" s="572">
        <v>5</v>
      </c>
      <c r="Y13" s="572">
        <v>35</v>
      </c>
      <c r="Z13" s="481"/>
      <c r="AA13" s="481"/>
      <c r="AB13" s="492">
        <v>224.6</v>
      </c>
      <c r="AC13" s="491">
        <v>250</v>
      </c>
      <c r="AD13" s="481"/>
      <c r="AE13" s="482"/>
      <c r="AF13" s="481"/>
      <c r="AG13" s="481">
        <f t="shared" si="7"/>
        <v>474.6</v>
      </c>
      <c r="AH13" s="548"/>
      <c r="AI13" s="548"/>
      <c r="AJ13" s="43">
        <v>200</v>
      </c>
      <c r="AK13" s="548"/>
      <c r="AL13" s="548"/>
      <c r="AM13" s="548"/>
      <c r="AN13" s="548">
        <f t="shared" si="18"/>
        <v>200</v>
      </c>
      <c r="AO13" s="481"/>
      <c r="AP13" s="481"/>
      <c r="AQ13" s="491">
        <v>6</v>
      </c>
      <c r="AR13" s="481"/>
      <c r="AS13" s="481"/>
      <c r="AT13" s="481"/>
      <c r="AU13" s="481"/>
      <c r="AV13" s="481">
        <f t="shared" si="19"/>
        <v>6</v>
      </c>
      <c r="AW13" s="548"/>
      <c r="AX13" s="548"/>
      <c r="AY13" s="42">
        <v>200</v>
      </c>
      <c r="AZ13" s="548"/>
      <c r="BA13" s="548"/>
      <c r="BB13" s="548"/>
      <c r="BC13" s="548"/>
      <c r="BD13" s="548">
        <f t="shared" si="20"/>
        <v>200</v>
      </c>
      <c r="BE13" s="42">
        <f t="shared" si="11"/>
        <v>0</v>
      </c>
      <c r="BF13" s="42">
        <f t="shared" si="11"/>
        <v>0</v>
      </c>
      <c r="BG13" s="42">
        <f t="shared" si="11"/>
        <v>630.6</v>
      </c>
      <c r="BH13" s="42">
        <f t="shared" si="11"/>
        <v>250</v>
      </c>
      <c r="BI13" s="42">
        <f t="shared" si="11"/>
        <v>0</v>
      </c>
      <c r="BJ13" s="42">
        <f t="shared" si="17"/>
        <v>0</v>
      </c>
      <c r="BK13" s="42">
        <f t="shared" si="12"/>
        <v>0</v>
      </c>
      <c r="BL13" s="42">
        <f t="shared" si="12"/>
        <v>880.6</v>
      </c>
    </row>
    <row r="14" spans="1:65" ht="24" hidden="1" customHeight="1" x14ac:dyDescent="0.2">
      <c r="A14" s="298" t="s">
        <v>38</v>
      </c>
      <c r="B14" s="299" t="s">
        <v>39</v>
      </c>
      <c r="C14" s="1547"/>
      <c r="D14" s="1552"/>
      <c r="E14" s="1552"/>
      <c r="F14" s="1549"/>
      <c r="G14" s="1549"/>
      <c r="H14" s="1549"/>
      <c r="I14" s="301"/>
      <c r="J14" s="301"/>
      <c r="K14" s="1425" t="s">
        <v>63</v>
      </c>
      <c r="L14" s="301" t="s">
        <v>44</v>
      </c>
      <c r="M14" s="1425" t="s">
        <v>45</v>
      </c>
      <c r="N14" s="1425" t="s">
        <v>46</v>
      </c>
      <c r="O14" s="1425" t="s">
        <v>47</v>
      </c>
      <c r="P14" s="1425"/>
      <c r="Q14" s="16" t="s">
        <v>64</v>
      </c>
      <c r="R14" s="302" t="s">
        <v>65</v>
      </c>
      <c r="S14" s="303">
        <v>2015</v>
      </c>
      <c r="T14" s="303">
        <v>0</v>
      </c>
      <c r="U14" s="303">
        <v>0</v>
      </c>
      <c r="V14" s="572">
        <v>0</v>
      </c>
      <c r="W14" s="572">
        <v>3</v>
      </c>
      <c r="X14" s="572">
        <v>6</v>
      </c>
      <c r="Y14" s="572">
        <v>6</v>
      </c>
      <c r="Z14" s="481"/>
      <c r="AA14" s="481"/>
      <c r="AB14" s="481">
        <v>0</v>
      </c>
      <c r="AC14" s="481"/>
      <c r="AD14" s="481"/>
      <c r="AE14" s="481"/>
      <c r="AF14" s="481"/>
      <c r="AG14" s="481">
        <f t="shared" si="7"/>
        <v>0</v>
      </c>
      <c r="AH14" s="548"/>
      <c r="AI14" s="548"/>
      <c r="AJ14" s="548"/>
      <c r="AK14" s="548"/>
      <c r="AL14" s="548"/>
      <c r="AM14" s="548"/>
      <c r="AN14" s="548">
        <f t="shared" si="18"/>
        <v>0</v>
      </c>
      <c r="AO14" s="481"/>
      <c r="AP14" s="481"/>
      <c r="AQ14" s="491">
        <v>150</v>
      </c>
      <c r="AR14" s="481"/>
      <c r="AS14" s="481"/>
      <c r="AT14" s="481"/>
      <c r="AU14" s="481"/>
      <c r="AV14" s="481">
        <f t="shared" si="19"/>
        <v>150</v>
      </c>
      <c r="AW14" s="548"/>
      <c r="AX14" s="548"/>
      <c r="AY14" s="42">
        <v>230</v>
      </c>
      <c r="AZ14" s="548"/>
      <c r="BA14" s="548"/>
      <c r="BB14" s="548"/>
      <c r="BC14" s="548"/>
      <c r="BD14" s="548">
        <f t="shared" si="20"/>
        <v>230</v>
      </c>
      <c r="BE14" s="42">
        <f t="shared" si="11"/>
        <v>0</v>
      </c>
      <c r="BF14" s="42">
        <f t="shared" si="11"/>
        <v>0</v>
      </c>
      <c r="BG14" s="42">
        <f t="shared" si="11"/>
        <v>380</v>
      </c>
      <c r="BH14" s="42">
        <f t="shared" si="11"/>
        <v>0</v>
      </c>
      <c r="BI14" s="42">
        <f t="shared" si="11"/>
        <v>0</v>
      </c>
      <c r="BJ14" s="42">
        <f t="shared" si="17"/>
        <v>0</v>
      </c>
      <c r="BK14" s="42">
        <f t="shared" si="12"/>
        <v>0</v>
      </c>
      <c r="BL14" s="42">
        <f t="shared" si="12"/>
        <v>380</v>
      </c>
    </row>
    <row r="15" spans="1:65" ht="57" hidden="1" customHeight="1" x14ac:dyDescent="0.2">
      <c r="A15" s="298" t="s">
        <v>38</v>
      </c>
      <c r="B15" s="299" t="s">
        <v>39</v>
      </c>
      <c r="C15" s="1547"/>
      <c r="D15" s="1549"/>
      <c r="E15" s="1549"/>
      <c r="F15" s="1549"/>
      <c r="G15" s="1549"/>
      <c r="H15" s="1549"/>
      <c r="I15" s="301"/>
      <c r="J15" s="301"/>
      <c r="K15" s="1425" t="s">
        <v>66</v>
      </c>
      <c r="L15" s="301" t="s">
        <v>44</v>
      </c>
      <c r="M15" s="1425" t="s">
        <v>45</v>
      </c>
      <c r="N15" s="1425" t="s">
        <v>46</v>
      </c>
      <c r="O15" s="1425" t="s">
        <v>47</v>
      </c>
      <c r="P15" s="1425"/>
      <c r="Q15" s="25" t="s">
        <v>67</v>
      </c>
      <c r="R15" s="302" t="s">
        <v>68</v>
      </c>
      <c r="S15" s="303">
        <v>2015</v>
      </c>
      <c r="T15" s="303">
        <v>0</v>
      </c>
      <c r="U15" s="303">
        <v>5</v>
      </c>
      <c r="V15" s="572">
        <v>15</v>
      </c>
      <c r="W15" s="572">
        <v>20</v>
      </c>
      <c r="X15" s="572">
        <v>20</v>
      </c>
      <c r="Y15" s="572">
        <v>60</v>
      </c>
      <c r="Z15" s="481"/>
      <c r="AA15" s="481"/>
      <c r="AB15" s="491">
        <v>205.8</v>
      </c>
      <c r="AC15" s="491">
        <v>250</v>
      </c>
      <c r="AD15" s="481"/>
      <c r="AE15" s="481">
        <v>644</v>
      </c>
      <c r="AF15" s="481"/>
      <c r="AG15" s="481">
        <f t="shared" si="7"/>
        <v>1099.8</v>
      </c>
      <c r="AH15" s="548"/>
      <c r="AI15" s="548"/>
      <c r="AJ15" s="43">
        <v>256.75</v>
      </c>
      <c r="AK15" s="548"/>
      <c r="AL15" s="548"/>
      <c r="AM15" s="548"/>
      <c r="AN15" s="548">
        <f t="shared" si="18"/>
        <v>256.75</v>
      </c>
      <c r="AO15" s="481"/>
      <c r="AP15" s="481"/>
      <c r="AQ15" s="491">
        <v>445</v>
      </c>
      <c r="AR15" s="481"/>
      <c r="AS15" s="481"/>
      <c r="AT15" s="481"/>
      <c r="AU15" s="481"/>
      <c r="AV15" s="481">
        <f t="shared" si="19"/>
        <v>445</v>
      </c>
      <c r="AW15" s="548"/>
      <c r="AX15" s="548"/>
      <c r="AY15" s="491">
        <v>385</v>
      </c>
      <c r="AZ15" s="548"/>
      <c r="BA15" s="548"/>
      <c r="BB15" s="548"/>
      <c r="BC15" s="548"/>
      <c r="BD15" s="548">
        <f t="shared" si="20"/>
        <v>385</v>
      </c>
      <c r="BE15" s="42">
        <f t="shared" si="11"/>
        <v>0</v>
      </c>
      <c r="BF15" s="42">
        <f t="shared" si="11"/>
        <v>0</v>
      </c>
      <c r="BG15" s="42">
        <f t="shared" si="11"/>
        <v>1292.55</v>
      </c>
      <c r="BH15" s="42">
        <f t="shared" si="11"/>
        <v>250</v>
      </c>
      <c r="BI15" s="42">
        <f t="shared" si="11"/>
        <v>0</v>
      </c>
      <c r="BJ15" s="42">
        <f t="shared" si="17"/>
        <v>644</v>
      </c>
      <c r="BK15" s="42">
        <f t="shared" si="12"/>
        <v>0</v>
      </c>
      <c r="BL15" s="42">
        <f t="shared" si="12"/>
        <v>2186.5500000000002</v>
      </c>
    </row>
    <row r="16" spans="1:65" ht="19.5" hidden="1" customHeight="1" x14ac:dyDescent="0.2">
      <c r="A16" s="298" t="s">
        <v>38</v>
      </c>
      <c r="B16" s="299" t="s">
        <v>39</v>
      </c>
      <c r="C16" s="1547"/>
      <c r="D16" s="1549"/>
      <c r="E16" s="1549"/>
      <c r="F16" s="1549"/>
      <c r="G16" s="1549"/>
      <c r="H16" s="1549"/>
      <c r="I16" s="301"/>
      <c r="J16" s="301"/>
      <c r="K16" s="1425" t="s">
        <v>69</v>
      </c>
      <c r="L16" s="301" t="s">
        <v>44</v>
      </c>
      <c r="M16" s="1425" t="s">
        <v>45</v>
      </c>
      <c r="N16" s="1425" t="s">
        <v>46</v>
      </c>
      <c r="O16" s="1425" t="s">
        <v>47</v>
      </c>
      <c r="P16" s="1425"/>
      <c r="Q16" s="16" t="s">
        <v>70</v>
      </c>
      <c r="R16" s="302" t="s">
        <v>71</v>
      </c>
      <c r="S16" s="303">
        <v>2015</v>
      </c>
      <c r="T16" s="303">
        <v>0</v>
      </c>
      <c r="U16" s="303">
        <v>0</v>
      </c>
      <c r="V16" s="572">
        <v>1</v>
      </c>
      <c r="W16" s="572">
        <v>1</v>
      </c>
      <c r="X16" s="572">
        <v>1</v>
      </c>
      <c r="Y16" s="572">
        <v>1</v>
      </c>
      <c r="Z16" s="481"/>
      <c r="AA16" s="481"/>
      <c r="AB16" s="481"/>
      <c r="AC16" s="481"/>
      <c r="AD16" s="481"/>
      <c r="AE16" s="481"/>
      <c r="AF16" s="481"/>
      <c r="AG16" s="481">
        <f t="shared" si="7"/>
        <v>0</v>
      </c>
      <c r="AH16" s="548"/>
      <c r="AI16" s="548"/>
      <c r="AJ16" s="491">
        <v>15</v>
      </c>
      <c r="AK16" s="548"/>
      <c r="AL16" s="548"/>
      <c r="AM16" s="548"/>
      <c r="AN16" s="548">
        <f t="shared" si="18"/>
        <v>15</v>
      </c>
      <c r="AO16" s="481"/>
      <c r="AP16" s="481"/>
      <c r="AQ16" s="491">
        <v>0.5</v>
      </c>
      <c r="AR16" s="481"/>
      <c r="AS16" s="481"/>
      <c r="AT16" s="481"/>
      <c r="AU16" s="481"/>
      <c r="AV16" s="481">
        <f t="shared" si="19"/>
        <v>0.5</v>
      </c>
      <c r="AW16" s="491">
        <v>1</v>
      </c>
      <c r="AX16" s="548"/>
      <c r="AY16" s="548"/>
      <c r="AZ16" s="548"/>
      <c r="BA16" s="548"/>
      <c r="BB16" s="548"/>
      <c r="BC16" s="548"/>
      <c r="BD16" s="548">
        <f>SUM(AW16:BC16)</f>
        <v>1</v>
      </c>
      <c r="BE16" s="42">
        <f t="shared" si="11"/>
        <v>1</v>
      </c>
      <c r="BF16" s="42">
        <f t="shared" si="11"/>
        <v>0</v>
      </c>
      <c r="BG16" s="42">
        <f t="shared" si="11"/>
        <v>15.5</v>
      </c>
      <c r="BH16" s="42">
        <f t="shared" si="11"/>
        <v>0</v>
      </c>
      <c r="BI16" s="42">
        <f t="shared" si="11"/>
        <v>0</v>
      </c>
      <c r="BJ16" s="42">
        <f t="shared" si="17"/>
        <v>0</v>
      </c>
      <c r="BK16" s="42">
        <f>+BC16+AU16+AM16+AF16</f>
        <v>0</v>
      </c>
      <c r="BL16" s="42">
        <f>+BD16+AV16+AN16+AG16</f>
        <v>16.5</v>
      </c>
    </row>
    <row r="17" spans="1:64" ht="21.75" hidden="1" customHeight="1" x14ac:dyDescent="0.2">
      <c r="A17" s="298" t="s">
        <v>38</v>
      </c>
      <c r="B17" s="299" t="s">
        <v>39</v>
      </c>
      <c r="C17" s="1547"/>
      <c r="D17" s="1549"/>
      <c r="E17" s="1549"/>
      <c r="F17" s="1549"/>
      <c r="G17" s="1549"/>
      <c r="H17" s="1549"/>
      <c r="I17" s="301"/>
      <c r="J17" s="301"/>
      <c r="K17" s="1425" t="s">
        <v>72</v>
      </c>
      <c r="L17" s="301" t="s">
        <v>44</v>
      </c>
      <c r="M17" s="1425" t="s">
        <v>45</v>
      </c>
      <c r="N17" s="1425" t="s">
        <v>46</v>
      </c>
      <c r="O17" s="1425" t="s">
        <v>73</v>
      </c>
      <c r="P17" s="1425"/>
      <c r="Q17" s="16" t="s">
        <v>74</v>
      </c>
      <c r="R17" s="302" t="s">
        <v>75</v>
      </c>
      <c r="S17" s="303">
        <v>2015</v>
      </c>
      <c r="T17" s="303">
        <v>0</v>
      </c>
      <c r="U17" s="303">
        <v>0</v>
      </c>
      <c r="V17" s="572">
        <v>1</v>
      </c>
      <c r="W17" s="572">
        <v>1</v>
      </c>
      <c r="X17" s="572">
        <v>1</v>
      </c>
      <c r="Y17" s="572">
        <v>1</v>
      </c>
      <c r="Z17" s="481"/>
      <c r="AA17" s="481"/>
      <c r="AB17" s="481"/>
      <c r="AC17" s="481"/>
      <c r="AD17" s="481"/>
      <c r="AE17" s="481"/>
      <c r="AF17" s="481"/>
      <c r="AG17" s="481">
        <f t="shared" si="7"/>
        <v>0</v>
      </c>
      <c r="AH17" s="548"/>
      <c r="AI17" s="548"/>
      <c r="AJ17" s="491">
        <v>3</v>
      </c>
      <c r="AK17" s="548"/>
      <c r="AL17" s="548"/>
      <c r="AM17" s="548"/>
      <c r="AN17" s="548">
        <f t="shared" si="18"/>
        <v>3</v>
      </c>
      <c r="AO17" s="481"/>
      <c r="AP17" s="481"/>
      <c r="AQ17" s="491">
        <v>0.5</v>
      </c>
      <c r="AR17" s="481"/>
      <c r="AS17" s="481"/>
      <c r="AT17" s="481"/>
      <c r="AU17" s="481"/>
      <c r="AV17" s="481">
        <f t="shared" si="19"/>
        <v>0.5</v>
      </c>
      <c r="AW17" s="491">
        <v>1</v>
      </c>
      <c r="AX17" s="548"/>
      <c r="AY17" s="548"/>
      <c r="AZ17" s="548"/>
      <c r="BA17" s="548"/>
      <c r="BB17" s="548"/>
      <c r="BC17" s="548"/>
      <c r="BD17" s="548">
        <f>SUM(AW17:BC17)</f>
        <v>1</v>
      </c>
      <c r="BE17" s="42">
        <f t="shared" si="11"/>
        <v>1</v>
      </c>
      <c r="BF17" s="42">
        <f t="shared" si="11"/>
        <v>0</v>
      </c>
      <c r="BG17" s="42">
        <f t="shared" si="11"/>
        <v>3.5</v>
      </c>
      <c r="BH17" s="42">
        <f t="shared" si="11"/>
        <v>0</v>
      </c>
      <c r="BI17" s="42">
        <f t="shared" si="11"/>
        <v>0</v>
      </c>
      <c r="BJ17" s="42">
        <f t="shared" si="17"/>
        <v>0</v>
      </c>
      <c r="BK17" s="42">
        <f>+BC17+AU17+AM17+AF17</f>
        <v>0</v>
      </c>
      <c r="BL17" s="42">
        <f>+BD17+AV17+AN17+AG17</f>
        <v>4.5</v>
      </c>
    </row>
    <row r="18" spans="1:64" ht="29.25" hidden="1" customHeight="1" x14ac:dyDescent="0.2">
      <c r="A18" s="298" t="s">
        <v>38</v>
      </c>
      <c r="B18" s="299" t="s">
        <v>39</v>
      </c>
      <c r="C18" s="1547"/>
      <c r="D18" s="1549"/>
      <c r="E18" s="1549"/>
      <c r="F18" s="1549"/>
      <c r="G18" s="1549"/>
      <c r="H18" s="1549"/>
      <c r="I18" s="301"/>
      <c r="J18" s="301"/>
      <c r="K18" s="1425" t="s">
        <v>76</v>
      </c>
      <c r="L18" s="301" t="s">
        <v>44</v>
      </c>
      <c r="M18" s="1425" t="s">
        <v>45</v>
      </c>
      <c r="N18" s="1425" t="s">
        <v>46</v>
      </c>
      <c r="O18" s="1425" t="s">
        <v>47</v>
      </c>
      <c r="P18" s="1425"/>
      <c r="Q18" s="16" t="s">
        <v>77</v>
      </c>
      <c r="R18" s="302" t="s">
        <v>78</v>
      </c>
      <c r="S18" s="303">
        <v>2015</v>
      </c>
      <c r="T18" s="303">
        <v>1</v>
      </c>
      <c r="U18" s="303">
        <v>1</v>
      </c>
      <c r="V18" s="572">
        <v>2</v>
      </c>
      <c r="W18" s="572">
        <v>3</v>
      </c>
      <c r="X18" s="572">
        <v>4</v>
      </c>
      <c r="Y18" s="572">
        <v>4</v>
      </c>
      <c r="Z18" s="481"/>
      <c r="AA18" s="481"/>
      <c r="AB18" s="491">
        <v>0.5</v>
      </c>
      <c r="AC18" s="481"/>
      <c r="AD18" s="481"/>
      <c r="AE18" s="481"/>
      <c r="AF18" s="481"/>
      <c r="AG18" s="481">
        <f t="shared" si="7"/>
        <v>0.5</v>
      </c>
      <c r="AH18" s="548"/>
      <c r="AI18" s="548"/>
      <c r="AJ18" s="491">
        <v>1</v>
      </c>
      <c r="AK18" s="548"/>
      <c r="AL18" s="548"/>
      <c r="AM18" s="548"/>
      <c r="AN18" s="548">
        <f t="shared" si="18"/>
        <v>1</v>
      </c>
      <c r="AO18" s="481"/>
      <c r="AP18" s="481"/>
      <c r="AQ18" s="491">
        <v>0.5</v>
      </c>
      <c r="AR18" s="481"/>
      <c r="AS18" s="481"/>
      <c r="AT18" s="481"/>
      <c r="AU18" s="481"/>
      <c r="AV18" s="481">
        <f t="shared" si="19"/>
        <v>0.5</v>
      </c>
      <c r="AW18" s="491">
        <v>1</v>
      </c>
      <c r="AX18" s="548"/>
      <c r="AY18" s="548"/>
      <c r="AZ18" s="548"/>
      <c r="BA18" s="548"/>
      <c r="BB18" s="548"/>
      <c r="BC18" s="548"/>
      <c r="BD18" s="548">
        <f t="shared" si="20"/>
        <v>1</v>
      </c>
      <c r="BE18" s="42">
        <f t="shared" si="11"/>
        <v>1</v>
      </c>
      <c r="BF18" s="42">
        <f t="shared" si="11"/>
        <v>0</v>
      </c>
      <c r="BG18" s="42">
        <f t="shared" si="11"/>
        <v>2</v>
      </c>
      <c r="BH18" s="42">
        <f t="shared" si="11"/>
        <v>0</v>
      </c>
      <c r="BI18" s="42">
        <f t="shared" si="11"/>
        <v>0</v>
      </c>
      <c r="BJ18" s="42">
        <f t="shared" si="17"/>
        <v>0</v>
      </c>
      <c r="BK18" s="42">
        <f t="shared" si="12"/>
        <v>0</v>
      </c>
      <c r="BL18" s="42">
        <f t="shared" si="12"/>
        <v>3</v>
      </c>
    </row>
    <row r="19" spans="1:64" ht="11.25" hidden="1" customHeight="1" x14ac:dyDescent="0.2">
      <c r="A19" s="298" t="s">
        <v>38</v>
      </c>
      <c r="B19" s="299" t="s">
        <v>39</v>
      </c>
      <c r="C19" s="1547"/>
      <c r="D19" s="1549"/>
      <c r="E19" s="1549"/>
      <c r="F19" s="1549"/>
      <c r="G19" s="1549"/>
      <c r="H19" s="1549"/>
      <c r="I19" s="301"/>
      <c r="J19" s="301"/>
      <c r="K19" s="1425" t="s">
        <v>79</v>
      </c>
      <c r="L19" s="301" t="s">
        <v>44</v>
      </c>
      <c r="M19" s="1425" t="s">
        <v>45</v>
      </c>
      <c r="N19" s="1425" t="s">
        <v>46</v>
      </c>
      <c r="O19" s="1425" t="s">
        <v>47</v>
      </c>
      <c r="P19" s="1425"/>
      <c r="Q19" s="16" t="s">
        <v>80</v>
      </c>
      <c r="R19" s="302" t="s">
        <v>81</v>
      </c>
      <c r="S19" s="303">
        <v>2015</v>
      </c>
      <c r="T19" s="303">
        <v>0</v>
      </c>
      <c r="U19" s="303">
        <v>1</v>
      </c>
      <c r="V19" s="572">
        <v>1</v>
      </c>
      <c r="W19" s="572">
        <v>1</v>
      </c>
      <c r="X19" s="572">
        <v>1</v>
      </c>
      <c r="Y19" s="572">
        <v>1</v>
      </c>
      <c r="Z19" s="481"/>
      <c r="AA19" s="481"/>
      <c r="AB19" s="491">
        <v>0.5</v>
      </c>
      <c r="AC19" s="481"/>
      <c r="AD19" s="481"/>
      <c r="AE19" s="481"/>
      <c r="AF19" s="481"/>
      <c r="AG19" s="481">
        <f t="shared" si="7"/>
        <v>0.5</v>
      </c>
      <c r="AH19" s="548"/>
      <c r="AI19" s="548"/>
      <c r="AJ19" s="491">
        <v>1</v>
      </c>
      <c r="AK19" s="548"/>
      <c r="AL19" s="548"/>
      <c r="AM19" s="548"/>
      <c r="AN19" s="548">
        <f t="shared" si="18"/>
        <v>1</v>
      </c>
      <c r="AO19" s="481"/>
      <c r="AP19" s="481"/>
      <c r="AQ19" s="491">
        <v>0.5</v>
      </c>
      <c r="AR19" s="481"/>
      <c r="AS19" s="481"/>
      <c r="AT19" s="481"/>
      <c r="AU19" s="481"/>
      <c r="AV19" s="481">
        <f t="shared" si="19"/>
        <v>0.5</v>
      </c>
      <c r="AW19" s="491">
        <v>1</v>
      </c>
      <c r="AX19" s="548"/>
      <c r="AY19" s="548"/>
      <c r="AZ19" s="548"/>
      <c r="BA19" s="548"/>
      <c r="BB19" s="548"/>
      <c r="BC19" s="548"/>
      <c r="BD19" s="548">
        <f t="shared" si="20"/>
        <v>1</v>
      </c>
      <c r="BE19" s="42">
        <f t="shared" si="11"/>
        <v>1</v>
      </c>
      <c r="BF19" s="42">
        <f t="shared" si="11"/>
        <v>0</v>
      </c>
      <c r="BG19" s="42">
        <f t="shared" si="11"/>
        <v>2</v>
      </c>
      <c r="BH19" s="42">
        <f t="shared" si="11"/>
        <v>0</v>
      </c>
      <c r="BI19" s="42">
        <f t="shared" si="11"/>
        <v>0</v>
      </c>
      <c r="BJ19" s="42">
        <f t="shared" si="17"/>
        <v>0</v>
      </c>
      <c r="BK19" s="42">
        <f t="shared" si="12"/>
        <v>0</v>
      </c>
      <c r="BL19" s="42">
        <f t="shared" si="12"/>
        <v>3</v>
      </c>
    </row>
    <row r="20" spans="1:64" ht="21.75" hidden="1" customHeight="1" x14ac:dyDescent="0.2">
      <c r="A20" s="298" t="s">
        <v>38</v>
      </c>
      <c r="B20" s="299" t="s">
        <v>39</v>
      </c>
      <c r="C20" s="1547"/>
      <c r="D20" s="1549"/>
      <c r="E20" s="1549"/>
      <c r="F20" s="1549"/>
      <c r="G20" s="1549"/>
      <c r="H20" s="1549"/>
      <c r="I20" s="301"/>
      <c r="J20" s="301"/>
      <c r="K20" s="1425" t="s">
        <v>82</v>
      </c>
      <c r="L20" s="301" t="s">
        <v>44</v>
      </c>
      <c r="M20" s="1425" t="s">
        <v>45</v>
      </c>
      <c r="N20" s="1425" t="s">
        <v>46</v>
      </c>
      <c r="O20" s="1425" t="s">
        <v>47</v>
      </c>
      <c r="P20" s="1425"/>
      <c r="Q20" s="16" t="s">
        <v>83</v>
      </c>
      <c r="R20" s="302" t="s">
        <v>84</v>
      </c>
      <c r="S20" s="303">
        <v>2015</v>
      </c>
      <c r="T20" s="303">
        <v>0</v>
      </c>
      <c r="U20" s="303">
        <v>0</v>
      </c>
      <c r="V20" s="572">
        <v>6</v>
      </c>
      <c r="W20" s="572">
        <v>12</v>
      </c>
      <c r="X20" s="572">
        <v>20</v>
      </c>
      <c r="Y20" s="572">
        <v>20</v>
      </c>
      <c r="Z20" s="481"/>
      <c r="AA20" s="481"/>
      <c r="AB20" s="481"/>
      <c r="AC20" s="481"/>
      <c r="AD20" s="481"/>
      <c r="AE20" s="481"/>
      <c r="AF20" s="481"/>
      <c r="AG20" s="481">
        <f t="shared" si="7"/>
        <v>0</v>
      </c>
      <c r="AH20" s="548"/>
      <c r="AI20" s="548"/>
      <c r="AJ20" s="491">
        <v>5</v>
      </c>
      <c r="AK20" s="548"/>
      <c r="AL20" s="548"/>
      <c r="AM20" s="548"/>
      <c r="AN20" s="548">
        <f t="shared" si="18"/>
        <v>5</v>
      </c>
      <c r="AO20" s="481"/>
      <c r="AP20" s="481"/>
      <c r="AQ20" s="491">
        <v>0.5</v>
      </c>
      <c r="AR20" s="481"/>
      <c r="AS20" s="481"/>
      <c r="AT20" s="481"/>
      <c r="AU20" s="481"/>
      <c r="AV20" s="481">
        <f t="shared" si="19"/>
        <v>0.5</v>
      </c>
      <c r="AW20" s="491">
        <v>1</v>
      </c>
      <c r="AX20" s="548"/>
      <c r="AY20" s="548"/>
      <c r="AZ20" s="548"/>
      <c r="BA20" s="548"/>
      <c r="BB20" s="548"/>
      <c r="BC20" s="548"/>
      <c r="BD20" s="548">
        <f t="shared" si="20"/>
        <v>1</v>
      </c>
      <c r="BE20" s="42">
        <f t="shared" si="11"/>
        <v>1</v>
      </c>
      <c r="BF20" s="42">
        <f t="shared" si="11"/>
        <v>0</v>
      </c>
      <c r="BG20" s="42">
        <f t="shared" si="11"/>
        <v>5.5</v>
      </c>
      <c r="BH20" s="42">
        <f t="shared" si="11"/>
        <v>0</v>
      </c>
      <c r="BI20" s="42">
        <f t="shared" si="11"/>
        <v>0</v>
      </c>
      <c r="BJ20" s="42">
        <f t="shared" si="17"/>
        <v>0</v>
      </c>
      <c r="BK20" s="42">
        <f t="shared" si="12"/>
        <v>0</v>
      </c>
      <c r="BL20" s="42">
        <f t="shared" si="12"/>
        <v>6.5</v>
      </c>
    </row>
    <row r="21" spans="1:64" ht="21" hidden="1" customHeight="1" x14ac:dyDescent="0.2">
      <c r="A21" s="298" t="s">
        <v>38</v>
      </c>
      <c r="B21" s="299" t="s">
        <v>39</v>
      </c>
      <c r="C21" s="1547"/>
      <c r="D21" s="1549"/>
      <c r="E21" s="1549"/>
      <c r="F21" s="1549"/>
      <c r="G21" s="1549"/>
      <c r="H21" s="1549"/>
      <c r="I21" s="301"/>
      <c r="J21" s="301"/>
      <c r="K21" s="1425" t="s">
        <v>85</v>
      </c>
      <c r="L21" s="301" t="s">
        <v>44</v>
      </c>
      <c r="M21" s="1425" t="s">
        <v>45</v>
      </c>
      <c r="N21" s="1425" t="s">
        <v>46</v>
      </c>
      <c r="O21" s="1425" t="s">
        <v>47</v>
      </c>
      <c r="P21" s="1425"/>
      <c r="Q21" s="16" t="s">
        <v>86</v>
      </c>
      <c r="R21" s="302" t="s">
        <v>87</v>
      </c>
      <c r="S21" s="303">
        <v>2015</v>
      </c>
      <c r="T21" s="303">
        <v>0</v>
      </c>
      <c r="U21" s="303">
        <v>1</v>
      </c>
      <c r="V21" s="572">
        <v>2</v>
      </c>
      <c r="W21" s="572">
        <v>3</v>
      </c>
      <c r="X21" s="572">
        <v>4</v>
      </c>
      <c r="Y21" s="572">
        <v>4</v>
      </c>
      <c r="Z21" s="481"/>
      <c r="AA21" s="481"/>
      <c r="AB21" s="491">
        <v>0.5</v>
      </c>
      <c r="AC21" s="481"/>
      <c r="AD21" s="481"/>
      <c r="AE21" s="481"/>
      <c r="AF21" s="481"/>
      <c r="AG21" s="481">
        <f t="shared" si="7"/>
        <v>0.5</v>
      </c>
      <c r="AH21" s="548"/>
      <c r="AI21" s="548"/>
      <c r="AJ21" s="491">
        <v>3</v>
      </c>
      <c r="AK21" s="548"/>
      <c r="AL21" s="548"/>
      <c r="AM21" s="548"/>
      <c r="AN21" s="548">
        <f t="shared" si="18"/>
        <v>3</v>
      </c>
      <c r="AO21" s="481"/>
      <c r="AP21" s="481"/>
      <c r="AQ21" s="491">
        <v>0.5</v>
      </c>
      <c r="AR21" s="481"/>
      <c r="AS21" s="481"/>
      <c r="AT21" s="481"/>
      <c r="AU21" s="481"/>
      <c r="AV21" s="481">
        <f t="shared" si="19"/>
        <v>0.5</v>
      </c>
      <c r="AW21" s="491">
        <v>1</v>
      </c>
      <c r="AX21" s="548"/>
      <c r="AY21" s="548"/>
      <c r="AZ21" s="548"/>
      <c r="BA21" s="548"/>
      <c r="BB21" s="548"/>
      <c r="BC21" s="548"/>
      <c r="BD21" s="548">
        <f t="shared" si="20"/>
        <v>1</v>
      </c>
      <c r="BE21" s="42">
        <f t="shared" si="11"/>
        <v>1</v>
      </c>
      <c r="BF21" s="42">
        <f t="shared" si="11"/>
        <v>0</v>
      </c>
      <c r="BG21" s="42">
        <f t="shared" si="11"/>
        <v>4</v>
      </c>
      <c r="BH21" s="42">
        <f t="shared" si="11"/>
        <v>0</v>
      </c>
      <c r="BI21" s="42">
        <f t="shared" si="11"/>
        <v>0</v>
      </c>
      <c r="BJ21" s="42">
        <f t="shared" si="17"/>
        <v>0</v>
      </c>
      <c r="BK21" s="42">
        <f t="shared" si="12"/>
        <v>0</v>
      </c>
      <c r="BL21" s="42">
        <f t="shared" si="12"/>
        <v>5</v>
      </c>
    </row>
    <row r="22" spans="1:64" ht="16.5" hidden="1" customHeight="1" x14ac:dyDescent="0.2">
      <c r="A22" s="298" t="s">
        <v>38</v>
      </c>
      <c r="B22" s="299" t="s">
        <v>39</v>
      </c>
      <c r="C22" s="1547"/>
      <c r="D22" s="1549"/>
      <c r="E22" s="1549"/>
      <c r="F22" s="1549"/>
      <c r="G22" s="1549"/>
      <c r="H22" s="1549"/>
      <c r="I22" s="301"/>
      <c r="J22" s="301"/>
      <c r="K22" s="1425" t="s">
        <v>88</v>
      </c>
      <c r="L22" s="301" t="s">
        <v>44</v>
      </c>
      <c r="M22" s="1425" t="s">
        <v>45</v>
      </c>
      <c r="N22" s="1425" t="s">
        <v>46</v>
      </c>
      <c r="O22" s="1425" t="s">
        <v>73</v>
      </c>
      <c r="P22" s="1425"/>
      <c r="Q22" s="16" t="s">
        <v>89</v>
      </c>
      <c r="R22" s="302" t="s">
        <v>90</v>
      </c>
      <c r="S22" s="303">
        <v>2015</v>
      </c>
      <c r="T22" s="303">
        <v>0</v>
      </c>
      <c r="U22" s="303">
        <v>0</v>
      </c>
      <c r="V22" s="572">
        <v>1</v>
      </c>
      <c r="W22" s="572">
        <v>1</v>
      </c>
      <c r="X22" s="572">
        <v>1</v>
      </c>
      <c r="Y22" s="572">
        <v>1</v>
      </c>
      <c r="Z22" s="481"/>
      <c r="AA22" s="481"/>
      <c r="AB22" s="481"/>
      <c r="AC22" s="481"/>
      <c r="AD22" s="481"/>
      <c r="AE22" s="481"/>
      <c r="AF22" s="481"/>
      <c r="AG22" s="481">
        <f>SUM(Z22:AF22)</f>
        <v>0</v>
      </c>
      <c r="AH22" s="548"/>
      <c r="AI22" s="548"/>
      <c r="AJ22" s="491">
        <v>5</v>
      </c>
      <c r="AK22" s="548"/>
      <c r="AL22" s="548"/>
      <c r="AM22" s="548"/>
      <c r="AN22" s="548">
        <f>SUM(AH22:AM22)</f>
        <v>5</v>
      </c>
      <c r="AO22" s="481"/>
      <c r="AP22" s="481"/>
      <c r="AQ22" s="491">
        <v>0.5</v>
      </c>
      <c r="AR22" s="481"/>
      <c r="AS22" s="481"/>
      <c r="AT22" s="481"/>
      <c r="AU22" s="481"/>
      <c r="AV22" s="481">
        <f>SUM(AO22:AU22)</f>
        <v>0.5</v>
      </c>
      <c r="AW22" s="491">
        <v>1</v>
      </c>
      <c r="AX22" s="548"/>
      <c r="AY22" s="548"/>
      <c r="AZ22" s="548"/>
      <c r="BA22" s="548"/>
      <c r="BB22" s="548"/>
      <c r="BC22" s="548"/>
      <c r="BD22" s="548">
        <f>SUM(AW22:BC22)</f>
        <v>1</v>
      </c>
      <c r="BE22" s="42">
        <f>+AW22+AO22+AH22+Z22</f>
        <v>1</v>
      </c>
      <c r="BF22" s="42">
        <f>+AX22+AP22+AI22+AA22</f>
        <v>0</v>
      </c>
      <c r="BG22" s="42">
        <f>+AY22+AQ22+AJ22+AB22</f>
        <v>5.5</v>
      </c>
      <c r="BH22" s="42">
        <f>+AZ22+AR22+AK22+AC22</f>
        <v>0</v>
      </c>
      <c r="BI22" s="42">
        <f>+BA22+AS22+AL22+AD22</f>
        <v>0</v>
      </c>
      <c r="BJ22" s="42">
        <f t="shared" si="17"/>
        <v>0</v>
      </c>
      <c r="BK22" s="42">
        <f>+BC22+AU22+AM22+AF22</f>
        <v>0</v>
      </c>
      <c r="BL22" s="42">
        <f>+BD22+AV22+AN22+AG22</f>
        <v>6.5</v>
      </c>
    </row>
    <row r="23" spans="1:64" ht="15.75" hidden="1" customHeight="1" x14ac:dyDescent="0.2">
      <c r="A23" s="298" t="s">
        <v>38</v>
      </c>
      <c r="B23" s="299" t="s">
        <v>39</v>
      </c>
      <c r="C23" s="1548"/>
      <c r="D23" s="1549"/>
      <c r="E23" s="1549"/>
      <c r="F23" s="1549"/>
      <c r="G23" s="1549"/>
      <c r="H23" s="1549"/>
      <c r="I23" s="301"/>
      <c r="J23" s="301"/>
      <c r="K23" s="1425" t="s">
        <v>91</v>
      </c>
      <c r="L23" s="301" t="s">
        <v>44</v>
      </c>
      <c r="M23" s="1425" t="s">
        <v>45</v>
      </c>
      <c r="N23" s="1425" t="s">
        <v>46</v>
      </c>
      <c r="O23" s="1425" t="s">
        <v>73</v>
      </c>
      <c r="P23" s="1425"/>
      <c r="Q23" s="16" t="s">
        <v>92</v>
      </c>
      <c r="R23" s="302" t="s">
        <v>93</v>
      </c>
      <c r="S23" s="303">
        <v>2015</v>
      </c>
      <c r="T23" s="303">
        <v>0</v>
      </c>
      <c r="U23" s="303">
        <v>1</v>
      </c>
      <c r="V23" s="572">
        <v>1</v>
      </c>
      <c r="W23" s="572">
        <v>1</v>
      </c>
      <c r="X23" s="572">
        <v>1</v>
      </c>
      <c r="Y23" s="572">
        <v>1</v>
      </c>
      <c r="Z23" s="481"/>
      <c r="AA23" s="481"/>
      <c r="AB23" s="491">
        <v>0.5</v>
      </c>
      <c r="AC23" s="481"/>
      <c r="AD23" s="481"/>
      <c r="AE23" s="481"/>
      <c r="AF23" s="481"/>
      <c r="AG23" s="481">
        <f t="shared" si="7"/>
        <v>0.5</v>
      </c>
      <c r="AH23" s="548"/>
      <c r="AI23" s="548"/>
      <c r="AJ23" s="491">
        <v>5</v>
      </c>
      <c r="AK23" s="548"/>
      <c r="AL23" s="548"/>
      <c r="AM23" s="548"/>
      <c r="AN23" s="548">
        <f t="shared" si="18"/>
        <v>5</v>
      </c>
      <c r="AO23" s="42"/>
      <c r="AP23" s="481"/>
      <c r="AQ23" s="491">
        <v>0.5</v>
      </c>
      <c r="AR23" s="481"/>
      <c r="AS23" s="481"/>
      <c r="AT23" s="481"/>
      <c r="AU23" s="481"/>
      <c r="AV23" s="481">
        <f t="shared" si="19"/>
        <v>0.5</v>
      </c>
      <c r="AW23" s="491">
        <v>1</v>
      </c>
      <c r="AX23" s="548"/>
      <c r="AY23" s="548"/>
      <c r="AZ23" s="548"/>
      <c r="BA23" s="548"/>
      <c r="BB23" s="548"/>
      <c r="BC23" s="548"/>
      <c r="BD23" s="548">
        <f t="shared" si="20"/>
        <v>1</v>
      </c>
      <c r="BE23" s="42">
        <f t="shared" ref="BE23:BI62" si="21">+AW23+AO23+AH23+Z23</f>
        <v>1</v>
      </c>
      <c r="BF23" s="42">
        <f t="shared" si="21"/>
        <v>0</v>
      </c>
      <c r="BG23" s="42">
        <f t="shared" si="21"/>
        <v>6</v>
      </c>
      <c r="BH23" s="42">
        <f t="shared" si="21"/>
        <v>0</v>
      </c>
      <c r="BI23" s="42">
        <f t="shared" si="21"/>
        <v>0</v>
      </c>
      <c r="BJ23" s="42">
        <f t="shared" si="17"/>
        <v>0</v>
      </c>
      <c r="BK23" s="42">
        <f t="shared" si="12"/>
        <v>0</v>
      </c>
      <c r="BL23" s="42">
        <f t="shared" si="12"/>
        <v>7</v>
      </c>
    </row>
    <row r="24" spans="1:64" ht="12.75" hidden="1" x14ac:dyDescent="0.2">
      <c r="A24" s="295" t="s">
        <v>38</v>
      </c>
      <c r="B24" s="24" t="s">
        <v>39</v>
      </c>
      <c r="C24" s="2"/>
      <c r="D24" s="2" t="s">
        <v>94</v>
      </c>
      <c r="E24" s="1"/>
      <c r="F24" s="1"/>
      <c r="G24" s="1"/>
      <c r="H24" s="1"/>
      <c r="I24" s="1"/>
      <c r="J24" s="1"/>
      <c r="K24" s="1"/>
      <c r="L24" s="1"/>
      <c r="M24" s="1"/>
      <c r="N24" s="1"/>
      <c r="O24" s="1"/>
      <c r="P24" s="1"/>
      <c r="Q24" s="1"/>
      <c r="R24" s="22"/>
      <c r="S24" s="1"/>
      <c r="T24" s="1"/>
      <c r="U24" s="1"/>
      <c r="V24" s="49"/>
      <c r="W24" s="49"/>
      <c r="X24" s="49"/>
      <c r="Y24" s="49"/>
      <c r="Z24" s="34">
        <f t="shared" ref="Z24:AF24" si="22">SUM(Z25:Z40)</f>
        <v>24.5</v>
      </c>
      <c r="AA24" s="34">
        <f t="shared" si="22"/>
        <v>0</v>
      </c>
      <c r="AB24" s="34">
        <f t="shared" si="22"/>
        <v>1095</v>
      </c>
      <c r="AC24" s="34">
        <f t="shared" si="22"/>
        <v>0</v>
      </c>
      <c r="AD24" s="34">
        <f t="shared" si="22"/>
        <v>0</v>
      </c>
      <c r="AE24" s="34">
        <f t="shared" si="22"/>
        <v>0</v>
      </c>
      <c r="AF24" s="34">
        <f t="shared" si="22"/>
        <v>0</v>
      </c>
      <c r="AG24" s="34">
        <f t="shared" si="7"/>
        <v>1119.5</v>
      </c>
      <c r="AH24" s="34">
        <f t="shared" ref="AH24:AM24" si="23">SUM(AH25:AH40)</f>
        <v>20</v>
      </c>
      <c r="AI24" s="34">
        <f t="shared" si="23"/>
        <v>0</v>
      </c>
      <c r="AJ24" s="34">
        <f>SUM(AJ25:AJ42)</f>
        <v>1424.75</v>
      </c>
      <c r="AK24" s="34">
        <f t="shared" si="23"/>
        <v>0</v>
      </c>
      <c r="AL24" s="34">
        <f t="shared" si="23"/>
        <v>0</v>
      </c>
      <c r="AM24" s="34">
        <f t="shared" si="23"/>
        <v>0</v>
      </c>
      <c r="AN24" s="34">
        <f t="shared" si="18"/>
        <v>1444.75</v>
      </c>
      <c r="AO24" s="34">
        <f t="shared" ref="AO24:AU24" si="24">SUM(AO25:AO40)</f>
        <v>2.5</v>
      </c>
      <c r="AP24" s="34">
        <f t="shared" si="24"/>
        <v>0</v>
      </c>
      <c r="AQ24" s="34">
        <f>SUM(AQ25:AQ42)</f>
        <v>825</v>
      </c>
      <c r="AR24" s="34">
        <f t="shared" si="24"/>
        <v>0</v>
      </c>
      <c r="AS24" s="34">
        <f t="shared" si="24"/>
        <v>0</v>
      </c>
      <c r="AT24" s="34">
        <f t="shared" si="24"/>
        <v>0</v>
      </c>
      <c r="AU24" s="34">
        <f t="shared" si="24"/>
        <v>0</v>
      </c>
      <c r="AV24" s="34">
        <f t="shared" si="19"/>
        <v>827.5</v>
      </c>
      <c r="AW24" s="34">
        <f>SUM(AW25:AW42)</f>
        <v>5</v>
      </c>
      <c r="AX24" s="31">
        <f t="shared" ref="AX24:BC24" si="25">SUM(AX25:AX40)</f>
        <v>0</v>
      </c>
      <c r="AY24" s="34">
        <f t="shared" si="25"/>
        <v>864</v>
      </c>
      <c r="AZ24" s="34">
        <f t="shared" si="25"/>
        <v>0</v>
      </c>
      <c r="BA24" s="34">
        <f t="shared" si="25"/>
        <v>0</v>
      </c>
      <c r="BB24" s="34">
        <f t="shared" si="25"/>
        <v>0</v>
      </c>
      <c r="BC24" s="34">
        <f t="shared" si="25"/>
        <v>0</v>
      </c>
      <c r="BD24" s="34">
        <f t="shared" si="20"/>
        <v>869</v>
      </c>
      <c r="BE24" s="34">
        <f t="shared" si="21"/>
        <v>52</v>
      </c>
      <c r="BF24" s="34">
        <f t="shared" si="21"/>
        <v>0</v>
      </c>
      <c r="BG24" s="34">
        <f t="shared" si="21"/>
        <v>4208.75</v>
      </c>
      <c r="BH24" s="34">
        <f t="shared" si="21"/>
        <v>0</v>
      </c>
      <c r="BI24" s="34">
        <f t="shared" si="21"/>
        <v>0</v>
      </c>
      <c r="BJ24" s="34">
        <f t="shared" si="17"/>
        <v>0</v>
      </c>
      <c r="BK24" s="34">
        <f t="shared" si="12"/>
        <v>0</v>
      </c>
      <c r="BL24" s="34">
        <f t="shared" si="12"/>
        <v>4260.75</v>
      </c>
    </row>
    <row r="25" spans="1:64" ht="50.25" hidden="1" customHeight="1" x14ac:dyDescent="0.2">
      <c r="A25" s="298" t="s">
        <v>38</v>
      </c>
      <c r="B25" s="299" t="s">
        <v>39</v>
      </c>
      <c r="C25" s="1546" t="s">
        <v>95</v>
      </c>
      <c r="D25" s="1549" t="s">
        <v>96</v>
      </c>
      <c r="E25" s="1549" t="s">
        <v>97</v>
      </c>
      <c r="F25" s="1549">
        <v>2014</v>
      </c>
      <c r="G25" s="1549">
        <v>47.54</v>
      </c>
      <c r="H25" s="1549">
        <v>50</v>
      </c>
      <c r="I25" s="1425"/>
      <c r="J25" s="1425"/>
      <c r="K25" s="1425" t="s">
        <v>98</v>
      </c>
      <c r="L25" s="301" t="s">
        <v>44</v>
      </c>
      <c r="M25" s="1425" t="s">
        <v>45</v>
      </c>
      <c r="N25" s="1425" t="s">
        <v>46</v>
      </c>
      <c r="O25" s="1425" t="s">
        <v>47</v>
      </c>
      <c r="P25" s="1425"/>
      <c r="Q25" s="25" t="s">
        <v>99</v>
      </c>
      <c r="R25" s="302" t="s">
        <v>100</v>
      </c>
      <c r="S25" s="303">
        <v>2015</v>
      </c>
      <c r="T25" s="303">
        <v>0</v>
      </c>
      <c r="U25" s="303">
        <v>2</v>
      </c>
      <c r="V25" s="572">
        <v>4</v>
      </c>
      <c r="W25" s="572">
        <v>11</v>
      </c>
      <c r="X25" s="572">
        <v>18</v>
      </c>
      <c r="Y25" s="572">
        <v>18</v>
      </c>
      <c r="Z25" s="481"/>
      <c r="AA25" s="481"/>
      <c r="AB25" s="481">
        <v>20</v>
      </c>
      <c r="AC25" s="481"/>
      <c r="AD25" s="481"/>
      <c r="AE25" s="481"/>
      <c r="AF25" s="481"/>
      <c r="AG25" s="481">
        <f t="shared" si="7"/>
        <v>20</v>
      </c>
      <c r="AH25" s="548"/>
      <c r="AI25" s="548"/>
      <c r="AJ25" s="548">
        <v>20</v>
      </c>
      <c r="AK25" s="548"/>
      <c r="AL25" s="548"/>
      <c r="AM25" s="548"/>
      <c r="AN25" s="548">
        <f t="shared" si="18"/>
        <v>20</v>
      </c>
      <c r="AO25" s="481"/>
      <c r="AP25" s="481"/>
      <c r="AQ25" s="481">
        <v>100</v>
      </c>
      <c r="AR25" s="481"/>
      <c r="AS25" s="481"/>
      <c r="AT25" s="481"/>
      <c r="AU25" s="481"/>
      <c r="AV25" s="481">
        <f t="shared" si="19"/>
        <v>100</v>
      </c>
      <c r="AW25" s="548"/>
      <c r="AX25" s="548"/>
      <c r="AY25" s="42">
        <v>100</v>
      </c>
      <c r="AZ25" s="548"/>
      <c r="BA25" s="548"/>
      <c r="BB25" s="548"/>
      <c r="BC25" s="548"/>
      <c r="BD25" s="548">
        <f t="shared" si="20"/>
        <v>100</v>
      </c>
      <c r="BE25" s="42">
        <f t="shared" si="21"/>
        <v>0</v>
      </c>
      <c r="BF25" s="42">
        <f t="shared" si="21"/>
        <v>0</v>
      </c>
      <c r="BG25" s="42">
        <f t="shared" si="21"/>
        <v>240</v>
      </c>
      <c r="BH25" s="42">
        <f t="shared" si="21"/>
        <v>0</v>
      </c>
      <c r="BI25" s="42">
        <f t="shared" si="21"/>
        <v>0</v>
      </c>
      <c r="BJ25" s="42">
        <f t="shared" si="17"/>
        <v>0</v>
      </c>
      <c r="BK25" s="42">
        <f t="shared" si="12"/>
        <v>0</v>
      </c>
      <c r="BL25" s="42">
        <f t="shared" si="12"/>
        <v>240</v>
      </c>
    </row>
    <row r="26" spans="1:64" ht="51" hidden="1" customHeight="1" x14ac:dyDescent="0.2">
      <c r="A26" s="298" t="s">
        <v>38</v>
      </c>
      <c r="B26" s="299" t="s">
        <v>39</v>
      </c>
      <c r="C26" s="1547"/>
      <c r="D26" s="1549"/>
      <c r="E26" s="1549"/>
      <c r="F26" s="1549"/>
      <c r="G26" s="1549"/>
      <c r="H26" s="1549"/>
      <c r="I26" s="1425"/>
      <c r="J26" s="1425"/>
      <c r="K26" s="1425" t="s">
        <v>101</v>
      </c>
      <c r="L26" s="301" t="s">
        <v>44</v>
      </c>
      <c r="M26" s="1425" t="s">
        <v>45</v>
      </c>
      <c r="N26" s="1425" t="s">
        <v>46</v>
      </c>
      <c r="O26" s="1425" t="s">
        <v>73</v>
      </c>
      <c r="P26" s="1425"/>
      <c r="Q26" s="25" t="s">
        <v>102</v>
      </c>
      <c r="R26" s="302" t="s">
        <v>103</v>
      </c>
      <c r="S26" s="303">
        <v>2015</v>
      </c>
      <c r="T26" s="303">
        <v>1</v>
      </c>
      <c r="U26" s="303">
        <v>18</v>
      </c>
      <c r="V26" s="303">
        <v>18</v>
      </c>
      <c r="W26" s="303">
        <v>18</v>
      </c>
      <c r="X26" s="303">
        <v>18</v>
      </c>
      <c r="Y26" s="572">
        <v>18</v>
      </c>
      <c r="Z26" s="481"/>
      <c r="AA26" s="481"/>
      <c r="AB26" s="481">
        <v>1000</v>
      </c>
      <c r="AC26" s="481"/>
      <c r="AD26" s="481"/>
      <c r="AE26" s="481"/>
      <c r="AF26" s="481"/>
      <c r="AG26" s="481">
        <f t="shared" si="7"/>
        <v>1000</v>
      </c>
      <c r="AH26" s="548"/>
      <c r="AI26" s="548"/>
      <c r="AJ26" s="548">
        <v>1256.75</v>
      </c>
      <c r="AK26" s="548"/>
      <c r="AL26" s="548"/>
      <c r="AM26" s="548"/>
      <c r="AN26" s="548">
        <f>SUM(AH26:AM26)</f>
        <v>1256.75</v>
      </c>
      <c r="AO26" s="481"/>
      <c r="AP26" s="481"/>
      <c r="AQ26" s="481">
        <v>640</v>
      </c>
      <c r="AR26" s="481"/>
      <c r="AS26" s="481"/>
      <c r="AT26" s="481"/>
      <c r="AU26" s="481"/>
      <c r="AV26" s="481">
        <f>SUM(AO26:AU26)</f>
        <v>640</v>
      </c>
      <c r="AW26" s="548"/>
      <c r="AX26" s="548"/>
      <c r="AY26" s="548">
        <v>670</v>
      </c>
      <c r="AZ26" s="548"/>
      <c r="BA26" s="548"/>
      <c r="BB26" s="548"/>
      <c r="BC26" s="548"/>
      <c r="BD26" s="548">
        <f>SUM(AW26:BC26)</f>
        <v>670</v>
      </c>
      <c r="BE26" s="42">
        <f t="shared" si="21"/>
        <v>0</v>
      </c>
      <c r="BF26" s="42">
        <f t="shared" si="21"/>
        <v>0</v>
      </c>
      <c r="BG26" s="42">
        <f t="shared" si="21"/>
        <v>3566.75</v>
      </c>
      <c r="BH26" s="42">
        <f t="shared" si="21"/>
        <v>0</v>
      </c>
      <c r="BI26" s="42">
        <f t="shared" si="21"/>
        <v>0</v>
      </c>
      <c r="BJ26" s="42">
        <f t="shared" si="17"/>
        <v>0</v>
      </c>
      <c r="BK26" s="42">
        <f t="shared" si="12"/>
        <v>0</v>
      </c>
      <c r="BL26" s="42">
        <f t="shared" si="12"/>
        <v>3566.75</v>
      </c>
    </row>
    <row r="27" spans="1:64" ht="45" hidden="1" customHeight="1" x14ac:dyDescent="0.2">
      <c r="A27" s="298" t="s">
        <v>38</v>
      </c>
      <c r="B27" s="299" t="s">
        <v>39</v>
      </c>
      <c r="C27" s="1547"/>
      <c r="D27" s="1549"/>
      <c r="E27" s="1549"/>
      <c r="F27" s="1549"/>
      <c r="G27" s="1549"/>
      <c r="H27" s="1549"/>
      <c r="I27" s="1425"/>
      <c r="J27" s="1425"/>
      <c r="K27" s="1425" t="s">
        <v>104</v>
      </c>
      <c r="L27" s="301" t="s">
        <v>44</v>
      </c>
      <c r="M27" s="1425" t="s">
        <v>45</v>
      </c>
      <c r="N27" s="1425" t="s">
        <v>46</v>
      </c>
      <c r="O27" s="1425" t="s">
        <v>73</v>
      </c>
      <c r="P27" s="1425"/>
      <c r="Q27" s="25" t="s">
        <v>105</v>
      </c>
      <c r="R27" s="302" t="s">
        <v>106</v>
      </c>
      <c r="S27" s="303">
        <v>2015</v>
      </c>
      <c r="T27" s="303">
        <v>0</v>
      </c>
      <c r="U27" s="303">
        <v>1</v>
      </c>
      <c r="V27" s="572">
        <v>1</v>
      </c>
      <c r="W27" s="572">
        <v>1</v>
      </c>
      <c r="X27" s="572">
        <v>1</v>
      </c>
      <c r="Y27" s="572">
        <v>1</v>
      </c>
      <c r="Z27" s="493">
        <v>9.5</v>
      </c>
      <c r="AA27" s="483"/>
      <c r="AB27" s="483">
        <v>0</v>
      </c>
      <c r="AC27" s="483"/>
      <c r="AD27" s="483"/>
      <c r="AE27" s="483"/>
      <c r="AF27" s="483"/>
      <c r="AG27" s="481">
        <f t="shared" si="7"/>
        <v>9.5</v>
      </c>
      <c r="AH27" s="587">
        <v>10</v>
      </c>
      <c r="AI27" s="587"/>
      <c r="AJ27" s="493">
        <v>15</v>
      </c>
      <c r="AK27" s="587"/>
      <c r="AL27" s="587"/>
      <c r="AM27" s="587"/>
      <c r="AN27" s="587">
        <f t="shared" ref="AN27:AN46" si="26">SUM(AH27:AM27)</f>
        <v>25</v>
      </c>
      <c r="AO27" s="493">
        <v>2.5</v>
      </c>
      <c r="AP27" s="44"/>
      <c r="AQ27" s="483">
        <v>0</v>
      </c>
      <c r="AR27" s="483"/>
      <c r="AS27" s="483"/>
      <c r="AT27" s="483"/>
      <c r="AU27" s="483"/>
      <c r="AV27" s="483">
        <f t="shared" ref="AV27:AV46" si="27">SUM(AO27:AU27)</f>
        <v>2.5</v>
      </c>
      <c r="AW27" s="493">
        <v>1.5</v>
      </c>
      <c r="AX27" s="587"/>
      <c r="AY27" s="587">
        <v>0</v>
      </c>
      <c r="AZ27" s="587"/>
      <c r="BA27" s="587"/>
      <c r="BB27" s="587"/>
      <c r="BC27" s="587"/>
      <c r="BD27" s="587">
        <f t="shared" ref="BD27:BD46" si="28">SUM(AW27:BC27)</f>
        <v>1.5</v>
      </c>
      <c r="BE27" s="44">
        <f t="shared" si="21"/>
        <v>23.5</v>
      </c>
      <c r="BF27" s="44">
        <f t="shared" si="21"/>
        <v>0</v>
      </c>
      <c r="BG27" s="44">
        <f t="shared" si="21"/>
        <v>15</v>
      </c>
      <c r="BH27" s="44">
        <f t="shared" si="21"/>
        <v>0</v>
      </c>
      <c r="BI27" s="44">
        <f t="shared" si="21"/>
        <v>0</v>
      </c>
      <c r="BJ27" s="42">
        <f t="shared" si="17"/>
        <v>0</v>
      </c>
      <c r="BK27" s="44">
        <f t="shared" si="12"/>
        <v>0</v>
      </c>
      <c r="BL27" s="44">
        <f t="shared" si="12"/>
        <v>38.5</v>
      </c>
    </row>
    <row r="28" spans="1:64" ht="49.5" hidden="1" customHeight="1" x14ac:dyDescent="0.2">
      <c r="A28" s="298" t="s">
        <v>38</v>
      </c>
      <c r="B28" s="299" t="s">
        <v>39</v>
      </c>
      <c r="C28" s="1547"/>
      <c r="D28" s="1549"/>
      <c r="E28" s="1549"/>
      <c r="F28" s="1549"/>
      <c r="G28" s="1549"/>
      <c r="H28" s="1549"/>
      <c r="I28" s="1425"/>
      <c r="J28" s="1425"/>
      <c r="K28" s="1425" t="s">
        <v>107</v>
      </c>
      <c r="L28" s="301" t="s">
        <v>44</v>
      </c>
      <c r="M28" s="1425" t="s">
        <v>45</v>
      </c>
      <c r="N28" s="1425" t="s">
        <v>46</v>
      </c>
      <c r="O28" s="1425" t="s">
        <v>73</v>
      </c>
      <c r="P28" s="1425"/>
      <c r="Q28" s="25" t="s">
        <v>108</v>
      </c>
      <c r="R28" s="302" t="s">
        <v>109</v>
      </c>
      <c r="S28" s="303">
        <v>2015</v>
      </c>
      <c r="T28" s="303">
        <v>0</v>
      </c>
      <c r="U28" s="303">
        <v>1</v>
      </c>
      <c r="V28" s="572">
        <v>1</v>
      </c>
      <c r="W28" s="572">
        <v>1</v>
      </c>
      <c r="X28" s="572">
        <v>1</v>
      </c>
      <c r="Y28" s="572">
        <v>1</v>
      </c>
      <c r="Z28" s="481"/>
      <c r="AA28" s="481"/>
      <c r="AB28" s="481">
        <v>70</v>
      </c>
      <c r="AC28" s="481"/>
      <c r="AD28" s="481"/>
      <c r="AE28" s="481"/>
      <c r="AF28" s="481"/>
      <c r="AG28" s="481">
        <f t="shared" si="7"/>
        <v>70</v>
      </c>
      <c r="AH28" s="548"/>
      <c r="AI28" s="548"/>
      <c r="AJ28" s="548">
        <v>70</v>
      </c>
      <c r="AK28" s="548"/>
      <c r="AL28" s="548"/>
      <c r="AM28" s="548"/>
      <c r="AN28" s="548">
        <f t="shared" si="26"/>
        <v>70</v>
      </c>
      <c r="AO28" s="481"/>
      <c r="AP28" s="481"/>
      <c r="AQ28" s="481">
        <v>70</v>
      </c>
      <c r="AR28" s="481"/>
      <c r="AS28" s="481"/>
      <c r="AT28" s="481"/>
      <c r="AU28" s="481"/>
      <c r="AV28" s="481">
        <f t="shared" si="27"/>
        <v>70</v>
      </c>
      <c r="AW28" s="548"/>
      <c r="AX28" s="548"/>
      <c r="AY28" s="491">
        <v>79</v>
      </c>
      <c r="AZ28" s="548"/>
      <c r="BA28" s="548"/>
      <c r="BB28" s="548"/>
      <c r="BC28" s="548"/>
      <c r="BD28" s="548">
        <f t="shared" si="28"/>
        <v>79</v>
      </c>
      <c r="BE28" s="42">
        <f t="shared" si="21"/>
        <v>0</v>
      </c>
      <c r="BF28" s="42">
        <f t="shared" si="21"/>
        <v>0</v>
      </c>
      <c r="BG28" s="42">
        <f t="shared" si="21"/>
        <v>289</v>
      </c>
      <c r="BH28" s="42">
        <f t="shared" si="21"/>
        <v>0</v>
      </c>
      <c r="BI28" s="42">
        <f t="shared" si="21"/>
        <v>0</v>
      </c>
      <c r="BJ28" s="42">
        <f t="shared" si="17"/>
        <v>0</v>
      </c>
      <c r="BK28" s="42">
        <f t="shared" si="12"/>
        <v>0</v>
      </c>
      <c r="BL28" s="42">
        <f t="shared" si="12"/>
        <v>289</v>
      </c>
    </row>
    <row r="29" spans="1:64" ht="15" hidden="1" customHeight="1" x14ac:dyDescent="0.2">
      <c r="A29" s="298" t="s">
        <v>38</v>
      </c>
      <c r="B29" s="299" t="s">
        <v>39</v>
      </c>
      <c r="C29" s="1547"/>
      <c r="D29" s="1549"/>
      <c r="E29" s="1549"/>
      <c r="F29" s="1549"/>
      <c r="G29" s="1549"/>
      <c r="H29" s="1549"/>
      <c r="I29" s="1425"/>
      <c r="J29" s="1425"/>
      <c r="K29" s="1425" t="s">
        <v>110</v>
      </c>
      <c r="L29" s="301" t="s">
        <v>44</v>
      </c>
      <c r="M29" s="1425" t="s">
        <v>45</v>
      </c>
      <c r="N29" s="1425" t="s">
        <v>46</v>
      </c>
      <c r="O29" s="1425" t="s">
        <v>73</v>
      </c>
      <c r="P29" s="1425"/>
      <c r="Q29" s="16" t="s">
        <v>111</v>
      </c>
      <c r="R29" s="302" t="s">
        <v>112</v>
      </c>
      <c r="S29" s="303">
        <v>2015</v>
      </c>
      <c r="T29" s="303">
        <v>1</v>
      </c>
      <c r="U29" s="303">
        <v>1</v>
      </c>
      <c r="V29" s="572">
        <v>1</v>
      </c>
      <c r="W29" s="572">
        <v>1</v>
      </c>
      <c r="X29" s="572">
        <v>1</v>
      </c>
      <c r="Y29" s="572">
        <v>1</v>
      </c>
      <c r="Z29" s="491">
        <v>13</v>
      </c>
      <c r="AA29" s="481"/>
      <c r="AB29" s="481"/>
      <c r="AC29" s="481"/>
      <c r="AD29" s="481"/>
      <c r="AE29" s="481"/>
      <c r="AF29" s="481"/>
      <c r="AG29" s="481">
        <f t="shared" si="7"/>
        <v>13</v>
      </c>
      <c r="AH29" s="491">
        <v>10</v>
      </c>
      <c r="AI29" s="548"/>
      <c r="AJ29" s="491">
        <v>15</v>
      </c>
      <c r="AK29" s="548"/>
      <c r="AL29" s="548"/>
      <c r="AM29" s="548"/>
      <c r="AN29" s="548">
        <f t="shared" si="26"/>
        <v>25</v>
      </c>
      <c r="AO29" s="481"/>
      <c r="AP29" s="481"/>
      <c r="AQ29" s="491">
        <v>0.5</v>
      </c>
      <c r="AR29" s="481"/>
      <c r="AS29" s="481"/>
      <c r="AT29" s="481"/>
      <c r="AU29" s="481"/>
      <c r="AV29" s="481">
        <f t="shared" si="27"/>
        <v>0.5</v>
      </c>
      <c r="AW29" s="548"/>
      <c r="AX29" s="548"/>
      <c r="AY29" s="491">
        <v>1</v>
      </c>
      <c r="AZ29" s="548"/>
      <c r="BA29" s="548"/>
      <c r="BB29" s="548"/>
      <c r="BC29" s="548"/>
      <c r="BD29" s="548">
        <f t="shared" si="28"/>
        <v>1</v>
      </c>
      <c r="BE29" s="42">
        <f t="shared" si="21"/>
        <v>23</v>
      </c>
      <c r="BF29" s="42">
        <f t="shared" si="21"/>
        <v>0</v>
      </c>
      <c r="BG29" s="42">
        <f t="shared" si="21"/>
        <v>16.5</v>
      </c>
      <c r="BH29" s="42">
        <f t="shared" si="21"/>
        <v>0</v>
      </c>
      <c r="BI29" s="42">
        <f t="shared" si="21"/>
        <v>0</v>
      </c>
      <c r="BJ29" s="42">
        <f t="shared" si="17"/>
        <v>0</v>
      </c>
      <c r="BK29" s="42">
        <f t="shared" si="12"/>
        <v>0</v>
      </c>
      <c r="BL29" s="42">
        <f t="shared" si="12"/>
        <v>39.5</v>
      </c>
    </row>
    <row r="30" spans="1:64" ht="15.75" hidden="1" customHeight="1" x14ac:dyDescent="0.2">
      <c r="A30" s="298" t="s">
        <v>38</v>
      </c>
      <c r="B30" s="299" t="s">
        <v>39</v>
      </c>
      <c r="C30" s="1547"/>
      <c r="D30" s="1549"/>
      <c r="E30" s="1549"/>
      <c r="F30" s="1549"/>
      <c r="G30" s="1549"/>
      <c r="H30" s="1549"/>
      <c r="I30" s="1425"/>
      <c r="J30" s="1425"/>
      <c r="K30" s="1425" t="s">
        <v>113</v>
      </c>
      <c r="L30" s="301" t="s">
        <v>44</v>
      </c>
      <c r="M30" s="1425" t="s">
        <v>45</v>
      </c>
      <c r="N30" s="1425" t="s">
        <v>46</v>
      </c>
      <c r="O30" s="1425" t="s">
        <v>47</v>
      </c>
      <c r="P30" s="1425"/>
      <c r="Q30" s="16" t="s">
        <v>114</v>
      </c>
      <c r="R30" s="302" t="s">
        <v>115</v>
      </c>
      <c r="S30" s="303">
        <v>2015</v>
      </c>
      <c r="T30" s="303">
        <v>1</v>
      </c>
      <c r="U30" s="303">
        <v>1</v>
      </c>
      <c r="V30" s="572">
        <v>2</v>
      </c>
      <c r="W30" s="572">
        <v>3</v>
      </c>
      <c r="X30" s="572">
        <v>4</v>
      </c>
      <c r="Y30" s="572">
        <v>4</v>
      </c>
      <c r="Z30" s="481"/>
      <c r="AA30" s="481"/>
      <c r="AB30" s="481">
        <v>5</v>
      </c>
      <c r="AC30" s="481"/>
      <c r="AD30" s="481"/>
      <c r="AE30" s="481"/>
      <c r="AF30" s="481"/>
      <c r="AG30" s="481">
        <f t="shared" si="7"/>
        <v>5</v>
      </c>
      <c r="AH30" s="548"/>
      <c r="AI30" s="548"/>
      <c r="AJ30" s="491">
        <v>5</v>
      </c>
      <c r="AK30" s="548"/>
      <c r="AL30" s="548"/>
      <c r="AM30" s="548"/>
      <c r="AN30" s="548">
        <f t="shared" si="26"/>
        <v>5</v>
      </c>
      <c r="AO30" s="481"/>
      <c r="AP30" s="481"/>
      <c r="AQ30" s="481">
        <v>4.5</v>
      </c>
      <c r="AR30" s="481"/>
      <c r="AS30" s="481"/>
      <c r="AT30" s="481"/>
      <c r="AU30" s="481"/>
      <c r="AV30" s="481">
        <f t="shared" si="27"/>
        <v>4.5</v>
      </c>
      <c r="AW30" s="548"/>
      <c r="AX30" s="548"/>
      <c r="AY30" s="491">
        <v>3</v>
      </c>
      <c r="AZ30" s="548"/>
      <c r="BA30" s="548"/>
      <c r="BB30" s="548"/>
      <c r="BC30" s="548"/>
      <c r="BD30" s="548">
        <f t="shared" si="28"/>
        <v>3</v>
      </c>
      <c r="BE30" s="42">
        <f t="shared" si="21"/>
        <v>0</v>
      </c>
      <c r="BF30" s="42">
        <f t="shared" si="21"/>
        <v>0</v>
      </c>
      <c r="BG30" s="42">
        <f t="shared" si="21"/>
        <v>17.5</v>
      </c>
      <c r="BH30" s="42">
        <f t="shared" si="21"/>
        <v>0</v>
      </c>
      <c r="BI30" s="42">
        <f t="shared" si="21"/>
        <v>0</v>
      </c>
      <c r="BJ30" s="42">
        <f t="shared" si="17"/>
        <v>0</v>
      </c>
      <c r="BK30" s="42">
        <f t="shared" si="12"/>
        <v>0</v>
      </c>
      <c r="BL30" s="42">
        <f t="shared" si="12"/>
        <v>17.5</v>
      </c>
    </row>
    <row r="31" spans="1:64" ht="19.5" hidden="1" customHeight="1" x14ac:dyDescent="0.2">
      <c r="A31" s="298" t="s">
        <v>38</v>
      </c>
      <c r="B31" s="299" t="s">
        <v>39</v>
      </c>
      <c r="C31" s="1547"/>
      <c r="D31" s="1549"/>
      <c r="E31" s="1549"/>
      <c r="F31" s="1549"/>
      <c r="G31" s="1549"/>
      <c r="H31" s="1549"/>
      <c r="I31" s="1425"/>
      <c r="J31" s="1425"/>
      <c r="K31" s="1425" t="s">
        <v>116</v>
      </c>
      <c r="L31" s="301" t="s">
        <v>44</v>
      </c>
      <c r="M31" s="1425" t="s">
        <v>45</v>
      </c>
      <c r="N31" s="1425" t="s">
        <v>46</v>
      </c>
      <c r="O31" s="1425" t="s">
        <v>73</v>
      </c>
      <c r="P31" s="1425"/>
      <c r="Q31" s="16" t="s">
        <v>117</v>
      </c>
      <c r="R31" s="302" t="s">
        <v>118</v>
      </c>
      <c r="S31" s="303">
        <v>2015</v>
      </c>
      <c r="T31" s="303">
        <v>0</v>
      </c>
      <c r="U31" s="303">
        <v>1</v>
      </c>
      <c r="V31" s="572">
        <v>1</v>
      </c>
      <c r="W31" s="572">
        <v>1</v>
      </c>
      <c r="X31" s="572">
        <v>1</v>
      </c>
      <c r="Y31" s="572">
        <v>1</v>
      </c>
      <c r="Z31" s="491">
        <v>0.5</v>
      </c>
      <c r="AA31" s="481"/>
      <c r="AB31" s="481"/>
      <c r="AC31" s="481"/>
      <c r="AD31" s="481"/>
      <c r="AE31" s="481"/>
      <c r="AF31" s="481"/>
      <c r="AG31" s="481">
        <f t="shared" si="7"/>
        <v>0.5</v>
      </c>
      <c r="AH31" s="548"/>
      <c r="AI31" s="548"/>
      <c r="AJ31" s="491">
        <v>1</v>
      </c>
      <c r="AK31" s="548"/>
      <c r="AL31" s="548"/>
      <c r="AM31" s="548"/>
      <c r="AN31" s="548">
        <f t="shared" si="26"/>
        <v>1</v>
      </c>
      <c r="AO31" s="481"/>
      <c r="AP31" s="481"/>
      <c r="AQ31" s="491">
        <v>0.5</v>
      </c>
      <c r="AR31" s="481"/>
      <c r="AS31" s="481"/>
      <c r="AT31" s="481"/>
      <c r="AU31" s="481"/>
      <c r="AV31" s="481">
        <f t="shared" si="27"/>
        <v>0.5</v>
      </c>
      <c r="AW31" s="548"/>
      <c r="AX31" s="548"/>
      <c r="AY31" s="491">
        <v>0.5</v>
      </c>
      <c r="AZ31" s="548"/>
      <c r="BA31" s="548"/>
      <c r="BB31" s="548"/>
      <c r="BC31" s="548"/>
      <c r="BD31" s="548">
        <f t="shared" si="28"/>
        <v>0.5</v>
      </c>
      <c r="BE31" s="42">
        <f t="shared" si="21"/>
        <v>0.5</v>
      </c>
      <c r="BF31" s="42">
        <f t="shared" si="21"/>
        <v>0</v>
      </c>
      <c r="BG31" s="42">
        <f t="shared" si="21"/>
        <v>2</v>
      </c>
      <c r="BH31" s="42">
        <f t="shared" si="21"/>
        <v>0</v>
      </c>
      <c r="BI31" s="42">
        <f t="shared" si="21"/>
        <v>0</v>
      </c>
      <c r="BJ31" s="42">
        <f t="shared" si="17"/>
        <v>0</v>
      </c>
      <c r="BK31" s="42">
        <f t="shared" si="12"/>
        <v>0</v>
      </c>
      <c r="BL31" s="42">
        <f t="shared" si="12"/>
        <v>2.5</v>
      </c>
    </row>
    <row r="32" spans="1:64" ht="15" hidden="1" customHeight="1" x14ac:dyDescent="0.2">
      <c r="A32" s="298" t="s">
        <v>38</v>
      </c>
      <c r="B32" s="299" t="s">
        <v>39</v>
      </c>
      <c r="C32" s="1547"/>
      <c r="D32" s="1549"/>
      <c r="E32" s="1549"/>
      <c r="F32" s="1549"/>
      <c r="G32" s="1549"/>
      <c r="H32" s="1549"/>
      <c r="I32" s="1425"/>
      <c r="J32" s="1425"/>
      <c r="K32" s="1425" t="s">
        <v>119</v>
      </c>
      <c r="L32" s="301" t="s">
        <v>44</v>
      </c>
      <c r="M32" s="1425" t="s">
        <v>45</v>
      </c>
      <c r="N32" s="1425" t="s">
        <v>46</v>
      </c>
      <c r="O32" s="1425" t="s">
        <v>47</v>
      </c>
      <c r="P32" s="1425"/>
      <c r="Q32" s="16" t="s">
        <v>120</v>
      </c>
      <c r="R32" s="302" t="s">
        <v>121</v>
      </c>
      <c r="S32" s="303">
        <v>2015</v>
      </c>
      <c r="T32" s="303">
        <v>0</v>
      </c>
      <c r="U32" s="303">
        <v>0</v>
      </c>
      <c r="V32" s="572">
        <v>1</v>
      </c>
      <c r="W32" s="572">
        <v>1</v>
      </c>
      <c r="X32" s="572">
        <v>1</v>
      </c>
      <c r="Y32" s="572">
        <v>1</v>
      </c>
      <c r="Z32" s="481"/>
      <c r="AA32" s="481"/>
      <c r="AB32" s="481"/>
      <c r="AC32" s="481"/>
      <c r="AD32" s="481"/>
      <c r="AE32" s="481"/>
      <c r="AF32" s="481"/>
      <c r="AG32" s="481">
        <f t="shared" si="7"/>
        <v>0</v>
      </c>
      <c r="AH32" s="548"/>
      <c r="AI32" s="548"/>
      <c r="AJ32" s="491">
        <v>1</v>
      </c>
      <c r="AK32" s="548"/>
      <c r="AL32" s="548"/>
      <c r="AM32" s="548"/>
      <c r="AN32" s="548">
        <f t="shared" si="26"/>
        <v>1</v>
      </c>
      <c r="AO32" s="481"/>
      <c r="AP32" s="481"/>
      <c r="AQ32" s="491">
        <v>0.5</v>
      </c>
      <c r="AR32" s="481"/>
      <c r="AS32" s="481"/>
      <c r="AT32" s="481"/>
      <c r="AU32" s="481"/>
      <c r="AV32" s="481">
        <f t="shared" si="27"/>
        <v>0.5</v>
      </c>
      <c r="AW32" s="548"/>
      <c r="AX32" s="548"/>
      <c r="AY32" s="491">
        <v>0.5</v>
      </c>
      <c r="AZ32" s="548"/>
      <c r="BA32" s="548"/>
      <c r="BB32" s="548"/>
      <c r="BC32" s="548"/>
      <c r="BD32" s="548">
        <f t="shared" si="28"/>
        <v>0.5</v>
      </c>
      <c r="BE32" s="42">
        <f t="shared" si="21"/>
        <v>0</v>
      </c>
      <c r="BF32" s="42">
        <f t="shared" si="21"/>
        <v>0</v>
      </c>
      <c r="BG32" s="42">
        <f t="shared" si="21"/>
        <v>2</v>
      </c>
      <c r="BH32" s="42">
        <f t="shared" si="21"/>
        <v>0</v>
      </c>
      <c r="BI32" s="42">
        <f t="shared" si="21"/>
        <v>0</v>
      </c>
      <c r="BJ32" s="42">
        <f t="shared" si="17"/>
        <v>0</v>
      </c>
      <c r="BK32" s="42">
        <f t="shared" si="12"/>
        <v>0</v>
      </c>
      <c r="BL32" s="42">
        <f t="shared" si="12"/>
        <v>2</v>
      </c>
    </row>
    <row r="33" spans="1:65" ht="15" hidden="1" customHeight="1" x14ac:dyDescent="0.2">
      <c r="A33" s="298" t="s">
        <v>38</v>
      </c>
      <c r="B33" s="299" t="s">
        <v>39</v>
      </c>
      <c r="C33" s="1547"/>
      <c r="D33" s="1549"/>
      <c r="E33" s="1549"/>
      <c r="F33" s="1549"/>
      <c r="G33" s="1549"/>
      <c r="H33" s="1549"/>
      <c r="I33" s="1425"/>
      <c r="J33" s="1425"/>
      <c r="K33" s="1425" t="s">
        <v>122</v>
      </c>
      <c r="L33" s="301" t="s">
        <v>44</v>
      </c>
      <c r="M33" s="1425" t="s">
        <v>45</v>
      </c>
      <c r="N33" s="1425" t="s">
        <v>46</v>
      </c>
      <c r="O33" s="1425" t="s">
        <v>73</v>
      </c>
      <c r="P33" s="1425"/>
      <c r="Q33" s="16" t="s">
        <v>123</v>
      </c>
      <c r="R33" s="302" t="s">
        <v>124</v>
      </c>
      <c r="S33" s="303">
        <v>2015</v>
      </c>
      <c r="T33" s="303">
        <v>0</v>
      </c>
      <c r="U33" s="303">
        <v>6</v>
      </c>
      <c r="V33" s="572">
        <v>6</v>
      </c>
      <c r="W33" s="572">
        <v>6</v>
      </c>
      <c r="X33" s="572">
        <v>6</v>
      </c>
      <c r="Y33" s="572">
        <v>6</v>
      </c>
      <c r="Z33" s="491">
        <v>0.5</v>
      </c>
      <c r="AA33" s="481"/>
      <c r="AB33" s="481"/>
      <c r="AC33" s="481"/>
      <c r="AD33" s="481"/>
      <c r="AE33" s="481"/>
      <c r="AF33" s="481"/>
      <c r="AG33" s="481">
        <f t="shared" si="7"/>
        <v>0.5</v>
      </c>
      <c r="AH33" s="548"/>
      <c r="AI33" s="548"/>
      <c r="AJ33" s="491">
        <v>12</v>
      </c>
      <c r="AK33" s="548"/>
      <c r="AL33" s="548"/>
      <c r="AM33" s="548"/>
      <c r="AN33" s="548">
        <f t="shared" si="26"/>
        <v>12</v>
      </c>
      <c r="AO33" s="481"/>
      <c r="AP33" s="481"/>
      <c r="AQ33" s="491">
        <v>5</v>
      </c>
      <c r="AR33" s="481"/>
      <c r="AS33" s="481"/>
      <c r="AT33" s="481"/>
      <c r="AU33" s="481"/>
      <c r="AV33" s="481">
        <f t="shared" si="27"/>
        <v>5</v>
      </c>
      <c r="AW33" s="548"/>
      <c r="AX33" s="548"/>
      <c r="AY33" s="548">
        <v>10</v>
      </c>
      <c r="AZ33" s="548"/>
      <c r="BA33" s="548"/>
      <c r="BB33" s="548"/>
      <c r="BC33" s="548"/>
      <c r="BD33" s="548">
        <f t="shared" si="28"/>
        <v>10</v>
      </c>
      <c r="BE33" s="42">
        <f t="shared" si="21"/>
        <v>0.5</v>
      </c>
      <c r="BF33" s="42">
        <f t="shared" si="21"/>
        <v>0</v>
      </c>
      <c r="BG33" s="42">
        <f t="shared" si="21"/>
        <v>27</v>
      </c>
      <c r="BH33" s="42">
        <f t="shared" si="21"/>
        <v>0</v>
      </c>
      <c r="BI33" s="42">
        <f t="shared" si="21"/>
        <v>0</v>
      </c>
      <c r="BJ33" s="42">
        <f t="shared" si="17"/>
        <v>0</v>
      </c>
      <c r="BK33" s="42">
        <f t="shared" si="12"/>
        <v>0</v>
      </c>
      <c r="BL33" s="42">
        <f t="shared" si="12"/>
        <v>27.5</v>
      </c>
    </row>
    <row r="34" spans="1:65" ht="18" hidden="1" customHeight="1" x14ac:dyDescent="0.2">
      <c r="A34" s="298"/>
      <c r="B34" s="299" t="s">
        <v>39</v>
      </c>
      <c r="C34" s="1547"/>
      <c r="D34" s="1549"/>
      <c r="E34" s="1549"/>
      <c r="F34" s="1549"/>
      <c r="G34" s="1549"/>
      <c r="H34" s="1549"/>
      <c r="I34" s="1425"/>
      <c r="J34" s="1425"/>
      <c r="K34" s="1425" t="s">
        <v>125</v>
      </c>
      <c r="L34" s="301" t="s">
        <v>44</v>
      </c>
      <c r="M34" s="1425" t="s">
        <v>45</v>
      </c>
      <c r="N34" s="1425" t="s">
        <v>46</v>
      </c>
      <c r="O34" s="1425" t="s">
        <v>47</v>
      </c>
      <c r="P34" s="1425"/>
      <c r="Q34" s="16" t="s">
        <v>126</v>
      </c>
      <c r="R34" s="302" t="s">
        <v>127</v>
      </c>
      <c r="S34" s="303">
        <v>2015</v>
      </c>
      <c r="T34" s="303">
        <v>0</v>
      </c>
      <c r="U34" s="303">
        <v>0</v>
      </c>
      <c r="V34" s="572">
        <v>1</v>
      </c>
      <c r="W34" s="572">
        <v>1</v>
      </c>
      <c r="X34" s="572">
        <v>1</v>
      </c>
      <c r="Y34" s="572">
        <v>3</v>
      </c>
      <c r="Z34" s="481"/>
      <c r="AA34" s="481"/>
      <c r="AB34" s="481"/>
      <c r="AC34" s="481"/>
      <c r="AD34" s="481"/>
      <c r="AE34" s="481"/>
      <c r="AF34" s="481"/>
      <c r="AG34" s="481"/>
      <c r="AH34" s="548"/>
      <c r="AI34" s="548"/>
      <c r="AJ34" s="491">
        <v>3</v>
      </c>
      <c r="AK34" s="548"/>
      <c r="AL34" s="548"/>
      <c r="AM34" s="548"/>
      <c r="AN34" s="548">
        <f>SUM(AH34:AM34)</f>
        <v>3</v>
      </c>
      <c r="AO34" s="481"/>
      <c r="AP34" s="481"/>
      <c r="AQ34" s="491">
        <v>0.5</v>
      </c>
      <c r="AR34" s="481"/>
      <c r="AS34" s="481"/>
      <c r="AT34" s="481"/>
      <c r="AU34" s="481"/>
      <c r="AV34" s="481">
        <f>SUM(AO34:AU34)</f>
        <v>0.5</v>
      </c>
      <c r="AW34" s="491">
        <v>0.5</v>
      </c>
      <c r="AX34" s="548"/>
      <c r="AY34" s="548"/>
      <c r="AZ34" s="548"/>
      <c r="BA34" s="548"/>
      <c r="BB34" s="548"/>
      <c r="BC34" s="548"/>
      <c r="BD34" s="548">
        <f>SUM(AW34:BC34)</f>
        <v>0.5</v>
      </c>
      <c r="BE34" s="42"/>
      <c r="BF34" s="42"/>
      <c r="BG34" s="42"/>
      <c r="BH34" s="42"/>
      <c r="BI34" s="42"/>
      <c r="BJ34" s="42"/>
      <c r="BK34" s="42"/>
      <c r="BL34" s="42"/>
    </row>
    <row r="35" spans="1:65" ht="14.25" hidden="1" customHeight="1" x14ac:dyDescent="0.2">
      <c r="A35" s="298" t="s">
        <v>38</v>
      </c>
      <c r="B35" s="299" t="s">
        <v>39</v>
      </c>
      <c r="C35" s="1547"/>
      <c r="D35" s="1549"/>
      <c r="E35" s="1549"/>
      <c r="F35" s="1549"/>
      <c r="G35" s="1549"/>
      <c r="H35" s="1549"/>
      <c r="I35" s="1425"/>
      <c r="J35" s="1425"/>
      <c r="K35" s="1425" t="s">
        <v>128</v>
      </c>
      <c r="L35" s="301" t="s">
        <v>44</v>
      </c>
      <c r="M35" s="1425" t="s">
        <v>45</v>
      </c>
      <c r="N35" s="1425" t="s">
        <v>46</v>
      </c>
      <c r="O35" s="1425" t="s">
        <v>47</v>
      </c>
      <c r="P35" s="1425"/>
      <c r="Q35" s="16" t="s">
        <v>129</v>
      </c>
      <c r="R35" s="302" t="s">
        <v>130</v>
      </c>
      <c r="S35" s="303">
        <v>2015</v>
      </c>
      <c r="T35" s="303">
        <v>0</v>
      </c>
      <c r="U35" s="303">
        <v>0</v>
      </c>
      <c r="V35" s="572">
        <v>1</v>
      </c>
      <c r="W35" s="572">
        <v>2</v>
      </c>
      <c r="X35" s="572">
        <v>2</v>
      </c>
      <c r="Y35" s="572">
        <v>2</v>
      </c>
      <c r="Z35" s="481"/>
      <c r="AA35" s="481"/>
      <c r="AB35" s="481"/>
      <c r="AC35" s="481"/>
      <c r="AD35" s="481"/>
      <c r="AE35" s="481"/>
      <c r="AF35" s="481"/>
      <c r="AG35" s="481">
        <f t="shared" si="7"/>
        <v>0</v>
      </c>
      <c r="AH35" s="548"/>
      <c r="AI35" s="548"/>
      <c r="AJ35" s="491">
        <v>5</v>
      </c>
      <c r="AK35" s="548"/>
      <c r="AL35" s="548"/>
      <c r="AM35" s="548"/>
      <c r="AN35" s="548">
        <f t="shared" si="26"/>
        <v>5</v>
      </c>
      <c r="AO35" s="481"/>
      <c r="AP35" s="481"/>
      <c r="AQ35" s="491">
        <v>0.5</v>
      </c>
      <c r="AR35" s="481"/>
      <c r="AS35" s="481"/>
      <c r="AT35" s="481"/>
      <c r="AU35" s="481"/>
      <c r="AV35" s="481">
        <f t="shared" si="27"/>
        <v>0.5</v>
      </c>
      <c r="AW35" s="491">
        <v>0.5</v>
      </c>
      <c r="AX35" s="548"/>
      <c r="AY35" s="548"/>
      <c r="AZ35" s="548"/>
      <c r="BA35" s="548"/>
      <c r="BB35" s="548"/>
      <c r="BC35" s="548"/>
      <c r="BD35" s="548">
        <f t="shared" si="28"/>
        <v>0.5</v>
      </c>
      <c r="BE35" s="42">
        <f t="shared" si="21"/>
        <v>0.5</v>
      </c>
      <c r="BF35" s="42">
        <f t="shared" si="21"/>
        <v>0</v>
      </c>
      <c r="BG35" s="42">
        <f t="shared" si="21"/>
        <v>5.5</v>
      </c>
      <c r="BH35" s="42">
        <f t="shared" si="21"/>
        <v>0</v>
      </c>
      <c r="BI35" s="42">
        <f t="shared" si="21"/>
        <v>0</v>
      </c>
      <c r="BJ35" s="42">
        <f t="shared" si="17"/>
        <v>0</v>
      </c>
      <c r="BK35" s="42">
        <f t="shared" si="12"/>
        <v>0</v>
      </c>
      <c r="BL35" s="42">
        <f t="shared" si="12"/>
        <v>6</v>
      </c>
    </row>
    <row r="36" spans="1:65" ht="13.5" hidden="1" customHeight="1" x14ac:dyDescent="0.2">
      <c r="A36" s="298" t="s">
        <v>38</v>
      </c>
      <c r="B36" s="299" t="s">
        <v>39</v>
      </c>
      <c r="C36" s="1547"/>
      <c r="D36" s="1549"/>
      <c r="E36" s="1549"/>
      <c r="F36" s="1549"/>
      <c r="G36" s="1549"/>
      <c r="H36" s="1549"/>
      <c r="I36" s="1425"/>
      <c r="J36" s="1425"/>
      <c r="K36" s="1425" t="s">
        <v>131</v>
      </c>
      <c r="L36" s="301" t="s">
        <v>44</v>
      </c>
      <c r="M36" s="1425" t="s">
        <v>45</v>
      </c>
      <c r="N36" s="1425" t="s">
        <v>46</v>
      </c>
      <c r="O36" s="1425" t="s">
        <v>73</v>
      </c>
      <c r="P36" s="1425"/>
      <c r="Q36" s="16" t="s">
        <v>132</v>
      </c>
      <c r="R36" s="302" t="s">
        <v>133</v>
      </c>
      <c r="S36" s="303">
        <v>2015</v>
      </c>
      <c r="T36" s="303">
        <v>0</v>
      </c>
      <c r="U36" s="303">
        <v>1</v>
      </c>
      <c r="V36" s="572">
        <v>1</v>
      </c>
      <c r="W36" s="572">
        <v>1</v>
      </c>
      <c r="X36" s="572">
        <v>1</v>
      </c>
      <c r="Y36" s="572">
        <v>1</v>
      </c>
      <c r="Z36" s="491">
        <v>0.5</v>
      </c>
      <c r="AA36" s="481"/>
      <c r="AB36" s="481"/>
      <c r="AC36" s="481"/>
      <c r="AD36" s="481"/>
      <c r="AE36" s="481"/>
      <c r="AF36" s="481"/>
      <c r="AG36" s="481">
        <f t="shared" si="7"/>
        <v>0.5</v>
      </c>
      <c r="AH36" s="548"/>
      <c r="AI36" s="548"/>
      <c r="AJ36" s="491">
        <v>3</v>
      </c>
      <c r="AK36" s="548"/>
      <c r="AL36" s="548"/>
      <c r="AM36" s="548"/>
      <c r="AN36" s="548">
        <f t="shared" si="26"/>
        <v>3</v>
      </c>
      <c r="AO36" s="481"/>
      <c r="AP36" s="481"/>
      <c r="AQ36" s="491">
        <v>0.5</v>
      </c>
      <c r="AR36" s="481"/>
      <c r="AS36" s="481"/>
      <c r="AT36" s="481"/>
      <c r="AU36" s="481"/>
      <c r="AV36" s="481">
        <f t="shared" si="27"/>
        <v>0.5</v>
      </c>
      <c r="AW36" s="491">
        <v>0.5</v>
      </c>
      <c r="AX36" s="548"/>
      <c r="AY36" s="548"/>
      <c r="AZ36" s="548"/>
      <c r="BA36" s="548"/>
      <c r="BB36" s="548"/>
      <c r="BC36" s="548"/>
      <c r="BD36" s="548">
        <f t="shared" si="28"/>
        <v>0.5</v>
      </c>
      <c r="BE36" s="42">
        <f t="shared" si="21"/>
        <v>1</v>
      </c>
      <c r="BF36" s="42">
        <f t="shared" si="21"/>
        <v>0</v>
      </c>
      <c r="BG36" s="42">
        <f t="shared" si="21"/>
        <v>3.5</v>
      </c>
      <c r="BH36" s="42">
        <f t="shared" si="21"/>
        <v>0</v>
      </c>
      <c r="BI36" s="42">
        <f t="shared" si="21"/>
        <v>0</v>
      </c>
      <c r="BJ36" s="42">
        <f t="shared" si="17"/>
        <v>0</v>
      </c>
      <c r="BK36" s="42">
        <f t="shared" si="12"/>
        <v>0</v>
      </c>
      <c r="BL36" s="42">
        <f t="shared" si="12"/>
        <v>4.5</v>
      </c>
    </row>
    <row r="37" spans="1:65" ht="15" hidden="1" customHeight="1" x14ac:dyDescent="0.2">
      <c r="A37" s="298" t="s">
        <v>38</v>
      </c>
      <c r="B37" s="299" t="s">
        <v>39</v>
      </c>
      <c r="C37" s="1547"/>
      <c r="D37" s="1549"/>
      <c r="E37" s="1549"/>
      <c r="F37" s="1549"/>
      <c r="G37" s="1549"/>
      <c r="H37" s="1549"/>
      <c r="I37" s="1425"/>
      <c r="J37" s="1425"/>
      <c r="K37" s="1425" t="s">
        <v>134</v>
      </c>
      <c r="L37" s="301" t="s">
        <v>44</v>
      </c>
      <c r="M37" s="1425" t="s">
        <v>45</v>
      </c>
      <c r="N37" s="1425" t="s">
        <v>46</v>
      </c>
      <c r="O37" s="1425" t="s">
        <v>73</v>
      </c>
      <c r="P37" s="1425"/>
      <c r="Q37" s="16" t="s">
        <v>135</v>
      </c>
      <c r="R37" s="302" t="s">
        <v>136</v>
      </c>
      <c r="S37" s="303">
        <v>2015</v>
      </c>
      <c r="T37" s="303">
        <v>0</v>
      </c>
      <c r="U37" s="303">
        <v>1</v>
      </c>
      <c r="V37" s="572">
        <v>1</v>
      </c>
      <c r="W37" s="572">
        <v>1</v>
      </c>
      <c r="X37" s="572">
        <v>1</v>
      </c>
      <c r="Y37" s="572">
        <v>1</v>
      </c>
      <c r="Z37" s="491">
        <v>0.5</v>
      </c>
      <c r="AA37" s="481"/>
      <c r="AB37" s="481"/>
      <c r="AC37" s="481"/>
      <c r="AD37" s="481"/>
      <c r="AE37" s="481"/>
      <c r="AF37" s="481"/>
      <c r="AG37" s="481">
        <f>SUM(Z37:AF37)</f>
        <v>0.5</v>
      </c>
      <c r="AH37" s="548"/>
      <c r="AI37" s="548"/>
      <c r="AJ37" s="491">
        <v>3</v>
      </c>
      <c r="AK37" s="548"/>
      <c r="AL37" s="548"/>
      <c r="AM37" s="548"/>
      <c r="AN37" s="548">
        <f>SUM(AH37:AM37)</f>
        <v>3</v>
      </c>
      <c r="AO37" s="481"/>
      <c r="AP37" s="481"/>
      <c r="AQ37" s="491">
        <v>0.5</v>
      </c>
      <c r="AR37" s="481"/>
      <c r="AS37" s="481"/>
      <c r="AT37" s="481"/>
      <c r="AU37" s="481"/>
      <c r="AV37" s="481">
        <f>SUM(AO37:AU37)</f>
        <v>0.5</v>
      </c>
      <c r="AW37" s="491">
        <v>0.5</v>
      </c>
      <c r="AX37" s="548"/>
      <c r="AY37" s="548"/>
      <c r="AZ37" s="548"/>
      <c r="BA37" s="548"/>
      <c r="BB37" s="548"/>
      <c r="BC37" s="548"/>
      <c r="BD37" s="548">
        <f>SUM(AW37:BC37)</f>
        <v>0.5</v>
      </c>
      <c r="BE37" s="42">
        <f t="shared" si="21"/>
        <v>1</v>
      </c>
      <c r="BF37" s="42">
        <f t="shared" si="21"/>
        <v>0</v>
      </c>
      <c r="BG37" s="42">
        <f t="shared" si="21"/>
        <v>3.5</v>
      </c>
      <c r="BH37" s="42">
        <f t="shared" si="21"/>
        <v>0</v>
      </c>
      <c r="BI37" s="42">
        <f t="shared" si="21"/>
        <v>0</v>
      </c>
      <c r="BJ37" s="42">
        <f t="shared" si="17"/>
        <v>0</v>
      </c>
      <c r="BK37" s="42">
        <f t="shared" si="12"/>
        <v>0</v>
      </c>
      <c r="BL37" s="42">
        <f t="shared" si="12"/>
        <v>4.5</v>
      </c>
    </row>
    <row r="38" spans="1:65" ht="15" hidden="1" customHeight="1" x14ac:dyDescent="0.2">
      <c r="A38" s="298" t="s">
        <v>38</v>
      </c>
      <c r="B38" s="299" t="s">
        <v>39</v>
      </c>
      <c r="C38" s="1547"/>
      <c r="D38" s="1549"/>
      <c r="E38" s="1549"/>
      <c r="F38" s="1549"/>
      <c r="G38" s="1549"/>
      <c r="H38" s="1549"/>
      <c r="I38" s="1425"/>
      <c r="J38" s="1425"/>
      <c r="K38" s="1425" t="s">
        <v>137</v>
      </c>
      <c r="L38" s="301" t="s">
        <v>44</v>
      </c>
      <c r="M38" s="1425" t="s">
        <v>45</v>
      </c>
      <c r="N38" s="1425" t="s">
        <v>46</v>
      </c>
      <c r="O38" s="1425" t="s">
        <v>47</v>
      </c>
      <c r="P38" s="1425"/>
      <c r="Q38" s="16" t="s">
        <v>138</v>
      </c>
      <c r="R38" s="302" t="s">
        <v>71</v>
      </c>
      <c r="S38" s="303">
        <v>2015</v>
      </c>
      <c r="T38" s="303">
        <v>0</v>
      </c>
      <c r="U38" s="303">
        <v>0</v>
      </c>
      <c r="V38" s="572">
        <v>1</v>
      </c>
      <c r="W38" s="572">
        <v>1</v>
      </c>
      <c r="X38" s="572">
        <v>1</v>
      </c>
      <c r="Y38" s="572">
        <v>1</v>
      </c>
      <c r="Z38" s="481"/>
      <c r="AA38" s="481"/>
      <c r="AB38" s="481"/>
      <c r="AC38" s="481"/>
      <c r="AD38" s="481"/>
      <c r="AE38" s="481"/>
      <c r="AF38" s="481"/>
      <c r="AG38" s="481">
        <f>SUM(Z38:AF38)</f>
        <v>0</v>
      </c>
      <c r="AH38" s="548"/>
      <c r="AI38" s="548"/>
      <c r="AJ38" s="491">
        <v>5</v>
      </c>
      <c r="AK38" s="548"/>
      <c r="AL38" s="548"/>
      <c r="AM38" s="548"/>
      <c r="AN38" s="548">
        <f>SUM(AH38:AM38)</f>
        <v>5</v>
      </c>
      <c r="AO38" s="481"/>
      <c r="AP38" s="481"/>
      <c r="AQ38" s="491">
        <v>0.5</v>
      </c>
      <c r="AR38" s="481"/>
      <c r="AS38" s="481"/>
      <c r="AT38" s="481"/>
      <c r="AU38" s="481"/>
      <c r="AV38" s="481">
        <f>SUM(AO38:AU38)</f>
        <v>0.5</v>
      </c>
      <c r="AW38" s="491">
        <v>0.5</v>
      </c>
      <c r="AX38" s="548"/>
      <c r="AY38" s="548"/>
      <c r="AZ38" s="548"/>
      <c r="BA38" s="548"/>
      <c r="BB38" s="548"/>
      <c r="BC38" s="548"/>
      <c r="BD38" s="548">
        <f>SUM(AW38:BC38)</f>
        <v>0.5</v>
      </c>
      <c r="BE38" s="42">
        <f t="shared" si="21"/>
        <v>0.5</v>
      </c>
      <c r="BF38" s="42">
        <f t="shared" si="21"/>
        <v>0</v>
      </c>
      <c r="BG38" s="42">
        <f t="shared" si="21"/>
        <v>5.5</v>
      </c>
      <c r="BH38" s="42">
        <f t="shared" si="21"/>
        <v>0</v>
      </c>
      <c r="BI38" s="42">
        <f t="shared" si="21"/>
        <v>0</v>
      </c>
      <c r="BJ38" s="42">
        <f t="shared" si="17"/>
        <v>0</v>
      </c>
      <c r="BK38" s="42">
        <f t="shared" si="12"/>
        <v>0</v>
      </c>
      <c r="BL38" s="42">
        <f t="shared" si="12"/>
        <v>6</v>
      </c>
    </row>
    <row r="39" spans="1:65" ht="15.75" hidden="1" customHeight="1" x14ac:dyDescent="0.2">
      <c r="A39" s="298" t="s">
        <v>38</v>
      </c>
      <c r="B39" s="299" t="s">
        <v>39</v>
      </c>
      <c r="C39" s="1547"/>
      <c r="D39" s="1549"/>
      <c r="E39" s="1549"/>
      <c r="F39" s="1549"/>
      <c r="G39" s="1549"/>
      <c r="H39" s="1549"/>
      <c r="I39" s="1425"/>
      <c r="J39" s="1425"/>
      <c r="K39" s="1425" t="s">
        <v>139</v>
      </c>
      <c r="L39" s="301" t="s">
        <v>44</v>
      </c>
      <c r="M39" s="1425" t="s">
        <v>45</v>
      </c>
      <c r="N39" s="1425" t="s">
        <v>46</v>
      </c>
      <c r="O39" s="1425" t="s">
        <v>47</v>
      </c>
      <c r="P39" s="1425"/>
      <c r="Q39" s="16" t="s">
        <v>140</v>
      </c>
      <c r="R39" s="302" t="s">
        <v>71</v>
      </c>
      <c r="S39" s="303">
        <v>2015</v>
      </c>
      <c r="T39" s="303">
        <v>0</v>
      </c>
      <c r="U39" s="303">
        <v>0</v>
      </c>
      <c r="V39" s="572">
        <v>1</v>
      </c>
      <c r="W39" s="572">
        <v>1</v>
      </c>
      <c r="X39" s="572">
        <v>1</v>
      </c>
      <c r="Y39" s="572">
        <v>1</v>
      </c>
      <c r="Z39" s="481"/>
      <c r="AA39" s="481"/>
      <c r="AB39" s="481"/>
      <c r="AC39" s="481"/>
      <c r="AD39" s="481"/>
      <c r="AE39" s="481"/>
      <c r="AF39" s="481"/>
      <c r="AG39" s="481">
        <f>SUM(Z39:AF39)</f>
        <v>0</v>
      </c>
      <c r="AH39" s="548"/>
      <c r="AI39" s="548"/>
      <c r="AJ39" s="491">
        <v>5</v>
      </c>
      <c r="AK39" s="548"/>
      <c r="AL39" s="548"/>
      <c r="AM39" s="548"/>
      <c r="AN39" s="548">
        <f>SUM(AH39:AM39)</f>
        <v>5</v>
      </c>
      <c r="AO39" s="481"/>
      <c r="AP39" s="481"/>
      <c r="AQ39" s="491">
        <v>0.5</v>
      </c>
      <c r="AR39" s="481"/>
      <c r="AS39" s="481"/>
      <c r="AT39" s="481"/>
      <c r="AU39" s="481"/>
      <c r="AV39" s="481">
        <f>SUM(AO39:AU39)</f>
        <v>0.5</v>
      </c>
      <c r="AW39" s="491">
        <v>0.5</v>
      </c>
      <c r="AX39" s="548"/>
      <c r="AY39" s="548"/>
      <c r="AZ39" s="548"/>
      <c r="BA39" s="548"/>
      <c r="BB39" s="548"/>
      <c r="BC39" s="548"/>
      <c r="BD39" s="548">
        <f>SUM(AW39:BC39)</f>
        <v>0.5</v>
      </c>
      <c r="BE39" s="42">
        <f t="shared" si="21"/>
        <v>0.5</v>
      </c>
      <c r="BF39" s="42">
        <f t="shared" si="21"/>
        <v>0</v>
      </c>
      <c r="BG39" s="42">
        <f t="shared" si="21"/>
        <v>5.5</v>
      </c>
      <c r="BH39" s="42">
        <f t="shared" si="21"/>
        <v>0</v>
      </c>
      <c r="BI39" s="42">
        <f t="shared" si="21"/>
        <v>0</v>
      </c>
      <c r="BJ39" s="42">
        <f t="shared" si="17"/>
        <v>0</v>
      </c>
      <c r="BK39" s="42">
        <f t="shared" si="12"/>
        <v>0</v>
      </c>
      <c r="BL39" s="42">
        <f t="shared" si="12"/>
        <v>6</v>
      </c>
    </row>
    <row r="40" spans="1:65" ht="30" hidden="1" customHeight="1" x14ac:dyDescent="0.2">
      <c r="A40" s="298" t="s">
        <v>38</v>
      </c>
      <c r="B40" s="299" t="s">
        <v>39</v>
      </c>
      <c r="C40" s="1548"/>
      <c r="D40" s="1549"/>
      <c r="E40" s="1549"/>
      <c r="F40" s="1549"/>
      <c r="G40" s="1549"/>
      <c r="H40" s="1549"/>
      <c r="I40" s="1425"/>
      <c r="J40" s="1425"/>
      <c r="K40" s="1425" t="s">
        <v>141</v>
      </c>
      <c r="L40" s="301" t="s">
        <v>44</v>
      </c>
      <c r="M40" s="1425" t="s">
        <v>45</v>
      </c>
      <c r="N40" s="1425" t="s">
        <v>46</v>
      </c>
      <c r="O40" s="1425" t="s">
        <v>47</v>
      </c>
      <c r="P40" s="1425"/>
      <c r="Q40" s="25" t="s">
        <v>142</v>
      </c>
      <c r="R40" s="302" t="s">
        <v>143</v>
      </c>
      <c r="S40" s="303">
        <v>2015</v>
      </c>
      <c r="T40" s="303">
        <v>0</v>
      </c>
      <c r="U40" s="303">
        <v>0</v>
      </c>
      <c r="V40" s="572">
        <v>1</v>
      </c>
      <c r="W40" s="572">
        <v>2</v>
      </c>
      <c r="X40" s="572">
        <v>2</v>
      </c>
      <c r="Y40" s="572">
        <v>2</v>
      </c>
      <c r="Z40" s="481"/>
      <c r="AA40" s="481"/>
      <c r="AB40" s="481"/>
      <c r="AC40" s="481"/>
      <c r="AD40" s="481"/>
      <c r="AE40" s="481"/>
      <c r="AF40" s="481"/>
      <c r="AG40" s="481">
        <f t="shared" si="7"/>
        <v>0</v>
      </c>
      <c r="AH40" s="548"/>
      <c r="AI40" s="548"/>
      <c r="AJ40" s="491">
        <v>3</v>
      </c>
      <c r="AK40" s="548"/>
      <c r="AL40" s="548"/>
      <c r="AM40" s="548"/>
      <c r="AN40" s="548">
        <f t="shared" si="26"/>
        <v>3</v>
      </c>
      <c r="AO40" s="481"/>
      <c r="AP40" s="481"/>
      <c r="AQ40" s="491">
        <v>0.5</v>
      </c>
      <c r="AR40" s="481"/>
      <c r="AS40" s="481"/>
      <c r="AT40" s="481"/>
      <c r="AU40" s="481"/>
      <c r="AV40" s="481">
        <f t="shared" si="27"/>
        <v>0.5</v>
      </c>
      <c r="AW40" s="491">
        <v>0.5</v>
      </c>
      <c r="AX40" s="548"/>
      <c r="AY40" s="548"/>
      <c r="AZ40" s="548"/>
      <c r="BA40" s="548"/>
      <c r="BB40" s="548"/>
      <c r="BC40" s="548"/>
      <c r="BD40" s="548">
        <f t="shared" si="28"/>
        <v>0.5</v>
      </c>
      <c r="BE40" s="42">
        <f t="shared" si="21"/>
        <v>0.5</v>
      </c>
      <c r="BF40" s="42">
        <f t="shared" si="21"/>
        <v>0</v>
      </c>
      <c r="BG40" s="42">
        <f t="shared" si="21"/>
        <v>3.5</v>
      </c>
      <c r="BH40" s="42">
        <f t="shared" si="21"/>
        <v>0</v>
      </c>
      <c r="BI40" s="42">
        <f t="shared" si="21"/>
        <v>0</v>
      </c>
      <c r="BJ40" s="42">
        <f t="shared" si="17"/>
        <v>0</v>
      </c>
      <c r="BK40" s="42">
        <f t="shared" si="12"/>
        <v>0</v>
      </c>
      <c r="BL40" s="42">
        <f t="shared" si="12"/>
        <v>4</v>
      </c>
    </row>
    <row r="41" spans="1:65" ht="24.75" hidden="1" customHeight="1" x14ac:dyDescent="0.2">
      <c r="A41" s="298" t="s">
        <v>38</v>
      </c>
      <c r="B41" s="299" t="s">
        <v>39</v>
      </c>
      <c r="C41" s="1424"/>
      <c r="D41" s="1425"/>
      <c r="E41" s="1425"/>
      <c r="F41" s="1425"/>
      <c r="G41" s="1425"/>
      <c r="H41" s="1425"/>
      <c r="I41" s="1425"/>
      <c r="J41" s="1425"/>
      <c r="K41" s="1425" t="s">
        <v>144</v>
      </c>
      <c r="L41" s="301" t="s">
        <v>44</v>
      </c>
      <c r="M41" s="1425" t="s">
        <v>45</v>
      </c>
      <c r="N41" s="1425" t="s">
        <v>46</v>
      </c>
      <c r="O41" s="1425" t="s">
        <v>47</v>
      </c>
      <c r="P41" s="1425"/>
      <c r="Q41" s="16" t="s">
        <v>145</v>
      </c>
      <c r="R41" s="302" t="s">
        <v>146</v>
      </c>
      <c r="S41" s="303">
        <v>2015</v>
      </c>
      <c r="T41" s="303">
        <v>0</v>
      </c>
      <c r="U41" s="303">
        <v>0</v>
      </c>
      <c r="V41" s="572">
        <v>0</v>
      </c>
      <c r="W41" s="572">
        <v>1</v>
      </c>
      <c r="X41" s="572">
        <v>0</v>
      </c>
      <c r="Y41" s="572">
        <v>1</v>
      </c>
      <c r="Z41" s="481"/>
      <c r="AA41" s="481"/>
      <c r="AB41" s="481"/>
      <c r="AC41" s="481"/>
      <c r="AD41" s="481"/>
      <c r="AE41" s="481"/>
      <c r="AF41" s="481"/>
      <c r="AG41" s="481"/>
      <c r="AH41" s="548"/>
      <c r="AI41" s="548"/>
      <c r="AJ41" s="548"/>
      <c r="AK41" s="548"/>
      <c r="AL41" s="548"/>
      <c r="AM41" s="548"/>
      <c r="AN41" s="548"/>
      <c r="AO41" s="481"/>
      <c r="AP41" s="481"/>
      <c r="AQ41" s="491">
        <v>0.5</v>
      </c>
      <c r="AR41" s="481"/>
      <c r="AS41" s="481"/>
      <c r="AT41" s="481"/>
      <c r="AU41" s="481"/>
      <c r="AV41" s="481">
        <f>SUM(AO41:AU41)</f>
        <v>0.5</v>
      </c>
      <c r="AW41" s="548"/>
      <c r="AX41" s="548"/>
      <c r="AY41" s="548"/>
      <c r="AZ41" s="548"/>
      <c r="BA41" s="548"/>
      <c r="BB41" s="548"/>
      <c r="BC41" s="548"/>
      <c r="BD41" s="548"/>
      <c r="BE41" s="42"/>
      <c r="BF41" s="42"/>
      <c r="BG41" s="42"/>
      <c r="BH41" s="42"/>
      <c r="BI41" s="42"/>
      <c r="BJ41" s="42"/>
      <c r="BK41" s="42"/>
      <c r="BL41" s="42"/>
    </row>
    <row r="42" spans="1:65" ht="29.25" hidden="1" customHeight="1" x14ac:dyDescent="0.2">
      <c r="A42" s="298" t="s">
        <v>38</v>
      </c>
      <c r="B42" s="299" t="s">
        <v>39</v>
      </c>
      <c r="C42" s="1424"/>
      <c r="D42" s="1425"/>
      <c r="E42" s="1425"/>
      <c r="F42" s="1425"/>
      <c r="G42" s="1425"/>
      <c r="H42" s="1425"/>
      <c r="I42" s="1425"/>
      <c r="J42" s="1425"/>
      <c r="K42" s="1425" t="s">
        <v>147</v>
      </c>
      <c r="L42" s="301" t="s">
        <v>44</v>
      </c>
      <c r="M42" s="1425" t="s">
        <v>45</v>
      </c>
      <c r="N42" s="1425" t="s">
        <v>46</v>
      </c>
      <c r="O42" s="1425" t="s">
        <v>47</v>
      </c>
      <c r="P42" s="1425"/>
      <c r="Q42" s="16" t="s">
        <v>148</v>
      </c>
      <c r="R42" s="302" t="s">
        <v>146</v>
      </c>
      <c r="S42" s="303">
        <v>2015</v>
      </c>
      <c r="T42" s="303">
        <v>0</v>
      </c>
      <c r="U42" s="303">
        <v>0</v>
      </c>
      <c r="V42" s="572">
        <v>1</v>
      </c>
      <c r="W42" s="572">
        <v>0</v>
      </c>
      <c r="X42" s="572">
        <v>0</v>
      </c>
      <c r="Y42" s="572">
        <v>1</v>
      </c>
      <c r="Z42" s="481"/>
      <c r="AA42" s="481"/>
      <c r="AB42" s="481"/>
      <c r="AC42" s="481"/>
      <c r="AD42" s="481"/>
      <c r="AE42" s="481"/>
      <c r="AF42" s="481"/>
      <c r="AG42" s="481"/>
      <c r="AH42" s="548"/>
      <c r="AI42" s="548"/>
      <c r="AJ42" s="491">
        <v>2</v>
      </c>
      <c r="AK42" s="42"/>
      <c r="AL42" s="42"/>
      <c r="AM42" s="42"/>
      <c r="AN42" s="42">
        <f>SUM(AH42:AM42)</f>
        <v>2</v>
      </c>
      <c r="AO42" s="42"/>
      <c r="AP42" s="42"/>
      <c r="AQ42" s="42"/>
      <c r="AR42" s="42"/>
      <c r="AS42" s="42"/>
      <c r="AT42" s="42"/>
      <c r="AU42" s="42"/>
      <c r="AV42" s="42"/>
      <c r="AW42" s="548"/>
      <c r="AX42" s="548"/>
      <c r="AY42" s="548"/>
      <c r="AZ42" s="42"/>
      <c r="BA42" s="42"/>
      <c r="BB42" s="42"/>
      <c r="BC42" s="42"/>
      <c r="BD42" s="42"/>
      <c r="BE42" s="42"/>
      <c r="BF42" s="42"/>
      <c r="BG42" s="42"/>
      <c r="BH42" s="42"/>
      <c r="BI42" s="42"/>
      <c r="BJ42" s="42"/>
      <c r="BK42" s="42"/>
      <c r="BL42" s="42"/>
    </row>
    <row r="43" spans="1:65" ht="12.75" hidden="1" x14ac:dyDescent="0.2">
      <c r="A43" s="295" t="s">
        <v>38</v>
      </c>
      <c r="B43" s="24" t="s">
        <v>39</v>
      </c>
      <c r="C43" s="2"/>
      <c r="D43" s="2" t="s">
        <v>149</v>
      </c>
      <c r="E43" s="1"/>
      <c r="F43" s="1"/>
      <c r="G43" s="1"/>
      <c r="H43" s="1"/>
      <c r="I43" s="1"/>
      <c r="J43" s="1"/>
      <c r="K43" s="1"/>
      <c r="L43" s="1"/>
      <c r="M43" s="1"/>
      <c r="N43" s="1"/>
      <c r="O43" s="1"/>
      <c r="P43" s="1"/>
      <c r="Q43" s="1"/>
      <c r="R43" s="22"/>
      <c r="S43" s="1"/>
      <c r="T43" s="1"/>
      <c r="U43" s="1"/>
      <c r="V43" s="49"/>
      <c r="W43" s="49"/>
      <c r="X43" s="49"/>
      <c r="Y43" s="49"/>
      <c r="Z43" s="34">
        <f t="shared" ref="Z43:AF43" si="29">SUM(Z44:Z47)</f>
        <v>0.5</v>
      </c>
      <c r="AA43" s="34">
        <f t="shared" si="29"/>
        <v>0</v>
      </c>
      <c r="AB43" s="34">
        <f t="shared" si="29"/>
        <v>951</v>
      </c>
      <c r="AC43" s="34">
        <f t="shared" si="29"/>
        <v>0</v>
      </c>
      <c r="AD43" s="34">
        <f t="shared" si="29"/>
        <v>0</v>
      </c>
      <c r="AE43" s="34">
        <f t="shared" si="29"/>
        <v>0.17</v>
      </c>
      <c r="AF43" s="34">
        <f t="shared" si="29"/>
        <v>0</v>
      </c>
      <c r="AG43" s="34">
        <f t="shared" si="7"/>
        <v>951.67</v>
      </c>
      <c r="AH43" s="34">
        <f t="shared" ref="AH43:AM43" si="30">SUM(AH44:AH47)</f>
        <v>5</v>
      </c>
      <c r="AI43" s="34">
        <f t="shared" si="30"/>
        <v>0</v>
      </c>
      <c r="AJ43" s="34">
        <f t="shared" si="30"/>
        <v>927.53</v>
      </c>
      <c r="AK43" s="34">
        <f t="shared" si="30"/>
        <v>0</v>
      </c>
      <c r="AL43" s="34">
        <f t="shared" si="30"/>
        <v>0</v>
      </c>
      <c r="AM43" s="34">
        <f t="shared" si="30"/>
        <v>0</v>
      </c>
      <c r="AN43" s="34">
        <f t="shared" si="26"/>
        <v>932.53</v>
      </c>
      <c r="AO43" s="34">
        <f t="shared" ref="AO43:AU43" si="31">SUM(AO44:AO47)</f>
        <v>2.5</v>
      </c>
      <c r="AP43" s="34">
        <f t="shared" si="31"/>
        <v>0</v>
      </c>
      <c r="AQ43" s="34">
        <f t="shared" si="31"/>
        <v>960</v>
      </c>
      <c r="AR43" s="34">
        <f t="shared" si="31"/>
        <v>0</v>
      </c>
      <c r="AS43" s="34">
        <f t="shared" si="31"/>
        <v>0</v>
      </c>
      <c r="AT43" s="34">
        <f t="shared" si="31"/>
        <v>0</v>
      </c>
      <c r="AU43" s="34">
        <f t="shared" si="31"/>
        <v>0</v>
      </c>
      <c r="AV43" s="34">
        <f t="shared" si="27"/>
        <v>962.5</v>
      </c>
      <c r="AW43" s="34">
        <f t="shared" ref="AW43:BC43" si="32">SUM(AW44:AW47)</f>
        <v>0</v>
      </c>
      <c r="AX43" s="34">
        <f t="shared" si="32"/>
        <v>0</v>
      </c>
      <c r="AY43" s="34">
        <f t="shared" si="32"/>
        <v>971</v>
      </c>
      <c r="AZ43" s="34">
        <f t="shared" si="32"/>
        <v>0</v>
      </c>
      <c r="BA43" s="34">
        <f t="shared" si="32"/>
        <v>0</v>
      </c>
      <c r="BB43" s="34">
        <f t="shared" si="32"/>
        <v>0</v>
      </c>
      <c r="BC43" s="34">
        <f t="shared" si="32"/>
        <v>0</v>
      </c>
      <c r="BD43" s="34">
        <f t="shared" si="28"/>
        <v>971</v>
      </c>
      <c r="BE43" s="34">
        <f t="shared" si="21"/>
        <v>8</v>
      </c>
      <c r="BF43" s="34">
        <f t="shared" si="21"/>
        <v>0</v>
      </c>
      <c r="BG43" s="34">
        <f t="shared" si="21"/>
        <v>3809.5299999999997</v>
      </c>
      <c r="BH43" s="34">
        <f t="shared" si="21"/>
        <v>0</v>
      </c>
      <c r="BI43" s="34">
        <f t="shared" si="21"/>
        <v>0</v>
      </c>
      <c r="BJ43" s="34">
        <f t="shared" si="17"/>
        <v>0.17</v>
      </c>
      <c r="BK43" s="34">
        <f t="shared" si="12"/>
        <v>0</v>
      </c>
      <c r="BL43" s="34">
        <f t="shared" si="12"/>
        <v>3817.7</v>
      </c>
    </row>
    <row r="44" spans="1:65" s="56" customFormat="1" ht="30.75" hidden="1" customHeight="1" x14ac:dyDescent="0.2">
      <c r="A44" s="298" t="s">
        <v>38</v>
      </c>
      <c r="B44" s="299" t="s">
        <v>39</v>
      </c>
      <c r="C44" s="299" t="s">
        <v>150</v>
      </c>
      <c r="D44" s="1425" t="s">
        <v>151</v>
      </c>
      <c r="E44" s="1425" t="s">
        <v>152</v>
      </c>
      <c r="F44" s="1429">
        <v>2014</v>
      </c>
      <c r="G44" s="1425">
        <v>10.6</v>
      </c>
      <c r="H44" s="1429">
        <v>8</v>
      </c>
      <c r="I44" s="1429"/>
      <c r="J44" s="1429"/>
      <c r="K44" s="1429" t="s">
        <v>153</v>
      </c>
      <c r="L44" s="301" t="s">
        <v>44</v>
      </c>
      <c r="M44" s="1425" t="s">
        <v>45</v>
      </c>
      <c r="N44" s="1425" t="s">
        <v>46</v>
      </c>
      <c r="O44" s="1425" t="s">
        <v>47</v>
      </c>
      <c r="P44" s="1425"/>
      <c r="Q44" s="16" t="s">
        <v>154</v>
      </c>
      <c r="R44" s="302" t="s">
        <v>155</v>
      </c>
      <c r="S44" s="303">
        <v>2015</v>
      </c>
      <c r="T44" s="303">
        <v>1</v>
      </c>
      <c r="U44" s="303">
        <v>1</v>
      </c>
      <c r="V44" s="572">
        <v>2</v>
      </c>
      <c r="W44" s="572">
        <v>3</v>
      </c>
      <c r="X44" s="572">
        <v>4</v>
      </c>
      <c r="Y44" s="572">
        <v>4</v>
      </c>
      <c r="Z44" s="491">
        <v>0.5</v>
      </c>
      <c r="AA44" s="491"/>
      <c r="AB44" s="481"/>
      <c r="AC44" s="481"/>
      <c r="AD44" s="481"/>
      <c r="AE44" s="481"/>
      <c r="AF44" s="481"/>
      <c r="AG44" s="481">
        <f t="shared" si="7"/>
        <v>0.5</v>
      </c>
      <c r="AH44" s="491">
        <v>5</v>
      </c>
      <c r="AI44" s="548"/>
      <c r="AJ44" s="548"/>
      <c r="AK44" s="548"/>
      <c r="AL44" s="548"/>
      <c r="AM44" s="548"/>
      <c r="AN44" s="548">
        <f t="shared" si="26"/>
        <v>5</v>
      </c>
      <c r="AO44" s="491">
        <v>2.5</v>
      </c>
      <c r="AP44" s="491"/>
      <c r="AQ44" s="481">
        <v>0</v>
      </c>
      <c r="AR44" s="481"/>
      <c r="AS44" s="481"/>
      <c r="AT44" s="481"/>
      <c r="AU44" s="481"/>
      <c r="AV44" s="481">
        <f t="shared" si="27"/>
        <v>2.5</v>
      </c>
      <c r="AW44" s="548"/>
      <c r="AX44" s="491"/>
      <c r="AY44" s="491">
        <v>1</v>
      </c>
      <c r="AZ44" s="548"/>
      <c r="BA44" s="548"/>
      <c r="BB44" s="548"/>
      <c r="BC44" s="548"/>
      <c r="BD44" s="548">
        <f t="shared" si="28"/>
        <v>1</v>
      </c>
      <c r="BE44" s="42">
        <f t="shared" si="21"/>
        <v>8</v>
      </c>
      <c r="BF44" s="42">
        <f t="shared" si="21"/>
        <v>0</v>
      </c>
      <c r="BG44" s="42">
        <f t="shared" si="21"/>
        <v>1</v>
      </c>
      <c r="BH44" s="42">
        <f t="shared" si="21"/>
        <v>0</v>
      </c>
      <c r="BI44" s="42">
        <f t="shared" si="21"/>
        <v>0</v>
      </c>
      <c r="BJ44" s="42">
        <f t="shared" si="17"/>
        <v>0</v>
      </c>
      <c r="BK44" s="42">
        <f t="shared" si="12"/>
        <v>0</v>
      </c>
      <c r="BL44" s="42">
        <f t="shared" si="12"/>
        <v>9</v>
      </c>
      <c r="BM44" s="55"/>
    </row>
    <row r="45" spans="1:65" ht="60.75" hidden="1" customHeight="1" x14ac:dyDescent="0.2">
      <c r="A45" s="298" t="s">
        <v>38</v>
      </c>
      <c r="B45" s="299" t="s">
        <v>39</v>
      </c>
      <c r="C45" s="1546" t="s">
        <v>156</v>
      </c>
      <c r="D45" s="1549" t="s">
        <v>157</v>
      </c>
      <c r="E45" s="1549" t="s">
        <v>158</v>
      </c>
      <c r="F45" s="1549">
        <v>2014</v>
      </c>
      <c r="G45" s="1549">
        <v>4.29</v>
      </c>
      <c r="H45" s="1549">
        <v>4</v>
      </c>
      <c r="I45" s="1425"/>
      <c r="J45" s="1425"/>
      <c r="K45" s="1425" t="s">
        <v>159</v>
      </c>
      <c r="L45" s="301" t="s">
        <v>44</v>
      </c>
      <c r="M45" s="1425" t="s">
        <v>45</v>
      </c>
      <c r="N45" s="1425" t="s">
        <v>46</v>
      </c>
      <c r="O45" s="1425" t="s">
        <v>73</v>
      </c>
      <c r="P45" s="1425"/>
      <c r="Q45" s="717" t="s">
        <v>160</v>
      </c>
      <c r="R45" s="302" t="s">
        <v>161</v>
      </c>
      <c r="S45" s="303">
        <v>2015</v>
      </c>
      <c r="T45" s="303">
        <v>1</v>
      </c>
      <c r="U45" s="303">
        <v>1</v>
      </c>
      <c r="V45" s="572">
        <v>1</v>
      </c>
      <c r="W45" s="572">
        <v>1</v>
      </c>
      <c r="X45" s="572">
        <v>1</v>
      </c>
      <c r="Y45" s="572">
        <v>1</v>
      </c>
      <c r="Z45" s="481"/>
      <c r="AA45" s="481"/>
      <c r="AB45" s="481">
        <v>331</v>
      </c>
      <c r="AC45" s="481"/>
      <c r="AD45" s="481"/>
      <c r="AE45" s="481">
        <v>0.17</v>
      </c>
      <c r="AF45" s="481"/>
      <c r="AG45" s="481">
        <f t="shared" si="7"/>
        <v>331.17</v>
      </c>
      <c r="AH45" s="548"/>
      <c r="AI45" s="548"/>
      <c r="AJ45" s="716">
        <v>300</v>
      </c>
      <c r="AK45" s="548"/>
      <c r="AL45" s="548"/>
      <c r="AM45" s="548"/>
      <c r="AN45" s="548">
        <f t="shared" si="26"/>
        <v>300</v>
      </c>
      <c r="AO45" s="481"/>
      <c r="AP45" s="481"/>
      <c r="AQ45" s="481">
        <v>340</v>
      </c>
      <c r="AR45" s="481"/>
      <c r="AS45" s="481"/>
      <c r="AT45" s="481"/>
      <c r="AU45" s="481"/>
      <c r="AV45" s="481">
        <f t="shared" si="27"/>
        <v>340</v>
      </c>
      <c r="AW45" s="548"/>
      <c r="AX45" s="548"/>
      <c r="AY45" s="548">
        <v>340</v>
      </c>
      <c r="AZ45" s="548"/>
      <c r="BA45" s="548"/>
      <c r="BB45" s="548"/>
      <c r="BC45" s="548"/>
      <c r="BD45" s="548">
        <f t="shared" si="28"/>
        <v>340</v>
      </c>
      <c r="BE45" s="42">
        <f t="shared" si="21"/>
        <v>0</v>
      </c>
      <c r="BF45" s="42">
        <f t="shared" si="21"/>
        <v>0</v>
      </c>
      <c r="BG45" s="42">
        <f t="shared" si="21"/>
        <v>1311</v>
      </c>
      <c r="BH45" s="42">
        <f t="shared" si="21"/>
        <v>0</v>
      </c>
      <c r="BI45" s="42">
        <f t="shared" si="21"/>
        <v>0</v>
      </c>
      <c r="BJ45" s="42">
        <f t="shared" si="17"/>
        <v>0.17</v>
      </c>
      <c r="BK45" s="42">
        <f t="shared" si="12"/>
        <v>0</v>
      </c>
      <c r="BL45" s="42">
        <f t="shared" si="12"/>
        <v>1311.17</v>
      </c>
    </row>
    <row r="46" spans="1:65" ht="81" hidden="1" customHeight="1" x14ac:dyDescent="0.2">
      <c r="A46" s="298" t="s">
        <v>38</v>
      </c>
      <c r="B46" s="299" t="s">
        <v>39</v>
      </c>
      <c r="C46" s="1547"/>
      <c r="D46" s="1549"/>
      <c r="E46" s="1549"/>
      <c r="F46" s="1549"/>
      <c r="G46" s="1549"/>
      <c r="H46" s="1549"/>
      <c r="I46" s="1425"/>
      <c r="J46" s="1425"/>
      <c r="K46" s="1425" t="s">
        <v>162</v>
      </c>
      <c r="L46" s="301" t="s">
        <v>44</v>
      </c>
      <c r="M46" s="1425" t="s">
        <v>45</v>
      </c>
      <c r="N46" s="1425" t="s">
        <v>46</v>
      </c>
      <c r="O46" s="1425" t="s">
        <v>47</v>
      </c>
      <c r="P46" s="1425"/>
      <c r="Q46" s="16" t="s">
        <v>163</v>
      </c>
      <c r="R46" s="302" t="s">
        <v>164</v>
      </c>
      <c r="S46" s="303">
        <v>2015</v>
      </c>
      <c r="T46" s="303">
        <v>1</v>
      </c>
      <c r="U46" s="303">
        <v>1</v>
      </c>
      <c r="V46" s="572">
        <v>2</v>
      </c>
      <c r="W46" s="572">
        <v>1</v>
      </c>
      <c r="X46" s="572">
        <v>4</v>
      </c>
      <c r="Y46" s="572">
        <v>4</v>
      </c>
      <c r="Z46" s="481"/>
      <c r="AA46" s="481"/>
      <c r="AB46" s="481">
        <v>20</v>
      </c>
      <c r="AC46" s="481"/>
      <c r="AD46" s="481"/>
      <c r="AE46" s="481"/>
      <c r="AF46" s="481"/>
      <c r="AG46" s="481">
        <f t="shared" si="7"/>
        <v>20</v>
      </c>
      <c r="AH46" s="548"/>
      <c r="AI46" s="548"/>
      <c r="AJ46" s="491">
        <v>27.53</v>
      </c>
      <c r="AK46" s="548"/>
      <c r="AL46" s="548"/>
      <c r="AM46" s="548"/>
      <c r="AN46" s="548">
        <f t="shared" si="26"/>
        <v>27.53</v>
      </c>
      <c r="AO46" s="481"/>
      <c r="AP46" s="481"/>
      <c r="AQ46" s="491">
        <v>5</v>
      </c>
      <c r="AR46" s="481"/>
      <c r="AS46" s="481"/>
      <c r="AT46" s="481"/>
      <c r="AU46" s="481"/>
      <c r="AV46" s="481">
        <f t="shared" si="27"/>
        <v>5</v>
      </c>
      <c r="AW46" s="548"/>
      <c r="AX46" s="548"/>
      <c r="AY46" s="491">
        <v>10</v>
      </c>
      <c r="AZ46" s="548"/>
      <c r="BA46" s="548"/>
      <c r="BB46" s="548"/>
      <c r="BC46" s="548"/>
      <c r="BD46" s="548">
        <f t="shared" si="28"/>
        <v>10</v>
      </c>
      <c r="BE46" s="42">
        <f t="shared" si="21"/>
        <v>0</v>
      </c>
      <c r="BF46" s="42">
        <f t="shared" si="21"/>
        <v>0</v>
      </c>
      <c r="BG46" s="42">
        <f t="shared" si="21"/>
        <v>62.53</v>
      </c>
      <c r="BH46" s="42">
        <f t="shared" si="21"/>
        <v>0</v>
      </c>
      <c r="BI46" s="42">
        <f t="shared" si="21"/>
        <v>0</v>
      </c>
      <c r="BJ46" s="42">
        <f t="shared" si="17"/>
        <v>0</v>
      </c>
      <c r="BK46" s="42">
        <f t="shared" si="12"/>
        <v>0</v>
      </c>
      <c r="BL46" s="42">
        <f t="shared" si="12"/>
        <v>62.53</v>
      </c>
    </row>
    <row r="47" spans="1:65" ht="45.75" hidden="1" customHeight="1" x14ac:dyDescent="0.2">
      <c r="A47" s="298" t="s">
        <v>38</v>
      </c>
      <c r="B47" s="299" t="s">
        <v>39</v>
      </c>
      <c r="C47" s="1548"/>
      <c r="D47" s="1549"/>
      <c r="E47" s="1549"/>
      <c r="F47" s="1549"/>
      <c r="G47" s="1549"/>
      <c r="H47" s="1549"/>
      <c r="I47" s="1425"/>
      <c r="J47" s="1425"/>
      <c r="K47" s="1425" t="s">
        <v>165</v>
      </c>
      <c r="L47" s="301" t="s">
        <v>44</v>
      </c>
      <c r="M47" s="1425" t="s">
        <v>45</v>
      </c>
      <c r="N47" s="1425" t="s">
        <v>46</v>
      </c>
      <c r="O47" s="1425" t="s">
        <v>73</v>
      </c>
      <c r="P47" s="1425"/>
      <c r="Q47" s="25" t="s">
        <v>166</v>
      </c>
      <c r="R47" s="302" t="s">
        <v>167</v>
      </c>
      <c r="S47" s="303">
        <v>2015</v>
      </c>
      <c r="T47" s="303">
        <v>61</v>
      </c>
      <c r="U47" s="303">
        <v>65</v>
      </c>
      <c r="V47" s="572">
        <v>65</v>
      </c>
      <c r="W47" s="572">
        <v>65</v>
      </c>
      <c r="X47" s="572">
        <v>65</v>
      </c>
      <c r="Y47" s="572">
        <v>65</v>
      </c>
      <c r="Z47" s="481"/>
      <c r="AA47" s="481"/>
      <c r="AB47" s="481">
        <v>600</v>
      </c>
      <c r="AC47" s="481"/>
      <c r="AD47" s="481"/>
      <c r="AE47" s="481"/>
      <c r="AF47" s="481"/>
      <c r="AG47" s="481">
        <f>SUM(Z47:AF47)</f>
        <v>600</v>
      </c>
      <c r="AH47" s="548"/>
      <c r="AI47" s="548"/>
      <c r="AJ47" s="43">
        <v>600</v>
      </c>
      <c r="AK47" s="548"/>
      <c r="AL47" s="548"/>
      <c r="AM47" s="548"/>
      <c r="AN47" s="548">
        <f>SUM(AH47:AM47)</f>
        <v>600</v>
      </c>
      <c r="AO47" s="481"/>
      <c r="AP47" s="481"/>
      <c r="AQ47" s="491">
        <v>615</v>
      </c>
      <c r="AR47" s="481"/>
      <c r="AS47" s="481"/>
      <c r="AT47" s="481"/>
      <c r="AU47" s="481"/>
      <c r="AV47" s="481">
        <f>SUM(AO47:AU47)</f>
        <v>615</v>
      </c>
      <c r="AW47" s="548"/>
      <c r="AX47" s="548"/>
      <c r="AY47" s="548">
        <v>620</v>
      </c>
      <c r="AZ47" s="548"/>
      <c r="BA47" s="548"/>
      <c r="BB47" s="548"/>
      <c r="BC47" s="548"/>
      <c r="BD47" s="548">
        <f>SUM(AW47:BC47)</f>
        <v>620</v>
      </c>
      <c r="BE47" s="42">
        <f t="shared" si="21"/>
        <v>0</v>
      </c>
      <c r="BF47" s="42">
        <f t="shared" si="21"/>
        <v>0</v>
      </c>
      <c r="BG47" s="42">
        <f t="shared" si="21"/>
        <v>2435</v>
      </c>
      <c r="BH47" s="42">
        <f t="shared" si="21"/>
        <v>0</v>
      </c>
      <c r="BI47" s="42">
        <f t="shared" si="21"/>
        <v>0</v>
      </c>
      <c r="BJ47" s="42">
        <f t="shared" si="17"/>
        <v>0</v>
      </c>
      <c r="BK47" s="42">
        <f t="shared" si="12"/>
        <v>0</v>
      </c>
      <c r="BL47" s="42">
        <f t="shared" si="12"/>
        <v>2435</v>
      </c>
    </row>
    <row r="48" spans="1:65" ht="18" hidden="1" x14ac:dyDescent="0.2">
      <c r="B48" s="1553" t="s">
        <v>168</v>
      </c>
      <c r="C48" s="1554"/>
      <c r="D48" s="1554"/>
      <c r="E48" s="1554"/>
      <c r="F48" s="1554"/>
      <c r="G48" s="1554"/>
      <c r="H48" s="1554"/>
      <c r="I48" s="1554"/>
      <c r="J48" s="1554"/>
      <c r="K48" s="1554"/>
      <c r="L48" s="1554"/>
      <c r="M48" s="1555"/>
      <c r="N48" s="597"/>
      <c r="O48" s="597"/>
      <c r="P48" s="597"/>
      <c r="Q48" s="597"/>
      <c r="R48" s="598"/>
      <c r="S48" s="597"/>
      <c r="T48" s="597"/>
      <c r="U48" s="597"/>
      <c r="V48" s="599"/>
      <c r="W48" s="599"/>
      <c r="X48" s="599"/>
      <c r="Y48" s="599"/>
      <c r="Z48" s="600">
        <v>219</v>
      </c>
      <c r="AA48" s="600">
        <v>0</v>
      </c>
      <c r="AB48" s="600">
        <v>13932</v>
      </c>
      <c r="AC48" s="600">
        <v>0</v>
      </c>
      <c r="AD48" s="600">
        <v>0</v>
      </c>
      <c r="AE48" s="600">
        <v>0</v>
      </c>
      <c r="AF48" s="600">
        <f>386+15290+839+1988</f>
        <v>18503</v>
      </c>
      <c r="AG48" s="600">
        <f>SUM(Z48:AF48)</f>
        <v>32654</v>
      </c>
      <c r="AH48" s="600">
        <v>229</v>
      </c>
      <c r="AI48" s="600">
        <f>+AA48*1.04</f>
        <v>0</v>
      </c>
      <c r="AJ48" s="600">
        <v>14558</v>
      </c>
      <c r="AK48" s="600">
        <f>+AC48*1.04</f>
        <v>0</v>
      </c>
      <c r="AL48" s="600">
        <f>+AD48*1.04</f>
        <v>0</v>
      </c>
      <c r="AM48" s="600">
        <f>401+15848+870+225</f>
        <v>17344</v>
      </c>
      <c r="AN48" s="600">
        <f>SUM(AH48:AM48)</f>
        <v>32131</v>
      </c>
      <c r="AO48" s="600">
        <v>235</v>
      </c>
      <c r="AP48" s="600">
        <f>+AI48*1.04</f>
        <v>0</v>
      </c>
      <c r="AQ48" s="600">
        <v>14964</v>
      </c>
      <c r="AR48" s="600">
        <f>+AK48*1.04</f>
        <v>0</v>
      </c>
      <c r="AS48" s="33">
        <f>+AL48*1.04</f>
        <v>0</v>
      </c>
      <c r="AT48" s="33">
        <f>+AL48*1.04</f>
        <v>0</v>
      </c>
      <c r="AU48" s="33">
        <f>415+16427+901+242</f>
        <v>17985</v>
      </c>
      <c r="AV48" s="33">
        <f>SUM(AO48:AU48)</f>
        <v>33184</v>
      </c>
      <c r="AW48" s="33">
        <v>217</v>
      </c>
      <c r="AX48" s="33">
        <f>+AP48*1.04</f>
        <v>0</v>
      </c>
      <c r="AY48" s="33">
        <v>15509</v>
      </c>
      <c r="AZ48" s="33">
        <f>+AR48*1.04</f>
        <v>0</v>
      </c>
      <c r="BA48" s="33">
        <f>+AS48*1.04</f>
        <v>0</v>
      </c>
      <c r="BB48" s="33">
        <f>+AT48*1.04</f>
        <v>0</v>
      </c>
      <c r="BC48" s="33">
        <f>430+17026+934+267</f>
        <v>18657</v>
      </c>
      <c r="BD48" s="33">
        <f>SUM(AW48:BC48)</f>
        <v>34383</v>
      </c>
      <c r="BE48" s="33">
        <f t="shared" si="21"/>
        <v>900</v>
      </c>
      <c r="BF48" s="33">
        <f t="shared" si="21"/>
        <v>0</v>
      </c>
      <c r="BG48" s="33">
        <f t="shared" si="21"/>
        <v>58963</v>
      </c>
      <c r="BH48" s="33">
        <f t="shared" si="21"/>
        <v>0</v>
      </c>
      <c r="BI48" s="33">
        <f t="shared" si="21"/>
        <v>0</v>
      </c>
      <c r="BJ48" s="33">
        <f t="shared" si="17"/>
        <v>0</v>
      </c>
      <c r="BK48" s="33">
        <f t="shared" ref="BK48:BL63" si="33">+BC48+AU48+AM48+AF48</f>
        <v>72489</v>
      </c>
      <c r="BL48" s="33">
        <f>+BD48+AV48+AN48+AG48-6</f>
        <v>132346</v>
      </c>
    </row>
    <row r="49" spans="1:64" ht="6.75" hidden="1" customHeight="1" x14ac:dyDescent="0.2">
      <c r="A49" s="151"/>
      <c r="B49" s="7" t="s">
        <v>169</v>
      </c>
      <c r="C49" s="7"/>
      <c r="D49" s="1442" t="s">
        <v>170</v>
      </c>
      <c r="E49" s="1442"/>
      <c r="F49" s="1442"/>
      <c r="G49" s="1442"/>
      <c r="H49" s="1442"/>
      <c r="I49" s="1442"/>
      <c r="J49" s="1442"/>
      <c r="K49" s="1442"/>
      <c r="L49" s="1442"/>
      <c r="M49" s="1442"/>
      <c r="N49" s="1442"/>
      <c r="O49" s="1442"/>
      <c r="P49" s="1442"/>
      <c r="Q49" s="1440"/>
      <c r="R49" s="1440"/>
      <c r="S49" s="1442"/>
      <c r="T49" s="1442"/>
      <c r="U49" s="1442"/>
      <c r="V49" s="63"/>
      <c r="W49" s="63"/>
      <c r="X49" s="63"/>
      <c r="Y49" s="63"/>
      <c r="Z49" s="42">
        <v>0</v>
      </c>
      <c r="AA49" s="42">
        <v>56</v>
      </c>
      <c r="AB49" s="42">
        <v>96.6</v>
      </c>
      <c r="AC49" s="42">
        <v>0</v>
      </c>
      <c r="AD49" s="42">
        <v>0</v>
      </c>
      <c r="AE49" s="42">
        <v>40.299999999999997</v>
      </c>
      <c r="AF49" s="42">
        <v>0</v>
      </c>
      <c r="AG49" s="42">
        <f>SUBTOTAL(9,Z49:AF49)</f>
        <v>192.89999999999998</v>
      </c>
      <c r="AH49" s="42"/>
      <c r="AI49" s="42">
        <f>+AA49*1.04</f>
        <v>58.24</v>
      </c>
      <c r="AJ49" s="42">
        <f>+AB49*1.04</f>
        <v>100.464</v>
      </c>
      <c r="AK49" s="42"/>
      <c r="AL49" s="42"/>
      <c r="AM49" s="42"/>
      <c r="AN49" s="33">
        <f>+AN50+AN74</f>
        <v>170</v>
      </c>
      <c r="AO49" s="42"/>
      <c r="AP49" s="42">
        <f>+AI49*1.04</f>
        <v>60.569600000000001</v>
      </c>
      <c r="AQ49" s="42">
        <f>+AJ49*1.04</f>
        <v>104.48256000000001</v>
      </c>
      <c r="AR49" s="42"/>
      <c r="AS49" s="42"/>
      <c r="AT49" s="42"/>
      <c r="AU49" s="42"/>
      <c r="AV49" s="42"/>
      <c r="AW49" s="42"/>
      <c r="AX49" s="42">
        <f>+AP49*1.04</f>
        <v>62.992384000000001</v>
      </c>
      <c r="AY49" s="42">
        <f>+AQ49*1.04</f>
        <v>108.6618624</v>
      </c>
      <c r="AZ49" s="42"/>
      <c r="BA49" s="42"/>
      <c r="BB49" s="42"/>
      <c r="BC49" s="42"/>
      <c r="BD49" s="42"/>
      <c r="BE49" s="42">
        <f t="shared" si="21"/>
        <v>0</v>
      </c>
      <c r="BF49" s="42">
        <f t="shared" si="21"/>
        <v>237.801984</v>
      </c>
      <c r="BG49" s="42">
        <f t="shared" si="21"/>
        <v>410.20842240000002</v>
      </c>
      <c r="BH49" s="42">
        <f t="shared" si="21"/>
        <v>0</v>
      </c>
      <c r="BI49" s="42">
        <f t="shared" si="21"/>
        <v>0</v>
      </c>
      <c r="BJ49" s="42">
        <f t="shared" si="17"/>
        <v>40.299999999999997</v>
      </c>
      <c r="BK49" s="42">
        <f t="shared" si="33"/>
        <v>0</v>
      </c>
      <c r="BL49" s="42">
        <f t="shared" si="33"/>
        <v>362.9</v>
      </c>
    </row>
    <row r="50" spans="1:64" ht="18" hidden="1" x14ac:dyDescent="0.2">
      <c r="A50" s="420"/>
      <c r="B50" s="1553" t="s">
        <v>171</v>
      </c>
      <c r="C50" s="1554"/>
      <c r="D50" s="1554"/>
      <c r="E50" s="1554"/>
      <c r="F50" s="1554"/>
      <c r="G50" s="1554"/>
      <c r="H50" s="1554"/>
      <c r="I50" s="1554"/>
      <c r="J50" s="1554"/>
      <c r="K50" s="1554"/>
      <c r="L50" s="1554"/>
      <c r="M50" s="1555"/>
      <c r="N50" s="597"/>
      <c r="O50" s="597"/>
      <c r="P50" s="597"/>
      <c r="Q50" s="597"/>
      <c r="R50" s="598"/>
      <c r="S50" s="597"/>
      <c r="T50" s="597"/>
      <c r="U50" s="597"/>
      <c r="V50" s="599"/>
      <c r="W50" s="599"/>
      <c r="X50" s="599"/>
      <c r="Y50" s="599"/>
      <c r="Z50" s="600">
        <f t="shared" ref="Z50:AM50" si="34">+Z51+Z75</f>
        <v>26</v>
      </c>
      <c r="AA50" s="600">
        <f t="shared" si="34"/>
        <v>56</v>
      </c>
      <c r="AB50" s="600">
        <f t="shared" si="34"/>
        <v>96.5</v>
      </c>
      <c r="AC50" s="600">
        <f t="shared" si="34"/>
        <v>250</v>
      </c>
      <c r="AD50" s="600">
        <f t="shared" si="34"/>
        <v>0</v>
      </c>
      <c r="AE50" s="600">
        <f t="shared" si="34"/>
        <v>40.1</v>
      </c>
      <c r="AF50" s="600">
        <f t="shared" si="34"/>
        <v>0</v>
      </c>
      <c r="AG50" s="600">
        <f t="shared" si="34"/>
        <v>468.6</v>
      </c>
      <c r="AH50" s="600">
        <f t="shared" si="34"/>
        <v>0</v>
      </c>
      <c r="AI50" s="600">
        <f t="shared" si="34"/>
        <v>58</v>
      </c>
      <c r="AJ50" s="600">
        <f t="shared" si="34"/>
        <v>107</v>
      </c>
      <c r="AK50" s="600">
        <f t="shared" si="34"/>
        <v>0</v>
      </c>
      <c r="AL50" s="600">
        <f t="shared" si="34"/>
        <v>0</v>
      </c>
      <c r="AM50" s="600">
        <f t="shared" si="34"/>
        <v>0</v>
      </c>
      <c r="AN50" s="600">
        <f>+AN51+AN75</f>
        <v>165</v>
      </c>
      <c r="AO50" s="600">
        <f t="shared" ref="AO50:BD50" si="35">+AO51+AO75</f>
        <v>0</v>
      </c>
      <c r="AP50" s="600">
        <f t="shared" si="35"/>
        <v>60</v>
      </c>
      <c r="AQ50" s="600">
        <f t="shared" si="35"/>
        <v>104</v>
      </c>
      <c r="AR50" s="600">
        <f t="shared" si="35"/>
        <v>0</v>
      </c>
      <c r="AS50" s="600">
        <f t="shared" si="35"/>
        <v>0</v>
      </c>
      <c r="AT50" s="600">
        <f t="shared" si="35"/>
        <v>0</v>
      </c>
      <c r="AU50" s="600">
        <f t="shared" si="35"/>
        <v>0</v>
      </c>
      <c r="AV50" s="600">
        <f t="shared" si="35"/>
        <v>164</v>
      </c>
      <c r="AW50" s="600">
        <f t="shared" si="35"/>
        <v>0</v>
      </c>
      <c r="AX50" s="600">
        <f t="shared" si="35"/>
        <v>66</v>
      </c>
      <c r="AY50" s="600">
        <f t="shared" si="35"/>
        <v>108</v>
      </c>
      <c r="AZ50" s="600">
        <f t="shared" si="35"/>
        <v>0</v>
      </c>
      <c r="BA50" s="600">
        <f t="shared" si="35"/>
        <v>513</v>
      </c>
      <c r="BB50" s="600">
        <f t="shared" si="35"/>
        <v>0</v>
      </c>
      <c r="BC50" s="600">
        <f t="shared" si="35"/>
        <v>0</v>
      </c>
      <c r="BD50" s="600">
        <f t="shared" si="35"/>
        <v>687</v>
      </c>
      <c r="BE50" s="33">
        <f t="shared" si="21"/>
        <v>26</v>
      </c>
      <c r="BF50" s="33">
        <f t="shared" si="21"/>
        <v>240</v>
      </c>
      <c r="BG50" s="33">
        <f t="shared" si="21"/>
        <v>415.5</v>
      </c>
      <c r="BH50" s="33">
        <f t="shared" si="21"/>
        <v>250</v>
      </c>
      <c r="BI50" s="33">
        <f t="shared" si="21"/>
        <v>513</v>
      </c>
      <c r="BJ50" s="33">
        <f t="shared" si="17"/>
        <v>40.1</v>
      </c>
      <c r="BK50" s="33">
        <f t="shared" si="33"/>
        <v>0</v>
      </c>
      <c r="BL50" s="33">
        <f t="shared" si="33"/>
        <v>1484.6</v>
      </c>
    </row>
    <row r="51" spans="1:64" ht="12.75" hidden="1" x14ac:dyDescent="0.2">
      <c r="A51" s="603"/>
      <c r="B51" s="24" t="s">
        <v>169</v>
      </c>
      <c r="C51" s="6"/>
      <c r="D51" s="2" t="s">
        <v>172</v>
      </c>
      <c r="E51" s="1"/>
      <c r="F51" s="1"/>
      <c r="G51" s="1"/>
      <c r="H51" s="1"/>
      <c r="I51" s="1"/>
      <c r="J51" s="1"/>
      <c r="K51" s="1"/>
      <c r="L51" s="1"/>
      <c r="M51" s="1"/>
      <c r="N51" s="1"/>
      <c r="O51" s="1"/>
      <c r="P51" s="1"/>
      <c r="Q51" s="1"/>
      <c r="R51" s="22"/>
      <c r="S51" s="1"/>
      <c r="T51" s="1"/>
      <c r="U51" s="1"/>
      <c r="V51" s="49"/>
      <c r="W51" s="49"/>
      <c r="X51" s="49"/>
      <c r="Y51" s="49"/>
      <c r="Z51" s="34">
        <f t="shared" ref="Z51:AG51" si="36">SUBTOTAL(9,Z52:Z74)</f>
        <v>26</v>
      </c>
      <c r="AA51" s="34">
        <f t="shared" si="36"/>
        <v>45.9</v>
      </c>
      <c r="AB51" s="34">
        <f t="shared" si="36"/>
        <v>66.599999999999994</v>
      </c>
      <c r="AC51" s="34">
        <f t="shared" si="36"/>
        <v>0</v>
      </c>
      <c r="AD51" s="34">
        <f t="shared" si="36"/>
        <v>0</v>
      </c>
      <c r="AE51" s="34">
        <f t="shared" si="36"/>
        <v>37</v>
      </c>
      <c r="AF51" s="34">
        <f t="shared" si="36"/>
        <v>0</v>
      </c>
      <c r="AG51" s="34">
        <f t="shared" si="36"/>
        <v>175.5</v>
      </c>
      <c r="AH51" s="34">
        <f t="shared" ref="AH51:AM51" si="37">SUM(AH52:AH84)</f>
        <v>0</v>
      </c>
      <c r="AI51" s="34">
        <f>SUM(AI52:AI74)</f>
        <v>55</v>
      </c>
      <c r="AJ51" s="34">
        <f>SUM(AJ52:AJ74)</f>
        <v>90</v>
      </c>
      <c r="AK51" s="34">
        <f t="shared" si="37"/>
        <v>0</v>
      </c>
      <c r="AL51" s="34">
        <f t="shared" si="37"/>
        <v>0</v>
      </c>
      <c r="AM51" s="34">
        <f t="shared" si="37"/>
        <v>0</v>
      </c>
      <c r="AN51" s="34">
        <f>SUM(AH51:AM51)</f>
        <v>145</v>
      </c>
      <c r="AO51" s="34">
        <f t="shared" ref="AO51:AU51" si="38">SUM(AO52:AO84)</f>
        <v>0</v>
      </c>
      <c r="AP51" s="34">
        <f>SUM(AP52:AP74)</f>
        <v>51</v>
      </c>
      <c r="AQ51" s="34">
        <f>SUM(AQ52:AQ74)</f>
        <v>87</v>
      </c>
      <c r="AR51" s="34">
        <f t="shared" si="38"/>
        <v>0</v>
      </c>
      <c r="AS51" s="34">
        <f t="shared" si="38"/>
        <v>0</v>
      </c>
      <c r="AT51" s="34">
        <f t="shared" si="38"/>
        <v>0</v>
      </c>
      <c r="AU51" s="34">
        <f t="shared" si="38"/>
        <v>0</v>
      </c>
      <c r="AV51" s="34">
        <f t="shared" ref="AV51:AV72" si="39">SUM(AO51:AU51)</f>
        <v>138</v>
      </c>
      <c r="AW51" s="34">
        <f t="shared" ref="AW51:BC51" si="40">SUM(AW52:AW84)</f>
        <v>0</v>
      </c>
      <c r="AX51" s="34">
        <f>SUM(AX52:AX74)</f>
        <v>53</v>
      </c>
      <c r="AY51" s="34">
        <f>SUM(AY52:AY74)</f>
        <v>91</v>
      </c>
      <c r="AZ51" s="34">
        <f t="shared" si="40"/>
        <v>0</v>
      </c>
      <c r="BA51" s="34">
        <f>SUM(BA52:BA74)</f>
        <v>513</v>
      </c>
      <c r="BB51" s="34">
        <f t="shared" si="40"/>
        <v>0</v>
      </c>
      <c r="BC51" s="34">
        <f t="shared" si="40"/>
        <v>0</v>
      </c>
      <c r="BD51" s="34">
        <f t="shared" ref="BD51:BD72" si="41">SUM(AW51:BC51)</f>
        <v>657</v>
      </c>
      <c r="BE51" s="34">
        <f t="shared" si="21"/>
        <v>26</v>
      </c>
      <c r="BF51" s="34">
        <f t="shared" si="21"/>
        <v>204.9</v>
      </c>
      <c r="BG51" s="34">
        <f t="shared" si="21"/>
        <v>334.6</v>
      </c>
      <c r="BH51" s="34">
        <f t="shared" si="21"/>
        <v>0</v>
      </c>
      <c r="BI51" s="34">
        <f t="shared" si="21"/>
        <v>513</v>
      </c>
      <c r="BJ51" s="34">
        <f t="shared" si="17"/>
        <v>37</v>
      </c>
      <c r="BK51" s="34">
        <f t="shared" si="33"/>
        <v>0</v>
      </c>
      <c r="BL51" s="34">
        <f t="shared" si="33"/>
        <v>1115.5</v>
      </c>
    </row>
    <row r="52" spans="1:64" ht="58.5" hidden="1" customHeight="1" x14ac:dyDescent="0.2">
      <c r="A52" s="298" t="s">
        <v>173</v>
      </c>
      <c r="B52" s="299" t="s">
        <v>169</v>
      </c>
      <c r="C52" s="1546" t="s">
        <v>174</v>
      </c>
      <c r="D52" s="1550" t="s">
        <v>175</v>
      </c>
      <c r="E52" s="1550" t="s">
        <v>176</v>
      </c>
      <c r="F52" s="1550">
        <v>2015</v>
      </c>
      <c r="G52" s="1550" t="s">
        <v>177</v>
      </c>
      <c r="H52" s="1550">
        <v>10</v>
      </c>
      <c r="I52" s="1429"/>
      <c r="J52" s="1429"/>
      <c r="K52" s="1429" t="s">
        <v>178</v>
      </c>
      <c r="L52" s="301" t="s">
        <v>179</v>
      </c>
      <c r="M52" s="1425" t="s">
        <v>45</v>
      </c>
      <c r="N52" s="1425" t="s">
        <v>46</v>
      </c>
      <c r="O52" s="1425" t="s">
        <v>47</v>
      </c>
      <c r="P52" s="1425"/>
      <c r="Q52" s="16" t="s">
        <v>180</v>
      </c>
      <c r="R52" s="302" t="s">
        <v>181</v>
      </c>
      <c r="S52" s="303" t="s">
        <v>182</v>
      </c>
      <c r="T52" s="303">
        <v>2049</v>
      </c>
      <c r="U52" s="303">
        <v>800</v>
      </c>
      <c r="V52" s="572">
        <v>1600</v>
      </c>
      <c r="W52" s="572">
        <v>2400</v>
      </c>
      <c r="X52" s="572">
        <v>3200</v>
      </c>
      <c r="Y52" s="572">
        <v>3200</v>
      </c>
      <c r="Z52" s="481"/>
      <c r="AA52" s="491">
        <v>4.9000000000000004</v>
      </c>
      <c r="AB52" s="481"/>
      <c r="AC52" s="481"/>
      <c r="AD52" s="481"/>
      <c r="AE52" s="481">
        <v>10.3</v>
      </c>
      <c r="AF52" s="481"/>
      <c r="AG52" s="481">
        <f t="shared" ref="AG52:AG83" si="42">SUM(Z52:AF52)</f>
        <v>15.200000000000001</v>
      </c>
      <c r="AH52" s="548"/>
      <c r="AI52" s="548">
        <v>10</v>
      </c>
      <c r="AJ52" s="491">
        <v>7</v>
      </c>
      <c r="AK52" s="548"/>
      <c r="AL52" s="548"/>
      <c r="AM52" s="548"/>
      <c r="AN52" s="548">
        <f t="shared" ref="AN52:AN72" si="43">SUM(AH52:AM52)</f>
        <v>17</v>
      </c>
      <c r="AO52" s="481"/>
      <c r="AP52" s="481">
        <v>10</v>
      </c>
      <c r="AQ52" s="491">
        <v>10</v>
      </c>
      <c r="AR52" s="481"/>
      <c r="AS52" s="481"/>
      <c r="AT52" s="481"/>
      <c r="AU52" s="481"/>
      <c r="AV52" s="481">
        <f t="shared" si="39"/>
        <v>20</v>
      </c>
      <c r="AW52" s="548"/>
      <c r="AX52" s="548">
        <v>12</v>
      </c>
      <c r="AY52" s="548"/>
      <c r="AZ52" s="548"/>
      <c r="BA52" s="548"/>
      <c r="BB52" s="548"/>
      <c r="BC52" s="548"/>
      <c r="BD52" s="548">
        <f t="shared" si="41"/>
        <v>12</v>
      </c>
      <c r="BE52" s="42">
        <f t="shared" si="21"/>
        <v>0</v>
      </c>
      <c r="BF52" s="42">
        <f t="shared" si="21"/>
        <v>36.9</v>
      </c>
      <c r="BG52" s="42">
        <f t="shared" si="21"/>
        <v>17</v>
      </c>
      <c r="BH52" s="42">
        <f t="shared" si="21"/>
        <v>0</v>
      </c>
      <c r="BI52" s="42">
        <f t="shared" si="21"/>
        <v>0</v>
      </c>
      <c r="BJ52" s="42">
        <f t="shared" si="17"/>
        <v>10.3</v>
      </c>
      <c r="BK52" s="42">
        <f t="shared" si="33"/>
        <v>0</v>
      </c>
      <c r="BL52" s="42">
        <f t="shared" si="33"/>
        <v>64.2</v>
      </c>
    </row>
    <row r="53" spans="1:64" ht="29.25" hidden="1" customHeight="1" x14ac:dyDescent="0.2">
      <c r="A53" s="298" t="s">
        <v>173</v>
      </c>
      <c r="B53" s="299" t="s">
        <v>169</v>
      </c>
      <c r="C53" s="1547"/>
      <c r="D53" s="1551"/>
      <c r="E53" s="1551"/>
      <c r="F53" s="1551"/>
      <c r="G53" s="1551"/>
      <c r="H53" s="1551"/>
      <c r="I53" s="1429"/>
      <c r="J53" s="1429"/>
      <c r="K53" s="1429" t="s">
        <v>183</v>
      </c>
      <c r="L53" s="301" t="s">
        <v>179</v>
      </c>
      <c r="M53" s="1425" t="s">
        <v>45</v>
      </c>
      <c r="N53" s="1425" t="s">
        <v>46</v>
      </c>
      <c r="O53" s="1425" t="s">
        <v>47</v>
      </c>
      <c r="P53" s="1425"/>
      <c r="Q53" s="16" t="s">
        <v>184</v>
      </c>
      <c r="R53" s="302" t="s">
        <v>185</v>
      </c>
      <c r="S53" s="303">
        <v>2015</v>
      </c>
      <c r="T53" s="303">
        <v>0</v>
      </c>
      <c r="U53" s="303">
        <v>2</v>
      </c>
      <c r="V53" s="572">
        <v>4</v>
      </c>
      <c r="W53" s="572">
        <v>6</v>
      </c>
      <c r="X53" s="572">
        <v>8</v>
      </c>
      <c r="Y53" s="572">
        <v>8</v>
      </c>
      <c r="Z53" s="483"/>
      <c r="AA53" s="483"/>
      <c r="AB53" s="483"/>
      <c r="AC53" s="483"/>
      <c r="AD53" s="483"/>
      <c r="AE53" s="483">
        <v>1.8</v>
      </c>
      <c r="AF53" s="483"/>
      <c r="AG53" s="483">
        <f t="shared" si="42"/>
        <v>1.8</v>
      </c>
      <c r="AH53" s="587"/>
      <c r="AI53" s="493">
        <v>0.5</v>
      </c>
      <c r="AJ53" s="587"/>
      <c r="AK53" s="587"/>
      <c r="AL53" s="587"/>
      <c r="AM53" s="587"/>
      <c r="AN53" s="587">
        <f t="shared" si="43"/>
        <v>0.5</v>
      </c>
      <c r="AO53" s="483"/>
      <c r="AP53" s="483"/>
      <c r="AQ53" s="493">
        <v>0.5</v>
      </c>
      <c r="AR53" s="483"/>
      <c r="AS53" s="483"/>
      <c r="AT53" s="483"/>
      <c r="AU53" s="483"/>
      <c r="AV53" s="483">
        <f t="shared" si="39"/>
        <v>0.5</v>
      </c>
      <c r="AW53" s="587"/>
      <c r="AX53" s="493">
        <v>0.5</v>
      </c>
      <c r="AY53" s="587"/>
      <c r="AZ53" s="587"/>
      <c r="BA53" s="587"/>
      <c r="BB53" s="587"/>
      <c r="BC53" s="587"/>
      <c r="BD53" s="587">
        <f t="shared" si="41"/>
        <v>0.5</v>
      </c>
      <c r="BE53" s="44">
        <f t="shared" si="21"/>
        <v>0</v>
      </c>
      <c r="BF53" s="44">
        <f t="shared" si="21"/>
        <v>1</v>
      </c>
      <c r="BG53" s="44">
        <f t="shared" si="21"/>
        <v>0.5</v>
      </c>
      <c r="BH53" s="44">
        <f t="shared" si="21"/>
        <v>0</v>
      </c>
      <c r="BI53" s="44">
        <f t="shared" si="21"/>
        <v>0</v>
      </c>
      <c r="BJ53" s="42">
        <f t="shared" si="17"/>
        <v>1.8</v>
      </c>
      <c r="BK53" s="44">
        <f t="shared" si="33"/>
        <v>0</v>
      </c>
      <c r="BL53" s="44">
        <f t="shared" si="33"/>
        <v>3.3</v>
      </c>
    </row>
    <row r="54" spans="1:64" ht="30.75" hidden="1" customHeight="1" x14ac:dyDescent="0.2">
      <c r="A54" s="298" t="s">
        <v>173</v>
      </c>
      <c r="B54" s="299" t="s">
        <v>169</v>
      </c>
      <c r="C54" s="1547"/>
      <c r="D54" s="1551"/>
      <c r="E54" s="1551"/>
      <c r="F54" s="1551"/>
      <c r="G54" s="1551"/>
      <c r="H54" s="1551"/>
      <c r="I54" s="1429"/>
      <c r="J54" s="1429" t="s">
        <v>53</v>
      </c>
      <c r="K54" s="1429" t="s">
        <v>186</v>
      </c>
      <c r="L54" s="301" t="s">
        <v>179</v>
      </c>
      <c r="M54" s="1425" t="s">
        <v>45</v>
      </c>
      <c r="N54" s="1425" t="s">
        <v>46</v>
      </c>
      <c r="O54" s="1425" t="s">
        <v>73</v>
      </c>
      <c r="P54" s="1425"/>
      <c r="Q54" s="16" t="s">
        <v>187</v>
      </c>
      <c r="R54" s="302" t="s">
        <v>188</v>
      </c>
      <c r="S54" s="303">
        <v>2015</v>
      </c>
      <c r="T54" s="303">
        <v>1</v>
      </c>
      <c r="U54" s="303">
        <v>1</v>
      </c>
      <c r="V54" s="572">
        <v>1</v>
      </c>
      <c r="W54" s="572">
        <v>1</v>
      </c>
      <c r="X54" s="572">
        <v>1</v>
      </c>
      <c r="Y54" s="572">
        <v>1</v>
      </c>
      <c r="Z54" s="481"/>
      <c r="AA54" s="481">
        <v>24</v>
      </c>
      <c r="AB54" s="481">
        <v>7.3</v>
      </c>
      <c r="AC54" s="481"/>
      <c r="AD54" s="481"/>
      <c r="AE54" s="481"/>
      <c r="AF54" s="481"/>
      <c r="AG54" s="481">
        <f t="shared" si="42"/>
        <v>31.3</v>
      </c>
      <c r="AH54" s="548"/>
      <c r="AI54" s="491">
        <v>22</v>
      </c>
      <c r="AJ54" s="548">
        <v>22</v>
      </c>
      <c r="AK54" s="548"/>
      <c r="AL54" s="548"/>
      <c r="AM54" s="548"/>
      <c r="AN54" s="548">
        <f t="shared" si="43"/>
        <v>44</v>
      </c>
      <c r="AO54" s="481"/>
      <c r="AP54" s="481">
        <v>24</v>
      </c>
      <c r="AQ54" s="481">
        <v>22</v>
      </c>
      <c r="AR54" s="481"/>
      <c r="AS54" s="481"/>
      <c r="AT54" s="481"/>
      <c r="AU54" s="481"/>
      <c r="AV54" s="481">
        <f t="shared" si="39"/>
        <v>46</v>
      </c>
      <c r="AW54" s="548"/>
      <c r="AX54" s="491">
        <v>17.5</v>
      </c>
      <c r="AY54" s="548">
        <v>17</v>
      </c>
      <c r="AZ54" s="548"/>
      <c r="BA54" s="548"/>
      <c r="BB54" s="548"/>
      <c r="BC54" s="548"/>
      <c r="BD54" s="548">
        <f t="shared" si="41"/>
        <v>34.5</v>
      </c>
      <c r="BE54" s="42">
        <f t="shared" si="21"/>
        <v>0</v>
      </c>
      <c r="BF54" s="42">
        <f t="shared" si="21"/>
        <v>87.5</v>
      </c>
      <c r="BG54" s="42">
        <f t="shared" si="21"/>
        <v>68.3</v>
      </c>
      <c r="BH54" s="42">
        <f t="shared" si="21"/>
        <v>0</v>
      </c>
      <c r="BI54" s="42">
        <f t="shared" si="21"/>
        <v>0</v>
      </c>
      <c r="BJ54" s="42">
        <f t="shared" si="17"/>
        <v>0</v>
      </c>
      <c r="BK54" s="42">
        <f t="shared" si="33"/>
        <v>0</v>
      </c>
      <c r="BL54" s="42">
        <f t="shared" si="33"/>
        <v>155.80000000000001</v>
      </c>
    </row>
    <row r="55" spans="1:64" ht="27.75" hidden="1" customHeight="1" x14ac:dyDescent="0.2">
      <c r="A55" s="298" t="s">
        <v>173</v>
      </c>
      <c r="B55" s="299" t="s">
        <v>169</v>
      </c>
      <c r="C55" s="1547"/>
      <c r="D55" s="1551"/>
      <c r="E55" s="1551"/>
      <c r="F55" s="1551"/>
      <c r="G55" s="1551"/>
      <c r="H55" s="1551"/>
      <c r="I55" s="1429"/>
      <c r="J55" s="1429"/>
      <c r="K55" s="1429" t="s">
        <v>189</v>
      </c>
      <c r="L55" s="301" t="s">
        <v>179</v>
      </c>
      <c r="M55" s="1425" t="s">
        <v>45</v>
      </c>
      <c r="N55" s="1425" t="s">
        <v>46</v>
      </c>
      <c r="O55" s="1425" t="s">
        <v>47</v>
      </c>
      <c r="P55" s="1425"/>
      <c r="Q55" s="16" t="s">
        <v>190</v>
      </c>
      <c r="R55" s="302" t="s">
        <v>191</v>
      </c>
      <c r="S55" s="303">
        <v>2015</v>
      </c>
      <c r="T55" s="303">
        <v>0</v>
      </c>
      <c r="U55" s="303">
        <v>5</v>
      </c>
      <c r="V55" s="572">
        <v>15</v>
      </c>
      <c r="W55" s="572">
        <v>25</v>
      </c>
      <c r="X55" s="572">
        <v>40</v>
      </c>
      <c r="Y55" s="572">
        <v>40</v>
      </c>
      <c r="Z55" s="481"/>
      <c r="AA55" s="481">
        <v>2</v>
      </c>
      <c r="AB55" s="481"/>
      <c r="AC55" s="481"/>
      <c r="AD55" s="481"/>
      <c r="AE55" s="481"/>
      <c r="AF55" s="481"/>
      <c r="AG55" s="481">
        <f t="shared" si="42"/>
        <v>2</v>
      </c>
      <c r="AH55" s="548"/>
      <c r="AI55" s="548">
        <v>2</v>
      </c>
      <c r="AJ55" s="548"/>
      <c r="AK55" s="548"/>
      <c r="AL55" s="548"/>
      <c r="AM55" s="548"/>
      <c r="AN55" s="548">
        <f t="shared" si="43"/>
        <v>2</v>
      </c>
      <c r="AO55" s="481"/>
      <c r="AP55" s="481">
        <v>2</v>
      </c>
      <c r="AQ55" s="481"/>
      <c r="AR55" s="481"/>
      <c r="AS55" s="481"/>
      <c r="AT55" s="481"/>
      <c r="AU55" s="481"/>
      <c r="AV55" s="481">
        <f t="shared" si="39"/>
        <v>2</v>
      </c>
      <c r="AW55" s="548"/>
      <c r="AX55" s="548">
        <v>2</v>
      </c>
      <c r="AY55" s="548"/>
      <c r="AZ55" s="548"/>
      <c r="BA55" s="548">
        <f>34896-34383</f>
        <v>513</v>
      </c>
      <c r="BB55" s="548"/>
      <c r="BC55" s="548"/>
      <c r="BD55" s="548">
        <f t="shared" si="41"/>
        <v>515</v>
      </c>
      <c r="BE55" s="42">
        <f t="shared" si="21"/>
        <v>0</v>
      </c>
      <c r="BF55" s="42">
        <f t="shared" si="21"/>
        <v>8</v>
      </c>
      <c r="BG55" s="42">
        <f t="shared" si="21"/>
        <v>0</v>
      </c>
      <c r="BH55" s="42">
        <f t="shared" si="21"/>
        <v>0</v>
      </c>
      <c r="BI55" s="42">
        <f t="shared" si="21"/>
        <v>513</v>
      </c>
      <c r="BJ55" s="42">
        <f t="shared" si="17"/>
        <v>0</v>
      </c>
      <c r="BK55" s="42">
        <f t="shared" si="33"/>
        <v>0</v>
      </c>
      <c r="BL55" s="42">
        <f t="shared" si="33"/>
        <v>521</v>
      </c>
    </row>
    <row r="56" spans="1:64" ht="23.25" hidden="1" customHeight="1" x14ac:dyDescent="0.2">
      <c r="A56" s="298" t="s">
        <v>173</v>
      </c>
      <c r="B56" s="299" t="s">
        <v>169</v>
      </c>
      <c r="C56" s="1547"/>
      <c r="D56" s="1551"/>
      <c r="E56" s="1551"/>
      <c r="F56" s="1551"/>
      <c r="G56" s="1551"/>
      <c r="H56" s="1551"/>
      <c r="I56" s="1429"/>
      <c r="J56" s="1429" t="s">
        <v>53</v>
      </c>
      <c r="K56" s="1429" t="s">
        <v>192</v>
      </c>
      <c r="L56" s="301" t="s">
        <v>179</v>
      </c>
      <c r="M56" s="1425" t="s">
        <v>45</v>
      </c>
      <c r="N56" s="1425" t="s">
        <v>46</v>
      </c>
      <c r="O56" s="1425" t="s">
        <v>73</v>
      </c>
      <c r="P56" s="1425"/>
      <c r="Q56" s="16" t="s">
        <v>193</v>
      </c>
      <c r="R56" s="302" t="s">
        <v>194</v>
      </c>
      <c r="S56" s="303">
        <v>2015</v>
      </c>
      <c r="T56" s="303">
        <v>0</v>
      </c>
      <c r="U56" s="303">
        <v>1</v>
      </c>
      <c r="V56" s="572">
        <v>1</v>
      </c>
      <c r="W56" s="572">
        <v>1</v>
      </c>
      <c r="X56" s="572">
        <v>1</v>
      </c>
      <c r="Y56" s="572">
        <v>1</v>
      </c>
      <c r="Z56" s="483"/>
      <c r="AA56" s="483"/>
      <c r="AB56" s="483"/>
      <c r="AC56" s="483"/>
      <c r="AD56" s="483"/>
      <c r="AE56" s="493">
        <v>6.61</v>
      </c>
      <c r="AF56" s="483"/>
      <c r="AG56" s="483">
        <f t="shared" si="42"/>
        <v>6.61</v>
      </c>
      <c r="AH56" s="587"/>
      <c r="AI56" s="493">
        <v>0.5</v>
      </c>
      <c r="AJ56" s="587"/>
      <c r="AK56" s="587"/>
      <c r="AL56" s="587"/>
      <c r="AM56" s="587"/>
      <c r="AN56" s="587">
        <f t="shared" si="43"/>
        <v>0.5</v>
      </c>
      <c r="AO56" s="483"/>
      <c r="AP56" s="483"/>
      <c r="AQ56" s="493">
        <v>0.5</v>
      </c>
      <c r="AR56" s="483"/>
      <c r="AS56" s="483"/>
      <c r="AT56" s="483"/>
      <c r="AU56" s="483"/>
      <c r="AV56" s="483">
        <f t="shared" si="39"/>
        <v>0.5</v>
      </c>
      <c r="AW56" s="587"/>
      <c r="AX56" s="493">
        <v>0.5</v>
      </c>
      <c r="AY56" s="587"/>
      <c r="AZ56" s="587"/>
      <c r="BA56" s="587"/>
      <c r="BB56" s="587"/>
      <c r="BC56" s="587"/>
      <c r="BD56" s="587">
        <f t="shared" si="41"/>
        <v>0.5</v>
      </c>
      <c r="BE56" s="44">
        <f t="shared" si="21"/>
        <v>0</v>
      </c>
      <c r="BF56" s="44">
        <f t="shared" si="21"/>
        <v>1</v>
      </c>
      <c r="BG56" s="44">
        <f t="shared" si="21"/>
        <v>0.5</v>
      </c>
      <c r="BH56" s="44">
        <f t="shared" si="21"/>
        <v>0</v>
      </c>
      <c r="BI56" s="44">
        <f t="shared" si="21"/>
        <v>0</v>
      </c>
      <c r="BJ56" s="42">
        <f t="shared" si="17"/>
        <v>6.61</v>
      </c>
      <c r="BK56" s="44">
        <f t="shared" si="33"/>
        <v>0</v>
      </c>
      <c r="BL56" s="44">
        <f t="shared" si="33"/>
        <v>8.11</v>
      </c>
    </row>
    <row r="57" spans="1:64" ht="33.75" hidden="1" customHeight="1" x14ac:dyDescent="0.2">
      <c r="A57" s="298" t="s">
        <v>173</v>
      </c>
      <c r="B57" s="299" t="s">
        <v>169</v>
      </c>
      <c r="C57" s="1547"/>
      <c r="D57" s="1551"/>
      <c r="E57" s="1551"/>
      <c r="F57" s="1551"/>
      <c r="G57" s="1551"/>
      <c r="H57" s="1551"/>
      <c r="I57" s="1429"/>
      <c r="J57" s="1429"/>
      <c r="K57" s="1429" t="s">
        <v>195</v>
      </c>
      <c r="L57" s="301" t="s">
        <v>179</v>
      </c>
      <c r="M57" s="1425" t="s">
        <v>45</v>
      </c>
      <c r="N57" s="1425" t="s">
        <v>46</v>
      </c>
      <c r="O57" s="1425" t="s">
        <v>47</v>
      </c>
      <c r="P57" s="1425"/>
      <c r="Q57" s="16" t="s">
        <v>196</v>
      </c>
      <c r="R57" s="302" t="s">
        <v>197</v>
      </c>
      <c r="S57" s="303">
        <v>2015</v>
      </c>
      <c r="T57" s="303">
        <v>0</v>
      </c>
      <c r="U57" s="303">
        <v>4</v>
      </c>
      <c r="V57" s="572">
        <v>8</v>
      </c>
      <c r="W57" s="572">
        <v>12</v>
      </c>
      <c r="X57" s="572">
        <v>16</v>
      </c>
      <c r="Y57" s="572">
        <v>16</v>
      </c>
      <c r="Z57" s="481"/>
      <c r="AA57" s="481"/>
      <c r="AB57" s="481"/>
      <c r="AC57" s="481"/>
      <c r="AD57" s="481"/>
      <c r="AE57" s="491">
        <v>5.29</v>
      </c>
      <c r="AF57" s="481"/>
      <c r="AG57" s="481">
        <f t="shared" si="42"/>
        <v>5.29</v>
      </c>
      <c r="AH57" s="548"/>
      <c r="AI57" s="493">
        <v>0.5</v>
      </c>
      <c r="AJ57" s="548"/>
      <c r="AK57" s="548"/>
      <c r="AL57" s="548"/>
      <c r="AM57" s="548"/>
      <c r="AN57" s="548">
        <f t="shared" si="43"/>
        <v>0.5</v>
      </c>
      <c r="AO57" s="481"/>
      <c r="AP57" s="483"/>
      <c r="AQ57" s="493">
        <v>0.5</v>
      </c>
      <c r="AR57" s="481"/>
      <c r="AS57" s="481"/>
      <c r="AT57" s="481"/>
      <c r="AU57" s="481"/>
      <c r="AV57" s="481">
        <f t="shared" si="39"/>
        <v>0.5</v>
      </c>
      <c r="AW57" s="548"/>
      <c r="AX57" s="493">
        <v>0.5</v>
      </c>
      <c r="AY57" s="548"/>
      <c r="AZ57" s="548"/>
      <c r="BA57" s="548"/>
      <c r="BB57" s="548"/>
      <c r="BC57" s="548"/>
      <c r="BD57" s="548">
        <f t="shared" si="41"/>
        <v>0.5</v>
      </c>
      <c r="BE57" s="42">
        <f t="shared" si="21"/>
        <v>0</v>
      </c>
      <c r="BF57" s="42">
        <f t="shared" si="21"/>
        <v>1</v>
      </c>
      <c r="BG57" s="42">
        <f t="shared" si="21"/>
        <v>0.5</v>
      </c>
      <c r="BH57" s="42">
        <f t="shared" si="21"/>
        <v>0</v>
      </c>
      <c r="BI57" s="42">
        <f t="shared" si="21"/>
        <v>0</v>
      </c>
      <c r="BJ57" s="42">
        <f t="shared" si="17"/>
        <v>5.29</v>
      </c>
      <c r="BK57" s="42">
        <f t="shared" si="33"/>
        <v>0</v>
      </c>
      <c r="BL57" s="42">
        <f t="shared" si="33"/>
        <v>6.79</v>
      </c>
    </row>
    <row r="58" spans="1:64" ht="30" hidden="1" customHeight="1" x14ac:dyDescent="0.2">
      <c r="A58" s="298" t="s">
        <v>173</v>
      </c>
      <c r="B58" s="299" t="s">
        <v>169</v>
      </c>
      <c r="C58" s="1547"/>
      <c r="D58" s="1551"/>
      <c r="E58" s="1551"/>
      <c r="F58" s="1551"/>
      <c r="G58" s="1551"/>
      <c r="H58" s="1551"/>
      <c r="I58" s="1429"/>
      <c r="J58" s="1429"/>
      <c r="K58" s="1429" t="s">
        <v>198</v>
      </c>
      <c r="L58" s="301" t="s">
        <v>179</v>
      </c>
      <c r="M58" s="1425" t="s">
        <v>45</v>
      </c>
      <c r="N58" s="1425" t="s">
        <v>46</v>
      </c>
      <c r="O58" s="1425" t="s">
        <v>73</v>
      </c>
      <c r="P58" s="1425"/>
      <c r="Q58" s="16" t="s">
        <v>199</v>
      </c>
      <c r="R58" s="302" t="s">
        <v>200</v>
      </c>
      <c r="S58" s="303">
        <v>2015</v>
      </c>
      <c r="T58" s="303">
        <v>3</v>
      </c>
      <c r="U58" s="303">
        <v>4</v>
      </c>
      <c r="V58" s="572">
        <v>4</v>
      </c>
      <c r="W58" s="572">
        <v>4</v>
      </c>
      <c r="X58" s="572">
        <v>4</v>
      </c>
      <c r="Y58" s="572">
        <v>4</v>
      </c>
      <c r="Z58" s="481"/>
      <c r="AA58" s="481"/>
      <c r="AB58" s="481">
        <v>7</v>
      </c>
      <c r="AC58" s="481"/>
      <c r="AD58" s="481"/>
      <c r="AE58" s="481"/>
      <c r="AF58" s="481"/>
      <c r="AG58" s="481">
        <f t="shared" si="42"/>
        <v>7</v>
      </c>
      <c r="AH58" s="548"/>
      <c r="AI58" s="493">
        <v>0.5</v>
      </c>
      <c r="AJ58" s="548"/>
      <c r="AK58" s="548"/>
      <c r="AL58" s="548"/>
      <c r="AM58" s="548"/>
      <c r="AN58" s="548">
        <f t="shared" si="43"/>
        <v>0.5</v>
      </c>
      <c r="AO58" s="481"/>
      <c r="AP58" s="483"/>
      <c r="AQ58" s="493">
        <v>0.5</v>
      </c>
      <c r="AR58" s="481"/>
      <c r="AS58" s="481"/>
      <c r="AT58" s="481"/>
      <c r="AU58" s="481"/>
      <c r="AV58" s="481">
        <f t="shared" si="39"/>
        <v>0.5</v>
      </c>
      <c r="AW58" s="548"/>
      <c r="AX58" s="493">
        <v>0.5</v>
      </c>
      <c r="AY58" s="491">
        <v>10</v>
      </c>
      <c r="AZ58" s="548"/>
      <c r="BA58" s="548"/>
      <c r="BB58" s="548"/>
      <c r="BC58" s="548"/>
      <c r="BD58" s="548">
        <f t="shared" si="41"/>
        <v>10.5</v>
      </c>
      <c r="BE58" s="42">
        <f t="shared" si="21"/>
        <v>0</v>
      </c>
      <c r="BF58" s="42">
        <f t="shared" si="21"/>
        <v>1</v>
      </c>
      <c r="BG58" s="42">
        <f t="shared" si="21"/>
        <v>17.5</v>
      </c>
      <c r="BH58" s="42">
        <f t="shared" si="21"/>
        <v>0</v>
      </c>
      <c r="BI58" s="42">
        <f t="shared" si="21"/>
        <v>0</v>
      </c>
      <c r="BJ58" s="42">
        <f t="shared" si="17"/>
        <v>0</v>
      </c>
      <c r="BK58" s="42">
        <f t="shared" si="33"/>
        <v>0</v>
      </c>
      <c r="BL58" s="42">
        <f t="shared" si="33"/>
        <v>18.5</v>
      </c>
    </row>
    <row r="59" spans="1:64" ht="35.25" hidden="1" customHeight="1" x14ac:dyDescent="0.2">
      <c r="A59" s="298" t="s">
        <v>173</v>
      </c>
      <c r="B59" s="299" t="s">
        <v>169</v>
      </c>
      <c r="C59" s="1547"/>
      <c r="D59" s="1551"/>
      <c r="E59" s="1551"/>
      <c r="F59" s="1551"/>
      <c r="G59" s="1551"/>
      <c r="H59" s="1551"/>
      <c r="I59" s="1429"/>
      <c r="J59" s="1429"/>
      <c r="K59" s="1429" t="s">
        <v>201</v>
      </c>
      <c r="L59" s="301" t="s">
        <v>179</v>
      </c>
      <c r="M59" s="1425" t="s">
        <v>45</v>
      </c>
      <c r="N59" s="1425" t="s">
        <v>46</v>
      </c>
      <c r="O59" s="1425" t="s">
        <v>47</v>
      </c>
      <c r="P59" s="1425"/>
      <c r="Q59" s="16" t="s">
        <v>202</v>
      </c>
      <c r="R59" s="302" t="s">
        <v>203</v>
      </c>
      <c r="S59" s="303">
        <v>2015</v>
      </c>
      <c r="T59" s="303">
        <v>2</v>
      </c>
      <c r="U59" s="303">
        <v>1</v>
      </c>
      <c r="V59" s="572">
        <v>2</v>
      </c>
      <c r="W59" s="572">
        <v>4</v>
      </c>
      <c r="X59" s="572">
        <v>6</v>
      </c>
      <c r="Y59" s="572">
        <v>6</v>
      </c>
      <c r="Z59" s="481"/>
      <c r="AA59" s="481"/>
      <c r="AB59" s="481">
        <v>7</v>
      </c>
      <c r="AC59" s="481"/>
      <c r="AD59" s="481"/>
      <c r="AE59" s="481"/>
      <c r="AF59" s="481"/>
      <c r="AG59" s="481">
        <f t="shared" si="42"/>
        <v>7</v>
      </c>
      <c r="AH59" s="548"/>
      <c r="AI59" s="548"/>
      <c r="AJ59" s="548">
        <v>14</v>
      </c>
      <c r="AK59" s="548"/>
      <c r="AL59" s="548"/>
      <c r="AM59" s="548"/>
      <c r="AN59" s="548">
        <f t="shared" si="43"/>
        <v>14</v>
      </c>
      <c r="AO59" s="481"/>
      <c r="AP59" s="483"/>
      <c r="AQ59" s="491">
        <v>8.5</v>
      </c>
      <c r="AR59" s="481"/>
      <c r="AS59" s="481"/>
      <c r="AT59" s="481"/>
      <c r="AU59" s="481"/>
      <c r="AV59" s="481">
        <f t="shared" si="39"/>
        <v>8.5</v>
      </c>
      <c r="AW59" s="548"/>
      <c r="AX59" s="548"/>
      <c r="AY59" s="548">
        <v>15</v>
      </c>
      <c r="AZ59" s="548"/>
      <c r="BA59" s="548"/>
      <c r="BB59" s="548"/>
      <c r="BC59" s="548"/>
      <c r="BD59" s="548">
        <f t="shared" si="41"/>
        <v>15</v>
      </c>
      <c r="BE59" s="42">
        <f t="shared" si="21"/>
        <v>0</v>
      </c>
      <c r="BF59" s="42">
        <f t="shared" si="21"/>
        <v>0</v>
      </c>
      <c r="BG59" s="42">
        <f t="shared" si="21"/>
        <v>44.5</v>
      </c>
      <c r="BH59" s="42">
        <f t="shared" si="21"/>
        <v>0</v>
      </c>
      <c r="BI59" s="42">
        <f t="shared" si="21"/>
        <v>0</v>
      </c>
      <c r="BJ59" s="42">
        <f t="shared" si="17"/>
        <v>0</v>
      </c>
      <c r="BK59" s="42">
        <f t="shared" si="33"/>
        <v>0</v>
      </c>
      <c r="BL59" s="42">
        <f t="shared" si="33"/>
        <v>44.5</v>
      </c>
    </row>
    <row r="60" spans="1:64" ht="26.25" hidden="1" customHeight="1" x14ac:dyDescent="0.2">
      <c r="A60" s="298" t="s">
        <v>173</v>
      </c>
      <c r="B60" s="299" t="s">
        <v>169</v>
      </c>
      <c r="C60" s="1547"/>
      <c r="D60" s="1551"/>
      <c r="E60" s="1551"/>
      <c r="F60" s="1551"/>
      <c r="G60" s="1551"/>
      <c r="H60" s="1551"/>
      <c r="I60" s="1429"/>
      <c r="J60" s="1429"/>
      <c r="K60" s="1429" t="s">
        <v>204</v>
      </c>
      <c r="L60" s="301" t="s">
        <v>179</v>
      </c>
      <c r="M60" s="1425" t="s">
        <v>45</v>
      </c>
      <c r="N60" s="1425" t="s">
        <v>46</v>
      </c>
      <c r="O60" s="1425" t="s">
        <v>47</v>
      </c>
      <c r="P60" s="1425"/>
      <c r="Q60" s="16" t="s">
        <v>205</v>
      </c>
      <c r="R60" s="302" t="s">
        <v>206</v>
      </c>
      <c r="S60" s="303">
        <v>2015</v>
      </c>
      <c r="T60" s="303">
        <v>0</v>
      </c>
      <c r="U60" s="303">
        <v>1</v>
      </c>
      <c r="V60" s="572">
        <v>2</v>
      </c>
      <c r="W60" s="572">
        <v>3</v>
      </c>
      <c r="X60" s="572">
        <v>4</v>
      </c>
      <c r="Y60" s="572">
        <v>4</v>
      </c>
      <c r="Z60" s="481"/>
      <c r="AA60" s="481"/>
      <c r="AB60" s="491">
        <v>8.8000000000000007</v>
      </c>
      <c r="AC60" s="481"/>
      <c r="AD60" s="481"/>
      <c r="AE60" s="491">
        <v>1</v>
      </c>
      <c r="AF60" s="481"/>
      <c r="AG60" s="481">
        <f t="shared" si="42"/>
        <v>9.8000000000000007</v>
      </c>
      <c r="AH60" s="548"/>
      <c r="AI60" s="493">
        <v>0.5</v>
      </c>
      <c r="AJ60" s="548"/>
      <c r="AK60" s="548"/>
      <c r="AL60" s="548"/>
      <c r="AM60" s="548"/>
      <c r="AN60" s="548">
        <f t="shared" si="43"/>
        <v>0.5</v>
      </c>
      <c r="AO60" s="481"/>
      <c r="AP60" s="483"/>
      <c r="AQ60" s="493">
        <v>0.5</v>
      </c>
      <c r="AR60" s="481"/>
      <c r="AS60" s="481"/>
      <c r="AT60" s="481"/>
      <c r="AU60" s="481"/>
      <c r="AV60" s="481">
        <f t="shared" si="39"/>
        <v>0.5</v>
      </c>
      <c r="AW60" s="548"/>
      <c r="AX60" s="493">
        <v>0.5</v>
      </c>
      <c r="AY60" s="548"/>
      <c r="AZ60" s="548"/>
      <c r="BA60" s="548"/>
      <c r="BB60" s="548"/>
      <c r="BC60" s="548"/>
      <c r="BD60" s="548">
        <f t="shared" si="41"/>
        <v>0.5</v>
      </c>
      <c r="BE60" s="42"/>
      <c r="BF60" s="42"/>
      <c r="BG60" s="42"/>
      <c r="BH60" s="42"/>
      <c r="BI60" s="42"/>
      <c r="BJ60" s="42">
        <f t="shared" si="17"/>
        <v>1</v>
      </c>
      <c r="BK60" s="42"/>
      <c r="BL60" s="42"/>
    </row>
    <row r="61" spans="1:64" ht="30.75" hidden="1" customHeight="1" x14ac:dyDescent="0.2">
      <c r="A61" s="298" t="s">
        <v>173</v>
      </c>
      <c r="B61" s="299" t="s">
        <v>169</v>
      </c>
      <c r="C61" s="1547"/>
      <c r="D61" s="1549"/>
      <c r="E61" s="1549"/>
      <c r="F61" s="1551"/>
      <c r="G61" s="1551"/>
      <c r="H61" s="1551"/>
      <c r="I61" s="1429" t="s">
        <v>53</v>
      </c>
      <c r="J61" s="1429"/>
      <c r="K61" s="1429" t="s">
        <v>207</v>
      </c>
      <c r="L61" s="301" t="s">
        <v>179</v>
      </c>
      <c r="M61" s="1425" t="s">
        <v>45</v>
      </c>
      <c r="N61" s="1425" t="s">
        <v>46</v>
      </c>
      <c r="O61" s="1425" t="s">
        <v>47</v>
      </c>
      <c r="P61" s="1425"/>
      <c r="Q61" s="16" t="s">
        <v>208</v>
      </c>
      <c r="R61" s="302" t="s">
        <v>209</v>
      </c>
      <c r="S61" s="303">
        <v>2015</v>
      </c>
      <c r="T61" s="303">
        <v>0</v>
      </c>
      <c r="U61" s="303">
        <v>1</v>
      </c>
      <c r="V61" s="572">
        <v>1</v>
      </c>
      <c r="W61" s="572">
        <v>1</v>
      </c>
      <c r="X61" s="572">
        <v>1</v>
      </c>
      <c r="Y61" s="572">
        <v>1</v>
      </c>
      <c r="Z61" s="481">
        <v>5</v>
      </c>
      <c r="AA61" s="481"/>
      <c r="AB61" s="481"/>
      <c r="AC61" s="481"/>
      <c r="AD61" s="481"/>
      <c r="AE61" s="481"/>
      <c r="AF61" s="481"/>
      <c r="AG61" s="481">
        <f t="shared" si="42"/>
        <v>5</v>
      </c>
      <c r="AH61" s="548"/>
      <c r="AI61" s="493">
        <v>0.5</v>
      </c>
      <c r="AJ61" s="548"/>
      <c r="AK61" s="548"/>
      <c r="AL61" s="548"/>
      <c r="AM61" s="548"/>
      <c r="AN61" s="548">
        <f t="shared" si="43"/>
        <v>0.5</v>
      </c>
      <c r="AO61" s="481"/>
      <c r="AP61" s="483"/>
      <c r="AQ61" s="493">
        <v>0.5</v>
      </c>
      <c r="AR61" s="481"/>
      <c r="AS61" s="481"/>
      <c r="AT61" s="481"/>
      <c r="AU61" s="481"/>
      <c r="AV61" s="481">
        <f t="shared" si="39"/>
        <v>0.5</v>
      </c>
      <c r="AW61" s="548"/>
      <c r="AX61" s="493">
        <v>0.5</v>
      </c>
      <c r="AY61" s="548"/>
      <c r="AZ61" s="548"/>
      <c r="BA61" s="548"/>
      <c r="BB61" s="548"/>
      <c r="BC61" s="548"/>
      <c r="BD61" s="548">
        <f t="shared" si="41"/>
        <v>0.5</v>
      </c>
      <c r="BE61" s="42">
        <f t="shared" si="21"/>
        <v>5</v>
      </c>
      <c r="BF61" s="42">
        <f t="shared" si="21"/>
        <v>1</v>
      </c>
      <c r="BG61" s="42">
        <f t="shared" si="21"/>
        <v>0.5</v>
      </c>
      <c r="BH61" s="42">
        <f t="shared" si="21"/>
        <v>0</v>
      </c>
      <c r="BI61" s="42">
        <f t="shared" si="21"/>
        <v>0</v>
      </c>
      <c r="BJ61" s="42">
        <f t="shared" si="17"/>
        <v>0</v>
      </c>
      <c r="BK61" s="42">
        <f t="shared" si="33"/>
        <v>0</v>
      </c>
      <c r="BL61" s="42">
        <f t="shared" si="33"/>
        <v>6.5</v>
      </c>
    </row>
    <row r="62" spans="1:64" ht="22.5" hidden="1" customHeight="1" x14ac:dyDescent="0.2">
      <c r="A62" s="298" t="s">
        <v>173</v>
      </c>
      <c r="B62" s="299" t="s">
        <v>169</v>
      </c>
      <c r="C62" s="1547"/>
      <c r="D62" s="1551"/>
      <c r="E62" s="1551"/>
      <c r="F62" s="1551"/>
      <c r="G62" s="1551"/>
      <c r="H62" s="1551"/>
      <c r="I62" s="1429"/>
      <c r="J62" s="1429"/>
      <c r="K62" s="1429" t="s">
        <v>210</v>
      </c>
      <c r="L62" s="301" t="s">
        <v>179</v>
      </c>
      <c r="M62" s="1425" t="s">
        <v>45</v>
      </c>
      <c r="N62" s="1425" t="s">
        <v>46</v>
      </c>
      <c r="O62" s="1425" t="s">
        <v>47</v>
      </c>
      <c r="P62" s="1425"/>
      <c r="Q62" s="16" t="s">
        <v>211</v>
      </c>
      <c r="R62" s="302" t="s">
        <v>212</v>
      </c>
      <c r="S62" s="303">
        <v>2015</v>
      </c>
      <c r="T62" s="303">
        <v>1</v>
      </c>
      <c r="U62" s="303">
        <v>1</v>
      </c>
      <c r="V62" s="572">
        <v>2</v>
      </c>
      <c r="W62" s="572">
        <v>3</v>
      </c>
      <c r="X62" s="572">
        <v>4</v>
      </c>
      <c r="Y62" s="572">
        <v>4</v>
      </c>
      <c r="Z62" s="481">
        <v>21</v>
      </c>
      <c r="AA62" s="481">
        <v>7</v>
      </c>
      <c r="AB62" s="481">
        <v>5</v>
      </c>
      <c r="AC62" s="481"/>
      <c r="AD62" s="481"/>
      <c r="AE62" s="481">
        <v>12</v>
      </c>
      <c r="AF62" s="481"/>
      <c r="AG62" s="481">
        <f t="shared" si="42"/>
        <v>45</v>
      </c>
      <c r="AH62" s="548"/>
      <c r="AI62" s="493">
        <v>0.5</v>
      </c>
      <c r="AJ62" s="548"/>
      <c r="AK62" s="548"/>
      <c r="AL62" s="548"/>
      <c r="AM62" s="548"/>
      <c r="AN62" s="548">
        <f t="shared" si="43"/>
        <v>0.5</v>
      </c>
      <c r="AO62" s="481"/>
      <c r="AP62" s="483"/>
      <c r="AQ62" s="493">
        <v>0.5</v>
      </c>
      <c r="AR62" s="481"/>
      <c r="AS62" s="481"/>
      <c r="AT62" s="481"/>
      <c r="AU62" s="481"/>
      <c r="AV62" s="481">
        <f t="shared" si="39"/>
        <v>0.5</v>
      </c>
      <c r="AW62" s="548"/>
      <c r="AX62" s="493">
        <v>0.5</v>
      </c>
      <c r="AY62" s="548"/>
      <c r="AZ62" s="548"/>
      <c r="BA62" s="548"/>
      <c r="BB62" s="548"/>
      <c r="BC62" s="548"/>
      <c r="BD62" s="548">
        <f t="shared" si="41"/>
        <v>0.5</v>
      </c>
      <c r="BE62" s="42">
        <f t="shared" si="21"/>
        <v>21</v>
      </c>
      <c r="BF62" s="42">
        <f t="shared" si="21"/>
        <v>8</v>
      </c>
      <c r="BG62" s="42">
        <f t="shared" si="21"/>
        <v>5.5</v>
      </c>
      <c r="BH62" s="42">
        <f t="shared" si="21"/>
        <v>0</v>
      </c>
      <c r="BI62" s="42">
        <f t="shared" si="21"/>
        <v>0</v>
      </c>
      <c r="BJ62" s="42">
        <f t="shared" si="17"/>
        <v>12</v>
      </c>
      <c r="BK62" s="42">
        <f t="shared" si="33"/>
        <v>0</v>
      </c>
      <c r="BL62" s="42">
        <f t="shared" si="33"/>
        <v>46.5</v>
      </c>
    </row>
    <row r="63" spans="1:64" ht="23.25" hidden="1" customHeight="1" x14ac:dyDescent="0.2">
      <c r="A63" s="298" t="s">
        <v>173</v>
      </c>
      <c r="B63" s="299" t="s">
        <v>169</v>
      </c>
      <c r="C63" s="1547"/>
      <c r="D63" s="1551"/>
      <c r="E63" s="1551"/>
      <c r="F63" s="1551"/>
      <c r="G63" s="1551"/>
      <c r="H63" s="1551"/>
      <c r="I63" s="1429"/>
      <c r="J63" s="1429"/>
      <c r="K63" s="1429" t="s">
        <v>213</v>
      </c>
      <c r="L63" s="301" t="s">
        <v>179</v>
      </c>
      <c r="M63" s="1425" t="s">
        <v>45</v>
      </c>
      <c r="N63" s="1425" t="s">
        <v>46</v>
      </c>
      <c r="O63" s="1425" t="s">
        <v>47</v>
      </c>
      <c r="P63" s="1425"/>
      <c r="Q63" s="71" t="s">
        <v>214</v>
      </c>
      <c r="R63" s="302" t="s">
        <v>215</v>
      </c>
      <c r="S63" s="303">
        <v>2015</v>
      </c>
      <c r="T63" s="303">
        <v>0</v>
      </c>
      <c r="U63" s="303">
        <v>0</v>
      </c>
      <c r="V63" s="572">
        <v>0</v>
      </c>
      <c r="W63" s="572">
        <v>1</v>
      </c>
      <c r="X63" s="572">
        <v>1</v>
      </c>
      <c r="Y63" s="572">
        <v>1</v>
      </c>
      <c r="Z63" s="483"/>
      <c r="AA63" s="483"/>
      <c r="AB63" s="483"/>
      <c r="AC63" s="483"/>
      <c r="AD63" s="483"/>
      <c r="AE63" s="483"/>
      <c r="AF63" s="483"/>
      <c r="AG63" s="483">
        <f t="shared" si="42"/>
        <v>0</v>
      </c>
      <c r="AH63" s="587"/>
      <c r="AI63" s="587"/>
      <c r="AJ63" s="587"/>
      <c r="AK63" s="587"/>
      <c r="AL63" s="587"/>
      <c r="AM63" s="587"/>
      <c r="AN63" s="587">
        <f t="shared" si="43"/>
        <v>0</v>
      </c>
      <c r="AO63" s="483"/>
      <c r="AP63" s="483"/>
      <c r="AQ63" s="493">
        <v>0.5</v>
      </c>
      <c r="AR63" s="483"/>
      <c r="AS63" s="483"/>
      <c r="AT63" s="483"/>
      <c r="AU63" s="483"/>
      <c r="AV63" s="483">
        <f t="shared" si="39"/>
        <v>0.5</v>
      </c>
      <c r="AW63" s="587"/>
      <c r="AX63" s="493">
        <v>0.5</v>
      </c>
      <c r="AY63" s="587"/>
      <c r="AZ63" s="587"/>
      <c r="BA63" s="587"/>
      <c r="BB63" s="587"/>
      <c r="BC63" s="587"/>
      <c r="BD63" s="587">
        <f t="shared" si="41"/>
        <v>0.5</v>
      </c>
      <c r="BE63" s="44">
        <f t="shared" ref="BE63:BI78" si="44">+AW63+AO63+AH63+Z63</f>
        <v>0</v>
      </c>
      <c r="BF63" s="44">
        <f t="shared" si="44"/>
        <v>0.5</v>
      </c>
      <c r="BG63" s="44">
        <f t="shared" si="44"/>
        <v>0.5</v>
      </c>
      <c r="BH63" s="44">
        <f t="shared" si="44"/>
        <v>0</v>
      </c>
      <c r="BI63" s="44">
        <f t="shared" si="44"/>
        <v>0</v>
      </c>
      <c r="BJ63" s="42">
        <f t="shared" si="17"/>
        <v>0</v>
      </c>
      <c r="BK63" s="44">
        <f t="shared" si="33"/>
        <v>0</v>
      </c>
      <c r="BL63" s="44">
        <f t="shared" si="33"/>
        <v>1</v>
      </c>
    </row>
    <row r="64" spans="1:64" ht="24.75" hidden="1" customHeight="1" x14ac:dyDescent="0.2">
      <c r="A64" s="298" t="s">
        <v>173</v>
      </c>
      <c r="B64" s="299" t="s">
        <v>169</v>
      </c>
      <c r="C64" s="1547"/>
      <c r="D64" s="1551"/>
      <c r="E64" s="1551"/>
      <c r="F64" s="1551"/>
      <c r="G64" s="1551"/>
      <c r="H64" s="1551"/>
      <c r="I64" s="1429"/>
      <c r="J64" s="1429"/>
      <c r="K64" s="1429" t="s">
        <v>216</v>
      </c>
      <c r="L64" s="301" t="s">
        <v>179</v>
      </c>
      <c r="M64" s="1425" t="s">
        <v>45</v>
      </c>
      <c r="N64" s="1425" t="s">
        <v>46</v>
      </c>
      <c r="O64" s="1425" t="s">
        <v>47</v>
      </c>
      <c r="P64" s="1425"/>
      <c r="Q64" s="16" t="s">
        <v>217</v>
      </c>
      <c r="R64" s="302" t="s">
        <v>218</v>
      </c>
      <c r="S64" s="303">
        <v>2015</v>
      </c>
      <c r="T64" s="303">
        <v>0</v>
      </c>
      <c r="U64" s="303">
        <v>0</v>
      </c>
      <c r="V64" s="572">
        <v>1</v>
      </c>
      <c r="W64" s="572">
        <v>1</v>
      </c>
      <c r="X64" s="572">
        <v>2</v>
      </c>
      <c r="Y64" s="572">
        <v>2</v>
      </c>
      <c r="Z64" s="483"/>
      <c r="AA64" s="483"/>
      <c r="AB64" s="483"/>
      <c r="AC64" s="483"/>
      <c r="AD64" s="483"/>
      <c r="AE64" s="483"/>
      <c r="AF64" s="483"/>
      <c r="AG64" s="483">
        <f t="shared" si="42"/>
        <v>0</v>
      </c>
      <c r="AH64" s="587"/>
      <c r="AI64" s="493">
        <v>0.5</v>
      </c>
      <c r="AJ64" s="587"/>
      <c r="AK64" s="587"/>
      <c r="AL64" s="587"/>
      <c r="AM64" s="587"/>
      <c r="AN64" s="587">
        <f t="shared" si="43"/>
        <v>0.5</v>
      </c>
      <c r="AO64" s="483"/>
      <c r="AP64" s="483"/>
      <c r="AQ64" s="493">
        <v>0.5</v>
      </c>
      <c r="AR64" s="483"/>
      <c r="AS64" s="483"/>
      <c r="AT64" s="483"/>
      <c r="AU64" s="483"/>
      <c r="AV64" s="483">
        <f t="shared" si="39"/>
        <v>0.5</v>
      </c>
      <c r="AW64" s="587"/>
      <c r="AX64" s="493">
        <v>0.5</v>
      </c>
      <c r="AY64" s="587"/>
      <c r="AZ64" s="587"/>
      <c r="BA64" s="587"/>
      <c r="BB64" s="587"/>
      <c r="BC64" s="587"/>
      <c r="BD64" s="587">
        <f t="shared" si="41"/>
        <v>0.5</v>
      </c>
      <c r="BE64" s="44">
        <f t="shared" si="44"/>
        <v>0</v>
      </c>
      <c r="BF64" s="44">
        <f t="shared" si="44"/>
        <v>1</v>
      </c>
      <c r="BG64" s="44">
        <f t="shared" si="44"/>
        <v>0.5</v>
      </c>
      <c r="BH64" s="44">
        <f t="shared" si="44"/>
        <v>0</v>
      </c>
      <c r="BI64" s="44">
        <f t="shared" si="44"/>
        <v>0</v>
      </c>
      <c r="BJ64" s="42">
        <f t="shared" si="17"/>
        <v>0</v>
      </c>
      <c r="BK64" s="44">
        <f t="shared" ref="BK64:BL96" si="45">+BC64+AU64+AM64+AF64</f>
        <v>0</v>
      </c>
      <c r="BL64" s="44">
        <f t="shared" si="45"/>
        <v>1.5</v>
      </c>
    </row>
    <row r="65" spans="1:64" ht="46.5" hidden="1" customHeight="1" x14ac:dyDescent="0.2">
      <c r="A65" s="298" t="s">
        <v>173</v>
      </c>
      <c r="B65" s="299" t="s">
        <v>169</v>
      </c>
      <c r="C65" s="1547"/>
      <c r="D65" s="1551"/>
      <c r="E65" s="1551"/>
      <c r="F65" s="1551"/>
      <c r="G65" s="1551"/>
      <c r="H65" s="1551"/>
      <c r="I65" s="1429"/>
      <c r="J65" s="1429" t="s">
        <v>53</v>
      </c>
      <c r="K65" s="1429" t="s">
        <v>219</v>
      </c>
      <c r="L65" s="301" t="s">
        <v>179</v>
      </c>
      <c r="M65" s="1425" t="s">
        <v>45</v>
      </c>
      <c r="N65" s="1425" t="s">
        <v>46</v>
      </c>
      <c r="O65" s="1425" t="s">
        <v>47</v>
      </c>
      <c r="P65" s="1425"/>
      <c r="Q65" s="16" t="s">
        <v>220</v>
      </c>
      <c r="R65" s="302" t="s">
        <v>221</v>
      </c>
      <c r="S65" s="303">
        <v>2015</v>
      </c>
      <c r="T65" s="303">
        <v>0</v>
      </c>
      <c r="U65" s="303">
        <v>1</v>
      </c>
      <c r="V65" s="572">
        <v>1</v>
      </c>
      <c r="W65" s="572">
        <v>1</v>
      </c>
      <c r="X65" s="572">
        <v>1</v>
      </c>
      <c r="Y65" s="572">
        <v>1</v>
      </c>
      <c r="Z65" s="491"/>
      <c r="AA65" s="481">
        <v>2</v>
      </c>
      <c r="AB65" s="481"/>
      <c r="AC65" s="481"/>
      <c r="AD65" s="481"/>
      <c r="AE65" s="481"/>
      <c r="AF65" s="481"/>
      <c r="AG65" s="481">
        <f t="shared" si="42"/>
        <v>2</v>
      </c>
      <c r="AH65" s="548"/>
      <c r="AI65" s="493">
        <v>0.5</v>
      </c>
      <c r="AJ65" s="548"/>
      <c r="AK65" s="548"/>
      <c r="AL65" s="548"/>
      <c r="AM65" s="548"/>
      <c r="AN65" s="548">
        <f t="shared" si="43"/>
        <v>0.5</v>
      </c>
      <c r="AO65" s="481"/>
      <c r="AP65" s="483"/>
      <c r="AQ65" s="493">
        <v>0.5</v>
      </c>
      <c r="AR65" s="481"/>
      <c r="AS65" s="481"/>
      <c r="AT65" s="481"/>
      <c r="AU65" s="481"/>
      <c r="AV65" s="481">
        <f t="shared" si="39"/>
        <v>0.5</v>
      </c>
      <c r="AW65" s="548"/>
      <c r="AX65" s="493">
        <v>0.5</v>
      </c>
      <c r="AY65" s="548"/>
      <c r="AZ65" s="548"/>
      <c r="BA65" s="548"/>
      <c r="BB65" s="548"/>
      <c r="BC65" s="548"/>
      <c r="BD65" s="548">
        <f t="shared" si="41"/>
        <v>0.5</v>
      </c>
      <c r="BE65" s="42">
        <f t="shared" si="44"/>
        <v>0</v>
      </c>
      <c r="BF65" s="42" t="e">
        <f>+AX65+AP65+AI65+#REF!</f>
        <v>#REF!</v>
      </c>
      <c r="BG65" s="42">
        <f t="shared" si="44"/>
        <v>0.5</v>
      </c>
      <c r="BH65" s="42">
        <f t="shared" si="44"/>
        <v>0</v>
      </c>
      <c r="BI65" s="42">
        <f t="shared" si="44"/>
        <v>0</v>
      </c>
      <c r="BJ65" s="42">
        <f t="shared" si="17"/>
        <v>0</v>
      </c>
      <c r="BK65" s="42">
        <f t="shared" si="45"/>
        <v>0</v>
      </c>
      <c r="BL65" s="42">
        <f t="shared" si="45"/>
        <v>3.5</v>
      </c>
    </row>
    <row r="66" spans="1:64" ht="37.5" hidden="1" customHeight="1" x14ac:dyDescent="0.2">
      <c r="A66" s="298" t="s">
        <v>173</v>
      </c>
      <c r="B66" s="299" t="s">
        <v>169</v>
      </c>
      <c r="C66" s="1547"/>
      <c r="D66" s="1551"/>
      <c r="E66" s="1551"/>
      <c r="F66" s="1551"/>
      <c r="G66" s="1551"/>
      <c r="H66" s="1551"/>
      <c r="I66" s="1429"/>
      <c r="J66" s="1429"/>
      <c r="K66" s="1429" t="s">
        <v>222</v>
      </c>
      <c r="L66" s="301" t="s">
        <v>179</v>
      </c>
      <c r="M66" s="1425" t="s">
        <v>45</v>
      </c>
      <c r="N66" s="1425" t="s">
        <v>46</v>
      </c>
      <c r="O66" s="1425" t="s">
        <v>47</v>
      </c>
      <c r="P66" s="1425"/>
      <c r="Q66" s="16" t="s">
        <v>223</v>
      </c>
      <c r="R66" s="302" t="s">
        <v>224</v>
      </c>
      <c r="S66" s="303">
        <v>2015</v>
      </c>
      <c r="T66" s="303">
        <v>0</v>
      </c>
      <c r="U66" s="303">
        <v>4</v>
      </c>
      <c r="V66" s="572">
        <v>8</v>
      </c>
      <c r="W66" s="572">
        <v>12</v>
      </c>
      <c r="X66" s="572">
        <v>16</v>
      </c>
      <c r="Y66" s="572">
        <v>16</v>
      </c>
      <c r="Z66" s="481"/>
      <c r="AA66" s="481">
        <v>2</v>
      </c>
      <c r="AB66" s="481"/>
      <c r="AC66" s="481"/>
      <c r="AD66" s="481"/>
      <c r="AE66" s="481"/>
      <c r="AF66" s="481"/>
      <c r="AG66" s="481">
        <f t="shared" si="42"/>
        <v>2</v>
      </c>
      <c r="AH66" s="548"/>
      <c r="AI66" s="548">
        <v>5</v>
      </c>
      <c r="AJ66" s="548"/>
      <c r="AK66" s="548"/>
      <c r="AL66" s="548"/>
      <c r="AM66" s="548"/>
      <c r="AN66" s="548">
        <f t="shared" si="43"/>
        <v>5</v>
      </c>
      <c r="AO66" s="481"/>
      <c r="AP66" s="481">
        <v>5</v>
      </c>
      <c r="AQ66" s="481"/>
      <c r="AR66" s="481"/>
      <c r="AS66" s="481"/>
      <c r="AT66" s="481"/>
      <c r="AU66" s="481"/>
      <c r="AV66" s="481">
        <f t="shared" si="39"/>
        <v>5</v>
      </c>
      <c r="AW66" s="548"/>
      <c r="AX66" s="548">
        <v>5</v>
      </c>
      <c r="AY66" s="548"/>
      <c r="AZ66" s="548"/>
      <c r="BA66" s="548"/>
      <c r="BB66" s="548"/>
      <c r="BC66" s="548"/>
      <c r="BD66" s="548">
        <f t="shared" si="41"/>
        <v>5</v>
      </c>
      <c r="BE66" s="42">
        <f t="shared" si="44"/>
        <v>0</v>
      </c>
      <c r="BF66" s="42">
        <f t="shared" si="44"/>
        <v>17</v>
      </c>
      <c r="BG66" s="42">
        <f t="shared" si="44"/>
        <v>0</v>
      </c>
      <c r="BH66" s="42">
        <f t="shared" si="44"/>
        <v>0</v>
      </c>
      <c r="BI66" s="42">
        <f t="shared" si="44"/>
        <v>0</v>
      </c>
      <c r="BJ66" s="42">
        <f t="shared" si="17"/>
        <v>0</v>
      </c>
      <c r="BK66" s="42">
        <f t="shared" si="45"/>
        <v>0</v>
      </c>
      <c r="BL66" s="42">
        <f t="shared" si="45"/>
        <v>17</v>
      </c>
    </row>
    <row r="67" spans="1:64" ht="36" hidden="1" customHeight="1" x14ac:dyDescent="0.2">
      <c r="A67" s="298" t="s">
        <v>173</v>
      </c>
      <c r="B67" s="299" t="s">
        <v>169</v>
      </c>
      <c r="C67" s="1547"/>
      <c r="D67" s="1551"/>
      <c r="E67" s="1551"/>
      <c r="F67" s="1551"/>
      <c r="G67" s="1551"/>
      <c r="H67" s="1551"/>
      <c r="I67" s="1429"/>
      <c r="J67" s="1429"/>
      <c r="K67" s="1429" t="s">
        <v>225</v>
      </c>
      <c r="L67" s="301" t="s">
        <v>179</v>
      </c>
      <c r="M67" s="1425" t="s">
        <v>45</v>
      </c>
      <c r="N67" s="1425" t="s">
        <v>46</v>
      </c>
      <c r="O67" s="1425" t="s">
        <v>47</v>
      </c>
      <c r="P67" s="1425"/>
      <c r="Q67" s="71" t="s">
        <v>226</v>
      </c>
      <c r="R67" s="302" t="s">
        <v>227</v>
      </c>
      <c r="S67" s="303">
        <v>2015</v>
      </c>
      <c r="T67" s="303">
        <v>0</v>
      </c>
      <c r="U67" s="303">
        <v>1</v>
      </c>
      <c r="V67" s="572">
        <v>2</v>
      </c>
      <c r="W67" s="572">
        <v>2</v>
      </c>
      <c r="X67" s="572">
        <v>2</v>
      </c>
      <c r="Y67" s="572">
        <v>2</v>
      </c>
      <c r="Z67" s="481"/>
      <c r="AA67" s="481"/>
      <c r="AB67" s="481">
        <v>6.5</v>
      </c>
      <c r="AC67" s="481"/>
      <c r="AD67" s="481"/>
      <c r="AE67" s="481"/>
      <c r="AF67" s="481"/>
      <c r="AG67" s="481">
        <f t="shared" si="42"/>
        <v>6.5</v>
      </c>
      <c r="AH67" s="548"/>
      <c r="AI67" s="548"/>
      <c r="AJ67" s="491">
        <v>17</v>
      </c>
      <c r="AK67" s="548"/>
      <c r="AL67" s="548"/>
      <c r="AM67" s="548"/>
      <c r="AN67" s="548">
        <f t="shared" si="43"/>
        <v>17</v>
      </c>
      <c r="AO67" s="481"/>
      <c r="AP67" s="481"/>
      <c r="AQ67" s="481">
        <v>10</v>
      </c>
      <c r="AR67" s="481"/>
      <c r="AS67" s="481"/>
      <c r="AT67" s="481"/>
      <c r="AU67" s="481"/>
      <c r="AV67" s="481">
        <f t="shared" si="39"/>
        <v>10</v>
      </c>
      <c r="AW67" s="548"/>
      <c r="AX67" s="548"/>
      <c r="AY67" s="548">
        <v>20</v>
      </c>
      <c r="AZ67" s="548"/>
      <c r="BA67" s="548"/>
      <c r="BB67" s="548"/>
      <c r="BC67" s="548"/>
      <c r="BD67" s="548">
        <f t="shared" si="41"/>
        <v>20</v>
      </c>
      <c r="BE67" s="42">
        <f t="shared" si="44"/>
        <v>0</v>
      </c>
      <c r="BF67" s="42">
        <f t="shared" si="44"/>
        <v>0</v>
      </c>
      <c r="BG67" s="42">
        <f t="shared" si="44"/>
        <v>53.5</v>
      </c>
      <c r="BH67" s="42">
        <f t="shared" si="44"/>
        <v>0</v>
      </c>
      <c r="BI67" s="42">
        <f t="shared" si="44"/>
        <v>0</v>
      </c>
      <c r="BJ67" s="42">
        <f t="shared" si="17"/>
        <v>0</v>
      </c>
      <c r="BK67" s="42">
        <f t="shared" si="45"/>
        <v>0</v>
      </c>
      <c r="BL67" s="42">
        <f t="shared" si="45"/>
        <v>53.5</v>
      </c>
    </row>
    <row r="68" spans="1:64" ht="38.25" hidden="1" customHeight="1" x14ac:dyDescent="0.2">
      <c r="A68" s="298" t="s">
        <v>173</v>
      </c>
      <c r="B68" s="299" t="s">
        <v>169</v>
      </c>
      <c r="C68" s="1547"/>
      <c r="D68" s="1551"/>
      <c r="E68" s="1551"/>
      <c r="F68" s="1551"/>
      <c r="G68" s="1551"/>
      <c r="H68" s="1551"/>
      <c r="I68" s="1429"/>
      <c r="J68" s="1429"/>
      <c r="K68" s="1429" t="s">
        <v>228</v>
      </c>
      <c r="L68" s="301" t="s">
        <v>179</v>
      </c>
      <c r="M68" s="1425" t="s">
        <v>45</v>
      </c>
      <c r="N68" s="1425" t="s">
        <v>46</v>
      </c>
      <c r="O68" s="1425" t="s">
        <v>47</v>
      </c>
      <c r="P68" s="1425"/>
      <c r="Q68" s="16" t="s">
        <v>229</v>
      </c>
      <c r="R68" s="302" t="s">
        <v>230</v>
      </c>
      <c r="S68" s="303">
        <v>2015</v>
      </c>
      <c r="T68" s="303">
        <v>50</v>
      </c>
      <c r="U68" s="303">
        <v>130</v>
      </c>
      <c r="V68" s="572">
        <v>210</v>
      </c>
      <c r="W68" s="572">
        <v>290</v>
      </c>
      <c r="X68" s="572">
        <v>320</v>
      </c>
      <c r="Y68" s="572">
        <v>320</v>
      </c>
      <c r="Z68" s="481"/>
      <c r="AA68" s="481"/>
      <c r="AB68" s="481">
        <v>18</v>
      </c>
      <c r="AC68" s="481"/>
      <c r="AD68" s="481"/>
      <c r="AE68" s="481"/>
      <c r="AF68" s="481"/>
      <c r="AG68" s="481">
        <f t="shared" si="42"/>
        <v>18</v>
      </c>
      <c r="AH68" s="548"/>
      <c r="AI68" s="548"/>
      <c r="AJ68" s="548">
        <v>18</v>
      </c>
      <c r="AK68" s="548"/>
      <c r="AL68" s="548"/>
      <c r="AM68" s="548"/>
      <c r="AN68" s="548">
        <f t="shared" si="43"/>
        <v>18</v>
      </c>
      <c r="AO68" s="481"/>
      <c r="AP68" s="481"/>
      <c r="AQ68" s="481">
        <v>18</v>
      </c>
      <c r="AR68" s="481"/>
      <c r="AS68" s="481"/>
      <c r="AT68" s="481"/>
      <c r="AU68" s="481"/>
      <c r="AV68" s="481">
        <f t="shared" si="39"/>
        <v>18</v>
      </c>
      <c r="AW68" s="548"/>
      <c r="AX68" s="548"/>
      <c r="AY68" s="548">
        <v>15</v>
      </c>
      <c r="AZ68" s="548"/>
      <c r="BA68" s="548"/>
      <c r="BB68" s="548"/>
      <c r="BC68" s="548"/>
      <c r="BD68" s="548">
        <f t="shared" si="41"/>
        <v>15</v>
      </c>
      <c r="BE68" s="42">
        <f t="shared" si="44"/>
        <v>0</v>
      </c>
      <c r="BF68" s="42">
        <f t="shared" si="44"/>
        <v>0</v>
      </c>
      <c r="BG68" s="42">
        <f t="shared" si="44"/>
        <v>69</v>
      </c>
      <c r="BH68" s="42">
        <f t="shared" si="44"/>
        <v>0</v>
      </c>
      <c r="BI68" s="42">
        <f t="shared" si="44"/>
        <v>0</v>
      </c>
      <c r="BJ68" s="42">
        <f t="shared" si="17"/>
        <v>0</v>
      </c>
      <c r="BK68" s="42">
        <f t="shared" si="45"/>
        <v>0</v>
      </c>
      <c r="BL68" s="42">
        <f t="shared" si="45"/>
        <v>69</v>
      </c>
    </row>
    <row r="69" spans="1:64" ht="30" hidden="1" customHeight="1" x14ac:dyDescent="0.2">
      <c r="A69" s="298" t="s">
        <v>173</v>
      </c>
      <c r="B69" s="299" t="s">
        <v>169</v>
      </c>
      <c r="C69" s="1547"/>
      <c r="D69" s="1551"/>
      <c r="E69" s="1551"/>
      <c r="F69" s="1551"/>
      <c r="G69" s="1551"/>
      <c r="H69" s="1551"/>
      <c r="I69" s="1429"/>
      <c r="J69" s="1429"/>
      <c r="K69" s="1429" t="s">
        <v>231</v>
      </c>
      <c r="L69" s="301" t="s">
        <v>179</v>
      </c>
      <c r="M69" s="1425" t="s">
        <v>45</v>
      </c>
      <c r="N69" s="1425" t="s">
        <v>46</v>
      </c>
      <c r="O69" s="1425" t="s">
        <v>47</v>
      </c>
      <c r="P69" s="1425"/>
      <c r="Q69" s="16" t="s">
        <v>232</v>
      </c>
      <c r="R69" s="302" t="s">
        <v>233</v>
      </c>
      <c r="S69" s="303">
        <v>2015</v>
      </c>
      <c r="T69" s="303">
        <v>0</v>
      </c>
      <c r="U69" s="303">
        <v>0</v>
      </c>
      <c r="V69" s="572">
        <v>1</v>
      </c>
      <c r="W69" s="572">
        <v>1</v>
      </c>
      <c r="X69" s="572">
        <v>1</v>
      </c>
      <c r="Y69" s="572">
        <v>1</v>
      </c>
      <c r="Z69" s="481"/>
      <c r="AA69" s="481"/>
      <c r="AB69" s="481"/>
      <c r="AC69" s="481"/>
      <c r="AD69" s="481"/>
      <c r="AE69" s="481"/>
      <c r="AF69" s="481"/>
      <c r="AG69" s="481">
        <f t="shared" si="42"/>
        <v>0</v>
      </c>
      <c r="AH69" s="548"/>
      <c r="AI69" s="493">
        <v>0.5</v>
      </c>
      <c r="AJ69" s="548"/>
      <c r="AK69" s="548"/>
      <c r="AL69" s="548"/>
      <c r="AM69" s="548"/>
      <c r="AN69" s="548">
        <f t="shared" si="43"/>
        <v>0.5</v>
      </c>
      <c r="AO69" s="481"/>
      <c r="AP69" s="481"/>
      <c r="AQ69" s="493">
        <v>0.5</v>
      </c>
      <c r="AR69" s="481"/>
      <c r="AS69" s="481"/>
      <c r="AT69" s="481"/>
      <c r="AU69" s="481"/>
      <c r="AV69" s="481">
        <f t="shared" si="39"/>
        <v>0.5</v>
      </c>
      <c r="AW69" s="548"/>
      <c r="AX69" s="493">
        <v>0.5</v>
      </c>
      <c r="AY69" s="548"/>
      <c r="AZ69" s="548"/>
      <c r="BA69" s="548"/>
      <c r="BB69" s="548"/>
      <c r="BC69" s="548"/>
      <c r="BD69" s="548">
        <f t="shared" si="41"/>
        <v>0.5</v>
      </c>
      <c r="BE69" s="42">
        <f t="shared" si="44"/>
        <v>0</v>
      </c>
      <c r="BF69" s="42">
        <f t="shared" si="44"/>
        <v>1</v>
      </c>
      <c r="BG69" s="42">
        <f t="shared" si="44"/>
        <v>0.5</v>
      </c>
      <c r="BH69" s="42">
        <f t="shared" si="44"/>
        <v>0</v>
      </c>
      <c r="BI69" s="42">
        <f t="shared" si="44"/>
        <v>0</v>
      </c>
      <c r="BJ69" s="42">
        <f t="shared" si="17"/>
        <v>0</v>
      </c>
      <c r="BK69" s="42">
        <f t="shared" si="45"/>
        <v>0</v>
      </c>
      <c r="BL69" s="42">
        <f t="shared" si="45"/>
        <v>1.5</v>
      </c>
    </row>
    <row r="70" spans="1:64" ht="43.5" hidden="1" customHeight="1" x14ac:dyDescent="0.2">
      <c r="A70" s="298" t="s">
        <v>173</v>
      </c>
      <c r="B70" s="299" t="s">
        <v>169</v>
      </c>
      <c r="C70" s="1547"/>
      <c r="D70" s="1551"/>
      <c r="E70" s="1551"/>
      <c r="F70" s="1551"/>
      <c r="G70" s="1551"/>
      <c r="H70" s="1551"/>
      <c r="I70" s="1429"/>
      <c r="J70" s="1429"/>
      <c r="K70" s="1429" t="s">
        <v>234</v>
      </c>
      <c r="L70" s="301" t="s">
        <v>179</v>
      </c>
      <c r="M70" s="1425" t="s">
        <v>45</v>
      </c>
      <c r="N70" s="1425" t="s">
        <v>46</v>
      </c>
      <c r="O70" s="1425" t="s">
        <v>47</v>
      </c>
      <c r="P70" s="1425"/>
      <c r="Q70" s="16" t="s">
        <v>235</v>
      </c>
      <c r="R70" s="302" t="s">
        <v>236</v>
      </c>
      <c r="S70" s="303">
        <v>2015</v>
      </c>
      <c r="T70" s="303">
        <v>0</v>
      </c>
      <c r="U70" s="303">
        <v>0</v>
      </c>
      <c r="V70" s="572">
        <v>3</v>
      </c>
      <c r="W70" s="572">
        <v>6</v>
      </c>
      <c r="X70" s="572">
        <v>9</v>
      </c>
      <c r="Y70" s="572">
        <v>9</v>
      </c>
      <c r="Z70" s="481"/>
      <c r="AA70" s="481"/>
      <c r="AB70" s="481"/>
      <c r="AC70" s="481"/>
      <c r="AD70" s="481"/>
      <c r="AE70" s="481"/>
      <c r="AF70" s="481"/>
      <c r="AG70" s="481">
        <f t="shared" si="42"/>
        <v>0</v>
      </c>
      <c r="AH70" s="548"/>
      <c r="AI70" s="493">
        <v>0.5</v>
      </c>
      <c r="AJ70" s="548"/>
      <c r="AK70" s="548"/>
      <c r="AL70" s="548"/>
      <c r="AM70" s="548"/>
      <c r="AN70" s="548">
        <f t="shared" si="43"/>
        <v>0.5</v>
      </c>
      <c r="AO70" s="481"/>
      <c r="AP70" s="481"/>
      <c r="AQ70" s="493">
        <v>0.5</v>
      </c>
      <c r="AR70" s="481"/>
      <c r="AS70" s="481"/>
      <c r="AT70" s="481"/>
      <c r="AU70" s="481"/>
      <c r="AV70" s="481">
        <f t="shared" si="39"/>
        <v>0.5</v>
      </c>
      <c r="AW70" s="548"/>
      <c r="AX70" s="493">
        <v>0.5</v>
      </c>
      <c r="AY70" s="548"/>
      <c r="AZ70" s="548"/>
      <c r="BA70" s="548"/>
      <c r="BB70" s="548"/>
      <c r="BC70" s="548"/>
      <c r="BD70" s="548">
        <f t="shared" si="41"/>
        <v>0.5</v>
      </c>
      <c r="BE70" s="42">
        <f t="shared" si="44"/>
        <v>0</v>
      </c>
      <c r="BF70" s="42">
        <f>+AX70+AP70+AI70+AA65</f>
        <v>3</v>
      </c>
      <c r="BG70" s="42">
        <f t="shared" si="44"/>
        <v>0.5</v>
      </c>
      <c r="BH70" s="42">
        <f t="shared" si="44"/>
        <v>0</v>
      </c>
      <c r="BI70" s="42">
        <f t="shared" si="44"/>
        <v>0</v>
      </c>
      <c r="BJ70" s="42">
        <f t="shared" si="17"/>
        <v>0</v>
      </c>
      <c r="BK70" s="42">
        <f t="shared" si="45"/>
        <v>0</v>
      </c>
      <c r="BL70" s="42">
        <f t="shared" si="45"/>
        <v>1.5</v>
      </c>
    </row>
    <row r="71" spans="1:64" ht="65.25" hidden="1" customHeight="1" x14ac:dyDescent="0.2">
      <c r="A71" s="298" t="s">
        <v>173</v>
      </c>
      <c r="B71" s="299" t="s">
        <v>169</v>
      </c>
      <c r="C71" s="1547"/>
      <c r="D71" s="1551"/>
      <c r="E71" s="1551"/>
      <c r="F71" s="1551"/>
      <c r="G71" s="1551"/>
      <c r="H71" s="1551"/>
      <c r="I71" s="1429"/>
      <c r="J71" s="1429"/>
      <c r="K71" s="1429" t="s">
        <v>237</v>
      </c>
      <c r="L71" s="301" t="s">
        <v>179</v>
      </c>
      <c r="M71" s="1425" t="s">
        <v>45</v>
      </c>
      <c r="N71" s="1425" t="s">
        <v>46</v>
      </c>
      <c r="O71" s="1425" t="s">
        <v>73</v>
      </c>
      <c r="P71" s="1425"/>
      <c r="Q71" s="16" t="s">
        <v>238</v>
      </c>
      <c r="R71" s="302" t="s">
        <v>239</v>
      </c>
      <c r="S71" s="303">
        <v>2015</v>
      </c>
      <c r="T71" s="303">
        <v>0</v>
      </c>
      <c r="U71" s="303">
        <v>1</v>
      </c>
      <c r="V71" s="572">
        <v>1</v>
      </c>
      <c r="W71" s="572">
        <v>1</v>
      </c>
      <c r="X71" s="572">
        <v>1</v>
      </c>
      <c r="Y71" s="572">
        <v>1</v>
      </c>
      <c r="Z71" s="481"/>
      <c r="AA71" s="481">
        <v>2</v>
      </c>
      <c r="AB71" s="481">
        <v>5</v>
      </c>
      <c r="AC71" s="481"/>
      <c r="AD71" s="481"/>
      <c r="AE71" s="481"/>
      <c r="AF71" s="481"/>
      <c r="AG71" s="481">
        <f t="shared" si="42"/>
        <v>7</v>
      </c>
      <c r="AH71" s="548"/>
      <c r="AI71" s="548">
        <v>5</v>
      </c>
      <c r="AJ71" s="548">
        <v>5</v>
      </c>
      <c r="AK71" s="548"/>
      <c r="AL71" s="548"/>
      <c r="AM71" s="548"/>
      <c r="AN71" s="548">
        <f t="shared" si="43"/>
        <v>10</v>
      </c>
      <c r="AO71" s="481"/>
      <c r="AP71" s="481">
        <v>5</v>
      </c>
      <c r="AQ71" s="481">
        <v>5</v>
      </c>
      <c r="AR71" s="481"/>
      <c r="AS71" s="481"/>
      <c r="AT71" s="481"/>
      <c r="AU71" s="481"/>
      <c r="AV71" s="481">
        <f t="shared" si="39"/>
        <v>10</v>
      </c>
      <c r="AW71" s="548"/>
      <c r="AX71" s="548">
        <v>5</v>
      </c>
      <c r="AY71" s="548">
        <v>5</v>
      </c>
      <c r="AZ71" s="548"/>
      <c r="BA71" s="548"/>
      <c r="BB71" s="548"/>
      <c r="BC71" s="548"/>
      <c r="BD71" s="548">
        <f t="shared" si="41"/>
        <v>10</v>
      </c>
      <c r="BE71" s="42">
        <f t="shared" si="44"/>
        <v>0</v>
      </c>
      <c r="BF71" s="42">
        <f t="shared" si="44"/>
        <v>17</v>
      </c>
      <c r="BG71" s="42">
        <f t="shared" si="44"/>
        <v>20</v>
      </c>
      <c r="BH71" s="42">
        <f t="shared" si="44"/>
        <v>0</v>
      </c>
      <c r="BI71" s="42">
        <f t="shared" si="44"/>
        <v>0</v>
      </c>
      <c r="BJ71" s="42">
        <f t="shared" si="17"/>
        <v>0</v>
      </c>
      <c r="BK71" s="42">
        <f t="shared" si="45"/>
        <v>0</v>
      </c>
      <c r="BL71" s="42">
        <f t="shared" si="45"/>
        <v>37</v>
      </c>
    </row>
    <row r="72" spans="1:64" ht="57.75" hidden="1" customHeight="1" x14ac:dyDescent="0.2">
      <c r="A72" s="298" t="s">
        <v>173</v>
      </c>
      <c r="B72" s="299" t="s">
        <v>169</v>
      </c>
      <c r="C72" s="1547"/>
      <c r="D72" s="1551"/>
      <c r="E72" s="1551"/>
      <c r="F72" s="1551"/>
      <c r="G72" s="1551"/>
      <c r="H72" s="1551"/>
      <c r="I72" s="1423"/>
      <c r="J72" s="1423"/>
      <c r="K72" s="1429" t="s">
        <v>240</v>
      </c>
      <c r="L72" s="301" t="s">
        <v>179</v>
      </c>
      <c r="M72" s="1425" t="s">
        <v>45</v>
      </c>
      <c r="N72" s="1425" t="s">
        <v>46</v>
      </c>
      <c r="O72" s="1425" t="s">
        <v>73</v>
      </c>
      <c r="P72" s="1426"/>
      <c r="Q72" s="70" t="s">
        <v>241</v>
      </c>
      <c r="R72" s="302" t="s">
        <v>242</v>
      </c>
      <c r="S72" s="303">
        <v>2015</v>
      </c>
      <c r="T72" s="303">
        <v>1</v>
      </c>
      <c r="U72" s="303">
        <v>1</v>
      </c>
      <c r="V72" s="572">
        <v>1</v>
      </c>
      <c r="W72" s="572">
        <v>1</v>
      </c>
      <c r="X72" s="572">
        <v>1</v>
      </c>
      <c r="Y72" s="572">
        <v>1</v>
      </c>
      <c r="Z72" s="481"/>
      <c r="AA72" s="481"/>
      <c r="AB72" s="481">
        <v>2</v>
      </c>
      <c r="AC72" s="481"/>
      <c r="AD72" s="481"/>
      <c r="AE72" s="481">
        <v>0</v>
      </c>
      <c r="AF72" s="481"/>
      <c r="AG72" s="481">
        <f t="shared" si="42"/>
        <v>2</v>
      </c>
      <c r="AH72" s="548"/>
      <c r="AI72" s="548"/>
      <c r="AJ72" s="548">
        <v>7</v>
      </c>
      <c r="AK72" s="548"/>
      <c r="AL72" s="548"/>
      <c r="AM72" s="548"/>
      <c r="AN72" s="548">
        <f t="shared" si="43"/>
        <v>7</v>
      </c>
      <c r="AO72" s="481"/>
      <c r="AP72" s="481"/>
      <c r="AQ72" s="481">
        <v>7</v>
      </c>
      <c r="AR72" s="481"/>
      <c r="AS72" s="481"/>
      <c r="AT72" s="481"/>
      <c r="AU72" s="481"/>
      <c r="AV72" s="481">
        <f t="shared" si="39"/>
        <v>7</v>
      </c>
      <c r="AW72" s="548"/>
      <c r="AX72" s="548"/>
      <c r="AY72" s="548">
        <v>9</v>
      </c>
      <c r="AZ72" s="548"/>
      <c r="BA72" s="548"/>
      <c r="BB72" s="548"/>
      <c r="BC72" s="548"/>
      <c r="BD72" s="548">
        <f t="shared" si="41"/>
        <v>9</v>
      </c>
      <c r="BE72" s="42">
        <f t="shared" si="44"/>
        <v>0</v>
      </c>
      <c r="BF72" s="42">
        <f t="shared" si="44"/>
        <v>0</v>
      </c>
      <c r="BG72" s="42">
        <f t="shared" si="44"/>
        <v>25</v>
      </c>
      <c r="BH72" s="42">
        <f t="shared" si="44"/>
        <v>0</v>
      </c>
      <c r="BI72" s="42">
        <f t="shared" si="44"/>
        <v>0</v>
      </c>
      <c r="BJ72" s="42">
        <f t="shared" si="17"/>
        <v>0</v>
      </c>
      <c r="BK72" s="42">
        <f t="shared" si="45"/>
        <v>0</v>
      </c>
      <c r="BL72" s="42">
        <f t="shared" si="45"/>
        <v>25</v>
      </c>
    </row>
    <row r="73" spans="1:64" ht="39.75" hidden="1" customHeight="1" x14ac:dyDescent="0.2">
      <c r="A73" s="298" t="s">
        <v>173</v>
      </c>
      <c r="B73" s="299" t="s">
        <v>169</v>
      </c>
      <c r="C73" s="1547"/>
      <c r="D73" s="1551"/>
      <c r="E73" s="1551"/>
      <c r="F73" s="1551"/>
      <c r="G73" s="1551"/>
      <c r="H73" s="1551"/>
      <c r="I73" s="1423"/>
      <c r="J73" s="1423"/>
      <c r="K73" s="1429" t="s">
        <v>243</v>
      </c>
      <c r="L73" s="301" t="s">
        <v>179</v>
      </c>
      <c r="M73" s="1425" t="s">
        <v>45</v>
      </c>
      <c r="N73" s="1425" t="s">
        <v>46</v>
      </c>
      <c r="O73" s="1425" t="s">
        <v>47</v>
      </c>
      <c r="P73" s="1426"/>
      <c r="Q73" s="70" t="s">
        <v>244</v>
      </c>
      <c r="R73" s="302" t="s">
        <v>245</v>
      </c>
      <c r="S73" s="303">
        <v>2015</v>
      </c>
      <c r="T73" s="303">
        <v>0</v>
      </c>
      <c r="U73" s="303">
        <v>0</v>
      </c>
      <c r="V73" s="572">
        <v>1</v>
      </c>
      <c r="W73" s="572">
        <v>1</v>
      </c>
      <c r="X73" s="572">
        <v>1</v>
      </c>
      <c r="Y73" s="572">
        <v>1</v>
      </c>
      <c r="Z73" s="481"/>
      <c r="AA73" s="481"/>
      <c r="AB73" s="481"/>
      <c r="AC73" s="481"/>
      <c r="AD73" s="481"/>
      <c r="AE73" s="481"/>
      <c r="AF73" s="481"/>
      <c r="AG73" s="481">
        <f>SUM(Z73:AF73)</f>
        <v>0</v>
      </c>
      <c r="AH73" s="548"/>
      <c r="AI73" s="493">
        <v>0.5</v>
      </c>
      <c r="AJ73" s="548"/>
      <c r="AK73" s="548"/>
      <c r="AL73" s="548"/>
      <c r="AM73" s="548"/>
      <c r="AN73" s="548">
        <f>SUM(AH73:AM73)</f>
        <v>0.5</v>
      </c>
      <c r="AO73" s="481"/>
      <c r="AP73" s="481"/>
      <c r="AQ73" s="493">
        <v>0.5</v>
      </c>
      <c r="AR73" s="481"/>
      <c r="AS73" s="481"/>
      <c r="AT73" s="481"/>
      <c r="AU73" s="481"/>
      <c r="AV73" s="481">
        <f>SUM(AO73:AU73)</f>
        <v>0.5</v>
      </c>
      <c r="AW73" s="548"/>
      <c r="AX73" s="493">
        <v>0.5</v>
      </c>
      <c r="AY73" s="548"/>
      <c r="AZ73" s="548"/>
      <c r="BA73" s="548"/>
      <c r="BB73" s="548"/>
      <c r="BC73" s="548"/>
      <c r="BD73" s="548">
        <f>SUM(AW73:BC73)</f>
        <v>0.5</v>
      </c>
      <c r="BE73" s="42">
        <f>+AW73+AO73+AH73+Z73</f>
        <v>0</v>
      </c>
      <c r="BF73" s="42">
        <f>+AX73+AP73+AI73+AA73</f>
        <v>1</v>
      </c>
      <c r="BG73" s="42">
        <f>+AY73+AQ73+AJ73+AB73</f>
        <v>0.5</v>
      </c>
      <c r="BH73" s="42">
        <f>+AZ73+AR73+AK73+AC73</f>
        <v>0</v>
      </c>
      <c r="BI73" s="42">
        <f>+BA73+AS73+AL73+AD73</f>
        <v>0</v>
      </c>
      <c r="BJ73" s="42">
        <f>+AE73+AT73+BB73</f>
        <v>0</v>
      </c>
      <c r="BK73" s="42">
        <f>+BC73+AU73+AM73+AF73</f>
        <v>0</v>
      </c>
      <c r="BL73" s="42">
        <f>+BD73+AV73+AN73+AG73</f>
        <v>1.5</v>
      </c>
    </row>
    <row r="74" spans="1:64" ht="63.75" hidden="1" customHeight="1" x14ac:dyDescent="0.2">
      <c r="A74" s="298" t="s">
        <v>173</v>
      </c>
      <c r="B74" s="299" t="s">
        <v>169</v>
      </c>
      <c r="C74" s="1547"/>
      <c r="D74" s="1551"/>
      <c r="E74" s="1551"/>
      <c r="F74" s="1551"/>
      <c r="G74" s="1551"/>
      <c r="H74" s="1551"/>
      <c r="I74" s="1423"/>
      <c r="J74" s="1423"/>
      <c r="K74" s="1429" t="s">
        <v>246</v>
      </c>
      <c r="L74" s="301" t="s">
        <v>179</v>
      </c>
      <c r="M74" s="1425" t="s">
        <v>45</v>
      </c>
      <c r="N74" s="1425" t="s">
        <v>46</v>
      </c>
      <c r="O74" s="1425" t="s">
        <v>73</v>
      </c>
      <c r="P74" s="1426"/>
      <c r="Q74" s="70" t="s">
        <v>247</v>
      </c>
      <c r="R74" s="302" t="s">
        <v>248</v>
      </c>
      <c r="S74" s="303">
        <v>2015</v>
      </c>
      <c r="T74" s="303">
        <v>0</v>
      </c>
      <c r="U74" s="303">
        <v>1</v>
      </c>
      <c r="V74" s="572">
        <v>1</v>
      </c>
      <c r="W74" s="572">
        <v>1</v>
      </c>
      <c r="X74" s="572">
        <v>1</v>
      </c>
      <c r="Y74" s="572">
        <v>1</v>
      </c>
      <c r="Z74" s="481"/>
      <c r="AA74" s="481">
        <v>2</v>
      </c>
      <c r="AB74" s="481"/>
      <c r="AC74" s="481"/>
      <c r="AD74" s="481"/>
      <c r="AE74" s="481"/>
      <c r="AF74" s="481"/>
      <c r="AG74" s="481">
        <f t="shared" si="42"/>
        <v>2</v>
      </c>
      <c r="AH74" s="548"/>
      <c r="AI74" s="548">
        <v>5</v>
      </c>
      <c r="AJ74" s="548"/>
      <c r="AK74" s="548"/>
      <c r="AL74" s="548"/>
      <c r="AM74" s="548"/>
      <c r="AN74" s="548">
        <f>SUM(AH74:AM74)</f>
        <v>5</v>
      </c>
      <c r="AO74" s="481"/>
      <c r="AP74" s="481">
        <v>5</v>
      </c>
      <c r="AQ74" s="481"/>
      <c r="AR74" s="481"/>
      <c r="AS74" s="481"/>
      <c r="AT74" s="481"/>
      <c r="AU74" s="481"/>
      <c r="AV74" s="481">
        <f>SUM(AO74:AU74)</f>
        <v>5</v>
      </c>
      <c r="AW74" s="548"/>
      <c r="AX74" s="548">
        <v>5</v>
      </c>
      <c r="AY74" s="548"/>
      <c r="AZ74" s="548"/>
      <c r="BA74" s="548"/>
      <c r="BB74" s="548"/>
      <c r="BC74" s="548"/>
      <c r="BD74" s="548">
        <f>SUM(AW74:BC74)</f>
        <v>5</v>
      </c>
      <c r="BE74" s="42">
        <f t="shared" si="44"/>
        <v>0</v>
      </c>
      <c r="BF74" s="42">
        <f t="shared" si="44"/>
        <v>17</v>
      </c>
      <c r="BG74" s="42">
        <f t="shared" si="44"/>
        <v>0</v>
      </c>
      <c r="BH74" s="42">
        <f t="shared" si="44"/>
        <v>0</v>
      </c>
      <c r="BI74" s="42">
        <f t="shared" si="44"/>
        <v>0</v>
      </c>
      <c r="BJ74" s="42">
        <f t="shared" si="17"/>
        <v>0</v>
      </c>
      <c r="BK74" s="42">
        <f t="shared" si="45"/>
        <v>0</v>
      </c>
      <c r="BL74" s="42">
        <f t="shared" si="45"/>
        <v>17</v>
      </c>
    </row>
    <row r="75" spans="1:64" ht="12.75" hidden="1" x14ac:dyDescent="0.2">
      <c r="A75" s="295" t="s">
        <v>173</v>
      </c>
      <c r="B75" s="24" t="s">
        <v>169</v>
      </c>
      <c r="C75" s="24"/>
      <c r="D75" s="14" t="s">
        <v>249</v>
      </c>
      <c r="E75" s="57"/>
      <c r="F75" s="12"/>
      <c r="G75" s="12"/>
      <c r="H75" s="12"/>
      <c r="I75" s="13"/>
      <c r="J75" s="13"/>
      <c r="K75" s="13"/>
      <c r="L75" s="13"/>
      <c r="M75" s="13"/>
      <c r="N75" s="1"/>
      <c r="O75" s="13"/>
      <c r="P75" s="13"/>
      <c r="Q75" s="25"/>
      <c r="R75" s="25"/>
      <c r="S75" s="17"/>
      <c r="T75" s="17"/>
      <c r="U75" s="17"/>
      <c r="V75" s="66"/>
      <c r="W75" s="66"/>
      <c r="X75" s="66"/>
      <c r="Y75" s="66"/>
      <c r="Z75" s="43">
        <f t="shared" ref="Z75:AF75" si="46">SUBTOTAL(9,Z76:Z84)</f>
        <v>0</v>
      </c>
      <c r="AA75" s="43">
        <f t="shared" si="46"/>
        <v>10.1</v>
      </c>
      <c r="AB75" s="43">
        <f t="shared" si="46"/>
        <v>29.9</v>
      </c>
      <c r="AC75" s="43">
        <f t="shared" si="46"/>
        <v>250</v>
      </c>
      <c r="AD75" s="43">
        <f t="shared" si="46"/>
        <v>0</v>
      </c>
      <c r="AE75" s="43">
        <f t="shared" si="46"/>
        <v>3.1</v>
      </c>
      <c r="AF75" s="43">
        <f t="shared" si="46"/>
        <v>0</v>
      </c>
      <c r="AG75" s="43">
        <f t="shared" si="42"/>
        <v>293.10000000000002</v>
      </c>
      <c r="AH75" s="43">
        <f t="shared" ref="AH75:BD75" si="47">SUBTOTAL(9,AH76:AH84)</f>
        <v>0</v>
      </c>
      <c r="AI75" s="43">
        <f t="shared" si="47"/>
        <v>3</v>
      </c>
      <c r="AJ75" s="43">
        <f t="shared" si="47"/>
        <v>17</v>
      </c>
      <c r="AK75" s="43">
        <f t="shared" si="47"/>
        <v>0</v>
      </c>
      <c r="AL75" s="43">
        <f t="shared" si="47"/>
        <v>0</v>
      </c>
      <c r="AM75" s="43">
        <f t="shared" si="47"/>
        <v>0</v>
      </c>
      <c r="AN75" s="43">
        <f t="shared" si="47"/>
        <v>20</v>
      </c>
      <c r="AO75" s="43">
        <f t="shared" si="47"/>
        <v>0</v>
      </c>
      <c r="AP75" s="43">
        <f t="shared" si="47"/>
        <v>9</v>
      </c>
      <c r="AQ75" s="43">
        <f t="shared" si="47"/>
        <v>17</v>
      </c>
      <c r="AR75" s="43">
        <f t="shared" si="47"/>
        <v>0</v>
      </c>
      <c r="AS75" s="43">
        <f t="shared" si="47"/>
        <v>0</v>
      </c>
      <c r="AT75" s="43">
        <f t="shared" si="47"/>
        <v>0</v>
      </c>
      <c r="AU75" s="43">
        <f t="shared" si="47"/>
        <v>0</v>
      </c>
      <c r="AV75" s="43">
        <f t="shared" si="47"/>
        <v>26</v>
      </c>
      <c r="AW75" s="43">
        <f t="shared" si="47"/>
        <v>0</v>
      </c>
      <c r="AX75" s="43">
        <f t="shared" si="47"/>
        <v>13</v>
      </c>
      <c r="AY75" s="43">
        <f t="shared" si="47"/>
        <v>17</v>
      </c>
      <c r="AZ75" s="43">
        <f t="shared" si="47"/>
        <v>0</v>
      </c>
      <c r="BA75" s="43">
        <f t="shared" si="47"/>
        <v>0</v>
      </c>
      <c r="BB75" s="43">
        <f t="shared" si="47"/>
        <v>0</v>
      </c>
      <c r="BC75" s="43">
        <f t="shared" si="47"/>
        <v>0</v>
      </c>
      <c r="BD75" s="43">
        <f t="shared" si="47"/>
        <v>30</v>
      </c>
      <c r="BE75" s="43">
        <f t="shared" si="44"/>
        <v>0</v>
      </c>
      <c r="BF75" s="43">
        <f t="shared" si="44"/>
        <v>35.1</v>
      </c>
      <c r="BG75" s="43">
        <f t="shared" si="44"/>
        <v>80.900000000000006</v>
      </c>
      <c r="BH75" s="43">
        <f t="shared" si="44"/>
        <v>250</v>
      </c>
      <c r="BI75" s="43">
        <f t="shared" si="44"/>
        <v>0</v>
      </c>
      <c r="BJ75" s="43">
        <f t="shared" si="17"/>
        <v>3.1</v>
      </c>
      <c r="BK75" s="43">
        <f t="shared" si="45"/>
        <v>0</v>
      </c>
      <c r="BL75" s="43">
        <f t="shared" si="45"/>
        <v>369.1</v>
      </c>
    </row>
    <row r="76" spans="1:64" ht="63.75" hidden="1" customHeight="1" x14ac:dyDescent="0.2">
      <c r="A76" s="298" t="s">
        <v>173</v>
      </c>
      <c r="B76" s="299" t="s">
        <v>169</v>
      </c>
      <c r="C76" s="1546" t="s">
        <v>250</v>
      </c>
      <c r="D76" s="1549" t="s">
        <v>251</v>
      </c>
      <c r="E76" s="1549" t="s">
        <v>252</v>
      </c>
      <c r="F76" s="1549">
        <v>2015</v>
      </c>
      <c r="G76" s="1549">
        <v>5589</v>
      </c>
      <c r="H76" s="1549">
        <v>7000</v>
      </c>
      <c r="I76" s="1429"/>
      <c r="J76" s="1429"/>
      <c r="K76" s="1429" t="s">
        <v>253</v>
      </c>
      <c r="L76" s="301" t="s">
        <v>179</v>
      </c>
      <c r="M76" s="1425" t="s">
        <v>45</v>
      </c>
      <c r="N76" s="1425" t="s">
        <v>46</v>
      </c>
      <c r="O76" s="1425" t="s">
        <v>47</v>
      </c>
      <c r="P76" s="1425"/>
      <c r="Q76" s="16" t="s">
        <v>254</v>
      </c>
      <c r="R76" s="302" t="s">
        <v>255</v>
      </c>
      <c r="S76" s="303">
        <v>2015</v>
      </c>
      <c r="T76" s="303" t="s">
        <v>177</v>
      </c>
      <c r="U76" s="303">
        <v>100</v>
      </c>
      <c r="V76" s="572">
        <v>200</v>
      </c>
      <c r="W76" s="572">
        <v>300</v>
      </c>
      <c r="X76" s="572">
        <v>400</v>
      </c>
      <c r="Y76" s="572">
        <v>400</v>
      </c>
      <c r="Z76" s="481"/>
      <c r="AA76" s="481">
        <v>1</v>
      </c>
      <c r="AB76" s="481">
        <v>1</v>
      </c>
      <c r="AC76" s="481"/>
      <c r="AD76" s="481"/>
      <c r="AE76" s="481"/>
      <c r="AF76" s="481"/>
      <c r="AG76" s="481">
        <f t="shared" si="42"/>
        <v>2</v>
      </c>
      <c r="AH76" s="548"/>
      <c r="AI76" s="548"/>
      <c r="AJ76" s="491">
        <v>1</v>
      </c>
      <c r="AK76" s="548"/>
      <c r="AL76" s="548"/>
      <c r="AM76" s="548"/>
      <c r="AN76" s="548">
        <f t="shared" ref="AN76:AN83" si="48">SUM(AH76:AM76)</f>
        <v>1</v>
      </c>
      <c r="AO76" s="481"/>
      <c r="AP76" s="491">
        <v>1</v>
      </c>
      <c r="AQ76" s="491">
        <v>1</v>
      </c>
      <c r="AR76" s="481"/>
      <c r="AS76" s="481"/>
      <c r="AT76" s="481"/>
      <c r="AU76" s="481"/>
      <c r="AV76" s="481">
        <f t="shared" ref="AV76:AV82" si="49">SUM(AO76:AU76)</f>
        <v>2</v>
      </c>
      <c r="AW76" s="548"/>
      <c r="AX76" s="491">
        <v>1</v>
      </c>
      <c r="AY76" s="491">
        <v>1</v>
      </c>
      <c r="AZ76" s="548"/>
      <c r="BA76" s="548"/>
      <c r="BB76" s="548"/>
      <c r="BC76" s="548"/>
      <c r="BD76" s="548">
        <f t="shared" ref="BD76:BD82" si="50">SUM(AW76:BC76)</f>
        <v>2</v>
      </c>
      <c r="BE76" s="42">
        <f t="shared" si="44"/>
        <v>0</v>
      </c>
      <c r="BF76" s="42">
        <f t="shared" si="44"/>
        <v>3</v>
      </c>
      <c r="BG76" s="42">
        <f t="shared" si="44"/>
        <v>4</v>
      </c>
      <c r="BH76" s="42">
        <f t="shared" si="44"/>
        <v>0</v>
      </c>
      <c r="BI76" s="42">
        <f t="shared" si="44"/>
        <v>0</v>
      </c>
      <c r="BJ76" s="42">
        <f t="shared" si="17"/>
        <v>0</v>
      </c>
      <c r="BK76" s="42">
        <f t="shared" si="45"/>
        <v>0</v>
      </c>
      <c r="BL76" s="42">
        <f t="shared" si="45"/>
        <v>7</v>
      </c>
    </row>
    <row r="77" spans="1:64" ht="44.25" hidden="1" customHeight="1" x14ac:dyDescent="0.2">
      <c r="A77" s="298" t="s">
        <v>173</v>
      </c>
      <c r="B77" s="299" t="s">
        <v>169</v>
      </c>
      <c r="C77" s="1547"/>
      <c r="D77" s="1549"/>
      <c r="E77" s="1549"/>
      <c r="F77" s="1549"/>
      <c r="G77" s="1549"/>
      <c r="H77" s="1549"/>
      <c r="I77" s="1429"/>
      <c r="J77" s="1429"/>
      <c r="K77" s="1429" t="s">
        <v>256</v>
      </c>
      <c r="L77" s="301" t="s">
        <v>179</v>
      </c>
      <c r="M77" s="1425" t="s">
        <v>45</v>
      </c>
      <c r="N77" s="1425" t="s">
        <v>46</v>
      </c>
      <c r="O77" s="1425" t="s">
        <v>47</v>
      </c>
      <c r="P77" s="1425"/>
      <c r="Q77" s="16" t="s">
        <v>257</v>
      </c>
      <c r="R77" s="302" t="s">
        <v>258</v>
      </c>
      <c r="S77" s="303">
        <v>2015</v>
      </c>
      <c r="T77" s="303" t="s">
        <v>177</v>
      </c>
      <c r="U77" s="303">
        <v>250</v>
      </c>
      <c r="V77" s="572">
        <v>500</v>
      </c>
      <c r="W77" s="572">
        <v>750</v>
      </c>
      <c r="X77" s="572">
        <v>1000</v>
      </c>
      <c r="Y77" s="572">
        <v>1000</v>
      </c>
      <c r="Z77" s="481"/>
      <c r="AA77" s="481">
        <v>1</v>
      </c>
      <c r="AB77" s="481">
        <v>1</v>
      </c>
      <c r="AC77" s="481"/>
      <c r="AD77" s="481"/>
      <c r="AE77" s="481"/>
      <c r="AF77" s="481"/>
      <c r="AG77" s="481">
        <f t="shared" si="42"/>
        <v>2</v>
      </c>
      <c r="AH77" s="548"/>
      <c r="AI77" s="548"/>
      <c r="AJ77" s="491">
        <v>1</v>
      </c>
      <c r="AK77" s="548"/>
      <c r="AL77" s="548"/>
      <c r="AM77" s="548"/>
      <c r="AN77" s="548">
        <f t="shared" si="48"/>
        <v>1</v>
      </c>
      <c r="AO77" s="481"/>
      <c r="AP77" s="491">
        <v>1</v>
      </c>
      <c r="AQ77" s="491">
        <v>1</v>
      </c>
      <c r="AR77" s="481"/>
      <c r="AS77" s="481"/>
      <c r="AT77" s="481"/>
      <c r="AU77" s="481"/>
      <c r="AV77" s="481">
        <f t="shared" si="49"/>
        <v>2</v>
      </c>
      <c r="AW77" s="548"/>
      <c r="AX77" s="491">
        <v>1</v>
      </c>
      <c r="AY77" s="491">
        <v>1</v>
      </c>
      <c r="AZ77" s="548"/>
      <c r="BA77" s="548"/>
      <c r="BB77" s="548"/>
      <c r="BC77" s="548"/>
      <c r="BD77" s="548">
        <f t="shared" si="50"/>
        <v>2</v>
      </c>
      <c r="BE77" s="42">
        <f t="shared" si="44"/>
        <v>0</v>
      </c>
      <c r="BF77" s="42">
        <f t="shared" si="44"/>
        <v>3</v>
      </c>
      <c r="BG77" s="42">
        <f t="shared" si="44"/>
        <v>4</v>
      </c>
      <c r="BH77" s="42">
        <f t="shared" si="44"/>
        <v>0</v>
      </c>
      <c r="BI77" s="42">
        <f t="shared" si="44"/>
        <v>0</v>
      </c>
      <c r="BJ77" s="42">
        <f t="shared" ref="BJ77:BJ140" si="51">+AE77+AT77+BB77</f>
        <v>0</v>
      </c>
      <c r="BK77" s="42">
        <f t="shared" si="45"/>
        <v>0</v>
      </c>
      <c r="BL77" s="42">
        <f t="shared" si="45"/>
        <v>7</v>
      </c>
    </row>
    <row r="78" spans="1:64" ht="58.5" hidden="1" customHeight="1" x14ac:dyDescent="0.2">
      <c r="A78" s="298" t="s">
        <v>173</v>
      </c>
      <c r="B78" s="299" t="s">
        <v>169</v>
      </c>
      <c r="C78" s="1547"/>
      <c r="D78" s="1549"/>
      <c r="E78" s="1549"/>
      <c r="F78" s="1549"/>
      <c r="G78" s="1549"/>
      <c r="H78" s="1549"/>
      <c r="I78" s="1429"/>
      <c r="J78" s="1429"/>
      <c r="K78" s="1429" t="s">
        <v>259</v>
      </c>
      <c r="L78" s="301" t="s">
        <v>179</v>
      </c>
      <c r="M78" s="1425" t="s">
        <v>45</v>
      </c>
      <c r="N78" s="1425" t="s">
        <v>46</v>
      </c>
      <c r="O78" s="1425" t="s">
        <v>47</v>
      </c>
      <c r="P78" s="1425"/>
      <c r="Q78" s="16" t="s">
        <v>260</v>
      </c>
      <c r="R78" s="302" t="s">
        <v>261</v>
      </c>
      <c r="S78" s="303">
        <v>2015</v>
      </c>
      <c r="T78" s="303">
        <v>4</v>
      </c>
      <c r="U78" s="303">
        <v>4</v>
      </c>
      <c r="V78" s="572">
        <v>7</v>
      </c>
      <c r="W78" s="572">
        <v>7</v>
      </c>
      <c r="X78" s="572">
        <v>7</v>
      </c>
      <c r="Y78" s="572">
        <v>7</v>
      </c>
      <c r="Z78" s="481"/>
      <c r="AA78" s="481">
        <v>1</v>
      </c>
      <c r="AB78" s="481">
        <v>1</v>
      </c>
      <c r="AC78" s="481"/>
      <c r="AD78" s="481"/>
      <c r="AE78" s="481"/>
      <c r="AF78" s="481"/>
      <c r="AG78" s="481">
        <f t="shared" si="42"/>
        <v>2</v>
      </c>
      <c r="AH78" s="548"/>
      <c r="AI78" s="548"/>
      <c r="AJ78" s="491">
        <v>1</v>
      </c>
      <c r="AK78" s="548"/>
      <c r="AL78" s="548"/>
      <c r="AM78" s="548"/>
      <c r="AN78" s="548">
        <f t="shared" si="48"/>
        <v>1</v>
      </c>
      <c r="AO78" s="481"/>
      <c r="AP78" s="491">
        <v>1</v>
      </c>
      <c r="AQ78" s="491">
        <v>1</v>
      </c>
      <c r="AR78" s="481"/>
      <c r="AS78" s="481"/>
      <c r="AT78" s="481"/>
      <c r="AU78" s="481"/>
      <c r="AV78" s="481">
        <f t="shared" si="49"/>
        <v>2</v>
      </c>
      <c r="AW78" s="548"/>
      <c r="AX78" s="491">
        <v>1</v>
      </c>
      <c r="AY78" s="491">
        <v>1</v>
      </c>
      <c r="AZ78" s="548"/>
      <c r="BA78" s="548"/>
      <c r="BB78" s="548"/>
      <c r="BC78" s="548"/>
      <c r="BD78" s="548">
        <f t="shared" si="50"/>
        <v>2</v>
      </c>
      <c r="BE78" s="42">
        <f t="shared" si="44"/>
        <v>0</v>
      </c>
      <c r="BF78" s="42">
        <f t="shared" si="44"/>
        <v>3</v>
      </c>
      <c r="BG78" s="42">
        <f t="shared" si="44"/>
        <v>4</v>
      </c>
      <c r="BH78" s="42">
        <f t="shared" si="44"/>
        <v>0</v>
      </c>
      <c r="BI78" s="42">
        <f t="shared" si="44"/>
        <v>0</v>
      </c>
      <c r="BJ78" s="42">
        <f t="shared" si="51"/>
        <v>0</v>
      </c>
      <c r="BK78" s="42">
        <f t="shared" si="45"/>
        <v>0</v>
      </c>
      <c r="BL78" s="42">
        <f t="shared" si="45"/>
        <v>7</v>
      </c>
    </row>
    <row r="79" spans="1:64" ht="58.5" hidden="1" customHeight="1" x14ac:dyDescent="0.2">
      <c r="A79" s="298" t="s">
        <v>173</v>
      </c>
      <c r="B79" s="299" t="s">
        <v>169</v>
      </c>
      <c r="C79" s="1547"/>
      <c r="D79" s="1549"/>
      <c r="E79" s="1549"/>
      <c r="F79" s="1549"/>
      <c r="G79" s="1549"/>
      <c r="H79" s="1549"/>
      <c r="I79" s="1429"/>
      <c r="J79" s="1429"/>
      <c r="K79" s="1429" t="s">
        <v>262</v>
      </c>
      <c r="L79" s="301" t="s">
        <v>179</v>
      </c>
      <c r="M79" s="1425" t="s">
        <v>45</v>
      </c>
      <c r="N79" s="1425" t="s">
        <v>46</v>
      </c>
      <c r="O79" s="1425" t="s">
        <v>73</v>
      </c>
      <c r="P79" s="1425"/>
      <c r="Q79" s="16" t="s">
        <v>263</v>
      </c>
      <c r="R79" s="302" t="s">
        <v>264</v>
      </c>
      <c r="S79" s="303">
        <v>2015</v>
      </c>
      <c r="T79" s="303">
        <v>0</v>
      </c>
      <c r="U79" s="303">
        <v>1</v>
      </c>
      <c r="V79" s="572">
        <v>1</v>
      </c>
      <c r="W79" s="572">
        <v>1</v>
      </c>
      <c r="X79" s="572">
        <v>1</v>
      </c>
      <c r="Y79" s="572">
        <v>1</v>
      </c>
      <c r="Z79" s="481"/>
      <c r="AA79" s="481">
        <v>1.1000000000000001</v>
      </c>
      <c r="AB79" s="481">
        <v>1</v>
      </c>
      <c r="AC79" s="481"/>
      <c r="AD79" s="481"/>
      <c r="AE79" s="481"/>
      <c r="AF79" s="481"/>
      <c r="AG79" s="481">
        <f t="shared" si="42"/>
        <v>2.1</v>
      </c>
      <c r="AH79" s="548"/>
      <c r="AI79" s="548"/>
      <c r="AJ79" s="491">
        <v>1</v>
      </c>
      <c r="AK79" s="548"/>
      <c r="AL79" s="548"/>
      <c r="AM79" s="548"/>
      <c r="AN79" s="548">
        <f t="shared" si="48"/>
        <v>1</v>
      </c>
      <c r="AO79" s="481"/>
      <c r="AP79" s="491">
        <v>1</v>
      </c>
      <c r="AQ79" s="491">
        <v>1</v>
      </c>
      <c r="AR79" s="481"/>
      <c r="AS79" s="481"/>
      <c r="AT79" s="481"/>
      <c r="AU79" s="481"/>
      <c r="AV79" s="481">
        <f t="shared" si="49"/>
        <v>2</v>
      </c>
      <c r="AW79" s="548"/>
      <c r="AX79" s="491">
        <v>1</v>
      </c>
      <c r="AY79" s="491">
        <v>1</v>
      </c>
      <c r="AZ79" s="548"/>
      <c r="BA79" s="548"/>
      <c r="BB79" s="548"/>
      <c r="BC79" s="548"/>
      <c r="BD79" s="548">
        <f t="shared" si="50"/>
        <v>2</v>
      </c>
      <c r="BE79" s="42">
        <f t="shared" ref="BE79:BI111" si="52">+AW79+AO79+AH79+Z79</f>
        <v>0</v>
      </c>
      <c r="BF79" s="42">
        <f t="shared" si="52"/>
        <v>3.1</v>
      </c>
      <c r="BG79" s="42">
        <f t="shared" si="52"/>
        <v>4</v>
      </c>
      <c r="BH79" s="42">
        <f t="shared" si="52"/>
        <v>0</v>
      </c>
      <c r="BI79" s="42">
        <f t="shared" si="52"/>
        <v>0</v>
      </c>
      <c r="BJ79" s="42">
        <f t="shared" si="51"/>
        <v>0</v>
      </c>
      <c r="BK79" s="42">
        <f t="shared" si="45"/>
        <v>0</v>
      </c>
      <c r="BL79" s="42">
        <f t="shared" si="45"/>
        <v>7.1</v>
      </c>
    </row>
    <row r="80" spans="1:64" ht="36.75" hidden="1" customHeight="1" x14ac:dyDescent="0.2">
      <c r="A80" s="298" t="s">
        <v>173</v>
      </c>
      <c r="B80" s="299" t="s">
        <v>169</v>
      </c>
      <c r="C80" s="1547"/>
      <c r="D80" s="1549"/>
      <c r="E80" s="1549"/>
      <c r="F80" s="1549"/>
      <c r="G80" s="1549"/>
      <c r="H80" s="1549"/>
      <c r="I80" s="1429"/>
      <c r="J80" s="1429"/>
      <c r="K80" s="1429" t="s">
        <v>265</v>
      </c>
      <c r="L80" s="301" t="s">
        <v>179</v>
      </c>
      <c r="M80" s="1425" t="s">
        <v>45</v>
      </c>
      <c r="N80" s="1425" t="s">
        <v>46</v>
      </c>
      <c r="O80" s="1425" t="s">
        <v>47</v>
      </c>
      <c r="P80" s="1425"/>
      <c r="Q80" s="16" t="s">
        <v>266</v>
      </c>
      <c r="R80" s="302" t="s">
        <v>267</v>
      </c>
      <c r="S80" s="303">
        <v>2015</v>
      </c>
      <c r="T80" s="303">
        <v>0</v>
      </c>
      <c r="U80" s="303">
        <v>1</v>
      </c>
      <c r="V80" s="572">
        <v>2</v>
      </c>
      <c r="W80" s="572">
        <v>3</v>
      </c>
      <c r="X80" s="572">
        <v>4</v>
      </c>
      <c r="Y80" s="572">
        <v>4</v>
      </c>
      <c r="Z80" s="481"/>
      <c r="AA80" s="481">
        <v>3</v>
      </c>
      <c r="AB80" s="481">
        <v>4</v>
      </c>
      <c r="AC80" s="481"/>
      <c r="AD80" s="481"/>
      <c r="AE80" s="481">
        <v>3.1</v>
      </c>
      <c r="AF80" s="481"/>
      <c r="AG80" s="481">
        <f t="shared" si="42"/>
        <v>10.1</v>
      </c>
      <c r="AH80" s="548"/>
      <c r="AI80" s="548">
        <v>3</v>
      </c>
      <c r="AJ80" s="548">
        <v>9</v>
      </c>
      <c r="AK80" s="548"/>
      <c r="AL80" s="548"/>
      <c r="AM80" s="548"/>
      <c r="AN80" s="548">
        <f t="shared" si="48"/>
        <v>12</v>
      </c>
      <c r="AO80" s="481"/>
      <c r="AP80" s="481">
        <v>3</v>
      </c>
      <c r="AQ80" s="481">
        <v>9</v>
      </c>
      <c r="AR80" s="481"/>
      <c r="AS80" s="481"/>
      <c r="AT80" s="481"/>
      <c r="AU80" s="481"/>
      <c r="AV80" s="481">
        <f t="shared" si="49"/>
        <v>12</v>
      </c>
      <c r="AW80" s="548"/>
      <c r="AX80" s="548">
        <v>5</v>
      </c>
      <c r="AY80" s="548">
        <v>9</v>
      </c>
      <c r="AZ80" s="548"/>
      <c r="BA80" s="548"/>
      <c r="BB80" s="548"/>
      <c r="BC80" s="548"/>
      <c r="BD80" s="548">
        <f t="shared" si="50"/>
        <v>14</v>
      </c>
      <c r="BE80" s="42">
        <f t="shared" si="52"/>
        <v>0</v>
      </c>
      <c r="BF80" s="42">
        <f t="shared" si="52"/>
        <v>14</v>
      </c>
      <c r="BG80" s="42">
        <f t="shared" si="52"/>
        <v>31</v>
      </c>
      <c r="BH80" s="42">
        <f t="shared" si="52"/>
        <v>0</v>
      </c>
      <c r="BI80" s="42">
        <f t="shared" si="52"/>
        <v>0</v>
      </c>
      <c r="BJ80" s="42">
        <f t="shared" si="51"/>
        <v>3.1</v>
      </c>
      <c r="BK80" s="42">
        <f t="shared" si="45"/>
        <v>0</v>
      </c>
      <c r="BL80" s="42">
        <f t="shared" si="45"/>
        <v>48.1</v>
      </c>
    </row>
    <row r="81" spans="1:68" ht="42" hidden="1" customHeight="1" x14ac:dyDescent="0.2">
      <c r="A81" s="298" t="s">
        <v>173</v>
      </c>
      <c r="B81" s="299" t="s">
        <v>169</v>
      </c>
      <c r="C81" s="1547"/>
      <c r="D81" s="1549"/>
      <c r="E81" s="1549"/>
      <c r="F81" s="1549"/>
      <c r="G81" s="1549"/>
      <c r="H81" s="1549"/>
      <c r="I81" s="1429"/>
      <c r="J81" s="1429"/>
      <c r="K81" s="1429" t="s">
        <v>268</v>
      </c>
      <c r="L81" s="301" t="s">
        <v>179</v>
      </c>
      <c r="M81" s="1425" t="s">
        <v>45</v>
      </c>
      <c r="N81" s="1425" t="s">
        <v>46</v>
      </c>
      <c r="O81" s="1425" t="s">
        <v>47</v>
      </c>
      <c r="P81" s="1425"/>
      <c r="Q81" s="16" t="s">
        <v>269</v>
      </c>
      <c r="R81" s="302" t="s">
        <v>185</v>
      </c>
      <c r="S81" s="303">
        <v>2015</v>
      </c>
      <c r="T81" s="303">
        <v>0</v>
      </c>
      <c r="U81" s="303">
        <v>1</v>
      </c>
      <c r="V81" s="572">
        <v>2</v>
      </c>
      <c r="W81" s="572">
        <v>3</v>
      </c>
      <c r="X81" s="572">
        <v>4</v>
      </c>
      <c r="Y81" s="572">
        <v>4</v>
      </c>
      <c r="Z81" s="481"/>
      <c r="AA81" s="481">
        <v>1</v>
      </c>
      <c r="AB81" s="481">
        <v>1</v>
      </c>
      <c r="AC81" s="481"/>
      <c r="AD81" s="481"/>
      <c r="AE81" s="481"/>
      <c r="AF81" s="481"/>
      <c r="AG81" s="481">
        <f t="shared" si="42"/>
        <v>2</v>
      </c>
      <c r="AH81" s="548"/>
      <c r="AI81" s="548"/>
      <c r="AJ81" s="491">
        <v>1</v>
      </c>
      <c r="AK81" s="548"/>
      <c r="AL81" s="548"/>
      <c r="AM81" s="548"/>
      <c r="AN81" s="548">
        <f t="shared" si="48"/>
        <v>1</v>
      </c>
      <c r="AO81" s="481"/>
      <c r="AP81" s="491">
        <v>0.5</v>
      </c>
      <c r="AQ81" s="491">
        <v>1</v>
      </c>
      <c r="AR81" s="481"/>
      <c r="AS81" s="481"/>
      <c r="AT81" s="481"/>
      <c r="AU81" s="481"/>
      <c r="AV81" s="481">
        <f t="shared" si="49"/>
        <v>1.5</v>
      </c>
      <c r="AW81" s="548"/>
      <c r="AX81" s="491">
        <v>1</v>
      </c>
      <c r="AY81" s="491">
        <v>1</v>
      </c>
      <c r="AZ81" s="548"/>
      <c r="BA81" s="548"/>
      <c r="BB81" s="548"/>
      <c r="BC81" s="548"/>
      <c r="BD81" s="548">
        <f t="shared" si="50"/>
        <v>2</v>
      </c>
      <c r="BE81" s="42">
        <f t="shared" si="52"/>
        <v>0</v>
      </c>
      <c r="BF81" s="42">
        <f t="shared" si="52"/>
        <v>2.5</v>
      </c>
      <c r="BG81" s="42">
        <f t="shared" si="52"/>
        <v>4</v>
      </c>
      <c r="BH81" s="42">
        <f t="shared" si="52"/>
        <v>0</v>
      </c>
      <c r="BI81" s="42">
        <f t="shared" si="52"/>
        <v>0</v>
      </c>
      <c r="BJ81" s="42">
        <f t="shared" si="51"/>
        <v>0</v>
      </c>
      <c r="BK81" s="42">
        <f t="shared" si="45"/>
        <v>0</v>
      </c>
      <c r="BL81" s="42">
        <f t="shared" si="45"/>
        <v>6.5</v>
      </c>
    </row>
    <row r="82" spans="1:68" ht="33" hidden="1" customHeight="1" x14ac:dyDescent="0.2">
      <c r="A82" s="298" t="s">
        <v>173</v>
      </c>
      <c r="B82" s="299" t="s">
        <v>169</v>
      </c>
      <c r="C82" s="1547"/>
      <c r="D82" s="1549"/>
      <c r="E82" s="1549"/>
      <c r="F82" s="1549"/>
      <c r="G82" s="1549"/>
      <c r="H82" s="1549"/>
      <c r="I82" s="1429"/>
      <c r="J82" s="1429"/>
      <c r="K82" s="1429" t="s">
        <v>270</v>
      </c>
      <c r="L82" s="301" t="s">
        <v>179</v>
      </c>
      <c r="M82" s="1425" t="s">
        <v>45</v>
      </c>
      <c r="N82" s="1425" t="s">
        <v>46</v>
      </c>
      <c r="O82" s="1425" t="s">
        <v>47</v>
      </c>
      <c r="P82" s="1425"/>
      <c r="Q82" s="16" t="s">
        <v>271</v>
      </c>
      <c r="R82" s="302" t="s">
        <v>239</v>
      </c>
      <c r="S82" s="303">
        <v>2015</v>
      </c>
      <c r="T82" s="303">
        <v>0</v>
      </c>
      <c r="U82" s="303">
        <v>4</v>
      </c>
      <c r="V82" s="572">
        <v>8</v>
      </c>
      <c r="W82" s="572">
        <v>12</v>
      </c>
      <c r="X82" s="572">
        <v>16</v>
      </c>
      <c r="Y82" s="572">
        <v>16</v>
      </c>
      <c r="Z82" s="481"/>
      <c r="AA82" s="481">
        <v>1</v>
      </c>
      <c r="AB82" s="481">
        <v>1</v>
      </c>
      <c r="AC82" s="481"/>
      <c r="AD82" s="481"/>
      <c r="AE82" s="481"/>
      <c r="AF82" s="481"/>
      <c r="AG82" s="481">
        <f t="shared" si="42"/>
        <v>2</v>
      </c>
      <c r="AH82" s="548"/>
      <c r="AI82" s="548"/>
      <c r="AJ82" s="491">
        <v>1</v>
      </c>
      <c r="AK82" s="548"/>
      <c r="AL82" s="548"/>
      <c r="AM82" s="548"/>
      <c r="AN82" s="548">
        <f t="shared" si="48"/>
        <v>1</v>
      </c>
      <c r="AO82" s="481"/>
      <c r="AP82" s="491">
        <v>0.5</v>
      </c>
      <c r="AQ82" s="491">
        <v>1</v>
      </c>
      <c r="AR82" s="481"/>
      <c r="AS82" s="481"/>
      <c r="AT82" s="481"/>
      <c r="AU82" s="481"/>
      <c r="AV82" s="481">
        <f t="shared" si="49"/>
        <v>1.5</v>
      </c>
      <c r="AW82" s="548"/>
      <c r="AX82" s="491">
        <v>1</v>
      </c>
      <c r="AY82" s="491">
        <v>1</v>
      </c>
      <c r="AZ82" s="548"/>
      <c r="BA82" s="548"/>
      <c r="BB82" s="548"/>
      <c r="BC82" s="548"/>
      <c r="BD82" s="548">
        <f t="shared" si="50"/>
        <v>2</v>
      </c>
      <c r="BE82" s="42">
        <f t="shared" si="52"/>
        <v>0</v>
      </c>
      <c r="BF82" s="42">
        <f t="shared" si="52"/>
        <v>2.5</v>
      </c>
      <c r="BG82" s="42">
        <f t="shared" si="52"/>
        <v>4</v>
      </c>
      <c r="BH82" s="42">
        <f t="shared" si="52"/>
        <v>0</v>
      </c>
      <c r="BI82" s="42">
        <f t="shared" si="52"/>
        <v>0</v>
      </c>
      <c r="BJ82" s="42">
        <f t="shared" si="51"/>
        <v>0</v>
      </c>
      <c r="BK82" s="42">
        <f t="shared" si="45"/>
        <v>0</v>
      </c>
      <c r="BL82" s="42">
        <f t="shared" si="45"/>
        <v>6.5</v>
      </c>
    </row>
    <row r="83" spans="1:68" ht="36.75" hidden="1" customHeight="1" x14ac:dyDescent="0.2">
      <c r="A83" s="298" t="s">
        <v>173</v>
      </c>
      <c r="B83" s="299" t="s">
        <v>169</v>
      </c>
      <c r="C83" s="1547"/>
      <c r="D83" s="1550"/>
      <c r="E83" s="1550"/>
      <c r="F83" s="1549"/>
      <c r="G83" s="1549"/>
      <c r="H83" s="1549"/>
      <c r="I83" s="1429"/>
      <c r="J83" s="1429"/>
      <c r="K83" s="1429" t="s">
        <v>272</v>
      </c>
      <c r="L83" s="301" t="s">
        <v>179</v>
      </c>
      <c r="M83" s="1425" t="s">
        <v>45</v>
      </c>
      <c r="N83" s="1425" t="s">
        <v>46</v>
      </c>
      <c r="O83" s="1425" t="s">
        <v>73</v>
      </c>
      <c r="P83" s="1425"/>
      <c r="Q83" s="16" t="s">
        <v>273</v>
      </c>
      <c r="R83" s="302" t="s">
        <v>274</v>
      </c>
      <c r="S83" s="303">
        <v>2015</v>
      </c>
      <c r="T83" s="303">
        <v>0</v>
      </c>
      <c r="U83" s="303">
        <v>1</v>
      </c>
      <c r="V83" s="572">
        <v>1</v>
      </c>
      <c r="W83" s="572">
        <v>1</v>
      </c>
      <c r="X83" s="572">
        <v>1</v>
      </c>
      <c r="Y83" s="572">
        <v>1</v>
      </c>
      <c r="Z83" s="481"/>
      <c r="AA83" s="481">
        <v>1</v>
      </c>
      <c r="AB83" s="481">
        <v>1</v>
      </c>
      <c r="AC83" s="481"/>
      <c r="AD83" s="481"/>
      <c r="AE83" s="481"/>
      <c r="AF83" s="481"/>
      <c r="AG83" s="481">
        <f t="shared" si="42"/>
        <v>2</v>
      </c>
      <c r="AH83" s="548"/>
      <c r="AI83" s="548"/>
      <c r="AJ83" s="491">
        <v>1</v>
      </c>
      <c r="AK83" s="548"/>
      <c r="AL83" s="548"/>
      <c r="AM83" s="548"/>
      <c r="AN83" s="548">
        <f t="shared" si="48"/>
        <v>1</v>
      </c>
      <c r="AO83" s="481"/>
      <c r="AP83" s="491">
        <v>0.5</v>
      </c>
      <c r="AQ83" s="491">
        <v>1</v>
      </c>
      <c r="AR83" s="481"/>
      <c r="AS83" s="481"/>
      <c r="AT83" s="481"/>
      <c r="AU83" s="481"/>
      <c r="AV83" s="481">
        <f>SUM(AO83:AU83)</f>
        <v>1.5</v>
      </c>
      <c r="AW83" s="548"/>
      <c r="AX83" s="491">
        <v>1</v>
      </c>
      <c r="AY83" s="491">
        <v>1</v>
      </c>
      <c r="AZ83" s="548"/>
      <c r="BA83" s="548"/>
      <c r="BB83" s="548"/>
      <c r="BC83" s="548"/>
      <c r="BD83" s="548">
        <f>SUM(AW83:BC83)</f>
        <v>2</v>
      </c>
      <c r="BE83" s="42">
        <f>+AW83+AO83+AH83+Z83</f>
        <v>0</v>
      </c>
      <c r="BF83" s="42">
        <f>+AX83+AP83+AI83+AA83</f>
        <v>2.5</v>
      </c>
      <c r="BG83" s="42">
        <f>+AY83+AQ83+AJ83+AB83</f>
        <v>4</v>
      </c>
      <c r="BH83" s="42">
        <f>+AZ83+AR83+AK83+AC83</f>
        <v>0</v>
      </c>
      <c r="BI83" s="42">
        <f>+BA83+AS83+AL83+AD83</f>
        <v>0</v>
      </c>
      <c r="BJ83" s="42">
        <f t="shared" si="51"/>
        <v>0</v>
      </c>
      <c r="BK83" s="42">
        <f>+BC83+AU83+AM83+AF83</f>
        <v>0</v>
      </c>
      <c r="BL83" s="42">
        <f>+BD83+AV83+AN83+AG83</f>
        <v>6.5</v>
      </c>
    </row>
    <row r="84" spans="1:68" ht="25.5" hidden="1" customHeight="1" x14ac:dyDescent="0.2">
      <c r="A84" s="298" t="s">
        <v>173</v>
      </c>
      <c r="B84" s="299" t="s">
        <v>169</v>
      </c>
      <c r="C84" s="1548"/>
      <c r="D84" s="1549"/>
      <c r="E84" s="1549"/>
      <c r="F84" s="1549"/>
      <c r="G84" s="1549"/>
      <c r="H84" s="1549"/>
      <c r="I84" s="1429" t="s">
        <v>53</v>
      </c>
      <c r="J84" s="1429"/>
      <c r="K84" s="1429" t="s">
        <v>275</v>
      </c>
      <c r="L84" s="301" t="s">
        <v>179</v>
      </c>
      <c r="M84" s="1425" t="s">
        <v>45</v>
      </c>
      <c r="N84" s="1425" t="s">
        <v>46</v>
      </c>
      <c r="O84" s="1425" t="s">
        <v>47</v>
      </c>
      <c r="P84" s="1425"/>
      <c r="Q84" s="16" t="s">
        <v>276</v>
      </c>
      <c r="R84" s="302" t="s">
        <v>277</v>
      </c>
      <c r="S84" s="303">
        <v>2015</v>
      </c>
      <c r="T84" s="303">
        <v>0</v>
      </c>
      <c r="U84" s="303">
        <v>2</v>
      </c>
      <c r="V84" s="572">
        <v>2</v>
      </c>
      <c r="W84" s="572">
        <v>2</v>
      </c>
      <c r="X84" s="572">
        <v>2</v>
      </c>
      <c r="Y84" s="572">
        <v>2</v>
      </c>
      <c r="Z84" s="481"/>
      <c r="AA84" s="481">
        <v>0</v>
      </c>
      <c r="AB84" s="481">
        <v>18.899999999999999</v>
      </c>
      <c r="AC84" s="481">
        <v>250</v>
      </c>
      <c r="AD84" s="481"/>
      <c r="AE84" s="481"/>
      <c r="AF84" s="481"/>
      <c r="AG84" s="481">
        <f t="shared" ref="AG84:AG96" si="53">SUM(Z84:AF84)</f>
        <v>268.89999999999998</v>
      </c>
      <c r="AH84" s="548"/>
      <c r="AI84" s="548"/>
      <c r="AJ84" s="491">
        <v>1</v>
      </c>
      <c r="AK84" s="548"/>
      <c r="AL84" s="548"/>
      <c r="AM84" s="548"/>
      <c r="AN84" s="548">
        <f>SUM(AH84:AM84)</f>
        <v>1</v>
      </c>
      <c r="AO84" s="481"/>
      <c r="AP84" s="491">
        <v>0.5</v>
      </c>
      <c r="AQ84" s="491">
        <v>1</v>
      </c>
      <c r="AR84" s="481"/>
      <c r="AS84" s="481"/>
      <c r="AT84" s="481"/>
      <c r="AU84" s="481"/>
      <c r="AV84" s="481">
        <f>SUM(AO84:AU84)</f>
        <v>1.5</v>
      </c>
      <c r="AW84" s="548"/>
      <c r="AX84" s="491">
        <v>1</v>
      </c>
      <c r="AY84" s="491">
        <v>1</v>
      </c>
      <c r="AZ84" s="548"/>
      <c r="BA84" s="548"/>
      <c r="BB84" s="548"/>
      <c r="BC84" s="548"/>
      <c r="BD84" s="548">
        <f>SUM(AW84:BC84)</f>
        <v>2</v>
      </c>
      <c r="BE84" s="42">
        <f t="shared" si="52"/>
        <v>0</v>
      </c>
      <c r="BF84" s="42">
        <f t="shared" si="52"/>
        <v>1.5</v>
      </c>
      <c r="BG84" s="42">
        <f t="shared" si="52"/>
        <v>21.9</v>
      </c>
      <c r="BH84" s="42">
        <f t="shared" si="52"/>
        <v>250</v>
      </c>
      <c r="BI84" s="42">
        <f t="shared" si="52"/>
        <v>0</v>
      </c>
      <c r="BJ84" s="42">
        <f t="shared" si="51"/>
        <v>0</v>
      </c>
      <c r="BK84" s="42">
        <f t="shared" si="45"/>
        <v>0</v>
      </c>
      <c r="BL84" s="42">
        <f t="shared" si="45"/>
        <v>273.39999999999998</v>
      </c>
    </row>
    <row r="85" spans="1:68" s="23" customFormat="1" ht="5.25" hidden="1" customHeight="1" x14ac:dyDescent="0.2">
      <c r="A85" s="152"/>
      <c r="B85" s="7" t="s">
        <v>278</v>
      </c>
      <c r="C85" s="19"/>
      <c r="D85" s="1445"/>
      <c r="E85" s="1445"/>
      <c r="F85" s="1442"/>
      <c r="G85" s="1442"/>
      <c r="H85" s="1442"/>
      <c r="I85" s="251"/>
      <c r="J85" s="251"/>
      <c r="K85" s="251"/>
      <c r="L85" s="251"/>
      <c r="M85" s="251"/>
      <c r="N85" s="11"/>
      <c r="O85" s="251"/>
      <c r="P85" s="251"/>
      <c r="Q85" s="16"/>
      <c r="R85" s="302"/>
      <c r="S85" s="303"/>
      <c r="T85" s="303"/>
      <c r="U85" s="303"/>
      <c r="V85" s="572"/>
      <c r="W85" s="572"/>
      <c r="X85" s="572"/>
      <c r="Y85" s="572"/>
      <c r="Z85" s="42"/>
      <c r="AA85" s="58"/>
      <c r="AB85" s="221">
        <v>148.80000000000001</v>
      </c>
      <c r="AC85" s="43"/>
      <c r="AD85" s="42"/>
      <c r="AE85" s="42">
        <v>330.6</v>
      </c>
      <c r="AF85" s="42"/>
      <c r="AG85" s="59">
        <f t="shared" si="53"/>
        <v>479.40000000000003</v>
      </c>
      <c r="AH85" s="42"/>
      <c r="AI85" s="42"/>
      <c r="AJ85" s="42">
        <f>+AB85*1.04</f>
        <v>154.75200000000001</v>
      </c>
      <c r="AK85" s="42"/>
      <c r="AL85" s="42"/>
      <c r="AM85" s="42"/>
      <c r="AN85" s="42"/>
      <c r="AO85" s="42"/>
      <c r="AP85" s="42"/>
      <c r="AQ85" s="42">
        <f>+AJ85*1.04</f>
        <v>160.94208</v>
      </c>
      <c r="AR85" s="42"/>
      <c r="AS85" s="42"/>
      <c r="AT85" s="42"/>
      <c r="AU85" s="42"/>
      <c r="AV85" s="42"/>
      <c r="AW85" s="548"/>
      <c r="AX85" s="548"/>
      <c r="AY85" s="548">
        <f>+AQ85*1.04</f>
        <v>167.37976320000001</v>
      </c>
      <c r="AZ85" s="548"/>
      <c r="BA85" s="548"/>
      <c r="BB85" s="548"/>
      <c r="BC85" s="548"/>
      <c r="BD85" s="548"/>
      <c r="BE85" s="42">
        <f t="shared" si="52"/>
        <v>0</v>
      </c>
      <c r="BF85" s="42">
        <f t="shared" si="52"/>
        <v>0</v>
      </c>
      <c r="BG85" s="42">
        <f t="shared" si="52"/>
        <v>631.87384320000001</v>
      </c>
      <c r="BH85" s="42">
        <f t="shared" si="52"/>
        <v>0</v>
      </c>
      <c r="BI85" s="42">
        <f t="shared" si="52"/>
        <v>0</v>
      </c>
      <c r="BJ85" s="42">
        <f t="shared" si="51"/>
        <v>330.6</v>
      </c>
      <c r="BK85" s="42">
        <f t="shared" si="45"/>
        <v>0</v>
      </c>
      <c r="BL85" s="42">
        <f t="shared" si="45"/>
        <v>479.40000000000003</v>
      </c>
      <c r="BM85" s="40"/>
      <c r="BN85" s="3"/>
      <c r="BO85" s="3"/>
      <c r="BP85" s="3"/>
    </row>
    <row r="86" spans="1:68" ht="18" hidden="1" x14ac:dyDescent="0.2">
      <c r="A86" s="420"/>
      <c r="B86" s="1556" t="s">
        <v>278</v>
      </c>
      <c r="C86" s="1557"/>
      <c r="D86" s="1557"/>
      <c r="E86" s="1557"/>
      <c r="F86" s="1557"/>
      <c r="G86" s="1557"/>
      <c r="H86" s="1557"/>
      <c r="I86" s="1557"/>
      <c r="J86" s="1557"/>
      <c r="K86" s="1557"/>
      <c r="L86" s="1557"/>
      <c r="M86" s="1558"/>
      <c r="N86" s="597"/>
      <c r="O86" s="597"/>
      <c r="P86" s="597"/>
      <c r="Q86" s="597"/>
      <c r="R86" s="598"/>
      <c r="S86" s="597"/>
      <c r="T86" s="597"/>
      <c r="U86" s="597"/>
      <c r="V86" s="599"/>
      <c r="W86" s="599"/>
      <c r="X86" s="599"/>
      <c r="Y86" s="599"/>
      <c r="Z86" s="600">
        <f t="shared" ref="Z86:AF86" si="54">+Z87+Z99</f>
        <v>0</v>
      </c>
      <c r="AA86" s="600">
        <f t="shared" si="54"/>
        <v>0</v>
      </c>
      <c r="AB86" s="601">
        <f t="shared" si="54"/>
        <v>148.80000000000001</v>
      </c>
      <c r="AC86" s="600">
        <f t="shared" si="54"/>
        <v>1278</v>
      </c>
      <c r="AD86" s="600">
        <f t="shared" si="54"/>
        <v>0</v>
      </c>
      <c r="AE86" s="600">
        <f t="shared" si="54"/>
        <v>330.6</v>
      </c>
      <c r="AF86" s="600">
        <f t="shared" si="54"/>
        <v>0</v>
      </c>
      <c r="AG86" s="602">
        <f t="shared" si="53"/>
        <v>1757.4</v>
      </c>
      <c r="AH86" s="600">
        <f t="shared" ref="AH86:AM86" si="55">+AH87+AH99</f>
        <v>0</v>
      </c>
      <c r="AI86" s="600">
        <f t="shared" si="55"/>
        <v>0</v>
      </c>
      <c r="AJ86" s="600">
        <f t="shared" si="55"/>
        <v>142.67000000000002</v>
      </c>
      <c r="AK86" s="600">
        <f t="shared" si="55"/>
        <v>500</v>
      </c>
      <c r="AL86" s="600">
        <f t="shared" si="55"/>
        <v>0</v>
      </c>
      <c r="AM86" s="600">
        <f t="shared" si="55"/>
        <v>0</v>
      </c>
      <c r="AN86" s="600">
        <f t="shared" ref="AN86:AN96" si="56">SUM(AH86:AM86)</f>
        <v>642.67000000000007</v>
      </c>
      <c r="AO86" s="600">
        <f t="shared" ref="AO86:AU86" si="57">+AO87+AO99</f>
        <v>0</v>
      </c>
      <c r="AP86" s="600">
        <f t="shared" si="57"/>
        <v>0</v>
      </c>
      <c r="AQ86" s="600">
        <f t="shared" si="57"/>
        <v>161</v>
      </c>
      <c r="AR86" s="600">
        <f t="shared" si="57"/>
        <v>0</v>
      </c>
      <c r="AS86" s="600">
        <f t="shared" si="57"/>
        <v>0</v>
      </c>
      <c r="AT86" s="600">
        <f t="shared" si="57"/>
        <v>0</v>
      </c>
      <c r="AU86" s="600">
        <f t="shared" si="57"/>
        <v>0</v>
      </c>
      <c r="AV86" s="600">
        <f t="shared" ref="AV86:AV96" si="58">SUM(AO86:AU86)</f>
        <v>161</v>
      </c>
      <c r="AW86" s="600">
        <f t="shared" ref="AW86:BC86" si="59">+AW87+AW99</f>
        <v>0</v>
      </c>
      <c r="AX86" s="600">
        <f t="shared" si="59"/>
        <v>0</v>
      </c>
      <c r="AY86" s="600">
        <f t="shared" si="59"/>
        <v>168</v>
      </c>
      <c r="AZ86" s="600">
        <f t="shared" si="59"/>
        <v>0</v>
      </c>
      <c r="BA86" s="600">
        <f t="shared" si="59"/>
        <v>0</v>
      </c>
      <c r="BB86" s="600">
        <f t="shared" si="59"/>
        <v>0</v>
      </c>
      <c r="BC86" s="600">
        <f t="shared" si="59"/>
        <v>0</v>
      </c>
      <c r="BD86" s="600">
        <f t="shared" ref="BD86:BD96" si="60">SUM(AW86:BC86)</f>
        <v>168</v>
      </c>
      <c r="BE86" s="33">
        <f t="shared" si="52"/>
        <v>0</v>
      </c>
      <c r="BF86" s="33">
        <f t="shared" si="52"/>
        <v>0</v>
      </c>
      <c r="BG86" s="33">
        <f t="shared" si="52"/>
        <v>620.47</v>
      </c>
      <c r="BH86" s="33">
        <f t="shared" si="52"/>
        <v>1778</v>
      </c>
      <c r="BI86" s="33">
        <f t="shared" si="52"/>
        <v>0</v>
      </c>
      <c r="BJ86" s="33">
        <f t="shared" si="51"/>
        <v>330.6</v>
      </c>
      <c r="BK86" s="33">
        <f t="shared" si="45"/>
        <v>0</v>
      </c>
      <c r="BL86" s="33">
        <f t="shared" si="45"/>
        <v>2729.07</v>
      </c>
    </row>
    <row r="87" spans="1:68" ht="25.5" hidden="1" x14ac:dyDescent="0.2">
      <c r="A87" s="603"/>
      <c r="B87" s="154" t="s">
        <v>278</v>
      </c>
      <c r="C87" s="6"/>
      <c r="D87" s="2" t="s">
        <v>279</v>
      </c>
      <c r="E87" s="1"/>
      <c r="F87" s="1"/>
      <c r="G87" s="1"/>
      <c r="H87" s="1"/>
      <c r="I87" s="1"/>
      <c r="J87" s="1"/>
      <c r="K87" s="1"/>
      <c r="L87" s="1"/>
      <c r="M87" s="1"/>
      <c r="N87" s="1"/>
      <c r="O87" s="1"/>
      <c r="P87" s="1"/>
      <c r="Q87" s="1"/>
      <c r="R87" s="573"/>
      <c r="S87" s="574"/>
      <c r="T87" s="574"/>
      <c r="U87" s="574"/>
      <c r="V87" s="575"/>
      <c r="W87" s="575"/>
      <c r="X87" s="575"/>
      <c r="Y87" s="575"/>
      <c r="Z87" s="34">
        <f t="shared" ref="Z87:AF87" si="61">SUM(Z88:Z98)</f>
        <v>0</v>
      </c>
      <c r="AA87" s="34">
        <f t="shared" si="61"/>
        <v>0</v>
      </c>
      <c r="AB87" s="54">
        <f t="shared" si="61"/>
        <v>71.3</v>
      </c>
      <c r="AC87" s="34">
        <f t="shared" si="61"/>
        <v>1278</v>
      </c>
      <c r="AD87" s="34">
        <f t="shared" si="61"/>
        <v>0</v>
      </c>
      <c r="AE87" s="34">
        <f t="shared" si="61"/>
        <v>329.6</v>
      </c>
      <c r="AF87" s="34">
        <f t="shared" si="61"/>
        <v>0</v>
      </c>
      <c r="AG87" s="45">
        <f t="shared" si="53"/>
        <v>1678.9</v>
      </c>
      <c r="AH87" s="34">
        <f t="shared" ref="AH87:AM87" si="62">SUM(AH88:AH98)</f>
        <v>0</v>
      </c>
      <c r="AI87" s="34">
        <f t="shared" si="62"/>
        <v>0</v>
      </c>
      <c r="AJ87" s="34">
        <f t="shared" si="62"/>
        <v>92.67</v>
      </c>
      <c r="AK87" s="34">
        <f t="shared" si="62"/>
        <v>500</v>
      </c>
      <c r="AL87" s="34">
        <f t="shared" si="62"/>
        <v>0</v>
      </c>
      <c r="AM87" s="34">
        <f t="shared" si="62"/>
        <v>0</v>
      </c>
      <c r="AN87" s="34">
        <f t="shared" si="56"/>
        <v>592.66999999999996</v>
      </c>
      <c r="AO87" s="34">
        <f t="shared" ref="AO87:AU87" si="63">SUM(AO88:AO98)</f>
        <v>0</v>
      </c>
      <c r="AP87" s="34">
        <f t="shared" si="63"/>
        <v>0</v>
      </c>
      <c r="AQ87" s="34">
        <f t="shared" si="63"/>
        <v>111</v>
      </c>
      <c r="AR87" s="34">
        <f t="shared" si="63"/>
        <v>0</v>
      </c>
      <c r="AS87" s="34">
        <f t="shared" si="63"/>
        <v>0</v>
      </c>
      <c r="AT87" s="34">
        <f t="shared" si="63"/>
        <v>0</v>
      </c>
      <c r="AU87" s="34">
        <f t="shared" si="63"/>
        <v>0</v>
      </c>
      <c r="AV87" s="34">
        <f t="shared" si="58"/>
        <v>111</v>
      </c>
      <c r="AW87" s="34">
        <f t="shared" ref="AW87:BC87" si="64">SUM(AW88:AW98)</f>
        <v>0</v>
      </c>
      <c r="AX87" s="34">
        <f t="shared" si="64"/>
        <v>0</v>
      </c>
      <c r="AY87" s="34">
        <f t="shared" si="64"/>
        <v>118</v>
      </c>
      <c r="AZ87" s="34">
        <f t="shared" si="64"/>
        <v>0</v>
      </c>
      <c r="BA87" s="34">
        <f t="shared" si="64"/>
        <v>0</v>
      </c>
      <c r="BB87" s="34">
        <f t="shared" si="64"/>
        <v>0</v>
      </c>
      <c r="BC87" s="34">
        <f t="shared" si="64"/>
        <v>0</v>
      </c>
      <c r="BD87" s="34">
        <f t="shared" si="60"/>
        <v>118</v>
      </c>
      <c r="BE87" s="34">
        <f t="shared" si="52"/>
        <v>0</v>
      </c>
      <c r="BF87" s="34">
        <f t="shared" si="52"/>
        <v>0</v>
      </c>
      <c r="BG87" s="34">
        <f t="shared" si="52"/>
        <v>392.97</v>
      </c>
      <c r="BH87" s="34">
        <f t="shared" si="52"/>
        <v>1778</v>
      </c>
      <c r="BI87" s="34">
        <f t="shared" si="52"/>
        <v>0</v>
      </c>
      <c r="BJ87" s="34">
        <f t="shared" si="51"/>
        <v>329.6</v>
      </c>
      <c r="BK87" s="34">
        <f t="shared" si="45"/>
        <v>0</v>
      </c>
      <c r="BL87" s="34">
        <f t="shared" si="45"/>
        <v>2500.5700000000002</v>
      </c>
    </row>
    <row r="88" spans="1:68" ht="44.25" hidden="1" customHeight="1" x14ac:dyDescent="0.2">
      <c r="A88" s="298" t="s">
        <v>280</v>
      </c>
      <c r="B88" s="299" t="s">
        <v>278</v>
      </c>
      <c r="C88" s="1546" t="s">
        <v>281</v>
      </c>
      <c r="D88" s="1550" t="s">
        <v>282</v>
      </c>
      <c r="E88" s="1550" t="s">
        <v>283</v>
      </c>
      <c r="F88" s="1550">
        <v>2015</v>
      </c>
      <c r="G88" s="1550">
        <v>8</v>
      </c>
      <c r="H88" s="1550">
        <v>10</v>
      </c>
      <c r="I88" s="1425"/>
      <c r="J88" s="1425"/>
      <c r="K88" s="1425" t="s">
        <v>284</v>
      </c>
      <c r="L88" s="301"/>
      <c r="M88" s="1425" t="s">
        <v>45</v>
      </c>
      <c r="N88" s="1425" t="s">
        <v>46</v>
      </c>
      <c r="O88" s="1425" t="s">
        <v>47</v>
      </c>
      <c r="P88" s="1425"/>
      <c r="Q88" s="16" t="s">
        <v>285</v>
      </c>
      <c r="R88" s="302" t="s">
        <v>286</v>
      </c>
      <c r="S88" s="303">
        <v>2015</v>
      </c>
      <c r="T88" s="303">
        <v>0</v>
      </c>
      <c r="U88" s="303">
        <v>0</v>
      </c>
      <c r="V88" s="572">
        <v>1</v>
      </c>
      <c r="W88" s="572">
        <v>1</v>
      </c>
      <c r="X88" s="572">
        <v>1</v>
      </c>
      <c r="Y88" s="572">
        <v>1</v>
      </c>
      <c r="Z88" s="483"/>
      <c r="AA88" s="483"/>
      <c r="AB88" s="577"/>
      <c r="AC88" s="483"/>
      <c r="AD88" s="483"/>
      <c r="AE88" s="483"/>
      <c r="AF88" s="483"/>
      <c r="AG88" s="578">
        <f t="shared" si="53"/>
        <v>0</v>
      </c>
      <c r="AH88" s="587"/>
      <c r="AI88" s="587"/>
      <c r="AJ88" s="492">
        <v>1</v>
      </c>
      <c r="AK88" s="587"/>
      <c r="AL88" s="587"/>
      <c r="AM88" s="587"/>
      <c r="AN88" s="587">
        <f t="shared" si="56"/>
        <v>1</v>
      </c>
      <c r="AO88" s="483"/>
      <c r="AP88" s="483"/>
      <c r="AQ88" s="492">
        <v>1</v>
      </c>
      <c r="AR88" s="483"/>
      <c r="AS88" s="483"/>
      <c r="AT88" s="483"/>
      <c r="AU88" s="483"/>
      <c r="AV88" s="483">
        <f t="shared" si="58"/>
        <v>1</v>
      </c>
      <c r="AW88" s="587"/>
      <c r="AX88" s="587"/>
      <c r="AY88" s="492">
        <v>1</v>
      </c>
      <c r="AZ88" s="587"/>
      <c r="BA88" s="587"/>
      <c r="BB88" s="587"/>
      <c r="BC88" s="587"/>
      <c r="BD88" s="587">
        <f t="shared" si="60"/>
        <v>1</v>
      </c>
      <c r="BE88" s="44">
        <f t="shared" si="52"/>
        <v>0</v>
      </c>
      <c r="BF88" s="44">
        <f t="shared" si="52"/>
        <v>0</v>
      </c>
      <c r="BG88" s="44">
        <f t="shared" si="52"/>
        <v>3</v>
      </c>
      <c r="BH88" s="44">
        <f t="shared" si="52"/>
        <v>0</v>
      </c>
      <c r="BI88" s="44">
        <f t="shared" si="52"/>
        <v>0</v>
      </c>
      <c r="BJ88" s="44">
        <f t="shared" si="51"/>
        <v>0</v>
      </c>
      <c r="BK88" s="44">
        <f t="shared" si="45"/>
        <v>0</v>
      </c>
      <c r="BL88" s="44">
        <f t="shared" si="45"/>
        <v>3</v>
      </c>
    </row>
    <row r="89" spans="1:68" ht="42" hidden="1" customHeight="1" x14ac:dyDescent="0.2">
      <c r="A89" s="298" t="s">
        <v>280</v>
      </c>
      <c r="B89" s="299" t="s">
        <v>278</v>
      </c>
      <c r="C89" s="1547"/>
      <c r="D89" s="1551"/>
      <c r="E89" s="1551"/>
      <c r="F89" s="1551"/>
      <c r="G89" s="1551"/>
      <c r="H89" s="1551"/>
      <c r="I89" s="1425" t="s">
        <v>53</v>
      </c>
      <c r="J89" s="1425"/>
      <c r="K89" s="1425" t="s">
        <v>287</v>
      </c>
      <c r="L89" s="301"/>
      <c r="M89" s="1425" t="s">
        <v>45</v>
      </c>
      <c r="N89" s="1425" t="s">
        <v>46</v>
      </c>
      <c r="O89" s="1425" t="s">
        <v>47</v>
      </c>
      <c r="P89" s="1425"/>
      <c r="Q89" s="16" t="s">
        <v>288</v>
      </c>
      <c r="R89" s="302" t="s">
        <v>289</v>
      </c>
      <c r="S89" s="303">
        <v>2015</v>
      </c>
      <c r="T89" s="303">
        <v>0</v>
      </c>
      <c r="U89" s="303">
        <v>1</v>
      </c>
      <c r="V89" s="572">
        <v>1</v>
      </c>
      <c r="W89" s="572">
        <v>1</v>
      </c>
      <c r="X89" s="572">
        <v>1</v>
      </c>
      <c r="Y89" s="572">
        <v>1</v>
      </c>
      <c r="Z89" s="481"/>
      <c r="AA89" s="481"/>
      <c r="AB89" s="579"/>
      <c r="AC89" s="481">
        <v>900</v>
      </c>
      <c r="AD89" s="481"/>
      <c r="AE89" s="481"/>
      <c r="AF89" s="481"/>
      <c r="AG89" s="578">
        <f t="shared" si="53"/>
        <v>900</v>
      </c>
      <c r="AH89" s="548"/>
      <c r="AI89" s="548"/>
      <c r="AJ89" s="492">
        <v>1</v>
      </c>
      <c r="AK89" s="548"/>
      <c r="AL89" s="548"/>
      <c r="AM89" s="548"/>
      <c r="AN89" s="548">
        <f t="shared" si="56"/>
        <v>1</v>
      </c>
      <c r="AO89" s="481"/>
      <c r="AP89" s="481"/>
      <c r="AQ89" s="492">
        <v>1</v>
      </c>
      <c r="AR89" s="481"/>
      <c r="AS89" s="481"/>
      <c r="AT89" s="481"/>
      <c r="AU89" s="481"/>
      <c r="AV89" s="481">
        <f t="shared" si="58"/>
        <v>1</v>
      </c>
      <c r="AW89" s="548"/>
      <c r="AX89" s="548"/>
      <c r="AY89" s="492">
        <v>1</v>
      </c>
      <c r="AZ89" s="548"/>
      <c r="BA89" s="548"/>
      <c r="BB89" s="548"/>
      <c r="BC89" s="548"/>
      <c r="BD89" s="548">
        <f t="shared" si="60"/>
        <v>1</v>
      </c>
      <c r="BE89" s="42">
        <f t="shared" si="52"/>
        <v>0</v>
      </c>
      <c r="BF89" s="42">
        <f t="shared" si="52"/>
        <v>0</v>
      </c>
      <c r="BG89" s="42">
        <f t="shared" si="52"/>
        <v>3</v>
      </c>
      <c r="BH89" s="42">
        <f t="shared" si="52"/>
        <v>900</v>
      </c>
      <c r="BI89" s="42">
        <f t="shared" si="52"/>
        <v>0</v>
      </c>
      <c r="BJ89" s="42">
        <f t="shared" si="51"/>
        <v>0</v>
      </c>
      <c r="BK89" s="42">
        <f t="shared" si="45"/>
        <v>0</v>
      </c>
      <c r="BL89" s="42">
        <f t="shared" si="45"/>
        <v>903</v>
      </c>
    </row>
    <row r="90" spans="1:68" ht="33.75" hidden="1" customHeight="1" x14ac:dyDescent="0.2">
      <c r="A90" s="298" t="s">
        <v>280</v>
      </c>
      <c r="B90" s="299" t="s">
        <v>278</v>
      </c>
      <c r="C90" s="1547"/>
      <c r="D90" s="1551"/>
      <c r="E90" s="1551"/>
      <c r="F90" s="1551"/>
      <c r="G90" s="1551"/>
      <c r="H90" s="1551"/>
      <c r="I90" s="1425" t="s">
        <v>53</v>
      </c>
      <c r="J90" s="1425"/>
      <c r="K90" s="1425" t="s">
        <v>290</v>
      </c>
      <c r="L90" s="301"/>
      <c r="M90" s="1425" t="s">
        <v>45</v>
      </c>
      <c r="N90" s="1425" t="s">
        <v>46</v>
      </c>
      <c r="O90" s="1425" t="s">
        <v>47</v>
      </c>
      <c r="P90" s="1425"/>
      <c r="Q90" s="71" t="s">
        <v>291</v>
      </c>
      <c r="R90" s="302" t="s">
        <v>292</v>
      </c>
      <c r="S90" s="303" t="s">
        <v>182</v>
      </c>
      <c r="T90" s="303">
        <v>4</v>
      </c>
      <c r="U90" s="303">
        <v>2</v>
      </c>
      <c r="V90" s="572">
        <v>3</v>
      </c>
      <c r="W90" s="572">
        <v>4</v>
      </c>
      <c r="X90" s="572">
        <v>6</v>
      </c>
      <c r="Y90" s="572">
        <v>6</v>
      </c>
      <c r="Z90" s="483"/>
      <c r="AA90" s="483"/>
      <c r="AB90" s="577">
        <v>0</v>
      </c>
      <c r="AC90" s="483">
        <v>378</v>
      </c>
      <c r="AD90" s="483"/>
      <c r="AE90" s="493">
        <v>319.54000000000002</v>
      </c>
      <c r="AF90" s="483"/>
      <c r="AG90" s="578">
        <f t="shared" si="53"/>
        <v>697.54</v>
      </c>
      <c r="AH90" s="587"/>
      <c r="AI90" s="587"/>
      <c r="AJ90" s="587">
        <v>10</v>
      </c>
      <c r="AK90" s="587"/>
      <c r="AL90" s="587"/>
      <c r="AM90" s="587"/>
      <c r="AN90" s="587">
        <f t="shared" si="56"/>
        <v>10</v>
      </c>
      <c r="AO90" s="483"/>
      <c r="AP90" s="483"/>
      <c r="AQ90" s="483">
        <v>40</v>
      </c>
      <c r="AR90" s="483"/>
      <c r="AS90" s="483"/>
      <c r="AT90" s="483"/>
      <c r="AU90" s="483"/>
      <c r="AV90" s="483">
        <f t="shared" si="58"/>
        <v>40</v>
      </c>
      <c r="AW90" s="587"/>
      <c r="AX90" s="587"/>
      <c r="AY90" s="587">
        <v>58</v>
      </c>
      <c r="AZ90" s="587"/>
      <c r="BA90" s="587"/>
      <c r="BB90" s="587"/>
      <c r="BC90" s="587"/>
      <c r="BD90" s="587">
        <f t="shared" si="60"/>
        <v>58</v>
      </c>
      <c r="BE90" s="44">
        <f t="shared" si="52"/>
        <v>0</v>
      </c>
      <c r="BF90" s="44">
        <f t="shared" si="52"/>
        <v>0</v>
      </c>
      <c r="BG90" s="44">
        <f t="shared" si="52"/>
        <v>108</v>
      </c>
      <c r="BH90" s="44">
        <f t="shared" si="52"/>
        <v>378</v>
      </c>
      <c r="BI90" s="44">
        <f t="shared" si="52"/>
        <v>0</v>
      </c>
      <c r="BJ90" s="44">
        <f t="shared" si="51"/>
        <v>319.54000000000002</v>
      </c>
      <c r="BK90" s="44">
        <f t="shared" si="45"/>
        <v>0</v>
      </c>
      <c r="BL90" s="44">
        <f t="shared" si="45"/>
        <v>805.54</v>
      </c>
    </row>
    <row r="91" spans="1:68" ht="38.25" hidden="1" customHeight="1" x14ac:dyDescent="0.2">
      <c r="A91" s="298" t="s">
        <v>280</v>
      </c>
      <c r="B91" s="299" t="s">
        <v>278</v>
      </c>
      <c r="C91" s="1547"/>
      <c r="D91" s="1551"/>
      <c r="E91" s="1551"/>
      <c r="F91" s="1551"/>
      <c r="G91" s="1551"/>
      <c r="H91" s="1551"/>
      <c r="I91" s="1425"/>
      <c r="J91" s="1425"/>
      <c r="K91" s="1425" t="s">
        <v>293</v>
      </c>
      <c r="L91" s="301"/>
      <c r="M91" s="1425" t="s">
        <v>45</v>
      </c>
      <c r="N91" s="1425" t="s">
        <v>46</v>
      </c>
      <c r="O91" s="1425" t="s">
        <v>47</v>
      </c>
      <c r="P91" s="1425"/>
      <c r="Q91" s="71" t="s">
        <v>294</v>
      </c>
      <c r="R91" s="302" t="s">
        <v>295</v>
      </c>
      <c r="S91" s="303">
        <v>2015</v>
      </c>
      <c r="T91" s="303">
        <v>0</v>
      </c>
      <c r="U91" s="303">
        <v>3</v>
      </c>
      <c r="V91" s="572">
        <v>6</v>
      </c>
      <c r="W91" s="572">
        <v>9</v>
      </c>
      <c r="X91" s="572">
        <v>12</v>
      </c>
      <c r="Y91" s="572">
        <v>12</v>
      </c>
      <c r="Z91" s="481"/>
      <c r="AA91" s="481"/>
      <c r="AB91" s="492">
        <v>27</v>
      </c>
      <c r="AC91" s="481"/>
      <c r="AD91" s="481"/>
      <c r="AE91" s="481"/>
      <c r="AF91" s="481"/>
      <c r="AG91" s="578">
        <f t="shared" si="53"/>
        <v>27</v>
      </c>
      <c r="AH91" s="548"/>
      <c r="AI91" s="548"/>
      <c r="AJ91" s="548">
        <v>34</v>
      </c>
      <c r="AK91" s="548"/>
      <c r="AL91" s="548"/>
      <c r="AM91" s="548"/>
      <c r="AN91" s="548">
        <f t="shared" si="56"/>
        <v>34</v>
      </c>
      <c r="AO91" s="481"/>
      <c r="AP91" s="481"/>
      <c r="AQ91" s="481">
        <v>11</v>
      </c>
      <c r="AR91" s="481"/>
      <c r="AS91" s="481"/>
      <c r="AT91" s="481"/>
      <c r="AU91" s="481"/>
      <c r="AV91" s="481">
        <f t="shared" si="58"/>
        <v>11</v>
      </c>
      <c r="AW91" s="548"/>
      <c r="AX91" s="548"/>
      <c r="AY91" s="492">
        <v>1</v>
      </c>
      <c r="AZ91" s="548"/>
      <c r="BA91" s="548"/>
      <c r="BB91" s="548"/>
      <c r="BC91" s="548"/>
      <c r="BD91" s="548">
        <f t="shared" si="60"/>
        <v>1</v>
      </c>
      <c r="BE91" s="42">
        <f t="shared" si="52"/>
        <v>0</v>
      </c>
      <c r="BF91" s="42">
        <f t="shared" si="52"/>
        <v>0</v>
      </c>
      <c r="BG91" s="42">
        <f t="shared" si="52"/>
        <v>73</v>
      </c>
      <c r="BH91" s="42">
        <f t="shared" si="52"/>
        <v>0</v>
      </c>
      <c r="BI91" s="42">
        <f t="shared" si="52"/>
        <v>0</v>
      </c>
      <c r="BJ91" s="42">
        <f t="shared" si="51"/>
        <v>0</v>
      </c>
      <c r="BK91" s="42">
        <f t="shared" si="45"/>
        <v>0</v>
      </c>
      <c r="BL91" s="42">
        <f t="shared" si="45"/>
        <v>73</v>
      </c>
    </row>
    <row r="92" spans="1:68" ht="33" hidden="1" customHeight="1" x14ac:dyDescent="0.2">
      <c r="A92" s="298" t="s">
        <v>280</v>
      </c>
      <c r="B92" s="299" t="s">
        <v>278</v>
      </c>
      <c r="C92" s="1547"/>
      <c r="D92" s="1551"/>
      <c r="E92" s="1551"/>
      <c r="F92" s="1551"/>
      <c r="G92" s="1551"/>
      <c r="H92" s="1551"/>
      <c r="I92" s="1425" t="s">
        <v>53</v>
      </c>
      <c r="J92" s="1425"/>
      <c r="K92" s="1425" t="s">
        <v>296</v>
      </c>
      <c r="L92" s="301"/>
      <c r="M92" s="1425" t="s">
        <v>45</v>
      </c>
      <c r="N92" s="1425" t="s">
        <v>46</v>
      </c>
      <c r="O92" s="1425" t="s">
        <v>47</v>
      </c>
      <c r="P92" s="1425"/>
      <c r="Q92" s="71" t="s">
        <v>297</v>
      </c>
      <c r="R92" s="302" t="s">
        <v>298</v>
      </c>
      <c r="S92" s="303">
        <v>2015</v>
      </c>
      <c r="T92" s="303">
        <v>1</v>
      </c>
      <c r="U92" s="303">
        <v>2</v>
      </c>
      <c r="V92" s="572">
        <v>4</v>
      </c>
      <c r="W92" s="572">
        <v>6</v>
      </c>
      <c r="X92" s="572">
        <v>8</v>
      </c>
      <c r="Y92" s="572">
        <v>8</v>
      </c>
      <c r="Z92" s="481"/>
      <c r="AA92" s="481"/>
      <c r="AB92" s="580">
        <v>20</v>
      </c>
      <c r="AC92" s="481"/>
      <c r="AD92" s="481"/>
      <c r="AE92" s="481"/>
      <c r="AF92" s="481"/>
      <c r="AG92" s="578">
        <f t="shared" si="53"/>
        <v>20</v>
      </c>
      <c r="AH92" s="548"/>
      <c r="AI92" s="548"/>
      <c r="AJ92" s="492">
        <v>1</v>
      </c>
      <c r="AK92" s="548"/>
      <c r="AL92" s="548"/>
      <c r="AM92" s="548"/>
      <c r="AN92" s="548">
        <f t="shared" si="56"/>
        <v>1</v>
      </c>
      <c r="AO92" s="481"/>
      <c r="AP92" s="481"/>
      <c r="AQ92" s="492">
        <v>1</v>
      </c>
      <c r="AR92" s="481"/>
      <c r="AS92" s="481"/>
      <c r="AT92" s="481"/>
      <c r="AU92" s="481"/>
      <c r="AV92" s="481">
        <f t="shared" si="58"/>
        <v>1</v>
      </c>
      <c r="AW92" s="548"/>
      <c r="AX92" s="548"/>
      <c r="AY92" s="492">
        <v>1</v>
      </c>
      <c r="AZ92" s="548"/>
      <c r="BA92" s="548"/>
      <c r="BB92" s="548"/>
      <c r="BC92" s="548"/>
      <c r="BD92" s="548">
        <f t="shared" si="60"/>
        <v>1</v>
      </c>
      <c r="BE92" s="42">
        <f t="shared" si="52"/>
        <v>0</v>
      </c>
      <c r="BF92" s="42">
        <f t="shared" si="52"/>
        <v>0</v>
      </c>
      <c r="BG92" s="42">
        <f>+AY92+AQ92+AJ92+AB93</f>
        <v>13.3</v>
      </c>
      <c r="BH92" s="42">
        <f t="shared" si="52"/>
        <v>0</v>
      </c>
      <c r="BI92" s="42">
        <f t="shared" si="52"/>
        <v>0</v>
      </c>
      <c r="BJ92" s="42">
        <f t="shared" si="51"/>
        <v>0</v>
      </c>
      <c r="BK92" s="42">
        <f t="shared" si="45"/>
        <v>0</v>
      </c>
      <c r="BL92" s="42">
        <f t="shared" si="45"/>
        <v>23</v>
      </c>
    </row>
    <row r="93" spans="1:68" ht="33" hidden="1" customHeight="1" x14ac:dyDescent="0.2">
      <c r="A93" s="298" t="s">
        <v>280</v>
      </c>
      <c r="B93" s="299" t="s">
        <v>278</v>
      </c>
      <c r="C93" s="1547"/>
      <c r="D93" s="1551"/>
      <c r="E93" s="1551"/>
      <c r="F93" s="1551"/>
      <c r="G93" s="1551"/>
      <c r="H93" s="1551"/>
      <c r="I93" s="1425" t="s">
        <v>53</v>
      </c>
      <c r="J93" s="1425"/>
      <c r="K93" s="1425" t="s">
        <v>299</v>
      </c>
      <c r="L93" s="301"/>
      <c r="M93" s="1425" t="s">
        <v>45</v>
      </c>
      <c r="N93" s="1425" t="s">
        <v>46</v>
      </c>
      <c r="O93" s="1425" t="s">
        <v>47</v>
      </c>
      <c r="P93" s="1425"/>
      <c r="Q93" s="71" t="s">
        <v>300</v>
      </c>
      <c r="R93" s="302" t="s">
        <v>301</v>
      </c>
      <c r="S93" s="303">
        <v>2015</v>
      </c>
      <c r="T93" s="303">
        <v>1</v>
      </c>
      <c r="U93" s="303">
        <v>2</v>
      </c>
      <c r="V93" s="572">
        <v>4</v>
      </c>
      <c r="W93" s="572">
        <v>6</v>
      </c>
      <c r="X93" s="572">
        <v>8</v>
      </c>
      <c r="Y93" s="572">
        <v>8</v>
      </c>
      <c r="Z93" s="481"/>
      <c r="AA93" s="481"/>
      <c r="AB93" s="492">
        <v>10.3</v>
      </c>
      <c r="AC93" s="481"/>
      <c r="AD93" s="481"/>
      <c r="AE93" s="481"/>
      <c r="AF93" s="481"/>
      <c r="AG93" s="578">
        <f t="shared" si="53"/>
        <v>10.3</v>
      </c>
      <c r="AH93" s="548"/>
      <c r="AI93" s="548"/>
      <c r="AJ93" s="492">
        <v>1</v>
      </c>
      <c r="AK93" s="548"/>
      <c r="AL93" s="548"/>
      <c r="AM93" s="548"/>
      <c r="AN93" s="548">
        <f t="shared" si="56"/>
        <v>1</v>
      </c>
      <c r="AO93" s="481"/>
      <c r="AP93" s="481"/>
      <c r="AQ93" s="492">
        <v>1</v>
      </c>
      <c r="AR93" s="481"/>
      <c r="AS93" s="481"/>
      <c r="AT93" s="481"/>
      <c r="AU93" s="481"/>
      <c r="AV93" s="481">
        <f t="shared" si="58"/>
        <v>1</v>
      </c>
      <c r="AW93" s="548"/>
      <c r="AX93" s="548"/>
      <c r="AY93" s="492">
        <v>1</v>
      </c>
      <c r="AZ93" s="548"/>
      <c r="BA93" s="548"/>
      <c r="BB93" s="548"/>
      <c r="BC93" s="548"/>
      <c r="BD93" s="548">
        <f t="shared" si="60"/>
        <v>1</v>
      </c>
      <c r="BE93" s="42">
        <f t="shared" si="52"/>
        <v>0</v>
      </c>
      <c r="BF93" s="42">
        <f t="shared" si="52"/>
        <v>0</v>
      </c>
      <c r="BG93" s="42" t="e">
        <f>+AY93+AQ93+AJ93+#REF!</f>
        <v>#REF!</v>
      </c>
      <c r="BH93" s="42">
        <f t="shared" si="52"/>
        <v>0</v>
      </c>
      <c r="BI93" s="42">
        <f t="shared" si="52"/>
        <v>0</v>
      </c>
      <c r="BJ93" s="42">
        <f t="shared" si="51"/>
        <v>0</v>
      </c>
      <c r="BK93" s="42">
        <f t="shared" si="45"/>
        <v>0</v>
      </c>
      <c r="BL93" s="42">
        <f t="shared" si="45"/>
        <v>13.3</v>
      </c>
    </row>
    <row r="94" spans="1:68" ht="39" hidden="1" customHeight="1" x14ac:dyDescent="0.2">
      <c r="A94" s="298" t="s">
        <v>280</v>
      </c>
      <c r="B94" s="299" t="s">
        <v>278</v>
      </c>
      <c r="C94" s="1547"/>
      <c r="D94" s="1551"/>
      <c r="E94" s="1551"/>
      <c r="F94" s="1551"/>
      <c r="G94" s="1551"/>
      <c r="H94" s="1551"/>
      <c r="I94" s="1425"/>
      <c r="J94" s="1425"/>
      <c r="K94" s="1425" t="s">
        <v>302</v>
      </c>
      <c r="L94" s="301"/>
      <c r="M94" s="1425" t="s">
        <v>45</v>
      </c>
      <c r="N94" s="1425" t="s">
        <v>46</v>
      </c>
      <c r="O94" s="1425" t="s">
        <v>47</v>
      </c>
      <c r="P94" s="1425"/>
      <c r="Q94" s="16" t="s">
        <v>303</v>
      </c>
      <c r="R94" s="302" t="s">
        <v>304</v>
      </c>
      <c r="S94" s="303">
        <v>2015</v>
      </c>
      <c r="T94" s="303" t="s">
        <v>177</v>
      </c>
      <c r="U94" s="303">
        <v>1</v>
      </c>
      <c r="V94" s="572">
        <v>2</v>
      </c>
      <c r="W94" s="572">
        <v>3</v>
      </c>
      <c r="X94" s="572">
        <v>4</v>
      </c>
      <c r="Y94" s="572">
        <v>4</v>
      </c>
      <c r="Z94" s="481"/>
      <c r="AA94" s="481"/>
      <c r="AB94" s="579"/>
      <c r="AC94" s="481"/>
      <c r="AD94" s="481"/>
      <c r="AE94" s="491">
        <v>10.06</v>
      </c>
      <c r="AF94" s="481"/>
      <c r="AG94" s="578">
        <f t="shared" si="53"/>
        <v>10.06</v>
      </c>
      <c r="AH94" s="548"/>
      <c r="AI94" s="548"/>
      <c r="AJ94" s="492">
        <v>1</v>
      </c>
      <c r="AK94" s="548"/>
      <c r="AL94" s="548"/>
      <c r="AM94" s="548"/>
      <c r="AN94" s="548">
        <f t="shared" si="56"/>
        <v>1</v>
      </c>
      <c r="AO94" s="481"/>
      <c r="AP94" s="481"/>
      <c r="AQ94" s="492">
        <v>1</v>
      </c>
      <c r="AR94" s="481"/>
      <c r="AS94" s="481"/>
      <c r="AT94" s="481"/>
      <c r="AU94" s="481"/>
      <c r="AV94" s="481">
        <f t="shared" si="58"/>
        <v>1</v>
      </c>
      <c r="AW94" s="548"/>
      <c r="AX94" s="548"/>
      <c r="AY94" s="492">
        <v>1</v>
      </c>
      <c r="AZ94" s="548"/>
      <c r="BA94" s="548"/>
      <c r="BB94" s="548"/>
      <c r="BC94" s="548"/>
      <c r="BD94" s="548">
        <f t="shared" si="60"/>
        <v>1</v>
      </c>
      <c r="BE94" s="42">
        <f t="shared" si="52"/>
        <v>0</v>
      </c>
      <c r="BF94" s="42">
        <f t="shared" si="52"/>
        <v>0</v>
      </c>
      <c r="BG94" s="42">
        <f t="shared" si="52"/>
        <v>3</v>
      </c>
      <c r="BH94" s="42">
        <f t="shared" si="52"/>
        <v>0</v>
      </c>
      <c r="BI94" s="42">
        <f t="shared" si="52"/>
        <v>0</v>
      </c>
      <c r="BJ94" s="42">
        <f t="shared" si="51"/>
        <v>10.06</v>
      </c>
      <c r="BK94" s="42">
        <f t="shared" si="45"/>
        <v>0</v>
      </c>
      <c r="BL94" s="42">
        <f t="shared" si="45"/>
        <v>13.06</v>
      </c>
    </row>
    <row r="95" spans="1:68" ht="30" hidden="1" customHeight="1" x14ac:dyDescent="0.2">
      <c r="A95" s="298" t="s">
        <v>280</v>
      </c>
      <c r="B95" s="299" t="s">
        <v>278</v>
      </c>
      <c r="C95" s="1547"/>
      <c r="D95" s="1551"/>
      <c r="E95" s="1551"/>
      <c r="F95" s="1551"/>
      <c r="G95" s="1551"/>
      <c r="H95" s="1551"/>
      <c r="I95" s="1425"/>
      <c r="J95" s="1425"/>
      <c r="K95" s="1425" t="s">
        <v>305</v>
      </c>
      <c r="L95" s="301"/>
      <c r="M95" s="1425" t="s">
        <v>45</v>
      </c>
      <c r="N95" s="1425" t="s">
        <v>46</v>
      </c>
      <c r="O95" s="1425" t="s">
        <v>47</v>
      </c>
      <c r="P95" s="1425"/>
      <c r="Q95" s="16" t="s">
        <v>306</v>
      </c>
      <c r="R95" s="302" t="s">
        <v>307</v>
      </c>
      <c r="S95" s="303">
        <v>2015</v>
      </c>
      <c r="T95" s="303">
        <v>0</v>
      </c>
      <c r="U95" s="303">
        <v>1</v>
      </c>
      <c r="V95" s="572">
        <v>2</v>
      </c>
      <c r="W95" s="572">
        <v>3</v>
      </c>
      <c r="X95" s="572">
        <v>4</v>
      </c>
      <c r="Y95" s="572">
        <v>4</v>
      </c>
      <c r="Z95" s="481"/>
      <c r="AA95" s="481"/>
      <c r="AB95" s="492">
        <v>1</v>
      </c>
      <c r="AC95" s="481"/>
      <c r="AD95" s="481"/>
      <c r="AE95" s="481"/>
      <c r="AF95" s="481"/>
      <c r="AG95" s="578">
        <f t="shared" si="53"/>
        <v>1</v>
      </c>
      <c r="AH95" s="548"/>
      <c r="AI95" s="548"/>
      <c r="AJ95" s="492">
        <v>1</v>
      </c>
      <c r="AK95" s="548"/>
      <c r="AL95" s="548"/>
      <c r="AM95" s="548"/>
      <c r="AN95" s="548">
        <f t="shared" si="56"/>
        <v>1</v>
      </c>
      <c r="AO95" s="481"/>
      <c r="AP95" s="481"/>
      <c r="AQ95" s="492">
        <v>1</v>
      </c>
      <c r="AR95" s="481"/>
      <c r="AS95" s="481"/>
      <c r="AT95" s="481"/>
      <c r="AU95" s="481"/>
      <c r="AV95" s="481">
        <f t="shared" si="58"/>
        <v>1</v>
      </c>
      <c r="AW95" s="548"/>
      <c r="AX95" s="548"/>
      <c r="AY95" s="492">
        <v>1</v>
      </c>
      <c r="AZ95" s="548"/>
      <c r="BA95" s="548"/>
      <c r="BB95" s="548"/>
      <c r="BC95" s="548"/>
      <c r="BD95" s="548">
        <f t="shared" si="60"/>
        <v>1</v>
      </c>
      <c r="BE95" s="42">
        <f t="shared" si="52"/>
        <v>0</v>
      </c>
      <c r="BF95" s="42">
        <f t="shared" si="52"/>
        <v>0</v>
      </c>
      <c r="BG95" s="42">
        <f t="shared" si="52"/>
        <v>4</v>
      </c>
      <c r="BH95" s="42">
        <f t="shared" si="52"/>
        <v>0</v>
      </c>
      <c r="BI95" s="42">
        <f t="shared" si="52"/>
        <v>0</v>
      </c>
      <c r="BJ95" s="42">
        <f t="shared" si="51"/>
        <v>0</v>
      </c>
      <c r="BK95" s="42">
        <f t="shared" si="45"/>
        <v>0</v>
      </c>
      <c r="BL95" s="42">
        <f t="shared" si="45"/>
        <v>4</v>
      </c>
    </row>
    <row r="96" spans="1:68" ht="27.75" hidden="1" customHeight="1" x14ac:dyDescent="0.2">
      <c r="A96" s="298" t="s">
        <v>280</v>
      </c>
      <c r="B96" s="299" t="s">
        <v>278</v>
      </c>
      <c r="C96" s="1547"/>
      <c r="D96" s="1551"/>
      <c r="E96" s="1551"/>
      <c r="F96" s="1551"/>
      <c r="G96" s="1551"/>
      <c r="H96" s="1551"/>
      <c r="I96" s="1425" t="s">
        <v>53</v>
      </c>
      <c r="J96" s="1425"/>
      <c r="K96" s="1425" t="s">
        <v>308</v>
      </c>
      <c r="L96" s="301"/>
      <c r="M96" s="1425" t="s">
        <v>45</v>
      </c>
      <c r="N96" s="1425" t="s">
        <v>46</v>
      </c>
      <c r="O96" s="1425" t="s">
        <v>47</v>
      </c>
      <c r="P96" s="1425"/>
      <c r="Q96" s="71" t="s">
        <v>309</v>
      </c>
      <c r="R96" s="302" t="s">
        <v>310</v>
      </c>
      <c r="S96" s="303">
        <v>2015</v>
      </c>
      <c r="T96" s="303">
        <v>0</v>
      </c>
      <c r="U96" s="303">
        <v>0</v>
      </c>
      <c r="V96" s="572">
        <v>1</v>
      </c>
      <c r="W96" s="572">
        <v>1</v>
      </c>
      <c r="X96" s="572">
        <v>1</v>
      </c>
      <c r="Y96" s="572">
        <v>1</v>
      </c>
      <c r="Z96" s="481"/>
      <c r="AA96" s="481"/>
      <c r="AB96" s="579"/>
      <c r="AC96" s="481"/>
      <c r="AD96" s="481"/>
      <c r="AE96" s="481"/>
      <c r="AF96" s="481"/>
      <c r="AG96" s="578">
        <f t="shared" si="53"/>
        <v>0</v>
      </c>
      <c r="AH96" s="548"/>
      <c r="AI96" s="548"/>
      <c r="AJ96" s="548"/>
      <c r="AK96" s="548">
        <v>500</v>
      </c>
      <c r="AL96" s="548"/>
      <c r="AM96" s="548"/>
      <c r="AN96" s="548">
        <f t="shared" si="56"/>
        <v>500</v>
      </c>
      <c r="AO96" s="481"/>
      <c r="AP96" s="481"/>
      <c r="AQ96" s="492">
        <v>1</v>
      </c>
      <c r="AR96" s="481"/>
      <c r="AS96" s="481"/>
      <c r="AT96" s="481"/>
      <c r="AU96" s="481"/>
      <c r="AV96" s="481">
        <f t="shared" si="58"/>
        <v>1</v>
      </c>
      <c r="AW96" s="548"/>
      <c r="AX96" s="548"/>
      <c r="AY96" s="492">
        <v>1</v>
      </c>
      <c r="AZ96" s="548"/>
      <c r="BA96" s="548"/>
      <c r="BB96" s="548"/>
      <c r="BC96" s="548"/>
      <c r="BD96" s="548">
        <f t="shared" si="60"/>
        <v>1</v>
      </c>
      <c r="BE96" s="42">
        <f t="shared" si="52"/>
        <v>0</v>
      </c>
      <c r="BF96" s="42">
        <f t="shared" si="52"/>
        <v>0</v>
      </c>
      <c r="BG96" s="42">
        <f t="shared" si="52"/>
        <v>2</v>
      </c>
      <c r="BH96" s="42">
        <f t="shared" si="52"/>
        <v>500</v>
      </c>
      <c r="BI96" s="42">
        <f t="shared" si="52"/>
        <v>0</v>
      </c>
      <c r="BJ96" s="42">
        <f t="shared" si="51"/>
        <v>0</v>
      </c>
      <c r="BK96" s="42">
        <f t="shared" si="45"/>
        <v>0</v>
      </c>
      <c r="BL96" s="42">
        <f t="shared" si="45"/>
        <v>502</v>
      </c>
    </row>
    <row r="97" spans="1:64" ht="33" hidden="1" customHeight="1" x14ac:dyDescent="0.2">
      <c r="A97" s="298" t="s">
        <v>280</v>
      </c>
      <c r="B97" s="299" t="s">
        <v>278</v>
      </c>
      <c r="C97" s="1547"/>
      <c r="D97" s="1551"/>
      <c r="E97" s="1551"/>
      <c r="F97" s="1551"/>
      <c r="G97" s="1551"/>
      <c r="H97" s="1551"/>
      <c r="I97" s="1425"/>
      <c r="J97" s="1425"/>
      <c r="K97" s="1425" t="s">
        <v>311</v>
      </c>
      <c r="L97" s="301"/>
      <c r="M97" s="1425" t="s">
        <v>45</v>
      </c>
      <c r="N97" s="1425" t="s">
        <v>46</v>
      </c>
      <c r="O97" s="1425" t="s">
        <v>47</v>
      </c>
      <c r="P97" s="1425"/>
      <c r="Q97" s="71" t="s">
        <v>312</v>
      </c>
      <c r="R97" s="302" t="s">
        <v>313</v>
      </c>
      <c r="S97" s="303">
        <v>2015</v>
      </c>
      <c r="T97" s="303">
        <v>1</v>
      </c>
      <c r="U97" s="303">
        <v>1</v>
      </c>
      <c r="V97" s="572">
        <v>2</v>
      </c>
      <c r="W97" s="572">
        <v>3</v>
      </c>
      <c r="X97" s="572">
        <v>4</v>
      </c>
      <c r="Y97" s="572">
        <v>4</v>
      </c>
      <c r="Z97" s="481"/>
      <c r="AA97" s="481"/>
      <c r="AB97" s="492">
        <v>1</v>
      </c>
      <c r="AC97" s="481"/>
      <c r="AD97" s="481"/>
      <c r="AE97" s="481"/>
      <c r="AF97" s="481"/>
      <c r="AG97" s="578">
        <f t="shared" ref="AG97:AG120" si="65">SUM(Z97:AF97)</f>
        <v>1</v>
      </c>
      <c r="AH97" s="548"/>
      <c r="AI97" s="548"/>
      <c r="AJ97" s="492">
        <v>1</v>
      </c>
      <c r="AK97" s="548"/>
      <c r="AL97" s="548"/>
      <c r="AM97" s="548"/>
      <c r="AN97" s="548">
        <f t="shared" ref="AN97:AN107" si="66">SUM(AH97:AM97)</f>
        <v>1</v>
      </c>
      <c r="AO97" s="481"/>
      <c r="AP97" s="481"/>
      <c r="AQ97" s="492">
        <v>1</v>
      </c>
      <c r="AR97" s="481"/>
      <c r="AS97" s="481"/>
      <c r="AT97" s="481"/>
      <c r="AU97" s="481"/>
      <c r="AV97" s="481">
        <f t="shared" ref="AV97:AV107" si="67">SUM(AO97:AU97)</f>
        <v>1</v>
      </c>
      <c r="AW97" s="548"/>
      <c r="AX97" s="548"/>
      <c r="AY97" s="492">
        <v>1</v>
      </c>
      <c r="AZ97" s="548"/>
      <c r="BA97" s="548"/>
      <c r="BB97" s="548"/>
      <c r="BC97" s="548"/>
      <c r="BD97" s="548">
        <f t="shared" ref="BD97:BD107" si="68">SUM(AW97:BC97)</f>
        <v>1</v>
      </c>
      <c r="BE97" s="42">
        <f t="shared" si="52"/>
        <v>0</v>
      </c>
      <c r="BF97" s="42">
        <f t="shared" si="52"/>
        <v>0</v>
      </c>
      <c r="BG97" s="42">
        <f t="shared" si="52"/>
        <v>4</v>
      </c>
      <c r="BH97" s="42">
        <f t="shared" si="52"/>
        <v>0</v>
      </c>
      <c r="BI97" s="42">
        <f t="shared" si="52"/>
        <v>0</v>
      </c>
      <c r="BJ97" s="42">
        <f t="shared" si="51"/>
        <v>0</v>
      </c>
      <c r="BK97" s="42">
        <f t="shared" ref="BK97:BL129" si="69">+BC97+AU97+AM97+AF97</f>
        <v>0</v>
      </c>
      <c r="BL97" s="42">
        <f t="shared" si="69"/>
        <v>4</v>
      </c>
    </row>
    <row r="98" spans="1:64" ht="33" hidden="1" customHeight="1" x14ac:dyDescent="0.2">
      <c r="A98" s="298" t="s">
        <v>280</v>
      </c>
      <c r="B98" s="299" t="s">
        <v>278</v>
      </c>
      <c r="C98" s="1548"/>
      <c r="D98" s="1552"/>
      <c r="E98" s="1552"/>
      <c r="F98" s="1552"/>
      <c r="G98" s="1552"/>
      <c r="H98" s="1552"/>
      <c r="I98" s="1425"/>
      <c r="J98" s="1425"/>
      <c r="K98" s="1425" t="s">
        <v>314</v>
      </c>
      <c r="L98" s="301"/>
      <c r="M98" s="1425" t="s">
        <v>45</v>
      </c>
      <c r="N98" s="1425" t="s">
        <v>46</v>
      </c>
      <c r="O98" s="1425" t="s">
        <v>73</v>
      </c>
      <c r="P98" s="1425"/>
      <c r="Q98" s="16" t="s">
        <v>315</v>
      </c>
      <c r="R98" s="302" t="s">
        <v>316</v>
      </c>
      <c r="S98" s="303">
        <v>2015</v>
      </c>
      <c r="T98" s="303">
        <v>1</v>
      </c>
      <c r="U98" s="303">
        <v>4</v>
      </c>
      <c r="V98" s="572">
        <v>4</v>
      </c>
      <c r="W98" s="572">
        <v>4</v>
      </c>
      <c r="X98" s="572">
        <v>4</v>
      </c>
      <c r="Y98" s="572">
        <v>4</v>
      </c>
      <c r="Z98" s="481"/>
      <c r="AA98" s="481"/>
      <c r="AB98" s="492">
        <v>12</v>
      </c>
      <c r="AC98" s="481"/>
      <c r="AD98" s="481"/>
      <c r="AE98" s="481"/>
      <c r="AF98" s="491"/>
      <c r="AG98" s="578">
        <f t="shared" si="65"/>
        <v>12</v>
      </c>
      <c r="AH98" s="548"/>
      <c r="AI98" s="548"/>
      <c r="AJ98" s="491">
        <v>41.67</v>
      </c>
      <c r="AK98" s="548"/>
      <c r="AL98" s="548"/>
      <c r="AM98" s="548"/>
      <c r="AN98" s="548">
        <f t="shared" si="66"/>
        <v>41.67</v>
      </c>
      <c r="AO98" s="481"/>
      <c r="AP98" s="481"/>
      <c r="AQ98" s="491">
        <v>52</v>
      </c>
      <c r="AR98" s="481"/>
      <c r="AS98" s="481"/>
      <c r="AT98" s="481"/>
      <c r="AU98" s="481"/>
      <c r="AV98" s="481">
        <f t="shared" si="67"/>
        <v>52</v>
      </c>
      <c r="AW98" s="548"/>
      <c r="AX98" s="548"/>
      <c r="AY98" s="491">
        <v>51</v>
      </c>
      <c r="AZ98" s="548"/>
      <c r="BA98" s="548"/>
      <c r="BB98" s="548"/>
      <c r="BC98" s="548"/>
      <c r="BD98" s="548">
        <f t="shared" si="68"/>
        <v>51</v>
      </c>
      <c r="BE98" s="42">
        <f t="shared" si="52"/>
        <v>0</v>
      </c>
      <c r="BF98" s="42">
        <f t="shared" si="52"/>
        <v>0</v>
      </c>
      <c r="BG98" s="42">
        <f t="shared" si="52"/>
        <v>156.67000000000002</v>
      </c>
      <c r="BH98" s="42">
        <f t="shared" si="52"/>
        <v>0</v>
      </c>
      <c r="BI98" s="42">
        <f t="shared" si="52"/>
        <v>0</v>
      </c>
      <c r="BJ98" s="42">
        <f t="shared" si="51"/>
        <v>0</v>
      </c>
      <c r="BK98" s="42">
        <f t="shared" si="69"/>
        <v>0</v>
      </c>
      <c r="BL98" s="42">
        <f t="shared" si="69"/>
        <v>156.67000000000002</v>
      </c>
    </row>
    <row r="99" spans="1:64" ht="25.5" hidden="1" x14ac:dyDescent="0.2">
      <c r="A99" s="295" t="s">
        <v>280</v>
      </c>
      <c r="B99" s="6" t="s">
        <v>278</v>
      </c>
      <c r="C99" s="6"/>
      <c r="D99" s="2" t="s">
        <v>317</v>
      </c>
      <c r="E99" s="1"/>
      <c r="F99" s="1"/>
      <c r="G99" s="1"/>
      <c r="H99" s="1"/>
      <c r="I99" s="1"/>
      <c r="J99" s="1"/>
      <c r="K99" s="1"/>
      <c r="L99" s="1"/>
      <c r="M99" s="1"/>
      <c r="N99" s="1"/>
      <c r="O99" s="1"/>
      <c r="P99" s="1"/>
      <c r="Q99" s="1"/>
      <c r="R99" s="573"/>
      <c r="S99" s="574"/>
      <c r="T99" s="574"/>
      <c r="U99" s="574"/>
      <c r="V99" s="575"/>
      <c r="W99" s="575"/>
      <c r="X99" s="575"/>
      <c r="Y99" s="575"/>
      <c r="Z99" s="34">
        <f t="shared" ref="Z99:AF99" si="70">SUM(Z100:Z107)</f>
        <v>0</v>
      </c>
      <c r="AA99" s="34">
        <f t="shared" si="70"/>
        <v>0</v>
      </c>
      <c r="AB99" s="54">
        <f t="shared" si="70"/>
        <v>77.5</v>
      </c>
      <c r="AC99" s="34">
        <f t="shared" si="70"/>
        <v>0</v>
      </c>
      <c r="AD99" s="34">
        <f t="shared" si="70"/>
        <v>0</v>
      </c>
      <c r="AE99" s="34">
        <f t="shared" si="70"/>
        <v>1</v>
      </c>
      <c r="AF99" s="34">
        <f t="shared" si="70"/>
        <v>0</v>
      </c>
      <c r="AG99" s="45">
        <f t="shared" si="65"/>
        <v>78.5</v>
      </c>
      <c r="AH99" s="34">
        <f t="shared" ref="AH99:AM99" si="71">SUM(AH100:AH107)</f>
        <v>0</v>
      </c>
      <c r="AI99" s="34">
        <f t="shared" si="71"/>
        <v>0</v>
      </c>
      <c r="AJ99" s="34">
        <f t="shared" si="71"/>
        <v>50</v>
      </c>
      <c r="AK99" s="34">
        <f t="shared" si="71"/>
        <v>0</v>
      </c>
      <c r="AL99" s="34">
        <f t="shared" si="71"/>
        <v>0</v>
      </c>
      <c r="AM99" s="34">
        <f t="shared" si="71"/>
        <v>0</v>
      </c>
      <c r="AN99" s="34">
        <f t="shared" si="66"/>
        <v>50</v>
      </c>
      <c r="AO99" s="34">
        <f t="shared" ref="AO99:AU99" si="72">SUM(AO100:AO107)</f>
        <v>0</v>
      </c>
      <c r="AP99" s="34">
        <f t="shared" si="72"/>
        <v>0</v>
      </c>
      <c r="AQ99" s="34">
        <f t="shared" si="72"/>
        <v>50</v>
      </c>
      <c r="AR99" s="34">
        <f t="shared" si="72"/>
        <v>0</v>
      </c>
      <c r="AS99" s="34">
        <f t="shared" si="72"/>
        <v>0</v>
      </c>
      <c r="AT99" s="34">
        <f t="shared" si="72"/>
        <v>0</v>
      </c>
      <c r="AU99" s="34">
        <f t="shared" si="72"/>
        <v>0</v>
      </c>
      <c r="AV99" s="34">
        <f t="shared" si="67"/>
        <v>50</v>
      </c>
      <c r="AW99" s="34">
        <f t="shared" ref="AW99:BC99" si="73">SUM(AW100:AW107)</f>
        <v>0</v>
      </c>
      <c r="AX99" s="34">
        <f t="shared" si="73"/>
        <v>0</v>
      </c>
      <c r="AY99" s="34">
        <f t="shared" si="73"/>
        <v>50</v>
      </c>
      <c r="AZ99" s="34">
        <f t="shared" si="73"/>
        <v>0</v>
      </c>
      <c r="BA99" s="34">
        <f t="shared" si="73"/>
        <v>0</v>
      </c>
      <c r="BB99" s="34">
        <f t="shared" si="73"/>
        <v>0</v>
      </c>
      <c r="BC99" s="34">
        <f t="shared" si="73"/>
        <v>0</v>
      </c>
      <c r="BD99" s="34">
        <f t="shared" si="68"/>
        <v>50</v>
      </c>
      <c r="BE99" s="34">
        <f t="shared" si="52"/>
        <v>0</v>
      </c>
      <c r="BF99" s="34">
        <f t="shared" si="52"/>
        <v>0</v>
      </c>
      <c r="BG99" s="34">
        <f t="shared" si="52"/>
        <v>227.5</v>
      </c>
      <c r="BH99" s="34">
        <f t="shared" si="52"/>
        <v>0</v>
      </c>
      <c r="BI99" s="34">
        <f t="shared" si="52"/>
        <v>0</v>
      </c>
      <c r="BJ99" s="34">
        <f t="shared" si="51"/>
        <v>1</v>
      </c>
      <c r="BK99" s="34">
        <f t="shared" si="69"/>
        <v>0</v>
      </c>
      <c r="BL99" s="34">
        <f t="shared" si="69"/>
        <v>228.5</v>
      </c>
    </row>
    <row r="100" spans="1:64" ht="50.25" hidden="1" customHeight="1" x14ac:dyDescent="0.2">
      <c r="A100" s="298" t="s">
        <v>280</v>
      </c>
      <c r="B100" s="299" t="s">
        <v>278</v>
      </c>
      <c r="C100" s="1546" t="s">
        <v>318</v>
      </c>
      <c r="D100" s="1549" t="s">
        <v>319</v>
      </c>
      <c r="E100" s="1549" t="s">
        <v>283</v>
      </c>
      <c r="F100" s="1549">
        <v>2015</v>
      </c>
      <c r="G100" s="1549">
        <v>8</v>
      </c>
      <c r="H100" s="1549">
        <v>15</v>
      </c>
      <c r="I100" s="1425"/>
      <c r="J100" s="1425"/>
      <c r="K100" s="1425" t="s">
        <v>320</v>
      </c>
      <c r="L100" s="301"/>
      <c r="M100" s="1425" t="s">
        <v>45</v>
      </c>
      <c r="N100" s="1425" t="s">
        <v>46</v>
      </c>
      <c r="O100" s="1425" t="s">
        <v>47</v>
      </c>
      <c r="P100" s="1425"/>
      <c r="Q100" s="16" t="s">
        <v>321</v>
      </c>
      <c r="R100" s="302" t="s">
        <v>322</v>
      </c>
      <c r="S100" s="303">
        <v>2015</v>
      </c>
      <c r="T100" s="303">
        <v>0</v>
      </c>
      <c r="U100" s="303">
        <v>1</v>
      </c>
      <c r="V100" s="572">
        <v>1</v>
      </c>
      <c r="W100" s="572">
        <v>1</v>
      </c>
      <c r="X100" s="572">
        <v>1</v>
      </c>
      <c r="Y100" s="572">
        <v>1</v>
      </c>
      <c r="Z100" s="481"/>
      <c r="AA100" s="481"/>
      <c r="AB100" s="579">
        <v>7</v>
      </c>
      <c r="AC100" s="481"/>
      <c r="AD100" s="481"/>
      <c r="AE100" s="481"/>
      <c r="AF100" s="481"/>
      <c r="AG100" s="578">
        <f t="shared" si="65"/>
        <v>7</v>
      </c>
      <c r="AH100" s="548"/>
      <c r="AI100" s="548"/>
      <c r="AJ100" s="491">
        <v>1</v>
      </c>
      <c r="AK100" s="548"/>
      <c r="AL100" s="548"/>
      <c r="AM100" s="548"/>
      <c r="AN100" s="548">
        <f t="shared" si="66"/>
        <v>1</v>
      </c>
      <c r="AO100" s="481"/>
      <c r="AP100" s="481"/>
      <c r="AQ100" s="491">
        <v>1</v>
      </c>
      <c r="AR100" s="481"/>
      <c r="AS100" s="481"/>
      <c r="AT100" s="481"/>
      <c r="AU100" s="481"/>
      <c r="AV100" s="481">
        <f t="shared" si="67"/>
        <v>1</v>
      </c>
      <c r="AW100" s="548"/>
      <c r="AX100" s="548"/>
      <c r="AY100" s="491">
        <v>1</v>
      </c>
      <c r="AZ100" s="548"/>
      <c r="BA100" s="548"/>
      <c r="BB100" s="548"/>
      <c r="BC100" s="548"/>
      <c r="BD100" s="548">
        <f t="shared" si="68"/>
        <v>1</v>
      </c>
      <c r="BE100" s="42">
        <f t="shared" si="52"/>
        <v>0</v>
      </c>
      <c r="BF100" s="42">
        <f t="shared" si="52"/>
        <v>0</v>
      </c>
      <c r="BG100" s="42">
        <f t="shared" si="52"/>
        <v>10</v>
      </c>
      <c r="BH100" s="42">
        <f t="shared" si="52"/>
        <v>0</v>
      </c>
      <c r="BI100" s="42">
        <f t="shared" si="52"/>
        <v>0</v>
      </c>
      <c r="BJ100" s="42">
        <f t="shared" si="51"/>
        <v>0</v>
      </c>
      <c r="BK100" s="42">
        <f t="shared" si="69"/>
        <v>0</v>
      </c>
      <c r="BL100" s="42">
        <f t="shared" si="69"/>
        <v>10</v>
      </c>
    </row>
    <row r="101" spans="1:64" ht="43.5" hidden="1" customHeight="1" x14ac:dyDescent="0.2">
      <c r="A101" s="298" t="s">
        <v>280</v>
      </c>
      <c r="B101" s="299" t="s">
        <v>278</v>
      </c>
      <c r="C101" s="1547"/>
      <c r="D101" s="1549"/>
      <c r="E101" s="1549"/>
      <c r="F101" s="1549"/>
      <c r="G101" s="1549"/>
      <c r="H101" s="1549"/>
      <c r="I101" s="1425"/>
      <c r="J101" s="1425"/>
      <c r="K101" s="1425" t="s">
        <v>323</v>
      </c>
      <c r="L101" s="301"/>
      <c r="M101" s="1425" t="s">
        <v>45</v>
      </c>
      <c r="N101" s="1425" t="s">
        <v>46</v>
      </c>
      <c r="O101" s="1425" t="s">
        <v>47</v>
      </c>
      <c r="P101" s="1425"/>
      <c r="Q101" s="16" t="s">
        <v>324</v>
      </c>
      <c r="R101" s="302" t="s">
        <v>325</v>
      </c>
      <c r="S101" s="303">
        <v>2015</v>
      </c>
      <c r="T101" s="303">
        <v>1</v>
      </c>
      <c r="U101" s="303">
        <v>1</v>
      </c>
      <c r="V101" s="572">
        <v>2</v>
      </c>
      <c r="W101" s="572">
        <v>3</v>
      </c>
      <c r="X101" s="572">
        <v>4</v>
      </c>
      <c r="Y101" s="572">
        <v>4</v>
      </c>
      <c r="Z101" s="481"/>
      <c r="AA101" s="481"/>
      <c r="AB101" s="579">
        <v>10</v>
      </c>
      <c r="AC101" s="481"/>
      <c r="AD101" s="481"/>
      <c r="AE101" s="481"/>
      <c r="AF101" s="481"/>
      <c r="AG101" s="578">
        <f t="shared" si="65"/>
        <v>10</v>
      </c>
      <c r="AH101" s="548"/>
      <c r="AI101" s="548"/>
      <c r="AJ101" s="491">
        <v>6</v>
      </c>
      <c r="AK101" s="548"/>
      <c r="AL101" s="548"/>
      <c r="AM101" s="548"/>
      <c r="AN101" s="548">
        <f t="shared" si="66"/>
        <v>6</v>
      </c>
      <c r="AO101" s="481"/>
      <c r="AP101" s="481"/>
      <c r="AQ101" s="491">
        <v>6</v>
      </c>
      <c r="AR101" s="481"/>
      <c r="AS101" s="481"/>
      <c r="AT101" s="481"/>
      <c r="AU101" s="481"/>
      <c r="AV101" s="481">
        <f t="shared" si="67"/>
        <v>6</v>
      </c>
      <c r="AW101" s="548"/>
      <c r="AX101" s="548"/>
      <c r="AY101" s="491">
        <v>6</v>
      </c>
      <c r="AZ101" s="548"/>
      <c r="BA101" s="548"/>
      <c r="BB101" s="548"/>
      <c r="BC101" s="548"/>
      <c r="BD101" s="548">
        <f t="shared" si="68"/>
        <v>6</v>
      </c>
      <c r="BE101" s="42">
        <f t="shared" si="52"/>
        <v>0</v>
      </c>
      <c r="BF101" s="42">
        <f t="shared" si="52"/>
        <v>0</v>
      </c>
      <c r="BG101" s="42">
        <f t="shared" si="52"/>
        <v>28</v>
      </c>
      <c r="BH101" s="42">
        <f t="shared" si="52"/>
        <v>0</v>
      </c>
      <c r="BI101" s="42">
        <f t="shared" si="52"/>
        <v>0</v>
      </c>
      <c r="BJ101" s="42">
        <f t="shared" si="51"/>
        <v>0</v>
      </c>
      <c r="BK101" s="42">
        <f t="shared" si="69"/>
        <v>0</v>
      </c>
      <c r="BL101" s="42">
        <f t="shared" si="69"/>
        <v>28</v>
      </c>
    </row>
    <row r="102" spans="1:64" ht="33" hidden="1" customHeight="1" x14ac:dyDescent="0.2">
      <c r="A102" s="298" t="s">
        <v>280</v>
      </c>
      <c r="B102" s="299" t="s">
        <v>278</v>
      </c>
      <c r="C102" s="1547"/>
      <c r="D102" s="1549"/>
      <c r="E102" s="1549"/>
      <c r="F102" s="1549"/>
      <c r="G102" s="1549"/>
      <c r="H102" s="1549"/>
      <c r="I102" s="1425"/>
      <c r="J102" s="1425"/>
      <c r="K102" s="1425" t="s">
        <v>326</v>
      </c>
      <c r="L102" s="301"/>
      <c r="M102" s="1425" t="s">
        <v>45</v>
      </c>
      <c r="N102" s="1425" t="s">
        <v>46</v>
      </c>
      <c r="O102" s="1425" t="s">
        <v>47</v>
      </c>
      <c r="P102" s="1425"/>
      <c r="Q102" s="16" t="s">
        <v>327</v>
      </c>
      <c r="R102" s="302" t="s">
        <v>328</v>
      </c>
      <c r="S102" s="303">
        <v>2015</v>
      </c>
      <c r="T102" s="303">
        <v>1</v>
      </c>
      <c r="U102" s="303">
        <v>1</v>
      </c>
      <c r="V102" s="572">
        <v>2</v>
      </c>
      <c r="W102" s="572">
        <v>3</v>
      </c>
      <c r="X102" s="572">
        <v>4</v>
      </c>
      <c r="Y102" s="572">
        <v>4</v>
      </c>
      <c r="Z102" s="481"/>
      <c r="AA102" s="481"/>
      <c r="AB102" s="579">
        <v>6</v>
      </c>
      <c r="AC102" s="481"/>
      <c r="AD102" s="481"/>
      <c r="AE102" s="481">
        <v>1</v>
      </c>
      <c r="AF102" s="481"/>
      <c r="AG102" s="578">
        <f t="shared" si="65"/>
        <v>7</v>
      </c>
      <c r="AH102" s="548"/>
      <c r="AI102" s="548"/>
      <c r="AJ102" s="491">
        <v>6</v>
      </c>
      <c r="AK102" s="548"/>
      <c r="AL102" s="548"/>
      <c r="AM102" s="548"/>
      <c r="AN102" s="548">
        <f t="shared" si="66"/>
        <v>6</v>
      </c>
      <c r="AO102" s="481"/>
      <c r="AP102" s="481"/>
      <c r="AQ102" s="491">
        <v>6</v>
      </c>
      <c r="AR102" s="481"/>
      <c r="AS102" s="481"/>
      <c r="AT102" s="481"/>
      <c r="AU102" s="481"/>
      <c r="AV102" s="481">
        <f t="shared" si="67"/>
        <v>6</v>
      </c>
      <c r="AW102" s="548"/>
      <c r="AX102" s="548"/>
      <c r="AY102" s="491">
        <v>6</v>
      </c>
      <c r="AZ102" s="548"/>
      <c r="BA102" s="548"/>
      <c r="BB102" s="548"/>
      <c r="BC102" s="548"/>
      <c r="BD102" s="548">
        <f>SUM(AW102:BC102)</f>
        <v>6</v>
      </c>
      <c r="BE102" s="42">
        <f>+AW102+AO102+AH102+Z102</f>
        <v>0</v>
      </c>
      <c r="BF102" s="42">
        <f>+AX102+AP102+AI102+AA102</f>
        <v>0</v>
      </c>
      <c r="BG102" s="42">
        <f>+AY102+AQ102+AJ102+AB102</f>
        <v>24</v>
      </c>
      <c r="BH102" s="42">
        <f>+AZ102+AR102+AK102+AC102</f>
        <v>0</v>
      </c>
      <c r="BI102" s="42">
        <f>+BA102+AS102+AL102+AD102</f>
        <v>0</v>
      </c>
      <c r="BJ102" s="42">
        <f t="shared" si="51"/>
        <v>1</v>
      </c>
      <c r="BK102" s="42">
        <f>+BC102+AU102+AM102+AF102</f>
        <v>0</v>
      </c>
      <c r="BL102" s="42">
        <f>+BD102+AV102+AN102+AG102</f>
        <v>25</v>
      </c>
    </row>
    <row r="103" spans="1:64" ht="29.25" hidden="1" customHeight="1" x14ac:dyDescent="0.2">
      <c r="A103" s="298" t="s">
        <v>280</v>
      </c>
      <c r="B103" s="299" t="s">
        <v>278</v>
      </c>
      <c r="C103" s="1547"/>
      <c r="D103" s="1549"/>
      <c r="E103" s="1549"/>
      <c r="F103" s="1549"/>
      <c r="G103" s="1549"/>
      <c r="H103" s="1549"/>
      <c r="I103" s="1425"/>
      <c r="J103" s="1425"/>
      <c r="K103" s="1425" t="s">
        <v>329</v>
      </c>
      <c r="L103" s="301"/>
      <c r="M103" s="1425" t="s">
        <v>45</v>
      </c>
      <c r="N103" s="1425" t="s">
        <v>46</v>
      </c>
      <c r="O103" s="1425" t="s">
        <v>73</v>
      </c>
      <c r="P103" s="1425"/>
      <c r="Q103" s="16" t="s">
        <v>330</v>
      </c>
      <c r="R103" s="302" t="s">
        <v>331</v>
      </c>
      <c r="S103" s="303">
        <v>2015</v>
      </c>
      <c r="T103" s="303">
        <v>8</v>
      </c>
      <c r="U103" s="303">
        <v>12</v>
      </c>
      <c r="V103" s="572">
        <v>12</v>
      </c>
      <c r="W103" s="572">
        <v>12</v>
      </c>
      <c r="X103" s="572">
        <v>12</v>
      </c>
      <c r="Y103" s="572">
        <v>12</v>
      </c>
      <c r="Z103" s="481"/>
      <c r="AA103" s="481"/>
      <c r="AB103" s="579">
        <v>8</v>
      </c>
      <c r="AC103" s="481"/>
      <c r="AD103" s="481"/>
      <c r="AE103" s="481"/>
      <c r="AF103" s="481"/>
      <c r="AG103" s="578">
        <f t="shared" si="65"/>
        <v>8</v>
      </c>
      <c r="AH103" s="548"/>
      <c r="AI103" s="548"/>
      <c r="AJ103" s="548">
        <v>20</v>
      </c>
      <c r="AK103" s="548"/>
      <c r="AL103" s="548"/>
      <c r="AM103" s="548"/>
      <c r="AN103" s="548">
        <f t="shared" si="66"/>
        <v>20</v>
      </c>
      <c r="AO103" s="481"/>
      <c r="AP103" s="481"/>
      <c r="AQ103" s="491">
        <v>14</v>
      </c>
      <c r="AR103" s="481"/>
      <c r="AS103" s="481"/>
      <c r="AT103" s="481"/>
      <c r="AU103" s="481"/>
      <c r="AV103" s="481">
        <f t="shared" si="67"/>
        <v>14</v>
      </c>
      <c r="AW103" s="548"/>
      <c r="AX103" s="548"/>
      <c r="AY103" s="548">
        <v>20</v>
      </c>
      <c r="AZ103" s="548"/>
      <c r="BA103" s="548"/>
      <c r="BB103" s="548"/>
      <c r="BC103" s="548"/>
      <c r="BD103" s="548">
        <f t="shared" si="68"/>
        <v>20</v>
      </c>
      <c r="BE103" s="42">
        <f t="shared" si="52"/>
        <v>0</v>
      </c>
      <c r="BF103" s="42">
        <f t="shared" si="52"/>
        <v>0</v>
      </c>
      <c r="BG103" s="42">
        <f t="shared" si="52"/>
        <v>62</v>
      </c>
      <c r="BH103" s="42">
        <f t="shared" si="52"/>
        <v>0</v>
      </c>
      <c r="BI103" s="42">
        <f t="shared" si="52"/>
        <v>0</v>
      </c>
      <c r="BJ103" s="42">
        <f t="shared" si="51"/>
        <v>0</v>
      </c>
      <c r="BK103" s="42">
        <f t="shared" si="69"/>
        <v>0</v>
      </c>
      <c r="BL103" s="42">
        <f t="shared" si="69"/>
        <v>62</v>
      </c>
    </row>
    <row r="104" spans="1:64" ht="33.75" hidden="1" customHeight="1" x14ac:dyDescent="0.2">
      <c r="A104" s="298" t="s">
        <v>280</v>
      </c>
      <c r="B104" s="299" t="s">
        <v>278</v>
      </c>
      <c r="C104" s="1547"/>
      <c r="D104" s="1549"/>
      <c r="E104" s="1549"/>
      <c r="F104" s="1549"/>
      <c r="G104" s="1549"/>
      <c r="H104" s="1549"/>
      <c r="I104" s="1425"/>
      <c r="J104" s="1425"/>
      <c r="K104" s="1425" t="s">
        <v>332</v>
      </c>
      <c r="L104" s="301"/>
      <c r="M104" s="1425" t="s">
        <v>45</v>
      </c>
      <c r="N104" s="1425" t="s">
        <v>46</v>
      </c>
      <c r="O104" s="1425" t="s">
        <v>73</v>
      </c>
      <c r="P104" s="1425"/>
      <c r="Q104" s="16" t="s">
        <v>333</v>
      </c>
      <c r="R104" s="302" t="s">
        <v>334</v>
      </c>
      <c r="S104" s="303">
        <v>2015</v>
      </c>
      <c r="T104" s="303">
        <v>1</v>
      </c>
      <c r="U104" s="303">
        <v>1</v>
      </c>
      <c r="V104" s="572">
        <v>1</v>
      </c>
      <c r="W104" s="572">
        <v>1</v>
      </c>
      <c r="X104" s="572">
        <v>1</v>
      </c>
      <c r="Y104" s="572">
        <v>1</v>
      </c>
      <c r="Z104" s="481"/>
      <c r="AA104" s="481"/>
      <c r="AB104" s="492">
        <v>4</v>
      </c>
      <c r="AC104" s="481"/>
      <c r="AD104" s="481"/>
      <c r="AE104" s="481"/>
      <c r="AF104" s="481"/>
      <c r="AG104" s="578">
        <f t="shared" si="65"/>
        <v>4</v>
      </c>
      <c r="AH104" s="548"/>
      <c r="AI104" s="548"/>
      <c r="AJ104" s="491">
        <v>6</v>
      </c>
      <c r="AK104" s="548"/>
      <c r="AL104" s="548"/>
      <c r="AM104" s="548"/>
      <c r="AN104" s="548">
        <f t="shared" si="66"/>
        <v>6</v>
      </c>
      <c r="AO104" s="481"/>
      <c r="AP104" s="481"/>
      <c r="AQ104" s="491">
        <v>6</v>
      </c>
      <c r="AR104" s="481"/>
      <c r="AS104" s="481"/>
      <c r="AT104" s="481"/>
      <c r="AU104" s="481"/>
      <c r="AV104" s="481">
        <f t="shared" si="67"/>
        <v>6</v>
      </c>
      <c r="AW104" s="548"/>
      <c r="AX104" s="548"/>
      <c r="AY104" s="491">
        <v>6</v>
      </c>
      <c r="AZ104" s="548"/>
      <c r="BA104" s="548"/>
      <c r="BB104" s="548"/>
      <c r="BC104" s="548"/>
      <c r="BD104" s="548">
        <f t="shared" si="68"/>
        <v>6</v>
      </c>
      <c r="BE104" s="42">
        <f t="shared" si="52"/>
        <v>0</v>
      </c>
      <c r="BF104" s="42">
        <f t="shared" si="52"/>
        <v>0</v>
      </c>
      <c r="BG104" s="42">
        <f t="shared" si="52"/>
        <v>22</v>
      </c>
      <c r="BH104" s="42">
        <f t="shared" si="52"/>
        <v>0</v>
      </c>
      <c r="BI104" s="42">
        <f t="shared" si="52"/>
        <v>0</v>
      </c>
      <c r="BJ104" s="42">
        <f t="shared" si="51"/>
        <v>0</v>
      </c>
      <c r="BK104" s="42">
        <f t="shared" si="69"/>
        <v>0</v>
      </c>
      <c r="BL104" s="42">
        <f t="shared" si="69"/>
        <v>22</v>
      </c>
    </row>
    <row r="105" spans="1:64" ht="29.25" hidden="1" customHeight="1" x14ac:dyDescent="0.2">
      <c r="A105" s="298" t="s">
        <v>280</v>
      </c>
      <c r="B105" s="299" t="s">
        <v>278</v>
      </c>
      <c r="C105" s="1547"/>
      <c r="D105" s="1549"/>
      <c r="E105" s="1549"/>
      <c r="F105" s="1549"/>
      <c r="G105" s="1549"/>
      <c r="H105" s="1549"/>
      <c r="I105" s="1425"/>
      <c r="J105" s="1425"/>
      <c r="K105" s="1425" t="s">
        <v>335</v>
      </c>
      <c r="L105" s="301"/>
      <c r="M105" s="1425" t="s">
        <v>45</v>
      </c>
      <c r="N105" s="1425" t="s">
        <v>46</v>
      </c>
      <c r="O105" s="1425" t="s">
        <v>47</v>
      </c>
      <c r="P105" s="1425"/>
      <c r="Q105" s="16" t="s">
        <v>336</v>
      </c>
      <c r="R105" s="302" t="s">
        <v>337</v>
      </c>
      <c r="S105" s="303">
        <v>2015</v>
      </c>
      <c r="T105" s="303">
        <v>1</v>
      </c>
      <c r="U105" s="303">
        <v>2</v>
      </c>
      <c r="V105" s="572">
        <v>4</v>
      </c>
      <c r="W105" s="572">
        <v>6</v>
      </c>
      <c r="X105" s="572">
        <v>8</v>
      </c>
      <c r="Y105" s="572">
        <v>8</v>
      </c>
      <c r="Z105" s="481"/>
      <c r="AA105" s="481"/>
      <c r="AB105" s="492">
        <v>2</v>
      </c>
      <c r="AC105" s="481"/>
      <c r="AD105" s="481"/>
      <c r="AE105" s="481"/>
      <c r="AF105" s="481"/>
      <c r="AG105" s="578">
        <f t="shared" si="65"/>
        <v>2</v>
      </c>
      <c r="AH105" s="548"/>
      <c r="AI105" s="548"/>
      <c r="AJ105" s="548">
        <v>5</v>
      </c>
      <c r="AK105" s="548"/>
      <c r="AL105" s="548"/>
      <c r="AM105" s="548"/>
      <c r="AN105" s="548">
        <f t="shared" si="66"/>
        <v>5</v>
      </c>
      <c r="AO105" s="481"/>
      <c r="AP105" s="481"/>
      <c r="AQ105" s="481">
        <v>5</v>
      </c>
      <c r="AR105" s="481"/>
      <c r="AS105" s="481"/>
      <c r="AT105" s="481"/>
      <c r="AU105" s="481"/>
      <c r="AV105" s="481">
        <f t="shared" si="67"/>
        <v>5</v>
      </c>
      <c r="AW105" s="548"/>
      <c r="AX105" s="548"/>
      <c r="AY105" s="548">
        <v>5</v>
      </c>
      <c r="AZ105" s="548"/>
      <c r="BA105" s="548"/>
      <c r="BB105" s="548"/>
      <c r="BC105" s="548"/>
      <c r="BD105" s="548">
        <f t="shared" si="68"/>
        <v>5</v>
      </c>
      <c r="BE105" s="42">
        <f t="shared" si="52"/>
        <v>0</v>
      </c>
      <c r="BF105" s="42">
        <f t="shared" si="52"/>
        <v>0</v>
      </c>
      <c r="BG105" s="42">
        <f t="shared" si="52"/>
        <v>17</v>
      </c>
      <c r="BH105" s="42">
        <f t="shared" si="52"/>
        <v>0</v>
      </c>
      <c r="BI105" s="42">
        <f t="shared" si="52"/>
        <v>0</v>
      </c>
      <c r="BJ105" s="42">
        <f t="shared" si="51"/>
        <v>0</v>
      </c>
      <c r="BK105" s="42">
        <f t="shared" si="69"/>
        <v>0</v>
      </c>
      <c r="BL105" s="42">
        <f t="shared" si="69"/>
        <v>17</v>
      </c>
    </row>
    <row r="106" spans="1:64" ht="43.5" hidden="1" customHeight="1" x14ac:dyDescent="0.2">
      <c r="A106" s="298" t="s">
        <v>280</v>
      </c>
      <c r="B106" s="299" t="s">
        <v>278</v>
      </c>
      <c r="C106" s="1547"/>
      <c r="D106" s="1549"/>
      <c r="E106" s="1549"/>
      <c r="F106" s="1549"/>
      <c r="G106" s="1549"/>
      <c r="H106" s="1549"/>
      <c r="I106" s="1425"/>
      <c r="J106" s="1425"/>
      <c r="K106" s="1425" t="s">
        <v>338</v>
      </c>
      <c r="L106" s="301"/>
      <c r="M106" s="1425" t="s">
        <v>45</v>
      </c>
      <c r="N106" s="1425" t="s">
        <v>46</v>
      </c>
      <c r="O106" s="1425" t="s">
        <v>47</v>
      </c>
      <c r="P106" s="1425"/>
      <c r="Q106" s="16" t="s">
        <v>339</v>
      </c>
      <c r="R106" s="302" t="s">
        <v>340</v>
      </c>
      <c r="S106" s="303">
        <v>2015</v>
      </c>
      <c r="T106" s="303">
        <v>1600</v>
      </c>
      <c r="U106" s="303">
        <v>1600</v>
      </c>
      <c r="V106" s="572">
        <v>1600</v>
      </c>
      <c r="W106" s="572">
        <v>1600</v>
      </c>
      <c r="X106" s="572">
        <v>1600</v>
      </c>
      <c r="Y106" s="572">
        <v>1600</v>
      </c>
      <c r="Z106" s="483"/>
      <c r="AA106" s="483"/>
      <c r="AB106" s="577">
        <v>15.5</v>
      </c>
      <c r="AC106" s="483"/>
      <c r="AD106" s="483"/>
      <c r="AE106" s="483"/>
      <c r="AF106" s="483"/>
      <c r="AG106" s="578">
        <f t="shared" si="65"/>
        <v>15.5</v>
      </c>
      <c r="AH106" s="587"/>
      <c r="AI106" s="587"/>
      <c r="AJ106" s="491">
        <v>6</v>
      </c>
      <c r="AK106" s="587"/>
      <c r="AL106" s="587"/>
      <c r="AM106" s="587"/>
      <c r="AN106" s="587">
        <f t="shared" si="66"/>
        <v>6</v>
      </c>
      <c r="AO106" s="483"/>
      <c r="AP106" s="483"/>
      <c r="AQ106" s="491">
        <v>6</v>
      </c>
      <c r="AR106" s="483"/>
      <c r="AS106" s="483"/>
      <c r="AT106" s="483"/>
      <c r="AU106" s="483"/>
      <c r="AV106" s="483">
        <f t="shared" si="67"/>
        <v>6</v>
      </c>
      <c r="AW106" s="587"/>
      <c r="AX106" s="587"/>
      <c r="AY106" s="491">
        <v>6</v>
      </c>
      <c r="AZ106" s="587"/>
      <c r="BA106" s="587"/>
      <c r="BB106" s="587"/>
      <c r="BC106" s="587"/>
      <c r="BD106" s="587">
        <f t="shared" si="68"/>
        <v>6</v>
      </c>
      <c r="BE106" s="44">
        <f t="shared" si="52"/>
        <v>0</v>
      </c>
      <c r="BF106" s="44">
        <f t="shared" si="52"/>
        <v>0</v>
      </c>
      <c r="BG106" s="44">
        <f t="shared" si="52"/>
        <v>33.5</v>
      </c>
      <c r="BH106" s="44">
        <f t="shared" si="52"/>
        <v>0</v>
      </c>
      <c r="BI106" s="44">
        <f t="shared" si="52"/>
        <v>0</v>
      </c>
      <c r="BJ106" s="44">
        <f t="shared" si="51"/>
        <v>0</v>
      </c>
      <c r="BK106" s="44">
        <f t="shared" si="69"/>
        <v>0</v>
      </c>
      <c r="BL106" s="44">
        <f t="shared" si="69"/>
        <v>33.5</v>
      </c>
    </row>
    <row r="107" spans="1:64" ht="58.5" hidden="1" customHeight="1" x14ac:dyDescent="0.2">
      <c r="A107" s="298" t="s">
        <v>280</v>
      </c>
      <c r="B107" s="299" t="s">
        <v>278</v>
      </c>
      <c r="C107" s="1548"/>
      <c r="D107" s="1549"/>
      <c r="E107" s="1549"/>
      <c r="F107" s="1549"/>
      <c r="G107" s="1549"/>
      <c r="H107" s="1549"/>
      <c r="I107" s="1425"/>
      <c r="J107" s="1425"/>
      <c r="K107" s="1425" t="s">
        <v>341</v>
      </c>
      <c r="L107" s="301"/>
      <c r="M107" s="1425" t="s">
        <v>45</v>
      </c>
      <c r="N107" s="1425" t="s">
        <v>46</v>
      </c>
      <c r="O107" s="1425" t="s">
        <v>47</v>
      </c>
      <c r="P107" s="1425"/>
      <c r="Q107" s="16" t="s">
        <v>342</v>
      </c>
      <c r="R107" s="302" t="s">
        <v>313</v>
      </c>
      <c r="S107" s="303">
        <v>2015</v>
      </c>
      <c r="T107" s="303">
        <v>0</v>
      </c>
      <c r="U107" s="303">
        <v>1</v>
      </c>
      <c r="V107" s="572">
        <v>0</v>
      </c>
      <c r="W107" s="572">
        <v>1</v>
      </c>
      <c r="X107" s="572">
        <v>0</v>
      </c>
      <c r="Y107" s="572">
        <v>2</v>
      </c>
      <c r="Z107" s="481"/>
      <c r="AA107" s="481"/>
      <c r="AB107" s="579">
        <v>25</v>
      </c>
      <c r="AC107" s="481"/>
      <c r="AD107" s="481"/>
      <c r="AE107" s="481"/>
      <c r="AF107" s="481"/>
      <c r="AG107" s="578">
        <f t="shared" si="65"/>
        <v>25</v>
      </c>
      <c r="AH107" s="548"/>
      <c r="AI107" s="548"/>
      <c r="AJ107" s="491"/>
      <c r="AK107" s="548"/>
      <c r="AL107" s="548"/>
      <c r="AM107" s="548"/>
      <c r="AN107" s="548">
        <f t="shared" si="66"/>
        <v>0</v>
      </c>
      <c r="AO107" s="481"/>
      <c r="AP107" s="481"/>
      <c r="AQ107" s="491">
        <v>6</v>
      </c>
      <c r="AR107" s="481"/>
      <c r="AS107" s="481"/>
      <c r="AT107" s="481"/>
      <c r="AU107" s="481"/>
      <c r="AV107" s="481">
        <f t="shared" si="67"/>
        <v>6</v>
      </c>
      <c r="AW107" s="548"/>
      <c r="AX107" s="548"/>
      <c r="AY107" s="491"/>
      <c r="AZ107" s="548"/>
      <c r="BA107" s="548"/>
      <c r="BB107" s="548"/>
      <c r="BC107" s="548"/>
      <c r="BD107" s="548">
        <f t="shared" si="68"/>
        <v>0</v>
      </c>
      <c r="BE107" s="42">
        <f t="shared" si="52"/>
        <v>0</v>
      </c>
      <c r="BF107" s="42">
        <f t="shared" si="52"/>
        <v>0</v>
      </c>
      <c r="BG107" s="42">
        <f t="shared" si="52"/>
        <v>31</v>
      </c>
      <c r="BH107" s="42">
        <f t="shared" si="52"/>
        <v>0</v>
      </c>
      <c r="BI107" s="42">
        <f t="shared" si="52"/>
        <v>0</v>
      </c>
      <c r="BJ107" s="42">
        <f t="shared" si="51"/>
        <v>0</v>
      </c>
      <c r="BK107" s="42">
        <f t="shared" si="69"/>
        <v>0</v>
      </c>
      <c r="BL107" s="42">
        <f t="shared" si="69"/>
        <v>31</v>
      </c>
    </row>
    <row r="108" spans="1:64" ht="4.5" customHeight="1" x14ac:dyDescent="0.2">
      <c r="A108" s="151"/>
      <c r="B108" s="7" t="s">
        <v>343</v>
      </c>
      <c r="C108" s="7"/>
      <c r="D108" s="1442"/>
      <c r="E108" s="1442"/>
      <c r="F108" s="1442"/>
      <c r="G108" s="1442"/>
      <c r="H108" s="1442"/>
      <c r="I108" s="1442"/>
      <c r="J108" s="1442"/>
      <c r="K108" s="1442"/>
      <c r="L108" s="1442"/>
      <c r="M108" s="1442"/>
      <c r="N108" s="11"/>
      <c r="O108" s="1442"/>
      <c r="P108" s="1442"/>
      <c r="Q108" s="1440"/>
      <c r="R108" s="302"/>
      <c r="S108" s="303"/>
      <c r="T108" s="303"/>
      <c r="U108" s="303"/>
      <c r="V108" s="572"/>
      <c r="W108" s="572"/>
      <c r="X108" s="572"/>
      <c r="Y108" s="572"/>
      <c r="Z108" s="42">
        <v>20</v>
      </c>
      <c r="AA108" s="42"/>
      <c r="AB108" s="42">
        <v>94</v>
      </c>
      <c r="AC108" s="42"/>
      <c r="AD108" s="42"/>
      <c r="AE108" s="42">
        <v>745.7</v>
      </c>
      <c r="AF108" s="42"/>
      <c r="AG108" s="42">
        <f t="shared" si="65"/>
        <v>859.7</v>
      </c>
      <c r="AH108" s="42">
        <f>+Z108*1.04</f>
        <v>20.8</v>
      </c>
      <c r="AI108" s="42"/>
      <c r="AJ108" s="42">
        <f>+AB108*1.04</f>
        <v>97.76</v>
      </c>
      <c r="AK108" s="42"/>
      <c r="AL108" s="42"/>
      <c r="AM108" s="42"/>
      <c r="AN108" s="42"/>
      <c r="AO108" s="42">
        <f>+AH108*1.04</f>
        <v>21.632000000000001</v>
      </c>
      <c r="AP108" s="42"/>
      <c r="AQ108" s="42">
        <f>+AJ108*1.04</f>
        <v>101.67040000000001</v>
      </c>
      <c r="AR108" s="42"/>
      <c r="AS108" s="42"/>
      <c r="AT108" s="42"/>
      <c r="AU108" s="42"/>
      <c r="AV108" s="42"/>
      <c r="AW108" s="42">
        <f>+AO108*1.04</f>
        <v>22.497280000000003</v>
      </c>
      <c r="AX108" s="42"/>
      <c r="AY108" s="42">
        <f>+AQ108*1.04</f>
        <v>105.73721600000002</v>
      </c>
      <c r="AZ108" s="42"/>
      <c r="BA108" s="42"/>
      <c r="BB108" s="42"/>
      <c r="BC108" s="42"/>
      <c r="BD108" s="42"/>
      <c r="BE108" s="42">
        <f t="shared" si="52"/>
        <v>84.929280000000006</v>
      </c>
      <c r="BF108" s="42">
        <f t="shared" si="52"/>
        <v>0</v>
      </c>
      <c r="BG108" s="42">
        <f t="shared" si="52"/>
        <v>399.16761600000001</v>
      </c>
      <c r="BH108" s="42">
        <f t="shared" si="52"/>
        <v>0</v>
      </c>
      <c r="BI108" s="42">
        <f t="shared" si="52"/>
        <v>0</v>
      </c>
      <c r="BJ108" s="42">
        <f t="shared" si="51"/>
        <v>745.7</v>
      </c>
      <c r="BK108" s="42">
        <f t="shared" si="69"/>
        <v>0</v>
      </c>
      <c r="BL108" s="42">
        <f t="shared" si="69"/>
        <v>859.7</v>
      </c>
    </row>
    <row r="109" spans="1:64" ht="18" x14ac:dyDescent="0.2">
      <c r="A109" s="420"/>
      <c r="B109" s="1553" t="s">
        <v>344</v>
      </c>
      <c r="C109" s="1554"/>
      <c r="D109" s="1554"/>
      <c r="E109" s="1554"/>
      <c r="F109" s="1554"/>
      <c r="G109" s="1554"/>
      <c r="H109" s="1554"/>
      <c r="I109" s="1554"/>
      <c r="J109" s="1554"/>
      <c r="K109" s="1554"/>
      <c r="L109" s="1554"/>
      <c r="M109" s="1555"/>
      <c r="N109" s="597"/>
      <c r="O109" s="597"/>
      <c r="P109" s="597"/>
      <c r="Q109" s="597"/>
      <c r="R109" s="598"/>
      <c r="S109" s="597"/>
      <c r="T109" s="597"/>
      <c r="U109" s="597"/>
      <c r="V109" s="599"/>
      <c r="W109" s="599"/>
      <c r="X109" s="599"/>
      <c r="Y109" s="599"/>
      <c r="Z109" s="600">
        <f>+Z110+Z116</f>
        <v>20</v>
      </c>
      <c r="AA109" s="600">
        <f t="shared" ref="AA109:AF109" si="74">+AA110+AA116</f>
        <v>0</v>
      </c>
      <c r="AB109" s="600">
        <f t="shared" si="74"/>
        <v>94</v>
      </c>
      <c r="AC109" s="600">
        <f t="shared" si="74"/>
        <v>0</v>
      </c>
      <c r="AD109" s="600">
        <f t="shared" si="74"/>
        <v>0</v>
      </c>
      <c r="AE109" s="600">
        <f t="shared" si="74"/>
        <v>745.7</v>
      </c>
      <c r="AF109" s="600">
        <f t="shared" si="74"/>
        <v>0</v>
      </c>
      <c r="AG109" s="600">
        <f t="shared" si="65"/>
        <v>859.7</v>
      </c>
      <c r="AH109" s="600">
        <f t="shared" ref="AH109:AM109" si="75">+AH110+AH116</f>
        <v>20</v>
      </c>
      <c r="AI109" s="600">
        <f t="shared" si="75"/>
        <v>0</v>
      </c>
      <c r="AJ109" s="600">
        <f t="shared" si="75"/>
        <v>10</v>
      </c>
      <c r="AK109" s="600">
        <f t="shared" si="75"/>
        <v>700</v>
      </c>
      <c r="AL109" s="600">
        <f t="shared" si="75"/>
        <v>0</v>
      </c>
      <c r="AM109" s="600">
        <f t="shared" si="75"/>
        <v>300</v>
      </c>
      <c r="AN109" s="600">
        <f t="shared" ref="AN109:AN120" si="76">SUM(AH109:AM109)</f>
        <v>1030</v>
      </c>
      <c r="AO109" s="600">
        <f t="shared" ref="AO109:AU109" si="77">+AO110+AO116</f>
        <v>21</v>
      </c>
      <c r="AP109" s="600">
        <f t="shared" si="77"/>
        <v>0</v>
      </c>
      <c r="AQ109" s="600">
        <f t="shared" si="77"/>
        <v>101</v>
      </c>
      <c r="AR109" s="600">
        <f t="shared" si="77"/>
        <v>0</v>
      </c>
      <c r="AS109" s="600">
        <f t="shared" si="77"/>
        <v>0</v>
      </c>
      <c r="AT109" s="600">
        <f t="shared" si="77"/>
        <v>0</v>
      </c>
      <c r="AU109" s="600">
        <f t="shared" si="77"/>
        <v>0</v>
      </c>
      <c r="AV109" s="600">
        <f t="shared" ref="AV109:AV120" si="78">SUM(AO109:AU109)</f>
        <v>122</v>
      </c>
      <c r="AW109" s="600">
        <f t="shared" ref="AW109:BC109" si="79">+AW110+AW116</f>
        <v>22.5</v>
      </c>
      <c r="AX109" s="600">
        <f t="shared" si="79"/>
        <v>0</v>
      </c>
      <c r="AY109" s="600">
        <f t="shared" si="79"/>
        <v>105</v>
      </c>
      <c r="AZ109" s="600">
        <f t="shared" si="79"/>
        <v>0</v>
      </c>
      <c r="BA109" s="600">
        <f t="shared" si="79"/>
        <v>0</v>
      </c>
      <c r="BB109" s="600">
        <f t="shared" si="79"/>
        <v>0</v>
      </c>
      <c r="BC109" s="600">
        <f t="shared" si="79"/>
        <v>0</v>
      </c>
      <c r="BD109" s="600">
        <f t="shared" ref="BD109:BD120" si="80">SUM(AW109:BC109)</f>
        <v>127.5</v>
      </c>
      <c r="BE109" s="33">
        <f t="shared" si="52"/>
        <v>83.5</v>
      </c>
      <c r="BF109" s="33">
        <f t="shared" si="52"/>
        <v>0</v>
      </c>
      <c r="BG109" s="33">
        <f t="shared" si="52"/>
        <v>310</v>
      </c>
      <c r="BH109" s="33">
        <f t="shared" si="52"/>
        <v>700</v>
      </c>
      <c r="BI109" s="33">
        <f t="shared" si="52"/>
        <v>0</v>
      </c>
      <c r="BJ109" s="33">
        <f t="shared" si="51"/>
        <v>745.7</v>
      </c>
      <c r="BK109" s="33">
        <f t="shared" si="69"/>
        <v>300</v>
      </c>
      <c r="BL109" s="33">
        <f t="shared" si="69"/>
        <v>2139.1999999999998</v>
      </c>
    </row>
    <row r="110" spans="1:64" ht="12.75" x14ac:dyDescent="0.2">
      <c r="A110" s="603"/>
      <c r="B110" s="154" t="s">
        <v>343</v>
      </c>
      <c r="C110" s="6"/>
      <c r="D110" s="2" t="s">
        <v>345</v>
      </c>
      <c r="E110" s="1"/>
      <c r="F110" s="1"/>
      <c r="G110" s="1"/>
      <c r="H110" s="1"/>
      <c r="I110" s="1"/>
      <c r="J110" s="1"/>
      <c r="K110" s="1"/>
      <c r="L110" s="1"/>
      <c r="M110" s="1"/>
      <c r="N110" s="1"/>
      <c r="O110" s="1"/>
      <c r="P110" s="1"/>
      <c r="Q110" s="1"/>
      <c r="R110" s="573"/>
      <c r="S110" s="574"/>
      <c r="T110" s="574"/>
      <c r="U110" s="574"/>
      <c r="V110" s="575"/>
      <c r="W110" s="575"/>
      <c r="X110" s="575"/>
      <c r="Y110" s="575"/>
      <c r="Z110" s="34">
        <f>SUM(Z111:Z115)</f>
        <v>0</v>
      </c>
      <c r="AA110" s="34">
        <f t="shared" ref="AA110:AF110" si="81">SUM(AA111:AA115)</f>
        <v>0</v>
      </c>
      <c r="AB110" s="34">
        <f t="shared" si="81"/>
        <v>0</v>
      </c>
      <c r="AC110" s="34">
        <f t="shared" si="81"/>
        <v>0</v>
      </c>
      <c r="AD110" s="34">
        <f t="shared" si="81"/>
        <v>0</v>
      </c>
      <c r="AE110" s="34">
        <f t="shared" si="81"/>
        <v>745.7</v>
      </c>
      <c r="AF110" s="34">
        <f t="shared" si="81"/>
        <v>0</v>
      </c>
      <c r="AG110" s="34">
        <f t="shared" si="65"/>
        <v>745.7</v>
      </c>
      <c r="AH110" s="34">
        <f t="shared" ref="AH110:AM110" si="82">SUM(AH111:AH115)</f>
        <v>1</v>
      </c>
      <c r="AI110" s="34">
        <f t="shared" si="82"/>
        <v>0</v>
      </c>
      <c r="AJ110" s="34">
        <f t="shared" si="82"/>
        <v>10</v>
      </c>
      <c r="AK110" s="34">
        <f t="shared" si="82"/>
        <v>500</v>
      </c>
      <c r="AL110" s="34">
        <f t="shared" si="82"/>
        <v>0</v>
      </c>
      <c r="AM110" s="34">
        <f t="shared" si="82"/>
        <v>0</v>
      </c>
      <c r="AN110" s="34">
        <f t="shared" si="76"/>
        <v>511</v>
      </c>
      <c r="AO110" s="34">
        <f t="shared" ref="AO110:AU110" si="83">SUM(AO111:AO115)</f>
        <v>0</v>
      </c>
      <c r="AP110" s="34">
        <f t="shared" si="83"/>
        <v>0</v>
      </c>
      <c r="AQ110" s="34">
        <f t="shared" si="83"/>
        <v>101</v>
      </c>
      <c r="AR110" s="34">
        <f t="shared" si="83"/>
        <v>0</v>
      </c>
      <c r="AS110" s="34">
        <f t="shared" si="83"/>
        <v>0</v>
      </c>
      <c r="AT110" s="34">
        <f t="shared" si="83"/>
        <v>0</v>
      </c>
      <c r="AU110" s="34">
        <f t="shared" si="83"/>
        <v>0</v>
      </c>
      <c r="AV110" s="34">
        <f t="shared" si="78"/>
        <v>101</v>
      </c>
      <c r="AW110" s="34">
        <f t="shared" ref="AW110:BC110" si="84">SUM(AW111:AW115)</f>
        <v>0</v>
      </c>
      <c r="AX110" s="34">
        <f t="shared" si="84"/>
        <v>0</v>
      </c>
      <c r="AY110" s="34">
        <f t="shared" si="84"/>
        <v>105</v>
      </c>
      <c r="AZ110" s="34">
        <f t="shared" si="84"/>
        <v>0</v>
      </c>
      <c r="BA110" s="34">
        <f t="shared" si="84"/>
        <v>0</v>
      </c>
      <c r="BB110" s="34">
        <f t="shared" si="84"/>
        <v>0</v>
      </c>
      <c r="BC110" s="34">
        <f t="shared" si="84"/>
        <v>0</v>
      </c>
      <c r="BD110" s="34">
        <f t="shared" si="80"/>
        <v>105</v>
      </c>
      <c r="BE110" s="34">
        <f t="shared" si="52"/>
        <v>1</v>
      </c>
      <c r="BF110" s="34">
        <f t="shared" si="52"/>
        <v>0</v>
      </c>
      <c r="BG110" s="34">
        <f t="shared" si="52"/>
        <v>216</v>
      </c>
      <c r="BH110" s="34">
        <f t="shared" si="52"/>
        <v>500</v>
      </c>
      <c r="BI110" s="34">
        <f t="shared" si="52"/>
        <v>0</v>
      </c>
      <c r="BJ110" s="34">
        <f t="shared" si="51"/>
        <v>745.7</v>
      </c>
      <c r="BK110" s="34">
        <f t="shared" si="69"/>
        <v>0</v>
      </c>
      <c r="BL110" s="34">
        <f t="shared" si="69"/>
        <v>1462.7</v>
      </c>
    </row>
    <row r="111" spans="1:64" ht="70.5" customHeight="1" x14ac:dyDescent="0.25">
      <c r="A111" s="298" t="s">
        <v>346</v>
      </c>
      <c r="B111" s="299" t="s">
        <v>343</v>
      </c>
      <c r="C111" s="1546" t="s">
        <v>347</v>
      </c>
      <c r="D111" s="1549" t="s">
        <v>348</v>
      </c>
      <c r="E111" s="1549" t="s">
        <v>349</v>
      </c>
      <c r="F111" s="1549">
        <v>2015</v>
      </c>
      <c r="G111" s="1549">
        <v>37.700000000000003</v>
      </c>
      <c r="H111" s="1549">
        <v>33</v>
      </c>
      <c r="I111" s="1425" t="s">
        <v>53</v>
      </c>
      <c r="J111" s="1425"/>
      <c r="K111" s="1425" t="s">
        <v>350</v>
      </c>
      <c r="L111" s="301" t="s">
        <v>179</v>
      </c>
      <c r="M111" s="1425" t="s">
        <v>351</v>
      </c>
      <c r="N111" s="1425" t="s">
        <v>352</v>
      </c>
      <c r="O111" s="1425" t="s">
        <v>47</v>
      </c>
      <c r="P111" s="586">
        <v>94</v>
      </c>
      <c r="Q111" s="16" t="s">
        <v>353</v>
      </c>
      <c r="R111" s="302" t="s">
        <v>354</v>
      </c>
      <c r="S111" s="303">
        <v>2015</v>
      </c>
      <c r="T111" s="303" t="s">
        <v>177</v>
      </c>
      <c r="U111" s="303">
        <v>200</v>
      </c>
      <c r="V111" s="572">
        <v>150</v>
      </c>
      <c r="W111" s="572">
        <v>50</v>
      </c>
      <c r="X111" s="572">
        <v>50</v>
      </c>
      <c r="Y111" s="572">
        <f>SUBTOTAL(9,U111:X111)</f>
        <v>450</v>
      </c>
      <c r="Z111" s="481"/>
      <c r="AA111" s="481"/>
      <c r="AB111" s="481"/>
      <c r="AC111" s="481"/>
      <c r="AD111" s="481"/>
      <c r="AE111" s="481">
        <v>745.7</v>
      </c>
      <c r="AF111" s="481"/>
      <c r="AG111" s="481">
        <f t="shared" si="65"/>
        <v>745.7</v>
      </c>
      <c r="AH111" s="548"/>
      <c r="AI111" s="548"/>
      <c r="AJ111" s="716"/>
      <c r="AK111" s="548">
        <v>490</v>
      </c>
      <c r="AL111" s="548"/>
      <c r="AM111" s="548"/>
      <c r="AN111" s="548">
        <f t="shared" si="76"/>
        <v>490</v>
      </c>
      <c r="AO111" s="481"/>
      <c r="AP111" s="481"/>
      <c r="AQ111" s="481">
        <v>101</v>
      </c>
      <c r="AR111" s="481"/>
      <c r="AS111" s="481"/>
      <c r="AT111" s="481"/>
      <c r="AU111" s="481"/>
      <c r="AV111" s="481">
        <f t="shared" si="78"/>
        <v>101</v>
      </c>
      <c r="AW111" s="548"/>
      <c r="AX111" s="548"/>
      <c r="AY111" s="548">
        <v>105</v>
      </c>
      <c r="AZ111" s="548"/>
      <c r="BA111" s="548"/>
      <c r="BB111" s="548"/>
      <c r="BC111" s="548"/>
      <c r="BD111" s="548">
        <f t="shared" si="80"/>
        <v>105</v>
      </c>
      <c r="BE111" s="42">
        <f t="shared" si="52"/>
        <v>0</v>
      </c>
      <c r="BF111" s="42">
        <f t="shared" si="52"/>
        <v>0</v>
      </c>
      <c r="BG111" s="42">
        <f t="shared" si="52"/>
        <v>206</v>
      </c>
      <c r="BH111" s="42">
        <f t="shared" si="52"/>
        <v>490</v>
      </c>
      <c r="BI111" s="42">
        <f t="shared" si="52"/>
        <v>0</v>
      </c>
      <c r="BJ111" s="42">
        <f t="shared" si="51"/>
        <v>745.7</v>
      </c>
      <c r="BK111" s="42">
        <f t="shared" si="69"/>
        <v>0</v>
      </c>
      <c r="BL111" s="42">
        <f t="shared" si="69"/>
        <v>1441.7</v>
      </c>
    </row>
    <row r="112" spans="1:64" ht="53.25" customHeight="1" x14ac:dyDescent="0.25">
      <c r="A112" s="298" t="s">
        <v>346</v>
      </c>
      <c r="B112" s="299" t="s">
        <v>343</v>
      </c>
      <c r="C112" s="1547"/>
      <c r="D112" s="1549"/>
      <c r="E112" s="1549"/>
      <c r="F112" s="1549"/>
      <c r="G112" s="1549"/>
      <c r="H112" s="1549"/>
      <c r="I112" s="1425"/>
      <c r="J112" s="1425"/>
      <c r="K112" s="1425" t="s">
        <v>355</v>
      </c>
      <c r="L112" s="301" t="s">
        <v>179</v>
      </c>
      <c r="M112" s="1425" t="s">
        <v>351</v>
      </c>
      <c r="N112" s="1425" t="s">
        <v>352</v>
      </c>
      <c r="O112" s="1425" t="s">
        <v>47</v>
      </c>
      <c r="P112" s="586">
        <v>94</v>
      </c>
      <c r="Q112" s="16" t="s">
        <v>356</v>
      </c>
      <c r="R112" s="302" t="s">
        <v>357</v>
      </c>
      <c r="S112" s="303">
        <v>2015</v>
      </c>
      <c r="T112" s="303">
        <v>0</v>
      </c>
      <c r="U112" s="303">
        <v>0</v>
      </c>
      <c r="V112" s="572">
        <v>1</v>
      </c>
      <c r="W112" s="572">
        <v>1</v>
      </c>
      <c r="X112" s="572">
        <v>0</v>
      </c>
      <c r="Y112" s="572">
        <f>SUBTOTAL(9,U112:X112)</f>
        <v>2</v>
      </c>
      <c r="Z112" s="481"/>
      <c r="AA112" s="481"/>
      <c r="AB112" s="481"/>
      <c r="AC112" s="481"/>
      <c r="AD112" s="481"/>
      <c r="AE112" s="481"/>
      <c r="AF112" s="481"/>
      <c r="AG112" s="481">
        <f t="shared" si="65"/>
        <v>0</v>
      </c>
      <c r="AH112" s="548">
        <v>0.5</v>
      </c>
      <c r="AI112" s="548"/>
      <c r="AJ112" s="716"/>
      <c r="AK112" s="548"/>
      <c r="AL112" s="548"/>
      <c r="AM112" s="548"/>
      <c r="AN112" s="548">
        <f t="shared" si="76"/>
        <v>0.5</v>
      </c>
      <c r="AO112" s="481"/>
      <c r="AP112" s="481"/>
      <c r="AQ112" s="481"/>
      <c r="AR112" s="481"/>
      <c r="AS112" s="481"/>
      <c r="AT112" s="481"/>
      <c r="AU112" s="481"/>
      <c r="AV112" s="481">
        <f t="shared" si="78"/>
        <v>0</v>
      </c>
      <c r="AW112" s="548"/>
      <c r="AX112" s="548"/>
      <c r="AY112" s="548"/>
      <c r="AZ112" s="548"/>
      <c r="BA112" s="548"/>
      <c r="BB112" s="548"/>
      <c r="BC112" s="548"/>
      <c r="BD112" s="548">
        <f t="shared" si="80"/>
        <v>0</v>
      </c>
      <c r="BE112" s="42">
        <f t="shared" ref="BE112:BI144" si="85">+AW112+AO112+AH112+Z112</f>
        <v>0.5</v>
      </c>
      <c r="BF112" s="42">
        <f t="shared" si="85"/>
        <v>0</v>
      </c>
      <c r="BG112" s="42">
        <f t="shared" si="85"/>
        <v>0</v>
      </c>
      <c r="BH112" s="42">
        <f t="shared" si="85"/>
        <v>0</v>
      </c>
      <c r="BI112" s="42">
        <f t="shared" si="85"/>
        <v>0</v>
      </c>
      <c r="BJ112" s="42">
        <f t="shared" si="51"/>
        <v>0</v>
      </c>
      <c r="BK112" s="42">
        <f t="shared" si="69"/>
        <v>0</v>
      </c>
      <c r="BL112" s="42">
        <f t="shared" si="69"/>
        <v>0.5</v>
      </c>
    </row>
    <row r="113" spans="1:64" ht="68.25" customHeight="1" x14ac:dyDescent="0.25">
      <c r="A113" s="298" t="s">
        <v>346</v>
      </c>
      <c r="B113" s="299" t="s">
        <v>343</v>
      </c>
      <c r="C113" s="1547"/>
      <c r="D113" s="1549"/>
      <c r="E113" s="1549"/>
      <c r="F113" s="1549"/>
      <c r="G113" s="1549"/>
      <c r="H113" s="1549"/>
      <c r="I113" s="1425"/>
      <c r="J113" s="1425"/>
      <c r="K113" s="1425" t="s">
        <v>358</v>
      </c>
      <c r="L113" s="301" t="s">
        <v>179</v>
      </c>
      <c r="M113" s="1425" t="s">
        <v>351</v>
      </c>
      <c r="N113" s="1425" t="s">
        <v>352</v>
      </c>
      <c r="O113" s="1425" t="s">
        <v>47</v>
      </c>
      <c r="P113" s="586" t="s">
        <v>359</v>
      </c>
      <c r="Q113" s="16" t="s">
        <v>360</v>
      </c>
      <c r="R113" s="302" t="s">
        <v>361</v>
      </c>
      <c r="S113" s="303">
        <v>2015</v>
      </c>
      <c r="T113" s="303">
        <v>0</v>
      </c>
      <c r="U113" s="303">
        <v>2000</v>
      </c>
      <c r="V113" s="572">
        <v>3000</v>
      </c>
      <c r="W113" s="572">
        <v>4500</v>
      </c>
      <c r="X113" s="572">
        <v>5500</v>
      </c>
      <c r="Y113" s="572">
        <f>SUBTOTAL(9,U113:X113)</f>
        <v>15000</v>
      </c>
      <c r="Z113" s="483"/>
      <c r="AA113" s="483"/>
      <c r="AB113" s="483"/>
      <c r="AC113" s="483"/>
      <c r="AD113" s="483"/>
      <c r="AE113" s="483"/>
      <c r="AF113" s="483"/>
      <c r="AG113" s="483">
        <f t="shared" si="65"/>
        <v>0</v>
      </c>
      <c r="AH113" s="587"/>
      <c r="AI113" s="587"/>
      <c r="AJ113" s="719">
        <v>10</v>
      </c>
      <c r="AK113" s="587">
        <v>10</v>
      </c>
      <c r="AL113" s="587"/>
      <c r="AM113" s="587"/>
      <c r="AN113" s="587">
        <f t="shared" si="76"/>
        <v>20</v>
      </c>
      <c r="AO113" s="483"/>
      <c r="AP113" s="483"/>
      <c r="AQ113" s="483"/>
      <c r="AR113" s="483"/>
      <c r="AS113" s="483"/>
      <c r="AT113" s="483"/>
      <c r="AU113" s="483"/>
      <c r="AV113" s="483">
        <f t="shared" si="78"/>
        <v>0</v>
      </c>
      <c r="AW113" s="587"/>
      <c r="AX113" s="587"/>
      <c r="AY113" s="587"/>
      <c r="AZ113" s="587"/>
      <c r="BA113" s="587"/>
      <c r="BB113" s="587"/>
      <c r="BC113" s="587"/>
      <c r="BD113" s="587">
        <f t="shared" si="80"/>
        <v>0</v>
      </c>
      <c r="BE113" s="44">
        <f t="shared" si="85"/>
        <v>0</v>
      </c>
      <c r="BF113" s="44">
        <f t="shared" si="85"/>
        <v>0</v>
      </c>
      <c r="BG113" s="44">
        <f t="shared" si="85"/>
        <v>10</v>
      </c>
      <c r="BH113" s="44">
        <f t="shared" si="85"/>
        <v>10</v>
      </c>
      <c r="BI113" s="44">
        <f t="shared" si="85"/>
        <v>0</v>
      </c>
      <c r="BJ113" s="44">
        <f t="shared" si="51"/>
        <v>0</v>
      </c>
      <c r="BK113" s="44">
        <f t="shared" si="69"/>
        <v>0</v>
      </c>
      <c r="BL113" s="44">
        <f t="shared" si="69"/>
        <v>20</v>
      </c>
    </row>
    <row r="114" spans="1:64" ht="48.75" customHeight="1" x14ac:dyDescent="0.25">
      <c r="A114" s="298" t="s">
        <v>346</v>
      </c>
      <c r="B114" s="299" t="s">
        <v>343</v>
      </c>
      <c r="C114" s="1547"/>
      <c r="D114" s="1549"/>
      <c r="E114" s="1549"/>
      <c r="F114" s="1549"/>
      <c r="G114" s="1549"/>
      <c r="H114" s="1549"/>
      <c r="I114" s="1425"/>
      <c r="J114" s="1425"/>
      <c r="K114" s="1425" t="s">
        <v>362</v>
      </c>
      <c r="L114" s="301" t="s">
        <v>179</v>
      </c>
      <c r="M114" s="1425" t="s">
        <v>351</v>
      </c>
      <c r="N114" s="1425" t="s">
        <v>352</v>
      </c>
      <c r="O114" s="1425" t="s">
        <v>47</v>
      </c>
      <c r="P114" s="586">
        <v>94</v>
      </c>
      <c r="Q114" s="16" t="s">
        <v>363</v>
      </c>
      <c r="R114" s="302" t="s">
        <v>364</v>
      </c>
      <c r="S114" s="303">
        <v>2015</v>
      </c>
      <c r="T114" s="303">
        <v>0</v>
      </c>
      <c r="U114" s="303">
        <v>0</v>
      </c>
      <c r="V114" s="572">
        <v>0</v>
      </c>
      <c r="W114" s="572">
        <v>1</v>
      </c>
      <c r="X114" s="572">
        <v>0</v>
      </c>
      <c r="Y114" s="572">
        <f>SUBTOTAL(9,U114:X114)</f>
        <v>1</v>
      </c>
      <c r="Z114" s="481"/>
      <c r="AA114" s="481"/>
      <c r="AB114" s="481"/>
      <c r="AC114" s="481"/>
      <c r="AD114" s="481"/>
      <c r="AE114" s="481"/>
      <c r="AF114" s="481"/>
      <c r="AG114" s="481">
        <f t="shared" si="65"/>
        <v>0</v>
      </c>
      <c r="AH114" s="548"/>
      <c r="AI114" s="548"/>
      <c r="AJ114" s="716"/>
      <c r="AK114" s="548"/>
      <c r="AL114" s="548"/>
      <c r="AM114" s="548"/>
      <c r="AN114" s="548">
        <f t="shared" si="76"/>
        <v>0</v>
      </c>
      <c r="AO114" s="481"/>
      <c r="AP114" s="481"/>
      <c r="AQ114" s="481"/>
      <c r="AR114" s="481"/>
      <c r="AS114" s="481"/>
      <c r="AT114" s="481"/>
      <c r="AU114" s="481"/>
      <c r="AV114" s="481">
        <f t="shared" si="78"/>
        <v>0</v>
      </c>
      <c r="AW114" s="548"/>
      <c r="AX114" s="548"/>
      <c r="AY114" s="548"/>
      <c r="AZ114" s="548"/>
      <c r="BA114" s="548"/>
      <c r="BB114" s="548"/>
      <c r="BC114" s="548"/>
      <c r="BD114" s="548">
        <f t="shared" si="80"/>
        <v>0</v>
      </c>
      <c r="BE114" s="42">
        <f t="shared" si="85"/>
        <v>0</v>
      </c>
      <c r="BF114" s="42">
        <f t="shared" si="85"/>
        <v>0</v>
      </c>
      <c r="BG114" s="42">
        <f t="shared" si="85"/>
        <v>0</v>
      </c>
      <c r="BH114" s="42">
        <f t="shared" si="85"/>
        <v>0</v>
      </c>
      <c r="BI114" s="42">
        <f t="shared" si="85"/>
        <v>0</v>
      </c>
      <c r="BJ114" s="42">
        <f t="shared" si="51"/>
        <v>0</v>
      </c>
      <c r="BK114" s="42">
        <f t="shared" si="69"/>
        <v>0</v>
      </c>
      <c r="BL114" s="42">
        <f t="shared" si="69"/>
        <v>0</v>
      </c>
    </row>
    <row r="115" spans="1:64" ht="57.75" customHeight="1" x14ac:dyDescent="0.25">
      <c r="A115" s="298" t="s">
        <v>346</v>
      </c>
      <c r="B115" s="299" t="s">
        <v>343</v>
      </c>
      <c r="C115" s="1548"/>
      <c r="D115" s="1549"/>
      <c r="E115" s="1549"/>
      <c r="F115" s="1549"/>
      <c r="G115" s="1549"/>
      <c r="H115" s="1549"/>
      <c r="I115" s="1425"/>
      <c r="J115" s="1425"/>
      <c r="K115" s="1425" t="s">
        <v>365</v>
      </c>
      <c r="L115" s="301" t="s">
        <v>179</v>
      </c>
      <c r="M115" s="1425" t="s">
        <v>351</v>
      </c>
      <c r="N115" s="1425" t="s">
        <v>352</v>
      </c>
      <c r="O115" s="1425" t="s">
        <v>47</v>
      </c>
      <c r="P115" s="586">
        <v>94</v>
      </c>
      <c r="Q115" s="16" t="s">
        <v>366</v>
      </c>
      <c r="R115" s="302" t="s">
        <v>367</v>
      </c>
      <c r="S115" s="303">
        <v>2015</v>
      </c>
      <c r="T115" s="303">
        <v>0</v>
      </c>
      <c r="U115" s="303">
        <v>2</v>
      </c>
      <c r="V115" s="572">
        <v>2</v>
      </c>
      <c r="W115" s="572">
        <v>2</v>
      </c>
      <c r="X115" s="572">
        <v>2</v>
      </c>
      <c r="Y115" s="572">
        <f>SUBTOTAL(9,U115:X115)</f>
        <v>8</v>
      </c>
      <c r="Z115" s="481"/>
      <c r="AA115" s="481"/>
      <c r="AB115" s="481"/>
      <c r="AC115" s="481"/>
      <c r="AD115" s="481"/>
      <c r="AE115" s="481"/>
      <c r="AF115" s="481"/>
      <c r="AG115" s="481">
        <f t="shared" si="65"/>
        <v>0</v>
      </c>
      <c r="AH115" s="548">
        <v>0.5</v>
      </c>
      <c r="AI115" s="548"/>
      <c r="AJ115" s="716"/>
      <c r="AK115" s="548"/>
      <c r="AL115" s="548"/>
      <c r="AM115" s="548"/>
      <c r="AN115" s="548">
        <f t="shared" si="76"/>
        <v>0.5</v>
      </c>
      <c r="AO115" s="481"/>
      <c r="AP115" s="481"/>
      <c r="AQ115" s="481"/>
      <c r="AR115" s="481"/>
      <c r="AS115" s="481"/>
      <c r="AT115" s="481"/>
      <c r="AU115" s="481"/>
      <c r="AV115" s="481">
        <f t="shared" si="78"/>
        <v>0</v>
      </c>
      <c r="AW115" s="548"/>
      <c r="AX115" s="548"/>
      <c r="AY115" s="548"/>
      <c r="AZ115" s="548"/>
      <c r="BA115" s="548"/>
      <c r="BB115" s="548"/>
      <c r="BC115" s="548"/>
      <c r="BD115" s="548">
        <f t="shared" si="80"/>
        <v>0</v>
      </c>
      <c r="BE115" s="42">
        <f t="shared" si="85"/>
        <v>0.5</v>
      </c>
      <c r="BF115" s="42">
        <f t="shared" si="85"/>
        <v>0</v>
      </c>
      <c r="BG115" s="42">
        <f t="shared" si="85"/>
        <v>0</v>
      </c>
      <c r="BH115" s="42">
        <f t="shared" si="85"/>
        <v>0</v>
      </c>
      <c r="BI115" s="42">
        <f t="shared" si="85"/>
        <v>0</v>
      </c>
      <c r="BJ115" s="42">
        <f t="shared" si="51"/>
        <v>0</v>
      </c>
      <c r="BK115" s="42">
        <f t="shared" si="69"/>
        <v>0</v>
      </c>
      <c r="BL115" s="42">
        <f t="shared" si="69"/>
        <v>0.5</v>
      </c>
    </row>
    <row r="116" spans="1:64" ht="12.75" x14ac:dyDescent="0.2">
      <c r="A116" s="295" t="s">
        <v>346</v>
      </c>
      <c r="B116" s="154" t="s">
        <v>343</v>
      </c>
      <c r="C116" s="6"/>
      <c r="D116" s="2" t="s">
        <v>368</v>
      </c>
      <c r="E116" s="1"/>
      <c r="F116" s="1"/>
      <c r="G116" s="1"/>
      <c r="H116" s="1"/>
      <c r="I116" s="1"/>
      <c r="J116" s="1"/>
      <c r="K116" s="1"/>
      <c r="L116" s="1"/>
      <c r="M116" s="1"/>
      <c r="N116" s="1"/>
      <c r="O116" s="1"/>
      <c r="P116" s="1"/>
      <c r="Q116" s="1"/>
      <c r="R116" s="22"/>
      <c r="S116" s="1"/>
      <c r="T116" s="1"/>
      <c r="U116" s="1"/>
      <c r="V116" s="49"/>
      <c r="W116" s="49"/>
      <c r="X116" s="49"/>
      <c r="Y116" s="49"/>
      <c r="Z116" s="34">
        <f>SUM(Z117:Z120)</f>
        <v>20</v>
      </c>
      <c r="AA116" s="34">
        <f t="shared" ref="AA116:AF116" si="86">SUM(AA117:AA120)</f>
        <v>0</v>
      </c>
      <c r="AB116" s="34">
        <f>SUM(AB117:AB120)</f>
        <v>94</v>
      </c>
      <c r="AC116" s="34">
        <f t="shared" si="86"/>
        <v>0</v>
      </c>
      <c r="AD116" s="34">
        <f t="shared" si="86"/>
        <v>0</v>
      </c>
      <c r="AE116" s="34">
        <f t="shared" si="86"/>
        <v>0</v>
      </c>
      <c r="AF116" s="34">
        <f t="shared" si="86"/>
        <v>0</v>
      </c>
      <c r="AG116" s="34">
        <f t="shared" si="65"/>
        <v>114</v>
      </c>
      <c r="AH116" s="34">
        <f t="shared" ref="AH116:AM116" si="87">SUM(AH117:AH120)</f>
        <v>19</v>
      </c>
      <c r="AI116" s="34">
        <f t="shared" si="87"/>
        <v>0</v>
      </c>
      <c r="AJ116" s="34">
        <f t="shared" si="87"/>
        <v>0</v>
      </c>
      <c r="AK116" s="34">
        <f t="shared" si="87"/>
        <v>200</v>
      </c>
      <c r="AL116" s="34">
        <f t="shared" si="87"/>
        <v>0</v>
      </c>
      <c r="AM116" s="34">
        <f t="shared" si="87"/>
        <v>300</v>
      </c>
      <c r="AN116" s="34">
        <f t="shared" si="76"/>
        <v>519</v>
      </c>
      <c r="AO116" s="34">
        <f t="shared" ref="AO116:AU116" si="88">SUM(AO117:AO120)</f>
        <v>21</v>
      </c>
      <c r="AP116" s="34">
        <f t="shared" si="88"/>
        <v>0</v>
      </c>
      <c r="AQ116" s="34">
        <f t="shared" si="88"/>
        <v>0</v>
      </c>
      <c r="AR116" s="34">
        <f t="shared" si="88"/>
        <v>0</v>
      </c>
      <c r="AS116" s="34">
        <f t="shared" si="88"/>
        <v>0</v>
      </c>
      <c r="AT116" s="34">
        <f t="shared" si="88"/>
        <v>0</v>
      </c>
      <c r="AU116" s="34">
        <f t="shared" si="88"/>
        <v>0</v>
      </c>
      <c r="AV116" s="34">
        <f t="shared" si="78"/>
        <v>21</v>
      </c>
      <c r="AW116" s="34">
        <f t="shared" ref="AW116:BC116" si="89">SUM(AW117:AW120)</f>
        <v>22.5</v>
      </c>
      <c r="AX116" s="34">
        <f t="shared" si="89"/>
        <v>0</v>
      </c>
      <c r="AY116" s="34">
        <f t="shared" si="89"/>
        <v>0</v>
      </c>
      <c r="AZ116" s="34">
        <f t="shared" si="89"/>
        <v>0</v>
      </c>
      <c r="BA116" s="34">
        <f t="shared" si="89"/>
        <v>0</v>
      </c>
      <c r="BB116" s="34">
        <f t="shared" si="89"/>
        <v>0</v>
      </c>
      <c r="BC116" s="34">
        <f t="shared" si="89"/>
        <v>0</v>
      </c>
      <c r="BD116" s="34">
        <f t="shared" si="80"/>
        <v>22.5</v>
      </c>
      <c r="BE116" s="34">
        <f t="shared" si="85"/>
        <v>82.5</v>
      </c>
      <c r="BF116" s="34">
        <f t="shared" si="85"/>
        <v>0</v>
      </c>
      <c r="BG116" s="34">
        <f t="shared" si="85"/>
        <v>94</v>
      </c>
      <c r="BH116" s="34">
        <f t="shared" si="85"/>
        <v>200</v>
      </c>
      <c r="BI116" s="34">
        <f t="shared" si="85"/>
        <v>0</v>
      </c>
      <c r="BJ116" s="34">
        <f t="shared" si="51"/>
        <v>0</v>
      </c>
      <c r="BK116" s="34">
        <f t="shared" si="69"/>
        <v>300</v>
      </c>
      <c r="BL116" s="34">
        <f t="shared" si="69"/>
        <v>676.5</v>
      </c>
    </row>
    <row r="117" spans="1:64" ht="43.5" customHeight="1" x14ac:dyDescent="0.25">
      <c r="A117" s="298" t="s">
        <v>346</v>
      </c>
      <c r="B117" s="299" t="s">
        <v>343</v>
      </c>
      <c r="C117" s="1546" t="s">
        <v>369</v>
      </c>
      <c r="D117" s="1549" t="s">
        <v>370</v>
      </c>
      <c r="E117" s="1549" t="s">
        <v>371</v>
      </c>
      <c r="F117" s="1549">
        <v>2015</v>
      </c>
      <c r="G117" s="1549">
        <v>18.899999999999999</v>
      </c>
      <c r="H117" s="1549">
        <v>16.399999999999999</v>
      </c>
      <c r="I117" s="1425" t="s">
        <v>53</v>
      </c>
      <c r="J117" s="1425"/>
      <c r="K117" s="1425" t="s">
        <v>372</v>
      </c>
      <c r="L117" s="301" t="s">
        <v>179</v>
      </c>
      <c r="M117" s="1425" t="s">
        <v>351</v>
      </c>
      <c r="N117" s="1425" t="s">
        <v>352</v>
      </c>
      <c r="O117" s="1425" t="s">
        <v>47</v>
      </c>
      <c r="P117" s="1425"/>
      <c r="Q117" s="16" t="s">
        <v>373</v>
      </c>
      <c r="R117" s="302" t="s">
        <v>374</v>
      </c>
      <c r="S117" s="303">
        <v>2015</v>
      </c>
      <c r="T117" s="303">
        <v>0</v>
      </c>
      <c r="U117" s="303">
        <v>185</v>
      </c>
      <c r="V117" s="572">
        <v>300</v>
      </c>
      <c r="W117" s="572">
        <v>0</v>
      </c>
      <c r="X117" s="572">
        <v>0</v>
      </c>
      <c r="Y117" s="572">
        <f>SUBTOTAL(9,U117:X117)</f>
        <v>485</v>
      </c>
      <c r="Z117" s="481"/>
      <c r="AA117" s="481"/>
      <c r="AB117" s="481"/>
      <c r="AC117" s="481"/>
      <c r="AD117" s="481"/>
      <c r="AE117" s="481"/>
      <c r="AF117" s="481"/>
      <c r="AG117" s="481">
        <f t="shared" si="65"/>
        <v>0</v>
      </c>
      <c r="AH117" s="548">
        <v>18.5</v>
      </c>
      <c r="AI117" s="548"/>
      <c r="AJ117" s="548"/>
      <c r="AK117" s="548">
        <v>200</v>
      </c>
      <c r="AL117" s="548"/>
      <c r="AM117" s="548"/>
      <c r="AN117" s="548">
        <f t="shared" si="76"/>
        <v>218.5</v>
      </c>
      <c r="AO117" s="481">
        <v>21</v>
      </c>
      <c r="AP117" s="481"/>
      <c r="AQ117" s="481"/>
      <c r="AR117" s="481"/>
      <c r="AS117" s="481"/>
      <c r="AT117" s="481"/>
      <c r="AU117" s="481"/>
      <c r="AV117" s="481">
        <f t="shared" si="78"/>
        <v>21</v>
      </c>
      <c r="AW117" s="548">
        <v>22.5</v>
      </c>
      <c r="AX117" s="548"/>
      <c r="AY117" s="548"/>
      <c r="AZ117" s="548"/>
      <c r="BA117" s="548"/>
      <c r="BB117" s="548"/>
      <c r="BC117" s="548"/>
      <c r="BD117" s="548">
        <f t="shared" si="80"/>
        <v>22.5</v>
      </c>
      <c r="BE117" s="42">
        <f t="shared" si="85"/>
        <v>62</v>
      </c>
      <c r="BF117" s="42">
        <f t="shared" si="85"/>
        <v>0</v>
      </c>
      <c r="BG117" s="42">
        <f t="shared" si="85"/>
        <v>0</v>
      </c>
      <c r="BH117" s="42">
        <f t="shared" si="85"/>
        <v>200</v>
      </c>
      <c r="BI117" s="42">
        <f t="shared" si="85"/>
        <v>0</v>
      </c>
      <c r="BJ117" s="42">
        <f t="shared" si="51"/>
        <v>0</v>
      </c>
      <c r="BK117" s="42">
        <f t="shared" si="69"/>
        <v>0</v>
      </c>
      <c r="BL117" s="42">
        <f t="shared" si="69"/>
        <v>262</v>
      </c>
    </row>
    <row r="118" spans="1:64" ht="51.75" customHeight="1" x14ac:dyDescent="0.25">
      <c r="A118" s="298" t="s">
        <v>346</v>
      </c>
      <c r="B118" s="299" t="s">
        <v>343</v>
      </c>
      <c r="C118" s="1547"/>
      <c r="D118" s="1549"/>
      <c r="E118" s="1549"/>
      <c r="F118" s="1549"/>
      <c r="G118" s="1549"/>
      <c r="H118" s="1549"/>
      <c r="I118" s="1425"/>
      <c r="J118" s="1425"/>
      <c r="K118" s="1425" t="s">
        <v>375</v>
      </c>
      <c r="L118" s="301" t="s">
        <v>179</v>
      </c>
      <c r="M118" s="1425" t="s">
        <v>351</v>
      </c>
      <c r="N118" s="1425" t="s">
        <v>352</v>
      </c>
      <c r="O118" s="1425" t="s">
        <v>47</v>
      </c>
      <c r="P118" s="1425"/>
      <c r="Q118" s="16" t="s">
        <v>376</v>
      </c>
      <c r="R118" s="302" t="s">
        <v>377</v>
      </c>
      <c r="S118" s="303">
        <v>2015</v>
      </c>
      <c r="T118" s="303">
        <v>0</v>
      </c>
      <c r="U118" s="303">
        <v>1</v>
      </c>
      <c r="V118" s="572">
        <v>1</v>
      </c>
      <c r="W118" s="572">
        <v>1</v>
      </c>
      <c r="X118" s="572">
        <v>1</v>
      </c>
      <c r="Y118" s="572">
        <f>SUBTOTAL(9,U118:X118)</f>
        <v>4</v>
      </c>
      <c r="Z118" s="481"/>
      <c r="AA118" s="481"/>
      <c r="AB118" s="481"/>
      <c r="AC118" s="481"/>
      <c r="AD118" s="481"/>
      <c r="AE118" s="481"/>
      <c r="AF118" s="481"/>
      <c r="AG118" s="481">
        <f t="shared" si="65"/>
        <v>0</v>
      </c>
      <c r="AH118" s="548">
        <v>0.5</v>
      </c>
      <c r="AI118" s="548"/>
      <c r="AJ118" s="716"/>
      <c r="AK118" s="548"/>
      <c r="AL118" s="548"/>
      <c r="AM118" s="548"/>
      <c r="AN118" s="548">
        <f t="shared" si="76"/>
        <v>0.5</v>
      </c>
      <c r="AO118" s="481"/>
      <c r="AP118" s="481"/>
      <c r="AQ118" s="481"/>
      <c r="AR118" s="481"/>
      <c r="AS118" s="481"/>
      <c r="AT118" s="481"/>
      <c r="AU118" s="481"/>
      <c r="AV118" s="481">
        <f t="shared" si="78"/>
        <v>0</v>
      </c>
      <c r="AW118" s="548"/>
      <c r="AX118" s="548"/>
      <c r="AY118" s="548"/>
      <c r="AZ118" s="548"/>
      <c r="BA118" s="548"/>
      <c r="BB118" s="548"/>
      <c r="BC118" s="548"/>
      <c r="BD118" s="548">
        <f t="shared" si="80"/>
        <v>0</v>
      </c>
      <c r="BE118" s="42">
        <f t="shared" si="85"/>
        <v>0.5</v>
      </c>
      <c r="BF118" s="42">
        <f t="shared" si="85"/>
        <v>0</v>
      </c>
      <c r="BG118" s="42">
        <f t="shared" si="85"/>
        <v>0</v>
      </c>
      <c r="BH118" s="42">
        <f t="shared" si="85"/>
        <v>0</v>
      </c>
      <c r="BI118" s="42">
        <f t="shared" si="85"/>
        <v>0</v>
      </c>
      <c r="BJ118" s="42">
        <f t="shared" si="51"/>
        <v>0</v>
      </c>
      <c r="BK118" s="42">
        <f t="shared" si="69"/>
        <v>0</v>
      </c>
      <c r="BL118" s="42">
        <f t="shared" si="69"/>
        <v>0.5</v>
      </c>
    </row>
    <row r="119" spans="1:64" ht="50.25" customHeight="1" x14ac:dyDescent="0.25">
      <c r="A119" s="298" t="s">
        <v>346</v>
      </c>
      <c r="B119" s="299" t="s">
        <v>343</v>
      </c>
      <c r="C119" s="1547"/>
      <c r="D119" s="1549"/>
      <c r="E119" s="1549"/>
      <c r="F119" s="1549"/>
      <c r="G119" s="1549"/>
      <c r="H119" s="1549"/>
      <c r="I119" s="1425"/>
      <c r="J119" s="1425"/>
      <c r="K119" s="1425" t="s">
        <v>378</v>
      </c>
      <c r="L119" s="301" t="s">
        <v>179</v>
      </c>
      <c r="M119" s="1425" t="s">
        <v>351</v>
      </c>
      <c r="N119" s="1425" t="s">
        <v>352</v>
      </c>
      <c r="O119" s="1425" t="s">
        <v>47</v>
      </c>
      <c r="P119" s="1425"/>
      <c r="Q119" s="16" t="s">
        <v>379</v>
      </c>
      <c r="R119" s="302" t="s">
        <v>380</v>
      </c>
      <c r="S119" s="303">
        <v>2015</v>
      </c>
      <c r="T119" s="303">
        <v>0</v>
      </c>
      <c r="U119" s="303">
        <v>50</v>
      </c>
      <c r="V119" s="572">
        <v>0</v>
      </c>
      <c r="W119" s="572">
        <v>0</v>
      </c>
      <c r="X119" s="572">
        <v>0</v>
      </c>
      <c r="Y119" s="572">
        <f>SUBTOTAL(9,U119:X119)</f>
        <v>50</v>
      </c>
      <c r="Z119" s="481"/>
      <c r="AA119" s="481"/>
      <c r="AB119" s="481"/>
      <c r="AC119" s="481"/>
      <c r="AD119" s="481"/>
      <c r="AE119" s="481"/>
      <c r="AF119" s="481"/>
      <c r="AG119" s="481">
        <f t="shared" si="65"/>
        <v>0</v>
      </c>
      <c r="AH119" s="548"/>
      <c r="AI119" s="548"/>
      <c r="AJ119" s="548"/>
      <c r="AK119" s="548"/>
      <c r="AL119" s="548"/>
      <c r="AM119" s="548"/>
      <c r="AN119" s="548">
        <f t="shared" si="76"/>
        <v>0</v>
      </c>
      <c r="AO119" s="481"/>
      <c r="AP119" s="481"/>
      <c r="AQ119" s="481"/>
      <c r="AR119" s="481"/>
      <c r="AS119" s="481"/>
      <c r="AT119" s="481"/>
      <c r="AU119" s="481"/>
      <c r="AV119" s="481">
        <f t="shared" si="78"/>
        <v>0</v>
      </c>
      <c r="AW119" s="548"/>
      <c r="AX119" s="548"/>
      <c r="AY119" s="548"/>
      <c r="AZ119" s="548"/>
      <c r="BA119" s="548"/>
      <c r="BB119" s="548"/>
      <c r="BC119" s="548"/>
      <c r="BD119" s="548">
        <f t="shared" si="80"/>
        <v>0</v>
      </c>
      <c r="BE119" s="42">
        <f t="shared" si="85"/>
        <v>0</v>
      </c>
      <c r="BF119" s="42">
        <f t="shared" si="85"/>
        <v>0</v>
      </c>
      <c r="BG119" s="42">
        <f t="shared" si="85"/>
        <v>0</v>
      </c>
      <c r="BH119" s="42">
        <f t="shared" si="85"/>
        <v>0</v>
      </c>
      <c r="BI119" s="42">
        <f t="shared" si="85"/>
        <v>0</v>
      </c>
      <c r="BJ119" s="42">
        <f t="shared" si="51"/>
        <v>0</v>
      </c>
      <c r="BK119" s="42">
        <f t="shared" si="69"/>
        <v>0</v>
      </c>
      <c r="BL119" s="42">
        <f t="shared" si="69"/>
        <v>0</v>
      </c>
    </row>
    <row r="120" spans="1:64" ht="44.25" customHeight="1" x14ac:dyDescent="0.25">
      <c r="A120" s="298" t="s">
        <v>346</v>
      </c>
      <c r="B120" s="299" t="s">
        <v>343</v>
      </c>
      <c r="C120" s="1548"/>
      <c r="D120" s="1549"/>
      <c r="E120" s="1549"/>
      <c r="F120" s="1549"/>
      <c r="G120" s="1549"/>
      <c r="H120" s="1549"/>
      <c r="I120" s="1425" t="s">
        <v>53</v>
      </c>
      <c r="J120" s="1425"/>
      <c r="K120" s="1425" t="s">
        <v>381</v>
      </c>
      <c r="L120" s="301" t="s">
        <v>179</v>
      </c>
      <c r="M120" s="1425" t="s">
        <v>351</v>
      </c>
      <c r="N120" s="1425" t="s">
        <v>352</v>
      </c>
      <c r="O120" s="1425" t="s">
        <v>47</v>
      </c>
      <c r="P120" s="1425"/>
      <c r="Q120" s="16" t="s">
        <v>382</v>
      </c>
      <c r="R120" s="302" t="s">
        <v>383</v>
      </c>
      <c r="S120" s="303">
        <v>2015</v>
      </c>
      <c r="T120" s="303">
        <v>0</v>
      </c>
      <c r="U120" s="303">
        <v>1</v>
      </c>
      <c r="V120" s="572">
        <v>1</v>
      </c>
      <c r="W120" s="572">
        <v>0</v>
      </c>
      <c r="X120" s="572">
        <v>0</v>
      </c>
      <c r="Y120" s="572">
        <f>SUBTOTAL(9,U120:X120)</f>
        <v>2</v>
      </c>
      <c r="Z120" s="481">
        <v>20</v>
      </c>
      <c r="AA120" s="481"/>
      <c r="AB120" s="481">
        <v>94</v>
      </c>
      <c r="AC120" s="481"/>
      <c r="AD120" s="481"/>
      <c r="AE120" s="481"/>
      <c r="AF120" s="481"/>
      <c r="AG120" s="481">
        <f t="shared" si="65"/>
        <v>114</v>
      </c>
      <c r="AH120" s="548"/>
      <c r="AI120" s="548"/>
      <c r="AJ120" s="548"/>
      <c r="AK120" s="548"/>
      <c r="AL120" s="548"/>
      <c r="AM120" s="548">
        <v>300</v>
      </c>
      <c r="AN120" s="548">
        <f t="shared" si="76"/>
        <v>300</v>
      </c>
      <c r="AO120" s="481"/>
      <c r="AP120" s="481"/>
      <c r="AQ120" s="481"/>
      <c r="AR120" s="481"/>
      <c r="AS120" s="481"/>
      <c r="AT120" s="481"/>
      <c r="AU120" s="481"/>
      <c r="AV120" s="481">
        <f t="shared" si="78"/>
        <v>0</v>
      </c>
      <c r="AW120" s="548"/>
      <c r="AX120" s="548"/>
      <c r="AY120" s="548"/>
      <c r="AZ120" s="548"/>
      <c r="BA120" s="548"/>
      <c r="BB120" s="548"/>
      <c r="BC120" s="548"/>
      <c r="BD120" s="548">
        <f t="shared" si="80"/>
        <v>0</v>
      </c>
      <c r="BE120" s="42">
        <f t="shared" si="85"/>
        <v>20</v>
      </c>
      <c r="BF120" s="42">
        <f t="shared" si="85"/>
        <v>0</v>
      </c>
      <c r="BG120" s="42">
        <f t="shared" si="85"/>
        <v>94</v>
      </c>
      <c r="BH120" s="42">
        <f t="shared" si="85"/>
        <v>0</v>
      </c>
      <c r="BI120" s="42">
        <f t="shared" si="85"/>
        <v>0</v>
      </c>
      <c r="BJ120" s="42">
        <f t="shared" si="51"/>
        <v>0</v>
      </c>
      <c r="BK120" s="42">
        <f t="shared" si="69"/>
        <v>300</v>
      </c>
      <c r="BL120" s="42">
        <f t="shared" si="69"/>
        <v>414</v>
      </c>
    </row>
    <row r="121" spans="1:64" ht="2.25" customHeight="1" x14ac:dyDescent="0.2">
      <c r="A121" s="151"/>
      <c r="B121" s="7" t="s">
        <v>384</v>
      </c>
      <c r="C121" s="7"/>
      <c r="D121" s="1442"/>
      <c r="E121" s="1442"/>
      <c r="F121" s="1442"/>
      <c r="G121" s="1442"/>
      <c r="H121" s="1442"/>
      <c r="I121" s="1442"/>
      <c r="J121" s="1442"/>
      <c r="K121" s="1442"/>
      <c r="L121" s="1442"/>
      <c r="M121" s="1442"/>
      <c r="N121" s="11"/>
      <c r="O121" s="1442"/>
      <c r="P121" s="1442"/>
      <c r="Q121" s="1440"/>
      <c r="R121" s="1440"/>
      <c r="S121" s="1442"/>
      <c r="T121" s="1442"/>
      <c r="U121" s="1442"/>
      <c r="V121" s="63"/>
      <c r="W121" s="63"/>
      <c r="X121" s="63"/>
      <c r="Y121" s="63"/>
      <c r="Z121" s="42"/>
      <c r="AA121" s="42"/>
      <c r="AB121" s="42"/>
      <c r="AC121" s="42"/>
      <c r="AD121" s="42"/>
      <c r="AE121" s="42"/>
      <c r="AF121" s="42"/>
      <c r="AG121" s="42"/>
      <c r="AH121" s="42"/>
      <c r="AI121" s="42"/>
      <c r="AJ121" s="42">
        <f>+AB122*1.035</f>
        <v>2473.9605000000001</v>
      </c>
      <c r="AK121" s="42"/>
      <c r="AL121" s="42"/>
      <c r="AM121" s="42"/>
      <c r="AN121" s="42"/>
      <c r="AO121" s="42"/>
      <c r="AP121" s="42"/>
      <c r="AQ121" s="42">
        <f>+AJ121*1.035</f>
        <v>2560.5491174999997</v>
      </c>
      <c r="AR121" s="42"/>
      <c r="AS121" s="42"/>
      <c r="AT121" s="42"/>
      <c r="AU121" s="42"/>
      <c r="AV121" s="42"/>
      <c r="AW121" s="42"/>
      <c r="AX121" s="42"/>
      <c r="AY121" s="42">
        <f>+AQ121*1.035</f>
        <v>2650.1683366124994</v>
      </c>
      <c r="AZ121" s="42"/>
      <c r="BA121" s="42"/>
      <c r="BB121" s="42"/>
      <c r="BC121" s="42"/>
      <c r="BD121" s="42"/>
      <c r="BE121" s="42">
        <f t="shared" si="85"/>
        <v>0</v>
      </c>
      <c r="BF121" s="42">
        <f t="shared" si="85"/>
        <v>0</v>
      </c>
      <c r="BG121" s="42">
        <f t="shared" si="85"/>
        <v>7684.6779541124988</v>
      </c>
      <c r="BH121" s="42">
        <f t="shared" si="85"/>
        <v>0</v>
      </c>
      <c r="BI121" s="42">
        <f t="shared" si="85"/>
        <v>0</v>
      </c>
      <c r="BJ121" s="42">
        <f t="shared" si="51"/>
        <v>0</v>
      </c>
      <c r="BK121" s="42">
        <f t="shared" si="69"/>
        <v>0</v>
      </c>
      <c r="BL121" s="42">
        <f t="shared" si="69"/>
        <v>0</v>
      </c>
    </row>
    <row r="122" spans="1:64" ht="18" hidden="1" x14ac:dyDescent="0.2">
      <c r="A122" s="420"/>
      <c r="B122" s="1556" t="s">
        <v>384</v>
      </c>
      <c r="C122" s="1557"/>
      <c r="D122" s="1557"/>
      <c r="E122" s="1557"/>
      <c r="F122" s="1557"/>
      <c r="G122" s="1557"/>
      <c r="H122" s="1557"/>
      <c r="I122" s="1557"/>
      <c r="J122" s="1557"/>
      <c r="K122" s="1557"/>
      <c r="L122" s="1557"/>
      <c r="M122" s="1558"/>
      <c r="N122" s="597"/>
      <c r="O122" s="597"/>
      <c r="P122" s="597"/>
      <c r="Q122" s="597"/>
      <c r="R122" s="598"/>
      <c r="S122" s="597"/>
      <c r="T122" s="597"/>
      <c r="U122" s="597"/>
      <c r="V122" s="599"/>
      <c r="W122" s="599"/>
      <c r="X122" s="599"/>
      <c r="Y122" s="599"/>
      <c r="Z122" s="600">
        <f t="shared" ref="Z122:BL122" si="90">+Z123+Z138+Z148</f>
        <v>0</v>
      </c>
      <c r="AA122" s="600">
        <f t="shared" si="90"/>
        <v>0</v>
      </c>
      <c r="AB122" s="600">
        <f t="shared" si="90"/>
        <v>2390.3000000000002</v>
      </c>
      <c r="AC122" s="600">
        <f t="shared" si="90"/>
        <v>0</v>
      </c>
      <c r="AD122" s="600">
        <f t="shared" si="90"/>
        <v>0</v>
      </c>
      <c r="AE122" s="600">
        <f t="shared" si="90"/>
        <v>95.1</v>
      </c>
      <c r="AF122" s="600">
        <f t="shared" si="90"/>
        <v>0</v>
      </c>
      <c r="AG122" s="600">
        <f t="shared" si="90"/>
        <v>2485.4</v>
      </c>
      <c r="AH122" s="600">
        <f t="shared" si="90"/>
        <v>0</v>
      </c>
      <c r="AI122" s="600">
        <f t="shared" si="90"/>
        <v>0</v>
      </c>
      <c r="AJ122" s="600">
        <f t="shared" si="90"/>
        <v>2190.3850000000002</v>
      </c>
      <c r="AK122" s="600">
        <f t="shared" si="90"/>
        <v>0</v>
      </c>
      <c r="AL122" s="600">
        <f t="shared" si="90"/>
        <v>0</v>
      </c>
      <c r="AM122" s="600">
        <f t="shared" si="90"/>
        <v>0</v>
      </c>
      <c r="AN122" s="600">
        <f t="shared" si="90"/>
        <v>2190.3850000000002</v>
      </c>
      <c r="AO122" s="600">
        <f t="shared" si="90"/>
        <v>0</v>
      </c>
      <c r="AP122" s="600">
        <f t="shared" si="90"/>
        <v>0</v>
      </c>
      <c r="AQ122" s="600">
        <f t="shared" si="90"/>
        <v>2268.8264749999998</v>
      </c>
      <c r="AR122" s="600">
        <f t="shared" si="90"/>
        <v>800</v>
      </c>
      <c r="AS122" s="600">
        <f t="shared" si="90"/>
        <v>0</v>
      </c>
      <c r="AT122" s="600">
        <f t="shared" si="90"/>
        <v>0</v>
      </c>
      <c r="AU122" s="600">
        <f t="shared" si="90"/>
        <v>5050</v>
      </c>
      <c r="AV122" s="600">
        <f t="shared" si="90"/>
        <v>8118.8264750000008</v>
      </c>
      <c r="AW122" s="600">
        <f t="shared" si="90"/>
        <v>0</v>
      </c>
      <c r="AX122" s="600">
        <f t="shared" si="90"/>
        <v>0</v>
      </c>
      <c r="AY122" s="600">
        <f t="shared" si="90"/>
        <v>2348.0599516249995</v>
      </c>
      <c r="AZ122" s="600">
        <f t="shared" si="90"/>
        <v>500</v>
      </c>
      <c r="BA122" s="600">
        <f t="shared" si="90"/>
        <v>0</v>
      </c>
      <c r="BB122" s="600">
        <f t="shared" si="90"/>
        <v>0</v>
      </c>
      <c r="BC122" s="600">
        <f t="shared" si="90"/>
        <v>0</v>
      </c>
      <c r="BD122" s="600">
        <f t="shared" si="90"/>
        <v>2848.0599516249995</v>
      </c>
      <c r="BE122" s="33">
        <f t="shared" si="90"/>
        <v>0</v>
      </c>
      <c r="BF122" s="33">
        <f t="shared" si="90"/>
        <v>0</v>
      </c>
      <c r="BG122" s="33">
        <f t="shared" si="90"/>
        <v>9197.5714266249997</v>
      </c>
      <c r="BH122" s="33">
        <f t="shared" si="90"/>
        <v>1300</v>
      </c>
      <c r="BI122" s="33">
        <f t="shared" si="90"/>
        <v>0</v>
      </c>
      <c r="BJ122" s="33">
        <f t="shared" si="51"/>
        <v>95.1</v>
      </c>
      <c r="BK122" s="33">
        <f t="shared" si="90"/>
        <v>5050</v>
      </c>
      <c r="BL122" s="33">
        <f t="shared" si="90"/>
        <v>15642.671426625</v>
      </c>
    </row>
    <row r="123" spans="1:64" ht="12.75" hidden="1" x14ac:dyDescent="0.2">
      <c r="A123" s="603"/>
      <c r="B123" s="154" t="s">
        <v>384</v>
      </c>
      <c r="C123" s="6"/>
      <c r="D123" s="2" t="s">
        <v>385</v>
      </c>
      <c r="E123" s="1"/>
      <c r="F123" s="1"/>
      <c r="G123" s="1"/>
      <c r="H123" s="1"/>
      <c r="I123" s="1"/>
      <c r="J123" s="1"/>
      <c r="K123" s="1"/>
      <c r="L123" s="1"/>
      <c r="M123" s="1"/>
      <c r="N123" s="1"/>
      <c r="O123" s="1"/>
      <c r="P123" s="1"/>
      <c r="Q123" s="1"/>
      <c r="R123" s="22"/>
      <c r="S123" s="1"/>
      <c r="T123" s="1"/>
      <c r="U123" s="1"/>
      <c r="V123" s="49"/>
      <c r="W123" s="49"/>
      <c r="X123" s="49"/>
      <c r="Y123" s="49"/>
      <c r="Z123" s="34">
        <f t="shared" ref="Z123:AF123" si="91">SUM(Z124:Z137)</f>
        <v>0</v>
      </c>
      <c r="AA123" s="34">
        <f t="shared" si="91"/>
        <v>0</v>
      </c>
      <c r="AB123" s="34">
        <f t="shared" si="91"/>
        <v>796.7</v>
      </c>
      <c r="AC123" s="34">
        <f t="shared" si="91"/>
        <v>0</v>
      </c>
      <c r="AD123" s="34">
        <f t="shared" si="91"/>
        <v>0</v>
      </c>
      <c r="AE123" s="34">
        <f t="shared" si="91"/>
        <v>0</v>
      </c>
      <c r="AF123" s="34">
        <f t="shared" si="91"/>
        <v>0</v>
      </c>
      <c r="AG123" s="34">
        <f t="shared" ref="AG123:AG155" si="92">SUM(Z123:AF123)</f>
        <v>796.7</v>
      </c>
      <c r="AH123" s="34">
        <f t="shared" ref="AH123:AM123" si="93">SUM(AH124:AH137)</f>
        <v>0</v>
      </c>
      <c r="AI123" s="34">
        <f t="shared" si="93"/>
        <v>0</v>
      </c>
      <c r="AJ123" s="34">
        <f t="shared" si="93"/>
        <v>1045.52</v>
      </c>
      <c r="AK123" s="34">
        <f t="shared" si="93"/>
        <v>0</v>
      </c>
      <c r="AL123" s="34">
        <f t="shared" si="93"/>
        <v>0</v>
      </c>
      <c r="AM123" s="34">
        <f t="shared" si="93"/>
        <v>0</v>
      </c>
      <c r="AN123" s="34">
        <f>SUM(AH123:AM123)</f>
        <v>1045.52</v>
      </c>
      <c r="AO123" s="34">
        <f t="shared" ref="AO123:AU123" si="94">SUM(AO124:AO137)</f>
        <v>0</v>
      </c>
      <c r="AP123" s="34">
        <f t="shared" si="94"/>
        <v>0</v>
      </c>
      <c r="AQ123" s="34">
        <f t="shared" si="94"/>
        <v>1218.1511999999998</v>
      </c>
      <c r="AR123" s="34">
        <f t="shared" si="94"/>
        <v>0</v>
      </c>
      <c r="AS123" s="34">
        <f t="shared" si="94"/>
        <v>0</v>
      </c>
      <c r="AT123" s="34">
        <f t="shared" si="94"/>
        <v>0</v>
      </c>
      <c r="AU123" s="34">
        <f t="shared" si="94"/>
        <v>0</v>
      </c>
      <c r="AV123" s="34">
        <f t="shared" ref="AV123:AV128" si="95">SUM(AO123:AU123)</f>
        <v>1218.1511999999998</v>
      </c>
      <c r="AW123" s="34">
        <f t="shared" ref="AW123:BC123" si="96">SUM(AW124:AW137)</f>
        <v>0</v>
      </c>
      <c r="AX123" s="34">
        <f t="shared" si="96"/>
        <v>0</v>
      </c>
      <c r="AY123" s="34">
        <f t="shared" si="96"/>
        <v>1227.1260419999999</v>
      </c>
      <c r="AZ123" s="34">
        <f>SUM(AZ124:AZ137)</f>
        <v>500</v>
      </c>
      <c r="BA123" s="34">
        <f t="shared" si="96"/>
        <v>0</v>
      </c>
      <c r="BB123" s="34">
        <f t="shared" si="96"/>
        <v>0</v>
      </c>
      <c r="BC123" s="34">
        <f t="shared" si="96"/>
        <v>0</v>
      </c>
      <c r="BD123" s="34">
        <f>SUM(AW123:BC123)</f>
        <v>1727.1260419999999</v>
      </c>
      <c r="BE123" s="34">
        <f t="shared" si="85"/>
        <v>0</v>
      </c>
      <c r="BF123" s="34">
        <f t="shared" si="85"/>
        <v>0</v>
      </c>
      <c r="BG123" s="34">
        <f t="shared" si="85"/>
        <v>4287.4972419999995</v>
      </c>
      <c r="BH123" s="34">
        <f t="shared" si="85"/>
        <v>500</v>
      </c>
      <c r="BI123" s="34">
        <f t="shared" si="85"/>
        <v>0</v>
      </c>
      <c r="BJ123" s="34">
        <f t="shared" si="51"/>
        <v>0</v>
      </c>
      <c r="BK123" s="34">
        <f t="shared" si="69"/>
        <v>0</v>
      </c>
      <c r="BL123" s="34">
        <f t="shared" si="69"/>
        <v>4787.4972419999995</v>
      </c>
    </row>
    <row r="124" spans="1:64" ht="55.5" hidden="1" customHeight="1" x14ac:dyDescent="0.2">
      <c r="A124" s="298" t="s">
        <v>386</v>
      </c>
      <c r="B124" s="299" t="s">
        <v>384</v>
      </c>
      <c r="C124" s="1546" t="s">
        <v>387</v>
      </c>
      <c r="D124" s="1549" t="s">
        <v>388</v>
      </c>
      <c r="E124" s="1549" t="s">
        <v>389</v>
      </c>
      <c r="F124" s="1559">
        <v>2005</v>
      </c>
      <c r="G124" s="1560">
        <v>0.65100000000000002</v>
      </c>
      <c r="H124" s="1561">
        <v>0.7</v>
      </c>
      <c r="I124" s="1430" t="s">
        <v>53</v>
      </c>
      <c r="J124" s="1430"/>
      <c r="K124" s="1430" t="s">
        <v>390</v>
      </c>
      <c r="L124" s="301" t="s">
        <v>391</v>
      </c>
      <c r="M124" s="1425" t="s">
        <v>392</v>
      </c>
      <c r="N124" s="476" t="s">
        <v>393</v>
      </c>
      <c r="O124" s="1425" t="s">
        <v>47</v>
      </c>
      <c r="P124" s="1425"/>
      <c r="Q124" s="71" t="s">
        <v>394</v>
      </c>
      <c r="R124" s="302" t="s">
        <v>395</v>
      </c>
      <c r="S124" s="303">
        <v>2015</v>
      </c>
      <c r="T124" s="303">
        <v>0</v>
      </c>
      <c r="U124" s="303">
        <v>0</v>
      </c>
      <c r="V124" s="572">
        <v>0</v>
      </c>
      <c r="W124" s="572">
        <v>0</v>
      </c>
      <c r="X124" s="572">
        <v>1</v>
      </c>
      <c r="Y124" s="572">
        <v>1</v>
      </c>
      <c r="Z124" s="481"/>
      <c r="AA124" s="481"/>
      <c r="AB124" s="481"/>
      <c r="AC124" s="481"/>
      <c r="AD124" s="481"/>
      <c r="AE124" s="481"/>
      <c r="AF124" s="481"/>
      <c r="AG124" s="481">
        <f t="shared" si="92"/>
        <v>0</v>
      </c>
      <c r="AH124" s="548"/>
      <c r="AI124" s="548"/>
      <c r="AJ124" s="548"/>
      <c r="AK124" s="588"/>
      <c r="AL124" s="548"/>
      <c r="AM124" s="548"/>
      <c r="AN124" s="548">
        <f>SUM(AH124:AM124)</f>
        <v>0</v>
      </c>
      <c r="AO124" s="481"/>
      <c r="AP124" s="481"/>
      <c r="AQ124" s="481"/>
      <c r="AR124" s="481"/>
      <c r="AS124" s="481"/>
      <c r="AT124" s="481"/>
      <c r="AU124" s="481"/>
      <c r="AV124" s="481">
        <f t="shared" si="95"/>
        <v>0</v>
      </c>
      <c r="AW124" s="548"/>
      <c r="AX124" s="548"/>
      <c r="AY124" s="548"/>
      <c r="AZ124" s="43">
        <v>500</v>
      </c>
      <c r="BA124" s="548"/>
      <c r="BB124" s="548"/>
      <c r="BC124" s="548"/>
      <c r="BD124" s="548">
        <f>SUM(AW124:BC124)</f>
        <v>500</v>
      </c>
      <c r="BE124" s="42">
        <f t="shared" si="85"/>
        <v>0</v>
      </c>
      <c r="BF124" s="42">
        <f t="shared" si="85"/>
        <v>0</v>
      </c>
      <c r="BG124" s="42">
        <f t="shared" si="85"/>
        <v>0</v>
      </c>
      <c r="BH124" s="43">
        <f t="shared" si="85"/>
        <v>500</v>
      </c>
      <c r="BI124" s="42">
        <f t="shared" si="85"/>
        <v>0</v>
      </c>
      <c r="BJ124" s="42">
        <f t="shared" si="51"/>
        <v>0</v>
      </c>
      <c r="BK124" s="42">
        <f t="shared" si="69"/>
        <v>0</v>
      </c>
      <c r="BL124" s="42">
        <f t="shared" si="69"/>
        <v>500</v>
      </c>
    </row>
    <row r="125" spans="1:64" ht="53.25" hidden="1" customHeight="1" x14ac:dyDescent="0.2">
      <c r="A125" s="298" t="s">
        <v>386</v>
      </c>
      <c r="B125" s="299" t="s">
        <v>384</v>
      </c>
      <c r="C125" s="1547"/>
      <c r="D125" s="1549"/>
      <c r="E125" s="1549"/>
      <c r="F125" s="1559"/>
      <c r="G125" s="1560"/>
      <c r="H125" s="1561"/>
      <c r="I125" s="1430"/>
      <c r="J125" s="1430"/>
      <c r="K125" s="1430" t="s">
        <v>396</v>
      </c>
      <c r="L125" s="301" t="s">
        <v>391</v>
      </c>
      <c r="M125" s="1425" t="s">
        <v>392</v>
      </c>
      <c r="N125" s="476" t="s">
        <v>393</v>
      </c>
      <c r="O125" s="1425" t="s">
        <v>73</v>
      </c>
      <c r="P125" s="1425"/>
      <c r="Q125" s="16" t="s">
        <v>397</v>
      </c>
      <c r="R125" s="302" t="s">
        <v>398</v>
      </c>
      <c r="S125" s="303">
        <v>2015</v>
      </c>
      <c r="T125" s="303">
        <v>1</v>
      </c>
      <c r="U125" s="303">
        <v>1</v>
      </c>
      <c r="V125" s="572">
        <v>1</v>
      </c>
      <c r="W125" s="572">
        <v>1</v>
      </c>
      <c r="X125" s="572">
        <v>1</v>
      </c>
      <c r="Y125" s="572">
        <v>1</v>
      </c>
      <c r="Z125" s="481"/>
      <c r="AA125" s="481"/>
      <c r="AB125" s="481">
        <v>20</v>
      </c>
      <c r="AC125" s="481"/>
      <c r="AD125" s="481"/>
      <c r="AE125" s="481"/>
      <c r="AF125" s="481"/>
      <c r="AG125" s="481">
        <f t="shared" si="92"/>
        <v>20</v>
      </c>
      <c r="AH125" s="548"/>
      <c r="AI125" s="548"/>
      <c r="AJ125" s="491">
        <v>19.7</v>
      </c>
      <c r="AK125" s="548"/>
      <c r="AL125" s="548"/>
      <c r="AM125" s="548"/>
      <c r="AN125" s="548">
        <f t="shared" ref="AN125:AN137" si="97">SUM(AH125:AM125)</f>
        <v>19.7</v>
      </c>
      <c r="AO125" s="481"/>
      <c r="AP125" s="481"/>
      <c r="AQ125" s="481">
        <f>+AJ125*1.035</f>
        <v>20.389499999999998</v>
      </c>
      <c r="AR125" s="481"/>
      <c r="AS125" s="481"/>
      <c r="AT125" s="481"/>
      <c r="AU125" s="481"/>
      <c r="AV125" s="481">
        <f t="shared" si="95"/>
        <v>20.389499999999998</v>
      </c>
      <c r="AW125" s="548"/>
      <c r="AX125" s="548"/>
      <c r="AY125" s="548">
        <f>+AQ125*1.035</f>
        <v>21.103132499999997</v>
      </c>
      <c r="AZ125" s="548"/>
      <c r="BA125" s="548"/>
      <c r="BB125" s="548"/>
      <c r="BC125" s="548"/>
      <c r="BD125" s="548">
        <f t="shared" ref="BD125:BD137" si="98">SUM(AW125:BC125)</f>
        <v>21.103132499999997</v>
      </c>
      <c r="BE125" s="42">
        <f t="shared" si="85"/>
        <v>0</v>
      </c>
      <c r="BF125" s="42">
        <f t="shared" si="85"/>
        <v>0</v>
      </c>
      <c r="BG125" s="42">
        <f t="shared" si="85"/>
        <v>81.192632500000002</v>
      </c>
      <c r="BH125" s="42">
        <f t="shared" si="85"/>
        <v>0</v>
      </c>
      <c r="BI125" s="42">
        <f t="shared" si="85"/>
        <v>0</v>
      </c>
      <c r="BJ125" s="42">
        <f t="shared" si="51"/>
        <v>0</v>
      </c>
      <c r="BK125" s="42">
        <f t="shared" si="69"/>
        <v>0</v>
      </c>
      <c r="BL125" s="42">
        <f t="shared" si="69"/>
        <v>81.192632500000002</v>
      </c>
    </row>
    <row r="126" spans="1:64" ht="42.75" hidden="1" customHeight="1" x14ac:dyDescent="0.2">
      <c r="A126" s="298" t="s">
        <v>386</v>
      </c>
      <c r="B126" s="299" t="s">
        <v>384</v>
      </c>
      <c r="C126" s="1547"/>
      <c r="D126" s="1549"/>
      <c r="E126" s="1549"/>
      <c r="F126" s="1559"/>
      <c r="G126" s="1560"/>
      <c r="H126" s="1561"/>
      <c r="I126" s="1430"/>
      <c r="J126" s="1430"/>
      <c r="K126" s="1430" t="s">
        <v>399</v>
      </c>
      <c r="L126" s="301" t="s">
        <v>391</v>
      </c>
      <c r="M126" s="1425" t="s">
        <v>392</v>
      </c>
      <c r="N126" s="476" t="s">
        <v>393</v>
      </c>
      <c r="O126" s="1425" t="s">
        <v>47</v>
      </c>
      <c r="P126" s="1425"/>
      <c r="Q126" s="71" t="s">
        <v>400</v>
      </c>
      <c r="R126" s="302" t="s">
        <v>401</v>
      </c>
      <c r="S126" s="303">
        <v>2015</v>
      </c>
      <c r="T126" s="303">
        <v>0</v>
      </c>
      <c r="U126" s="303">
        <v>1</v>
      </c>
      <c r="V126" s="572">
        <v>1</v>
      </c>
      <c r="W126" s="572">
        <v>1</v>
      </c>
      <c r="X126" s="572">
        <v>1</v>
      </c>
      <c r="Y126" s="572">
        <v>1</v>
      </c>
      <c r="Z126" s="481"/>
      <c r="AA126" s="481"/>
      <c r="AB126" s="481">
        <v>5</v>
      </c>
      <c r="AC126" s="481"/>
      <c r="AD126" s="481"/>
      <c r="AE126" s="481"/>
      <c r="AF126" s="481"/>
      <c r="AG126" s="481">
        <f t="shared" si="92"/>
        <v>5</v>
      </c>
      <c r="AH126" s="548"/>
      <c r="AI126" s="548"/>
      <c r="AJ126" s="491">
        <v>1</v>
      </c>
      <c r="AK126" s="548"/>
      <c r="AL126" s="548"/>
      <c r="AM126" s="548"/>
      <c r="AN126" s="548">
        <f t="shared" si="97"/>
        <v>1</v>
      </c>
      <c r="AO126" s="481"/>
      <c r="AP126" s="481"/>
      <c r="AQ126" s="481"/>
      <c r="AR126" s="481"/>
      <c r="AS126" s="481"/>
      <c r="AT126" s="481"/>
      <c r="AU126" s="481"/>
      <c r="AV126" s="481">
        <f t="shared" si="95"/>
        <v>0</v>
      </c>
      <c r="AW126" s="548"/>
      <c r="AX126" s="548"/>
      <c r="AY126" s="491">
        <v>10</v>
      </c>
      <c r="AZ126" s="548"/>
      <c r="BA126" s="548"/>
      <c r="BB126" s="548"/>
      <c r="BC126" s="548"/>
      <c r="BD126" s="548">
        <f t="shared" si="98"/>
        <v>10</v>
      </c>
      <c r="BE126" s="42">
        <f t="shared" si="85"/>
        <v>0</v>
      </c>
      <c r="BF126" s="42">
        <f t="shared" si="85"/>
        <v>0</v>
      </c>
      <c r="BG126" s="42">
        <f t="shared" si="85"/>
        <v>16</v>
      </c>
      <c r="BH126" s="42">
        <f t="shared" si="85"/>
        <v>0</v>
      </c>
      <c r="BI126" s="42">
        <f t="shared" si="85"/>
        <v>0</v>
      </c>
      <c r="BJ126" s="42">
        <f t="shared" si="51"/>
        <v>0</v>
      </c>
      <c r="BK126" s="42">
        <f t="shared" si="69"/>
        <v>0</v>
      </c>
      <c r="BL126" s="42">
        <f t="shared" si="69"/>
        <v>16</v>
      </c>
    </row>
    <row r="127" spans="1:64" ht="43.5" hidden="1" customHeight="1" x14ac:dyDescent="0.2">
      <c r="A127" s="298" t="s">
        <v>386</v>
      </c>
      <c r="B127" s="299" t="s">
        <v>384</v>
      </c>
      <c r="C127" s="1547"/>
      <c r="D127" s="1549"/>
      <c r="E127" s="1549"/>
      <c r="F127" s="1559"/>
      <c r="G127" s="1560"/>
      <c r="H127" s="1561"/>
      <c r="I127" s="1430" t="s">
        <v>53</v>
      </c>
      <c r="J127" s="1430"/>
      <c r="K127" s="1430" t="s">
        <v>402</v>
      </c>
      <c r="L127" s="301" t="s">
        <v>391</v>
      </c>
      <c r="M127" s="1425" t="s">
        <v>392</v>
      </c>
      <c r="N127" s="476" t="s">
        <v>393</v>
      </c>
      <c r="O127" s="1425" t="s">
        <v>47</v>
      </c>
      <c r="P127" s="1425"/>
      <c r="Q127" s="71" t="s">
        <v>403</v>
      </c>
      <c r="R127" s="302" t="s">
        <v>404</v>
      </c>
      <c r="S127" s="303">
        <v>2015</v>
      </c>
      <c r="T127" s="303">
        <v>1</v>
      </c>
      <c r="U127" s="303">
        <v>0</v>
      </c>
      <c r="V127" s="572">
        <v>0</v>
      </c>
      <c r="W127" s="572">
        <v>1</v>
      </c>
      <c r="X127" s="572">
        <v>0</v>
      </c>
      <c r="Y127" s="572">
        <v>1</v>
      </c>
      <c r="Z127" s="481"/>
      <c r="AA127" s="481"/>
      <c r="AB127" s="481"/>
      <c r="AC127" s="481"/>
      <c r="AD127" s="481"/>
      <c r="AE127" s="481"/>
      <c r="AF127" s="481"/>
      <c r="AG127" s="481">
        <f t="shared" si="92"/>
        <v>0</v>
      </c>
      <c r="AH127" s="548"/>
      <c r="AI127" s="548"/>
      <c r="AJ127" s="548"/>
      <c r="AK127" s="548"/>
      <c r="AL127" s="548"/>
      <c r="AM127" s="548"/>
      <c r="AN127" s="548">
        <f t="shared" si="97"/>
        <v>0</v>
      </c>
      <c r="AO127" s="481"/>
      <c r="AP127" s="481"/>
      <c r="AQ127" s="491">
        <v>99</v>
      </c>
      <c r="AR127" s="481"/>
      <c r="AS127" s="481"/>
      <c r="AT127" s="481"/>
      <c r="AU127" s="481"/>
      <c r="AV127" s="481">
        <f t="shared" si="95"/>
        <v>99</v>
      </c>
      <c r="AW127" s="548"/>
      <c r="AX127" s="548"/>
      <c r="AY127" s="548"/>
      <c r="AZ127" s="548"/>
      <c r="BA127" s="548"/>
      <c r="BB127" s="548"/>
      <c r="BC127" s="548"/>
      <c r="BD127" s="548">
        <f t="shared" si="98"/>
        <v>0</v>
      </c>
      <c r="BE127" s="42">
        <f t="shared" si="85"/>
        <v>0</v>
      </c>
      <c r="BF127" s="42">
        <f t="shared" si="85"/>
        <v>0</v>
      </c>
      <c r="BG127" s="42">
        <f t="shared" si="85"/>
        <v>99</v>
      </c>
      <c r="BH127" s="42">
        <f t="shared" si="85"/>
        <v>0</v>
      </c>
      <c r="BI127" s="42">
        <f t="shared" si="85"/>
        <v>0</v>
      </c>
      <c r="BJ127" s="42">
        <f t="shared" si="51"/>
        <v>0</v>
      </c>
      <c r="BK127" s="42">
        <f t="shared" si="69"/>
        <v>0</v>
      </c>
      <c r="BL127" s="42">
        <f t="shared" si="69"/>
        <v>99</v>
      </c>
    </row>
    <row r="128" spans="1:64" ht="50.25" hidden="1" customHeight="1" x14ac:dyDescent="0.2">
      <c r="A128" s="298" t="s">
        <v>386</v>
      </c>
      <c r="B128" s="299" t="s">
        <v>384</v>
      </c>
      <c r="C128" s="1547"/>
      <c r="D128" s="1549"/>
      <c r="E128" s="1549"/>
      <c r="F128" s="1559"/>
      <c r="G128" s="1560"/>
      <c r="H128" s="1561"/>
      <c r="I128" s="1430"/>
      <c r="J128" s="1430"/>
      <c r="K128" s="1430" t="s">
        <v>405</v>
      </c>
      <c r="L128" s="301" t="s">
        <v>391</v>
      </c>
      <c r="M128" s="1425" t="s">
        <v>392</v>
      </c>
      <c r="N128" s="476" t="s">
        <v>393</v>
      </c>
      <c r="O128" s="1425" t="s">
        <v>47</v>
      </c>
      <c r="P128" s="1425"/>
      <c r="Q128" s="71" t="s">
        <v>406</v>
      </c>
      <c r="R128" s="302" t="s">
        <v>407</v>
      </c>
      <c r="S128" s="303">
        <v>2015</v>
      </c>
      <c r="T128" s="303">
        <v>250</v>
      </c>
      <c r="U128" s="303">
        <v>250</v>
      </c>
      <c r="V128" s="572">
        <v>500</v>
      </c>
      <c r="W128" s="572">
        <v>900</v>
      </c>
      <c r="X128" s="572">
        <v>1300</v>
      </c>
      <c r="Y128" s="572">
        <v>1300</v>
      </c>
      <c r="Z128" s="481"/>
      <c r="AA128" s="481"/>
      <c r="AB128" s="481">
        <v>55</v>
      </c>
      <c r="AC128" s="481"/>
      <c r="AD128" s="481"/>
      <c r="AE128" s="481"/>
      <c r="AF128" s="481"/>
      <c r="AG128" s="481">
        <f t="shared" si="92"/>
        <v>55</v>
      </c>
      <c r="AH128" s="548"/>
      <c r="AI128" s="548"/>
      <c r="AJ128" s="548">
        <f>+AB128*1.035</f>
        <v>56.924999999999997</v>
      </c>
      <c r="AK128" s="548"/>
      <c r="AL128" s="548"/>
      <c r="AM128" s="548"/>
      <c r="AN128" s="548">
        <f t="shared" si="97"/>
        <v>56.924999999999997</v>
      </c>
      <c r="AO128" s="481"/>
      <c r="AP128" s="481"/>
      <c r="AQ128" s="481">
        <f>+AJ128*1.035</f>
        <v>58.917374999999993</v>
      </c>
      <c r="AR128" s="481"/>
      <c r="AS128" s="481"/>
      <c r="AT128" s="481"/>
      <c r="AU128" s="481"/>
      <c r="AV128" s="481">
        <f t="shared" si="95"/>
        <v>58.917374999999993</v>
      </c>
      <c r="AW128" s="548"/>
      <c r="AX128" s="548"/>
      <c r="AY128" s="548">
        <f>+AQ128*1.035</f>
        <v>60.979483124999987</v>
      </c>
      <c r="AZ128" s="548"/>
      <c r="BA128" s="548"/>
      <c r="BB128" s="548"/>
      <c r="BC128" s="548"/>
      <c r="BD128" s="548">
        <f t="shared" si="98"/>
        <v>60.979483124999987</v>
      </c>
      <c r="BE128" s="42">
        <f t="shared" si="85"/>
        <v>0</v>
      </c>
      <c r="BF128" s="42">
        <f t="shared" si="85"/>
        <v>0</v>
      </c>
      <c r="BG128" s="42">
        <f t="shared" si="85"/>
        <v>231.82185812499998</v>
      </c>
      <c r="BH128" s="42">
        <f t="shared" si="85"/>
        <v>0</v>
      </c>
      <c r="BI128" s="42">
        <f t="shared" si="85"/>
        <v>0</v>
      </c>
      <c r="BJ128" s="42">
        <f t="shared" si="51"/>
        <v>0</v>
      </c>
      <c r="BK128" s="42">
        <f t="shared" si="69"/>
        <v>0</v>
      </c>
      <c r="BL128" s="42">
        <f t="shared" si="69"/>
        <v>231.82185812499998</v>
      </c>
    </row>
    <row r="129" spans="1:65" s="38" customFormat="1" ht="60" hidden="1" customHeight="1" x14ac:dyDescent="0.2">
      <c r="A129" s="354" t="s">
        <v>386</v>
      </c>
      <c r="B129" s="477" t="s">
        <v>384</v>
      </c>
      <c r="C129" s="1547"/>
      <c r="D129" s="1549"/>
      <c r="E129" s="1549"/>
      <c r="F129" s="1559"/>
      <c r="G129" s="1560"/>
      <c r="H129" s="1561"/>
      <c r="I129" s="478"/>
      <c r="J129" s="478"/>
      <c r="K129" s="478" t="s">
        <v>408</v>
      </c>
      <c r="L129" s="372" t="s">
        <v>391</v>
      </c>
      <c r="M129" s="1425" t="s">
        <v>392</v>
      </c>
      <c r="N129" s="476" t="s">
        <v>393</v>
      </c>
      <c r="O129" s="1432" t="s">
        <v>73</v>
      </c>
      <c r="P129" s="1432"/>
      <c r="Q129" s="71" t="s">
        <v>409</v>
      </c>
      <c r="R129" s="345" t="s">
        <v>410</v>
      </c>
      <c r="S129" s="346">
        <v>2015</v>
      </c>
      <c r="T129" s="346">
        <v>100</v>
      </c>
      <c r="U129" s="346">
        <v>100</v>
      </c>
      <c r="V129" s="576">
        <v>100</v>
      </c>
      <c r="W129" s="576">
        <v>100</v>
      </c>
      <c r="X129" s="576">
        <v>100</v>
      </c>
      <c r="Y129" s="576">
        <v>100</v>
      </c>
      <c r="Z129" s="579"/>
      <c r="AA129" s="579"/>
      <c r="AB129" s="492">
        <v>152</v>
      </c>
      <c r="AC129" s="579"/>
      <c r="AD129" s="579"/>
      <c r="AE129" s="579"/>
      <c r="AF129" s="579"/>
      <c r="AG129" s="579">
        <f t="shared" si="92"/>
        <v>152</v>
      </c>
      <c r="AH129" s="589"/>
      <c r="AI129" s="589"/>
      <c r="AJ129" s="589">
        <f>+AB129*1.035</f>
        <v>157.32</v>
      </c>
      <c r="AK129" s="589"/>
      <c r="AL129" s="589"/>
      <c r="AM129" s="589"/>
      <c r="AN129" s="589">
        <f t="shared" si="97"/>
        <v>157.32</v>
      </c>
      <c r="AO129" s="579"/>
      <c r="AP129" s="579"/>
      <c r="AQ129" s="579">
        <f>+AJ129*1.035</f>
        <v>162.82619999999997</v>
      </c>
      <c r="AR129" s="579"/>
      <c r="AS129" s="579"/>
      <c r="AT129" s="579"/>
      <c r="AU129" s="579"/>
      <c r="AV129" s="579">
        <f>SUM(AO129:AU129)</f>
        <v>162.82619999999997</v>
      </c>
      <c r="AW129" s="589"/>
      <c r="AX129" s="589"/>
      <c r="AY129" s="589">
        <f>+AQ129*1.035</f>
        <v>168.52511699999997</v>
      </c>
      <c r="AZ129" s="589"/>
      <c r="BA129" s="589"/>
      <c r="BB129" s="589"/>
      <c r="BC129" s="589"/>
      <c r="BD129" s="589">
        <f t="shared" si="98"/>
        <v>168.52511699999997</v>
      </c>
      <c r="BE129" s="61">
        <f t="shared" si="85"/>
        <v>0</v>
      </c>
      <c r="BF129" s="61">
        <f t="shared" si="85"/>
        <v>0</v>
      </c>
      <c r="BG129" s="61">
        <f t="shared" si="85"/>
        <v>640.67131699999993</v>
      </c>
      <c r="BH129" s="61">
        <f t="shared" si="85"/>
        <v>0</v>
      </c>
      <c r="BI129" s="61">
        <f t="shared" si="85"/>
        <v>0</v>
      </c>
      <c r="BJ129" s="61">
        <f t="shared" si="51"/>
        <v>0</v>
      </c>
      <c r="BK129" s="61">
        <f t="shared" si="69"/>
        <v>0</v>
      </c>
      <c r="BL129" s="61">
        <f t="shared" si="69"/>
        <v>640.67131699999993</v>
      </c>
      <c r="BM129" s="223"/>
    </row>
    <row r="130" spans="1:65" ht="52.5" hidden="1" customHeight="1" x14ac:dyDescent="0.2">
      <c r="A130" s="298" t="s">
        <v>386</v>
      </c>
      <c r="B130" s="299" t="s">
        <v>384</v>
      </c>
      <c r="C130" s="1547"/>
      <c r="D130" s="1549"/>
      <c r="E130" s="1549"/>
      <c r="F130" s="1559"/>
      <c r="G130" s="1560"/>
      <c r="H130" s="1561"/>
      <c r="I130" s="1430"/>
      <c r="J130" s="1430"/>
      <c r="K130" s="1430" t="s">
        <v>411</v>
      </c>
      <c r="L130" s="301" t="s">
        <v>391</v>
      </c>
      <c r="M130" s="1425" t="s">
        <v>392</v>
      </c>
      <c r="N130" s="476" t="s">
        <v>393</v>
      </c>
      <c r="O130" s="1425" t="s">
        <v>73</v>
      </c>
      <c r="P130" s="1425"/>
      <c r="Q130" s="16" t="s">
        <v>412</v>
      </c>
      <c r="R130" s="302" t="s">
        <v>413</v>
      </c>
      <c r="S130" s="303">
        <v>2015</v>
      </c>
      <c r="T130" s="303">
        <v>1</v>
      </c>
      <c r="U130" s="303">
        <v>2</v>
      </c>
      <c r="V130" s="572">
        <v>2</v>
      </c>
      <c r="W130" s="572">
        <v>2</v>
      </c>
      <c r="X130" s="572">
        <v>2</v>
      </c>
      <c r="Y130" s="572">
        <v>8</v>
      </c>
      <c r="Z130" s="481"/>
      <c r="AA130" s="481"/>
      <c r="AB130" s="491">
        <v>10</v>
      </c>
      <c r="AC130" s="481"/>
      <c r="AD130" s="481"/>
      <c r="AE130" s="481"/>
      <c r="AF130" s="481"/>
      <c r="AG130" s="481">
        <f t="shared" si="92"/>
        <v>10</v>
      </c>
      <c r="AH130" s="548"/>
      <c r="AI130" s="548"/>
      <c r="AJ130" s="548">
        <f>+AB130*1.035</f>
        <v>10.35</v>
      </c>
      <c r="AK130" s="548"/>
      <c r="AL130" s="548"/>
      <c r="AM130" s="548"/>
      <c r="AN130" s="548">
        <f>SUM(AH130:AM130)</f>
        <v>10.35</v>
      </c>
      <c r="AO130" s="481"/>
      <c r="AP130" s="481"/>
      <c r="AQ130" s="481">
        <f>+AJ130*1.035</f>
        <v>10.712249999999999</v>
      </c>
      <c r="AR130" s="481"/>
      <c r="AS130" s="481"/>
      <c r="AT130" s="481"/>
      <c r="AU130" s="481"/>
      <c r="AV130" s="481">
        <f>SUM(AO130:AU130)</f>
        <v>10.712249999999999</v>
      </c>
      <c r="AW130" s="548"/>
      <c r="AX130" s="548"/>
      <c r="AY130" s="548">
        <f>+AQ130*1.035</f>
        <v>11.087178749999998</v>
      </c>
      <c r="AZ130" s="548"/>
      <c r="BA130" s="548"/>
      <c r="BB130" s="548"/>
      <c r="BC130" s="548"/>
      <c r="BD130" s="548">
        <f>SUM(AW130:BC130)</f>
        <v>11.087178749999998</v>
      </c>
      <c r="BE130" s="42">
        <f t="shared" si="85"/>
        <v>0</v>
      </c>
      <c r="BF130" s="42">
        <f t="shared" si="85"/>
        <v>0</v>
      </c>
      <c r="BG130" s="42">
        <f t="shared" si="85"/>
        <v>42.149428749999998</v>
      </c>
      <c r="BH130" s="42">
        <f t="shared" si="85"/>
        <v>0</v>
      </c>
      <c r="BI130" s="42">
        <f t="shared" si="85"/>
        <v>0</v>
      </c>
      <c r="BJ130" s="42">
        <f t="shared" si="51"/>
        <v>0</v>
      </c>
      <c r="BK130" s="42">
        <f t="shared" ref="BK130:BL154" si="99">+BC130+AU130+AM130+AF130</f>
        <v>0</v>
      </c>
      <c r="BL130" s="42">
        <f t="shared" si="99"/>
        <v>42.149428749999998</v>
      </c>
    </row>
    <row r="131" spans="1:65" ht="30.75" hidden="1" customHeight="1" x14ac:dyDescent="0.2">
      <c r="A131" s="298" t="s">
        <v>386</v>
      </c>
      <c r="B131" s="299" t="s">
        <v>384</v>
      </c>
      <c r="C131" s="1547"/>
      <c r="D131" s="1549"/>
      <c r="E131" s="1549"/>
      <c r="F131" s="1559"/>
      <c r="G131" s="1560"/>
      <c r="H131" s="1561"/>
      <c r="I131" s="1430"/>
      <c r="J131" s="1430"/>
      <c r="K131" s="1430" t="s">
        <v>414</v>
      </c>
      <c r="L131" s="301" t="s">
        <v>391</v>
      </c>
      <c r="M131" s="1425" t="s">
        <v>392</v>
      </c>
      <c r="N131" s="476" t="s">
        <v>393</v>
      </c>
      <c r="O131" s="1425" t="s">
        <v>47</v>
      </c>
      <c r="P131" s="1425"/>
      <c r="Q131" s="16" t="s">
        <v>415</v>
      </c>
      <c r="R131" s="302" t="s">
        <v>416</v>
      </c>
      <c r="S131" s="303">
        <v>2015</v>
      </c>
      <c r="T131" s="303">
        <v>287</v>
      </c>
      <c r="U131" s="303">
        <v>300</v>
      </c>
      <c r="V131" s="572">
        <v>300</v>
      </c>
      <c r="W131" s="572">
        <v>300</v>
      </c>
      <c r="X131" s="572">
        <v>300</v>
      </c>
      <c r="Y131" s="572">
        <v>1200</v>
      </c>
      <c r="Z131" s="481"/>
      <c r="AA131" s="481"/>
      <c r="AB131" s="491">
        <v>1</v>
      </c>
      <c r="AC131" s="481"/>
      <c r="AD131" s="481"/>
      <c r="AE131" s="481"/>
      <c r="AF131" s="481"/>
      <c r="AG131" s="481">
        <f t="shared" si="92"/>
        <v>1</v>
      </c>
      <c r="AH131" s="548"/>
      <c r="AI131" s="548"/>
      <c r="AJ131" s="491">
        <v>1</v>
      </c>
      <c r="AK131" s="548"/>
      <c r="AL131" s="548"/>
      <c r="AM131" s="548"/>
      <c r="AN131" s="548">
        <f t="shared" si="97"/>
        <v>1</v>
      </c>
      <c r="AO131" s="481"/>
      <c r="AP131" s="481"/>
      <c r="AQ131" s="491">
        <v>1</v>
      </c>
      <c r="AR131" s="481"/>
      <c r="AS131" s="481"/>
      <c r="AT131" s="481"/>
      <c r="AU131" s="481"/>
      <c r="AV131" s="481">
        <f>SUM(AO131:AU131)</f>
        <v>1</v>
      </c>
      <c r="AW131" s="548"/>
      <c r="AX131" s="548"/>
      <c r="AY131" s="491">
        <v>25</v>
      </c>
      <c r="AZ131" s="548"/>
      <c r="BA131" s="548"/>
      <c r="BB131" s="548"/>
      <c r="BC131" s="548"/>
      <c r="BD131" s="548">
        <f t="shared" si="98"/>
        <v>25</v>
      </c>
      <c r="BE131" s="42">
        <f t="shared" si="85"/>
        <v>0</v>
      </c>
      <c r="BF131" s="42">
        <f t="shared" si="85"/>
        <v>0</v>
      </c>
      <c r="BG131" s="42">
        <f t="shared" si="85"/>
        <v>28</v>
      </c>
      <c r="BH131" s="42">
        <f t="shared" si="85"/>
        <v>0</v>
      </c>
      <c r="BI131" s="42">
        <f t="shared" si="85"/>
        <v>0</v>
      </c>
      <c r="BJ131" s="42">
        <f t="shared" si="51"/>
        <v>0</v>
      </c>
      <c r="BK131" s="42">
        <f t="shared" si="99"/>
        <v>0</v>
      </c>
      <c r="BL131" s="42">
        <f t="shared" si="99"/>
        <v>28</v>
      </c>
    </row>
    <row r="132" spans="1:65" ht="38.25" hidden="1" customHeight="1" x14ac:dyDescent="0.2">
      <c r="A132" s="298" t="s">
        <v>386</v>
      </c>
      <c r="B132" s="299" t="s">
        <v>384</v>
      </c>
      <c r="C132" s="1547"/>
      <c r="D132" s="1549"/>
      <c r="E132" s="1549"/>
      <c r="F132" s="1559"/>
      <c r="G132" s="1560"/>
      <c r="H132" s="1561"/>
      <c r="I132" s="1430"/>
      <c r="J132" s="1430"/>
      <c r="K132" s="1430" t="s">
        <v>417</v>
      </c>
      <c r="L132" s="301" t="s">
        <v>391</v>
      </c>
      <c r="M132" s="1425" t="s">
        <v>392</v>
      </c>
      <c r="N132" s="476" t="s">
        <v>393</v>
      </c>
      <c r="O132" s="1425" t="s">
        <v>47</v>
      </c>
      <c r="P132" s="1425"/>
      <c r="Q132" s="16" t="s">
        <v>418</v>
      </c>
      <c r="R132" s="302" t="s">
        <v>419</v>
      </c>
      <c r="S132" s="303">
        <v>2015</v>
      </c>
      <c r="T132" s="303">
        <v>0</v>
      </c>
      <c r="U132" s="303">
        <v>2</v>
      </c>
      <c r="V132" s="572">
        <v>2</v>
      </c>
      <c r="W132" s="572">
        <v>2</v>
      </c>
      <c r="X132" s="572">
        <v>2</v>
      </c>
      <c r="Y132" s="572">
        <v>8</v>
      </c>
      <c r="Z132" s="481"/>
      <c r="AA132" s="481"/>
      <c r="AB132" s="491">
        <v>1</v>
      </c>
      <c r="AC132" s="481"/>
      <c r="AD132" s="481"/>
      <c r="AE132" s="481"/>
      <c r="AF132" s="481"/>
      <c r="AG132" s="481">
        <f t="shared" si="92"/>
        <v>1</v>
      </c>
      <c r="AH132" s="548"/>
      <c r="AI132" s="548"/>
      <c r="AJ132" s="491">
        <v>1</v>
      </c>
      <c r="AK132" s="548"/>
      <c r="AL132" s="548"/>
      <c r="AM132" s="548"/>
      <c r="AN132" s="548">
        <f t="shared" si="97"/>
        <v>1</v>
      </c>
      <c r="AO132" s="481"/>
      <c r="AP132" s="481"/>
      <c r="AQ132" s="491">
        <v>1</v>
      </c>
      <c r="AR132" s="481"/>
      <c r="AS132" s="481"/>
      <c r="AT132" s="481"/>
      <c r="AU132" s="481"/>
      <c r="AV132" s="481">
        <f>SUM(AO132:AU132)</f>
        <v>1</v>
      </c>
      <c r="AW132" s="548"/>
      <c r="AX132" s="548"/>
      <c r="AY132" s="491">
        <v>10</v>
      </c>
      <c r="AZ132" s="548"/>
      <c r="BA132" s="548"/>
      <c r="BB132" s="548"/>
      <c r="BC132" s="548"/>
      <c r="BD132" s="548">
        <f t="shared" si="98"/>
        <v>10</v>
      </c>
      <c r="BE132" s="42">
        <f t="shared" si="85"/>
        <v>0</v>
      </c>
      <c r="BF132" s="42">
        <f t="shared" si="85"/>
        <v>0</v>
      </c>
      <c r="BG132" s="42">
        <f t="shared" si="85"/>
        <v>13</v>
      </c>
      <c r="BH132" s="42">
        <f t="shared" si="85"/>
        <v>0</v>
      </c>
      <c r="BI132" s="42">
        <f t="shared" si="85"/>
        <v>0</v>
      </c>
      <c r="BJ132" s="42">
        <f t="shared" si="51"/>
        <v>0</v>
      </c>
      <c r="BK132" s="42">
        <f t="shared" si="99"/>
        <v>0</v>
      </c>
      <c r="BL132" s="42">
        <f t="shared" si="99"/>
        <v>13</v>
      </c>
    </row>
    <row r="133" spans="1:65" ht="64.5" hidden="1" customHeight="1" x14ac:dyDescent="0.2">
      <c r="A133" s="298" t="s">
        <v>386</v>
      </c>
      <c r="B133" s="299" t="s">
        <v>384</v>
      </c>
      <c r="C133" s="1547"/>
      <c r="D133" s="1549"/>
      <c r="E133" s="1549"/>
      <c r="F133" s="1559"/>
      <c r="G133" s="1560"/>
      <c r="H133" s="1561"/>
      <c r="I133" s="1430" t="s">
        <v>53</v>
      </c>
      <c r="J133" s="1430"/>
      <c r="K133" s="1430" t="s">
        <v>420</v>
      </c>
      <c r="L133" s="301" t="s">
        <v>391</v>
      </c>
      <c r="M133" s="1425" t="s">
        <v>392</v>
      </c>
      <c r="N133" s="476" t="s">
        <v>393</v>
      </c>
      <c r="O133" s="1425" t="s">
        <v>47</v>
      </c>
      <c r="P133" s="748"/>
      <c r="Q133" s="72" t="s">
        <v>421</v>
      </c>
      <c r="R133" s="302" t="s">
        <v>422</v>
      </c>
      <c r="S133" s="303">
        <v>2015</v>
      </c>
      <c r="T133" s="303">
        <v>1145</v>
      </c>
      <c r="U133" s="303">
        <v>600</v>
      </c>
      <c r="V133" s="572">
        <v>600</v>
      </c>
      <c r="W133" s="572">
        <v>600</v>
      </c>
      <c r="X133" s="572">
        <v>600</v>
      </c>
      <c r="Y133" s="572">
        <v>2400</v>
      </c>
      <c r="Z133" s="481"/>
      <c r="AA133" s="481"/>
      <c r="AB133" s="491">
        <v>299</v>
      </c>
      <c r="AC133" s="481"/>
      <c r="AD133" s="481"/>
      <c r="AE133" s="481"/>
      <c r="AF133" s="481"/>
      <c r="AG133" s="481">
        <f t="shared" si="92"/>
        <v>299</v>
      </c>
      <c r="AH133" s="548"/>
      <c r="AI133" s="548"/>
      <c r="AJ133" s="548">
        <f>(+AB133*1.035)+16.56</f>
        <v>326.02499999999998</v>
      </c>
      <c r="AK133" s="548"/>
      <c r="AL133" s="548"/>
      <c r="AM133" s="548"/>
      <c r="AN133" s="548">
        <f>SUM(AH133:AM133)</f>
        <v>326.02499999999998</v>
      </c>
      <c r="AO133" s="481"/>
      <c r="AP133" s="481"/>
      <c r="AQ133" s="481">
        <f>+AJ133*1.035</f>
        <v>337.43587499999995</v>
      </c>
      <c r="AR133" s="481"/>
      <c r="AS133" s="481"/>
      <c r="AT133" s="481"/>
      <c r="AU133" s="481"/>
      <c r="AV133" s="481">
        <f>SUM(AO133:AU133)</f>
        <v>337.43587499999995</v>
      </c>
      <c r="AW133" s="548"/>
      <c r="AX133" s="548"/>
      <c r="AY133" s="548">
        <f>+AQ133*1.035</f>
        <v>349.24613062499992</v>
      </c>
      <c r="AZ133" s="548"/>
      <c r="BA133" s="548"/>
      <c r="BB133" s="548"/>
      <c r="BC133" s="548"/>
      <c r="BD133" s="548">
        <f>SUM(AW133:BC133)</f>
        <v>349.24613062499992</v>
      </c>
      <c r="BE133" s="42">
        <f t="shared" si="85"/>
        <v>0</v>
      </c>
      <c r="BF133" s="42">
        <f t="shared" si="85"/>
        <v>0</v>
      </c>
      <c r="BG133" s="42">
        <f t="shared" si="85"/>
        <v>1311.707005625</v>
      </c>
      <c r="BH133" s="42">
        <f t="shared" si="85"/>
        <v>0</v>
      </c>
      <c r="BI133" s="42">
        <f t="shared" si="85"/>
        <v>0</v>
      </c>
      <c r="BJ133" s="42">
        <f t="shared" si="51"/>
        <v>0</v>
      </c>
      <c r="BK133" s="42">
        <f t="shared" si="99"/>
        <v>0</v>
      </c>
      <c r="BL133" s="42">
        <f t="shared" si="99"/>
        <v>1311.707005625</v>
      </c>
    </row>
    <row r="134" spans="1:65" ht="42.75" hidden="1" customHeight="1" x14ac:dyDescent="0.2">
      <c r="A134" s="298" t="s">
        <v>386</v>
      </c>
      <c r="B134" s="299" t="s">
        <v>384</v>
      </c>
      <c r="C134" s="1547"/>
      <c r="D134" s="1549"/>
      <c r="E134" s="1549"/>
      <c r="F134" s="1559"/>
      <c r="G134" s="1560"/>
      <c r="H134" s="1561"/>
      <c r="I134" s="1430"/>
      <c r="J134" s="1430"/>
      <c r="K134" s="1430" t="s">
        <v>423</v>
      </c>
      <c r="L134" s="301" t="s">
        <v>391</v>
      </c>
      <c r="M134" s="1425" t="s">
        <v>392</v>
      </c>
      <c r="N134" s="476" t="s">
        <v>393</v>
      </c>
      <c r="O134" s="1425" t="s">
        <v>47</v>
      </c>
      <c r="P134" s="1425"/>
      <c r="Q134" s="16" t="s">
        <v>424</v>
      </c>
      <c r="R134" s="302" t="s">
        <v>425</v>
      </c>
      <c r="S134" s="303">
        <v>2015</v>
      </c>
      <c r="T134" s="303">
        <v>0</v>
      </c>
      <c r="U134" s="303">
        <v>0</v>
      </c>
      <c r="V134" s="572">
        <v>0</v>
      </c>
      <c r="W134" s="498">
        <v>0</v>
      </c>
      <c r="X134" s="572">
        <v>1</v>
      </c>
      <c r="Y134" s="572">
        <v>1</v>
      </c>
      <c r="Z134" s="481"/>
      <c r="AA134" s="481"/>
      <c r="AB134" s="481"/>
      <c r="AC134" s="481"/>
      <c r="AD134" s="481"/>
      <c r="AE134" s="481"/>
      <c r="AF134" s="481"/>
      <c r="AG134" s="481">
        <f t="shared" si="92"/>
        <v>0</v>
      </c>
      <c r="AH134" s="548"/>
      <c r="AI134" s="548"/>
      <c r="AJ134" s="548"/>
      <c r="AK134" s="548"/>
      <c r="AL134" s="548"/>
      <c r="AM134" s="548"/>
      <c r="AN134" s="548">
        <f t="shared" si="97"/>
        <v>0</v>
      </c>
      <c r="AO134" s="481"/>
      <c r="AP134" s="481"/>
      <c r="AQ134" s="481"/>
      <c r="AR134" s="481"/>
      <c r="AS134" s="481"/>
      <c r="AT134" s="481"/>
      <c r="AU134" s="481"/>
      <c r="AV134" s="481">
        <f t="shared" ref="AV134:AV142" si="100">SUM(AO134:AU134)</f>
        <v>0</v>
      </c>
      <c r="AW134" s="548"/>
      <c r="AX134" s="548"/>
      <c r="AY134" s="491">
        <v>10.18</v>
      </c>
      <c r="AZ134" s="548"/>
      <c r="BA134" s="548"/>
      <c r="BB134" s="548"/>
      <c r="BC134" s="548"/>
      <c r="BD134" s="548">
        <f t="shared" si="98"/>
        <v>10.18</v>
      </c>
      <c r="BE134" s="42">
        <f t="shared" si="85"/>
        <v>0</v>
      </c>
      <c r="BF134" s="42">
        <f t="shared" si="85"/>
        <v>0</v>
      </c>
      <c r="BG134" s="42">
        <f t="shared" si="85"/>
        <v>10.18</v>
      </c>
      <c r="BH134" s="42">
        <f t="shared" si="85"/>
        <v>0</v>
      </c>
      <c r="BI134" s="42">
        <f t="shared" si="85"/>
        <v>0</v>
      </c>
      <c r="BJ134" s="42">
        <f t="shared" si="51"/>
        <v>0</v>
      </c>
      <c r="BK134" s="42">
        <f t="shared" si="99"/>
        <v>0</v>
      </c>
      <c r="BL134" s="42">
        <f t="shared" si="99"/>
        <v>10.18</v>
      </c>
    </row>
    <row r="135" spans="1:65" ht="52.5" hidden="1" customHeight="1" x14ac:dyDescent="0.2">
      <c r="A135" s="298" t="s">
        <v>386</v>
      </c>
      <c r="B135" s="299" t="s">
        <v>384</v>
      </c>
      <c r="C135" s="1547"/>
      <c r="D135" s="1549"/>
      <c r="E135" s="1549"/>
      <c r="F135" s="1559"/>
      <c r="G135" s="1560"/>
      <c r="H135" s="1561"/>
      <c r="I135" s="1430"/>
      <c r="J135" s="1430"/>
      <c r="K135" s="1430" t="s">
        <v>426</v>
      </c>
      <c r="L135" s="301" t="s">
        <v>391</v>
      </c>
      <c r="M135" s="1425" t="s">
        <v>392</v>
      </c>
      <c r="N135" s="479" t="s">
        <v>352</v>
      </c>
      <c r="O135" s="1425" t="s">
        <v>47</v>
      </c>
      <c r="P135" s="1425"/>
      <c r="Q135" s="16" t="s">
        <v>427</v>
      </c>
      <c r="R135" s="302" t="s">
        <v>428</v>
      </c>
      <c r="S135" s="303">
        <v>2015</v>
      </c>
      <c r="T135" s="303">
        <v>0</v>
      </c>
      <c r="U135" s="303">
        <v>0</v>
      </c>
      <c r="V135" s="572">
        <v>600</v>
      </c>
      <c r="W135" s="572">
        <v>900</v>
      </c>
      <c r="X135" s="572">
        <v>1200</v>
      </c>
      <c r="Y135" s="572">
        <v>1200</v>
      </c>
      <c r="Z135" s="481"/>
      <c r="AA135" s="481"/>
      <c r="AB135" s="481"/>
      <c r="AC135" s="481"/>
      <c r="AD135" s="481"/>
      <c r="AE135" s="481"/>
      <c r="AF135" s="481"/>
      <c r="AG135" s="481">
        <f t="shared" si="92"/>
        <v>0</v>
      </c>
      <c r="AH135" s="548"/>
      <c r="AI135" s="548"/>
      <c r="AJ135" s="491">
        <v>48</v>
      </c>
      <c r="AK135" s="548"/>
      <c r="AL135" s="548"/>
      <c r="AM135" s="548"/>
      <c r="AN135" s="548">
        <f t="shared" si="97"/>
        <v>48</v>
      </c>
      <c r="AO135" s="481"/>
      <c r="AP135" s="481"/>
      <c r="AQ135" s="491">
        <v>99.86</v>
      </c>
      <c r="AR135" s="481"/>
      <c r="AS135" s="481"/>
      <c r="AT135" s="481"/>
      <c r="AU135" s="481"/>
      <c r="AV135" s="481">
        <f t="shared" si="100"/>
        <v>99.86</v>
      </c>
      <c r="AW135" s="548"/>
      <c r="AX135" s="548"/>
      <c r="AY135" s="548">
        <v>300</v>
      </c>
      <c r="AZ135" s="548"/>
      <c r="BA135" s="548"/>
      <c r="BB135" s="548"/>
      <c r="BC135" s="548"/>
      <c r="BD135" s="548">
        <f t="shared" si="98"/>
        <v>300</v>
      </c>
      <c r="BE135" s="42">
        <f t="shared" si="85"/>
        <v>0</v>
      </c>
      <c r="BF135" s="42">
        <f t="shared" si="85"/>
        <v>0</v>
      </c>
      <c r="BG135" s="42">
        <f t="shared" si="85"/>
        <v>447.86</v>
      </c>
      <c r="BH135" s="42">
        <f t="shared" si="85"/>
        <v>0</v>
      </c>
      <c r="BI135" s="42">
        <f t="shared" si="85"/>
        <v>0</v>
      </c>
      <c r="BJ135" s="42">
        <f t="shared" si="51"/>
        <v>0</v>
      </c>
      <c r="BK135" s="42">
        <f t="shared" si="99"/>
        <v>0</v>
      </c>
      <c r="BL135" s="42">
        <f t="shared" si="99"/>
        <v>447.86</v>
      </c>
    </row>
    <row r="136" spans="1:65" ht="33.75" hidden="1" customHeight="1" x14ac:dyDescent="0.2">
      <c r="A136" s="298" t="s">
        <v>386</v>
      </c>
      <c r="B136" s="299" t="s">
        <v>384</v>
      </c>
      <c r="C136" s="1547"/>
      <c r="D136" s="1549"/>
      <c r="E136" s="1549"/>
      <c r="F136" s="1559"/>
      <c r="G136" s="1560"/>
      <c r="H136" s="1561"/>
      <c r="I136" s="1430"/>
      <c r="J136" s="1430"/>
      <c r="K136" s="1430" t="s">
        <v>429</v>
      </c>
      <c r="L136" s="301" t="s">
        <v>391</v>
      </c>
      <c r="M136" s="1425" t="s">
        <v>392</v>
      </c>
      <c r="N136" s="479" t="s">
        <v>352</v>
      </c>
      <c r="O136" s="1425" t="s">
        <v>47</v>
      </c>
      <c r="P136" s="1425"/>
      <c r="Q136" s="16" t="s">
        <v>430</v>
      </c>
      <c r="R136" s="302" t="s">
        <v>428</v>
      </c>
      <c r="S136" s="303">
        <v>2015</v>
      </c>
      <c r="T136" s="303">
        <v>0</v>
      </c>
      <c r="U136" s="303">
        <v>0</v>
      </c>
      <c r="V136" s="572">
        <v>500</v>
      </c>
      <c r="W136" s="572">
        <v>250</v>
      </c>
      <c r="X136" s="572">
        <v>250</v>
      </c>
      <c r="Y136" s="572">
        <v>1000</v>
      </c>
      <c r="Z136" s="481"/>
      <c r="AA136" s="481"/>
      <c r="AB136" s="481"/>
      <c r="AC136" s="481"/>
      <c r="AD136" s="481"/>
      <c r="AE136" s="481"/>
      <c r="AF136" s="481"/>
      <c r="AG136" s="481">
        <f>SUM(Z136:AF136)</f>
        <v>0</v>
      </c>
      <c r="AH136" s="548"/>
      <c r="AI136" s="548"/>
      <c r="AJ136" s="491">
        <v>224.2</v>
      </c>
      <c r="AK136" s="548"/>
      <c r="AL136" s="548"/>
      <c r="AM136" s="548"/>
      <c r="AN136" s="548">
        <f t="shared" si="97"/>
        <v>224.2</v>
      </c>
      <c r="AO136" s="481"/>
      <c r="AP136" s="481"/>
      <c r="AQ136" s="491">
        <v>220.01</v>
      </c>
      <c r="AR136" s="481"/>
      <c r="AS136" s="481"/>
      <c r="AT136" s="481"/>
      <c r="AU136" s="481"/>
      <c r="AV136" s="481">
        <f t="shared" si="100"/>
        <v>220.01</v>
      </c>
      <c r="AW136" s="548"/>
      <c r="AX136" s="548"/>
      <c r="AY136" s="491">
        <v>46.76</v>
      </c>
      <c r="AZ136" s="548"/>
      <c r="BA136" s="548"/>
      <c r="BB136" s="548"/>
      <c r="BC136" s="548"/>
      <c r="BD136" s="548">
        <f t="shared" si="98"/>
        <v>46.76</v>
      </c>
      <c r="BE136" s="42">
        <f t="shared" si="85"/>
        <v>0</v>
      </c>
      <c r="BF136" s="42">
        <f t="shared" si="85"/>
        <v>0</v>
      </c>
      <c r="BG136" s="42">
        <f t="shared" si="85"/>
        <v>490.96999999999997</v>
      </c>
      <c r="BH136" s="42">
        <f t="shared" si="85"/>
        <v>0</v>
      </c>
      <c r="BI136" s="42">
        <f t="shared" si="85"/>
        <v>0</v>
      </c>
      <c r="BJ136" s="42">
        <f t="shared" si="51"/>
        <v>0</v>
      </c>
      <c r="BK136" s="42">
        <f>+BC136+AU136+AM136+AF136</f>
        <v>0</v>
      </c>
      <c r="BL136" s="42">
        <f>+BD136+AV136+AN136+AG136</f>
        <v>490.96999999999997</v>
      </c>
    </row>
    <row r="137" spans="1:65" ht="54" hidden="1" customHeight="1" x14ac:dyDescent="0.2">
      <c r="A137" s="298" t="s">
        <v>386</v>
      </c>
      <c r="B137" s="299" t="s">
        <v>384</v>
      </c>
      <c r="C137" s="1548"/>
      <c r="D137" s="1549"/>
      <c r="E137" s="1549"/>
      <c r="F137" s="1559"/>
      <c r="G137" s="1560"/>
      <c r="H137" s="1561"/>
      <c r="I137" s="1430"/>
      <c r="J137" s="1430"/>
      <c r="K137" s="1430" t="s">
        <v>431</v>
      </c>
      <c r="L137" s="301" t="s">
        <v>391</v>
      </c>
      <c r="M137" s="1425" t="s">
        <v>392</v>
      </c>
      <c r="N137" s="476" t="s">
        <v>393</v>
      </c>
      <c r="O137" s="1425" t="s">
        <v>73</v>
      </c>
      <c r="P137" s="1425"/>
      <c r="Q137" s="16" t="s">
        <v>432</v>
      </c>
      <c r="R137" s="302" t="s">
        <v>433</v>
      </c>
      <c r="S137" s="303">
        <v>2015</v>
      </c>
      <c r="T137" s="303">
        <v>1</v>
      </c>
      <c r="U137" s="303">
        <v>1</v>
      </c>
      <c r="V137" s="572">
        <v>1</v>
      </c>
      <c r="W137" s="572">
        <v>1</v>
      </c>
      <c r="X137" s="572">
        <v>1</v>
      </c>
      <c r="Y137" s="572">
        <v>1</v>
      </c>
      <c r="Z137" s="581"/>
      <c r="AA137" s="581"/>
      <c r="AB137" s="495">
        <v>253.7</v>
      </c>
      <c r="AC137" s="581"/>
      <c r="AD137" s="581"/>
      <c r="AE137" s="581"/>
      <c r="AF137" s="581"/>
      <c r="AG137" s="481">
        <f>SUM(Z137:AF137)</f>
        <v>253.7</v>
      </c>
      <c r="AH137" s="590"/>
      <c r="AI137" s="590"/>
      <c r="AJ137" s="718">
        <v>200</v>
      </c>
      <c r="AK137" s="590"/>
      <c r="AL137" s="590"/>
      <c r="AM137" s="590"/>
      <c r="AN137" s="548">
        <f t="shared" si="97"/>
        <v>200</v>
      </c>
      <c r="AO137" s="581"/>
      <c r="AP137" s="581"/>
      <c r="AQ137" s="581">
        <f>+AJ137*1.035</f>
        <v>206.99999999999997</v>
      </c>
      <c r="AR137" s="581"/>
      <c r="AS137" s="581"/>
      <c r="AT137" s="581"/>
      <c r="AU137" s="581"/>
      <c r="AV137" s="481">
        <f t="shared" si="100"/>
        <v>206.99999999999997</v>
      </c>
      <c r="AW137" s="590"/>
      <c r="AX137" s="590"/>
      <c r="AY137" s="590">
        <f>+AQ137*1.035</f>
        <v>214.24499999999995</v>
      </c>
      <c r="AZ137" s="590"/>
      <c r="BA137" s="590"/>
      <c r="BB137" s="590"/>
      <c r="BC137" s="590"/>
      <c r="BD137" s="548">
        <f t="shared" si="98"/>
        <v>214.24499999999995</v>
      </c>
      <c r="BE137" s="60">
        <f t="shared" si="85"/>
        <v>0</v>
      </c>
      <c r="BF137" s="60">
        <f t="shared" si="85"/>
        <v>0</v>
      </c>
      <c r="BG137" s="60">
        <f t="shared" si="85"/>
        <v>874.94499999999994</v>
      </c>
      <c r="BH137" s="60">
        <f t="shared" si="85"/>
        <v>0</v>
      </c>
      <c r="BI137" s="60">
        <f t="shared" si="85"/>
        <v>0</v>
      </c>
      <c r="BJ137" s="60">
        <f t="shared" si="51"/>
        <v>0</v>
      </c>
      <c r="BK137" s="60">
        <f>+BC137+AU137+AM137+AF137</f>
        <v>0</v>
      </c>
      <c r="BL137" s="60">
        <f>+BD137+AV137+AN137+AG137</f>
        <v>874.94499999999994</v>
      </c>
    </row>
    <row r="138" spans="1:65" ht="12.75" hidden="1" x14ac:dyDescent="0.2">
      <c r="A138" s="295" t="s">
        <v>386</v>
      </c>
      <c r="B138" s="154" t="s">
        <v>384</v>
      </c>
      <c r="C138" s="6"/>
      <c r="D138" s="2" t="s">
        <v>434</v>
      </c>
      <c r="E138" s="1"/>
      <c r="F138" s="1"/>
      <c r="G138" s="1"/>
      <c r="H138" s="1"/>
      <c r="I138" s="1"/>
      <c r="J138" s="1"/>
      <c r="K138" s="1"/>
      <c r="L138" s="1"/>
      <c r="M138" s="1"/>
      <c r="N138" s="1"/>
      <c r="O138" s="1"/>
      <c r="P138" s="1"/>
      <c r="Q138" s="1"/>
      <c r="R138" s="22"/>
      <c r="S138" s="1"/>
      <c r="T138" s="1"/>
      <c r="U138" s="1"/>
      <c r="V138" s="49"/>
      <c r="W138" s="49"/>
      <c r="X138" s="49"/>
      <c r="Y138" s="49"/>
      <c r="Z138" s="34">
        <f t="shared" ref="Z138:AF138" si="101">SUM(Z139:Z147)</f>
        <v>0</v>
      </c>
      <c r="AA138" s="34">
        <f t="shared" si="101"/>
        <v>0</v>
      </c>
      <c r="AB138" s="34">
        <f t="shared" si="101"/>
        <v>799</v>
      </c>
      <c r="AC138" s="34">
        <f t="shared" si="101"/>
        <v>0</v>
      </c>
      <c r="AD138" s="34">
        <f t="shared" si="101"/>
        <v>0</v>
      </c>
      <c r="AE138" s="34">
        <f t="shared" si="101"/>
        <v>0</v>
      </c>
      <c r="AF138" s="34">
        <f t="shared" si="101"/>
        <v>0</v>
      </c>
      <c r="AG138" s="34">
        <f t="shared" si="92"/>
        <v>799</v>
      </c>
      <c r="AH138" s="34">
        <f t="shared" ref="AH138:AM138" si="102">SUM(AH139:AH147)</f>
        <v>0</v>
      </c>
      <c r="AI138" s="34">
        <f t="shared" si="102"/>
        <v>0</v>
      </c>
      <c r="AJ138" s="34">
        <f t="shared" si="102"/>
        <v>797.61500000000001</v>
      </c>
      <c r="AK138" s="34">
        <f t="shared" si="102"/>
        <v>0</v>
      </c>
      <c r="AL138" s="34">
        <f t="shared" si="102"/>
        <v>0</v>
      </c>
      <c r="AM138" s="34">
        <f t="shared" si="102"/>
        <v>0</v>
      </c>
      <c r="AN138" s="34">
        <f>SUM(AH138:AM138)</f>
        <v>797.61500000000001</v>
      </c>
      <c r="AO138" s="34">
        <f t="shared" ref="AO138:AU138" si="103">SUM(AO139:AO147)</f>
        <v>0</v>
      </c>
      <c r="AP138" s="34">
        <f t="shared" si="103"/>
        <v>0</v>
      </c>
      <c r="AQ138" s="34">
        <f t="shared" si="103"/>
        <v>692.65652499999999</v>
      </c>
      <c r="AR138" s="34">
        <f t="shared" si="103"/>
        <v>800</v>
      </c>
      <c r="AS138" s="34">
        <f t="shared" si="103"/>
        <v>0</v>
      </c>
      <c r="AT138" s="34">
        <f t="shared" si="103"/>
        <v>0</v>
      </c>
      <c r="AU138" s="34">
        <f t="shared" si="103"/>
        <v>5050</v>
      </c>
      <c r="AV138" s="34">
        <f t="shared" si="100"/>
        <v>6542.6565250000003</v>
      </c>
      <c r="AW138" s="34">
        <f t="shared" ref="AW138:BC138" si="104">SUM(AW139:AW147)</f>
        <v>0</v>
      </c>
      <c r="AX138" s="34">
        <f t="shared" si="104"/>
        <v>0</v>
      </c>
      <c r="AY138" s="34">
        <f t="shared" si="104"/>
        <v>746.41950337499986</v>
      </c>
      <c r="AZ138" s="34">
        <f t="shared" si="104"/>
        <v>0</v>
      </c>
      <c r="BA138" s="34">
        <f t="shared" si="104"/>
        <v>0</v>
      </c>
      <c r="BB138" s="34">
        <f t="shared" si="104"/>
        <v>0</v>
      </c>
      <c r="BC138" s="34">
        <f t="shared" si="104"/>
        <v>0</v>
      </c>
      <c r="BD138" s="34">
        <f>SUM(AW138:BC138)</f>
        <v>746.41950337499986</v>
      </c>
      <c r="BE138" s="34">
        <f t="shared" si="85"/>
        <v>0</v>
      </c>
      <c r="BF138" s="34">
        <f t="shared" si="85"/>
        <v>0</v>
      </c>
      <c r="BG138" s="34">
        <f t="shared" si="85"/>
        <v>3035.6910283749999</v>
      </c>
      <c r="BH138" s="34">
        <f t="shared" si="85"/>
        <v>800</v>
      </c>
      <c r="BI138" s="34">
        <f t="shared" si="85"/>
        <v>0</v>
      </c>
      <c r="BJ138" s="34">
        <f t="shared" si="51"/>
        <v>0</v>
      </c>
      <c r="BK138" s="34">
        <f t="shared" si="99"/>
        <v>5050</v>
      </c>
      <c r="BL138" s="34">
        <f t="shared" si="99"/>
        <v>8885.6910283750003</v>
      </c>
    </row>
    <row r="139" spans="1:65" ht="53.25" hidden="1" customHeight="1" x14ac:dyDescent="0.2">
      <c r="A139" s="298" t="s">
        <v>386</v>
      </c>
      <c r="B139" s="299" t="s">
        <v>384</v>
      </c>
      <c r="C139" s="1546" t="s">
        <v>435</v>
      </c>
      <c r="D139" s="1549" t="s">
        <v>436</v>
      </c>
      <c r="E139" s="1549" t="s">
        <v>437</v>
      </c>
      <c r="F139" s="1549">
        <v>2005</v>
      </c>
      <c r="G139" s="1549">
        <v>53</v>
      </c>
      <c r="H139" s="1549">
        <v>55</v>
      </c>
      <c r="I139" s="1425"/>
      <c r="J139" s="1425"/>
      <c r="K139" s="1425" t="s">
        <v>438</v>
      </c>
      <c r="L139" s="301" t="s">
        <v>391</v>
      </c>
      <c r="M139" s="1425" t="s">
        <v>392</v>
      </c>
      <c r="N139" s="476" t="s">
        <v>393</v>
      </c>
      <c r="O139" s="1425" t="s">
        <v>47</v>
      </c>
      <c r="P139" s="1425"/>
      <c r="Q139" s="16" t="s">
        <v>439</v>
      </c>
      <c r="R139" s="302" t="s">
        <v>440</v>
      </c>
      <c r="S139" s="303">
        <v>2015</v>
      </c>
      <c r="T139" s="303">
        <v>0</v>
      </c>
      <c r="U139" s="303">
        <v>0</v>
      </c>
      <c r="V139" s="572">
        <v>1</v>
      </c>
      <c r="W139" s="498">
        <v>0</v>
      </c>
      <c r="X139" s="498">
        <v>0</v>
      </c>
      <c r="Y139" s="572">
        <v>1</v>
      </c>
      <c r="Z139" s="483"/>
      <c r="AA139" s="483"/>
      <c r="AB139" s="483"/>
      <c r="AC139" s="483"/>
      <c r="AD139" s="483"/>
      <c r="AE139" s="483"/>
      <c r="AF139" s="483"/>
      <c r="AG139" s="481">
        <f t="shared" si="92"/>
        <v>0</v>
      </c>
      <c r="AH139" s="587"/>
      <c r="AI139" s="587"/>
      <c r="AJ139" s="493">
        <v>100</v>
      </c>
      <c r="AK139" s="587"/>
      <c r="AL139" s="587"/>
      <c r="AM139" s="587"/>
      <c r="AN139" s="587">
        <f>SUM(AH139:AM139)</f>
        <v>100</v>
      </c>
      <c r="AO139" s="483"/>
      <c r="AP139" s="483"/>
      <c r="AQ139" s="483"/>
      <c r="AR139" s="483"/>
      <c r="AS139" s="483"/>
      <c r="AT139" s="483"/>
      <c r="AU139" s="483"/>
      <c r="AV139" s="483">
        <f t="shared" si="100"/>
        <v>0</v>
      </c>
      <c r="AW139" s="587"/>
      <c r="AX139" s="587"/>
      <c r="AY139" s="587"/>
      <c r="AZ139" s="587"/>
      <c r="BA139" s="587"/>
      <c r="BB139" s="587"/>
      <c r="BC139" s="587"/>
      <c r="BD139" s="548">
        <f t="shared" ref="BD139:BD147" si="105">SUM(AW139:BC139)</f>
        <v>0</v>
      </c>
      <c r="BE139" s="44">
        <f t="shared" si="85"/>
        <v>0</v>
      </c>
      <c r="BF139" s="44">
        <f t="shared" si="85"/>
        <v>0</v>
      </c>
      <c r="BG139" s="44">
        <f t="shared" si="85"/>
        <v>100</v>
      </c>
      <c r="BH139" s="44">
        <f t="shared" si="85"/>
        <v>0</v>
      </c>
      <c r="BI139" s="44">
        <f t="shared" si="85"/>
        <v>0</v>
      </c>
      <c r="BJ139" s="44">
        <f t="shared" si="51"/>
        <v>0</v>
      </c>
      <c r="BK139" s="44">
        <f t="shared" si="99"/>
        <v>0</v>
      </c>
      <c r="BL139" s="44">
        <f t="shared" si="99"/>
        <v>100</v>
      </c>
    </row>
    <row r="140" spans="1:65" ht="83.25" hidden="1" customHeight="1" x14ac:dyDescent="0.2">
      <c r="A140" s="298" t="s">
        <v>386</v>
      </c>
      <c r="B140" s="299" t="s">
        <v>384</v>
      </c>
      <c r="C140" s="1547"/>
      <c r="D140" s="1549"/>
      <c r="E140" s="1549"/>
      <c r="F140" s="1549"/>
      <c r="G140" s="1549"/>
      <c r="H140" s="1549"/>
      <c r="I140" s="1425" t="s">
        <v>53</v>
      </c>
      <c r="J140" s="1425"/>
      <c r="K140" s="1425" t="s">
        <v>441</v>
      </c>
      <c r="L140" s="301" t="s">
        <v>391</v>
      </c>
      <c r="M140" s="1425" t="s">
        <v>392</v>
      </c>
      <c r="N140" s="476" t="s">
        <v>393</v>
      </c>
      <c r="O140" s="1425" t="s">
        <v>47</v>
      </c>
      <c r="P140" s="1425"/>
      <c r="Q140" s="16" t="s">
        <v>442</v>
      </c>
      <c r="R140" s="302" t="s">
        <v>443</v>
      </c>
      <c r="S140" s="303">
        <v>2015</v>
      </c>
      <c r="T140" s="303">
        <v>0</v>
      </c>
      <c r="U140" s="303">
        <v>0</v>
      </c>
      <c r="V140" s="572">
        <v>1</v>
      </c>
      <c r="W140" s="572">
        <v>1</v>
      </c>
      <c r="X140" s="572">
        <v>0</v>
      </c>
      <c r="Y140" s="572">
        <v>1</v>
      </c>
      <c r="Z140" s="481"/>
      <c r="AA140" s="481"/>
      <c r="AB140" s="481"/>
      <c r="AC140" s="481"/>
      <c r="AD140" s="481"/>
      <c r="AE140" s="481"/>
      <c r="AF140" s="481"/>
      <c r="AG140" s="481">
        <f t="shared" si="92"/>
        <v>0</v>
      </c>
      <c r="AH140" s="548"/>
      <c r="AI140" s="548"/>
      <c r="AJ140" s="491">
        <v>50</v>
      </c>
      <c r="AK140" s="588"/>
      <c r="AL140" s="548"/>
      <c r="AM140" s="548"/>
      <c r="AN140" s="587">
        <f t="shared" ref="AN140:AN147" si="106">SUM(AH140:AM140)</f>
        <v>50</v>
      </c>
      <c r="AO140" s="481"/>
      <c r="AP140" s="481"/>
      <c r="AQ140" s="481"/>
      <c r="AR140" s="491">
        <v>700</v>
      </c>
      <c r="AS140" s="481"/>
      <c r="AT140" s="481"/>
      <c r="AU140" s="481"/>
      <c r="AV140" s="481">
        <f t="shared" si="100"/>
        <v>700</v>
      </c>
      <c r="AW140" s="548"/>
      <c r="AX140" s="548"/>
      <c r="AY140" s="548"/>
      <c r="AZ140" s="548"/>
      <c r="BA140" s="548"/>
      <c r="BB140" s="548"/>
      <c r="BC140" s="548"/>
      <c r="BD140" s="548">
        <f t="shared" si="105"/>
        <v>0</v>
      </c>
      <c r="BE140" s="42">
        <f t="shared" si="85"/>
        <v>0</v>
      </c>
      <c r="BF140" s="42">
        <f t="shared" si="85"/>
        <v>0</v>
      </c>
      <c r="BG140" s="42">
        <f t="shared" si="85"/>
        <v>50</v>
      </c>
      <c r="BH140" s="42">
        <f t="shared" si="85"/>
        <v>700</v>
      </c>
      <c r="BI140" s="42">
        <f t="shared" si="85"/>
        <v>0</v>
      </c>
      <c r="BJ140" s="42">
        <f t="shared" si="51"/>
        <v>0</v>
      </c>
      <c r="BK140" s="42">
        <f t="shared" si="99"/>
        <v>0</v>
      </c>
      <c r="BL140" s="42">
        <f t="shared" si="99"/>
        <v>750</v>
      </c>
    </row>
    <row r="141" spans="1:65" ht="48.75" hidden="1" customHeight="1" x14ac:dyDescent="0.2">
      <c r="A141" s="298" t="s">
        <v>386</v>
      </c>
      <c r="B141" s="299" t="s">
        <v>384</v>
      </c>
      <c r="C141" s="1547"/>
      <c r="D141" s="1549"/>
      <c r="E141" s="1549"/>
      <c r="F141" s="1549"/>
      <c r="G141" s="1549"/>
      <c r="H141" s="1549"/>
      <c r="I141" s="1425"/>
      <c r="J141" s="1425"/>
      <c r="K141" s="1425" t="s">
        <v>444</v>
      </c>
      <c r="L141" s="301" t="s">
        <v>391</v>
      </c>
      <c r="M141" s="1425" t="s">
        <v>392</v>
      </c>
      <c r="N141" s="476" t="s">
        <v>393</v>
      </c>
      <c r="O141" s="1425" t="s">
        <v>47</v>
      </c>
      <c r="P141" s="1425"/>
      <c r="Q141" s="16" t="s">
        <v>445</v>
      </c>
      <c r="R141" s="302" t="s">
        <v>446</v>
      </c>
      <c r="S141" s="303">
        <v>2015</v>
      </c>
      <c r="T141" s="303">
        <v>0</v>
      </c>
      <c r="U141" s="303">
        <v>1</v>
      </c>
      <c r="V141" s="572">
        <v>1</v>
      </c>
      <c r="W141" s="572">
        <v>1</v>
      </c>
      <c r="X141" s="572">
        <v>1</v>
      </c>
      <c r="Y141" s="572">
        <v>1</v>
      </c>
      <c r="Z141" s="481"/>
      <c r="AA141" s="481"/>
      <c r="AB141" s="481">
        <v>87</v>
      </c>
      <c r="AC141" s="481"/>
      <c r="AD141" s="481"/>
      <c r="AE141" s="481"/>
      <c r="AF141" s="481"/>
      <c r="AG141" s="481">
        <f t="shared" si="92"/>
        <v>87</v>
      </c>
      <c r="AH141" s="548"/>
      <c r="AI141" s="548"/>
      <c r="AJ141" s="491">
        <v>52</v>
      </c>
      <c r="AK141" s="548"/>
      <c r="AL141" s="548"/>
      <c r="AM141" s="548"/>
      <c r="AN141" s="587">
        <f t="shared" si="106"/>
        <v>52</v>
      </c>
      <c r="AO141" s="481"/>
      <c r="AP141" s="481"/>
      <c r="AQ141" s="481"/>
      <c r="AR141" s="491">
        <v>100</v>
      </c>
      <c r="AS141" s="481"/>
      <c r="AT141" s="481"/>
      <c r="AU141" s="481"/>
      <c r="AV141" s="481">
        <f t="shared" si="100"/>
        <v>100</v>
      </c>
      <c r="AW141" s="548"/>
      <c r="AX141" s="548"/>
      <c r="AY141" s="491">
        <v>2</v>
      </c>
      <c r="AZ141" s="548"/>
      <c r="BA141" s="548"/>
      <c r="BB141" s="548"/>
      <c r="BC141" s="548"/>
      <c r="BD141" s="548">
        <f t="shared" si="105"/>
        <v>2</v>
      </c>
      <c r="BE141" s="42">
        <f t="shared" si="85"/>
        <v>0</v>
      </c>
      <c r="BF141" s="42">
        <f t="shared" si="85"/>
        <v>0</v>
      </c>
      <c r="BG141" s="42">
        <f t="shared" si="85"/>
        <v>141</v>
      </c>
      <c r="BH141" s="42">
        <f t="shared" si="85"/>
        <v>100</v>
      </c>
      <c r="BI141" s="42">
        <f t="shared" si="85"/>
        <v>0</v>
      </c>
      <c r="BJ141" s="42">
        <f t="shared" ref="BJ141:BJ206" si="107">+AE141+AT141+BB141</f>
        <v>0</v>
      </c>
      <c r="BK141" s="42">
        <f t="shared" si="99"/>
        <v>0</v>
      </c>
      <c r="BL141" s="42">
        <f t="shared" si="99"/>
        <v>241</v>
      </c>
    </row>
    <row r="142" spans="1:65" ht="44.25" hidden="1" customHeight="1" x14ac:dyDescent="0.2">
      <c r="A142" s="298" t="s">
        <v>386</v>
      </c>
      <c r="B142" s="299" t="s">
        <v>384</v>
      </c>
      <c r="C142" s="1547"/>
      <c r="D142" s="1549"/>
      <c r="E142" s="1549"/>
      <c r="F142" s="1549"/>
      <c r="G142" s="1549"/>
      <c r="H142" s="1549"/>
      <c r="I142" s="1425"/>
      <c r="J142" s="1425"/>
      <c r="K142" s="1425" t="s">
        <v>447</v>
      </c>
      <c r="L142" s="301" t="s">
        <v>391</v>
      </c>
      <c r="M142" s="1425" t="s">
        <v>392</v>
      </c>
      <c r="N142" s="476" t="s">
        <v>393</v>
      </c>
      <c r="O142" s="1425" t="s">
        <v>47</v>
      </c>
      <c r="P142" s="1425"/>
      <c r="Q142" s="16" t="s">
        <v>448</v>
      </c>
      <c r="R142" s="302" t="s">
        <v>449</v>
      </c>
      <c r="S142" s="303">
        <v>2015</v>
      </c>
      <c r="T142" s="303">
        <v>0</v>
      </c>
      <c r="U142" s="303">
        <v>1</v>
      </c>
      <c r="V142" s="699">
        <v>0</v>
      </c>
      <c r="W142" s="699">
        <v>0</v>
      </c>
      <c r="X142" s="699">
        <v>0</v>
      </c>
      <c r="Y142" s="572">
        <v>1</v>
      </c>
      <c r="Z142" s="481">
        <v>0</v>
      </c>
      <c r="AA142" s="481"/>
      <c r="AB142" s="481">
        <v>17</v>
      </c>
      <c r="AC142" s="481"/>
      <c r="AD142" s="481"/>
      <c r="AE142" s="481"/>
      <c r="AF142" s="481"/>
      <c r="AG142" s="481">
        <f t="shared" si="92"/>
        <v>17</v>
      </c>
      <c r="AH142" s="548">
        <v>0</v>
      </c>
      <c r="AI142" s="548"/>
      <c r="AJ142" s="548"/>
      <c r="AK142" s="548"/>
      <c r="AL142" s="548"/>
      <c r="AM142" s="548"/>
      <c r="AN142" s="587">
        <f t="shared" si="106"/>
        <v>0</v>
      </c>
      <c r="AO142" s="481">
        <v>0</v>
      </c>
      <c r="AP142" s="481"/>
      <c r="AQ142" s="481"/>
      <c r="AR142" s="481"/>
      <c r="AS142" s="481"/>
      <c r="AT142" s="481"/>
      <c r="AU142" s="481"/>
      <c r="AV142" s="481">
        <f t="shared" si="100"/>
        <v>0</v>
      </c>
      <c r="AW142" s="548">
        <v>0</v>
      </c>
      <c r="AX142" s="548"/>
      <c r="AY142" s="548">
        <v>0</v>
      </c>
      <c r="AZ142" s="548"/>
      <c r="BA142" s="548"/>
      <c r="BB142" s="548"/>
      <c r="BC142" s="548"/>
      <c r="BD142" s="548">
        <f t="shared" si="105"/>
        <v>0</v>
      </c>
      <c r="BE142" s="42">
        <f t="shared" si="85"/>
        <v>0</v>
      </c>
      <c r="BF142" s="42">
        <f t="shared" si="85"/>
        <v>0</v>
      </c>
      <c r="BG142" s="42">
        <f t="shared" si="85"/>
        <v>17</v>
      </c>
      <c r="BH142" s="42">
        <f t="shared" si="85"/>
        <v>0</v>
      </c>
      <c r="BI142" s="42">
        <f t="shared" si="85"/>
        <v>0</v>
      </c>
      <c r="BJ142" s="42">
        <f t="shared" si="107"/>
        <v>0</v>
      </c>
      <c r="BK142" s="42">
        <f t="shared" si="99"/>
        <v>0</v>
      </c>
      <c r="BL142" s="42">
        <f t="shared" si="99"/>
        <v>17</v>
      </c>
    </row>
    <row r="143" spans="1:65" ht="59.25" hidden="1" customHeight="1" x14ac:dyDescent="0.2">
      <c r="A143" s="298" t="s">
        <v>386</v>
      </c>
      <c r="B143" s="299" t="s">
        <v>384</v>
      </c>
      <c r="C143" s="1547"/>
      <c r="D143" s="1549"/>
      <c r="E143" s="1549"/>
      <c r="F143" s="1549"/>
      <c r="G143" s="1549"/>
      <c r="H143" s="1549"/>
      <c r="I143" s="1425" t="s">
        <v>53</v>
      </c>
      <c r="J143" s="1425"/>
      <c r="K143" s="1425" t="s">
        <v>450</v>
      </c>
      <c r="L143" s="301" t="s">
        <v>391</v>
      </c>
      <c r="M143" s="1425" t="s">
        <v>392</v>
      </c>
      <c r="N143" s="476" t="s">
        <v>393</v>
      </c>
      <c r="O143" s="1425" t="s">
        <v>47</v>
      </c>
      <c r="P143" s="1425"/>
      <c r="Q143" s="16" t="s">
        <v>451</v>
      </c>
      <c r="R143" s="302" t="s">
        <v>452</v>
      </c>
      <c r="S143" s="303">
        <v>2015</v>
      </c>
      <c r="T143" s="303">
        <v>738</v>
      </c>
      <c r="U143" s="303">
        <v>700</v>
      </c>
      <c r="V143" s="572">
        <v>7000</v>
      </c>
      <c r="W143" s="572">
        <v>700</v>
      </c>
      <c r="X143" s="572">
        <v>700</v>
      </c>
      <c r="Y143" s="572">
        <v>2800</v>
      </c>
      <c r="Z143" s="481"/>
      <c r="AA143" s="481"/>
      <c r="AB143" s="481">
        <f>498</f>
        <v>498</v>
      </c>
      <c r="AC143" s="481"/>
      <c r="AD143" s="481"/>
      <c r="AE143" s="481"/>
      <c r="AF143" s="481"/>
      <c r="AG143" s="481">
        <f t="shared" si="92"/>
        <v>498</v>
      </c>
      <c r="AH143" s="548"/>
      <c r="AI143" s="548"/>
      <c r="AJ143" s="716">
        <v>389.42</v>
      </c>
      <c r="AK143" s="548"/>
      <c r="AL143" s="548"/>
      <c r="AM143" s="548"/>
      <c r="AN143" s="587">
        <f t="shared" si="106"/>
        <v>389.42</v>
      </c>
      <c r="AO143" s="481"/>
      <c r="AP143" s="481"/>
      <c r="AQ143" s="481">
        <f>+AJ143*1.035</f>
        <v>403.04969999999997</v>
      </c>
      <c r="AR143" s="481"/>
      <c r="AS143" s="481"/>
      <c r="AT143" s="481"/>
      <c r="AU143" s="481"/>
      <c r="AV143" s="481">
        <f t="shared" ref="AV143:AV155" si="108">SUM(AO143:AU143)</f>
        <v>403.04969999999997</v>
      </c>
      <c r="AW143" s="548"/>
      <c r="AX143" s="548"/>
      <c r="AY143" s="548">
        <f>(+AQ143*1.035)+119</f>
        <v>536.15643949999992</v>
      </c>
      <c r="AZ143" s="548"/>
      <c r="BA143" s="548"/>
      <c r="BB143" s="548"/>
      <c r="BC143" s="548"/>
      <c r="BD143" s="548">
        <f t="shared" si="105"/>
        <v>536.15643949999992</v>
      </c>
      <c r="BE143" s="42">
        <f t="shared" si="85"/>
        <v>0</v>
      </c>
      <c r="BF143" s="42">
        <f t="shared" si="85"/>
        <v>0</v>
      </c>
      <c r="BG143" s="42">
        <f t="shared" si="85"/>
        <v>1826.6261394999999</v>
      </c>
      <c r="BH143" s="42">
        <f t="shared" si="85"/>
        <v>0</v>
      </c>
      <c r="BI143" s="42">
        <f t="shared" si="85"/>
        <v>0</v>
      </c>
      <c r="BJ143" s="42">
        <f t="shared" si="107"/>
        <v>0</v>
      </c>
      <c r="BK143" s="42">
        <f t="shared" si="99"/>
        <v>0</v>
      </c>
      <c r="BL143" s="42">
        <f t="shared" si="99"/>
        <v>1826.6261394999999</v>
      </c>
    </row>
    <row r="144" spans="1:65" ht="49.5" hidden="1" customHeight="1" x14ac:dyDescent="0.2">
      <c r="A144" s="298" t="s">
        <v>386</v>
      </c>
      <c r="B144" s="299" t="s">
        <v>384</v>
      </c>
      <c r="C144" s="1547"/>
      <c r="D144" s="1549"/>
      <c r="E144" s="1549"/>
      <c r="F144" s="1549"/>
      <c r="G144" s="1549"/>
      <c r="H144" s="1549"/>
      <c r="I144" s="1425"/>
      <c r="J144" s="1425"/>
      <c r="K144" s="1425" t="s">
        <v>453</v>
      </c>
      <c r="L144" s="301" t="s">
        <v>391</v>
      </c>
      <c r="M144" s="1425" t="s">
        <v>392</v>
      </c>
      <c r="N144" s="476" t="s">
        <v>393</v>
      </c>
      <c r="O144" s="1425" t="s">
        <v>47</v>
      </c>
      <c r="P144" s="1425"/>
      <c r="Q144" s="16" t="s">
        <v>454</v>
      </c>
      <c r="R144" s="302" t="s">
        <v>455</v>
      </c>
      <c r="S144" s="303">
        <v>2015</v>
      </c>
      <c r="T144" s="303">
        <v>257</v>
      </c>
      <c r="U144" s="303">
        <v>270</v>
      </c>
      <c r="V144" s="572">
        <f>270+270</f>
        <v>540</v>
      </c>
      <c r="W144" s="572">
        <f>270+540</f>
        <v>810</v>
      </c>
      <c r="X144" s="572">
        <f>270+810</f>
        <v>1080</v>
      </c>
      <c r="Y144" s="572">
        <v>1080</v>
      </c>
      <c r="Z144" s="481"/>
      <c r="AA144" s="481"/>
      <c r="AB144" s="491">
        <v>3</v>
      </c>
      <c r="AC144" s="481"/>
      <c r="AD144" s="481"/>
      <c r="AE144" s="481"/>
      <c r="AF144" s="481"/>
      <c r="AG144" s="481">
        <f t="shared" si="92"/>
        <v>3</v>
      </c>
      <c r="AH144" s="548"/>
      <c r="AI144" s="548"/>
      <c r="AJ144" s="491">
        <v>3</v>
      </c>
      <c r="AK144" s="548"/>
      <c r="AL144" s="548"/>
      <c r="AM144" s="548"/>
      <c r="AN144" s="587">
        <f t="shared" si="106"/>
        <v>3</v>
      </c>
      <c r="AO144" s="481"/>
      <c r="AP144" s="481"/>
      <c r="AQ144" s="491">
        <v>3</v>
      </c>
      <c r="AR144" s="481"/>
      <c r="AS144" s="481"/>
      <c r="AT144" s="481"/>
      <c r="AU144" s="481"/>
      <c r="AV144" s="481">
        <f t="shared" si="108"/>
        <v>3</v>
      </c>
      <c r="AW144" s="548"/>
      <c r="AX144" s="548"/>
      <c r="AY144" s="491">
        <v>5</v>
      </c>
      <c r="AZ144" s="548"/>
      <c r="BA144" s="548"/>
      <c r="BB144" s="548"/>
      <c r="BC144" s="548"/>
      <c r="BD144" s="548">
        <f t="shared" si="105"/>
        <v>5</v>
      </c>
      <c r="BE144" s="42">
        <f t="shared" si="85"/>
        <v>0</v>
      </c>
      <c r="BF144" s="42">
        <f t="shared" si="85"/>
        <v>0</v>
      </c>
      <c r="BG144" s="42">
        <f t="shared" si="85"/>
        <v>14</v>
      </c>
      <c r="BH144" s="42">
        <f t="shared" si="85"/>
        <v>0</v>
      </c>
      <c r="BI144" s="42">
        <f t="shared" si="85"/>
        <v>0</v>
      </c>
      <c r="BJ144" s="42">
        <f t="shared" si="107"/>
        <v>0</v>
      </c>
      <c r="BK144" s="42">
        <f t="shared" si="99"/>
        <v>0</v>
      </c>
      <c r="BL144" s="42">
        <f t="shared" si="99"/>
        <v>14</v>
      </c>
    </row>
    <row r="145" spans="1:65" ht="68.25" hidden="1" customHeight="1" x14ac:dyDescent="0.2">
      <c r="A145" s="298" t="s">
        <v>386</v>
      </c>
      <c r="B145" s="299" t="s">
        <v>384</v>
      </c>
      <c r="C145" s="1547"/>
      <c r="D145" s="1549"/>
      <c r="E145" s="1549"/>
      <c r="F145" s="1549"/>
      <c r="G145" s="1549"/>
      <c r="H145" s="1549"/>
      <c r="I145" s="1425"/>
      <c r="J145" s="1425"/>
      <c r="K145" s="1425" t="s">
        <v>456</v>
      </c>
      <c r="L145" s="301" t="s">
        <v>391</v>
      </c>
      <c r="M145" s="1425" t="s">
        <v>392</v>
      </c>
      <c r="N145" s="476" t="s">
        <v>393</v>
      </c>
      <c r="O145" s="1425" t="s">
        <v>47</v>
      </c>
      <c r="P145" s="1425"/>
      <c r="Q145" s="16" t="s">
        <v>457</v>
      </c>
      <c r="R145" s="302" t="s">
        <v>458</v>
      </c>
      <c r="S145" s="303">
        <v>2015</v>
      </c>
      <c r="T145" s="303">
        <v>0</v>
      </c>
      <c r="U145" s="303">
        <v>0</v>
      </c>
      <c r="V145" s="572">
        <v>0</v>
      </c>
      <c r="W145" s="572">
        <v>0.5</v>
      </c>
      <c r="X145" s="572">
        <v>0.5</v>
      </c>
      <c r="Y145" s="572">
        <v>1</v>
      </c>
      <c r="Z145" s="481"/>
      <c r="AA145" s="481"/>
      <c r="AB145" s="481"/>
      <c r="AC145" s="481"/>
      <c r="AD145" s="481"/>
      <c r="AE145" s="481"/>
      <c r="AF145" s="481"/>
      <c r="AG145" s="481">
        <f t="shared" si="92"/>
        <v>0</v>
      </c>
      <c r="AH145" s="548"/>
      <c r="AI145" s="548"/>
      <c r="AJ145" s="548"/>
      <c r="AK145" s="548"/>
      <c r="AL145" s="548"/>
      <c r="AM145" s="548"/>
      <c r="AN145" s="587">
        <f t="shared" si="106"/>
        <v>0</v>
      </c>
      <c r="AO145" s="481"/>
      <c r="AP145" s="481"/>
      <c r="AQ145" s="481"/>
      <c r="AR145" s="481"/>
      <c r="AS145" s="481"/>
      <c r="AT145" s="481"/>
      <c r="AU145" s="481">
        <v>5050</v>
      </c>
      <c r="AV145" s="481">
        <f t="shared" si="108"/>
        <v>5050</v>
      </c>
      <c r="AW145" s="548"/>
      <c r="AX145" s="548"/>
      <c r="AY145" s="491">
        <v>5</v>
      </c>
      <c r="AZ145" s="548"/>
      <c r="BA145" s="548"/>
      <c r="BB145" s="548"/>
      <c r="BC145" s="548"/>
      <c r="BD145" s="548">
        <f t="shared" si="105"/>
        <v>5</v>
      </c>
      <c r="BE145" s="42">
        <f t="shared" ref="BE145:BI154" si="109">+AW145+AO145+AH145+Z145</f>
        <v>0</v>
      </c>
      <c r="BF145" s="42">
        <f t="shared" si="109"/>
        <v>0</v>
      </c>
      <c r="BG145" s="42">
        <f t="shared" si="109"/>
        <v>5</v>
      </c>
      <c r="BH145" s="42">
        <f t="shared" si="109"/>
        <v>0</v>
      </c>
      <c r="BI145" s="42">
        <f t="shared" si="109"/>
        <v>0</v>
      </c>
      <c r="BJ145" s="42">
        <f t="shared" si="107"/>
        <v>0</v>
      </c>
      <c r="BK145" s="42">
        <f t="shared" si="99"/>
        <v>5050</v>
      </c>
      <c r="BL145" s="42">
        <f t="shared" si="99"/>
        <v>5055</v>
      </c>
    </row>
    <row r="146" spans="1:65" ht="48.75" hidden="1" customHeight="1" x14ac:dyDescent="0.2">
      <c r="A146" s="298" t="s">
        <v>386</v>
      </c>
      <c r="B146" s="299" t="s">
        <v>384</v>
      </c>
      <c r="C146" s="1547"/>
      <c r="D146" s="1549"/>
      <c r="E146" s="1549"/>
      <c r="F146" s="1549"/>
      <c r="G146" s="1549"/>
      <c r="H146" s="1549"/>
      <c r="I146" s="1425"/>
      <c r="J146" s="1425"/>
      <c r="K146" s="1425" t="s">
        <v>459</v>
      </c>
      <c r="L146" s="301" t="s">
        <v>391</v>
      </c>
      <c r="M146" s="1425" t="s">
        <v>392</v>
      </c>
      <c r="N146" s="476" t="s">
        <v>393</v>
      </c>
      <c r="O146" s="1425" t="s">
        <v>73</v>
      </c>
      <c r="P146" s="1425"/>
      <c r="Q146" s="16" t="s">
        <v>460</v>
      </c>
      <c r="R146" s="302" t="s">
        <v>410</v>
      </c>
      <c r="S146" s="303">
        <v>2015</v>
      </c>
      <c r="T146" s="303">
        <v>100</v>
      </c>
      <c r="U146" s="303">
        <v>100</v>
      </c>
      <c r="V146" s="572">
        <v>100</v>
      </c>
      <c r="W146" s="572">
        <v>100</v>
      </c>
      <c r="X146" s="572">
        <v>100</v>
      </c>
      <c r="Y146" s="572">
        <v>100</v>
      </c>
      <c r="Z146" s="481"/>
      <c r="AA146" s="481"/>
      <c r="AB146" s="492">
        <v>177</v>
      </c>
      <c r="AC146" s="481"/>
      <c r="AD146" s="481"/>
      <c r="AE146" s="481"/>
      <c r="AF146" s="481"/>
      <c r="AG146" s="481">
        <f t="shared" si="92"/>
        <v>177</v>
      </c>
      <c r="AH146" s="548"/>
      <c r="AI146" s="548"/>
      <c r="AJ146" s="548">
        <f>+AB146*1.035</f>
        <v>183.19499999999999</v>
      </c>
      <c r="AK146" s="548"/>
      <c r="AL146" s="548"/>
      <c r="AM146" s="548"/>
      <c r="AN146" s="587">
        <f t="shared" si="106"/>
        <v>183.19499999999999</v>
      </c>
      <c r="AO146" s="481"/>
      <c r="AP146" s="481"/>
      <c r="AQ146" s="481">
        <f>+AJ146*1.035</f>
        <v>189.60682499999999</v>
      </c>
      <c r="AR146" s="481"/>
      <c r="AS146" s="481"/>
      <c r="AT146" s="481"/>
      <c r="AU146" s="481"/>
      <c r="AV146" s="481">
        <f t="shared" si="108"/>
        <v>189.60682499999999</v>
      </c>
      <c r="AW146" s="548"/>
      <c r="AX146" s="548"/>
      <c r="AY146" s="42">
        <f>+AQ146*1.035</f>
        <v>196.24306387499996</v>
      </c>
      <c r="AZ146" s="548"/>
      <c r="BA146" s="548"/>
      <c r="BB146" s="548"/>
      <c r="BC146" s="548"/>
      <c r="BD146" s="548">
        <f t="shared" si="105"/>
        <v>196.24306387499996</v>
      </c>
      <c r="BE146" s="42">
        <f t="shared" si="109"/>
        <v>0</v>
      </c>
      <c r="BF146" s="42">
        <f t="shared" si="109"/>
        <v>0</v>
      </c>
      <c r="BG146" s="42">
        <f t="shared" si="109"/>
        <v>746.04488887499997</v>
      </c>
      <c r="BH146" s="42">
        <f t="shared" si="109"/>
        <v>0</v>
      </c>
      <c r="BI146" s="42">
        <f t="shared" si="109"/>
        <v>0</v>
      </c>
      <c r="BJ146" s="42">
        <f t="shared" si="107"/>
        <v>0</v>
      </c>
      <c r="BK146" s="42">
        <f t="shared" si="99"/>
        <v>0</v>
      </c>
      <c r="BL146" s="42">
        <f t="shared" si="99"/>
        <v>746.04488887499997</v>
      </c>
    </row>
    <row r="147" spans="1:65" ht="50.25" hidden="1" customHeight="1" x14ac:dyDescent="0.2">
      <c r="A147" s="298" t="s">
        <v>386</v>
      </c>
      <c r="B147" s="299" t="s">
        <v>384</v>
      </c>
      <c r="C147" s="1548"/>
      <c r="D147" s="1549"/>
      <c r="E147" s="1549"/>
      <c r="F147" s="1549"/>
      <c r="G147" s="1549"/>
      <c r="H147" s="1549"/>
      <c r="I147" s="1425"/>
      <c r="J147" s="1425"/>
      <c r="K147" s="1425" t="s">
        <v>461</v>
      </c>
      <c r="L147" s="301" t="s">
        <v>391</v>
      </c>
      <c r="M147" s="1425" t="s">
        <v>392</v>
      </c>
      <c r="N147" s="479" t="s">
        <v>352</v>
      </c>
      <c r="O147" s="1425" t="s">
        <v>47</v>
      </c>
      <c r="P147" s="1425"/>
      <c r="Q147" s="16" t="s">
        <v>462</v>
      </c>
      <c r="R147" s="302" t="s">
        <v>463</v>
      </c>
      <c r="S147" s="303">
        <v>2015</v>
      </c>
      <c r="T147" s="303">
        <v>0</v>
      </c>
      <c r="U147" s="699">
        <v>50</v>
      </c>
      <c r="V147" s="572">
        <v>50</v>
      </c>
      <c r="W147" s="572">
        <v>100</v>
      </c>
      <c r="X147" s="572">
        <v>50</v>
      </c>
      <c r="Y147" s="572">
        <v>250</v>
      </c>
      <c r="Z147" s="481"/>
      <c r="AA147" s="481"/>
      <c r="AB147" s="491">
        <v>17</v>
      </c>
      <c r="AC147" s="481"/>
      <c r="AD147" s="481"/>
      <c r="AE147" s="481"/>
      <c r="AF147" s="481"/>
      <c r="AG147" s="481">
        <f t="shared" si="92"/>
        <v>17</v>
      </c>
      <c r="AH147" s="548"/>
      <c r="AI147" s="548"/>
      <c r="AJ147" s="491">
        <v>20</v>
      </c>
      <c r="AK147" s="548"/>
      <c r="AL147" s="548"/>
      <c r="AM147" s="548"/>
      <c r="AN147" s="587">
        <f t="shared" si="106"/>
        <v>20</v>
      </c>
      <c r="AO147" s="481"/>
      <c r="AP147" s="481"/>
      <c r="AQ147" s="491">
        <v>97</v>
      </c>
      <c r="AR147" s="481"/>
      <c r="AS147" s="481"/>
      <c r="AT147" s="481"/>
      <c r="AU147" s="481"/>
      <c r="AV147" s="481">
        <f t="shared" si="108"/>
        <v>97</v>
      </c>
      <c r="AW147" s="548"/>
      <c r="AX147" s="548"/>
      <c r="AY147" s="491">
        <v>2.02</v>
      </c>
      <c r="AZ147" s="548"/>
      <c r="BA147" s="548"/>
      <c r="BB147" s="548"/>
      <c r="BC147" s="548"/>
      <c r="BD147" s="548">
        <f t="shared" si="105"/>
        <v>2.02</v>
      </c>
      <c r="BE147" s="42">
        <f t="shared" si="109"/>
        <v>0</v>
      </c>
      <c r="BF147" s="42">
        <f t="shared" si="109"/>
        <v>0</v>
      </c>
      <c r="BG147" s="42">
        <f t="shared" si="109"/>
        <v>136.01999999999998</v>
      </c>
      <c r="BH147" s="42">
        <f t="shared" si="109"/>
        <v>0</v>
      </c>
      <c r="BI147" s="42">
        <f t="shared" si="109"/>
        <v>0</v>
      </c>
      <c r="BJ147" s="42">
        <f t="shared" si="107"/>
        <v>0</v>
      </c>
      <c r="BK147" s="42">
        <f t="shared" si="99"/>
        <v>0</v>
      </c>
      <c r="BL147" s="42">
        <f t="shared" si="99"/>
        <v>136.01999999999998</v>
      </c>
    </row>
    <row r="148" spans="1:65" ht="12.75" hidden="1" x14ac:dyDescent="0.2">
      <c r="A148" s="295" t="s">
        <v>386</v>
      </c>
      <c r="B148" s="154" t="s">
        <v>384</v>
      </c>
      <c r="C148" s="154"/>
      <c r="D148" s="2" t="s">
        <v>464</v>
      </c>
      <c r="E148" s="1"/>
      <c r="F148" s="1"/>
      <c r="G148" s="1"/>
      <c r="H148" s="1"/>
      <c r="I148" s="1"/>
      <c r="J148" s="1"/>
      <c r="K148" s="1"/>
      <c r="L148" s="1"/>
      <c r="M148" s="1"/>
      <c r="N148" s="1"/>
      <c r="O148" s="1"/>
      <c r="P148" s="1"/>
      <c r="Q148" s="22"/>
      <c r="R148" s="22"/>
      <c r="S148" s="1"/>
      <c r="T148" s="1"/>
      <c r="U148" s="1"/>
      <c r="V148" s="49"/>
      <c r="W148" s="49"/>
      <c r="X148" s="49"/>
      <c r="Y148" s="49"/>
      <c r="Z148" s="34">
        <f t="shared" ref="Z148:AF148" si="110">SUM(Z149:Z155)</f>
        <v>0</v>
      </c>
      <c r="AA148" s="34">
        <f t="shared" si="110"/>
        <v>0</v>
      </c>
      <c r="AB148" s="34">
        <f t="shared" si="110"/>
        <v>794.6</v>
      </c>
      <c r="AC148" s="34">
        <f t="shared" si="110"/>
        <v>0</v>
      </c>
      <c r="AD148" s="34">
        <f t="shared" si="110"/>
        <v>0</v>
      </c>
      <c r="AE148" s="34">
        <f t="shared" si="110"/>
        <v>95.1</v>
      </c>
      <c r="AF148" s="34">
        <f t="shared" si="110"/>
        <v>0</v>
      </c>
      <c r="AG148" s="34">
        <f t="shared" si="92"/>
        <v>889.7</v>
      </c>
      <c r="AH148" s="34">
        <f t="shared" ref="AH148:AM148" si="111">SUM(AH149:AH155)</f>
        <v>0</v>
      </c>
      <c r="AI148" s="34">
        <f t="shared" si="111"/>
        <v>0</v>
      </c>
      <c r="AJ148" s="34">
        <f t="shared" si="111"/>
        <v>347.25</v>
      </c>
      <c r="AK148" s="34">
        <f t="shared" si="111"/>
        <v>0</v>
      </c>
      <c r="AL148" s="34">
        <f t="shared" si="111"/>
        <v>0</v>
      </c>
      <c r="AM148" s="34">
        <f t="shared" si="111"/>
        <v>0</v>
      </c>
      <c r="AN148" s="34">
        <f t="shared" ref="AN148:AN155" si="112">SUM(AH148:AM148)</f>
        <v>347.25</v>
      </c>
      <c r="AO148" s="34">
        <f t="shared" ref="AO148:AU148" si="113">SUM(AO149:AO155)</f>
        <v>0</v>
      </c>
      <c r="AP148" s="34">
        <f t="shared" si="113"/>
        <v>0</v>
      </c>
      <c r="AQ148" s="34">
        <f t="shared" si="113"/>
        <v>358.01874999999995</v>
      </c>
      <c r="AR148" s="34">
        <f t="shared" si="113"/>
        <v>0</v>
      </c>
      <c r="AS148" s="34">
        <f t="shared" si="113"/>
        <v>0</v>
      </c>
      <c r="AT148" s="34">
        <f t="shared" si="113"/>
        <v>0</v>
      </c>
      <c r="AU148" s="34">
        <f t="shared" si="113"/>
        <v>0</v>
      </c>
      <c r="AV148" s="34">
        <f t="shared" si="108"/>
        <v>358.01874999999995</v>
      </c>
      <c r="AW148" s="34">
        <f t="shared" ref="AW148:BC148" si="114">SUM(AW149:AW155)</f>
        <v>0</v>
      </c>
      <c r="AX148" s="34">
        <f t="shared" si="114"/>
        <v>0</v>
      </c>
      <c r="AY148" s="34">
        <f t="shared" si="114"/>
        <v>374.51440624999992</v>
      </c>
      <c r="AZ148" s="34">
        <f t="shared" si="114"/>
        <v>0</v>
      </c>
      <c r="BA148" s="34">
        <f t="shared" si="114"/>
        <v>0</v>
      </c>
      <c r="BB148" s="34">
        <f t="shared" si="114"/>
        <v>0</v>
      </c>
      <c r="BC148" s="34">
        <f t="shared" si="114"/>
        <v>0</v>
      </c>
      <c r="BD148" s="34">
        <f>SUM(AW148:BC148)</f>
        <v>374.51440624999992</v>
      </c>
      <c r="BE148" s="34">
        <f t="shared" si="109"/>
        <v>0</v>
      </c>
      <c r="BF148" s="34">
        <f t="shared" si="109"/>
        <v>0</v>
      </c>
      <c r="BG148" s="34">
        <f t="shared" si="109"/>
        <v>1874.38315625</v>
      </c>
      <c r="BH148" s="34">
        <f t="shared" si="109"/>
        <v>0</v>
      </c>
      <c r="BI148" s="34">
        <f t="shared" si="109"/>
        <v>0</v>
      </c>
      <c r="BJ148" s="34">
        <f t="shared" si="107"/>
        <v>95.1</v>
      </c>
      <c r="BK148" s="34">
        <f t="shared" si="99"/>
        <v>0</v>
      </c>
      <c r="BL148" s="34">
        <f t="shared" si="99"/>
        <v>1969.4831562499999</v>
      </c>
    </row>
    <row r="149" spans="1:65" ht="64.5" hidden="1" customHeight="1" x14ac:dyDescent="0.2">
      <c r="A149" s="298" t="s">
        <v>386</v>
      </c>
      <c r="B149" s="299" t="s">
        <v>384</v>
      </c>
      <c r="C149" s="1546" t="s">
        <v>465</v>
      </c>
      <c r="D149" s="1549" t="s">
        <v>466</v>
      </c>
      <c r="E149" s="1549" t="s">
        <v>467</v>
      </c>
      <c r="F149" s="1549">
        <v>2015</v>
      </c>
      <c r="G149" s="1549">
        <v>98</v>
      </c>
      <c r="H149" s="1549">
        <v>100</v>
      </c>
      <c r="I149" s="1425" t="s">
        <v>53</v>
      </c>
      <c r="J149" s="1425"/>
      <c r="K149" s="1425" t="s">
        <v>468</v>
      </c>
      <c r="L149" s="301" t="s">
        <v>391</v>
      </c>
      <c r="M149" s="1425" t="s">
        <v>392</v>
      </c>
      <c r="N149" s="476" t="s">
        <v>393</v>
      </c>
      <c r="O149" s="1425" t="s">
        <v>47</v>
      </c>
      <c r="P149" s="1425"/>
      <c r="Q149" s="16" t="s">
        <v>469</v>
      </c>
      <c r="R149" s="302" t="s">
        <v>470</v>
      </c>
      <c r="S149" s="303">
        <v>2015</v>
      </c>
      <c r="T149" s="303">
        <v>0</v>
      </c>
      <c r="U149" s="303">
        <v>1</v>
      </c>
      <c r="V149" s="498">
        <v>0</v>
      </c>
      <c r="W149" s="572">
        <v>0</v>
      </c>
      <c r="X149" s="572">
        <v>0</v>
      </c>
      <c r="Y149" s="572">
        <v>1</v>
      </c>
      <c r="Z149" s="581"/>
      <c r="AA149" s="581"/>
      <c r="AB149" s="581">
        <v>356.1</v>
      </c>
      <c r="AC149" s="581"/>
      <c r="AD149" s="581"/>
      <c r="AE149" s="581">
        <v>95.1</v>
      </c>
      <c r="AF149" s="581"/>
      <c r="AG149" s="481">
        <f t="shared" si="92"/>
        <v>451.20000000000005</v>
      </c>
      <c r="AH149" s="590"/>
      <c r="AI149" s="590"/>
      <c r="AJ149" s="590"/>
      <c r="AK149" s="590"/>
      <c r="AL149" s="590"/>
      <c r="AM149" s="590"/>
      <c r="AN149" s="590">
        <f t="shared" si="112"/>
        <v>0</v>
      </c>
      <c r="AO149" s="581"/>
      <c r="AP149" s="581"/>
      <c r="AQ149" s="581"/>
      <c r="AR149" s="581"/>
      <c r="AS149" s="581"/>
      <c r="AT149" s="581"/>
      <c r="AU149" s="581"/>
      <c r="AV149" s="581">
        <f t="shared" si="108"/>
        <v>0</v>
      </c>
      <c r="AW149" s="590"/>
      <c r="AX149" s="590"/>
      <c r="AY149" s="590"/>
      <c r="AZ149" s="590"/>
      <c r="BA149" s="590"/>
      <c r="BB149" s="590"/>
      <c r="BC149" s="590"/>
      <c r="BD149" s="548">
        <f t="shared" ref="BD149:BD154" si="115">SUM(AW149:BC149)</f>
        <v>0</v>
      </c>
      <c r="BE149" s="60">
        <f t="shared" si="109"/>
        <v>0</v>
      </c>
      <c r="BF149" s="60">
        <f t="shared" si="109"/>
        <v>0</v>
      </c>
      <c r="BG149" s="60">
        <f t="shared" si="109"/>
        <v>356.1</v>
      </c>
      <c r="BH149" s="60">
        <f t="shared" si="109"/>
        <v>0</v>
      </c>
      <c r="BI149" s="60">
        <f t="shared" si="109"/>
        <v>0</v>
      </c>
      <c r="BJ149" s="60">
        <f t="shared" si="107"/>
        <v>95.1</v>
      </c>
      <c r="BK149" s="60">
        <f t="shared" si="99"/>
        <v>0</v>
      </c>
      <c r="BL149" s="60">
        <f t="shared" si="99"/>
        <v>451.20000000000005</v>
      </c>
    </row>
    <row r="150" spans="1:65" ht="43.5" hidden="1" customHeight="1" x14ac:dyDescent="0.2">
      <c r="A150" s="298" t="s">
        <v>386</v>
      </c>
      <c r="B150" s="299" t="s">
        <v>384</v>
      </c>
      <c r="C150" s="1547"/>
      <c r="D150" s="1549"/>
      <c r="E150" s="1549"/>
      <c r="F150" s="1549"/>
      <c r="G150" s="1549"/>
      <c r="H150" s="1549"/>
      <c r="I150" s="1425"/>
      <c r="J150" s="1425"/>
      <c r="K150" s="1425" t="s">
        <v>471</v>
      </c>
      <c r="L150" s="301" t="s">
        <v>391</v>
      </c>
      <c r="M150" s="1425" t="s">
        <v>392</v>
      </c>
      <c r="N150" s="476" t="s">
        <v>393</v>
      </c>
      <c r="O150" s="1425" t="s">
        <v>73</v>
      </c>
      <c r="P150" s="1425"/>
      <c r="Q150" s="16" t="s">
        <v>472</v>
      </c>
      <c r="R150" s="302" t="s">
        <v>473</v>
      </c>
      <c r="S150" s="303">
        <v>2015</v>
      </c>
      <c r="T150" s="303">
        <v>0</v>
      </c>
      <c r="U150" s="303">
        <v>1</v>
      </c>
      <c r="V150" s="572">
        <v>1</v>
      </c>
      <c r="W150" s="572">
        <v>1</v>
      </c>
      <c r="X150" s="572">
        <v>1</v>
      </c>
      <c r="Y150" s="572">
        <v>1</v>
      </c>
      <c r="Z150" s="581"/>
      <c r="AA150" s="581"/>
      <c r="AB150" s="495">
        <v>207.5</v>
      </c>
      <c r="AC150" s="581"/>
      <c r="AD150" s="581"/>
      <c r="AE150" s="581"/>
      <c r="AF150" s="581"/>
      <c r="AG150" s="481">
        <f t="shared" si="92"/>
        <v>207.5</v>
      </c>
      <c r="AH150" s="590"/>
      <c r="AI150" s="590"/>
      <c r="AJ150" s="718">
        <v>114.76</v>
      </c>
      <c r="AK150" s="590"/>
      <c r="AL150" s="590"/>
      <c r="AM150" s="590"/>
      <c r="AN150" s="590">
        <f t="shared" si="112"/>
        <v>114.76</v>
      </c>
      <c r="AO150" s="581"/>
      <c r="AP150" s="581"/>
      <c r="AQ150" s="581">
        <f>+AJ150*1.035</f>
        <v>118.7766</v>
      </c>
      <c r="AR150" s="581"/>
      <c r="AS150" s="581"/>
      <c r="AT150" s="581"/>
      <c r="AU150" s="581"/>
      <c r="AV150" s="581">
        <f t="shared" si="108"/>
        <v>118.7766</v>
      </c>
      <c r="AW150" s="590"/>
      <c r="AX150" s="590"/>
      <c r="AY150" s="590">
        <f>+AQ150*1.035</f>
        <v>122.933781</v>
      </c>
      <c r="AZ150" s="590"/>
      <c r="BA150" s="590"/>
      <c r="BB150" s="590"/>
      <c r="BC150" s="590"/>
      <c r="BD150" s="548">
        <f t="shared" si="115"/>
        <v>122.933781</v>
      </c>
      <c r="BE150" s="60">
        <f t="shared" si="109"/>
        <v>0</v>
      </c>
      <c r="BF150" s="60">
        <f t="shared" si="109"/>
        <v>0</v>
      </c>
      <c r="BG150" s="60">
        <f t="shared" si="109"/>
        <v>563.97038099999997</v>
      </c>
      <c r="BH150" s="60">
        <f t="shared" si="109"/>
        <v>0</v>
      </c>
      <c r="BI150" s="60">
        <f t="shared" si="109"/>
        <v>0</v>
      </c>
      <c r="BJ150" s="60">
        <f t="shared" si="107"/>
        <v>0</v>
      </c>
      <c r="BK150" s="60">
        <f t="shared" si="99"/>
        <v>0</v>
      </c>
      <c r="BL150" s="60">
        <f t="shared" si="99"/>
        <v>563.97038099999997</v>
      </c>
    </row>
    <row r="151" spans="1:65" ht="33.75" hidden="1" customHeight="1" x14ac:dyDescent="0.2">
      <c r="A151" s="298" t="s">
        <v>386</v>
      </c>
      <c r="B151" s="299" t="s">
        <v>384</v>
      </c>
      <c r="C151" s="1547"/>
      <c r="D151" s="1549"/>
      <c r="E151" s="1549"/>
      <c r="F151" s="1549"/>
      <c r="G151" s="1549"/>
      <c r="H151" s="1549"/>
      <c r="I151" s="1425"/>
      <c r="J151" s="1425"/>
      <c r="K151" s="1425" t="s">
        <v>474</v>
      </c>
      <c r="L151" s="301" t="s">
        <v>391</v>
      </c>
      <c r="M151" s="1425" t="s">
        <v>392</v>
      </c>
      <c r="N151" s="480" t="s">
        <v>352</v>
      </c>
      <c r="O151" s="1425" t="s">
        <v>73</v>
      </c>
      <c r="P151" s="1425"/>
      <c r="Q151" s="16" t="s">
        <v>475</v>
      </c>
      <c r="R151" s="302" t="s">
        <v>476</v>
      </c>
      <c r="S151" s="303">
        <v>2015</v>
      </c>
      <c r="T151" s="303">
        <v>1</v>
      </c>
      <c r="U151" s="303">
        <v>1</v>
      </c>
      <c r="V151" s="572">
        <v>1</v>
      </c>
      <c r="W151" s="572">
        <v>1</v>
      </c>
      <c r="X151" s="572">
        <v>1</v>
      </c>
      <c r="Y151" s="572">
        <v>1</v>
      </c>
      <c r="Z151" s="581"/>
      <c r="AA151" s="581"/>
      <c r="AB151" s="581">
        <v>50</v>
      </c>
      <c r="AC151" s="581"/>
      <c r="AD151" s="581"/>
      <c r="AE151" s="581"/>
      <c r="AF151" s="581"/>
      <c r="AG151" s="481">
        <f t="shared" si="92"/>
        <v>50</v>
      </c>
      <c r="AH151" s="590"/>
      <c r="AI151" s="590"/>
      <c r="AJ151" s="590">
        <f>+AB151*1.035</f>
        <v>51.749999999999993</v>
      </c>
      <c r="AK151" s="590"/>
      <c r="AL151" s="590"/>
      <c r="AM151" s="590"/>
      <c r="AN151" s="590">
        <f t="shared" si="112"/>
        <v>51.749999999999993</v>
      </c>
      <c r="AO151" s="581"/>
      <c r="AP151" s="581"/>
      <c r="AQ151" s="581">
        <f>+AJ151*1.035</f>
        <v>53.561249999999987</v>
      </c>
      <c r="AR151" s="581"/>
      <c r="AS151" s="581"/>
      <c r="AT151" s="581"/>
      <c r="AU151" s="581"/>
      <c r="AV151" s="581">
        <f t="shared" si="108"/>
        <v>53.561249999999987</v>
      </c>
      <c r="AW151" s="590"/>
      <c r="AX151" s="590"/>
      <c r="AY151" s="590">
        <f>+AQ151*1.035</f>
        <v>55.435893749999984</v>
      </c>
      <c r="AZ151" s="590"/>
      <c r="BA151" s="590"/>
      <c r="BB151" s="590"/>
      <c r="BC151" s="590"/>
      <c r="BD151" s="548">
        <f t="shared" si="115"/>
        <v>55.435893749999984</v>
      </c>
      <c r="BE151" s="60">
        <f t="shared" si="109"/>
        <v>0</v>
      </c>
      <c r="BF151" s="60">
        <f t="shared" si="109"/>
        <v>0</v>
      </c>
      <c r="BG151" s="60">
        <f t="shared" si="109"/>
        <v>210.74714374999996</v>
      </c>
      <c r="BH151" s="60">
        <f t="shared" si="109"/>
        <v>0</v>
      </c>
      <c r="BI151" s="60">
        <f t="shared" si="109"/>
        <v>0</v>
      </c>
      <c r="BJ151" s="60">
        <f t="shared" si="107"/>
        <v>0</v>
      </c>
      <c r="BK151" s="60">
        <f t="shared" si="99"/>
        <v>0</v>
      </c>
      <c r="BL151" s="60">
        <f t="shared" si="99"/>
        <v>210.74714374999996</v>
      </c>
    </row>
    <row r="152" spans="1:65" ht="50.25" hidden="1" customHeight="1" x14ac:dyDescent="0.2">
      <c r="A152" s="298" t="s">
        <v>386</v>
      </c>
      <c r="B152" s="299" t="s">
        <v>384</v>
      </c>
      <c r="C152" s="1547"/>
      <c r="D152" s="1549"/>
      <c r="E152" s="1549"/>
      <c r="F152" s="1549"/>
      <c r="G152" s="1549"/>
      <c r="H152" s="1549"/>
      <c r="I152" s="1425"/>
      <c r="J152" s="1425"/>
      <c r="K152" s="1425" t="s">
        <v>477</v>
      </c>
      <c r="L152" s="301" t="s">
        <v>391</v>
      </c>
      <c r="M152" s="1425" t="s">
        <v>392</v>
      </c>
      <c r="N152" s="476" t="s">
        <v>393</v>
      </c>
      <c r="O152" s="1425" t="s">
        <v>47</v>
      </c>
      <c r="P152" s="748"/>
      <c r="Q152" s="73" t="s">
        <v>478</v>
      </c>
      <c r="R152" s="302" t="s">
        <v>479</v>
      </c>
      <c r="S152" s="303">
        <v>2015</v>
      </c>
      <c r="T152" s="303">
        <v>1</v>
      </c>
      <c r="U152" s="303">
        <v>1</v>
      </c>
      <c r="V152" s="572">
        <v>0</v>
      </c>
      <c r="W152" s="572">
        <v>0</v>
      </c>
      <c r="X152" s="572">
        <v>0</v>
      </c>
      <c r="Y152" s="572">
        <v>1</v>
      </c>
      <c r="Z152" s="581"/>
      <c r="AA152" s="581"/>
      <c r="AB152" s="581">
        <v>16</v>
      </c>
      <c r="AC152" s="581"/>
      <c r="AD152" s="581"/>
      <c r="AE152" s="581"/>
      <c r="AF152" s="581"/>
      <c r="AG152" s="481">
        <f t="shared" si="92"/>
        <v>16</v>
      </c>
      <c r="AH152" s="590"/>
      <c r="AI152" s="590"/>
      <c r="AJ152" s="590">
        <v>0</v>
      </c>
      <c r="AK152" s="590"/>
      <c r="AL152" s="590"/>
      <c r="AM152" s="590"/>
      <c r="AN152" s="590">
        <f t="shared" si="112"/>
        <v>0</v>
      </c>
      <c r="AO152" s="581"/>
      <c r="AP152" s="581"/>
      <c r="AQ152" s="581"/>
      <c r="AR152" s="581"/>
      <c r="AS152" s="581"/>
      <c r="AT152" s="581"/>
      <c r="AU152" s="581"/>
      <c r="AV152" s="581">
        <f t="shared" si="108"/>
        <v>0</v>
      </c>
      <c r="AW152" s="590"/>
      <c r="AX152" s="590"/>
      <c r="AY152" s="590"/>
      <c r="AZ152" s="590"/>
      <c r="BA152" s="590"/>
      <c r="BB152" s="590"/>
      <c r="BC152" s="590"/>
      <c r="BD152" s="548">
        <f t="shared" si="115"/>
        <v>0</v>
      </c>
      <c r="BE152" s="60">
        <f t="shared" si="109"/>
        <v>0</v>
      </c>
      <c r="BF152" s="60">
        <f t="shared" si="109"/>
        <v>0</v>
      </c>
      <c r="BG152" s="60">
        <f t="shared" si="109"/>
        <v>16</v>
      </c>
      <c r="BH152" s="60">
        <f t="shared" si="109"/>
        <v>0</v>
      </c>
      <c r="BI152" s="60">
        <f t="shared" si="109"/>
        <v>0</v>
      </c>
      <c r="BJ152" s="60">
        <f t="shared" si="107"/>
        <v>0</v>
      </c>
      <c r="BK152" s="60">
        <f t="shared" si="99"/>
        <v>0</v>
      </c>
      <c r="BL152" s="60">
        <f t="shared" si="99"/>
        <v>16</v>
      </c>
    </row>
    <row r="153" spans="1:65" ht="46.5" hidden="1" customHeight="1" x14ac:dyDescent="0.2">
      <c r="A153" s="298" t="s">
        <v>386</v>
      </c>
      <c r="B153" s="299" t="s">
        <v>384</v>
      </c>
      <c r="C153" s="1547"/>
      <c r="D153" s="1549"/>
      <c r="E153" s="1549"/>
      <c r="F153" s="1549"/>
      <c r="G153" s="1549"/>
      <c r="H153" s="1549"/>
      <c r="I153" s="1425"/>
      <c r="J153" s="1425"/>
      <c r="K153" s="1425" t="s">
        <v>480</v>
      </c>
      <c r="L153" s="301" t="s">
        <v>391</v>
      </c>
      <c r="M153" s="1425" t="s">
        <v>392</v>
      </c>
      <c r="N153" s="476" t="s">
        <v>393</v>
      </c>
      <c r="O153" s="1425" t="s">
        <v>73</v>
      </c>
      <c r="P153" s="1425"/>
      <c r="Q153" s="16" t="s">
        <v>481</v>
      </c>
      <c r="R153" s="302" t="s">
        <v>482</v>
      </c>
      <c r="S153" s="303">
        <v>2015</v>
      </c>
      <c r="T153" s="303">
        <v>100</v>
      </c>
      <c r="U153" s="303">
        <v>100</v>
      </c>
      <c r="V153" s="572">
        <v>100</v>
      </c>
      <c r="W153" s="572">
        <v>100</v>
      </c>
      <c r="X153" s="572">
        <v>100</v>
      </c>
      <c r="Y153" s="572">
        <v>100</v>
      </c>
      <c r="Z153" s="581"/>
      <c r="AA153" s="581"/>
      <c r="AB153" s="496">
        <v>164</v>
      </c>
      <c r="AC153" s="581"/>
      <c r="AD153" s="581"/>
      <c r="AE153" s="581"/>
      <c r="AF153" s="581"/>
      <c r="AG153" s="481">
        <f t="shared" si="92"/>
        <v>164</v>
      </c>
      <c r="AH153" s="590"/>
      <c r="AI153" s="590"/>
      <c r="AJ153" s="590">
        <f>+AB153*1.035</f>
        <v>169.73999999999998</v>
      </c>
      <c r="AK153" s="590"/>
      <c r="AL153" s="590"/>
      <c r="AM153" s="590"/>
      <c r="AN153" s="590">
        <f t="shared" si="112"/>
        <v>169.73999999999998</v>
      </c>
      <c r="AO153" s="581"/>
      <c r="AP153" s="581"/>
      <c r="AQ153" s="581">
        <f>+AJ153*1.035</f>
        <v>175.68089999999998</v>
      </c>
      <c r="AR153" s="581"/>
      <c r="AS153" s="581"/>
      <c r="AT153" s="581"/>
      <c r="AU153" s="581"/>
      <c r="AV153" s="581">
        <f t="shared" si="108"/>
        <v>175.68089999999998</v>
      </c>
      <c r="AW153" s="590"/>
      <c r="AX153" s="590"/>
      <c r="AY153" s="590">
        <f>+AQ153*1.035</f>
        <v>181.82973149999995</v>
      </c>
      <c r="AZ153" s="590"/>
      <c r="BA153" s="590"/>
      <c r="BB153" s="590"/>
      <c r="BC153" s="590"/>
      <c r="BD153" s="548">
        <f t="shared" si="115"/>
        <v>181.82973149999995</v>
      </c>
      <c r="BE153" s="60">
        <f t="shared" si="109"/>
        <v>0</v>
      </c>
      <c r="BF153" s="60">
        <f t="shared" si="109"/>
        <v>0</v>
      </c>
      <c r="BG153" s="60">
        <f t="shared" si="109"/>
        <v>691.25063149999994</v>
      </c>
      <c r="BH153" s="60">
        <f t="shared" si="109"/>
        <v>0</v>
      </c>
      <c r="BI153" s="60">
        <f t="shared" si="109"/>
        <v>0</v>
      </c>
      <c r="BJ153" s="60">
        <f t="shared" si="107"/>
        <v>0</v>
      </c>
      <c r="BK153" s="60">
        <f t="shared" si="99"/>
        <v>0</v>
      </c>
      <c r="BL153" s="60">
        <f t="shared" si="99"/>
        <v>691.25063149999994</v>
      </c>
    </row>
    <row r="154" spans="1:65" ht="72" hidden="1" customHeight="1" x14ac:dyDescent="0.2">
      <c r="A154" s="298" t="s">
        <v>386</v>
      </c>
      <c r="B154" s="299" t="s">
        <v>384</v>
      </c>
      <c r="C154" s="1547"/>
      <c r="D154" s="1549"/>
      <c r="E154" s="1549"/>
      <c r="F154" s="1549"/>
      <c r="G154" s="1549"/>
      <c r="H154" s="1549"/>
      <c r="I154" s="1425"/>
      <c r="J154" s="1425"/>
      <c r="K154" s="1425" t="s">
        <v>483</v>
      </c>
      <c r="L154" s="301" t="s">
        <v>391</v>
      </c>
      <c r="M154" s="1425" t="s">
        <v>392</v>
      </c>
      <c r="N154" s="476" t="s">
        <v>393</v>
      </c>
      <c r="O154" s="1425" t="s">
        <v>73</v>
      </c>
      <c r="P154" s="1425"/>
      <c r="Q154" s="16" t="s">
        <v>484</v>
      </c>
      <c r="R154" s="302" t="s">
        <v>485</v>
      </c>
      <c r="S154" s="303">
        <v>2015</v>
      </c>
      <c r="T154" s="303">
        <v>275</v>
      </c>
      <c r="U154" s="303">
        <v>275</v>
      </c>
      <c r="V154" s="572">
        <f>275+275</f>
        <v>550</v>
      </c>
      <c r="W154" s="572">
        <f>275+550</f>
        <v>825</v>
      </c>
      <c r="X154" s="572">
        <f>275+825</f>
        <v>1100</v>
      </c>
      <c r="Y154" s="572">
        <v>1100</v>
      </c>
      <c r="Z154" s="581"/>
      <c r="AA154" s="581"/>
      <c r="AB154" s="495">
        <v>1</v>
      </c>
      <c r="AC154" s="581"/>
      <c r="AD154" s="581"/>
      <c r="AE154" s="581"/>
      <c r="AF154" s="581"/>
      <c r="AG154" s="481">
        <f t="shared" si="92"/>
        <v>1</v>
      </c>
      <c r="AH154" s="590"/>
      <c r="AI154" s="590"/>
      <c r="AJ154" s="495">
        <v>1</v>
      </c>
      <c r="AK154" s="590"/>
      <c r="AL154" s="590"/>
      <c r="AM154" s="590"/>
      <c r="AN154" s="590">
        <f t="shared" si="112"/>
        <v>1</v>
      </c>
      <c r="AO154" s="581"/>
      <c r="AP154" s="581"/>
      <c r="AQ154" s="495">
        <v>1</v>
      </c>
      <c r="AR154" s="581"/>
      <c r="AS154" s="581"/>
      <c r="AT154" s="581"/>
      <c r="AU154" s="581"/>
      <c r="AV154" s="581">
        <f t="shared" si="108"/>
        <v>1</v>
      </c>
      <c r="AW154" s="590"/>
      <c r="AX154" s="590"/>
      <c r="AY154" s="495">
        <v>5</v>
      </c>
      <c r="AZ154" s="590"/>
      <c r="BA154" s="590"/>
      <c r="BB154" s="590"/>
      <c r="BC154" s="590"/>
      <c r="BD154" s="548">
        <f t="shared" si="115"/>
        <v>5</v>
      </c>
      <c r="BE154" s="60">
        <f t="shared" si="109"/>
        <v>0</v>
      </c>
      <c r="BF154" s="60">
        <f t="shared" si="109"/>
        <v>0</v>
      </c>
      <c r="BG154" s="60">
        <f t="shared" si="109"/>
        <v>8</v>
      </c>
      <c r="BH154" s="60">
        <f t="shared" si="109"/>
        <v>0</v>
      </c>
      <c r="BI154" s="60">
        <f t="shared" si="109"/>
        <v>0</v>
      </c>
      <c r="BJ154" s="60">
        <f t="shared" si="107"/>
        <v>0</v>
      </c>
      <c r="BK154" s="60">
        <f t="shared" si="99"/>
        <v>0</v>
      </c>
      <c r="BL154" s="60">
        <f t="shared" si="99"/>
        <v>8</v>
      </c>
    </row>
    <row r="155" spans="1:65" ht="80.25" hidden="1" customHeight="1" x14ac:dyDescent="0.2">
      <c r="A155" s="298" t="s">
        <v>386</v>
      </c>
      <c r="B155" s="299" t="s">
        <v>384</v>
      </c>
      <c r="C155" s="1548"/>
      <c r="D155" s="1549"/>
      <c r="E155" s="1549"/>
      <c r="F155" s="1549"/>
      <c r="G155" s="1549"/>
      <c r="H155" s="1549"/>
      <c r="I155" s="1425"/>
      <c r="J155" s="1425"/>
      <c r="K155" s="1425" t="s">
        <v>486</v>
      </c>
      <c r="L155" s="301" t="s">
        <v>391</v>
      </c>
      <c r="M155" s="1425" t="s">
        <v>392</v>
      </c>
      <c r="N155" s="476" t="s">
        <v>393</v>
      </c>
      <c r="O155" s="1425" t="s">
        <v>47</v>
      </c>
      <c r="P155" s="1425"/>
      <c r="Q155" s="71" t="s">
        <v>487</v>
      </c>
      <c r="R155" s="302" t="s">
        <v>488</v>
      </c>
      <c r="S155" s="303">
        <v>2015</v>
      </c>
      <c r="T155" s="303">
        <v>0</v>
      </c>
      <c r="U155" s="303">
        <v>0</v>
      </c>
      <c r="V155" s="572">
        <v>1</v>
      </c>
      <c r="W155" s="572">
        <v>1</v>
      </c>
      <c r="X155" s="572">
        <v>1</v>
      </c>
      <c r="Y155" s="572">
        <v>1</v>
      </c>
      <c r="Z155" s="581"/>
      <c r="AA155" s="581"/>
      <c r="AB155" s="581"/>
      <c r="AC155" s="581"/>
      <c r="AD155" s="581"/>
      <c r="AE155" s="581"/>
      <c r="AF155" s="581"/>
      <c r="AG155" s="481">
        <f t="shared" si="92"/>
        <v>0</v>
      </c>
      <c r="AH155" s="590"/>
      <c r="AI155" s="590"/>
      <c r="AJ155" s="590">
        <v>10</v>
      </c>
      <c r="AK155" s="590"/>
      <c r="AL155" s="590"/>
      <c r="AM155" s="590"/>
      <c r="AN155" s="590">
        <f t="shared" si="112"/>
        <v>10</v>
      </c>
      <c r="AO155" s="581"/>
      <c r="AP155" s="581"/>
      <c r="AQ155" s="495">
        <v>9</v>
      </c>
      <c r="AR155" s="581"/>
      <c r="AS155" s="581"/>
      <c r="AT155" s="581"/>
      <c r="AU155" s="581"/>
      <c r="AV155" s="581">
        <f t="shared" si="108"/>
        <v>9</v>
      </c>
      <c r="AW155" s="590"/>
      <c r="AX155" s="590"/>
      <c r="AY155" s="60">
        <f>+AQ155*1.035</f>
        <v>9.3149999999999995</v>
      </c>
      <c r="AZ155" s="590"/>
      <c r="BA155" s="590"/>
      <c r="BB155" s="590"/>
      <c r="BC155" s="590"/>
      <c r="BD155" s="548">
        <f>SUM(AW155:BC155)</f>
        <v>9.3149999999999995</v>
      </c>
      <c r="BE155" s="60">
        <f>+AW155+AO155+AH155+Z155</f>
        <v>0</v>
      </c>
      <c r="BF155" s="60">
        <f>+AX155+AP155+AI155+AA155</f>
        <v>0</v>
      </c>
      <c r="BG155" s="60">
        <f>+AY155+AQ155+AJ155+AB155</f>
        <v>28.314999999999998</v>
      </c>
      <c r="BH155" s="60">
        <f>+AZ155+AR155+AK155+AC155</f>
        <v>0</v>
      </c>
      <c r="BI155" s="60">
        <f>+BA155+AS155+AL155+AD155</f>
        <v>0</v>
      </c>
      <c r="BJ155" s="60">
        <f t="shared" si="107"/>
        <v>0</v>
      </c>
      <c r="BK155" s="60">
        <f>+BC155+AU155+AM155+AF155</f>
        <v>0</v>
      </c>
      <c r="BL155" s="60">
        <f>+BD155+AV155+AN155+AG155</f>
        <v>28.314999999999998</v>
      </c>
    </row>
    <row r="156" spans="1:65" ht="18" hidden="1" x14ac:dyDescent="0.2">
      <c r="A156" s="290"/>
      <c r="B156" s="1556" t="s">
        <v>489</v>
      </c>
      <c r="C156" s="1557"/>
      <c r="D156" s="1557"/>
      <c r="E156" s="1557"/>
      <c r="F156" s="1557"/>
      <c r="G156" s="1557"/>
      <c r="H156" s="1557"/>
      <c r="I156" s="1557"/>
      <c r="J156" s="1557"/>
      <c r="K156" s="1557"/>
      <c r="L156" s="1557"/>
      <c r="M156" s="1558"/>
      <c r="N156" s="597"/>
      <c r="O156" s="597"/>
      <c r="P156" s="597"/>
      <c r="Q156" s="598"/>
      <c r="R156" s="598"/>
      <c r="S156" s="597"/>
      <c r="T156" s="597"/>
      <c r="U156" s="597"/>
      <c r="V156" s="599"/>
      <c r="W156" s="599"/>
      <c r="X156" s="599"/>
      <c r="Y156" s="599"/>
      <c r="Z156" s="599">
        <f t="shared" ref="Z156:BI156" si="116">+Z157+Z182+Z193+Z201+Z212+Z221+Z227+Z235+Z243</f>
        <v>161.84</v>
      </c>
      <c r="AA156" s="600">
        <f t="shared" si="116"/>
        <v>56</v>
      </c>
      <c r="AB156" s="706">
        <f t="shared" si="116"/>
        <v>111.69</v>
      </c>
      <c r="AC156" s="600">
        <f t="shared" si="116"/>
        <v>500</v>
      </c>
      <c r="AD156" s="600">
        <f t="shared" si="116"/>
        <v>0</v>
      </c>
      <c r="AE156" s="600">
        <f t="shared" si="116"/>
        <v>288.98</v>
      </c>
      <c r="AF156" s="600">
        <f t="shared" si="116"/>
        <v>0</v>
      </c>
      <c r="AG156" s="600">
        <f t="shared" si="116"/>
        <v>1118.5100000000002</v>
      </c>
      <c r="AH156" s="600">
        <f t="shared" si="116"/>
        <v>169.81</v>
      </c>
      <c r="AI156" s="600">
        <f t="shared" si="116"/>
        <v>56</v>
      </c>
      <c r="AJ156" s="600">
        <f t="shared" si="116"/>
        <v>113.99499999999999</v>
      </c>
      <c r="AK156" s="600">
        <f t="shared" si="116"/>
        <v>0</v>
      </c>
      <c r="AL156" s="600">
        <f t="shared" si="116"/>
        <v>0</v>
      </c>
      <c r="AM156" s="600">
        <f t="shared" si="116"/>
        <v>0</v>
      </c>
      <c r="AN156" s="600">
        <f t="shared" si="116"/>
        <v>339.80499999999995</v>
      </c>
      <c r="AO156" s="600">
        <f t="shared" si="116"/>
        <v>177.78</v>
      </c>
      <c r="AP156" s="600">
        <f t="shared" si="116"/>
        <v>56</v>
      </c>
      <c r="AQ156" s="600">
        <f t="shared" si="116"/>
        <v>116.27600000000001</v>
      </c>
      <c r="AR156" s="600">
        <f t="shared" si="116"/>
        <v>0</v>
      </c>
      <c r="AS156" s="600">
        <f t="shared" si="116"/>
        <v>0</v>
      </c>
      <c r="AT156" s="600">
        <f t="shared" si="116"/>
        <v>0</v>
      </c>
      <c r="AU156" s="600">
        <f t="shared" si="116"/>
        <v>0</v>
      </c>
      <c r="AV156" s="600">
        <f t="shared" si="116"/>
        <v>350.05599999999998</v>
      </c>
      <c r="AW156" s="600">
        <f t="shared" si="116"/>
        <v>170.04499999999999</v>
      </c>
      <c r="AX156" s="600">
        <f t="shared" si="116"/>
        <v>56</v>
      </c>
      <c r="AY156" s="600">
        <f t="shared" si="116"/>
        <v>118.71000000000001</v>
      </c>
      <c r="AZ156" s="600">
        <f t="shared" si="116"/>
        <v>0</v>
      </c>
      <c r="BA156" s="600">
        <f t="shared" si="116"/>
        <v>0</v>
      </c>
      <c r="BB156" s="600">
        <f t="shared" si="116"/>
        <v>0</v>
      </c>
      <c r="BC156" s="600">
        <f t="shared" si="116"/>
        <v>0</v>
      </c>
      <c r="BD156" s="600">
        <f t="shared" si="116"/>
        <v>344.755</v>
      </c>
      <c r="BE156" s="33">
        <f t="shared" si="116"/>
        <v>678.47500000000014</v>
      </c>
      <c r="BF156" s="33">
        <f t="shared" si="116"/>
        <v>224</v>
      </c>
      <c r="BG156" s="33">
        <f t="shared" si="116"/>
        <v>449.971</v>
      </c>
      <c r="BH156" s="33">
        <f t="shared" si="116"/>
        <v>500</v>
      </c>
      <c r="BI156" s="33">
        <f t="shared" si="116"/>
        <v>0</v>
      </c>
      <c r="BJ156" s="33">
        <f t="shared" si="107"/>
        <v>288.98</v>
      </c>
      <c r="BK156" s="33">
        <f>+BK157+BK182+BK193+BK201+BK212+BK221+BK227+BK235+BK243</f>
        <v>0</v>
      </c>
      <c r="BL156" s="33">
        <f>+BL157+BL182+BL193+BL201+BL212+BL221+BL227+BL235+BL243</f>
        <v>2142.9260000000004</v>
      </c>
    </row>
    <row r="157" spans="1:65" ht="12.75" hidden="1" x14ac:dyDescent="0.2">
      <c r="A157" s="296"/>
      <c r="B157" s="155" t="s">
        <v>489</v>
      </c>
      <c r="C157" s="154"/>
      <c r="D157" s="2"/>
      <c r="E157" s="1"/>
      <c r="F157" s="1"/>
      <c r="G157" s="1"/>
      <c r="H157" s="1"/>
      <c r="I157" s="1"/>
      <c r="J157" s="1"/>
      <c r="K157" s="1"/>
      <c r="L157" s="1"/>
      <c r="M157" s="1"/>
      <c r="N157" s="1"/>
      <c r="O157" s="1"/>
      <c r="P157" s="1"/>
      <c r="Q157" s="22" t="s">
        <v>490</v>
      </c>
      <c r="R157" s="22"/>
      <c r="S157" s="1"/>
      <c r="T157" s="1"/>
      <c r="U157" s="1"/>
      <c r="V157" s="1"/>
      <c r="W157" s="1"/>
      <c r="X157" s="1"/>
      <c r="Y157" s="1"/>
      <c r="Z157" s="34">
        <f t="shared" ref="Z157:BI157" si="117">SUM(Z158:Z181)</f>
        <v>49.64</v>
      </c>
      <c r="AA157" s="34">
        <f t="shared" si="117"/>
        <v>0</v>
      </c>
      <c r="AB157" s="34">
        <f t="shared" si="117"/>
        <v>43.63</v>
      </c>
      <c r="AC157" s="34">
        <f t="shared" si="117"/>
        <v>0</v>
      </c>
      <c r="AD157" s="34">
        <f t="shared" si="117"/>
        <v>0</v>
      </c>
      <c r="AE157" s="34">
        <f t="shared" si="117"/>
        <v>241.26</v>
      </c>
      <c r="AF157" s="34">
        <f t="shared" si="117"/>
        <v>0</v>
      </c>
      <c r="AG157" s="34">
        <f t="shared" si="117"/>
        <v>334.53</v>
      </c>
      <c r="AH157" s="34">
        <f t="shared" si="117"/>
        <v>58.24</v>
      </c>
      <c r="AI157" s="34">
        <f t="shared" si="117"/>
        <v>0</v>
      </c>
      <c r="AJ157" s="34">
        <f t="shared" si="117"/>
        <v>37.33</v>
      </c>
      <c r="AK157" s="34">
        <f t="shared" si="117"/>
        <v>0</v>
      </c>
      <c r="AL157" s="34">
        <f t="shared" si="117"/>
        <v>0</v>
      </c>
      <c r="AM157" s="34">
        <f t="shared" si="117"/>
        <v>0</v>
      </c>
      <c r="AN157" s="34">
        <f t="shared" si="117"/>
        <v>95.57</v>
      </c>
      <c r="AO157" s="34">
        <f t="shared" si="117"/>
        <v>60.28</v>
      </c>
      <c r="AP157" s="34">
        <f t="shared" si="117"/>
        <v>0</v>
      </c>
      <c r="AQ157" s="34">
        <f t="shared" si="117"/>
        <v>38.56</v>
      </c>
      <c r="AR157" s="34">
        <f t="shared" si="117"/>
        <v>0</v>
      </c>
      <c r="AS157" s="34">
        <f t="shared" si="117"/>
        <v>0</v>
      </c>
      <c r="AT157" s="34">
        <f t="shared" si="117"/>
        <v>0</v>
      </c>
      <c r="AU157" s="34">
        <f t="shared" si="117"/>
        <v>0</v>
      </c>
      <c r="AV157" s="34">
        <f t="shared" si="117"/>
        <v>98.84</v>
      </c>
      <c r="AW157" s="34">
        <f t="shared" si="117"/>
        <v>62.384999999999998</v>
      </c>
      <c r="AX157" s="34">
        <f t="shared" si="117"/>
        <v>0</v>
      </c>
      <c r="AY157" s="34">
        <f t="shared" si="117"/>
        <v>39.909999999999997</v>
      </c>
      <c r="AZ157" s="34">
        <f t="shared" si="117"/>
        <v>0</v>
      </c>
      <c r="BA157" s="34">
        <f t="shared" si="117"/>
        <v>0</v>
      </c>
      <c r="BB157" s="34">
        <f t="shared" si="117"/>
        <v>0</v>
      </c>
      <c r="BC157" s="34">
        <f t="shared" si="117"/>
        <v>0</v>
      </c>
      <c r="BD157" s="34">
        <f t="shared" si="117"/>
        <v>102.29499999999999</v>
      </c>
      <c r="BE157" s="34">
        <f t="shared" si="117"/>
        <v>229.54500000000002</v>
      </c>
      <c r="BF157" s="34">
        <f t="shared" si="117"/>
        <v>0</v>
      </c>
      <c r="BG157" s="34">
        <f t="shared" si="117"/>
        <v>158.93</v>
      </c>
      <c r="BH157" s="34">
        <f t="shared" si="117"/>
        <v>0</v>
      </c>
      <c r="BI157" s="34">
        <f t="shared" si="117"/>
        <v>0</v>
      </c>
      <c r="BJ157" s="34">
        <f t="shared" si="107"/>
        <v>241.26</v>
      </c>
      <c r="BK157" s="34">
        <f>SUM(BK158:BK181)</f>
        <v>0</v>
      </c>
      <c r="BL157" s="34">
        <f>SUM(BL158:BL181)</f>
        <v>631.23500000000001</v>
      </c>
      <c r="BM157" s="3"/>
    </row>
    <row r="158" spans="1:65" ht="60" hidden="1" customHeight="1" x14ac:dyDescent="0.2">
      <c r="A158" s="298" t="s">
        <v>491</v>
      </c>
      <c r="B158" s="299" t="s">
        <v>489</v>
      </c>
      <c r="C158" s="1546" t="s">
        <v>492</v>
      </c>
      <c r="D158" s="1550" t="s">
        <v>493</v>
      </c>
      <c r="E158" s="1550" t="s">
        <v>494</v>
      </c>
      <c r="F158" s="1550">
        <v>2015</v>
      </c>
      <c r="G158" s="1550" t="s">
        <v>177</v>
      </c>
      <c r="H158" s="1550">
        <v>50</v>
      </c>
      <c r="I158" s="1425"/>
      <c r="J158" s="1425"/>
      <c r="K158" s="1425" t="s">
        <v>495</v>
      </c>
      <c r="L158" s="301" t="s">
        <v>496</v>
      </c>
      <c r="M158" s="1425" t="s">
        <v>497</v>
      </c>
      <c r="N158" s="476"/>
      <c r="O158" s="1425" t="s">
        <v>73</v>
      </c>
      <c r="P158" s="1425"/>
      <c r="Q158" s="16" t="s">
        <v>498</v>
      </c>
      <c r="R158" s="302" t="s">
        <v>499</v>
      </c>
      <c r="S158" s="303">
        <v>2015</v>
      </c>
      <c r="T158" s="303">
        <v>0</v>
      </c>
      <c r="U158" s="303">
        <v>4</v>
      </c>
      <c r="V158" s="303">
        <v>4</v>
      </c>
      <c r="W158" s="303">
        <v>4</v>
      </c>
      <c r="X158" s="303">
        <v>4</v>
      </c>
      <c r="Y158" s="303">
        <v>4</v>
      </c>
      <c r="Z158" s="481">
        <v>0</v>
      </c>
      <c r="AA158" s="481">
        <v>0</v>
      </c>
      <c r="AB158" s="481">
        <v>0</v>
      </c>
      <c r="AC158" s="481">
        <v>0</v>
      </c>
      <c r="AD158" s="481">
        <v>0</v>
      </c>
      <c r="AE158" s="491">
        <v>1</v>
      </c>
      <c r="AF158" s="481">
        <v>0</v>
      </c>
      <c r="AG158" s="481">
        <f t="shared" ref="AG158:AG222" si="118">SUM(Z158:AF158)</f>
        <v>1</v>
      </c>
      <c r="AH158" s="491">
        <v>1</v>
      </c>
      <c r="AI158" s="548">
        <v>0</v>
      </c>
      <c r="AJ158" s="548">
        <v>0</v>
      </c>
      <c r="AK158" s="548">
        <v>0</v>
      </c>
      <c r="AL158" s="548">
        <v>0</v>
      </c>
      <c r="AM158" s="548">
        <v>0</v>
      </c>
      <c r="AN158" s="548">
        <f t="shared" ref="AN158:AN222" si="119">SUM(AH158:AM158)</f>
        <v>1</v>
      </c>
      <c r="AO158" s="491">
        <v>1</v>
      </c>
      <c r="AP158" s="481">
        <v>0</v>
      </c>
      <c r="AQ158" s="481">
        <v>0</v>
      </c>
      <c r="AR158" s="481">
        <v>0</v>
      </c>
      <c r="AS158" s="481">
        <v>0</v>
      </c>
      <c r="AT158" s="481">
        <v>0</v>
      </c>
      <c r="AU158" s="481">
        <v>0</v>
      </c>
      <c r="AV158" s="481">
        <f t="shared" ref="AV158:AV222" si="120">SUM(AO158:AU158)</f>
        <v>1</v>
      </c>
      <c r="AW158" s="548">
        <v>1</v>
      </c>
      <c r="AX158" s="548">
        <f t="shared" ref="AX158:BC158" si="121">AP158*1.035</f>
        <v>0</v>
      </c>
      <c r="AY158" s="548">
        <f t="shared" si="121"/>
        <v>0</v>
      </c>
      <c r="AZ158" s="548">
        <f t="shared" si="121"/>
        <v>0</v>
      </c>
      <c r="BA158" s="548">
        <f t="shared" si="121"/>
        <v>0</v>
      </c>
      <c r="BB158" s="548">
        <f t="shared" si="121"/>
        <v>0</v>
      </c>
      <c r="BC158" s="548">
        <f t="shared" si="121"/>
        <v>0</v>
      </c>
      <c r="BD158" s="548">
        <f t="shared" ref="BD158:BD222" si="122">SUM(AW158:BC158)</f>
        <v>1</v>
      </c>
      <c r="BE158" s="42">
        <f>+AW158+AO158+AH158+Z158</f>
        <v>3</v>
      </c>
      <c r="BF158" s="42">
        <f>+AX158+AP158+AI158+AA158</f>
        <v>0</v>
      </c>
      <c r="BG158" s="42">
        <f>+AY158+AQ158+AJ158+AB158</f>
        <v>0</v>
      </c>
      <c r="BH158" s="42">
        <f>+AZ158+AR158+AK158+AC158</f>
        <v>0</v>
      </c>
      <c r="BI158" s="42">
        <f>+BA158+AS158+AL158+AD158</f>
        <v>0</v>
      </c>
      <c r="BJ158" s="42">
        <f t="shared" si="107"/>
        <v>1</v>
      </c>
      <c r="BK158" s="42">
        <f>+BC158+AU158+AM158+AF158</f>
        <v>0</v>
      </c>
      <c r="BL158" s="42">
        <f>+BD158+AV158+AN158+AG158</f>
        <v>4</v>
      </c>
      <c r="BM158" s="3"/>
    </row>
    <row r="159" spans="1:65" ht="45.75" hidden="1" customHeight="1" x14ac:dyDescent="0.2">
      <c r="A159" s="298" t="s">
        <v>491</v>
      </c>
      <c r="B159" s="299" t="s">
        <v>489</v>
      </c>
      <c r="C159" s="1547"/>
      <c r="D159" s="1551"/>
      <c r="E159" s="1551"/>
      <c r="F159" s="1551"/>
      <c r="G159" s="1551"/>
      <c r="H159" s="1551"/>
      <c r="I159" s="1425"/>
      <c r="J159" s="1425"/>
      <c r="K159" s="1425" t="s">
        <v>500</v>
      </c>
      <c r="L159" s="301" t="s">
        <v>496</v>
      </c>
      <c r="M159" s="1425" t="s">
        <v>497</v>
      </c>
      <c r="N159" s="476"/>
      <c r="O159" s="1425" t="s">
        <v>73</v>
      </c>
      <c r="P159" s="1425"/>
      <c r="Q159" s="16" t="s">
        <v>501</v>
      </c>
      <c r="R159" s="302" t="s">
        <v>502</v>
      </c>
      <c r="S159" s="303">
        <v>2015</v>
      </c>
      <c r="T159" s="303">
        <v>0</v>
      </c>
      <c r="U159" s="303">
        <v>0</v>
      </c>
      <c r="V159" s="303">
        <v>1</v>
      </c>
      <c r="W159" s="303">
        <v>1</v>
      </c>
      <c r="X159" s="303">
        <v>1</v>
      </c>
      <c r="Y159" s="303">
        <v>1</v>
      </c>
      <c r="Z159" s="482"/>
      <c r="AA159" s="481">
        <v>0</v>
      </c>
      <c r="AB159" s="481">
        <v>0</v>
      </c>
      <c r="AC159" s="481">
        <v>0</v>
      </c>
      <c r="AD159" s="481">
        <v>0</v>
      </c>
      <c r="AE159" s="481"/>
      <c r="AF159" s="481">
        <v>0</v>
      </c>
      <c r="AG159" s="481">
        <f t="shared" si="118"/>
        <v>0</v>
      </c>
      <c r="AH159" s="700">
        <v>0.5</v>
      </c>
      <c r="AI159" s="548">
        <v>0</v>
      </c>
      <c r="AJ159" s="548">
        <v>0</v>
      </c>
      <c r="AK159" s="548">
        <v>0</v>
      </c>
      <c r="AL159" s="548">
        <v>0</v>
      </c>
      <c r="AM159" s="548">
        <v>0</v>
      </c>
      <c r="AN159" s="548">
        <f t="shared" si="119"/>
        <v>0.5</v>
      </c>
      <c r="AO159" s="700">
        <v>0.5</v>
      </c>
      <c r="AP159" s="481">
        <v>0</v>
      </c>
      <c r="AQ159" s="481">
        <v>0</v>
      </c>
      <c r="AR159" s="481">
        <v>0</v>
      </c>
      <c r="AS159" s="481">
        <v>0</v>
      </c>
      <c r="AT159" s="481">
        <v>0</v>
      </c>
      <c r="AU159" s="481">
        <v>0</v>
      </c>
      <c r="AV159" s="481">
        <f t="shared" si="120"/>
        <v>0.5</v>
      </c>
      <c r="AW159" s="548">
        <v>0</v>
      </c>
      <c r="AX159" s="548">
        <v>0</v>
      </c>
      <c r="AY159" s="548">
        <v>20</v>
      </c>
      <c r="AZ159" s="548">
        <v>0</v>
      </c>
      <c r="BA159" s="548">
        <v>0</v>
      </c>
      <c r="BB159" s="548"/>
      <c r="BC159" s="548">
        <v>0</v>
      </c>
      <c r="BD159" s="548">
        <f t="shared" si="122"/>
        <v>20</v>
      </c>
      <c r="BE159" s="42">
        <f t="shared" ref="BE159:BI181" si="123">+AW159+AO159+AH159+Z159</f>
        <v>1</v>
      </c>
      <c r="BF159" s="42">
        <f t="shared" si="123"/>
        <v>0</v>
      </c>
      <c r="BG159" s="42">
        <f t="shared" si="123"/>
        <v>20</v>
      </c>
      <c r="BH159" s="42">
        <f t="shared" si="123"/>
        <v>0</v>
      </c>
      <c r="BI159" s="42">
        <f t="shared" si="123"/>
        <v>0</v>
      </c>
      <c r="BJ159" s="42">
        <f t="shared" si="107"/>
        <v>0</v>
      </c>
      <c r="BK159" s="42">
        <f t="shared" ref="BK159:BL181" si="124">+BC159+AU159+AM159+AF159</f>
        <v>0</v>
      </c>
      <c r="BL159" s="42">
        <f t="shared" si="124"/>
        <v>21</v>
      </c>
      <c r="BM159" s="3"/>
    </row>
    <row r="160" spans="1:65" ht="48.75" hidden="1" customHeight="1" x14ac:dyDescent="0.2">
      <c r="A160" s="298" t="s">
        <v>491</v>
      </c>
      <c r="B160" s="299" t="s">
        <v>489</v>
      </c>
      <c r="C160" s="1547"/>
      <c r="D160" s="1551"/>
      <c r="E160" s="1551"/>
      <c r="F160" s="1551"/>
      <c r="G160" s="1551"/>
      <c r="H160" s="1551"/>
      <c r="I160" s="1425"/>
      <c r="J160" s="1425"/>
      <c r="K160" s="1425" t="s">
        <v>503</v>
      </c>
      <c r="L160" s="301" t="s">
        <v>496</v>
      </c>
      <c r="M160" s="1425" t="s">
        <v>497</v>
      </c>
      <c r="N160" s="476"/>
      <c r="O160" s="1425" t="s">
        <v>73</v>
      </c>
      <c r="P160" s="1425"/>
      <c r="Q160" s="16" t="s">
        <v>504</v>
      </c>
      <c r="R160" s="302" t="s">
        <v>505</v>
      </c>
      <c r="S160" s="303">
        <v>2015</v>
      </c>
      <c r="T160" s="303">
        <v>1</v>
      </c>
      <c r="U160" s="303">
        <v>1</v>
      </c>
      <c r="V160" s="303">
        <v>1</v>
      </c>
      <c r="W160" s="303">
        <v>1</v>
      </c>
      <c r="X160" s="303">
        <v>1</v>
      </c>
      <c r="Y160" s="303">
        <v>1</v>
      </c>
      <c r="Z160" s="481">
        <v>0</v>
      </c>
      <c r="AA160" s="481">
        <v>0</v>
      </c>
      <c r="AB160" s="481">
        <v>0</v>
      </c>
      <c r="AC160" s="481">
        <v>0</v>
      </c>
      <c r="AD160" s="481">
        <v>0</v>
      </c>
      <c r="AE160" s="491">
        <v>1</v>
      </c>
      <c r="AF160" s="481">
        <v>0</v>
      </c>
      <c r="AG160" s="481">
        <f t="shared" si="118"/>
        <v>1</v>
      </c>
      <c r="AH160" s="491">
        <v>0.5</v>
      </c>
      <c r="AI160" s="548">
        <v>0</v>
      </c>
      <c r="AJ160" s="548">
        <v>0</v>
      </c>
      <c r="AK160" s="548">
        <v>0</v>
      </c>
      <c r="AL160" s="548">
        <v>0</v>
      </c>
      <c r="AM160" s="548">
        <v>0</v>
      </c>
      <c r="AN160" s="548">
        <f t="shared" si="119"/>
        <v>0.5</v>
      </c>
      <c r="AO160" s="491">
        <v>0.5</v>
      </c>
      <c r="AP160" s="481">
        <v>0</v>
      </c>
      <c r="AQ160" s="481">
        <v>0</v>
      </c>
      <c r="AR160" s="481">
        <v>0</v>
      </c>
      <c r="AS160" s="481">
        <v>0</v>
      </c>
      <c r="AT160" s="481">
        <v>0</v>
      </c>
      <c r="AU160" s="481">
        <v>0</v>
      </c>
      <c r="AV160" s="481">
        <f t="shared" si="120"/>
        <v>0.5</v>
      </c>
      <c r="AW160" s="491">
        <v>0.5</v>
      </c>
      <c r="AX160" s="548">
        <v>0</v>
      </c>
      <c r="AY160" s="548">
        <v>0</v>
      </c>
      <c r="AZ160" s="548">
        <v>0</v>
      </c>
      <c r="BA160" s="548">
        <v>0</v>
      </c>
      <c r="BB160" s="548">
        <v>0</v>
      </c>
      <c r="BC160" s="548">
        <v>0</v>
      </c>
      <c r="BD160" s="548">
        <f t="shared" si="122"/>
        <v>0.5</v>
      </c>
      <c r="BE160" s="42">
        <f t="shared" si="123"/>
        <v>1.5</v>
      </c>
      <c r="BF160" s="42">
        <f t="shared" si="123"/>
        <v>0</v>
      </c>
      <c r="BG160" s="42">
        <f t="shared" si="123"/>
        <v>0</v>
      </c>
      <c r="BH160" s="42">
        <f t="shared" si="123"/>
        <v>0</v>
      </c>
      <c r="BI160" s="42">
        <f t="shared" si="123"/>
        <v>0</v>
      </c>
      <c r="BJ160" s="42">
        <f t="shared" si="107"/>
        <v>1</v>
      </c>
      <c r="BK160" s="42">
        <f t="shared" si="124"/>
        <v>0</v>
      </c>
      <c r="BL160" s="42">
        <f t="shared" si="124"/>
        <v>2.5</v>
      </c>
      <c r="BM160" s="3"/>
    </row>
    <row r="161" spans="1:65" ht="55.5" hidden="1" customHeight="1" x14ac:dyDescent="0.2">
      <c r="A161" s="298" t="s">
        <v>491</v>
      </c>
      <c r="B161" s="299" t="s">
        <v>489</v>
      </c>
      <c r="C161" s="1547"/>
      <c r="D161" s="1551"/>
      <c r="E161" s="1551"/>
      <c r="F161" s="1551"/>
      <c r="G161" s="1551"/>
      <c r="H161" s="1551"/>
      <c r="I161" s="1425"/>
      <c r="J161" s="1425"/>
      <c r="K161" s="1425" t="s">
        <v>506</v>
      </c>
      <c r="L161" s="301" t="s">
        <v>496</v>
      </c>
      <c r="M161" s="1425" t="s">
        <v>497</v>
      </c>
      <c r="N161" s="476"/>
      <c r="O161" s="1425" t="s">
        <v>73</v>
      </c>
      <c r="P161" s="1425"/>
      <c r="Q161" s="16" t="s">
        <v>507</v>
      </c>
      <c r="R161" s="302" t="s">
        <v>508</v>
      </c>
      <c r="S161" s="303">
        <v>2015</v>
      </c>
      <c r="T161" s="303">
        <v>1</v>
      </c>
      <c r="U161" s="303">
        <v>1</v>
      </c>
      <c r="V161" s="303">
        <v>1</v>
      </c>
      <c r="W161" s="303">
        <v>1</v>
      </c>
      <c r="X161" s="303">
        <v>1</v>
      </c>
      <c r="Y161" s="303">
        <v>1</v>
      </c>
      <c r="Z161" s="481">
        <v>0</v>
      </c>
      <c r="AA161" s="481">
        <v>0</v>
      </c>
      <c r="AB161" s="481">
        <v>0</v>
      </c>
      <c r="AC161" s="481">
        <v>0</v>
      </c>
      <c r="AD161" s="481">
        <v>0</v>
      </c>
      <c r="AE161" s="491">
        <v>18</v>
      </c>
      <c r="AF161" s="481">
        <v>0</v>
      </c>
      <c r="AG161" s="481">
        <f t="shared" si="118"/>
        <v>18</v>
      </c>
      <c r="AH161" s="491">
        <v>9</v>
      </c>
      <c r="AI161" s="548">
        <v>0</v>
      </c>
      <c r="AJ161" s="548">
        <v>1.33</v>
      </c>
      <c r="AK161" s="548">
        <v>0</v>
      </c>
      <c r="AL161" s="548">
        <v>0</v>
      </c>
      <c r="AM161" s="548">
        <v>0</v>
      </c>
      <c r="AN161" s="548">
        <f t="shared" si="119"/>
        <v>10.33</v>
      </c>
      <c r="AO161" s="491">
        <v>10.24</v>
      </c>
      <c r="AP161" s="481">
        <v>0</v>
      </c>
      <c r="AQ161" s="481"/>
      <c r="AR161" s="481">
        <v>0</v>
      </c>
      <c r="AS161" s="481">
        <v>0</v>
      </c>
      <c r="AT161" s="481">
        <v>0</v>
      </c>
      <c r="AU161" s="481">
        <v>0</v>
      </c>
      <c r="AV161" s="481">
        <f t="shared" si="120"/>
        <v>10.24</v>
      </c>
      <c r="AW161" s="491">
        <v>8.5</v>
      </c>
      <c r="AX161" s="548">
        <v>0</v>
      </c>
      <c r="AY161" s="548">
        <v>0</v>
      </c>
      <c r="AZ161" s="548">
        <v>0</v>
      </c>
      <c r="BA161" s="548">
        <v>0</v>
      </c>
      <c r="BB161" s="548"/>
      <c r="BC161" s="548">
        <v>0</v>
      </c>
      <c r="BD161" s="548">
        <f t="shared" si="122"/>
        <v>8.5</v>
      </c>
      <c r="BE161" s="42">
        <f t="shared" si="123"/>
        <v>27.740000000000002</v>
      </c>
      <c r="BF161" s="42">
        <f t="shared" si="123"/>
        <v>0</v>
      </c>
      <c r="BG161" s="42">
        <f t="shared" si="123"/>
        <v>1.33</v>
      </c>
      <c r="BH161" s="42">
        <f t="shared" si="123"/>
        <v>0</v>
      </c>
      <c r="BI161" s="42">
        <f t="shared" si="123"/>
        <v>0</v>
      </c>
      <c r="BJ161" s="42">
        <f t="shared" si="107"/>
        <v>18</v>
      </c>
      <c r="BK161" s="42">
        <f t="shared" si="124"/>
        <v>0</v>
      </c>
      <c r="BL161" s="42">
        <f t="shared" si="124"/>
        <v>47.07</v>
      </c>
      <c r="BM161" s="3"/>
    </row>
    <row r="162" spans="1:65" ht="77.25" hidden="1" customHeight="1" x14ac:dyDescent="0.2">
      <c r="A162" s="298" t="s">
        <v>491</v>
      </c>
      <c r="B162" s="299" t="s">
        <v>489</v>
      </c>
      <c r="C162" s="1547"/>
      <c r="D162" s="1551"/>
      <c r="E162" s="1551"/>
      <c r="F162" s="1551"/>
      <c r="G162" s="1551"/>
      <c r="H162" s="1551"/>
      <c r="I162" s="1425"/>
      <c r="J162" s="1425"/>
      <c r="K162" s="1425" t="s">
        <v>509</v>
      </c>
      <c r="L162" s="301" t="s">
        <v>496</v>
      </c>
      <c r="M162" s="1425" t="s">
        <v>497</v>
      </c>
      <c r="N162" s="476"/>
      <c r="O162" s="1425" t="s">
        <v>73</v>
      </c>
      <c r="P162" s="1425"/>
      <c r="Q162" s="16" t="s">
        <v>510</v>
      </c>
      <c r="R162" s="302" t="s">
        <v>511</v>
      </c>
      <c r="S162" s="303">
        <v>2015</v>
      </c>
      <c r="T162" s="303">
        <v>1</v>
      </c>
      <c r="U162" s="303">
        <v>1</v>
      </c>
      <c r="V162" s="303">
        <v>1</v>
      </c>
      <c r="W162" s="303">
        <v>1</v>
      </c>
      <c r="X162" s="303">
        <v>1</v>
      </c>
      <c r="Y162" s="303">
        <v>1</v>
      </c>
      <c r="Z162" s="481">
        <v>0</v>
      </c>
      <c r="AA162" s="481">
        <v>0</v>
      </c>
      <c r="AB162" s="481">
        <v>0</v>
      </c>
      <c r="AC162" s="481">
        <v>0</v>
      </c>
      <c r="AD162" s="481">
        <v>0</v>
      </c>
      <c r="AE162" s="481">
        <v>11</v>
      </c>
      <c r="AF162" s="481">
        <v>0</v>
      </c>
      <c r="AG162" s="481">
        <f t="shared" si="118"/>
        <v>11</v>
      </c>
      <c r="AH162" s="491">
        <v>1</v>
      </c>
      <c r="AI162" s="548">
        <v>0</v>
      </c>
      <c r="AJ162" s="716"/>
      <c r="AK162" s="548">
        <v>0</v>
      </c>
      <c r="AL162" s="548">
        <v>0</v>
      </c>
      <c r="AM162" s="548">
        <v>0</v>
      </c>
      <c r="AN162" s="548">
        <f t="shared" si="119"/>
        <v>1</v>
      </c>
      <c r="AO162" s="481">
        <v>2.04</v>
      </c>
      <c r="AP162" s="481">
        <v>0</v>
      </c>
      <c r="AQ162" s="481">
        <v>2.56</v>
      </c>
      <c r="AR162" s="481">
        <v>0</v>
      </c>
      <c r="AS162" s="481">
        <v>0</v>
      </c>
      <c r="AT162" s="481">
        <v>0</v>
      </c>
      <c r="AU162" s="481">
        <v>0</v>
      </c>
      <c r="AV162" s="481">
        <f t="shared" si="120"/>
        <v>4.5999999999999996</v>
      </c>
      <c r="AW162" s="548">
        <v>0</v>
      </c>
      <c r="AX162" s="548">
        <v>0</v>
      </c>
      <c r="AY162" s="491">
        <v>18.91</v>
      </c>
      <c r="AZ162" s="548">
        <v>0</v>
      </c>
      <c r="BA162" s="548">
        <v>0</v>
      </c>
      <c r="BB162" s="548"/>
      <c r="BC162" s="548">
        <v>0</v>
      </c>
      <c r="BD162" s="548">
        <f t="shared" si="122"/>
        <v>18.91</v>
      </c>
      <c r="BE162" s="42">
        <f t="shared" si="123"/>
        <v>3.04</v>
      </c>
      <c r="BF162" s="42">
        <f t="shared" si="123"/>
        <v>0</v>
      </c>
      <c r="BG162" s="42">
        <f t="shared" si="123"/>
        <v>21.47</v>
      </c>
      <c r="BH162" s="42">
        <f t="shared" si="123"/>
        <v>0</v>
      </c>
      <c r="BI162" s="42">
        <f t="shared" si="123"/>
        <v>0</v>
      </c>
      <c r="BJ162" s="42">
        <f t="shared" si="107"/>
        <v>11</v>
      </c>
      <c r="BK162" s="42">
        <f t="shared" si="124"/>
        <v>0</v>
      </c>
      <c r="BL162" s="42">
        <f t="shared" si="124"/>
        <v>35.51</v>
      </c>
      <c r="BM162" s="3"/>
    </row>
    <row r="163" spans="1:65" ht="73.5" hidden="1" customHeight="1" x14ac:dyDescent="0.2">
      <c r="A163" s="298"/>
      <c r="B163" s="299"/>
      <c r="C163" s="1547"/>
      <c r="D163" s="1551"/>
      <c r="E163" s="1551"/>
      <c r="F163" s="1551"/>
      <c r="G163" s="1551"/>
      <c r="H163" s="1551"/>
      <c r="I163" s="1425"/>
      <c r="J163" s="1425"/>
      <c r="K163" s="1425" t="s">
        <v>512</v>
      </c>
      <c r="L163" s="301" t="s">
        <v>496</v>
      </c>
      <c r="M163" s="1425" t="s">
        <v>497</v>
      </c>
      <c r="N163" s="476"/>
      <c r="O163" s="1425" t="s">
        <v>47</v>
      </c>
      <c r="P163" s="1425"/>
      <c r="Q163" s="16" t="s">
        <v>513</v>
      </c>
      <c r="R163" s="302" t="s">
        <v>337</v>
      </c>
      <c r="S163" s="303">
        <v>2015</v>
      </c>
      <c r="T163" s="303"/>
      <c r="U163" s="303">
        <v>3</v>
      </c>
      <c r="V163" s="303">
        <v>3</v>
      </c>
      <c r="W163" s="303">
        <v>3</v>
      </c>
      <c r="X163" s="303">
        <v>3</v>
      </c>
      <c r="Y163" s="303">
        <v>12</v>
      </c>
      <c r="Z163" s="481"/>
      <c r="AA163" s="481"/>
      <c r="AB163" s="481"/>
      <c r="AC163" s="481"/>
      <c r="AD163" s="481"/>
      <c r="AE163" s="491">
        <v>1</v>
      </c>
      <c r="AF163" s="481"/>
      <c r="AG163" s="481">
        <f>SUM(Z163:AF163)</f>
        <v>1</v>
      </c>
      <c r="AH163" s="491">
        <v>0.5</v>
      </c>
      <c r="AI163" s="548"/>
      <c r="AJ163" s="548"/>
      <c r="AK163" s="548"/>
      <c r="AL163" s="548"/>
      <c r="AM163" s="548"/>
      <c r="AN163" s="548">
        <f>SUM(AH163:AM163)</f>
        <v>0.5</v>
      </c>
      <c r="AO163" s="491">
        <v>0.5</v>
      </c>
      <c r="AP163" s="481"/>
      <c r="AQ163" s="481"/>
      <c r="AR163" s="481"/>
      <c r="AS163" s="481"/>
      <c r="AT163" s="481"/>
      <c r="AU163" s="481"/>
      <c r="AV163" s="481">
        <f>SUM(AO163:AU163)</f>
        <v>0.5</v>
      </c>
      <c r="AW163" s="548"/>
      <c r="AX163" s="548"/>
      <c r="AY163" s="491">
        <v>0.5</v>
      </c>
      <c r="AZ163" s="548"/>
      <c r="BA163" s="548"/>
      <c r="BB163" s="548"/>
      <c r="BC163" s="548"/>
      <c r="BD163" s="548">
        <f>SUM(AW163:BC163)</f>
        <v>0.5</v>
      </c>
      <c r="BE163" s="42"/>
      <c r="BF163" s="42"/>
      <c r="BG163" s="42"/>
      <c r="BH163" s="42"/>
      <c r="BI163" s="42"/>
      <c r="BJ163" s="42"/>
      <c r="BK163" s="42"/>
      <c r="BL163" s="42">
        <f t="shared" si="124"/>
        <v>2.5</v>
      </c>
      <c r="BM163" s="3"/>
    </row>
    <row r="164" spans="1:65" ht="69" hidden="1" customHeight="1" x14ac:dyDescent="0.2">
      <c r="A164" s="298" t="s">
        <v>491</v>
      </c>
      <c r="B164" s="299" t="s">
        <v>489</v>
      </c>
      <c r="C164" s="1547"/>
      <c r="D164" s="1551"/>
      <c r="E164" s="1551"/>
      <c r="F164" s="1551"/>
      <c r="G164" s="1551"/>
      <c r="H164" s="1551"/>
      <c r="I164" s="1425"/>
      <c r="J164" s="1425"/>
      <c r="K164" s="1425" t="s">
        <v>514</v>
      </c>
      <c r="L164" s="301" t="s">
        <v>496</v>
      </c>
      <c r="M164" s="1425" t="s">
        <v>497</v>
      </c>
      <c r="N164" s="476"/>
      <c r="O164" s="1425" t="s">
        <v>47</v>
      </c>
      <c r="P164" s="1425"/>
      <c r="Q164" s="16" t="s">
        <v>515</v>
      </c>
      <c r="R164" s="302" t="s">
        <v>516</v>
      </c>
      <c r="S164" s="303">
        <v>2015</v>
      </c>
      <c r="T164" s="303">
        <v>0</v>
      </c>
      <c r="U164" s="303">
        <v>3</v>
      </c>
      <c r="V164" s="303">
        <v>3</v>
      </c>
      <c r="W164" s="303">
        <v>3</v>
      </c>
      <c r="X164" s="303">
        <v>3</v>
      </c>
      <c r="Y164" s="303">
        <v>12</v>
      </c>
      <c r="Z164" s="481">
        <v>0</v>
      </c>
      <c r="AA164" s="481">
        <v>0</v>
      </c>
      <c r="AB164" s="481">
        <v>0</v>
      </c>
      <c r="AC164" s="481">
        <v>0</v>
      </c>
      <c r="AD164" s="481">
        <v>0</v>
      </c>
      <c r="AE164" s="491">
        <v>0.5</v>
      </c>
      <c r="AF164" s="481">
        <v>0</v>
      </c>
      <c r="AG164" s="481">
        <f t="shared" si="118"/>
        <v>0.5</v>
      </c>
      <c r="AH164" s="491">
        <v>0.5</v>
      </c>
      <c r="AI164" s="548">
        <v>0</v>
      </c>
      <c r="AJ164" s="716"/>
      <c r="AK164" s="548">
        <v>0</v>
      </c>
      <c r="AL164" s="548">
        <v>0</v>
      </c>
      <c r="AM164" s="548">
        <v>0</v>
      </c>
      <c r="AN164" s="548">
        <f t="shared" si="119"/>
        <v>0.5</v>
      </c>
      <c r="AO164" s="491">
        <v>0.5</v>
      </c>
      <c r="AP164" s="481">
        <v>0</v>
      </c>
      <c r="AQ164" s="481">
        <v>0</v>
      </c>
      <c r="AR164" s="481">
        <v>0</v>
      </c>
      <c r="AS164" s="481">
        <v>0</v>
      </c>
      <c r="AT164" s="481">
        <v>0</v>
      </c>
      <c r="AU164" s="481">
        <v>0</v>
      </c>
      <c r="AV164" s="481">
        <f t="shared" si="120"/>
        <v>0.5</v>
      </c>
      <c r="AW164" s="548">
        <v>0</v>
      </c>
      <c r="AX164" s="548">
        <v>0</v>
      </c>
      <c r="AY164" s="491">
        <v>0.5</v>
      </c>
      <c r="AZ164" s="548">
        <v>0</v>
      </c>
      <c r="BA164" s="548">
        <v>0</v>
      </c>
      <c r="BB164" s="548">
        <v>0</v>
      </c>
      <c r="BC164" s="548">
        <v>0</v>
      </c>
      <c r="BD164" s="548">
        <f t="shared" si="122"/>
        <v>0.5</v>
      </c>
      <c r="BE164" s="42">
        <f t="shared" si="123"/>
        <v>1</v>
      </c>
      <c r="BF164" s="42">
        <f t="shared" si="123"/>
        <v>0</v>
      </c>
      <c r="BG164" s="42">
        <f t="shared" si="123"/>
        <v>0.5</v>
      </c>
      <c r="BH164" s="42">
        <f t="shared" si="123"/>
        <v>0</v>
      </c>
      <c r="BI164" s="42">
        <f t="shared" si="123"/>
        <v>0</v>
      </c>
      <c r="BJ164" s="42">
        <f t="shared" si="107"/>
        <v>0.5</v>
      </c>
      <c r="BK164" s="42">
        <f t="shared" si="124"/>
        <v>0</v>
      </c>
      <c r="BL164" s="42">
        <f t="shared" si="124"/>
        <v>2</v>
      </c>
      <c r="BM164" s="3"/>
    </row>
    <row r="165" spans="1:65" ht="72" hidden="1" customHeight="1" x14ac:dyDescent="0.2">
      <c r="A165" s="298" t="s">
        <v>491</v>
      </c>
      <c r="B165" s="299" t="s">
        <v>489</v>
      </c>
      <c r="C165" s="1547"/>
      <c r="D165" s="1551"/>
      <c r="E165" s="1551"/>
      <c r="F165" s="1551"/>
      <c r="G165" s="1551"/>
      <c r="H165" s="1551"/>
      <c r="I165" s="1425"/>
      <c r="J165" s="1425"/>
      <c r="K165" s="1425" t="s">
        <v>517</v>
      </c>
      <c r="L165" s="301" t="s">
        <v>496</v>
      </c>
      <c r="M165" s="1425" t="s">
        <v>497</v>
      </c>
      <c r="N165" s="476"/>
      <c r="O165" s="1425" t="s">
        <v>47</v>
      </c>
      <c r="P165" s="1425"/>
      <c r="Q165" s="16" t="s">
        <v>518</v>
      </c>
      <c r="R165" s="302" t="s">
        <v>519</v>
      </c>
      <c r="S165" s="303">
        <v>2015</v>
      </c>
      <c r="T165" s="303">
        <v>2</v>
      </c>
      <c r="U165" s="303">
        <v>3</v>
      </c>
      <c r="V165" s="303">
        <v>3</v>
      </c>
      <c r="W165" s="303">
        <v>3</v>
      </c>
      <c r="X165" s="303">
        <v>3</v>
      </c>
      <c r="Y165" s="303">
        <v>12</v>
      </c>
      <c r="Z165" s="481">
        <v>0</v>
      </c>
      <c r="AA165" s="481">
        <v>0</v>
      </c>
      <c r="AB165" s="481">
        <v>0</v>
      </c>
      <c r="AC165" s="481">
        <v>0</v>
      </c>
      <c r="AD165" s="481">
        <v>0</v>
      </c>
      <c r="AE165" s="491">
        <v>6</v>
      </c>
      <c r="AF165" s="481">
        <v>0</v>
      </c>
      <c r="AG165" s="481">
        <f t="shared" si="118"/>
        <v>6</v>
      </c>
      <c r="AH165" s="491">
        <v>4</v>
      </c>
      <c r="AI165" s="548">
        <v>0</v>
      </c>
      <c r="AJ165" s="548">
        <v>0</v>
      </c>
      <c r="AK165" s="548">
        <v>0</v>
      </c>
      <c r="AL165" s="548">
        <v>0</v>
      </c>
      <c r="AM165" s="548">
        <v>0</v>
      </c>
      <c r="AN165" s="548">
        <f t="shared" si="119"/>
        <v>4</v>
      </c>
      <c r="AO165" s="491">
        <v>4</v>
      </c>
      <c r="AP165" s="481">
        <v>0</v>
      </c>
      <c r="AQ165" s="481">
        <v>0</v>
      </c>
      <c r="AR165" s="481">
        <v>0</v>
      </c>
      <c r="AS165" s="481">
        <v>0</v>
      </c>
      <c r="AT165" s="481">
        <v>0</v>
      </c>
      <c r="AU165" s="481">
        <v>0</v>
      </c>
      <c r="AV165" s="481">
        <f t="shared" si="120"/>
        <v>4</v>
      </c>
      <c r="AW165" s="548">
        <v>4</v>
      </c>
      <c r="AX165" s="548">
        <v>0</v>
      </c>
      <c r="AY165" s="548">
        <v>0</v>
      </c>
      <c r="AZ165" s="548">
        <v>0</v>
      </c>
      <c r="BA165" s="548">
        <v>0</v>
      </c>
      <c r="BB165" s="548"/>
      <c r="BC165" s="548">
        <v>0</v>
      </c>
      <c r="BD165" s="548">
        <f t="shared" si="122"/>
        <v>4</v>
      </c>
      <c r="BE165" s="42">
        <f t="shared" si="123"/>
        <v>12</v>
      </c>
      <c r="BF165" s="42">
        <f t="shared" si="123"/>
        <v>0</v>
      </c>
      <c r="BG165" s="42">
        <f t="shared" si="123"/>
        <v>0</v>
      </c>
      <c r="BH165" s="42">
        <f t="shared" si="123"/>
        <v>0</v>
      </c>
      <c r="BI165" s="42">
        <f t="shared" si="123"/>
        <v>0</v>
      </c>
      <c r="BJ165" s="42">
        <f t="shared" si="107"/>
        <v>6</v>
      </c>
      <c r="BK165" s="42">
        <f t="shared" si="124"/>
        <v>0</v>
      </c>
      <c r="BL165" s="42">
        <f t="shared" si="124"/>
        <v>18</v>
      </c>
      <c r="BM165" s="3"/>
    </row>
    <row r="166" spans="1:65" ht="59.25" hidden="1" customHeight="1" x14ac:dyDescent="0.2">
      <c r="A166" s="298" t="s">
        <v>491</v>
      </c>
      <c r="B166" s="299" t="s">
        <v>489</v>
      </c>
      <c r="C166" s="1547"/>
      <c r="D166" s="1551"/>
      <c r="E166" s="1551"/>
      <c r="F166" s="1551"/>
      <c r="G166" s="1551"/>
      <c r="H166" s="1551"/>
      <c r="I166" s="1425"/>
      <c r="J166" s="1425"/>
      <c r="K166" s="1425" t="s">
        <v>520</v>
      </c>
      <c r="L166" s="301" t="s">
        <v>496</v>
      </c>
      <c r="M166" s="1425" t="s">
        <v>497</v>
      </c>
      <c r="N166" s="476"/>
      <c r="O166" s="1425" t="s">
        <v>73</v>
      </c>
      <c r="P166" s="1425"/>
      <c r="Q166" s="71" t="s">
        <v>521</v>
      </c>
      <c r="R166" s="302" t="s">
        <v>522</v>
      </c>
      <c r="S166" s="303">
        <v>2015</v>
      </c>
      <c r="T166" s="303">
        <v>0</v>
      </c>
      <c r="U166" s="303">
        <v>1</v>
      </c>
      <c r="V166" s="303">
        <v>1</v>
      </c>
      <c r="W166" s="303">
        <v>1</v>
      </c>
      <c r="X166" s="303">
        <v>1</v>
      </c>
      <c r="Y166" s="303">
        <v>1</v>
      </c>
      <c r="Z166" s="481">
        <v>0</v>
      </c>
      <c r="AA166" s="481">
        <v>0</v>
      </c>
      <c r="AB166" s="481">
        <v>0</v>
      </c>
      <c r="AC166" s="481">
        <v>0</v>
      </c>
      <c r="AD166" s="481">
        <v>0</v>
      </c>
      <c r="AE166" s="481">
        <v>3</v>
      </c>
      <c r="AF166" s="481">
        <v>0</v>
      </c>
      <c r="AG166" s="481">
        <f t="shared" si="118"/>
        <v>3</v>
      </c>
      <c r="AH166" s="491">
        <v>0.5</v>
      </c>
      <c r="AI166" s="548">
        <v>0</v>
      </c>
      <c r="AJ166" s="716"/>
      <c r="AK166" s="548">
        <v>0</v>
      </c>
      <c r="AL166" s="548">
        <v>0</v>
      </c>
      <c r="AM166" s="548">
        <v>0</v>
      </c>
      <c r="AN166" s="548">
        <f t="shared" si="119"/>
        <v>0.5</v>
      </c>
      <c r="AO166" s="491">
        <v>0.5</v>
      </c>
      <c r="AP166" s="481">
        <v>0</v>
      </c>
      <c r="AQ166" s="481">
        <v>0</v>
      </c>
      <c r="AR166" s="481">
        <v>0</v>
      </c>
      <c r="AS166" s="481">
        <v>0</v>
      </c>
      <c r="AT166" s="481">
        <v>0</v>
      </c>
      <c r="AU166" s="481">
        <v>0</v>
      </c>
      <c r="AV166" s="481">
        <f t="shared" si="120"/>
        <v>0.5</v>
      </c>
      <c r="AW166" s="548">
        <f>AO166*1.035</f>
        <v>0.51749999999999996</v>
      </c>
      <c r="AX166" s="548">
        <f>AP166*1.035</f>
        <v>0</v>
      </c>
      <c r="AY166" s="548">
        <f>AQ166*1.035</f>
        <v>0</v>
      </c>
      <c r="AZ166" s="548">
        <f>AR166*1.035</f>
        <v>0</v>
      </c>
      <c r="BA166" s="548">
        <f>AS166*1.035</f>
        <v>0</v>
      </c>
      <c r="BB166" s="548"/>
      <c r="BC166" s="548">
        <v>0</v>
      </c>
      <c r="BD166" s="548">
        <f t="shared" si="122"/>
        <v>0.51749999999999996</v>
      </c>
      <c r="BE166" s="42">
        <f t="shared" si="123"/>
        <v>1.5175000000000001</v>
      </c>
      <c r="BF166" s="42">
        <f t="shared" si="123"/>
        <v>0</v>
      </c>
      <c r="BG166" s="42">
        <f t="shared" si="123"/>
        <v>0</v>
      </c>
      <c r="BH166" s="42">
        <f t="shared" si="123"/>
        <v>0</v>
      </c>
      <c r="BI166" s="42">
        <f t="shared" si="123"/>
        <v>0</v>
      </c>
      <c r="BJ166" s="42">
        <f t="shared" si="107"/>
        <v>3</v>
      </c>
      <c r="BK166" s="42">
        <f t="shared" si="124"/>
        <v>0</v>
      </c>
      <c r="BL166" s="42">
        <f t="shared" si="124"/>
        <v>4.5175000000000001</v>
      </c>
      <c r="BM166" s="3"/>
    </row>
    <row r="167" spans="1:65" ht="73.5" hidden="1" customHeight="1" x14ac:dyDescent="0.2">
      <c r="A167" s="298" t="s">
        <v>491</v>
      </c>
      <c r="B167" s="299" t="s">
        <v>489</v>
      </c>
      <c r="C167" s="1547"/>
      <c r="D167" s="1551"/>
      <c r="E167" s="1551"/>
      <c r="F167" s="1551"/>
      <c r="G167" s="1551"/>
      <c r="H167" s="1551"/>
      <c r="I167" s="1425"/>
      <c r="J167" s="1425"/>
      <c r="K167" s="1425" t="s">
        <v>523</v>
      </c>
      <c r="L167" s="301" t="s">
        <v>496</v>
      </c>
      <c r="M167" s="1425" t="s">
        <v>497</v>
      </c>
      <c r="N167" s="476"/>
      <c r="O167" s="1425" t="s">
        <v>47</v>
      </c>
      <c r="P167" s="1425"/>
      <c r="Q167" s="71" t="s">
        <v>524</v>
      </c>
      <c r="R167" s="302" t="s">
        <v>525</v>
      </c>
      <c r="S167" s="303">
        <v>2015</v>
      </c>
      <c r="T167" s="303">
        <v>0</v>
      </c>
      <c r="U167" s="303">
        <v>1</v>
      </c>
      <c r="V167" s="303">
        <v>0</v>
      </c>
      <c r="W167" s="303">
        <v>1</v>
      </c>
      <c r="X167" s="303">
        <v>0</v>
      </c>
      <c r="Y167" s="303">
        <v>2</v>
      </c>
      <c r="Z167" s="481"/>
      <c r="AA167" s="481"/>
      <c r="AB167" s="481"/>
      <c r="AC167" s="481"/>
      <c r="AD167" s="481"/>
      <c r="AE167" s="491">
        <v>0.5</v>
      </c>
      <c r="AF167" s="481"/>
      <c r="AG167" s="481">
        <f t="shared" si="118"/>
        <v>0.5</v>
      </c>
      <c r="AH167" s="548"/>
      <c r="AI167" s="548"/>
      <c r="AJ167" s="548"/>
      <c r="AK167" s="548"/>
      <c r="AL167" s="548"/>
      <c r="AM167" s="548"/>
      <c r="AN167" s="548">
        <f t="shared" si="119"/>
        <v>0</v>
      </c>
      <c r="AO167" s="491">
        <v>0.5</v>
      </c>
      <c r="AP167" s="481"/>
      <c r="AQ167" s="481"/>
      <c r="AR167" s="481"/>
      <c r="AS167" s="481"/>
      <c r="AT167" s="481"/>
      <c r="AU167" s="481"/>
      <c r="AV167" s="481">
        <f t="shared" si="120"/>
        <v>0.5</v>
      </c>
      <c r="AW167" s="548"/>
      <c r="AX167" s="548"/>
      <c r="AY167" s="548"/>
      <c r="AZ167" s="548"/>
      <c r="BA167" s="548"/>
      <c r="BB167" s="548"/>
      <c r="BC167" s="548"/>
      <c r="BD167" s="548">
        <f t="shared" si="122"/>
        <v>0</v>
      </c>
      <c r="BE167" s="42">
        <f t="shared" si="123"/>
        <v>0.5</v>
      </c>
      <c r="BF167" s="42">
        <f t="shared" si="123"/>
        <v>0</v>
      </c>
      <c r="BG167" s="42">
        <f t="shared" si="123"/>
        <v>0</v>
      </c>
      <c r="BH167" s="42">
        <f t="shared" si="123"/>
        <v>0</v>
      </c>
      <c r="BI167" s="42">
        <f t="shared" si="123"/>
        <v>0</v>
      </c>
      <c r="BJ167" s="42">
        <f t="shared" si="107"/>
        <v>0.5</v>
      </c>
      <c r="BK167" s="42">
        <f t="shared" si="124"/>
        <v>0</v>
      </c>
      <c r="BL167" s="42">
        <f t="shared" si="124"/>
        <v>1</v>
      </c>
      <c r="BM167" s="3"/>
    </row>
    <row r="168" spans="1:65" ht="89.25" hidden="1" customHeight="1" x14ac:dyDescent="0.2">
      <c r="A168" s="298" t="s">
        <v>491</v>
      </c>
      <c r="B168" s="299" t="s">
        <v>489</v>
      </c>
      <c r="C168" s="1547"/>
      <c r="D168" s="1551"/>
      <c r="E168" s="1551"/>
      <c r="F168" s="1551"/>
      <c r="G168" s="1551"/>
      <c r="H168" s="1551"/>
      <c r="I168" s="1425"/>
      <c r="J168" s="1425"/>
      <c r="K168" s="1425" t="s">
        <v>526</v>
      </c>
      <c r="L168" s="301" t="s">
        <v>496</v>
      </c>
      <c r="M168" s="1425" t="s">
        <v>497</v>
      </c>
      <c r="N168" s="476"/>
      <c r="O168" s="1425" t="s">
        <v>47</v>
      </c>
      <c r="P168" s="1425"/>
      <c r="Q168" s="16" t="s">
        <v>527</v>
      </c>
      <c r="R168" s="302" t="s">
        <v>337</v>
      </c>
      <c r="S168" s="303">
        <v>2015</v>
      </c>
      <c r="T168" s="303">
        <v>0</v>
      </c>
      <c r="U168" s="303">
        <v>4</v>
      </c>
      <c r="V168" s="303">
        <v>4</v>
      </c>
      <c r="W168" s="303">
        <v>4</v>
      </c>
      <c r="X168" s="303">
        <v>4</v>
      </c>
      <c r="Y168" s="303">
        <v>16</v>
      </c>
      <c r="Z168" s="483">
        <v>0</v>
      </c>
      <c r="AA168" s="483">
        <v>0</v>
      </c>
      <c r="AB168" s="483">
        <v>0</v>
      </c>
      <c r="AC168" s="483">
        <v>0</v>
      </c>
      <c r="AD168" s="483">
        <v>0</v>
      </c>
      <c r="AE168" s="483">
        <v>2</v>
      </c>
      <c r="AF168" s="483">
        <v>0</v>
      </c>
      <c r="AG168" s="481">
        <f t="shared" si="118"/>
        <v>2</v>
      </c>
      <c r="AH168" s="491">
        <v>0.5</v>
      </c>
      <c r="AI168" s="587">
        <v>0</v>
      </c>
      <c r="AJ168" s="587">
        <v>0</v>
      </c>
      <c r="AK168" s="587">
        <v>0</v>
      </c>
      <c r="AL168" s="587">
        <v>0</v>
      </c>
      <c r="AM168" s="587">
        <v>0</v>
      </c>
      <c r="AN168" s="548">
        <f t="shared" si="119"/>
        <v>0.5</v>
      </c>
      <c r="AO168" s="491">
        <v>0.5</v>
      </c>
      <c r="AP168" s="483">
        <v>0</v>
      </c>
      <c r="AQ168" s="483">
        <v>0</v>
      </c>
      <c r="AR168" s="483">
        <v>0</v>
      </c>
      <c r="AS168" s="483">
        <v>0</v>
      </c>
      <c r="AT168" s="483">
        <v>0</v>
      </c>
      <c r="AU168" s="483">
        <v>0</v>
      </c>
      <c r="AV168" s="481">
        <f t="shared" si="120"/>
        <v>0.5</v>
      </c>
      <c r="AW168" s="491">
        <v>0.5</v>
      </c>
      <c r="AX168" s="548">
        <v>0</v>
      </c>
      <c r="AY168" s="548">
        <v>0</v>
      </c>
      <c r="AZ168" s="548">
        <v>0</v>
      </c>
      <c r="BA168" s="548">
        <v>0</v>
      </c>
      <c r="BB168" s="548"/>
      <c r="BC168" s="548">
        <v>0</v>
      </c>
      <c r="BD168" s="548">
        <f t="shared" si="122"/>
        <v>0.5</v>
      </c>
      <c r="BE168" s="42">
        <f t="shared" si="123"/>
        <v>1.5</v>
      </c>
      <c r="BF168" s="42">
        <f t="shared" si="123"/>
        <v>0</v>
      </c>
      <c r="BG168" s="42">
        <f t="shared" si="123"/>
        <v>0</v>
      </c>
      <c r="BH168" s="42">
        <f t="shared" si="123"/>
        <v>0</v>
      </c>
      <c r="BI168" s="42">
        <f t="shared" si="123"/>
        <v>0</v>
      </c>
      <c r="BJ168" s="42">
        <f t="shared" si="107"/>
        <v>2</v>
      </c>
      <c r="BK168" s="42">
        <f t="shared" si="124"/>
        <v>0</v>
      </c>
      <c r="BL168" s="42">
        <f t="shared" si="124"/>
        <v>3.5</v>
      </c>
      <c r="BM168" s="3"/>
    </row>
    <row r="169" spans="1:65" ht="78.75" hidden="1" customHeight="1" x14ac:dyDescent="0.2">
      <c r="A169" s="298" t="s">
        <v>491</v>
      </c>
      <c r="B169" s="299" t="s">
        <v>489</v>
      </c>
      <c r="C169" s="1547"/>
      <c r="D169" s="1551"/>
      <c r="E169" s="1551"/>
      <c r="F169" s="1551"/>
      <c r="G169" s="1551"/>
      <c r="H169" s="1551"/>
      <c r="I169" s="1425"/>
      <c r="J169" s="1425"/>
      <c r="K169" s="1425" t="s">
        <v>528</v>
      </c>
      <c r="L169" s="301" t="s">
        <v>496</v>
      </c>
      <c r="M169" s="1425" t="s">
        <v>497</v>
      </c>
      <c r="N169" s="476"/>
      <c r="O169" s="1425" t="s">
        <v>73</v>
      </c>
      <c r="P169" s="1425"/>
      <c r="Q169" s="71" t="s">
        <v>529</v>
      </c>
      <c r="R169" s="302" t="s">
        <v>530</v>
      </c>
      <c r="S169" s="303">
        <v>2015</v>
      </c>
      <c r="T169" s="303">
        <v>0</v>
      </c>
      <c r="U169" s="303">
        <v>1</v>
      </c>
      <c r="V169" s="303">
        <v>1</v>
      </c>
      <c r="W169" s="303">
        <v>1</v>
      </c>
      <c r="X169" s="303">
        <v>1</v>
      </c>
      <c r="Y169" s="303">
        <v>1</v>
      </c>
      <c r="Z169" s="481">
        <v>0</v>
      </c>
      <c r="AA169" s="481">
        <v>0</v>
      </c>
      <c r="AB169" s="481">
        <v>0</v>
      </c>
      <c r="AC169" s="481">
        <v>0</v>
      </c>
      <c r="AD169" s="481">
        <v>0</v>
      </c>
      <c r="AE169" s="491">
        <v>0.5</v>
      </c>
      <c r="AF169" s="481">
        <v>0</v>
      </c>
      <c r="AG169" s="481">
        <f t="shared" si="118"/>
        <v>0.5</v>
      </c>
      <c r="AH169" s="491">
        <v>0.5</v>
      </c>
      <c r="AI169" s="548">
        <v>0</v>
      </c>
      <c r="AJ169" s="548">
        <v>0</v>
      </c>
      <c r="AK169" s="548">
        <v>0</v>
      </c>
      <c r="AL169" s="548">
        <v>0</v>
      </c>
      <c r="AM169" s="548">
        <v>0</v>
      </c>
      <c r="AN169" s="548">
        <f t="shared" si="119"/>
        <v>0.5</v>
      </c>
      <c r="AO169" s="491">
        <v>0.5</v>
      </c>
      <c r="AP169" s="481">
        <v>0</v>
      </c>
      <c r="AQ169" s="481">
        <v>0</v>
      </c>
      <c r="AR169" s="481">
        <v>0</v>
      </c>
      <c r="AS169" s="481">
        <v>0</v>
      </c>
      <c r="AT169" s="481">
        <v>0</v>
      </c>
      <c r="AU169" s="481">
        <v>0</v>
      </c>
      <c r="AV169" s="481">
        <f t="shared" si="120"/>
        <v>0.5</v>
      </c>
      <c r="AW169" s="491">
        <v>0.5</v>
      </c>
      <c r="AX169" s="548">
        <v>0</v>
      </c>
      <c r="AY169" s="548">
        <v>0</v>
      </c>
      <c r="AZ169" s="548">
        <v>0</v>
      </c>
      <c r="BA169" s="548">
        <v>0</v>
      </c>
      <c r="BB169" s="548">
        <v>0</v>
      </c>
      <c r="BC169" s="548">
        <v>0</v>
      </c>
      <c r="BD169" s="548">
        <f t="shared" si="122"/>
        <v>0.5</v>
      </c>
      <c r="BE169" s="42">
        <f t="shared" si="123"/>
        <v>1.5</v>
      </c>
      <c r="BF169" s="42">
        <f t="shared" si="123"/>
        <v>0</v>
      </c>
      <c r="BG169" s="42">
        <f t="shared" si="123"/>
        <v>0</v>
      </c>
      <c r="BH169" s="42">
        <f t="shared" si="123"/>
        <v>0</v>
      </c>
      <c r="BI169" s="42">
        <f t="shared" si="123"/>
        <v>0</v>
      </c>
      <c r="BJ169" s="42">
        <f t="shared" si="107"/>
        <v>0.5</v>
      </c>
      <c r="BK169" s="42">
        <f t="shared" si="124"/>
        <v>0</v>
      </c>
      <c r="BL169" s="42">
        <f t="shared" si="124"/>
        <v>2</v>
      </c>
      <c r="BM169" s="3"/>
    </row>
    <row r="170" spans="1:65" ht="62.25" hidden="1" customHeight="1" x14ac:dyDescent="0.2">
      <c r="A170" s="298" t="s">
        <v>491</v>
      </c>
      <c r="B170" s="299" t="s">
        <v>489</v>
      </c>
      <c r="C170" s="1547"/>
      <c r="D170" s="1551"/>
      <c r="E170" s="1551"/>
      <c r="F170" s="1551"/>
      <c r="G170" s="1551"/>
      <c r="H170" s="1551"/>
      <c r="I170" s="1425"/>
      <c r="J170" s="1425"/>
      <c r="K170" s="1425" t="s">
        <v>531</v>
      </c>
      <c r="L170" s="301" t="s">
        <v>496</v>
      </c>
      <c r="M170" s="1425" t="s">
        <v>497</v>
      </c>
      <c r="N170" s="476"/>
      <c r="O170" s="1425" t="s">
        <v>47</v>
      </c>
      <c r="P170" s="1425"/>
      <c r="Q170" s="16" t="s">
        <v>532</v>
      </c>
      <c r="R170" s="302" t="s">
        <v>533</v>
      </c>
      <c r="S170" s="303">
        <v>2015</v>
      </c>
      <c r="T170" s="303">
        <v>0</v>
      </c>
      <c r="U170" s="303">
        <v>0</v>
      </c>
      <c r="V170" s="303">
        <v>1</v>
      </c>
      <c r="W170" s="303">
        <v>0</v>
      </c>
      <c r="X170" s="303">
        <v>1</v>
      </c>
      <c r="Y170" s="303">
        <v>2</v>
      </c>
      <c r="Z170" s="481">
        <v>0</v>
      </c>
      <c r="AA170" s="481">
        <v>0</v>
      </c>
      <c r="AB170" s="481">
        <v>0</v>
      </c>
      <c r="AC170" s="481">
        <v>0</v>
      </c>
      <c r="AD170" s="481">
        <v>0</v>
      </c>
      <c r="AE170" s="481"/>
      <c r="AF170" s="481">
        <v>0</v>
      </c>
      <c r="AG170" s="481">
        <f t="shared" si="118"/>
        <v>0</v>
      </c>
      <c r="AH170" s="491">
        <v>0.5</v>
      </c>
      <c r="AI170" s="548">
        <v>0</v>
      </c>
      <c r="AJ170" s="548">
        <v>0</v>
      </c>
      <c r="AK170" s="548">
        <v>0</v>
      </c>
      <c r="AL170" s="548">
        <v>0</v>
      </c>
      <c r="AM170" s="548">
        <v>0</v>
      </c>
      <c r="AN170" s="548">
        <f t="shared" si="119"/>
        <v>0.5</v>
      </c>
      <c r="AO170" s="481">
        <v>0</v>
      </c>
      <c r="AP170" s="481">
        <v>0</v>
      </c>
      <c r="AQ170" s="481">
        <v>0</v>
      </c>
      <c r="AR170" s="481">
        <v>0</v>
      </c>
      <c r="AS170" s="481">
        <v>0</v>
      </c>
      <c r="AT170" s="481">
        <v>0</v>
      </c>
      <c r="AU170" s="481">
        <v>0</v>
      </c>
      <c r="AV170" s="481">
        <f t="shared" si="120"/>
        <v>0</v>
      </c>
      <c r="AW170" s="491">
        <v>0.5</v>
      </c>
      <c r="AX170" s="548">
        <f t="shared" ref="AW170:BA171" si="125">AP170*1.035</f>
        <v>0</v>
      </c>
      <c r="AY170" s="548">
        <f t="shared" si="125"/>
        <v>0</v>
      </c>
      <c r="AZ170" s="548">
        <f t="shared" si="125"/>
        <v>0</v>
      </c>
      <c r="BA170" s="548">
        <f t="shared" si="125"/>
        <v>0</v>
      </c>
      <c r="BB170" s="548"/>
      <c r="BC170" s="548">
        <v>0</v>
      </c>
      <c r="BD170" s="548">
        <f t="shared" si="122"/>
        <v>0.5</v>
      </c>
      <c r="BE170" s="42">
        <f t="shared" si="123"/>
        <v>1</v>
      </c>
      <c r="BF170" s="42">
        <f t="shared" si="123"/>
        <v>0</v>
      </c>
      <c r="BG170" s="42">
        <f t="shared" si="123"/>
        <v>0</v>
      </c>
      <c r="BH170" s="42">
        <f t="shared" si="123"/>
        <v>0</v>
      </c>
      <c r="BI170" s="42">
        <f t="shared" si="123"/>
        <v>0</v>
      </c>
      <c r="BJ170" s="42">
        <f t="shared" si="107"/>
        <v>0</v>
      </c>
      <c r="BK170" s="42">
        <f t="shared" si="124"/>
        <v>0</v>
      </c>
      <c r="BL170" s="42">
        <f t="shared" si="124"/>
        <v>1</v>
      </c>
      <c r="BM170" s="3"/>
    </row>
    <row r="171" spans="1:65" ht="61.5" hidden="1" customHeight="1" x14ac:dyDescent="0.2">
      <c r="A171" s="298" t="s">
        <v>491</v>
      </c>
      <c r="B171" s="299" t="s">
        <v>489</v>
      </c>
      <c r="C171" s="1547"/>
      <c r="D171" s="1551"/>
      <c r="E171" s="1551"/>
      <c r="F171" s="1551"/>
      <c r="G171" s="1551"/>
      <c r="H171" s="1551"/>
      <c r="I171" s="1425"/>
      <c r="J171" s="1425"/>
      <c r="K171" s="1425" t="s">
        <v>534</v>
      </c>
      <c r="L171" s="301" t="s">
        <v>496</v>
      </c>
      <c r="M171" s="1425" t="s">
        <v>497</v>
      </c>
      <c r="N171" s="476"/>
      <c r="O171" s="1425" t="s">
        <v>47</v>
      </c>
      <c r="P171" s="1425"/>
      <c r="Q171" s="16" t="s">
        <v>535</v>
      </c>
      <c r="R171" s="302" t="s">
        <v>536</v>
      </c>
      <c r="S171" s="303">
        <v>2015</v>
      </c>
      <c r="T171" s="303">
        <v>0</v>
      </c>
      <c r="U171" s="303">
        <v>3</v>
      </c>
      <c r="V171" s="303">
        <v>4</v>
      </c>
      <c r="W171" s="303">
        <v>4</v>
      </c>
      <c r="X171" s="303">
        <v>4</v>
      </c>
      <c r="Y171" s="303">
        <v>15</v>
      </c>
      <c r="Z171" s="481">
        <v>0</v>
      </c>
      <c r="AA171" s="481">
        <v>0</v>
      </c>
      <c r="AB171" s="481">
        <v>0</v>
      </c>
      <c r="AC171" s="481">
        <v>0</v>
      </c>
      <c r="AD171" s="481">
        <v>0</v>
      </c>
      <c r="AE171" s="491">
        <v>0.5</v>
      </c>
      <c r="AF171" s="481">
        <v>0</v>
      </c>
      <c r="AG171" s="481">
        <f t="shared" si="118"/>
        <v>0.5</v>
      </c>
      <c r="AH171" s="491">
        <v>0.5</v>
      </c>
      <c r="AI171" s="548">
        <v>0</v>
      </c>
      <c r="AJ171" s="548">
        <v>0</v>
      </c>
      <c r="AK171" s="548">
        <v>0</v>
      </c>
      <c r="AL171" s="548">
        <v>0</v>
      </c>
      <c r="AM171" s="548">
        <v>0</v>
      </c>
      <c r="AN171" s="548">
        <f t="shared" si="119"/>
        <v>0.5</v>
      </c>
      <c r="AO171" s="491">
        <v>0.5</v>
      </c>
      <c r="AP171" s="481">
        <v>0</v>
      </c>
      <c r="AQ171" s="481">
        <v>0</v>
      </c>
      <c r="AR171" s="481">
        <v>0</v>
      </c>
      <c r="AS171" s="481">
        <v>0</v>
      </c>
      <c r="AT171" s="481">
        <v>0</v>
      </c>
      <c r="AU171" s="481">
        <v>0</v>
      </c>
      <c r="AV171" s="481">
        <f t="shared" si="120"/>
        <v>0.5</v>
      </c>
      <c r="AW171" s="548">
        <f t="shared" si="125"/>
        <v>0.51749999999999996</v>
      </c>
      <c r="AX171" s="548">
        <f t="shared" si="125"/>
        <v>0</v>
      </c>
      <c r="AY171" s="548">
        <f t="shared" si="125"/>
        <v>0</v>
      </c>
      <c r="AZ171" s="548">
        <f t="shared" si="125"/>
        <v>0</v>
      </c>
      <c r="BA171" s="548">
        <f t="shared" si="125"/>
        <v>0</v>
      </c>
      <c r="BB171" s="548">
        <f>AT171*1.035</f>
        <v>0</v>
      </c>
      <c r="BC171" s="548">
        <f>AU171*1.035</f>
        <v>0</v>
      </c>
      <c r="BD171" s="548">
        <f t="shared" si="122"/>
        <v>0.51749999999999996</v>
      </c>
      <c r="BE171" s="42">
        <f t="shared" si="123"/>
        <v>1.5175000000000001</v>
      </c>
      <c r="BF171" s="42">
        <f t="shared" si="123"/>
        <v>0</v>
      </c>
      <c r="BG171" s="42">
        <f t="shared" si="123"/>
        <v>0</v>
      </c>
      <c r="BH171" s="42">
        <f t="shared" si="123"/>
        <v>0</v>
      </c>
      <c r="BI171" s="42">
        <f t="shared" si="123"/>
        <v>0</v>
      </c>
      <c r="BJ171" s="42">
        <f t="shared" si="107"/>
        <v>0.5</v>
      </c>
      <c r="BK171" s="42">
        <f t="shared" si="124"/>
        <v>0</v>
      </c>
      <c r="BL171" s="42">
        <f t="shared" si="124"/>
        <v>2.0175000000000001</v>
      </c>
      <c r="BM171" s="3"/>
    </row>
    <row r="172" spans="1:65" ht="63" hidden="1" customHeight="1" x14ac:dyDescent="0.2">
      <c r="A172" s="298" t="s">
        <v>491</v>
      </c>
      <c r="B172" s="299" t="s">
        <v>489</v>
      </c>
      <c r="C172" s="1547"/>
      <c r="D172" s="1551"/>
      <c r="E172" s="1551"/>
      <c r="F172" s="1551"/>
      <c r="G172" s="1551"/>
      <c r="H172" s="1551"/>
      <c r="I172" s="1425"/>
      <c r="J172" s="1425"/>
      <c r="K172" s="1425" t="s">
        <v>537</v>
      </c>
      <c r="L172" s="301" t="s">
        <v>496</v>
      </c>
      <c r="M172" s="1425" t="s">
        <v>497</v>
      </c>
      <c r="N172" s="476"/>
      <c r="O172" s="1425" t="s">
        <v>73</v>
      </c>
      <c r="P172" s="1425"/>
      <c r="Q172" s="16" t="s">
        <v>538</v>
      </c>
      <c r="R172" s="302" t="s">
        <v>539</v>
      </c>
      <c r="S172" s="303">
        <v>2015</v>
      </c>
      <c r="T172" s="303">
        <v>1</v>
      </c>
      <c r="U172" s="303">
        <v>1</v>
      </c>
      <c r="V172" s="303">
        <v>1</v>
      </c>
      <c r="W172" s="303">
        <v>1</v>
      </c>
      <c r="X172" s="303">
        <v>1</v>
      </c>
      <c r="Y172" s="303">
        <v>1</v>
      </c>
      <c r="Z172" s="481">
        <v>0</v>
      </c>
      <c r="AA172" s="481">
        <v>0</v>
      </c>
      <c r="AB172" s="481">
        <v>0</v>
      </c>
      <c r="AC172" s="481">
        <v>0</v>
      </c>
      <c r="AD172" s="481">
        <v>0</v>
      </c>
      <c r="AE172" s="491">
        <v>18</v>
      </c>
      <c r="AF172" s="481">
        <v>0</v>
      </c>
      <c r="AG172" s="481">
        <f t="shared" si="118"/>
        <v>18</v>
      </c>
      <c r="AH172" s="491">
        <v>9</v>
      </c>
      <c r="AI172" s="548">
        <v>0</v>
      </c>
      <c r="AJ172" s="548">
        <v>0</v>
      </c>
      <c r="AK172" s="548">
        <v>0</v>
      </c>
      <c r="AL172" s="548">
        <v>0</v>
      </c>
      <c r="AM172" s="548">
        <v>0</v>
      </c>
      <c r="AN172" s="548">
        <f t="shared" si="119"/>
        <v>9</v>
      </c>
      <c r="AO172" s="491">
        <v>9</v>
      </c>
      <c r="AP172" s="481">
        <v>0</v>
      </c>
      <c r="AQ172" s="481">
        <v>0</v>
      </c>
      <c r="AR172" s="481">
        <v>0</v>
      </c>
      <c r="AS172" s="481">
        <v>0</v>
      </c>
      <c r="AT172" s="481">
        <v>0</v>
      </c>
      <c r="AU172" s="481">
        <v>0</v>
      </c>
      <c r="AV172" s="481">
        <f t="shared" si="120"/>
        <v>9</v>
      </c>
      <c r="AW172" s="491">
        <v>10</v>
      </c>
      <c r="AX172" s="548">
        <v>0</v>
      </c>
      <c r="AY172" s="548">
        <v>0</v>
      </c>
      <c r="AZ172" s="548">
        <v>0</v>
      </c>
      <c r="BA172" s="548">
        <v>0</v>
      </c>
      <c r="BB172" s="548"/>
      <c r="BC172" s="548">
        <v>0</v>
      </c>
      <c r="BD172" s="548">
        <f t="shared" si="122"/>
        <v>10</v>
      </c>
      <c r="BE172" s="42">
        <f t="shared" si="123"/>
        <v>28</v>
      </c>
      <c r="BF172" s="42">
        <f t="shared" si="123"/>
        <v>0</v>
      </c>
      <c r="BG172" s="42">
        <f t="shared" si="123"/>
        <v>0</v>
      </c>
      <c r="BH172" s="42">
        <f t="shared" si="123"/>
        <v>0</v>
      </c>
      <c r="BI172" s="42">
        <f t="shared" si="123"/>
        <v>0</v>
      </c>
      <c r="BJ172" s="42">
        <f t="shared" si="107"/>
        <v>18</v>
      </c>
      <c r="BK172" s="42">
        <f t="shared" si="124"/>
        <v>0</v>
      </c>
      <c r="BL172" s="42">
        <f t="shared" si="124"/>
        <v>46</v>
      </c>
      <c r="BM172" s="3"/>
    </row>
    <row r="173" spans="1:65" ht="68.25" hidden="1" customHeight="1" x14ac:dyDescent="0.2">
      <c r="A173" s="298" t="s">
        <v>491</v>
      </c>
      <c r="B173" s="299" t="s">
        <v>489</v>
      </c>
      <c r="C173" s="1547"/>
      <c r="D173" s="1551"/>
      <c r="E173" s="1551"/>
      <c r="F173" s="1551"/>
      <c r="G173" s="1551"/>
      <c r="H173" s="1551"/>
      <c r="I173" s="1425"/>
      <c r="J173" s="1425"/>
      <c r="K173" s="1425" t="s">
        <v>540</v>
      </c>
      <c r="L173" s="301" t="s">
        <v>496</v>
      </c>
      <c r="M173" s="1425" t="s">
        <v>497</v>
      </c>
      <c r="N173" s="476"/>
      <c r="O173" s="1425" t="s">
        <v>73</v>
      </c>
      <c r="P173" s="1425"/>
      <c r="Q173" s="16" t="s">
        <v>541</v>
      </c>
      <c r="R173" s="302" t="s">
        <v>542</v>
      </c>
      <c r="S173" s="303">
        <v>2015</v>
      </c>
      <c r="T173" s="303">
        <v>0</v>
      </c>
      <c r="U173" s="303">
        <v>1</v>
      </c>
      <c r="V173" s="303">
        <v>1</v>
      </c>
      <c r="W173" s="303">
        <v>1</v>
      </c>
      <c r="X173" s="303">
        <v>1</v>
      </c>
      <c r="Y173" s="303">
        <v>1</v>
      </c>
      <c r="Z173" s="481"/>
      <c r="AA173" s="481"/>
      <c r="AB173" s="481"/>
      <c r="AC173" s="481"/>
      <c r="AD173" s="481"/>
      <c r="AE173" s="481">
        <v>30</v>
      </c>
      <c r="AF173" s="481"/>
      <c r="AG173" s="481">
        <f t="shared" si="118"/>
        <v>30</v>
      </c>
      <c r="AH173" s="491">
        <v>9.24</v>
      </c>
      <c r="AI173" s="548"/>
      <c r="AJ173" s="716"/>
      <c r="AK173" s="548"/>
      <c r="AL173" s="548"/>
      <c r="AM173" s="548"/>
      <c r="AN173" s="548">
        <f t="shared" si="119"/>
        <v>9.24</v>
      </c>
      <c r="AO173" s="491">
        <v>9</v>
      </c>
      <c r="AP173" s="481"/>
      <c r="AQ173" s="481"/>
      <c r="AR173" s="481"/>
      <c r="AS173" s="481"/>
      <c r="AT173" s="481">
        <v>0</v>
      </c>
      <c r="AU173" s="481"/>
      <c r="AV173" s="481">
        <f t="shared" si="120"/>
        <v>9</v>
      </c>
      <c r="AW173" s="491">
        <v>10.35</v>
      </c>
      <c r="AX173" s="548"/>
      <c r="AY173" s="548"/>
      <c r="AZ173" s="548"/>
      <c r="BA173" s="548"/>
      <c r="BB173" s="548"/>
      <c r="BC173" s="548"/>
      <c r="BD173" s="548">
        <f t="shared" si="122"/>
        <v>10.35</v>
      </c>
      <c r="BE173" s="42">
        <f t="shared" si="123"/>
        <v>28.590000000000003</v>
      </c>
      <c r="BF173" s="42">
        <f t="shared" si="123"/>
        <v>0</v>
      </c>
      <c r="BG173" s="42">
        <f t="shared" si="123"/>
        <v>0</v>
      </c>
      <c r="BH173" s="42">
        <f t="shared" si="123"/>
        <v>0</v>
      </c>
      <c r="BI173" s="42">
        <f t="shared" si="123"/>
        <v>0</v>
      </c>
      <c r="BJ173" s="42">
        <f t="shared" si="107"/>
        <v>30</v>
      </c>
      <c r="BK173" s="42">
        <f t="shared" si="124"/>
        <v>0</v>
      </c>
      <c r="BL173" s="42">
        <f t="shared" si="124"/>
        <v>58.59</v>
      </c>
      <c r="BM173" s="3"/>
    </row>
    <row r="174" spans="1:65" ht="75" hidden="1" customHeight="1" x14ac:dyDescent="0.2">
      <c r="A174" s="298" t="s">
        <v>491</v>
      </c>
      <c r="B174" s="299" t="s">
        <v>489</v>
      </c>
      <c r="C174" s="1547"/>
      <c r="D174" s="1551"/>
      <c r="E174" s="1551"/>
      <c r="F174" s="1551"/>
      <c r="G174" s="1551"/>
      <c r="H174" s="1551"/>
      <c r="I174" s="1425"/>
      <c r="J174" s="1425"/>
      <c r="K174" s="1425" t="s">
        <v>543</v>
      </c>
      <c r="L174" s="301" t="s">
        <v>496</v>
      </c>
      <c r="M174" s="1425" t="s">
        <v>497</v>
      </c>
      <c r="N174" s="476"/>
      <c r="O174" s="1425" t="s">
        <v>47</v>
      </c>
      <c r="P174" s="1425"/>
      <c r="Q174" s="16" t="s">
        <v>544</v>
      </c>
      <c r="R174" s="302" t="s">
        <v>545</v>
      </c>
      <c r="S174" s="303">
        <v>2015</v>
      </c>
      <c r="T174" s="303">
        <v>0</v>
      </c>
      <c r="U174" s="303">
        <v>3</v>
      </c>
      <c r="V174" s="303">
        <v>3</v>
      </c>
      <c r="W174" s="303">
        <v>3</v>
      </c>
      <c r="X174" s="303">
        <v>3</v>
      </c>
      <c r="Y174" s="303">
        <v>12</v>
      </c>
      <c r="Z174" s="481">
        <v>0</v>
      </c>
      <c r="AA174" s="481">
        <v>0</v>
      </c>
      <c r="AB174" s="481">
        <v>0</v>
      </c>
      <c r="AC174" s="481">
        <v>0</v>
      </c>
      <c r="AD174" s="481">
        <v>0</v>
      </c>
      <c r="AE174" s="491">
        <v>0.5</v>
      </c>
      <c r="AF174" s="481">
        <v>0</v>
      </c>
      <c r="AG174" s="481">
        <f t="shared" si="118"/>
        <v>0.5</v>
      </c>
      <c r="AH174" s="491">
        <v>0.5</v>
      </c>
      <c r="AI174" s="548">
        <v>0</v>
      </c>
      <c r="AJ174" s="548">
        <v>0</v>
      </c>
      <c r="AK174" s="548">
        <v>0</v>
      </c>
      <c r="AL174" s="548">
        <v>0</v>
      </c>
      <c r="AM174" s="548">
        <v>0</v>
      </c>
      <c r="AN174" s="548">
        <f t="shared" si="119"/>
        <v>0.5</v>
      </c>
      <c r="AO174" s="491">
        <v>0.5</v>
      </c>
      <c r="AP174" s="481">
        <v>0</v>
      </c>
      <c r="AQ174" s="481">
        <v>0</v>
      </c>
      <c r="AR174" s="481">
        <v>0</v>
      </c>
      <c r="AS174" s="481">
        <v>0</v>
      </c>
      <c r="AT174" s="481">
        <v>0</v>
      </c>
      <c r="AU174" s="481">
        <v>0</v>
      </c>
      <c r="AV174" s="481">
        <f t="shared" si="120"/>
        <v>0.5</v>
      </c>
      <c r="AW174" s="491">
        <v>0.5</v>
      </c>
      <c r="AX174" s="548">
        <v>0</v>
      </c>
      <c r="AY174" s="548">
        <v>0</v>
      </c>
      <c r="AZ174" s="548">
        <v>0</v>
      </c>
      <c r="BA174" s="548">
        <v>0</v>
      </c>
      <c r="BB174" s="548">
        <v>0</v>
      </c>
      <c r="BC174" s="548">
        <v>0</v>
      </c>
      <c r="BD174" s="548">
        <f t="shared" si="122"/>
        <v>0.5</v>
      </c>
      <c r="BE174" s="42">
        <f t="shared" si="123"/>
        <v>1.5</v>
      </c>
      <c r="BF174" s="42">
        <f t="shared" si="123"/>
        <v>0</v>
      </c>
      <c r="BG174" s="42">
        <f t="shared" si="123"/>
        <v>0</v>
      </c>
      <c r="BH174" s="42">
        <f t="shared" si="123"/>
        <v>0</v>
      </c>
      <c r="BI174" s="42">
        <f t="shared" si="123"/>
        <v>0</v>
      </c>
      <c r="BJ174" s="42">
        <f t="shared" si="107"/>
        <v>0.5</v>
      </c>
      <c r="BK174" s="42">
        <f t="shared" si="124"/>
        <v>0</v>
      </c>
      <c r="BL174" s="42">
        <f t="shared" si="124"/>
        <v>2</v>
      </c>
      <c r="BM174" s="3"/>
    </row>
    <row r="175" spans="1:65" ht="78" hidden="1" customHeight="1" x14ac:dyDescent="0.2">
      <c r="A175" s="298" t="s">
        <v>491</v>
      </c>
      <c r="B175" s="299" t="s">
        <v>489</v>
      </c>
      <c r="C175" s="1547"/>
      <c r="D175" s="1551"/>
      <c r="E175" s="1551"/>
      <c r="F175" s="1551"/>
      <c r="G175" s="1551"/>
      <c r="H175" s="1551"/>
      <c r="I175" s="1425"/>
      <c r="J175" s="1425"/>
      <c r="K175" s="1425" t="s">
        <v>546</v>
      </c>
      <c r="L175" s="301" t="s">
        <v>496</v>
      </c>
      <c r="M175" s="1425" t="s">
        <v>497</v>
      </c>
      <c r="N175" s="476"/>
      <c r="O175" s="1425" t="s">
        <v>73</v>
      </c>
      <c r="P175" s="1425"/>
      <c r="Q175" s="16" t="s">
        <v>547</v>
      </c>
      <c r="R175" s="302" t="s">
        <v>548</v>
      </c>
      <c r="S175" s="303">
        <v>2015</v>
      </c>
      <c r="T175" s="303">
        <v>0</v>
      </c>
      <c r="U175" s="303">
        <v>1</v>
      </c>
      <c r="V175" s="303">
        <v>1</v>
      </c>
      <c r="W175" s="303">
        <v>1</v>
      </c>
      <c r="X175" s="303">
        <v>1</v>
      </c>
      <c r="Y175" s="303">
        <v>1</v>
      </c>
      <c r="Z175" s="481">
        <v>0</v>
      </c>
      <c r="AA175" s="481">
        <v>0</v>
      </c>
      <c r="AB175" s="481">
        <v>0</v>
      </c>
      <c r="AC175" s="481">
        <v>0</v>
      </c>
      <c r="AD175" s="481">
        <v>0</v>
      </c>
      <c r="AE175" s="481">
        <v>10</v>
      </c>
      <c r="AF175" s="481">
        <v>0</v>
      </c>
      <c r="AG175" s="481">
        <f t="shared" si="118"/>
        <v>10</v>
      </c>
      <c r="AH175" s="491">
        <v>0.5</v>
      </c>
      <c r="AI175" s="548">
        <v>0</v>
      </c>
      <c r="AJ175" s="548">
        <v>0</v>
      </c>
      <c r="AK175" s="548">
        <v>0</v>
      </c>
      <c r="AL175" s="548">
        <v>0</v>
      </c>
      <c r="AM175" s="548">
        <v>0</v>
      </c>
      <c r="AN175" s="548">
        <f t="shared" si="119"/>
        <v>0.5</v>
      </c>
      <c r="AO175" s="491">
        <v>0.5</v>
      </c>
      <c r="AP175" s="481">
        <v>0</v>
      </c>
      <c r="AQ175" s="481">
        <v>0</v>
      </c>
      <c r="AR175" s="481">
        <v>0</v>
      </c>
      <c r="AS175" s="481">
        <v>0</v>
      </c>
      <c r="AT175" s="481">
        <v>0</v>
      </c>
      <c r="AU175" s="481">
        <v>0</v>
      </c>
      <c r="AV175" s="481">
        <f t="shared" si="120"/>
        <v>0.5</v>
      </c>
      <c r="AW175" s="491">
        <v>0.5</v>
      </c>
      <c r="AX175" s="548">
        <v>0</v>
      </c>
      <c r="AY175" s="548">
        <v>0</v>
      </c>
      <c r="AZ175" s="548">
        <v>0</v>
      </c>
      <c r="BA175" s="548">
        <v>0</v>
      </c>
      <c r="BB175" s="548"/>
      <c r="BC175" s="548">
        <v>0</v>
      </c>
      <c r="BD175" s="548">
        <f t="shared" si="122"/>
        <v>0.5</v>
      </c>
      <c r="BE175" s="42">
        <f t="shared" si="123"/>
        <v>1.5</v>
      </c>
      <c r="BF175" s="42">
        <f t="shared" si="123"/>
        <v>0</v>
      </c>
      <c r="BG175" s="42">
        <f t="shared" si="123"/>
        <v>0</v>
      </c>
      <c r="BH175" s="42">
        <f t="shared" si="123"/>
        <v>0</v>
      </c>
      <c r="BI175" s="42">
        <f t="shared" si="123"/>
        <v>0</v>
      </c>
      <c r="BJ175" s="42">
        <f t="shared" si="107"/>
        <v>10</v>
      </c>
      <c r="BK175" s="42">
        <f t="shared" si="124"/>
        <v>0</v>
      </c>
      <c r="BL175" s="42">
        <f t="shared" si="124"/>
        <v>11.5</v>
      </c>
      <c r="BM175" s="3"/>
    </row>
    <row r="176" spans="1:65" ht="87.75" hidden="1" customHeight="1" x14ac:dyDescent="0.2">
      <c r="A176" s="298" t="s">
        <v>491</v>
      </c>
      <c r="B176" s="299" t="s">
        <v>489</v>
      </c>
      <c r="C176" s="1547"/>
      <c r="D176" s="1551"/>
      <c r="E176" s="1551"/>
      <c r="F176" s="1551"/>
      <c r="G176" s="1551"/>
      <c r="H176" s="1551"/>
      <c r="I176" s="1425"/>
      <c r="J176" s="1425"/>
      <c r="K176" s="1425" t="s">
        <v>549</v>
      </c>
      <c r="L176" s="301" t="s">
        <v>496</v>
      </c>
      <c r="M176" s="1425" t="s">
        <v>497</v>
      </c>
      <c r="N176" s="476"/>
      <c r="O176" s="1425" t="s">
        <v>47</v>
      </c>
      <c r="P176" s="1425"/>
      <c r="Q176" s="16" t="s">
        <v>550</v>
      </c>
      <c r="R176" s="302" t="s">
        <v>551</v>
      </c>
      <c r="S176" s="303">
        <v>2015</v>
      </c>
      <c r="T176" s="303">
        <v>48</v>
      </c>
      <c r="U176" s="303">
        <v>24</v>
      </c>
      <c r="V176" s="303">
        <v>24</v>
      </c>
      <c r="W176" s="303">
        <v>24</v>
      </c>
      <c r="X176" s="303">
        <v>24</v>
      </c>
      <c r="Y176" s="303">
        <v>96</v>
      </c>
      <c r="Z176" s="481">
        <v>0</v>
      </c>
      <c r="AA176" s="481">
        <v>0</v>
      </c>
      <c r="AB176" s="491">
        <v>7.63</v>
      </c>
      <c r="AC176" s="481">
        <v>0</v>
      </c>
      <c r="AD176" s="481">
        <v>0</v>
      </c>
      <c r="AE176" s="491">
        <v>0.5</v>
      </c>
      <c r="AF176" s="481">
        <v>0</v>
      </c>
      <c r="AG176" s="481">
        <f t="shared" si="118"/>
        <v>8.129999999999999</v>
      </c>
      <c r="AH176" s="491">
        <v>0.5</v>
      </c>
      <c r="AI176" s="548">
        <v>0</v>
      </c>
      <c r="AJ176" s="548">
        <v>0</v>
      </c>
      <c r="AK176" s="548">
        <v>0</v>
      </c>
      <c r="AL176" s="548">
        <v>0</v>
      </c>
      <c r="AM176" s="548">
        <v>0</v>
      </c>
      <c r="AN176" s="548">
        <f t="shared" si="119"/>
        <v>0.5</v>
      </c>
      <c r="AO176" s="491">
        <v>0.5</v>
      </c>
      <c r="AP176" s="481">
        <v>0</v>
      </c>
      <c r="AQ176" s="481">
        <v>0</v>
      </c>
      <c r="AR176" s="481">
        <v>0</v>
      </c>
      <c r="AS176" s="481">
        <v>0</v>
      </c>
      <c r="AT176" s="481">
        <v>0</v>
      </c>
      <c r="AU176" s="481">
        <v>0</v>
      </c>
      <c r="AV176" s="481">
        <f t="shared" si="120"/>
        <v>0.5</v>
      </c>
      <c r="AW176" s="491">
        <v>0.5</v>
      </c>
      <c r="AX176" s="548">
        <v>0</v>
      </c>
      <c r="AY176" s="548">
        <v>0</v>
      </c>
      <c r="AZ176" s="548">
        <v>0</v>
      </c>
      <c r="BA176" s="548">
        <v>0</v>
      </c>
      <c r="BB176" s="548"/>
      <c r="BC176" s="548">
        <v>0</v>
      </c>
      <c r="BD176" s="548">
        <f t="shared" si="122"/>
        <v>0.5</v>
      </c>
      <c r="BE176" s="42">
        <f t="shared" si="123"/>
        <v>1.5</v>
      </c>
      <c r="BF176" s="42">
        <f t="shared" si="123"/>
        <v>0</v>
      </c>
      <c r="BG176" s="42">
        <f t="shared" si="123"/>
        <v>7.63</v>
      </c>
      <c r="BH176" s="42">
        <f t="shared" si="123"/>
        <v>0</v>
      </c>
      <c r="BI176" s="42">
        <f t="shared" si="123"/>
        <v>0</v>
      </c>
      <c r="BJ176" s="42">
        <f t="shared" si="107"/>
        <v>0.5</v>
      </c>
      <c r="BK176" s="42">
        <f t="shared" si="124"/>
        <v>0</v>
      </c>
      <c r="BL176" s="42">
        <f t="shared" si="124"/>
        <v>9.629999999999999</v>
      </c>
      <c r="BM176" s="3"/>
    </row>
    <row r="177" spans="1:65" ht="86.25" hidden="1" customHeight="1" x14ac:dyDescent="0.2">
      <c r="A177" s="298" t="s">
        <v>491</v>
      </c>
      <c r="B177" s="299" t="s">
        <v>489</v>
      </c>
      <c r="C177" s="1547"/>
      <c r="D177" s="1551"/>
      <c r="E177" s="1551"/>
      <c r="F177" s="1551"/>
      <c r="G177" s="1551"/>
      <c r="H177" s="1551"/>
      <c r="I177" s="1425"/>
      <c r="J177" s="1425"/>
      <c r="K177" s="1425" t="s">
        <v>552</v>
      </c>
      <c r="L177" s="301" t="s">
        <v>496</v>
      </c>
      <c r="M177" s="1425" t="s">
        <v>497</v>
      </c>
      <c r="N177" s="476"/>
      <c r="O177" s="1425" t="s">
        <v>73</v>
      </c>
      <c r="P177" s="1425"/>
      <c r="Q177" s="16" t="s">
        <v>553</v>
      </c>
      <c r="R177" s="302" t="s">
        <v>554</v>
      </c>
      <c r="S177" s="303">
        <v>2015</v>
      </c>
      <c r="T177" s="303">
        <v>3</v>
      </c>
      <c r="U177" s="303">
        <v>3</v>
      </c>
      <c r="V177" s="303">
        <v>3</v>
      </c>
      <c r="W177" s="303">
        <v>3</v>
      </c>
      <c r="X177" s="303">
        <v>3</v>
      </c>
      <c r="Y177" s="303">
        <v>3</v>
      </c>
      <c r="Z177" s="481"/>
      <c r="AA177" s="481"/>
      <c r="AB177" s="481"/>
      <c r="AC177" s="481"/>
      <c r="AD177" s="481"/>
      <c r="AE177" s="491">
        <v>0.5</v>
      </c>
      <c r="AF177" s="481"/>
      <c r="AG177" s="481">
        <f t="shared" si="118"/>
        <v>0.5</v>
      </c>
      <c r="AH177" s="491">
        <v>0.5</v>
      </c>
      <c r="AI177" s="548"/>
      <c r="AJ177" s="548"/>
      <c r="AK177" s="548"/>
      <c r="AL177" s="548"/>
      <c r="AM177" s="548"/>
      <c r="AN177" s="548">
        <f t="shared" si="119"/>
        <v>0.5</v>
      </c>
      <c r="AO177" s="491">
        <v>0.5</v>
      </c>
      <c r="AP177" s="481"/>
      <c r="AQ177" s="481"/>
      <c r="AR177" s="481"/>
      <c r="AS177" s="481"/>
      <c r="AT177" s="481"/>
      <c r="AU177" s="481"/>
      <c r="AV177" s="481">
        <f t="shared" si="120"/>
        <v>0.5</v>
      </c>
      <c r="AW177" s="491">
        <v>0.5</v>
      </c>
      <c r="AX177" s="548"/>
      <c r="AY177" s="548"/>
      <c r="AZ177" s="548"/>
      <c r="BA177" s="548"/>
      <c r="BB177" s="548"/>
      <c r="BC177" s="548"/>
      <c r="BD177" s="548">
        <f t="shared" si="122"/>
        <v>0.5</v>
      </c>
      <c r="BE177" s="42">
        <f t="shared" si="123"/>
        <v>1.5</v>
      </c>
      <c r="BF177" s="42">
        <f t="shared" si="123"/>
        <v>0</v>
      </c>
      <c r="BG177" s="42">
        <f t="shared" si="123"/>
        <v>0</v>
      </c>
      <c r="BH177" s="42">
        <f t="shared" si="123"/>
        <v>0</v>
      </c>
      <c r="BI177" s="42">
        <f t="shared" si="123"/>
        <v>0</v>
      </c>
      <c r="BJ177" s="42">
        <f t="shared" si="107"/>
        <v>0.5</v>
      </c>
      <c r="BK177" s="42">
        <f t="shared" si="124"/>
        <v>0</v>
      </c>
      <c r="BL177" s="42">
        <f t="shared" si="124"/>
        <v>2</v>
      </c>
      <c r="BM177" s="3"/>
    </row>
    <row r="178" spans="1:65" ht="37.5" hidden="1" customHeight="1" x14ac:dyDescent="0.2">
      <c r="A178" s="298" t="s">
        <v>491</v>
      </c>
      <c r="B178" s="299" t="s">
        <v>489</v>
      </c>
      <c r="C178" s="1547"/>
      <c r="D178" s="1551"/>
      <c r="E178" s="1551"/>
      <c r="F178" s="1551"/>
      <c r="G178" s="1551"/>
      <c r="H178" s="1551"/>
      <c r="I178" s="1425"/>
      <c r="J178" s="1425"/>
      <c r="K178" s="1425" t="s">
        <v>555</v>
      </c>
      <c r="L178" s="301" t="s">
        <v>496</v>
      </c>
      <c r="M178" s="1425" t="s">
        <v>497</v>
      </c>
      <c r="N178" s="476"/>
      <c r="O178" s="1425" t="s">
        <v>73</v>
      </c>
      <c r="P178" s="1425"/>
      <c r="Q178" s="16" t="s">
        <v>556</v>
      </c>
      <c r="R178" s="302" t="s">
        <v>557</v>
      </c>
      <c r="S178" s="303">
        <v>2015</v>
      </c>
      <c r="T178" s="303">
        <v>1</v>
      </c>
      <c r="U178" s="303">
        <v>1</v>
      </c>
      <c r="V178" s="303">
        <v>1</v>
      </c>
      <c r="W178" s="303">
        <v>1</v>
      </c>
      <c r="X178" s="303">
        <v>1</v>
      </c>
      <c r="Y178" s="303">
        <v>1</v>
      </c>
      <c r="Z178" s="481">
        <v>0</v>
      </c>
      <c r="AA178" s="481">
        <v>0</v>
      </c>
      <c r="AB178" s="481">
        <v>0</v>
      </c>
      <c r="AC178" s="481">
        <v>0</v>
      </c>
      <c r="AD178" s="481">
        <v>0</v>
      </c>
      <c r="AE178" s="481">
        <v>5</v>
      </c>
      <c r="AF178" s="481">
        <v>0</v>
      </c>
      <c r="AG178" s="481">
        <f t="shared" si="118"/>
        <v>5</v>
      </c>
      <c r="AH178" s="491">
        <v>0.5</v>
      </c>
      <c r="AI178" s="548">
        <v>0</v>
      </c>
      <c r="AJ178" s="548">
        <v>0</v>
      </c>
      <c r="AK178" s="548">
        <v>0</v>
      </c>
      <c r="AL178" s="548">
        <v>0</v>
      </c>
      <c r="AM178" s="548">
        <v>0</v>
      </c>
      <c r="AN178" s="548">
        <f t="shared" si="119"/>
        <v>0.5</v>
      </c>
      <c r="AO178" s="491">
        <v>0.5</v>
      </c>
      <c r="AP178" s="481">
        <v>0</v>
      </c>
      <c r="AQ178" s="481">
        <v>0</v>
      </c>
      <c r="AR178" s="481">
        <v>0</v>
      </c>
      <c r="AS178" s="481">
        <v>0</v>
      </c>
      <c r="AT178" s="481">
        <v>0</v>
      </c>
      <c r="AU178" s="481">
        <v>0</v>
      </c>
      <c r="AV178" s="481">
        <f t="shared" si="120"/>
        <v>0.5</v>
      </c>
      <c r="AW178" s="491">
        <v>0.5</v>
      </c>
      <c r="AX178" s="548">
        <v>0</v>
      </c>
      <c r="AY178" s="548">
        <v>0</v>
      </c>
      <c r="AZ178" s="548">
        <v>0</v>
      </c>
      <c r="BA178" s="548">
        <v>0</v>
      </c>
      <c r="BB178" s="548"/>
      <c r="BC178" s="548">
        <v>0</v>
      </c>
      <c r="BD178" s="548">
        <f t="shared" si="122"/>
        <v>0.5</v>
      </c>
      <c r="BE178" s="42">
        <f t="shared" si="123"/>
        <v>1.5</v>
      </c>
      <c r="BF178" s="42">
        <f t="shared" si="123"/>
        <v>0</v>
      </c>
      <c r="BG178" s="42">
        <f t="shared" si="123"/>
        <v>0</v>
      </c>
      <c r="BH178" s="42">
        <f t="shared" si="123"/>
        <v>0</v>
      </c>
      <c r="BI178" s="42">
        <f t="shared" si="123"/>
        <v>0</v>
      </c>
      <c r="BJ178" s="42">
        <f t="shared" si="107"/>
        <v>5</v>
      </c>
      <c r="BK178" s="42">
        <f t="shared" si="124"/>
        <v>0</v>
      </c>
      <c r="BL178" s="42">
        <f t="shared" si="124"/>
        <v>6.5</v>
      </c>
      <c r="BM178" s="3"/>
    </row>
    <row r="179" spans="1:65" ht="61.5" hidden="1" customHeight="1" x14ac:dyDescent="0.2">
      <c r="A179" s="298" t="s">
        <v>491</v>
      </c>
      <c r="B179" s="299" t="s">
        <v>489</v>
      </c>
      <c r="C179" s="1547"/>
      <c r="D179" s="1551"/>
      <c r="E179" s="1551"/>
      <c r="F179" s="1551"/>
      <c r="G179" s="1551"/>
      <c r="H179" s="1551"/>
      <c r="I179" s="1425"/>
      <c r="J179" s="1425"/>
      <c r="K179" s="1425" t="s">
        <v>558</v>
      </c>
      <c r="L179" s="301" t="s">
        <v>496</v>
      </c>
      <c r="M179" s="1425" t="s">
        <v>497</v>
      </c>
      <c r="N179" s="476"/>
      <c r="O179" s="1425" t="s">
        <v>73</v>
      </c>
      <c r="P179" s="1425"/>
      <c r="Q179" s="16" t="s">
        <v>559</v>
      </c>
      <c r="R179" s="302" t="s">
        <v>560</v>
      </c>
      <c r="S179" s="303">
        <v>2015</v>
      </c>
      <c r="T179" s="303">
        <v>1</v>
      </c>
      <c r="U179" s="303">
        <v>1</v>
      </c>
      <c r="V179" s="303">
        <v>1</v>
      </c>
      <c r="W179" s="303">
        <v>1</v>
      </c>
      <c r="X179" s="303">
        <v>1</v>
      </c>
      <c r="Y179" s="303">
        <v>1</v>
      </c>
      <c r="Z179" s="481">
        <v>4</v>
      </c>
      <c r="AA179" s="481"/>
      <c r="AB179" s="481"/>
      <c r="AC179" s="481"/>
      <c r="AD179" s="481"/>
      <c r="AE179" s="491">
        <v>0.5</v>
      </c>
      <c r="AF179" s="481"/>
      <c r="AG179" s="481">
        <f t="shared" si="118"/>
        <v>4.5</v>
      </c>
      <c r="AH179" s="548">
        <v>4</v>
      </c>
      <c r="AI179" s="548"/>
      <c r="AJ179" s="548"/>
      <c r="AK179" s="548"/>
      <c r="AL179" s="548"/>
      <c r="AM179" s="548"/>
      <c r="AN179" s="548">
        <f t="shared" si="119"/>
        <v>4</v>
      </c>
      <c r="AO179" s="481">
        <v>4</v>
      </c>
      <c r="AP179" s="481"/>
      <c r="AQ179" s="481"/>
      <c r="AR179" s="481"/>
      <c r="AS179" s="481"/>
      <c r="AT179" s="481"/>
      <c r="AU179" s="481"/>
      <c r="AV179" s="481">
        <f t="shared" si="120"/>
        <v>4</v>
      </c>
      <c r="AW179" s="548">
        <v>4</v>
      </c>
      <c r="AX179" s="548"/>
      <c r="AY179" s="548"/>
      <c r="AZ179" s="548"/>
      <c r="BA179" s="548"/>
      <c r="BB179" s="548"/>
      <c r="BC179" s="548"/>
      <c r="BD179" s="548">
        <f t="shared" si="122"/>
        <v>4</v>
      </c>
      <c r="BE179" s="42">
        <f t="shared" si="123"/>
        <v>16</v>
      </c>
      <c r="BF179" s="42">
        <f t="shared" si="123"/>
        <v>0</v>
      </c>
      <c r="BG179" s="42">
        <f t="shared" si="123"/>
        <v>0</v>
      </c>
      <c r="BH179" s="42">
        <f t="shared" si="123"/>
        <v>0</v>
      </c>
      <c r="BI179" s="42">
        <f t="shared" si="123"/>
        <v>0</v>
      </c>
      <c r="BJ179" s="42">
        <f t="shared" si="107"/>
        <v>0.5</v>
      </c>
      <c r="BK179" s="42">
        <f t="shared" si="124"/>
        <v>0</v>
      </c>
      <c r="BL179" s="42">
        <f t="shared" si="124"/>
        <v>16.5</v>
      </c>
      <c r="BM179" s="3"/>
    </row>
    <row r="180" spans="1:65" ht="141" hidden="1" customHeight="1" x14ac:dyDescent="0.2">
      <c r="A180" s="298" t="s">
        <v>491</v>
      </c>
      <c r="B180" s="299" t="s">
        <v>489</v>
      </c>
      <c r="C180" s="1547"/>
      <c r="D180" s="1551"/>
      <c r="E180" s="1551"/>
      <c r="F180" s="1551"/>
      <c r="G180" s="1551"/>
      <c r="H180" s="1551"/>
      <c r="I180" s="1425"/>
      <c r="J180" s="1425"/>
      <c r="K180" s="1425" t="s">
        <v>561</v>
      </c>
      <c r="L180" s="301" t="s">
        <v>496</v>
      </c>
      <c r="M180" s="1425" t="s">
        <v>497</v>
      </c>
      <c r="N180" s="476"/>
      <c r="O180" s="1425" t="s">
        <v>73</v>
      </c>
      <c r="P180" s="1425"/>
      <c r="Q180" s="16" t="s">
        <v>562</v>
      </c>
      <c r="R180" s="302" t="s">
        <v>563</v>
      </c>
      <c r="S180" s="303">
        <v>2015</v>
      </c>
      <c r="T180" s="303">
        <v>1</v>
      </c>
      <c r="U180" s="303">
        <v>1</v>
      </c>
      <c r="V180" s="303">
        <v>1</v>
      </c>
      <c r="W180" s="303">
        <v>1</v>
      </c>
      <c r="X180" s="303">
        <v>1</v>
      </c>
      <c r="Y180" s="303">
        <v>1</v>
      </c>
      <c r="Z180" s="491">
        <v>29.37</v>
      </c>
      <c r="AA180" s="481"/>
      <c r="AB180" s="481">
        <v>36</v>
      </c>
      <c r="AC180" s="481"/>
      <c r="AD180" s="481"/>
      <c r="AE180" s="481">
        <v>100</v>
      </c>
      <c r="AF180" s="481"/>
      <c r="AG180" s="481">
        <f t="shared" si="118"/>
        <v>165.37</v>
      </c>
      <c r="AH180" s="491">
        <v>14</v>
      </c>
      <c r="AI180" s="548"/>
      <c r="AJ180" s="548">
        <v>36</v>
      </c>
      <c r="AK180" s="548"/>
      <c r="AL180" s="548"/>
      <c r="AM180" s="548"/>
      <c r="AN180" s="548">
        <f t="shared" si="119"/>
        <v>50</v>
      </c>
      <c r="AO180" s="491">
        <v>14</v>
      </c>
      <c r="AP180" s="481"/>
      <c r="AQ180" s="481">
        <v>36</v>
      </c>
      <c r="AR180" s="481"/>
      <c r="AS180" s="481"/>
      <c r="AT180" s="481">
        <v>0</v>
      </c>
      <c r="AU180" s="481"/>
      <c r="AV180" s="481">
        <f t="shared" si="120"/>
        <v>50</v>
      </c>
      <c r="AW180" s="491">
        <v>19</v>
      </c>
      <c r="AX180" s="548"/>
      <c r="AY180" s="548"/>
      <c r="AZ180" s="548"/>
      <c r="BA180" s="548"/>
      <c r="BB180" s="548"/>
      <c r="BC180" s="548"/>
      <c r="BD180" s="548">
        <f t="shared" si="122"/>
        <v>19</v>
      </c>
      <c r="BE180" s="42">
        <f t="shared" si="123"/>
        <v>76.37</v>
      </c>
      <c r="BF180" s="42">
        <f t="shared" si="123"/>
        <v>0</v>
      </c>
      <c r="BG180" s="42">
        <f t="shared" si="123"/>
        <v>108</v>
      </c>
      <c r="BH180" s="42">
        <f t="shared" si="123"/>
        <v>0</v>
      </c>
      <c r="BI180" s="42">
        <f t="shared" si="123"/>
        <v>0</v>
      </c>
      <c r="BJ180" s="42">
        <f t="shared" si="107"/>
        <v>100</v>
      </c>
      <c r="BK180" s="42">
        <f t="shared" si="124"/>
        <v>0</v>
      </c>
      <c r="BL180" s="42">
        <f t="shared" si="124"/>
        <v>284.37</v>
      </c>
      <c r="BM180" s="3"/>
    </row>
    <row r="181" spans="1:65" ht="60" hidden="1" customHeight="1" x14ac:dyDescent="0.2">
      <c r="A181" s="298" t="s">
        <v>491</v>
      </c>
      <c r="B181" s="299" t="s">
        <v>489</v>
      </c>
      <c r="C181" s="1548"/>
      <c r="D181" s="1552"/>
      <c r="E181" s="1552"/>
      <c r="F181" s="1552"/>
      <c r="G181" s="1552"/>
      <c r="H181" s="1552"/>
      <c r="I181" s="1425"/>
      <c r="J181" s="1425"/>
      <c r="K181" s="1425" t="s">
        <v>564</v>
      </c>
      <c r="L181" s="301" t="s">
        <v>496</v>
      </c>
      <c r="M181" s="1425" t="s">
        <v>497</v>
      </c>
      <c r="N181" s="476"/>
      <c r="O181" s="1425" t="s">
        <v>47</v>
      </c>
      <c r="P181" s="1425"/>
      <c r="Q181" s="71" t="s">
        <v>565</v>
      </c>
      <c r="R181" s="345" t="s">
        <v>566</v>
      </c>
      <c r="S181" s="303">
        <v>2015</v>
      </c>
      <c r="T181" s="303" t="s">
        <v>177</v>
      </c>
      <c r="U181" s="303">
        <v>2</v>
      </c>
      <c r="V181" s="303">
        <v>0</v>
      </c>
      <c r="W181" s="303">
        <v>0</v>
      </c>
      <c r="X181" s="303">
        <v>0</v>
      </c>
      <c r="Y181" s="303">
        <v>2</v>
      </c>
      <c r="Z181" s="481">
        <v>16.27</v>
      </c>
      <c r="AA181" s="481"/>
      <c r="AB181" s="481"/>
      <c r="AC181" s="481"/>
      <c r="AD181" s="481"/>
      <c r="AE181" s="481">
        <v>31.26</v>
      </c>
      <c r="AF181" s="481"/>
      <c r="AG181" s="481">
        <f t="shared" si="118"/>
        <v>47.53</v>
      </c>
      <c r="AH181" s="548">
        <v>0</v>
      </c>
      <c r="AI181" s="548"/>
      <c r="AJ181" s="548"/>
      <c r="AK181" s="548"/>
      <c r="AL181" s="548"/>
      <c r="AM181" s="548"/>
      <c r="AN181" s="548">
        <f t="shared" si="119"/>
        <v>0</v>
      </c>
      <c r="AO181" s="481">
        <v>0</v>
      </c>
      <c r="AP181" s="481"/>
      <c r="AQ181" s="481"/>
      <c r="AR181" s="481"/>
      <c r="AS181" s="481"/>
      <c r="AT181" s="481"/>
      <c r="AU181" s="481"/>
      <c r="AV181" s="481">
        <f t="shared" si="120"/>
        <v>0</v>
      </c>
      <c r="AW181" s="548"/>
      <c r="AX181" s="548"/>
      <c r="AY181" s="548"/>
      <c r="AZ181" s="548"/>
      <c r="BA181" s="548"/>
      <c r="BB181" s="548"/>
      <c r="BC181" s="548"/>
      <c r="BD181" s="548">
        <f t="shared" si="122"/>
        <v>0</v>
      </c>
      <c r="BE181" s="42">
        <f t="shared" si="123"/>
        <v>16.27</v>
      </c>
      <c r="BF181" s="42">
        <f t="shared" si="123"/>
        <v>0</v>
      </c>
      <c r="BG181" s="42">
        <f t="shared" si="123"/>
        <v>0</v>
      </c>
      <c r="BH181" s="42">
        <f t="shared" si="123"/>
        <v>0</v>
      </c>
      <c r="BI181" s="42">
        <f t="shared" si="123"/>
        <v>0</v>
      </c>
      <c r="BJ181" s="42">
        <f t="shared" si="107"/>
        <v>31.26</v>
      </c>
      <c r="BK181" s="42">
        <f t="shared" si="124"/>
        <v>0</v>
      </c>
      <c r="BL181" s="42">
        <f t="shared" si="124"/>
        <v>47.53</v>
      </c>
      <c r="BM181" s="3"/>
    </row>
    <row r="182" spans="1:65" ht="38.25" hidden="1" x14ac:dyDescent="0.2">
      <c r="A182" s="295" t="s">
        <v>491</v>
      </c>
      <c r="B182" s="154" t="s">
        <v>489</v>
      </c>
      <c r="C182" s="154"/>
      <c r="D182" s="2" t="s">
        <v>567</v>
      </c>
      <c r="E182" s="1"/>
      <c r="F182" s="1"/>
      <c r="G182" s="1"/>
      <c r="H182" s="1"/>
      <c r="I182" s="1"/>
      <c r="J182" s="1"/>
      <c r="K182" s="1"/>
      <c r="L182" s="1"/>
      <c r="M182" s="1"/>
      <c r="N182" s="1"/>
      <c r="O182" s="1"/>
      <c r="P182" s="1"/>
      <c r="Q182" s="22" t="s">
        <v>568</v>
      </c>
      <c r="R182" s="22"/>
      <c r="S182" s="1"/>
      <c r="T182" s="1"/>
      <c r="U182" s="1"/>
      <c r="V182" s="1"/>
      <c r="W182" s="1"/>
      <c r="X182" s="1"/>
      <c r="Y182" s="1"/>
      <c r="Z182" s="34">
        <f t="shared" ref="Z182:BL182" si="126">SUM(Z183:Z192)</f>
        <v>13</v>
      </c>
      <c r="AA182" s="34">
        <f t="shared" si="126"/>
        <v>0</v>
      </c>
      <c r="AB182" s="34">
        <f t="shared" si="126"/>
        <v>3</v>
      </c>
      <c r="AC182" s="34">
        <f t="shared" si="126"/>
        <v>0</v>
      </c>
      <c r="AD182" s="34">
        <f t="shared" si="126"/>
        <v>0</v>
      </c>
      <c r="AE182" s="34">
        <f t="shared" si="126"/>
        <v>8</v>
      </c>
      <c r="AF182" s="34">
        <f t="shared" si="126"/>
        <v>0</v>
      </c>
      <c r="AG182" s="34">
        <f t="shared" si="118"/>
        <v>24</v>
      </c>
      <c r="AH182" s="34">
        <f t="shared" si="126"/>
        <v>14</v>
      </c>
      <c r="AI182" s="34">
        <f t="shared" si="126"/>
        <v>0</v>
      </c>
      <c r="AJ182" s="34">
        <f t="shared" si="126"/>
        <v>3</v>
      </c>
      <c r="AK182" s="34">
        <f t="shared" si="126"/>
        <v>0</v>
      </c>
      <c r="AL182" s="34">
        <f t="shared" si="126"/>
        <v>0</v>
      </c>
      <c r="AM182" s="34">
        <f t="shared" si="126"/>
        <v>0</v>
      </c>
      <c r="AN182" s="34">
        <f t="shared" si="119"/>
        <v>17</v>
      </c>
      <c r="AO182" s="34">
        <f t="shared" si="126"/>
        <v>14</v>
      </c>
      <c r="AP182" s="34">
        <f t="shared" si="126"/>
        <v>0</v>
      </c>
      <c r="AQ182" s="34">
        <f t="shared" si="126"/>
        <v>3</v>
      </c>
      <c r="AR182" s="34">
        <f t="shared" si="126"/>
        <v>0</v>
      </c>
      <c r="AS182" s="34">
        <f t="shared" si="126"/>
        <v>0</v>
      </c>
      <c r="AT182" s="34">
        <f t="shared" si="126"/>
        <v>0</v>
      </c>
      <c r="AU182" s="34">
        <f t="shared" si="126"/>
        <v>0</v>
      </c>
      <c r="AV182" s="34">
        <f t="shared" si="120"/>
        <v>17</v>
      </c>
      <c r="AW182" s="34">
        <f t="shared" si="126"/>
        <v>14</v>
      </c>
      <c r="AX182" s="34">
        <f t="shared" si="126"/>
        <v>0</v>
      </c>
      <c r="AY182" s="34">
        <f t="shared" si="126"/>
        <v>3</v>
      </c>
      <c r="AZ182" s="34">
        <f t="shared" si="126"/>
        <v>0</v>
      </c>
      <c r="BA182" s="34">
        <f t="shared" si="126"/>
        <v>0</v>
      </c>
      <c r="BB182" s="34">
        <f t="shared" si="126"/>
        <v>0</v>
      </c>
      <c r="BC182" s="34">
        <f t="shared" si="126"/>
        <v>0</v>
      </c>
      <c r="BD182" s="34">
        <f t="shared" si="122"/>
        <v>17</v>
      </c>
      <c r="BE182" s="34">
        <f t="shared" si="126"/>
        <v>55</v>
      </c>
      <c r="BF182" s="34">
        <f t="shared" si="126"/>
        <v>0</v>
      </c>
      <c r="BG182" s="34">
        <f t="shared" si="126"/>
        <v>12</v>
      </c>
      <c r="BH182" s="34">
        <f t="shared" si="126"/>
        <v>0</v>
      </c>
      <c r="BI182" s="34">
        <f t="shared" si="126"/>
        <v>0</v>
      </c>
      <c r="BJ182" s="34">
        <f t="shared" si="107"/>
        <v>8</v>
      </c>
      <c r="BK182" s="34">
        <f t="shared" si="126"/>
        <v>0</v>
      </c>
      <c r="BL182" s="34">
        <f t="shared" si="126"/>
        <v>75</v>
      </c>
      <c r="BM182" s="3"/>
    </row>
    <row r="183" spans="1:65" ht="68.25" hidden="1" customHeight="1" x14ac:dyDescent="0.2">
      <c r="A183" s="298" t="s">
        <v>491</v>
      </c>
      <c r="B183" s="299" t="s">
        <v>489</v>
      </c>
      <c r="C183" s="1546" t="s">
        <v>569</v>
      </c>
      <c r="D183" s="1550" t="s">
        <v>570</v>
      </c>
      <c r="E183" s="1550" t="s">
        <v>571</v>
      </c>
      <c r="F183" s="1550">
        <v>2015</v>
      </c>
      <c r="G183" s="1550" t="s">
        <v>177</v>
      </c>
      <c r="H183" s="1550">
        <v>10</v>
      </c>
      <c r="I183" s="1425"/>
      <c r="J183" s="1425"/>
      <c r="K183" s="1425" t="s">
        <v>572</v>
      </c>
      <c r="L183" s="301" t="s">
        <v>496</v>
      </c>
      <c r="M183" s="1425" t="s">
        <v>497</v>
      </c>
      <c r="N183" s="476"/>
      <c r="O183" s="1425" t="s">
        <v>73</v>
      </c>
      <c r="P183" s="1425"/>
      <c r="Q183" s="16" t="s">
        <v>573</v>
      </c>
      <c r="R183" s="302" t="s">
        <v>574</v>
      </c>
      <c r="S183" s="303">
        <v>2015</v>
      </c>
      <c r="T183" s="303">
        <v>0</v>
      </c>
      <c r="U183" s="303">
        <v>1</v>
      </c>
      <c r="V183" s="303">
        <v>1</v>
      </c>
      <c r="W183" s="303">
        <v>1</v>
      </c>
      <c r="X183" s="303">
        <v>1</v>
      </c>
      <c r="Y183" s="303">
        <v>1</v>
      </c>
      <c r="Z183" s="491">
        <v>3</v>
      </c>
      <c r="AA183" s="481"/>
      <c r="AB183" s="481"/>
      <c r="AC183" s="481"/>
      <c r="AD183" s="481"/>
      <c r="AE183" s="481"/>
      <c r="AF183" s="481"/>
      <c r="AG183" s="481">
        <f t="shared" si="118"/>
        <v>3</v>
      </c>
      <c r="AH183" s="491">
        <v>3</v>
      </c>
      <c r="AI183" s="548"/>
      <c r="AJ183" s="548"/>
      <c r="AK183" s="548"/>
      <c r="AL183" s="548"/>
      <c r="AM183" s="548"/>
      <c r="AN183" s="548">
        <f t="shared" si="119"/>
        <v>3</v>
      </c>
      <c r="AO183" s="491">
        <v>3</v>
      </c>
      <c r="AP183" s="481"/>
      <c r="AQ183" s="481"/>
      <c r="AR183" s="481"/>
      <c r="AS183" s="481"/>
      <c r="AT183" s="481"/>
      <c r="AU183" s="481"/>
      <c r="AV183" s="481">
        <f t="shared" si="120"/>
        <v>3</v>
      </c>
      <c r="AW183" s="491">
        <v>3</v>
      </c>
      <c r="AX183" s="548"/>
      <c r="AY183" s="548"/>
      <c r="AZ183" s="548"/>
      <c r="BA183" s="548"/>
      <c r="BB183" s="548"/>
      <c r="BC183" s="548"/>
      <c r="BD183" s="548">
        <f t="shared" si="122"/>
        <v>3</v>
      </c>
      <c r="BE183" s="42">
        <f t="shared" ref="BE183:BI198" si="127">+AW183+AO183+AH183+Z183</f>
        <v>12</v>
      </c>
      <c r="BF183" s="42">
        <f t="shared" si="127"/>
        <v>0</v>
      </c>
      <c r="BG183" s="42">
        <f t="shared" si="127"/>
        <v>0</v>
      </c>
      <c r="BH183" s="42">
        <f t="shared" si="127"/>
        <v>0</v>
      </c>
      <c r="BI183" s="42">
        <f t="shared" si="127"/>
        <v>0</v>
      </c>
      <c r="BJ183" s="42">
        <f t="shared" si="107"/>
        <v>0</v>
      </c>
      <c r="BK183" s="42">
        <f t="shared" ref="BK183:BL198" si="128">+BC183+AU183+AM183+AF183</f>
        <v>0</v>
      </c>
      <c r="BL183" s="42">
        <f t="shared" si="128"/>
        <v>12</v>
      </c>
      <c r="BM183" s="3"/>
    </row>
    <row r="184" spans="1:65" ht="84.75" hidden="1" customHeight="1" x14ac:dyDescent="0.2">
      <c r="A184" s="298" t="s">
        <v>491</v>
      </c>
      <c r="B184" s="299" t="s">
        <v>489</v>
      </c>
      <c r="C184" s="1547"/>
      <c r="D184" s="1551"/>
      <c r="E184" s="1551"/>
      <c r="F184" s="1551"/>
      <c r="G184" s="1551"/>
      <c r="H184" s="1551"/>
      <c r="I184" s="1425"/>
      <c r="J184" s="1425"/>
      <c r="K184" s="1425" t="s">
        <v>575</v>
      </c>
      <c r="L184" s="301" t="s">
        <v>496</v>
      </c>
      <c r="M184" s="1425" t="s">
        <v>497</v>
      </c>
      <c r="N184" s="476"/>
      <c r="O184" s="1425" t="s">
        <v>47</v>
      </c>
      <c r="P184" s="1425"/>
      <c r="Q184" s="16" t="s">
        <v>576</v>
      </c>
      <c r="R184" s="302" t="s">
        <v>577</v>
      </c>
      <c r="S184" s="303">
        <v>2015</v>
      </c>
      <c r="T184" s="303">
        <v>0</v>
      </c>
      <c r="U184" s="303">
        <v>2</v>
      </c>
      <c r="V184" s="303">
        <v>2</v>
      </c>
      <c r="W184" s="303">
        <v>2</v>
      </c>
      <c r="X184" s="303">
        <v>2</v>
      </c>
      <c r="Y184" s="303">
        <v>8</v>
      </c>
      <c r="Z184" s="491">
        <v>0.5</v>
      </c>
      <c r="AA184" s="481"/>
      <c r="AB184" s="481"/>
      <c r="AC184" s="481"/>
      <c r="AD184" s="481"/>
      <c r="AE184" s="481"/>
      <c r="AF184" s="481"/>
      <c r="AG184" s="481">
        <f t="shared" si="118"/>
        <v>0.5</v>
      </c>
      <c r="AH184" s="491">
        <v>0.5</v>
      </c>
      <c r="AI184" s="548"/>
      <c r="AJ184" s="548"/>
      <c r="AK184" s="548"/>
      <c r="AL184" s="548"/>
      <c r="AM184" s="548"/>
      <c r="AN184" s="548">
        <f t="shared" si="119"/>
        <v>0.5</v>
      </c>
      <c r="AO184" s="491">
        <v>0.5</v>
      </c>
      <c r="AP184" s="481"/>
      <c r="AQ184" s="481"/>
      <c r="AR184" s="481"/>
      <c r="AS184" s="481"/>
      <c r="AT184" s="481"/>
      <c r="AU184" s="481"/>
      <c r="AV184" s="481">
        <f t="shared" si="120"/>
        <v>0.5</v>
      </c>
      <c r="AW184" s="491">
        <v>0.5</v>
      </c>
      <c r="AX184" s="548"/>
      <c r="AY184" s="548"/>
      <c r="AZ184" s="548"/>
      <c r="BA184" s="548"/>
      <c r="BB184" s="548"/>
      <c r="BC184" s="548"/>
      <c r="BD184" s="548">
        <f t="shared" si="122"/>
        <v>0.5</v>
      </c>
      <c r="BE184" s="42">
        <f t="shared" si="127"/>
        <v>2</v>
      </c>
      <c r="BF184" s="42">
        <f t="shared" si="127"/>
        <v>0</v>
      </c>
      <c r="BG184" s="42">
        <f t="shared" si="127"/>
        <v>0</v>
      </c>
      <c r="BH184" s="42">
        <f t="shared" si="127"/>
        <v>0</v>
      </c>
      <c r="BI184" s="42">
        <f t="shared" si="127"/>
        <v>0</v>
      </c>
      <c r="BJ184" s="42">
        <f t="shared" si="107"/>
        <v>0</v>
      </c>
      <c r="BK184" s="42">
        <f t="shared" si="128"/>
        <v>0</v>
      </c>
      <c r="BL184" s="42">
        <f t="shared" si="128"/>
        <v>2</v>
      </c>
      <c r="BM184" s="3"/>
    </row>
    <row r="185" spans="1:65" ht="90" hidden="1" customHeight="1" x14ac:dyDescent="0.2">
      <c r="A185" s="298" t="s">
        <v>491</v>
      </c>
      <c r="B185" s="299" t="s">
        <v>489</v>
      </c>
      <c r="C185" s="1547"/>
      <c r="D185" s="1551"/>
      <c r="E185" s="1551"/>
      <c r="F185" s="1551"/>
      <c r="G185" s="1551"/>
      <c r="H185" s="1551"/>
      <c r="I185" s="1425"/>
      <c r="J185" s="1425"/>
      <c r="K185" s="1425" t="s">
        <v>578</v>
      </c>
      <c r="L185" s="301" t="s">
        <v>496</v>
      </c>
      <c r="M185" s="1425" t="s">
        <v>497</v>
      </c>
      <c r="N185" s="476"/>
      <c r="O185" s="1425" t="s">
        <v>47</v>
      </c>
      <c r="P185" s="1425"/>
      <c r="Q185" s="16" t="s">
        <v>579</v>
      </c>
      <c r="R185" s="302" t="s">
        <v>580</v>
      </c>
      <c r="S185" s="303">
        <v>2015</v>
      </c>
      <c r="T185" s="303">
        <v>0</v>
      </c>
      <c r="U185" s="303">
        <v>1</v>
      </c>
      <c r="V185" s="303">
        <v>1</v>
      </c>
      <c r="W185" s="303">
        <v>1</v>
      </c>
      <c r="X185" s="303">
        <v>1</v>
      </c>
      <c r="Y185" s="303">
        <v>4</v>
      </c>
      <c r="Z185" s="491">
        <v>0.5</v>
      </c>
      <c r="AA185" s="481"/>
      <c r="AB185" s="481"/>
      <c r="AC185" s="481"/>
      <c r="AD185" s="481"/>
      <c r="AE185" s="481"/>
      <c r="AF185" s="481"/>
      <c r="AG185" s="481">
        <f t="shared" si="118"/>
        <v>0.5</v>
      </c>
      <c r="AH185" s="491">
        <v>0.5</v>
      </c>
      <c r="AI185" s="548"/>
      <c r="AJ185" s="548"/>
      <c r="AK185" s="548"/>
      <c r="AL185" s="548"/>
      <c r="AM185" s="548"/>
      <c r="AN185" s="548">
        <f t="shared" si="119"/>
        <v>0.5</v>
      </c>
      <c r="AO185" s="491">
        <v>0.5</v>
      </c>
      <c r="AP185" s="481"/>
      <c r="AQ185" s="481"/>
      <c r="AR185" s="481"/>
      <c r="AS185" s="481"/>
      <c r="AT185" s="481"/>
      <c r="AU185" s="481"/>
      <c r="AV185" s="481">
        <f t="shared" si="120"/>
        <v>0.5</v>
      </c>
      <c r="AW185" s="491">
        <v>0.5</v>
      </c>
      <c r="AX185" s="548"/>
      <c r="AY185" s="548"/>
      <c r="AZ185" s="548"/>
      <c r="BA185" s="548"/>
      <c r="BB185" s="548"/>
      <c r="BC185" s="548"/>
      <c r="BD185" s="548">
        <f t="shared" si="122"/>
        <v>0.5</v>
      </c>
      <c r="BE185" s="42">
        <f t="shared" si="127"/>
        <v>2</v>
      </c>
      <c r="BF185" s="42">
        <f t="shared" si="127"/>
        <v>0</v>
      </c>
      <c r="BG185" s="42">
        <f t="shared" si="127"/>
        <v>0</v>
      </c>
      <c r="BH185" s="42">
        <f t="shared" si="127"/>
        <v>0</v>
      </c>
      <c r="BI185" s="42">
        <f t="shared" si="127"/>
        <v>0</v>
      </c>
      <c r="BJ185" s="42">
        <f t="shared" si="107"/>
        <v>0</v>
      </c>
      <c r="BK185" s="42">
        <f t="shared" si="128"/>
        <v>0</v>
      </c>
      <c r="BL185" s="42">
        <f t="shared" si="128"/>
        <v>2</v>
      </c>
      <c r="BM185" s="3"/>
    </row>
    <row r="186" spans="1:65" ht="57" hidden="1" customHeight="1" x14ac:dyDescent="0.2">
      <c r="A186" s="298" t="s">
        <v>491</v>
      </c>
      <c r="B186" s="299" t="s">
        <v>489</v>
      </c>
      <c r="C186" s="1547"/>
      <c r="D186" s="1551"/>
      <c r="E186" s="1551"/>
      <c r="F186" s="1551"/>
      <c r="G186" s="1551"/>
      <c r="H186" s="1551"/>
      <c r="I186" s="1425"/>
      <c r="J186" s="1425"/>
      <c r="K186" s="1425" t="s">
        <v>581</v>
      </c>
      <c r="L186" s="301" t="s">
        <v>496</v>
      </c>
      <c r="M186" s="1425" t="s">
        <v>497</v>
      </c>
      <c r="N186" s="476"/>
      <c r="O186" s="1425" t="s">
        <v>47</v>
      </c>
      <c r="P186" s="1425"/>
      <c r="Q186" s="16" t="s">
        <v>582</v>
      </c>
      <c r="R186" s="302" t="s">
        <v>583</v>
      </c>
      <c r="S186" s="303">
        <v>2015</v>
      </c>
      <c r="T186" s="303">
        <v>0</v>
      </c>
      <c r="U186" s="303">
        <v>1</v>
      </c>
      <c r="V186" s="303">
        <v>1</v>
      </c>
      <c r="W186" s="303">
        <v>1</v>
      </c>
      <c r="X186" s="303">
        <v>1</v>
      </c>
      <c r="Y186" s="303">
        <v>4</v>
      </c>
      <c r="Z186" s="481">
        <v>5</v>
      </c>
      <c r="AA186" s="481"/>
      <c r="AB186" s="481"/>
      <c r="AC186" s="481"/>
      <c r="AD186" s="481"/>
      <c r="AE186" s="481"/>
      <c r="AF186" s="481"/>
      <c r="AG186" s="481">
        <f t="shared" si="118"/>
        <v>5</v>
      </c>
      <c r="AH186" s="548">
        <v>2</v>
      </c>
      <c r="AI186" s="548"/>
      <c r="AJ186" s="548"/>
      <c r="AK186" s="548"/>
      <c r="AL186" s="548"/>
      <c r="AM186" s="548"/>
      <c r="AN186" s="548">
        <f t="shared" si="119"/>
        <v>2</v>
      </c>
      <c r="AO186" s="481">
        <v>2</v>
      </c>
      <c r="AP186" s="481"/>
      <c r="AQ186" s="481"/>
      <c r="AR186" s="481"/>
      <c r="AS186" s="481"/>
      <c r="AT186" s="481"/>
      <c r="AU186" s="481"/>
      <c r="AV186" s="481">
        <f t="shared" si="120"/>
        <v>2</v>
      </c>
      <c r="AW186" s="548">
        <v>2</v>
      </c>
      <c r="AX186" s="548"/>
      <c r="AY186" s="548"/>
      <c r="AZ186" s="548"/>
      <c r="BA186" s="548"/>
      <c r="BB186" s="548"/>
      <c r="BC186" s="548"/>
      <c r="BD186" s="548">
        <f t="shared" si="122"/>
        <v>2</v>
      </c>
      <c r="BE186" s="42">
        <f t="shared" si="127"/>
        <v>11</v>
      </c>
      <c r="BF186" s="42">
        <f t="shared" si="127"/>
        <v>0</v>
      </c>
      <c r="BG186" s="42">
        <f t="shared" si="127"/>
        <v>0</v>
      </c>
      <c r="BH186" s="42">
        <f t="shared" si="127"/>
        <v>0</v>
      </c>
      <c r="BI186" s="42">
        <f t="shared" si="127"/>
        <v>0</v>
      </c>
      <c r="BJ186" s="42">
        <f t="shared" si="107"/>
        <v>0</v>
      </c>
      <c r="BK186" s="42">
        <f t="shared" si="128"/>
        <v>0</v>
      </c>
      <c r="BL186" s="42">
        <f t="shared" si="128"/>
        <v>11</v>
      </c>
      <c r="BM186" s="3"/>
    </row>
    <row r="187" spans="1:65" ht="72.75" hidden="1" customHeight="1" x14ac:dyDescent="0.2">
      <c r="A187" s="298" t="s">
        <v>491</v>
      </c>
      <c r="B187" s="299" t="s">
        <v>489</v>
      </c>
      <c r="C187" s="1547"/>
      <c r="D187" s="1551"/>
      <c r="E187" s="1551"/>
      <c r="F187" s="1551"/>
      <c r="G187" s="1551"/>
      <c r="H187" s="1551"/>
      <c r="I187" s="1425"/>
      <c r="J187" s="1425"/>
      <c r="K187" s="1425" t="s">
        <v>584</v>
      </c>
      <c r="L187" s="301" t="s">
        <v>496</v>
      </c>
      <c r="M187" s="1425" t="s">
        <v>497</v>
      </c>
      <c r="N187" s="476"/>
      <c r="O187" s="1425" t="s">
        <v>73</v>
      </c>
      <c r="P187" s="1425"/>
      <c r="Q187" s="16" t="s">
        <v>585</v>
      </c>
      <c r="R187" s="302" t="s">
        <v>586</v>
      </c>
      <c r="S187" s="303">
        <v>2015</v>
      </c>
      <c r="T187" s="303">
        <v>0</v>
      </c>
      <c r="U187" s="303">
        <v>0</v>
      </c>
      <c r="V187" s="303">
        <v>1</v>
      </c>
      <c r="W187" s="303">
        <v>1</v>
      </c>
      <c r="X187" s="303">
        <v>1</v>
      </c>
      <c r="Y187" s="303">
        <v>1</v>
      </c>
      <c r="Z187" s="491"/>
      <c r="AA187" s="481">
        <v>0</v>
      </c>
      <c r="AB187" s="481">
        <v>0</v>
      </c>
      <c r="AC187" s="481">
        <v>0</v>
      </c>
      <c r="AD187" s="481">
        <v>0</v>
      </c>
      <c r="AE187" s="481">
        <v>0</v>
      </c>
      <c r="AF187" s="481">
        <v>0</v>
      </c>
      <c r="AG187" s="481">
        <f t="shared" si="118"/>
        <v>0</v>
      </c>
      <c r="AH187" s="491">
        <v>3.5</v>
      </c>
      <c r="AI187" s="548">
        <v>0</v>
      </c>
      <c r="AJ187" s="548">
        <v>2</v>
      </c>
      <c r="AK187" s="548">
        <v>0</v>
      </c>
      <c r="AL187" s="548">
        <v>0</v>
      </c>
      <c r="AM187" s="548">
        <v>0</v>
      </c>
      <c r="AN187" s="548">
        <f t="shared" si="119"/>
        <v>5.5</v>
      </c>
      <c r="AO187" s="491">
        <v>3.5</v>
      </c>
      <c r="AP187" s="481">
        <v>0</v>
      </c>
      <c r="AQ187" s="481">
        <v>2</v>
      </c>
      <c r="AR187" s="481">
        <v>0</v>
      </c>
      <c r="AS187" s="481">
        <v>0</v>
      </c>
      <c r="AT187" s="481">
        <v>0</v>
      </c>
      <c r="AU187" s="481">
        <v>0</v>
      </c>
      <c r="AV187" s="481">
        <f t="shared" si="120"/>
        <v>5.5</v>
      </c>
      <c r="AW187" s="491">
        <v>4</v>
      </c>
      <c r="AX187" s="548">
        <v>0</v>
      </c>
      <c r="AY187" s="548">
        <v>2</v>
      </c>
      <c r="AZ187" s="548">
        <v>0</v>
      </c>
      <c r="BA187" s="548">
        <v>0</v>
      </c>
      <c r="BB187" s="548">
        <v>0</v>
      </c>
      <c r="BC187" s="548">
        <v>0</v>
      </c>
      <c r="BD187" s="548">
        <f t="shared" si="122"/>
        <v>6</v>
      </c>
      <c r="BE187" s="42">
        <f t="shared" si="127"/>
        <v>11</v>
      </c>
      <c r="BF187" s="42">
        <f t="shared" si="127"/>
        <v>0</v>
      </c>
      <c r="BG187" s="42">
        <f t="shared" si="127"/>
        <v>6</v>
      </c>
      <c r="BH187" s="42">
        <f t="shared" si="127"/>
        <v>0</v>
      </c>
      <c r="BI187" s="42">
        <f t="shared" si="127"/>
        <v>0</v>
      </c>
      <c r="BJ187" s="42">
        <f t="shared" si="107"/>
        <v>0</v>
      </c>
      <c r="BK187" s="42">
        <f t="shared" si="128"/>
        <v>0</v>
      </c>
      <c r="BL187" s="42">
        <f t="shared" si="128"/>
        <v>17</v>
      </c>
      <c r="BM187" s="3"/>
    </row>
    <row r="188" spans="1:65" ht="84.75" hidden="1" customHeight="1" x14ac:dyDescent="0.2">
      <c r="A188" s="298" t="s">
        <v>491</v>
      </c>
      <c r="B188" s="299" t="s">
        <v>489</v>
      </c>
      <c r="C188" s="1547"/>
      <c r="D188" s="1551"/>
      <c r="E188" s="1551"/>
      <c r="F188" s="1551"/>
      <c r="G188" s="1551"/>
      <c r="H188" s="1551"/>
      <c r="I188" s="1425"/>
      <c r="J188" s="1425"/>
      <c r="K188" s="1425" t="s">
        <v>587</v>
      </c>
      <c r="L188" s="301" t="s">
        <v>496</v>
      </c>
      <c r="M188" s="1425" t="s">
        <v>497</v>
      </c>
      <c r="N188" s="476"/>
      <c r="O188" s="1425" t="s">
        <v>73</v>
      </c>
      <c r="P188" s="1425"/>
      <c r="Q188" s="16" t="s">
        <v>588</v>
      </c>
      <c r="R188" s="302" t="s">
        <v>589</v>
      </c>
      <c r="S188" s="303">
        <v>2015</v>
      </c>
      <c r="T188" s="303">
        <v>0</v>
      </c>
      <c r="U188" s="303">
        <v>1</v>
      </c>
      <c r="V188" s="303">
        <v>1</v>
      </c>
      <c r="W188" s="303">
        <v>1</v>
      </c>
      <c r="X188" s="303">
        <v>1</v>
      </c>
      <c r="Y188" s="303">
        <v>1</v>
      </c>
      <c r="Z188" s="491">
        <v>0.5</v>
      </c>
      <c r="AA188" s="481">
        <v>0</v>
      </c>
      <c r="AB188" s="481">
        <v>0</v>
      </c>
      <c r="AC188" s="481">
        <v>0</v>
      </c>
      <c r="AD188" s="481">
        <v>0</v>
      </c>
      <c r="AE188" s="481">
        <v>8</v>
      </c>
      <c r="AF188" s="481">
        <v>0</v>
      </c>
      <c r="AG188" s="481">
        <f t="shared" si="118"/>
        <v>8.5</v>
      </c>
      <c r="AH188" s="491">
        <v>0.5</v>
      </c>
      <c r="AI188" s="548">
        <v>0</v>
      </c>
      <c r="AJ188" s="548">
        <v>0</v>
      </c>
      <c r="AK188" s="548">
        <v>0</v>
      </c>
      <c r="AL188" s="548">
        <v>0</v>
      </c>
      <c r="AM188" s="548">
        <v>0</v>
      </c>
      <c r="AN188" s="548">
        <f t="shared" si="119"/>
        <v>0.5</v>
      </c>
      <c r="AO188" s="491">
        <v>0.5</v>
      </c>
      <c r="AP188" s="481">
        <v>0</v>
      </c>
      <c r="AQ188" s="481">
        <v>0</v>
      </c>
      <c r="AR188" s="481">
        <v>0</v>
      </c>
      <c r="AS188" s="481">
        <v>0</v>
      </c>
      <c r="AT188" s="481"/>
      <c r="AU188" s="481">
        <v>0</v>
      </c>
      <c r="AV188" s="481">
        <f t="shared" si="120"/>
        <v>0.5</v>
      </c>
      <c r="AW188" s="491">
        <v>0.5</v>
      </c>
      <c r="AX188" s="548">
        <v>0</v>
      </c>
      <c r="AY188" s="548">
        <v>0</v>
      </c>
      <c r="AZ188" s="548">
        <v>0</v>
      </c>
      <c r="BA188" s="548">
        <v>0</v>
      </c>
      <c r="BB188" s="548"/>
      <c r="BC188" s="548">
        <v>0</v>
      </c>
      <c r="BD188" s="548">
        <f t="shared" si="122"/>
        <v>0.5</v>
      </c>
      <c r="BE188" s="42">
        <f t="shared" si="127"/>
        <v>2</v>
      </c>
      <c r="BF188" s="42">
        <f t="shared" si="127"/>
        <v>0</v>
      </c>
      <c r="BG188" s="42">
        <f t="shared" si="127"/>
        <v>0</v>
      </c>
      <c r="BH188" s="42">
        <f t="shared" si="127"/>
        <v>0</v>
      </c>
      <c r="BI188" s="42">
        <f t="shared" si="127"/>
        <v>0</v>
      </c>
      <c r="BJ188" s="42">
        <f t="shared" si="107"/>
        <v>8</v>
      </c>
      <c r="BK188" s="42">
        <f t="shared" si="128"/>
        <v>0</v>
      </c>
      <c r="BL188" s="42">
        <f t="shared" si="128"/>
        <v>10</v>
      </c>
      <c r="BM188" s="3"/>
    </row>
    <row r="189" spans="1:65" ht="63.75" hidden="1" x14ac:dyDescent="0.2">
      <c r="A189" s="298" t="s">
        <v>491</v>
      </c>
      <c r="B189" s="299" t="s">
        <v>489</v>
      </c>
      <c r="C189" s="1547"/>
      <c r="D189" s="1551"/>
      <c r="E189" s="1551"/>
      <c r="F189" s="1551"/>
      <c r="G189" s="1551"/>
      <c r="H189" s="1551"/>
      <c r="I189" s="1425"/>
      <c r="J189" s="1425"/>
      <c r="K189" s="1425" t="s">
        <v>590</v>
      </c>
      <c r="L189" s="301" t="s">
        <v>496</v>
      </c>
      <c r="M189" s="1425" t="s">
        <v>497</v>
      </c>
      <c r="N189" s="476"/>
      <c r="O189" s="1425" t="s">
        <v>47</v>
      </c>
      <c r="P189" s="1425"/>
      <c r="Q189" s="16" t="s">
        <v>591</v>
      </c>
      <c r="R189" s="302" t="s">
        <v>592</v>
      </c>
      <c r="S189" s="303">
        <v>2015</v>
      </c>
      <c r="T189" s="303">
        <v>0</v>
      </c>
      <c r="U189" s="303">
        <v>0</v>
      </c>
      <c r="V189" s="303">
        <v>1</v>
      </c>
      <c r="W189" s="303">
        <v>1</v>
      </c>
      <c r="X189" s="303">
        <v>0</v>
      </c>
      <c r="Y189" s="303">
        <v>2</v>
      </c>
      <c r="Z189" s="701"/>
      <c r="AA189" s="481"/>
      <c r="AB189" s="481"/>
      <c r="AC189" s="481"/>
      <c r="AD189" s="481"/>
      <c r="AE189" s="481"/>
      <c r="AF189" s="481"/>
      <c r="AG189" s="481">
        <f t="shared" si="118"/>
        <v>0</v>
      </c>
      <c r="AH189" s="491">
        <v>0.5</v>
      </c>
      <c r="AI189" s="548"/>
      <c r="AJ189" s="548"/>
      <c r="AK189" s="548"/>
      <c r="AL189" s="548"/>
      <c r="AM189" s="548"/>
      <c r="AN189" s="548">
        <f t="shared" si="119"/>
        <v>0.5</v>
      </c>
      <c r="AO189" s="491">
        <v>0.5</v>
      </c>
      <c r="AP189" s="481"/>
      <c r="AQ189" s="481"/>
      <c r="AR189" s="481"/>
      <c r="AS189" s="481"/>
      <c r="AT189" s="481"/>
      <c r="AU189" s="481"/>
      <c r="AV189" s="481">
        <f t="shared" si="120"/>
        <v>0.5</v>
      </c>
      <c r="AW189" s="548"/>
      <c r="AX189" s="548"/>
      <c r="AY189" s="548"/>
      <c r="AZ189" s="548"/>
      <c r="BA189" s="548"/>
      <c r="BB189" s="548"/>
      <c r="BC189" s="548"/>
      <c r="BD189" s="548">
        <f t="shared" si="122"/>
        <v>0</v>
      </c>
      <c r="BE189" s="42">
        <f t="shared" si="127"/>
        <v>1</v>
      </c>
      <c r="BF189" s="42">
        <f t="shared" si="127"/>
        <v>0</v>
      </c>
      <c r="BG189" s="42">
        <f t="shared" si="127"/>
        <v>0</v>
      </c>
      <c r="BH189" s="42">
        <f t="shared" si="127"/>
        <v>0</v>
      </c>
      <c r="BI189" s="42">
        <f t="shared" si="127"/>
        <v>0</v>
      </c>
      <c r="BJ189" s="42">
        <f t="shared" si="107"/>
        <v>0</v>
      </c>
      <c r="BK189" s="42">
        <f t="shared" si="128"/>
        <v>0</v>
      </c>
      <c r="BL189" s="42">
        <f t="shared" si="128"/>
        <v>1</v>
      </c>
      <c r="BM189" s="3"/>
    </row>
    <row r="190" spans="1:65" ht="84.75" hidden="1" customHeight="1" x14ac:dyDescent="0.2">
      <c r="A190" s="298" t="s">
        <v>491</v>
      </c>
      <c r="B190" s="299" t="s">
        <v>489</v>
      </c>
      <c r="C190" s="1547"/>
      <c r="D190" s="1551"/>
      <c r="E190" s="1551"/>
      <c r="F190" s="1551"/>
      <c r="G190" s="1551"/>
      <c r="H190" s="1551"/>
      <c r="I190" s="1425"/>
      <c r="J190" s="1425"/>
      <c r="K190" s="1425" t="s">
        <v>593</v>
      </c>
      <c r="L190" s="301" t="s">
        <v>496</v>
      </c>
      <c r="M190" s="1425" t="s">
        <v>497</v>
      </c>
      <c r="N190" s="476"/>
      <c r="O190" s="1425" t="s">
        <v>47</v>
      </c>
      <c r="P190" s="1425"/>
      <c r="Q190" s="16" t="s">
        <v>594</v>
      </c>
      <c r="R190" s="302" t="s">
        <v>595</v>
      </c>
      <c r="S190" s="303">
        <v>2015</v>
      </c>
      <c r="T190" s="303">
        <v>0</v>
      </c>
      <c r="U190" s="303">
        <v>1</v>
      </c>
      <c r="V190" s="303">
        <v>1</v>
      </c>
      <c r="W190" s="303">
        <v>1</v>
      </c>
      <c r="X190" s="303">
        <v>1</v>
      </c>
      <c r="Y190" s="303">
        <v>4</v>
      </c>
      <c r="Z190" s="481"/>
      <c r="AA190" s="481"/>
      <c r="AB190" s="481">
        <v>3</v>
      </c>
      <c r="AC190" s="481"/>
      <c r="AD190" s="481"/>
      <c r="AE190" s="481"/>
      <c r="AF190" s="481"/>
      <c r="AG190" s="481">
        <f t="shared" si="118"/>
        <v>3</v>
      </c>
      <c r="AH190" s="548"/>
      <c r="AI190" s="548"/>
      <c r="AJ190" s="548">
        <v>1</v>
      </c>
      <c r="AK190" s="548"/>
      <c r="AL190" s="548"/>
      <c r="AM190" s="548"/>
      <c r="AN190" s="548">
        <f t="shared" si="119"/>
        <v>1</v>
      </c>
      <c r="AO190" s="481"/>
      <c r="AP190" s="481"/>
      <c r="AQ190" s="481">
        <v>1</v>
      </c>
      <c r="AR190" s="481"/>
      <c r="AS190" s="481"/>
      <c r="AT190" s="481"/>
      <c r="AU190" s="481"/>
      <c r="AV190" s="481">
        <f t="shared" si="120"/>
        <v>1</v>
      </c>
      <c r="AW190" s="548"/>
      <c r="AX190" s="548"/>
      <c r="AY190" s="548">
        <v>1</v>
      </c>
      <c r="AZ190" s="548"/>
      <c r="BA190" s="548"/>
      <c r="BB190" s="548"/>
      <c r="BC190" s="548"/>
      <c r="BD190" s="548">
        <f t="shared" si="122"/>
        <v>1</v>
      </c>
      <c r="BE190" s="42">
        <f t="shared" si="127"/>
        <v>0</v>
      </c>
      <c r="BF190" s="42">
        <f t="shared" si="127"/>
        <v>0</v>
      </c>
      <c r="BG190" s="42">
        <f t="shared" si="127"/>
        <v>6</v>
      </c>
      <c r="BH190" s="42">
        <f t="shared" si="127"/>
        <v>0</v>
      </c>
      <c r="BI190" s="42">
        <f t="shared" si="127"/>
        <v>0</v>
      </c>
      <c r="BJ190" s="42">
        <f t="shared" si="107"/>
        <v>0</v>
      </c>
      <c r="BK190" s="42">
        <f t="shared" si="128"/>
        <v>0</v>
      </c>
      <c r="BL190" s="42">
        <f t="shared" si="128"/>
        <v>6</v>
      </c>
      <c r="BM190" s="3"/>
    </row>
    <row r="191" spans="1:65" ht="77.25" hidden="1" customHeight="1" x14ac:dyDescent="0.2">
      <c r="A191" s="298" t="s">
        <v>491</v>
      </c>
      <c r="B191" s="299" t="s">
        <v>489</v>
      </c>
      <c r="C191" s="1547"/>
      <c r="D191" s="1551"/>
      <c r="E191" s="1551"/>
      <c r="F191" s="1551"/>
      <c r="G191" s="1551"/>
      <c r="H191" s="1551"/>
      <c r="I191" s="1425"/>
      <c r="J191" s="1425"/>
      <c r="K191" s="1425" t="s">
        <v>596</v>
      </c>
      <c r="L191" s="301" t="s">
        <v>496</v>
      </c>
      <c r="M191" s="1425" t="s">
        <v>497</v>
      </c>
      <c r="N191" s="476"/>
      <c r="O191" s="1425" t="s">
        <v>47</v>
      </c>
      <c r="P191" s="1425"/>
      <c r="Q191" s="16" t="s">
        <v>597</v>
      </c>
      <c r="R191" s="302" t="s">
        <v>598</v>
      </c>
      <c r="S191" s="303">
        <v>2015</v>
      </c>
      <c r="T191" s="303">
        <v>0</v>
      </c>
      <c r="U191" s="303">
        <v>3</v>
      </c>
      <c r="V191" s="303">
        <v>4</v>
      </c>
      <c r="W191" s="303">
        <v>4</v>
      </c>
      <c r="X191" s="303">
        <v>4</v>
      </c>
      <c r="Y191" s="303">
        <v>15</v>
      </c>
      <c r="Z191" s="491">
        <v>0.5</v>
      </c>
      <c r="AA191" s="481"/>
      <c r="AB191" s="481"/>
      <c r="AC191" s="481"/>
      <c r="AD191" s="481"/>
      <c r="AE191" s="481"/>
      <c r="AF191" s="481"/>
      <c r="AG191" s="481">
        <f t="shared" si="118"/>
        <v>0.5</v>
      </c>
      <c r="AH191" s="491">
        <v>0.5</v>
      </c>
      <c r="AI191" s="548"/>
      <c r="AJ191" s="548"/>
      <c r="AK191" s="548"/>
      <c r="AL191" s="548"/>
      <c r="AM191" s="548"/>
      <c r="AN191" s="548">
        <f t="shared" si="119"/>
        <v>0.5</v>
      </c>
      <c r="AO191" s="491">
        <v>0.5</v>
      </c>
      <c r="AP191" s="481"/>
      <c r="AQ191" s="481"/>
      <c r="AR191" s="481"/>
      <c r="AS191" s="481"/>
      <c r="AT191" s="481"/>
      <c r="AU191" s="481"/>
      <c r="AV191" s="481">
        <f t="shared" si="120"/>
        <v>0.5</v>
      </c>
      <c r="AW191" s="491">
        <v>0.5</v>
      </c>
      <c r="AX191" s="548"/>
      <c r="AY191" s="548"/>
      <c r="AZ191" s="548"/>
      <c r="BA191" s="548"/>
      <c r="BB191" s="548"/>
      <c r="BC191" s="548"/>
      <c r="BD191" s="548">
        <f t="shared" si="122"/>
        <v>0.5</v>
      </c>
      <c r="BE191" s="42">
        <f t="shared" si="127"/>
        <v>2</v>
      </c>
      <c r="BF191" s="42">
        <f t="shared" si="127"/>
        <v>0</v>
      </c>
      <c r="BG191" s="42">
        <f t="shared" si="127"/>
        <v>0</v>
      </c>
      <c r="BH191" s="42">
        <f t="shared" si="127"/>
        <v>0</v>
      </c>
      <c r="BI191" s="42">
        <f t="shared" si="127"/>
        <v>0</v>
      </c>
      <c r="BJ191" s="42">
        <f t="shared" si="107"/>
        <v>0</v>
      </c>
      <c r="BK191" s="42">
        <f t="shared" si="128"/>
        <v>0</v>
      </c>
      <c r="BL191" s="42">
        <f t="shared" si="128"/>
        <v>2</v>
      </c>
      <c r="BM191" s="3"/>
    </row>
    <row r="192" spans="1:65" ht="102.75" hidden="1" customHeight="1" x14ac:dyDescent="0.2">
      <c r="A192" s="298" t="s">
        <v>491</v>
      </c>
      <c r="B192" s="299" t="s">
        <v>489</v>
      </c>
      <c r="C192" s="1548"/>
      <c r="D192" s="1552"/>
      <c r="E192" s="1552"/>
      <c r="F192" s="1552"/>
      <c r="G192" s="1552"/>
      <c r="H192" s="1552"/>
      <c r="I192" s="1425"/>
      <c r="J192" s="1425"/>
      <c r="K192" s="1425" t="s">
        <v>599</v>
      </c>
      <c r="L192" s="301" t="s">
        <v>496</v>
      </c>
      <c r="M192" s="1425" t="s">
        <v>497</v>
      </c>
      <c r="N192" s="476"/>
      <c r="O192" s="1425" t="s">
        <v>47</v>
      </c>
      <c r="P192" s="1425"/>
      <c r="Q192" s="16" t="s">
        <v>600</v>
      </c>
      <c r="R192" s="302" t="s">
        <v>601</v>
      </c>
      <c r="S192" s="303">
        <v>2015</v>
      </c>
      <c r="T192" s="303">
        <v>0</v>
      </c>
      <c r="U192" s="303">
        <v>1</v>
      </c>
      <c r="V192" s="303">
        <v>1</v>
      </c>
      <c r="W192" s="303">
        <v>1</v>
      </c>
      <c r="X192" s="303">
        <v>1</v>
      </c>
      <c r="Y192" s="303">
        <v>4</v>
      </c>
      <c r="Z192" s="481">
        <v>3</v>
      </c>
      <c r="AA192" s="481"/>
      <c r="AB192" s="481"/>
      <c r="AC192" s="481"/>
      <c r="AD192" s="481"/>
      <c r="AE192" s="481"/>
      <c r="AF192" s="481"/>
      <c r="AG192" s="481">
        <f t="shared" si="118"/>
        <v>3</v>
      </c>
      <c r="AH192" s="548">
        <v>3</v>
      </c>
      <c r="AI192" s="548"/>
      <c r="AJ192" s="548"/>
      <c r="AK192" s="548"/>
      <c r="AL192" s="548"/>
      <c r="AM192" s="548"/>
      <c r="AN192" s="548">
        <f t="shared" si="119"/>
        <v>3</v>
      </c>
      <c r="AO192" s="481">
        <v>3</v>
      </c>
      <c r="AP192" s="481"/>
      <c r="AQ192" s="481"/>
      <c r="AR192" s="481"/>
      <c r="AS192" s="481"/>
      <c r="AT192" s="481"/>
      <c r="AU192" s="481"/>
      <c r="AV192" s="481">
        <f t="shared" si="120"/>
        <v>3</v>
      </c>
      <c r="AW192" s="548">
        <v>3</v>
      </c>
      <c r="AX192" s="548"/>
      <c r="AY192" s="548"/>
      <c r="AZ192" s="548"/>
      <c r="BA192" s="548"/>
      <c r="BB192" s="548"/>
      <c r="BC192" s="548"/>
      <c r="BD192" s="548">
        <f t="shared" si="122"/>
        <v>3</v>
      </c>
      <c r="BE192" s="42">
        <f t="shared" si="127"/>
        <v>12</v>
      </c>
      <c r="BF192" s="42">
        <f t="shared" si="127"/>
        <v>0</v>
      </c>
      <c r="BG192" s="42">
        <f t="shared" si="127"/>
        <v>0</v>
      </c>
      <c r="BH192" s="42">
        <f t="shared" si="127"/>
        <v>0</v>
      </c>
      <c r="BI192" s="42">
        <f t="shared" si="127"/>
        <v>0</v>
      </c>
      <c r="BJ192" s="42">
        <f t="shared" si="107"/>
        <v>0</v>
      </c>
      <c r="BK192" s="42">
        <f t="shared" si="128"/>
        <v>0</v>
      </c>
      <c r="BL192" s="42">
        <f t="shared" si="128"/>
        <v>12</v>
      </c>
      <c r="BM192" s="3"/>
    </row>
    <row r="193" spans="1:65" s="38" customFormat="1" ht="38.25" hidden="1" x14ac:dyDescent="0.2">
      <c r="A193" s="295" t="s">
        <v>491</v>
      </c>
      <c r="B193" s="24" t="s">
        <v>489</v>
      </c>
      <c r="C193" s="51"/>
      <c r="D193" s="52" t="s">
        <v>602</v>
      </c>
      <c r="E193" s="53"/>
      <c r="F193" s="53"/>
      <c r="G193" s="53"/>
      <c r="H193" s="53"/>
      <c r="I193" s="53"/>
      <c r="J193" s="53"/>
      <c r="K193" s="53"/>
      <c r="L193" s="53"/>
      <c r="M193" s="53"/>
      <c r="N193" s="1"/>
      <c r="O193" s="53"/>
      <c r="P193" s="53"/>
      <c r="Q193" s="62" t="s">
        <v>603</v>
      </c>
      <c r="R193" s="62"/>
      <c r="S193" s="53"/>
      <c r="T193" s="53"/>
      <c r="U193" s="53"/>
      <c r="V193" s="53"/>
      <c r="W193" s="53"/>
      <c r="X193" s="53"/>
      <c r="Y193" s="53"/>
      <c r="Z193" s="54">
        <f t="shared" ref="Z193:BL193" si="129">SUM(Z194:Z200)</f>
        <v>4.2</v>
      </c>
      <c r="AA193" s="54">
        <f t="shared" si="129"/>
        <v>0</v>
      </c>
      <c r="AB193" s="54">
        <f t="shared" si="129"/>
        <v>5</v>
      </c>
      <c r="AC193" s="54">
        <f t="shared" si="129"/>
        <v>0</v>
      </c>
      <c r="AD193" s="54">
        <f t="shared" si="129"/>
        <v>0</v>
      </c>
      <c r="AE193" s="54">
        <f t="shared" si="129"/>
        <v>0</v>
      </c>
      <c r="AF193" s="54">
        <f t="shared" si="129"/>
        <v>0</v>
      </c>
      <c r="AG193" s="54">
        <f t="shared" si="129"/>
        <v>9.1999999999999993</v>
      </c>
      <c r="AH193" s="54">
        <f t="shared" si="129"/>
        <v>9.370000000000001</v>
      </c>
      <c r="AI193" s="54">
        <f t="shared" si="129"/>
        <v>0</v>
      </c>
      <c r="AJ193" s="54">
        <f t="shared" si="129"/>
        <v>5.1749999999999998</v>
      </c>
      <c r="AK193" s="54">
        <f t="shared" si="129"/>
        <v>0</v>
      </c>
      <c r="AL193" s="54">
        <f t="shared" si="129"/>
        <v>0</v>
      </c>
      <c r="AM193" s="54">
        <f t="shared" si="129"/>
        <v>0</v>
      </c>
      <c r="AN193" s="54">
        <f t="shared" si="129"/>
        <v>14.545</v>
      </c>
      <c r="AO193" s="54">
        <f t="shared" si="129"/>
        <v>14.5</v>
      </c>
      <c r="AP193" s="54">
        <f t="shared" si="129"/>
        <v>0</v>
      </c>
      <c r="AQ193" s="54">
        <f t="shared" si="129"/>
        <v>5.3559999999999999</v>
      </c>
      <c r="AR193" s="54">
        <f t="shared" si="129"/>
        <v>0</v>
      </c>
      <c r="AS193" s="54">
        <f t="shared" si="129"/>
        <v>0</v>
      </c>
      <c r="AT193" s="54">
        <f t="shared" si="129"/>
        <v>0</v>
      </c>
      <c r="AU193" s="54">
        <f t="shared" si="129"/>
        <v>0</v>
      </c>
      <c r="AV193" s="54">
        <f t="shared" si="129"/>
        <v>19.856000000000002</v>
      </c>
      <c r="AW193" s="54">
        <f t="shared" si="129"/>
        <v>4.66</v>
      </c>
      <c r="AX193" s="54">
        <f t="shared" si="129"/>
        <v>0</v>
      </c>
      <c r="AY193" s="54">
        <f t="shared" si="129"/>
        <v>5.54</v>
      </c>
      <c r="AZ193" s="54">
        <f t="shared" si="129"/>
        <v>0</v>
      </c>
      <c r="BA193" s="54">
        <f t="shared" si="129"/>
        <v>0</v>
      </c>
      <c r="BB193" s="54">
        <f t="shared" si="129"/>
        <v>0</v>
      </c>
      <c r="BC193" s="54">
        <f t="shared" si="129"/>
        <v>0</v>
      </c>
      <c r="BD193" s="54">
        <f t="shared" si="129"/>
        <v>10.199999999999999</v>
      </c>
      <c r="BE193" s="54">
        <f t="shared" si="129"/>
        <v>32.729999999999997</v>
      </c>
      <c r="BF193" s="54">
        <f t="shared" si="129"/>
        <v>0</v>
      </c>
      <c r="BG193" s="54">
        <f t="shared" si="129"/>
        <v>21.070999999999998</v>
      </c>
      <c r="BH193" s="54">
        <f t="shared" si="129"/>
        <v>0</v>
      </c>
      <c r="BI193" s="54">
        <f t="shared" si="129"/>
        <v>0</v>
      </c>
      <c r="BJ193" s="54">
        <f t="shared" si="107"/>
        <v>0</v>
      </c>
      <c r="BK193" s="54">
        <f t="shared" si="129"/>
        <v>0</v>
      </c>
      <c r="BL193" s="54">
        <f t="shared" si="129"/>
        <v>53.801000000000002</v>
      </c>
    </row>
    <row r="194" spans="1:65" ht="66.75" hidden="1" customHeight="1" x14ac:dyDescent="0.2">
      <c r="A194" s="298" t="s">
        <v>491</v>
      </c>
      <c r="B194" s="299" t="s">
        <v>489</v>
      </c>
      <c r="C194" s="1546" t="s">
        <v>604</v>
      </c>
      <c r="D194" s="1549" t="s">
        <v>605</v>
      </c>
      <c r="E194" s="1549" t="s">
        <v>606</v>
      </c>
      <c r="F194" s="1549">
        <v>2015</v>
      </c>
      <c r="G194" s="1549" t="s">
        <v>177</v>
      </c>
      <c r="H194" s="1549">
        <v>12</v>
      </c>
      <c r="I194" s="1425"/>
      <c r="J194" s="1425"/>
      <c r="K194" s="1425" t="s">
        <v>607</v>
      </c>
      <c r="L194" s="301" t="s">
        <v>608</v>
      </c>
      <c r="M194" s="1425" t="s">
        <v>497</v>
      </c>
      <c r="N194" s="476"/>
      <c r="O194" s="1425" t="s">
        <v>47</v>
      </c>
      <c r="P194" s="1425"/>
      <c r="Q194" s="16" t="s">
        <v>609</v>
      </c>
      <c r="R194" s="302" t="s">
        <v>610</v>
      </c>
      <c r="S194" s="303">
        <v>2015</v>
      </c>
      <c r="T194" s="303">
        <v>0</v>
      </c>
      <c r="U194" s="303">
        <v>0</v>
      </c>
      <c r="V194" s="303">
        <v>1</v>
      </c>
      <c r="W194" s="303">
        <v>0</v>
      </c>
      <c r="X194" s="303">
        <v>0</v>
      </c>
      <c r="Y194" s="303">
        <v>1</v>
      </c>
      <c r="Z194" s="481"/>
      <c r="AA194" s="481"/>
      <c r="AB194" s="481"/>
      <c r="AC194" s="481"/>
      <c r="AD194" s="481"/>
      <c r="AE194" s="481"/>
      <c r="AF194" s="481"/>
      <c r="AG194" s="481">
        <f t="shared" si="118"/>
        <v>0</v>
      </c>
      <c r="AH194" s="491">
        <v>3</v>
      </c>
      <c r="AI194" s="548"/>
      <c r="AJ194" s="548"/>
      <c r="AK194" s="548"/>
      <c r="AL194" s="548"/>
      <c r="AM194" s="548"/>
      <c r="AN194" s="548">
        <f t="shared" si="119"/>
        <v>3</v>
      </c>
      <c r="AO194" s="481"/>
      <c r="AP194" s="481"/>
      <c r="AQ194" s="481"/>
      <c r="AR194" s="481"/>
      <c r="AS194" s="481"/>
      <c r="AT194" s="481"/>
      <c r="AU194" s="481"/>
      <c r="AV194" s="481">
        <f t="shared" si="120"/>
        <v>0</v>
      </c>
      <c r="AW194" s="548"/>
      <c r="AX194" s="548"/>
      <c r="AY194" s="548"/>
      <c r="AZ194" s="548"/>
      <c r="BA194" s="548"/>
      <c r="BB194" s="548"/>
      <c r="BC194" s="548"/>
      <c r="BD194" s="548">
        <f t="shared" si="122"/>
        <v>0</v>
      </c>
      <c r="BE194" s="42">
        <f t="shared" si="127"/>
        <v>3</v>
      </c>
      <c r="BF194" s="42">
        <f t="shared" si="127"/>
        <v>0</v>
      </c>
      <c r="BG194" s="42">
        <f t="shared" si="127"/>
        <v>0</v>
      </c>
      <c r="BH194" s="42">
        <f t="shared" si="127"/>
        <v>0</v>
      </c>
      <c r="BI194" s="42">
        <f t="shared" si="127"/>
        <v>0</v>
      </c>
      <c r="BJ194" s="42">
        <f t="shared" si="107"/>
        <v>0</v>
      </c>
      <c r="BK194" s="42">
        <f t="shared" si="128"/>
        <v>0</v>
      </c>
      <c r="BL194" s="42">
        <f t="shared" si="128"/>
        <v>3</v>
      </c>
      <c r="BM194" s="3"/>
    </row>
    <row r="195" spans="1:65" ht="63.75" hidden="1" customHeight="1" x14ac:dyDescent="0.2">
      <c r="A195" s="298" t="s">
        <v>491</v>
      </c>
      <c r="B195" s="299" t="s">
        <v>489</v>
      </c>
      <c r="C195" s="1547"/>
      <c r="D195" s="1549"/>
      <c r="E195" s="1549"/>
      <c r="F195" s="1549"/>
      <c r="G195" s="1549"/>
      <c r="H195" s="1549"/>
      <c r="I195" s="1425"/>
      <c r="J195" s="1425"/>
      <c r="K195" s="1425" t="s">
        <v>611</v>
      </c>
      <c r="L195" s="301" t="s">
        <v>608</v>
      </c>
      <c r="M195" s="1425" t="s">
        <v>497</v>
      </c>
      <c r="N195" s="476"/>
      <c r="O195" s="1425" t="s">
        <v>47</v>
      </c>
      <c r="P195" s="1425"/>
      <c r="Q195" s="16" t="s">
        <v>612</v>
      </c>
      <c r="R195" s="302" t="s">
        <v>613</v>
      </c>
      <c r="S195" s="303">
        <v>2015</v>
      </c>
      <c r="T195" s="303">
        <v>0</v>
      </c>
      <c r="U195" s="303">
        <v>1</v>
      </c>
      <c r="V195" s="303">
        <v>1</v>
      </c>
      <c r="W195" s="303">
        <v>1</v>
      </c>
      <c r="X195" s="303">
        <v>1</v>
      </c>
      <c r="Y195" s="303">
        <v>4</v>
      </c>
      <c r="Z195" s="481">
        <v>2</v>
      </c>
      <c r="AA195" s="481"/>
      <c r="AB195" s="481">
        <v>3</v>
      </c>
      <c r="AC195" s="481"/>
      <c r="AD195" s="481"/>
      <c r="AE195" s="481"/>
      <c r="AF195" s="481"/>
      <c r="AG195" s="481">
        <f t="shared" si="118"/>
        <v>5</v>
      </c>
      <c r="AH195" s="548">
        <v>2</v>
      </c>
      <c r="AI195" s="548"/>
      <c r="AJ195" s="548">
        <v>3</v>
      </c>
      <c r="AK195" s="548"/>
      <c r="AL195" s="548"/>
      <c r="AM195" s="548"/>
      <c r="AN195" s="548">
        <f t="shared" si="119"/>
        <v>5</v>
      </c>
      <c r="AO195" s="481">
        <v>2</v>
      </c>
      <c r="AP195" s="481"/>
      <c r="AQ195" s="481">
        <v>3.3559999999999999</v>
      </c>
      <c r="AR195" s="481"/>
      <c r="AS195" s="481"/>
      <c r="AT195" s="481"/>
      <c r="AU195" s="481"/>
      <c r="AV195" s="481">
        <f t="shared" si="120"/>
        <v>5.3559999999999999</v>
      </c>
      <c r="AW195" s="491">
        <v>2.44</v>
      </c>
      <c r="AX195" s="548"/>
      <c r="AY195" s="548">
        <v>3</v>
      </c>
      <c r="AZ195" s="548"/>
      <c r="BA195" s="548"/>
      <c r="BB195" s="548"/>
      <c r="BC195" s="548"/>
      <c r="BD195" s="548">
        <f t="shared" si="122"/>
        <v>5.4399999999999995</v>
      </c>
      <c r="BE195" s="42">
        <f t="shared" si="127"/>
        <v>8.44</v>
      </c>
      <c r="BF195" s="42">
        <f t="shared" si="127"/>
        <v>0</v>
      </c>
      <c r="BG195" s="42">
        <f t="shared" si="127"/>
        <v>12.356</v>
      </c>
      <c r="BH195" s="42">
        <f t="shared" si="127"/>
        <v>0</v>
      </c>
      <c r="BI195" s="42">
        <f t="shared" si="127"/>
        <v>0</v>
      </c>
      <c r="BJ195" s="42">
        <f t="shared" si="107"/>
        <v>0</v>
      </c>
      <c r="BK195" s="42">
        <f t="shared" si="128"/>
        <v>0</v>
      </c>
      <c r="BL195" s="42">
        <f t="shared" si="128"/>
        <v>20.795999999999999</v>
      </c>
      <c r="BM195" s="3"/>
    </row>
    <row r="196" spans="1:65" ht="64.5" hidden="1" customHeight="1" x14ac:dyDescent="0.2">
      <c r="A196" s="298" t="s">
        <v>491</v>
      </c>
      <c r="B196" s="299" t="s">
        <v>489</v>
      </c>
      <c r="C196" s="1547"/>
      <c r="D196" s="1549"/>
      <c r="E196" s="1549"/>
      <c r="F196" s="1549"/>
      <c r="G196" s="1549"/>
      <c r="H196" s="1549"/>
      <c r="I196" s="1425"/>
      <c r="J196" s="1425"/>
      <c r="K196" s="1425" t="s">
        <v>614</v>
      </c>
      <c r="L196" s="301" t="s">
        <v>608</v>
      </c>
      <c r="M196" s="1425" t="s">
        <v>497</v>
      </c>
      <c r="N196" s="476"/>
      <c r="O196" s="1425" t="s">
        <v>47</v>
      </c>
      <c r="P196" s="1425"/>
      <c r="Q196" s="16" t="s">
        <v>615</v>
      </c>
      <c r="R196" s="302" t="s">
        <v>616</v>
      </c>
      <c r="S196" s="303">
        <v>2015</v>
      </c>
      <c r="T196" s="303">
        <v>0</v>
      </c>
      <c r="U196" s="303">
        <v>0</v>
      </c>
      <c r="V196" s="303">
        <v>0</v>
      </c>
      <c r="W196" s="303">
        <v>1</v>
      </c>
      <c r="X196" s="303">
        <v>0</v>
      </c>
      <c r="Y196" s="303">
        <v>1</v>
      </c>
      <c r="Z196" s="481"/>
      <c r="AA196" s="481"/>
      <c r="AB196" s="481"/>
      <c r="AC196" s="481"/>
      <c r="AD196" s="481"/>
      <c r="AE196" s="481"/>
      <c r="AF196" s="481"/>
      <c r="AG196" s="481">
        <f t="shared" si="118"/>
        <v>0</v>
      </c>
      <c r="AH196" s="548"/>
      <c r="AI196" s="548"/>
      <c r="AJ196" s="548"/>
      <c r="AK196" s="548"/>
      <c r="AL196" s="548"/>
      <c r="AM196" s="548"/>
      <c r="AN196" s="548">
        <f t="shared" si="119"/>
        <v>0</v>
      </c>
      <c r="AO196" s="481">
        <v>10</v>
      </c>
      <c r="AP196" s="481"/>
      <c r="AQ196" s="481">
        <v>0</v>
      </c>
      <c r="AR196" s="481"/>
      <c r="AS196" s="481"/>
      <c r="AT196" s="481"/>
      <c r="AU196" s="481"/>
      <c r="AV196" s="481">
        <f t="shared" si="120"/>
        <v>10</v>
      </c>
      <c r="AW196" s="548"/>
      <c r="AX196" s="548"/>
      <c r="AY196" s="548"/>
      <c r="AZ196" s="548"/>
      <c r="BA196" s="548"/>
      <c r="BB196" s="548"/>
      <c r="BC196" s="548"/>
      <c r="BD196" s="548">
        <f t="shared" si="122"/>
        <v>0</v>
      </c>
      <c r="BE196" s="42">
        <f t="shared" si="127"/>
        <v>10</v>
      </c>
      <c r="BF196" s="42">
        <f t="shared" si="127"/>
        <v>0</v>
      </c>
      <c r="BG196" s="42">
        <f t="shared" si="127"/>
        <v>0</v>
      </c>
      <c r="BH196" s="42">
        <f t="shared" si="127"/>
        <v>0</v>
      </c>
      <c r="BI196" s="42">
        <f t="shared" si="127"/>
        <v>0</v>
      </c>
      <c r="BJ196" s="42">
        <f t="shared" si="107"/>
        <v>0</v>
      </c>
      <c r="BK196" s="42">
        <f t="shared" si="128"/>
        <v>0</v>
      </c>
      <c r="BL196" s="42">
        <f t="shared" si="128"/>
        <v>10</v>
      </c>
      <c r="BM196" s="3"/>
    </row>
    <row r="197" spans="1:65" ht="51" hidden="1" customHeight="1" x14ac:dyDescent="0.2">
      <c r="A197" s="298" t="s">
        <v>491</v>
      </c>
      <c r="B197" s="299" t="s">
        <v>489</v>
      </c>
      <c r="C197" s="1547"/>
      <c r="D197" s="1549"/>
      <c r="E197" s="1549"/>
      <c r="F197" s="1549"/>
      <c r="G197" s="1549"/>
      <c r="H197" s="1549"/>
      <c r="I197" s="1425"/>
      <c r="J197" s="1425"/>
      <c r="K197" s="1425" t="s">
        <v>617</v>
      </c>
      <c r="L197" s="301" t="s">
        <v>608</v>
      </c>
      <c r="M197" s="1425" t="s">
        <v>497</v>
      </c>
      <c r="N197" s="476"/>
      <c r="O197" s="1425" t="s">
        <v>47</v>
      </c>
      <c r="P197" s="1425"/>
      <c r="Q197" s="16" t="s">
        <v>618</v>
      </c>
      <c r="R197" s="302" t="s">
        <v>377</v>
      </c>
      <c r="S197" s="303">
        <v>2015</v>
      </c>
      <c r="T197" s="303">
        <v>0</v>
      </c>
      <c r="U197" s="303">
        <v>0</v>
      </c>
      <c r="V197" s="303">
        <v>1</v>
      </c>
      <c r="W197" s="303">
        <v>0</v>
      </c>
      <c r="X197" s="303">
        <v>0</v>
      </c>
      <c r="Y197" s="303">
        <v>1</v>
      </c>
      <c r="Z197" s="481"/>
      <c r="AA197" s="481"/>
      <c r="AB197" s="481"/>
      <c r="AC197" s="481"/>
      <c r="AD197" s="481"/>
      <c r="AE197" s="481"/>
      <c r="AF197" s="481"/>
      <c r="AG197" s="481">
        <f t="shared" si="118"/>
        <v>0</v>
      </c>
      <c r="AH197" s="491">
        <v>1</v>
      </c>
      <c r="AI197" s="548"/>
      <c r="AJ197" s="716"/>
      <c r="AK197" s="548"/>
      <c r="AL197" s="548"/>
      <c r="AM197" s="548"/>
      <c r="AN197" s="548">
        <f t="shared" si="119"/>
        <v>1</v>
      </c>
      <c r="AO197" s="481"/>
      <c r="AP197" s="481"/>
      <c r="AQ197" s="481"/>
      <c r="AR197" s="481"/>
      <c r="AS197" s="481"/>
      <c r="AT197" s="481"/>
      <c r="AU197" s="481"/>
      <c r="AV197" s="481">
        <f t="shared" si="120"/>
        <v>0</v>
      </c>
      <c r="AW197" s="548"/>
      <c r="AX197" s="548"/>
      <c r="AY197" s="548"/>
      <c r="AZ197" s="548"/>
      <c r="BA197" s="548"/>
      <c r="BB197" s="548"/>
      <c r="BC197" s="548"/>
      <c r="BD197" s="548">
        <f>SUM(AW197:BC197)</f>
        <v>0</v>
      </c>
      <c r="BE197" s="42">
        <f t="shared" si="127"/>
        <v>1</v>
      </c>
      <c r="BF197" s="42">
        <f t="shared" si="127"/>
        <v>0</v>
      </c>
      <c r="BG197" s="42">
        <f t="shared" si="127"/>
        <v>0</v>
      </c>
      <c r="BH197" s="42">
        <f t="shared" si="127"/>
        <v>0</v>
      </c>
      <c r="BI197" s="42">
        <f t="shared" si="127"/>
        <v>0</v>
      </c>
      <c r="BJ197" s="42">
        <f>+AE197+AT197+BB197</f>
        <v>0</v>
      </c>
      <c r="BK197" s="42">
        <f t="shared" si="128"/>
        <v>0</v>
      </c>
      <c r="BL197" s="42">
        <f t="shared" si="128"/>
        <v>1</v>
      </c>
      <c r="BM197" s="3"/>
    </row>
    <row r="198" spans="1:65" ht="62.25" hidden="1" customHeight="1" x14ac:dyDescent="0.2">
      <c r="A198" s="298" t="s">
        <v>491</v>
      </c>
      <c r="B198" s="299" t="s">
        <v>489</v>
      </c>
      <c r="C198" s="1547"/>
      <c r="D198" s="1549"/>
      <c r="E198" s="1549"/>
      <c r="F198" s="1549"/>
      <c r="G198" s="1549"/>
      <c r="H198" s="1549"/>
      <c r="I198" s="1425"/>
      <c r="J198" s="1425"/>
      <c r="K198" s="1425" t="s">
        <v>619</v>
      </c>
      <c r="L198" s="301" t="s">
        <v>608</v>
      </c>
      <c r="M198" s="1425" t="s">
        <v>497</v>
      </c>
      <c r="N198" s="476"/>
      <c r="O198" s="1425" t="s">
        <v>47</v>
      </c>
      <c r="P198" s="1425"/>
      <c r="Q198" s="16" t="s">
        <v>620</v>
      </c>
      <c r="R198" s="302" t="s">
        <v>621</v>
      </c>
      <c r="S198" s="303">
        <v>2015</v>
      </c>
      <c r="T198" s="303">
        <v>1</v>
      </c>
      <c r="U198" s="303">
        <v>1</v>
      </c>
      <c r="V198" s="303">
        <v>1</v>
      </c>
      <c r="W198" s="303">
        <v>1</v>
      </c>
      <c r="X198" s="303">
        <v>1</v>
      </c>
      <c r="Y198" s="303">
        <v>4</v>
      </c>
      <c r="Z198" s="491">
        <v>1.2</v>
      </c>
      <c r="AA198" s="481"/>
      <c r="AB198" s="481">
        <v>2</v>
      </c>
      <c r="AC198" s="481"/>
      <c r="AD198" s="481"/>
      <c r="AE198" s="481"/>
      <c r="AF198" s="481"/>
      <c r="AG198" s="481">
        <f t="shared" si="118"/>
        <v>3.2</v>
      </c>
      <c r="AH198" s="548">
        <v>2.37</v>
      </c>
      <c r="AI198" s="548"/>
      <c r="AJ198" s="548">
        <v>2.1749999999999998</v>
      </c>
      <c r="AK198" s="548"/>
      <c r="AL198" s="548"/>
      <c r="AM198" s="548"/>
      <c r="AN198" s="548">
        <f t="shared" si="119"/>
        <v>4.5449999999999999</v>
      </c>
      <c r="AO198" s="491">
        <v>1.5</v>
      </c>
      <c r="AP198" s="481"/>
      <c r="AQ198" s="481">
        <v>2</v>
      </c>
      <c r="AR198" s="481"/>
      <c r="AS198" s="481"/>
      <c r="AT198" s="481"/>
      <c r="AU198" s="481"/>
      <c r="AV198" s="481">
        <f t="shared" si="120"/>
        <v>3.5</v>
      </c>
      <c r="AW198" s="548">
        <v>1.22</v>
      </c>
      <c r="AX198" s="548"/>
      <c r="AY198" s="548">
        <v>2.54</v>
      </c>
      <c r="AZ198" s="548"/>
      <c r="BA198" s="548"/>
      <c r="BB198" s="548"/>
      <c r="BC198" s="548"/>
      <c r="BD198" s="548">
        <f t="shared" si="122"/>
        <v>3.76</v>
      </c>
      <c r="BE198" s="42">
        <f t="shared" si="127"/>
        <v>6.29</v>
      </c>
      <c r="BF198" s="42">
        <f t="shared" si="127"/>
        <v>0</v>
      </c>
      <c r="BG198" s="42">
        <f t="shared" si="127"/>
        <v>8.7149999999999999</v>
      </c>
      <c r="BH198" s="42">
        <f t="shared" si="127"/>
        <v>0</v>
      </c>
      <c r="BI198" s="42">
        <f t="shared" si="127"/>
        <v>0</v>
      </c>
      <c r="BJ198" s="42">
        <f t="shared" si="107"/>
        <v>0</v>
      </c>
      <c r="BK198" s="42">
        <f t="shared" si="128"/>
        <v>0</v>
      </c>
      <c r="BL198" s="42">
        <f t="shared" si="128"/>
        <v>15.004999999999999</v>
      </c>
      <c r="BM198" s="3"/>
    </row>
    <row r="199" spans="1:65" ht="55.5" hidden="1" customHeight="1" x14ac:dyDescent="0.2">
      <c r="A199" s="298" t="s">
        <v>491</v>
      </c>
      <c r="B199" s="299" t="s">
        <v>489</v>
      </c>
      <c r="C199" s="1547"/>
      <c r="D199" s="1549"/>
      <c r="E199" s="1549"/>
      <c r="F199" s="1549"/>
      <c r="G199" s="1549"/>
      <c r="H199" s="1549"/>
      <c r="I199" s="1425"/>
      <c r="J199" s="1425"/>
      <c r="K199" s="1425" t="s">
        <v>622</v>
      </c>
      <c r="L199" s="301" t="s">
        <v>608</v>
      </c>
      <c r="M199" s="1425" t="s">
        <v>497</v>
      </c>
      <c r="N199" s="476"/>
      <c r="O199" s="1425" t="s">
        <v>73</v>
      </c>
      <c r="P199" s="1425"/>
      <c r="Q199" s="16" t="s">
        <v>623</v>
      </c>
      <c r="R199" s="302" t="s">
        <v>624</v>
      </c>
      <c r="S199" s="303">
        <v>2015</v>
      </c>
      <c r="T199" s="303">
        <v>2</v>
      </c>
      <c r="U199" s="303">
        <v>2</v>
      </c>
      <c r="V199" s="303">
        <v>2</v>
      </c>
      <c r="W199" s="303">
        <v>2</v>
      </c>
      <c r="X199" s="303">
        <v>2</v>
      </c>
      <c r="Y199" s="303">
        <v>2</v>
      </c>
      <c r="Z199" s="491">
        <v>0.5</v>
      </c>
      <c r="AA199" s="481"/>
      <c r="AB199" s="481"/>
      <c r="AC199" s="481"/>
      <c r="AD199" s="481"/>
      <c r="AE199" s="481"/>
      <c r="AF199" s="481"/>
      <c r="AG199" s="481">
        <f t="shared" si="118"/>
        <v>0.5</v>
      </c>
      <c r="AH199" s="491">
        <v>0.5</v>
      </c>
      <c r="AI199" s="548"/>
      <c r="AJ199" s="548"/>
      <c r="AK199" s="548"/>
      <c r="AL199" s="548"/>
      <c r="AM199" s="548"/>
      <c r="AN199" s="548">
        <f t="shared" si="119"/>
        <v>0.5</v>
      </c>
      <c r="AO199" s="491">
        <v>0.5</v>
      </c>
      <c r="AP199" s="481"/>
      <c r="AQ199" s="481"/>
      <c r="AR199" s="481"/>
      <c r="AS199" s="481"/>
      <c r="AT199" s="481"/>
      <c r="AU199" s="481"/>
      <c r="AV199" s="481">
        <f t="shared" si="120"/>
        <v>0.5</v>
      </c>
      <c r="AW199" s="491">
        <v>0.5</v>
      </c>
      <c r="AX199" s="548"/>
      <c r="AY199" s="548"/>
      <c r="AZ199" s="548"/>
      <c r="BA199" s="548"/>
      <c r="BB199" s="548"/>
      <c r="BC199" s="548"/>
      <c r="BD199" s="548">
        <f t="shared" si="122"/>
        <v>0.5</v>
      </c>
      <c r="BE199" s="42">
        <f t="shared" ref="BE199:BI233" si="130">+AW199+AO199+AH199+Z199</f>
        <v>2</v>
      </c>
      <c r="BF199" s="42">
        <f t="shared" si="130"/>
        <v>0</v>
      </c>
      <c r="BG199" s="42">
        <f t="shared" si="130"/>
        <v>0</v>
      </c>
      <c r="BH199" s="42">
        <f t="shared" si="130"/>
        <v>0</v>
      </c>
      <c r="BI199" s="42">
        <f t="shared" si="130"/>
        <v>0</v>
      </c>
      <c r="BJ199" s="42">
        <f t="shared" si="107"/>
        <v>0</v>
      </c>
      <c r="BK199" s="42">
        <f t="shared" ref="BK199:BL233" si="131">+BC199+AU199+AM199+AF199</f>
        <v>0</v>
      </c>
      <c r="BL199" s="42">
        <f t="shared" si="131"/>
        <v>2</v>
      </c>
      <c r="BM199" s="3"/>
    </row>
    <row r="200" spans="1:65" ht="49.5" hidden="1" customHeight="1" x14ac:dyDescent="0.2">
      <c r="A200" s="298" t="s">
        <v>491</v>
      </c>
      <c r="B200" s="299" t="s">
        <v>489</v>
      </c>
      <c r="C200" s="1548"/>
      <c r="D200" s="1549"/>
      <c r="E200" s="1549"/>
      <c r="F200" s="1549"/>
      <c r="G200" s="1549"/>
      <c r="H200" s="1549"/>
      <c r="I200" s="1425"/>
      <c r="J200" s="1425"/>
      <c r="K200" s="1425" t="s">
        <v>625</v>
      </c>
      <c r="L200" s="301" t="s">
        <v>608</v>
      </c>
      <c r="M200" s="1425" t="s">
        <v>497</v>
      </c>
      <c r="N200" s="476"/>
      <c r="O200" s="1425" t="s">
        <v>73</v>
      </c>
      <c r="P200" s="1425"/>
      <c r="Q200" s="16" t="s">
        <v>626</v>
      </c>
      <c r="R200" s="302" t="s">
        <v>627</v>
      </c>
      <c r="S200" s="303">
        <v>2015</v>
      </c>
      <c r="T200" s="303">
        <v>0</v>
      </c>
      <c r="U200" s="303">
        <v>1</v>
      </c>
      <c r="V200" s="303">
        <v>1</v>
      </c>
      <c r="W200" s="303">
        <v>1</v>
      </c>
      <c r="X200" s="303">
        <v>1</v>
      </c>
      <c r="Y200" s="303">
        <v>1</v>
      </c>
      <c r="Z200" s="491">
        <v>0.5</v>
      </c>
      <c r="AA200" s="481"/>
      <c r="AB200" s="481"/>
      <c r="AC200" s="481"/>
      <c r="AD200" s="481"/>
      <c r="AE200" s="481"/>
      <c r="AF200" s="481"/>
      <c r="AG200" s="481">
        <f t="shared" si="118"/>
        <v>0.5</v>
      </c>
      <c r="AH200" s="491">
        <v>0.5</v>
      </c>
      <c r="AI200" s="548"/>
      <c r="AJ200" s="548"/>
      <c r="AK200" s="548"/>
      <c r="AL200" s="548"/>
      <c r="AM200" s="548"/>
      <c r="AN200" s="548">
        <f t="shared" si="119"/>
        <v>0.5</v>
      </c>
      <c r="AO200" s="491">
        <v>0.5</v>
      </c>
      <c r="AP200" s="481"/>
      <c r="AQ200" s="481"/>
      <c r="AR200" s="481"/>
      <c r="AS200" s="481"/>
      <c r="AT200" s="481"/>
      <c r="AU200" s="481"/>
      <c r="AV200" s="481">
        <f t="shared" si="120"/>
        <v>0.5</v>
      </c>
      <c r="AW200" s="491">
        <v>0.5</v>
      </c>
      <c r="AX200" s="548"/>
      <c r="AY200" s="548"/>
      <c r="AZ200" s="548"/>
      <c r="BA200" s="548"/>
      <c r="BB200" s="548"/>
      <c r="BC200" s="548"/>
      <c r="BD200" s="548">
        <f t="shared" si="122"/>
        <v>0.5</v>
      </c>
      <c r="BE200" s="42">
        <f t="shared" si="130"/>
        <v>2</v>
      </c>
      <c r="BF200" s="42">
        <f t="shared" si="130"/>
        <v>0</v>
      </c>
      <c r="BG200" s="42">
        <f t="shared" si="130"/>
        <v>0</v>
      </c>
      <c r="BH200" s="42">
        <f t="shared" si="130"/>
        <v>0</v>
      </c>
      <c r="BI200" s="42">
        <f t="shared" si="130"/>
        <v>0</v>
      </c>
      <c r="BJ200" s="42">
        <f t="shared" si="107"/>
        <v>0</v>
      </c>
      <c r="BK200" s="42">
        <f t="shared" si="131"/>
        <v>0</v>
      </c>
      <c r="BL200" s="42">
        <f t="shared" si="131"/>
        <v>2</v>
      </c>
      <c r="BM200" s="3"/>
    </row>
    <row r="201" spans="1:65" ht="30.75" hidden="1" customHeight="1" x14ac:dyDescent="0.2">
      <c r="A201" s="295" t="s">
        <v>491</v>
      </c>
      <c r="B201" s="24" t="s">
        <v>489</v>
      </c>
      <c r="C201" s="6"/>
      <c r="D201" s="2" t="s">
        <v>628</v>
      </c>
      <c r="E201" s="1"/>
      <c r="F201" s="1"/>
      <c r="G201" s="1"/>
      <c r="H201" s="1"/>
      <c r="I201" s="1"/>
      <c r="J201" s="1"/>
      <c r="K201" s="1"/>
      <c r="L201" s="1"/>
      <c r="M201" s="1"/>
      <c r="N201" s="1"/>
      <c r="O201" s="1"/>
      <c r="P201" s="1"/>
      <c r="Q201" s="62" t="s">
        <v>629</v>
      </c>
      <c r="R201" s="22"/>
      <c r="S201" s="1"/>
      <c r="T201" s="1"/>
      <c r="U201" s="1"/>
      <c r="V201" s="1"/>
      <c r="W201" s="1"/>
      <c r="X201" s="1"/>
      <c r="Y201" s="1"/>
      <c r="Z201" s="34">
        <f t="shared" ref="Z201:BL201" si="132">SUM(Z202:Z211)</f>
        <v>0</v>
      </c>
      <c r="AA201" s="34">
        <f t="shared" si="132"/>
        <v>56</v>
      </c>
      <c r="AB201" s="34">
        <f t="shared" si="132"/>
        <v>0</v>
      </c>
      <c r="AC201" s="34">
        <f t="shared" si="132"/>
        <v>500</v>
      </c>
      <c r="AD201" s="34">
        <f t="shared" si="132"/>
        <v>0</v>
      </c>
      <c r="AE201" s="34">
        <f t="shared" si="132"/>
        <v>29.72</v>
      </c>
      <c r="AF201" s="34">
        <f t="shared" si="132"/>
        <v>0</v>
      </c>
      <c r="AG201" s="34">
        <f t="shared" si="132"/>
        <v>585.72</v>
      </c>
      <c r="AH201" s="34">
        <f t="shared" si="132"/>
        <v>0</v>
      </c>
      <c r="AI201" s="34">
        <f t="shared" si="132"/>
        <v>56</v>
      </c>
      <c r="AJ201" s="34">
        <f t="shared" si="132"/>
        <v>0</v>
      </c>
      <c r="AK201" s="34">
        <f t="shared" si="132"/>
        <v>0</v>
      </c>
      <c r="AL201" s="34">
        <f t="shared" si="132"/>
        <v>0</v>
      </c>
      <c r="AM201" s="34">
        <f t="shared" si="132"/>
        <v>0</v>
      </c>
      <c r="AN201" s="34">
        <f t="shared" si="132"/>
        <v>56</v>
      </c>
      <c r="AO201" s="34">
        <f t="shared" si="132"/>
        <v>0</v>
      </c>
      <c r="AP201" s="34">
        <f t="shared" si="132"/>
        <v>56</v>
      </c>
      <c r="AQ201" s="34">
        <f t="shared" si="132"/>
        <v>0</v>
      </c>
      <c r="AR201" s="34">
        <f t="shared" si="132"/>
        <v>0</v>
      </c>
      <c r="AS201" s="34">
        <f t="shared" si="132"/>
        <v>0</v>
      </c>
      <c r="AT201" s="34">
        <f t="shared" si="132"/>
        <v>0</v>
      </c>
      <c r="AU201" s="34">
        <f t="shared" si="132"/>
        <v>0</v>
      </c>
      <c r="AV201" s="34">
        <f t="shared" si="132"/>
        <v>56</v>
      </c>
      <c r="AW201" s="34">
        <f t="shared" si="132"/>
        <v>0</v>
      </c>
      <c r="AX201" s="34">
        <f t="shared" si="132"/>
        <v>56</v>
      </c>
      <c r="AY201" s="34">
        <f t="shared" si="132"/>
        <v>0</v>
      </c>
      <c r="AZ201" s="34">
        <f t="shared" si="132"/>
        <v>0</v>
      </c>
      <c r="BA201" s="34">
        <f t="shared" si="132"/>
        <v>0</v>
      </c>
      <c r="BB201" s="34">
        <f t="shared" si="132"/>
        <v>0</v>
      </c>
      <c r="BC201" s="34">
        <f t="shared" si="132"/>
        <v>0</v>
      </c>
      <c r="BD201" s="34">
        <f t="shared" si="132"/>
        <v>56</v>
      </c>
      <c r="BE201" s="34">
        <f t="shared" si="132"/>
        <v>0</v>
      </c>
      <c r="BF201" s="34">
        <f t="shared" si="132"/>
        <v>224</v>
      </c>
      <c r="BG201" s="34">
        <f t="shared" si="132"/>
        <v>0</v>
      </c>
      <c r="BH201" s="34">
        <f t="shared" si="132"/>
        <v>500</v>
      </c>
      <c r="BI201" s="34">
        <f t="shared" si="132"/>
        <v>0</v>
      </c>
      <c r="BJ201" s="34">
        <f t="shared" si="107"/>
        <v>29.72</v>
      </c>
      <c r="BK201" s="34">
        <f t="shared" si="132"/>
        <v>0</v>
      </c>
      <c r="BL201" s="34">
        <f t="shared" si="132"/>
        <v>753.72</v>
      </c>
      <c r="BM201" s="3"/>
    </row>
    <row r="202" spans="1:65" ht="49.5" hidden="1" customHeight="1" x14ac:dyDescent="0.2">
      <c r="A202" s="298" t="s">
        <v>491</v>
      </c>
      <c r="B202" s="299" t="s">
        <v>489</v>
      </c>
      <c r="C202" s="1546" t="s">
        <v>630</v>
      </c>
      <c r="D202" s="1549" t="s">
        <v>631</v>
      </c>
      <c r="E202" s="1549" t="s">
        <v>632</v>
      </c>
      <c r="F202" s="1549">
        <v>2015</v>
      </c>
      <c r="G202" s="1549" t="s">
        <v>177</v>
      </c>
      <c r="H202" s="1549">
        <v>35</v>
      </c>
      <c r="I202" s="1425"/>
      <c r="J202" s="1425"/>
      <c r="K202" s="1425" t="s">
        <v>633</v>
      </c>
      <c r="L202" s="301" t="s">
        <v>496</v>
      </c>
      <c r="M202" s="1425" t="s">
        <v>497</v>
      </c>
      <c r="N202" s="476"/>
      <c r="O202" s="1425" t="s">
        <v>47</v>
      </c>
      <c r="P202" s="1425"/>
      <c r="Q202" s="16" t="s">
        <v>634</v>
      </c>
      <c r="R202" s="302" t="s">
        <v>635</v>
      </c>
      <c r="S202" s="303">
        <v>2015</v>
      </c>
      <c r="T202" s="303">
        <v>0</v>
      </c>
      <c r="U202" s="303">
        <v>2</v>
      </c>
      <c r="V202" s="303">
        <v>2</v>
      </c>
      <c r="W202" s="303">
        <v>2</v>
      </c>
      <c r="X202" s="303">
        <v>2</v>
      </c>
      <c r="Y202" s="303">
        <v>8</v>
      </c>
      <c r="Z202" s="481"/>
      <c r="AA202" s="481">
        <v>2</v>
      </c>
      <c r="AB202" s="481"/>
      <c r="AC202" s="481"/>
      <c r="AD202" s="481"/>
      <c r="AE202" s="481"/>
      <c r="AF202" s="481"/>
      <c r="AG202" s="481">
        <f t="shared" si="118"/>
        <v>2</v>
      </c>
      <c r="AH202" s="548"/>
      <c r="AI202" s="491">
        <v>3.5</v>
      </c>
      <c r="AJ202" s="548"/>
      <c r="AK202" s="548"/>
      <c r="AL202" s="548"/>
      <c r="AM202" s="548"/>
      <c r="AN202" s="548">
        <f t="shared" si="119"/>
        <v>3.5</v>
      </c>
      <c r="AO202" s="481"/>
      <c r="AP202" s="481">
        <v>2</v>
      </c>
      <c r="AQ202" s="481"/>
      <c r="AR202" s="481"/>
      <c r="AS202" s="481"/>
      <c r="AT202" s="481"/>
      <c r="AU202" s="481"/>
      <c r="AV202" s="481">
        <f t="shared" si="120"/>
        <v>2</v>
      </c>
      <c r="AW202" s="548"/>
      <c r="AX202" s="491">
        <v>3.5</v>
      </c>
      <c r="AY202" s="548"/>
      <c r="AZ202" s="548"/>
      <c r="BA202" s="548"/>
      <c r="BB202" s="548"/>
      <c r="BC202" s="548"/>
      <c r="BD202" s="548">
        <f t="shared" si="122"/>
        <v>3.5</v>
      </c>
      <c r="BE202" s="42">
        <f t="shared" si="130"/>
        <v>0</v>
      </c>
      <c r="BF202" s="42">
        <f t="shared" si="130"/>
        <v>11</v>
      </c>
      <c r="BG202" s="42">
        <f t="shared" si="130"/>
        <v>0</v>
      </c>
      <c r="BH202" s="42">
        <f t="shared" si="130"/>
        <v>0</v>
      </c>
      <c r="BI202" s="42">
        <f t="shared" si="130"/>
        <v>0</v>
      </c>
      <c r="BJ202" s="42">
        <f t="shared" si="107"/>
        <v>0</v>
      </c>
      <c r="BK202" s="42">
        <f t="shared" si="131"/>
        <v>0</v>
      </c>
      <c r="BL202" s="42">
        <f t="shared" si="131"/>
        <v>11</v>
      </c>
      <c r="BM202" s="3"/>
    </row>
    <row r="203" spans="1:65" ht="43.5" hidden="1" customHeight="1" x14ac:dyDescent="0.2">
      <c r="A203" s="298" t="s">
        <v>491</v>
      </c>
      <c r="B203" s="299" t="s">
        <v>489</v>
      </c>
      <c r="C203" s="1547"/>
      <c r="D203" s="1549"/>
      <c r="E203" s="1549"/>
      <c r="F203" s="1549"/>
      <c r="G203" s="1549"/>
      <c r="H203" s="1549"/>
      <c r="I203" s="1425"/>
      <c r="J203" s="1425"/>
      <c r="K203" s="1425" t="s">
        <v>636</v>
      </c>
      <c r="L203" s="301" t="s">
        <v>496</v>
      </c>
      <c r="M203" s="1425" t="s">
        <v>497</v>
      </c>
      <c r="N203" s="476"/>
      <c r="O203" s="1425" t="s">
        <v>47</v>
      </c>
      <c r="P203" s="1425"/>
      <c r="Q203" s="16" t="s">
        <v>637</v>
      </c>
      <c r="R203" s="302" t="s">
        <v>638</v>
      </c>
      <c r="S203" s="303">
        <v>2015</v>
      </c>
      <c r="T203" s="303">
        <v>0</v>
      </c>
      <c r="U203" s="303">
        <v>1</v>
      </c>
      <c r="V203" s="303">
        <v>0</v>
      </c>
      <c r="W203" s="303">
        <v>0</v>
      </c>
      <c r="X203" s="303">
        <v>0</v>
      </c>
      <c r="Y203" s="303">
        <v>1</v>
      </c>
      <c r="Z203" s="481"/>
      <c r="AA203" s="481">
        <v>0</v>
      </c>
      <c r="AB203" s="481"/>
      <c r="AC203" s="481"/>
      <c r="AD203" s="481"/>
      <c r="AE203" s="481">
        <v>20</v>
      </c>
      <c r="AF203" s="481"/>
      <c r="AG203" s="481">
        <f t="shared" si="118"/>
        <v>20</v>
      </c>
      <c r="AH203" s="548"/>
      <c r="AI203" s="548">
        <v>0</v>
      </c>
      <c r="AJ203" s="548"/>
      <c r="AK203" s="548"/>
      <c r="AL203" s="548"/>
      <c r="AM203" s="548"/>
      <c r="AN203" s="548">
        <f t="shared" si="119"/>
        <v>0</v>
      </c>
      <c r="AO203" s="481"/>
      <c r="AP203" s="481">
        <v>0</v>
      </c>
      <c r="AQ203" s="481"/>
      <c r="AR203" s="481"/>
      <c r="AS203" s="481"/>
      <c r="AT203" s="481"/>
      <c r="AU203" s="481"/>
      <c r="AV203" s="481">
        <f t="shared" si="120"/>
        <v>0</v>
      </c>
      <c r="AW203" s="548"/>
      <c r="AX203" s="548">
        <v>0</v>
      </c>
      <c r="AY203" s="548"/>
      <c r="AZ203" s="548"/>
      <c r="BA203" s="548"/>
      <c r="BB203" s="548"/>
      <c r="BC203" s="548"/>
      <c r="BD203" s="548">
        <f t="shared" si="122"/>
        <v>0</v>
      </c>
      <c r="BE203" s="42">
        <f t="shared" si="130"/>
        <v>0</v>
      </c>
      <c r="BF203" s="42">
        <f t="shared" si="130"/>
        <v>0</v>
      </c>
      <c r="BG203" s="42">
        <f t="shared" si="130"/>
        <v>0</v>
      </c>
      <c r="BH203" s="42">
        <f t="shared" si="130"/>
        <v>0</v>
      </c>
      <c r="BI203" s="42">
        <f t="shared" si="130"/>
        <v>0</v>
      </c>
      <c r="BJ203" s="42">
        <f t="shared" si="107"/>
        <v>20</v>
      </c>
      <c r="BK203" s="42">
        <f t="shared" si="131"/>
        <v>0</v>
      </c>
      <c r="BL203" s="42">
        <f t="shared" si="131"/>
        <v>20</v>
      </c>
      <c r="BM203" s="3"/>
    </row>
    <row r="204" spans="1:65" ht="46.5" hidden="1" customHeight="1" x14ac:dyDescent="0.2">
      <c r="A204" s="298" t="s">
        <v>491</v>
      </c>
      <c r="B204" s="299" t="s">
        <v>489</v>
      </c>
      <c r="C204" s="1547"/>
      <c r="D204" s="1549"/>
      <c r="E204" s="1549"/>
      <c r="F204" s="1549"/>
      <c r="G204" s="1549"/>
      <c r="H204" s="1549"/>
      <c r="I204" s="1425"/>
      <c r="J204" s="1425"/>
      <c r="K204" s="1425" t="s">
        <v>639</v>
      </c>
      <c r="L204" s="301" t="s">
        <v>496</v>
      </c>
      <c r="M204" s="1425" t="s">
        <v>497</v>
      </c>
      <c r="N204" s="476"/>
      <c r="O204" s="1425" t="s">
        <v>47</v>
      </c>
      <c r="P204" s="1425"/>
      <c r="Q204" s="16" t="s">
        <v>640</v>
      </c>
      <c r="R204" s="302" t="s">
        <v>641</v>
      </c>
      <c r="S204" s="303">
        <v>2015</v>
      </c>
      <c r="T204" s="303">
        <v>0</v>
      </c>
      <c r="U204" s="303">
        <v>1</v>
      </c>
      <c r="V204" s="303">
        <v>0</v>
      </c>
      <c r="W204" s="303">
        <v>1</v>
      </c>
      <c r="X204" s="303">
        <v>0</v>
      </c>
      <c r="Y204" s="303">
        <v>2</v>
      </c>
      <c r="Z204" s="481"/>
      <c r="AA204" s="481">
        <v>1.5</v>
      </c>
      <c r="AB204" s="481"/>
      <c r="AC204" s="481"/>
      <c r="AD204" s="481"/>
      <c r="AE204" s="481"/>
      <c r="AF204" s="481"/>
      <c r="AG204" s="481">
        <f t="shared" si="118"/>
        <v>1.5</v>
      </c>
      <c r="AH204" s="548"/>
      <c r="AI204" s="491"/>
      <c r="AJ204" s="548"/>
      <c r="AK204" s="548"/>
      <c r="AL204" s="548"/>
      <c r="AM204" s="548"/>
      <c r="AN204" s="548">
        <f t="shared" si="119"/>
        <v>0</v>
      </c>
      <c r="AO204" s="481"/>
      <c r="AP204" s="481">
        <v>1.5</v>
      </c>
      <c r="AQ204" s="481"/>
      <c r="AR204" s="481"/>
      <c r="AS204" s="481"/>
      <c r="AT204" s="481"/>
      <c r="AU204" s="481"/>
      <c r="AV204" s="481">
        <f t="shared" si="120"/>
        <v>1.5</v>
      </c>
      <c r="AW204" s="548"/>
      <c r="AX204" s="491"/>
      <c r="AY204" s="548"/>
      <c r="AZ204" s="548"/>
      <c r="BA204" s="548"/>
      <c r="BB204" s="548"/>
      <c r="BC204" s="548"/>
      <c r="BD204" s="548">
        <f t="shared" si="122"/>
        <v>0</v>
      </c>
      <c r="BE204" s="42">
        <f t="shared" si="130"/>
        <v>0</v>
      </c>
      <c r="BF204" s="42">
        <f t="shared" si="130"/>
        <v>3</v>
      </c>
      <c r="BG204" s="42">
        <f t="shared" si="130"/>
        <v>0</v>
      </c>
      <c r="BH204" s="42">
        <f t="shared" si="130"/>
        <v>0</v>
      </c>
      <c r="BI204" s="42">
        <f t="shared" si="130"/>
        <v>0</v>
      </c>
      <c r="BJ204" s="42">
        <f t="shared" si="107"/>
        <v>0</v>
      </c>
      <c r="BK204" s="42">
        <f t="shared" si="131"/>
        <v>0</v>
      </c>
      <c r="BL204" s="42">
        <f t="shared" si="131"/>
        <v>3</v>
      </c>
      <c r="BM204" s="3"/>
    </row>
    <row r="205" spans="1:65" ht="45" hidden="1" customHeight="1" x14ac:dyDescent="0.2">
      <c r="A205" s="298" t="s">
        <v>491</v>
      </c>
      <c r="B205" s="299" t="s">
        <v>489</v>
      </c>
      <c r="C205" s="1547"/>
      <c r="D205" s="1549"/>
      <c r="E205" s="1549"/>
      <c r="F205" s="1549"/>
      <c r="G205" s="1549"/>
      <c r="H205" s="1549"/>
      <c r="I205" s="1425"/>
      <c r="J205" s="1425"/>
      <c r="K205" s="1425" t="s">
        <v>642</v>
      </c>
      <c r="L205" s="301" t="s">
        <v>496</v>
      </c>
      <c r="M205" s="1425" t="s">
        <v>497</v>
      </c>
      <c r="N205" s="476"/>
      <c r="O205" s="1425" t="s">
        <v>47</v>
      </c>
      <c r="P205" s="1425"/>
      <c r="Q205" s="16" t="s">
        <v>643</v>
      </c>
      <c r="R205" s="302" t="s">
        <v>644</v>
      </c>
      <c r="S205" s="303">
        <v>2015</v>
      </c>
      <c r="T205" s="303">
        <v>0</v>
      </c>
      <c r="U205" s="303">
        <v>1</v>
      </c>
      <c r="V205" s="303">
        <v>1</v>
      </c>
      <c r="W205" s="303">
        <v>1</v>
      </c>
      <c r="X205" s="303">
        <v>1</v>
      </c>
      <c r="Y205" s="303">
        <v>4</v>
      </c>
      <c r="Z205" s="481"/>
      <c r="AA205" s="481">
        <v>5</v>
      </c>
      <c r="AB205" s="481"/>
      <c r="AC205" s="481"/>
      <c r="AD205" s="481"/>
      <c r="AE205" s="481"/>
      <c r="AF205" s="481"/>
      <c r="AG205" s="481">
        <f t="shared" si="118"/>
        <v>5</v>
      </c>
      <c r="AH205" s="548"/>
      <c r="AI205" s="548">
        <v>5</v>
      </c>
      <c r="AJ205" s="548"/>
      <c r="AK205" s="548"/>
      <c r="AL205" s="548"/>
      <c r="AM205" s="548"/>
      <c r="AN205" s="548">
        <f t="shared" si="119"/>
        <v>5</v>
      </c>
      <c r="AO205" s="481"/>
      <c r="AP205" s="481">
        <v>5</v>
      </c>
      <c r="AQ205" s="481"/>
      <c r="AR205" s="481"/>
      <c r="AS205" s="481"/>
      <c r="AT205" s="481"/>
      <c r="AU205" s="481"/>
      <c r="AV205" s="481">
        <f t="shared" si="120"/>
        <v>5</v>
      </c>
      <c r="AW205" s="548"/>
      <c r="AX205" s="548">
        <v>5</v>
      </c>
      <c r="AY205" s="548"/>
      <c r="AZ205" s="548"/>
      <c r="BA205" s="548"/>
      <c r="BB205" s="548"/>
      <c r="BC205" s="548"/>
      <c r="BD205" s="548">
        <f t="shared" si="122"/>
        <v>5</v>
      </c>
      <c r="BE205" s="42">
        <f t="shared" si="130"/>
        <v>0</v>
      </c>
      <c r="BF205" s="42">
        <f t="shared" si="130"/>
        <v>20</v>
      </c>
      <c r="BG205" s="42">
        <f t="shared" si="130"/>
        <v>0</v>
      </c>
      <c r="BH205" s="42">
        <f t="shared" si="130"/>
        <v>0</v>
      </c>
      <c r="BI205" s="42">
        <f t="shared" si="130"/>
        <v>0</v>
      </c>
      <c r="BJ205" s="42">
        <f t="shared" si="107"/>
        <v>0</v>
      </c>
      <c r="BK205" s="42">
        <f t="shared" si="131"/>
        <v>0</v>
      </c>
      <c r="BL205" s="42">
        <f t="shared" si="131"/>
        <v>20</v>
      </c>
      <c r="BM205" s="3"/>
    </row>
    <row r="206" spans="1:65" ht="56.25" hidden="1" customHeight="1" x14ac:dyDescent="0.2">
      <c r="A206" s="298" t="s">
        <v>491</v>
      </c>
      <c r="B206" s="299" t="s">
        <v>489</v>
      </c>
      <c r="C206" s="1547"/>
      <c r="D206" s="1549"/>
      <c r="E206" s="1549"/>
      <c r="F206" s="1549"/>
      <c r="G206" s="1549"/>
      <c r="H206" s="1549"/>
      <c r="I206" s="1425"/>
      <c r="J206" s="1425"/>
      <c r="K206" s="1425" t="s">
        <v>645</v>
      </c>
      <c r="L206" s="301" t="s">
        <v>496</v>
      </c>
      <c r="M206" s="1425" t="s">
        <v>497</v>
      </c>
      <c r="N206" s="476"/>
      <c r="O206" s="1425" t="s">
        <v>73</v>
      </c>
      <c r="P206" s="1425"/>
      <c r="Q206" s="16" t="s">
        <v>646</v>
      </c>
      <c r="R206" s="302" t="s">
        <v>647</v>
      </c>
      <c r="S206" s="303">
        <v>2015</v>
      </c>
      <c r="T206" s="303">
        <v>0</v>
      </c>
      <c r="U206" s="303">
        <v>4</v>
      </c>
      <c r="V206" s="303">
        <v>4</v>
      </c>
      <c r="W206" s="303">
        <v>4</v>
      </c>
      <c r="X206" s="303">
        <v>4</v>
      </c>
      <c r="Y206" s="303">
        <v>4</v>
      </c>
      <c r="Z206" s="481"/>
      <c r="AA206" s="481">
        <v>16</v>
      </c>
      <c r="AB206" s="481"/>
      <c r="AC206" s="481"/>
      <c r="AD206" s="481"/>
      <c r="AE206" s="481"/>
      <c r="AF206" s="481"/>
      <c r="AG206" s="481">
        <f t="shared" si="118"/>
        <v>16</v>
      </c>
      <c r="AH206" s="548"/>
      <c r="AI206" s="548">
        <v>16</v>
      </c>
      <c r="AJ206" s="548"/>
      <c r="AK206" s="548"/>
      <c r="AL206" s="548"/>
      <c r="AM206" s="548"/>
      <c r="AN206" s="548">
        <f t="shared" si="119"/>
        <v>16</v>
      </c>
      <c r="AO206" s="481"/>
      <c r="AP206" s="481">
        <v>16</v>
      </c>
      <c r="AQ206" s="481"/>
      <c r="AR206" s="481"/>
      <c r="AS206" s="481"/>
      <c r="AT206" s="481"/>
      <c r="AU206" s="481"/>
      <c r="AV206" s="481">
        <f t="shared" si="120"/>
        <v>16</v>
      </c>
      <c r="AW206" s="548"/>
      <c r="AX206" s="548">
        <v>16</v>
      </c>
      <c r="AY206" s="548"/>
      <c r="AZ206" s="548"/>
      <c r="BA206" s="548"/>
      <c r="BB206" s="548"/>
      <c r="BC206" s="548"/>
      <c r="BD206" s="548">
        <f t="shared" si="122"/>
        <v>16</v>
      </c>
      <c r="BE206" s="42">
        <f t="shared" si="130"/>
        <v>0</v>
      </c>
      <c r="BF206" s="42">
        <f t="shared" si="130"/>
        <v>64</v>
      </c>
      <c r="BG206" s="42">
        <f t="shared" si="130"/>
        <v>0</v>
      </c>
      <c r="BH206" s="42">
        <f t="shared" si="130"/>
        <v>0</v>
      </c>
      <c r="BI206" s="42">
        <f t="shared" si="130"/>
        <v>0</v>
      </c>
      <c r="BJ206" s="42">
        <f t="shared" si="107"/>
        <v>0</v>
      </c>
      <c r="BK206" s="42">
        <f t="shared" si="131"/>
        <v>0</v>
      </c>
      <c r="BL206" s="42">
        <f t="shared" si="131"/>
        <v>64</v>
      </c>
      <c r="BM206" s="3"/>
    </row>
    <row r="207" spans="1:65" ht="52.5" hidden="1" customHeight="1" x14ac:dyDescent="0.2">
      <c r="A207" s="298" t="s">
        <v>491</v>
      </c>
      <c r="B207" s="299" t="s">
        <v>489</v>
      </c>
      <c r="C207" s="1547"/>
      <c r="D207" s="1549"/>
      <c r="E207" s="1549"/>
      <c r="F207" s="1549"/>
      <c r="G207" s="1549"/>
      <c r="H207" s="1549"/>
      <c r="I207" s="1425" t="s">
        <v>53</v>
      </c>
      <c r="J207" s="1425"/>
      <c r="K207" s="1425" t="s">
        <v>648</v>
      </c>
      <c r="L207" s="301" t="s">
        <v>496</v>
      </c>
      <c r="M207" s="1425" t="s">
        <v>497</v>
      </c>
      <c r="N207" s="476"/>
      <c r="O207" s="1425" t="s">
        <v>47</v>
      </c>
      <c r="P207" s="1425"/>
      <c r="Q207" s="16" t="s">
        <v>649</v>
      </c>
      <c r="R207" s="302" t="s">
        <v>650</v>
      </c>
      <c r="S207" s="303">
        <v>2015</v>
      </c>
      <c r="T207" s="303">
        <v>0</v>
      </c>
      <c r="U207" s="303">
        <v>1</v>
      </c>
      <c r="V207" s="303">
        <v>0</v>
      </c>
      <c r="W207" s="303">
        <v>0</v>
      </c>
      <c r="X207" s="303">
        <v>0</v>
      </c>
      <c r="Y207" s="303">
        <v>1</v>
      </c>
      <c r="Z207" s="481"/>
      <c r="AA207" s="481"/>
      <c r="AB207" s="481"/>
      <c r="AC207" s="481">
        <v>500</v>
      </c>
      <c r="AD207" s="481"/>
      <c r="AE207" s="481"/>
      <c r="AF207" s="481"/>
      <c r="AG207" s="481">
        <f t="shared" si="118"/>
        <v>500</v>
      </c>
      <c r="AH207" s="548"/>
      <c r="AI207" s="548"/>
      <c r="AJ207" s="548"/>
      <c r="AK207" s="548">
        <v>0</v>
      </c>
      <c r="AL207" s="548"/>
      <c r="AM207" s="548"/>
      <c r="AN207" s="548">
        <f t="shared" si="119"/>
        <v>0</v>
      </c>
      <c r="AO207" s="481"/>
      <c r="AP207" s="481"/>
      <c r="AQ207" s="481"/>
      <c r="AR207" s="481">
        <v>0</v>
      </c>
      <c r="AS207" s="481"/>
      <c r="AT207" s="481"/>
      <c r="AU207" s="481"/>
      <c r="AV207" s="481">
        <f t="shared" si="120"/>
        <v>0</v>
      </c>
      <c r="AW207" s="548"/>
      <c r="AX207" s="548"/>
      <c r="AY207" s="548"/>
      <c r="AZ207" s="548">
        <v>0</v>
      </c>
      <c r="BA207" s="548"/>
      <c r="BB207" s="548"/>
      <c r="BC207" s="548"/>
      <c r="BD207" s="548">
        <f t="shared" si="122"/>
        <v>0</v>
      </c>
      <c r="BE207" s="42">
        <f t="shared" si="130"/>
        <v>0</v>
      </c>
      <c r="BF207" s="42">
        <f t="shared" si="130"/>
        <v>0</v>
      </c>
      <c r="BG207" s="42">
        <f t="shared" si="130"/>
        <v>0</v>
      </c>
      <c r="BH207" s="42">
        <f t="shared" si="130"/>
        <v>500</v>
      </c>
      <c r="BI207" s="42">
        <f t="shared" si="130"/>
        <v>0</v>
      </c>
      <c r="BJ207" s="42">
        <f t="shared" ref="BJ207:BJ270" si="133">+AE207+AT207+BB207</f>
        <v>0</v>
      </c>
      <c r="BK207" s="42">
        <f t="shared" si="131"/>
        <v>0</v>
      </c>
      <c r="BL207" s="42">
        <f t="shared" si="131"/>
        <v>500</v>
      </c>
      <c r="BM207" s="3"/>
    </row>
    <row r="208" spans="1:65" ht="47.25" hidden="1" customHeight="1" x14ac:dyDescent="0.2">
      <c r="A208" s="298" t="s">
        <v>491</v>
      </c>
      <c r="B208" s="299" t="s">
        <v>489</v>
      </c>
      <c r="C208" s="1547"/>
      <c r="D208" s="1549"/>
      <c r="E208" s="1549"/>
      <c r="F208" s="1549"/>
      <c r="G208" s="1549"/>
      <c r="H208" s="1549"/>
      <c r="I208" s="1425"/>
      <c r="J208" s="1425"/>
      <c r="K208" s="1425" t="s">
        <v>651</v>
      </c>
      <c r="L208" s="301" t="s">
        <v>496</v>
      </c>
      <c r="M208" s="1425" t="s">
        <v>497</v>
      </c>
      <c r="N208" s="476"/>
      <c r="O208" s="1425" t="s">
        <v>73</v>
      </c>
      <c r="P208" s="1425"/>
      <c r="Q208" s="71" t="s">
        <v>652</v>
      </c>
      <c r="R208" s="302" t="s">
        <v>653</v>
      </c>
      <c r="S208" s="303">
        <v>2015</v>
      </c>
      <c r="T208" s="303">
        <v>0</v>
      </c>
      <c r="U208" s="303">
        <v>1</v>
      </c>
      <c r="V208" s="303">
        <v>1</v>
      </c>
      <c r="W208" s="303">
        <v>1</v>
      </c>
      <c r="X208" s="303">
        <v>1</v>
      </c>
      <c r="Y208" s="303">
        <v>1</v>
      </c>
      <c r="Z208" s="481"/>
      <c r="AA208" s="481">
        <v>1</v>
      </c>
      <c r="AB208" s="481"/>
      <c r="AC208" s="481"/>
      <c r="AD208" s="481"/>
      <c r="AE208" s="481">
        <v>3.72</v>
      </c>
      <c r="AF208" s="481"/>
      <c r="AG208" s="481">
        <f t="shared" si="118"/>
        <v>4.7200000000000006</v>
      </c>
      <c r="AH208" s="548"/>
      <c r="AI208" s="548">
        <v>1</v>
      </c>
      <c r="AJ208" s="548"/>
      <c r="AK208" s="548"/>
      <c r="AL208" s="548"/>
      <c r="AM208" s="548"/>
      <c r="AN208" s="548">
        <f t="shared" si="119"/>
        <v>1</v>
      </c>
      <c r="AO208" s="481"/>
      <c r="AP208" s="481">
        <v>1</v>
      </c>
      <c r="AQ208" s="481"/>
      <c r="AR208" s="481"/>
      <c r="AS208" s="481"/>
      <c r="AT208" s="481"/>
      <c r="AU208" s="481"/>
      <c r="AV208" s="481">
        <f t="shared" si="120"/>
        <v>1</v>
      </c>
      <c r="AW208" s="548"/>
      <c r="AX208" s="548">
        <v>1</v>
      </c>
      <c r="AY208" s="548"/>
      <c r="AZ208" s="548"/>
      <c r="BA208" s="548"/>
      <c r="BB208" s="548"/>
      <c r="BC208" s="548"/>
      <c r="BD208" s="548">
        <f t="shared" si="122"/>
        <v>1</v>
      </c>
      <c r="BE208" s="42">
        <f t="shared" si="130"/>
        <v>0</v>
      </c>
      <c r="BF208" s="42">
        <f t="shared" si="130"/>
        <v>4</v>
      </c>
      <c r="BG208" s="42">
        <f t="shared" si="130"/>
        <v>0</v>
      </c>
      <c r="BH208" s="42">
        <f t="shared" si="130"/>
        <v>0</v>
      </c>
      <c r="BI208" s="42">
        <f t="shared" si="130"/>
        <v>0</v>
      </c>
      <c r="BJ208" s="42">
        <f t="shared" si="133"/>
        <v>3.72</v>
      </c>
      <c r="BK208" s="42">
        <f t="shared" si="131"/>
        <v>0</v>
      </c>
      <c r="BL208" s="42">
        <f t="shared" si="131"/>
        <v>7.7200000000000006</v>
      </c>
      <c r="BM208" s="3"/>
    </row>
    <row r="209" spans="1:65" ht="50.25" hidden="1" customHeight="1" x14ac:dyDescent="0.2">
      <c r="A209" s="298" t="s">
        <v>491</v>
      </c>
      <c r="B209" s="299" t="s">
        <v>489</v>
      </c>
      <c r="C209" s="1547"/>
      <c r="D209" s="1549"/>
      <c r="E209" s="1549"/>
      <c r="F209" s="1549"/>
      <c r="G209" s="1549"/>
      <c r="H209" s="1549"/>
      <c r="I209" s="1425"/>
      <c r="J209" s="1425"/>
      <c r="K209" s="1425" t="s">
        <v>654</v>
      </c>
      <c r="L209" s="301" t="s">
        <v>496</v>
      </c>
      <c r="M209" s="1425" t="s">
        <v>497</v>
      </c>
      <c r="N209" s="476"/>
      <c r="O209" s="1425" t="s">
        <v>47</v>
      </c>
      <c r="P209" s="1425"/>
      <c r="Q209" s="71" t="s">
        <v>655</v>
      </c>
      <c r="R209" s="302" t="s">
        <v>656</v>
      </c>
      <c r="S209" s="303">
        <v>2015</v>
      </c>
      <c r="T209" s="303">
        <v>0</v>
      </c>
      <c r="U209" s="303">
        <v>1</v>
      </c>
      <c r="V209" s="303">
        <v>1</v>
      </c>
      <c r="W209" s="303">
        <v>1</v>
      </c>
      <c r="X209" s="303">
        <v>1</v>
      </c>
      <c r="Y209" s="303">
        <v>8</v>
      </c>
      <c r="Z209" s="481"/>
      <c r="AA209" s="481">
        <v>4</v>
      </c>
      <c r="AB209" s="481"/>
      <c r="AC209" s="481"/>
      <c r="AD209" s="481"/>
      <c r="AE209" s="481">
        <v>6</v>
      </c>
      <c r="AF209" s="481"/>
      <c r="AG209" s="481">
        <f t="shared" si="118"/>
        <v>10</v>
      </c>
      <c r="AH209" s="548"/>
      <c r="AI209" s="548">
        <v>4</v>
      </c>
      <c r="AJ209" s="548"/>
      <c r="AK209" s="548"/>
      <c r="AL209" s="548"/>
      <c r="AM209" s="548"/>
      <c r="AN209" s="548">
        <f t="shared" si="119"/>
        <v>4</v>
      </c>
      <c r="AO209" s="481"/>
      <c r="AP209" s="481">
        <v>4</v>
      </c>
      <c r="AQ209" s="481"/>
      <c r="AR209" s="481"/>
      <c r="AS209" s="481"/>
      <c r="AT209" s="481"/>
      <c r="AU209" s="481"/>
      <c r="AV209" s="481">
        <f t="shared" si="120"/>
        <v>4</v>
      </c>
      <c r="AW209" s="548"/>
      <c r="AX209" s="548">
        <v>4</v>
      </c>
      <c r="AY209" s="548"/>
      <c r="AZ209" s="548"/>
      <c r="BA209" s="548"/>
      <c r="BB209" s="548"/>
      <c r="BC209" s="548"/>
      <c r="BD209" s="548">
        <f t="shared" si="122"/>
        <v>4</v>
      </c>
      <c r="BE209" s="42">
        <f t="shared" si="130"/>
        <v>0</v>
      </c>
      <c r="BF209" s="42">
        <f t="shared" si="130"/>
        <v>16</v>
      </c>
      <c r="BG209" s="42">
        <f t="shared" si="130"/>
        <v>0</v>
      </c>
      <c r="BH209" s="42">
        <f t="shared" si="130"/>
        <v>0</v>
      </c>
      <c r="BI209" s="42">
        <f t="shared" si="130"/>
        <v>0</v>
      </c>
      <c r="BJ209" s="42">
        <f t="shared" si="133"/>
        <v>6</v>
      </c>
      <c r="BK209" s="42">
        <f t="shared" si="131"/>
        <v>0</v>
      </c>
      <c r="BL209" s="42">
        <f t="shared" si="131"/>
        <v>22</v>
      </c>
      <c r="BM209" s="3"/>
    </row>
    <row r="210" spans="1:65" ht="39.75" hidden="1" customHeight="1" x14ac:dyDescent="0.2">
      <c r="A210" s="298" t="s">
        <v>491</v>
      </c>
      <c r="B210" s="299" t="s">
        <v>489</v>
      </c>
      <c r="C210" s="1547"/>
      <c r="D210" s="1549"/>
      <c r="E210" s="1549"/>
      <c r="F210" s="1549"/>
      <c r="G210" s="1549"/>
      <c r="H210" s="1549"/>
      <c r="I210" s="1425"/>
      <c r="J210" s="1425"/>
      <c r="K210" s="1425" t="s">
        <v>657</v>
      </c>
      <c r="L210" s="301" t="s">
        <v>496</v>
      </c>
      <c r="M210" s="1425" t="s">
        <v>497</v>
      </c>
      <c r="N210" s="476"/>
      <c r="O210" s="1425" t="s">
        <v>73</v>
      </c>
      <c r="P210" s="1425"/>
      <c r="Q210" s="71" t="s">
        <v>658</v>
      </c>
      <c r="R210" s="302" t="s">
        <v>659</v>
      </c>
      <c r="S210" s="303">
        <v>2015</v>
      </c>
      <c r="T210" s="303">
        <v>1</v>
      </c>
      <c r="U210" s="303">
        <v>1</v>
      </c>
      <c r="V210" s="303">
        <v>1</v>
      </c>
      <c r="W210" s="303">
        <v>1</v>
      </c>
      <c r="X210" s="303">
        <v>1</v>
      </c>
      <c r="Y210" s="303">
        <v>1</v>
      </c>
      <c r="Z210" s="481"/>
      <c r="AA210" s="481">
        <v>12</v>
      </c>
      <c r="AB210" s="481"/>
      <c r="AC210" s="481"/>
      <c r="AD210" s="481"/>
      <c r="AE210" s="481"/>
      <c r="AF210" s="481"/>
      <c r="AG210" s="481">
        <f t="shared" si="118"/>
        <v>12</v>
      </c>
      <c r="AH210" s="548"/>
      <c r="AI210" s="548">
        <v>12</v>
      </c>
      <c r="AJ210" s="548"/>
      <c r="AK210" s="548"/>
      <c r="AL210" s="548"/>
      <c r="AM210" s="548"/>
      <c r="AN210" s="548">
        <f t="shared" si="119"/>
        <v>12</v>
      </c>
      <c r="AO210" s="481"/>
      <c r="AP210" s="481">
        <v>12</v>
      </c>
      <c r="AQ210" s="481"/>
      <c r="AR210" s="481"/>
      <c r="AS210" s="481"/>
      <c r="AT210" s="481"/>
      <c r="AU210" s="481"/>
      <c r="AV210" s="481">
        <f t="shared" si="120"/>
        <v>12</v>
      </c>
      <c r="AW210" s="548"/>
      <c r="AX210" s="548">
        <v>12</v>
      </c>
      <c r="AY210" s="548"/>
      <c r="AZ210" s="548"/>
      <c r="BA210" s="548"/>
      <c r="BB210" s="548"/>
      <c r="BC210" s="548"/>
      <c r="BD210" s="548">
        <f t="shared" si="122"/>
        <v>12</v>
      </c>
      <c r="BE210" s="42">
        <f t="shared" si="130"/>
        <v>0</v>
      </c>
      <c r="BF210" s="42">
        <f t="shared" si="130"/>
        <v>48</v>
      </c>
      <c r="BG210" s="42">
        <f t="shared" si="130"/>
        <v>0</v>
      </c>
      <c r="BH210" s="42">
        <f t="shared" si="130"/>
        <v>0</v>
      </c>
      <c r="BI210" s="42">
        <f t="shared" si="130"/>
        <v>0</v>
      </c>
      <c r="BJ210" s="42">
        <f t="shared" si="133"/>
        <v>0</v>
      </c>
      <c r="BK210" s="42">
        <f t="shared" si="131"/>
        <v>0</v>
      </c>
      <c r="BL210" s="42">
        <f t="shared" si="131"/>
        <v>48</v>
      </c>
      <c r="BM210" s="3"/>
    </row>
    <row r="211" spans="1:65" ht="39.75" hidden="1" customHeight="1" x14ac:dyDescent="0.2">
      <c r="A211" s="298" t="s">
        <v>491</v>
      </c>
      <c r="B211" s="299" t="s">
        <v>489</v>
      </c>
      <c r="C211" s="1548"/>
      <c r="D211" s="1549"/>
      <c r="E211" s="1549"/>
      <c r="F211" s="1549"/>
      <c r="G211" s="1549"/>
      <c r="H211" s="1549"/>
      <c r="I211" s="1425"/>
      <c r="J211" s="1425"/>
      <c r="K211" s="1425" t="s">
        <v>660</v>
      </c>
      <c r="L211" s="301" t="s">
        <v>496</v>
      </c>
      <c r="M211" s="1425" t="s">
        <v>497</v>
      </c>
      <c r="N211" s="476"/>
      <c r="O211" s="1425" t="s">
        <v>73</v>
      </c>
      <c r="P211" s="1425"/>
      <c r="Q211" s="71" t="s">
        <v>661</v>
      </c>
      <c r="R211" s="302" t="s">
        <v>659</v>
      </c>
      <c r="S211" s="303">
        <v>2015</v>
      </c>
      <c r="T211" s="303">
        <v>1</v>
      </c>
      <c r="U211" s="303">
        <v>1</v>
      </c>
      <c r="V211" s="303">
        <v>1</v>
      </c>
      <c r="W211" s="303">
        <v>1</v>
      </c>
      <c r="X211" s="303">
        <v>1</v>
      </c>
      <c r="Y211" s="303">
        <v>1</v>
      </c>
      <c r="Z211" s="481"/>
      <c r="AA211" s="481">
        <v>14.5</v>
      </c>
      <c r="AB211" s="481"/>
      <c r="AC211" s="481"/>
      <c r="AD211" s="481"/>
      <c r="AE211" s="481"/>
      <c r="AF211" s="481"/>
      <c r="AG211" s="481">
        <f t="shared" si="118"/>
        <v>14.5</v>
      </c>
      <c r="AH211" s="548"/>
      <c r="AI211" s="548">
        <v>14.5</v>
      </c>
      <c r="AJ211" s="548"/>
      <c r="AK211" s="548"/>
      <c r="AL211" s="548"/>
      <c r="AM211" s="548"/>
      <c r="AN211" s="548">
        <f t="shared" si="119"/>
        <v>14.5</v>
      </c>
      <c r="AO211" s="481"/>
      <c r="AP211" s="481">
        <v>14.5</v>
      </c>
      <c r="AQ211" s="481"/>
      <c r="AR211" s="481"/>
      <c r="AS211" s="481"/>
      <c r="AT211" s="481"/>
      <c r="AU211" s="481"/>
      <c r="AV211" s="481">
        <f t="shared" si="120"/>
        <v>14.5</v>
      </c>
      <c r="AW211" s="548"/>
      <c r="AX211" s="548">
        <v>14.5</v>
      </c>
      <c r="AY211" s="548"/>
      <c r="AZ211" s="548"/>
      <c r="BA211" s="548"/>
      <c r="BB211" s="548"/>
      <c r="BC211" s="548"/>
      <c r="BD211" s="548">
        <f t="shared" si="122"/>
        <v>14.5</v>
      </c>
      <c r="BE211" s="42">
        <f t="shared" si="130"/>
        <v>0</v>
      </c>
      <c r="BF211" s="42">
        <f t="shared" si="130"/>
        <v>58</v>
      </c>
      <c r="BG211" s="42">
        <f t="shared" si="130"/>
        <v>0</v>
      </c>
      <c r="BH211" s="42">
        <f t="shared" si="130"/>
        <v>0</v>
      </c>
      <c r="BI211" s="42">
        <f t="shared" si="130"/>
        <v>0</v>
      </c>
      <c r="BJ211" s="42">
        <f t="shared" si="133"/>
        <v>0</v>
      </c>
      <c r="BK211" s="42">
        <f t="shared" si="131"/>
        <v>0</v>
      </c>
      <c r="BL211" s="42">
        <f t="shared" si="131"/>
        <v>58</v>
      </c>
      <c r="BM211" s="3"/>
    </row>
    <row r="212" spans="1:65" ht="38.25" hidden="1" x14ac:dyDescent="0.2">
      <c r="A212" s="295" t="s">
        <v>491</v>
      </c>
      <c r="B212" s="24" t="s">
        <v>489</v>
      </c>
      <c r="C212" s="6"/>
      <c r="D212" s="2" t="s">
        <v>662</v>
      </c>
      <c r="E212" s="1"/>
      <c r="F212" s="1"/>
      <c r="G212" s="1"/>
      <c r="H212" s="1"/>
      <c r="I212" s="1"/>
      <c r="J212" s="1"/>
      <c r="K212" s="1"/>
      <c r="L212" s="1"/>
      <c r="M212" s="1"/>
      <c r="N212" s="1"/>
      <c r="O212" s="1"/>
      <c r="P212" s="1"/>
      <c r="Q212" s="22" t="s">
        <v>663</v>
      </c>
      <c r="R212" s="22"/>
      <c r="S212" s="1"/>
      <c r="T212" s="1"/>
      <c r="U212" s="1"/>
      <c r="V212" s="1"/>
      <c r="W212" s="1"/>
      <c r="X212" s="1"/>
      <c r="Y212" s="1"/>
      <c r="Z212" s="34">
        <f>SUM(Z213:Z220)</f>
        <v>10</v>
      </c>
      <c r="AA212" s="34">
        <f t="shared" ref="AA212:BL212" si="134">SUM(AA213:AA220)</f>
        <v>0</v>
      </c>
      <c r="AB212" s="34">
        <f t="shared" si="134"/>
        <v>2.66</v>
      </c>
      <c r="AC212" s="34">
        <f t="shared" si="134"/>
        <v>0</v>
      </c>
      <c r="AD212" s="34">
        <f t="shared" si="134"/>
        <v>0</v>
      </c>
      <c r="AE212" s="34">
        <f t="shared" si="134"/>
        <v>0</v>
      </c>
      <c r="AF212" s="34">
        <f t="shared" si="134"/>
        <v>0</v>
      </c>
      <c r="AG212" s="34">
        <f t="shared" si="134"/>
        <v>12.66</v>
      </c>
      <c r="AH212" s="34">
        <f t="shared" si="134"/>
        <v>10</v>
      </c>
      <c r="AI212" s="34">
        <f t="shared" si="134"/>
        <v>0</v>
      </c>
      <c r="AJ212" s="34">
        <f t="shared" si="134"/>
        <v>2.66</v>
      </c>
      <c r="AK212" s="34">
        <f t="shared" si="134"/>
        <v>0</v>
      </c>
      <c r="AL212" s="34">
        <f t="shared" si="134"/>
        <v>0</v>
      </c>
      <c r="AM212" s="34">
        <f t="shared" si="134"/>
        <v>0</v>
      </c>
      <c r="AN212" s="34">
        <f t="shared" si="134"/>
        <v>12.66</v>
      </c>
      <c r="AO212" s="34">
        <f t="shared" si="134"/>
        <v>10</v>
      </c>
      <c r="AP212" s="34">
        <f t="shared" si="134"/>
        <v>0</v>
      </c>
      <c r="AQ212" s="34">
        <f t="shared" si="134"/>
        <v>2.66</v>
      </c>
      <c r="AR212" s="34">
        <f t="shared" si="134"/>
        <v>0</v>
      </c>
      <c r="AS212" s="34">
        <f t="shared" si="134"/>
        <v>0</v>
      </c>
      <c r="AT212" s="34">
        <f t="shared" si="134"/>
        <v>0</v>
      </c>
      <c r="AU212" s="34">
        <f t="shared" si="134"/>
        <v>0</v>
      </c>
      <c r="AV212" s="34">
        <f t="shared" si="134"/>
        <v>12.66</v>
      </c>
      <c r="AW212" s="34">
        <f t="shared" si="134"/>
        <v>10</v>
      </c>
      <c r="AX212" s="34">
        <f t="shared" si="134"/>
        <v>0</v>
      </c>
      <c r="AY212" s="34">
        <f t="shared" si="134"/>
        <v>2.66</v>
      </c>
      <c r="AZ212" s="34">
        <f t="shared" si="134"/>
        <v>0</v>
      </c>
      <c r="BA212" s="34">
        <f t="shared" si="134"/>
        <v>0</v>
      </c>
      <c r="BB212" s="34">
        <f t="shared" si="134"/>
        <v>0</v>
      </c>
      <c r="BC212" s="34">
        <f t="shared" si="134"/>
        <v>0</v>
      </c>
      <c r="BD212" s="34">
        <f t="shared" si="134"/>
        <v>12.66</v>
      </c>
      <c r="BE212" s="34">
        <f t="shared" si="134"/>
        <v>40</v>
      </c>
      <c r="BF212" s="34">
        <f t="shared" si="134"/>
        <v>0</v>
      </c>
      <c r="BG212" s="34">
        <f t="shared" si="134"/>
        <v>10.64</v>
      </c>
      <c r="BH212" s="34">
        <f t="shared" si="134"/>
        <v>0</v>
      </c>
      <c r="BI212" s="34">
        <f t="shared" si="134"/>
        <v>0</v>
      </c>
      <c r="BJ212" s="34">
        <f t="shared" si="133"/>
        <v>0</v>
      </c>
      <c r="BK212" s="34">
        <f t="shared" si="134"/>
        <v>0</v>
      </c>
      <c r="BL212" s="34">
        <f t="shared" si="134"/>
        <v>50.64</v>
      </c>
      <c r="BM212" s="3"/>
    </row>
    <row r="213" spans="1:65" ht="61.5" hidden="1" customHeight="1" x14ac:dyDescent="0.2">
      <c r="A213" s="298" t="s">
        <v>491</v>
      </c>
      <c r="B213" s="299" t="s">
        <v>489</v>
      </c>
      <c r="C213" s="1546" t="s">
        <v>664</v>
      </c>
      <c r="D213" s="1549" t="s">
        <v>665</v>
      </c>
      <c r="E213" s="1549" t="s">
        <v>252</v>
      </c>
      <c r="F213" s="1549">
        <v>2015</v>
      </c>
      <c r="G213" s="1562">
        <v>11672</v>
      </c>
      <c r="H213" s="1562">
        <v>13500</v>
      </c>
      <c r="I213" s="1428"/>
      <c r="J213" s="1428"/>
      <c r="K213" s="1428" t="s">
        <v>666</v>
      </c>
      <c r="L213" s="301" t="s">
        <v>496</v>
      </c>
      <c r="M213" s="1425" t="s">
        <v>497</v>
      </c>
      <c r="N213" s="476"/>
      <c r="O213" s="1425" t="s">
        <v>73</v>
      </c>
      <c r="P213" s="1425"/>
      <c r="Q213" s="16" t="s">
        <v>667</v>
      </c>
      <c r="R213" s="302" t="s">
        <v>668</v>
      </c>
      <c r="S213" s="303">
        <v>2015</v>
      </c>
      <c r="T213" s="303">
        <v>0</v>
      </c>
      <c r="U213" s="303">
        <v>1</v>
      </c>
      <c r="V213" s="303">
        <v>1</v>
      </c>
      <c r="W213" s="303">
        <v>1</v>
      </c>
      <c r="X213" s="303">
        <v>1</v>
      </c>
      <c r="Y213" s="303">
        <v>1</v>
      </c>
      <c r="Z213" s="481"/>
      <c r="AA213" s="481"/>
      <c r="AB213" s="481">
        <v>2.66</v>
      </c>
      <c r="AC213" s="481"/>
      <c r="AD213" s="481"/>
      <c r="AE213" s="481"/>
      <c r="AF213" s="481"/>
      <c r="AG213" s="481">
        <f t="shared" si="118"/>
        <v>2.66</v>
      </c>
      <c r="AH213" s="548"/>
      <c r="AI213" s="548"/>
      <c r="AJ213" s="548">
        <v>2.66</v>
      </c>
      <c r="AK213" s="548"/>
      <c r="AL213" s="548"/>
      <c r="AM213" s="548"/>
      <c r="AN213" s="548">
        <f t="shared" si="119"/>
        <v>2.66</v>
      </c>
      <c r="AO213" s="481"/>
      <c r="AP213" s="481"/>
      <c r="AQ213" s="481">
        <v>2.66</v>
      </c>
      <c r="AR213" s="481"/>
      <c r="AS213" s="481"/>
      <c r="AT213" s="481"/>
      <c r="AU213" s="481"/>
      <c r="AV213" s="481">
        <f t="shared" si="120"/>
        <v>2.66</v>
      </c>
      <c r="AW213" s="548"/>
      <c r="AX213" s="548"/>
      <c r="AY213" s="548">
        <v>2.66</v>
      </c>
      <c r="AZ213" s="548"/>
      <c r="BA213" s="548"/>
      <c r="BB213" s="548"/>
      <c r="BC213" s="548"/>
      <c r="BD213" s="548">
        <f t="shared" si="122"/>
        <v>2.66</v>
      </c>
      <c r="BE213" s="42">
        <f t="shared" si="130"/>
        <v>0</v>
      </c>
      <c r="BF213" s="42">
        <f t="shared" si="130"/>
        <v>0</v>
      </c>
      <c r="BG213" s="42">
        <f t="shared" si="130"/>
        <v>10.64</v>
      </c>
      <c r="BH213" s="42">
        <f t="shared" si="130"/>
        <v>0</v>
      </c>
      <c r="BI213" s="42">
        <f t="shared" si="130"/>
        <v>0</v>
      </c>
      <c r="BJ213" s="42">
        <f t="shared" si="133"/>
        <v>0</v>
      </c>
      <c r="BK213" s="42">
        <f t="shared" si="131"/>
        <v>0</v>
      </c>
      <c r="BL213" s="42">
        <f t="shared" si="131"/>
        <v>10.64</v>
      </c>
      <c r="BM213" s="3"/>
    </row>
    <row r="214" spans="1:65" ht="62.25" hidden="1" customHeight="1" x14ac:dyDescent="0.2">
      <c r="A214" s="298" t="s">
        <v>491</v>
      </c>
      <c r="B214" s="299" t="s">
        <v>489</v>
      </c>
      <c r="C214" s="1547"/>
      <c r="D214" s="1549"/>
      <c r="E214" s="1549"/>
      <c r="F214" s="1549"/>
      <c r="G214" s="1549"/>
      <c r="H214" s="1549"/>
      <c r="I214" s="1425"/>
      <c r="J214" s="1425"/>
      <c r="K214" s="1428" t="s">
        <v>669</v>
      </c>
      <c r="L214" s="301" t="s">
        <v>496</v>
      </c>
      <c r="M214" s="1425" t="s">
        <v>497</v>
      </c>
      <c r="N214" s="476"/>
      <c r="O214" s="1425" t="s">
        <v>47</v>
      </c>
      <c r="P214" s="1425"/>
      <c r="Q214" s="16" t="s">
        <v>670</v>
      </c>
      <c r="R214" s="302" t="s">
        <v>337</v>
      </c>
      <c r="S214" s="303">
        <v>2015</v>
      </c>
      <c r="T214" s="303">
        <v>0</v>
      </c>
      <c r="U214" s="303">
        <v>1</v>
      </c>
      <c r="V214" s="303">
        <v>0</v>
      </c>
      <c r="W214" s="303">
        <v>1</v>
      </c>
      <c r="X214" s="303">
        <v>0</v>
      </c>
      <c r="Y214" s="303">
        <v>2</v>
      </c>
      <c r="Z214" s="491">
        <v>2</v>
      </c>
      <c r="AA214" s="481"/>
      <c r="AB214" s="481"/>
      <c r="AC214" s="481"/>
      <c r="AD214" s="481"/>
      <c r="AE214" s="481"/>
      <c r="AF214" s="481"/>
      <c r="AG214" s="481">
        <f t="shared" si="118"/>
        <v>2</v>
      </c>
      <c r="AH214" s="548"/>
      <c r="AI214" s="548"/>
      <c r="AJ214" s="548"/>
      <c r="AK214" s="548"/>
      <c r="AL214" s="548"/>
      <c r="AM214" s="548"/>
      <c r="AN214" s="548">
        <f t="shared" si="119"/>
        <v>0</v>
      </c>
      <c r="AO214" s="491">
        <v>0.5</v>
      </c>
      <c r="AP214" s="481"/>
      <c r="AQ214" s="481"/>
      <c r="AR214" s="481"/>
      <c r="AS214" s="481"/>
      <c r="AT214" s="481"/>
      <c r="AU214" s="481"/>
      <c r="AV214" s="481">
        <f t="shared" si="120"/>
        <v>0.5</v>
      </c>
      <c r="AW214" s="548"/>
      <c r="AX214" s="548"/>
      <c r="AY214" s="548"/>
      <c r="AZ214" s="548"/>
      <c r="BA214" s="548"/>
      <c r="BB214" s="548"/>
      <c r="BC214" s="548"/>
      <c r="BD214" s="548">
        <f t="shared" si="122"/>
        <v>0</v>
      </c>
      <c r="BE214" s="42">
        <f t="shared" si="130"/>
        <v>2.5</v>
      </c>
      <c r="BF214" s="42">
        <f t="shared" si="130"/>
        <v>0</v>
      </c>
      <c r="BG214" s="42">
        <f t="shared" si="130"/>
        <v>0</v>
      </c>
      <c r="BH214" s="42">
        <f t="shared" si="130"/>
        <v>0</v>
      </c>
      <c r="BI214" s="42">
        <f t="shared" si="130"/>
        <v>0</v>
      </c>
      <c r="BJ214" s="42">
        <f t="shared" si="133"/>
        <v>0</v>
      </c>
      <c r="BK214" s="42">
        <f t="shared" si="131"/>
        <v>0</v>
      </c>
      <c r="BL214" s="42">
        <f t="shared" si="131"/>
        <v>2.5</v>
      </c>
      <c r="BM214" s="3"/>
    </row>
    <row r="215" spans="1:65" ht="65.25" hidden="1" customHeight="1" x14ac:dyDescent="0.2">
      <c r="A215" s="298" t="s">
        <v>491</v>
      </c>
      <c r="B215" s="299" t="s">
        <v>489</v>
      </c>
      <c r="C215" s="1547"/>
      <c r="D215" s="1549"/>
      <c r="E215" s="1549"/>
      <c r="F215" s="1549"/>
      <c r="G215" s="1549"/>
      <c r="H215" s="1549"/>
      <c r="I215" s="1425"/>
      <c r="J215" s="1425"/>
      <c r="K215" s="1428" t="s">
        <v>671</v>
      </c>
      <c r="L215" s="301" t="s">
        <v>496</v>
      </c>
      <c r="M215" s="1425" t="s">
        <v>497</v>
      </c>
      <c r="N215" s="476"/>
      <c r="O215" s="1425" t="s">
        <v>47</v>
      </c>
      <c r="P215" s="1425"/>
      <c r="Q215" s="16" t="s">
        <v>672</v>
      </c>
      <c r="R215" s="302" t="s">
        <v>673</v>
      </c>
      <c r="S215" s="303">
        <v>2015</v>
      </c>
      <c r="T215" s="303">
        <v>0</v>
      </c>
      <c r="U215" s="303">
        <v>0</v>
      </c>
      <c r="V215" s="303">
        <v>1</v>
      </c>
      <c r="W215" s="303">
        <v>1</v>
      </c>
      <c r="X215" s="303">
        <v>0</v>
      </c>
      <c r="Y215" s="303">
        <v>2</v>
      </c>
      <c r="Z215" s="481"/>
      <c r="AA215" s="481"/>
      <c r="AB215" s="481"/>
      <c r="AC215" s="481"/>
      <c r="AD215" s="481"/>
      <c r="AE215" s="481"/>
      <c r="AF215" s="481"/>
      <c r="AG215" s="481">
        <f t="shared" si="118"/>
        <v>0</v>
      </c>
      <c r="AH215" s="491">
        <v>1</v>
      </c>
      <c r="AI215" s="548"/>
      <c r="AJ215" s="548"/>
      <c r="AK215" s="548"/>
      <c r="AL215" s="548"/>
      <c r="AM215" s="548"/>
      <c r="AN215" s="548">
        <f t="shared" si="119"/>
        <v>1</v>
      </c>
      <c r="AO215" s="491">
        <v>0.5</v>
      </c>
      <c r="AP215" s="481"/>
      <c r="AQ215" s="481"/>
      <c r="AR215" s="481"/>
      <c r="AS215" s="481"/>
      <c r="AT215" s="481"/>
      <c r="AU215" s="481"/>
      <c r="AV215" s="481">
        <f t="shared" si="120"/>
        <v>0.5</v>
      </c>
      <c r="AW215" s="548"/>
      <c r="AX215" s="548"/>
      <c r="AY215" s="548"/>
      <c r="AZ215" s="548"/>
      <c r="BA215" s="548"/>
      <c r="BB215" s="548"/>
      <c r="BC215" s="548"/>
      <c r="BD215" s="548">
        <f t="shared" si="122"/>
        <v>0</v>
      </c>
      <c r="BE215" s="42">
        <f t="shared" si="130"/>
        <v>1.5</v>
      </c>
      <c r="BF215" s="42">
        <f t="shared" si="130"/>
        <v>0</v>
      </c>
      <c r="BG215" s="42">
        <f t="shared" si="130"/>
        <v>0</v>
      </c>
      <c r="BH215" s="42">
        <f t="shared" si="130"/>
        <v>0</v>
      </c>
      <c r="BI215" s="42">
        <f t="shared" si="130"/>
        <v>0</v>
      </c>
      <c r="BJ215" s="42">
        <f t="shared" si="133"/>
        <v>0</v>
      </c>
      <c r="BK215" s="42">
        <f t="shared" si="131"/>
        <v>0</v>
      </c>
      <c r="BL215" s="42">
        <f t="shared" si="131"/>
        <v>1.5</v>
      </c>
      <c r="BM215" s="3"/>
    </row>
    <row r="216" spans="1:65" ht="60" hidden="1" customHeight="1" x14ac:dyDescent="0.2">
      <c r="A216" s="298" t="s">
        <v>491</v>
      </c>
      <c r="B216" s="299" t="s">
        <v>489</v>
      </c>
      <c r="C216" s="1547"/>
      <c r="D216" s="1549"/>
      <c r="E216" s="1549"/>
      <c r="F216" s="1549"/>
      <c r="G216" s="1549"/>
      <c r="H216" s="1549"/>
      <c r="I216" s="1425"/>
      <c r="J216" s="1425"/>
      <c r="K216" s="1428" t="s">
        <v>674</v>
      </c>
      <c r="L216" s="301" t="s">
        <v>496</v>
      </c>
      <c r="M216" s="1425" t="s">
        <v>497</v>
      </c>
      <c r="N216" s="476"/>
      <c r="O216" s="1425" t="s">
        <v>47</v>
      </c>
      <c r="P216" s="1425"/>
      <c r="Q216" s="16" t="s">
        <v>675</v>
      </c>
      <c r="R216" s="302" t="s">
        <v>676</v>
      </c>
      <c r="S216" s="303">
        <v>2015</v>
      </c>
      <c r="T216" s="303">
        <v>0</v>
      </c>
      <c r="U216" s="303">
        <v>1</v>
      </c>
      <c r="V216" s="303">
        <v>0</v>
      </c>
      <c r="W216" s="303">
        <v>1</v>
      </c>
      <c r="X216" s="303">
        <v>0</v>
      </c>
      <c r="Y216" s="303">
        <v>2</v>
      </c>
      <c r="Z216" s="491">
        <v>5</v>
      </c>
      <c r="AA216" s="481"/>
      <c r="AB216" s="481"/>
      <c r="AC216" s="481"/>
      <c r="AD216" s="481"/>
      <c r="AE216" s="481"/>
      <c r="AF216" s="481"/>
      <c r="AG216" s="481">
        <f t="shared" si="118"/>
        <v>5</v>
      </c>
      <c r="AH216" s="548"/>
      <c r="AI216" s="548"/>
      <c r="AJ216" s="548"/>
      <c r="AK216" s="548"/>
      <c r="AL216" s="548"/>
      <c r="AM216" s="548"/>
      <c r="AN216" s="548">
        <f t="shared" si="119"/>
        <v>0</v>
      </c>
      <c r="AO216" s="491">
        <v>0.5</v>
      </c>
      <c r="AP216" s="481"/>
      <c r="AQ216" s="481"/>
      <c r="AR216" s="481"/>
      <c r="AS216" s="481"/>
      <c r="AT216" s="481"/>
      <c r="AU216" s="481"/>
      <c r="AV216" s="481">
        <f t="shared" si="120"/>
        <v>0.5</v>
      </c>
      <c r="AW216" s="548"/>
      <c r="AX216" s="548"/>
      <c r="AY216" s="548"/>
      <c r="AZ216" s="548"/>
      <c r="BA216" s="548"/>
      <c r="BB216" s="548"/>
      <c r="BC216" s="548"/>
      <c r="BD216" s="548">
        <f t="shared" si="122"/>
        <v>0</v>
      </c>
      <c r="BE216" s="42">
        <f t="shared" si="130"/>
        <v>5.5</v>
      </c>
      <c r="BF216" s="42">
        <f t="shared" si="130"/>
        <v>0</v>
      </c>
      <c r="BG216" s="42">
        <f t="shared" si="130"/>
        <v>0</v>
      </c>
      <c r="BH216" s="42">
        <f t="shared" si="130"/>
        <v>0</v>
      </c>
      <c r="BI216" s="42">
        <f t="shared" si="130"/>
        <v>0</v>
      </c>
      <c r="BJ216" s="42">
        <f t="shared" si="133"/>
        <v>0</v>
      </c>
      <c r="BK216" s="42">
        <f t="shared" si="131"/>
        <v>0</v>
      </c>
      <c r="BL216" s="42">
        <f t="shared" si="131"/>
        <v>5.5</v>
      </c>
      <c r="BM216" s="3"/>
    </row>
    <row r="217" spans="1:65" ht="54" hidden="1" customHeight="1" x14ac:dyDescent="0.2">
      <c r="A217" s="298" t="s">
        <v>491</v>
      </c>
      <c r="B217" s="299" t="s">
        <v>489</v>
      </c>
      <c r="C217" s="1547"/>
      <c r="D217" s="1549"/>
      <c r="E217" s="1549"/>
      <c r="F217" s="1549"/>
      <c r="G217" s="1549"/>
      <c r="H217" s="1549"/>
      <c r="I217" s="1425"/>
      <c r="J217" s="1425"/>
      <c r="K217" s="1428" t="s">
        <v>677</v>
      </c>
      <c r="L217" s="301" t="s">
        <v>496</v>
      </c>
      <c r="M217" s="1425" t="s">
        <v>497</v>
      </c>
      <c r="N217" s="476"/>
      <c r="O217" s="1425" t="s">
        <v>47</v>
      </c>
      <c r="P217" s="1425"/>
      <c r="Q217" s="16" t="s">
        <v>678</v>
      </c>
      <c r="R217" s="302" t="s">
        <v>679</v>
      </c>
      <c r="S217" s="303">
        <v>2015</v>
      </c>
      <c r="T217" s="303">
        <v>0</v>
      </c>
      <c r="U217" s="303">
        <v>0</v>
      </c>
      <c r="V217" s="303">
        <v>1</v>
      </c>
      <c r="W217" s="303">
        <v>0</v>
      </c>
      <c r="X217" s="303">
        <v>1</v>
      </c>
      <c r="Y217" s="303">
        <v>2</v>
      </c>
      <c r="Z217" s="481"/>
      <c r="AA217" s="481"/>
      <c r="AB217" s="481"/>
      <c r="AC217" s="481"/>
      <c r="AD217" s="481"/>
      <c r="AE217" s="481"/>
      <c r="AF217" s="481"/>
      <c r="AG217" s="481">
        <f t="shared" si="118"/>
        <v>0</v>
      </c>
      <c r="AH217" s="491">
        <v>1</v>
      </c>
      <c r="AI217" s="548"/>
      <c r="AJ217" s="548"/>
      <c r="AK217" s="548"/>
      <c r="AL217" s="548"/>
      <c r="AM217" s="548"/>
      <c r="AN217" s="548">
        <f t="shared" si="119"/>
        <v>1</v>
      </c>
      <c r="AO217" s="481"/>
      <c r="AP217" s="481"/>
      <c r="AQ217" s="481"/>
      <c r="AR217" s="481"/>
      <c r="AS217" s="481"/>
      <c r="AT217" s="481"/>
      <c r="AU217" s="481"/>
      <c r="AV217" s="481">
        <f t="shared" si="120"/>
        <v>0</v>
      </c>
      <c r="AW217" s="491">
        <v>8</v>
      </c>
      <c r="AX217" s="548"/>
      <c r="AY217" s="548"/>
      <c r="AZ217" s="548"/>
      <c r="BA217" s="548"/>
      <c r="BB217" s="548"/>
      <c r="BC217" s="548"/>
      <c r="BD217" s="548">
        <f t="shared" si="122"/>
        <v>8</v>
      </c>
      <c r="BE217" s="42">
        <f t="shared" si="130"/>
        <v>9</v>
      </c>
      <c r="BF217" s="42">
        <f t="shared" si="130"/>
        <v>0</v>
      </c>
      <c r="BG217" s="42">
        <f t="shared" si="130"/>
        <v>0</v>
      </c>
      <c r="BH217" s="42">
        <f t="shared" si="130"/>
        <v>0</v>
      </c>
      <c r="BI217" s="42">
        <f t="shared" si="130"/>
        <v>0</v>
      </c>
      <c r="BJ217" s="42">
        <f t="shared" si="133"/>
        <v>0</v>
      </c>
      <c r="BK217" s="42">
        <f t="shared" si="131"/>
        <v>0</v>
      </c>
      <c r="BL217" s="42">
        <f t="shared" si="131"/>
        <v>9</v>
      </c>
      <c r="BM217" s="3"/>
    </row>
    <row r="218" spans="1:65" ht="58.5" hidden="1" customHeight="1" x14ac:dyDescent="0.2">
      <c r="A218" s="298" t="s">
        <v>491</v>
      </c>
      <c r="B218" s="299" t="s">
        <v>489</v>
      </c>
      <c r="C218" s="1547"/>
      <c r="D218" s="1549"/>
      <c r="E218" s="1549"/>
      <c r="F218" s="1549"/>
      <c r="G218" s="1549"/>
      <c r="H218" s="1549"/>
      <c r="I218" s="1425"/>
      <c r="J218" s="1425"/>
      <c r="K218" s="1428" t="s">
        <v>680</v>
      </c>
      <c r="L218" s="301" t="s">
        <v>496</v>
      </c>
      <c r="M218" s="1425" t="s">
        <v>497</v>
      </c>
      <c r="N218" s="476"/>
      <c r="O218" s="1425" t="s">
        <v>73</v>
      </c>
      <c r="P218" s="1425"/>
      <c r="Q218" s="16" t="s">
        <v>681</v>
      </c>
      <c r="R218" s="302" t="s">
        <v>682</v>
      </c>
      <c r="S218" s="303">
        <v>2015</v>
      </c>
      <c r="T218" s="303">
        <v>0</v>
      </c>
      <c r="U218" s="303">
        <v>1</v>
      </c>
      <c r="V218" s="303">
        <v>1</v>
      </c>
      <c r="W218" s="303">
        <v>1</v>
      </c>
      <c r="X218" s="303">
        <v>1</v>
      </c>
      <c r="Y218" s="303">
        <v>1</v>
      </c>
      <c r="Z218" s="481">
        <v>3</v>
      </c>
      <c r="AA218" s="481"/>
      <c r="AB218" s="481"/>
      <c r="AC218" s="481"/>
      <c r="AD218" s="481"/>
      <c r="AE218" s="481"/>
      <c r="AF218" s="481"/>
      <c r="AG218" s="481">
        <f t="shared" si="118"/>
        <v>3</v>
      </c>
      <c r="AH218" s="548">
        <v>2</v>
      </c>
      <c r="AI218" s="548"/>
      <c r="AJ218" s="548"/>
      <c r="AK218" s="548"/>
      <c r="AL218" s="548"/>
      <c r="AM218" s="548"/>
      <c r="AN218" s="548">
        <f t="shared" si="119"/>
        <v>2</v>
      </c>
      <c r="AO218" s="481">
        <v>2</v>
      </c>
      <c r="AP218" s="481"/>
      <c r="AQ218" s="481"/>
      <c r="AR218" s="481"/>
      <c r="AS218" s="481"/>
      <c r="AT218" s="481"/>
      <c r="AU218" s="481"/>
      <c r="AV218" s="481">
        <f t="shared" si="120"/>
        <v>2</v>
      </c>
      <c r="AW218" s="548">
        <v>2</v>
      </c>
      <c r="AX218" s="548"/>
      <c r="AY218" s="548"/>
      <c r="AZ218" s="548"/>
      <c r="BA218" s="548"/>
      <c r="BB218" s="548"/>
      <c r="BC218" s="548"/>
      <c r="BD218" s="548">
        <f t="shared" si="122"/>
        <v>2</v>
      </c>
      <c r="BE218" s="42">
        <f t="shared" si="130"/>
        <v>9</v>
      </c>
      <c r="BF218" s="42">
        <f t="shared" si="130"/>
        <v>0</v>
      </c>
      <c r="BG218" s="42">
        <f t="shared" si="130"/>
        <v>0</v>
      </c>
      <c r="BH218" s="42">
        <f t="shared" si="130"/>
        <v>0</v>
      </c>
      <c r="BI218" s="42">
        <f t="shared" si="130"/>
        <v>0</v>
      </c>
      <c r="BJ218" s="42">
        <f t="shared" si="133"/>
        <v>0</v>
      </c>
      <c r="BK218" s="42">
        <f t="shared" si="131"/>
        <v>0</v>
      </c>
      <c r="BL218" s="42">
        <f t="shared" si="131"/>
        <v>9</v>
      </c>
      <c r="BM218" s="3"/>
    </row>
    <row r="219" spans="1:65" s="38" customFormat="1" ht="54.75" hidden="1" customHeight="1" x14ac:dyDescent="0.2">
      <c r="A219" s="298" t="s">
        <v>491</v>
      </c>
      <c r="B219" s="299" t="s">
        <v>489</v>
      </c>
      <c r="C219" s="1547"/>
      <c r="D219" s="1549"/>
      <c r="E219" s="1549"/>
      <c r="F219" s="1549"/>
      <c r="G219" s="1549"/>
      <c r="H219" s="1549"/>
      <c r="I219" s="1432"/>
      <c r="J219" s="1432"/>
      <c r="K219" s="1428" t="s">
        <v>683</v>
      </c>
      <c r="L219" s="301" t="s">
        <v>496</v>
      </c>
      <c r="M219" s="1425" t="s">
        <v>497</v>
      </c>
      <c r="N219" s="476"/>
      <c r="O219" s="1425" t="s">
        <v>47</v>
      </c>
      <c r="P219" s="1425"/>
      <c r="Q219" s="71" t="s">
        <v>684</v>
      </c>
      <c r="R219" s="345" t="s">
        <v>685</v>
      </c>
      <c r="S219" s="346">
        <v>2015</v>
      </c>
      <c r="T219" s="346">
        <v>0</v>
      </c>
      <c r="U219" s="346">
        <v>0</v>
      </c>
      <c r="V219" s="346">
        <v>1</v>
      </c>
      <c r="W219" s="346">
        <v>1</v>
      </c>
      <c r="X219" s="346">
        <v>0</v>
      </c>
      <c r="Y219" s="346">
        <v>2</v>
      </c>
      <c r="Z219" s="492"/>
      <c r="AA219" s="579"/>
      <c r="AB219" s="579"/>
      <c r="AC219" s="579"/>
      <c r="AD219" s="579"/>
      <c r="AE219" s="579"/>
      <c r="AF219" s="579"/>
      <c r="AG219" s="579">
        <f t="shared" si="118"/>
        <v>0</v>
      </c>
      <c r="AH219" s="492">
        <v>6</v>
      </c>
      <c r="AI219" s="589"/>
      <c r="AJ219" s="589"/>
      <c r="AK219" s="589"/>
      <c r="AL219" s="589"/>
      <c r="AM219" s="589"/>
      <c r="AN219" s="589">
        <f t="shared" si="119"/>
        <v>6</v>
      </c>
      <c r="AO219" s="492">
        <v>6</v>
      </c>
      <c r="AP219" s="579"/>
      <c r="AQ219" s="579"/>
      <c r="AR219" s="579"/>
      <c r="AS219" s="579"/>
      <c r="AT219" s="579"/>
      <c r="AU219" s="579"/>
      <c r="AV219" s="579">
        <f t="shared" si="120"/>
        <v>6</v>
      </c>
      <c r="AW219" s="492"/>
      <c r="AX219" s="589"/>
      <c r="AY219" s="589"/>
      <c r="AZ219" s="589"/>
      <c r="BA219" s="589"/>
      <c r="BB219" s="589"/>
      <c r="BC219" s="589"/>
      <c r="BD219" s="589">
        <f t="shared" si="122"/>
        <v>0</v>
      </c>
      <c r="BE219" s="61">
        <f t="shared" si="130"/>
        <v>12</v>
      </c>
      <c r="BF219" s="61">
        <f t="shared" si="130"/>
        <v>0</v>
      </c>
      <c r="BG219" s="61">
        <f t="shared" si="130"/>
        <v>0</v>
      </c>
      <c r="BH219" s="61">
        <f t="shared" si="130"/>
        <v>0</v>
      </c>
      <c r="BI219" s="61">
        <f t="shared" si="130"/>
        <v>0</v>
      </c>
      <c r="BJ219" s="61">
        <f t="shared" si="133"/>
        <v>0</v>
      </c>
      <c r="BK219" s="61">
        <f t="shared" si="131"/>
        <v>0</v>
      </c>
      <c r="BL219" s="61">
        <f t="shared" si="131"/>
        <v>12</v>
      </c>
    </row>
    <row r="220" spans="1:65" ht="51" hidden="1" customHeight="1" x14ac:dyDescent="0.2">
      <c r="A220" s="298" t="s">
        <v>491</v>
      </c>
      <c r="B220" s="299" t="s">
        <v>489</v>
      </c>
      <c r="C220" s="1547"/>
      <c r="D220" s="1549"/>
      <c r="E220" s="1549"/>
      <c r="F220" s="1549"/>
      <c r="G220" s="1549"/>
      <c r="H220" s="1549"/>
      <c r="I220" s="1425"/>
      <c r="J220" s="1425"/>
      <c r="K220" s="1428" t="s">
        <v>686</v>
      </c>
      <c r="L220" s="301" t="s">
        <v>496</v>
      </c>
      <c r="M220" s="1425" t="s">
        <v>497</v>
      </c>
      <c r="N220" s="476"/>
      <c r="O220" s="1425" t="s">
        <v>47</v>
      </c>
      <c r="P220" s="1425"/>
      <c r="Q220" s="16" t="s">
        <v>687</v>
      </c>
      <c r="R220" s="302" t="s">
        <v>688</v>
      </c>
      <c r="S220" s="303">
        <v>2015</v>
      </c>
      <c r="T220" s="303">
        <v>0</v>
      </c>
      <c r="U220" s="303">
        <v>0</v>
      </c>
      <c r="V220" s="303">
        <v>0</v>
      </c>
      <c r="W220" s="303">
        <v>1</v>
      </c>
      <c r="X220" s="303">
        <v>0</v>
      </c>
      <c r="Y220" s="303">
        <v>1</v>
      </c>
      <c r="Z220" s="481">
        <v>0</v>
      </c>
      <c r="AA220" s="481"/>
      <c r="AB220" s="481"/>
      <c r="AC220" s="481"/>
      <c r="AD220" s="481"/>
      <c r="AE220" s="481"/>
      <c r="AF220" s="481"/>
      <c r="AG220" s="481">
        <f t="shared" si="118"/>
        <v>0</v>
      </c>
      <c r="AH220" s="548">
        <v>0</v>
      </c>
      <c r="AI220" s="548"/>
      <c r="AJ220" s="548"/>
      <c r="AK220" s="548"/>
      <c r="AL220" s="548"/>
      <c r="AM220" s="548"/>
      <c r="AN220" s="548">
        <f t="shared" si="119"/>
        <v>0</v>
      </c>
      <c r="AO220" s="491">
        <v>0.5</v>
      </c>
      <c r="AP220" s="481"/>
      <c r="AQ220" s="481"/>
      <c r="AR220" s="481"/>
      <c r="AS220" s="481"/>
      <c r="AT220" s="481"/>
      <c r="AU220" s="481"/>
      <c r="AV220" s="481">
        <f t="shared" si="120"/>
        <v>0.5</v>
      </c>
      <c r="AW220" s="548">
        <v>0</v>
      </c>
      <c r="AX220" s="548"/>
      <c r="AY220" s="548"/>
      <c r="AZ220" s="548"/>
      <c r="BA220" s="548"/>
      <c r="BB220" s="548"/>
      <c r="BC220" s="548"/>
      <c r="BD220" s="548">
        <f t="shared" si="122"/>
        <v>0</v>
      </c>
      <c r="BE220" s="42">
        <f t="shared" si="130"/>
        <v>0.5</v>
      </c>
      <c r="BF220" s="42">
        <f t="shared" si="130"/>
        <v>0</v>
      </c>
      <c r="BG220" s="42">
        <f t="shared" si="130"/>
        <v>0</v>
      </c>
      <c r="BH220" s="42">
        <f t="shared" si="130"/>
        <v>0</v>
      </c>
      <c r="BI220" s="42">
        <f t="shared" si="130"/>
        <v>0</v>
      </c>
      <c r="BJ220" s="42">
        <f t="shared" si="133"/>
        <v>0</v>
      </c>
      <c r="BK220" s="42">
        <f t="shared" si="131"/>
        <v>0</v>
      </c>
      <c r="BL220" s="42">
        <f t="shared" si="131"/>
        <v>0.5</v>
      </c>
      <c r="BM220" s="3"/>
    </row>
    <row r="221" spans="1:65" s="37" customFormat="1" ht="38.25" hidden="1" x14ac:dyDescent="0.2">
      <c r="A221" s="298" t="s">
        <v>491</v>
      </c>
      <c r="B221" s="299" t="s">
        <v>489</v>
      </c>
      <c r="C221" s="1547"/>
      <c r="D221" s="1549"/>
      <c r="E221" s="1549"/>
      <c r="F221" s="1549"/>
      <c r="G221" s="1549"/>
      <c r="H221" s="1549"/>
      <c r="I221" s="476"/>
      <c r="J221" s="476"/>
      <c r="K221" s="1428"/>
      <c r="L221" s="476"/>
      <c r="M221" s="476"/>
      <c r="N221" s="476"/>
      <c r="O221" s="476"/>
      <c r="P221" s="476"/>
      <c r="Q221" s="62" t="s">
        <v>689</v>
      </c>
      <c r="R221" s="22"/>
      <c r="S221" s="1"/>
      <c r="T221" s="1"/>
      <c r="U221" s="1"/>
      <c r="V221" s="1"/>
      <c r="W221" s="1"/>
      <c r="X221" s="1"/>
      <c r="Y221" s="1"/>
      <c r="Z221" s="34">
        <f>SUM(Z222:Z226)</f>
        <v>0</v>
      </c>
      <c r="AA221" s="34">
        <f t="shared" ref="AA221:BL221" si="135">SUM(AA222:AA226)</f>
        <v>0</v>
      </c>
      <c r="AB221" s="34">
        <f t="shared" si="135"/>
        <v>3</v>
      </c>
      <c r="AC221" s="34">
        <f t="shared" si="135"/>
        <v>0</v>
      </c>
      <c r="AD221" s="34">
        <f t="shared" si="135"/>
        <v>0</v>
      </c>
      <c r="AE221" s="34">
        <f t="shared" si="135"/>
        <v>0</v>
      </c>
      <c r="AF221" s="34">
        <f t="shared" si="135"/>
        <v>0</v>
      </c>
      <c r="AG221" s="34">
        <f t="shared" si="135"/>
        <v>3</v>
      </c>
      <c r="AH221" s="34">
        <f t="shared" si="135"/>
        <v>0</v>
      </c>
      <c r="AI221" s="34">
        <f t="shared" si="135"/>
        <v>0</v>
      </c>
      <c r="AJ221" s="34">
        <f t="shared" si="135"/>
        <v>3</v>
      </c>
      <c r="AK221" s="34">
        <f t="shared" si="135"/>
        <v>0</v>
      </c>
      <c r="AL221" s="34">
        <f t="shared" si="135"/>
        <v>0</v>
      </c>
      <c r="AM221" s="34">
        <f t="shared" si="135"/>
        <v>0</v>
      </c>
      <c r="AN221" s="34">
        <f t="shared" si="135"/>
        <v>3</v>
      </c>
      <c r="AO221" s="34">
        <f t="shared" si="135"/>
        <v>0</v>
      </c>
      <c r="AP221" s="34">
        <f t="shared" si="135"/>
        <v>0</v>
      </c>
      <c r="AQ221" s="34">
        <f t="shared" si="135"/>
        <v>3</v>
      </c>
      <c r="AR221" s="34">
        <f t="shared" si="135"/>
        <v>0</v>
      </c>
      <c r="AS221" s="34">
        <f t="shared" si="135"/>
        <v>0</v>
      </c>
      <c r="AT221" s="34">
        <f t="shared" si="135"/>
        <v>0</v>
      </c>
      <c r="AU221" s="34">
        <f t="shared" si="135"/>
        <v>0</v>
      </c>
      <c r="AV221" s="34">
        <f t="shared" si="135"/>
        <v>3</v>
      </c>
      <c r="AW221" s="34">
        <f t="shared" si="135"/>
        <v>0</v>
      </c>
      <c r="AX221" s="34">
        <f t="shared" si="135"/>
        <v>0</v>
      </c>
      <c r="AY221" s="34">
        <f t="shared" si="135"/>
        <v>3</v>
      </c>
      <c r="AZ221" s="34">
        <f t="shared" si="135"/>
        <v>0</v>
      </c>
      <c r="BA221" s="34">
        <f t="shared" si="135"/>
        <v>0</v>
      </c>
      <c r="BB221" s="34">
        <f t="shared" si="135"/>
        <v>0</v>
      </c>
      <c r="BC221" s="34">
        <f t="shared" si="135"/>
        <v>0</v>
      </c>
      <c r="BD221" s="34">
        <f t="shared" si="135"/>
        <v>3</v>
      </c>
      <c r="BE221" s="34">
        <f t="shared" si="135"/>
        <v>0</v>
      </c>
      <c r="BF221" s="34">
        <f t="shared" si="135"/>
        <v>0</v>
      </c>
      <c r="BG221" s="34">
        <f t="shared" si="135"/>
        <v>12</v>
      </c>
      <c r="BH221" s="34">
        <f t="shared" si="135"/>
        <v>0</v>
      </c>
      <c r="BI221" s="34">
        <f t="shared" si="135"/>
        <v>0</v>
      </c>
      <c r="BJ221" s="34">
        <f t="shared" si="133"/>
        <v>0</v>
      </c>
      <c r="BK221" s="34">
        <f t="shared" si="135"/>
        <v>0</v>
      </c>
      <c r="BL221" s="34">
        <f t="shared" si="135"/>
        <v>12</v>
      </c>
    </row>
    <row r="222" spans="1:65" ht="60" hidden="1" customHeight="1" x14ac:dyDescent="0.2">
      <c r="A222" s="298" t="s">
        <v>491</v>
      </c>
      <c r="B222" s="299" t="s">
        <v>489</v>
      </c>
      <c r="C222" s="1547"/>
      <c r="D222" s="1549"/>
      <c r="E222" s="1549"/>
      <c r="F222" s="1549"/>
      <c r="G222" s="1549"/>
      <c r="H222" s="1549"/>
      <c r="I222" s="1425"/>
      <c r="J222" s="1425"/>
      <c r="K222" s="1428" t="s">
        <v>690</v>
      </c>
      <c r="L222" s="301" t="s">
        <v>496</v>
      </c>
      <c r="M222" s="1425" t="s">
        <v>497</v>
      </c>
      <c r="N222" s="476"/>
      <c r="O222" s="1425" t="s">
        <v>47</v>
      </c>
      <c r="P222" s="1425"/>
      <c r="Q222" s="16" t="s">
        <v>691</v>
      </c>
      <c r="R222" s="302" t="s">
        <v>337</v>
      </c>
      <c r="S222" s="303">
        <v>2015</v>
      </c>
      <c r="T222" s="303">
        <v>0</v>
      </c>
      <c r="U222" s="303">
        <v>1</v>
      </c>
      <c r="V222" s="303">
        <v>1</v>
      </c>
      <c r="W222" s="303">
        <v>1</v>
      </c>
      <c r="X222" s="303">
        <v>1</v>
      </c>
      <c r="Y222" s="303">
        <v>4</v>
      </c>
      <c r="Z222" s="481"/>
      <c r="AA222" s="481"/>
      <c r="AB222" s="491">
        <v>1</v>
      </c>
      <c r="AC222" s="481"/>
      <c r="AD222" s="481"/>
      <c r="AE222" s="481"/>
      <c r="AF222" s="481"/>
      <c r="AG222" s="481">
        <f t="shared" si="118"/>
        <v>1</v>
      </c>
      <c r="AH222" s="548"/>
      <c r="AI222" s="548"/>
      <c r="AJ222" s="491">
        <v>0.6</v>
      </c>
      <c r="AK222" s="548"/>
      <c r="AL222" s="548"/>
      <c r="AM222" s="548"/>
      <c r="AN222" s="548">
        <f t="shared" si="119"/>
        <v>0.6</v>
      </c>
      <c r="AO222" s="481"/>
      <c r="AP222" s="481"/>
      <c r="AQ222" s="491">
        <v>1</v>
      </c>
      <c r="AR222" s="481"/>
      <c r="AS222" s="481"/>
      <c r="AT222" s="481"/>
      <c r="AU222" s="481"/>
      <c r="AV222" s="481">
        <f t="shared" si="120"/>
        <v>1</v>
      </c>
      <c r="AW222" s="548"/>
      <c r="AX222" s="548"/>
      <c r="AY222" s="491">
        <v>1</v>
      </c>
      <c r="AZ222" s="548"/>
      <c r="BA222" s="548"/>
      <c r="BB222" s="548"/>
      <c r="BC222" s="548"/>
      <c r="BD222" s="548">
        <f t="shared" si="122"/>
        <v>1</v>
      </c>
      <c r="BE222" s="42">
        <f t="shared" si="130"/>
        <v>0</v>
      </c>
      <c r="BF222" s="42">
        <f t="shared" si="130"/>
        <v>0</v>
      </c>
      <c r="BG222" s="42">
        <f t="shared" si="130"/>
        <v>3.6</v>
      </c>
      <c r="BH222" s="42">
        <f t="shared" si="130"/>
        <v>0</v>
      </c>
      <c r="BI222" s="42">
        <f t="shared" si="130"/>
        <v>0</v>
      </c>
      <c r="BJ222" s="42">
        <f t="shared" si="133"/>
        <v>0</v>
      </c>
      <c r="BK222" s="42">
        <f t="shared" si="131"/>
        <v>0</v>
      </c>
      <c r="BL222" s="42">
        <f t="shared" si="131"/>
        <v>3.6</v>
      </c>
      <c r="BM222" s="3"/>
    </row>
    <row r="223" spans="1:65" ht="65.25" hidden="1" customHeight="1" x14ac:dyDescent="0.2">
      <c r="A223" s="298" t="s">
        <v>491</v>
      </c>
      <c r="B223" s="299" t="s">
        <v>489</v>
      </c>
      <c r="C223" s="1547"/>
      <c r="D223" s="1549"/>
      <c r="E223" s="1549"/>
      <c r="F223" s="1549"/>
      <c r="G223" s="1549"/>
      <c r="H223" s="1549"/>
      <c r="I223" s="1425"/>
      <c r="J223" s="1425"/>
      <c r="K223" s="1428" t="s">
        <v>692</v>
      </c>
      <c r="L223" s="301" t="s">
        <v>496</v>
      </c>
      <c r="M223" s="1425" t="s">
        <v>497</v>
      </c>
      <c r="N223" s="476"/>
      <c r="O223" s="1425" t="s">
        <v>47</v>
      </c>
      <c r="P223" s="1425"/>
      <c r="Q223" s="16" t="s">
        <v>693</v>
      </c>
      <c r="R223" s="302" t="s">
        <v>337</v>
      </c>
      <c r="S223" s="303">
        <v>2015</v>
      </c>
      <c r="T223" s="303">
        <v>0</v>
      </c>
      <c r="U223" s="303">
        <v>1</v>
      </c>
      <c r="V223" s="303">
        <v>1</v>
      </c>
      <c r="W223" s="303">
        <v>1</v>
      </c>
      <c r="X223" s="303">
        <v>1</v>
      </c>
      <c r="Y223" s="303">
        <v>4</v>
      </c>
      <c r="Z223" s="481"/>
      <c r="AA223" s="481"/>
      <c r="AB223" s="491">
        <v>1</v>
      </c>
      <c r="AC223" s="481"/>
      <c r="AD223" s="481"/>
      <c r="AE223" s="481"/>
      <c r="AF223" s="481"/>
      <c r="AG223" s="481">
        <f t="shared" ref="AG223:AG260" si="136">SUM(Z223:AF223)</f>
        <v>1</v>
      </c>
      <c r="AH223" s="548"/>
      <c r="AI223" s="548"/>
      <c r="AJ223" s="491">
        <v>0.6</v>
      </c>
      <c r="AK223" s="548"/>
      <c r="AL223" s="548"/>
      <c r="AM223" s="548"/>
      <c r="AN223" s="548">
        <f t="shared" ref="AN223:AN260" si="137">SUM(AH223:AM223)</f>
        <v>0.6</v>
      </c>
      <c r="AO223" s="481"/>
      <c r="AP223" s="481"/>
      <c r="AQ223" s="491">
        <v>1</v>
      </c>
      <c r="AR223" s="481"/>
      <c r="AS223" s="481"/>
      <c r="AT223" s="481"/>
      <c r="AU223" s="481"/>
      <c r="AV223" s="481">
        <f t="shared" ref="AV223:AV260" si="138">SUM(AO223:AU223)</f>
        <v>1</v>
      </c>
      <c r="AW223" s="548"/>
      <c r="AX223" s="548"/>
      <c r="AY223" s="491">
        <v>1</v>
      </c>
      <c r="AZ223" s="548"/>
      <c r="BA223" s="548"/>
      <c r="BB223" s="548"/>
      <c r="BC223" s="548"/>
      <c r="BD223" s="548">
        <f t="shared" ref="BD223:BD260" si="139">SUM(AW223:BC223)</f>
        <v>1</v>
      </c>
      <c r="BE223" s="42">
        <f t="shared" si="130"/>
        <v>0</v>
      </c>
      <c r="BF223" s="42">
        <f t="shared" si="130"/>
        <v>0</v>
      </c>
      <c r="BG223" s="42">
        <f t="shared" si="130"/>
        <v>3.6</v>
      </c>
      <c r="BH223" s="42">
        <f t="shared" si="130"/>
        <v>0</v>
      </c>
      <c r="BI223" s="42">
        <f t="shared" si="130"/>
        <v>0</v>
      </c>
      <c r="BJ223" s="42">
        <f t="shared" si="133"/>
        <v>0</v>
      </c>
      <c r="BK223" s="42">
        <f t="shared" si="131"/>
        <v>0</v>
      </c>
      <c r="BL223" s="42">
        <f t="shared" si="131"/>
        <v>3.6</v>
      </c>
      <c r="BM223" s="3"/>
    </row>
    <row r="224" spans="1:65" ht="60" hidden="1" customHeight="1" x14ac:dyDescent="0.2">
      <c r="A224" s="298" t="s">
        <v>491</v>
      </c>
      <c r="B224" s="299" t="s">
        <v>489</v>
      </c>
      <c r="C224" s="1547"/>
      <c r="D224" s="1549"/>
      <c r="E224" s="1549"/>
      <c r="F224" s="1549"/>
      <c r="G224" s="1549"/>
      <c r="H224" s="1549"/>
      <c r="I224" s="1425"/>
      <c r="J224" s="1425"/>
      <c r="K224" s="1428" t="s">
        <v>694</v>
      </c>
      <c r="L224" s="301" t="s">
        <v>496</v>
      </c>
      <c r="M224" s="1425" t="s">
        <v>497</v>
      </c>
      <c r="N224" s="476"/>
      <c r="O224" s="1425" t="s">
        <v>47</v>
      </c>
      <c r="P224" s="1425"/>
      <c r="Q224" s="16" t="s">
        <v>695</v>
      </c>
      <c r="R224" s="302" t="s">
        <v>696</v>
      </c>
      <c r="S224" s="303">
        <v>2015</v>
      </c>
      <c r="T224" s="303">
        <v>0</v>
      </c>
      <c r="U224" s="303">
        <v>0</v>
      </c>
      <c r="V224" s="303">
        <v>1</v>
      </c>
      <c r="W224" s="303">
        <v>0</v>
      </c>
      <c r="X224" s="303">
        <v>0</v>
      </c>
      <c r="Y224" s="303">
        <v>1</v>
      </c>
      <c r="Z224" s="481"/>
      <c r="AA224" s="481"/>
      <c r="AB224" s="481"/>
      <c r="AC224" s="481"/>
      <c r="AD224" s="481"/>
      <c r="AE224" s="481"/>
      <c r="AF224" s="481"/>
      <c r="AG224" s="481">
        <f t="shared" si="136"/>
        <v>0</v>
      </c>
      <c r="AH224" s="548"/>
      <c r="AI224" s="548"/>
      <c r="AJ224" s="491">
        <v>0.6</v>
      </c>
      <c r="AK224" s="548"/>
      <c r="AL224" s="548"/>
      <c r="AM224" s="548"/>
      <c r="AN224" s="548">
        <f t="shared" si="137"/>
        <v>0.6</v>
      </c>
      <c r="AO224" s="481"/>
      <c r="AP224" s="481"/>
      <c r="AQ224" s="481"/>
      <c r="AR224" s="481"/>
      <c r="AS224" s="481"/>
      <c r="AT224" s="481"/>
      <c r="AU224" s="481"/>
      <c r="AV224" s="481">
        <f t="shared" si="138"/>
        <v>0</v>
      </c>
      <c r="AW224" s="548"/>
      <c r="AX224" s="548"/>
      <c r="AY224" s="548"/>
      <c r="AZ224" s="548"/>
      <c r="BA224" s="548"/>
      <c r="BB224" s="548"/>
      <c r="BC224" s="548"/>
      <c r="BD224" s="548">
        <f t="shared" si="139"/>
        <v>0</v>
      </c>
      <c r="BE224" s="42">
        <f t="shared" si="130"/>
        <v>0</v>
      </c>
      <c r="BF224" s="42">
        <f t="shared" si="130"/>
        <v>0</v>
      </c>
      <c r="BG224" s="42">
        <f t="shared" si="130"/>
        <v>0.6</v>
      </c>
      <c r="BH224" s="42">
        <f t="shared" si="130"/>
        <v>0</v>
      </c>
      <c r="BI224" s="42">
        <f t="shared" si="130"/>
        <v>0</v>
      </c>
      <c r="BJ224" s="42">
        <f t="shared" si="133"/>
        <v>0</v>
      </c>
      <c r="BK224" s="42">
        <f t="shared" si="131"/>
        <v>0</v>
      </c>
      <c r="BL224" s="42">
        <f t="shared" si="131"/>
        <v>0.6</v>
      </c>
      <c r="BM224" s="3"/>
    </row>
    <row r="225" spans="1:65" ht="84" hidden="1" customHeight="1" x14ac:dyDescent="0.2">
      <c r="A225" s="298" t="s">
        <v>491</v>
      </c>
      <c r="B225" s="299" t="s">
        <v>489</v>
      </c>
      <c r="C225" s="1547"/>
      <c r="D225" s="1549"/>
      <c r="E225" s="1549"/>
      <c r="F225" s="1549"/>
      <c r="G225" s="1549"/>
      <c r="H225" s="1549"/>
      <c r="I225" s="1425"/>
      <c r="J225" s="1425"/>
      <c r="K225" s="1428" t="s">
        <v>697</v>
      </c>
      <c r="L225" s="301" t="s">
        <v>496</v>
      </c>
      <c r="M225" s="1425" t="s">
        <v>497</v>
      </c>
      <c r="N225" s="476"/>
      <c r="O225" s="1425" t="s">
        <v>47</v>
      </c>
      <c r="P225" s="1425"/>
      <c r="Q225" s="16" t="s">
        <v>698</v>
      </c>
      <c r="R225" s="302" t="s">
        <v>699</v>
      </c>
      <c r="S225" s="303">
        <v>2015</v>
      </c>
      <c r="T225" s="303">
        <v>0</v>
      </c>
      <c r="U225" s="303">
        <v>0</v>
      </c>
      <c r="V225" s="303">
        <v>1</v>
      </c>
      <c r="W225" s="303">
        <v>0</v>
      </c>
      <c r="X225" s="303">
        <v>0</v>
      </c>
      <c r="Y225" s="303">
        <v>1</v>
      </c>
      <c r="Z225" s="481"/>
      <c r="AA225" s="481"/>
      <c r="AB225" s="491"/>
      <c r="AC225" s="481"/>
      <c r="AD225" s="481"/>
      <c r="AE225" s="481"/>
      <c r="AF225" s="481"/>
      <c r="AG225" s="481">
        <f t="shared" si="136"/>
        <v>0</v>
      </c>
      <c r="AH225" s="548"/>
      <c r="AI225" s="548"/>
      <c r="AJ225" s="491">
        <v>0.6</v>
      </c>
      <c r="AK225" s="548"/>
      <c r="AL225" s="548"/>
      <c r="AM225" s="548"/>
      <c r="AN225" s="548">
        <f t="shared" si="137"/>
        <v>0.6</v>
      </c>
      <c r="AO225" s="481"/>
      <c r="AP225" s="481"/>
      <c r="AQ225" s="491"/>
      <c r="AR225" s="481"/>
      <c r="AS225" s="481"/>
      <c r="AT225" s="481"/>
      <c r="AU225" s="481"/>
      <c r="AV225" s="481">
        <f t="shared" si="138"/>
        <v>0</v>
      </c>
      <c r="AW225" s="548"/>
      <c r="AX225" s="548"/>
      <c r="AY225" s="491"/>
      <c r="AZ225" s="548"/>
      <c r="BA225" s="548"/>
      <c r="BB225" s="548"/>
      <c r="BC225" s="548"/>
      <c r="BD225" s="548">
        <f t="shared" si="139"/>
        <v>0</v>
      </c>
      <c r="BE225" s="42">
        <f t="shared" si="130"/>
        <v>0</v>
      </c>
      <c r="BF225" s="42">
        <f t="shared" si="130"/>
        <v>0</v>
      </c>
      <c r="BG225" s="42">
        <f t="shared" si="130"/>
        <v>0.6</v>
      </c>
      <c r="BH225" s="42">
        <f t="shared" si="130"/>
        <v>0</v>
      </c>
      <c r="BI225" s="42">
        <f t="shared" si="130"/>
        <v>0</v>
      </c>
      <c r="BJ225" s="42">
        <f t="shared" si="133"/>
        <v>0</v>
      </c>
      <c r="BK225" s="42">
        <f t="shared" si="131"/>
        <v>0</v>
      </c>
      <c r="BL225" s="42">
        <f t="shared" si="131"/>
        <v>0.6</v>
      </c>
      <c r="BM225" s="3"/>
    </row>
    <row r="226" spans="1:65" ht="110.25" hidden="1" customHeight="1" x14ac:dyDescent="0.2">
      <c r="A226" s="298" t="s">
        <v>491</v>
      </c>
      <c r="B226" s="299" t="s">
        <v>489</v>
      </c>
      <c r="C226" s="1547"/>
      <c r="D226" s="1549"/>
      <c r="E226" s="1549"/>
      <c r="F226" s="1549"/>
      <c r="G226" s="1549"/>
      <c r="H226" s="1549"/>
      <c r="I226" s="1425"/>
      <c r="J226" s="1425"/>
      <c r="K226" s="1428" t="s">
        <v>700</v>
      </c>
      <c r="L226" s="301" t="s">
        <v>496</v>
      </c>
      <c r="M226" s="1425" t="s">
        <v>497</v>
      </c>
      <c r="N226" s="476"/>
      <c r="O226" s="1425" t="s">
        <v>47</v>
      </c>
      <c r="P226" s="1425"/>
      <c r="Q226" s="16" t="s">
        <v>701</v>
      </c>
      <c r="R226" s="302" t="s">
        <v>702</v>
      </c>
      <c r="S226" s="303">
        <v>2015</v>
      </c>
      <c r="T226" s="303">
        <v>0</v>
      </c>
      <c r="U226" s="303">
        <v>2</v>
      </c>
      <c r="V226" s="303">
        <v>2</v>
      </c>
      <c r="W226" s="303">
        <v>2</v>
      </c>
      <c r="X226" s="303">
        <v>2</v>
      </c>
      <c r="Y226" s="303">
        <v>8</v>
      </c>
      <c r="Z226" s="481"/>
      <c r="AA226" s="481"/>
      <c r="AB226" s="491">
        <v>1</v>
      </c>
      <c r="AC226" s="481"/>
      <c r="AD226" s="481"/>
      <c r="AE226" s="481"/>
      <c r="AF226" s="481"/>
      <c r="AG226" s="481">
        <f t="shared" si="136"/>
        <v>1</v>
      </c>
      <c r="AH226" s="548"/>
      <c r="AI226" s="548"/>
      <c r="AJ226" s="491">
        <v>0.6</v>
      </c>
      <c r="AK226" s="548"/>
      <c r="AL226" s="548"/>
      <c r="AM226" s="548"/>
      <c r="AN226" s="548">
        <f t="shared" si="137"/>
        <v>0.6</v>
      </c>
      <c r="AO226" s="481"/>
      <c r="AP226" s="481"/>
      <c r="AQ226" s="491">
        <v>1</v>
      </c>
      <c r="AR226" s="481"/>
      <c r="AS226" s="481"/>
      <c r="AT226" s="481"/>
      <c r="AU226" s="481"/>
      <c r="AV226" s="481">
        <f t="shared" si="138"/>
        <v>1</v>
      </c>
      <c r="AW226" s="548"/>
      <c r="AX226" s="548"/>
      <c r="AY226" s="491">
        <v>1</v>
      </c>
      <c r="AZ226" s="548"/>
      <c r="BA226" s="548"/>
      <c r="BB226" s="548"/>
      <c r="BC226" s="548"/>
      <c r="BD226" s="548">
        <f t="shared" si="139"/>
        <v>1</v>
      </c>
      <c r="BE226" s="42">
        <f t="shared" si="130"/>
        <v>0</v>
      </c>
      <c r="BF226" s="42">
        <f t="shared" si="130"/>
        <v>0</v>
      </c>
      <c r="BG226" s="42">
        <f t="shared" si="130"/>
        <v>3.6</v>
      </c>
      <c r="BH226" s="42">
        <f t="shared" si="130"/>
        <v>0</v>
      </c>
      <c r="BI226" s="42">
        <f t="shared" si="130"/>
        <v>0</v>
      </c>
      <c r="BJ226" s="42">
        <f t="shared" si="133"/>
        <v>0</v>
      </c>
      <c r="BK226" s="42">
        <f t="shared" si="131"/>
        <v>0</v>
      </c>
      <c r="BL226" s="42">
        <f t="shared" si="131"/>
        <v>3.6</v>
      </c>
      <c r="BM226" s="3"/>
    </row>
    <row r="227" spans="1:65" ht="38.25" hidden="1" x14ac:dyDescent="0.2">
      <c r="A227" s="298" t="s">
        <v>491</v>
      </c>
      <c r="B227" s="299" t="s">
        <v>489</v>
      </c>
      <c r="C227" s="1547"/>
      <c r="D227" s="1549"/>
      <c r="E227" s="1549"/>
      <c r="F227" s="1549"/>
      <c r="G227" s="1549"/>
      <c r="H227" s="1549"/>
      <c r="I227" s="1425"/>
      <c r="J227" s="1425"/>
      <c r="K227" s="1428"/>
      <c r="L227" s="1425"/>
      <c r="M227" s="1425"/>
      <c r="N227" s="476"/>
      <c r="O227" s="1425"/>
      <c r="P227" s="1425"/>
      <c r="Q227" s="22" t="s">
        <v>703</v>
      </c>
      <c r="R227" s="25"/>
      <c r="S227" s="17"/>
      <c r="T227" s="17"/>
      <c r="U227" s="17"/>
      <c r="V227" s="17"/>
      <c r="W227" s="17"/>
      <c r="X227" s="17"/>
      <c r="Y227" s="17"/>
      <c r="Z227" s="34">
        <f>SUM(Z228:Z234)</f>
        <v>20</v>
      </c>
      <c r="AA227" s="34">
        <f t="shared" ref="AA227:BL227" si="140">SUM(AA228:AA234)</f>
        <v>0</v>
      </c>
      <c r="AB227" s="34">
        <f t="shared" si="140"/>
        <v>20</v>
      </c>
      <c r="AC227" s="34">
        <f t="shared" si="140"/>
        <v>0</v>
      </c>
      <c r="AD227" s="34">
        <f t="shared" si="140"/>
        <v>0</v>
      </c>
      <c r="AE227" s="34">
        <f t="shared" si="140"/>
        <v>0</v>
      </c>
      <c r="AF227" s="34">
        <f t="shared" si="140"/>
        <v>0</v>
      </c>
      <c r="AG227" s="34">
        <f t="shared" si="140"/>
        <v>40</v>
      </c>
      <c r="AH227" s="34">
        <f t="shared" si="140"/>
        <v>20</v>
      </c>
      <c r="AI227" s="34">
        <f t="shared" si="140"/>
        <v>0</v>
      </c>
      <c r="AJ227" s="34">
        <f t="shared" si="140"/>
        <v>20</v>
      </c>
      <c r="AK227" s="34">
        <f t="shared" si="140"/>
        <v>0</v>
      </c>
      <c r="AL227" s="34">
        <f t="shared" si="140"/>
        <v>0</v>
      </c>
      <c r="AM227" s="34">
        <f t="shared" si="140"/>
        <v>0</v>
      </c>
      <c r="AN227" s="34">
        <f t="shared" si="140"/>
        <v>40</v>
      </c>
      <c r="AO227" s="34">
        <f t="shared" si="140"/>
        <v>20</v>
      </c>
      <c r="AP227" s="34">
        <f t="shared" si="140"/>
        <v>0</v>
      </c>
      <c r="AQ227" s="34">
        <f t="shared" si="140"/>
        <v>20</v>
      </c>
      <c r="AR227" s="34">
        <f t="shared" si="140"/>
        <v>0</v>
      </c>
      <c r="AS227" s="34">
        <f t="shared" si="140"/>
        <v>0</v>
      </c>
      <c r="AT227" s="34">
        <f t="shared" si="140"/>
        <v>0</v>
      </c>
      <c r="AU227" s="34">
        <f t="shared" si="140"/>
        <v>0</v>
      </c>
      <c r="AV227" s="34">
        <f t="shared" si="140"/>
        <v>40</v>
      </c>
      <c r="AW227" s="34">
        <f t="shared" si="140"/>
        <v>20</v>
      </c>
      <c r="AX227" s="34">
        <f t="shared" si="140"/>
        <v>0</v>
      </c>
      <c r="AY227" s="34">
        <f t="shared" si="140"/>
        <v>20</v>
      </c>
      <c r="AZ227" s="34">
        <f t="shared" si="140"/>
        <v>0</v>
      </c>
      <c r="BA227" s="34">
        <f t="shared" si="140"/>
        <v>0</v>
      </c>
      <c r="BB227" s="34">
        <f t="shared" si="140"/>
        <v>0</v>
      </c>
      <c r="BC227" s="34">
        <f t="shared" si="140"/>
        <v>0</v>
      </c>
      <c r="BD227" s="34">
        <f t="shared" si="140"/>
        <v>40</v>
      </c>
      <c r="BE227" s="34">
        <f t="shared" si="140"/>
        <v>80</v>
      </c>
      <c r="BF227" s="34">
        <f t="shared" si="140"/>
        <v>0</v>
      </c>
      <c r="BG227" s="34">
        <f t="shared" si="140"/>
        <v>80</v>
      </c>
      <c r="BH227" s="34">
        <f t="shared" si="140"/>
        <v>0</v>
      </c>
      <c r="BI227" s="34">
        <f t="shared" si="140"/>
        <v>0</v>
      </c>
      <c r="BJ227" s="34">
        <f t="shared" si="133"/>
        <v>0</v>
      </c>
      <c r="BK227" s="34">
        <f t="shared" si="140"/>
        <v>0</v>
      </c>
      <c r="BL227" s="34">
        <f t="shared" si="140"/>
        <v>160</v>
      </c>
      <c r="BM227" s="3"/>
    </row>
    <row r="228" spans="1:65" ht="60" hidden="1" customHeight="1" x14ac:dyDescent="0.2">
      <c r="A228" s="298" t="s">
        <v>491</v>
      </c>
      <c r="B228" s="299" t="s">
        <v>489</v>
      </c>
      <c r="C228" s="1547"/>
      <c r="D228" s="1549"/>
      <c r="E228" s="1549"/>
      <c r="F228" s="1549"/>
      <c r="G228" s="1549"/>
      <c r="H228" s="1549"/>
      <c r="I228" s="1425"/>
      <c r="J228" s="1425"/>
      <c r="K228" s="1428" t="s">
        <v>704</v>
      </c>
      <c r="L228" s="301" t="s">
        <v>496</v>
      </c>
      <c r="M228" s="1425" t="s">
        <v>497</v>
      </c>
      <c r="N228" s="476"/>
      <c r="O228" s="1425" t="s">
        <v>47</v>
      </c>
      <c r="P228" s="1425"/>
      <c r="Q228" s="16" t="s">
        <v>705</v>
      </c>
      <c r="R228" s="302" t="s">
        <v>706</v>
      </c>
      <c r="S228" s="303">
        <v>2015</v>
      </c>
      <c r="T228" s="303">
        <v>0</v>
      </c>
      <c r="U228" s="303">
        <v>1</v>
      </c>
      <c r="V228" s="303">
        <v>1</v>
      </c>
      <c r="W228" s="303">
        <v>1</v>
      </c>
      <c r="X228" s="303">
        <v>1</v>
      </c>
      <c r="Y228" s="303">
        <v>4</v>
      </c>
      <c r="Z228" s="491">
        <v>20</v>
      </c>
      <c r="AA228" s="481"/>
      <c r="AB228" s="481"/>
      <c r="AC228" s="481"/>
      <c r="AD228" s="481"/>
      <c r="AE228" s="481"/>
      <c r="AF228" s="481"/>
      <c r="AG228" s="481">
        <f t="shared" si="136"/>
        <v>20</v>
      </c>
      <c r="AH228" s="491">
        <v>20</v>
      </c>
      <c r="AI228" s="548"/>
      <c r="AJ228" s="548"/>
      <c r="AK228" s="548"/>
      <c r="AL228" s="548"/>
      <c r="AM228" s="548"/>
      <c r="AN228" s="548">
        <f t="shared" si="137"/>
        <v>20</v>
      </c>
      <c r="AO228" s="491">
        <v>20</v>
      </c>
      <c r="AP228" s="481">
        <v>0</v>
      </c>
      <c r="AQ228" s="481">
        <v>0</v>
      </c>
      <c r="AR228" s="481">
        <v>0</v>
      </c>
      <c r="AS228" s="481">
        <v>0</v>
      </c>
      <c r="AT228" s="481">
        <v>0</v>
      </c>
      <c r="AU228" s="481">
        <v>0</v>
      </c>
      <c r="AV228" s="481">
        <f t="shared" si="138"/>
        <v>20</v>
      </c>
      <c r="AW228" s="491">
        <v>20</v>
      </c>
      <c r="AX228" s="548"/>
      <c r="AY228" s="548"/>
      <c r="AZ228" s="548"/>
      <c r="BA228" s="548"/>
      <c r="BB228" s="548"/>
      <c r="BC228" s="548"/>
      <c r="BD228" s="548">
        <f t="shared" si="139"/>
        <v>20</v>
      </c>
      <c r="BE228" s="42">
        <f t="shared" si="130"/>
        <v>80</v>
      </c>
      <c r="BF228" s="42">
        <f t="shared" si="130"/>
        <v>0</v>
      </c>
      <c r="BG228" s="42">
        <f t="shared" si="130"/>
        <v>0</v>
      </c>
      <c r="BH228" s="42">
        <f t="shared" si="130"/>
        <v>0</v>
      </c>
      <c r="BI228" s="42">
        <f t="shared" si="130"/>
        <v>0</v>
      </c>
      <c r="BJ228" s="42">
        <f t="shared" si="133"/>
        <v>0</v>
      </c>
      <c r="BK228" s="42">
        <f t="shared" si="131"/>
        <v>0</v>
      </c>
      <c r="BL228" s="42">
        <f t="shared" si="131"/>
        <v>80</v>
      </c>
      <c r="BM228" s="3"/>
    </row>
    <row r="229" spans="1:65" ht="76.5" hidden="1" customHeight="1" x14ac:dyDescent="0.2">
      <c r="A229" s="298" t="s">
        <v>491</v>
      </c>
      <c r="B229" s="299" t="s">
        <v>489</v>
      </c>
      <c r="C229" s="1547"/>
      <c r="D229" s="1549"/>
      <c r="E229" s="1549"/>
      <c r="F229" s="1549"/>
      <c r="G229" s="1549"/>
      <c r="H229" s="1549"/>
      <c r="I229" s="1425"/>
      <c r="J229" s="1425"/>
      <c r="K229" s="1428" t="s">
        <v>707</v>
      </c>
      <c r="L229" s="301" t="s">
        <v>496</v>
      </c>
      <c r="M229" s="1425" t="s">
        <v>497</v>
      </c>
      <c r="N229" s="476"/>
      <c r="O229" s="1425" t="s">
        <v>47</v>
      </c>
      <c r="P229" s="1425"/>
      <c r="Q229" s="16" t="s">
        <v>708</v>
      </c>
      <c r="R229" s="302" t="s">
        <v>709</v>
      </c>
      <c r="S229" s="303">
        <v>2015</v>
      </c>
      <c r="T229" s="303">
        <v>0</v>
      </c>
      <c r="U229" s="303">
        <v>0</v>
      </c>
      <c r="V229" s="303">
        <v>0</v>
      </c>
      <c r="W229" s="303">
        <v>0</v>
      </c>
      <c r="X229" s="303">
        <v>1</v>
      </c>
      <c r="Y229" s="303">
        <v>2</v>
      </c>
      <c r="Z229" s="481"/>
      <c r="AA229" s="481"/>
      <c r="AB229" s="481"/>
      <c r="AC229" s="481"/>
      <c r="AD229" s="481"/>
      <c r="AE229" s="481"/>
      <c r="AF229" s="481"/>
      <c r="AG229" s="481">
        <f t="shared" si="136"/>
        <v>0</v>
      </c>
      <c r="AH229" s="548"/>
      <c r="AI229" s="548"/>
      <c r="AJ229" s="548"/>
      <c r="AK229" s="548"/>
      <c r="AL229" s="548"/>
      <c r="AM229" s="548"/>
      <c r="AN229" s="548">
        <f t="shared" si="137"/>
        <v>0</v>
      </c>
      <c r="AO229" s="481"/>
      <c r="AP229" s="481"/>
      <c r="AQ229" s="481"/>
      <c r="AR229" s="481"/>
      <c r="AS229" s="481"/>
      <c r="AT229" s="481"/>
      <c r="AU229" s="481"/>
      <c r="AV229" s="481">
        <f t="shared" si="138"/>
        <v>0</v>
      </c>
      <c r="AW229" s="481"/>
      <c r="AX229" s="548"/>
      <c r="AY229" s="491">
        <v>10</v>
      </c>
      <c r="AZ229" s="548"/>
      <c r="BA229" s="548"/>
      <c r="BB229" s="548"/>
      <c r="BC229" s="548"/>
      <c r="BD229" s="548">
        <f t="shared" si="139"/>
        <v>10</v>
      </c>
      <c r="BE229" s="42">
        <f t="shared" si="130"/>
        <v>0</v>
      </c>
      <c r="BF229" s="42">
        <f t="shared" si="130"/>
        <v>0</v>
      </c>
      <c r="BG229" s="42">
        <f t="shared" si="130"/>
        <v>10</v>
      </c>
      <c r="BH229" s="42">
        <f t="shared" si="130"/>
        <v>0</v>
      </c>
      <c r="BI229" s="42">
        <f t="shared" si="130"/>
        <v>0</v>
      </c>
      <c r="BJ229" s="42">
        <f t="shared" si="133"/>
        <v>0</v>
      </c>
      <c r="BK229" s="42">
        <f t="shared" si="131"/>
        <v>0</v>
      </c>
      <c r="BL229" s="42">
        <f t="shared" si="131"/>
        <v>10</v>
      </c>
      <c r="BM229" s="3"/>
    </row>
    <row r="230" spans="1:65" ht="57.75" hidden="1" customHeight="1" x14ac:dyDescent="0.2">
      <c r="A230" s="298" t="s">
        <v>491</v>
      </c>
      <c r="B230" s="299" t="s">
        <v>489</v>
      </c>
      <c r="C230" s="1547"/>
      <c r="D230" s="1549"/>
      <c r="E230" s="1549"/>
      <c r="F230" s="1549"/>
      <c r="G230" s="1549"/>
      <c r="H230" s="1549"/>
      <c r="I230" s="1425"/>
      <c r="J230" s="1425"/>
      <c r="K230" s="1428" t="s">
        <v>710</v>
      </c>
      <c r="L230" s="301" t="s">
        <v>496</v>
      </c>
      <c r="M230" s="1425" t="s">
        <v>497</v>
      </c>
      <c r="N230" s="476"/>
      <c r="O230" s="1425" t="s">
        <v>47</v>
      </c>
      <c r="P230" s="1425"/>
      <c r="Q230" s="71" t="s">
        <v>711</v>
      </c>
      <c r="R230" s="302" t="s">
        <v>712</v>
      </c>
      <c r="S230" s="303">
        <v>2015</v>
      </c>
      <c r="T230" s="303">
        <v>0</v>
      </c>
      <c r="U230" s="303">
        <v>0</v>
      </c>
      <c r="V230" s="303">
        <v>0</v>
      </c>
      <c r="W230" s="303">
        <v>1</v>
      </c>
      <c r="X230" s="303">
        <v>0</v>
      </c>
      <c r="Y230" s="303">
        <v>1</v>
      </c>
      <c r="Z230" s="491"/>
      <c r="AA230" s="481"/>
      <c r="AB230" s="481"/>
      <c r="AC230" s="481"/>
      <c r="AD230" s="481"/>
      <c r="AE230" s="481"/>
      <c r="AF230" s="481"/>
      <c r="AG230" s="481">
        <f t="shared" si="136"/>
        <v>0</v>
      </c>
      <c r="AH230" s="491"/>
      <c r="AI230" s="548"/>
      <c r="AJ230" s="491"/>
      <c r="AK230" s="548"/>
      <c r="AL230" s="548"/>
      <c r="AM230" s="548"/>
      <c r="AN230" s="548">
        <f t="shared" si="137"/>
        <v>0</v>
      </c>
      <c r="AO230" s="491"/>
      <c r="AP230" s="481"/>
      <c r="AQ230" s="481">
        <v>10</v>
      </c>
      <c r="AR230" s="481"/>
      <c r="AS230" s="481"/>
      <c r="AT230" s="481"/>
      <c r="AU230" s="481"/>
      <c r="AV230" s="481">
        <f t="shared" si="138"/>
        <v>10</v>
      </c>
      <c r="AW230" s="491"/>
      <c r="AX230" s="548"/>
      <c r="AY230" s="491"/>
      <c r="AZ230" s="548"/>
      <c r="BA230" s="548"/>
      <c r="BB230" s="548"/>
      <c r="BC230" s="548"/>
      <c r="BD230" s="548">
        <f t="shared" si="139"/>
        <v>0</v>
      </c>
      <c r="BE230" s="42">
        <f t="shared" si="130"/>
        <v>0</v>
      </c>
      <c r="BF230" s="42">
        <f t="shared" si="130"/>
        <v>0</v>
      </c>
      <c r="BG230" s="42">
        <f t="shared" si="130"/>
        <v>10</v>
      </c>
      <c r="BH230" s="42">
        <f t="shared" si="130"/>
        <v>0</v>
      </c>
      <c r="BI230" s="42">
        <f t="shared" si="130"/>
        <v>0</v>
      </c>
      <c r="BJ230" s="42">
        <f t="shared" si="133"/>
        <v>0</v>
      </c>
      <c r="BK230" s="42">
        <f t="shared" si="131"/>
        <v>0</v>
      </c>
      <c r="BL230" s="42">
        <f t="shared" si="131"/>
        <v>10</v>
      </c>
      <c r="BM230" s="3"/>
    </row>
    <row r="231" spans="1:65" ht="45" hidden="1" customHeight="1" x14ac:dyDescent="0.2">
      <c r="A231" s="298" t="s">
        <v>491</v>
      </c>
      <c r="B231" s="299" t="s">
        <v>489</v>
      </c>
      <c r="C231" s="1547"/>
      <c r="D231" s="1549"/>
      <c r="E231" s="1549"/>
      <c r="F231" s="1549"/>
      <c r="G231" s="1549"/>
      <c r="H231" s="1549"/>
      <c r="I231" s="1425"/>
      <c r="J231" s="1425"/>
      <c r="K231" s="1428" t="s">
        <v>713</v>
      </c>
      <c r="L231" s="301" t="s">
        <v>496</v>
      </c>
      <c r="M231" s="1425" t="s">
        <v>497</v>
      </c>
      <c r="N231" s="476"/>
      <c r="O231" s="1425" t="s">
        <v>47</v>
      </c>
      <c r="P231" s="1425"/>
      <c r="Q231" s="71" t="s">
        <v>714</v>
      </c>
      <c r="R231" s="302" t="s">
        <v>656</v>
      </c>
      <c r="S231" s="303">
        <v>2015</v>
      </c>
      <c r="T231" s="303">
        <v>0</v>
      </c>
      <c r="U231" s="303">
        <v>1</v>
      </c>
      <c r="V231" s="303">
        <v>1</v>
      </c>
      <c r="W231" s="303">
        <v>1</v>
      </c>
      <c r="X231" s="303">
        <v>1</v>
      </c>
      <c r="Y231" s="303">
        <v>4</v>
      </c>
      <c r="Z231" s="481"/>
      <c r="AA231" s="481"/>
      <c r="AB231" s="491">
        <v>20</v>
      </c>
      <c r="AC231" s="481"/>
      <c r="AD231" s="481"/>
      <c r="AE231" s="481"/>
      <c r="AF231" s="481"/>
      <c r="AG231" s="481">
        <f t="shared" si="136"/>
        <v>20</v>
      </c>
      <c r="AH231" s="548"/>
      <c r="AI231" s="548"/>
      <c r="AJ231" s="491">
        <v>18</v>
      </c>
      <c r="AK231" s="548"/>
      <c r="AL231" s="548"/>
      <c r="AM231" s="548"/>
      <c r="AN231" s="548">
        <f t="shared" si="137"/>
        <v>18</v>
      </c>
      <c r="AO231" s="481"/>
      <c r="AP231" s="481"/>
      <c r="AQ231" s="481">
        <v>9</v>
      </c>
      <c r="AR231" s="481"/>
      <c r="AS231" s="481"/>
      <c r="AT231" s="481"/>
      <c r="AU231" s="481"/>
      <c r="AV231" s="481">
        <f t="shared" si="138"/>
        <v>9</v>
      </c>
      <c r="AW231" s="548"/>
      <c r="AX231" s="548"/>
      <c r="AY231" s="548">
        <v>5</v>
      </c>
      <c r="AZ231" s="548"/>
      <c r="BA231" s="548"/>
      <c r="BB231" s="548"/>
      <c r="BC231" s="548"/>
      <c r="BD231" s="548">
        <f t="shared" si="139"/>
        <v>5</v>
      </c>
      <c r="BE231" s="42">
        <f t="shared" si="130"/>
        <v>0</v>
      </c>
      <c r="BF231" s="42">
        <f t="shared" si="130"/>
        <v>0</v>
      </c>
      <c r="BG231" s="42">
        <f t="shared" si="130"/>
        <v>52</v>
      </c>
      <c r="BH231" s="42">
        <f t="shared" si="130"/>
        <v>0</v>
      </c>
      <c r="BI231" s="42">
        <f t="shared" si="130"/>
        <v>0</v>
      </c>
      <c r="BJ231" s="42">
        <f t="shared" si="133"/>
        <v>0</v>
      </c>
      <c r="BK231" s="42">
        <f t="shared" si="131"/>
        <v>0</v>
      </c>
      <c r="BL231" s="42">
        <f t="shared" si="131"/>
        <v>52</v>
      </c>
      <c r="BM231" s="3"/>
    </row>
    <row r="232" spans="1:65" ht="47.25" hidden="1" customHeight="1" x14ac:dyDescent="0.2">
      <c r="A232" s="298" t="s">
        <v>491</v>
      </c>
      <c r="B232" s="299" t="s">
        <v>489</v>
      </c>
      <c r="C232" s="1547"/>
      <c r="D232" s="1549"/>
      <c r="E232" s="1549"/>
      <c r="F232" s="1549"/>
      <c r="G232" s="1549"/>
      <c r="H232" s="1549"/>
      <c r="I232" s="1425"/>
      <c r="J232" s="1425"/>
      <c r="K232" s="1428" t="s">
        <v>715</v>
      </c>
      <c r="L232" s="301" t="s">
        <v>496</v>
      </c>
      <c r="M232" s="1425" t="s">
        <v>497</v>
      </c>
      <c r="N232" s="476"/>
      <c r="O232" s="1425" t="s">
        <v>47</v>
      </c>
      <c r="P232" s="1425"/>
      <c r="Q232" s="71" t="s">
        <v>716</v>
      </c>
      <c r="R232" s="302" t="s">
        <v>717</v>
      </c>
      <c r="S232" s="303">
        <v>2015</v>
      </c>
      <c r="T232" s="303">
        <v>0</v>
      </c>
      <c r="U232" s="303">
        <v>0</v>
      </c>
      <c r="V232" s="303">
        <v>0</v>
      </c>
      <c r="W232" s="303">
        <v>0</v>
      </c>
      <c r="X232" s="303">
        <v>0</v>
      </c>
      <c r="Y232" s="303">
        <v>1</v>
      </c>
      <c r="Z232" s="481"/>
      <c r="AA232" s="481"/>
      <c r="AB232" s="491"/>
      <c r="AC232" s="481"/>
      <c r="AD232" s="481"/>
      <c r="AE232" s="481"/>
      <c r="AF232" s="481"/>
      <c r="AG232" s="481">
        <f t="shared" si="136"/>
        <v>0</v>
      </c>
      <c r="AH232" s="548"/>
      <c r="AI232" s="548"/>
      <c r="AJ232" s="491"/>
      <c r="AK232" s="548"/>
      <c r="AL232" s="548"/>
      <c r="AM232" s="548"/>
      <c r="AN232" s="548">
        <f t="shared" si="137"/>
        <v>0</v>
      </c>
      <c r="AO232" s="481"/>
      <c r="AP232" s="481"/>
      <c r="AQ232" s="491">
        <v>1</v>
      </c>
      <c r="AR232" s="481"/>
      <c r="AS232" s="481"/>
      <c r="AT232" s="481"/>
      <c r="AU232" s="481"/>
      <c r="AV232" s="481">
        <f t="shared" si="138"/>
        <v>1</v>
      </c>
      <c r="AW232" s="548"/>
      <c r="AX232" s="548"/>
      <c r="AY232" s="491"/>
      <c r="AZ232" s="548"/>
      <c r="BA232" s="548"/>
      <c r="BB232" s="548"/>
      <c r="BC232" s="548"/>
      <c r="BD232" s="548">
        <f t="shared" si="139"/>
        <v>0</v>
      </c>
      <c r="BE232" s="42">
        <f t="shared" si="130"/>
        <v>0</v>
      </c>
      <c r="BF232" s="42">
        <f t="shared" si="130"/>
        <v>0</v>
      </c>
      <c r="BG232" s="42">
        <f t="shared" si="130"/>
        <v>1</v>
      </c>
      <c r="BH232" s="42">
        <f t="shared" si="130"/>
        <v>0</v>
      </c>
      <c r="BI232" s="42">
        <f t="shared" si="130"/>
        <v>0</v>
      </c>
      <c r="BJ232" s="42">
        <f t="shared" si="133"/>
        <v>0</v>
      </c>
      <c r="BK232" s="42">
        <f t="shared" si="131"/>
        <v>0</v>
      </c>
      <c r="BL232" s="42">
        <f t="shared" si="131"/>
        <v>1</v>
      </c>
      <c r="BM232" s="3"/>
    </row>
    <row r="233" spans="1:65" ht="50.25" hidden="1" customHeight="1" x14ac:dyDescent="0.2">
      <c r="A233" s="298" t="s">
        <v>491</v>
      </c>
      <c r="B233" s="299" t="s">
        <v>489</v>
      </c>
      <c r="C233" s="1547"/>
      <c r="D233" s="1549"/>
      <c r="E233" s="1549"/>
      <c r="F233" s="1549"/>
      <c r="G233" s="1549"/>
      <c r="H233" s="1549"/>
      <c r="I233" s="1425"/>
      <c r="J233" s="1425"/>
      <c r="K233" s="1428" t="s">
        <v>718</v>
      </c>
      <c r="L233" s="301" t="s">
        <v>496</v>
      </c>
      <c r="M233" s="1425" t="s">
        <v>497</v>
      </c>
      <c r="N233" s="476"/>
      <c r="O233" s="1425" t="s">
        <v>47</v>
      </c>
      <c r="P233" s="1425"/>
      <c r="Q233" s="71" t="s">
        <v>719</v>
      </c>
      <c r="R233" s="302" t="s">
        <v>720</v>
      </c>
      <c r="S233" s="303">
        <v>2015</v>
      </c>
      <c r="T233" s="303">
        <v>0</v>
      </c>
      <c r="U233" s="303">
        <v>0</v>
      </c>
      <c r="V233" s="303">
        <v>0</v>
      </c>
      <c r="W233" s="303">
        <v>0</v>
      </c>
      <c r="X233" s="303">
        <v>0</v>
      </c>
      <c r="Y233" s="303">
        <v>1</v>
      </c>
      <c r="Z233" s="481"/>
      <c r="AA233" s="481"/>
      <c r="AB233" s="491"/>
      <c r="AC233" s="481"/>
      <c r="AD233" s="481"/>
      <c r="AE233" s="481"/>
      <c r="AF233" s="481"/>
      <c r="AG233" s="481">
        <f t="shared" si="136"/>
        <v>0</v>
      </c>
      <c r="AH233" s="548"/>
      <c r="AI233" s="548"/>
      <c r="AJ233" s="548">
        <v>1</v>
      </c>
      <c r="AK233" s="548"/>
      <c r="AL233" s="548"/>
      <c r="AM233" s="548"/>
      <c r="AN233" s="548">
        <f t="shared" si="137"/>
        <v>1</v>
      </c>
      <c r="AO233" s="481"/>
      <c r="AP233" s="481"/>
      <c r="AQ233" s="481"/>
      <c r="AR233" s="481"/>
      <c r="AS233" s="481"/>
      <c r="AT233" s="481"/>
      <c r="AU233" s="481"/>
      <c r="AV233" s="481">
        <f t="shared" si="138"/>
        <v>0</v>
      </c>
      <c r="AW233" s="548"/>
      <c r="AX233" s="548"/>
      <c r="AY233" s="548"/>
      <c r="AZ233" s="548"/>
      <c r="BA233" s="548"/>
      <c r="BB233" s="548"/>
      <c r="BC233" s="548"/>
      <c r="BD233" s="548">
        <f t="shared" si="139"/>
        <v>0</v>
      </c>
      <c r="BE233" s="42">
        <f t="shared" si="130"/>
        <v>0</v>
      </c>
      <c r="BF233" s="42">
        <f t="shared" si="130"/>
        <v>0</v>
      </c>
      <c r="BG233" s="42">
        <f t="shared" si="130"/>
        <v>1</v>
      </c>
      <c r="BH233" s="42">
        <f t="shared" si="130"/>
        <v>0</v>
      </c>
      <c r="BI233" s="42">
        <f t="shared" si="130"/>
        <v>0</v>
      </c>
      <c r="BJ233" s="42">
        <f t="shared" si="133"/>
        <v>0</v>
      </c>
      <c r="BK233" s="42">
        <f t="shared" si="131"/>
        <v>0</v>
      </c>
      <c r="BL233" s="42">
        <f t="shared" si="131"/>
        <v>1</v>
      </c>
      <c r="BM233" s="3"/>
    </row>
    <row r="234" spans="1:65" ht="71.25" hidden="1" customHeight="1" x14ac:dyDescent="0.2">
      <c r="A234" s="298" t="s">
        <v>491</v>
      </c>
      <c r="B234" s="299" t="s">
        <v>489</v>
      </c>
      <c r="C234" s="1547"/>
      <c r="D234" s="1549"/>
      <c r="E234" s="1549"/>
      <c r="F234" s="1549"/>
      <c r="G234" s="1549"/>
      <c r="H234" s="1549"/>
      <c r="I234" s="1425"/>
      <c r="J234" s="1425"/>
      <c r="K234" s="1428" t="s">
        <v>721</v>
      </c>
      <c r="L234" s="301" t="s">
        <v>496</v>
      </c>
      <c r="M234" s="1425" t="s">
        <v>497</v>
      </c>
      <c r="N234" s="476"/>
      <c r="O234" s="1425" t="s">
        <v>47</v>
      </c>
      <c r="P234" s="1425"/>
      <c r="Q234" s="16" t="s">
        <v>722</v>
      </c>
      <c r="R234" s="302" t="s">
        <v>699</v>
      </c>
      <c r="S234" s="303">
        <v>2015</v>
      </c>
      <c r="T234" s="303">
        <v>0</v>
      </c>
      <c r="U234" s="303">
        <v>0</v>
      </c>
      <c r="V234" s="303">
        <v>0</v>
      </c>
      <c r="W234" s="303">
        <v>0</v>
      </c>
      <c r="X234" s="303">
        <v>1</v>
      </c>
      <c r="Y234" s="303">
        <v>2</v>
      </c>
      <c r="Z234" s="481"/>
      <c r="AA234" s="481"/>
      <c r="AB234" s="481"/>
      <c r="AC234" s="481"/>
      <c r="AD234" s="481"/>
      <c r="AE234" s="481"/>
      <c r="AF234" s="481"/>
      <c r="AG234" s="481">
        <f t="shared" si="136"/>
        <v>0</v>
      </c>
      <c r="AH234" s="548"/>
      <c r="AI234" s="548"/>
      <c r="AJ234" s="548">
        <v>1</v>
      </c>
      <c r="AK234" s="548"/>
      <c r="AL234" s="548"/>
      <c r="AM234" s="548"/>
      <c r="AN234" s="548">
        <f t="shared" si="137"/>
        <v>1</v>
      </c>
      <c r="AO234" s="481"/>
      <c r="AP234" s="481"/>
      <c r="AQ234" s="481"/>
      <c r="AR234" s="481"/>
      <c r="AS234" s="481"/>
      <c r="AT234" s="481"/>
      <c r="AU234" s="481"/>
      <c r="AV234" s="481">
        <f t="shared" si="138"/>
        <v>0</v>
      </c>
      <c r="AW234" s="548"/>
      <c r="AX234" s="548"/>
      <c r="AY234" s="491">
        <v>5</v>
      </c>
      <c r="AZ234" s="548"/>
      <c r="BA234" s="548"/>
      <c r="BB234" s="548"/>
      <c r="BC234" s="548"/>
      <c r="BD234" s="548">
        <f t="shared" si="139"/>
        <v>5</v>
      </c>
      <c r="BE234" s="42">
        <f t="shared" ref="BE234:BI238" si="141">+AW234+AO234+AH234+Z234</f>
        <v>0</v>
      </c>
      <c r="BF234" s="42">
        <f t="shared" si="141"/>
        <v>0</v>
      </c>
      <c r="BG234" s="42">
        <f t="shared" si="141"/>
        <v>6</v>
      </c>
      <c r="BH234" s="42">
        <f t="shared" si="141"/>
        <v>0</v>
      </c>
      <c r="BI234" s="42">
        <f t="shared" si="141"/>
        <v>0</v>
      </c>
      <c r="BJ234" s="42">
        <f t="shared" si="133"/>
        <v>0</v>
      </c>
      <c r="BK234" s="42">
        <f t="shared" ref="BK234:BL238" si="142">+BC234+AU234+AM234+AF234</f>
        <v>0</v>
      </c>
      <c r="BL234" s="42">
        <f t="shared" si="142"/>
        <v>6</v>
      </c>
      <c r="BM234" s="3"/>
    </row>
    <row r="235" spans="1:65" ht="38.25" hidden="1" x14ac:dyDescent="0.2">
      <c r="A235" s="298" t="s">
        <v>491</v>
      </c>
      <c r="B235" s="299" t="s">
        <v>489</v>
      </c>
      <c r="C235" s="1547"/>
      <c r="D235" s="1549"/>
      <c r="E235" s="1549"/>
      <c r="F235" s="1549"/>
      <c r="G235" s="1549"/>
      <c r="H235" s="1549"/>
      <c r="I235" s="1425"/>
      <c r="J235" s="1425"/>
      <c r="K235" s="476"/>
      <c r="L235" s="1425"/>
      <c r="M235" s="1425"/>
      <c r="N235" s="476"/>
      <c r="O235" s="1425"/>
      <c r="P235" s="1425"/>
      <c r="Q235" s="62" t="s">
        <v>723</v>
      </c>
      <c r="R235" s="25"/>
      <c r="S235" s="17"/>
      <c r="T235" s="17"/>
      <c r="U235" s="17"/>
      <c r="V235" s="17"/>
      <c r="W235" s="17"/>
      <c r="X235" s="17"/>
      <c r="Y235" s="17"/>
      <c r="Z235" s="43">
        <f>SUM(Z236:Z241)</f>
        <v>34</v>
      </c>
      <c r="AA235" s="43">
        <f t="shared" ref="AA235:BL235" si="143">SUM(AA236:AA241)</f>
        <v>0</v>
      </c>
      <c r="AB235" s="43">
        <f t="shared" si="143"/>
        <v>18</v>
      </c>
      <c r="AC235" s="43">
        <f t="shared" si="143"/>
        <v>0</v>
      </c>
      <c r="AD235" s="43">
        <f t="shared" si="143"/>
        <v>0</v>
      </c>
      <c r="AE235" s="43">
        <f t="shared" si="143"/>
        <v>10</v>
      </c>
      <c r="AF235" s="43">
        <f t="shared" si="143"/>
        <v>0</v>
      </c>
      <c r="AG235" s="43">
        <f t="shared" si="143"/>
        <v>62</v>
      </c>
      <c r="AH235" s="43">
        <f t="shared" si="143"/>
        <v>34</v>
      </c>
      <c r="AI235" s="43">
        <f t="shared" si="143"/>
        <v>0</v>
      </c>
      <c r="AJ235" s="43">
        <f t="shared" si="143"/>
        <v>18</v>
      </c>
      <c r="AK235" s="43">
        <f t="shared" si="143"/>
        <v>0</v>
      </c>
      <c r="AL235" s="43">
        <f t="shared" si="143"/>
        <v>0</v>
      </c>
      <c r="AM235" s="43">
        <f t="shared" si="143"/>
        <v>0</v>
      </c>
      <c r="AN235" s="43">
        <f t="shared" si="143"/>
        <v>52</v>
      </c>
      <c r="AO235" s="43">
        <f t="shared" si="143"/>
        <v>34</v>
      </c>
      <c r="AP235" s="43">
        <f t="shared" si="143"/>
        <v>0</v>
      </c>
      <c r="AQ235" s="43">
        <f t="shared" si="143"/>
        <v>18</v>
      </c>
      <c r="AR235" s="43">
        <f t="shared" si="143"/>
        <v>0</v>
      </c>
      <c r="AS235" s="43">
        <f t="shared" si="143"/>
        <v>0</v>
      </c>
      <c r="AT235" s="43">
        <f t="shared" si="143"/>
        <v>0</v>
      </c>
      <c r="AU235" s="43">
        <f t="shared" si="143"/>
        <v>0</v>
      </c>
      <c r="AV235" s="43">
        <f t="shared" si="143"/>
        <v>52</v>
      </c>
      <c r="AW235" s="43">
        <f t="shared" si="143"/>
        <v>34</v>
      </c>
      <c r="AX235" s="43">
        <f t="shared" si="143"/>
        <v>0</v>
      </c>
      <c r="AY235" s="43">
        <f t="shared" si="143"/>
        <v>18</v>
      </c>
      <c r="AZ235" s="43">
        <f t="shared" si="143"/>
        <v>0</v>
      </c>
      <c r="BA235" s="43">
        <f t="shared" si="143"/>
        <v>0</v>
      </c>
      <c r="BB235" s="43">
        <f t="shared" si="143"/>
        <v>0</v>
      </c>
      <c r="BC235" s="43">
        <f t="shared" si="143"/>
        <v>0</v>
      </c>
      <c r="BD235" s="43">
        <f t="shared" si="143"/>
        <v>52</v>
      </c>
      <c r="BE235" s="43">
        <f t="shared" si="143"/>
        <v>136</v>
      </c>
      <c r="BF235" s="43">
        <f t="shared" si="143"/>
        <v>0</v>
      </c>
      <c r="BG235" s="43">
        <f t="shared" si="143"/>
        <v>72</v>
      </c>
      <c r="BH235" s="43">
        <f t="shared" si="143"/>
        <v>0</v>
      </c>
      <c r="BI235" s="43">
        <f t="shared" si="143"/>
        <v>0</v>
      </c>
      <c r="BJ235" s="43">
        <f t="shared" si="133"/>
        <v>10</v>
      </c>
      <c r="BK235" s="43">
        <f t="shared" si="143"/>
        <v>0</v>
      </c>
      <c r="BL235" s="43">
        <f t="shared" si="143"/>
        <v>218</v>
      </c>
      <c r="BM235" s="3"/>
    </row>
    <row r="236" spans="1:65" ht="58.5" hidden="1" customHeight="1" x14ac:dyDescent="0.2">
      <c r="A236" s="298" t="s">
        <v>491</v>
      </c>
      <c r="B236" s="299" t="s">
        <v>489</v>
      </c>
      <c r="C236" s="1547"/>
      <c r="D236" s="1549"/>
      <c r="E236" s="1549"/>
      <c r="F236" s="1549"/>
      <c r="G236" s="1549"/>
      <c r="H236" s="1549"/>
      <c r="I236" s="1425"/>
      <c r="J236" s="1425"/>
      <c r="K236" s="1428" t="s">
        <v>724</v>
      </c>
      <c r="L236" s="301" t="s">
        <v>496</v>
      </c>
      <c r="M236" s="1425" t="s">
        <v>497</v>
      </c>
      <c r="N236" s="476"/>
      <c r="O236" s="1425" t="s">
        <v>47</v>
      </c>
      <c r="P236" s="1425"/>
      <c r="Q236" s="16" t="s">
        <v>725</v>
      </c>
      <c r="R236" s="302" t="s">
        <v>726</v>
      </c>
      <c r="S236" s="303">
        <v>2015</v>
      </c>
      <c r="T236" s="303">
        <v>0</v>
      </c>
      <c r="U236" s="303">
        <v>2</v>
      </c>
      <c r="V236" s="303">
        <v>2</v>
      </c>
      <c r="W236" s="303">
        <v>2</v>
      </c>
      <c r="X236" s="303">
        <v>2</v>
      </c>
      <c r="Y236" s="303">
        <v>8</v>
      </c>
      <c r="Z236" s="481"/>
      <c r="AA236" s="481"/>
      <c r="AB236" s="491">
        <v>5</v>
      </c>
      <c r="AC236" s="481"/>
      <c r="AD236" s="481"/>
      <c r="AE236" s="481"/>
      <c r="AF236" s="481"/>
      <c r="AG236" s="481">
        <f t="shared" si="136"/>
        <v>5</v>
      </c>
      <c r="AH236" s="548"/>
      <c r="AI236" s="548"/>
      <c r="AJ236" s="491">
        <v>5</v>
      </c>
      <c r="AK236" s="548"/>
      <c r="AL236" s="548"/>
      <c r="AM236" s="548"/>
      <c r="AN236" s="548">
        <f t="shared" si="137"/>
        <v>5</v>
      </c>
      <c r="AO236" s="481"/>
      <c r="AP236" s="481"/>
      <c r="AQ236" s="491">
        <v>5</v>
      </c>
      <c r="AR236" s="481"/>
      <c r="AS236" s="481"/>
      <c r="AT236" s="481"/>
      <c r="AU236" s="481"/>
      <c r="AV236" s="481">
        <f t="shared" si="138"/>
        <v>5</v>
      </c>
      <c r="AW236" s="548"/>
      <c r="AX236" s="548"/>
      <c r="AY236" s="491">
        <v>10</v>
      </c>
      <c r="AZ236" s="548"/>
      <c r="BA236" s="548"/>
      <c r="BB236" s="548"/>
      <c r="BC236" s="548"/>
      <c r="BD236" s="548">
        <f t="shared" si="139"/>
        <v>10</v>
      </c>
      <c r="BE236" s="42">
        <f t="shared" si="141"/>
        <v>0</v>
      </c>
      <c r="BF236" s="42">
        <f t="shared" si="141"/>
        <v>0</v>
      </c>
      <c r="BG236" s="42">
        <f t="shared" si="141"/>
        <v>25</v>
      </c>
      <c r="BH236" s="42">
        <f t="shared" si="141"/>
        <v>0</v>
      </c>
      <c r="BI236" s="42">
        <f t="shared" si="141"/>
        <v>0</v>
      </c>
      <c r="BJ236" s="42">
        <f t="shared" si="133"/>
        <v>0</v>
      </c>
      <c r="BK236" s="42">
        <f t="shared" si="142"/>
        <v>0</v>
      </c>
      <c r="BL236" s="42">
        <f t="shared" si="142"/>
        <v>25</v>
      </c>
      <c r="BM236" s="3"/>
    </row>
    <row r="237" spans="1:65" ht="67.5" hidden="1" customHeight="1" x14ac:dyDescent="0.2">
      <c r="A237" s="298" t="s">
        <v>491</v>
      </c>
      <c r="B237" s="299" t="s">
        <v>489</v>
      </c>
      <c r="C237" s="1547"/>
      <c r="D237" s="1549"/>
      <c r="E237" s="1549"/>
      <c r="F237" s="1549"/>
      <c r="G237" s="1549"/>
      <c r="H237" s="1549"/>
      <c r="I237" s="1425"/>
      <c r="J237" s="1425"/>
      <c r="K237" s="1428" t="s">
        <v>727</v>
      </c>
      <c r="L237" s="301" t="s">
        <v>496</v>
      </c>
      <c r="M237" s="1425" t="s">
        <v>497</v>
      </c>
      <c r="N237" s="476"/>
      <c r="O237" s="1425" t="s">
        <v>47</v>
      </c>
      <c r="P237" s="1425"/>
      <c r="Q237" s="16" t="s">
        <v>728</v>
      </c>
      <c r="R237" s="302" t="s">
        <v>729</v>
      </c>
      <c r="S237" s="303">
        <v>2015</v>
      </c>
      <c r="T237" s="303">
        <v>0</v>
      </c>
      <c r="U237" s="303">
        <v>0</v>
      </c>
      <c r="V237" s="303">
        <v>1</v>
      </c>
      <c r="W237" s="303">
        <v>0</v>
      </c>
      <c r="X237" s="303">
        <v>0</v>
      </c>
      <c r="Y237" s="303">
        <v>1</v>
      </c>
      <c r="Z237" s="481"/>
      <c r="AA237" s="481"/>
      <c r="AB237" s="491"/>
      <c r="AC237" s="481"/>
      <c r="AD237" s="481"/>
      <c r="AE237" s="481"/>
      <c r="AF237" s="481"/>
      <c r="AG237" s="481">
        <f t="shared" si="136"/>
        <v>0</v>
      </c>
      <c r="AH237" s="548"/>
      <c r="AI237" s="548"/>
      <c r="AJ237" s="491">
        <v>5</v>
      </c>
      <c r="AK237" s="548"/>
      <c r="AL237" s="548"/>
      <c r="AM237" s="548"/>
      <c r="AN237" s="548">
        <f t="shared" si="137"/>
        <v>5</v>
      </c>
      <c r="AO237" s="481"/>
      <c r="AP237" s="481"/>
      <c r="AQ237" s="491"/>
      <c r="AR237" s="481"/>
      <c r="AS237" s="481"/>
      <c r="AT237" s="481"/>
      <c r="AU237" s="481"/>
      <c r="AV237" s="481">
        <f t="shared" si="138"/>
        <v>0</v>
      </c>
      <c r="AW237" s="548"/>
      <c r="AX237" s="548"/>
      <c r="AY237" s="548"/>
      <c r="AZ237" s="548"/>
      <c r="BA237" s="548"/>
      <c r="BB237" s="548"/>
      <c r="BC237" s="548"/>
      <c r="BD237" s="548">
        <f t="shared" si="139"/>
        <v>0</v>
      </c>
      <c r="BE237" s="42">
        <f t="shared" si="141"/>
        <v>0</v>
      </c>
      <c r="BF237" s="42">
        <f t="shared" si="141"/>
        <v>0</v>
      </c>
      <c r="BG237" s="42">
        <f t="shared" si="141"/>
        <v>5</v>
      </c>
      <c r="BH237" s="42">
        <f t="shared" si="141"/>
        <v>0</v>
      </c>
      <c r="BI237" s="42">
        <f t="shared" si="141"/>
        <v>0</v>
      </c>
      <c r="BJ237" s="42">
        <f t="shared" si="133"/>
        <v>0</v>
      </c>
      <c r="BK237" s="42">
        <f t="shared" si="142"/>
        <v>0</v>
      </c>
      <c r="BL237" s="42">
        <f t="shared" si="142"/>
        <v>5</v>
      </c>
      <c r="BM237" s="3"/>
    </row>
    <row r="238" spans="1:65" ht="46.5" hidden="1" customHeight="1" x14ac:dyDescent="0.2">
      <c r="A238" s="298" t="s">
        <v>491</v>
      </c>
      <c r="B238" s="299" t="s">
        <v>489</v>
      </c>
      <c r="C238" s="1547"/>
      <c r="D238" s="1549"/>
      <c r="E238" s="1549"/>
      <c r="F238" s="1549"/>
      <c r="G238" s="1549"/>
      <c r="H238" s="1549"/>
      <c r="I238" s="1425"/>
      <c r="J238" s="1425"/>
      <c r="K238" s="1428" t="s">
        <v>730</v>
      </c>
      <c r="L238" s="301" t="s">
        <v>496</v>
      </c>
      <c r="M238" s="1425" t="s">
        <v>497</v>
      </c>
      <c r="N238" s="476"/>
      <c r="O238" s="1425" t="s">
        <v>47</v>
      </c>
      <c r="P238" s="1425"/>
      <c r="Q238" s="16" t="s">
        <v>731</v>
      </c>
      <c r="R238" s="302" t="s">
        <v>732</v>
      </c>
      <c r="S238" s="303">
        <v>2015</v>
      </c>
      <c r="T238" s="303">
        <v>0</v>
      </c>
      <c r="U238" s="303">
        <v>0</v>
      </c>
      <c r="V238" s="303">
        <v>0</v>
      </c>
      <c r="W238" s="303">
        <v>1</v>
      </c>
      <c r="X238" s="303">
        <v>0</v>
      </c>
      <c r="Y238" s="303">
        <v>1</v>
      </c>
      <c r="Z238" s="481"/>
      <c r="AA238" s="481"/>
      <c r="AB238" s="481"/>
      <c r="AC238" s="481"/>
      <c r="AD238" s="481"/>
      <c r="AE238" s="481"/>
      <c r="AF238" s="481"/>
      <c r="AG238" s="481">
        <f t="shared" si="136"/>
        <v>0</v>
      </c>
      <c r="AH238" s="548"/>
      <c r="AI238" s="548"/>
      <c r="AJ238" s="548"/>
      <c r="AK238" s="548"/>
      <c r="AL238" s="548"/>
      <c r="AM238" s="548"/>
      <c r="AN238" s="548">
        <f t="shared" si="137"/>
        <v>0</v>
      </c>
      <c r="AO238" s="481"/>
      <c r="AP238" s="481"/>
      <c r="AQ238" s="491">
        <v>5</v>
      </c>
      <c r="AR238" s="481"/>
      <c r="AS238" s="481"/>
      <c r="AT238" s="481"/>
      <c r="AU238" s="481"/>
      <c r="AV238" s="481">
        <f t="shared" si="138"/>
        <v>5</v>
      </c>
      <c r="AW238" s="548"/>
      <c r="AX238" s="548"/>
      <c r="AY238" s="548"/>
      <c r="AZ238" s="548"/>
      <c r="BA238" s="548"/>
      <c r="BB238" s="548"/>
      <c r="BC238" s="548"/>
      <c r="BD238" s="548">
        <f t="shared" si="139"/>
        <v>0</v>
      </c>
      <c r="BE238" s="42">
        <f t="shared" si="141"/>
        <v>0</v>
      </c>
      <c r="BF238" s="42">
        <f t="shared" si="141"/>
        <v>0</v>
      </c>
      <c r="BG238" s="42">
        <f t="shared" si="141"/>
        <v>5</v>
      </c>
      <c r="BH238" s="42">
        <f t="shared" si="141"/>
        <v>0</v>
      </c>
      <c r="BI238" s="42">
        <f t="shared" si="141"/>
        <v>0</v>
      </c>
      <c r="BJ238" s="42">
        <f t="shared" si="133"/>
        <v>0</v>
      </c>
      <c r="BK238" s="42">
        <f t="shared" si="142"/>
        <v>0</v>
      </c>
      <c r="BL238" s="42">
        <f t="shared" si="142"/>
        <v>5</v>
      </c>
      <c r="BM238" s="3"/>
    </row>
    <row r="239" spans="1:65" ht="51" hidden="1" customHeight="1" x14ac:dyDescent="0.2">
      <c r="A239" s="298" t="s">
        <v>491</v>
      </c>
      <c r="B239" s="299" t="s">
        <v>489</v>
      </c>
      <c r="C239" s="1547"/>
      <c r="D239" s="1549"/>
      <c r="E239" s="1549"/>
      <c r="F239" s="1549"/>
      <c r="G239" s="1549"/>
      <c r="H239" s="1549"/>
      <c r="I239" s="1425"/>
      <c r="J239" s="1425"/>
      <c r="K239" s="1428" t="s">
        <v>733</v>
      </c>
      <c r="L239" s="301" t="s">
        <v>496</v>
      </c>
      <c r="M239" s="1425" t="s">
        <v>497</v>
      </c>
      <c r="N239" s="476"/>
      <c r="O239" s="1425" t="s">
        <v>47</v>
      </c>
      <c r="P239" s="1425"/>
      <c r="Q239" s="16" t="s">
        <v>734</v>
      </c>
      <c r="R239" s="302" t="s">
        <v>735</v>
      </c>
      <c r="S239" s="303">
        <v>2015</v>
      </c>
      <c r="T239" s="303">
        <v>0</v>
      </c>
      <c r="U239" s="303">
        <v>1</v>
      </c>
      <c r="V239" s="303">
        <v>0</v>
      </c>
      <c r="W239" s="303">
        <v>0</v>
      </c>
      <c r="X239" s="303">
        <v>0</v>
      </c>
      <c r="Y239" s="303">
        <v>1</v>
      </c>
      <c r="Z239" s="481"/>
      <c r="AA239" s="481"/>
      <c r="AB239" s="491">
        <v>5</v>
      </c>
      <c r="AC239" s="481"/>
      <c r="AD239" s="481"/>
      <c r="AE239" s="481"/>
      <c r="AF239" s="481"/>
      <c r="AG239" s="481">
        <f t="shared" si="136"/>
        <v>5</v>
      </c>
      <c r="AH239" s="548"/>
      <c r="AI239" s="548"/>
      <c r="AJ239" s="548"/>
      <c r="AK239" s="548"/>
      <c r="AL239" s="548"/>
      <c r="AM239" s="548"/>
      <c r="AN239" s="548">
        <f t="shared" si="137"/>
        <v>0</v>
      </c>
      <c r="AO239" s="481"/>
      <c r="AP239" s="481"/>
      <c r="AQ239" s="481"/>
      <c r="AR239" s="481"/>
      <c r="AS239" s="481"/>
      <c r="AT239" s="481"/>
      <c r="AU239" s="481"/>
      <c r="AV239" s="481">
        <f t="shared" si="138"/>
        <v>0</v>
      </c>
      <c r="AW239" s="548"/>
      <c r="AX239" s="548"/>
      <c r="AY239" s="491"/>
      <c r="AZ239" s="548"/>
      <c r="BA239" s="548"/>
      <c r="BB239" s="548"/>
      <c r="BC239" s="548"/>
      <c r="BD239" s="548">
        <f t="shared" si="139"/>
        <v>0</v>
      </c>
      <c r="BE239" s="42">
        <f>+AW239+AO239+AH239+Z239</f>
        <v>0</v>
      </c>
      <c r="BF239" s="42">
        <f>+AX239+AP239+AI239+AA239</f>
        <v>0</v>
      </c>
      <c r="BG239" s="42">
        <f>+AY239+AQ239+AJ239+AB239</f>
        <v>5</v>
      </c>
      <c r="BH239" s="42">
        <f>+AZ239+AR239+AK239+AC239</f>
        <v>0</v>
      </c>
      <c r="BI239" s="42">
        <f>+BA239+AS239+AL239+AD239</f>
        <v>0</v>
      </c>
      <c r="BJ239" s="42">
        <f t="shared" si="133"/>
        <v>0</v>
      </c>
      <c r="BK239" s="42">
        <f>+BC239+AU239+AM239+AF239</f>
        <v>0</v>
      </c>
      <c r="BL239" s="42">
        <f>+BD239+AV239+AN239+AG239</f>
        <v>5</v>
      </c>
      <c r="BM239" s="3"/>
    </row>
    <row r="240" spans="1:65" ht="45" hidden="1" customHeight="1" x14ac:dyDescent="0.2">
      <c r="A240" s="298" t="s">
        <v>491</v>
      </c>
      <c r="B240" s="299" t="s">
        <v>489</v>
      </c>
      <c r="C240" s="1547"/>
      <c r="D240" s="1549"/>
      <c r="E240" s="1549"/>
      <c r="F240" s="1549"/>
      <c r="G240" s="1549"/>
      <c r="H240" s="1549"/>
      <c r="I240" s="1425"/>
      <c r="J240" s="1425"/>
      <c r="K240" s="1428" t="s">
        <v>736</v>
      </c>
      <c r="L240" s="301" t="s">
        <v>496</v>
      </c>
      <c r="M240" s="1425" t="s">
        <v>497</v>
      </c>
      <c r="N240" s="476"/>
      <c r="O240" s="1425" t="s">
        <v>73</v>
      </c>
      <c r="P240" s="1425"/>
      <c r="Q240" s="71" t="s">
        <v>737</v>
      </c>
      <c r="R240" s="302" t="s">
        <v>738</v>
      </c>
      <c r="S240" s="303">
        <v>2015</v>
      </c>
      <c r="T240" s="303">
        <v>1</v>
      </c>
      <c r="U240" s="303">
        <v>1</v>
      </c>
      <c r="V240" s="303">
        <v>1</v>
      </c>
      <c r="W240" s="303">
        <v>1</v>
      </c>
      <c r="X240" s="303">
        <v>1</v>
      </c>
      <c r="Y240" s="303">
        <v>1</v>
      </c>
      <c r="Z240" s="481">
        <v>1</v>
      </c>
      <c r="AA240" s="481"/>
      <c r="AB240" s="481"/>
      <c r="AC240" s="481"/>
      <c r="AD240" s="481"/>
      <c r="AE240" s="481">
        <v>10</v>
      </c>
      <c r="AF240" s="481"/>
      <c r="AG240" s="481">
        <f t="shared" si="136"/>
        <v>11</v>
      </c>
      <c r="AH240" s="548">
        <v>1</v>
      </c>
      <c r="AI240" s="548"/>
      <c r="AJ240" s="548"/>
      <c r="AK240" s="548"/>
      <c r="AL240" s="548"/>
      <c r="AM240" s="548"/>
      <c r="AN240" s="548">
        <f t="shared" si="137"/>
        <v>1</v>
      </c>
      <c r="AO240" s="481">
        <v>1</v>
      </c>
      <c r="AP240" s="481"/>
      <c r="AQ240" s="481"/>
      <c r="AR240" s="481"/>
      <c r="AS240" s="481"/>
      <c r="AT240" s="481"/>
      <c r="AU240" s="481"/>
      <c r="AV240" s="481">
        <f t="shared" si="138"/>
        <v>1</v>
      </c>
      <c r="AW240" s="548">
        <v>1</v>
      </c>
      <c r="AX240" s="548"/>
      <c r="AY240" s="548"/>
      <c r="AZ240" s="548"/>
      <c r="BA240" s="548"/>
      <c r="BB240" s="548"/>
      <c r="BC240" s="548"/>
      <c r="BD240" s="548">
        <f t="shared" si="139"/>
        <v>1</v>
      </c>
      <c r="BE240" s="42">
        <f t="shared" ref="BE240:BI242" si="144">+AW240+AO240+AH240+Z240</f>
        <v>4</v>
      </c>
      <c r="BF240" s="42">
        <f t="shared" si="144"/>
        <v>0</v>
      </c>
      <c r="BG240" s="42">
        <f t="shared" si="144"/>
        <v>0</v>
      </c>
      <c r="BH240" s="42">
        <f t="shared" si="144"/>
        <v>0</v>
      </c>
      <c r="BI240" s="42">
        <f t="shared" si="144"/>
        <v>0</v>
      </c>
      <c r="BJ240" s="42">
        <f t="shared" si="133"/>
        <v>10</v>
      </c>
      <c r="BK240" s="42">
        <f t="shared" ref="BK240:BL242" si="145">+BC240+AU240+AM240+AF240</f>
        <v>0</v>
      </c>
      <c r="BL240" s="42">
        <f t="shared" si="145"/>
        <v>14</v>
      </c>
      <c r="BM240" s="3"/>
    </row>
    <row r="241" spans="1:65" ht="35.25" hidden="1" customHeight="1" x14ac:dyDescent="0.2">
      <c r="A241" s="298" t="s">
        <v>491</v>
      </c>
      <c r="B241" s="299" t="s">
        <v>489</v>
      </c>
      <c r="C241" s="1548"/>
      <c r="D241" s="1549"/>
      <c r="E241" s="1549"/>
      <c r="F241" s="1549"/>
      <c r="G241" s="1549"/>
      <c r="H241" s="1549"/>
      <c r="I241" s="1425"/>
      <c r="J241" s="1425"/>
      <c r="K241" s="1428" t="s">
        <v>739</v>
      </c>
      <c r="L241" s="301" t="s">
        <v>740</v>
      </c>
      <c r="M241" s="1425" t="s">
        <v>497</v>
      </c>
      <c r="N241" s="476"/>
      <c r="O241" s="1425" t="s">
        <v>73</v>
      </c>
      <c r="P241" s="1425"/>
      <c r="Q241" s="71" t="s">
        <v>741</v>
      </c>
      <c r="R241" s="302" t="s">
        <v>742</v>
      </c>
      <c r="S241" s="303">
        <v>2015</v>
      </c>
      <c r="T241" s="303">
        <v>1</v>
      </c>
      <c r="U241" s="303">
        <v>1</v>
      </c>
      <c r="V241" s="303">
        <v>1</v>
      </c>
      <c r="W241" s="303">
        <v>1</v>
      </c>
      <c r="X241" s="303">
        <v>1</v>
      </c>
      <c r="Y241" s="303">
        <v>1</v>
      </c>
      <c r="Z241" s="481">
        <v>33</v>
      </c>
      <c r="AA241" s="481"/>
      <c r="AB241" s="481">
        <v>8</v>
      </c>
      <c r="AC241" s="481"/>
      <c r="AD241" s="481"/>
      <c r="AE241" s="481"/>
      <c r="AF241" s="481"/>
      <c r="AG241" s="481">
        <f t="shared" si="136"/>
        <v>41</v>
      </c>
      <c r="AH241" s="548">
        <v>33</v>
      </c>
      <c r="AI241" s="548"/>
      <c r="AJ241" s="548">
        <v>8</v>
      </c>
      <c r="AK241" s="548"/>
      <c r="AL241" s="548"/>
      <c r="AM241" s="548"/>
      <c r="AN241" s="548">
        <f t="shared" si="137"/>
        <v>41</v>
      </c>
      <c r="AO241" s="481">
        <v>33</v>
      </c>
      <c r="AP241" s="481"/>
      <c r="AQ241" s="481">
        <v>8</v>
      </c>
      <c r="AR241" s="481"/>
      <c r="AS241" s="481"/>
      <c r="AT241" s="481"/>
      <c r="AU241" s="481"/>
      <c r="AV241" s="481">
        <f t="shared" si="138"/>
        <v>41</v>
      </c>
      <c r="AW241" s="548">
        <v>33</v>
      </c>
      <c r="AX241" s="548"/>
      <c r="AY241" s="548">
        <v>8</v>
      </c>
      <c r="AZ241" s="548"/>
      <c r="BA241" s="548"/>
      <c r="BB241" s="548"/>
      <c r="BC241" s="548"/>
      <c r="BD241" s="548">
        <f t="shared" si="139"/>
        <v>41</v>
      </c>
      <c r="BE241" s="42">
        <f t="shared" si="144"/>
        <v>132</v>
      </c>
      <c r="BF241" s="42">
        <f t="shared" si="144"/>
        <v>0</v>
      </c>
      <c r="BG241" s="42">
        <f t="shared" si="144"/>
        <v>32</v>
      </c>
      <c r="BH241" s="42">
        <f t="shared" si="144"/>
        <v>0</v>
      </c>
      <c r="BI241" s="42">
        <f t="shared" si="144"/>
        <v>0</v>
      </c>
      <c r="BJ241" s="42">
        <f t="shared" si="133"/>
        <v>0</v>
      </c>
      <c r="BK241" s="42">
        <f t="shared" si="145"/>
        <v>0</v>
      </c>
      <c r="BL241" s="42">
        <f t="shared" si="145"/>
        <v>164</v>
      </c>
      <c r="BM241" s="3"/>
    </row>
    <row r="242" spans="1:65" ht="2.25" hidden="1" customHeight="1" x14ac:dyDescent="0.2">
      <c r="A242" s="153" t="s">
        <v>491</v>
      </c>
      <c r="B242" s="19" t="s">
        <v>489</v>
      </c>
      <c r="C242" s="7"/>
      <c r="D242" s="1442"/>
      <c r="E242" s="1442"/>
      <c r="F242" s="1442"/>
      <c r="G242" s="1442"/>
      <c r="H242" s="1442"/>
      <c r="I242" s="1442"/>
      <c r="J242" s="1442"/>
      <c r="K242" s="1442"/>
      <c r="L242" s="1442"/>
      <c r="M242" s="1442"/>
      <c r="N242" s="11"/>
      <c r="O242" s="1442"/>
      <c r="P242" s="1442"/>
      <c r="Q242" s="1440"/>
      <c r="R242" s="1440"/>
      <c r="S242" s="1442"/>
      <c r="T242" s="1442"/>
      <c r="U242" s="1442"/>
      <c r="V242" s="1442"/>
      <c r="W242" s="1442"/>
      <c r="X242" s="1442"/>
      <c r="Y242" s="1442"/>
      <c r="Z242" s="481">
        <v>22.4</v>
      </c>
      <c r="AA242" s="481"/>
      <c r="AB242" s="481">
        <v>24</v>
      </c>
      <c r="AC242" s="481"/>
      <c r="AD242" s="481"/>
      <c r="AE242" s="481"/>
      <c r="AF242" s="481"/>
      <c r="AG242" s="481">
        <f t="shared" si="136"/>
        <v>46.4</v>
      </c>
      <c r="AH242" s="42">
        <f>+Z242*1.035</f>
        <v>23.183999999999997</v>
      </c>
      <c r="AI242" s="42"/>
      <c r="AJ242" s="42">
        <f>+AB242*1.035</f>
        <v>24.839999999999996</v>
      </c>
      <c r="AK242" s="42"/>
      <c r="AL242" s="42"/>
      <c r="AM242" s="42"/>
      <c r="AN242" s="42">
        <f t="shared" si="137"/>
        <v>48.023999999999994</v>
      </c>
      <c r="AO242" s="42">
        <f>+AH242*1.035</f>
        <v>23.995439999999995</v>
      </c>
      <c r="AP242" s="42"/>
      <c r="AQ242" s="42">
        <f>+AJ242*1.035</f>
        <v>25.709399999999995</v>
      </c>
      <c r="AR242" s="42"/>
      <c r="AS242" s="42"/>
      <c r="AT242" s="42"/>
      <c r="AU242" s="42"/>
      <c r="AV242" s="42">
        <f t="shared" si="138"/>
        <v>49.70483999999999</v>
      </c>
      <c r="AW242" s="42">
        <f>+AO242*1.035</f>
        <v>24.835280399999991</v>
      </c>
      <c r="AX242" s="42"/>
      <c r="AY242" s="42">
        <f>+AQ242*1.035</f>
        <v>26.609228999999992</v>
      </c>
      <c r="AZ242" s="42"/>
      <c r="BA242" s="42"/>
      <c r="BB242" s="42"/>
      <c r="BC242" s="42"/>
      <c r="BD242" s="42">
        <f t="shared" si="139"/>
        <v>51.444509399999987</v>
      </c>
      <c r="BE242" s="42">
        <f t="shared" si="144"/>
        <v>94.414720399999993</v>
      </c>
      <c r="BF242" s="42">
        <f t="shared" si="144"/>
        <v>0</v>
      </c>
      <c r="BG242" s="42">
        <f t="shared" si="144"/>
        <v>101.15862899999999</v>
      </c>
      <c r="BH242" s="42">
        <f t="shared" si="144"/>
        <v>0</v>
      </c>
      <c r="BI242" s="42">
        <f t="shared" si="144"/>
        <v>0</v>
      </c>
      <c r="BJ242" s="42">
        <f t="shared" si="133"/>
        <v>0</v>
      </c>
      <c r="BK242" s="42">
        <f t="shared" si="145"/>
        <v>0</v>
      </c>
      <c r="BL242" s="42">
        <f t="shared" si="145"/>
        <v>195.57334939999998</v>
      </c>
      <c r="BM242" s="3"/>
    </row>
    <row r="243" spans="1:65" ht="12.75" hidden="1" x14ac:dyDescent="0.2">
      <c r="A243" s="295" t="s">
        <v>491</v>
      </c>
      <c r="B243" s="14" t="s">
        <v>489</v>
      </c>
      <c r="C243" s="6"/>
      <c r="D243" s="2" t="s">
        <v>743</v>
      </c>
      <c r="E243" s="1"/>
      <c r="F243" s="1"/>
      <c r="G243" s="1"/>
      <c r="H243" s="1"/>
      <c r="I243" s="1"/>
      <c r="J243" s="1"/>
      <c r="K243" s="1"/>
      <c r="L243" s="1"/>
      <c r="M243" s="1"/>
      <c r="N243" s="1"/>
      <c r="O243" s="1"/>
      <c r="P243" s="1"/>
      <c r="Q243" s="22" t="s">
        <v>744</v>
      </c>
      <c r="R243" s="22"/>
      <c r="S243" s="1"/>
      <c r="T243" s="1"/>
      <c r="U243" s="1"/>
      <c r="V243" s="1"/>
      <c r="W243" s="1"/>
      <c r="X243" s="1"/>
      <c r="Y243" s="1"/>
      <c r="Z243" s="34">
        <f>SUM(Z244:Z260)</f>
        <v>31</v>
      </c>
      <c r="AA243" s="34">
        <f t="shared" ref="AA243:BL243" si="146">SUM(AA244:AA260)</f>
        <v>0</v>
      </c>
      <c r="AB243" s="34">
        <f t="shared" si="146"/>
        <v>16.399999999999999</v>
      </c>
      <c r="AC243" s="34">
        <f t="shared" si="146"/>
        <v>0</v>
      </c>
      <c r="AD243" s="34">
        <f t="shared" si="146"/>
        <v>0</v>
      </c>
      <c r="AE243" s="34">
        <f t="shared" si="146"/>
        <v>0</v>
      </c>
      <c r="AF243" s="34">
        <f t="shared" si="146"/>
        <v>0</v>
      </c>
      <c r="AG243" s="34">
        <f t="shared" si="146"/>
        <v>47.4</v>
      </c>
      <c r="AH243" s="34">
        <f t="shared" si="146"/>
        <v>24.2</v>
      </c>
      <c r="AI243" s="34">
        <f t="shared" si="146"/>
        <v>0</v>
      </c>
      <c r="AJ243" s="34">
        <f t="shared" si="146"/>
        <v>24.83</v>
      </c>
      <c r="AK243" s="34">
        <f t="shared" si="146"/>
        <v>0</v>
      </c>
      <c r="AL243" s="34">
        <f t="shared" si="146"/>
        <v>0</v>
      </c>
      <c r="AM243" s="34">
        <f t="shared" si="146"/>
        <v>0</v>
      </c>
      <c r="AN243" s="34">
        <f t="shared" si="146"/>
        <v>49.03</v>
      </c>
      <c r="AO243" s="34">
        <f t="shared" si="146"/>
        <v>25</v>
      </c>
      <c r="AP243" s="34">
        <f t="shared" si="146"/>
        <v>0</v>
      </c>
      <c r="AQ243" s="34">
        <f t="shared" si="146"/>
        <v>25.7</v>
      </c>
      <c r="AR243" s="34">
        <f t="shared" si="146"/>
        <v>0</v>
      </c>
      <c r="AS243" s="34">
        <f t="shared" si="146"/>
        <v>0</v>
      </c>
      <c r="AT243" s="34">
        <f t="shared" si="146"/>
        <v>0</v>
      </c>
      <c r="AU243" s="34">
        <f t="shared" si="146"/>
        <v>0</v>
      </c>
      <c r="AV243" s="34">
        <f t="shared" si="146"/>
        <v>50.7</v>
      </c>
      <c r="AW243" s="34">
        <f t="shared" si="146"/>
        <v>25</v>
      </c>
      <c r="AX243" s="34">
        <f t="shared" si="146"/>
        <v>0</v>
      </c>
      <c r="AY243" s="34">
        <f t="shared" si="146"/>
        <v>26.6</v>
      </c>
      <c r="AZ243" s="34">
        <f t="shared" si="146"/>
        <v>0</v>
      </c>
      <c r="BA243" s="34">
        <f t="shared" si="146"/>
        <v>0</v>
      </c>
      <c r="BB243" s="34">
        <f t="shared" si="146"/>
        <v>0</v>
      </c>
      <c r="BC243" s="34">
        <f t="shared" si="146"/>
        <v>0</v>
      </c>
      <c r="BD243" s="34">
        <f t="shared" si="146"/>
        <v>51.6</v>
      </c>
      <c r="BE243" s="34">
        <f t="shared" si="146"/>
        <v>105.2</v>
      </c>
      <c r="BF243" s="34">
        <f t="shared" si="146"/>
        <v>0</v>
      </c>
      <c r="BG243" s="34">
        <f t="shared" si="146"/>
        <v>83.33</v>
      </c>
      <c r="BH243" s="34">
        <f t="shared" si="146"/>
        <v>0</v>
      </c>
      <c r="BI243" s="34">
        <f t="shared" si="146"/>
        <v>0</v>
      </c>
      <c r="BJ243" s="34">
        <f t="shared" si="133"/>
        <v>0</v>
      </c>
      <c r="BK243" s="34">
        <f t="shared" si="146"/>
        <v>0</v>
      </c>
      <c r="BL243" s="34">
        <f t="shared" si="146"/>
        <v>188.52999999999997</v>
      </c>
      <c r="BM243" s="3"/>
    </row>
    <row r="244" spans="1:65" ht="45" hidden="1" customHeight="1" x14ac:dyDescent="0.2">
      <c r="A244" s="298" t="s">
        <v>491</v>
      </c>
      <c r="B244" s="299" t="s">
        <v>489</v>
      </c>
      <c r="C244" s="1546" t="s">
        <v>745</v>
      </c>
      <c r="D244" s="1550" t="s">
        <v>746</v>
      </c>
      <c r="E244" s="1550" t="s">
        <v>747</v>
      </c>
      <c r="F244" s="1550">
        <v>2015</v>
      </c>
      <c r="G244" s="1550">
        <v>1</v>
      </c>
      <c r="H244" s="1550">
        <v>1</v>
      </c>
      <c r="I244" s="1425"/>
      <c r="J244" s="1425"/>
      <c r="K244" s="1425" t="s">
        <v>748</v>
      </c>
      <c r="L244" s="301" t="s">
        <v>496</v>
      </c>
      <c r="M244" s="1425" t="s">
        <v>497</v>
      </c>
      <c r="N244" s="476"/>
      <c r="O244" s="1425" t="s">
        <v>47</v>
      </c>
      <c r="P244" s="1425"/>
      <c r="Q244" s="16" t="s">
        <v>749</v>
      </c>
      <c r="R244" s="302" t="s">
        <v>750</v>
      </c>
      <c r="S244" s="303">
        <v>2015</v>
      </c>
      <c r="T244" s="303">
        <v>4</v>
      </c>
      <c r="U244" s="303">
        <v>4</v>
      </c>
      <c r="V244" s="303">
        <v>4</v>
      </c>
      <c r="W244" s="303">
        <v>4</v>
      </c>
      <c r="X244" s="303">
        <v>4</v>
      </c>
      <c r="Y244" s="303">
        <v>16</v>
      </c>
      <c r="Z244" s="579">
        <v>6.5</v>
      </c>
      <c r="AA244" s="579"/>
      <c r="AB244" s="579"/>
      <c r="AC244" s="579"/>
      <c r="AD244" s="579"/>
      <c r="AE244" s="579"/>
      <c r="AF244" s="579"/>
      <c r="AG244" s="481">
        <f t="shared" si="136"/>
        <v>6.5</v>
      </c>
      <c r="AH244" s="492">
        <v>2.5</v>
      </c>
      <c r="AI244" s="589"/>
      <c r="AJ244" s="589"/>
      <c r="AK244" s="589"/>
      <c r="AL244" s="589"/>
      <c r="AM244" s="589"/>
      <c r="AN244" s="548">
        <f t="shared" si="137"/>
        <v>2.5</v>
      </c>
      <c r="AO244" s="492">
        <v>4</v>
      </c>
      <c r="AP244" s="579"/>
      <c r="AQ244" s="579"/>
      <c r="AR244" s="579"/>
      <c r="AS244" s="579"/>
      <c r="AT244" s="579"/>
      <c r="AU244" s="579"/>
      <c r="AV244" s="481">
        <f t="shared" si="138"/>
        <v>4</v>
      </c>
      <c r="AW244" s="492">
        <v>4.5</v>
      </c>
      <c r="AX244" s="589"/>
      <c r="AY244" s="589"/>
      <c r="AZ244" s="589"/>
      <c r="BA244" s="589"/>
      <c r="BB244" s="589"/>
      <c r="BC244" s="589"/>
      <c r="BD244" s="548">
        <f t="shared" si="139"/>
        <v>4.5</v>
      </c>
      <c r="BE244" s="61">
        <f t="shared" ref="BE244:BI250" si="147">+AW244+AO244+AH244+Z244</f>
        <v>17.5</v>
      </c>
      <c r="BF244" s="61">
        <f t="shared" si="147"/>
        <v>0</v>
      </c>
      <c r="BG244" s="61">
        <f t="shared" si="147"/>
        <v>0</v>
      </c>
      <c r="BH244" s="61">
        <f t="shared" si="147"/>
        <v>0</v>
      </c>
      <c r="BI244" s="61">
        <f t="shared" si="147"/>
        <v>0</v>
      </c>
      <c r="BJ244" s="61">
        <f t="shared" si="133"/>
        <v>0</v>
      </c>
      <c r="BK244" s="61">
        <f t="shared" ref="BK244:BL250" si="148">+BC244+AU244+AM244+AF244</f>
        <v>0</v>
      </c>
      <c r="BL244" s="42">
        <f t="shared" si="148"/>
        <v>17.5</v>
      </c>
      <c r="BM244" s="3"/>
    </row>
    <row r="245" spans="1:65" ht="43.5" hidden="1" customHeight="1" x14ac:dyDescent="0.2">
      <c r="A245" s="298" t="s">
        <v>491</v>
      </c>
      <c r="B245" s="299" t="s">
        <v>489</v>
      </c>
      <c r="C245" s="1547"/>
      <c r="D245" s="1551"/>
      <c r="E245" s="1551"/>
      <c r="F245" s="1551"/>
      <c r="G245" s="1551"/>
      <c r="H245" s="1551"/>
      <c r="I245" s="1425"/>
      <c r="J245" s="1425"/>
      <c r="K245" s="1425" t="s">
        <v>751</v>
      </c>
      <c r="L245" s="301" t="s">
        <v>496</v>
      </c>
      <c r="M245" s="1425" t="s">
        <v>497</v>
      </c>
      <c r="N245" s="476"/>
      <c r="O245" s="1425" t="s">
        <v>73</v>
      </c>
      <c r="P245" s="1425"/>
      <c r="Q245" s="16" t="s">
        <v>752</v>
      </c>
      <c r="R245" s="302" t="s">
        <v>753</v>
      </c>
      <c r="S245" s="303">
        <v>2015</v>
      </c>
      <c r="T245" s="303">
        <v>1</v>
      </c>
      <c r="U245" s="303">
        <v>1</v>
      </c>
      <c r="V245" s="303">
        <v>1</v>
      </c>
      <c r="W245" s="303">
        <v>1</v>
      </c>
      <c r="X245" s="303">
        <v>1</v>
      </c>
      <c r="Y245" s="303">
        <v>1</v>
      </c>
      <c r="Z245" s="579"/>
      <c r="AA245" s="579"/>
      <c r="AB245" s="579">
        <v>11.6</v>
      </c>
      <c r="AC245" s="579"/>
      <c r="AD245" s="579"/>
      <c r="AE245" s="579"/>
      <c r="AF245" s="579"/>
      <c r="AG245" s="481">
        <f t="shared" si="136"/>
        <v>11.6</v>
      </c>
      <c r="AH245" s="492">
        <v>0.5</v>
      </c>
      <c r="AI245" s="589"/>
      <c r="AJ245" s="589">
        <v>12</v>
      </c>
      <c r="AK245" s="589"/>
      <c r="AL245" s="589"/>
      <c r="AM245" s="589"/>
      <c r="AN245" s="548">
        <f t="shared" si="137"/>
        <v>12.5</v>
      </c>
      <c r="AO245" s="579"/>
      <c r="AP245" s="579"/>
      <c r="AQ245" s="579">
        <v>12.5</v>
      </c>
      <c r="AR245" s="579"/>
      <c r="AS245" s="579"/>
      <c r="AT245" s="579"/>
      <c r="AU245" s="579"/>
      <c r="AV245" s="481">
        <f t="shared" si="138"/>
        <v>12.5</v>
      </c>
      <c r="AW245" s="589"/>
      <c r="AX245" s="589"/>
      <c r="AY245" s="589">
        <v>13</v>
      </c>
      <c r="AZ245" s="589"/>
      <c r="BA245" s="589"/>
      <c r="BB245" s="589"/>
      <c r="BC245" s="589"/>
      <c r="BD245" s="548">
        <f t="shared" si="139"/>
        <v>13</v>
      </c>
      <c r="BE245" s="61">
        <f t="shared" si="147"/>
        <v>0.5</v>
      </c>
      <c r="BF245" s="61">
        <f t="shared" si="147"/>
        <v>0</v>
      </c>
      <c r="BG245" s="61">
        <f t="shared" si="147"/>
        <v>49.1</v>
      </c>
      <c r="BH245" s="61">
        <f t="shared" si="147"/>
        <v>0</v>
      </c>
      <c r="BI245" s="61">
        <f t="shared" si="147"/>
        <v>0</v>
      </c>
      <c r="BJ245" s="61">
        <f t="shared" si="133"/>
        <v>0</v>
      </c>
      <c r="BK245" s="61">
        <f t="shared" si="148"/>
        <v>0</v>
      </c>
      <c r="BL245" s="42">
        <f t="shared" si="148"/>
        <v>49.6</v>
      </c>
      <c r="BM245" s="3"/>
    </row>
    <row r="246" spans="1:65" ht="29.25" hidden="1" customHeight="1" x14ac:dyDescent="0.2">
      <c r="A246" s="298" t="s">
        <v>491</v>
      </c>
      <c r="B246" s="299" t="s">
        <v>489</v>
      </c>
      <c r="C246" s="1547"/>
      <c r="D246" s="1551"/>
      <c r="E246" s="1551"/>
      <c r="F246" s="1551"/>
      <c r="G246" s="1551"/>
      <c r="H246" s="1551"/>
      <c r="I246" s="1425"/>
      <c r="J246" s="1425"/>
      <c r="K246" s="1425" t="s">
        <v>754</v>
      </c>
      <c r="L246" s="301" t="s">
        <v>496</v>
      </c>
      <c r="M246" s="1425" t="s">
        <v>497</v>
      </c>
      <c r="N246" s="476"/>
      <c r="O246" s="1425" t="s">
        <v>73</v>
      </c>
      <c r="P246" s="1425"/>
      <c r="Q246" s="16" t="s">
        <v>755</v>
      </c>
      <c r="R246" s="302" t="s">
        <v>756</v>
      </c>
      <c r="S246" s="303">
        <v>2015</v>
      </c>
      <c r="T246" s="303">
        <v>0</v>
      </c>
      <c r="U246" s="303">
        <v>2</v>
      </c>
      <c r="V246" s="303">
        <v>2</v>
      </c>
      <c r="W246" s="303">
        <v>2</v>
      </c>
      <c r="X246" s="303">
        <v>2</v>
      </c>
      <c r="Y246" s="303">
        <v>2</v>
      </c>
      <c r="Z246" s="492">
        <v>8</v>
      </c>
      <c r="AA246" s="579"/>
      <c r="AB246" s="579"/>
      <c r="AC246" s="579"/>
      <c r="AD246" s="579"/>
      <c r="AE246" s="579"/>
      <c r="AF246" s="579"/>
      <c r="AG246" s="481">
        <f t="shared" si="136"/>
        <v>8</v>
      </c>
      <c r="AH246" s="492">
        <v>0.5</v>
      </c>
      <c r="AI246" s="589"/>
      <c r="AJ246" s="589"/>
      <c r="AK246" s="589"/>
      <c r="AL246" s="589"/>
      <c r="AM246" s="589"/>
      <c r="AN246" s="548">
        <f t="shared" si="137"/>
        <v>0.5</v>
      </c>
      <c r="AO246" s="492">
        <v>0.5</v>
      </c>
      <c r="AP246" s="579"/>
      <c r="AQ246" s="579"/>
      <c r="AR246" s="579"/>
      <c r="AS246" s="579"/>
      <c r="AT246" s="579"/>
      <c r="AU246" s="579"/>
      <c r="AV246" s="481">
        <f t="shared" si="138"/>
        <v>0.5</v>
      </c>
      <c r="AW246" s="492">
        <v>0.5</v>
      </c>
      <c r="AX246" s="589"/>
      <c r="AY246" s="589"/>
      <c r="AZ246" s="589"/>
      <c r="BA246" s="589"/>
      <c r="BB246" s="589"/>
      <c r="BC246" s="589"/>
      <c r="BD246" s="548">
        <f t="shared" si="139"/>
        <v>0.5</v>
      </c>
      <c r="BE246" s="61">
        <f t="shared" si="147"/>
        <v>9.5</v>
      </c>
      <c r="BF246" s="61">
        <f t="shared" si="147"/>
        <v>0</v>
      </c>
      <c r="BG246" s="61">
        <f t="shared" si="147"/>
        <v>0</v>
      </c>
      <c r="BH246" s="61">
        <f t="shared" si="147"/>
        <v>0</v>
      </c>
      <c r="BI246" s="61">
        <f t="shared" si="147"/>
        <v>0</v>
      </c>
      <c r="BJ246" s="61">
        <f t="shared" si="133"/>
        <v>0</v>
      </c>
      <c r="BK246" s="61">
        <f t="shared" si="148"/>
        <v>0</v>
      </c>
      <c r="BL246" s="42">
        <f t="shared" si="148"/>
        <v>9.5</v>
      </c>
      <c r="BM246" s="3"/>
    </row>
    <row r="247" spans="1:65" ht="33" hidden="1" customHeight="1" x14ac:dyDescent="0.2">
      <c r="A247" s="298" t="s">
        <v>491</v>
      </c>
      <c r="B247" s="299" t="s">
        <v>489</v>
      </c>
      <c r="C247" s="1547"/>
      <c r="D247" s="1551"/>
      <c r="E247" s="1551"/>
      <c r="F247" s="1551"/>
      <c r="G247" s="1551"/>
      <c r="H247" s="1551"/>
      <c r="I247" s="1425"/>
      <c r="J247" s="1425"/>
      <c r="K247" s="1425" t="s">
        <v>757</v>
      </c>
      <c r="L247" s="301" t="s">
        <v>496</v>
      </c>
      <c r="M247" s="1425" t="s">
        <v>497</v>
      </c>
      <c r="N247" s="476"/>
      <c r="O247" s="1425" t="s">
        <v>73</v>
      </c>
      <c r="P247" s="1425"/>
      <c r="Q247" s="16" t="s">
        <v>758</v>
      </c>
      <c r="R247" s="302" t="s">
        <v>759</v>
      </c>
      <c r="S247" s="303">
        <v>2015</v>
      </c>
      <c r="T247" s="303">
        <v>0</v>
      </c>
      <c r="U247" s="303">
        <v>2</v>
      </c>
      <c r="V247" s="303">
        <v>2</v>
      </c>
      <c r="W247" s="303">
        <v>2</v>
      </c>
      <c r="X247" s="303">
        <v>2</v>
      </c>
      <c r="Y247" s="303">
        <v>2</v>
      </c>
      <c r="Z247" s="579"/>
      <c r="AA247" s="579"/>
      <c r="AB247" s="492">
        <v>2.8</v>
      </c>
      <c r="AC247" s="579"/>
      <c r="AD247" s="579"/>
      <c r="AE247" s="579"/>
      <c r="AF247" s="579"/>
      <c r="AG247" s="481">
        <f t="shared" si="136"/>
        <v>2.8</v>
      </c>
      <c r="AH247" s="492">
        <v>0.5</v>
      </c>
      <c r="AI247" s="589"/>
      <c r="AJ247" s="589"/>
      <c r="AK247" s="589"/>
      <c r="AL247" s="589"/>
      <c r="AM247" s="589"/>
      <c r="AN247" s="548">
        <f t="shared" si="137"/>
        <v>0.5</v>
      </c>
      <c r="AO247" s="492">
        <v>0.5</v>
      </c>
      <c r="AP247" s="579"/>
      <c r="AQ247" s="579"/>
      <c r="AR247" s="579"/>
      <c r="AS247" s="579"/>
      <c r="AT247" s="579"/>
      <c r="AU247" s="579"/>
      <c r="AV247" s="481">
        <f t="shared" si="138"/>
        <v>0.5</v>
      </c>
      <c r="AW247" s="492">
        <v>0.5</v>
      </c>
      <c r="AX247" s="589"/>
      <c r="AY247" s="589"/>
      <c r="AZ247" s="589"/>
      <c r="BA247" s="589"/>
      <c r="BB247" s="589"/>
      <c r="BC247" s="589"/>
      <c r="BD247" s="548">
        <f t="shared" si="139"/>
        <v>0.5</v>
      </c>
      <c r="BE247" s="61">
        <f t="shared" si="147"/>
        <v>1.5</v>
      </c>
      <c r="BF247" s="61">
        <f t="shared" si="147"/>
        <v>0</v>
      </c>
      <c r="BG247" s="61">
        <f t="shared" si="147"/>
        <v>2.8</v>
      </c>
      <c r="BH247" s="61">
        <f t="shared" si="147"/>
        <v>0</v>
      </c>
      <c r="BI247" s="61">
        <f t="shared" si="147"/>
        <v>0</v>
      </c>
      <c r="BJ247" s="61">
        <f t="shared" si="133"/>
        <v>0</v>
      </c>
      <c r="BK247" s="61">
        <f t="shared" si="148"/>
        <v>0</v>
      </c>
      <c r="BL247" s="42">
        <f t="shared" si="148"/>
        <v>4.3</v>
      </c>
      <c r="BM247" s="3"/>
    </row>
    <row r="248" spans="1:65" ht="27.75" hidden="1" customHeight="1" x14ac:dyDescent="0.2">
      <c r="A248" s="298" t="s">
        <v>491</v>
      </c>
      <c r="B248" s="299" t="s">
        <v>489</v>
      </c>
      <c r="C248" s="1547"/>
      <c r="D248" s="1551"/>
      <c r="E248" s="1551"/>
      <c r="F248" s="1551"/>
      <c r="G248" s="1551"/>
      <c r="H248" s="1551"/>
      <c r="I248" s="1425"/>
      <c r="J248" s="1425"/>
      <c r="K248" s="1425" t="s">
        <v>760</v>
      </c>
      <c r="L248" s="301" t="s">
        <v>496</v>
      </c>
      <c r="M248" s="1425" t="s">
        <v>497</v>
      </c>
      <c r="N248" s="476"/>
      <c r="O248" s="1425" t="s">
        <v>47</v>
      </c>
      <c r="P248" s="1425"/>
      <c r="Q248" s="16" t="s">
        <v>761</v>
      </c>
      <c r="R248" s="302" t="s">
        <v>762</v>
      </c>
      <c r="S248" s="303">
        <v>2015</v>
      </c>
      <c r="T248" s="303">
        <v>0</v>
      </c>
      <c r="U248" s="303">
        <v>0</v>
      </c>
      <c r="V248" s="303">
        <v>1</v>
      </c>
      <c r="W248" s="303">
        <v>1</v>
      </c>
      <c r="X248" s="303">
        <v>0</v>
      </c>
      <c r="Y248" s="303">
        <v>2</v>
      </c>
      <c r="Z248" s="579"/>
      <c r="AA248" s="579"/>
      <c r="AB248" s="579"/>
      <c r="AC248" s="579"/>
      <c r="AD248" s="579"/>
      <c r="AE248" s="579"/>
      <c r="AF248" s="579"/>
      <c r="AG248" s="481">
        <f t="shared" si="136"/>
        <v>0</v>
      </c>
      <c r="AH248" s="492">
        <v>0.5</v>
      </c>
      <c r="AI248" s="589"/>
      <c r="AJ248" s="589"/>
      <c r="AK248" s="589"/>
      <c r="AL248" s="589"/>
      <c r="AM248" s="589"/>
      <c r="AN248" s="548">
        <f t="shared" si="137"/>
        <v>0.5</v>
      </c>
      <c r="AO248" s="492">
        <v>0.5</v>
      </c>
      <c r="AP248" s="579"/>
      <c r="AQ248" s="579"/>
      <c r="AR248" s="579"/>
      <c r="AS248" s="579"/>
      <c r="AT248" s="579"/>
      <c r="AU248" s="579"/>
      <c r="AV248" s="481">
        <f t="shared" si="138"/>
        <v>0.5</v>
      </c>
      <c r="AW248" s="589"/>
      <c r="AX248" s="589"/>
      <c r="AY248" s="589"/>
      <c r="AZ248" s="589"/>
      <c r="BA248" s="589"/>
      <c r="BB248" s="589"/>
      <c r="BC248" s="589"/>
      <c r="BD248" s="548">
        <f t="shared" si="139"/>
        <v>0</v>
      </c>
      <c r="BE248" s="61">
        <f t="shared" si="147"/>
        <v>1</v>
      </c>
      <c r="BF248" s="61">
        <f t="shared" si="147"/>
        <v>0</v>
      </c>
      <c r="BG248" s="61">
        <f t="shared" si="147"/>
        <v>0</v>
      </c>
      <c r="BH248" s="61">
        <f t="shared" si="147"/>
        <v>0</v>
      </c>
      <c r="BI248" s="61">
        <f t="shared" si="147"/>
        <v>0</v>
      </c>
      <c r="BJ248" s="61">
        <f t="shared" si="133"/>
        <v>0</v>
      </c>
      <c r="BK248" s="61">
        <f t="shared" si="148"/>
        <v>0</v>
      </c>
      <c r="BL248" s="42">
        <f t="shared" si="148"/>
        <v>1</v>
      </c>
      <c r="BM248" s="3"/>
    </row>
    <row r="249" spans="1:65" ht="36.75" hidden="1" customHeight="1" x14ac:dyDescent="0.2">
      <c r="A249" s="298" t="s">
        <v>491</v>
      </c>
      <c r="B249" s="299" t="s">
        <v>489</v>
      </c>
      <c r="C249" s="1547"/>
      <c r="D249" s="1551"/>
      <c r="E249" s="1551"/>
      <c r="F249" s="1551"/>
      <c r="G249" s="1551"/>
      <c r="H249" s="1551"/>
      <c r="I249" s="1425"/>
      <c r="J249" s="1425"/>
      <c r="K249" s="1425" t="s">
        <v>763</v>
      </c>
      <c r="L249" s="301" t="s">
        <v>496</v>
      </c>
      <c r="M249" s="1425" t="s">
        <v>497</v>
      </c>
      <c r="N249" s="476"/>
      <c r="O249" s="1425" t="s">
        <v>47</v>
      </c>
      <c r="P249" s="1425"/>
      <c r="Q249" s="16" t="s">
        <v>764</v>
      </c>
      <c r="R249" s="302" t="s">
        <v>765</v>
      </c>
      <c r="S249" s="303">
        <v>2015</v>
      </c>
      <c r="T249" s="303">
        <v>0</v>
      </c>
      <c r="U249" s="303">
        <v>0</v>
      </c>
      <c r="V249" s="303">
        <v>1</v>
      </c>
      <c r="W249" s="303">
        <v>1</v>
      </c>
      <c r="X249" s="303">
        <v>1</v>
      </c>
      <c r="Y249" s="303">
        <v>3</v>
      </c>
      <c r="Z249" s="579"/>
      <c r="AA249" s="579"/>
      <c r="AB249" s="579"/>
      <c r="AC249" s="579"/>
      <c r="AD249" s="579"/>
      <c r="AE249" s="579"/>
      <c r="AF249" s="579"/>
      <c r="AG249" s="481">
        <f t="shared" si="136"/>
        <v>0</v>
      </c>
      <c r="AH249" s="492">
        <v>0.5</v>
      </c>
      <c r="AI249" s="589"/>
      <c r="AJ249" s="589"/>
      <c r="AK249" s="589"/>
      <c r="AL249" s="589"/>
      <c r="AM249" s="589"/>
      <c r="AN249" s="548">
        <f t="shared" si="137"/>
        <v>0.5</v>
      </c>
      <c r="AO249" s="492">
        <v>0.5</v>
      </c>
      <c r="AP249" s="579"/>
      <c r="AQ249" s="579"/>
      <c r="AR249" s="579"/>
      <c r="AS249" s="579"/>
      <c r="AT249" s="579"/>
      <c r="AU249" s="579"/>
      <c r="AV249" s="481">
        <f t="shared" si="138"/>
        <v>0.5</v>
      </c>
      <c r="AW249" s="492">
        <v>0.5</v>
      </c>
      <c r="AX249" s="589"/>
      <c r="AY249" s="589"/>
      <c r="AZ249" s="589"/>
      <c r="BA249" s="589"/>
      <c r="BB249" s="589"/>
      <c r="BC249" s="589"/>
      <c r="BD249" s="548">
        <f t="shared" si="139"/>
        <v>0.5</v>
      </c>
      <c r="BE249" s="61">
        <f t="shared" si="147"/>
        <v>1.5</v>
      </c>
      <c r="BF249" s="61">
        <f t="shared" si="147"/>
        <v>0</v>
      </c>
      <c r="BG249" s="61">
        <f t="shared" si="147"/>
        <v>0</v>
      </c>
      <c r="BH249" s="61">
        <f t="shared" si="147"/>
        <v>0</v>
      </c>
      <c r="BI249" s="61">
        <f t="shared" si="147"/>
        <v>0</v>
      </c>
      <c r="BJ249" s="61">
        <f t="shared" si="133"/>
        <v>0</v>
      </c>
      <c r="BK249" s="61">
        <f t="shared" si="148"/>
        <v>0</v>
      </c>
      <c r="BL249" s="42">
        <f t="shared" si="148"/>
        <v>1.5</v>
      </c>
      <c r="BM249" s="3"/>
    </row>
    <row r="250" spans="1:65" ht="39" hidden="1" customHeight="1" x14ac:dyDescent="0.2">
      <c r="A250" s="298" t="s">
        <v>491</v>
      </c>
      <c r="B250" s="299" t="s">
        <v>489</v>
      </c>
      <c r="C250" s="1547"/>
      <c r="D250" s="1551"/>
      <c r="E250" s="1551"/>
      <c r="F250" s="1551"/>
      <c r="G250" s="1551"/>
      <c r="H250" s="1551"/>
      <c r="I250" s="1425"/>
      <c r="J250" s="1425"/>
      <c r="K250" s="1425" t="s">
        <v>766</v>
      </c>
      <c r="L250" s="301" t="s">
        <v>496</v>
      </c>
      <c r="M250" s="1425" t="s">
        <v>497</v>
      </c>
      <c r="N250" s="476"/>
      <c r="O250" s="1425" t="s">
        <v>47</v>
      </c>
      <c r="P250" s="1425"/>
      <c r="Q250" s="16" t="s">
        <v>767</v>
      </c>
      <c r="R250" s="302" t="s">
        <v>768</v>
      </c>
      <c r="S250" s="303">
        <v>2015</v>
      </c>
      <c r="T250" s="303">
        <v>0</v>
      </c>
      <c r="U250" s="303">
        <v>0</v>
      </c>
      <c r="V250" s="303">
        <v>1</v>
      </c>
      <c r="W250" s="303">
        <v>1</v>
      </c>
      <c r="X250" s="303">
        <v>1</v>
      </c>
      <c r="Y250" s="303">
        <v>3</v>
      </c>
      <c r="Z250" s="492"/>
      <c r="AA250" s="579"/>
      <c r="AB250" s="492"/>
      <c r="AC250" s="579"/>
      <c r="AD250" s="579"/>
      <c r="AE250" s="579"/>
      <c r="AF250" s="579"/>
      <c r="AG250" s="481">
        <f t="shared" si="136"/>
        <v>0</v>
      </c>
      <c r="AH250" s="589">
        <v>8.6999999999999993</v>
      </c>
      <c r="AI250" s="589"/>
      <c r="AJ250" s="589">
        <v>7.63</v>
      </c>
      <c r="AK250" s="589"/>
      <c r="AL250" s="589"/>
      <c r="AM250" s="589"/>
      <c r="AN250" s="548">
        <f t="shared" si="137"/>
        <v>16.329999999999998</v>
      </c>
      <c r="AO250" s="579">
        <v>9</v>
      </c>
      <c r="AP250" s="579"/>
      <c r="AQ250" s="579">
        <v>7.7</v>
      </c>
      <c r="AR250" s="579"/>
      <c r="AS250" s="579"/>
      <c r="AT250" s="579"/>
      <c r="AU250" s="579"/>
      <c r="AV250" s="481">
        <f t="shared" si="138"/>
        <v>16.7</v>
      </c>
      <c r="AW250" s="589">
        <v>9</v>
      </c>
      <c r="AX250" s="589"/>
      <c r="AY250" s="589">
        <v>8.1</v>
      </c>
      <c r="AZ250" s="589"/>
      <c r="BA250" s="589"/>
      <c r="BB250" s="589"/>
      <c r="BC250" s="589"/>
      <c r="BD250" s="548">
        <f t="shared" si="139"/>
        <v>17.100000000000001</v>
      </c>
      <c r="BE250" s="61">
        <f t="shared" si="147"/>
        <v>26.7</v>
      </c>
      <c r="BF250" s="61">
        <f t="shared" si="147"/>
        <v>0</v>
      </c>
      <c r="BG250" s="61">
        <f t="shared" si="147"/>
        <v>23.43</v>
      </c>
      <c r="BH250" s="61">
        <f t="shared" si="147"/>
        <v>0</v>
      </c>
      <c r="BI250" s="61">
        <f t="shared" si="147"/>
        <v>0</v>
      </c>
      <c r="BJ250" s="61">
        <f t="shared" si="133"/>
        <v>0</v>
      </c>
      <c r="BK250" s="61">
        <f t="shared" si="148"/>
        <v>0</v>
      </c>
      <c r="BL250" s="42">
        <f t="shared" si="148"/>
        <v>50.129999999999995</v>
      </c>
      <c r="BM250" s="3"/>
    </row>
    <row r="251" spans="1:65" ht="51.75" hidden="1" customHeight="1" x14ac:dyDescent="0.2">
      <c r="A251" s="298" t="s">
        <v>491</v>
      </c>
      <c r="B251" s="299" t="s">
        <v>489</v>
      </c>
      <c r="C251" s="1547"/>
      <c r="D251" s="1551"/>
      <c r="E251" s="1551"/>
      <c r="F251" s="1551"/>
      <c r="G251" s="1551"/>
      <c r="H251" s="1551"/>
      <c r="I251" s="1425"/>
      <c r="J251" s="1425"/>
      <c r="K251" s="1425" t="s">
        <v>769</v>
      </c>
      <c r="L251" s="301" t="s">
        <v>496</v>
      </c>
      <c r="M251" s="1425" t="s">
        <v>497</v>
      </c>
      <c r="N251" s="476"/>
      <c r="O251" s="1425" t="s">
        <v>47</v>
      </c>
      <c r="P251" s="1425"/>
      <c r="Q251" s="16" t="s">
        <v>770</v>
      </c>
      <c r="R251" s="302" t="s">
        <v>771</v>
      </c>
      <c r="S251" s="303">
        <v>2015</v>
      </c>
      <c r="T251" s="303">
        <v>0</v>
      </c>
      <c r="U251" s="303">
        <v>0</v>
      </c>
      <c r="V251" s="303">
        <v>1</v>
      </c>
      <c r="W251" s="303">
        <v>1</v>
      </c>
      <c r="X251" s="303">
        <v>1</v>
      </c>
      <c r="Y251" s="303">
        <v>3</v>
      </c>
      <c r="Z251" s="579"/>
      <c r="AA251" s="579"/>
      <c r="AB251" s="579"/>
      <c r="AC251" s="579"/>
      <c r="AD251" s="579"/>
      <c r="AE251" s="579"/>
      <c r="AF251" s="579"/>
      <c r="AG251" s="481">
        <f t="shared" si="136"/>
        <v>0</v>
      </c>
      <c r="AH251" s="589"/>
      <c r="AI251" s="589"/>
      <c r="AJ251" s="589">
        <v>3.2</v>
      </c>
      <c r="AK251" s="589"/>
      <c r="AL251" s="589"/>
      <c r="AM251" s="589"/>
      <c r="AN251" s="548">
        <f t="shared" si="137"/>
        <v>3.2</v>
      </c>
      <c r="AO251" s="579"/>
      <c r="AP251" s="579"/>
      <c r="AQ251" s="579">
        <v>3.5</v>
      </c>
      <c r="AR251" s="579"/>
      <c r="AS251" s="579"/>
      <c r="AT251" s="579"/>
      <c r="AU251" s="579"/>
      <c r="AV251" s="481">
        <f t="shared" si="138"/>
        <v>3.5</v>
      </c>
      <c r="AW251" s="589"/>
      <c r="AX251" s="589"/>
      <c r="AY251" s="589">
        <v>3.5</v>
      </c>
      <c r="AZ251" s="589"/>
      <c r="BA251" s="589"/>
      <c r="BB251" s="589"/>
      <c r="BC251" s="589"/>
      <c r="BD251" s="548">
        <f t="shared" si="139"/>
        <v>3.5</v>
      </c>
      <c r="BE251" s="61"/>
      <c r="BF251" s="61"/>
      <c r="BG251" s="61"/>
      <c r="BH251" s="61"/>
      <c r="BI251" s="61"/>
      <c r="BJ251" s="61">
        <f t="shared" si="133"/>
        <v>0</v>
      </c>
      <c r="BK251" s="61"/>
      <c r="BL251" s="42"/>
      <c r="BM251" s="3"/>
    </row>
    <row r="252" spans="1:65" ht="44.25" hidden="1" customHeight="1" x14ac:dyDescent="0.2">
      <c r="A252" s="298" t="s">
        <v>491</v>
      </c>
      <c r="B252" s="299" t="s">
        <v>489</v>
      </c>
      <c r="C252" s="1547"/>
      <c r="D252" s="1551"/>
      <c r="E252" s="1551"/>
      <c r="F252" s="1551"/>
      <c r="G252" s="1551"/>
      <c r="H252" s="1551"/>
      <c r="I252" s="1425"/>
      <c r="J252" s="1425"/>
      <c r="K252" s="1425" t="s">
        <v>772</v>
      </c>
      <c r="L252" s="301" t="s">
        <v>496</v>
      </c>
      <c r="M252" s="1425" t="s">
        <v>497</v>
      </c>
      <c r="N252" s="476"/>
      <c r="O252" s="1425" t="s">
        <v>47</v>
      </c>
      <c r="P252" s="1425"/>
      <c r="Q252" s="16" t="s">
        <v>773</v>
      </c>
      <c r="R252" s="302" t="s">
        <v>699</v>
      </c>
      <c r="S252" s="303">
        <v>2015</v>
      </c>
      <c r="T252" s="303">
        <v>0</v>
      </c>
      <c r="U252" s="303">
        <v>0</v>
      </c>
      <c r="V252" s="303">
        <v>1</v>
      </c>
      <c r="W252" s="303">
        <v>0</v>
      </c>
      <c r="X252" s="303">
        <v>0</v>
      </c>
      <c r="Y252" s="303">
        <v>1</v>
      </c>
      <c r="Z252" s="579"/>
      <c r="AA252" s="579"/>
      <c r="AB252" s="579"/>
      <c r="AC252" s="579"/>
      <c r="AD252" s="579"/>
      <c r="AE252" s="579"/>
      <c r="AF252" s="579"/>
      <c r="AG252" s="481">
        <f t="shared" si="136"/>
        <v>0</v>
      </c>
      <c r="AH252" s="492">
        <v>0.5</v>
      </c>
      <c r="AI252" s="589"/>
      <c r="AJ252" s="589"/>
      <c r="AK252" s="589"/>
      <c r="AL252" s="589"/>
      <c r="AM252" s="589"/>
      <c r="AN252" s="548">
        <f t="shared" si="137"/>
        <v>0.5</v>
      </c>
      <c r="AO252" s="579"/>
      <c r="AP252" s="579"/>
      <c r="AQ252" s="579"/>
      <c r="AR252" s="579"/>
      <c r="AS252" s="579"/>
      <c r="AT252" s="579"/>
      <c r="AU252" s="579"/>
      <c r="AV252" s="481">
        <f t="shared" si="138"/>
        <v>0</v>
      </c>
      <c r="AW252" s="589"/>
      <c r="AX252" s="589"/>
      <c r="AY252" s="589"/>
      <c r="AZ252" s="589"/>
      <c r="BA252" s="589"/>
      <c r="BB252" s="589"/>
      <c r="BC252" s="589"/>
      <c r="BD252" s="548">
        <f t="shared" si="139"/>
        <v>0</v>
      </c>
      <c r="BE252" s="61">
        <f t="shared" ref="BE252:BI277" si="149">+AW252+AO252+AH252+Z252</f>
        <v>0.5</v>
      </c>
      <c r="BF252" s="61">
        <f t="shared" si="149"/>
        <v>0</v>
      </c>
      <c r="BG252" s="61">
        <f t="shared" si="149"/>
        <v>0</v>
      </c>
      <c r="BH252" s="61">
        <f t="shared" si="149"/>
        <v>0</v>
      </c>
      <c r="BI252" s="61">
        <f t="shared" si="149"/>
        <v>0</v>
      </c>
      <c r="BJ252" s="61">
        <f t="shared" si="133"/>
        <v>0</v>
      </c>
      <c r="BK252" s="61">
        <f t="shared" ref="BK252:BL277" si="150">+BC252+AU252+AM252+AF252</f>
        <v>0</v>
      </c>
      <c r="BL252" s="42">
        <f t="shared" si="150"/>
        <v>0.5</v>
      </c>
      <c r="BM252" s="3"/>
    </row>
    <row r="253" spans="1:65" ht="42.75" hidden="1" customHeight="1" x14ac:dyDescent="0.2">
      <c r="A253" s="298" t="s">
        <v>491</v>
      </c>
      <c r="B253" s="299" t="s">
        <v>489</v>
      </c>
      <c r="C253" s="1547"/>
      <c r="D253" s="1551"/>
      <c r="E253" s="1551"/>
      <c r="F253" s="1551"/>
      <c r="G253" s="1551"/>
      <c r="H253" s="1551"/>
      <c r="I253" s="1425"/>
      <c r="J253" s="1425"/>
      <c r="K253" s="1425" t="s">
        <v>774</v>
      </c>
      <c r="L253" s="301" t="s">
        <v>496</v>
      </c>
      <c r="M253" s="1425" t="s">
        <v>497</v>
      </c>
      <c r="N253" s="476"/>
      <c r="O253" s="1425" t="s">
        <v>47</v>
      </c>
      <c r="P253" s="1425"/>
      <c r="Q253" s="16" t="s">
        <v>775</v>
      </c>
      <c r="R253" s="302" t="s">
        <v>776</v>
      </c>
      <c r="S253" s="303">
        <v>2015</v>
      </c>
      <c r="T253" s="303">
        <v>1</v>
      </c>
      <c r="U253" s="303">
        <v>1</v>
      </c>
      <c r="V253" s="303">
        <v>1</v>
      </c>
      <c r="W253" s="303">
        <v>1</v>
      </c>
      <c r="X253" s="303">
        <v>1</v>
      </c>
      <c r="Y253" s="303">
        <v>4</v>
      </c>
      <c r="Z253" s="579">
        <v>1.5</v>
      </c>
      <c r="AA253" s="579"/>
      <c r="AB253" s="579"/>
      <c r="AC253" s="579"/>
      <c r="AD253" s="579"/>
      <c r="AE253" s="579"/>
      <c r="AF253" s="579"/>
      <c r="AG253" s="481">
        <f t="shared" si="136"/>
        <v>1.5</v>
      </c>
      <c r="AH253" s="589">
        <v>1.5</v>
      </c>
      <c r="AI253" s="589"/>
      <c r="AJ253" s="589"/>
      <c r="AK253" s="589"/>
      <c r="AL253" s="589"/>
      <c r="AM253" s="589"/>
      <c r="AN253" s="548">
        <f t="shared" si="137"/>
        <v>1.5</v>
      </c>
      <c r="AO253" s="579">
        <v>1.5</v>
      </c>
      <c r="AP253" s="579"/>
      <c r="AQ253" s="579"/>
      <c r="AR253" s="579"/>
      <c r="AS253" s="579"/>
      <c r="AT253" s="579"/>
      <c r="AU253" s="579"/>
      <c r="AV253" s="481">
        <f t="shared" si="138"/>
        <v>1.5</v>
      </c>
      <c r="AW253" s="589">
        <v>1.5</v>
      </c>
      <c r="AX253" s="589"/>
      <c r="AY253" s="589"/>
      <c r="AZ253" s="589"/>
      <c r="BA253" s="589"/>
      <c r="BB253" s="589"/>
      <c r="BC253" s="589"/>
      <c r="BD253" s="548">
        <f t="shared" si="139"/>
        <v>1.5</v>
      </c>
      <c r="BE253" s="61">
        <f t="shared" si="149"/>
        <v>6</v>
      </c>
      <c r="BF253" s="61">
        <f t="shared" si="149"/>
        <v>0</v>
      </c>
      <c r="BG253" s="61">
        <f t="shared" si="149"/>
        <v>0</v>
      </c>
      <c r="BH253" s="61">
        <f t="shared" si="149"/>
        <v>0</v>
      </c>
      <c r="BI253" s="61">
        <f t="shared" si="149"/>
        <v>0</v>
      </c>
      <c r="BJ253" s="61">
        <f t="shared" si="133"/>
        <v>0</v>
      </c>
      <c r="BK253" s="61">
        <f t="shared" si="150"/>
        <v>0</v>
      </c>
      <c r="BL253" s="42">
        <f t="shared" si="150"/>
        <v>6</v>
      </c>
      <c r="BM253" s="3"/>
    </row>
    <row r="254" spans="1:65" ht="60.75" hidden="1" customHeight="1" x14ac:dyDescent="0.2">
      <c r="A254" s="298" t="s">
        <v>491</v>
      </c>
      <c r="B254" s="299" t="s">
        <v>489</v>
      </c>
      <c r="C254" s="1547"/>
      <c r="D254" s="1551"/>
      <c r="E254" s="1551"/>
      <c r="F254" s="1551"/>
      <c r="G254" s="1551"/>
      <c r="H254" s="1551"/>
      <c r="I254" s="1425"/>
      <c r="J254" s="1425"/>
      <c r="K254" s="1425" t="s">
        <v>777</v>
      </c>
      <c r="L254" s="301" t="s">
        <v>496</v>
      </c>
      <c r="M254" s="1425" t="s">
        <v>497</v>
      </c>
      <c r="N254" s="476"/>
      <c r="O254" s="1425" t="s">
        <v>73</v>
      </c>
      <c r="P254" s="1425"/>
      <c r="Q254" s="16" t="s">
        <v>778</v>
      </c>
      <c r="R254" s="302" t="s">
        <v>779</v>
      </c>
      <c r="S254" s="303">
        <v>2015</v>
      </c>
      <c r="T254" s="303">
        <v>0</v>
      </c>
      <c r="U254" s="303">
        <v>1</v>
      </c>
      <c r="V254" s="303">
        <v>1</v>
      </c>
      <c r="W254" s="303">
        <v>1</v>
      </c>
      <c r="X254" s="303">
        <v>1</v>
      </c>
      <c r="Y254" s="303">
        <v>1</v>
      </c>
      <c r="Z254" s="492">
        <v>2.63</v>
      </c>
      <c r="AA254" s="579"/>
      <c r="AB254" s="579"/>
      <c r="AC254" s="579"/>
      <c r="AD254" s="579"/>
      <c r="AE254" s="579"/>
      <c r="AF254" s="579"/>
      <c r="AG254" s="481">
        <f t="shared" si="136"/>
        <v>2.63</v>
      </c>
      <c r="AH254" s="492">
        <v>0.5</v>
      </c>
      <c r="AI254" s="589"/>
      <c r="AJ254" s="589"/>
      <c r="AK254" s="589"/>
      <c r="AL254" s="589"/>
      <c r="AM254" s="589"/>
      <c r="AN254" s="548">
        <f t="shared" si="137"/>
        <v>0.5</v>
      </c>
      <c r="AO254" s="492">
        <v>0.5</v>
      </c>
      <c r="AP254" s="579"/>
      <c r="AQ254" s="579"/>
      <c r="AR254" s="579"/>
      <c r="AS254" s="579"/>
      <c r="AT254" s="579"/>
      <c r="AU254" s="579"/>
      <c r="AV254" s="481">
        <f t="shared" si="138"/>
        <v>0.5</v>
      </c>
      <c r="AW254" s="492">
        <v>0.5</v>
      </c>
      <c r="AX254" s="589"/>
      <c r="AY254" s="589"/>
      <c r="AZ254" s="589"/>
      <c r="BA254" s="589"/>
      <c r="BB254" s="589"/>
      <c r="BC254" s="589"/>
      <c r="BD254" s="548">
        <f t="shared" si="139"/>
        <v>0.5</v>
      </c>
      <c r="BE254" s="61">
        <f t="shared" si="149"/>
        <v>4.13</v>
      </c>
      <c r="BF254" s="61">
        <f t="shared" si="149"/>
        <v>0</v>
      </c>
      <c r="BG254" s="61">
        <f t="shared" si="149"/>
        <v>0</v>
      </c>
      <c r="BH254" s="61">
        <f t="shared" si="149"/>
        <v>0</v>
      </c>
      <c r="BI254" s="61">
        <f t="shared" si="149"/>
        <v>0</v>
      </c>
      <c r="BJ254" s="61">
        <f t="shared" si="133"/>
        <v>0</v>
      </c>
      <c r="BK254" s="61">
        <f t="shared" si="150"/>
        <v>0</v>
      </c>
      <c r="BL254" s="42">
        <f t="shared" si="150"/>
        <v>4.13</v>
      </c>
      <c r="BM254" s="3"/>
    </row>
    <row r="255" spans="1:65" ht="42" hidden="1" customHeight="1" x14ac:dyDescent="0.2">
      <c r="A255" s="298" t="s">
        <v>491</v>
      </c>
      <c r="B255" s="299" t="s">
        <v>489</v>
      </c>
      <c r="C255" s="1547"/>
      <c r="D255" s="1551"/>
      <c r="E255" s="1551"/>
      <c r="F255" s="1551"/>
      <c r="G255" s="1551"/>
      <c r="H255" s="1551"/>
      <c r="I255" s="1425"/>
      <c r="J255" s="1425"/>
      <c r="K255" s="1425" t="s">
        <v>780</v>
      </c>
      <c r="L255" s="301" t="s">
        <v>496</v>
      </c>
      <c r="M255" s="1425" t="s">
        <v>497</v>
      </c>
      <c r="N255" s="476"/>
      <c r="O255" s="1425" t="s">
        <v>73</v>
      </c>
      <c r="P255" s="1425"/>
      <c r="Q255" s="16" t="s">
        <v>781</v>
      </c>
      <c r="R255" s="302" t="s">
        <v>782</v>
      </c>
      <c r="S255" s="303">
        <v>2015</v>
      </c>
      <c r="T255" s="303">
        <v>1</v>
      </c>
      <c r="U255" s="303">
        <v>1</v>
      </c>
      <c r="V255" s="303">
        <v>1</v>
      </c>
      <c r="W255" s="303">
        <v>1</v>
      </c>
      <c r="X255" s="303">
        <v>1</v>
      </c>
      <c r="Y255" s="303">
        <v>1</v>
      </c>
      <c r="Z255" s="579">
        <v>1.37</v>
      </c>
      <c r="AA255" s="579"/>
      <c r="AB255" s="579"/>
      <c r="AC255" s="579"/>
      <c r="AD255" s="579"/>
      <c r="AE255" s="579"/>
      <c r="AF255" s="579"/>
      <c r="AG255" s="481">
        <f t="shared" si="136"/>
        <v>1.37</v>
      </c>
      <c r="AH255" s="492">
        <v>1</v>
      </c>
      <c r="AI255" s="589"/>
      <c r="AJ255" s="589"/>
      <c r="AK255" s="589"/>
      <c r="AL255" s="589"/>
      <c r="AM255" s="589"/>
      <c r="AN255" s="548">
        <f t="shared" si="137"/>
        <v>1</v>
      </c>
      <c r="AO255" s="579">
        <v>1.5</v>
      </c>
      <c r="AP255" s="579"/>
      <c r="AQ255" s="579"/>
      <c r="AR255" s="579"/>
      <c r="AS255" s="579"/>
      <c r="AT255" s="579"/>
      <c r="AU255" s="579"/>
      <c r="AV255" s="481">
        <f t="shared" si="138"/>
        <v>1.5</v>
      </c>
      <c r="AW255" s="589">
        <v>1.5</v>
      </c>
      <c r="AX255" s="589"/>
      <c r="AY255" s="589"/>
      <c r="AZ255" s="589"/>
      <c r="BA255" s="589"/>
      <c r="BB255" s="589"/>
      <c r="BC255" s="589"/>
      <c r="BD255" s="548">
        <f t="shared" si="139"/>
        <v>1.5</v>
      </c>
      <c r="BE255" s="61">
        <f t="shared" si="149"/>
        <v>5.37</v>
      </c>
      <c r="BF255" s="61">
        <f t="shared" si="149"/>
        <v>0</v>
      </c>
      <c r="BG255" s="61">
        <f t="shared" si="149"/>
        <v>0</v>
      </c>
      <c r="BH255" s="61">
        <f t="shared" si="149"/>
        <v>0</v>
      </c>
      <c r="BI255" s="61">
        <f t="shared" si="149"/>
        <v>0</v>
      </c>
      <c r="BJ255" s="61">
        <f t="shared" si="133"/>
        <v>0</v>
      </c>
      <c r="BK255" s="61">
        <f t="shared" si="150"/>
        <v>0</v>
      </c>
      <c r="BL255" s="42">
        <f t="shared" si="150"/>
        <v>5.37</v>
      </c>
      <c r="BM255" s="3"/>
    </row>
    <row r="256" spans="1:65" ht="39.75" hidden="1" customHeight="1" x14ac:dyDescent="0.2">
      <c r="A256" s="298" t="s">
        <v>491</v>
      </c>
      <c r="B256" s="299" t="s">
        <v>489</v>
      </c>
      <c r="C256" s="1547"/>
      <c r="D256" s="1551"/>
      <c r="E256" s="1551"/>
      <c r="F256" s="1551"/>
      <c r="G256" s="1551"/>
      <c r="H256" s="1551"/>
      <c r="I256" s="1425"/>
      <c r="J256" s="1425"/>
      <c r="K256" s="1425" t="s">
        <v>783</v>
      </c>
      <c r="L256" s="301" t="s">
        <v>496</v>
      </c>
      <c r="M256" s="1425" t="s">
        <v>497</v>
      </c>
      <c r="N256" s="476"/>
      <c r="O256" s="1425" t="s">
        <v>47</v>
      </c>
      <c r="P256" s="1425"/>
      <c r="Q256" s="16" t="s">
        <v>784</v>
      </c>
      <c r="R256" s="302" t="s">
        <v>720</v>
      </c>
      <c r="S256" s="303">
        <v>2015</v>
      </c>
      <c r="T256" s="303">
        <v>0</v>
      </c>
      <c r="U256" s="303">
        <v>0</v>
      </c>
      <c r="V256" s="303">
        <v>1</v>
      </c>
      <c r="W256" s="303">
        <v>0</v>
      </c>
      <c r="X256" s="303">
        <v>0</v>
      </c>
      <c r="Y256" s="303">
        <v>1</v>
      </c>
      <c r="Z256" s="579"/>
      <c r="AA256" s="579"/>
      <c r="AB256" s="492"/>
      <c r="AC256" s="579"/>
      <c r="AD256" s="579"/>
      <c r="AE256" s="579"/>
      <c r="AF256" s="579"/>
      <c r="AG256" s="481">
        <f t="shared" si="136"/>
        <v>0</v>
      </c>
      <c r="AH256" s="492">
        <v>0.5</v>
      </c>
      <c r="AI256" s="589"/>
      <c r="AJ256" s="588"/>
      <c r="AK256" s="589"/>
      <c r="AL256" s="589"/>
      <c r="AM256" s="589"/>
      <c r="AN256" s="548">
        <f t="shared" si="137"/>
        <v>0.5</v>
      </c>
      <c r="AO256" s="579"/>
      <c r="AP256" s="579"/>
      <c r="AQ256" s="482"/>
      <c r="AR256" s="579"/>
      <c r="AS256" s="579"/>
      <c r="AT256" s="579"/>
      <c r="AU256" s="579"/>
      <c r="AV256" s="481">
        <f t="shared" si="138"/>
        <v>0</v>
      </c>
      <c r="AW256" s="589"/>
      <c r="AX256" s="589"/>
      <c r="AY256" s="588"/>
      <c r="AZ256" s="589"/>
      <c r="BA256" s="589"/>
      <c r="BB256" s="589"/>
      <c r="BC256" s="589"/>
      <c r="BD256" s="548">
        <f t="shared" si="139"/>
        <v>0</v>
      </c>
      <c r="BE256" s="61">
        <f t="shared" si="149"/>
        <v>0.5</v>
      </c>
      <c r="BF256" s="61">
        <f t="shared" si="149"/>
        <v>0</v>
      </c>
      <c r="BG256" s="29">
        <f t="shared" si="149"/>
        <v>0</v>
      </c>
      <c r="BH256" s="61">
        <f t="shared" si="149"/>
        <v>0</v>
      </c>
      <c r="BI256" s="61">
        <f t="shared" si="149"/>
        <v>0</v>
      </c>
      <c r="BJ256" s="61">
        <f t="shared" si="133"/>
        <v>0</v>
      </c>
      <c r="BK256" s="61">
        <f t="shared" si="150"/>
        <v>0</v>
      </c>
      <c r="BL256" s="42">
        <f t="shared" si="150"/>
        <v>0.5</v>
      </c>
      <c r="BM256" s="3"/>
    </row>
    <row r="257" spans="1:65" ht="46.5" hidden="1" customHeight="1" x14ac:dyDescent="0.2">
      <c r="A257" s="298" t="s">
        <v>491</v>
      </c>
      <c r="B257" s="299" t="s">
        <v>489</v>
      </c>
      <c r="C257" s="1547"/>
      <c r="D257" s="1551"/>
      <c r="E257" s="1551"/>
      <c r="F257" s="1551"/>
      <c r="G257" s="1551"/>
      <c r="H257" s="1551"/>
      <c r="I257" s="1425"/>
      <c r="J257" s="1425"/>
      <c r="K257" s="1425" t="s">
        <v>785</v>
      </c>
      <c r="L257" s="301" t="s">
        <v>496</v>
      </c>
      <c r="M257" s="1425" t="s">
        <v>497</v>
      </c>
      <c r="N257" s="476"/>
      <c r="O257" s="1425" t="s">
        <v>73</v>
      </c>
      <c r="P257" s="1425"/>
      <c r="Q257" s="16" t="s">
        <v>786</v>
      </c>
      <c r="R257" s="302" t="s">
        <v>787</v>
      </c>
      <c r="S257" s="303">
        <v>2015</v>
      </c>
      <c r="T257" s="303">
        <v>1</v>
      </c>
      <c r="U257" s="303">
        <v>1</v>
      </c>
      <c r="V257" s="303">
        <v>1</v>
      </c>
      <c r="W257" s="303">
        <v>1</v>
      </c>
      <c r="X257" s="303">
        <v>1</v>
      </c>
      <c r="Y257" s="303">
        <v>1</v>
      </c>
      <c r="Z257" s="579">
        <v>2</v>
      </c>
      <c r="AA257" s="579"/>
      <c r="AB257" s="579"/>
      <c r="AC257" s="579"/>
      <c r="AD257" s="579"/>
      <c r="AE257" s="579"/>
      <c r="AF257" s="579"/>
      <c r="AG257" s="481">
        <f t="shared" si="136"/>
        <v>2</v>
      </c>
      <c r="AH257" s="589">
        <v>2</v>
      </c>
      <c r="AI257" s="589"/>
      <c r="AJ257" s="589"/>
      <c r="AK257" s="589"/>
      <c r="AL257" s="589"/>
      <c r="AM257" s="589"/>
      <c r="AN257" s="548">
        <f t="shared" si="137"/>
        <v>2</v>
      </c>
      <c r="AO257" s="579">
        <v>2</v>
      </c>
      <c r="AP257" s="579"/>
      <c r="AQ257" s="579"/>
      <c r="AR257" s="579"/>
      <c r="AS257" s="579"/>
      <c r="AT257" s="579"/>
      <c r="AU257" s="579"/>
      <c r="AV257" s="481">
        <f t="shared" si="138"/>
        <v>2</v>
      </c>
      <c r="AW257" s="589">
        <v>2</v>
      </c>
      <c r="AX257" s="589"/>
      <c r="AY257" s="589"/>
      <c r="AZ257" s="589"/>
      <c r="BA257" s="589"/>
      <c r="BB257" s="589"/>
      <c r="BC257" s="589"/>
      <c r="BD257" s="548">
        <f t="shared" si="139"/>
        <v>2</v>
      </c>
      <c r="BE257" s="61">
        <f t="shared" si="149"/>
        <v>8</v>
      </c>
      <c r="BF257" s="61">
        <f t="shared" si="149"/>
        <v>0</v>
      </c>
      <c r="BG257" s="61">
        <f t="shared" si="149"/>
        <v>0</v>
      </c>
      <c r="BH257" s="61">
        <f t="shared" si="149"/>
        <v>0</v>
      </c>
      <c r="BI257" s="61">
        <f t="shared" si="149"/>
        <v>0</v>
      </c>
      <c r="BJ257" s="61">
        <f t="shared" si="133"/>
        <v>0</v>
      </c>
      <c r="BK257" s="61">
        <f t="shared" si="150"/>
        <v>0</v>
      </c>
      <c r="BL257" s="42">
        <f t="shared" si="150"/>
        <v>8</v>
      </c>
      <c r="BM257" s="3"/>
    </row>
    <row r="258" spans="1:65" ht="48" hidden="1" customHeight="1" x14ac:dyDescent="0.2">
      <c r="A258" s="298" t="s">
        <v>491</v>
      </c>
      <c r="B258" s="299" t="s">
        <v>489</v>
      </c>
      <c r="C258" s="1547"/>
      <c r="D258" s="1551"/>
      <c r="E258" s="1551"/>
      <c r="F258" s="1551"/>
      <c r="G258" s="1551"/>
      <c r="H258" s="1551"/>
      <c r="I258" s="1425"/>
      <c r="J258" s="1425"/>
      <c r="K258" s="1425" t="s">
        <v>788</v>
      </c>
      <c r="L258" s="301" t="s">
        <v>496</v>
      </c>
      <c r="M258" s="1425" t="s">
        <v>497</v>
      </c>
      <c r="N258" s="476"/>
      <c r="O258" s="1425" t="s">
        <v>73</v>
      </c>
      <c r="P258" s="1425"/>
      <c r="Q258" s="16" t="s">
        <v>789</v>
      </c>
      <c r="R258" s="302" t="s">
        <v>790</v>
      </c>
      <c r="S258" s="303">
        <v>2015</v>
      </c>
      <c r="T258" s="303">
        <v>1</v>
      </c>
      <c r="U258" s="303">
        <v>1</v>
      </c>
      <c r="V258" s="303">
        <v>1</v>
      </c>
      <c r="W258" s="303">
        <v>1</v>
      </c>
      <c r="X258" s="303">
        <v>1</v>
      </c>
      <c r="Y258" s="303">
        <v>1</v>
      </c>
      <c r="Z258" s="579">
        <v>3</v>
      </c>
      <c r="AA258" s="579"/>
      <c r="AB258" s="579">
        <v>2</v>
      </c>
      <c r="AC258" s="579"/>
      <c r="AD258" s="579"/>
      <c r="AE258" s="579"/>
      <c r="AF258" s="579"/>
      <c r="AG258" s="481">
        <f t="shared" si="136"/>
        <v>5</v>
      </c>
      <c r="AH258" s="589">
        <v>3</v>
      </c>
      <c r="AI258" s="589"/>
      <c r="AJ258" s="589">
        <v>2</v>
      </c>
      <c r="AK258" s="589"/>
      <c r="AL258" s="589"/>
      <c r="AM258" s="589"/>
      <c r="AN258" s="548">
        <f t="shared" si="137"/>
        <v>5</v>
      </c>
      <c r="AO258" s="579">
        <v>3</v>
      </c>
      <c r="AP258" s="579"/>
      <c r="AQ258" s="579">
        <v>2</v>
      </c>
      <c r="AR258" s="579"/>
      <c r="AS258" s="579"/>
      <c r="AT258" s="579"/>
      <c r="AU258" s="579"/>
      <c r="AV258" s="481">
        <f t="shared" si="138"/>
        <v>5</v>
      </c>
      <c r="AW258" s="589">
        <v>3</v>
      </c>
      <c r="AX258" s="589"/>
      <c r="AY258" s="589">
        <v>2</v>
      </c>
      <c r="AZ258" s="589"/>
      <c r="BA258" s="589"/>
      <c r="BB258" s="589"/>
      <c r="BC258" s="589"/>
      <c r="BD258" s="548">
        <f t="shared" si="139"/>
        <v>5</v>
      </c>
      <c r="BE258" s="61">
        <f t="shared" si="149"/>
        <v>12</v>
      </c>
      <c r="BF258" s="61">
        <f t="shared" si="149"/>
        <v>0</v>
      </c>
      <c r="BG258" s="61">
        <f t="shared" si="149"/>
        <v>8</v>
      </c>
      <c r="BH258" s="61">
        <f t="shared" si="149"/>
        <v>0</v>
      </c>
      <c r="BI258" s="61">
        <f t="shared" si="149"/>
        <v>0</v>
      </c>
      <c r="BJ258" s="61">
        <f t="shared" si="133"/>
        <v>0</v>
      </c>
      <c r="BK258" s="61">
        <f t="shared" si="150"/>
        <v>0</v>
      </c>
      <c r="BL258" s="42">
        <f t="shared" si="150"/>
        <v>20</v>
      </c>
      <c r="BM258" s="3"/>
    </row>
    <row r="259" spans="1:65" ht="32.25" hidden="1" customHeight="1" x14ac:dyDescent="0.2">
      <c r="A259" s="298" t="s">
        <v>491</v>
      </c>
      <c r="B259" s="299" t="s">
        <v>489</v>
      </c>
      <c r="C259" s="1547"/>
      <c r="D259" s="1551"/>
      <c r="E259" s="1551"/>
      <c r="F259" s="1551"/>
      <c r="G259" s="1551"/>
      <c r="H259" s="1551"/>
      <c r="I259" s="1425"/>
      <c r="J259" s="1425"/>
      <c r="K259" s="1425" t="s">
        <v>791</v>
      </c>
      <c r="L259" s="301" t="s">
        <v>496</v>
      </c>
      <c r="M259" s="1425" t="s">
        <v>497</v>
      </c>
      <c r="N259" s="476"/>
      <c r="O259" s="1425" t="s">
        <v>47</v>
      </c>
      <c r="P259" s="1425"/>
      <c r="Q259" s="16" t="s">
        <v>792</v>
      </c>
      <c r="R259" s="302" t="s">
        <v>793</v>
      </c>
      <c r="S259" s="303">
        <v>2015</v>
      </c>
      <c r="T259" s="303">
        <v>1</v>
      </c>
      <c r="U259" s="303">
        <v>1</v>
      </c>
      <c r="V259" s="303">
        <v>1</v>
      </c>
      <c r="W259" s="303">
        <v>1</v>
      </c>
      <c r="X259" s="303">
        <v>1</v>
      </c>
      <c r="Y259" s="303">
        <v>4</v>
      </c>
      <c r="Z259" s="492">
        <v>5</v>
      </c>
      <c r="AA259" s="579"/>
      <c r="AB259" s="579"/>
      <c r="AC259" s="579"/>
      <c r="AD259" s="579"/>
      <c r="AE259" s="579"/>
      <c r="AF259" s="579"/>
      <c r="AG259" s="481">
        <f t="shared" si="136"/>
        <v>5</v>
      </c>
      <c r="AH259" s="492">
        <v>0.5</v>
      </c>
      <c r="AI259" s="589"/>
      <c r="AJ259" s="589"/>
      <c r="AK259" s="589"/>
      <c r="AL259" s="589"/>
      <c r="AM259" s="589"/>
      <c r="AN259" s="548">
        <f t="shared" si="137"/>
        <v>0.5</v>
      </c>
      <c r="AO259" s="492">
        <v>0.5</v>
      </c>
      <c r="AP259" s="579"/>
      <c r="AQ259" s="579"/>
      <c r="AR259" s="579"/>
      <c r="AS259" s="579"/>
      <c r="AT259" s="579"/>
      <c r="AU259" s="579"/>
      <c r="AV259" s="481">
        <f t="shared" si="138"/>
        <v>0.5</v>
      </c>
      <c r="AW259" s="492">
        <v>1.5</v>
      </c>
      <c r="AX259" s="589"/>
      <c r="AY259" s="589"/>
      <c r="AZ259" s="589"/>
      <c r="BA259" s="589"/>
      <c r="BB259" s="589"/>
      <c r="BC259" s="589"/>
      <c r="BD259" s="548">
        <f t="shared" si="139"/>
        <v>1.5</v>
      </c>
      <c r="BE259" s="61">
        <f t="shared" si="149"/>
        <v>7.5</v>
      </c>
      <c r="BF259" s="61">
        <f t="shared" si="149"/>
        <v>0</v>
      </c>
      <c r="BG259" s="61">
        <f t="shared" si="149"/>
        <v>0</v>
      </c>
      <c r="BH259" s="61">
        <f t="shared" si="149"/>
        <v>0</v>
      </c>
      <c r="BI259" s="61">
        <f t="shared" si="149"/>
        <v>0</v>
      </c>
      <c r="BJ259" s="61">
        <f t="shared" si="133"/>
        <v>0</v>
      </c>
      <c r="BK259" s="61">
        <f t="shared" si="150"/>
        <v>0</v>
      </c>
      <c r="BL259" s="42">
        <f t="shared" si="150"/>
        <v>7.5</v>
      </c>
      <c r="BM259" s="3"/>
    </row>
    <row r="260" spans="1:65" ht="47.25" hidden="1" customHeight="1" x14ac:dyDescent="0.2">
      <c r="A260" s="298" t="s">
        <v>491</v>
      </c>
      <c r="B260" s="299" t="s">
        <v>489</v>
      </c>
      <c r="C260" s="1548"/>
      <c r="D260" s="1552"/>
      <c r="E260" s="1552"/>
      <c r="F260" s="1552"/>
      <c r="G260" s="1552"/>
      <c r="H260" s="1552"/>
      <c r="I260" s="1425"/>
      <c r="J260" s="1425"/>
      <c r="K260" s="1425" t="s">
        <v>794</v>
      </c>
      <c r="L260" s="301" t="s">
        <v>496</v>
      </c>
      <c r="M260" s="1425" t="s">
        <v>497</v>
      </c>
      <c r="N260" s="476"/>
      <c r="O260" s="1425" t="s">
        <v>47</v>
      </c>
      <c r="P260" s="1425"/>
      <c r="Q260" s="16" t="s">
        <v>795</v>
      </c>
      <c r="R260" s="302" t="s">
        <v>796</v>
      </c>
      <c r="S260" s="303">
        <v>2015</v>
      </c>
      <c r="T260" s="303">
        <v>0</v>
      </c>
      <c r="U260" s="303">
        <v>1</v>
      </c>
      <c r="V260" s="303">
        <v>0</v>
      </c>
      <c r="W260" s="303">
        <v>0</v>
      </c>
      <c r="X260" s="303">
        <v>0</v>
      </c>
      <c r="Y260" s="303">
        <v>1</v>
      </c>
      <c r="Z260" s="481">
        <v>1</v>
      </c>
      <c r="AA260" s="481"/>
      <c r="AB260" s="481"/>
      <c r="AC260" s="481"/>
      <c r="AD260" s="481"/>
      <c r="AE260" s="481"/>
      <c r="AF260" s="481"/>
      <c r="AG260" s="481">
        <f t="shared" si="136"/>
        <v>1</v>
      </c>
      <c r="AH260" s="548">
        <v>1</v>
      </c>
      <c r="AI260" s="548"/>
      <c r="AJ260" s="548"/>
      <c r="AK260" s="548"/>
      <c r="AL260" s="548"/>
      <c r="AM260" s="548"/>
      <c r="AN260" s="548">
        <f t="shared" si="137"/>
        <v>1</v>
      </c>
      <c r="AO260" s="481">
        <v>1</v>
      </c>
      <c r="AP260" s="481"/>
      <c r="AQ260" s="481"/>
      <c r="AR260" s="481"/>
      <c r="AS260" s="481"/>
      <c r="AT260" s="481"/>
      <c r="AU260" s="481"/>
      <c r="AV260" s="481">
        <f t="shared" si="138"/>
        <v>1</v>
      </c>
      <c r="AW260" s="491"/>
      <c r="AX260" s="548"/>
      <c r="AY260" s="548"/>
      <c r="AZ260" s="548"/>
      <c r="BA260" s="548"/>
      <c r="BB260" s="548"/>
      <c r="BC260" s="548"/>
      <c r="BD260" s="548">
        <f t="shared" si="139"/>
        <v>0</v>
      </c>
      <c r="BE260" s="42">
        <f>+AW260+AO260+AH260+Z260</f>
        <v>3</v>
      </c>
      <c r="BF260" s="42">
        <f>+AX260+AP260+AI260+AA260</f>
        <v>0</v>
      </c>
      <c r="BG260" s="42">
        <f>+AY260+AQ260+AJ260+AB260</f>
        <v>0</v>
      </c>
      <c r="BH260" s="42">
        <f>+AZ260+AR260+AK260+AC260</f>
        <v>0</v>
      </c>
      <c r="BI260" s="42">
        <f>+BA260+AS260+AL260+AD260</f>
        <v>0</v>
      </c>
      <c r="BJ260" s="42">
        <f t="shared" si="133"/>
        <v>0</v>
      </c>
      <c r="BK260" s="42">
        <f>+BC260+AU260+AM260+AF260</f>
        <v>0</v>
      </c>
      <c r="BL260" s="42">
        <f>+BD260+AV260+AN260+AG260</f>
        <v>3</v>
      </c>
      <c r="BM260" s="3"/>
    </row>
    <row r="261" spans="1:65" ht="15" hidden="1" customHeight="1" x14ac:dyDescent="0.2">
      <c r="A261" s="1563" t="s">
        <v>797</v>
      </c>
      <c r="B261" s="1563"/>
      <c r="C261" s="1563"/>
      <c r="D261" s="1563"/>
      <c r="E261" s="1563"/>
      <c r="F261" s="1563"/>
      <c r="G261" s="1563"/>
      <c r="H261" s="1563"/>
      <c r="I261" s="1563"/>
      <c r="J261" s="1563"/>
      <c r="K261" s="1563"/>
      <c r="L261" s="1563"/>
      <c r="M261" s="1563"/>
      <c r="N261" s="1564"/>
      <c r="O261" s="8"/>
      <c r="P261" s="8"/>
      <c r="Q261" s="20"/>
      <c r="R261" s="20"/>
      <c r="S261" s="8"/>
      <c r="T261" s="8"/>
      <c r="U261" s="8"/>
      <c r="V261" s="65"/>
      <c r="W261" s="65"/>
      <c r="X261" s="65"/>
      <c r="Y261" s="65"/>
      <c r="Z261" s="36">
        <f t="shared" ref="Z261:AF261" si="151">+Z263+Z295+Z331+Z355</f>
        <v>472.8</v>
      </c>
      <c r="AA261" s="36">
        <f t="shared" si="151"/>
        <v>43.2</v>
      </c>
      <c r="AB261" s="36">
        <f t="shared" si="151"/>
        <v>412.6</v>
      </c>
      <c r="AC261" s="36">
        <f t="shared" si="151"/>
        <v>219</v>
      </c>
      <c r="AD261" s="36">
        <f t="shared" si="151"/>
        <v>0</v>
      </c>
      <c r="AE261" s="36">
        <f t="shared" si="151"/>
        <v>848</v>
      </c>
      <c r="AF261" s="36">
        <f t="shared" si="151"/>
        <v>650</v>
      </c>
      <c r="AG261" s="36">
        <f>SUM(Z261:AF261)</f>
        <v>2645.6</v>
      </c>
      <c r="AH261" s="36">
        <f t="shared" ref="AH261:AM261" si="152">+AH263+AH295+AH331+AH355</f>
        <v>279</v>
      </c>
      <c r="AI261" s="36">
        <f t="shared" si="152"/>
        <v>44.9</v>
      </c>
      <c r="AJ261" s="36">
        <f t="shared" si="152"/>
        <v>584</v>
      </c>
      <c r="AK261" s="36">
        <f t="shared" si="152"/>
        <v>200</v>
      </c>
      <c r="AL261" s="36">
        <f t="shared" si="152"/>
        <v>0</v>
      </c>
      <c r="AM261" s="36">
        <f t="shared" si="152"/>
        <v>3276</v>
      </c>
      <c r="AN261" s="36">
        <f>SUM(AH261:AM261)</f>
        <v>4383.8999999999996</v>
      </c>
      <c r="AO261" s="36">
        <f t="shared" ref="AO261:AU261" si="153">+AO263+AO295+AO331+AO355</f>
        <v>531</v>
      </c>
      <c r="AP261" s="36">
        <f t="shared" si="153"/>
        <v>46.7</v>
      </c>
      <c r="AQ261" s="36">
        <f>+AQ263+AQ295+AQ331+AQ355+AQ289</f>
        <v>443</v>
      </c>
      <c r="AR261" s="36">
        <f t="shared" si="153"/>
        <v>1400</v>
      </c>
      <c r="AS261" s="36">
        <f t="shared" si="153"/>
        <v>0</v>
      </c>
      <c r="AT261" s="36">
        <f t="shared" si="153"/>
        <v>0</v>
      </c>
      <c r="AU261" s="36">
        <f t="shared" si="153"/>
        <v>703.04000000000008</v>
      </c>
      <c r="AV261" s="36">
        <f>SUM(AO261:AU261)</f>
        <v>3123.74</v>
      </c>
      <c r="AW261" s="36">
        <f t="shared" ref="AW261:BC261" si="154">+AW263+AW295+AW331+AW355</f>
        <v>373.2</v>
      </c>
      <c r="AX261" s="36">
        <f t="shared" si="154"/>
        <v>48.6</v>
      </c>
      <c r="AY261" s="36">
        <f t="shared" si="154"/>
        <v>453.2</v>
      </c>
      <c r="AZ261" s="36">
        <f t="shared" si="154"/>
        <v>1500</v>
      </c>
      <c r="BA261" s="36">
        <f t="shared" si="154"/>
        <v>0</v>
      </c>
      <c r="BB261" s="36">
        <f t="shared" si="154"/>
        <v>0</v>
      </c>
      <c r="BC261" s="36">
        <f t="shared" si="154"/>
        <v>731.16160000000013</v>
      </c>
      <c r="BD261" s="36">
        <f>SUM(AW261:BC261)</f>
        <v>3106.1616000000004</v>
      </c>
      <c r="BE261" s="36">
        <f t="shared" si="149"/>
        <v>1656</v>
      </c>
      <c r="BF261" s="36">
        <f t="shared" si="149"/>
        <v>183.40000000000003</v>
      </c>
      <c r="BG261" s="36">
        <f t="shared" si="149"/>
        <v>1892.8000000000002</v>
      </c>
      <c r="BH261" s="36">
        <f t="shared" si="149"/>
        <v>3319</v>
      </c>
      <c r="BI261" s="36">
        <f t="shared" si="149"/>
        <v>0</v>
      </c>
      <c r="BJ261" s="36">
        <f t="shared" si="133"/>
        <v>848</v>
      </c>
      <c r="BK261" s="36">
        <f t="shared" si="150"/>
        <v>5360.2016000000003</v>
      </c>
      <c r="BL261" s="36">
        <f t="shared" si="150"/>
        <v>13259.401599999999</v>
      </c>
    </row>
    <row r="262" spans="1:65" ht="25.5" hidden="1" x14ac:dyDescent="0.2">
      <c r="B262" s="7" t="s">
        <v>798</v>
      </c>
      <c r="C262" s="18"/>
      <c r="D262" s="8"/>
      <c r="E262" s="8"/>
      <c r="F262" s="8"/>
      <c r="G262" s="8"/>
      <c r="H262" s="8"/>
      <c r="I262" s="8"/>
      <c r="J262" s="8"/>
      <c r="K262" s="8"/>
      <c r="L262" s="8"/>
      <c r="M262" s="8"/>
      <c r="N262" s="8"/>
      <c r="O262" s="8"/>
      <c r="P262" s="8"/>
      <c r="Q262" s="1438"/>
      <c r="R262" s="1438"/>
      <c r="S262" s="11"/>
      <c r="T262" s="11"/>
      <c r="U262" s="11"/>
      <c r="V262" s="47"/>
      <c r="W262" s="47"/>
      <c r="X262" s="47"/>
      <c r="Y262" s="47"/>
      <c r="Z262" s="32">
        <v>25</v>
      </c>
      <c r="AA262" s="32"/>
      <c r="AB262" s="32">
        <v>5</v>
      </c>
      <c r="AC262" s="32"/>
      <c r="AD262" s="32"/>
      <c r="AE262" s="32"/>
      <c r="AF262" s="32"/>
      <c r="AG262" s="32"/>
      <c r="AH262" s="32">
        <f>+Z262*1.04</f>
        <v>26</v>
      </c>
      <c r="AI262" s="32"/>
      <c r="AJ262" s="32">
        <f>+AB262*1.04</f>
        <v>5.2</v>
      </c>
      <c r="AK262" s="32"/>
      <c r="AL262" s="32"/>
      <c r="AM262" s="32"/>
      <c r="AN262" s="32"/>
      <c r="AO262" s="32">
        <f>+AH262*1.04</f>
        <v>27.04</v>
      </c>
      <c r="AP262" s="32"/>
      <c r="AQ262" s="32">
        <f>+AJ262*1.04</f>
        <v>5.4080000000000004</v>
      </c>
      <c r="AR262" s="32"/>
      <c r="AS262" s="32"/>
      <c r="AT262" s="32"/>
      <c r="AU262" s="32"/>
      <c r="AV262" s="32"/>
      <c r="AW262" s="31"/>
      <c r="AX262" s="31"/>
      <c r="AY262" s="31"/>
      <c r="AZ262" s="31"/>
      <c r="BA262" s="31"/>
      <c r="BB262" s="31"/>
      <c r="BC262" s="31"/>
      <c r="BD262" s="31"/>
      <c r="BE262" s="32">
        <f t="shared" si="149"/>
        <v>78.039999999999992</v>
      </c>
      <c r="BF262" s="32">
        <f t="shared" si="149"/>
        <v>0</v>
      </c>
      <c r="BG262" s="32">
        <f t="shared" si="149"/>
        <v>15.608000000000001</v>
      </c>
      <c r="BH262" s="32">
        <f t="shared" si="149"/>
        <v>0</v>
      </c>
      <c r="BI262" s="32">
        <f t="shared" si="149"/>
        <v>0</v>
      </c>
      <c r="BJ262" s="32">
        <f t="shared" si="133"/>
        <v>0</v>
      </c>
      <c r="BK262" s="32">
        <f t="shared" si="150"/>
        <v>0</v>
      </c>
      <c r="BL262" s="32">
        <f t="shared" si="150"/>
        <v>0</v>
      </c>
    </row>
    <row r="263" spans="1:65" ht="20.25" hidden="1" x14ac:dyDescent="0.2">
      <c r="A263" s="290"/>
      <c r="B263" s="1565" t="s">
        <v>798</v>
      </c>
      <c r="C263" s="1566"/>
      <c r="D263" s="1566"/>
      <c r="E263" s="1566"/>
      <c r="F263" s="1566"/>
      <c r="G263" s="1566"/>
      <c r="H263" s="1566"/>
      <c r="I263" s="1566"/>
      <c r="J263" s="1566"/>
      <c r="K263" s="1566"/>
      <c r="L263" s="1566"/>
      <c r="M263" s="1567"/>
      <c r="N263" s="597"/>
      <c r="O263" s="597"/>
      <c r="P263" s="597"/>
      <c r="Q263" s="598"/>
      <c r="R263" s="598"/>
      <c r="S263" s="597"/>
      <c r="T263" s="597"/>
      <c r="U263" s="597"/>
      <c r="V263" s="599"/>
      <c r="W263" s="599"/>
      <c r="X263" s="599"/>
      <c r="Y263" s="599"/>
      <c r="Z263" s="600">
        <f t="shared" ref="Z263:AF263" si="155">+Z264+Z276</f>
        <v>25</v>
      </c>
      <c r="AA263" s="600">
        <f t="shared" si="155"/>
        <v>0</v>
      </c>
      <c r="AB263" s="600">
        <f t="shared" si="155"/>
        <v>5</v>
      </c>
      <c r="AC263" s="600">
        <f t="shared" si="155"/>
        <v>0</v>
      </c>
      <c r="AD263" s="600">
        <f t="shared" si="155"/>
        <v>0</v>
      </c>
      <c r="AE263" s="600">
        <f t="shared" si="155"/>
        <v>0</v>
      </c>
      <c r="AF263" s="600">
        <f t="shared" si="155"/>
        <v>0</v>
      </c>
      <c r="AG263" s="600">
        <f t="shared" ref="AG263:AG288" si="156">SUM(Z263:AF263)</f>
        <v>30</v>
      </c>
      <c r="AH263" s="600">
        <f t="shared" ref="AH263:AM263" si="157">+AH264+AH276</f>
        <v>65</v>
      </c>
      <c r="AI263" s="600">
        <f t="shared" si="157"/>
        <v>0</v>
      </c>
      <c r="AJ263" s="600">
        <f>+AJ264+AJ276+AJ289</f>
        <v>5</v>
      </c>
      <c r="AK263" s="600">
        <f t="shared" si="157"/>
        <v>0</v>
      </c>
      <c r="AL263" s="600">
        <f t="shared" si="157"/>
        <v>0</v>
      </c>
      <c r="AM263" s="600">
        <f t="shared" si="157"/>
        <v>0</v>
      </c>
      <c r="AN263" s="600">
        <f t="shared" ref="AN263:AN288" si="158">SUM(AH263:AM263)</f>
        <v>70</v>
      </c>
      <c r="AO263" s="600">
        <f t="shared" ref="AO263:AU263" si="159">+AO264+AO276</f>
        <v>50</v>
      </c>
      <c r="AP263" s="600">
        <f t="shared" si="159"/>
        <v>0</v>
      </c>
      <c r="AQ263" s="600">
        <f t="shared" si="159"/>
        <v>4.5</v>
      </c>
      <c r="AR263" s="600">
        <f t="shared" si="159"/>
        <v>0</v>
      </c>
      <c r="AS263" s="600">
        <f t="shared" si="159"/>
        <v>0</v>
      </c>
      <c r="AT263" s="600">
        <f t="shared" si="159"/>
        <v>0</v>
      </c>
      <c r="AU263" s="600">
        <f t="shared" si="159"/>
        <v>0</v>
      </c>
      <c r="AV263" s="600">
        <f t="shared" ref="AV263:AV288" si="160">SUM(AO263:AU263)</f>
        <v>54.5</v>
      </c>
      <c r="AW263" s="600">
        <f t="shared" ref="AW263:BC263" si="161">+AW264+AW276</f>
        <v>50</v>
      </c>
      <c r="AX263" s="600">
        <f t="shared" si="161"/>
        <v>0</v>
      </c>
      <c r="AY263" s="600">
        <f>+AY264+AY276+AY289</f>
        <v>5.5</v>
      </c>
      <c r="AZ263" s="600">
        <f t="shared" si="161"/>
        <v>0</v>
      </c>
      <c r="BA263" s="600">
        <f t="shared" si="161"/>
        <v>0</v>
      </c>
      <c r="BB263" s="600">
        <f t="shared" si="161"/>
        <v>0</v>
      </c>
      <c r="BC263" s="600">
        <f t="shared" si="161"/>
        <v>0</v>
      </c>
      <c r="BD263" s="600">
        <f t="shared" ref="BD263:BD288" si="162">SUM(AW263:BC263)</f>
        <v>55.5</v>
      </c>
      <c r="BE263" s="33">
        <f t="shared" si="149"/>
        <v>190</v>
      </c>
      <c r="BF263" s="33">
        <f t="shared" si="149"/>
        <v>0</v>
      </c>
      <c r="BG263" s="33">
        <f t="shared" si="149"/>
        <v>20</v>
      </c>
      <c r="BH263" s="33">
        <f t="shared" si="149"/>
        <v>0</v>
      </c>
      <c r="BI263" s="33">
        <f t="shared" si="149"/>
        <v>0</v>
      </c>
      <c r="BJ263" s="33">
        <f t="shared" si="133"/>
        <v>0</v>
      </c>
      <c r="BK263" s="33">
        <f t="shared" si="150"/>
        <v>0</v>
      </c>
      <c r="BL263" s="33">
        <f t="shared" si="150"/>
        <v>210</v>
      </c>
    </row>
    <row r="264" spans="1:65" ht="25.5" hidden="1" x14ac:dyDescent="0.2">
      <c r="A264" s="296"/>
      <c r="B264" s="24" t="s">
        <v>798</v>
      </c>
      <c r="C264" s="6"/>
      <c r="D264" s="2" t="s">
        <v>799</v>
      </c>
      <c r="E264" s="1"/>
      <c r="F264" s="1"/>
      <c r="G264" s="1"/>
      <c r="H264" s="1"/>
      <c r="I264" s="1"/>
      <c r="J264" s="1"/>
      <c r="K264" s="1"/>
      <c r="L264" s="1"/>
      <c r="M264" s="1"/>
      <c r="N264" s="1"/>
      <c r="O264" s="1"/>
      <c r="P264" s="1"/>
      <c r="Q264" s="22"/>
      <c r="R264" s="22"/>
      <c r="S264" s="1"/>
      <c r="T264" s="1"/>
      <c r="U264" s="1"/>
      <c r="V264" s="49"/>
      <c r="W264" s="49"/>
      <c r="X264" s="49"/>
      <c r="Y264" s="49"/>
      <c r="Z264" s="34">
        <f t="shared" ref="Z264:AF264" si="163">SUM(Z265:Z275)</f>
        <v>20</v>
      </c>
      <c r="AA264" s="34">
        <f t="shared" si="163"/>
        <v>0</v>
      </c>
      <c r="AB264" s="34">
        <f t="shared" si="163"/>
        <v>4</v>
      </c>
      <c r="AC264" s="34">
        <f t="shared" si="163"/>
        <v>0</v>
      </c>
      <c r="AD264" s="34">
        <f t="shared" si="163"/>
        <v>0</v>
      </c>
      <c r="AE264" s="34">
        <f t="shared" si="163"/>
        <v>0</v>
      </c>
      <c r="AF264" s="34">
        <f t="shared" si="163"/>
        <v>0</v>
      </c>
      <c r="AG264" s="34">
        <f t="shared" si="156"/>
        <v>24</v>
      </c>
      <c r="AH264" s="34">
        <f t="shared" ref="AH264:AM264" si="164">SUM(AH265:AH275)</f>
        <v>55</v>
      </c>
      <c r="AI264" s="34">
        <f t="shared" si="164"/>
        <v>0</v>
      </c>
      <c r="AJ264" s="34">
        <f t="shared" si="164"/>
        <v>4</v>
      </c>
      <c r="AK264" s="34">
        <f t="shared" si="164"/>
        <v>0</v>
      </c>
      <c r="AL264" s="34">
        <f t="shared" si="164"/>
        <v>0</v>
      </c>
      <c r="AM264" s="34">
        <f t="shared" si="164"/>
        <v>0</v>
      </c>
      <c r="AN264" s="34">
        <f t="shared" si="158"/>
        <v>59</v>
      </c>
      <c r="AO264" s="34">
        <f t="shared" ref="AO264:AU264" si="165">SUM(AO265:AO275)</f>
        <v>40</v>
      </c>
      <c r="AP264" s="34">
        <f t="shared" si="165"/>
        <v>0</v>
      </c>
      <c r="AQ264" s="34">
        <f t="shared" si="165"/>
        <v>0</v>
      </c>
      <c r="AR264" s="34">
        <f t="shared" si="165"/>
        <v>0</v>
      </c>
      <c r="AS264" s="34">
        <f t="shared" si="165"/>
        <v>0</v>
      </c>
      <c r="AT264" s="34">
        <f t="shared" si="165"/>
        <v>0</v>
      </c>
      <c r="AU264" s="34">
        <f t="shared" si="165"/>
        <v>0</v>
      </c>
      <c r="AV264" s="34">
        <f t="shared" si="160"/>
        <v>40</v>
      </c>
      <c r="AW264" s="34">
        <f t="shared" ref="AW264:BC264" si="166">SUM(AW265:AW275)</f>
        <v>40</v>
      </c>
      <c r="AX264" s="34">
        <f t="shared" si="166"/>
        <v>0</v>
      </c>
      <c r="AY264" s="34">
        <f t="shared" si="166"/>
        <v>0</v>
      </c>
      <c r="AZ264" s="34">
        <f t="shared" si="166"/>
        <v>0</v>
      </c>
      <c r="BA264" s="34">
        <f t="shared" si="166"/>
        <v>0</v>
      </c>
      <c r="BB264" s="34">
        <f t="shared" si="166"/>
        <v>0</v>
      </c>
      <c r="BC264" s="34">
        <f t="shared" si="166"/>
        <v>0</v>
      </c>
      <c r="BD264" s="34">
        <f t="shared" si="162"/>
        <v>40</v>
      </c>
      <c r="BE264" s="34">
        <f t="shared" si="149"/>
        <v>155</v>
      </c>
      <c r="BF264" s="34">
        <f t="shared" si="149"/>
        <v>0</v>
      </c>
      <c r="BG264" s="34">
        <f t="shared" si="149"/>
        <v>8</v>
      </c>
      <c r="BH264" s="34">
        <f t="shared" si="149"/>
        <v>0</v>
      </c>
      <c r="BI264" s="34">
        <f t="shared" si="149"/>
        <v>0</v>
      </c>
      <c r="BJ264" s="34">
        <f t="shared" si="133"/>
        <v>0</v>
      </c>
      <c r="BK264" s="34">
        <f t="shared" si="150"/>
        <v>0</v>
      </c>
      <c r="BL264" s="34">
        <f t="shared" si="150"/>
        <v>163</v>
      </c>
    </row>
    <row r="265" spans="1:65" ht="66" hidden="1" customHeight="1" x14ac:dyDescent="0.2">
      <c r="A265" s="298" t="s">
        <v>800</v>
      </c>
      <c r="B265" s="299" t="s">
        <v>801</v>
      </c>
      <c r="C265" s="1546" t="s">
        <v>802</v>
      </c>
      <c r="D265" s="1549" t="s">
        <v>803</v>
      </c>
      <c r="E265" s="1549" t="s">
        <v>804</v>
      </c>
      <c r="F265" s="1549">
        <v>2015</v>
      </c>
      <c r="G265" s="1549">
        <v>696</v>
      </c>
      <c r="H265" s="1549">
        <v>800</v>
      </c>
      <c r="I265" s="1425"/>
      <c r="J265" s="1425"/>
      <c r="K265" s="1425" t="s">
        <v>805</v>
      </c>
      <c r="L265" s="301" t="s">
        <v>806</v>
      </c>
      <c r="M265" s="1425" t="s">
        <v>497</v>
      </c>
      <c r="N265" s="476"/>
      <c r="O265" s="1425" t="s">
        <v>47</v>
      </c>
      <c r="P265" s="1425"/>
      <c r="Q265" s="16" t="s">
        <v>807</v>
      </c>
      <c r="R265" s="302" t="s">
        <v>808</v>
      </c>
      <c r="S265" s="303">
        <v>2015</v>
      </c>
      <c r="T265" s="303">
        <v>0</v>
      </c>
      <c r="U265" s="303">
        <v>0</v>
      </c>
      <c r="V265" s="572">
        <v>1</v>
      </c>
      <c r="W265" s="572">
        <v>0</v>
      </c>
      <c r="X265" s="572">
        <v>0</v>
      </c>
      <c r="Y265" s="572">
        <v>1</v>
      </c>
      <c r="Z265" s="481"/>
      <c r="AA265" s="481"/>
      <c r="AB265" s="481"/>
      <c r="AC265" s="481"/>
      <c r="AD265" s="481"/>
      <c r="AE265" s="481"/>
      <c r="AF265" s="481"/>
      <c r="AG265" s="481">
        <f t="shared" si="156"/>
        <v>0</v>
      </c>
      <c r="AH265" s="491">
        <v>12</v>
      </c>
      <c r="AI265" s="548"/>
      <c r="AJ265" s="491">
        <v>4</v>
      </c>
      <c r="AK265" s="548"/>
      <c r="AL265" s="548"/>
      <c r="AM265" s="548"/>
      <c r="AN265" s="548">
        <f t="shared" si="158"/>
        <v>16</v>
      </c>
      <c r="AO265" s="481"/>
      <c r="AP265" s="481"/>
      <c r="AQ265" s="481"/>
      <c r="AR265" s="481"/>
      <c r="AS265" s="481"/>
      <c r="AT265" s="481"/>
      <c r="AU265" s="481"/>
      <c r="AV265" s="481">
        <f t="shared" si="160"/>
        <v>0</v>
      </c>
      <c r="AW265" s="548"/>
      <c r="AX265" s="548"/>
      <c r="AY265" s="548"/>
      <c r="AZ265" s="548"/>
      <c r="BA265" s="548"/>
      <c r="BB265" s="548"/>
      <c r="BC265" s="548"/>
      <c r="BD265" s="548">
        <f t="shared" si="162"/>
        <v>0</v>
      </c>
      <c r="BE265" s="42">
        <f t="shared" si="149"/>
        <v>12</v>
      </c>
      <c r="BF265" s="42">
        <f t="shared" si="149"/>
        <v>0</v>
      </c>
      <c r="BG265" s="42">
        <f t="shared" si="149"/>
        <v>4</v>
      </c>
      <c r="BH265" s="42">
        <f t="shared" si="149"/>
        <v>0</v>
      </c>
      <c r="BI265" s="42">
        <f t="shared" si="149"/>
        <v>0</v>
      </c>
      <c r="BJ265" s="42">
        <f t="shared" si="133"/>
        <v>0</v>
      </c>
      <c r="BK265" s="42">
        <f t="shared" si="150"/>
        <v>0</v>
      </c>
      <c r="BL265" s="42">
        <f t="shared" si="150"/>
        <v>16</v>
      </c>
    </row>
    <row r="266" spans="1:65" ht="53.25" hidden="1" customHeight="1" x14ac:dyDescent="0.2">
      <c r="A266" s="298" t="s">
        <v>800</v>
      </c>
      <c r="B266" s="299" t="s">
        <v>801</v>
      </c>
      <c r="C266" s="1547"/>
      <c r="D266" s="1549"/>
      <c r="E266" s="1549"/>
      <c r="F266" s="1549"/>
      <c r="G266" s="1549"/>
      <c r="H266" s="1549"/>
      <c r="I266" s="1425"/>
      <c r="J266" s="1425"/>
      <c r="K266" s="1425" t="s">
        <v>809</v>
      </c>
      <c r="L266" s="301" t="s">
        <v>806</v>
      </c>
      <c r="M266" s="1425" t="s">
        <v>497</v>
      </c>
      <c r="N266" s="476"/>
      <c r="O266" s="1425" t="s">
        <v>47</v>
      </c>
      <c r="P266" s="1425"/>
      <c r="Q266" s="16" t="s">
        <v>810</v>
      </c>
      <c r="R266" s="302" t="s">
        <v>811</v>
      </c>
      <c r="S266" s="303">
        <v>2015</v>
      </c>
      <c r="T266" s="303">
        <v>0</v>
      </c>
      <c r="U266" s="303">
        <v>0</v>
      </c>
      <c r="V266" s="572">
        <v>1</v>
      </c>
      <c r="W266" s="572">
        <v>0</v>
      </c>
      <c r="X266" s="572">
        <v>0</v>
      </c>
      <c r="Y266" s="572">
        <v>1</v>
      </c>
      <c r="Z266" s="481"/>
      <c r="AA266" s="481"/>
      <c r="AB266" s="481"/>
      <c r="AC266" s="481"/>
      <c r="AD266" s="481"/>
      <c r="AE266" s="481"/>
      <c r="AF266" s="481"/>
      <c r="AG266" s="481">
        <f t="shared" si="156"/>
        <v>0</v>
      </c>
      <c r="AH266" s="491">
        <v>0.5</v>
      </c>
      <c r="AI266" s="548"/>
      <c r="AJ266" s="548"/>
      <c r="AK266" s="548"/>
      <c r="AL266" s="548"/>
      <c r="AM266" s="548"/>
      <c r="AN266" s="548">
        <f t="shared" si="158"/>
        <v>0.5</v>
      </c>
      <c r="AO266" s="481"/>
      <c r="AP266" s="481"/>
      <c r="AQ266" s="481"/>
      <c r="AR266" s="481"/>
      <c r="AS266" s="481"/>
      <c r="AT266" s="481"/>
      <c r="AU266" s="481"/>
      <c r="AV266" s="481">
        <f t="shared" si="160"/>
        <v>0</v>
      </c>
      <c r="AW266" s="548"/>
      <c r="AX266" s="548"/>
      <c r="AY266" s="548"/>
      <c r="AZ266" s="548"/>
      <c r="BA266" s="548"/>
      <c r="BB266" s="548"/>
      <c r="BC266" s="548"/>
      <c r="BD266" s="548">
        <f t="shared" si="162"/>
        <v>0</v>
      </c>
      <c r="BE266" s="42">
        <f t="shared" si="149"/>
        <v>0.5</v>
      </c>
      <c r="BF266" s="42">
        <f t="shared" si="149"/>
        <v>0</v>
      </c>
      <c r="BG266" s="42">
        <f t="shared" si="149"/>
        <v>0</v>
      </c>
      <c r="BH266" s="42">
        <f t="shared" si="149"/>
        <v>0</v>
      </c>
      <c r="BI266" s="42">
        <f t="shared" si="149"/>
        <v>0</v>
      </c>
      <c r="BJ266" s="42">
        <f t="shared" si="133"/>
        <v>0</v>
      </c>
      <c r="BK266" s="42">
        <f t="shared" si="150"/>
        <v>0</v>
      </c>
      <c r="BL266" s="42">
        <f t="shared" si="150"/>
        <v>0.5</v>
      </c>
    </row>
    <row r="267" spans="1:65" ht="53.25" hidden="1" customHeight="1" x14ac:dyDescent="0.2">
      <c r="A267" s="298" t="s">
        <v>800</v>
      </c>
      <c r="B267" s="299" t="s">
        <v>801</v>
      </c>
      <c r="C267" s="1547"/>
      <c r="D267" s="1549"/>
      <c r="E267" s="1549"/>
      <c r="F267" s="1549"/>
      <c r="G267" s="1549"/>
      <c r="H267" s="1549"/>
      <c r="I267" s="1425"/>
      <c r="J267" s="1425"/>
      <c r="K267" s="1425" t="s">
        <v>812</v>
      </c>
      <c r="L267" s="301" t="s">
        <v>806</v>
      </c>
      <c r="M267" s="1425" t="s">
        <v>497</v>
      </c>
      <c r="N267" s="476"/>
      <c r="O267" s="1425" t="s">
        <v>47</v>
      </c>
      <c r="P267" s="1425"/>
      <c r="Q267" s="16" t="s">
        <v>813</v>
      </c>
      <c r="R267" s="302" t="s">
        <v>814</v>
      </c>
      <c r="S267" s="303">
        <v>2015</v>
      </c>
      <c r="T267" s="303">
        <v>0</v>
      </c>
      <c r="U267" s="303">
        <v>0</v>
      </c>
      <c r="V267" s="572">
        <v>1</v>
      </c>
      <c r="W267" s="572">
        <v>0</v>
      </c>
      <c r="X267" s="572">
        <v>0</v>
      </c>
      <c r="Y267" s="572">
        <v>1</v>
      </c>
      <c r="Z267" s="481"/>
      <c r="AA267" s="481"/>
      <c r="AB267" s="481"/>
      <c r="AC267" s="481"/>
      <c r="AD267" s="481"/>
      <c r="AE267" s="481"/>
      <c r="AF267" s="481"/>
      <c r="AG267" s="481">
        <f t="shared" si="156"/>
        <v>0</v>
      </c>
      <c r="AH267" s="548">
        <v>10</v>
      </c>
      <c r="AI267" s="548"/>
      <c r="AJ267" s="548"/>
      <c r="AK267" s="548"/>
      <c r="AL267" s="548"/>
      <c r="AM267" s="548"/>
      <c r="AN267" s="548">
        <f t="shared" si="158"/>
        <v>10</v>
      </c>
      <c r="AO267" s="481"/>
      <c r="AP267" s="481"/>
      <c r="AQ267" s="481"/>
      <c r="AR267" s="481"/>
      <c r="AS267" s="481"/>
      <c r="AT267" s="481"/>
      <c r="AU267" s="481"/>
      <c r="AV267" s="481">
        <f t="shared" si="160"/>
        <v>0</v>
      </c>
      <c r="AW267" s="548"/>
      <c r="AX267" s="548"/>
      <c r="AY267" s="548"/>
      <c r="AZ267" s="548"/>
      <c r="BA267" s="548"/>
      <c r="BB267" s="548"/>
      <c r="BC267" s="548"/>
      <c r="BD267" s="548">
        <f t="shared" si="162"/>
        <v>0</v>
      </c>
      <c r="BE267" s="42">
        <f t="shared" si="149"/>
        <v>10</v>
      </c>
      <c r="BF267" s="42">
        <f t="shared" si="149"/>
        <v>0</v>
      </c>
      <c r="BG267" s="42">
        <f t="shared" si="149"/>
        <v>0</v>
      </c>
      <c r="BH267" s="42">
        <f t="shared" si="149"/>
        <v>0</v>
      </c>
      <c r="BI267" s="42">
        <f t="shared" si="149"/>
        <v>0</v>
      </c>
      <c r="BJ267" s="42">
        <f t="shared" si="133"/>
        <v>0</v>
      </c>
      <c r="BK267" s="42">
        <f t="shared" si="150"/>
        <v>0</v>
      </c>
      <c r="BL267" s="42">
        <f t="shared" si="150"/>
        <v>10</v>
      </c>
    </row>
    <row r="268" spans="1:65" ht="45.75" hidden="1" customHeight="1" x14ac:dyDescent="0.2">
      <c r="A268" s="298" t="s">
        <v>800</v>
      </c>
      <c r="B268" s="299" t="s">
        <v>801</v>
      </c>
      <c r="C268" s="1547"/>
      <c r="D268" s="1549"/>
      <c r="E268" s="1549"/>
      <c r="F268" s="1549"/>
      <c r="G268" s="1549"/>
      <c r="H268" s="1549"/>
      <c r="I268" s="1425"/>
      <c r="J268" s="1425"/>
      <c r="K268" s="1425" t="s">
        <v>815</v>
      </c>
      <c r="L268" s="301" t="s">
        <v>806</v>
      </c>
      <c r="M268" s="1425" t="s">
        <v>497</v>
      </c>
      <c r="N268" s="476"/>
      <c r="O268" s="1425" t="s">
        <v>47</v>
      </c>
      <c r="P268" s="1425"/>
      <c r="Q268" s="16" t="s">
        <v>816</v>
      </c>
      <c r="R268" s="302" t="s">
        <v>817</v>
      </c>
      <c r="S268" s="303">
        <v>2015</v>
      </c>
      <c r="T268" s="303">
        <v>0</v>
      </c>
      <c r="U268" s="303">
        <v>0</v>
      </c>
      <c r="V268" s="572">
        <v>1</v>
      </c>
      <c r="W268" s="572">
        <v>1</v>
      </c>
      <c r="X268" s="572">
        <v>0</v>
      </c>
      <c r="Y268" s="572">
        <v>2</v>
      </c>
      <c r="Z268" s="481"/>
      <c r="AA268" s="481"/>
      <c r="AB268" s="481"/>
      <c r="AC268" s="481"/>
      <c r="AD268" s="481"/>
      <c r="AE268" s="481"/>
      <c r="AF268" s="481"/>
      <c r="AG268" s="481">
        <f t="shared" si="156"/>
        <v>0</v>
      </c>
      <c r="AH268" s="491">
        <v>0.5</v>
      </c>
      <c r="AI268" s="548"/>
      <c r="AJ268" s="716"/>
      <c r="AK268" s="548"/>
      <c r="AL268" s="548"/>
      <c r="AM268" s="548"/>
      <c r="AN268" s="548">
        <f t="shared" si="158"/>
        <v>0.5</v>
      </c>
      <c r="AO268" s="481">
        <v>5</v>
      </c>
      <c r="AP268" s="481"/>
      <c r="AQ268" s="481"/>
      <c r="AR268" s="481"/>
      <c r="AS268" s="481"/>
      <c r="AT268" s="481"/>
      <c r="AU268" s="481"/>
      <c r="AV268" s="481">
        <f t="shared" si="160"/>
        <v>5</v>
      </c>
      <c r="AW268" s="548"/>
      <c r="AX268" s="548"/>
      <c r="AY268" s="548"/>
      <c r="AZ268" s="548"/>
      <c r="BA268" s="548"/>
      <c r="BB268" s="548"/>
      <c r="BC268" s="548"/>
      <c r="BD268" s="548">
        <f t="shared" si="162"/>
        <v>0</v>
      </c>
      <c r="BE268" s="42">
        <f t="shared" si="149"/>
        <v>5.5</v>
      </c>
      <c r="BF268" s="42">
        <f t="shared" si="149"/>
        <v>0</v>
      </c>
      <c r="BG268" s="42">
        <f t="shared" si="149"/>
        <v>0</v>
      </c>
      <c r="BH268" s="42">
        <f t="shared" si="149"/>
        <v>0</v>
      </c>
      <c r="BI268" s="42">
        <f t="shared" si="149"/>
        <v>0</v>
      </c>
      <c r="BJ268" s="42">
        <f t="shared" si="133"/>
        <v>0</v>
      </c>
      <c r="BK268" s="42">
        <f t="shared" si="150"/>
        <v>0</v>
      </c>
      <c r="BL268" s="42">
        <f t="shared" si="150"/>
        <v>5.5</v>
      </c>
    </row>
    <row r="269" spans="1:65" ht="47.25" hidden="1" customHeight="1" x14ac:dyDescent="0.2">
      <c r="A269" s="298" t="s">
        <v>800</v>
      </c>
      <c r="B269" s="299" t="s">
        <v>801</v>
      </c>
      <c r="C269" s="1547"/>
      <c r="D269" s="1549"/>
      <c r="E269" s="1549"/>
      <c r="F269" s="1549"/>
      <c r="G269" s="1549"/>
      <c r="H269" s="1549"/>
      <c r="I269" s="1425"/>
      <c r="J269" s="1425"/>
      <c r="K269" s="1425" t="s">
        <v>818</v>
      </c>
      <c r="L269" s="301" t="s">
        <v>806</v>
      </c>
      <c r="M269" s="1425" t="s">
        <v>497</v>
      </c>
      <c r="N269" s="476"/>
      <c r="O269" s="1425" t="s">
        <v>47</v>
      </c>
      <c r="P269" s="1425"/>
      <c r="Q269" s="16" t="s">
        <v>819</v>
      </c>
      <c r="R269" s="302" t="s">
        <v>820</v>
      </c>
      <c r="S269" s="303">
        <v>2015</v>
      </c>
      <c r="T269" s="303">
        <v>0</v>
      </c>
      <c r="U269" s="303">
        <v>0</v>
      </c>
      <c r="V269" s="572">
        <v>5</v>
      </c>
      <c r="W269" s="572">
        <v>5</v>
      </c>
      <c r="X269" s="572">
        <v>10</v>
      </c>
      <c r="Y269" s="572">
        <v>20</v>
      </c>
      <c r="Z269" s="481"/>
      <c r="AA269" s="481"/>
      <c r="AB269" s="481"/>
      <c r="AC269" s="481"/>
      <c r="AD269" s="481"/>
      <c r="AE269" s="481"/>
      <c r="AF269" s="481"/>
      <c r="AG269" s="481">
        <f t="shared" si="156"/>
        <v>0</v>
      </c>
      <c r="AH269" s="548">
        <v>10</v>
      </c>
      <c r="AI269" s="548"/>
      <c r="AJ269" s="548"/>
      <c r="AK269" s="548"/>
      <c r="AL269" s="548"/>
      <c r="AM269" s="548"/>
      <c r="AN269" s="548">
        <f t="shared" si="158"/>
        <v>10</v>
      </c>
      <c r="AO269" s="491">
        <v>7</v>
      </c>
      <c r="AP269" s="481"/>
      <c r="AQ269" s="481"/>
      <c r="AR269" s="481"/>
      <c r="AS269" s="481"/>
      <c r="AT269" s="481"/>
      <c r="AU269" s="481"/>
      <c r="AV269" s="481">
        <f t="shared" si="160"/>
        <v>7</v>
      </c>
      <c r="AW269" s="548">
        <v>10</v>
      </c>
      <c r="AX269" s="548"/>
      <c r="AY269" s="548"/>
      <c r="AZ269" s="548"/>
      <c r="BA269" s="548"/>
      <c r="BB269" s="548"/>
      <c r="BC269" s="548"/>
      <c r="BD269" s="548">
        <f t="shared" si="162"/>
        <v>10</v>
      </c>
      <c r="BE269" s="42">
        <f t="shared" si="149"/>
        <v>27</v>
      </c>
      <c r="BF269" s="42">
        <f t="shared" si="149"/>
        <v>0</v>
      </c>
      <c r="BG269" s="42">
        <f t="shared" si="149"/>
        <v>0</v>
      </c>
      <c r="BH269" s="42">
        <f t="shared" si="149"/>
        <v>0</v>
      </c>
      <c r="BI269" s="42">
        <f t="shared" si="149"/>
        <v>0</v>
      </c>
      <c r="BJ269" s="42">
        <f t="shared" si="133"/>
        <v>0</v>
      </c>
      <c r="BK269" s="42">
        <f t="shared" si="150"/>
        <v>0</v>
      </c>
      <c r="BL269" s="42">
        <f t="shared" si="150"/>
        <v>27</v>
      </c>
    </row>
    <row r="270" spans="1:65" ht="51" hidden="1" customHeight="1" x14ac:dyDescent="0.2">
      <c r="A270" s="298" t="s">
        <v>800</v>
      </c>
      <c r="B270" s="299" t="s">
        <v>801</v>
      </c>
      <c r="C270" s="1547"/>
      <c r="D270" s="1549"/>
      <c r="E270" s="1549"/>
      <c r="F270" s="1549"/>
      <c r="G270" s="1549"/>
      <c r="H270" s="1549"/>
      <c r="I270" s="1425"/>
      <c r="J270" s="1425"/>
      <c r="K270" s="1425" t="s">
        <v>821</v>
      </c>
      <c r="L270" s="301" t="s">
        <v>806</v>
      </c>
      <c r="M270" s="1425" t="s">
        <v>497</v>
      </c>
      <c r="N270" s="476"/>
      <c r="O270" s="1425" t="s">
        <v>47</v>
      </c>
      <c r="P270" s="1425"/>
      <c r="Q270" s="16" t="s">
        <v>822</v>
      </c>
      <c r="R270" s="302" t="s">
        <v>823</v>
      </c>
      <c r="S270" s="303">
        <v>2015</v>
      </c>
      <c r="T270" s="303" t="s">
        <v>177</v>
      </c>
      <c r="U270" s="303">
        <v>500</v>
      </c>
      <c r="V270" s="572">
        <v>500</v>
      </c>
      <c r="W270" s="572">
        <v>500</v>
      </c>
      <c r="X270" s="572">
        <v>500</v>
      </c>
      <c r="Y270" s="572">
        <v>2000</v>
      </c>
      <c r="Z270" s="481">
        <v>10</v>
      </c>
      <c r="AA270" s="481"/>
      <c r="AB270" s="481"/>
      <c r="AC270" s="481"/>
      <c r="AD270" s="481"/>
      <c r="AE270" s="481"/>
      <c r="AF270" s="481"/>
      <c r="AG270" s="481">
        <f t="shared" si="156"/>
        <v>10</v>
      </c>
      <c r="AH270" s="548">
        <v>10</v>
      </c>
      <c r="AI270" s="548"/>
      <c r="AJ270" s="548"/>
      <c r="AK270" s="548"/>
      <c r="AL270" s="548"/>
      <c r="AM270" s="548"/>
      <c r="AN270" s="548">
        <f t="shared" si="158"/>
        <v>10</v>
      </c>
      <c r="AO270" s="481">
        <v>10</v>
      </c>
      <c r="AP270" s="481"/>
      <c r="AQ270" s="481"/>
      <c r="AR270" s="481"/>
      <c r="AS270" s="481"/>
      <c r="AT270" s="481"/>
      <c r="AU270" s="481"/>
      <c r="AV270" s="481">
        <f t="shared" si="160"/>
        <v>10</v>
      </c>
      <c r="AW270" s="548">
        <v>10</v>
      </c>
      <c r="AX270" s="548"/>
      <c r="AY270" s="548"/>
      <c r="AZ270" s="548"/>
      <c r="BA270" s="548"/>
      <c r="BB270" s="548"/>
      <c r="BC270" s="548"/>
      <c r="BD270" s="548">
        <f t="shared" si="162"/>
        <v>10</v>
      </c>
      <c r="BE270" s="42">
        <f t="shared" si="149"/>
        <v>40</v>
      </c>
      <c r="BF270" s="42">
        <f t="shared" si="149"/>
        <v>0</v>
      </c>
      <c r="BG270" s="42">
        <f t="shared" si="149"/>
        <v>0</v>
      </c>
      <c r="BH270" s="42">
        <f t="shared" si="149"/>
        <v>0</v>
      </c>
      <c r="BI270" s="42">
        <f t="shared" si="149"/>
        <v>0</v>
      </c>
      <c r="BJ270" s="42">
        <f t="shared" si="133"/>
        <v>0</v>
      </c>
      <c r="BK270" s="42">
        <f t="shared" si="150"/>
        <v>0</v>
      </c>
      <c r="BL270" s="42">
        <f t="shared" si="150"/>
        <v>40</v>
      </c>
    </row>
    <row r="271" spans="1:65" ht="49.5" hidden="1" customHeight="1" x14ac:dyDescent="0.2">
      <c r="A271" s="298" t="s">
        <v>800</v>
      </c>
      <c r="B271" s="299" t="s">
        <v>801</v>
      </c>
      <c r="C271" s="1547"/>
      <c r="D271" s="1549"/>
      <c r="E271" s="1549"/>
      <c r="F271" s="1549"/>
      <c r="G271" s="1549"/>
      <c r="H271" s="1549"/>
      <c r="I271" s="1425"/>
      <c r="J271" s="1425"/>
      <c r="K271" s="1425" t="s">
        <v>824</v>
      </c>
      <c r="L271" s="301" t="s">
        <v>806</v>
      </c>
      <c r="M271" s="1425" t="s">
        <v>497</v>
      </c>
      <c r="N271" s="476"/>
      <c r="O271" s="1425" t="s">
        <v>47</v>
      </c>
      <c r="P271" s="1425"/>
      <c r="Q271" s="16" t="s">
        <v>825</v>
      </c>
      <c r="R271" s="302" t="s">
        <v>826</v>
      </c>
      <c r="S271" s="303">
        <v>2015</v>
      </c>
      <c r="T271" s="303">
        <v>0</v>
      </c>
      <c r="U271" s="303">
        <v>1</v>
      </c>
      <c r="V271" s="572">
        <v>1</v>
      </c>
      <c r="W271" s="572">
        <v>1</v>
      </c>
      <c r="X271" s="572">
        <v>1</v>
      </c>
      <c r="Y271" s="572">
        <v>4</v>
      </c>
      <c r="Z271" s="481"/>
      <c r="AA271" s="481"/>
      <c r="AB271" s="491">
        <v>1</v>
      </c>
      <c r="AC271" s="481"/>
      <c r="AD271" s="481"/>
      <c r="AE271" s="481"/>
      <c r="AF271" s="481"/>
      <c r="AG271" s="481">
        <f t="shared" si="156"/>
        <v>1</v>
      </c>
      <c r="AH271" s="491">
        <v>0.5</v>
      </c>
      <c r="AI271" s="548"/>
      <c r="AJ271" s="548"/>
      <c r="AK271" s="548"/>
      <c r="AL271" s="548"/>
      <c r="AM271" s="548"/>
      <c r="AN271" s="548">
        <f t="shared" si="158"/>
        <v>0.5</v>
      </c>
      <c r="AO271" s="491">
        <v>1</v>
      </c>
      <c r="AP271" s="481"/>
      <c r="AQ271" s="481"/>
      <c r="AR271" s="481"/>
      <c r="AS271" s="481"/>
      <c r="AT271" s="481"/>
      <c r="AU271" s="481"/>
      <c r="AV271" s="481">
        <f t="shared" si="160"/>
        <v>1</v>
      </c>
      <c r="AW271" s="548">
        <v>5</v>
      </c>
      <c r="AX271" s="548"/>
      <c r="AY271" s="548"/>
      <c r="AZ271" s="548"/>
      <c r="BA271" s="548"/>
      <c r="BB271" s="548"/>
      <c r="BC271" s="548"/>
      <c r="BD271" s="548">
        <f t="shared" si="162"/>
        <v>5</v>
      </c>
      <c r="BE271" s="42">
        <f t="shared" si="149"/>
        <v>6.5</v>
      </c>
      <c r="BF271" s="42">
        <f t="shared" si="149"/>
        <v>0</v>
      </c>
      <c r="BG271" s="42">
        <f t="shared" si="149"/>
        <v>1</v>
      </c>
      <c r="BH271" s="42">
        <f t="shared" si="149"/>
        <v>0</v>
      </c>
      <c r="BI271" s="42">
        <f t="shared" si="149"/>
        <v>0</v>
      </c>
      <c r="BJ271" s="42">
        <f t="shared" ref="BJ271:BJ338" si="167">+AE271+AT271+BB271</f>
        <v>0</v>
      </c>
      <c r="BK271" s="42">
        <f t="shared" si="150"/>
        <v>0</v>
      </c>
      <c r="BL271" s="42">
        <f t="shared" si="150"/>
        <v>7.5</v>
      </c>
    </row>
    <row r="272" spans="1:65" ht="51.75" hidden="1" customHeight="1" x14ac:dyDescent="0.2">
      <c r="A272" s="298" t="s">
        <v>800</v>
      </c>
      <c r="B272" s="299" t="s">
        <v>801</v>
      </c>
      <c r="C272" s="1547"/>
      <c r="D272" s="1549"/>
      <c r="E272" s="1549"/>
      <c r="F272" s="1549"/>
      <c r="G272" s="1549"/>
      <c r="H272" s="1549"/>
      <c r="I272" s="1425"/>
      <c r="J272" s="1425"/>
      <c r="K272" s="1425" t="s">
        <v>827</v>
      </c>
      <c r="L272" s="301" t="s">
        <v>806</v>
      </c>
      <c r="M272" s="1425" t="s">
        <v>497</v>
      </c>
      <c r="N272" s="476"/>
      <c r="O272" s="1425" t="s">
        <v>47</v>
      </c>
      <c r="P272" s="1425"/>
      <c r="Q272" s="16" t="s">
        <v>828</v>
      </c>
      <c r="R272" s="302" t="s">
        <v>829</v>
      </c>
      <c r="S272" s="303">
        <v>2015</v>
      </c>
      <c r="T272" s="303">
        <v>0</v>
      </c>
      <c r="U272" s="303">
        <v>1</v>
      </c>
      <c r="V272" s="572">
        <v>1</v>
      </c>
      <c r="W272" s="572">
        <v>1</v>
      </c>
      <c r="X272" s="572">
        <v>1</v>
      </c>
      <c r="Y272" s="572">
        <v>4</v>
      </c>
      <c r="Z272" s="481"/>
      <c r="AA272" s="481"/>
      <c r="AB272" s="491">
        <v>1</v>
      </c>
      <c r="AC272" s="481"/>
      <c r="AD272" s="481"/>
      <c r="AE272" s="481"/>
      <c r="AF272" s="481"/>
      <c r="AG272" s="481">
        <f t="shared" si="156"/>
        <v>1</v>
      </c>
      <c r="AH272" s="491">
        <v>0.5</v>
      </c>
      <c r="AI272" s="548"/>
      <c r="AJ272" s="716"/>
      <c r="AK272" s="548"/>
      <c r="AL272" s="548"/>
      <c r="AM272" s="548"/>
      <c r="AN272" s="548">
        <f t="shared" si="158"/>
        <v>0.5</v>
      </c>
      <c r="AO272" s="491">
        <v>1</v>
      </c>
      <c r="AP272" s="481"/>
      <c r="AQ272" s="481"/>
      <c r="AR272" s="481"/>
      <c r="AS272" s="481"/>
      <c r="AT272" s="481"/>
      <c r="AU272" s="481"/>
      <c r="AV272" s="481">
        <f t="shared" si="160"/>
        <v>1</v>
      </c>
      <c r="AW272" s="491">
        <v>1</v>
      </c>
      <c r="AX272" s="548"/>
      <c r="AY272" s="548"/>
      <c r="AZ272" s="548"/>
      <c r="BA272" s="548"/>
      <c r="BB272" s="548"/>
      <c r="BC272" s="548"/>
      <c r="BD272" s="548">
        <f t="shared" si="162"/>
        <v>1</v>
      </c>
      <c r="BE272" s="42">
        <f t="shared" si="149"/>
        <v>2.5</v>
      </c>
      <c r="BF272" s="42">
        <f t="shared" si="149"/>
        <v>0</v>
      </c>
      <c r="BG272" s="42">
        <f t="shared" si="149"/>
        <v>1</v>
      </c>
      <c r="BH272" s="42">
        <f t="shared" si="149"/>
        <v>0</v>
      </c>
      <c r="BI272" s="42">
        <f t="shared" si="149"/>
        <v>0</v>
      </c>
      <c r="BJ272" s="42">
        <f t="shared" si="167"/>
        <v>0</v>
      </c>
      <c r="BK272" s="42">
        <f t="shared" si="150"/>
        <v>0</v>
      </c>
      <c r="BL272" s="42">
        <f t="shared" si="150"/>
        <v>3.5</v>
      </c>
    </row>
    <row r="273" spans="1:64" ht="53.25" hidden="1" customHeight="1" x14ac:dyDescent="0.2">
      <c r="A273" s="298" t="s">
        <v>800</v>
      </c>
      <c r="B273" s="299" t="s">
        <v>801</v>
      </c>
      <c r="C273" s="1547"/>
      <c r="D273" s="1549"/>
      <c r="E273" s="1549"/>
      <c r="F273" s="1549"/>
      <c r="G273" s="1549"/>
      <c r="H273" s="1549"/>
      <c r="I273" s="1425"/>
      <c r="J273" s="1425"/>
      <c r="K273" s="1425" t="s">
        <v>830</v>
      </c>
      <c r="L273" s="301" t="s">
        <v>806</v>
      </c>
      <c r="M273" s="1425" t="s">
        <v>497</v>
      </c>
      <c r="N273" s="476"/>
      <c r="O273" s="1425" t="s">
        <v>73</v>
      </c>
      <c r="P273" s="1425"/>
      <c r="Q273" s="16" t="s">
        <v>831</v>
      </c>
      <c r="R273" s="302" t="s">
        <v>832</v>
      </c>
      <c r="S273" s="303">
        <v>2015</v>
      </c>
      <c r="T273" s="303">
        <v>2</v>
      </c>
      <c r="U273" s="303">
        <v>3</v>
      </c>
      <c r="V273" s="572">
        <v>3</v>
      </c>
      <c r="W273" s="572">
        <v>3</v>
      </c>
      <c r="X273" s="572">
        <v>3</v>
      </c>
      <c r="Y273" s="572">
        <v>3</v>
      </c>
      <c r="Z273" s="481">
        <v>10</v>
      </c>
      <c r="AA273" s="481"/>
      <c r="AB273" s="481"/>
      <c r="AC273" s="481"/>
      <c r="AD273" s="481"/>
      <c r="AE273" s="481"/>
      <c r="AF273" s="481"/>
      <c r="AG273" s="481">
        <f t="shared" si="156"/>
        <v>10</v>
      </c>
      <c r="AH273" s="548">
        <v>10</v>
      </c>
      <c r="AI273" s="548"/>
      <c r="AJ273" s="548"/>
      <c r="AK273" s="548"/>
      <c r="AL273" s="548"/>
      <c r="AM273" s="548"/>
      <c r="AN273" s="548">
        <f t="shared" si="158"/>
        <v>10</v>
      </c>
      <c r="AO273" s="481">
        <v>10</v>
      </c>
      <c r="AP273" s="481"/>
      <c r="AQ273" s="481"/>
      <c r="AR273" s="481"/>
      <c r="AS273" s="481"/>
      <c r="AT273" s="481"/>
      <c r="AU273" s="481"/>
      <c r="AV273" s="481">
        <f t="shared" si="160"/>
        <v>10</v>
      </c>
      <c r="AW273" s="548">
        <v>10</v>
      </c>
      <c r="AX273" s="548"/>
      <c r="AY273" s="548"/>
      <c r="AZ273" s="548"/>
      <c r="BA273" s="548"/>
      <c r="BB273" s="548"/>
      <c r="BC273" s="548"/>
      <c r="BD273" s="548">
        <f t="shared" si="162"/>
        <v>10</v>
      </c>
      <c r="BE273" s="42">
        <f t="shared" si="149"/>
        <v>40</v>
      </c>
      <c r="BF273" s="42">
        <f t="shared" si="149"/>
        <v>0</v>
      </c>
      <c r="BG273" s="42">
        <f t="shared" si="149"/>
        <v>0</v>
      </c>
      <c r="BH273" s="42">
        <f t="shared" si="149"/>
        <v>0</v>
      </c>
      <c r="BI273" s="42">
        <f t="shared" si="149"/>
        <v>0</v>
      </c>
      <c r="BJ273" s="42">
        <f t="shared" si="167"/>
        <v>0</v>
      </c>
      <c r="BK273" s="42">
        <f t="shared" si="150"/>
        <v>0</v>
      </c>
      <c r="BL273" s="42">
        <f t="shared" si="150"/>
        <v>40</v>
      </c>
    </row>
    <row r="274" spans="1:64" ht="45.75" hidden="1" customHeight="1" x14ac:dyDescent="0.2">
      <c r="A274" s="298" t="s">
        <v>800</v>
      </c>
      <c r="B274" s="299" t="s">
        <v>801</v>
      </c>
      <c r="C274" s="1547"/>
      <c r="D274" s="1549"/>
      <c r="E274" s="1549"/>
      <c r="F274" s="1549"/>
      <c r="G274" s="1549"/>
      <c r="H274" s="1549"/>
      <c r="I274" s="1425"/>
      <c r="J274" s="1425"/>
      <c r="K274" s="1425" t="s">
        <v>833</v>
      </c>
      <c r="L274" s="301" t="s">
        <v>806</v>
      </c>
      <c r="M274" s="1425" t="s">
        <v>497</v>
      </c>
      <c r="N274" s="476"/>
      <c r="O274" s="1425" t="s">
        <v>47</v>
      </c>
      <c r="P274" s="1425"/>
      <c r="Q274" s="16" t="s">
        <v>834</v>
      </c>
      <c r="R274" s="302" t="s">
        <v>835</v>
      </c>
      <c r="S274" s="303">
        <v>2015</v>
      </c>
      <c r="T274" s="303">
        <v>1</v>
      </c>
      <c r="U274" s="303">
        <v>1</v>
      </c>
      <c r="V274" s="572">
        <v>1</v>
      </c>
      <c r="W274" s="572">
        <v>1</v>
      </c>
      <c r="X274" s="572">
        <v>1</v>
      </c>
      <c r="Y274" s="572">
        <v>4</v>
      </c>
      <c r="Z274" s="481"/>
      <c r="AA274" s="481"/>
      <c r="AB274" s="491">
        <v>1</v>
      </c>
      <c r="AC274" s="481"/>
      <c r="AD274" s="481"/>
      <c r="AE274" s="481"/>
      <c r="AF274" s="481"/>
      <c r="AG274" s="481">
        <f t="shared" si="156"/>
        <v>1</v>
      </c>
      <c r="AH274" s="491">
        <v>0.5</v>
      </c>
      <c r="AI274" s="548"/>
      <c r="AJ274" s="548"/>
      <c r="AK274" s="548"/>
      <c r="AL274" s="548"/>
      <c r="AM274" s="548"/>
      <c r="AN274" s="548">
        <f t="shared" si="158"/>
        <v>0.5</v>
      </c>
      <c r="AO274" s="491">
        <v>1</v>
      </c>
      <c r="AP274" s="481"/>
      <c r="AQ274" s="481"/>
      <c r="AR274" s="481"/>
      <c r="AS274" s="481"/>
      <c r="AT274" s="481"/>
      <c r="AU274" s="481"/>
      <c r="AV274" s="481">
        <f t="shared" si="160"/>
        <v>1</v>
      </c>
      <c r="AW274" s="491">
        <v>1</v>
      </c>
      <c r="AX274" s="548"/>
      <c r="AY274" s="548"/>
      <c r="AZ274" s="548"/>
      <c r="BA274" s="548"/>
      <c r="BB274" s="548"/>
      <c r="BC274" s="548"/>
      <c r="BD274" s="548">
        <f t="shared" si="162"/>
        <v>1</v>
      </c>
      <c r="BE274" s="42">
        <f t="shared" si="149"/>
        <v>2.5</v>
      </c>
      <c r="BF274" s="42">
        <f t="shared" si="149"/>
        <v>0</v>
      </c>
      <c r="BG274" s="42">
        <f t="shared" si="149"/>
        <v>1</v>
      </c>
      <c r="BH274" s="42">
        <f t="shared" si="149"/>
        <v>0</v>
      </c>
      <c r="BI274" s="42">
        <f t="shared" si="149"/>
        <v>0</v>
      </c>
      <c r="BJ274" s="42">
        <f t="shared" si="167"/>
        <v>0</v>
      </c>
      <c r="BK274" s="42">
        <f t="shared" si="150"/>
        <v>0</v>
      </c>
      <c r="BL274" s="42">
        <f t="shared" si="150"/>
        <v>3.5</v>
      </c>
    </row>
    <row r="275" spans="1:64" ht="47.25" hidden="1" customHeight="1" x14ac:dyDescent="0.2">
      <c r="A275" s="298" t="s">
        <v>800</v>
      </c>
      <c r="B275" s="299" t="s">
        <v>801</v>
      </c>
      <c r="C275" s="1548"/>
      <c r="D275" s="1549"/>
      <c r="E275" s="1549"/>
      <c r="F275" s="1549"/>
      <c r="G275" s="1549"/>
      <c r="H275" s="1549"/>
      <c r="I275" s="1425"/>
      <c r="J275" s="1425"/>
      <c r="K275" s="1425" t="s">
        <v>836</v>
      </c>
      <c r="L275" s="301" t="s">
        <v>806</v>
      </c>
      <c r="M275" s="1425" t="s">
        <v>497</v>
      </c>
      <c r="N275" s="476"/>
      <c r="O275" s="1425" t="s">
        <v>73</v>
      </c>
      <c r="P275" s="1425"/>
      <c r="Q275" s="16" t="s">
        <v>837</v>
      </c>
      <c r="R275" s="302" t="s">
        <v>838</v>
      </c>
      <c r="S275" s="303">
        <v>2015</v>
      </c>
      <c r="T275" s="303">
        <v>1</v>
      </c>
      <c r="U275" s="303">
        <v>1</v>
      </c>
      <c r="V275" s="572">
        <v>1</v>
      </c>
      <c r="W275" s="572">
        <v>1</v>
      </c>
      <c r="X275" s="572">
        <v>1</v>
      </c>
      <c r="Y275" s="572">
        <v>1</v>
      </c>
      <c r="Z275" s="481"/>
      <c r="AA275" s="481"/>
      <c r="AB275" s="491">
        <v>1</v>
      </c>
      <c r="AC275" s="481"/>
      <c r="AD275" s="481"/>
      <c r="AE275" s="481"/>
      <c r="AF275" s="481"/>
      <c r="AG275" s="481">
        <f t="shared" si="156"/>
        <v>1</v>
      </c>
      <c r="AH275" s="491">
        <v>0.5</v>
      </c>
      <c r="AI275" s="548"/>
      <c r="AJ275" s="716"/>
      <c r="AK275" s="548"/>
      <c r="AL275" s="548"/>
      <c r="AM275" s="548"/>
      <c r="AN275" s="548">
        <f t="shared" si="158"/>
        <v>0.5</v>
      </c>
      <c r="AO275" s="481">
        <v>5</v>
      </c>
      <c r="AP275" s="481"/>
      <c r="AQ275" s="481"/>
      <c r="AR275" s="481"/>
      <c r="AS275" s="481"/>
      <c r="AT275" s="481"/>
      <c r="AU275" s="481"/>
      <c r="AV275" s="481">
        <f t="shared" si="160"/>
        <v>5</v>
      </c>
      <c r="AW275" s="491">
        <v>3</v>
      </c>
      <c r="AX275" s="548"/>
      <c r="AY275" s="548"/>
      <c r="AZ275" s="548"/>
      <c r="BA275" s="548"/>
      <c r="BB275" s="548"/>
      <c r="BC275" s="548"/>
      <c r="BD275" s="548">
        <f t="shared" si="162"/>
        <v>3</v>
      </c>
      <c r="BE275" s="42">
        <f t="shared" si="149"/>
        <v>8.5</v>
      </c>
      <c r="BF275" s="42">
        <f t="shared" si="149"/>
        <v>0</v>
      </c>
      <c r="BG275" s="42">
        <f t="shared" si="149"/>
        <v>1</v>
      </c>
      <c r="BH275" s="42">
        <f t="shared" si="149"/>
        <v>0</v>
      </c>
      <c r="BI275" s="42">
        <f t="shared" si="149"/>
        <v>0</v>
      </c>
      <c r="BJ275" s="42">
        <f t="shared" si="167"/>
        <v>0</v>
      </c>
      <c r="BK275" s="42">
        <f t="shared" si="150"/>
        <v>0</v>
      </c>
      <c r="BL275" s="42">
        <f t="shared" si="150"/>
        <v>9.5</v>
      </c>
    </row>
    <row r="276" spans="1:64" ht="25.5" hidden="1" x14ac:dyDescent="0.2">
      <c r="A276" s="295" t="s">
        <v>800</v>
      </c>
      <c r="B276" s="24" t="s">
        <v>798</v>
      </c>
      <c r="C276" s="6"/>
      <c r="D276" s="2" t="s">
        <v>839</v>
      </c>
      <c r="E276" s="1"/>
      <c r="F276" s="1"/>
      <c r="G276" s="1"/>
      <c r="H276" s="1"/>
      <c r="I276" s="1"/>
      <c r="J276" s="1"/>
      <c r="K276" s="1"/>
      <c r="L276" s="1"/>
      <c r="M276" s="1"/>
      <c r="N276" s="1"/>
      <c r="O276" s="1"/>
      <c r="P276" s="1"/>
      <c r="Q276" s="22"/>
      <c r="R276" s="22"/>
      <c r="S276" s="1"/>
      <c r="T276" s="1"/>
      <c r="U276" s="1"/>
      <c r="V276" s="49"/>
      <c r="W276" s="49"/>
      <c r="X276" s="49"/>
      <c r="Y276" s="49"/>
      <c r="Z276" s="34">
        <f t="shared" ref="Z276:AF276" si="168">SUM(Z277:Z288)</f>
        <v>5</v>
      </c>
      <c r="AA276" s="34">
        <f t="shared" si="168"/>
        <v>0</v>
      </c>
      <c r="AB276" s="34">
        <f t="shared" si="168"/>
        <v>1</v>
      </c>
      <c r="AC276" s="34">
        <f t="shared" si="168"/>
        <v>0</v>
      </c>
      <c r="AD276" s="34">
        <f t="shared" si="168"/>
        <v>0</v>
      </c>
      <c r="AE276" s="34">
        <f t="shared" si="168"/>
        <v>0</v>
      </c>
      <c r="AF276" s="34">
        <f t="shared" si="168"/>
        <v>0</v>
      </c>
      <c r="AG276" s="34">
        <f t="shared" si="156"/>
        <v>6</v>
      </c>
      <c r="AH276" s="34">
        <f t="shared" ref="AH276:AM276" si="169">SUM(AH277:AH288)</f>
        <v>10</v>
      </c>
      <c r="AI276" s="34">
        <f t="shared" si="169"/>
        <v>0</v>
      </c>
      <c r="AJ276" s="34">
        <f t="shared" si="169"/>
        <v>0</v>
      </c>
      <c r="AK276" s="34">
        <f t="shared" si="169"/>
        <v>0</v>
      </c>
      <c r="AL276" s="34">
        <f t="shared" si="169"/>
        <v>0</v>
      </c>
      <c r="AM276" s="34">
        <f t="shared" si="169"/>
        <v>0</v>
      </c>
      <c r="AN276" s="34">
        <f t="shared" si="158"/>
        <v>10</v>
      </c>
      <c r="AO276" s="34">
        <f t="shared" ref="AO276:AU276" si="170">SUM(AO277:AO288)</f>
        <v>10</v>
      </c>
      <c r="AP276" s="34">
        <f t="shared" si="170"/>
        <v>0</v>
      </c>
      <c r="AQ276" s="34">
        <f t="shared" si="170"/>
        <v>4.5</v>
      </c>
      <c r="AR276" s="34">
        <f t="shared" si="170"/>
        <v>0</v>
      </c>
      <c r="AS276" s="34">
        <f t="shared" si="170"/>
        <v>0</v>
      </c>
      <c r="AT276" s="34">
        <f t="shared" si="170"/>
        <v>0</v>
      </c>
      <c r="AU276" s="34">
        <f t="shared" si="170"/>
        <v>0</v>
      </c>
      <c r="AV276" s="34">
        <f t="shared" si="160"/>
        <v>14.5</v>
      </c>
      <c r="AW276" s="34">
        <f t="shared" ref="AW276:BC276" si="171">SUM(AW277:AW288)</f>
        <v>10</v>
      </c>
      <c r="AX276" s="34">
        <f t="shared" si="171"/>
        <v>0</v>
      </c>
      <c r="AY276" s="34">
        <f t="shared" si="171"/>
        <v>5</v>
      </c>
      <c r="AZ276" s="34">
        <f t="shared" si="171"/>
        <v>0</v>
      </c>
      <c r="BA276" s="34">
        <f t="shared" si="171"/>
        <v>0</v>
      </c>
      <c r="BB276" s="34">
        <f t="shared" si="171"/>
        <v>0</v>
      </c>
      <c r="BC276" s="34">
        <f t="shared" si="171"/>
        <v>0</v>
      </c>
      <c r="BD276" s="34">
        <f t="shared" si="162"/>
        <v>15</v>
      </c>
      <c r="BE276" s="34">
        <f t="shared" si="149"/>
        <v>35</v>
      </c>
      <c r="BF276" s="34">
        <f t="shared" si="149"/>
        <v>0</v>
      </c>
      <c r="BG276" s="34">
        <f t="shared" si="149"/>
        <v>10.5</v>
      </c>
      <c r="BH276" s="34">
        <f t="shared" si="149"/>
        <v>0</v>
      </c>
      <c r="BI276" s="34">
        <f t="shared" si="149"/>
        <v>0</v>
      </c>
      <c r="BJ276" s="34">
        <f t="shared" si="167"/>
        <v>0</v>
      </c>
      <c r="BK276" s="34">
        <f t="shared" si="150"/>
        <v>0</v>
      </c>
      <c r="BL276" s="34">
        <f t="shared" si="150"/>
        <v>45.5</v>
      </c>
    </row>
    <row r="277" spans="1:64" ht="36.75" hidden="1" customHeight="1" x14ac:dyDescent="0.2">
      <c r="A277" s="298" t="s">
        <v>800</v>
      </c>
      <c r="B277" s="299" t="s">
        <v>801</v>
      </c>
      <c r="C277" s="1546" t="s">
        <v>840</v>
      </c>
      <c r="D277" s="1549" t="s">
        <v>841</v>
      </c>
      <c r="E277" s="1549" t="s">
        <v>842</v>
      </c>
      <c r="F277" s="1549">
        <v>2015</v>
      </c>
      <c r="G277" s="1562">
        <v>20000</v>
      </c>
      <c r="H277" s="1562">
        <v>22000</v>
      </c>
      <c r="I277" s="1428"/>
      <c r="J277" s="1428"/>
      <c r="K277" s="1428" t="s">
        <v>843</v>
      </c>
      <c r="L277" s="301" t="s">
        <v>806</v>
      </c>
      <c r="M277" s="1425" t="s">
        <v>45</v>
      </c>
      <c r="N277" s="476" t="s">
        <v>46</v>
      </c>
      <c r="O277" s="1425" t="s">
        <v>47</v>
      </c>
      <c r="P277" s="1425"/>
      <c r="Q277" s="16" t="s">
        <v>844</v>
      </c>
      <c r="R277" s="302" t="s">
        <v>845</v>
      </c>
      <c r="S277" s="303">
        <v>2015</v>
      </c>
      <c r="T277" s="303">
        <v>0</v>
      </c>
      <c r="U277" s="303">
        <v>0</v>
      </c>
      <c r="V277" s="572">
        <v>0</v>
      </c>
      <c r="W277" s="572">
        <v>1</v>
      </c>
      <c r="X277" s="572">
        <v>1</v>
      </c>
      <c r="Y277" s="572">
        <v>1</v>
      </c>
      <c r="Z277" s="481"/>
      <c r="AA277" s="481"/>
      <c r="AB277" s="481"/>
      <c r="AC277" s="481"/>
      <c r="AD277" s="481"/>
      <c r="AE277" s="481"/>
      <c r="AF277" s="481"/>
      <c r="AG277" s="481">
        <f t="shared" si="156"/>
        <v>0</v>
      </c>
      <c r="AH277" s="548"/>
      <c r="AI277" s="548"/>
      <c r="AJ277" s="548"/>
      <c r="AK277" s="548"/>
      <c r="AL277" s="548"/>
      <c r="AM277" s="548"/>
      <c r="AN277" s="548">
        <f t="shared" si="158"/>
        <v>0</v>
      </c>
      <c r="AO277" s="491">
        <v>0.5</v>
      </c>
      <c r="AP277" s="481"/>
      <c r="AQ277" s="481"/>
      <c r="AR277" s="481"/>
      <c r="AS277" s="481"/>
      <c r="AT277" s="481"/>
      <c r="AU277" s="481"/>
      <c r="AV277" s="481">
        <f t="shared" si="160"/>
        <v>0.5</v>
      </c>
      <c r="AW277" s="491">
        <v>0.5</v>
      </c>
      <c r="AX277" s="548"/>
      <c r="AY277" s="548"/>
      <c r="AZ277" s="548"/>
      <c r="BA277" s="548"/>
      <c r="BB277" s="548"/>
      <c r="BC277" s="548"/>
      <c r="BD277" s="548">
        <f t="shared" si="162"/>
        <v>0.5</v>
      </c>
      <c r="BE277" s="42">
        <f t="shared" si="149"/>
        <v>1</v>
      </c>
      <c r="BF277" s="42">
        <f t="shared" si="149"/>
        <v>0</v>
      </c>
      <c r="BG277" s="42">
        <f t="shared" si="149"/>
        <v>0</v>
      </c>
      <c r="BH277" s="42">
        <f t="shared" si="149"/>
        <v>0</v>
      </c>
      <c r="BI277" s="42">
        <f t="shared" si="149"/>
        <v>0</v>
      </c>
      <c r="BJ277" s="42">
        <f t="shared" si="167"/>
        <v>0</v>
      </c>
      <c r="BK277" s="42">
        <f t="shared" si="150"/>
        <v>0</v>
      </c>
      <c r="BL277" s="42">
        <f t="shared" si="150"/>
        <v>1</v>
      </c>
    </row>
    <row r="278" spans="1:64" ht="49.5" hidden="1" customHeight="1" x14ac:dyDescent="0.2">
      <c r="A278" s="298" t="s">
        <v>800</v>
      </c>
      <c r="B278" s="299" t="s">
        <v>801</v>
      </c>
      <c r="C278" s="1547"/>
      <c r="D278" s="1549"/>
      <c r="E278" s="1549"/>
      <c r="F278" s="1549"/>
      <c r="G278" s="1549"/>
      <c r="H278" s="1549"/>
      <c r="I278" s="1425"/>
      <c r="J278" s="1425"/>
      <c r="K278" s="1428" t="s">
        <v>846</v>
      </c>
      <c r="L278" s="301" t="s">
        <v>806</v>
      </c>
      <c r="M278" s="1425" t="s">
        <v>45</v>
      </c>
      <c r="N278" s="476" t="s">
        <v>46</v>
      </c>
      <c r="O278" s="1425" t="s">
        <v>47</v>
      </c>
      <c r="P278" s="1425"/>
      <c r="Q278" s="16" t="s">
        <v>847</v>
      </c>
      <c r="R278" s="302" t="s">
        <v>337</v>
      </c>
      <c r="S278" s="303">
        <v>2015</v>
      </c>
      <c r="T278" s="303">
        <v>0</v>
      </c>
      <c r="U278" s="303">
        <v>1</v>
      </c>
      <c r="V278" s="572">
        <v>3</v>
      </c>
      <c r="W278" s="572">
        <v>6</v>
      </c>
      <c r="X278" s="572">
        <v>8</v>
      </c>
      <c r="Y278" s="572">
        <v>8</v>
      </c>
      <c r="Z278" s="481">
        <v>0</v>
      </c>
      <c r="AA278" s="481"/>
      <c r="AB278" s="491">
        <v>1</v>
      </c>
      <c r="AC278" s="481"/>
      <c r="AD278" s="481"/>
      <c r="AE278" s="481"/>
      <c r="AF278" s="481"/>
      <c r="AG278" s="481">
        <f t="shared" si="156"/>
        <v>1</v>
      </c>
      <c r="AH278" s="491">
        <v>5</v>
      </c>
      <c r="AI278" s="548"/>
      <c r="AJ278" s="548"/>
      <c r="AK278" s="548"/>
      <c r="AL278" s="548"/>
      <c r="AM278" s="548"/>
      <c r="AN278" s="548">
        <f t="shared" si="158"/>
        <v>5</v>
      </c>
      <c r="AO278" s="491">
        <v>5</v>
      </c>
      <c r="AP278" s="481"/>
      <c r="AQ278" s="481"/>
      <c r="AR278" s="481"/>
      <c r="AS278" s="481"/>
      <c r="AT278" s="481"/>
      <c r="AU278" s="481"/>
      <c r="AV278" s="481">
        <f t="shared" si="160"/>
        <v>5</v>
      </c>
      <c r="AW278" s="491">
        <v>5</v>
      </c>
      <c r="AX278" s="548"/>
      <c r="AY278" s="548"/>
      <c r="AZ278" s="548"/>
      <c r="BA278" s="548"/>
      <c r="BB278" s="548"/>
      <c r="BC278" s="548"/>
      <c r="BD278" s="548">
        <f t="shared" si="162"/>
        <v>5</v>
      </c>
      <c r="BE278" s="42">
        <f t="shared" ref="BE278:BI312" si="172">+AW278+AO278+AH278+Z278</f>
        <v>15</v>
      </c>
      <c r="BF278" s="42">
        <f t="shared" si="172"/>
        <v>0</v>
      </c>
      <c r="BG278" s="42">
        <f t="shared" si="172"/>
        <v>1</v>
      </c>
      <c r="BH278" s="42">
        <f t="shared" si="172"/>
        <v>0</v>
      </c>
      <c r="BI278" s="42">
        <f t="shared" si="172"/>
        <v>0</v>
      </c>
      <c r="BJ278" s="42">
        <f t="shared" si="167"/>
        <v>0</v>
      </c>
      <c r="BK278" s="42">
        <f t="shared" ref="BK278:BL312" si="173">+BC278+AU278+AM278+AF278</f>
        <v>0</v>
      </c>
      <c r="BL278" s="42">
        <f t="shared" si="173"/>
        <v>16</v>
      </c>
    </row>
    <row r="279" spans="1:64" ht="35.25" hidden="1" customHeight="1" x14ac:dyDescent="0.2">
      <c r="A279" s="298" t="s">
        <v>800</v>
      </c>
      <c r="B279" s="299" t="s">
        <v>801</v>
      </c>
      <c r="C279" s="1547"/>
      <c r="D279" s="1549"/>
      <c r="E279" s="1549"/>
      <c r="F279" s="1549"/>
      <c r="G279" s="1549"/>
      <c r="H279" s="1549"/>
      <c r="I279" s="1425"/>
      <c r="J279" s="1425"/>
      <c r="K279" s="1428" t="s">
        <v>848</v>
      </c>
      <c r="L279" s="301" t="s">
        <v>806</v>
      </c>
      <c r="M279" s="1425" t="s">
        <v>45</v>
      </c>
      <c r="N279" s="476" t="s">
        <v>46</v>
      </c>
      <c r="O279" s="1425" t="s">
        <v>47</v>
      </c>
      <c r="P279" s="1425"/>
      <c r="Q279" s="16" t="s">
        <v>849</v>
      </c>
      <c r="R279" s="302" t="s">
        <v>850</v>
      </c>
      <c r="S279" s="303">
        <v>2015</v>
      </c>
      <c r="T279" s="303">
        <v>0</v>
      </c>
      <c r="U279" s="303">
        <v>0</v>
      </c>
      <c r="V279" s="572">
        <v>0</v>
      </c>
      <c r="W279" s="572">
        <v>1</v>
      </c>
      <c r="X279" s="572">
        <v>2</v>
      </c>
      <c r="Y279" s="572">
        <v>2</v>
      </c>
      <c r="Z279" s="481"/>
      <c r="AA279" s="481"/>
      <c r="AB279" s="481"/>
      <c r="AC279" s="481"/>
      <c r="AD279" s="481"/>
      <c r="AE279" s="481"/>
      <c r="AF279" s="481"/>
      <c r="AG279" s="481">
        <f t="shared" si="156"/>
        <v>0</v>
      </c>
      <c r="AH279" s="548"/>
      <c r="AI279" s="548"/>
      <c r="AJ279" s="548"/>
      <c r="AK279" s="548"/>
      <c r="AL279" s="548"/>
      <c r="AM279" s="548"/>
      <c r="AN279" s="548">
        <f t="shared" si="158"/>
        <v>0</v>
      </c>
      <c r="AO279" s="491">
        <v>0.5</v>
      </c>
      <c r="AP279" s="481"/>
      <c r="AQ279" s="481"/>
      <c r="AR279" s="481"/>
      <c r="AS279" s="481"/>
      <c r="AT279" s="481"/>
      <c r="AU279" s="481"/>
      <c r="AV279" s="481">
        <f t="shared" si="160"/>
        <v>0.5</v>
      </c>
      <c r="AW279" s="491">
        <v>0.5</v>
      </c>
      <c r="AX279" s="548"/>
      <c r="AY279" s="548"/>
      <c r="AZ279" s="548"/>
      <c r="BA279" s="548"/>
      <c r="BB279" s="548"/>
      <c r="BC279" s="548"/>
      <c r="BD279" s="548">
        <f t="shared" si="162"/>
        <v>0.5</v>
      </c>
      <c r="BE279" s="42">
        <f t="shared" si="172"/>
        <v>1</v>
      </c>
      <c r="BF279" s="42">
        <f t="shared" si="172"/>
        <v>0</v>
      </c>
      <c r="BG279" s="42">
        <f t="shared" si="172"/>
        <v>0</v>
      </c>
      <c r="BH279" s="42">
        <f t="shared" si="172"/>
        <v>0</v>
      </c>
      <c r="BI279" s="42">
        <f t="shared" si="172"/>
        <v>0</v>
      </c>
      <c r="BJ279" s="42">
        <f t="shared" si="167"/>
        <v>0</v>
      </c>
      <c r="BK279" s="42">
        <f t="shared" si="173"/>
        <v>0</v>
      </c>
      <c r="BL279" s="42">
        <f t="shared" si="173"/>
        <v>1</v>
      </c>
    </row>
    <row r="280" spans="1:64" ht="24.75" hidden="1" customHeight="1" x14ac:dyDescent="0.2">
      <c r="A280" s="298" t="s">
        <v>800</v>
      </c>
      <c r="B280" s="299" t="s">
        <v>801</v>
      </c>
      <c r="C280" s="1547"/>
      <c r="D280" s="1549"/>
      <c r="E280" s="1549"/>
      <c r="F280" s="1549"/>
      <c r="G280" s="1549"/>
      <c r="H280" s="1549"/>
      <c r="I280" s="1425"/>
      <c r="J280" s="1425"/>
      <c r="K280" s="1428" t="s">
        <v>851</v>
      </c>
      <c r="L280" s="301" t="s">
        <v>806</v>
      </c>
      <c r="M280" s="1425" t="s">
        <v>45</v>
      </c>
      <c r="N280" s="476" t="s">
        <v>46</v>
      </c>
      <c r="O280" s="1425" t="s">
        <v>47</v>
      </c>
      <c r="P280" s="1425"/>
      <c r="Q280" s="16" t="s">
        <v>852</v>
      </c>
      <c r="R280" s="302" t="s">
        <v>853</v>
      </c>
      <c r="S280" s="303">
        <v>2015</v>
      </c>
      <c r="T280" s="303">
        <v>0</v>
      </c>
      <c r="U280" s="303">
        <v>0</v>
      </c>
      <c r="V280" s="572">
        <v>0</v>
      </c>
      <c r="W280" s="572">
        <v>2</v>
      </c>
      <c r="X280" s="572">
        <v>4</v>
      </c>
      <c r="Y280" s="572">
        <v>4</v>
      </c>
      <c r="Z280" s="481"/>
      <c r="AA280" s="481"/>
      <c r="AB280" s="481"/>
      <c r="AC280" s="481"/>
      <c r="AD280" s="481"/>
      <c r="AE280" s="481"/>
      <c r="AF280" s="481"/>
      <c r="AG280" s="481">
        <f t="shared" si="156"/>
        <v>0</v>
      </c>
      <c r="AH280" s="548"/>
      <c r="AI280" s="548"/>
      <c r="AJ280" s="548"/>
      <c r="AK280" s="548"/>
      <c r="AL280" s="548"/>
      <c r="AM280" s="548"/>
      <c r="AN280" s="548">
        <f t="shared" si="158"/>
        <v>0</v>
      </c>
      <c r="AO280" s="491">
        <v>0.5</v>
      </c>
      <c r="AP280" s="481"/>
      <c r="AQ280" s="481"/>
      <c r="AR280" s="481"/>
      <c r="AS280" s="481"/>
      <c r="AT280" s="481"/>
      <c r="AU280" s="481"/>
      <c r="AV280" s="481">
        <f t="shared" si="160"/>
        <v>0.5</v>
      </c>
      <c r="AW280" s="491">
        <v>0.5</v>
      </c>
      <c r="AX280" s="548"/>
      <c r="AY280" s="548"/>
      <c r="AZ280" s="548"/>
      <c r="BA280" s="548"/>
      <c r="BB280" s="548"/>
      <c r="BC280" s="548"/>
      <c r="BD280" s="548">
        <f t="shared" si="162"/>
        <v>0.5</v>
      </c>
      <c r="BE280" s="42">
        <f t="shared" si="172"/>
        <v>1</v>
      </c>
      <c r="BF280" s="42">
        <f t="shared" si="172"/>
        <v>0</v>
      </c>
      <c r="BG280" s="42">
        <f t="shared" si="172"/>
        <v>0</v>
      </c>
      <c r="BH280" s="42">
        <f t="shared" si="172"/>
        <v>0</v>
      </c>
      <c r="BI280" s="42">
        <f t="shared" si="172"/>
        <v>0</v>
      </c>
      <c r="BJ280" s="42">
        <f t="shared" si="167"/>
        <v>0</v>
      </c>
      <c r="BK280" s="42">
        <f t="shared" si="173"/>
        <v>0</v>
      </c>
      <c r="BL280" s="42">
        <f t="shared" si="173"/>
        <v>1</v>
      </c>
    </row>
    <row r="281" spans="1:64" ht="35.25" hidden="1" customHeight="1" x14ac:dyDescent="0.2">
      <c r="A281" s="298" t="s">
        <v>800</v>
      </c>
      <c r="B281" s="299" t="s">
        <v>801</v>
      </c>
      <c r="C281" s="1547"/>
      <c r="D281" s="1549"/>
      <c r="E281" s="1549"/>
      <c r="F281" s="1549"/>
      <c r="G281" s="1549"/>
      <c r="H281" s="1549"/>
      <c r="I281" s="1425"/>
      <c r="J281" s="1425"/>
      <c r="K281" s="1428" t="s">
        <v>854</v>
      </c>
      <c r="L281" s="301" t="s">
        <v>806</v>
      </c>
      <c r="M281" s="1425" t="s">
        <v>45</v>
      </c>
      <c r="N281" s="476" t="s">
        <v>46</v>
      </c>
      <c r="O281" s="1425" t="s">
        <v>47</v>
      </c>
      <c r="P281" s="1425"/>
      <c r="Q281" s="16" t="s">
        <v>855</v>
      </c>
      <c r="R281" s="302" t="s">
        <v>856</v>
      </c>
      <c r="S281" s="303">
        <v>2015</v>
      </c>
      <c r="T281" s="303">
        <v>0</v>
      </c>
      <c r="U281" s="303">
        <v>1</v>
      </c>
      <c r="V281" s="572">
        <v>2</v>
      </c>
      <c r="W281" s="572">
        <v>3</v>
      </c>
      <c r="X281" s="572">
        <v>4</v>
      </c>
      <c r="Y281" s="572">
        <v>4</v>
      </c>
      <c r="Z281" s="481">
        <v>2</v>
      </c>
      <c r="AA281" s="481"/>
      <c r="AB281" s="481"/>
      <c r="AC281" s="481"/>
      <c r="AD281" s="481"/>
      <c r="AE281" s="481"/>
      <c r="AF281" s="481"/>
      <c r="AG281" s="481">
        <f t="shared" si="156"/>
        <v>2</v>
      </c>
      <c r="AH281" s="491">
        <v>1</v>
      </c>
      <c r="AI281" s="548"/>
      <c r="AJ281" s="716"/>
      <c r="AK281" s="548"/>
      <c r="AL281" s="548"/>
      <c r="AM281" s="548"/>
      <c r="AN281" s="548">
        <f t="shared" si="158"/>
        <v>1</v>
      </c>
      <c r="AO281" s="491">
        <v>0.5</v>
      </c>
      <c r="AP281" s="481"/>
      <c r="AQ281" s="481"/>
      <c r="AR281" s="481"/>
      <c r="AS281" s="481"/>
      <c r="AT281" s="481"/>
      <c r="AU281" s="481"/>
      <c r="AV281" s="481">
        <f t="shared" si="160"/>
        <v>0.5</v>
      </c>
      <c r="AW281" s="491">
        <v>0.5</v>
      </c>
      <c r="AX281" s="548"/>
      <c r="AY281" s="548"/>
      <c r="AZ281" s="548"/>
      <c r="BA281" s="548"/>
      <c r="BB281" s="548"/>
      <c r="BC281" s="548"/>
      <c r="BD281" s="548">
        <f t="shared" si="162"/>
        <v>0.5</v>
      </c>
      <c r="BE281" s="42">
        <f t="shared" si="172"/>
        <v>4</v>
      </c>
      <c r="BF281" s="42">
        <f t="shared" si="172"/>
        <v>0</v>
      </c>
      <c r="BG281" s="42">
        <f t="shared" si="172"/>
        <v>0</v>
      </c>
      <c r="BH281" s="42">
        <f t="shared" si="172"/>
        <v>0</v>
      </c>
      <c r="BI281" s="42">
        <f t="shared" si="172"/>
        <v>0</v>
      </c>
      <c r="BJ281" s="42">
        <f t="shared" si="167"/>
        <v>0</v>
      </c>
      <c r="BK281" s="42">
        <f t="shared" si="173"/>
        <v>0</v>
      </c>
      <c r="BL281" s="42">
        <f t="shared" si="173"/>
        <v>4</v>
      </c>
    </row>
    <row r="282" spans="1:64" ht="33.75" hidden="1" customHeight="1" x14ac:dyDescent="0.2">
      <c r="A282" s="298" t="s">
        <v>800</v>
      </c>
      <c r="B282" s="299" t="s">
        <v>801</v>
      </c>
      <c r="C282" s="1547"/>
      <c r="D282" s="1549"/>
      <c r="E282" s="1549"/>
      <c r="F282" s="1549"/>
      <c r="G282" s="1549"/>
      <c r="H282" s="1549"/>
      <c r="I282" s="1425"/>
      <c r="J282" s="1425"/>
      <c r="K282" s="1428" t="s">
        <v>857</v>
      </c>
      <c r="L282" s="301" t="s">
        <v>806</v>
      </c>
      <c r="M282" s="1425" t="s">
        <v>45</v>
      </c>
      <c r="N282" s="476" t="s">
        <v>46</v>
      </c>
      <c r="O282" s="1425" t="s">
        <v>47</v>
      </c>
      <c r="P282" s="1425"/>
      <c r="Q282" s="16" t="s">
        <v>858</v>
      </c>
      <c r="R282" s="302" t="s">
        <v>859</v>
      </c>
      <c r="S282" s="303">
        <v>2015</v>
      </c>
      <c r="T282" s="303">
        <v>0</v>
      </c>
      <c r="U282" s="303">
        <v>0</v>
      </c>
      <c r="V282" s="572">
        <v>0</v>
      </c>
      <c r="W282" s="572">
        <v>1</v>
      </c>
      <c r="X282" s="572">
        <v>1</v>
      </c>
      <c r="Y282" s="572">
        <v>1</v>
      </c>
      <c r="Z282" s="481"/>
      <c r="AA282" s="481"/>
      <c r="AB282" s="481"/>
      <c r="AC282" s="481"/>
      <c r="AD282" s="481"/>
      <c r="AE282" s="481"/>
      <c r="AF282" s="481"/>
      <c r="AG282" s="481">
        <f t="shared" si="156"/>
        <v>0</v>
      </c>
      <c r="AH282" s="548"/>
      <c r="AI282" s="548"/>
      <c r="AJ282" s="548"/>
      <c r="AK282" s="548"/>
      <c r="AL282" s="548"/>
      <c r="AM282" s="548"/>
      <c r="AN282" s="548">
        <f t="shared" si="158"/>
        <v>0</v>
      </c>
      <c r="AO282" s="491">
        <v>0.5</v>
      </c>
      <c r="AP282" s="481"/>
      <c r="AQ282" s="481"/>
      <c r="AR282" s="481"/>
      <c r="AS282" s="481"/>
      <c r="AT282" s="481"/>
      <c r="AU282" s="481"/>
      <c r="AV282" s="481">
        <f t="shared" si="160"/>
        <v>0.5</v>
      </c>
      <c r="AW282" s="491">
        <v>0.5</v>
      </c>
      <c r="AX282" s="548"/>
      <c r="AY282" s="548"/>
      <c r="AZ282" s="548"/>
      <c r="BA282" s="548"/>
      <c r="BB282" s="548"/>
      <c r="BC282" s="548"/>
      <c r="BD282" s="548">
        <f t="shared" si="162"/>
        <v>0.5</v>
      </c>
      <c r="BE282" s="42">
        <f t="shared" si="172"/>
        <v>1</v>
      </c>
      <c r="BF282" s="42">
        <f t="shared" si="172"/>
        <v>0</v>
      </c>
      <c r="BG282" s="42">
        <f t="shared" si="172"/>
        <v>0</v>
      </c>
      <c r="BH282" s="42">
        <f t="shared" si="172"/>
        <v>0</v>
      </c>
      <c r="BI282" s="42">
        <f t="shared" si="172"/>
        <v>0</v>
      </c>
      <c r="BJ282" s="42">
        <f t="shared" si="167"/>
        <v>0</v>
      </c>
      <c r="BK282" s="42">
        <f t="shared" si="173"/>
        <v>0</v>
      </c>
      <c r="BL282" s="42">
        <f t="shared" si="173"/>
        <v>1</v>
      </c>
    </row>
    <row r="283" spans="1:64" ht="33" hidden="1" customHeight="1" x14ac:dyDescent="0.2">
      <c r="A283" s="298" t="s">
        <v>800</v>
      </c>
      <c r="B283" s="299" t="s">
        <v>801</v>
      </c>
      <c r="C283" s="1547"/>
      <c r="D283" s="1549"/>
      <c r="E283" s="1549"/>
      <c r="F283" s="1549"/>
      <c r="G283" s="1549"/>
      <c r="H283" s="1549"/>
      <c r="I283" s="1425"/>
      <c r="J283" s="1425"/>
      <c r="K283" s="1428" t="s">
        <v>860</v>
      </c>
      <c r="L283" s="301" t="s">
        <v>806</v>
      </c>
      <c r="M283" s="1425" t="s">
        <v>45</v>
      </c>
      <c r="N283" s="476" t="s">
        <v>46</v>
      </c>
      <c r="O283" s="1425" t="s">
        <v>47</v>
      </c>
      <c r="P283" s="1425"/>
      <c r="Q283" s="16" t="s">
        <v>861</v>
      </c>
      <c r="R283" s="302" t="s">
        <v>862</v>
      </c>
      <c r="S283" s="303">
        <v>2015</v>
      </c>
      <c r="T283" s="303">
        <v>0</v>
      </c>
      <c r="U283" s="303">
        <v>0</v>
      </c>
      <c r="V283" s="572">
        <v>0</v>
      </c>
      <c r="W283" s="572">
        <v>1</v>
      </c>
      <c r="X283" s="572">
        <v>2</v>
      </c>
      <c r="Y283" s="572">
        <v>2</v>
      </c>
      <c r="Z283" s="481"/>
      <c r="AA283" s="481"/>
      <c r="AB283" s="481"/>
      <c r="AC283" s="481"/>
      <c r="AD283" s="481"/>
      <c r="AE283" s="481"/>
      <c r="AF283" s="481"/>
      <c r="AG283" s="481">
        <f t="shared" si="156"/>
        <v>0</v>
      </c>
      <c r="AH283" s="548"/>
      <c r="AI283" s="548"/>
      <c r="AJ283" s="548"/>
      <c r="AK283" s="548"/>
      <c r="AL283" s="548"/>
      <c r="AM283" s="548"/>
      <c r="AN283" s="548">
        <f t="shared" si="158"/>
        <v>0</v>
      </c>
      <c r="AO283" s="491">
        <v>0.5</v>
      </c>
      <c r="AP283" s="481"/>
      <c r="AQ283" s="481"/>
      <c r="AR283" s="481"/>
      <c r="AS283" s="481"/>
      <c r="AT283" s="481"/>
      <c r="AU283" s="481"/>
      <c r="AV283" s="481">
        <f t="shared" si="160"/>
        <v>0.5</v>
      </c>
      <c r="AW283" s="491">
        <v>0.5</v>
      </c>
      <c r="AX283" s="548"/>
      <c r="AY283" s="548"/>
      <c r="AZ283" s="548"/>
      <c r="BA283" s="548"/>
      <c r="BB283" s="548"/>
      <c r="BC283" s="548"/>
      <c r="BD283" s="548">
        <f t="shared" si="162"/>
        <v>0.5</v>
      </c>
      <c r="BE283" s="42">
        <f t="shared" si="172"/>
        <v>1</v>
      </c>
      <c r="BF283" s="42">
        <f t="shared" si="172"/>
        <v>0</v>
      </c>
      <c r="BG283" s="42">
        <f t="shared" si="172"/>
        <v>0</v>
      </c>
      <c r="BH283" s="42">
        <f t="shared" si="172"/>
        <v>0</v>
      </c>
      <c r="BI283" s="42">
        <f t="shared" si="172"/>
        <v>0</v>
      </c>
      <c r="BJ283" s="42">
        <f t="shared" si="167"/>
        <v>0</v>
      </c>
      <c r="BK283" s="42">
        <f t="shared" si="173"/>
        <v>0</v>
      </c>
      <c r="BL283" s="42">
        <f t="shared" si="173"/>
        <v>1</v>
      </c>
    </row>
    <row r="284" spans="1:64" ht="36.75" hidden="1" customHeight="1" x14ac:dyDescent="0.2">
      <c r="A284" s="298" t="s">
        <v>800</v>
      </c>
      <c r="B284" s="299" t="s">
        <v>801</v>
      </c>
      <c r="C284" s="1547"/>
      <c r="D284" s="1549"/>
      <c r="E284" s="1549"/>
      <c r="F284" s="1549"/>
      <c r="G284" s="1549"/>
      <c r="H284" s="1549"/>
      <c r="I284" s="1425"/>
      <c r="J284" s="1425"/>
      <c r="K284" s="1428" t="s">
        <v>863</v>
      </c>
      <c r="L284" s="301" t="s">
        <v>806</v>
      </c>
      <c r="M284" s="1425" t="s">
        <v>45</v>
      </c>
      <c r="N284" s="476" t="s">
        <v>46</v>
      </c>
      <c r="O284" s="1425" t="s">
        <v>47</v>
      </c>
      <c r="P284" s="1425"/>
      <c r="Q284" s="16" t="s">
        <v>864</v>
      </c>
      <c r="R284" s="302" t="s">
        <v>865</v>
      </c>
      <c r="S284" s="303">
        <v>2015</v>
      </c>
      <c r="T284" s="303">
        <v>0</v>
      </c>
      <c r="U284" s="303">
        <v>0</v>
      </c>
      <c r="V284" s="572">
        <v>0</v>
      </c>
      <c r="W284" s="572">
        <v>1</v>
      </c>
      <c r="X284" s="572">
        <v>2</v>
      </c>
      <c r="Y284" s="572">
        <v>2</v>
      </c>
      <c r="Z284" s="481"/>
      <c r="AA284" s="481"/>
      <c r="AB284" s="481"/>
      <c r="AC284" s="481"/>
      <c r="AD284" s="481"/>
      <c r="AE284" s="481"/>
      <c r="AF284" s="481"/>
      <c r="AG284" s="481">
        <f t="shared" si="156"/>
        <v>0</v>
      </c>
      <c r="AH284" s="548"/>
      <c r="AI284" s="548"/>
      <c r="AJ284" s="548"/>
      <c r="AK284" s="548"/>
      <c r="AL284" s="548"/>
      <c r="AM284" s="548"/>
      <c r="AN284" s="548">
        <f t="shared" si="158"/>
        <v>0</v>
      </c>
      <c r="AO284" s="491">
        <v>0.5</v>
      </c>
      <c r="AP284" s="481"/>
      <c r="AQ284" s="481"/>
      <c r="AR284" s="481"/>
      <c r="AS284" s="481"/>
      <c r="AT284" s="481"/>
      <c r="AU284" s="481"/>
      <c r="AV284" s="481">
        <f t="shared" si="160"/>
        <v>0.5</v>
      </c>
      <c r="AW284" s="491">
        <v>0.5</v>
      </c>
      <c r="AX284" s="548"/>
      <c r="AY284" s="548"/>
      <c r="AZ284" s="548"/>
      <c r="BA284" s="548"/>
      <c r="BB284" s="548"/>
      <c r="BC284" s="548"/>
      <c r="BD284" s="548">
        <f t="shared" si="162"/>
        <v>0.5</v>
      </c>
      <c r="BE284" s="42">
        <f t="shared" si="172"/>
        <v>1</v>
      </c>
      <c r="BF284" s="42">
        <f t="shared" si="172"/>
        <v>0</v>
      </c>
      <c r="BG284" s="42">
        <f t="shared" si="172"/>
        <v>0</v>
      </c>
      <c r="BH284" s="42">
        <f t="shared" si="172"/>
        <v>0</v>
      </c>
      <c r="BI284" s="42">
        <f t="shared" si="172"/>
        <v>0</v>
      </c>
      <c r="BJ284" s="42">
        <f t="shared" si="167"/>
        <v>0</v>
      </c>
      <c r="BK284" s="42">
        <f t="shared" si="173"/>
        <v>0</v>
      </c>
      <c r="BL284" s="42">
        <f t="shared" si="173"/>
        <v>1</v>
      </c>
    </row>
    <row r="285" spans="1:64" ht="35.25" hidden="1" customHeight="1" x14ac:dyDescent="0.2">
      <c r="A285" s="298" t="s">
        <v>800</v>
      </c>
      <c r="B285" s="299" t="s">
        <v>801</v>
      </c>
      <c r="C285" s="1547"/>
      <c r="D285" s="1549"/>
      <c r="E285" s="1549"/>
      <c r="F285" s="1549"/>
      <c r="G285" s="1549"/>
      <c r="H285" s="1549"/>
      <c r="I285" s="1425"/>
      <c r="J285" s="1425"/>
      <c r="K285" s="1428" t="s">
        <v>866</v>
      </c>
      <c r="L285" s="301" t="s">
        <v>806</v>
      </c>
      <c r="M285" s="1425" t="s">
        <v>45</v>
      </c>
      <c r="N285" s="476" t="s">
        <v>46</v>
      </c>
      <c r="O285" s="1425" t="s">
        <v>47</v>
      </c>
      <c r="P285" s="1425"/>
      <c r="Q285" s="16" t="s">
        <v>867</v>
      </c>
      <c r="R285" s="302" t="s">
        <v>868</v>
      </c>
      <c r="S285" s="303">
        <v>2015</v>
      </c>
      <c r="T285" s="303">
        <v>0</v>
      </c>
      <c r="U285" s="303">
        <v>0</v>
      </c>
      <c r="V285" s="572">
        <v>1</v>
      </c>
      <c r="W285" s="572">
        <v>1</v>
      </c>
      <c r="X285" s="572">
        <v>1</v>
      </c>
      <c r="Y285" s="572">
        <v>1</v>
      </c>
      <c r="Z285" s="481"/>
      <c r="AA285" s="481"/>
      <c r="AB285" s="481"/>
      <c r="AC285" s="481"/>
      <c r="AD285" s="481"/>
      <c r="AE285" s="481"/>
      <c r="AF285" s="481"/>
      <c r="AG285" s="481">
        <f t="shared" si="156"/>
        <v>0</v>
      </c>
      <c r="AH285" s="491">
        <v>1</v>
      </c>
      <c r="AI285" s="548"/>
      <c r="AJ285" s="716"/>
      <c r="AK285" s="548"/>
      <c r="AL285" s="548"/>
      <c r="AM285" s="548"/>
      <c r="AN285" s="548">
        <f t="shared" si="158"/>
        <v>1</v>
      </c>
      <c r="AO285" s="491">
        <v>0.5</v>
      </c>
      <c r="AP285" s="481"/>
      <c r="AQ285" s="481"/>
      <c r="AR285" s="481"/>
      <c r="AS285" s="481"/>
      <c r="AT285" s="481"/>
      <c r="AU285" s="481"/>
      <c r="AV285" s="481">
        <f t="shared" si="160"/>
        <v>0.5</v>
      </c>
      <c r="AW285" s="491">
        <v>0.5</v>
      </c>
      <c r="AX285" s="548"/>
      <c r="AY285" s="548"/>
      <c r="AZ285" s="548"/>
      <c r="BA285" s="548"/>
      <c r="BB285" s="548"/>
      <c r="BC285" s="548"/>
      <c r="BD285" s="548">
        <f t="shared" si="162"/>
        <v>0.5</v>
      </c>
      <c r="BE285" s="42">
        <f t="shared" si="172"/>
        <v>2</v>
      </c>
      <c r="BF285" s="42">
        <f t="shared" si="172"/>
        <v>0</v>
      </c>
      <c r="BG285" s="42">
        <f t="shared" si="172"/>
        <v>0</v>
      </c>
      <c r="BH285" s="42">
        <f t="shared" si="172"/>
        <v>0</v>
      </c>
      <c r="BI285" s="42">
        <f t="shared" si="172"/>
        <v>0</v>
      </c>
      <c r="BJ285" s="42">
        <f t="shared" si="167"/>
        <v>0</v>
      </c>
      <c r="BK285" s="42">
        <f t="shared" si="173"/>
        <v>0</v>
      </c>
      <c r="BL285" s="42">
        <f t="shared" si="173"/>
        <v>2</v>
      </c>
    </row>
    <row r="286" spans="1:64" ht="33" hidden="1" customHeight="1" x14ac:dyDescent="0.2">
      <c r="A286" s="298" t="s">
        <v>800</v>
      </c>
      <c r="B286" s="299" t="s">
        <v>801</v>
      </c>
      <c r="C286" s="1547"/>
      <c r="D286" s="1549"/>
      <c r="E286" s="1549"/>
      <c r="F286" s="1549"/>
      <c r="G286" s="1549"/>
      <c r="H286" s="1549"/>
      <c r="I286" s="1425"/>
      <c r="J286" s="1425"/>
      <c r="K286" s="1428" t="s">
        <v>869</v>
      </c>
      <c r="L286" s="301" t="s">
        <v>806</v>
      </c>
      <c r="M286" s="1425" t="s">
        <v>45</v>
      </c>
      <c r="N286" s="476" t="s">
        <v>46</v>
      </c>
      <c r="O286" s="1425" t="s">
        <v>47</v>
      </c>
      <c r="P286" s="1425"/>
      <c r="Q286" s="16" t="s">
        <v>870</v>
      </c>
      <c r="R286" s="302" t="s">
        <v>871</v>
      </c>
      <c r="S286" s="303">
        <v>2015</v>
      </c>
      <c r="T286" s="303">
        <v>0</v>
      </c>
      <c r="U286" s="303">
        <v>1</v>
      </c>
      <c r="V286" s="572">
        <v>2</v>
      </c>
      <c r="W286" s="572">
        <v>3</v>
      </c>
      <c r="X286" s="572">
        <v>4</v>
      </c>
      <c r="Y286" s="572">
        <v>4</v>
      </c>
      <c r="Z286" s="491">
        <v>1</v>
      </c>
      <c r="AA286" s="481"/>
      <c r="AB286" s="481"/>
      <c r="AC286" s="481"/>
      <c r="AD286" s="481"/>
      <c r="AE286" s="481"/>
      <c r="AF286" s="481"/>
      <c r="AG286" s="481">
        <f t="shared" si="156"/>
        <v>1</v>
      </c>
      <c r="AH286" s="491">
        <v>1</v>
      </c>
      <c r="AI286" s="548"/>
      <c r="AJ286" s="548"/>
      <c r="AK286" s="548"/>
      <c r="AL286" s="548"/>
      <c r="AM286" s="548"/>
      <c r="AN286" s="548">
        <f t="shared" si="158"/>
        <v>1</v>
      </c>
      <c r="AO286" s="491">
        <v>0.5</v>
      </c>
      <c r="AP286" s="481"/>
      <c r="AQ286" s="481"/>
      <c r="AR286" s="481"/>
      <c r="AS286" s="481"/>
      <c r="AT286" s="481"/>
      <c r="AU286" s="481"/>
      <c r="AV286" s="481">
        <f t="shared" si="160"/>
        <v>0.5</v>
      </c>
      <c r="AW286" s="491">
        <v>0.5</v>
      </c>
      <c r="AX286" s="548"/>
      <c r="AY286" s="548"/>
      <c r="AZ286" s="548"/>
      <c r="BA286" s="548"/>
      <c r="BB286" s="548"/>
      <c r="BC286" s="548"/>
      <c r="BD286" s="548">
        <f t="shared" si="162"/>
        <v>0.5</v>
      </c>
      <c r="BE286" s="42">
        <f t="shared" si="172"/>
        <v>3</v>
      </c>
      <c r="BF286" s="42">
        <f t="shared" si="172"/>
        <v>0</v>
      </c>
      <c r="BG286" s="42">
        <f t="shared" si="172"/>
        <v>0</v>
      </c>
      <c r="BH286" s="42">
        <f t="shared" si="172"/>
        <v>0</v>
      </c>
      <c r="BI286" s="42">
        <f t="shared" si="172"/>
        <v>0</v>
      </c>
      <c r="BJ286" s="42">
        <f t="shared" si="167"/>
        <v>0</v>
      </c>
      <c r="BK286" s="42">
        <f t="shared" si="173"/>
        <v>0</v>
      </c>
      <c r="BL286" s="42">
        <f t="shared" si="173"/>
        <v>3</v>
      </c>
    </row>
    <row r="287" spans="1:64" ht="30.75" hidden="1" customHeight="1" x14ac:dyDescent="0.2">
      <c r="A287" s="298" t="s">
        <v>800</v>
      </c>
      <c r="B287" s="299" t="s">
        <v>801</v>
      </c>
      <c r="C287" s="1547"/>
      <c r="D287" s="1549"/>
      <c r="E287" s="1549"/>
      <c r="F287" s="1549"/>
      <c r="G287" s="1549"/>
      <c r="H287" s="1549"/>
      <c r="I287" s="1425"/>
      <c r="J287" s="1425"/>
      <c r="K287" s="1428" t="s">
        <v>872</v>
      </c>
      <c r="L287" s="301" t="s">
        <v>806</v>
      </c>
      <c r="M287" s="1425" t="s">
        <v>45</v>
      </c>
      <c r="N287" s="476" t="s">
        <v>46</v>
      </c>
      <c r="O287" s="1425" t="s">
        <v>47</v>
      </c>
      <c r="P287" s="1425"/>
      <c r="Q287" s="16" t="s">
        <v>873</v>
      </c>
      <c r="R287" s="302" t="s">
        <v>874</v>
      </c>
      <c r="S287" s="303">
        <v>2015</v>
      </c>
      <c r="T287" s="303">
        <v>0</v>
      </c>
      <c r="U287" s="303">
        <v>15</v>
      </c>
      <c r="V287" s="572">
        <v>30</v>
      </c>
      <c r="W287" s="572">
        <v>45</v>
      </c>
      <c r="X287" s="572">
        <v>60</v>
      </c>
      <c r="Y287" s="572">
        <v>60</v>
      </c>
      <c r="Z287" s="491">
        <v>1</v>
      </c>
      <c r="AA287" s="481"/>
      <c r="AB287" s="481"/>
      <c r="AC287" s="481"/>
      <c r="AD287" s="481"/>
      <c r="AE287" s="481"/>
      <c r="AF287" s="481"/>
      <c r="AG287" s="481">
        <f t="shared" si="156"/>
        <v>1</v>
      </c>
      <c r="AH287" s="491">
        <v>1</v>
      </c>
      <c r="AI287" s="548"/>
      <c r="AJ287" s="716"/>
      <c r="AK287" s="548"/>
      <c r="AL287" s="548"/>
      <c r="AM287" s="548"/>
      <c r="AN287" s="548">
        <f t="shared" si="158"/>
        <v>1</v>
      </c>
      <c r="AO287" s="481"/>
      <c r="AP287" s="481"/>
      <c r="AQ287" s="491">
        <v>4.5</v>
      </c>
      <c r="AR287" s="481"/>
      <c r="AS287" s="481"/>
      <c r="AT287" s="481"/>
      <c r="AU287" s="481"/>
      <c r="AV287" s="481">
        <f t="shared" si="160"/>
        <v>4.5</v>
      </c>
      <c r="AW287" s="481"/>
      <c r="AX287" s="548"/>
      <c r="AY287" s="491">
        <v>5</v>
      </c>
      <c r="AZ287" s="548"/>
      <c r="BA287" s="548"/>
      <c r="BB287" s="548"/>
      <c r="BC287" s="548"/>
      <c r="BD287" s="548">
        <f t="shared" si="162"/>
        <v>5</v>
      </c>
      <c r="BE287" s="42">
        <f t="shared" si="172"/>
        <v>2</v>
      </c>
      <c r="BF287" s="42">
        <f t="shared" si="172"/>
        <v>0</v>
      </c>
      <c r="BG287" s="42">
        <f t="shared" si="172"/>
        <v>9.5</v>
      </c>
      <c r="BH287" s="42">
        <f t="shared" si="172"/>
        <v>0</v>
      </c>
      <c r="BI287" s="42">
        <f t="shared" si="172"/>
        <v>0</v>
      </c>
      <c r="BJ287" s="42">
        <f t="shared" si="167"/>
        <v>0</v>
      </c>
      <c r="BK287" s="42">
        <f t="shared" si="173"/>
        <v>0</v>
      </c>
      <c r="BL287" s="42">
        <f t="shared" si="173"/>
        <v>11.5</v>
      </c>
    </row>
    <row r="288" spans="1:64" ht="39.75" hidden="1" customHeight="1" x14ac:dyDescent="0.2">
      <c r="A288" s="298" t="s">
        <v>800</v>
      </c>
      <c r="B288" s="299" t="s">
        <v>801</v>
      </c>
      <c r="C288" s="1548"/>
      <c r="D288" s="1549"/>
      <c r="E288" s="1549"/>
      <c r="F288" s="1549"/>
      <c r="G288" s="1549"/>
      <c r="H288" s="1549"/>
      <c r="I288" s="1425"/>
      <c r="J288" s="1425"/>
      <c r="K288" s="1428" t="s">
        <v>875</v>
      </c>
      <c r="L288" s="301" t="s">
        <v>806</v>
      </c>
      <c r="M288" s="1425" t="s">
        <v>45</v>
      </c>
      <c r="N288" s="476" t="s">
        <v>46</v>
      </c>
      <c r="O288" s="1425" t="s">
        <v>73</v>
      </c>
      <c r="P288" s="1425"/>
      <c r="Q288" s="16" t="s">
        <v>876</v>
      </c>
      <c r="R288" s="302" t="s">
        <v>877</v>
      </c>
      <c r="S288" s="303">
        <v>2015</v>
      </c>
      <c r="T288" s="303">
        <v>0</v>
      </c>
      <c r="U288" s="303">
        <v>1</v>
      </c>
      <c r="V288" s="572">
        <v>1</v>
      </c>
      <c r="W288" s="572">
        <v>1</v>
      </c>
      <c r="X288" s="572">
        <v>1</v>
      </c>
      <c r="Y288" s="572">
        <v>1</v>
      </c>
      <c r="Z288" s="491">
        <v>1</v>
      </c>
      <c r="AA288" s="481"/>
      <c r="AB288" s="481"/>
      <c r="AC288" s="481"/>
      <c r="AD288" s="481"/>
      <c r="AE288" s="481"/>
      <c r="AF288" s="481"/>
      <c r="AG288" s="481">
        <f t="shared" si="156"/>
        <v>1</v>
      </c>
      <c r="AH288" s="491">
        <v>1</v>
      </c>
      <c r="AI288" s="548"/>
      <c r="AJ288" s="548"/>
      <c r="AK288" s="548"/>
      <c r="AL288" s="548"/>
      <c r="AM288" s="548"/>
      <c r="AN288" s="548">
        <f t="shared" si="158"/>
        <v>1</v>
      </c>
      <c r="AO288" s="491">
        <v>0.5</v>
      </c>
      <c r="AP288" s="481"/>
      <c r="AQ288" s="481"/>
      <c r="AR288" s="481"/>
      <c r="AS288" s="481"/>
      <c r="AT288" s="481"/>
      <c r="AU288" s="481"/>
      <c r="AV288" s="481">
        <f t="shared" si="160"/>
        <v>0.5</v>
      </c>
      <c r="AW288" s="491">
        <v>0.5</v>
      </c>
      <c r="AX288" s="548"/>
      <c r="AY288" s="548"/>
      <c r="AZ288" s="548"/>
      <c r="BA288" s="548"/>
      <c r="BB288" s="548"/>
      <c r="BC288" s="548"/>
      <c r="BD288" s="548">
        <f t="shared" si="162"/>
        <v>0.5</v>
      </c>
      <c r="BE288" s="42">
        <f t="shared" si="172"/>
        <v>3</v>
      </c>
      <c r="BF288" s="42">
        <f t="shared" si="172"/>
        <v>0</v>
      </c>
      <c r="BG288" s="42">
        <f t="shared" si="172"/>
        <v>0</v>
      </c>
      <c r="BH288" s="42">
        <f t="shared" si="172"/>
        <v>0</v>
      </c>
      <c r="BI288" s="42">
        <f t="shared" si="172"/>
        <v>0</v>
      </c>
      <c r="BJ288" s="42">
        <f t="shared" si="167"/>
        <v>0</v>
      </c>
      <c r="BK288" s="42">
        <f t="shared" si="173"/>
        <v>0</v>
      </c>
      <c r="BL288" s="42">
        <f t="shared" si="173"/>
        <v>3</v>
      </c>
    </row>
    <row r="289" spans="1:64" ht="25.5" hidden="1" x14ac:dyDescent="0.2">
      <c r="A289" s="295" t="s">
        <v>800</v>
      </c>
      <c r="B289" s="24" t="s">
        <v>798</v>
      </c>
      <c r="C289" s="6"/>
      <c r="D289" s="2" t="s">
        <v>878</v>
      </c>
      <c r="E289" s="1"/>
      <c r="F289" s="1"/>
      <c r="G289" s="1"/>
      <c r="H289" s="1"/>
      <c r="I289" s="1"/>
      <c r="J289" s="1"/>
      <c r="K289" s="1"/>
      <c r="L289" s="1"/>
      <c r="M289" s="1"/>
      <c r="N289" s="1"/>
      <c r="O289" s="1"/>
      <c r="P289" s="1"/>
      <c r="Q289" s="22"/>
      <c r="R289" s="22"/>
      <c r="S289" s="1"/>
      <c r="T289" s="1"/>
      <c r="U289" s="1"/>
      <c r="V289" s="49"/>
      <c r="W289" s="49"/>
      <c r="X289" s="49"/>
      <c r="Y289" s="49"/>
      <c r="Z289" s="497"/>
      <c r="AA289" s="497">
        <f>SUM(AA294:AA305)</f>
        <v>0</v>
      </c>
      <c r="AB289" s="497"/>
      <c r="AC289" s="497">
        <f>SUM(AC294:AC305)</f>
        <v>0</v>
      </c>
      <c r="AD289" s="497">
        <f>SUM(AD294:AD305)</f>
        <v>0</v>
      </c>
      <c r="AE289" s="497"/>
      <c r="AF289" s="497"/>
      <c r="AG289" s="497">
        <f>SUM(Z289:AF289)</f>
        <v>0</v>
      </c>
      <c r="AH289" s="34"/>
      <c r="AI289" s="34">
        <f>SUM(AI294:AI305)</f>
        <v>0</v>
      </c>
      <c r="AJ289" s="34">
        <f>SUM(AJ290:AJ293)</f>
        <v>1</v>
      </c>
      <c r="AK289" s="34"/>
      <c r="AL289" s="34">
        <f>SUM(AL294:AL305)</f>
        <v>0</v>
      </c>
      <c r="AM289" s="34">
        <f>SUM(AM294:AM305)</f>
        <v>400</v>
      </c>
      <c r="AN289" s="34">
        <f>SUM(AH289:AM289)</f>
        <v>401</v>
      </c>
      <c r="AO289" s="34"/>
      <c r="AP289" s="34">
        <f t="shared" ref="AP289:AU289" si="174">SUM(AP294:AP305)</f>
        <v>0</v>
      </c>
      <c r="AQ289" s="34">
        <f>SUM(AQ290:AQ293)</f>
        <v>1</v>
      </c>
      <c r="AR289" s="34"/>
      <c r="AS289" s="34">
        <f t="shared" si="174"/>
        <v>0</v>
      </c>
      <c r="AT289" s="34">
        <f t="shared" si="174"/>
        <v>0</v>
      </c>
      <c r="AU289" s="34">
        <f t="shared" si="174"/>
        <v>0</v>
      </c>
      <c r="AV289" s="34">
        <f>SUM(AO289:AU289)</f>
        <v>1</v>
      </c>
      <c r="AW289" s="34"/>
      <c r="AX289" s="34">
        <f t="shared" ref="AX289:BC289" si="175">SUM(AX294:AX305)</f>
        <v>0</v>
      </c>
      <c r="AY289" s="34">
        <f>SUM(AY290:AY293)</f>
        <v>0.5</v>
      </c>
      <c r="AZ289" s="34">
        <f t="shared" si="175"/>
        <v>0</v>
      </c>
      <c r="BA289" s="34">
        <f t="shared" si="175"/>
        <v>0</v>
      </c>
      <c r="BB289" s="34">
        <f t="shared" si="175"/>
        <v>0</v>
      </c>
      <c r="BC289" s="34">
        <f t="shared" si="175"/>
        <v>0</v>
      </c>
      <c r="BD289" s="34">
        <f>SUM(AW289:BC289)</f>
        <v>0.5</v>
      </c>
      <c r="BE289" s="34">
        <f t="shared" si="172"/>
        <v>0</v>
      </c>
      <c r="BF289" s="34">
        <f t="shared" si="172"/>
        <v>0</v>
      </c>
      <c r="BG289" s="34">
        <f t="shared" si="172"/>
        <v>2.5</v>
      </c>
      <c r="BH289" s="34">
        <f t="shared" si="172"/>
        <v>0</v>
      </c>
      <c r="BI289" s="34">
        <f t="shared" si="172"/>
        <v>0</v>
      </c>
      <c r="BJ289" s="34">
        <f t="shared" si="167"/>
        <v>0</v>
      </c>
      <c r="BK289" s="34">
        <f t="shared" si="173"/>
        <v>400</v>
      </c>
      <c r="BL289" s="34">
        <f t="shared" si="173"/>
        <v>402.5</v>
      </c>
    </row>
    <row r="290" spans="1:64" ht="51.75" hidden="1" customHeight="1" x14ac:dyDescent="0.2">
      <c r="A290" s="373" t="s">
        <v>800</v>
      </c>
      <c r="B290" s="299" t="s">
        <v>801</v>
      </c>
      <c r="C290" s="1546" t="s">
        <v>879</v>
      </c>
      <c r="D290" s="1550" t="s">
        <v>880</v>
      </c>
      <c r="E290" s="1550" t="s">
        <v>881</v>
      </c>
      <c r="F290" s="1550">
        <v>2015</v>
      </c>
      <c r="G290" s="1550">
        <v>0</v>
      </c>
      <c r="H290" s="1550">
        <v>1</v>
      </c>
      <c r="I290" s="476"/>
      <c r="J290" s="476"/>
      <c r="K290" s="1428" t="s">
        <v>882</v>
      </c>
      <c r="L290" s="301" t="s">
        <v>883</v>
      </c>
      <c r="M290" s="1425" t="s">
        <v>45</v>
      </c>
      <c r="N290" s="476" t="s">
        <v>46</v>
      </c>
      <c r="O290" s="1425" t="s">
        <v>47</v>
      </c>
      <c r="P290" s="1425"/>
      <c r="Q290" s="16" t="s">
        <v>884</v>
      </c>
      <c r="R290" s="302" t="s">
        <v>146</v>
      </c>
      <c r="S290" s="303">
        <v>2015</v>
      </c>
      <c r="T290" s="303">
        <v>0</v>
      </c>
      <c r="U290" s="303">
        <v>0</v>
      </c>
      <c r="V290" s="303">
        <v>0</v>
      </c>
      <c r="W290" s="303">
        <v>1</v>
      </c>
      <c r="X290" s="303">
        <v>0</v>
      </c>
      <c r="Y290" s="572">
        <v>1</v>
      </c>
      <c r="Z290" s="582"/>
      <c r="AA290" s="582"/>
      <c r="AB290" s="582"/>
      <c r="AC290" s="582"/>
      <c r="AD290" s="582"/>
      <c r="AE290" s="582"/>
      <c r="AF290" s="582"/>
      <c r="AG290" s="582"/>
      <c r="AH290" s="31"/>
      <c r="AI290" s="31"/>
      <c r="AJ290" s="31"/>
      <c r="AK290" s="31"/>
      <c r="AL290" s="31"/>
      <c r="AM290" s="31"/>
      <c r="AN290" s="31"/>
      <c r="AO290" s="582"/>
      <c r="AP290" s="582"/>
      <c r="AQ290" s="491">
        <v>0.5</v>
      </c>
      <c r="AR290" s="582"/>
      <c r="AS290" s="582"/>
      <c r="AT290" s="582"/>
      <c r="AU290" s="582"/>
      <c r="AV290" s="582"/>
      <c r="AW290" s="31"/>
      <c r="AX290" s="31"/>
      <c r="AY290" s="31"/>
      <c r="AZ290" s="31"/>
      <c r="BA290" s="31"/>
      <c r="BB290" s="31"/>
      <c r="BC290" s="31"/>
      <c r="BD290" s="31"/>
      <c r="BE290" s="32"/>
      <c r="BF290" s="32"/>
      <c r="BG290" s="32"/>
      <c r="BH290" s="32"/>
      <c r="BI290" s="32"/>
      <c r="BJ290" s="32"/>
      <c r="BK290" s="32"/>
      <c r="BL290" s="32"/>
    </row>
    <row r="291" spans="1:64" ht="52.5" hidden="1" customHeight="1" x14ac:dyDescent="0.2">
      <c r="A291" s="373" t="s">
        <v>800</v>
      </c>
      <c r="B291" s="299" t="s">
        <v>801</v>
      </c>
      <c r="C291" s="1547"/>
      <c r="D291" s="1551"/>
      <c r="E291" s="1551"/>
      <c r="F291" s="1551"/>
      <c r="G291" s="1551"/>
      <c r="H291" s="1551"/>
      <c r="I291" s="476"/>
      <c r="J291" s="476"/>
      <c r="K291" s="1428" t="s">
        <v>885</v>
      </c>
      <c r="L291" s="301" t="s">
        <v>883</v>
      </c>
      <c r="M291" s="1425" t="s">
        <v>45</v>
      </c>
      <c r="N291" s="476" t="s">
        <v>46</v>
      </c>
      <c r="O291" s="1425" t="s">
        <v>47</v>
      </c>
      <c r="P291" s="1425"/>
      <c r="Q291" s="16" t="s">
        <v>886</v>
      </c>
      <c r="R291" s="302" t="s">
        <v>887</v>
      </c>
      <c r="S291" s="303">
        <v>2015</v>
      </c>
      <c r="T291" s="303">
        <v>0</v>
      </c>
      <c r="U291" s="303">
        <v>0</v>
      </c>
      <c r="V291" s="303">
        <v>1</v>
      </c>
      <c r="W291" s="303">
        <v>0</v>
      </c>
      <c r="X291" s="303">
        <v>0</v>
      </c>
      <c r="Y291" s="572">
        <v>1</v>
      </c>
      <c r="Z291" s="582"/>
      <c r="AA291" s="582"/>
      <c r="AB291" s="582"/>
      <c r="AC291" s="582"/>
      <c r="AD291" s="582"/>
      <c r="AE291" s="582"/>
      <c r="AF291" s="582"/>
      <c r="AG291" s="582"/>
      <c r="AH291" s="31"/>
      <c r="AI291" s="31"/>
      <c r="AJ291" s="491">
        <v>0.5</v>
      </c>
      <c r="AK291" s="31"/>
      <c r="AL291" s="31"/>
      <c r="AM291" s="31"/>
      <c r="AN291" s="31">
        <f>SUM(AH291:AM291)</f>
        <v>0.5</v>
      </c>
      <c r="AO291" s="582"/>
      <c r="AP291" s="582"/>
      <c r="AQ291" s="582"/>
      <c r="AR291" s="582"/>
      <c r="AS291" s="582"/>
      <c r="AT291" s="582"/>
      <c r="AU291" s="582"/>
      <c r="AV291" s="582"/>
      <c r="AW291" s="31"/>
      <c r="AX291" s="31"/>
      <c r="AY291" s="31"/>
      <c r="AZ291" s="31"/>
      <c r="BA291" s="31"/>
      <c r="BB291" s="31"/>
      <c r="BC291" s="31"/>
      <c r="BD291" s="31"/>
      <c r="BE291" s="32"/>
      <c r="BF291" s="32"/>
      <c r="BG291" s="32"/>
      <c r="BH291" s="32"/>
      <c r="BI291" s="32"/>
      <c r="BJ291" s="32"/>
      <c r="BK291" s="32"/>
      <c r="BL291" s="32"/>
    </row>
    <row r="292" spans="1:64" ht="47.25" hidden="1" customHeight="1" x14ac:dyDescent="0.2">
      <c r="A292" s="298" t="s">
        <v>800</v>
      </c>
      <c r="B292" s="299" t="s">
        <v>801</v>
      </c>
      <c r="C292" s="1547"/>
      <c r="D292" s="1551"/>
      <c r="E292" s="1551"/>
      <c r="F292" s="1551"/>
      <c r="G292" s="1551"/>
      <c r="H292" s="1551"/>
      <c r="I292" s="1425"/>
      <c r="J292" s="1425"/>
      <c r="K292" s="1428" t="s">
        <v>888</v>
      </c>
      <c r="L292" s="301" t="s">
        <v>883</v>
      </c>
      <c r="M292" s="1425" t="s">
        <v>45</v>
      </c>
      <c r="N292" s="476" t="s">
        <v>46</v>
      </c>
      <c r="O292" s="1425" t="s">
        <v>47</v>
      </c>
      <c r="P292" s="1425"/>
      <c r="Q292" s="16" t="s">
        <v>889</v>
      </c>
      <c r="R292" s="302" t="s">
        <v>890</v>
      </c>
      <c r="S292" s="303">
        <v>2015</v>
      </c>
      <c r="T292" s="303">
        <v>0</v>
      </c>
      <c r="U292" s="303">
        <v>0</v>
      </c>
      <c r="V292" s="303">
        <v>0</v>
      </c>
      <c r="W292" s="303">
        <v>1</v>
      </c>
      <c r="X292" s="303">
        <v>0</v>
      </c>
      <c r="Y292" s="572">
        <v>1</v>
      </c>
      <c r="Z292" s="481"/>
      <c r="AA292" s="481"/>
      <c r="AB292" s="481"/>
      <c r="AC292" s="481"/>
      <c r="AD292" s="481"/>
      <c r="AE292" s="481"/>
      <c r="AF292" s="481"/>
      <c r="AG292" s="481">
        <f>SUM(Z292:AF292)</f>
        <v>0</v>
      </c>
      <c r="AH292" s="548"/>
      <c r="AI292" s="548"/>
      <c r="AJ292" s="548"/>
      <c r="AK292" s="548"/>
      <c r="AL292" s="548"/>
      <c r="AM292" s="548"/>
      <c r="AN292" s="548">
        <f>SUM(AH292:AM292)</f>
        <v>0</v>
      </c>
      <c r="AO292" s="481"/>
      <c r="AP292" s="481"/>
      <c r="AQ292" s="491">
        <v>0.3</v>
      </c>
      <c r="AR292" s="481"/>
      <c r="AS292" s="481"/>
      <c r="AT292" s="481"/>
      <c r="AU292" s="481"/>
      <c r="AV292" s="481">
        <f>SUM(AO292:AU292)</f>
        <v>0.3</v>
      </c>
      <c r="AW292" s="548"/>
      <c r="AX292" s="548"/>
      <c r="AY292" s="548"/>
      <c r="AZ292" s="548"/>
      <c r="BA292" s="548"/>
      <c r="BB292" s="548"/>
      <c r="BC292" s="548"/>
      <c r="BD292" s="548">
        <f>SUM(AW292:BC292)</f>
        <v>0</v>
      </c>
      <c r="BE292" s="42">
        <f>+AW292+AO292+AH292+Z292</f>
        <v>0</v>
      </c>
      <c r="BF292" s="42">
        <f>+AX292+AP292+AI292+AA292</f>
        <v>0</v>
      </c>
      <c r="BG292" s="42">
        <f>+AY292+AQ292+AJ292+AB292</f>
        <v>0.3</v>
      </c>
      <c r="BH292" s="42">
        <f>+AZ292+AR292+AK292+AC292</f>
        <v>0</v>
      </c>
      <c r="BI292" s="42">
        <f>+BA292+AS292+AL292+AD292</f>
        <v>0</v>
      </c>
      <c r="BJ292" s="42">
        <f>+AE292+AT292+BB292</f>
        <v>0</v>
      </c>
      <c r="BK292" s="42">
        <f>+BC292+AU292+AM292+AF292</f>
        <v>0</v>
      </c>
      <c r="BL292" s="42">
        <f>+BD292+AV292+AN292+AG292</f>
        <v>0.3</v>
      </c>
    </row>
    <row r="293" spans="1:64" ht="49.5" hidden="1" customHeight="1" x14ac:dyDescent="0.2">
      <c r="A293" s="373" t="s">
        <v>800</v>
      </c>
      <c r="B293" s="299" t="s">
        <v>801</v>
      </c>
      <c r="C293" s="1547"/>
      <c r="D293" s="1552"/>
      <c r="E293" s="1552"/>
      <c r="F293" s="1552"/>
      <c r="G293" s="1552"/>
      <c r="H293" s="1552"/>
      <c r="I293" s="476"/>
      <c r="J293" s="476"/>
      <c r="K293" s="1428" t="s">
        <v>891</v>
      </c>
      <c r="L293" s="301" t="s">
        <v>883</v>
      </c>
      <c r="M293" s="1425" t="s">
        <v>45</v>
      </c>
      <c r="N293" s="476" t="s">
        <v>46</v>
      </c>
      <c r="O293" s="1425" t="s">
        <v>47</v>
      </c>
      <c r="P293" s="1425"/>
      <c r="Q293" s="16" t="s">
        <v>892</v>
      </c>
      <c r="R293" s="302" t="s">
        <v>893</v>
      </c>
      <c r="S293" s="303">
        <v>2015</v>
      </c>
      <c r="T293" s="303">
        <v>0</v>
      </c>
      <c r="U293" s="303">
        <v>0</v>
      </c>
      <c r="V293" s="303">
        <v>1</v>
      </c>
      <c r="W293" s="303">
        <v>1</v>
      </c>
      <c r="X293" s="303">
        <v>2</v>
      </c>
      <c r="Y293" s="572">
        <v>4</v>
      </c>
      <c r="Z293" s="582"/>
      <c r="AA293" s="582"/>
      <c r="AB293" s="582"/>
      <c r="AC293" s="582"/>
      <c r="AD293" s="582"/>
      <c r="AE293" s="582"/>
      <c r="AF293" s="582"/>
      <c r="AG293" s="582"/>
      <c r="AH293" s="31"/>
      <c r="AI293" s="31"/>
      <c r="AJ293" s="491">
        <v>0.5</v>
      </c>
      <c r="AK293" s="31"/>
      <c r="AL293" s="31"/>
      <c r="AM293" s="31"/>
      <c r="AN293" s="31">
        <f>SUM(AH293:AM293)</f>
        <v>0.5</v>
      </c>
      <c r="AO293" s="582"/>
      <c r="AP293" s="582"/>
      <c r="AQ293" s="582">
        <v>0.2</v>
      </c>
      <c r="AR293" s="582"/>
      <c r="AS293" s="582"/>
      <c r="AT293" s="582"/>
      <c r="AU293" s="582"/>
      <c r="AV293" s="582"/>
      <c r="AW293" s="31"/>
      <c r="AX293" s="31"/>
      <c r="AY293" s="491">
        <v>0.5</v>
      </c>
      <c r="AZ293" s="31"/>
      <c r="BA293" s="31"/>
      <c r="BB293" s="31"/>
      <c r="BC293" s="31"/>
      <c r="BD293" s="31"/>
      <c r="BE293" s="32"/>
      <c r="BF293" s="32"/>
      <c r="BG293" s="32"/>
      <c r="BH293" s="32"/>
      <c r="BI293" s="32"/>
      <c r="BJ293" s="32"/>
      <c r="BK293" s="32"/>
      <c r="BL293" s="32"/>
    </row>
    <row r="294" spans="1:64" ht="3.75" customHeight="1" x14ac:dyDescent="0.2">
      <c r="A294" s="151"/>
      <c r="B294" s="7" t="s">
        <v>894</v>
      </c>
      <c r="C294" s="7"/>
      <c r="D294" s="1442"/>
      <c r="E294" s="1442"/>
      <c r="F294" s="1442"/>
      <c r="G294" s="1442"/>
      <c r="H294" s="1442"/>
      <c r="I294" s="1442"/>
      <c r="J294" s="1442"/>
      <c r="K294" s="1442"/>
      <c r="L294" s="1442"/>
      <c r="M294" s="1442"/>
      <c r="N294" s="11"/>
      <c r="O294" s="1442"/>
      <c r="P294" s="1442"/>
      <c r="Q294" s="1440"/>
      <c r="R294" s="1440"/>
      <c r="S294" s="1442"/>
      <c r="T294" s="1442"/>
      <c r="U294" s="1442"/>
      <c r="V294" s="63"/>
      <c r="W294" s="63"/>
      <c r="X294" s="63"/>
      <c r="Y294" s="63"/>
      <c r="Z294" s="42">
        <v>55</v>
      </c>
      <c r="AA294" s="42"/>
      <c r="AB294" s="42">
        <v>111</v>
      </c>
      <c r="AC294" s="42"/>
      <c r="AD294" s="42"/>
      <c r="AE294" s="42">
        <v>79.7</v>
      </c>
      <c r="AF294" s="42"/>
      <c r="AG294" s="42"/>
      <c r="AH294" s="42">
        <f>+Z294*1.04</f>
        <v>57.2</v>
      </c>
      <c r="AI294" s="42"/>
      <c r="AJ294" s="42">
        <f>+AB294*1.04</f>
        <v>115.44</v>
      </c>
      <c r="AK294" s="42"/>
      <c r="AL294" s="42"/>
      <c r="AM294" s="42"/>
      <c r="AN294" s="42"/>
      <c r="AO294" s="42">
        <f>+AH294*1.04</f>
        <v>59.488000000000007</v>
      </c>
      <c r="AP294" s="42"/>
      <c r="AQ294" s="42">
        <f>+AJ294*1.04</f>
        <v>120.05760000000001</v>
      </c>
      <c r="AR294" s="42"/>
      <c r="AS294" s="42"/>
      <c r="AT294" s="42"/>
      <c r="AU294" s="42"/>
      <c r="AV294" s="42"/>
      <c r="AW294" s="42">
        <f>+AO294*1.04</f>
        <v>61.867520000000006</v>
      </c>
      <c r="AX294" s="42"/>
      <c r="AY294" s="42">
        <f>+AQ294*1.04</f>
        <v>124.85990400000001</v>
      </c>
      <c r="AZ294" s="42"/>
      <c r="BA294" s="42"/>
      <c r="BB294" s="42"/>
      <c r="BC294" s="42"/>
      <c r="BD294" s="42"/>
      <c r="BE294" s="42">
        <f t="shared" si="172"/>
        <v>233.55552</v>
      </c>
      <c r="BF294" s="42">
        <f t="shared" si="172"/>
        <v>0</v>
      </c>
      <c r="BG294" s="42">
        <f t="shared" si="172"/>
        <v>471.35750400000001</v>
      </c>
      <c r="BH294" s="42">
        <f t="shared" si="172"/>
        <v>0</v>
      </c>
      <c r="BI294" s="42">
        <f t="shared" si="172"/>
        <v>0</v>
      </c>
      <c r="BJ294" s="42">
        <f t="shared" si="167"/>
        <v>79.7</v>
      </c>
      <c r="BK294" s="42">
        <f t="shared" si="173"/>
        <v>0</v>
      </c>
      <c r="BL294" s="42">
        <f t="shared" si="173"/>
        <v>0</v>
      </c>
    </row>
    <row r="295" spans="1:64" ht="20.25" hidden="1" x14ac:dyDescent="0.2">
      <c r="A295" s="290"/>
      <c r="B295" s="1565" t="s">
        <v>894</v>
      </c>
      <c r="C295" s="1566"/>
      <c r="D295" s="1566"/>
      <c r="E295" s="1566"/>
      <c r="F295" s="1566"/>
      <c r="G295" s="1566"/>
      <c r="H295" s="1566"/>
      <c r="I295" s="1566"/>
      <c r="J295" s="1566"/>
      <c r="K295" s="1566"/>
      <c r="L295" s="1566"/>
      <c r="M295" s="1567"/>
      <c r="N295" s="597"/>
      <c r="O295" s="597"/>
      <c r="P295" s="597"/>
      <c r="Q295" s="598"/>
      <c r="R295" s="598"/>
      <c r="S295" s="597"/>
      <c r="T295" s="597"/>
      <c r="U295" s="597"/>
      <c r="V295" s="599"/>
      <c r="W295" s="599"/>
      <c r="X295" s="599"/>
      <c r="Y295" s="599"/>
      <c r="Z295" s="600">
        <f>+Z296</f>
        <v>50</v>
      </c>
      <c r="AA295" s="600">
        <f t="shared" ref="AA295:AF295" si="176">+AA296</f>
        <v>0</v>
      </c>
      <c r="AB295" s="600">
        <f t="shared" si="176"/>
        <v>111</v>
      </c>
      <c r="AC295" s="600">
        <f t="shared" si="176"/>
        <v>0</v>
      </c>
      <c r="AD295" s="600">
        <f t="shared" si="176"/>
        <v>0</v>
      </c>
      <c r="AE295" s="600">
        <f t="shared" si="176"/>
        <v>79.7</v>
      </c>
      <c r="AF295" s="600">
        <f t="shared" si="176"/>
        <v>0</v>
      </c>
      <c r="AG295" s="600">
        <f t="shared" ref="AG295:AG305" si="177">SUM(Z295:AF295)</f>
        <v>240.7</v>
      </c>
      <c r="AH295" s="600">
        <f t="shared" ref="AH295:AM295" si="178">+AH296</f>
        <v>70</v>
      </c>
      <c r="AI295" s="600">
        <f t="shared" si="178"/>
        <v>0</v>
      </c>
      <c r="AJ295" s="600">
        <f t="shared" si="178"/>
        <v>103</v>
      </c>
      <c r="AK295" s="600">
        <f t="shared" si="178"/>
        <v>100</v>
      </c>
      <c r="AL295" s="600">
        <f t="shared" si="178"/>
        <v>0</v>
      </c>
      <c r="AM295" s="600">
        <f t="shared" si="178"/>
        <v>200</v>
      </c>
      <c r="AN295" s="600">
        <f t="shared" ref="AN295:AN304" si="179">SUM(AH295:AM295)</f>
        <v>473</v>
      </c>
      <c r="AO295" s="600">
        <f t="shared" ref="AO295:AU295" si="180">+AO296</f>
        <v>81</v>
      </c>
      <c r="AP295" s="600">
        <f t="shared" si="180"/>
        <v>0</v>
      </c>
      <c r="AQ295" s="600">
        <f t="shared" si="180"/>
        <v>120</v>
      </c>
      <c r="AR295" s="600">
        <f t="shared" si="180"/>
        <v>200</v>
      </c>
      <c r="AS295" s="600">
        <f t="shared" si="180"/>
        <v>0</v>
      </c>
      <c r="AT295" s="600">
        <f t="shared" si="180"/>
        <v>0</v>
      </c>
      <c r="AU295" s="600">
        <f t="shared" si="180"/>
        <v>0</v>
      </c>
      <c r="AV295" s="600">
        <f t="shared" ref="AV295:AV329" si="181">SUM(AO295:AU295)</f>
        <v>401</v>
      </c>
      <c r="AW295" s="600">
        <f t="shared" ref="AW295:BC295" si="182">+AW296</f>
        <v>112</v>
      </c>
      <c r="AX295" s="600">
        <f t="shared" si="182"/>
        <v>0</v>
      </c>
      <c r="AY295" s="600">
        <f t="shared" si="182"/>
        <v>125</v>
      </c>
      <c r="AZ295" s="600">
        <f t="shared" si="182"/>
        <v>0</v>
      </c>
      <c r="BA295" s="600">
        <f t="shared" si="182"/>
        <v>0</v>
      </c>
      <c r="BB295" s="600">
        <f t="shared" si="182"/>
        <v>0</v>
      </c>
      <c r="BC295" s="600">
        <f t="shared" si="182"/>
        <v>0</v>
      </c>
      <c r="BD295" s="600">
        <f t="shared" ref="BD295:BD329" si="183">SUM(AW295:BC295)</f>
        <v>237</v>
      </c>
      <c r="BE295" s="33">
        <f t="shared" si="172"/>
        <v>313</v>
      </c>
      <c r="BF295" s="33">
        <f t="shared" si="172"/>
        <v>0</v>
      </c>
      <c r="BG295" s="33">
        <f t="shared" si="172"/>
        <v>459</v>
      </c>
      <c r="BH295" s="33">
        <f t="shared" si="172"/>
        <v>300</v>
      </c>
      <c r="BI295" s="33">
        <f t="shared" si="172"/>
        <v>0</v>
      </c>
      <c r="BJ295" s="33">
        <f t="shared" si="167"/>
        <v>79.7</v>
      </c>
      <c r="BK295" s="33">
        <f t="shared" si="173"/>
        <v>200</v>
      </c>
      <c r="BL295" s="33">
        <f t="shared" si="173"/>
        <v>1351.7</v>
      </c>
    </row>
    <row r="296" spans="1:64" ht="12.75" hidden="1" x14ac:dyDescent="0.2">
      <c r="A296" s="296"/>
      <c r="B296" s="154" t="s">
        <v>894</v>
      </c>
      <c r="C296" s="6"/>
      <c r="D296" s="2" t="s">
        <v>895</v>
      </c>
      <c r="E296" s="1"/>
      <c r="F296" s="1"/>
      <c r="G296" s="1"/>
      <c r="H296" s="1"/>
      <c r="I296" s="1"/>
      <c r="J296" s="1"/>
      <c r="K296" s="1"/>
      <c r="L296" s="1"/>
      <c r="M296" s="1"/>
      <c r="N296" s="1"/>
      <c r="O296" s="1"/>
      <c r="P296" s="1"/>
      <c r="Q296" s="22"/>
      <c r="R296" s="22"/>
      <c r="S296" s="1"/>
      <c r="T296" s="1"/>
      <c r="U296" s="1"/>
      <c r="V296" s="49"/>
      <c r="W296" s="49"/>
      <c r="X296" s="49"/>
      <c r="Y296" s="49"/>
      <c r="Z296" s="34">
        <f t="shared" ref="Z296:AF296" si="184">SUM(Z297:Z329)</f>
        <v>50</v>
      </c>
      <c r="AA296" s="34">
        <f t="shared" si="184"/>
        <v>0</v>
      </c>
      <c r="AB296" s="34">
        <f t="shared" si="184"/>
        <v>111</v>
      </c>
      <c r="AC296" s="34">
        <f t="shared" si="184"/>
        <v>0</v>
      </c>
      <c r="AD296" s="34">
        <f t="shared" si="184"/>
        <v>0</v>
      </c>
      <c r="AE296" s="34">
        <f t="shared" si="184"/>
        <v>79.7</v>
      </c>
      <c r="AF296" s="34">
        <f t="shared" si="184"/>
        <v>0</v>
      </c>
      <c r="AG296" s="34">
        <f t="shared" si="177"/>
        <v>240.7</v>
      </c>
      <c r="AH296" s="34">
        <f t="shared" ref="AH296:AM296" si="185">SUM(AH297:AH329)</f>
        <v>70</v>
      </c>
      <c r="AI296" s="34">
        <f t="shared" si="185"/>
        <v>0</v>
      </c>
      <c r="AJ296" s="34">
        <f t="shared" si="185"/>
        <v>103</v>
      </c>
      <c r="AK296" s="34">
        <f t="shared" si="185"/>
        <v>100</v>
      </c>
      <c r="AL296" s="34">
        <f t="shared" si="185"/>
        <v>0</v>
      </c>
      <c r="AM296" s="34">
        <f t="shared" si="185"/>
        <v>200</v>
      </c>
      <c r="AN296" s="34">
        <f t="shared" si="179"/>
        <v>473</v>
      </c>
      <c r="AO296" s="34">
        <f t="shared" ref="AO296:AU296" si="186">SUM(AO297:AO329)</f>
        <v>81</v>
      </c>
      <c r="AP296" s="34">
        <f t="shared" si="186"/>
        <v>0</v>
      </c>
      <c r="AQ296" s="34">
        <f t="shared" si="186"/>
        <v>120</v>
      </c>
      <c r="AR296" s="34">
        <f t="shared" si="186"/>
        <v>200</v>
      </c>
      <c r="AS296" s="34">
        <f t="shared" si="186"/>
        <v>0</v>
      </c>
      <c r="AT296" s="34">
        <f t="shared" si="186"/>
        <v>0</v>
      </c>
      <c r="AU296" s="34">
        <f t="shared" si="186"/>
        <v>0</v>
      </c>
      <c r="AV296" s="34">
        <f t="shared" si="181"/>
        <v>401</v>
      </c>
      <c r="AW296" s="34">
        <f t="shared" ref="AW296:BC296" si="187">SUM(AW297:AW329)</f>
        <v>112</v>
      </c>
      <c r="AX296" s="34">
        <f t="shared" si="187"/>
        <v>0</v>
      </c>
      <c r="AY296" s="34">
        <f t="shared" si="187"/>
        <v>125</v>
      </c>
      <c r="AZ296" s="34">
        <f t="shared" si="187"/>
        <v>0</v>
      </c>
      <c r="BA296" s="34">
        <f t="shared" si="187"/>
        <v>0</v>
      </c>
      <c r="BB296" s="34">
        <f t="shared" si="187"/>
        <v>0</v>
      </c>
      <c r="BC296" s="34">
        <f t="shared" si="187"/>
        <v>0</v>
      </c>
      <c r="BD296" s="34">
        <f t="shared" si="183"/>
        <v>237</v>
      </c>
      <c r="BE296" s="34">
        <f t="shared" si="172"/>
        <v>313</v>
      </c>
      <c r="BF296" s="34">
        <f t="shared" si="172"/>
        <v>0</v>
      </c>
      <c r="BG296" s="34">
        <f t="shared" si="172"/>
        <v>459</v>
      </c>
      <c r="BH296" s="34">
        <f t="shared" si="172"/>
        <v>300</v>
      </c>
      <c r="BI296" s="34">
        <f t="shared" si="172"/>
        <v>0</v>
      </c>
      <c r="BJ296" s="34">
        <f t="shared" si="167"/>
        <v>79.7</v>
      </c>
      <c r="BK296" s="34">
        <f t="shared" si="173"/>
        <v>200</v>
      </c>
      <c r="BL296" s="34">
        <f t="shared" si="173"/>
        <v>1351.7</v>
      </c>
    </row>
    <row r="297" spans="1:64" ht="28.5" hidden="1" customHeight="1" x14ac:dyDescent="0.2">
      <c r="A297" s="298" t="s">
        <v>896</v>
      </c>
      <c r="B297" s="299" t="s">
        <v>894</v>
      </c>
      <c r="C297" s="1546" t="s">
        <v>897</v>
      </c>
      <c r="D297" s="1549" t="s">
        <v>898</v>
      </c>
      <c r="E297" s="1549" t="s">
        <v>899</v>
      </c>
      <c r="F297" s="1549">
        <v>2015</v>
      </c>
      <c r="G297" s="1562">
        <v>3803</v>
      </c>
      <c r="H297" s="1562">
        <v>4200</v>
      </c>
      <c r="I297" s="1428" t="s">
        <v>53</v>
      </c>
      <c r="J297" s="1428"/>
      <c r="K297" s="1428" t="s">
        <v>900</v>
      </c>
      <c r="L297" s="301" t="s">
        <v>901</v>
      </c>
      <c r="M297" s="1425" t="s">
        <v>902</v>
      </c>
      <c r="N297" s="476" t="s">
        <v>903</v>
      </c>
      <c r="O297" s="1425" t="s">
        <v>73</v>
      </c>
      <c r="P297" s="1425"/>
      <c r="Q297" s="16" t="s">
        <v>904</v>
      </c>
      <c r="R297" s="302" t="s">
        <v>905</v>
      </c>
      <c r="S297" s="303">
        <v>2015</v>
      </c>
      <c r="T297" s="303">
        <v>0</v>
      </c>
      <c r="U297" s="303">
        <v>0</v>
      </c>
      <c r="V297" s="572">
        <v>0</v>
      </c>
      <c r="W297" s="572">
        <v>1</v>
      </c>
      <c r="X297" s="572">
        <v>1</v>
      </c>
      <c r="Y297" s="572">
        <v>1</v>
      </c>
      <c r="Z297" s="481"/>
      <c r="AA297" s="481"/>
      <c r="AB297" s="481"/>
      <c r="AC297" s="481"/>
      <c r="AD297" s="481"/>
      <c r="AE297" s="481"/>
      <c r="AF297" s="481"/>
      <c r="AG297" s="481">
        <f t="shared" si="177"/>
        <v>0</v>
      </c>
      <c r="AH297" s="42"/>
      <c r="AI297" s="548"/>
      <c r="AJ297" s="548"/>
      <c r="AK297" s="588"/>
      <c r="AL297" s="548"/>
      <c r="AM297" s="548"/>
      <c r="AN297" s="548">
        <f t="shared" si="179"/>
        <v>0</v>
      </c>
      <c r="AO297" s="481"/>
      <c r="AP297" s="481"/>
      <c r="AQ297" s="481"/>
      <c r="AR297" s="481">
        <v>200</v>
      </c>
      <c r="AS297" s="481"/>
      <c r="AT297" s="481"/>
      <c r="AU297" s="481"/>
      <c r="AV297" s="481">
        <f t="shared" si="181"/>
        <v>200</v>
      </c>
      <c r="AW297" s="491">
        <v>3</v>
      </c>
      <c r="AX297" s="548"/>
      <c r="AY297" s="548"/>
      <c r="AZ297" s="588"/>
      <c r="BA297" s="548"/>
      <c r="BB297" s="548"/>
      <c r="BC297" s="548"/>
      <c r="BD297" s="548">
        <f t="shared" si="183"/>
        <v>3</v>
      </c>
      <c r="BE297" s="42">
        <f t="shared" si="172"/>
        <v>3</v>
      </c>
      <c r="BF297" s="42">
        <f t="shared" si="172"/>
        <v>0</v>
      </c>
      <c r="BG297" s="42">
        <f t="shared" si="172"/>
        <v>0</v>
      </c>
      <c r="BH297" s="29">
        <f t="shared" si="172"/>
        <v>200</v>
      </c>
      <c r="BI297" s="42">
        <f t="shared" si="172"/>
        <v>0</v>
      </c>
      <c r="BJ297" s="42">
        <f t="shared" si="167"/>
        <v>0</v>
      </c>
      <c r="BK297" s="42">
        <f t="shared" si="173"/>
        <v>0</v>
      </c>
      <c r="BL297" s="42">
        <f t="shared" si="173"/>
        <v>203</v>
      </c>
    </row>
    <row r="298" spans="1:64" ht="50.25" hidden="1" customHeight="1" x14ac:dyDescent="0.2">
      <c r="A298" s="298" t="s">
        <v>896</v>
      </c>
      <c r="B298" s="299" t="s">
        <v>894</v>
      </c>
      <c r="C298" s="1547"/>
      <c r="D298" s="1549"/>
      <c r="E298" s="1549"/>
      <c r="F298" s="1549"/>
      <c r="G298" s="1549"/>
      <c r="H298" s="1549"/>
      <c r="I298" s="1425"/>
      <c r="J298" s="1425"/>
      <c r="K298" s="1428" t="s">
        <v>906</v>
      </c>
      <c r="L298" s="301" t="s">
        <v>901</v>
      </c>
      <c r="M298" s="1425" t="s">
        <v>902</v>
      </c>
      <c r="N298" s="476" t="s">
        <v>903</v>
      </c>
      <c r="O298" s="1425" t="s">
        <v>47</v>
      </c>
      <c r="P298" s="1425"/>
      <c r="Q298" s="16" t="s">
        <v>907</v>
      </c>
      <c r="R298" s="302" t="s">
        <v>908</v>
      </c>
      <c r="S298" s="303">
        <v>2015</v>
      </c>
      <c r="T298" s="303">
        <v>0</v>
      </c>
      <c r="U298" s="303">
        <v>0</v>
      </c>
      <c r="V298" s="572">
        <v>5</v>
      </c>
      <c r="W298" s="572">
        <v>10</v>
      </c>
      <c r="X298" s="572">
        <v>14</v>
      </c>
      <c r="Y298" s="572">
        <v>14</v>
      </c>
      <c r="Z298" s="481"/>
      <c r="AA298" s="481"/>
      <c r="AB298" s="481"/>
      <c r="AC298" s="481"/>
      <c r="AD298" s="481"/>
      <c r="AE298" s="481"/>
      <c r="AF298" s="481"/>
      <c r="AG298" s="481">
        <f t="shared" si="177"/>
        <v>0</v>
      </c>
      <c r="AH298" s="491">
        <v>2</v>
      </c>
      <c r="AI298" s="548"/>
      <c r="AJ298" s="548">
        <v>10</v>
      </c>
      <c r="AK298" s="548"/>
      <c r="AL298" s="548"/>
      <c r="AM298" s="548"/>
      <c r="AN298" s="548">
        <f t="shared" si="179"/>
        <v>12</v>
      </c>
      <c r="AO298" s="491">
        <v>2</v>
      </c>
      <c r="AP298" s="481"/>
      <c r="AQ298" s="481"/>
      <c r="AR298" s="481"/>
      <c r="AS298" s="481"/>
      <c r="AT298" s="481"/>
      <c r="AU298" s="481"/>
      <c r="AV298" s="481">
        <f t="shared" si="181"/>
        <v>2</v>
      </c>
      <c r="AW298" s="491">
        <v>3</v>
      </c>
      <c r="AX298" s="548"/>
      <c r="AY298" s="548"/>
      <c r="AZ298" s="548"/>
      <c r="BA298" s="548"/>
      <c r="BB298" s="548"/>
      <c r="BC298" s="548"/>
      <c r="BD298" s="548">
        <f t="shared" si="183"/>
        <v>3</v>
      </c>
      <c r="BE298" s="42">
        <f t="shared" si="172"/>
        <v>7</v>
      </c>
      <c r="BF298" s="42">
        <f t="shared" si="172"/>
        <v>0</v>
      </c>
      <c r="BG298" s="42">
        <f t="shared" si="172"/>
        <v>10</v>
      </c>
      <c r="BH298" s="42">
        <f t="shared" si="172"/>
        <v>0</v>
      </c>
      <c r="BI298" s="42">
        <f t="shared" si="172"/>
        <v>0</v>
      </c>
      <c r="BJ298" s="42">
        <f t="shared" si="167"/>
        <v>0</v>
      </c>
      <c r="BK298" s="42">
        <f t="shared" si="173"/>
        <v>0</v>
      </c>
      <c r="BL298" s="42">
        <f t="shared" si="173"/>
        <v>17</v>
      </c>
    </row>
    <row r="299" spans="1:64" ht="56.25" hidden="1" customHeight="1" x14ac:dyDescent="0.2">
      <c r="A299" s="298" t="s">
        <v>896</v>
      </c>
      <c r="B299" s="299" t="s">
        <v>894</v>
      </c>
      <c r="C299" s="1547"/>
      <c r="D299" s="1549"/>
      <c r="E299" s="1549"/>
      <c r="F299" s="1549"/>
      <c r="G299" s="1549"/>
      <c r="H299" s="1549"/>
      <c r="I299" s="1425"/>
      <c r="J299" s="1425"/>
      <c r="K299" s="1428" t="s">
        <v>909</v>
      </c>
      <c r="L299" s="301" t="s">
        <v>901</v>
      </c>
      <c r="M299" s="1425" t="s">
        <v>902</v>
      </c>
      <c r="N299" s="476" t="s">
        <v>903</v>
      </c>
      <c r="O299" s="1425" t="s">
        <v>47</v>
      </c>
      <c r="P299" s="1425"/>
      <c r="Q299" s="16" t="s">
        <v>910</v>
      </c>
      <c r="R299" s="302" t="s">
        <v>911</v>
      </c>
      <c r="S299" s="303">
        <v>2015</v>
      </c>
      <c r="T299" s="303">
        <v>0</v>
      </c>
      <c r="U299" s="303">
        <v>0</v>
      </c>
      <c r="V299" s="572">
        <v>1</v>
      </c>
      <c r="W299" s="572">
        <v>2</v>
      </c>
      <c r="X299" s="572">
        <v>3</v>
      </c>
      <c r="Y299" s="572">
        <v>3</v>
      </c>
      <c r="Z299" s="481"/>
      <c r="AA299" s="481"/>
      <c r="AB299" s="481"/>
      <c r="AC299" s="481"/>
      <c r="AD299" s="481"/>
      <c r="AE299" s="481"/>
      <c r="AF299" s="481"/>
      <c r="AG299" s="481">
        <f t="shared" si="177"/>
        <v>0</v>
      </c>
      <c r="AH299" s="491">
        <v>2</v>
      </c>
      <c r="AI299" s="548"/>
      <c r="AJ299" s="716"/>
      <c r="AK299" s="548"/>
      <c r="AL299" s="548"/>
      <c r="AM299" s="548"/>
      <c r="AN299" s="548">
        <f t="shared" si="179"/>
        <v>2</v>
      </c>
      <c r="AO299" s="491">
        <v>2</v>
      </c>
      <c r="AP299" s="481"/>
      <c r="AQ299" s="481"/>
      <c r="AR299" s="481"/>
      <c r="AS299" s="481"/>
      <c r="AT299" s="481"/>
      <c r="AU299" s="481"/>
      <c r="AV299" s="481">
        <f t="shared" si="181"/>
        <v>2</v>
      </c>
      <c r="AW299" s="491">
        <v>3</v>
      </c>
      <c r="AX299" s="548"/>
      <c r="AY299" s="548"/>
      <c r="AZ299" s="548"/>
      <c r="BA299" s="548"/>
      <c r="BB299" s="548"/>
      <c r="BC299" s="548"/>
      <c r="BD299" s="548">
        <f t="shared" si="183"/>
        <v>3</v>
      </c>
      <c r="BE299" s="42">
        <f t="shared" si="172"/>
        <v>7</v>
      </c>
      <c r="BF299" s="42">
        <f t="shared" si="172"/>
        <v>0</v>
      </c>
      <c r="BG299" s="42">
        <f t="shared" si="172"/>
        <v>0</v>
      </c>
      <c r="BH299" s="42">
        <f t="shared" si="172"/>
        <v>0</v>
      </c>
      <c r="BI299" s="42">
        <f t="shared" si="172"/>
        <v>0</v>
      </c>
      <c r="BJ299" s="42">
        <f t="shared" si="167"/>
        <v>0</v>
      </c>
      <c r="BK299" s="42">
        <f t="shared" si="173"/>
        <v>0</v>
      </c>
      <c r="BL299" s="42">
        <f t="shared" si="173"/>
        <v>7</v>
      </c>
    </row>
    <row r="300" spans="1:64" ht="33" hidden="1" customHeight="1" x14ac:dyDescent="0.2">
      <c r="A300" s="298" t="s">
        <v>896</v>
      </c>
      <c r="B300" s="299" t="s">
        <v>894</v>
      </c>
      <c r="C300" s="1547"/>
      <c r="D300" s="1549"/>
      <c r="E300" s="1549"/>
      <c r="F300" s="1549"/>
      <c r="G300" s="1549"/>
      <c r="H300" s="1549"/>
      <c r="I300" s="1425"/>
      <c r="J300" s="1425"/>
      <c r="K300" s="1428" t="s">
        <v>912</v>
      </c>
      <c r="L300" s="301" t="s">
        <v>901</v>
      </c>
      <c r="M300" s="1425" t="s">
        <v>902</v>
      </c>
      <c r="N300" s="476" t="s">
        <v>903</v>
      </c>
      <c r="O300" s="1425" t="s">
        <v>47</v>
      </c>
      <c r="P300" s="1425"/>
      <c r="Q300" s="16" t="s">
        <v>913</v>
      </c>
      <c r="R300" s="302" t="s">
        <v>914</v>
      </c>
      <c r="S300" s="303">
        <v>2015</v>
      </c>
      <c r="T300" s="303">
        <v>0</v>
      </c>
      <c r="U300" s="303">
        <v>1</v>
      </c>
      <c r="V300" s="572">
        <v>2</v>
      </c>
      <c r="W300" s="572">
        <v>3</v>
      </c>
      <c r="X300" s="572">
        <v>4</v>
      </c>
      <c r="Y300" s="572">
        <v>4</v>
      </c>
      <c r="Z300" s="579">
        <v>1</v>
      </c>
      <c r="AA300" s="481"/>
      <c r="AB300" s="481">
        <v>0</v>
      </c>
      <c r="AC300" s="481"/>
      <c r="AD300" s="481"/>
      <c r="AE300" s="481"/>
      <c r="AF300" s="481"/>
      <c r="AG300" s="481">
        <f t="shared" si="177"/>
        <v>1</v>
      </c>
      <c r="AH300" s="42">
        <v>1</v>
      </c>
      <c r="AI300" s="548"/>
      <c r="AJ300" s="548"/>
      <c r="AK300" s="548"/>
      <c r="AL300" s="548"/>
      <c r="AM300" s="548"/>
      <c r="AN300" s="548">
        <f t="shared" si="179"/>
        <v>1</v>
      </c>
      <c r="AO300" s="42">
        <v>1</v>
      </c>
      <c r="AP300" s="481"/>
      <c r="AQ300" s="481"/>
      <c r="AR300" s="481"/>
      <c r="AS300" s="481"/>
      <c r="AT300" s="481"/>
      <c r="AU300" s="481"/>
      <c r="AV300" s="481">
        <f t="shared" si="181"/>
        <v>1</v>
      </c>
      <c r="AW300" s="548">
        <v>1</v>
      </c>
      <c r="AX300" s="548"/>
      <c r="AY300" s="548"/>
      <c r="AZ300" s="548"/>
      <c r="BA300" s="548"/>
      <c r="BB300" s="548"/>
      <c r="BC300" s="548"/>
      <c r="BD300" s="548">
        <f t="shared" si="183"/>
        <v>1</v>
      </c>
      <c r="BE300" s="42">
        <f t="shared" si="172"/>
        <v>4</v>
      </c>
      <c r="BF300" s="42">
        <f t="shared" si="172"/>
        <v>0</v>
      </c>
      <c r="BG300" s="42">
        <f t="shared" si="172"/>
        <v>0</v>
      </c>
      <c r="BH300" s="42">
        <f t="shared" si="172"/>
        <v>0</v>
      </c>
      <c r="BI300" s="42">
        <f t="shared" si="172"/>
        <v>0</v>
      </c>
      <c r="BJ300" s="42">
        <f t="shared" si="167"/>
        <v>0</v>
      </c>
      <c r="BK300" s="42">
        <f t="shared" si="173"/>
        <v>0</v>
      </c>
      <c r="BL300" s="42">
        <f t="shared" si="173"/>
        <v>4</v>
      </c>
    </row>
    <row r="301" spans="1:64" ht="36.75" hidden="1" customHeight="1" x14ac:dyDescent="0.2">
      <c r="A301" s="298" t="s">
        <v>896</v>
      </c>
      <c r="B301" s="299" t="s">
        <v>894</v>
      </c>
      <c r="C301" s="1547"/>
      <c r="D301" s="1549"/>
      <c r="E301" s="1549"/>
      <c r="F301" s="1549"/>
      <c r="G301" s="1549"/>
      <c r="H301" s="1549"/>
      <c r="I301" s="1425"/>
      <c r="J301" s="1425"/>
      <c r="K301" s="1428" t="s">
        <v>915</v>
      </c>
      <c r="L301" s="301" t="s">
        <v>901</v>
      </c>
      <c r="M301" s="1425" t="s">
        <v>902</v>
      </c>
      <c r="N301" s="476" t="s">
        <v>903</v>
      </c>
      <c r="O301" s="1425" t="s">
        <v>47</v>
      </c>
      <c r="P301" s="1425"/>
      <c r="Q301" s="16" t="s">
        <v>916</v>
      </c>
      <c r="R301" s="302" t="s">
        <v>917</v>
      </c>
      <c r="S301" s="303">
        <v>2015</v>
      </c>
      <c r="T301" s="303">
        <v>0</v>
      </c>
      <c r="U301" s="303">
        <v>0</v>
      </c>
      <c r="V301" s="572">
        <v>33</v>
      </c>
      <c r="W301" s="572">
        <v>66</v>
      </c>
      <c r="X301" s="572">
        <v>100</v>
      </c>
      <c r="Y301" s="572">
        <v>100</v>
      </c>
      <c r="Z301" s="481"/>
      <c r="AA301" s="481"/>
      <c r="AB301" s="481"/>
      <c r="AC301" s="481"/>
      <c r="AD301" s="481"/>
      <c r="AE301" s="481"/>
      <c r="AF301" s="481"/>
      <c r="AG301" s="481">
        <f t="shared" si="177"/>
        <v>0</v>
      </c>
      <c r="AH301" s="491">
        <v>5</v>
      </c>
      <c r="AI301" s="548"/>
      <c r="AJ301" s="548"/>
      <c r="AK301" s="548"/>
      <c r="AL301" s="548"/>
      <c r="AM301" s="548"/>
      <c r="AN301" s="548">
        <f t="shared" si="179"/>
        <v>5</v>
      </c>
      <c r="AO301" s="491">
        <v>5</v>
      </c>
      <c r="AP301" s="481"/>
      <c r="AQ301" s="481"/>
      <c r="AR301" s="481"/>
      <c r="AS301" s="481"/>
      <c r="AT301" s="481"/>
      <c r="AU301" s="481"/>
      <c r="AV301" s="481">
        <f t="shared" si="181"/>
        <v>5</v>
      </c>
      <c r="AW301" s="491">
        <v>7</v>
      </c>
      <c r="AX301" s="548"/>
      <c r="AY301" s="548"/>
      <c r="AZ301" s="548"/>
      <c r="BA301" s="548"/>
      <c r="BB301" s="548"/>
      <c r="BC301" s="548"/>
      <c r="BD301" s="548">
        <f t="shared" si="183"/>
        <v>7</v>
      </c>
      <c r="BE301" s="42">
        <f t="shared" si="172"/>
        <v>17</v>
      </c>
      <c r="BF301" s="42">
        <f t="shared" si="172"/>
        <v>0</v>
      </c>
      <c r="BG301" s="42">
        <f t="shared" si="172"/>
        <v>0</v>
      </c>
      <c r="BH301" s="42">
        <f t="shared" si="172"/>
        <v>0</v>
      </c>
      <c r="BI301" s="42">
        <f t="shared" si="172"/>
        <v>0</v>
      </c>
      <c r="BJ301" s="42">
        <f t="shared" si="167"/>
        <v>0</v>
      </c>
      <c r="BK301" s="42">
        <f t="shared" si="173"/>
        <v>0</v>
      </c>
      <c r="BL301" s="42">
        <f t="shared" si="173"/>
        <v>17</v>
      </c>
    </row>
    <row r="302" spans="1:64" ht="53.25" hidden="1" customHeight="1" x14ac:dyDescent="0.2">
      <c r="A302" s="298" t="s">
        <v>896</v>
      </c>
      <c r="B302" s="299" t="s">
        <v>894</v>
      </c>
      <c r="C302" s="1547"/>
      <c r="D302" s="1549"/>
      <c r="E302" s="1549"/>
      <c r="F302" s="1549"/>
      <c r="G302" s="1549"/>
      <c r="H302" s="1549"/>
      <c r="I302" s="1425"/>
      <c r="J302" s="1425"/>
      <c r="K302" s="1428" t="s">
        <v>918</v>
      </c>
      <c r="L302" s="301" t="s">
        <v>901</v>
      </c>
      <c r="M302" s="1425" t="s">
        <v>902</v>
      </c>
      <c r="N302" s="476" t="s">
        <v>903</v>
      </c>
      <c r="O302" s="1425" t="s">
        <v>73</v>
      </c>
      <c r="P302" s="1425"/>
      <c r="Q302" s="16" t="s">
        <v>919</v>
      </c>
      <c r="R302" s="302" t="s">
        <v>194</v>
      </c>
      <c r="S302" s="303">
        <v>2015</v>
      </c>
      <c r="T302" s="303">
        <v>0</v>
      </c>
      <c r="U302" s="303">
        <v>1</v>
      </c>
      <c r="V302" s="572">
        <v>1</v>
      </c>
      <c r="W302" s="572">
        <v>1</v>
      </c>
      <c r="X302" s="572">
        <v>1</v>
      </c>
      <c r="Y302" s="572">
        <v>1</v>
      </c>
      <c r="Z302" s="481">
        <v>10</v>
      </c>
      <c r="AA302" s="481"/>
      <c r="AB302" s="481">
        <v>30</v>
      </c>
      <c r="AC302" s="481"/>
      <c r="AD302" s="481"/>
      <c r="AE302" s="481">
        <v>20.7</v>
      </c>
      <c r="AF302" s="481"/>
      <c r="AG302" s="481">
        <f t="shared" si="177"/>
        <v>60.7</v>
      </c>
      <c r="AH302" s="491">
        <v>5</v>
      </c>
      <c r="AI302" s="548"/>
      <c r="AJ302" s="548">
        <v>30</v>
      </c>
      <c r="AK302" s="548"/>
      <c r="AL302" s="548"/>
      <c r="AM302" s="548"/>
      <c r="AN302" s="548">
        <f t="shared" si="179"/>
        <v>35</v>
      </c>
      <c r="AO302" s="491">
        <v>5</v>
      </c>
      <c r="AP302" s="481"/>
      <c r="AQ302" s="481">
        <v>30</v>
      </c>
      <c r="AR302" s="481"/>
      <c r="AS302" s="481"/>
      <c r="AT302" s="481"/>
      <c r="AU302" s="481"/>
      <c r="AV302" s="481">
        <f t="shared" si="181"/>
        <v>35</v>
      </c>
      <c r="AW302" s="548">
        <v>10</v>
      </c>
      <c r="AX302" s="548"/>
      <c r="AY302" s="548">
        <v>30</v>
      </c>
      <c r="AZ302" s="548"/>
      <c r="BA302" s="548"/>
      <c r="BB302" s="548"/>
      <c r="BC302" s="548"/>
      <c r="BD302" s="548">
        <f t="shared" si="183"/>
        <v>40</v>
      </c>
      <c r="BE302" s="42">
        <f t="shared" si="172"/>
        <v>30</v>
      </c>
      <c r="BF302" s="42">
        <f t="shared" si="172"/>
        <v>0</v>
      </c>
      <c r="BG302" s="42">
        <f t="shared" si="172"/>
        <v>120</v>
      </c>
      <c r="BH302" s="42">
        <f t="shared" si="172"/>
        <v>0</v>
      </c>
      <c r="BI302" s="42">
        <f t="shared" si="172"/>
        <v>0</v>
      </c>
      <c r="BJ302" s="42">
        <f t="shared" si="167"/>
        <v>20.7</v>
      </c>
      <c r="BK302" s="42">
        <f t="shared" si="173"/>
        <v>0</v>
      </c>
      <c r="BL302" s="42">
        <f t="shared" si="173"/>
        <v>170.7</v>
      </c>
    </row>
    <row r="303" spans="1:64" ht="43.5" hidden="1" customHeight="1" x14ac:dyDescent="0.2">
      <c r="A303" s="298" t="s">
        <v>896</v>
      </c>
      <c r="B303" s="299" t="s">
        <v>894</v>
      </c>
      <c r="C303" s="1547"/>
      <c r="D303" s="1549"/>
      <c r="E303" s="1549"/>
      <c r="F303" s="1549"/>
      <c r="G303" s="1549"/>
      <c r="H303" s="1549"/>
      <c r="I303" s="1425"/>
      <c r="J303" s="1425"/>
      <c r="K303" s="1428" t="s">
        <v>920</v>
      </c>
      <c r="L303" s="301" t="s">
        <v>901</v>
      </c>
      <c r="M303" s="1425" t="s">
        <v>902</v>
      </c>
      <c r="N303" s="476" t="s">
        <v>903</v>
      </c>
      <c r="O303" s="1425" t="s">
        <v>47</v>
      </c>
      <c r="P303" s="1425"/>
      <c r="Q303" s="16" t="s">
        <v>921</v>
      </c>
      <c r="R303" s="302" t="s">
        <v>71</v>
      </c>
      <c r="S303" s="303">
        <v>2015</v>
      </c>
      <c r="T303" s="303">
        <v>0</v>
      </c>
      <c r="U303" s="303">
        <v>6</v>
      </c>
      <c r="V303" s="572">
        <v>12</v>
      </c>
      <c r="W303" s="572">
        <v>18</v>
      </c>
      <c r="X303" s="572">
        <v>25</v>
      </c>
      <c r="Y303" s="572">
        <v>25</v>
      </c>
      <c r="Z303" s="481">
        <v>2</v>
      </c>
      <c r="AA303" s="481"/>
      <c r="AB303" s="481">
        <v>3</v>
      </c>
      <c r="AC303" s="481"/>
      <c r="AD303" s="481"/>
      <c r="AE303" s="481"/>
      <c r="AF303" s="481"/>
      <c r="AG303" s="481">
        <f t="shared" si="177"/>
        <v>5</v>
      </c>
      <c r="AH303" s="42">
        <v>2</v>
      </c>
      <c r="AI303" s="548"/>
      <c r="AJ303" s="716"/>
      <c r="AK303" s="548"/>
      <c r="AL303" s="548"/>
      <c r="AM303" s="548"/>
      <c r="AN303" s="548">
        <f t="shared" si="179"/>
        <v>2</v>
      </c>
      <c r="AO303" s="42">
        <v>2</v>
      </c>
      <c r="AP303" s="481"/>
      <c r="AQ303" s="481">
        <v>3</v>
      </c>
      <c r="AR303" s="481"/>
      <c r="AS303" s="481"/>
      <c r="AT303" s="481"/>
      <c r="AU303" s="481"/>
      <c r="AV303" s="481">
        <f t="shared" si="181"/>
        <v>5</v>
      </c>
      <c r="AW303" s="548">
        <v>2</v>
      </c>
      <c r="AX303" s="548"/>
      <c r="AY303" s="548">
        <v>3</v>
      </c>
      <c r="AZ303" s="548"/>
      <c r="BA303" s="548"/>
      <c r="BB303" s="548"/>
      <c r="BC303" s="548"/>
      <c r="BD303" s="548">
        <f t="shared" si="183"/>
        <v>5</v>
      </c>
      <c r="BE303" s="42">
        <f t="shared" si="172"/>
        <v>8</v>
      </c>
      <c r="BF303" s="42">
        <f t="shared" si="172"/>
        <v>0</v>
      </c>
      <c r="BG303" s="42">
        <f t="shared" si="172"/>
        <v>9</v>
      </c>
      <c r="BH303" s="42">
        <f t="shared" si="172"/>
        <v>0</v>
      </c>
      <c r="BI303" s="42">
        <f t="shared" si="172"/>
        <v>0</v>
      </c>
      <c r="BJ303" s="42">
        <f t="shared" si="167"/>
        <v>0</v>
      </c>
      <c r="BK303" s="42">
        <f t="shared" si="173"/>
        <v>0</v>
      </c>
      <c r="BL303" s="42">
        <f t="shared" si="173"/>
        <v>17</v>
      </c>
    </row>
    <row r="304" spans="1:64" ht="61.5" hidden="1" customHeight="1" x14ac:dyDescent="0.2">
      <c r="A304" s="298" t="s">
        <v>896</v>
      </c>
      <c r="B304" s="299" t="s">
        <v>894</v>
      </c>
      <c r="C304" s="1547"/>
      <c r="D304" s="1549"/>
      <c r="E304" s="1549"/>
      <c r="F304" s="1549"/>
      <c r="G304" s="1549"/>
      <c r="H304" s="1549"/>
      <c r="I304" s="1425"/>
      <c r="J304" s="1425"/>
      <c r="K304" s="1428" t="s">
        <v>922</v>
      </c>
      <c r="L304" s="301" t="s">
        <v>901</v>
      </c>
      <c r="M304" s="1425" t="s">
        <v>902</v>
      </c>
      <c r="N304" s="476" t="s">
        <v>903</v>
      </c>
      <c r="O304" s="1425" t="s">
        <v>47</v>
      </c>
      <c r="P304" s="1425"/>
      <c r="Q304" s="16" t="s">
        <v>923</v>
      </c>
      <c r="R304" s="302" t="s">
        <v>924</v>
      </c>
      <c r="S304" s="303">
        <v>2015</v>
      </c>
      <c r="T304" s="303">
        <v>400</v>
      </c>
      <c r="U304" s="303">
        <v>200</v>
      </c>
      <c r="V304" s="572">
        <v>400</v>
      </c>
      <c r="W304" s="572">
        <v>600</v>
      </c>
      <c r="X304" s="572">
        <v>800</v>
      </c>
      <c r="Y304" s="572">
        <v>800</v>
      </c>
      <c r="Z304" s="579">
        <v>12</v>
      </c>
      <c r="AA304" s="583"/>
      <c r="AB304" s="583">
        <v>0</v>
      </c>
      <c r="AC304" s="481"/>
      <c r="AD304" s="481"/>
      <c r="AE304" s="481"/>
      <c r="AF304" s="481"/>
      <c r="AG304" s="481">
        <f t="shared" si="177"/>
        <v>12</v>
      </c>
      <c r="AH304" s="491">
        <v>5</v>
      </c>
      <c r="AI304" s="548"/>
      <c r="AJ304" s="716"/>
      <c r="AK304" s="548"/>
      <c r="AL304" s="548"/>
      <c r="AM304" s="548"/>
      <c r="AN304" s="548">
        <f t="shared" si="179"/>
        <v>5</v>
      </c>
      <c r="AO304" s="491">
        <v>5</v>
      </c>
      <c r="AP304" s="481"/>
      <c r="AQ304" s="481"/>
      <c r="AR304" s="481"/>
      <c r="AS304" s="481"/>
      <c r="AT304" s="481"/>
      <c r="AU304" s="481"/>
      <c r="AV304" s="481">
        <f t="shared" si="181"/>
        <v>5</v>
      </c>
      <c r="AW304" s="548">
        <v>12</v>
      </c>
      <c r="AX304" s="548"/>
      <c r="AY304" s="548"/>
      <c r="AZ304" s="548"/>
      <c r="BA304" s="548"/>
      <c r="BB304" s="548"/>
      <c r="BC304" s="548"/>
      <c r="BD304" s="548">
        <f t="shared" si="183"/>
        <v>12</v>
      </c>
      <c r="BE304" s="42">
        <f t="shared" si="172"/>
        <v>34</v>
      </c>
      <c r="BF304" s="42">
        <f t="shared" si="172"/>
        <v>0</v>
      </c>
      <c r="BG304" s="42">
        <f t="shared" si="172"/>
        <v>0</v>
      </c>
      <c r="BH304" s="42">
        <f t="shared" si="172"/>
        <v>0</v>
      </c>
      <c r="BI304" s="42">
        <f t="shared" si="172"/>
        <v>0</v>
      </c>
      <c r="BJ304" s="42">
        <f t="shared" si="167"/>
        <v>0</v>
      </c>
      <c r="BK304" s="42">
        <f t="shared" si="173"/>
        <v>0</v>
      </c>
      <c r="BL304" s="42">
        <f t="shared" si="173"/>
        <v>34</v>
      </c>
    </row>
    <row r="305" spans="1:64" ht="31.5" hidden="1" customHeight="1" x14ac:dyDescent="0.2">
      <c r="A305" s="298" t="s">
        <v>896</v>
      </c>
      <c r="B305" s="299" t="s">
        <v>894</v>
      </c>
      <c r="C305" s="1547"/>
      <c r="D305" s="1549"/>
      <c r="E305" s="1549"/>
      <c r="F305" s="1549"/>
      <c r="G305" s="1549"/>
      <c r="H305" s="1549"/>
      <c r="I305" s="1425"/>
      <c r="J305" s="1425"/>
      <c r="K305" s="1428" t="s">
        <v>925</v>
      </c>
      <c r="L305" s="301" t="s">
        <v>901</v>
      </c>
      <c r="M305" s="1425" t="s">
        <v>902</v>
      </c>
      <c r="N305" s="476" t="s">
        <v>903</v>
      </c>
      <c r="O305" s="1425" t="s">
        <v>47</v>
      </c>
      <c r="P305" s="1425"/>
      <c r="Q305" s="16" t="s">
        <v>926</v>
      </c>
      <c r="R305" s="302" t="s">
        <v>927</v>
      </c>
      <c r="S305" s="303">
        <v>2015</v>
      </c>
      <c r="T305" s="303" t="s">
        <v>177</v>
      </c>
      <c r="U305" s="303">
        <v>500</v>
      </c>
      <c r="V305" s="572">
        <v>1000</v>
      </c>
      <c r="W305" s="572">
        <v>1500</v>
      </c>
      <c r="X305" s="572">
        <v>2000</v>
      </c>
      <c r="Y305" s="572">
        <v>2000</v>
      </c>
      <c r="Z305" s="481">
        <v>10</v>
      </c>
      <c r="AA305" s="481"/>
      <c r="AB305" s="481">
        <v>10</v>
      </c>
      <c r="AC305" s="481"/>
      <c r="AD305" s="481"/>
      <c r="AE305" s="481"/>
      <c r="AF305" s="481"/>
      <c r="AG305" s="481">
        <f t="shared" si="177"/>
        <v>20</v>
      </c>
      <c r="AH305" s="491">
        <v>5</v>
      </c>
      <c r="AI305" s="548"/>
      <c r="AJ305" s="716"/>
      <c r="AK305" s="548"/>
      <c r="AL305" s="548"/>
      <c r="AM305" s="548"/>
      <c r="AN305" s="548">
        <f>SUM(AH305:AM305)</f>
        <v>5</v>
      </c>
      <c r="AO305" s="491">
        <v>5</v>
      </c>
      <c r="AP305" s="481"/>
      <c r="AQ305" s="491">
        <v>9</v>
      </c>
      <c r="AR305" s="481"/>
      <c r="AS305" s="481"/>
      <c r="AT305" s="481"/>
      <c r="AU305" s="481"/>
      <c r="AV305" s="481">
        <f t="shared" si="181"/>
        <v>14</v>
      </c>
      <c r="AW305" s="491">
        <v>7</v>
      </c>
      <c r="AX305" s="548"/>
      <c r="AY305" s="491">
        <v>9</v>
      </c>
      <c r="AZ305" s="548"/>
      <c r="BA305" s="548"/>
      <c r="BB305" s="548"/>
      <c r="BC305" s="548"/>
      <c r="BD305" s="548">
        <f t="shared" si="183"/>
        <v>16</v>
      </c>
      <c r="BE305" s="42">
        <f t="shared" si="172"/>
        <v>27</v>
      </c>
      <c r="BF305" s="42">
        <f t="shared" si="172"/>
        <v>0</v>
      </c>
      <c r="BG305" s="42">
        <f t="shared" si="172"/>
        <v>28</v>
      </c>
      <c r="BH305" s="42">
        <f t="shared" si="172"/>
        <v>0</v>
      </c>
      <c r="BI305" s="42">
        <f t="shared" si="172"/>
        <v>0</v>
      </c>
      <c r="BJ305" s="42">
        <f t="shared" si="167"/>
        <v>0</v>
      </c>
      <c r="BK305" s="42">
        <f t="shared" si="173"/>
        <v>0</v>
      </c>
      <c r="BL305" s="42">
        <f t="shared" si="173"/>
        <v>55</v>
      </c>
    </row>
    <row r="306" spans="1:64" ht="39.75" hidden="1" customHeight="1" x14ac:dyDescent="0.2">
      <c r="A306" s="298" t="s">
        <v>896</v>
      </c>
      <c r="B306" s="299" t="s">
        <v>894</v>
      </c>
      <c r="C306" s="1547"/>
      <c r="D306" s="1549"/>
      <c r="E306" s="1549"/>
      <c r="F306" s="1549"/>
      <c r="G306" s="1549"/>
      <c r="H306" s="1549"/>
      <c r="I306" s="1425"/>
      <c r="J306" s="1425"/>
      <c r="K306" s="1428" t="s">
        <v>928</v>
      </c>
      <c r="L306" s="301" t="s">
        <v>901</v>
      </c>
      <c r="M306" s="1425" t="s">
        <v>902</v>
      </c>
      <c r="N306" s="476" t="s">
        <v>903</v>
      </c>
      <c r="O306" s="1425" t="s">
        <v>47</v>
      </c>
      <c r="P306" s="1425"/>
      <c r="Q306" s="16" t="s">
        <v>929</v>
      </c>
      <c r="R306" s="302" t="s">
        <v>930</v>
      </c>
      <c r="S306" s="303">
        <v>2015</v>
      </c>
      <c r="T306" s="303" t="s">
        <v>177</v>
      </c>
      <c r="U306" s="303">
        <v>250</v>
      </c>
      <c r="V306" s="572">
        <v>500</v>
      </c>
      <c r="W306" s="572">
        <v>750</v>
      </c>
      <c r="X306" s="572">
        <v>1000</v>
      </c>
      <c r="Y306" s="572">
        <v>1000</v>
      </c>
      <c r="Z306" s="481">
        <v>5</v>
      </c>
      <c r="AA306" s="481"/>
      <c r="AB306" s="481">
        <v>10</v>
      </c>
      <c r="AC306" s="481"/>
      <c r="AD306" s="481"/>
      <c r="AE306" s="481"/>
      <c r="AF306" s="481"/>
      <c r="AG306" s="481">
        <f t="shared" ref="AG306:AG329" si="188">SUM(Z306:AF306)</f>
        <v>15</v>
      </c>
      <c r="AH306" s="491">
        <v>3</v>
      </c>
      <c r="AI306" s="548"/>
      <c r="AJ306" s="716"/>
      <c r="AK306" s="548"/>
      <c r="AL306" s="548"/>
      <c r="AM306" s="548"/>
      <c r="AN306" s="548">
        <f t="shared" ref="AN306:AN329" si="189">SUM(AH306:AM306)</f>
        <v>3</v>
      </c>
      <c r="AO306" s="42">
        <v>5</v>
      </c>
      <c r="AP306" s="481"/>
      <c r="AQ306" s="491">
        <v>9</v>
      </c>
      <c r="AR306" s="481"/>
      <c r="AS306" s="481"/>
      <c r="AT306" s="481"/>
      <c r="AU306" s="481"/>
      <c r="AV306" s="481">
        <f t="shared" si="181"/>
        <v>14</v>
      </c>
      <c r="AW306" s="548">
        <v>5</v>
      </c>
      <c r="AX306" s="548"/>
      <c r="AY306" s="548">
        <v>10</v>
      </c>
      <c r="AZ306" s="548"/>
      <c r="BA306" s="548"/>
      <c r="BB306" s="548"/>
      <c r="BC306" s="548"/>
      <c r="BD306" s="548">
        <f t="shared" si="183"/>
        <v>15</v>
      </c>
      <c r="BE306" s="42">
        <f t="shared" si="172"/>
        <v>18</v>
      </c>
      <c r="BF306" s="42">
        <f t="shared" si="172"/>
        <v>0</v>
      </c>
      <c r="BG306" s="42">
        <f t="shared" si="172"/>
        <v>29</v>
      </c>
      <c r="BH306" s="42">
        <f t="shared" si="172"/>
        <v>0</v>
      </c>
      <c r="BI306" s="42">
        <f t="shared" si="172"/>
        <v>0</v>
      </c>
      <c r="BJ306" s="42">
        <f t="shared" si="167"/>
        <v>0</v>
      </c>
      <c r="BK306" s="42">
        <f t="shared" si="173"/>
        <v>0</v>
      </c>
      <c r="BL306" s="42">
        <f t="shared" si="173"/>
        <v>47</v>
      </c>
    </row>
    <row r="307" spans="1:64" ht="36.75" hidden="1" customHeight="1" x14ac:dyDescent="0.2">
      <c r="A307" s="298" t="s">
        <v>896</v>
      </c>
      <c r="B307" s="299" t="s">
        <v>894</v>
      </c>
      <c r="C307" s="1547"/>
      <c r="D307" s="1549"/>
      <c r="E307" s="1549"/>
      <c r="F307" s="1549"/>
      <c r="G307" s="1549"/>
      <c r="H307" s="1549"/>
      <c r="I307" s="1425"/>
      <c r="J307" s="1425"/>
      <c r="K307" s="1428" t="s">
        <v>931</v>
      </c>
      <c r="L307" s="301" t="s">
        <v>901</v>
      </c>
      <c r="M307" s="1425" t="s">
        <v>902</v>
      </c>
      <c r="N307" s="476" t="s">
        <v>903</v>
      </c>
      <c r="O307" s="1425" t="s">
        <v>47</v>
      </c>
      <c r="P307" s="1425"/>
      <c r="Q307" s="16" t="s">
        <v>932</v>
      </c>
      <c r="R307" s="302" t="s">
        <v>933</v>
      </c>
      <c r="S307" s="303">
        <v>2015</v>
      </c>
      <c r="T307" s="303">
        <v>0</v>
      </c>
      <c r="U307" s="303">
        <v>6</v>
      </c>
      <c r="V307" s="572">
        <v>12</v>
      </c>
      <c r="W307" s="572">
        <v>18</v>
      </c>
      <c r="X307" s="572">
        <v>24</v>
      </c>
      <c r="Y307" s="572">
        <v>24</v>
      </c>
      <c r="Z307" s="481">
        <v>0</v>
      </c>
      <c r="AA307" s="481"/>
      <c r="AB307" s="481">
        <v>10</v>
      </c>
      <c r="AC307" s="481"/>
      <c r="AD307" s="481"/>
      <c r="AE307" s="481">
        <v>0</v>
      </c>
      <c r="AF307" s="481"/>
      <c r="AG307" s="481">
        <f t="shared" si="188"/>
        <v>10</v>
      </c>
      <c r="AH307" s="42">
        <v>2</v>
      </c>
      <c r="AI307" s="548"/>
      <c r="AJ307" s="716"/>
      <c r="AK307" s="548"/>
      <c r="AL307" s="548"/>
      <c r="AM307" s="548"/>
      <c r="AN307" s="548">
        <f t="shared" si="189"/>
        <v>2</v>
      </c>
      <c r="AO307" s="42"/>
      <c r="AP307" s="481"/>
      <c r="AQ307" s="491">
        <v>9</v>
      </c>
      <c r="AR307" s="481"/>
      <c r="AS307" s="481"/>
      <c r="AT307" s="481"/>
      <c r="AU307" s="481"/>
      <c r="AV307" s="481">
        <f t="shared" si="181"/>
        <v>9</v>
      </c>
      <c r="AW307" s="548"/>
      <c r="AX307" s="548"/>
      <c r="AY307" s="548">
        <v>10</v>
      </c>
      <c r="AZ307" s="548"/>
      <c r="BA307" s="548"/>
      <c r="BB307" s="548"/>
      <c r="BC307" s="548"/>
      <c r="BD307" s="548">
        <f t="shared" si="183"/>
        <v>10</v>
      </c>
      <c r="BE307" s="42">
        <f t="shared" si="172"/>
        <v>2</v>
      </c>
      <c r="BF307" s="42">
        <f t="shared" si="172"/>
        <v>0</v>
      </c>
      <c r="BG307" s="42">
        <f t="shared" si="172"/>
        <v>29</v>
      </c>
      <c r="BH307" s="42">
        <f t="shared" si="172"/>
        <v>0</v>
      </c>
      <c r="BI307" s="42">
        <f t="shared" si="172"/>
        <v>0</v>
      </c>
      <c r="BJ307" s="42">
        <f t="shared" si="167"/>
        <v>0</v>
      </c>
      <c r="BK307" s="42">
        <f t="shared" si="173"/>
        <v>0</v>
      </c>
      <c r="BL307" s="42">
        <f t="shared" si="173"/>
        <v>31</v>
      </c>
    </row>
    <row r="308" spans="1:64" ht="46.5" hidden="1" customHeight="1" x14ac:dyDescent="0.2">
      <c r="A308" s="298" t="s">
        <v>896</v>
      </c>
      <c r="B308" s="299" t="s">
        <v>894</v>
      </c>
      <c r="C308" s="1547"/>
      <c r="D308" s="1549"/>
      <c r="E308" s="1549"/>
      <c r="F308" s="1549"/>
      <c r="G308" s="1549"/>
      <c r="H308" s="1549"/>
      <c r="I308" s="1425"/>
      <c r="J308" s="1425"/>
      <c r="K308" s="1428" t="s">
        <v>934</v>
      </c>
      <c r="L308" s="301" t="s">
        <v>901</v>
      </c>
      <c r="M308" s="1425" t="s">
        <v>902</v>
      </c>
      <c r="N308" s="476" t="s">
        <v>903</v>
      </c>
      <c r="O308" s="1425" t="s">
        <v>47</v>
      </c>
      <c r="P308" s="1425"/>
      <c r="Q308" s="16" t="s">
        <v>935</v>
      </c>
      <c r="R308" s="302" t="s">
        <v>936</v>
      </c>
      <c r="S308" s="303">
        <v>2015</v>
      </c>
      <c r="T308" s="303">
        <v>0</v>
      </c>
      <c r="U308" s="303">
        <v>10</v>
      </c>
      <c r="V308" s="572">
        <v>20</v>
      </c>
      <c r="W308" s="572">
        <v>30</v>
      </c>
      <c r="X308" s="572">
        <v>40</v>
      </c>
      <c r="Y308" s="572">
        <v>40</v>
      </c>
      <c r="Z308" s="481">
        <v>0</v>
      </c>
      <c r="AA308" s="481"/>
      <c r="AB308" s="481"/>
      <c r="AC308" s="481"/>
      <c r="AD308" s="481"/>
      <c r="AE308" s="481">
        <v>4</v>
      </c>
      <c r="AF308" s="481"/>
      <c r="AG308" s="481">
        <f t="shared" si="188"/>
        <v>4</v>
      </c>
      <c r="AH308" s="491">
        <v>1.5</v>
      </c>
      <c r="AI308" s="548"/>
      <c r="AJ308" s="716"/>
      <c r="AK308" s="548"/>
      <c r="AL308" s="548"/>
      <c r="AM308" s="548"/>
      <c r="AN308" s="548">
        <f t="shared" si="189"/>
        <v>1.5</v>
      </c>
      <c r="AO308" s="42">
        <v>4</v>
      </c>
      <c r="AP308" s="481"/>
      <c r="AQ308" s="42"/>
      <c r="AR308" s="481"/>
      <c r="AS308" s="481"/>
      <c r="AT308" s="481"/>
      <c r="AU308" s="481"/>
      <c r="AV308" s="481">
        <f t="shared" si="181"/>
        <v>4</v>
      </c>
      <c r="AW308" s="548">
        <v>4</v>
      </c>
      <c r="AX308" s="548"/>
      <c r="AY308" s="548"/>
      <c r="AZ308" s="548"/>
      <c r="BA308" s="548"/>
      <c r="BB308" s="548"/>
      <c r="BC308" s="548"/>
      <c r="BD308" s="548">
        <f t="shared" si="183"/>
        <v>4</v>
      </c>
      <c r="BE308" s="42">
        <f t="shared" si="172"/>
        <v>9.5</v>
      </c>
      <c r="BF308" s="42">
        <f t="shared" si="172"/>
        <v>0</v>
      </c>
      <c r="BG308" s="42">
        <f t="shared" si="172"/>
        <v>0</v>
      </c>
      <c r="BH308" s="42">
        <f t="shared" si="172"/>
        <v>0</v>
      </c>
      <c r="BI308" s="42">
        <f t="shared" si="172"/>
        <v>0</v>
      </c>
      <c r="BJ308" s="42">
        <f t="shared" si="167"/>
        <v>4</v>
      </c>
      <c r="BK308" s="42">
        <f t="shared" si="173"/>
        <v>0</v>
      </c>
      <c r="BL308" s="42">
        <f t="shared" si="173"/>
        <v>13.5</v>
      </c>
    </row>
    <row r="309" spans="1:64" ht="22.5" hidden="1" customHeight="1" x14ac:dyDescent="0.2">
      <c r="A309" s="298" t="s">
        <v>896</v>
      </c>
      <c r="B309" s="299" t="s">
        <v>894</v>
      </c>
      <c r="C309" s="1547"/>
      <c r="D309" s="1549"/>
      <c r="E309" s="1549"/>
      <c r="F309" s="1549"/>
      <c r="G309" s="1549"/>
      <c r="H309" s="1549"/>
      <c r="I309" s="1425"/>
      <c r="J309" s="1425"/>
      <c r="K309" s="1428" t="s">
        <v>937</v>
      </c>
      <c r="L309" s="301" t="s">
        <v>901</v>
      </c>
      <c r="M309" s="1425" t="s">
        <v>902</v>
      </c>
      <c r="N309" s="476" t="s">
        <v>903</v>
      </c>
      <c r="O309" s="1425" t="s">
        <v>47</v>
      </c>
      <c r="P309" s="1425"/>
      <c r="Q309" s="16" t="s">
        <v>938</v>
      </c>
      <c r="R309" s="302" t="s">
        <v>939</v>
      </c>
      <c r="S309" s="303">
        <v>2015</v>
      </c>
      <c r="T309" s="303">
        <v>0</v>
      </c>
      <c r="U309" s="303">
        <v>25</v>
      </c>
      <c r="V309" s="572">
        <v>50</v>
      </c>
      <c r="W309" s="572">
        <v>75</v>
      </c>
      <c r="X309" s="572">
        <v>100</v>
      </c>
      <c r="Y309" s="572">
        <v>100</v>
      </c>
      <c r="Z309" s="491">
        <v>4</v>
      </c>
      <c r="AA309" s="481"/>
      <c r="AB309" s="481">
        <v>10</v>
      </c>
      <c r="AC309" s="481"/>
      <c r="AD309" s="481"/>
      <c r="AE309" s="481"/>
      <c r="AF309" s="481"/>
      <c r="AG309" s="481">
        <f t="shared" si="188"/>
        <v>14</v>
      </c>
      <c r="AH309" s="491">
        <v>3</v>
      </c>
      <c r="AI309" s="548"/>
      <c r="AJ309" s="716"/>
      <c r="AK309" s="548"/>
      <c r="AL309" s="548"/>
      <c r="AM309" s="548"/>
      <c r="AN309" s="548">
        <f t="shared" si="189"/>
        <v>3</v>
      </c>
      <c r="AO309" s="491">
        <v>3</v>
      </c>
      <c r="AP309" s="481"/>
      <c r="AQ309" s="491">
        <v>9</v>
      </c>
      <c r="AR309" s="481"/>
      <c r="AS309" s="481"/>
      <c r="AT309" s="481"/>
      <c r="AU309" s="481"/>
      <c r="AV309" s="481">
        <f t="shared" si="181"/>
        <v>12</v>
      </c>
      <c r="AW309" s="548">
        <v>5</v>
      </c>
      <c r="AX309" s="548"/>
      <c r="AY309" s="548">
        <v>10</v>
      </c>
      <c r="AZ309" s="548"/>
      <c r="BA309" s="548"/>
      <c r="BB309" s="548"/>
      <c r="BC309" s="548"/>
      <c r="BD309" s="548">
        <f t="shared" si="183"/>
        <v>15</v>
      </c>
      <c r="BE309" s="42">
        <f t="shared" si="172"/>
        <v>15</v>
      </c>
      <c r="BF309" s="42">
        <f t="shared" si="172"/>
        <v>0</v>
      </c>
      <c r="BG309" s="42">
        <f t="shared" si="172"/>
        <v>29</v>
      </c>
      <c r="BH309" s="42">
        <f t="shared" si="172"/>
        <v>0</v>
      </c>
      <c r="BI309" s="42">
        <f t="shared" si="172"/>
        <v>0</v>
      </c>
      <c r="BJ309" s="42">
        <f t="shared" si="167"/>
        <v>0</v>
      </c>
      <c r="BK309" s="42">
        <f t="shared" si="173"/>
        <v>0</v>
      </c>
      <c r="BL309" s="42">
        <f t="shared" si="173"/>
        <v>44</v>
      </c>
    </row>
    <row r="310" spans="1:64" ht="41.25" hidden="1" customHeight="1" x14ac:dyDescent="0.2">
      <c r="A310" s="298" t="s">
        <v>896</v>
      </c>
      <c r="B310" s="299" t="s">
        <v>894</v>
      </c>
      <c r="C310" s="1547"/>
      <c r="D310" s="1549"/>
      <c r="E310" s="1549"/>
      <c r="F310" s="1549"/>
      <c r="G310" s="1549"/>
      <c r="H310" s="1549"/>
      <c r="I310" s="1425"/>
      <c r="J310" s="1425"/>
      <c r="K310" s="1428" t="s">
        <v>940</v>
      </c>
      <c r="L310" s="301" t="s">
        <v>901</v>
      </c>
      <c r="M310" s="1425" t="s">
        <v>902</v>
      </c>
      <c r="N310" s="476" t="s">
        <v>903</v>
      </c>
      <c r="O310" s="1425" t="s">
        <v>47</v>
      </c>
      <c r="P310" s="1425"/>
      <c r="Q310" s="16" t="s">
        <v>941</v>
      </c>
      <c r="R310" s="302" t="s">
        <v>942</v>
      </c>
      <c r="S310" s="303">
        <v>2015</v>
      </c>
      <c r="T310" s="303">
        <v>0</v>
      </c>
      <c r="U310" s="303">
        <v>50</v>
      </c>
      <c r="V310" s="572">
        <v>100</v>
      </c>
      <c r="W310" s="572">
        <v>150</v>
      </c>
      <c r="X310" s="572">
        <v>200</v>
      </c>
      <c r="Y310" s="572">
        <v>200</v>
      </c>
      <c r="Z310" s="584"/>
      <c r="AA310" s="481"/>
      <c r="AB310" s="481">
        <v>10</v>
      </c>
      <c r="AC310" s="481"/>
      <c r="AD310" s="481"/>
      <c r="AE310" s="481"/>
      <c r="AF310" s="481"/>
      <c r="AG310" s="481">
        <f t="shared" si="188"/>
        <v>10</v>
      </c>
      <c r="AH310" s="548"/>
      <c r="AI310" s="548"/>
      <c r="AJ310" s="491">
        <v>5</v>
      </c>
      <c r="AK310" s="548"/>
      <c r="AL310" s="548"/>
      <c r="AM310" s="548"/>
      <c r="AN310" s="548">
        <f t="shared" si="189"/>
        <v>5</v>
      </c>
      <c r="AO310" s="42"/>
      <c r="AP310" s="481"/>
      <c r="AQ310" s="491">
        <v>9</v>
      </c>
      <c r="AR310" s="481"/>
      <c r="AS310" s="481"/>
      <c r="AT310" s="481"/>
      <c r="AU310" s="481"/>
      <c r="AV310" s="481">
        <f t="shared" si="181"/>
        <v>9</v>
      </c>
      <c r="AW310" s="548"/>
      <c r="AX310" s="548"/>
      <c r="AY310" s="548">
        <v>10</v>
      </c>
      <c r="AZ310" s="548"/>
      <c r="BA310" s="548"/>
      <c r="BB310" s="548"/>
      <c r="BC310" s="548"/>
      <c r="BD310" s="548">
        <f t="shared" si="183"/>
        <v>10</v>
      </c>
      <c r="BE310" s="42">
        <f t="shared" si="172"/>
        <v>0</v>
      </c>
      <c r="BF310" s="42">
        <f t="shared" si="172"/>
        <v>0</v>
      </c>
      <c r="BG310" s="42">
        <f t="shared" si="172"/>
        <v>34</v>
      </c>
      <c r="BH310" s="42">
        <f t="shared" si="172"/>
        <v>0</v>
      </c>
      <c r="BI310" s="42">
        <f t="shared" si="172"/>
        <v>0</v>
      </c>
      <c r="BJ310" s="42">
        <f t="shared" si="167"/>
        <v>0</v>
      </c>
      <c r="BK310" s="42">
        <f t="shared" si="173"/>
        <v>0</v>
      </c>
      <c r="BL310" s="42">
        <f t="shared" si="173"/>
        <v>34</v>
      </c>
    </row>
    <row r="311" spans="1:64" ht="46.5" hidden="1" customHeight="1" x14ac:dyDescent="0.2">
      <c r="A311" s="298" t="s">
        <v>896</v>
      </c>
      <c r="B311" s="299" t="s">
        <v>894</v>
      </c>
      <c r="C311" s="1547"/>
      <c r="D311" s="1549"/>
      <c r="E311" s="1549"/>
      <c r="F311" s="1549"/>
      <c r="G311" s="1549"/>
      <c r="H311" s="1549"/>
      <c r="I311" s="1425"/>
      <c r="J311" s="1425"/>
      <c r="K311" s="1428" t="s">
        <v>943</v>
      </c>
      <c r="L311" s="301" t="s">
        <v>901</v>
      </c>
      <c r="M311" s="1425" t="s">
        <v>902</v>
      </c>
      <c r="N311" s="476" t="s">
        <v>903</v>
      </c>
      <c r="O311" s="1425" t="s">
        <v>47</v>
      </c>
      <c r="P311" s="1425"/>
      <c r="Q311" s="16" t="s">
        <v>944</v>
      </c>
      <c r="R311" s="302" t="s">
        <v>945</v>
      </c>
      <c r="S311" s="303">
        <v>2015</v>
      </c>
      <c r="T311" s="303">
        <v>1</v>
      </c>
      <c r="U311" s="303">
        <v>2</v>
      </c>
      <c r="V311" s="572">
        <v>4</v>
      </c>
      <c r="W311" s="572">
        <v>6</v>
      </c>
      <c r="X311" s="572">
        <v>8</v>
      </c>
      <c r="Y311" s="572">
        <v>2</v>
      </c>
      <c r="Z311" s="584"/>
      <c r="AA311" s="481"/>
      <c r="AB311" s="481">
        <v>0</v>
      </c>
      <c r="AC311" s="481"/>
      <c r="AD311" s="481"/>
      <c r="AE311" s="481">
        <v>50</v>
      </c>
      <c r="AF311" s="481"/>
      <c r="AG311" s="481">
        <f t="shared" si="188"/>
        <v>50</v>
      </c>
      <c r="AH311" s="548"/>
      <c r="AI311" s="548"/>
      <c r="AJ311" s="491">
        <v>15</v>
      </c>
      <c r="AK311" s="548"/>
      <c r="AL311" s="548"/>
      <c r="AM311" s="548"/>
      <c r="AN311" s="548">
        <f t="shared" si="189"/>
        <v>15</v>
      </c>
      <c r="AO311" s="42"/>
      <c r="AP311" s="481"/>
      <c r="AQ311" s="481">
        <v>20</v>
      </c>
      <c r="AR311" s="481"/>
      <c r="AS311" s="481"/>
      <c r="AT311" s="481"/>
      <c r="AU311" s="481"/>
      <c r="AV311" s="481">
        <f t="shared" si="181"/>
        <v>20</v>
      </c>
      <c r="AW311" s="548"/>
      <c r="AX311" s="548"/>
      <c r="AY311" s="548">
        <v>20</v>
      </c>
      <c r="AZ311" s="548"/>
      <c r="BA311" s="548"/>
      <c r="BB311" s="548"/>
      <c r="BC311" s="548"/>
      <c r="BD311" s="548">
        <f t="shared" si="183"/>
        <v>20</v>
      </c>
      <c r="BE311" s="42">
        <f t="shared" si="172"/>
        <v>0</v>
      </c>
      <c r="BF311" s="42">
        <f t="shared" si="172"/>
        <v>0</v>
      </c>
      <c r="BG311" s="42">
        <f t="shared" si="172"/>
        <v>55</v>
      </c>
      <c r="BH311" s="42">
        <f t="shared" si="172"/>
        <v>0</v>
      </c>
      <c r="BI311" s="42">
        <f t="shared" si="172"/>
        <v>0</v>
      </c>
      <c r="BJ311" s="42">
        <f t="shared" si="167"/>
        <v>50</v>
      </c>
      <c r="BK311" s="42">
        <f t="shared" si="173"/>
        <v>0</v>
      </c>
      <c r="BL311" s="42">
        <f t="shared" si="173"/>
        <v>105</v>
      </c>
    </row>
    <row r="312" spans="1:64" ht="39" hidden="1" customHeight="1" x14ac:dyDescent="0.2">
      <c r="A312" s="298" t="s">
        <v>896</v>
      </c>
      <c r="B312" s="299" t="s">
        <v>894</v>
      </c>
      <c r="C312" s="1547"/>
      <c r="D312" s="1549"/>
      <c r="E312" s="1549"/>
      <c r="F312" s="1549"/>
      <c r="G312" s="1549"/>
      <c r="H312" s="1549"/>
      <c r="I312" s="1425"/>
      <c r="J312" s="1425"/>
      <c r="K312" s="1428" t="s">
        <v>946</v>
      </c>
      <c r="L312" s="301" t="s">
        <v>901</v>
      </c>
      <c r="M312" s="1425" t="s">
        <v>902</v>
      </c>
      <c r="N312" s="476" t="s">
        <v>903</v>
      </c>
      <c r="O312" s="1425" t="s">
        <v>47</v>
      </c>
      <c r="P312" s="1425"/>
      <c r="Q312" s="16" t="s">
        <v>947</v>
      </c>
      <c r="R312" s="302" t="s">
        <v>948</v>
      </c>
      <c r="S312" s="303">
        <v>2015</v>
      </c>
      <c r="T312" s="303">
        <v>0</v>
      </c>
      <c r="U312" s="303">
        <v>0</v>
      </c>
      <c r="V312" s="572">
        <v>0</v>
      </c>
      <c r="W312" s="572">
        <v>1</v>
      </c>
      <c r="X312" s="572">
        <v>1</v>
      </c>
      <c r="Y312" s="572">
        <v>2</v>
      </c>
      <c r="Z312" s="481"/>
      <c r="AA312" s="481"/>
      <c r="AB312" s="481"/>
      <c r="AC312" s="481"/>
      <c r="AD312" s="481"/>
      <c r="AE312" s="481"/>
      <c r="AF312" s="481"/>
      <c r="AG312" s="481">
        <f t="shared" si="188"/>
        <v>0</v>
      </c>
      <c r="AH312" s="548">
        <v>0</v>
      </c>
      <c r="AI312" s="548"/>
      <c r="AJ312" s="548"/>
      <c r="AK312" s="548"/>
      <c r="AL312" s="548"/>
      <c r="AM312" s="548"/>
      <c r="AN312" s="548">
        <f t="shared" si="189"/>
        <v>0</v>
      </c>
      <c r="AO312" s="42">
        <v>3</v>
      </c>
      <c r="AP312" s="481"/>
      <c r="AQ312" s="481"/>
      <c r="AR312" s="481"/>
      <c r="AS312" s="481"/>
      <c r="AT312" s="481"/>
      <c r="AU312" s="481"/>
      <c r="AV312" s="481">
        <f t="shared" si="181"/>
        <v>3</v>
      </c>
      <c r="AW312" s="548">
        <v>3</v>
      </c>
      <c r="AX312" s="548"/>
      <c r="AY312" s="548"/>
      <c r="AZ312" s="548"/>
      <c r="BA312" s="548"/>
      <c r="BB312" s="548"/>
      <c r="BC312" s="548"/>
      <c r="BD312" s="548">
        <f t="shared" si="183"/>
        <v>3</v>
      </c>
      <c r="BE312" s="42">
        <f t="shared" si="172"/>
        <v>6</v>
      </c>
      <c r="BF312" s="42">
        <f t="shared" si="172"/>
        <v>0</v>
      </c>
      <c r="BG312" s="42">
        <f t="shared" si="172"/>
        <v>0</v>
      </c>
      <c r="BH312" s="42">
        <f t="shared" si="172"/>
        <v>0</v>
      </c>
      <c r="BI312" s="42">
        <f t="shared" si="172"/>
        <v>0</v>
      </c>
      <c r="BJ312" s="42">
        <f t="shared" si="167"/>
        <v>0</v>
      </c>
      <c r="BK312" s="42">
        <f t="shared" si="173"/>
        <v>0</v>
      </c>
      <c r="BL312" s="42">
        <f t="shared" si="173"/>
        <v>6</v>
      </c>
    </row>
    <row r="313" spans="1:64" ht="33" hidden="1" customHeight="1" x14ac:dyDescent="0.2">
      <c r="A313" s="298" t="s">
        <v>896</v>
      </c>
      <c r="B313" s="299" t="s">
        <v>894</v>
      </c>
      <c r="C313" s="1547"/>
      <c r="D313" s="1549"/>
      <c r="E313" s="1549"/>
      <c r="F313" s="1549"/>
      <c r="G313" s="1549"/>
      <c r="H313" s="1549"/>
      <c r="I313" s="1425"/>
      <c r="J313" s="1425"/>
      <c r="K313" s="1428" t="s">
        <v>949</v>
      </c>
      <c r="L313" s="301" t="s">
        <v>901</v>
      </c>
      <c r="M313" s="1425" t="s">
        <v>902</v>
      </c>
      <c r="N313" s="476" t="s">
        <v>903</v>
      </c>
      <c r="O313" s="1425" t="s">
        <v>47</v>
      </c>
      <c r="P313" s="1425"/>
      <c r="Q313" s="16" t="s">
        <v>950</v>
      </c>
      <c r="R313" s="302" t="s">
        <v>951</v>
      </c>
      <c r="S313" s="303">
        <v>2015</v>
      </c>
      <c r="T313" s="303">
        <v>0</v>
      </c>
      <c r="U313" s="303">
        <v>0</v>
      </c>
      <c r="V313" s="572">
        <v>1</v>
      </c>
      <c r="W313" s="572">
        <v>1</v>
      </c>
      <c r="X313" s="572">
        <v>1</v>
      </c>
      <c r="Y313" s="572">
        <v>1</v>
      </c>
      <c r="Z313" s="481"/>
      <c r="AA313" s="481"/>
      <c r="AB313" s="481"/>
      <c r="AC313" s="481"/>
      <c r="AD313" s="481"/>
      <c r="AE313" s="481"/>
      <c r="AF313" s="481"/>
      <c r="AG313" s="481">
        <f t="shared" si="188"/>
        <v>0</v>
      </c>
      <c r="AH313" s="548"/>
      <c r="AI313" s="548"/>
      <c r="AJ313" s="491">
        <v>5</v>
      </c>
      <c r="AK313" s="548"/>
      <c r="AL313" s="548"/>
      <c r="AM313" s="548"/>
      <c r="AN313" s="548">
        <f t="shared" si="189"/>
        <v>5</v>
      </c>
      <c r="AO313" s="491">
        <v>2</v>
      </c>
      <c r="AP313" s="481"/>
      <c r="AQ313" s="481"/>
      <c r="AR313" s="481"/>
      <c r="AS313" s="481"/>
      <c r="AT313" s="481"/>
      <c r="AU313" s="481"/>
      <c r="AV313" s="481">
        <f t="shared" si="181"/>
        <v>2</v>
      </c>
      <c r="AW313" s="491">
        <v>7</v>
      </c>
      <c r="AX313" s="548"/>
      <c r="AY313" s="548"/>
      <c r="AZ313" s="548"/>
      <c r="BA313" s="548"/>
      <c r="BB313" s="548"/>
      <c r="BC313" s="548"/>
      <c r="BD313" s="548">
        <f t="shared" si="183"/>
        <v>7</v>
      </c>
      <c r="BE313" s="42">
        <f t="shared" ref="BE313:BI346" si="190">+AW313+AO313+AH313+Z313</f>
        <v>9</v>
      </c>
      <c r="BF313" s="42">
        <f t="shared" si="190"/>
        <v>0</v>
      </c>
      <c r="BG313" s="42">
        <f t="shared" si="190"/>
        <v>5</v>
      </c>
      <c r="BH313" s="42">
        <f t="shared" si="190"/>
        <v>0</v>
      </c>
      <c r="BI313" s="42">
        <f t="shared" si="190"/>
        <v>0</v>
      </c>
      <c r="BJ313" s="42">
        <f t="shared" si="167"/>
        <v>0</v>
      </c>
      <c r="BK313" s="42">
        <f t="shared" ref="BK313:BL346" si="191">+BC313+AU313+AM313+AF313</f>
        <v>0</v>
      </c>
      <c r="BL313" s="42">
        <f t="shared" si="191"/>
        <v>14</v>
      </c>
    </row>
    <row r="314" spans="1:64" ht="42" hidden="1" customHeight="1" x14ac:dyDescent="0.2">
      <c r="A314" s="298" t="s">
        <v>896</v>
      </c>
      <c r="B314" s="299" t="s">
        <v>894</v>
      </c>
      <c r="C314" s="1547"/>
      <c r="D314" s="1549"/>
      <c r="E314" s="1549"/>
      <c r="F314" s="1549"/>
      <c r="G314" s="1549"/>
      <c r="H314" s="1549"/>
      <c r="I314" s="1425"/>
      <c r="J314" s="1425"/>
      <c r="K314" s="1428" t="s">
        <v>952</v>
      </c>
      <c r="L314" s="301" t="s">
        <v>901</v>
      </c>
      <c r="M314" s="1425" t="s">
        <v>902</v>
      </c>
      <c r="N314" s="476" t="s">
        <v>903</v>
      </c>
      <c r="O314" s="1425" t="s">
        <v>47</v>
      </c>
      <c r="P314" s="1425"/>
      <c r="Q314" s="16" t="s">
        <v>953</v>
      </c>
      <c r="R314" s="302" t="s">
        <v>954</v>
      </c>
      <c r="S314" s="303">
        <v>2015</v>
      </c>
      <c r="T314" s="303">
        <v>0</v>
      </c>
      <c r="U314" s="303">
        <v>0</v>
      </c>
      <c r="V314" s="572">
        <v>1</v>
      </c>
      <c r="W314" s="572">
        <v>2</v>
      </c>
      <c r="X314" s="572">
        <v>3</v>
      </c>
      <c r="Y314" s="572">
        <v>3</v>
      </c>
      <c r="Z314" s="481"/>
      <c r="AA314" s="481"/>
      <c r="AB314" s="481"/>
      <c r="AC314" s="481"/>
      <c r="AD314" s="481"/>
      <c r="AE314" s="481"/>
      <c r="AF314" s="481"/>
      <c r="AG314" s="481">
        <f t="shared" si="188"/>
        <v>0</v>
      </c>
      <c r="AH314" s="491">
        <v>5</v>
      </c>
      <c r="AI314" s="548"/>
      <c r="AJ314" s="548"/>
      <c r="AK314" s="548"/>
      <c r="AL314" s="548"/>
      <c r="AM314" s="548"/>
      <c r="AN314" s="548">
        <f t="shared" si="189"/>
        <v>5</v>
      </c>
      <c r="AO314" s="491">
        <v>8</v>
      </c>
      <c r="AP314" s="481"/>
      <c r="AQ314" s="481"/>
      <c r="AR314" s="481"/>
      <c r="AS314" s="481"/>
      <c r="AT314" s="481"/>
      <c r="AU314" s="481"/>
      <c r="AV314" s="481">
        <f t="shared" si="181"/>
        <v>8</v>
      </c>
      <c r="AW314" s="548">
        <v>10</v>
      </c>
      <c r="AX314" s="548"/>
      <c r="AY314" s="548"/>
      <c r="AZ314" s="548"/>
      <c r="BA314" s="548"/>
      <c r="BB314" s="548"/>
      <c r="BC314" s="548"/>
      <c r="BD314" s="548">
        <f t="shared" si="183"/>
        <v>10</v>
      </c>
      <c r="BE314" s="42">
        <f t="shared" si="190"/>
        <v>23</v>
      </c>
      <c r="BF314" s="42">
        <f t="shared" si="190"/>
        <v>0</v>
      </c>
      <c r="BG314" s="42">
        <f t="shared" si="190"/>
        <v>0</v>
      </c>
      <c r="BH314" s="42">
        <f t="shared" si="190"/>
        <v>0</v>
      </c>
      <c r="BI314" s="42">
        <f t="shared" si="190"/>
        <v>0</v>
      </c>
      <c r="BJ314" s="42">
        <f t="shared" si="167"/>
        <v>0</v>
      </c>
      <c r="BK314" s="42">
        <f t="shared" si="191"/>
        <v>0</v>
      </c>
      <c r="BL314" s="42">
        <f t="shared" si="191"/>
        <v>23</v>
      </c>
    </row>
    <row r="315" spans="1:64" ht="21" hidden="1" customHeight="1" x14ac:dyDescent="0.2">
      <c r="A315" s="298" t="s">
        <v>896</v>
      </c>
      <c r="B315" s="299" t="s">
        <v>894</v>
      </c>
      <c r="C315" s="1547"/>
      <c r="D315" s="1549"/>
      <c r="E315" s="1549"/>
      <c r="F315" s="1549"/>
      <c r="G315" s="1549"/>
      <c r="H315" s="1549"/>
      <c r="I315" s="1425"/>
      <c r="J315" s="1425"/>
      <c r="K315" s="1428" t="s">
        <v>955</v>
      </c>
      <c r="L315" s="301" t="s">
        <v>901</v>
      </c>
      <c r="M315" s="1425" t="s">
        <v>902</v>
      </c>
      <c r="N315" s="476" t="s">
        <v>903</v>
      </c>
      <c r="O315" s="1425" t="s">
        <v>47</v>
      </c>
      <c r="P315" s="1425"/>
      <c r="Q315" s="16" t="s">
        <v>956</v>
      </c>
      <c r="R315" s="302" t="s">
        <v>957</v>
      </c>
      <c r="S315" s="303">
        <v>2015</v>
      </c>
      <c r="T315" s="303">
        <v>0</v>
      </c>
      <c r="U315" s="303">
        <v>1</v>
      </c>
      <c r="V315" s="572">
        <v>2</v>
      </c>
      <c r="W315" s="572">
        <v>3</v>
      </c>
      <c r="X315" s="572">
        <v>4</v>
      </c>
      <c r="Y315" s="572">
        <v>4</v>
      </c>
      <c r="Z315" s="491">
        <v>0.5</v>
      </c>
      <c r="AA315" s="481"/>
      <c r="AB315" s="481"/>
      <c r="AC315" s="481"/>
      <c r="AD315" s="481"/>
      <c r="AE315" s="481"/>
      <c r="AF315" s="481"/>
      <c r="AG315" s="481">
        <f t="shared" si="188"/>
        <v>0.5</v>
      </c>
      <c r="AH315" s="491">
        <v>0.5</v>
      </c>
      <c r="AI315" s="548"/>
      <c r="AJ315" s="548"/>
      <c r="AK315" s="548"/>
      <c r="AL315" s="548"/>
      <c r="AM315" s="548"/>
      <c r="AN315" s="548">
        <f t="shared" si="189"/>
        <v>0.5</v>
      </c>
      <c r="AO315" s="491">
        <v>0.5</v>
      </c>
      <c r="AP315" s="481"/>
      <c r="AQ315" s="481"/>
      <c r="AR315" s="481"/>
      <c r="AS315" s="481"/>
      <c r="AT315" s="481"/>
      <c r="AU315" s="481"/>
      <c r="AV315" s="481">
        <f t="shared" si="181"/>
        <v>0.5</v>
      </c>
      <c r="AW315" s="491">
        <v>1</v>
      </c>
      <c r="AX315" s="548"/>
      <c r="AY315" s="548"/>
      <c r="AZ315" s="548"/>
      <c r="BA315" s="548"/>
      <c r="BB315" s="548"/>
      <c r="BC315" s="548"/>
      <c r="BD315" s="548">
        <f t="shared" si="183"/>
        <v>1</v>
      </c>
      <c r="BE315" s="42">
        <f t="shared" si="190"/>
        <v>2.5</v>
      </c>
      <c r="BF315" s="42">
        <f t="shared" si="190"/>
        <v>0</v>
      </c>
      <c r="BG315" s="42">
        <f t="shared" si="190"/>
        <v>0</v>
      </c>
      <c r="BH315" s="42">
        <f t="shared" si="190"/>
        <v>0</v>
      </c>
      <c r="BI315" s="42">
        <f t="shared" si="190"/>
        <v>0</v>
      </c>
      <c r="BJ315" s="42">
        <f t="shared" si="167"/>
        <v>0</v>
      </c>
      <c r="BK315" s="42">
        <f t="shared" si="191"/>
        <v>0</v>
      </c>
      <c r="BL315" s="42">
        <f t="shared" si="191"/>
        <v>2.5</v>
      </c>
    </row>
    <row r="316" spans="1:64" ht="57" hidden="1" customHeight="1" x14ac:dyDescent="0.2">
      <c r="A316" s="298" t="s">
        <v>896</v>
      </c>
      <c r="B316" s="299" t="s">
        <v>894</v>
      </c>
      <c r="C316" s="1547"/>
      <c r="D316" s="1549"/>
      <c r="E316" s="1549"/>
      <c r="F316" s="1549"/>
      <c r="G316" s="1549"/>
      <c r="H316" s="1549"/>
      <c r="I316" s="1425" t="s">
        <v>53</v>
      </c>
      <c r="J316" s="1425"/>
      <c r="K316" s="1428" t="s">
        <v>958</v>
      </c>
      <c r="L316" s="301" t="s">
        <v>901</v>
      </c>
      <c r="M316" s="1425" t="s">
        <v>902</v>
      </c>
      <c r="N316" s="476" t="s">
        <v>903</v>
      </c>
      <c r="O316" s="1425" t="s">
        <v>47</v>
      </c>
      <c r="P316" s="1425"/>
      <c r="Q316" s="16" t="s">
        <v>959</v>
      </c>
      <c r="R316" s="302" t="s">
        <v>960</v>
      </c>
      <c r="S316" s="303">
        <v>2015</v>
      </c>
      <c r="T316" s="303">
        <v>0</v>
      </c>
      <c r="U316" s="303">
        <v>0</v>
      </c>
      <c r="V316" s="572">
        <v>1</v>
      </c>
      <c r="W316" s="572">
        <v>1</v>
      </c>
      <c r="X316" s="572">
        <v>1</v>
      </c>
      <c r="Y316" s="572">
        <v>1</v>
      </c>
      <c r="Z316" s="481"/>
      <c r="AA316" s="481"/>
      <c r="AB316" s="481"/>
      <c r="AC316" s="481"/>
      <c r="AD316" s="481"/>
      <c r="AE316" s="481"/>
      <c r="AF316" s="481"/>
      <c r="AG316" s="481">
        <f t="shared" si="188"/>
        <v>0</v>
      </c>
      <c r="AH316" s="548"/>
      <c r="AI316" s="548"/>
      <c r="AJ316" s="548"/>
      <c r="AK316" s="548">
        <v>100</v>
      </c>
      <c r="AL316" s="548"/>
      <c r="AM316" s="548"/>
      <c r="AN316" s="548">
        <f t="shared" si="189"/>
        <v>100</v>
      </c>
      <c r="AO316" s="491">
        <v>0.5</v>
      </c>
      <c r="AP316" s="481"/>
      <c r="AQ316" s="481"/>
      <c r="AR316" s="481"/>
      <c r="AS316" s="481"/>
      <c r="AT316" s="481"/>
      <c r="AU316" s="481"/>
      <c r="AV316" s="481">
        <f t="shared" si="181"/>
        <v>0.5</v>
      </c>
      <c r="AW316" s="491">
        <v>1</v>
      </c>
      <c r="AX316" s="548"/>
      <c r="AY316" s="548"/>
      <c r="AZ316" s="548"/>
      <c r="BA316" s="548"/>
      <c r="BB316" s="548"/>
      <c r="BC316" s="548"/>
      <c r="BD316" s="548">
        <f t="shared" si="183"/>
        <v>1</v>
      </c>
      <c r="BE316" s="42">
        <f t="shared" si="190"/>
        <v>1.5</v>
      </c>
      <c r="BF316" s="42">
        <f t="shared" si="190"/>
        <v>0</v>
      </c>
      <c r="BG316" s="42">
        <f t="shared" si="190"/>
        <v>0</v>
      </c>
      <c r="BH316" s="42">
        <f t="shared" si="190"/>
        <v>100</v>
      </c>
      <c r="BI316" s="42">
        <f t="shared" si="190"/>
        <v>0</v>
      </c>
      <c r="BJ316" s="42">
        <f t="shared" si="167"/>
        <v>0</v>
      </c>
      <c r="BK316" s="42">
        <f t="shared" si="191"/>
        <v>0</v>
      </c>
      <c r="BL316" s="42">
        <f t="shared" si="191"/>
        <v>101.5</v>
      </c>
    </row>
    <row r="317" spans="1:64" ht="55.5" hidden="1" customHeight="1" x14ac:dyDescent="0.2">
      <c r="A317" s="298" t="s">
        <v>896</v>
      </c>
      <c r="B317" s="299" t="s">
        <v>894</v>
      </c>
      <c r="C317" s="1547"/>
      <c r="D317" s="1549"/>
      <c r="E317" s="1549"/>
      <c r="F317" s="1549"/>
      <c r="G317" s="1549"/>
      <c r="H317" s="1549"/>
      <c r="I317" s="1425" t="s">
        <v>53</v>
      </c>
      <c r="J317" s="1425"/>
      <c r="K317" s="1428" t="s">
        <v>961</v>
      </c>
      <c r="L317" s="301" t="s">
        <v>901</v>
      </c>
      <c r="M317" s="1425" t="s">
        <v>902</v>
      </c>
      <c r="N317" s="476" t="s">
        <v>903</v>
      </c>
      <c r="O317" s="1425" t="s">
        <v>47</v>
      </c>
      <c r="P317" s="1425"/>
      <c r="Q317" s="16" t="s">
        <v>962</v>
      </c>
      <c r="R317" s="302" t="s">
        <v>963</v>
      </c>
      <c r="S317" s="303">
        <v>2015</v>
      </c>
      <c r="T317" s="303">
        <v>0</v>
      </c>
      <c r="U317" s="303">
        <v>1</v>
      </c>
      <c r="V317" s="572">
        <v>1</v>
      </c>
      <c r="W317" s="572">
        <v>1</v>
      </c>
      <c r="X317" s="572">
        <v>1</v>
      </c>
      <c r="Y317" s="572">
        <v>1</v>
      </c>
      <c r="Z317" s="491">
        <v>0.5</v>
      </c>
      <c r="AA317" s="481"/>
      <c r="AB317" s="481"/>
      <c r="AC317" s="481"/>
      <c r="AD317" s="481"/>
      <c r="AE317" s="481"/>
      <c r="AF317" s="481"/>
      <c r="AG317" s="481">
        <f t="shared" si="188"/>
        <v>0.5</v>
      </c>
      <c r="AH317" s="491">
        <v>0.5</v>
      </c>
      <c r="AI317" s="548"/>
      <c r="AJ317" s="548"/>
      <c r="AK317" s="548"/>
      <c r="AL317" s="548"/>
      <c r="AM317" s="548"/>
      <c r="AN317" s="548">
        <f t="shared" si="189"/>
        <v>0.5</v>
      </c>
      <c r="AO317" s="491">
        <v>0.5</v>
      </c>
      <c r="AP317" s="481"/>
      <c r="AQ317" s="481"/>
      <c r="AR317" s="481"/>
      <c r="AS317" s="481"/>
      <c r="AT317" s="481"/>
      <c r="AU317" s="481"/>
      <c r="AV317" s="481">
        <f t="shared" si="181"/>
        <v>0.5</v>
      </c>
      <c r="AW317" s="491">
        <v>1</v>
      </c>
      <c r="AX317" s="548"/>
      <c r="AY317" s="548"/>
      <c r="AZ317" s="548"/>
      <c r="BA317" s="548"/>
      <c r="BB317" s="548"/>
      <c r="BC317" s="548"/>
      <c r="BD317" s="548">
        <f t="shared" si="183"/>
        <v>1</v>
      </c>
      <c r="BE317" s="42">
        <f t="shared" si="190"/>
        <v>2.5</v>
      </c>
      <c r="BF317" s="42">
        <f t="shared" si="190"/>
        <v>0</v>
      </c>
      <c r="BG317" s="42">
        <f t="shared" si="190"/>
        <v>0</v>
      </c>
      <c r="BH317" s="42">
        <f t="shared" si="190"/>
        <v>0</v>
      </c>
      <c r="BI317" s="42">
        <f t="shared" si="190"/>
        <v>0</v>
      </c>
      <c r="BJ317" s="42">
        <f t="shared" si="167"/>
        <v>0</v>
      </c>
      <c r="BK317" s="42">
        <f t="shared" si="191"/>
        <v>0</v>
      </c>
      <c r="BL317" s="42">
        <f t="shared" si="191"/>
        <v>2.5</v>
      </c>
    </row>
    <row r="318" spans="1:64" ht="57" hidden="1" customHeight="1" x14ac:dyDescent="0.2">
      <c r="A318" s="298" t="s">
        <v>896</v>
      </c>
      <c r="B318" s="299" t="s">
        <v>894</v>
      </c>
      <c r="C318" s="1547"/>
      <c r="D318" s="1549"/>
      <c r="E318" s="1549"/>
      <c r="F318" s="1549"/>
      <c r="G318" s="1549"/>
      <c r="H318" s="1549"/>
      <c r="I318" s="1425"/>
      <c r="J318" s="1425"/>
      <c r="K318" s="1428" t="s">
        <v>964</v>
      </c>
      <c r="L318" s="301" t="s">
        <v>901</v>
      </c>
      <c r="M318" s="1425" t="s">
        <v>902</v>
      </c>
      <c r="N318" s="476" t="s">
        <v>903</v>
      </c>
      <c r="O318" s="1425" t="s">
        <v>47</v>
      </c>
      <c r="P318" s="1425"/>
      <c r="Q318" s="16" t="s">
        <v>965</v>
      </c>
      <c r="R318" s="302" t="s">
        <v>966</v>
      </c>
      <c r="S318" s="303">
        <v>2015</v>
      </c>
      <c r="T318" s="303">
        <v>0</v>
      </c>
      <c r="U318" s="303">
        <v>1</v>
      </c>
      <c r="V318" s="572">
        <v>2</v>
      </c>
      <c r="W318" s="572">
        <v>2</v>
      </c>
      <c r="X318" s="572">
        <v>2</v>
      </c>
      <c r="Y318" s="572">
        <v>2</v>
      </c>
      <c r="Z318" s="482"/>
      <c r="AA318" s="481"/>
      <c r="AB318" s="481"/>
      <c r="AC318" s="481"/>
      <c r="AD318" s="481"/>
      <c r="AE318" s="481">
        <v>5</v>
      </c>
      <c r="AF318" s="482"/>
      <c r="AG318" s="481">
        <f t="shared" si="188"/>
        <v>5</v>
      </c>
      <c r="AH318" s="491">
        <v>2.5</v>
      </c>
      <c r="AI318" s="548"/>
      <c r="AJ318" s="548"/>
      <c r="AK318" s="548"/>
      <c r="AL318" s="548"/>
      <c r="AM318" s="548"/>
      <c r="AN318" s="548">
        <f t="shared" si="189"/>
        <v>2.5</v>
      </c>
      <c r="AO318" s="491">
        <v>3</v>
      </c>
      <c r="AP318" s="481"/>
      <c r="AQ318" s="481"/>
      <c r="AR318" s="481"/>
      <c r="AS318" s="481"/>
      <c r="AT318" s="481"/>
      <c r="AU318" s="481"/>
      <c r="AV318" s="481">
        <f t="shared" si="181"/>
        <v>3</v>
      </c>
      <c r="AW318" s="491">
        <v>3</v>
      </c>
      <c r="AX318" s="548"/>
      <c r="AY318" s="548"/>
      <c r="AZ318" s="548"/>
      <c r="BA318" s="548"/>
      <c r="BB318" s="548"/>
      <c r="BC318" s="548"/>
      <c r="BD318" s="548">
        <f t="shared" si="183"/>
        <v>3</v>
      </c>
      <c r="BE318" s="42">
        <f t="shared" si="190"/>
        <v>8.5</v>
      </c>
      <c r="BF318" s="42">
        <f t="shared" si="190"/>
        <v>0</v>
      </c>
      <c r="BG318" s="42">
        <f t="shared" si="190"/>
        <v>0</v>
      </c>
      <c r="BH318" s="42">
        <f t="shared" si="190"/>
        <v>0</v>
      </c>
      <c r="BI318" s="42">
        <f t="shared" si="190"/>
        <v>0</v>
      </c>
      <c r="BJ318" s="42">
        <f t="shared" si="167"/>
        <v>5</v>
      </c>
      <c r="BK318" s="42">
        <f t="shared" si="191"/>
        <v>0</v>
      </c>
      <c r="BL318" s="42">
        <f t="shared" si="191"/>
        <v>13.5</v>
      </c>
    </row>
    <row r="319" spans="1:64" ht="69.75" hidden="1" customHeight="1" x14ac:dyDescent="0.2">
      <c r="A319" s="298" t="s">
        <v>896</v>
      </c>
      <c r="B319" s="299" t="s">
        <v>894</v>
      </c>
      <c r="C319" s="1547"/>
      <c r="D319" s="1549"/>
      <c r="E319" s="1549"/>
      <c r="F319" s="1549"/>
      <c r="G319" s="1549"/>
      <c r="H319" s="1549"/>
      <c r="I319" s="1425"/>
      <c r="J319" s="379"/>
      <c r="K319" s="1428" t="s">
        <v>967</v>
      </c>
      <c r="L319" s="301" t="s">
        <v>901</v>
      </c>
      <c r="M319" s="1425" t="s">
        <v>902</v>
      </c>
      <c r="N319" s="476" t="s">
        <v>903</v>
      </c>
      <c r="O319" s="1425" t="s">
        <v>47</v>
      </c>
      <c r="P319" s="1425"/>
      <c r="Q319" s="16" t="s">
        <v>968</v>
      </c>
      <c r="R319" s="348" t="s">
        <v>966</v>
      </c>
      <c r="S319" s="303">
        <v>2015</v>
      </c>
      <c r="T319" s="303">
        <v>0</v>
      </c>
      <c r="U319" s="303">
        <v>1</v>
      </c>
      <c r="V319" s="572">
        <v>1</v>
      </c>
      <c r="W319" s="572">
        <v>0</v>
      </c>
      <c r="X319" s="572">
        <v>0</v>
      </c>
      <c r="Y319" s="572">
        <v>1</v>
      </c>
      <c r="Z319" s="481"/>
      <c r="AA319" s="481"/>
      <c r="AB319" s="491">
        <v>0.5</v>
      </c>
      <c r="AC319" s="481"/>
      <c r="AD319" s="481"/>
      <c r="AE319" s="481"/>
      <c r="AF319" s="481"/>
      <c r="AG319" s="481">
        <f t="shared" si="188"/>
        <v>0.5</v>
      </c>
      <c r="AH319" s="491">
        <v>0.5</v>
      </c>
      <c r="AI319" s="548"/>
      <c r="AJ319" s="548"/>
      <c r="AK319" s="548"/>
      <c r="AL319" s="548"/>
      <c r="AM319" s="548"/>
      <c r="AN319" s="548">
        <f t="shared" si="189"/>
        <v>0.5</v>
      </c>
      <c r="AO319" s="491"/>
      <c r="AP319" s="481"/>
      <c r="AQ319" s="481"/>
      <c r="AR319" s="481"/>
      <c r="AS319" s="481"/>
      <c r="AT319" s="481"/>
      <c r="AU319" s="481"/>
      <c r="AV319" s="481">
        <f t="shared" si="181"/>
        <v>0</v>
      </c>
      <c r="AW319" s="491"/>
      <c r="AX319" s="548"/>
      <c r="AY319" s="548"/>
      <c r="AZ319" s="548"/>
      <c r="BA319" s="548"/>
      <c r="BB319" s="548"/>
      <c r="BC319" s="548"/>
      <c r="BD319" s="548">
        <f t="shared" si="183"/>
        <v>0</v>
      </c>
      <c r="BE319" s="42">
        <f t="shared" si="190"/>
        <v>0.5</v>
      </c>
      <c r="BF319" s="42">
        <f t="shared" si="190"/>
        <v>0</v>
      </c>
      <c r="BG319" s="42">
        <f t="shared" si="190"/>
        <v>0.5</v>
      </c>
      <c r="BH319" s="42">
        <f t="shared" si="190"/>
        <v>0</v>
      </c>
      <c r="BI319" s="42">
        <f t="shared" si="190"/>
        <v>0</v>
      </c>
      <c r="BJ319" s="42">
        <f t="shared" si="167"/>
        <v>0</v>
      </c>
      <c r="BK319" s="42">
        <f t="shared" si="191"/>
        <v>0</v>
      </c>
      <c r="BL319" s="42">
        <f t="shared" si="191"/>
        <v>1</v>
      </c>
    </row>
    <row r="320" spans="1:64" ht="69" hidden="1" customHeight="1" x14ac:dyDescent="0.2">
      <c r="A320" s="298" t="s">
        <v>896</v>
      </c>
      <c r="B320" s="299" t="s">
        <v>894</v>
      </c>
      <c r="C320" s="1547"/>
      <c r="D320" s="1549"/>
      <c r="E320" s="1549"/>
      <c r="F320" s="1549"/>
      <c r="G320" s="1549"/>
      <c r="H320" s="1549"/>
      <c r="I320" s="1425"/>
      <c r="J320" s="379"/>
      <c r="K320" s="1428" t="s">
        <v>969</v>
      </c>
      <c r="L320" s="301" t="s">
        <v>970</v>
      </c>
      <c r="M320" s="1425" t="s">
        <v>902</v>
      </c>
      <c r="N320" s="476" t="s">
        <v>903</v>
      </c>
      <c r="O320" s="1425" t="s">
        <v>47</v>
      </c>
      <c r="P320" s="1425"/>
      <c r="Q320" s="71" t="s">
        <v>971</v>
      </c>
      <c r="R320" s="348" t="s">
        <v>972</v>
      </c>
      <c r="S320" s="303" t="s">
        <v>973</v>
      </c>
      <c r="T320" s="303">
        <v>750</v>
      </c>
      <c r="U320" s="303">
        <v>0</v>
      </c>
      <c r="V320" s="303">
        <v>600</v>
      </c>
      <c r="W320" s="303">
        <v>0</v>
      </c>
      <c r="X320" s="572">
        <v>0</v>
      </c>
      <c r="Y320" s="572">
        <v>600</v>
      </c>
      <c r="Z320" s="481"/>
      <c r="AA320" s="481"/>
      <c r="AB320" s="481">
        <v>0</v>
      </c>
      <c r="AC320" s="481"/>
      <c r="AD320" s="481"/>
      <c r="AE320" s="481"/>
      <c r="AF320" s="481"/>
      <c r="AG320" s="481">
        <f t="shared" si="188"/>
        <v>0</v>
      </c>
      <c r="AH320" s="491">
        <v>4.5</v>
      </c>
      <c r="AI320" s="548"/>
      <c r="AJ320" s="548"/>
      <c r="AK320" s="548"/>
      <c r="AL320" s="548"/>
      <c r="AM320" s="491">
        <v>200</v>
      </c>
      <c r="AN320" s="548">
        <f t="shared" si="189"/>
        <v>204.5</v>
      </c>
      <c r="AO320" s="491"/>
      <c r="AP320" s="481"/>
      <c r="AQ320" s="481"/>
      <c r="AR320" s="481"/>
      <c r="AS320" s="481"/>
      <c r="AT320" s="481"/>
      <c r="AU320" s="481"/>
      <c r="AV320" s="481">
        <f t="shared" si="181"/>
        <v>0</v>
      </c>
      <c r="AW320" s="491"/>
      <c r="AX320" s="548"/>
      <c r="AY320" s="548"/>
      <c r="AZ320" s="548"/>
      <c r="BA320" s="548"/>
      <c r="BB320" s="548"/>
      <c r="BC320" s="548"/>
      <c r="BD320" s="548">
        <f t="shared" si="183"/>
        <v>0</v>
      </c>
      <c r="BE320" s="42">
        <f t="shared" si="190"/>
        <v>4.5</v>
      </c>
      <c r="BF320" s="42">
        <f t="shared" si="190"/>
        <v>0</v>
      </c>
      <c r="BG320" s="42">
        <f t="shared" si="190"/>
        <v>0</v>
      </c>
      <c r="BH320" s="42">
        <f t="shared" si="190"/>
        <v>0</v>
      </c>
      <c r="BI320" s="42">
        <f t="shared" si="190"/>
        <v>0</v>
      </c>
      <c r="BJ320" s="42">
        <f t="shared" si="167"/>
        <v>0</v>
      </c>
      <c r="BK320" s="42">
        <f t="shared" si="191"/>
        <v>200</v>
      </c>
      <c r="BL320" s="42">
        <f t="shared" si="191"/>
        <v>204.5</v>
      </c>
    </row>
    <row r="321" spans="1:64" ht="64.5" hidden="1" customHeight="1" x14ac:dyDescent="0.2">
      <c r="A321" s="298" t="s">
        <v>896</v>
      </c>
      <c r="B321" s="299" t="s">
        <v>894</v>
      </c>
      <c r="C321" s="1547"/>
      <c r="D321" s="1549"/>
      <c r="E321" s="1549"/>
      <c r="F321" s="1549"/>
      <c r="G321" s="1549"/>
      <c r="H321" s="1549"/>
      <c r="I321" s="1425"/>
      <c r="J321" s="379"/>
      <c r="K321" s="1428" t="s">
        <v>974</v>
      </c>
      <c r="L321" s="301" t="s">
        <v>901</v>
      </c>
      <c r="M321" s="1425" t="s">
        <v>902</v>
      </c>
      <c r="N321" s="476" t="s">
        <v>903</v>
      </c>
      <c r="O321" s="1425" t="s">
        <v>47</v>
      </c>
      <c r="P321" s="1425"/>
      <c r="Q321" s="16" t="s">
        <v>975</v>
      </c>
      <c r="R321" s="348" t="s">
        <v>976</v>
      </c>
      <c r="S321" s="303" t="s">
        <v>973</v>
      </c>
      <c r="T321" s="303">
        <v>450</v>
      </c>
      <c r="U321" s="303">
        <v>0</v>
      </c>
      <c r="V321" s="572">
        <v>0</v>
      </c>
      <c r="W321" s="572">
        <v>50</v>
      </c>
      <c r="X321" s="572">
        <v>100</v>
      </c>
      <c r="Y321" s="572">
        <v>100</v>
      </c>
      <c r="Z321" s="481"/>
      <c r="AA321" s="481"/>
      <c r="AB321" s="481"/>
      <c r="AC321" s="481"/>
      <c r="AD321" s="481"/>
      <c r="AE321" s="481"/>
      <c r="AF321" s="481"/>
      <c r="AG321" s="481">
        <f t="shared" si="188"/>
        <v>0</v>
      </c>
      <c r="AH321" s="548"/>
      <c r="AI321" s="548"/>
      <c r="AJ321" s="548"/>
      <c r="AK321" s="548"/>
      <c r="AL321" s="548"/>
      <c r="AM321" s="548"/>
      <c r="AN321" s="548">
        <f t="shared" si="189"/>
        <v>0</v>
      </c>
      <c r="AO321" s="491">
        <v>4</v>
      </c>
      <c r="AP321" s="481"/>
      <c r="AQ321" s="481"/>
      <c r="AR321" s="481"/>
      <c r="AS321" s="481"/>
      <c r="AT321" s="481"/>
      <c r="AU321" s="481"/>
      <c r="AV321" s="481">
        <f t="shared" si="181"/>
        <v>4</v>
      </c>
      <c r="AW321" s="548">
        <v>6</v>
      </c>
      <c r="AX321" s="548"/>
      <c r="AY321" s="548"/>
      <c r="AZ321" s="548"/>
      <c r="BA321" s="548"/>
      <c r="BB321" s="548"/>
      <c r="BC321" s="548"/>
      <c r="BD321" s="548">
        <f t="shared" si="183"/>
        <v>6</v>
      </c>
      <c r="BE321" s="42">
        <f t="shared" si="190"/>
        <v>10</v>
      </c>
      <c r="BF321" s="42">
        <f t="shared" si="190"/>
        <v>0</v>
      </c>
      <c r="BG321" s="42">
        <f t="shared" si="190"/>
        <v>0</v>
      </c>
      <c r="BH321" s="42">
        <f t="shared" si="190"/>
        <v>0</v>
      </c>
      <c r="BI321" s="42">
        <f t="shared" si="190"/>
        <v>0</v>
      </c>
      <c r="BJ321" s="42">
        <f t="shared" si="167"/>
        <v>0</v>
      </c>
      <c r="BK321" s="42">
        <f t="shared" si="191"/>
        <v>0</v>
      </c>
      <c r="BL321" s="42">
        <f t="shared" si="191"/>
        <v>10</v>
      </c>
    </row>
    <row r="322" spans="1:64" ht="39.75" hidden="1" customHeight="1" x14ac:dyDescent="0.2">
      <c r="A322" s="298" t="s">
        <v>896</v>
      </c>
      <c r="B322" s="299" t="s">
        <v>894</v>
      </c>
      <c r="C322" s="1547"/>
      <c r="D322" s="1549"/>
      <c r="E322" s="1549"/>
      <c r="F322" s="1549"/>
      <c r="G322" s="1549"/>
      <c r="H322" s="1549"/>
      <c r="I322" s="1425"/>
      <c r="J322" s="379"/>
      <c r="K322" s="1428" t="s">
        <v>977</v>
      </c>
      <c r="L322" s="301" t="s">
        <v>901</v>
      </c>
      <c r="M322" s="1425" t="s">
        <v>902</v>
      </c>
      <c r="N322" s="476" t="s">
        <v>903</v>
      </c>
      <c r="O322" s="1425" t="s">
        <v>47</v>
      </c>
      <c r="P322" s="1425"/>
      <c r="Q322" s="16" t="s">
        <v>978</v>
      </c>
      <c r="R322" s="348" t="s">
        <v>979</v>
      </c>
      <c r="S322" s="303">
        <v>2015</v>
      </c>
      <c r="T322" s="303">
        <v>0</v>
      </c>
      <c r="U322" s="303">
        <v>0</v>
      </c>
      <c r="V322" s="572">
        <v>5</v>
      </c>
      <c r="W322" s="572">
        <v>10</v>
      </c>
      <c r="X322" s="572">
        <v>10</v>
      </c>
      <c r="Y322" s="572">
        <v>10</v>
      </c>
      <c r="Z322" s="481"/>
      <c r="AA322" s="481"/>
      <c r="AB322" s="481"/>
      <c r="AC322" s="481"/>
      <c r="AD322" s="481"/>
      <c r="AE322" s="481"/>
      <c r="AF322" s="481"/>
      <c r="AG322" s="481">
        <f t="shared" si="188"/>
        <v>0</v>
      </c>
      <c r="AH322" s="548">
        <v>5</v>
      </c>
      <c r="AI322" s="548"/>
      <c r="AJ322" s="548"/>
      <c r="AK322" s="548"/>
      <c r="AL322" s="548"/>
      <c r="AM322" s="548"/>
      <c r="AN322" s="548">
        <f t="shared" si="189"/>
        <v>5</v>
      </c>
      <c r="AO322" s="42">
        <v>5</v>
      </c>
      <c r="AP322" s="481"/>
      <c r="AQ322" s="481"/>
      <c r="AR322" s="481"/>
      <c r="AS322" s="481"/>
      <c r="AT322" s="481"/>
      <c r="AU322" s="481"/>
      <c r="AV322" s="481">
        <f t="shared" si="181"/>
        <v>5</v>
      </c>
      <c r="AW322" s="491">
        <v>1</v>
      </c>
      <c r="AX322" s="548"/>
      <c r="AY322" s="548"/>
      <c r="AZ322" s="548"/>
      <c r="BA322" s="548"/>
      <c r="BB322" s="548"/>
      <c r="BC322" s="548"/>
      <c r="BD322" s="548">
        <f t="shared" si="183"/>
        <v>1</v>
      </c>
      <c r="BE322" s="42">
        <f t="shared" si="190"/>
        <v>11</v>
      </c>
      <c r="BF322" s="42">
        <f t="shared" si="190"/>
        <v>0</v>
      </c>
      <c r="BG322" s="42">
        <f t="shared" si="190"/>
        <v>0</v>
      </c>
      <c r="BH322" s="42">
        <f t="shared" si="190"/>
        <v>0</v>
      </c>
      <c r="BI322" s="42">
        <f t="shared" si="190"/>
        <v>0</v>
      </c>
      <c r="BJ322" s="42">
        <f t="shared" si="167"/>
        <v>0</v>
      </c>
      <c r="BK322" s="42">
        <f t="shared" si="191"/>
        <v>0</v>
      </c>
      <c r="BL322" s="42">
        <f t="shared" si="191"/>
        <v>11</v>
      </c>
    </row>
    <row r="323" spans="1:64" ht="77.25" hidden="1" customHeight="1" x14ac:dyDescent="0.2">
      <c r="A323" s="298" t="s">
        <v>896</v>
      </c>
      <c r="B323" s="299" t="s">
        <v>894</v>
      </c>
      <c r="C323" s="1547"/>
      <c r="D323" s="1549"/>
      <c r="E323" s="1549"/>
      <c r="F323" s="1549"/>
      <c r="G323" s="1549"/>
      <c r="H323" s="1549"/>
      <c r="I323" s="1425"/>
      <c r="J323" s="379"/>
      <c r="K323" s="1428" t="s">
        <v>980</v>
      </c>
      <c r="L323" s="301" t="s">
        <v>901</v>
      </c>
      <c r="M323" s="1425" t="s">
        <v>902</v>
      </c>
      <c r="N323" s="476" t="s">
        <v>903</v>
      </c>
      <c r="O323" s="1425" t="s">
        <v>47</v>
      </c>
      <c r="P323" s="1425"/>
      <c r="Q323" s="16" t="s">
        <v>981</v>
      </c>
      <c r="R323" s="348" t="s">
        <v>982</v>
      </c>
      <c r="S323" s="303">
        <v>2015</v>
      </c>
      <c r="T323" s="303">
        <v>0</v>
      </c>
      <c r="U323" s="303">
        <v>0</v>
      </c>
      <c r="V323" s="572">
        <v>1</v>
      </c>
      <c r="W323" s="572">
        <v>1</v>
      </c>
      <c r="X323" s="572">
        <v>1</v>
      </c>
      <c r="Y323" s="572">
        <v>1</v>
      </c>
      <c r="Z323" s="481">
        <v>0</v>
      </c>
      <c r="AA323" s="481"/>
      <c r="AB323" s="481"/>
      <c r="AC323" s="481"/>
      <c r="AD323" s="481"/>
      <c r="AE323" s="481"/>
      <c r="AF323" s="481"/>
      <c r="AG323" s="481">
        <f t="shared" si="188"/>
        <v>0</v>
      </c>
      <c r="AH323" s="491">
        <v>3</v>
      </c>
      <c r="AI323" s="548"/>
      <c r="AJ323" s="548"/>
      <c r="AK323" s="548"/>
      <c r="AL323" s="548"/>
      <c r="AM323" s="548"/>
      <c r="AN323" s="548">
        <f t="shared" si="189"/>
        <v>3</v>
      </c>
      <c r="AO323" s="491">
        <v>0.5</v>
      </c>
      <c r="AP323" s="481"/>
      <c r="AQ323" s="481"/>
      <c r="AR323" s="481"/>
      <c r="AS323" s="481"/>
      <c r="AT323" s="481"/>
      <c r="AU323" s="481"/>
      <c r="AV323" s="481">
        <f t="shared" si="181"/>
        <v>0.5</v>
      </c>
      <c r="AW323" s="491">
        <v>1</v>
      </c>
      <c r="AX323" s="548"/>
      <c r="AY323" s="548"/>
      <c r="AZ323" s="548"/>
      <c r="BA323" s="548"/>
      <c r="BB323" s="548"/>
      <c r="BC323" s="548"/>
      <c r="BD323" s="548">
        <f>SUM(AW323:BC323)</f>
        <v>1</v>
      </c>
      <c r="BE323" s="42">
        <f>+AW323+AO323+AH323+Z323</f>
        <v>4.5</v>
      </c>
      <c r="BF323" s="42">
        <f>+AX323+AP323+AI323+AA323</f>
        <v>0</v>
      </c>
      <c r="BG323" s="42">
        <f>+AY323+AQ323+AJ323+AB323</f>
        <v>0</v>
      </c>
      <c r="BH323" s="42">
        <f>+AZ323+AR323+AK323+AC323</f>
        <v>0</v>
      </c>
      <c r="BI323" s="42">
        <f>+BA323+AS323+AL323+AD323</f>
        <v>0</v>
      </c>
      <c r="BJ323" s="42">
        <f>+AE323+AT323+BB323</f>
        <v>0</v>
      </c>
      <c r="BK323" s="42">
        <f>+BC323+AU323+AM323+AF323</f>
        <v>0</v>
      </c>
      <c r="BL323" s="42">
        <f>+BD323+AV323+AN323+AG323</f>
        <v>4.5</v>
      </c>
    </row>
    <row r="324" spans="1:64" ht="53.25" hidden="1" customHeight="1" x14ac:dyDescent="0.2">
      <c r="A324" s="298" t="s">
        <v>896</v>
      </c>
      <c r="B324" s="299" t="s">
        <v>894</v>
      </c>
      <c r="C324" s="1547"/>
      <c r="D324" s="1549"/>
      <c r="E324" s="1549"/>
      <c r="F324" s="1549"/>
      <c r="G324" s="1549"/>
      <c r="H324" s="1549"/>
      <c r="I324" s="1425"/>
      <c r="J324" s="379"/>
      <c r="K324" s="1428" t="s">
        <v>983</v>
      </c>
      <c r="L324" s="301" t="s">
        <v>901</v>
      </c>
      <c r="M324" s="1425" t="s">
        <v>902</v>
      </c>
      <c r="N324" s="476" t="s">
        <v>903</v>
      </c>
      <c r="O324" s="1425" t="s">
        <v>47</v>
      </c>
      <c r="P324" s="1425"/>
      <c r="Q324" s="16" t="s">
        <v>984</v>
      </c>
      <c r="R324" s="348" t="s">
        <v>985</v>
      </c>
      <c r="S324" s="303">
        <v>2015</v>
      </c>
      <c r="T324" s="303">
        <v>1</v>
      </c>
      <c r="U324" s="303">
        <v>0</v>
      </c>
      <c r="V324" s="572">
        <v>0</v>
      </c>
      <c r="W324" s="572">
        <v>1</v>
      </c>
      <c r="X324" s="572">
        <v>0</v>
      </c>
      <c r="Y324" s="572">
        <v>1</v>
      </c>
      <c r="Z324" s="481"/>
      <c r="AA324" s="481"/>
      <c r="AB324" s="481"/>
      <c r="AC324" s="481"/>
      <c r="AD324" s="481"/>
      <c r="AE324" s="481"/>
      <c r="AF324" s="481"/>
      <c r="AG324" s="481">
        <f t="shared" si="188"/>
        <v>0</v>
      </c>
      <c r="AH324" s="548"/>
      <c r="AI324" s="548"/>
      <c r="AJ324" s="548"/>
      <c r="AK324" s="548"/>
      <c r="AL324" s="548"/>
      <c r="AM324" s="548"/>
      <c r="AN324" s="548">
        <f t="shared" si="189"/>
        <v>0</v>
      </c>
      <c r="AO324" s="491">
        <v>4</v>
      </c>
      <c r="AP324" s="481"/>
      <c r="AQ324" s="481"/>
      <c r="AR324" s="481"/>
      <c r="AS324" s="481"/>
      <c r="AT324" s="481"/>
      <c r="AU324" s="481"/>
      <c r="AV324" s="481">
        <f t="shared" si="181"/>
        <v>4</v>
      </c>
      <c r="AW324" s="548"/>
      <c r="AX324" s="548"/>
      <c r="AY324" s="548"/>
      <c r="AZ324" s="548"/>
      <c r="BA324" s="548"/>
      <c r="BB324" s="548"/>
      <c r="BC324" s="548"/>
      <c r="BD324" s="548">
        <f t="shared" si="183"/>
        <v>0</v>
      </c>
      <c r="BE324" s="42">
        <f t="shared" si="190"/>
        <v>4</v>
      </c>
      <c r="BF324" s="42">
        <f t="shared" si="190"/>
        <v>0</v>
      </c>
      <c r="BG324" s="42">
        <f t="shared" si="190"/>
        <v>0</v>
      </c>
      <c r="BH324" s="42">
        <f t="shared" si="190"/>
        <v>0</v>
      </c>
      <c r="BI324" s="42">
        <f t="shared" si="190"/>
        <v>0</v>
      </c>
      <c r="BJ324" s="42">
        <f t="shared" si="167"/>
        <v>0</v>
      </c>
      <c r="BK324" s="42">
        <f t="shared" si="191"/>
        <v>0</v>
      </c>
      <c r="BL324" s="42">
        <f t="shared" si="191"/>
        <v>4</v>
      </c>
    </row>
    <row r="325" spans="1:64" ht="54" hidden="1" customHeight="1" x14ac:dyDescent="0.2">
      <c r="A325" s="298" t="s">
        <v>896</v>
      </c>
      <c r="B325" s="299" t="s">
        <v>894</v>
      </c>
      <c r="C325" s="1547"/>
      <c r="D325" s="1549"/>
      <c r="E325" s="1549"/>
      <c r="F325" s="1549"/>
      <c r="G325" s="1549"/>
      <c r="H325" s="1549"/>
      <c r="I325" s="1425"/>
      <c r="J325" s="379"/>
      <c r="K325" s="1428" t="s">
        <v>986</v>
      </c>
      <c r="L325" s="301" t="s">
        <v>901</v>
      </c>
      <c r="M325" s="1425" t="s">
        <v>902</v>
      </c>
      <c r="N325" s="476" t="s">
        <v>903</v>
      </c>
      <c r="O325" s="1425" t="s">
        <v>73</v>
      </c>
      <c r="P325" s="1425"/>
      <c r="Q325" s="16" t="s">
        <v>987</v>
      </c>
      <c r="R325" s="348" t="s">
        <v>539</v>
      </c>
      <c r="S325" s="303">
        <v>2015</v>
      </c>
      <c r="T325" s="303">
        <v>1</v>
      </c>
      <c r="U325" s="303">
        <v>1</v>
      </c>
      <c r="V325" s="572">
        <v>1</v>
      </c>
      <c r="W325" s="572">
        <v>1</v>
      </c>
      <c r="X325" s="572">
        <v>1</v>
      </c>
      <c r="Y325" s="572">
        <v>1</v>
      </c>
      <c r="Z325" s="481">
        <v>0</v>
      </c>
      <c r="AA325" s="481"/>
      <c r="AB325" s="491">
        <v>4.5</v>
      </c>
      <c r="AC325" s="481"/>
      <c r="AD325" s="481"/>
      <c r="AE325" s="481">
        <v>0</v>
      </c>
      <c r="AF325" s="481"/>
      <c r="AG325" s="481">
        <f t="shared" si="188"/>
        <v>4.5</v>
      </c>
      <c r="AH325" s="491">
        <v>2</v>
      </c>
      <c r="AI325" s="548"/>
      <c r="AJ325" s="548">
        <v>0</v>
      </c>
      <c r="AK325" s="548"/>
      <c r="AL325" s="548"/>
      <c r="AM325" s="548"/>
      <c r="AN325" s="548">
        <f t="shared" si="189"/>
        <v>2</v>
      </c>
      <c r="AO325" s="491">
        <v>0.5</v>
      </c>
      <c r="AP325" s="481"/>
      <c r="AQ325" s="481">
        <v>0</v>
      </c>
      <c r="AR325" s="481"/>
      <c r="AS325" s="481"/>
      <c r="AT325" s="481"/>
      <c r="AU325" s="481"/>
      <c r="AV325" s="481">
        <f t="shared" si="181"/>
        <v>0.5</v>
      </c>
      <c r="AW325" s="491">
        <v>1</v>
      </c>
      <c r="AX325" s="548"/>
      <c r="AY325" s="548">
        <v>0</v>
      </c>
      <c r="AZ325" s="548"/>
      <c r="BA325" s="548"/>
      <c r="BB325" s="548"/>
      <c r="BC325" s="548"/>
      <c r="BD325" s="548">
        <f t="shared" si="183"/>
        <v>1</v>
      </c>
      <c r="BE325" s="42">
        <f t="shared" si="190"/>
        <v>3.5</v>
      </c>
      <c r="BF325" s="42">
        <f t="shared" si="190"/>
        <v>0</v>
      </c>
      <c r="BG325" s="42">
        <f t="shared" si="190"/>
        <v>4.5</v>
      </c>
      <c r="BH325" s="42">
        <f t="shared" si="190"/>
        <v>0</v>
      </c>
      <c r="BI325" s="42">
        <f t="shared" si="190"/>
        <v>0</v>
      </c>
      <c r="BJ325" s="42">
        <f t="shared" si="167"/>
        <v>0</v>
      </c>
      <c r="BK325" s="42">
        <f t="shared" si="191"/>
        <v>0</v>
      </c>
      <c r="BL325" s="42">
        <f t="shared" si="191"/>
        <v>8</v>
      </c>
    </row>
    <row r="326" spans="1:64" ht="54" hidden="1" customHeight="1" x14ac:dyDescent="0.2">
      <c r="A326" s="298" t="s">
        <v>896</v>
      </c>
      <c r="B326" s="299" t="s">
        <v>894</v>
      </c>
      <c r="C326" s="1547"/>
      <c r="D326" s="1549"/>
      <c r="E326" s="1549"/>
      <c r="F326" s="1549"/>
      <c r="G326" s="1549"/>
      <c r="H326" s="1549"/>
      <c r="I326" s="1425"/>
      <c r="J326" s="379"/>
      <c r="K326" s="1428" t="s">
        <v>988</v>
      </c>
      <c r="L326" s="301" t="s">
        <v>901</v>
      </c>
      <c r="M326" s="1425" t="s">
        <v>902</v>
      </c>
      <c r="N326" s="476" t="s">
        <v>903</v>
      </c>
      <c r="O326" s="1425" t="s">
        <v>47</v>
      </c>
      <c r="P326" s="1425"/>
      <c r="Q326" s="16" t="s">
        <v>989</v>
      </c>
      <c r="R326" s="348" t="s">
        <v>990</v>
      </c>
      <c r="S326" s="303">
        <v>2015</v>
      </c>
      <c r="T326" s="303">
        <v>0</v>
      </c>
      <c r="U326" s="303">
        <v>0</v>
      </c>
      <c r="V326" s="572">
        <v>1</v>
      </c>
      <c r="W326" s="572">
        <v>1</v>
      </c>
      <c r="X326" s="572">
        <v>1</v>
      </c>
      <c r="Y326" s="572">
        <v>1</v>
      </c>
      <c r="Z326" s="481"/>
      <c r="AA326" s="481"/>
      <c r="AB326" s="583">
        <v>0</v>
      </c>
      <c r="AC326" s="481"/>
      <c r="AD326" s="481"/>
      <c r="AE326" s="481"/>
      <c r="AF326" s="481"/>
      <c r="AG326" s="481"/>
      <c r="AH326" s="548"/>
      <c r="AI326" s="548"/>
      <c r="AJ326" s="548">
        <v>19</v>
      </c>
      <c r="AK326" s="548"/>
      <c r="AL326" s="548"/>
      <c r="AM326" s="548"/>
      <c r="AN326" s="548">
        <f>SUM(AH326:AM326)</f>
        <v>19</v>
      </c>
      <c r="AO326" s="491">
        <v>0.5</v>
      </c>
      <c r="AP326" s="481"/>
      <c r="AQ326" s="481"/>
      <c r="AR326" s="481"/>
      <c r="AS326" s="481"/>
      <c r="AT326" s="481"/>
      <c r="AU326" s="481"/>
      <c r="AV326" s="481">
        <f>SUM(AO326:AU326)</f>
        <v>0.5</v>
      </c>
      <c r="AW326" s="491">
        <v>5</v>
      </c>
      <c r="AX326" s="548"/>
      <c r="AY326" s="548"/>
      <c r="AZ326" s="548"/>
      <c r="BA326" s="548"/>
      <c r="BB326" s="548"/>
      <c r="BC326" s="548"/>
      <c r="BD326" s="548">
        <f>SUM(AW326:BC326)</f>
        <v>5</v>
      </c>
      <c r="BE326" s="42"/>
      <c r="BF326" s="42"/>
      <c r="BG326" s="42"/>
      <c r="BH326" s="42"/>
      <c r="BI326" s="42"/>
      <c r="BJ326" s="42"/>
      <c r="BK326" s="42"/>
      <c r="BL326" s="42"/>
    </row>
    <row r="327" spans="1:64" ht="62.25" hidden="1" customHeight="1" x14ac:dyDescent="0.2">
      <c r="A327" s="298" t="s">
        <v>896</v>
      </c>
      <c r="B327" s="299" t="s">
        <v>894</v>
      </c>
      <c r="C327" s="1547"/>
      <c r="D327" s="1549"/>
      <c r="E327" s="1549"/>
      <c r="F327" s="1549"/>
      <c r="G327" s="1549"/>
      <c r="H327" s="1549"/>
      <c r="I327" s="1425"/>
      <c r="J327" s="379"/>
      <c r="K327" s="1428" t="s">
        <v>991</v>
      </c>
      <c r="L327" s="301" t="s">
        <v>901</v>
      </c>
      <c r="M327" s="1425" t="s">
        <v>902</v>
      </c>
      <c r="N327" s="476" t="s">
        <v>903</v>
      </c>
      <c r="O327" s="1425" t="s">
        <v>47</v>
      </c>
      <c r="P327" s="1425"/>
      <c r="Q327" s="16" t="s">
        <v>992</v>
      </c>
      <c r="R327" s="348" t="s">
        <v>993</v>
      </c>
      <c r="S327" s="303">
        <v>2015</v>
      </c>
      <c r="T327" s="303">
        <v>0</v>
      </c>
      <c r="U327" s="303">
        <v>5</v>
      </c>
      <c r="V327" s="572">
        <v>10</v>
      </c>
      <c r="W327" s="572">
        <v>15</v>
      </c>
      <c r="X327" s="572">
        <v>20</v>
      </c>
      <c r="Y327" s="572">
        <v>20</v>
      </c>
      <c r="Z327" s="481"/>
      <c r="AA327" s="481"/>
      <c r="AB327" s="481">
        <v>3</v>
      </c>
      <c r="AC327" s="481"/>
      <c r="AD327" s="481"/>
      <c r="AE327" s="481"/>
      <c r="AF327" s="481"/>
      <c r="AG327" s="481">
        <f t="shared" si="188"/>
        <v>3</v>
      </c>
      <c r="AH327" s="548"/>
      <c r="AI327" s="548"/>
      <c r="AJ327" s="548">
        <v>3</v>
      </c>
      <c r="AK327" s="548"/>
      <c r="AL327" s="548"/>
      <c r="AM327" s="548"/>
      <c r="AN327" s="548">
        <f t="shared" si="189"/>
        <v>3</v>
      </c>
      <c r="AO327" s="481"/>
      <c r="AP327" s="481"/>
      <c r="AQ327" s="481">
        <v>3</v>
      </c>
      <c r="AR327" s="481"/>
      <c r="AS327" s="481"/>
      <c r="AT327" s="481"/>
      <c r="AU327" s="481"/>
      <c r="AV327" s="481">
        <f t="shared" si="181"/>
        <v>3</v>
      </c>
      <c r="AW327" s="548"/>
      <c r="AX327" s="548"/>
      <c r="AY327" s="548">
        <v>13</v>
      </c>
      <c r="AZ327" s="548"/>
      <c r="BA327" s="548"/>
      <c r="BB327" s="548"/>
      <c r="BC327" s="548"/>
      <c r="BD327" s="548">
        <f>SUM(AW327:BC327)</f>
        <v>13</v>
      </c>
      <c r="BE327" s="42">
        <f>+AW327+AO327+AH327+Z327</f>
        <v>0</v>
      </c>
      <c r="BF327" s="42">
        <f>+AX327+AP327+AI327+AA327</f>
        <v>0</v>
      </c>
      <c r="BG327" s="42">
        <f>+AY327+AQ327+AJ327+AB327</f>
        <v>22</v>
      </c>
      <c r="BH327" s="42">
        <f>+AZ327+AR327+AK327+AC327</f>
        <v>0</v>
      </c>
      <c r="BI327" s="42">
        <f>+BA327+AS327+AL327+AD327</f>
        <v>0</v>
      </c>
      <c r="BJ327" s="42">
        <f t="shared" si="167"/>
        <v>0</v>
      </c>
      <c r="BK327" s="42">
        <f>+BC327+AU327+AM327+AF327</f>
        <v>0</v>
      </c>
      <c r="BL327" s="42">
        <f>+BD327+AV327+AN327+AG327</f>
        <v>22</v>
      </c>
    </row>
    <row r="328" spans="1:64" ht="54.75" hidden="1" customHeight="1" x14ac:dyDescent="0.2">
      <c r="A328" s="298" t="s">
        <v>896</v>
      </c>
      <c r="B328" s="299" t="s">
        <v>894</v>
      </c>
      <c r="C328" s="1547"/>
      <c r="D328" s="1549"/>
      <c r="E328" s="1549"/>
      <c r="F328" s="1549"/>
      <c r="G328" s="1549"/>
      <c r="H328" s="1549"/>
      <c r="I328" s="1425"/>
      <c r="J328" s="379"/>
      <c r="K328" s="1428" t="s">
        <v>994</v>
      </c>
      <c r="L328" s="301" t="s">
        <v>901</v>
      </c>
      <c r="M328" s="1425" t="s">
        <v>902</v>
      </c>
      <c r="N328" s="476" t="s">
        <v>903</v>
      </c>
      <c r="O328" s="1425" t="s">
        <v>47</v>
      </c>
      <c r="P328" s="1425"/>
      <c r="Q328" s="16" t="s">
        <v>995</v>
      </c>
      <c r="R328" s="348" t="s">
        <v>996</v>
      </c>
      <c r="S328" s="303">
        <v>2015</v>
      </c>
      <c r="T328" s="303">
        <v>0</v>
      </c>
      <c r="U328" s="303">
        <v>0</v>
      </c>
      <c r="V328" s="572">
        <v>10</v>
      </c>
      <c r="W328" s="572">
        <v>20</v>
      </c>
      <c r="X328" s="572">
        <v>30</v>
      </c>
      <c r="Y328" s="572">
        <v>30</v>
      </c>
      <c r="Z328" s="701">
        <v>5</v>
      </c>
      <c r="AA328" s="701"/>
      <c r="AB328" s="701">
        <v>10</v>
      </c>
      <c r="AC328" s="701"/>
      <c r="AD328" s="701"/>
      <c r="AE328" s="701"/>
      <c r="AF328" s="701"/>
      <c r="AG328" s="701">
        <f t="shared" si="188"/>
        <v>15</v>
      </c>
      <c r="AH328" s="548">
        <v>10</v>
      </c>
      <c r="AI328" s="548"/>
      <c r="AJ328" s="491">
        <v>8</v>
      </c>
      <c r="AK328" s="548"/>
      <c r="AL328" s="548"/>
      <c r="AM328" s="548"/>
      <c r="AN328" s="548">
        <f t="shared" si="189"/>
        <v>18</v>
      </c>
      <c r="AO328" s="481">
        <v>10</v>
      </c>
      <c r="AP328" s="481"/>
      <c r="AQ328" s="491">
        <v>9</v>
      </c>
      <c r="AR328" s="481"/>
      <c r="AS328" s="481"/>
      <c r="AT328" s="481"/>
      <c r="AU328" s="481"/>
      <c r="AV328" s="481">
        <f t="shared" si="181"/>
        <v>19</v>
      </c>
      <c r="AW328" s="548"/>
      <c r="AX328" s="548"/>
      <c r="AY328" s="548">
        <v>0</v>
      </c>
      <c r="AZ328" s="548"/>
      <c r="BA328" s="548"/>
      <c r="BB328" s="548"/>
      <c r="BC328" s="548"/>
      <c r="BD328" s="548">
        <f t="shared" si="183"/>
        <v>0</v>
      </c>
      <c r="BE328" s="42">
        <f t="shared" si="190"/>
        <v>25</v>
      </c>
      <c r="BF328" s="42">
        <f t="shared" si="190"/>
        <v>0</v>
      </c>
      <c r="BG328" s="42">
        <f t="shared" si="190"/>
        <v>27</v>
      </c>
      <c r="BH328" s="42">
        <f t="shared" si="190"/>
        <v>0</v>
      </c>
      <c r="BI328" s="42">
        <f t="shared" si="190"/>
        <v>0</v>
      </c>
      <c r="BJ328" s="42">
        <f t="shared" si="167"/>
        <v>0</v>
      </c>
      <c r="BK328" s="42">
        <f t="shared" si="191"/>
        <v>0</v>
      </c>
      <c r="BL328" s="42">
        <f t="shared" si="191"/>
        <v>52</v>
      </c>
    </row>
    <row r="329" spans="1:64" ht="34.5" hidden="1" customHeight="1" x14ac:dyDescent="0.2">
      <c r="A329" s="298" t="s">
        <v>896</v>
      </c>
      <c r="B329" s="299" t="s">
        <v>894</v>
      </c>
      <c r="C329" s="1548"/>
      <c r="D329" s="1549"/>
      <c r="E329" s="1549"/>
      <c r="F329" s="1549"/>
      <c r="G329" s="1549"/>
      <c r="H329" s="1549"/>
      <c r="I329" s="1425"/>
      <c r="J329" s="1425"/>
      <c r="K329" s="1428" t="s">
        <v>997</v>
      </c>
      <c r="L329" s="301" t="s">
        <v>901</v>
      </c>
      <c r="M329" s="1425" t="s">
        <v>902</v>
      </c>
      <c r="N329" s="476" t="s">
        <v>903</v>
      </c>
      <c r="O329" s="1425" t="s">
        <v>47</v>
      </c>
      <c r="P329" s="1425"/>
      <c r="Q329" s="16" t="s">
        <v>998</v>
      </c>
      <c r="R329" s="348" t="s">
        <v>996</v>
      </c>
      <c r="S329" s="303">
        <v>2015</v>
      </c>
      <c r="T329" s="303">
        <v>19</v>
      </c>
      <c r="U329" s="303">
        <v>10</v>
      </c>
      <c r="V329" s="572">
        <v>20</v>
      </c>
      <c r="W329" s="572">
        <v>30</v>
      </c>
      <c r="X329" s="572">
        <v>40</v>
      </c>
      <c r="Y329" s="572">
        <v>40</v>
      </c>
      <c r="Z329" s="701"/>
      <c r="AA329" s="701"/>
      <c r="AB329" s="701">
        <v>10</v>
      </c>
      <c r="AC329" s="701"/>
      <c r="AD329" s="701"/>
      <c r="AE329" s="701"/>
      <c r="AF329" s="701"/>
      <c r="AG329" s="701">
        <f t="shared" si="188"/>
        <v>10</v>
      </c>
      <c r="AH329" s="548"/>
      <c r="AI329" s="548"/>
      <c r="AJ329" s="491">
        <v>8</v>
      </c>
      <c r="AK329" s="548"/>
      <c r="AL329" s="548"/>
      <c r="AM329" s="548"/>
      <c r="AN329" s="548">
        <f t="shared" si="189"/>
        <v>8</v>
      </c>
      <c r="AO329" s="481"/>
      <c r="AP329" s="481"/>
      <c r="AQ329" s="481">
        <v>10</v>
      </c>
      <c r="AR329" s="481"/>
      <c r="AS329" s="481"/>
      <c r="AT329" s="481"/>
      <c r="AU329" s="481"/>
      <c r="AV329" s="481">
        <f t="shared" si="181"/>
        <v>10</v>
      </c>
      <c r="AW329" s="548">
        <v>10</v>
      </c>
      <c r="AX329" s="548"/>
      <c r="AY329" s="548">
        <v>10</v>
      </c>
      <c r="AZ329" s="548"/>
      <c r="BA329" s="548"/>
      <c r="BB329" s="548"/>
      <c r="BC329" s="548"/>
      <c r="BD329" s="548">
        <f t="shared" si="183"/>
        <v>20</v>
      </c>
      <c r="BE329" s="42">
        <f t="shared" si="190"/>
        <v>10</v>
      </c>
      <c r="BF329" s="42">
        <f t="shared" si="190"/>
        <v>0</v>
      </c>
      <c r="BG329" s="42">
        <f t="shared" si="190"/>
        <v>38</v>
      </c>
      <c r="BH329" s="42">
        <f t="shared" si="190"/>
        <v>0</v>
      </c>
      <c r="BI329" s="42">
        <f t="shared" si="190"/>
        <v>0</v>
      </c>
      <c r="BJ329" s="42">
        <f t="shared" si="167"/>
        <v>0</v>
      </c>
      <c r="BK329" s="42">
        <f t="shared" si="191"/>
        <v>0</v>
      </c>
      <c r="BL329" s="42">
        <f t="shared" si="191"/>
        <v>48</v>
      </c>
    </row>
    <row r="330" spans="1:64" ht="2.25" customHeight="1" x14ac:dyDescent="0.2">
      <c r="A330" s="151"/>
      <c r="B330" s="7" t="s">
        <v>999</v>
      </c>
      <c r="C330" s="7"/>
      <c r="D330" s="1442"/>
      <c r="E330" s="1442"/>
      <c r="F330" s="1442"/>
      <c r="G330" s="1442"/>
      <c r="H330" s="1442"/>
      <c r="I330" s="1442"/>
      <c r="J330" s="1442"/>
      <c r="K330" s="147"/>
      <c r="L330" s="147"/>
      <c r="M330" s="147"/>
      <c r="N330" s="11"/>
      <c r="O330" s="147"/>
      <c r="P330" s="147"/>
      <c r="Q330" s="26"/>
      <c r="R330" s="25"/>
      <c r="S330" s="1442"/>
      <c r="T330" s="1442"/>
      <c r="U330" s="1442"/>
      <c r="V330" s="63"/>
      <c r="W330" s="63"/>
      <c r="X330" s="63"/>
      <c r="Y330" s="63"/>
      <c r="Z330" s="42">
        <v>387</v>
      </c>
      <c r="AA330" s="42"/>
      <c r="AB330" s="42">
        <v>290.60000000000002</v>
      </c>
      <c r="AC330" s="42"/>
      <c r="AD330" s="42"/>
      <c r="AE330" s="42">
        <v>648</v>
      </c>
      <c r="AF330" s="42"/>
      <c r="AG330" s="42">
        <f>SUBTOTAL(9,Z330:AF330)</f>
        <v>1325.6</v>
      </c>
      <c r="AH330" s="42"/>
      <c r="AI330" s="42"/>
      <c r="AJ330" s="42">
        <f>+AB330*1.035</f>
        <v>300.77100000000002</v>
      </c>
      <c r="AK330" s="42"/>
      <c r="AL330" s="42"/>
      <c r="AM330" s="42"/>
      <c r="AN330" s="42"/>
      <c r="AO330" s="42"/>
      <c r="AP330" s="42"/>
      <c r="AQ330" s="42">
        <f>+AJ330*1.035</f>
        <v>311.29798499999998</v>
      </c>
      <c r="AR330" s="42"/>
      <c r="AS330" s="42"/>
      <c r="AT330" s="42"/>
      <c r="AU330" s="42"/>
      <c r="AV330" s="42"/>
      <c r="AW330" s="42"/>
      <c r="AX330" s="42"/>
      <c r="AY330" s="42"/>
      <c r="AZ330" s="42"/>
      <c r="BA330" s="42"/>
      <c r="BB330" s="42"/>
      <c r="BC330" s="42"/>
      <c r="BD330" s="42"/>
      <c r="BE330" s="42">
        <f t="shared" si="190"/>
        <v>387</v>
      </c>
      <c r="BF330" s="42">
        <f t="shared" si="190"/>
        <v>0</v>
      </c>
      <c r="BG330" s="42">
        <f t="shared" si="190"/>
        <v>902.66898500000002</v>
      </c>
      <c r="BH330" s="42">
        <f t="shared" si="190"/>
        <v>0</v>
      </c>
      <c r="BI330" s="42">
        <f t="shared" si="190"/>
        <v>0</v>
      </c>
      <c r="BJ330" s="42">
        <f t="shared" si="167"/>
        <v>648</v>
      </c>
      <c r="BK330" s="42">
        <f t="shared" si="191"/>
        <v>0</v>
      </c>
      <c r="BL330" s="42">
        <f t="shared" si="191"/>
        <v>1325.6</v>
      </c>
    </row>
    <row r="331" spans="1:64" ht="20.25" hidden="1" x14ac:dyDescent="0.2">
      <c r="A331" s="420"/>
      <c r="B331" s="1565" t="s">
        <v>1000</v>
      </c>
      <c r="C331" s="1566"/>
      <c r="D331" s="1566"/>
      <c r="E331" s="1566"/>
      <c r="F331" s="1566"/>
      <c r="G331" s="1566"/>
      <c r="H331" s="1566"/>
      <c r="I331" s="1566"/>
      <c r="J331" s="1566"/>
      <c r="K331" s="1566"/>
      <c r="L331" s="1566"/>
      <c r="M331" s="1567"/>
      <c r="N331" s="597"/>
      <c r="O331" s="597"/>
      <c r="P331" s="597"/>
      <c r="Q331" s="598"/>
      <c r="R331" s="598"/>
      <c r="S331" s="597"/>
      <c r="T331" s="597"/>
      <c r="U331" s="597"/>
      <c r="V331" s="599"/>
      <c r="W331" s="599"/>
      <c r="X331" s="599"/>
      <c r="Y331" s="599"/>
      <c r="Z331" s="600">
        <f>+Z332</f>
        <v>387.8</v>
      </c>
      <c r="AA331" s="600">
        <f t="shared" ref="AA331:BL331" si="192">+AA332</f>
        <v>0</v>
      </c>
      <c r="AB331" s="600">
        <f t="shared" si="192"/>
        <v>290.60000000000002</v>
      </c>
      <c r="AC331" s="600">
        <f t="shared" si="192"/>
        <v>0</v>
      </c>
      <c r="AD331" s="600">
        <f t="shared" si="192"/>
        <v>0</v>
      </c>
      <c r="AE331" s="600">
        <f t="shared" si="192"/>
        <v>648</v>
      </c>
      <c r="AF331" s="600">
        <f t="shared" si="192"/>
        <v>0</v>
      </c>
      <c r="AG331" s="600">
        <f t="shared" si="192"/>
        <v>1326.4</v>
      </c>
      <c r="AH331" s="600">
        <f t="shared" si="192"/>
        <v>134</v>
      </c>
      <c r="AI331" s="600">
        <f t="shared" si="192"/>
        <v>0</v>
      </c>
      <c r="AJ331" s="600">
        <f t="shared" si="192"/>
        <v>440</v>
      </c>
      <c r="AK331" s="600">
        <f t="shared" si="192"/>
        <v>100</v>
      </c>
      <c r="AL331" s="600">
        <f t="shared" si="192"/>
        <v>0</v>
      </c>
      <c r="AM331" s="600">
        <f t="shared" si="192"/>
        <v>2400</v>
      </c>
      <c r="AN331" s="600">
        <f t="shared" si="192"/>
        <v>3074</v>
      </c>
      <c r="AO331" s="600">
        <f t="shared" si="192"/>
        <v>390</v>
      </c>
      <c r="AP331" s="600">
        <f t="shared" si="192"/>
        <v>0</v>
      </c>
      <c r="AQ331" s="600">
        <f t="shared" si="192"/>
        <v>311</v>
      </c>
      <c r="AR331" s="600">
        <f t="shared" si="192"/>
        <v>1200</v>
      </c>
      <c r="AS331" s="600">
        <f t="shared" si="192"/>
        <v>0</v>
      </c>
      <c r="AT331" s="600">
        <f t="shared" si="192"/>
        <v>0</v>
      </c>
      <c r="AU331" s="600">
        <f t="shared" si="192"/>
        <v>0</v>
      </c>
      <c r="AV331" s="600">
        <f t="shared" si="192"/>
        <v>1901</v>
      </c>
      <c r="AW331" s="600">
        <f t="shared" si="192"/>
        <v>200</v>
      </c>
      <c r="AX331" s="600">
        <f t="shared" si="192"/>
        <v>0</v>
      </c>
      <c r="AY331" s="600">
        <f t="shared" si="192"/>
        <v>316</v>
      </c>
      <c r="AZ331" s="600">
        <f t="shared" si="192"/>
        <v>200</v>
      </c>
      <c r="BA331" s="600">
        <f t="shared" si="192"/>
        <v>0</v>
      </c>
      <c r="BB331" s="600">
        <f t="shared" si="192"/>
        <v>0</v>
      </c>
      <c r="BC331" s="600">
        <f t="shared" si="192"/>
        <v>0</v>
      </c>
      <c r="BD331" s="600">
        <f t="shared" si="192"/>
        <v>716</v>
      </c>
      <c r="BE331" s="33">
        <f t="shared" si="192"/>
        <v>1111.8</v>
      </c>
      <c r="BF331" s="33">
        <f t="shared" si="192"/>
        <v>0</v>
      </c>
      <c r="BG331" s="33">
        <f t="shared" si="192"/>
        <v>1357.6</v>
      </c>
      <c r="BH331" s="33">
        <f t="shared" si="192"/>
        <v>1500</v>
      </c>
      <c r="BI331" s="33">
        <f t="shared" si="192"/>
        <v>0</v>
      </c>
      <c r="BJ331" s="33">
        <f t="shared" si="167"/>
        <v>648</v>
      </c>
      <c r="BK331" s="33">
        <f t="shared" si="192"/>
        <v>2400</v>
      </c>
      <c r="BL331" s="33">
        <f t="shared" si="192"/>
        <v>7017.4</v>
      </c>
    </row>
    <row r="332" spans="1:64" ht="12.75" hidden="1" x14ac:dyDescent="0.2">
      <c r="A332" s="603"/>
      <c r="B332" s="154" t="s">
        <v>999</v>
      </c>
      <c r="C332" s="6"/>
      <c r="D332" s="2" t="s">
        <v>1001</v>
      </c>
      <c r="E332" s="1"/>
      <c r="F332" s="1"/>
      <c r="G332" s="1"/>
      <c r="H332" s="1"/>
      <c r="I332" s="1"/>
      <c r="J332" s="1"/>
      <c r="K332" s="1"/>
      <c r="L332" s="1"/>
      <c r="M332" s="1"/>
      <c r="N332" s="1"/>
      <c r="O332" s="1"/>
      <c r="P332" s="1"/>
      <c r="Q332" s="22"/>
      <c r="R332" s="22"/>
      <c r="S332" s="1"/>
      <c r="T332" s="1"/>
      <c r="U332" s="1"/>
      <c r="V332" s="49"/>
      <c r="W332" s="49"/>
      <c r="X332" s="49"/>
      <c r="Y332" s="49"/>
      <c r="Z332" s="34">
        <f t="shared" ref="Z332:AF332" si="193">SUM(Z333:Z353)</f>
        <v>387.8</v>
      </c>
      <c r="AA332" s="34">
        <f t="shared" si="193"/>
        <v>0</v>
      </c>
      <c r="AB332" s="34">
        <f t="shared" si="193"/>
        <v>290.60000000000002</v>
      </c>
      <c r="AC332" s="34">
        <f t="shared" si="193"/>
        <v>0</v>
      </c>
      <c r="AD332" s="34">
        <f t="shared" si="193"/>
        <v>0</v>
      </c>
      <c r="AE332" s="34">
        <f t="shared" si="193"/>
        <v>648</v>
      </c>
      <c r="AF332" s="34">
        <f t="shared" si="193"/>
        <v>0</v>
      </c>
      <c r="AG332" s="34">
        <f>SUM(Z332:AF332)</f>
        <v>1326.4</v>
      </c>
      <c r="AH332" s="34">
        <f t="shared" ref="AH332:AM332" si="194">SUM(AH333:AH353)</f>
        <v>134</v>
      </c>
      <c r="AI332" s="34">
        <f t="shared" si="194"/>
        <v>0</v>
      </c>
      <c r="AJ332" s="34">
        <f t="shared" si="194"/>
        <v>440</v>
      </c>
      <c r="AK332" s="34">
        <f t="shared" si="194"/>
        <v>100</v>
      </c>
      <c r="AL332" s="34">
        <f t="shared" si="194"/>
        <v>0</v>
      </c>
      <c r="AM332" s="34">
        <f t="shared" si="194"/>
        <v>2400</v>
      </c>
      <c r="AN332" s="34">
        <f>SUM(AH332:AM332)</f>
        <v>3074</v>
      </c>
      <c r="AO332" s="34">
        <f t="shared" ref="AO332:AU332" si="195">SUM(AO333:AO353)</f>
        <v>390</v>
      </c>
      <c r="AP332" s="34">
        <f t="shared" si="195"/>
        <v>0</v>
      </c>
      <c r="AQ332" s="34">
        <f t="shared" si="195"/>
        <v>311</v>
      </c>
      <c r="AR332" s="34">
        <f t="shared" si="195"/>
        <v>1200</v>
      </c>
      <c r="AS332" s="34">
        <f t="shared" si="195"/>
        <v>0</v>
      </c>
      <c r="AT332" s="34">
        <f t="shared" si="195"/>
        <v>0</v>
      </c>
      <c r="AU332" s="34">
        <f t="shared" si="195"/>
        <v>0</v>
      </c>
      <c r="AV332" s="34">
        <f>SUM(AO332:AU332)</f>
        <v>1901</v>
      </c>
      <c r="AW332" s="34">
        <f t="shared" ref="AW332:BC332" si="196">SUM(AW333:AW353)</f>
        <v>200</v>
      </c>
      <c r="AX332" s="34">
        <f t="shared" si="196"/>
        <v>0</v>
      </c>
      <c r="AY332" s="34">
        <f t="shared" si="196"/>
        <v>316</v>
      </c>
      <c r="AZ332" s="34">
        <f t="shared" si="196"/>
        <v>200</v>
      </c>
      <c r="BA332" s="34">
        <f t="shared" si="196"/>
        <v>0</v>
      </c>
      <c r="BB332" s="34">
        <f t="shared" si="196"/>
        <v>0</v>
      </c>
      <c r="BC332" s="34">
        <f t="shared" si="196"/>
        <v>0</v>
      </c>
      <c r="BD332" s="34">
        <f>SUM(AW332:BC332)</f>
        <v>716</v>
      </c>
      <c r="BE332" s="34">
        <f t="shared" si="190"/>
        <v>1111.8</v>
      </c>
      <c r="BF332" s="34">
        <f t="shared" si="190"/>
        <v>0</v>
      </c>
      <c r="BG332" s="34">
        <f t="shared" si="190"/>
        <v>1357.6</v>
      </c>
      <c r="BH332" s="34">
        <f t="shared" si="190"/>
        <v>1500</v>
      </c>
      <c r="BI332" s="34">
        <f t="shared" si="190"/>
        <v>0</v>
      </c>
      <c r="BJ332" s="34">
        <f t="shared" si="167"/>
        <v>648</v>
      </c>
      <c r="BK332" s="34">
        <f t="shared" si="191"/>
        <v>2400</v>
      </c>
      <c r="BL332" s="34">
        <f t="shared" si="191"/>
        <v>7017.4</v>
      </c>
    </row>
    <row r="333" spans="1:64" ht="52.5" hidden="1" customHeight="1" x14ac:dyDescent="0.2">
      <c r="A333" s="298" t="s">
        <v>1002</v>
      </c>
      <c r="B333" s="299" t="s">
        <v>999</v>
      </c>
      <c r="C333" s="1546" t="s">
        <v>1003</v>
      </c>
      <c r="D333" s="1550" t="s">
        <v>1004</v>
      </c>
      <c r="E333" s="1550" t="s">
        <v>1005</v>
      </c>
      <c r="F333" s="1550">
        <v>2015</v>
      </c>
      <c r="G333" s="1550">
        <v>98</v>
      </c>
      <c r="H333" s="1550">
        <v>98</v>
      </c>
      <c r="I333" s="1425"/>
      <c r="J333" s="1425"/>
      <c r="K333" s="1425" t="s">
        <v>1006</v>
      </c>
      <c r="L333" s="301" t="s">
        <v>179</v>
      </c>
      <c r="M333" s="1425" t="s">
        <v>1007</v>
      </c>
      <c r="N333" s="1425" t="s">
        <v>1008</v>
      </c>
      <c r="O333" s="1425" t="s">
        <v>73</v>
      </c>
      <c r="P333" s="1425"/>
      <c r="Q333" s="16" t="s">
        <v>1009</v>
      </c>
      <c r="R333" s="302" t="s">
        <v>1010</v>
      </c>
      <c r="S333" s="303">
        <v>2015</v>
      </c>
      <c r="T333" s="303">
        <v>0</v>
      </c>
      <c r="U333" s="303">
        <v>0</v>
      </c>
      <c r="V333" s="572">
        <v>1</v>
      </c>
      <c r="W333" s="572">
        <v>1</v>
      </c>
      <c r="X333" s="572">
        <v>1</v>
      </c>
      <c r="Y333" s="572">
        <v>1</v>
      </c>
      <c r="Z333" s="481"/>
      <c r="AA333" s="481"/>
      <c r="AB333" s="481"/>
      <c r="AC333" s="481"/>
      <c r="AD333" s="481"/>
      <c r="AE333" s="481"/>
      <c r="AF333" s="481"/>
      <c r="AG333" s="481">
        <f t="shared" ref="AG333:AG353" si="197">SUBTOTAL(9,Z333:AF333)</f>
        <v>0</v>
      </c>
      <c r="AH333" s="491">
        <v>5</v>
      </c>
      <c r="AI333" s="548"/>
      <c r="AJ333" s="548"/>
      <c r="AK333" s="548"/>
      <c r="AL333" s="548"/>
      <c r="AM333" s="548"/>
      <c r="AN333" s="548">
        <f>SUM(AH333:AM333)</f>
        <v>5</v>
      </c>
      <c r="AO333" s="491">
        <v>10</v>
      </c>
      <c r="AP333" s="481"/>
      <c r="AQ333" s="481"/>
      <c r="AR333" s="481"/>
      <c r="AS333" s="481"/>
      <c r="AT333" s="481"/>
      <c r="AU333" s="481"/>
      <c r="AV333" s="481">
        <f>SUM(AO333:AU333)</f>
        <v>10</v>
      </c>
      <c r="AW333" s="491">
        <v>10</v>
      </c>
      <c r="AX333" s="548"/>
      <c r="AY333" s="548"/>
      <c r="AZ333" s="548"/>
      <c r="BA333" s="548"/>
      <c r="BB333" s="548"/>
      <c r="BC333" s="548"/>
      <c r="BD333" s="548">
        <f>SUM(AW333:BC333)</f>
        <v>10</v>
      </c>
      <c r="BE333" s="42">
        <f t="shared" si="190"/>
        <v>25</v>
      </c>
      <c r="BF333" s="42">
        <f t="shared" si="190"/>
        <v>0</v>
      </c>
      <c r="BG333" s="42">
        <f t="shared" si="190"/>
        <v>0</v>
      </c>
      <c r="BH333" s="42">
        <f t="shared" si="190"/>
        <v>0</v>
      </c>
      <c r="BI333" s="42">
        <f t="shared" si="190"/>
        <v>0</v>
      </c>
      <c r="BJ333" s="42">
        <f t="shared" si="167"/>
        <v>0</v>
      </c>
      <c r="BK333" s="42">
        <f t="shared" si="191"/>
        <v>0</v>
      </c>
      <c r="BL333" s="42">
        <f t="shared" si="191"/>
        <v>25</v>
      </c>
    </row>
    <row r="334" spans="1:64" ht="49.5" hidden="1" customHeight="1" x14ac:dyDescent="0.2">
      <c r="A334" s="298" t="s">
        <v>1002</v>
      </c>
      <c r="B334" s="299" t="s">
        <v>999</v>
      </c>
      <c r="C334" s="1547"/>
      <c r="D334" s="1551"/>
      <c r="E334" s="1551"/>
      <c r="F334" s="1551"/>
      <c r="G334" s="1551"/>
      <c r="H334" s="1551"/>
      <c r="I334" s="1425"/>
      <c r="J334" s="1425"/>
      <c r="K334" s="1425" t="s">
        <v>1011</v>
      </c>
      <c r="L334" s="301" t="s">
        <v>179</v>
      </c>
      <c r="M334" s="1425" t="s">
        <v>1007</v>
      </c>
      <c r="N334" s="1425" t="s">
        <v>1008</v>
      </c>
      <c r="O334" s="1425" t="s">
        <v>47</v>
      </c>
      <c r="P334" s="1425"/>
      <c r="Q334" s="16" t="s">
        <v>1012</v>
      </c>
      <c r="R334" s="302" t="s">
        <v>1013</v>
      </c>
      <c r="S334" s="303">
        <v>2015</v>
      </c>
      <c r="T334" s="303">
        <v>0</v>
      </c>
      <c r="U334" s="303">
        <v>1</v>
      </c>
      <c r="V334" s="572">
        <v>2</v>
      </c>
      <c r="W334" s="572">
        <v>3</v>
      </c>
      <c r="X334" s="572">
        <v>3</v>
      </c>
      <c r="Y334" s="572">
        <v>4</v>
      </c>
      <c r="Z334" s="491">
        <v>10</v>
      </c>
      <c r="AA334" s="481"/>
      <c r="AB334" s="584"/>
      <c r="AC334" s="481"/>
      <c r="AD334" s="481"/>
      <c r="AE334" s="481"/>
      <c r="AF334" s="481"/>
      <c r="AG334" s="481">
        <f t="shared" si="197"/>
        <v>10</v>
      </c>
      <c r="AH334" s="491">
        <v>10</v>
      </c>
      <c r="AI334" s="548"/>
      <c r="AJ334" s="548"/>
      <c r="AK334" s="548"/>
      <c r="AL334" s="548"/>
      <c r="AM334" s="548"/>
      <c r="AN334" s="548">
        <f t="shared" ref="AN334:AN353" si="198">SUM(AH334:AM334)</f>
        <v>10</v>
      </c>
      <c r="AO334" s="491">
        <v>10</v>
      </c>
      <c r="AP334" s="481"/>
      <c r="AQ334" s="481"/>
      <c r="AR334" s="481"/>
      <c r="AS334" s="481"/>
      <c r="AT334" s="481"/>
      <c r="AU334" s="481"/>
      <c r="AV334" s="481">
        <f t="shared" ref="AV334:AV353" si="199">SUM(AO334:AU334)</f>
        <v>10</v>
      </c>
      <c r="AW334" s="491">
        <v>15</v>
      </c>
      <c r="AX334" s="548"/>
      <c r="AY334" s="548"/>
      <c r="AZ334" s="548"/>
      <c r="BA334" s="548"/>
      <c r="BB334" s="548"/>
      <c r="BC334" s="548"/>
      <c r="BD334" s="548">
        <f>SUM(AW334:BC334)</f>
        <v>15</v>
      </c>
      <c r="BE334" s="42">
        <f t="shared" si="190"/>
        <v>45</v>
      </c>
      <c r="BF334" s="42">
        <f t="shared" si="190"/>
        <v>0</v>
      </c>
      <c r="BG334" s="42">
        <f t="shared" si="190"/>
        <v>0</v>
      </c>
      <c r="BH334" s="42">
        <f t="shared" si="190"/>
        <v>0</v>
      </c>
      <c r="BI334" s="42">
        <f t="shared" si="190"/>
        <v>0</v>
      </c>
      <c r="BJ334" s="42">
        <f t="shared" si="167"/>
        <v>0</v>
      </c>
      <c r="BK334" s="42">
        <f t="shared" si="191"/>
        <v>0</v>
      </c>
      <c r="BL334" s="42">
        <f t="shared" si="191"/>
        <v>45</v>
      </c>
    </row>
    <row r="335" spans="1:64" ht="57.75" hidden="1" customHeight="1" x14ac:dyDescent="0.2">
      <c r="A335" s="298" t="s">
        <v>1002</v>
      </c>
      <c r="B335" s="299" t="s">
        <v>999</v>
      </c>
      <c r="C335" s="1547"/>
      <c r="D335" s="1551"/>
      <c r="E335" s="1551"/>
      <c r="F335" s="1551"/>
      <c r="G335" s="1551"/>
      <c r="H335" s="1551"/>
      <c r="I335" s="1425"/>
      <c r="J335" s="1425"/>
      <c r="K335" s="1425" t="s">
        <v>1014</v>
      </c>
      <c r="L335" s="301" t="s">
        <v>179</v>
      </c>
      <c r="M335" s="1425" t="s">
        <v>1007</v>
      </c>
      <c r="N335" s="1425" t="s">
        <v>1008</v>
      </c>
      <c r="O335" s="1425" t="s">
        <v>47</v>
      </c>
      <c r="P335" s="1425"/>
      <c r="Q335" s="16" t="s">
        <v>1015</v>
      </c>
      <c r="R335" s="302" t="s">
        <v>1016</v>
      </c>
      <c r="S335" s="303">
        <v>2015</v>
      </c>
      <c r="T335" s="303">
        <v>0</v>
      </c>
      <c r="U335" s="303">
        <v>0</v>
      </c>
      <c r="V335" s="572">
        <v>1</v>
      </c>
      <c r="W335" s="572">
        <v>0</v>
      </c>
      <c r="X335" s="572">
        <v>0</v>
      </c>
      <c r="Y335" s="572">
        <v>1</v>
      </c>
      <c r="Z335" s="481"/>
      <c r="AA335" s="481"/>
      <c r="AB335" s="584"/>
      <c r="AC335" s="481"/>
      <c r="AD335" s="481"/>
      <c r="AE335" s="481"/>
      <c r="AF335" s="481"/>
      <c r="AG335" s="481">
        <f t="shared" si="197"/>
        <v>0</v>
      </c>
      <c r="AH335" s="491">
        <v>5</v>
      </c>
      <c r="AI335" s="548"/>
      <c r="AJ335" s="548"/>
      <c r="AK335" s="591"/>
      <c r="AL335" s="548"/>
      <c r="AM335" s="548"/>
      <c r="AN335" s="548">
        <f t="shared" si="198"/>
        <v>5</v>
      </c>
      <c r="AO335" s="481"/>
      <c r="AP335" s="481"/>
      <c r="AQ335" s="481"/>
      <c r="AR335" s="481"/>
      <c r="AS335" s="481"/>
      <c r="AT335" s="481"/>
      <c r="AU335" s="481"/>
      <c r="AV335" s="481">
        <f t="shared" si="199"/>
        <v>0</v>
      </c>
      <c r="AW335" s="548"/>
      <c r="AX335" s="548"/>
      <c r="AY335" s="548"/>
      <c r="AZ335" s="548"/>
      <c r="BA335" s="548"/>
      <c r="BB335" s="548"/>
      <c r="BC335" s="548"/>
      <c r="BD335" s="548">
        <f t="shared" ref="BD335:BD353" si="200">SUM(AW335:BC335)</f>
        <v>0</v>
      </c>
      <c r="BE335" s="42"/>
      <c r="BF335" s="42"/>
      <c r="BG335" s="42"/>
      <c r="BH335" s="42"/>
      <c r="BI335" s="42"/>
      <c r="BJ335" s="42">
        <f t="shared" si="167"/>
        <v>0</v>
      </c>
      <c r="BK335" s="42"/>
      <c r="BL335" s="42"/>
    </row>
    <row r="336" spans="1:64" ht="41.25" hidden="1" customHeight="1" x14ac:dyDescent="0.2">
      <c r="A336" s="298" t="s">
        <v>1002</v>
      </c>
      <c r="B336" s="299" t="s">
        <v>999</v>
      </c>
      <c r="C336" s="1547"/>
      <c r="D336" s="1551"/>
      <c r="E336" s="1551"/>
      <c r="F336" s="1551"/>
      <c r="G336" s="1551"/>
      <c r="H336" s="1551"/>
      <c r="I336" s="1425" t="s">
        <v>53</v>
      </c>
      <c r="J336" s="1425"/>
      <c r="K336" s="1425" t="s">
        <v>1017</v>
      </c>
      <c r="L336" s="301" t="s">
        <v>179</v>
      </c>
      <c r="M336" s="1425" t="s">
        <v>1007</v>
      </c>
      <c r="N336" s="1425" t="s">
        <v>1008</v>
      </c>
      <c r="O336" s="1425" t="s">
        <v>73</v>
      </c>
      <c r="P336" s="1425"/>
      <c r="Q336" s="16" t="s">
        <v>1018</v>
      </c>
      <c r="R336" s="302" t="s">
        <v>835</v>
      </c>
      <c r="S336" s="303">
        <v>2015</v>
      </c>
      <c r="T336" s="303">
        <v>0</v>
      </c>
      <c r="U336" s="303">
        <v>1</v>
      </c>
      <c r="V336" s="572">
        <v>1</v>
      </c>
      <c r="W336" s="572">
        <v>1</v>
      </c>
      <c r="X336" s="572">
        <v>1</v>
      </c>
      <c r="Y336" s="572">
        <v>1</v>
      </c>
      <c r="Z336" s="491">
        <v>20</v>
      </c>
      <c r="AA336" s="481"/>
      <c r="AB336" s="584"/>
      <c r="AC336" s="481"/>
      <c r="AD336" s="481"/>
      <c r="AE336" s="481"/>
      <c r="AF336" s="481"/>
      <c r="AG336" s="481">
        <f t="shared" si="197"/>
        <v>20</v>
      </c>
      <c r="AH336" s="491">
        <v>5</v>
      </c>
      <c r="AI336" s="548"/>
      <c r="AJ336" s="548"/>
      <c r="AK336" s="588"/>
      <c r="AL336" s="548"/>
      <c r="AM336" s="548"/>
      <c r="AN336" s="548">
        <f t="shared" si="198"/>
        <v>5</v>
      </c>
      <c r="AO336" s="491">
        <v>20</v>
      </c>
      <c r="AP336" s="481"/>
      <c r="AQ336" s="481"/>
      <c r="AR336" s="481"/>
      <c r="AS336" s="481"/>
      <c r="AT336" s="481"/>
      <c r="AU336" s="481"/>
      <c r="AV336" s="481">
        <f t="shared" si="199"/>
        <v>20</v>
      </c>
      <c r="AW336" s="491">
        <v>15</v>
      </c>
      <c r="AX336" s="548"/>
      <c r="AY336" s="548"/>
      <c r="AZ336" s="491"/>
      <c r="BA336" s="548"/>
      <c r="BB336" s="548"/>
      <c r="BC336" s="548"/>
      <c r="BD336" s="548">
        <f t="shared" si="200"/>
        <v>15</v>
      </c>
      <c r="BE336" s="42">
        <f t="shared" si="190"/>
        <v>60</v>
      </c>
      <c r="BF336" s="42">
        <f t="shared" si="190"/>
        <v>0</v>
      </c>
      <c r="BG336" s="42">
        <f t="shared" si="190"/>
        <v>0</v>
      </c>
      <c r="BH336" s="42">
        <f t="shared" si="190"/>
        <v>0</v>
      </c>
      <c r="BI336" s="42">
        <f t="shared" si="190"/>
        <v>0</v>
      </c>
      <c r="BJ336" s="42">
        <f t="shared" si="167"/>
        <v>0</v>
      </c>
      <c r="BK336" s="42">
        <f t="shared" si="191"/>
        <v>0</v>
      </c>
      <c r="BL336" s="42">
        <f t="shared" si="191"/>
        <v>60</v>
      </c>
    </row>
    <row r="337" spans="1:64" ht="53.25" hidden="1" customHeight="1" x14ac:dyDescent="0.2">
      <c r="A337" s="298" t="s">
        <v>1002</v>
      </c>
      <c r="B337" s="299" t="s">
        <v>999</v>
      </c>
      <c r="C337" s="1547"/>
      <c r="D337" s="1551"/>
      <c r="E337" s="1551"/>
      <c r="F337" s="1551"/>
      <c r="G337" s="1551"/>
      <c r="H337" s="1551"/>
      <c r="I337" s="1425"/>
      <c r="J337" s="1425"/>
      <c r="K337" s="1425" t="s">
        <v>1019</v>
      </c>
      <c r="L337" s="301" t="s">
        <v>179</v>
      </c>
      <c r="M337" s="1425" t="s">
        <v>1007</v>
      </c>
      <c r="N337" s="1425" t="s">
        <v>1008</v>
      </c>
      <c r="O337" s="1425" t="s">
        <v>73</v>
      </c>
      <c r="P337" s="1425"/>
      <c r="Q337" s="16" t="s">
        <v>1020</v>
      </c>
      <c r="R337" s="302" t="s">
        <v>1021</v>
      </c>
      <c r="S337" s="303">
        <v>2015</v>
      </c>
      <c r="T337" s="303">
        <v>0</v>
      </c>
      <c r="U337" s="303">
        <v>3</v>
      </c>
      <c r="V337" s="572">
        <v>3</v>
      </c>
      <c r="W337" s="572">
        <v>3</v>
      </c>
      <c r="X337" s="572">
        <v>3</v>
      </c>
      <c r="Y337" s="572">
        <v>3</v>
      </c>
      <c r="Z337" s="491">
        <v>10</v>
      </c>
      <c r="AA337" s="481"/>
      <c r="AB337" s="481"/>
      <c r="AC337" s="481"/>
      <c r="AD337" s="481"/>
      <c r="AE337" s="481"/>
      <c r="AF337" s="481"/>
      <c r="AG337" s="481">
        <f t="shared" si="197"/>
        <v>10</v>
      </c>
      <c r="AH337" s="491">
        <v>5</v>
      </c>
      <c r="AI337" s="548"/>
      <c r="AJ337" s="548"/>
      <c r="AK337" s="548"/>
      <c r="AL337" s="548"/>
      <c r="AM337" s="548"/>
      <c r="AN337" s="548">
        <f t="shared" si="198"/>
        <v>5</v>
      </c>
      <c r="AO337" s="491">
        <v>10</v>
      </c>
      <c r="AP337" s="481"/>
      <c r="AQ337" s="481"/>
      <c r="AR337" s="481"/>
      <c r="AS337" s="481"/>
      <c r="AT337" s="481"/>
      <c r="AU337" s="481"/>
      <c r="AV337" s="481">
        <f t="shared" si="199"/>
        <v>10</v>
      </c>
      <c r="AW337" s="491">
        <v>5</v>
      </c>
      <c r="AX337" s="548"/>
      <c r="AY337" s="548"/>
      <c r="AZ337" s="548"/>
      <c r="BA337" s="548"/>
      <c r="BB337" s="548"/>
      <c r="BC337" s="548"/>
      <c r="BD337" s="548">
        <f t="shared" si="200"/>
        <v>5</v>
      </c>
      <c r="BE337" s="42">
        <f t="shared" si="190"/>
        <v>30</v>
      </c>
      <c r="BF337" s="42">
        <f t="shared" si="190"/>
        <v>0</v>
      </c>
      <c r="BG337" s="42">
        <f t="shared" si="190"/>
        <v>0</v>
      </c>
      <c r="BH337" s="42">
        <f t="shared" si="190"/>
        <v>0</v>
      </c>
      <c r="BI337" s="42">
        <f t="shared" si="190"/>
        <v>0</v>
      </c>
      <c r="BJ337" s="42">
        <f t="shared" si="167"/>
        <v>0</v>
      </c>
      <c r="BK337" s="42">
        <f t="shared" si="191"/>
        <v>0</v>
      </c>
      <c r="BL337" s="42">
        <f t="shared" si="191"/>
        <v>30</v>
      </c>
    </row>
    <row r="338" spans="1:64" ht="66" hidden="1" customHeight="1" x14ac:dyDescent="0.2">
      <c r="A338" s="298" t="s">
        <v>1002</v>
      </c>
      <c r="B338" s="299" t="s">
        <v>999</v>
      </c>
      <c r="C338" s="1547"/>
      <c r="D338" s="1551"/>
      <c r="E338" s="1551"/>
      <c r="F338" s="1551"/>
      <c r="G338" s="1551"/>
      <c r="H338" s="1551"/>
      <c r="I338" s="1425"/>
      <c r="J338" s="1425"/>
      <c r="K338" s="1425" t="s">
        <v>1022</v>
      </c>
      <c r="L338" s="301" t="s">
        <v>179</v>
      </c>
      <c r="M338" s="1425" t="s">
        <v>1007</v>
      </c>
      <c r="N338" s="1425" t="s">
        <v>1008</v>
      </c>
      <c r="O338" s="1425" t="s">
        <v>73</v>
      </c>
      <c r="P338" s="1425"/>
      <c r="Q338" s="16" t="s">
        <v>1023</v>
      </c>
      <c r="R338" s="302" t="s">
        <v>1024</v>
      </c>
      <c r="S338" s="303">
        <v>2015</v>
      </c>
      <c r="T338" s="303">
        <v>0</v>
      </c>
      <c r="U338" s="303">
        <v>1</v>
      </c>
      <c r="V338" s="572">
        <v>1</v>
      </c>
      <c r="W338" s="572">
        <v>1</v>
      </c>
      <c r="X338" s="572">
        <v>1</v>
      </c>
      <c r="Y338" s="572">
        <v>1</v>
      </c>
      <c r="Z338" s="491">
        <v>20</v>
      </c>
      <c r="AA338" s="481"/>
      <c r="AB338" s="481"/>
      <c r="AC338" s="481"/>
      <c r="AD338" s="481"/>
      <c r="AE338" s="481"/>
      <c r="AF338" s="481"/>
      <c r="AG338" s="481">
        <f t="shared" si="197"/>
        <v>20</v>
      </c>
      <c r="AH338" s="491">
        <v>10</v>
      </c>
      <c r="AI338" s="548"/>
      <c r="AJ338" s="548"/>
      <c r="AK338" s="548"/>
      <c r="AL338" s="548"/>
      <c r="AM338" s="548"/>
      <c r="AN338" s="548">
        <f t="shared" si="198"/>
        <v>10</v>
      </c>
      <c r="AO338" s="491">
        <v>20</v>
      </c>
      <c r="AP338" s="481"/>
      <c r="AQ338" s="481"/>
      <c r="AR338" s="481"/>
      <c r="AS338" s="481"/>
      <c r="AT338" s="481"/>
      <c r="AU338" s="481"/>
      <c r="AV338" s="481">
        <f t="shared" si="199"/>
        <v>20</v>
      </c>
      <c r="AW338" s="491">
        <v>15</v>
      </c>
      <c r="AX338" s="548"/>
      <c r="AY338" s="548"/>
      <c r="AZ338" s="548"/>
      <c r="BA338" s="548"/>
      <c r="BB338" s="548"/>
      <c r="BC338" s="548"/>
      <c r="BD338" s="548">
        <f t="shared" si="200"/>
        <v>15</v>
      </c>
      <c r="BE338" s="42">
        <f t="shared" si="190"/>
        <v>65</v>
      </c>
      <c r="BF338" s="42">
        <f t="shared" si="190"/>
        <v>0</v>
      </c>
      <c r="BG338" s="42">
        <f t="shared" si="190"/>
        <v>0</v>
      </c>
      <c r="BH338" s="42">
        <f t="shared" si="190"/>
        <v>0</v>
      </c>
      <c r="BI338" s="42">
        <f t="shared" si="190"/>
        <v>0</v>
      </c>
      <c r="BJ338" s="42">
        <f t="shared" si="167"/>
        <v>0</v>
      </c>
      <c r="BK338" s="42">
        <f t="shared" si="191"/>
        <v>0</v>
      </c>
      <c r="BL338" s="42">
        <f t="shared" si="191"/>
        <v>65</v>
      </c>
    </row>
    <row r="339" spans="1:64" ht="67.5" hidden="1" customHeight="1" x14ac:dyDescent="0.2">
      <c r="A339" s="298" t="s">
        <v>1002</v>
      </c>
      <c r="B339" s="299" t="s">
        <v>999</v>
      </c>
      <c r="C339" s="1547"/>
      <c r="D339" s="1551"/>
      <c r="E339" s="1551"/>
      <c r="F339" s="1551"/>
      <c r="G339" s="1551"/>
      <c r="H339" s="1551"/>
      <c r="I339" s="1425"/>
      <c r="J339" s="1425"/>
      <c r="K339" s="1425" t="s">
        <v>1025</v>
      </c>
      <c r="L339" s="301" t="s">
        <v>179</v>
      </c>
      <c r="M339" s="1425" t="s">
        <v>1007</v>
      </c>
      <c r="N339" s="1425" t="s">
        <v>1008</v>
      </c>
      <c r="O339" s="1425" t="s">
        <v>47</v>
      </c>
      <c r="P339" s="1425"/>
      <c r="Q339" s="71" t="s">
        <v>1026</v>
      </c>
      <c r="R339" s="302" t="s">
        <v>1027</v>
      </c>
      <c r="S339" s="303">
        <v>2015</v>
      </c>
      <c r="T339" s="303">
        <v>0</v>
      </c>
      <c r="U339" s="303">
        <v>1</v>
      </c>
      <c r="V339" s="572">
        <v>0</v>
      </c>
      <c r="W339" s="572">
        <v>0</v>
      </c>
      <c r="X339" s="572">
        <v>0</v>
      </c>
      <c r="Y339" s="572">
        <v>1</v>
      </c>
      <c r="Z339" s="491">
        <v>70</v>
      </c>
      <c r="AA339" s="481"/>
      <c r="AB339" s="481"/>
      <c r="AC339" s="481"/>
      <c r="AD339" s="481"/>
      <c r="AE339" s="481"/>
      <c r="AF339" s="481"/>
      <c r="AG339" s="481">
        <f t="shared" si="197"/>
        <v>70</v>
      </c>
      <c r="AH339" s="491"/>
      <c r="AI339" s="548"/>
      <c r="AJ339" s="548"/>
      <c r="AK339" s="548"/>
      <c r="AL339" s="548"/>
      <c r="AM339" s="548"/>
      <c r="AN339" s="548">
        <f t="shared" si="198"/>
        <v>0</v>
      </c>
      <c r="AO339" s="481"/>
      <c r="AP339" s="481"/>
      <c r="AQ339" s="481"/>
      <c r="AR339" s="481"/>
      <c r="AS339" s="481"/>
      <c r="AT339" s="481"/>
      <c r="AU339" s="481"/>
      <c r="AV339" s="481">
        <f t="shared" si="199"/>
        <v>0</v>
      </c>
      <c r="AW339" s="548"/>
      <c r="AX339" s="548"/>
      <c r="AY339" s="548"/>
      <c r="AZ339" s="548"/>
      <c r="BA339" s="548"/>
      <c r="BB339" s="548"/>
      <c r="BC339" s="548"/>
      <c r="BD339" s="548">
        <f t="shared" si="200"/>
        <v>0</v>
      </c>
      <c r="BE339" s="42">
        <f t="shared" si="190"/>
        <v>70</v>
      </c>
      <c r="BF339" s="42">
        <f t="shared" si="190"/>
        <v>0</v>
      </c>
      <c r="BG339" s="42">
        <f t="shared" si="190"/>
        <v>0</v>
      </c>
      <c r="BH339" s="42">
        <f t="shared" si="190"/>
        <v>0</v>
      </c>
      <c r="BI339" s="42">
        <f t="shared" si="190"/>
        <v>0</v>
      </c>
      <c r="BJ339" s="42">
        <f t="shared" ref="BJ339:BJ403" si="201">+AE339+AT339+BB339</f>
        <v>0</v>
      </c>
      <c r="BK339" s="42">
        <f t="shared" si="191"/>
        <v>0</v>
      </c>
      <c r="BL339" s="42">
        <f t="shared" si="191"/>
        <v>70</v>
      </c>
    </row>
    <row r="340" spans="1:64" ht="78" hidden="1" customHeight="1" x14ac:dyDescent="0.2">
      <c r="A340" s="298" t="s">
        <v>1002</v>
      </c>
      <c r="B340" s="299" t="s">
        <v>999</v>
      </c>
      <c r="C340" s="1547"/>
      <c r="D340" s="1551"/>
      <c r="E340" s="1551"/>
      <c r="F340" s="1551"/>
      <c r="G340" s="1551"/>
      <c r="H340" s="1551"/>
      <c r="I340" s="1425"/>
      <c r="J340" s="1425"/>
      <c r="K340" s="1425" t="s">
        <v>1028</v>
      </c>
      <c r="L340" s="301" t="s">
        <v>179</v>
      </c>
      <c r="M340" s="1425" t="s">
        <v>1007</v>
      </c>
      <c r="N340" s="1425" t="s">
        <v>1008</v>
      </c>
      <c r="O340" s="1425" t="s">
        <v>47</v>
      </c>
      <c r="P340" s="1425"/>
      <c r="Q340" s="16" t="s">
        <v>1029</v>
      </c>
      <c r="R340" s="302" t="s">
        <v>1030</v>
      </c>
      <c r="S340" s="303">
        <v>2015</v>
      </c>
      <c r="T340" s="303">
        <v>0</v>
      </c>
      <c r="U340" s="303">
        <v>0</v>
      </c>
      <c r="V340" s="572">
        <v>1</v>
      </c>
      <c r="W340" s="572">
        <v>0</v>
      </c>
      <c r="X340" s="498">
        <v>1</v>
      </c>
      <c r="Y340" s="572">
        <v>2</v>
      </c>
      <c r="Z340" s="481"/>
      <c r="AA340" s="481"/>
      <c r="AB340" s="481"/>
      <c r="AC340" s="481"/>
      <c r="AD340" s="481"/>
      <c r="AE340" s="481"/>
      <c r="AF340" s="481"/>
      <c r="AG340" s="481">
        <f t="shared" si="197"/>
        <v>0</v>
      </c>
      <c r="AH340" s="491">
        <v>10</v>
      </c>
      <c r="AI340" s="548"/>
      <c r="AJ340" s="548"/>
      <c r="AK340" s="548"/>
      <c r="AL340" s="548"/>
      <c r="AM340" s="548"/>
      <c r="AN340" s="548">
        <f t="shared" si="198"/>
        <v>10</v>
      </c>
      <c r="AO340" s="481"/>
      <c r="AP340" s="481"/>
      <c r="AQ340" s="481"/>
      <c r="AR340" s="481"/>
      <c r="AS340" s="481"/>
      <c r="AT340" s="481"/>
      <c r="AU340" s="481"/>
      <c r="AV340" s="481">
        <f t="shared" si="199"/>
        <v>0</v>
      </c>
      <c r="AW340" s="491">
        <v>50</v>
      </c>
      <c r="AX340" s="548"/>
      <c r="AY340" s="548"/>
      <c r="AZ340" s="548"/>
      <c r="BA340" s="548"/>
      <c r="BB340" s="548"/>
      <c r="BC340" s="548"/>
      <c r="BD340" s="548">
        <f t="shared" si="200"/>
        <v>50</v>
      </c>
      <c r="BE340" s="42">
        <f t="shared" si="190"/>
        <v>60</v>
      </c>
      <c r="BF340" s="42">
        <f t="shared" si="190"/>
        <v>0</v>
      </c>
      <c r="BG340" s="42">
        <f t="shared" si="190"/>
        <v>0</v>
      </c>
      <c r="BH340" s="42">
        <f t="shared" si="190"/>
        <v>0</v>
      </c>
      <c r="BI340" s="42">
        <f t="shared" si="190"/>
        <v>0</v>
      </c>
      <c r="BJ340" s="42">
        <f t="shared" si="201"/>
        <v>0</v>
      </c>
      <c r="BK340" s="42">
        <f t="shared" si="191"/>
        <v>0</v>
      </c>
      <c r="BL340" s="42">
        <f t="shared" si="191"/>
        <v>60</v>
      </c>
    </row>
    <row r="341" spans="1:64" ht="76.5" hidden="1" customHeight="1" x14ac:dyDescent="0.2">
      <c r="A341" s="298" t="s">
        <v>1002</v>
      </c>
      <c r="B341" s="299" t="s">
        <v>999</v>
      </c>
      <c r="C341" s="1547"/>
      <c r="D341" s="1551"/>
      <c r="E341" s="1551"/>
      <c r="F341" s="1551"/>
      <c r="G341" s="1551"/>
      <c r="H341" s="1551"/>
      <c r="I341" s="1425"/>
      <c r="J341" s="1425"/>
      <c r="K341" s="1425" t="s">
        <v>1031</v>
      </c>
      <c r="L341" s="301" t="s">
        <v>179</v>
      </c>
      <c r="M341" s="1425" t="s">
        <v>1007</v>
      </c>
      <c r="N341" s="1425" t="s">
        <v>1008</v>
      </c>
      <c r="O341" s="1425" t="s">
        <v>47</v>
      </c>
      <c r="P341" s="1425"/>
      <c r="Q341" s="16" t="s">
        <v>1032</v>
      </c>
      <c r="R341" s="302" t="s">
        <v>1033</v>
      </c>
      <c r="S341" s="303">
        <v>2015</v>
      </c>
      <c r="T341" s="303">
        <v>0</v>
      </c>
      <c r="U341" s="303">
        <v>100</v>
      </c>
      <c r="V341" s="572">
        <v>200</v>
      </c>
      <c r="W341" s="572">
        <v>200</v>
      </c>
      <c r="X341" s="572">
        <v>200</v>
      </c>
      <c r="Y341" s="66">
        <v>700</v>
      </c>
      <c r="Z341" s="491">
        <v>20</v>
      </c>
      <c r="AA341" s="481"/>
      <c r="AB341" s="481"/>
      <c r="AC341" s="481"/>
      <c r="AD341" s="481"/>
      <c r="AE341" s="481"/>
      <c r="AF341" s="481"/>
      <c r="AG341" s="481">
        <f t="shared" si="197"/>
        <v>20</v>
      </c>
      <c r="AH341" s="491">
        <v>10</v>
      </c>
      <c r="AI341" s="548"/>
      <c r="AJ341" s="548"/>
      <c r="AK341" s="548"/>
      <c r="AL341" s="548"/>
      <c r="AM341" s="548"/>
      <c r="AN341" s="548">
        <f t="shared" si="198"/>
        <v>10</v>
      </c>
      <c r="AO341" s="491">
        <v>50</v>
      </c>
      <c r="AP341" s="481"/>
      <c r="AQ341" s="481"/>
      <c r="AR341" s="481"/>
      <c r="AS341" s="481"/>
      <c r="AT341" s="481"/>
      <c r="AU341" s="481"/>
      <c r="AV341" s="481">
        <f t="shared" si="199"/>
        <v>50</v>
      </c>
      <c r="AW341" s="491">
        <v>20</v>
      </c>
      <c r="AX341" s="548"/>
      <c r="AY341" s="548"/>
      <c r="AZ341" s="548"/>
      <c r="BA341" s="548"/>
      <c r="BB341" s="548"/>
      <c r="BC341" s="548"/>
      <c r="BD341" s="548">
        <f t="shared" si="200"/>
        <v>20</v>
      </c>
      <c r="BE341" s="42">
        <f t="shared" si="190"/>
        <v>100</v>
      </c>
      <c r="BF341" s="42">
        <f t="shared" si="190"/>
        <v>0</v>
      </c>
      <c r="BG341" s="42">
        <f t="shared" si="190"/>
        <v>0</v>
      </c>
      <c r="BH341" s="42">
        <f t="shared" si="190"/>
        <v>0</v>
      </c>
      <c r="BI341" s="42">
        <f t="shared" si="190"/>
        <v>0</v>
      </c>
      <c r="BJ341" s="42">
        <f t="shared" si="201"/>
        <v>0</v>
      </c>
      <c r="BK341" s="42">
        <f t="shared" si="191"/>
        <v>0</v>
      </c>
      <c r="BL341" s="42">
        <f t="shared" si="191"/>
        <v>100</v>
      </c>
    </row>
    <row r="342" spans="1:64" ht="72" hidden="1" customHeight="1" x14ac:dyDescent="0.2">
      <c r="A342" s="298" t="s">
        <v>1002</v>
      </c>
      <c r="B342" s="299" t="s">
        <v>999</v>
      </c>
      <c r="C342" s="1547"/>
      <c r="D342" s="1551"/>
      <c r="E342" s="1551"/>
      <c r="F342" s="1551"/>
      <c r="G342" s="1551"/>
      <c r="H342" s="1551"/>
      <c r="I342" s="1425"/>
      <c r="J342" s="1425"/>
      <c r="K342" s="1425" t="s">
        <v>1034</v>
      </c>
      <c r="L342" s="301" t="s">
        <v>179</v>
      </c>
      <c r="M342" s="1425" t="s">
        <v>1007</v>
      </c>
      <c r="N342" s="1425" t="s">
        <v>1008</v>
      </c>
      <c r="O342" s="1425" t="s">
        <v>73</v>
      </c>
      <c r="P342" s="1425"/>
      <c r="Q342" s="16" t="s">
        <v>1035</v>
      </c>
      <c r="R342" s="302" t="s">
        <v>1036</v>
      </c>
      <c r="S342" s="303">
        <v>2015</v>
      </c>
      <c r="T342" s="303">
        <v>0</v>
      </c>
      <c r="U342" s="303">
        <v>17</v>
      </c>
      <c r="V342" s="572">
        <v>17</v>
      </c>
      <c r="W342" s="572">
        <v>17</v>
      </c>
      <c r="X342" s="572">
        <v>17</v>
      </c>
      <c r="Y342" s="572">
        <v>17</v>
      </c>
      <c r="Z342" s="491">
        <v>100</v>
      </c>
      <c r="AA342" s="481"/>
      <c r="AB342" s="481"/>
      <c r="AC342" s="481"/>
      <c r="AD342" s="481"/>
      <c r="AE342" s="481"/>
      <c r="AF342" s="481"/>
      <c r="AG342" s="481">
        <f t="shared" si="197"/>
        <v>100</v>
      </c>
      <c r="AH342" s="491">
        <v>30</v>
      </c>
      <c r="AI342" s="548"/>
      <c r="AJ342" s="548"/>
      <c r="AK342" s="548"/>
      <c r="AL342" s="548"/>
      <c r="AM342" s="548"/>
      <c r="AN342" s="548">
        <f t="shared" si="198"/>
        <v>30</v>
      </c>
      <c r="AO342" s="491">
        <v>130</v>
      </c>
      <c r="AP342" s="481"/>
      <c r="AQ342" s="481"/>
      <c r="AR342" s="481"/>
      <c r="AS342" s="481"/>
      <c r="AT342" s="481"/>
      <c r="AU342" s="481"/>
      <c r="AV342" s="481">
        <f t="shared" si="199"/>
        <v>130</v>
      </c>
      <c r="AW342" s="491">
        <v>60</v>
      </c>
      <c r="AX342" s="548"/>
      <c r="AY342" s="548"/>
      <c r="AZ342" s="548"/>
      <c r="BA342" s="548"/>
      <c r="BB342" s="548"/>
      <c r="BC342" s="548"/>
      <c r="BD342" s="548">
        <f t="shared" si="200"/>
        <v>60</v>
      </c>
      <c r="BE342" s="42">
        <f t="shared" si="190"/>
        <v>320</v>
      </c>
      <c r="BF342" s="42">
        <f t="shared" si="190"/>
        <v>0</v>
      </c>
      <c r="BG342" s="42">
        <f t="shared" si="190"/>
        <v>0</v>
      </c>
      <c r="BH342" s="42">
        <f t="shared" si="190"/>
        <v>0</v>
      </c>
      <c r="BI342" s="42">
        <f t="shared" si="190"/>
        <v>0</v>
      </c>
      <c r="BJ342" s="42">
        <f t="shared" si="201"/>
        <v>0</v>
      </c>
      <c r="BK342" s="42">
        <f t="shared" si="191"/>
        <v>0</v>
      </c>
      <c r="BL342" s="42">
        <f t="shared" si="191"/>
        <v>320</v>
      </c>
    </row>
    <row r="343" spans="1:64" ht="40.5" hidden="1" customHeight="1" x14ac:dyDescent="0.2">
      <c r="A343" s="298" t="s">
        <v>1002</v>
      </c>
      <c r="B343" s="299" t="s">
        <v>999</v>
      </c>
      <c r="C343" s="1547"/>
      <c r="D343" s="1551"/>
      <c r="E343" s="1551"/>
      <c r="F343" s="1551"/>
      <c r="G343" s="1551"/>
      <c r="H343" s="1551"/>
      <c r="I343" s="1425"/>
      <c r="J343" s="1425"/>
      <c r="K343" s="1425" t="s">
        <v>1037</v>
      </c>
      <c r="L343" s="301" t="s">
        <v>179</v>
      </c>
      <c r="M343" s="1425" t="s">
        <v>1007</v>
      </c>
      <c r="N343" s="1425" t="s">
        <v>1008</v>
      </c>
      <c r="O343" s="1425" t="s">
        <v>73</v>
      </c>
      <c r="P343" s="1425"/>
      <c r="Q343" s="16" t="s">
        <v>1038</v>
      </c>
      <c r="R343" s="302" t="s">
        <v>1039</v>
      </c>
      <c r="S343" s="303">
        <v>2015</v>
      </c>
      <c r="T343" s="303">
        <v>1</v>
      </c>
      <c r="U343" s="303">
        <v>1</v>
      </c>
      <c r="V343" s="572">
        <v>1</v>
      </c>
      <c r="W343" s="572">
        <v>1</v>
      </c>
      <c r="X343" s="572">
        <v>1</v>
      </c>
      <c r="Y343" s="572">
        <v>1</v>
      </c>
      <c r="Z343" s="491">
        <v>10</v>
      </c>
      <c r="AA343" s="481"/>
      <c r="AB343" s="481"/>
      <c r="AC343" s="481"/>
      <c r="AD343" s="481"/>
      <c r="AE343" s="481"/>
      <c r="AF343" s="481"/>
      <c r="AG343" s="481">
        <f t="shared" si="197"/>
        <v>10</v>
      </c>
      <c r="AH343" s="491">
        <v>10</v>
      </c>
      <c r="AI343" s="548"/>
      <c r="AJ343" s="548"/>
      <c r="AK343" s="548"/>
      <c r="AL343" s="548"/>
      <c r="AM343" s="548"/>
      <c r="AN343" s="548">
        <f t="shared" si="198"/>
        <v>10</v>
      </c>
      <c r="AO343" s="491">
        <v>10</v>
      </c>
      <c r="AP343" s="481"/>
      <c r="AQ343" s="481"/>
      <c r="AR343" s="481"/>
      <c r="AS343" s="481"/>
      <c r="AT343" s="481"/>
      <c r="AU343" s="481"/>
      <c r="AV343" s="481">
        <f t="shared" si="199"/>
        <v>10</v>
      </c>
      <c r="AW343" s="491">
        <v>10</v>
      </c>
      <c r="AX343" s="548"/>
      <c r="AY343" s="548"/>
      <c r="AZ343" s="548"/>
      <c r="BA343" s="548"/>
      <c r="BB343" s="548"/>
      <c r="BC343" s="548"/>
      <c r="BD343" s="548">
        <f t="shared" si="200"/>
        <v>10</v>
      </c>
      <c r="BE343" s="42">
        <f t="shared" si="190"/>
        <v>40</v>
      </c>
      <c r="BF343" s="42">
        <f t="shared" si="190"/>
        <v>0</v>
      </c>
      <c r="BG343" s="42">
        <f t="shared" si="190"/>
        <v>0</v>
      </c>
      <c r="BH343" s="42">
        <f t="shared" si="190"/>
        <v>0</v>
      </c>
      <c r="BI343" s="42">
        <f t="shared" si="190"/>
        <v>0</v>
      </c>
      <c r="BJ343" s="42">
        <f t="shared" si="201"/>
        <v>0</v>
      </c>
      <c r="BK343" s="42">
        <f t="shared" si="191"/>
        <v>0</v>
      </c>
      <c r="BL343" s="42">
        <f t="shared" si="191"/>
        <v>40</v>
      </c>
    </row>
    <row r="344" spans="1:64" ht="57.75" hidden="1" customHeight="1" x14ac:dyDescent="0.2">
      <c r="A344" s="298" t="s">
        <v>1002</v>
      </c>
      <c r="B344" s="299" t="s">
        <v>999</v>
      </c>
      <c r="C344" s="1547"/>
      <c r="D344" s="1551"/>
      <c r="E344" s="1551"/>
      <c r="F344" s="1551"/>
      <c r="G344" s="1551"/>
      <c r="H344" s="1551"/>
      <c r="I344" s="1425"/>
      <c r="J344" s="1425"/>
      <c r="K344" s="1425" t="s">
        <v>1040</v>
      </c>
      <c r="L344" s="301" t="s">
        <v>179</v>
      </c>
      <c r="M344" s="1425" t="s">
        <v>1041</v>
      </c>
      <c r="N344" s="1425" t="s">
        <v>1008</v>
      </c>
      <c r="O344" s="1425" t="s">
        <v>47</v>
      </c>
      <c r="P344" s="1425"/>
      <c r="Q344" s="16" t="s">
        <v>1042</v>
      </c>
      <c r="R344" s="302" t="s">
        <v>1043</v>
      </c>
      <c r="S344" s="303">
        <v>2015</v>
      </c>
      <c r="T344" s="303">
        <v>1</v>
      </c>
      <c r="U344" s="303">
        <v>1</v>
      </c>
      <c r="V344" s="572">
        <v>1</v>
      </c>
      <c r="W344" s="572">
        <v>1</v>
      </c>
      <c r="X344" s="572">
        <v>1</v>
      </c>
      <c r="Y344" s="572">
        <v>4</v>
      </c>
      <c r="Z344" s="491">
        <v>30</v>
      </c>
      <c r="AA344" s="481"/>
      <c r="AB344" s="482"/>
      <c r="AC344" s="481"/>
      <c r="AD344" s="481"/>
      <c r="AE344" s="481"/>
      <c r="AF344" s="481"/>
      <c r="AG344" s="481">
        <f t="shared" si="197"/>
        <v>30</v>
      </c>
      <c r="AH344" s="548"/>
      <c r="AI344" s="548"/>
      <c r="AJ344" s="716">
        <v>60</v>
      </c>
      <c r="AK344" s="548"/>
      <c r="AL344" s="548"/>
      <c r="AM344" s="548"/>
      <c r="AN344" s="548">
        <f t="shared" si="198"/>
        <v>60</v>
      </c>
      <c r="AO344" s="491">
        <v>30</v>
      </c>
      <c r="AP344" s="481"/>
      <c r="AQ344" s="481"/>
      <c r="AR344" s="481"/>
      <c r="AS344" s="481"/>
      <c r="AT344" s="481"/>
      <c r="AU344" s="481"/>
      <c r="AV344" s="481">
        <f t="shared" si="199"/>
        <v>30</v>
      </c>
      <c r="AW344" s="548"/>
      <c r="AX344" s="548"/>
      <c r="AY344" s="548">
        <v>30</v>
      </c>
      <c r="AZ344" s="548"/>
      <c r="BA344" s="548"/>
      <c r="BB344" s="548"/>
      <c r="BC344" s="548"/>
      <c r="BD344" s="548">
        <f t="shared" si="200"/>
        <v>30</v>
      </c>
      <c r="BE344" s="42">
        <f t="shared" si="190"/>
        <v>60</v>
      </c>
      <c r="BF344" s="42">
        <f t="shared" si="190"/>
        <v>0</v>
      </c>
      <c r="BG344" s="42">
        <f t="shared" si="190"/>
        <v>90</v>
      </c>
      <c r="BH344" s="42">
        <f t="shared" si="190"/>
        <v>0</v>
      </c>
      <c r="BI344" s="42">
        <f t="shared" si="190"/>
        <v>0</v>
      </c>
      <c r="BJ344" s="42">
        <f t="shared" si="201"/>
        <v>0</v>
      </c>
      <c r="BK344" s="42">
        <f t="shared" si="191"/>
        <v>0</v>
      </c>
      <c r="BL344" s="42">
        <f t="shared" si="191"/>
        <v>150</v>
      </c>
    </row>
    <row r="345" spans="1:64" ht="63" hidden="1" customHeight="1" x14ac:dyDescent="0.2">
      <c r="A345" s="298" t="s">
        <v>1002</v>
      </c>
      <c r="B345" s="299" t="s">
        <v>999</v>
      </c>
      <c r="C345" s="1547"/>
      <c r="D345" s="1551"/>
      <c r="E345" s="1551"/>
      <c r="F345" s="1551"/>
      <c r="G345" s="1551"/>
      <c r="H345" s="1551"/>
      <c r="I345" s="1425" t="s">
        <v>53</v>
      </c>
      <c r="J345" s="1425"/>
      <c r="K345" s="1425" t="s">
        <v>1044</v>
      </c>
      <c r="L345" s="301" t="s">
        <v>179</v>
      </c>
      <c r="M345" s="1425" t="s">
        <v>1041</v>
      </c>
      <c r="N345" s="1425" t="s">
        <v>1008</v>
      </c>
      <c r="O345" s="1425" t="s">
        <v>47</v>
      </c>
      <c r="P345" s="1425"/>
      <c r="Q345" s="16" t="s">
        <v>1045</v>
      </c>
      <c r="R345" s="302" t="s">
        <v>1046</v>
      </c>
      <c r="S345" s="303">
        <v>2015</v>
      </c>
      <c r="T345" s="303">
        <v>0</v>
      </c>
      <c r="U345" s="684">
        <v>0</v>
      </c>
      <c r="V345" s="572">
        <v>1</v>
      </c>
      <c r="W345" s="572">
        <v>0</v>
      </c>
      <c r="X345" s="572">
        <v>0</v>
      </c>
      <c r="Y345" s="572">
        <v>1</v>
      </c>
      <c r="Z345" s="481"/>
      <c r="AA345" s="481"/>
      <c r="AB345" s="481"/>
      <c r="AC345" s="481"/>
      <c r="AD345" s="481"/>
      <c r="AE345" s="481"/>
      <c r="AF345" s="481"/>
      <c r="AG345" s="481">
        <f t="shared" si="197"/>
        <v>0</v>
      </c>
      <c r="AH345" s="548"/>
      <c r="AI345" s="548"/>
      <c r="AJ345" s="548"/>
      <c r="AK345" s="548"/>
      <c r="AL345" s="548"/>
      <c r="AM345" s="548">
        <v>1000</v>
      </c>
      <c r="AN345" s="548">
        <f>SUM(AH345:AM345)</f>
        <v>1000</v>
      </c>
      <c r="AO345" s="481"/>
      <c r="AP345" s="481"/>
      <c r="AQ345" s="481"/>
      <c r="AR345" s="481"/>
      <c r="AS345" s="481"/>
      <c r="AT345" s="481"/>
      <c r="AU345" s="481"/>
      <c r="AV345" s="481">
        <f t="shared" si="199"/>
        <v>0</v>
      </c>
      <c r="AW345" s="548"/>
      <c r="AX345" s="548"/>
      <c r="AY345" s="548"/>
      <c r="AZ345" s="548"/>
      <c r="BA345" s="548"/>
      <c r="BB345" s="548"/>
      <c r="BC345" s="548"/>
      <c r="BD345" s="548">
        <f t="shared" si="200"/>
        <v>0</v>
      </c>
      <c r="BE345" s="42">
        <f t="shared" si="190"/>
        <v>0</v>
      </c>
      <c r="BF345" s="42">
        <f t="shared" si="190"/>
        <v>0</v>
      </c>
      <c r="BG345" s="42">
        <f t="shared" si="190"/>
        <v>0</v>
      </c>
      <c r="BH345" s="42">
        <f t="shared" si="190"/>
        <v>0</v>
      </c>
      <c r="BI345" s="42">
        <f t="shared" si="190"/>
        <v>0</v>
      </c>
      <c r="BJ345" s="42">
        <f t="shared" si="201"/>
        <v>0</v>
      </c>
      <c r="BK345" s="42">
        <f t="shared" si="191"/>
        <v>1000</v>
      </c>
      <c r="BL345" s="42">
        <f t="shared" si="191"/>
        <v>1000</v>
      </c>
    </row>
    <row r="346" spans="1:64" ht="58.5" hidden="1" customHeight="1" x14ac:dyDescent="0.2">
      <c r="A346" s="298" t="s">
        <v>1002</v>
      </c>
      <c r="B346" s="299" t="s">
        <v>999</v>
      </c>
      <c r="C346" s="1547"/>
      <c r="D346" s="1551"/>
      <c r="E346" s="1551"/>
      <c r="F346" s="1551"/>
      <c r="G346" s="1551"/>
      <c r="H346" s="1551"/>
      <c r="I346" s="1425" t="s">
        <v>53</v>
      </c>
      <c r="J346" s="1425"/>
      <c r="K346" s="1425" t="s">
        <v>1047</v>
      </c>
      <c r="L346" s="301" t="s">
        <v>179</v>
      </c>
      <c r="M346" s="1425" t="s">
        <v>1041</v>
      </c>
      <c r="N346" s="1425" t="s">
        <v>1008</v>
      </c>
      <c r="O346" s="1425" t="s">
        <v>47</v>
      </c>
      <c r="P346" s="1425"/>
      <c r="Q346" s="16" t="s">
        <v>1048</v>
      </c>
      <c r="R346" s="302" t="s">
        <v>1049</v>
      </c>
      <c r="S346" s="303">
        <v>2015</v>
      </c>
      <c r="T346" s="303">
        <v>0</v>
      </c>
      <c r="U346" s="303">
        <v>0.5</v>
      </c>
      <c r="V346" s="685">
        <v>0.5</v>
      </c>
      <c r="W346" s="572">
        <v>0</v>
      </c>
      <c r="X346" s="572">
        <v>0</v>
      </c>
      <c r="Y346" s="572">
        <v>1</v>
      </c>
      <c r="Z346" s="491">
        <v>2.8</v>
      </c>
      <c r="AA346" s="481"/>
      <c r="AB346" s="481"/>
      <c r="AC346" s="481"/>
      <c r="AD346" s="481"/>
      <c r="AE346" s="481"/>
      <c r="AF346" s="481"/>
      <c r="AG346" s="481">
        <f t="shared" si="197"/>
        <v>2.8</v>
      </c>
      <c r="AH346" s="548"/>
      <c r="AI346" s="548"/>
      <c r="AJ346" s="548"/>
      <c r="AK346" s="548"/>
      <c r="AL346" s="548"/>
      <c r="AM346" s="548">
        <v>400</v>
      </c>
      <c r="AN346" s="548">
        <f t="shared" si="198"/>
        <v>400</v>
      </c>
      <c r="AO346" s="481"/>
      <c r="AP346" s="481"/>
      <c r="AQ346" s="481"/>
      <c r="AR346" s="481"/>
      <c r="AS346" s="481"/>
      <c r="AT346" s="481"/>
      <c r="AU346" s="481"/>
      <c r="AV346" s="481">
        <f t="shared" si="199"/>
        <v>0</v>
      </c>
      <c r="AW346" s="548"/>
      <c r="AX346" s="548"/>
      <c r="AY346" s="548"/>
      <c r="AZ346" s="548"/>
      <c r="BA346" s="548"/>
      <c r="BB346" s="548"/>
      <c r="BC346" s="548"/>
      <c r="BD346" s="548">
        <f t="shared" si="200"/>
        <v>0</v>
      </c>
      <c r="BE346" s="42">
        <f t="shared" si="190"/>
        <v>2.8</v>
      </c>
      <c r="BF346" s="42">
        <f t="shared" si="190"/>
        <v>0</v>
      </c>
      <c r="BG346" s="42">
        <f t="shared" si="190"/>
        <v>0</v>
      </c>
      <c r="BH346" s="42">
        <f t="shared" si="190"/>
        <v>0</v>
      </c>
      <c r="BI346" s="42">
        <f t="shared" si="190"/>
        <v>0</v>
      </c>
      <c r="BJ346" s="42">
        <f t="shared" si="201"/>
        <v>0</v>
      </c>
      <c r="BK346" s="42">
        <f t="shared" si="191"/>
        <v>400</v>
      </c>
      <c r="BL346" s="42">
        <f t="shared" si="191"/>
        <v>402.8</v>
      </c>
    </row>
    <row r="347" spans="1:64" ht="70.5" hidden="1" customHeight="1" x14ac:dyDescent="0.2">
      <c r="A347" s="298" t="s">
        <v>1002</v>
      </c>
      <c r="B347" s="299" t="s">
        <v>999</v>
      </c>
      <c r="C347" s="1547"/>
      <c r="D347" s="1551"/>
      <c r="E347" s="1551"/>
      <c r="F347" s="1551"/>
      <c r="G347" s="1551"/>
      <c r="H347" s="1551"/>
      <c r="I347" s="1425" t="s">
        <v>53</v>
      </c>
      <c r="J347" s="1425"/>
      <c r="K347" s="1425" t="s">
        <v>1050</v>
      </c>
      <c r="L347" s="301" t="s">
        <v>179</v>
      </c>
      <c r="M347" s="1425" t="s">
        <v>1041</v>
      </c>
      <c r="N347" s="1425" t="s">
        <v>1008</v>
      </c>
      <c r="O347" s="1425" t="s">
        <v>47</v>
      </c>
      <c r="P347" s="1425"/>
      <c r="Q347" s="16" t="s">
        <v>1051</v>
      </c>
      <c r="R347" s="302" t="s">
        <v>1052</v>
      </c>
      <c r="S347" s="303">
        <v>2015</v>
      </c>
      <c r="T347" s="303">
        <v>0</v>
      </c>
      <c r="U347" s="303">
        <v>7000</v>
      </c>
      <c r="V347" s="572">
        <v>9000</v>
      </c>
      <c r="W347" s="572">
        <v>9000</v>
      </c>
      <c r="X347" s="572">
        <v>9000</v>
      </c>
      <c r="Y347" s="572">
        <v>34000</v>
      </c>
      <c r="Z347" s="491">
        <v>30</v>
      </c>
      <c r="AA347" s="481"/>
      <c r="AB347" s="481">
        <v>80</v>
      </c>
      <c r="AC347" s="481"/>
      <c r="AD347" s="481"/>
      <c r="AE347" s="481">
        <v>648</v>
      </c>
      <c r="AF347" s="481"/>
      <c r="AG347" s="481">
        <f t="shared" si="197"/>
        <v>758</v>
      </c>
      <c r="AH347" s="491">
        <v>14</v>
      </c>
      <c r="AI347" s="548"/>
      <c r="AJ347" s="491">
        <v>50</v>
      </c>
      <c r="AK347" s="588"/>
      <c r="AL347" s="548"/>
      <c r="AM347" s="548">
        <v>1000</v>
      </c>
      <c r="AN347" s="548">
        <f t="shared" si="198"/>
        <v>1064</v>
      </c>
      <c r="AO347" s="491">
        <v>20</v>
      </c>
      <c r="AP347" s="481"/>
      <c r="AQ347" s="481">
        <v>80</v>
      </c>
      <c r="AR347" s="481">
        <v>1000</v>
      </c>
      <c r="AS347" s="481"/>
      <c r="AT347" s="481"/>
      <c r="AU347" s="481"/>
      <c r="AV347" s="481">
        <f t="shared" si="199"/>
        <v>1100</v>
      </c>
      <c r="AW347" s="491"/>
      <c r="AX347" s="548"/>
      <c r="AY347" s="491">
        <v>50</v>
      </c>
      <c r="AZ347" s="491">
        <v>100</v>
      </c>
      <c r="BA347" s="548"/>
      <c r="BB347" s="548"/>
      <c r="BC347" s="548"/>
      <c r="BD347" s="548">
        <f t="shared" si="200"/>
        <v>150</v>
      </c>
      <c r="BE347" s="42">
        <f t="shared" ref="BE347:BI379" si="202">+AW347+AO347+AH347+Z347</f>
        <v>64</v>
      </c>
      <c r="BF347" s="42">
        <f t="shared" si="202"/>
        <v>0</v>
      </c>
      <c r="BG347" s="42">
        <f t="shared" si="202"/>
        <v>260</v>
      </c>
      <c r="BH347" s="42">
        <f t="shared" si="202"/>
        <v>1100</v>
      </c>
      <c r="BI347" s="42">
        <f t="shared" si="202"/>
        <v>0</v>
      </c>
      <c r="BJ347" s="42">
        <f t="shared" si="201"/>
        <v>648</v>
      </c>
      <c r="BK347" s="42">
        <f t="shared" ref="BK347:BL379" si="203">+BC347+AU347+AM347+AF347</f>
        <v>1000</v>
      </c>
      <c r="BL347" s="42">
        <f t="shared" si="203"/>
        <v>3072</v>
      </c>
    </row>
    <row r="348" spans="1:64" ht="69.75" hidden="1" customHeight="1" x14ac:dyDescent="0.2">
      <c r="A348" s="298" t="s">
        <v>1002</v>
      </c>
      <c r="B348" s="299" t="s">
        <v>999</v>
      </c>
      <c r="C348" s="1547"/>
      <c r="D348" s="1551"/>
      <c r="E348" s="1551"/>
      <c r="F348" s="1551"/>
      <c r="G348" s="1551"/>
      <c r="H348" s="1551"/>
      <c r="I348" s="1425" t="s">
        <v>53</v>
      </c>
      <c r="J348" s="1425"/>
      <c r="K348" s="1425" t="s">
        <v>1053</v>
      </c>
      <c r="L348" s="301" t="s">
        <v>179</v>
      </c>
      <c r="M348" s="1425" t="s">
        <v>1041</v>
      </c>
      <c r="N348" s="1425" t="s">
        <v>1008</v>
      </c>
      <c r="O348" s="1425" t="s">
        <v>47</v>
      </c>
      <c r="P348" s="1425"/>
      <c r="Q348" s="16" t="s">
        <v>1054</v>
      </c>
      <c r="R348" s="302" t="s">
        <v>1055</v>
      </c>
      <c r="S348" s="303">
        <v>2015</v>
      </c>
      <c r="T348" s="303">
        <v>0</v>
      </c>
      <c r="U348" s="303">
        <v>400</v>
      </c>
      <c r="V348" s="572">
        <v>400</v>
      </c>
      <c r="W348" s="572">
        <v>400</v>
      </c>
      <c r="X348" s="572">
        <v>400</v>
      </c>
      <c r="Y348" s="572">
        <v>1200</v>
      </c>
      <c r="Z348" s="491">
        <v>15</v>
      </c>
      <c r="AA348" s="481"/>
      <c r="AB348" s="481"/>
      <c r="AC348" s="481"/>
      <c r="AD348" s="481"/>
      <c r="AE348" s="481"/>
      <c r="AF348" s="481"/>
      <c r="AG348" s="481">
        <f t="shared" si="197"/>
        <v>15</v>
      </c>
      <c r="AH348" s="548"/>
      <c r="AI348" s="548"/>
      <c r="AJ348" s="548"/>
      <c r="AK348" s="548">
        <v>75</v>
      </c>
      <c r="AL348" s="548"/>
      <c r="AM348" s="548"/>
      <c r="AN348" s="548">
        <f t="shared" si="198"/>
        <v>75</v>
      </c>
      <c r="AO348" s="491">
        <v>15</v>
      </c>
      <c r="AP348" s="481"/>
      <c r="AQ348" s="481"/>
      <c r="AR348" s="481"/>
      <c r="AS348" s="481"/>
      <c r="AT348" s="481"/>
      <c r="AU348" s="481"/>
      <c r="AV348" s="481">
        <f t="shared" si="199"/>
        <v>15</v>
      </c>
      <c r="AW348" s="548"/>
      <c r="AX348" s="548"/>
      <c r="AY348" s="491">
        <v>50</v>
      </c>
      <c r="AZ348" s="548"/>
      <c r="BA348" s="548"/>
      <c r="BB348" s="548"/>
      <c r="BC348" s="548"/>
      <c r="BD348" s="548">
        <f t="shared" si="200"/>
        <v>50</v>
      </c>
      <c r="BE348" s="42">
        <f t="shared" si="202"/>
        <v>30</v>
      </c>
      <c r="BF348" s="42">
        <f t="shared" si="202"/>
        <v>0</v>
      </c>
      <c r="BG348" s="42">
        <f t="shared" si="202"/>
        <v>50</v>
      </c>
      <c r="BH348" s="42">
        <f t="shared" si="202"/>
        <v>75</v>
      </c>
      <c r="BI348" s="42">
        <f t="shared" si="202"/>
        <v>0</v>
      </c>
      <c r="BJ348" s="42">
        <f t="shared" si="201"/>
        <v>0</v>
      </c>
      <c r="BK348" s="42">
        <f t="shared" si="203"/>
        <v>0</v>
      </c>
      <c r="BL348" s="42">
        <f t="shared" si="203"/>
        <v>155</v>
      </c>
    </row>
    <row r="349" spans="1:64" ht="57" hidden="1" customHeight="1" x14ac:dyDescent="0.2">
      <c r="A349" s="298" t="s">
        <v>1002</v>
      </c>
      <c r="B349" s="299" t="s">
        <v>999</v>
      </c>
      <c r="C349" s="1547"/>
      <c r="D349" s="1551"/>
      <c r="E349" s="1551"/>
      <c r="F349" s="1551"/>
      <c r="G349" s="1551"/>
      <c r="H349" s="1551"/>
      <c r="I349" s="1425"/>
      <c r="J349" s="1425"/>
      <c r="K349" s="1425" t="s">
        <v>1056</v>
      </c>
      <c r="L349" s="301" t="s">
        <v>179</v>
      </c>
      <c r="M349" s="1425" t="s">
        <v>1041</v>
      </c>
      <c r="N349" s="1425" t="s">
        <v>1008</v>
      </c>
      <c r="O349" s="1425" t="s">
        <v>47</v>
      </c>
      <c r="P349" s="1425"/>
      <c r="Q349" s="16" t="s">
        <v>1057</v>
      </c>
      <c r="R349" s="302" t="s">
        <v>1058</v>
      </c>
      <c r="S349" s="303">
        <v>2015</v>
      </c>
      <c r="T349" s="303">
        <v>0</v>
      </c>
      <c r="U349" s="303">
        <v>125</v>
      </c>
      <c r="V349" s="572">
        <v>125</v>
      </c>
      <c r="W349" s="572">
        <v>125</v>
      </c>
      <c r="X349" s="572">
        <v>125</v>
      </c>
      <c r="Y349" s="572">
        <v>500</v>
      </c>
      <c r="Z349" s="491">
        <v>10</v>
      </c>
      <c r="AA349" s="481"/>
      <c r="AB349" s="481">
        <v>170.6</v>
      </c>
      <c r="AC349" s="481"/>
      <c r="AD349" s="481"/>
      <c r="AE349" s="481"/>
      <c r="AF349" s="481"/>
      <c r="AG349" s="481">
        <f t="shared" si="197"/>
        <v>180.6</v>
      </c>
      <c r="AH349" s="491">
        <v>20</v>
      </c>
      <c r="AI349" s="548"/>
      <c r="AJ349" s="491">
        <v>100</v>
      </c>
      <c r="AK349" s="548"/>
      <c r="AL349" s="548"/>
      <c r="AM349" s="548"/>
      <c r="AN349" s="548">
        <f t="shared" si="198"/>
        <v>120</v>
      </c>
      <c r="AO349" s="491">
        <v>15</v>
      </c>
      <c r="AP349" s="481"/>
      <c r="AQ349" s="481">
        <v>170</v>
      </c>
      <c r="AR349" s="481"/>
      <c r="AS349" s="481"/>
      <c r="AT349" s="481"/>
      <c r="AU349" s="481"/>
      <c r="AV349" s="481">
        <f t="shared" si="199"/>
        <v>185</v>
      </c>
      <c r="AW349" s="491"/>
      <c r="AX349" s="548"/>
      <c r="AY349" s="491">
        <v>50</v>
      </c>
      <c r="AZ349" s="491">
        <v>100</v>
      </c>
      <c r="BA349" s="548"/>
      <c r="BB349" s="548"/>
      <c r="BC349" s="548"/>
      <c r="BD349" s="548">
        <f t="shared" si="200"/>
        <v>150</v>
      </c>
      <c r="BE349" s="42">
        <f t="shared" si="202"/>
        <v>45</v>
      </c>
      <c r="BF349" s="42">
        <f t="shared" si="202"/>
        <v>0</v>
      </c>
      <c r="BG349" s="42">
        <f t="shared" si="202"/>
        <v>490.6</v>
      </c>
      <c r="BH349" s="42">
        <f t="shared" si="202"/>
        <v>100</v>
      </c>
      <c r="BI349" s="42">
        <f t="shared" si="202"/>
        <v>0</v>
      </c>
      <c r="BJ349" s="42">
        <f t="shared" si="201"/>
        <v>0</v>
      </c>
      <c r="BK349" s="42">
        <f t="shared" si="203"/>
        <v>0</v>
      </c>
      <c r="BL349" s="42">
        <f t="shared" si="203"/>
        <v>635.6</v>
      </c>
    </row>
    <row r="350" spans="1:64" ht="80.25" hidden="1" customHeight="1" x14ac:dyDescent="0.2">
      <c r="A350" s="298" t="s">
        <v>1002</v>
      </c>
      <c r="B350" s="299" t="s">
        <v>999</v>
      </c>
      <c r="C350" s="1547"/>
      <c r="D350" s="1551"/>
      <c r="E350" s="1551"/>
      <c r="F350" s="1551"/>
      <c r="G350" s="1551"/>
      <c r="H350" s="1551"/>
      <c r="I350" s="1425" t="s">
        <v>53</v>
      </c>
      <c r="J350" s="1425"/>
      <c r="K350" s="1425" t="s">
        <v>1059</v>
      </c>
      <c r="L350" s="301" t="s">
        <v>179</v>
      </c>
      <c r="M350" s="1425" t="s">
        <v>1041</v>
      </c>
      <c r="N350" s="1425" t="s">
        <v>1008</v>
      </c>
      <c r="O350" s="1425" t="s">
        <v>47</v>
      </c>
      <c r="P350" s="1425"/>
      <c r="Q350" s="16" t="s">
        <v>1060</v>
      </c>
      <c r="R350" s="302" t="s">
        <v>1061</v>
      </c>
      <c r="S350" s="303">
        <v>2015</v>
      </c>
      <c r="T350" s="303">
        <v>0</v>
      </c>
      <c r="U350" s="303">
        <v>300</v>
      </c>
      <c r="V350" s="572">
        <v>700</v>
      </c>
      <c r="W350" s="572">
        <v>1000</v>
      </c>
      <c r="X350" s="572">
        <v>1000</v>
      </c>
      <c r="Y350" s="572">
        <v>3000</v>
      </c>
      <c r="Z350" s="491">
        <v>10</v>
      </c>
      <c r="AA350" s="481"/>
      <c r="AB350" s="481"/>
      <c r="AC350" s="481"/>
      <c r="AD350" s="481"/>
      <c r="AE350" s="481"/>
      <c r="AF350" s="481"/>
      <c r="AG350" s="481">
        <f t="shared" si="197"/>
        <v>10</v>
      </c>
      <c r="AH350" s="548"/>
      <c r="AI350" s="548"/>
      <c r="AJ350" s="716">
        <v>130</v>
      </c>
      <c r="AK350" s="588"/>
      <c r="AL350" s="548"/>
      <c r="AM350" s="548"/>
      <c r="AN350" s="548">
        <f t="shared" si="198"/>
        <v>130</v>
      </c>
      <c r="AO350" s="491">
        <v>15</v>
      </c>
      <c r="AP350" s="481"/>
      <c r="AQ350" s="481"/>
      <c r="AR350" s="481">
        <v>150</v>
      </c>
      <c r="AS350" s="481"/>
      <c r="AT350" s="481"/>
      <c r="AU350" s="481"/>
      <c r="AV350" s="481">
        <f t="shared" si="199"/>
        <v>165</v>
      </c>
      <c r="AW350" s="548"/>
      <c r="AX350" s="548"/>
      <c r="AY350" s="491">
        <v>35</v>
      </c>
      <c r="AZ350" s="548"/>
      <c r="BA350" s="548"/>
      <c r="BB350" s="548"/>
      <c r="BC350" s="548"/>
      <c r="BD350" s="548">
        <f t="shared" si="200"/>
        <v>35</v>
      </c>
      <c r="BE350" s="42">
        <f t="shared" si="202"/>
        <v>25</v>
      </c>
      <c r="BF350" s="42">
        <f t="shared" si="202"/>
        <v>0</v>
      </c>
      <c r="BG350" s="42">
        <f t="shared" si="202"/>
        <v>165</v>
      </c>
      <c r="BH350" s="42">
        <f t="shared" si="202"/>
        <v>150</v>
      </c>
      <c r="BI350" s="42">
        <f t="shared" si="202"/>
        <v>0</v>
      </c>
      <c r="BJ350" s="42">
        <f t="shared" si="201"/>
        <v>0</v>
      </c>
      <c r="BK350" s="42">
        <f t="shared" si="203"/>
        <v>0</v>
      </c>
      <c r="BL350" s="42">
        <f t="shared" si="203"/>
        <v>340</v>
      </c>
    </row>
    <row r="351" spans="1:64" ht="64.5" hidden="1" customHeight="1" x14ac:dyDescent="0.2">
      <c r="A351" s="298" t="s">
        <v>1002</v>
      </c>
      <c r="B351" s="299" t="s">
        <v>999</v>
      </c>
      <c r="C351" s="1547"/>
      <c r="D351" s="1551"/>
      <c r="E351" s="1551"/>
      <c r="F351" s="1551"/>
      <c r="G351" s="1551"/>
      <c r="H351" s="1551"/>
      <c r="I351" s="1425" t="s">
        <v>53</v>
      </c>
      <c r="J351" s="1425"/>
      <c r="K351" s="1425" t="s">
        <v>1062</v>
      </c>
      <c r="L351" s="301" t="s">
        <v>179</v>
      </c>
      <c r="M351" s="1425" t="s">
        <v>1041</v>
      </c>
      <c r="N351" s="1425" t="s">
        <v>1008</v>
      </c>
      <c r="O351" s="1425" t="s">
        <v>47</v>
      </c>
      <c r="P351" s="1425"/>
      <c r="Q351" s="16" t="s">
        <v>1063</v>
      </c>
      <c r="R351" s="302" t="s">
        <v>1064</v>
      </c>
      <c r="S351" s="303">
        <v>2015</v>
      </c>
      <c r="T351" s="303">
        <v>0</v>
      </c>
      <c r="U351" s="303">
        <v>20</v>
      </c>
      <c r="V351" s="572">
        <v>20</v>
      </c>
      <c r="W351" s="572">
        <v>40</v>
      </c>
      <c r="X351" s="572">
        <v>40</v>
      </c>
      <c r="Y351" s="572">
        <v>120</v>
      </c>
      <c r="Z351" s="491">
        <v>10</v>
      </c>
      <c r="AA351" s="481"/>
      <c r="AB351" s="481"/>
      <c r="AC351" s="481"/>
      <c r="AD351" s="481"/>
      <c r="AE351" s="481"/>
      <c r="AF351" s="481"/>
      <c r="AG351" s="481">
        <f t="shared" si="197"/>
        <v>10</v>
      </c>
      <c r="AH351" s="548"/>
      <c r="AI351" s="548"/>
      <c r="AJ351" s="491">
        <v>20</v>
      </c>
      <c r="AK351" s="548"/>
      <c r="AL351" s="548"/>
      <c r="AM351" s="548"/>
      <c r="AN351" s="548">
        <f t="shared" si="198"/>
        <v>20</v>
      </c>
      <c r="AO351" s="491">
        <v>15</v>
      </c>
      <c r="AP351" s="481"/>
      <c r="AQ351" s="481">
        <v>21</v>
      </c>
      <c r="AR351" s="481"/>
      <c r="AS351" s="481"/>
      <c r="AT351" s="481"/>
      <c r="AU351" s="481"/>
      <c r="AV351" s="481">
        <f t="shared" si="199"/>
        <v>36</v>
      </c>
      <c r="AW351" s="548"/>
      <c r="AX351" s="548"/>
      <c r="AY351" s="548">
        <v>21</v>
      </c>
      <c r="AZ351" s="548"/>
      <c r="BA351" s="548"/>
      <c r="BB351" s="548"/>
      <c r="BC351" s="548"/>
      <c r="BD351" s="548">
        <f t="shared" si="200"/>
        <v>21</v>
      </c>
      <c r="BE351" s="42">
        <f t="shared" si="202"/>
        <v>25</v>
      </c>
      <c r="BF351" s="42">
        <f t="shared" si="202"/>
        <v>0</v>
      </c>
      <c r="BG351" s="42">
        <f t="shared" si="202"/>
        <v>62</v>
      </c>
      <c r="BH351" s="42">
        <f t="shared" si="202"/>
        <v>0</v>
      </c>
      <c r="BI351" s="42">
        <f t="shared" si="202"/>
        <v>0</v>
      </c>
      <c r="BJ351" s="42">
        <f t="shared" si="201"/>
        <v>0</v>
      </c>
      <c r="BK351" s="42">
        <f t="shared" si="203"/>
        <v>0</v>
      </c>
      <c r="BL351" s="42">
        <f t="shared" si="203"/>
        <v>87</v>
      </c>
    </row>
    <row r="352" spans="1:64" ht="76.5" hidden="1" customHeight="1" x14ac:dyDescent="0.2">
      <c r="A352" s="298" t="s">
        <v>1002</v>
      </c>
      <c r="B352" s="299" t="s">
        <v>999</v>
      </c>
      <c r="C352" s="1547"/>
      <c r="D352" s="1551"/>
      <c r="E352" s="1551"/>
      <c r="F352" s="1551"/>
      <c r="G352" s="1551"/>
      <c r="H352" s="1551"/>
      <c r="I352" s="1425" t="s">
        <v>53</v>
      </c>
      <c r="J352" s="1425"/>
      <c r="K352" s="1425" t="s">
        <v>1065</v>
      </c>
      <c r="L352" s="301" t="s">
        <v>179</v>
      </c>
      <c r="M352" s="1425" t="s">
        <v>1041</v>
      </c>
      <c r="N352" s="1425" t="s">
        <v>1008</v>
      </c>
      <c r="O352" s="1425" t="s">
        <v>47</v>
      </c>
      <c r="P352" s="1425"/>
      <c r="Q352" s="16" t="s">
        <v>1066</v>
      </c>
      <c r="R352" s="302" t="s">
        <v>1067</v>
      </c>
      <c r="S352" s="303">
        <v>2015</v>
      </c>
      <c r="T352" s="303">
        <v>0</v>
      </c>
      <c r="U352" s="303">
        <v>1</v>
      </c>
      <c r="V352" s="572">
        <v>1</v>
      </c>
      <c r="W352" s="572">
        <v>1</v>
      </c>
      <c r="X352" s="572">
        <v>1</v>
      </c>
      <c r="Y352" s="572">
        <v>4</v>
      </c>
      <c r="Z352" s="491">
        <v>10</v>
      </c>
      <c r="AA352" s="481"/>
      <c r="AB352" s="481">
        <v>40</v>
      </c>
      <c r="AC352" s="481"/>
      <c r="AD352" s="481"/>
      <c r="AE352" s="481"/>
      <c r="AF352" s="481"/>
      <c r="AG352" s="481">
        <f t="shared" si="197"/>
        <v>50</v>
      </c>
      <c r="AH352" s="548"/>
      <c r="AI352" s="548"/>
      <c r="AJ352" s="491">
        <v>30</v>
      </c>
      <c r="AK352" s="548">
        <v>25</v>
      </c>
      <c r="AL352" s="548"/>
      <c r="AM352" s="548"/>
      <c r="AN352" s="548">
        <f t="shared" si="198"/>
        <v>55</v>
      </c>
      <c r="AO352" s="491">
        <v>10</v>
      </c>
      <c r="AP352" s="481"/>
      <c r="AQ352" s="481">
        <v>40</v>
      </c>
      <c r="AR352" s="481">
        <v>50</v>
      </c>
      <c r="AS352" s="481"/>
      <c r="AT352" s="481"/>
      <c r="AU352" s="481"/>
      <c r="AV352" s="481">
        <f t="shared" si="199"/>
        <v>100</v>
      </c>
      <c r="AW352" s="548"/>
      <c r="AX352" s="548"/>
      <c r="AY352" s="548">
        <v>45</v>
      </c>
      <c r="AZ352" s="548"/>
      <c r="BA352" s="548"/>
      <c r="BB352" s="548"/>
      <c r="BC352" s="548"/>
      <c r="BD352" s="548">
        <f t="shared" si="200"/>
        <v>45</v>
      </c>
      <c r="BE352" s="42">
        <f t="shared" si="202"/>
        <v>20</v>
      </c>
      <c r="BF352" s="42">
        <f t="shared" si="202"/>
        <v>0</v>
      </c>
      <c r="BG352" s="42">
        <f t="shared" si="202"/>
        <v>155</v>
      </c>
      <c r="BH352" s="42">
        <f t="shared" si="202"/>
        <v>75</v>
      </c>
      <c r="BI352" s="42">
        <f t="shared" si="202"/>
        <v>0</v>
      </c>
      <c r="BJ352" s="42">
        <f t="shared" si="201"/>
        <v>0</v>
      </c>
      <c r="BK352" s="42">
        <f t="shared" si="203"/>
        <v>0</v>
      </c>
      <c r="BL352" s="42">
        <f t="shared" si="203"/>
        <v>250</v>
      </c>
    </row>
    <row r="353" spans="1:64" ht="83.25" hidden="1" customHeight="1" x14ac:dyDescent="0.2">
      <c r="A353" s="298" t="s">
        <v>1002</v>
      </c>
      <c r="B353" s="299" t="s">
        <v>999</v>
      </c>
      <c r="C353" s="1548"/>
      <c r="D353" s="1552"/>
      <c r="E353" s="1552"/>
      <c r="F353" s="1552"/>
      <c r="G353" s="1552"/>
      <c r="H353" s="1552"/>
      <c r="I353" s="1425" t="s">
        <v>53</v>
      </c>
      <c r="J353" s="1425"/>
      <c r="K353" s="1425" t="s">
        <v>1068</v>
      </c>
      <c r="L353" s="301" t="s">
        <v>179</v>
      </c>
      <c r="M353" s="1425" t="s">
        <v>1041</v>
      </c>
      <c r="N353" s="1425" t="s">
        <v>1008</v>
      </c>
      <c r="O353" s="1425" t="s">
        <v>47</v>
      </c>
      <c r="P353" s="1425"/>
      <c r="Q353" s="16" t="s">
        <v>1069</v>
      </c>
      <c r="R353" s="302" t="s">
        <v>1070</v>
      </c>
      <c r="S353" s="303">
        <v>2015</v>
      </c>
      <c r="T353" s="303">
        <v>0</v>
      </c>
      <c r="U353" s="303">
        <v>250</v>
      </c>
      <c r="V353" s="572">
        <v>250</v>
      </c>
      <c r="W353" s="572">
        <v>250</v>
      </c>
      <c r="X353" s="572">
        <v>250</v>
      </c>
      <c r="Y353" s="572">
        <v>1000</v>
      </c>
      <c r="Z353" s="491">
        <v>10</v>
      </c>
      <c r="AA353" s="481"/>
      <c r="AB353" s="481"/>
      <c r="AC353" s="481"/>
      <c r="AD353" s="481"/>
      <c r="AE353" s="481"/>
      <c r="AF353" s="481"/>
      <c r="AG353" s="481">
        <f t="shared" si="197"/>
        <v>10</v>
      </c>
      <c r="AH353" s="548"/>
      <c r="AI353" s="548"/>
      <c r="AJ353" s="716">
        <v>50</v>
      </c>
      <c r="AK353" s="548"/>
      <c r="AL353" s="548"/>
      <c r="AM353" s="548"/>
      <c r="AN353" s="548">
        <f t="shared" si="198"/>
        <v>50</v>
      </c>
      <c r="AO353" s="491">
        <v>10</v>
      </c>
      <c r="AP353" s="481"/>
      <c r="AQ353" s="481"/>
      <c r="AR353" s="481"/>
      <c r="AS353" s="481"/>
      <c r="AT353" s="481"/>
      <c r="AU353" s="481"/>
      <c r="AV353" s="481">
        <f t="shared" si="199"/>
        <v>10</v>
      </c>
      <c r="AW353" s="548"/>
      <c r="AX353" s="548"/>
      <c r="AY353" s="491">
        <v>35</v>
      </c>
      <c r="AZ353" s="548"/>
      <c r="BA353" s="548"/>
      <c r="BB353" s="548"/>
      <c r="BC353" s="548"/>
      <c r="BD353" s="548">
        <f t="shared" si="200"/>
        <v>35</v>
      </c>
      <c r="BE353" s="42">
        <f t="shared" si="202"/>
        <v>20</v>
      </c>
      <c r="BF353" s="42">
        <f t="shared" si="202"/>
        <v>0</v>
      </c>
      <c r="BG353" s="42">
        <f t="shared" si="202"/>
        <v>85</v>
      </c>
      <c r="BH353" s="42">
        <f t="shared" si="202"/>
        <v>0</v>
      </c>
      <c r="BI353" s="42">
        <f t="shared" si="202"/>
        <v>0</v>
      </c>
      <c r="BJ353" s="42">
        <f t="shared" si="201"/>
        <v>0</v>
      </c>
      <c r="BK353" s="42">
        <f t="shared" si="203"/>
        <v>0</v>
      </c>
      <c r="BL353" s="42">
        <f t="shared" si="203"/>
        <v>105</v>
      </c>
    </row>
    <row r="354" spans="1:64" ht="2.25" customHeight="1" x14ac:dyDescent="0.25">
      <c r="A354" s="151"/>
      <c r="B354" s="7" t="s">
        <v>1071</v>
      </c>
      <c r="C354" s="149"/>
      <c r="D354" s="1445"/>
      <c r="E354" s="1445"/>
      <c r="F354" s="1445"/>
      <c r="G354" s="1445"/>
      <c r="H354" s="1445"/>
      <c r="I354" s="1442"/>
      <c r="J354" s="1442"/>
      <c r="K354" s="1442"/>
      <c r="L354" s="1442"/>
      <c r="M354" s="1442"/>
      <c r="N354" s="11"/>
      <c r="O354" s="1442"/>
      <c r="P354" s="1442"/>
      <c r="Q354" s="1440"/>
      <c r="R354" s="1440"/>
      <c r="S354" s="1442"/>
      <c r="T354" s="1442"/>
      <c r="U354" s="67"/>
      <c r="V354" s="68"/>
      <c r="W354" s="68"/>
      <c r="X354" s="68"/>
      <c r="Y354" s="63"/>
      <c r="Z354" s="42">
        <v>10</v>
      </c>
      <c r="AA354" s="42">
        <v>43.2</v>
      </c>
      <c r="AB354" s="42">
        <v>6</v>
      </c>
      <c r="AC354" s="42">
        <v>219</v>
      </c>
      <c r="AD354" s="42"/>
      <c r="AE354" s="42">
        <v>52</v>
      </c>
      <c r="AF354" s="42"/>
      <c r="AG354" s="42"/>
      <c r="AH354" s="42">
        <f>+Z354*1.04</f>
        <v>10.4</v>
      </c>
      <c r="AI354" s="42">
        <f>+AA354*1.04</f>
        <v>44.928000000000004</v>
      </c>
      <c r="AJ354" s="42">
        <f>+AB354*1.04</f>
        <v>6.24</v>
      </c>
      <c r="AK354" s="42"/>
      <c r="AL354" s="42"/>
      <c r="AM354" s="42">
        <v>676</v>
      </c>
      <c r="AN354" s="42"/>
      <c r="AO354" s="42">
        <f>+AH354*1.04</f>
        <v>10.816000000000001</v>
      </c>
      <c r="AP354" s="42">
        <f>+AI354*1.04</f>
        <v>46.725120000000004</v>
      </c>
      <c r="AQ354" s="42">
        <f>+AJ354*1.04</f>
        <v>6.4896000000000003</v>
      </c>
      <c r="AR354" s="42"/>
      <c r="AS354" s="42"/>
      <c r="AT354" s="42"/>
      <c r="AU354" s="42"/>
      <c r="AV354" s="42"/>
      <c r="AW354" s="42">
        <f>+AO354*1.04</f>
        <v>11.248640000000002</v>
      </c>
      <c r="AX354" s="42">
        <f>+AP354*1.04</f>
        <v>48.594124800000003</v>
      </c>
      <c r="AY354" s="42">
        <f>+AQ354*1.04</f>
        <v>6.7491840000000005</v>
      </c>
      <c r="AZ354" s="42"/>
      <c r="BA354" s="42"/>
      <c r="BB354" s="42"/>
      <c r="BC354" s="42"/>
      <c r="BD354" s="42"/>
      <c r="BE354" s="42">
        <f t="shared" si="202"/>
        <v>42.464640000000003</v>
      </c>
      <c r="BF354" s="42">
        <f t="shared" si="202"/>
        <v>183.44724480000002</v>
      </c>
      <c r="BG354" s="42">
        <f t="shared" si="202"/>
        <v>25.478784000000001</v>
      </c>
      <c r="BH354" s="42">
        <f t="shared" si="202"/>
        <v>219</v>
      </c>
      <c r="BI354" s="42">
        <f t="shared" si="202"/>
        <v>0</v>
      </c>
      <c r="BJ354" s="42">
        <f t="shared" si="201"/>
        <v>52</v>
      </c>
      <c r="BK354" s="42">
        <f t="shared" si="203"/>
        <v>676</v>
      </c>
      <c r="BL354" s="42">
        <f t="shared" si="203"/>
        <v>0</v>
      </c>
    </row>
    <row r="355" spans="1:64" ht="20.25" hidden="1" x14ac:dyDescent="0.2">
      <c r="A355" s="420"/>
      <c r="B355" s="1565" t="s">
        <v>1071</v>
      </c>
      <c r="C355" s="1566"/>
      <c r="D355" s="1566"/>
      <c r="E355" s="1566"/>
      <c r="F355" s="1566"/>
      <c r="G355" s="1566"/>
      <c r="H355" s="1566"/>
      <c r="I355" s="1566"/>
      <c r="J355" s="1566"/>
      <c r="K355" s="1566"/>
      <c r="L355" s="1566"/>
      <c r="M355" s="1567"/>
      <c r="N355" s="597"/>
      <c r="O355" s="597"/>
      <c r="P355" s="597"/>
      <c r="Q355" s="598"/>
      <c r="R355" s="598"/>
      <c r="S355" s="597"/>
      <c r="T355" s="597"/>
      <c r="U355" s="597"/>
      <c r="V355" s="599"/>
      <c r="W355" s="599"/>
      <c r="X355" s="599"/>
      <c r="Y355" s="599"/>
      <c r="Z355" s="600">
        <f t="shared" ref="Z355:AF355" si="204">+Z356+Z359</f>
        <v>10</v>
      </c>
      <c r="AA355" s="600">
        <f t="shared" si="204"/>
        <v>43.2</v>
      </c>
      <c r="AB355" s="600">
        <f t="shared" si="204"/>
        <v>6</v>
      </c>
      <c r="AC355" s="600">
        <f t="shared" si="204"/>
        <v>219</v>
      </c>
      <c r="AD355" s="600">
        <f t="shared" si="204"/>
        <v>0</v>
      </c>
      <c r="AE355" s="600">
        <f t="shared" si="204"/>
        <v>120.3</v>
      </c>
      <c r="AF355" s="600">
        <f t="shared" si="204"/>
        <v>650</v>
      </c>
      <c r="AG355" s="600">
        <f t="shared" ref="AG355:AG361" si="205">SUM(Z355:AF355)</f>
        <v>1048.5</v>
      </c>
      <c r="AH355" s="600">
        <f t="shared" ref="AH355:AM355" si="206">+AH356+AH359</f>
        <v>10</v>
      </c>
      <c r="AI355" s="600">
        <f t="shared" si="206"/>
        <v>44.9</v>
      </c>
      <c r="AJ355" s="600">
        <f t="shared" si="206"/>
        <v>36</v>
      </c>
      <c r="AK355" s="600">
        <f t="shared" si="206"/>
        <v>0</v>
      </c>
      <c r="AL355" s="600">
        <f t="shared" si="206"/>
        <v>0</v>
      </c>
      <c r="AM355" s="600">
        <f t="shared" si="206"/>
        <v>676</v>
      </c>
      <c r="AN355" s="600">
        <f t="shared" ref="AN355:AN361" si="207">SUM(AH355:AM355)</f>
        <v>766.9</v>
      </c>
      <c r="AO355" s="600">
        <f t="shared" ref="AO355:AU355" si="208">+AO356+AO359</f>
        <v>10</v>
      </c>
      <c r="AP355" s="600">
        <f t="shared" si="208"/>
        <v>46.7</v>
      </c>
      <c r="AQ355" s="600">
        <f t="shared" si="208"/>
        <v>6.5</v>
      </c>
      <c r="AR355" s="600">
        <f t="shared" si="208"/>
        <v>0</v>
      </c>
      <c r="AS355" s="600">
        <f t="shared" si="208"/>
        <v>0</v>
      </c>
      <c r="AT355" s="600">
        <f t="shared" si="208"/>
        <v>0</v>
      </c>
      <c r="AU355" s="600">
        <f t="shared" si="208"/>
        <v>703.04000000000008</v>
      </c>
      <c r="AV355" s="600">
        <f t="shared" ref="AV355:AV361" si="209">SUM(AO355:AU355)</f>
        <v>766.24000000000012</v>
      </c>
      <c r="AW355" s="600">
        <f t="shared" ref="AW355:BC355" si="210">+AW356+AW359</f>
        <v>11.2</v>
      </c>
      <c r="AX355" s="600">
        <f t="shared" si="210"/>
        <v>48.6</v>
      </c>
      <c r="AY355" s="600">
        <f t="shared" si="210"/>
        <v>6.7</v>
      </c>
      <c r="AZ355" s="600">
        <f t="shared" si="210"/>
        <v>1300</v>
      </c>
      <c r="BA355" s="600">
        <f t="shared" si="210"/>
        <v>0</v>
      </c>
      <c r="BB355" s="600">
        <f t="shared" si="210"/>
        <v>0</v>
      </c>
      <c r="BC355" s="600">
        <f t="shared" si="210"/>
        <v>731.16160000000013</v>
      </c>
      <c r="BD355" s="600">
        <f t="shared" ref="BD355:BD361" si="211">SUM(AW355:BC355)</f>
        <v>2097.6616000000004</v>
      </c>
      <c r="BE355" s="33">
        <f t="shared" si="202"/>
        <v>41.2</v>
      </c>
      <c r="BF355" s="33">
        <f t="shared" si="202"/>
        <v>183.40000000000003</v>
      </c>
      <c r="BG355" s="33">
        <f t="shared" si="202"/>
        <v>55.2</v>
      </c>
      <c r="BH355" s="33">
        <f t="shared" si="202"/>
        <v>1519</v>
      </c>
      <c r="BI355" s="33">
        <f t="shared" si="202"/>
        <v>0</v>
      </c>
      <c r="BJ355" s="33">
        <f t="shared" si="201"/>
        <v>120.3</v>
      </c>
      <c r="BK355" s="33">
        <f t="shared" si="203"/>
        <v>2760.2016000000003</v>
      </c>
      <c r="BL355" s="33">
        <f t="shared" si="203"/>
        <v>4679.3016000000007</v>
      </c>
    </row>
    <row r="356" spans="1:64" ht="12.75" hidden="1" x14ac:dyDescent="0.2">
      <c r="A356" s="603"/>
      <c r="B356" s="24" t="s">
        <v>1071</v>
      </c>
      <c r="C356" s="2"/>
      <c r="D356" s="2" t="s">
        <v>1072</v>
      </c>
      <c r="E356" s="1"/>
      <c r="F356" s="1"/>
      <c r="G356" s="1"/>
      <c r="H356" s="1"/>
      <c r="I356" s="1"/>
      <c r="J356" s="1"/>
      <c r="K356" s="1"/>
      <c r="L356" s="1"/>
      <c r="M356" s="1"/>
      <c r="N356" s="1"/>
      <c r="O356" s="1"/>
      <c r="P356" s="1"/>
      <c r="Q356" s="22"/>
      <c r="R356" s="22"/>
      <c r="S356" s="1"/>
      <c r="T356" s="1"/>
      <c r="U356" s="1"/>
      <c r="V356" s="49"/>
      <c r="W356" s="49"/>
      <c r="X356" s="49"/>
      <c r="Y356" s="49"/>
      <c r="Z356" s="34">
        <f t="shared" ref="Z356:AF356" si="212">SUM(Z357:Z358)</f>
        <v>10</v>
      </c>
      <c r="AA356" s="34">
        <f t="shared" si="212"/>
        <v>43.2</v>
      </c>
      <c r="AB356" s="34">
        <f t="shared" si="212"/>
        <v>6</v>
      </c>
      <c r="AC356" s="34">
        <f t="shared" si="212"/>
        <v>219</v>
      </c>
      <c r="AD356" s="34">
        <f t="shared" si="212"/>
        <v>0</v>
      </c>
      <c r="AE356" s="34">
        <f t="shared" si="212"/>
        <v>120.3</v>
      </c>
      <c r="AF356" s="34">
        <f t="shared" si="212"/>
        <v>650</v>
      </c>
      <c r="AG356" s="34">
        <f t="shared" si="205"/>
        <v>1048.5</v>
      </c>
      <c r="AH356" s="34">
        <f t="shared" ref="AH356:AM356" si="213">SUM(AH357:AH358)</f>
        <v>10</v>
      </c>
      <c r="AI356" s="34">
        <f t="shared" si="213"/>
        <v>30</v>
      </c>
      <c r="AJ356" s="34">
        <f t="shared" si="213"/>
        <v>36</v>
      </c>
      <c r="AK356" s="34">
        <f t="shared" si="213"/>
        <v>0</v>
      </c>
      <c r="AL356" s="34">
        <f t="shared" si="213"/>
        <v>0</v>
      </c>
      <c r="AM356" s="34">
        <f t="shared" si="213"/>
        <v>676</v>
      </c>
      <c r="AN356" s="34">
        <f t="shared" si="207"/>
        <v>752</v>
      </c>
      <c r="AO356" s="34">
        <f t="shared" ref="AO356:AU356" si="214">SUM(AO357:AO358)</f>
        <v>10</v>
      </c>
      <c r="AP356" s="34">
        <f t="shared" si="214"/>
        <v>40</v>
      </c>
      <c r="AQ356" s="34">
        <f t="shared" si="214"/>
        <v>6.5</v>
      </c>
      <c r="AR356" s="34">
        <f t="shared" si="214"/>
        <v>0</v>
      </c>
      <c r="AS356" s="34">
        <f t="shared" si="214"/>
        <v>0</v>
      </c>
      <c r="AT356" s="34">
        <f t="shared" si="214"/>
        <v>0</v>
      </c>
      <c r="AU356" s="34">
        <f t="shared" si="214"/>
        <v>703.04000000000008</v>
      </c>
      <c r="AV356" s="34">
        <f t="shared" si="209"/>
        <v>759.54000000000008</v>
      </c>
      <c r="AW356" s="34">
        <f t="shared" ref="AW356:BC356" si="215">SUM(AW357:AW358)</f>
        <v>11.2</v>
      </c>
      <c r="AX356" s="34">
        <f t="shared" si="215"/>
        <v>48.6</v>
      </c>
      <c r="AY356" s="34">
        <f t="shared" si="215"/>
        <v>6.7</v>
      </c>
      <c r="AZ356" s="34">
        <f t="shared" si="215"/>
        <v>500</v>
      </c>
      <c r="BA356" s="34">
        <f t="shared" si="215"/>
        <v>0</v>
      </c>
      <c r="BB356" s="34">
        <f t="shared" si="215"/>
        <v>0</v>
      </c>
      <c r="BC356" s="34">
        <f t="shared" si="215"/>
        <v>731.16160000000013</v>
      </c>
      <c r="BD356" s="34">
        <f t="shared" si="211"/>
        <v>1297.6616000000001</v>
      </c>
      <c r="BE356" s="34">
        <f t="shared" si="202"/>
        <v>41.2</v>
      </c>
      <c r="BF356" s="34">
        <f t="shared" si="202"/>
        <v>161.80000000000001</v>
      </c>
      <c r="BG356" s="34">
        <f t="shared" si="202"/>
        <v>55.2</v>
      </c>
      <c r="BH356" s="34">
        <f t="shared" si="202"/>
        <v>719</v>
      </c>
      <c r="BI356" s="34">
        <f t="shared" si="202"/>
        <v>0</v>
      </c>
      <c r="BJ356" s="34">
        <f t="shared" si="201"/>
        <v>120.3</v>
      </c>
      <c r="BK356" s="34">
        <f t="shared" si="203"/>
        <v>2760.2016000000003</v>
      </c>
      <c r="BL356" s="34">
        <f t="shared" si="203"/>
        <v>3857.7016000000003</v>
      </c>
    </row>
    <row r="357" spans="1:64" ht="39.75" hidden="1" customHeight="1" x14ac:dyDescent="0.2">
      <c r="A357" s="298" t="s">
        <v>1073</v>
      </c>
      <c r="B357" s="299" t="s">
        <v>1071</v>
      </c>
      <c r="C357" s="1429" t="s">
        <v>1074</v>
      </c>
      <c r="D357" s="1425" t="s">
        <v>1075</v>
      </c>
      <c r="E357" s="1425" t="s">
        <v>1076</v>
      </c>
      <c r="F357" s="1425">
        <v>2005</v>
      </c>
      <c r="G357" s="1425">
        <v>92.6</v>
      </c>
      <c r="H357" s="1425">
        <v>94</v>
      </c>
      <c r="I357" s="1425" t="s">
        <v>53</v>
      </c>
      <c r="J357" s="1425"/>
      <c r="K357" s="1425" t="s">
        <v>1077</v>
      </c>
      <c r="L357" s="301" t="s">
        <v>1078</v>
      </c>
      <c r="M357" s="1425" t="s">
        <v>1041</v>
      </c>
      <c r="N357" s="1425" t="s">
        <v>1008</v>
      </c>
      <c r="O357" s="1425" t="s">
        <v>47</v>
      </c>
      <c r="P357" s="1425"/>
      <c r="Q357" s="16" t="s">
        <v>1079</v>
      </c>
      <c r="R357" s="302" t="s">
        <v>1080</v>
      </c>
      <c r="S357" s="303">
        <v>2015</v>
      </c>
      <c r="T357" s="303">
        <v>0</v>
      </c>
      <c r="U357" s="303">
        <v>100</v>
      </c>
      <c r="V357" s="572">
        <v>50</v>
      </c>
      <c r="W357" s="572">
        <v>50</v>
      </c>
      <c r="X357" s="572">
        <v>100</v>
      </c>
      <c r="Y357" s="572">
        <v>300</v>
      </c>
      <c r="Z357" s="481">
        <v>10</v>
      </c>
      <c r="AA357" s="481">
        <v>43.2</v>
      </c>
      <c r="AB357" s="481">
        <v>6</v>
      </c>
      <c r="AC357" s="481">
        <v>219</v>
      </c>
      <c r="AD357" s="481"/>
      <c r="AE357" s="481">
        <f>52+68.3</f>
        <v>120.3</v>
      </c>
      <c r="AF357" s="481"/>
      <c r="AG357" s="481">
        <f t="shared" si="205"/>
        <v>398.5</v>
      </c>
      <c r="AH357" s="548">
        <v>10</v>
      </c>
      <c r="AI357" s="491">
        <v>30</v>
      </c>
      <c r="AJ357" s="548">
        <v>6</v>
      </c>
      <c r="AK357" s="592"/>
      <c r="AL357" s="548"/>
      <c r="AM357" s="548"/>
      <c r="AN357" s="548">
        <f t="shared" si="207"/>
        <v>46</v>
      </c>
      <c r="AO357" s="481">
        <v>10</v>
      </c>
      <c r="AP357" s="491">
        <v>40</v>
      </c>
      <c r="AQ357" s="481">
        <v>6.5</v>
      </c>
      <c r="AR357" s="481"/>
      <c r="AS357" s="481"/>
      <c r="AT357" s="481"/>
      <c r="AU357" s="481"/>
      <c r="AV357" s="481">
        <f t="shared" si="209"/>
        <v>56.5</v>
      </c>
      <c r="AW357" s="548">
        <v>11.2</v>
      </c>
      <c r="AX357" s="548">
        <v>48.6</v>
      </c>
      <c r="AY357" s="548">
        <v>6.7</v>
      </c>
      <c r="AZ357" s="548">
        <v>500</v>
      </c>
      <c r="BA357" s="548"/>
      <c r="BB357" s="548"/>
      <c r="BC357" s="548"/>
      <c r="BD357" s="548">
        <f t="shared" si="211"/>
        <v>566.5</v>
      </c>
      <c r="BE357" s="42">
        <f t="shared" si="202"/>
        <v>41.2</v>
      </c>
      <c r="BF357" s="42">
        <f t="shared" si="202"/>
        <v>161.80000000000001</v>
      </c>
      <c r="BG357" s="42">
        <f t="shared" si="202"/>
        <v>25.2</v>
      </c>
      <c r="BH357" s="42">
        <f t="shared" si="202"/>
        <v>719</v>
      </c>
      <c r="BI357" s="42">
        <f t="shared" si="202"/>
        <v>0</v>
      </c>
      <c r="BJ357" s="42">
        <f t="shared" si="201"/>
        <v>120.3</v>
      </c>
      <c r="BK357" s="42">
        <f t="shared" si="203"/>
        <v>0</v>
      </c>
      <c r="BL357" s="42">
        <f t="shared" si="203"/>
        <v>1067.5</v>
      </c>
    </row>
    <row r="358" spans="1:64" ht="54.75" hidden="1" customHeight="1" x14ac:dyDescent="0.2">
      <c r="A358" s="298" t="s">
        <v>1073</v>
      </c>
      <c r="B358" s="299" t="s">
        <v>1071</v>
      </c>
      <c r="C358" s="1429" t="s">
        <v>1081</v>
      </c>
      <c r="D358" s="1425" t="s">
        <v>1082</v>
      </c>
      <c r="E358" s="1425" t="s">
        <v>1083</v>
      </c>
      <c r="F358" s="1425">
        <v>2005</v>
      </c>
      <c r="G358" s="1425">
        <v>95</v>
      </c>
      <c r="H358" s="1425">
        <v>95</v>
      </c>
      <c r="I358" s="1425"/>
      <c r="J358" s="1425"/>
      <c r="K358" s="1425" t="s">
        <v>1084</v>
      </c>
      <c r="L358" s="301" t="s">
        <v>1078</v>
      </c>
      <c r="M358" s="1425" t="s">
        <v>1041</v>
      </c>
      <c r="N358" s="1425" t="s">
        <v>1008</v>
      </c>
      <c r="O358" s="1425" t="s">
        <v>73</v>
      </c>
      <c r="P358" s="1425"/>
      <c r="Q358" s="16" t="s">
        <v>1085</v>
      </c>
      <c r="R358" s="302" t="s">
        <v>1086</v>
      </c>
      <c r="S358" s="303">
        <v>2015</v>
      </c>
      <c r="T358" s="303">
        <v>0</v>
      </c>
      <c r="U358" s="303">
        <v>1</v>
      </c>
      <c r="V358" s="572">
        <v>1</v>
      </c>
      <c r="W358" s="572">
        <v>1</v>
      </c>
      <c r="X358" s="572">
        <v>1</v>
      </c>
      <c r="Y358" s="572">
        <v>1</v>
      </c>
      <c r="Z358" s="481"/>
      <c r="AA358" s="481"/>
      <c r="AB358" s="481"/>
      <c r="AC358" s="481"/>
      <c r="AD358" s="481"/>
      <c r="AE358" s="481"/>
      <c r="AF358" s="481">
        <v>650</v>
      </c>
      <c r="AG358" s="481">
        <f t="shared" si="205"/>
        <v>650</v>
      </c>
      <c r="AH358" s="548"/>
      <c r="AI358" s="548"/>
      <c r="AJ358" s="716">
        <v>30</v>
      </c>
      <c r="AK358" s="548"/>
      <c r="AL358" s="548"/>
      <c r="AM358" s="548">
        <f>+AF358*1.04</f>
        <v>676</v>
      </c>
      <c r="AN358" s="548">
        <f t="shared" si="207"/>
        <v>706</v>
      </c>
      <c r="AO358" s="481"/>
      <c r="AP358" s="481"/>
      <c r="AQ358" s="481"/>
      <c r="AR358" s="481"/>
      <c r="AS358" s="481"/>
      <c r="AT358" s="481"/>
      <c r="AU358" s="481">
        <f>+AM358*1.04</f>
        <v>703.04000000000008</v>
      </c>
      <c r="AV358" s="481">
        <f t="shared" si="209"/>
        <v>703.04000000000008</v>
      </c>
      <c r="AW358" s="548"/>
      <c r="AX358" s="548"/>
      <c r="AY358" s="548"/>
      <c r="AZ358" s="548"/>
      <c r="BA358" s="548"/>
      <c r="BB358" s="548"/>
      <c r="BC358" s="548">
        <f>+AU358*1.04</f>
        <v>731.16160000000013</v>
      </c>
      <c r="BD358" s="548">
        <f t="shared" si="211"/>
        <v>731.16160000000013</v>
      </c>
      <c r="BE358" s="42">
        <f t="shared" si="202"/>
        <v>0</v>
      </c>
      <c r="BF358" s="42">
        <f t="shared" si="202"/>
        <v>0</v>
      </c>
      <c r="BG358" s="42">
        <f t="shared" si="202"/>
        <v>30</v>
      </c>
      <c r="BH358" s="42">
        <f t="shared" si="202"/>
        <v>0</v>
      </c>
      <c r="BI358" s="42">
        <f t="shared" si="202"/>
        <v>0</v>
      </c>
      <c r="BJ358" s="42">
        <f t="shared" si="201"/>
        <v>0</v>
      </c>
      <c r="BK358" s="42">
        <f t="shared" si="203"/>
        <v>2760.2016000000003</v>
      </c>
      <c r="BL358" s="42">
        <f t="shared" si="203"/>
        <v>2790.2016000000003</v>
      </c>
    </row>
    <row r="359" spans="1:64" ht="12.75" hidden="1" x14ac:dyDescent="0.2">
      <c r="A359" s="295" t="s">
        <v>1073</v>
      </c>
      <c r="B359" s="24" t="s">
        <v>1071</v>
      </c>
      <c r="C359" s="2"/>
      <c r="D359" s="2" t="s">
        <v>1087</v>
      </c>
      <c r="E359" s="1"/>
      <c r="F359" s="1"/>
      <c r="G359" s="1"/>
      <c r="H359" s="1"/>
      <c r="I359" s="1"/>
      <c r="J359" s="1"/>
      <c r="K359" s="1"/>
      <c r="L359" s="1"/>
      <c r="M359" s="1"/>
      <c r="N359" s="1"/>
      <c r="O359" s="1"/>
      <c r="P359" s="1"/>
      <c r="Q359" s="22"/>
      <c r="R359" s="22"/>
      <c r="S359" s="1"/>
      <c r="T359" s="1"/>
      <c r="U359" s="1"/>
      <c r="V359" s="49"/>
      <c r="W359" s="49"/>
      <c r="X359" s="49"/>
      <c r="Y359" s="49"/>
      <c r="Z359" s="34">
        <f>SUM(Z360)</f>
        <v>0</v>
      </c>
      <c r="AA359" s="34">
        <f t="shared" ref="AA359:AF359" si="216">SUM(AA360)</f>
        <v>0</v>
      </c>
      <c r="AB359" s="34">
        <f t="shared" si="216"/>
        <v>0</v>
      </c>
      <c r="AC359" s="34">
        <f t="shared" si="216"/>
        <v>0</v>
      </c>
      <c r="AD359" s="34">
        <f t="shared" si="216"/>
        <v>0</v>
      </c>
      <c r="AE359" s="34">
        <f t="shared" si="216"/>
        <v>0</v>
      </c>
      <c r="AF359" s="34">
        <f t="shared" si="216"/>
        <v>0</v>
      </c>
      <c r="AG359" s="34">
        <f t="shared" si="205"/>
        <v>0</v>
      </c>
      <c r="AH359" s="34">
        <f t="shared" ref="AH359:AM359" si="217">SUM(AH360)</f>
        <v>0</v>
      </c>
      <c r="AI359" s="34">
        <f t="shared" si="217"/>
        <v>14.9</v>
      </c>
      <c r="AJ359" s="34">
        <f t="shared" si="217"/>
        <v>0</v>
      </c>
      <c r="AK359" s="34">
        <f t="shared" si="217"/>
        <v>0</v>
      </c>
      <c r="AL359" s="34">
        <f t="shared" si="217"/>
        <v>0</v>
      </c>
      <c r="AM359" s="34">
        <f t="shared" si="217"/>
        <v>0</v>
      </c>
      <c r="AN359" s="34">
        <f t="shared" si="207"/>
        <v>14.9</v>
      </c>
      <c r="AO359" s="34">
        <f t="shared" ref="AO359:AU359" si="218">SUM(AO360)</f>
        <v>0</v>
      </c>
      <c r="AP359" s="34">
        <f t="shared" si="218"/>
        <v>6.7</v>
      </c>
      <c r="AQ359" s="34">
        <f t="shared" si="218"/>
        <v>0</v>
      </c>
      <c r="AR359" s="34">
        <f t="shared" si="218"/>
        <v>0</v>
      </c>
      <c r="AS359" s="34">
        <f t="shared" si="218"/>
        <v>0</v>
      </c>
      <c r="AT359" s="34">
        <f t="shared" si="218"/>
        <v>0</v>
      </c>
      <c r="AU359" s="34">
        <f t="shared" si="218"/>
        <v>0</v>
      </c>
      <c r="AV359" s="34">
        <f t="shared" si="209"/>
        <v>6.7</v>
      </c>
      <c r="AW359" s="34">
        <f t="shared" ref="AW359:BC359" si="219">SUM(AW360)</f>
        <v>0</v>
      </c>
      <c r="AX359" s="34">
        <f t="shared" si="219"/>
        <v>0</v>
      </c>
      <c r="AY359" s="34">
        <f t="shared" si="219"/>
        <v>0</v>
      </c>
      <c r="AZ359" s="34">
        <f t="shared" si="219"/>
        <v>800</v>
      </c>
      <c r="BA359" s="34">
        <f t="shared" si="219"/>
        <v>0</v>
      </c>
      <c r="BB359" s="34">
        <f t="shared" si="219"/>
        <v>0</v>
      </c>
      <c r="BC359" s="34">
        <f t="shared" si="219"/>
        <v>0</v>
      </c>
      <c r="BD359" s="34">
        <f t="shared" si="211"/>
        <v>800</v>
      </c>
      <c r="BE359" s="34">
        <f t="shared" si="202"/>
        <v>0</v>
      </c>
      <c r="BF359" s="34">
        <f t="shared" si="202"/>
        <v>21.6</v>
      </c>
      <c r="BG359" s="34">
        <f t="shared" si="202"/>
        <v>0</v>
      </c>
      <c r="BH359" s="34">
        <f t="shared" si="202"/>
        <v>800</v>
      </c>
      <c r="BI359" s="34">
        <f t="shared" si="202"/>
        <v>0</v>
      </c>
      <c r="BJ359" s="34">
        <f t="shared" si="201"/>
        <v>0</v>
      </c>
      <c r="BK359" s="34">
        <f t="shared" si="203"/>
        <v>0</v>
      </c>
      <c r="BL359" s="34">
        <f t="shared" si="203"/>
        <v>821.6</v>
      </c>
    </row>
    <row r="360" spans="1:64" ht="49.5" hidden="1" customHeight="1" x14ac:dyDescent="0.2">
      <c r="A360" s="298" t="s">
        <v>1073</v>
      </c>
      <c r="B360" s="299" t="s">
        <v>1071</v>
      </c>
      <c r="C360" s="1429" t="s">
        <v>1088</v>
      </c>
      <c r="D360" s="1425" t="s">
        <v>1089</v>
      </c>
      <c r="E360" s="1425" t="s">
        <v>1090</v>
      </c>
      <c r="F360" s="1425">
        <v>2005</v>
      </c>
      <c r="G360" s="1425">
        <v>87.9</v>
      </c>
      <c r="H360" s="1425">
        <v>90</v>
      </c>
      <c r="I360" s="1425" t="s">
        <v>53</v>
      </c>
      <c r="J360" s="1425"/>
      <c r="K360" s="1425" t="s">
        <v>1091</v>
      </c>
      <c r="L360" s="301" t="s">
        <v>1078</v>
      </c>
      <c r="M360" s="1425" t="s">
        <v>1041</v>
      </c>
      <c r="N360" s="1425" t="s">
        <v>1008</v>
      </c>
      <c r="O360" s="1425" t="s">
        <v>47</v>
      </c>
      <c r="P360" s="1425"/>
      <c r="Q360" s="16" t="s">
        <v>1092</v>
      </c>
      <c r="R360" s="302" t="s">
        <v>1093</v>
      </c>
      <c r="S360" s="303">
        <v>2015</v>
      </c>
      <c r="T360" s="303">
        <v>0</v>
      </c>
      <c r="U360" s="303">
        <v>0</v>
      </c>
      <c r="V360" s="572">
        <v>100</v>
      </c>
      <c r="W360" s="572">
        <v>200</v>
      </c>
      <c r="X360" s="572">
        <v>200</v>
      </c>
      <c r="Y360" s="572">
        <v>500</v>
      </c>
      <c r="Z360" s="481"/>
      <c r="AA360" s="481"/>
      <c r="AB360" s="481"/>
      <c r="AC360" s="481"/>
      <c r="AD360" s="481"/>
      <c r="AE360" s="481"/>
      <c r="AF360" s="481"/>
      <c r="AG360" s="481">
        <f t="shared" si="205"/>
        <v>0</v>
      </c>
      <c r="AH360" s="548"/>
      <c r="AI360" s="491">
        <v>14.9</v>
      </c>
      <c r="AJ360" s="548"/>
      <c r="AK360" s="592"/>
      <c r="AL360" s="548"/>
      <c r="AM360" s="548"/>
      <c r="AN360" s="548">
        <f t="shared" si="207"/>
        <v>14.9</v>
      </c>
      <c r="AO360" s="481"/>
      <c r="AP360" s="491">
        <v>6.7</v>
      </c>
      <c r="AQ360" s="481"/>
      <c r="AR360" s="481"/>
      <c r="AS360" s="481"/>
      <c r="AT360" s="481"/>
      <c r="AU360" s="481"/>
      <c r="AV360" s="481">
        <f t="shared" si="209"/>
        <v>6.7</v>
      </c>
      <c r="AW360" s="548"/>
      <c r="AX360" s="548"/>
      <c r="AY360" s="548"/>
      <c r="AZ360" s="548">
        <v>800</v>
      </c>
      <c r="BA360" s="548"/>
      <c r="BB360" s="548"/>
      <c r="BC360" s="548"/>
      <c r="BD360" s="548">
        <f t="shared" si="211"/>
        <v>800</v>
      </c>
      <c r="BE360" s="42">
        <f t="shared" si="202"/>
        <v>0</v>
      </c>
      <c r="BF360" s="42">
        <f t="shared" si="202"/>
        <v>21.6</v>
      </c>
      <c r="BG360" s="42">
        <f t="shared" si="202"/>
        <v>0</v>
      </c>
      <c r="BH360" s="42">
        <f t="shared" si="202"/>
        <v>800</v>
      </c>
      <c r="BI360" s="42">
        <f t="shared" si="202"/>
        <v>0</v>
      </c>
      <c r="BJ360" s="42">
        <f t="shared" si="201"/>
        <v>0</v>
      </c>
      <c r="BK360" s="42">
        <f t="shared" si="203"/>
        <v>0</v>
      </c>
      <c r="BL360" s="42">
        <f t="shared" si="203"/>
        <v>821.6</v>
      </c>
    </row>
    <row r="361" spans="1:64" ht="22.8" x14ac:dyDescent="0.25">
      <c r="A361" s="604"/>
      <c r="B361" s="1571" t="s">
        <v>1094</v>
      </c>
      <c r="C361" s="1572"/>
      <c r="D361" s="1572"/>
      <c r="E361" s="1572"/>
      <c r="F361" s="1572"/>
      <c r="G361" s="1572"/>
      <c r="H361" s="1572"/>
      <c r="I361" s="1572"/>
      <c r="J361" s="1572"/>
      <c r="K361" s="1572"/>
      <c r="L361" s="1572"/>
      <c r="M361" s="1572"/>
      <c r="N361" s="1573"/>
      <c r="O361" s="8"/>
      <c r="P361" s="8"/>
      <c r="Q361" s="20"/>
      <c r="R361" s="20"/>
      <c r="S361" s="8"/>
      <c r="T361" s="8"/>
      <c r="U361" s="8"/>
      <c r="V361" s="65"/>
      <c r="W361" s="65"/>
      <c r="X361" s="65"/>
      <c r="Y361" s="65"/>
      <c r="Z361" s="36">
        <f t="shared" ref="Z361:AF361" si="220">+Z363+Z375+Z402+Z415</f>
        <v>337.4</v>
      </c>
      <c r="AA361" s="36">
        <f t="shared" si="220"/>
        <v>400.9</v>
      </c>
      <c r="AB361" s="36">
        <f t="shared" si="220"/>
        <v>565.6</v>
      </c>
      <c r="AC361" s="497">
        <f t="shared" si="220"/>
        <v>390</v>
      </c>
      <c r="AD361" s="36">
        <f t="shared" si="220"/>
        <v>0</v>
      </c>
      <c r="AE361" s="36">
        <f t="shared" si="220"/>
        <v>752.7</v>
      </c>
      <c r="AF361" s="36">
        <f t="shared" si="220"/>
        <v>850</v>
      </c>
      <c r="AG361" s="36">
        <f t="shared" si="205"/>
        <v>3296.6000000000004</v>
      </c>
      <c r="AH361" s="36">
        <f t="shared" ref="AH361:AM361" si="221">+AH363+AH375+AH402+AH415</f>
        <v>335</v>
      </c>
      <c r="AI361" s="36">
        <f t="shared" si="221"/>
        <v>378</v>
      </c>
      <c r="AJ361" s="36">
        <f t="shared" si="221"/>
        <v>652</v>
      </c>
      <c r="AK361" s="36">
        <f t="shared" si="221"/>
        <v>0</v>
      </c>
      <c r="AL361" s="36">
        <f t="shared" si="221"/>
        <v>0</v>
      </c>
      <c r="AM361" s="36">
        <f t="shared" si="221"/>
        <v>1800</v>
      </c>
      <c r="AN361" s="36">
        <f t="shared" si="207"/>
        <v>3165</v>
      </c>
      <c r="AO361" s="36">
        <f t="shared" ref="AO361:AU361" si="222">+AO363+AO375+AO402+AO415</f>
        <v>332.4</v>
      </c>
      <c r="AP361" s="36">
        <f t="shared" si="222"/>
        <v>399.5</v>
      </c>
      <c r="AQ361" s="36">
        <f t="shared" si="222"/>
        <v>552</v>
      </c>
      <c r="AR361" s="36">
        <f t="shared" si="222"/>
        <v>0</v>
      </c>
      <c r="AS361" s="36">
        <f t="shared" si="222"/>
        <v>0</v>
      </c>
      <c r="AT361" s="36">
        <f t="shared" si="222"/>
        <v>0</v>
      </c>
      <c r="AU361" s="36">
        <f t="shared" si="222"/>
        <v>0</v>
      </c>
      <c r="AV361" s="36">
        <f t="shared" si="209"/>
        <v>1283.9000000000001</v>
      </c>
      <c r="AW361" s="36">
        <f t="shared" ref="AW361:BC361" si="223">+AW363+AW375+AW402+AW415</f>
        <v>348</v>
      </c>
      <c r="AX361" s="36">
        <f t="shared" si="223"/>
        <v>392</v>
      </c>
      <c r="AY361" s="36">
        <f t="shared" si="223"/>
        <v>572</v>
      </c>
      <c r="AZ361" s="36">
        <f t="shared" si="223"/>
        <v>0</v>
      </c>
      <c r="BA361" s="36">
        <f t="shared" si="223"/>
        <v>0</v>
      </c>
      <c r="BB361" s="36">
        <f t="shared" si="223"/>
        <v>0</v>
      </c>
      <c r="BC361" s="36">
        <f t="shared" si="223"/>
        <v>0</v>
      </c>
      <c r="BD361" s="36">
        <f t="shared" si="211"/>
        <v>1312</v>
      </c>
      <c r="BE361" s="36">
        <f t="shared" si="202"/>
        <v>1352.8</v>
      </c>
      <c r="BF361" s="36">
        <f t="shared" si="202"/>
        <v>1570.4</v>
      </c>
      <c r="BG361" s="36">
        <f t="shared" si="202"/>
        <v>2341.6</v>
      </c>
      <c r="BH361" s="36">
        <f t="shared" si="202"/>
        <v>390</v>
      </c>
      <c r="BI361" s="36">
        <f t="shared" si="202"/>
        <v>0</v>
      </c>
      <c r="BJ361" s="36">
        <f t="shared" si="201"/>
        <v>752.7</v>
      </c>
      <c r="BK361" s="36">
        <f t="shared" si="203"/>
        <v>2650</v>
      </c>
      <c r="BL361" s="36">
        <f t="shared" si="203"/>
        <v>9057.5</v>
      </c>
    </row>
    <row r="362" spans="1:64" ht="2.25" customHeight="1" x14ac:dyDescent="0.2">
      <c r="A362" s="151"/>
      <c r="B362" s="7" t="s">
        <v>1095</v>
      </c>
      <c r="C362" s="18"/>
      <c r="D362" s="8"/>
      <c r="E362" s="8"/>
      <c r="F362" s="8"/>
      <c r="G362" s="8"/>
      <c r="H362" s="8"/>
      <c r="I362" s="11"/>
      <c r="J362" s="11"/>
      <c r="K362" s="11"/>
      <c r="L362" s="11"/>
      <c r="M362" s="11"/>
      <c r="N362" s="11"/>
      <c r="O362" s="11"/>
      <c r="P362" s="11"/>
      <c r="Q362" s="1438"/>
      <c r="R362" s="1438"/>
      <c r="S362" s="11"/>
      <c r="T362" s="11"/>
      <c r="U362" s="11"/>
      <c r="V362" s="47"/>
      <c r="W362" s="47"/>
      <c r="X362" s="47"/>
      <c r="Y362" s="47"/>
      <c r="Z362" s="32">
        <v>20</v>
      </c>
      <c r="AA362" s="32">
        <v>50.9</v>
      </c>
      <c r="AB362" s="32">
        <v>29</v>
      </c>
      <c r="AC362" s="32"/>
      <c r="AD362" s="32"/>
      <c r="AE362" s="32">
        <v>126</v>
      </c>
      <c r="AF362" s="32"/>
      <c r="AG362" s="32">
        <f>SUBTOTAL(9,Z362:AF362)</f>
        <v>225.9</v>
      </c>
      <c r="AH362" s="32">
        <f>+Z362*1.035</f>
        <v>20.7</v>
      </c>
      <c r="AI362" s="32">
        <f>+AA362*1.035</f>
        <v>52.681499999999993</v>
      </c>
      <c r="AJ362" s="32">
        <f>+AB362*1.035</f>
        <v>30.014999999999997</v>
      </c>
      <c r="AK362" s="32"/>
      <c r="AL362" s="32"/>
      <c r="AM362" s="32"/>
      <c r="AN362" s="32">
        <f>SUBTOTAL(9,AH362:AM362)</f>
        <v>103.39649999999999</v>
      </c>
      <c r="AO362" s="32">
        <f>+AH362*1.035</f>
        <v>21.424499999999998</v>
      </c>
      <c r="AP362" s="32">
        <f>+AI362*1.035</f>
        <v>54.52535249999999</v>
      </c>
      <c r="AQ362" s="32">
        <f>+AJ362*1.035</f>
        <v>31.065524999999994</v>
      </c>
      <c r="AR362" s="32"/>
      <c r="AS362" s="32"/>
      <c r="AT362" s="32"/>
      <c r="AU362" s="32"/>
      <c r="AV362" s="32"/>
      <c r="AW362" s="32">
        <f>+AO362*1.035</f>
        <v>22.174357499999996</v>
      </c>
      <c r="AX362" s="32">
        <f>+AP362*1.035</f>
        <v>56.433739837499985</v>
      </c>
      <c r="AY362" s="32">
        <f>+AQ362*1.035</f>
        <v>32.152818374999988</v>
      </c>
      <c r="AZ362" s="32"/>
      <c r="BA362" s="32"/>
      <c r="BB362" s="32"/>
      <c r="BC362" s="32"/>
      <c r="BD362" s="32"/>
      <c r="BE362" s="32">
        <f t="shared" si="202"/>
        <v>84.298857499999997</v>
      </c>
      <c r="BF362" s="32">
        <f t="shared" si="202"/>
        <v>214.54059233749999</v>
      </c>
      <c r="BG362" s="32">
        <f t="shared" si="202"/>
        <v>122.23334337499998</v>
      </c>
      <c r="BH362" s="32">
        <f t="shared" si="202"/>
        <v>0</v>
      </c>
      <c r="BI362" s="32">
        <f t="shared" si="202"/>
        <v>0</v>
      </c>
      <c r="BJ362" s="32">
        <f t="shared" si="201"/>
        <v>126</v>
      </c>
      <c r="BK362" s="32">
        <f t="shared" si="203"/>
        <v>0</v>
      </c>
      <c r="BL362" s="32">
        <f t="shared" si="203"/>
        <v>329.29649999999998</v>
      </c>
    </row>
    <row r="363" spans="1:64" ht="20.25" x14ac:dyDescent="0.2">
      <c r="A363" s="420"/>
      <c r="B363" s="1565" t="s">
        <v>1095</v>
      </c>
      <c r="C363" s="1566"/>
      <c r="D363" s="1566"/>
      <c r="E363" s="1566"/>
      <c r="F363" s="1566"/>
      <c r="G363" s="1566"/>
      <c r="H363" s="1566"/>
      <c r="I363" s="1566"/>
      <c r="J363" s="1566"/>
      <c r="K363" s="1566"/>
      <c r="L363" s="1566"/>
      <c r="M363" s="1567"/>
      <c r="N363" s="597"/>
      <c r="O363" s="597"/>
      <c r="P363" s="597"/>
      <c r="Q363" s="598"/>
      <c r="R363" s="598"/>
      <c r="S363" s="597"/>
      <c r="T363" s="597"/>
      <c r="U363" s="597"/>
      <c r="V363" s="599"/>
      <c r="W363" s="599"/>
      <c r="X363" s="599"/>
      <c r="Y363" s="599"/>
      <c r="Z363" s="600">
        <f>+Z364</f>
        <v>20</v>
      </c>
      <c r="AA363" s="600">
        <f t="shared" ref="AA363:AF363" si="224">+AA364</f>
        <v>50.9</v>
      </c>
      <c r="AB363" s="600">
        <f t="shared" si="224"/>
        <v>29</v>
      </c>
      <c r="AC363" s="600">
        <f t="shared" si="224"/>
        <v>0</v>
      </c>
      <c r="AD363" s="600">
        <f t="shared" si="224"/>
        <v>0</v>
      </c>
      <c r="AE363" s="600">
        <f t="shared" si="224"/>
        <v>126</v>
      </c>
      <c r="AF363" s="600">
        <f t="shared" si="224"/>
        <v>850</v>
      </c>
      <c r="AG363" s="600">
        <f t="shared" ref="AG363:AG371" si="225">SUM(Z363:AF363)</f>
        <v>1075.9000000000001</v>
      </c>
      <c r="AH363" s="600">
        <f t="shared" ref="AH363:AM363" si="226">+AH364</f>
        <v>20</v>
      </c>
      <c r="AI363" s="600">
        <f t="shared" si="226"/>
        <v>53</v>
      </c>
      <c r="AJ363" s="600">
        <f t="shared" si="226"/>
        <v>40</v>
      </c>
      <c r="AK363" s="600">
        <f t="shared" si="226"/>
        <v>0</v>
      </c>
      <c r="AL363" s="600">
        <f t="shared" si="226"/>
        <v>0</v>
      </c>
      <c r="AM363" s="600">
        <f t="shared" si="226"/>
        <v>1500</v>
      </c>
      <c r="AN363" s="600">
        <f>SUM(AH363:AM363)</f>
        <v>1613</v>
      </c>
      <c r="AO363" s="600">
        <f t="shared" ref="AO363:AU363" si="227">+AO364</f>
        <v>21.4</v>
      </c>
      <c r="AP363" s="600">
        <f t="shared" si="227"/>
        <v>54.5</v>
      </c>
      <c r="AQ363" s="600">
        <f t="shared" si="227"/>
        <v>31</v>
      </c>
      <c r="AR363" s="600">
        <f t="shared" si="227"/>
        <v>0</v>
      </c>
      <c r="AS363" s="600">
        <f t="shared" si="227"/>
        <v>0</v>
      </c>
      <c r="AT363" s="600">
        <f t="shared" si="227"/>
        <v>0</v>
      </c>
      <c r="AU363" s="600">
        <f t="shared" si="227"/>
        <v>0</v>
      </c>
      <c r="AV363" s="600">
        <f>SUM(AO363:AU363)</f>
        <v>106.9</v>
      </c>
      <c r="AW363" s="600">
        <f t="shared" ref="AW363:BC363" si="228">+AW364</f>
        <v>22</v>
      </c>
      <c r="AX363" s="600">
        <f t="shared" si="228"/>
        <v>57</v>
      </c>
      <c r="AY363" s="600">
        <f t="shared" si="228"/>
        <v>32</v>
      </c>
      <c r="AZ363" s="600">
        <f t="shared" si="228"/>
        <v>0</v>
      </c>
      <c r="BA363" s="600">
        <f t="shared" si="228"/>
        <v>0</v>
      </c>
      <c r="BB363" s="600">
        <f t="shared" si="228"/>
        <v>0</v>
      </c>
      <c r="BC363" s="600">
        <f t="shared" si="228"/>
        <v>0</v>
      </c>
      <c r="BD363" s="600">
        <f>SUM(AW363:BC363)</f>
        <v>111</v>
      </c>
      <c r="BE363" s="33">
        <f t="shared" si="202"/>
        <v>83.4</v>
      </c>
      <c r="BF363" s="33">
        <f t="shared" si="202"/>
        <v>215.4</v>
      </c>
      <c r="BG363" s="33">
        <f t="shared" si="202"/>
        <v>132</v>
      </c>
      <c r="BH363" s="33">
        <f t="shared" si="202"/>
        <v>0</v>
      </c>
      <c r="BI363" s="33">
        <f t="shared" si="202"/>
        <v>0</v>
      </c>
      <c r="BJ363" s="33">
        <f t="shared" si="201"/>
        <v>126</v>
      </c>
      <c r="BK363" s="33">
        <f t="shared" si="203"/>
        <v>2350</v>
      </c>
      <c r="BL363" s="33">
        <f t="shared" si="203"/>
        <v>2906.8</v>
      </c>
    </row>
    <row r="364" spans="1:64" ht="12.75" x14ac:dyDescent="0.2">
      <c r="A364" s="603"/>
      <c r="B364" s="24" t="s">
        <v>1095</v>
      </c>
      <c r="C364" s="6"/>
      <c r="D364" s="2" t="s">
        <v>1096</v>
      </c>
      <c r="E364" s="1"/>
      <c r="F364" s="1"/>
      <c r="G364" s="1"/>
      <c r="H364" s="1"/>
      <c r="I364" s="1"/>
      <c r="J364" s="1"/>
      <c r="K364" s="1"/>
      <c r="L364" s="1"/>
      <c r="M364" s="1"/>
      <c r="N364" s="1"/>
      <c r="O364" s="1"/>
      <c r="P364" s="1"/>
      <c r="Q364" s="22"/>
      <c r="R364" s="22"/>
      <c r="S364" s="1"/>
      <c r="T364" s="1"/>
      <c r="U364" s="1"/>
      <c r="V364" s="49"/>
      <c r="W364" s="49"/>
      <c r="X364" s="49"/>
      <c r="Y364" s="49"/>
      <c r="Z364" s="34">
        <f t="shared" ref="Z364:AF364" si="229">SUM(Z365:Z372)</f>
        <v>20</v>
      </c>
      <c r="AA364" s="34">
        <f t="shared" si="229"/>
        <v>50.9</v>
      </c>
      <c r="AB364" s="34">
        <f t="shared" si="229"/>
        <v>29</v>
      </c>
      <c r="AC364" s="34">
        <f t="shared" si="229"/>
        <v>0</v>
      </c>
      <c r="AD364" s="34">
        <f t="shared" si="229"/>
        <v>0</v>
      </c>
      <c r="AE364" s="34">
        <f t="shared" si="229"/>
        <v>126</v>
      </c>
      <c r="AF364" s="34">
        <f t="shared" si="229"/>
        <v>850</v>
      </c>
      <c r="AG364" s="34">
        <f t="shared" si="225"/>
        <v>1075.9000000000001</v>
      </c>
      <c r="AH364" s="34">
        <f>SUM(AH365:AH373)</f>
        <v>20</v>
      </c>
      <c r="AI364" s="34">
        <f>SUM(AI365:AI372)</f>
        <v>53</v>
      </c>
      <c r="AJ364" s="34">
        <f>SUM(AJ365:AJ372)</f>
        <v>40</v>
      </c>
      <c r="AK364" s="34">
        <f>SUM(AK365:AK372)</f>
        <v>0</v>
      </c>
      <c r="AL364" s="34">
        <f>SUM(AL365:AL372)</f>
        <v>0</v>
      </c>
      <c r="AM364" s="34">
        <f>SUM(AM365:AM372)</f>
        <v>1500</v>
      </c>
      <c r="AN364" s="34">
        <f>SUM(AH364:AM364)</f>
        <v>1613</v>
      </c>
      <c r="AO364" s="34">
        <f t="shared" ref="AO364:AU364" si="230">SUM(AO365:AO372)</f>
        <v>21.4</v>
      </c>
      <c r="AP364" s="34">
        <f t="shared" si="230"/>
        <v>54.5</v>
      </c>
      <c r="AQ364" s="34">
        <f t="shared" si="230"/>
        <v>31</v>
      </c>
      <c r="AR364" s="34">
        <f t="shared" si="230"/>
        <v>0</v>
      </c>
      <c r="AS364" s="34">
        <f t="shared" si="230"/>
        <v>0</v>
      </c>
      <c r="AT364" s="34">
        <f t="shared" si="230"/>
        <v>0</v>
      </c>
      <c r="AU364" s="34">
        <f t="shared" si="230"/>
        <v>0</v>
      </c>
      <c r="AV364" s="34">
        <f>SUM(AO364:AU364)</f>
        <v>106.9</v>
      </c>
      <c r="AW364" s="34">
        <f t="shared" ref="AW364:BC364" si="231">SUM(AW365:AW372)</f>
        <v>22</v>
      </c>
      <c r="AX364" s="34">
        <f t="shared" si="231"/>
        <v>57</v>
      </c>
      <c r="AY364" s="34">
        <f t="shared" si="231"/>
        <v>32</v>
      </c>
      <c r="AZ364" s="34">
        <f t="shared" si="231"/>
        <v>0</v>
      </c>
      <c r="BA364" s="34">
        <f t="shared" si="231"/>
        <v>0</v>
      </c>
      <c r="BB364" s="34">
        <f t="shared" si="231"/>
        <v>0</v>
      </c>
      <c r="BC364" s="34">
        <f t="shared" si="231"/>
        <v>0</v>
      </c>
      <c r="BD364" s="34">
        <f>SUM(AW364:BC364)</f>
        <v>111</v>
      </c>
      <c r="BE364" s="34">
        <f t="shared" si="202"/>
        <v>83.4</v>
      </c>
      <c r="BF364" s="34">
        <f t="shared" si="202"/>
        <v>215.4</v>
      </c>
      <c r="BG364" s="34">
        <f t="shared" si="202"/>
        <v>132</v>
      </c>
      <c r="BH364" s="34">
        <f t="shared" si="202"/>
        <v>0</v>
      </c>
      <c r="BI364" s="34">
        <f t="shared" si="202"/>
        <v>0</v>
      </c>
      <c r="BJ364" s="34">
        <f t="shared" si="201"/>
        <v>126</v>
      </c>
      <c r="BK364" s="34">
        <f t="shared" si="203"/>
        <v>2350</v>
      </c>
      <c r="BL364" s="34">
        <f t="shared" si="203"/>
        <v>2906.8</v>
      </c>
    </row>
    <row r="365" spans="1:64" ht="107.25" customHeight="1" x14ac:dyDescent="0.25">
      <c r="A365" s="298" t="s">
        <v>1097</v>
      </c>
      <c r="B365" s="299" t="s">
        <v>1095</v>
      </c>
      <c r="C365" s="1546" t="s">
        <v>1098</v>
      </c>
      <c r="D365" s="1549" t="s">
        <v>1099</v>
      </c>
      <c r="E365" s="1549" t="s">
        <v>1100</v>
      </c>
      <c r="F365" s="1549">
        <v>2015</v>
      </c>
      <c r="G365" s="1549" t="s">
        <v>177</v>
      </c>
      <c r="H365" s="1549">
        <v>80</v>
      </c>
      <c r="I365" s="1425" t="s">
        <v>53</v>
      </c>
      <c r="J365" s="1425"/>
      <c r="K365" s="1425" t="s">
        <v>1101</v>
      </c>
      <c r="L365" s="301" t="s">
        <v>179</v>
      </c>
      <c r="M365" s="1425" t="s">
        <v>1102</v>
      </c>
      <c r="N365" s="476" t="s">
        <v>1103</v>
      </c>
      <c r="O365" s="1425" t="s">
        <v>47</v>
      </c>
      <c r="P365" s="586">
        <v>231503</v>
      </c>
      <c r="Q365" s="16" t="s">
        <v>1104</v>
      </c>
      <c r="R365" s="302" t="s">
        <v>1105</v>
      </c>
      <c r="S365" s="303">
        <v>2015</v>
      </c>
      <c r="T365" s="303">
        <v>0</v>
      </c>
      <c r="U365" s="303">
        <v>1</v>
      </c>
      <c r="V365" s="572">
        <v>1</v>
      </c>
      <c r="W365" s="572">
        <v>1</v>
      </c>
      <c r="X365" s="572">
        <v>1</v>
      </c>
      <c r="Y365" s="572">
        <f t="shared" ref="Y365:Y370" si="232">SUBTOTAL(9,U365:X365)</f>
        <v>4</v>
      </c>
      <c r="Z365" s="481"/>
      <c r="AA365" s="481"/>
      <c r="AB365" s="481"/>
      <c r="AC365" s="481"/>
      <c r="AD365" s="481"/>
      <c r="AE365" s="481">
        <v>22.1</v>
      </c>
      <c r="AF365" s="481"/>
      <c r="AG365" s="481">
        <f t="shared" si="225"/>
        <v>22.1</v>
      </c>
      <c r="AH365" s="548"/>
      <c r="AI365" s="548">
        <v>2</v>
      </c>
      <c r="AJ365" s="548"/>
      <c r="AK365" s="548"/>
      <c r="AL365" s="548"/>
      <c r="AM365" s="548">
        <v>1000</v>
      </c>
      <c r="AN365" s="548">
        <f>SUM(AH365:AM365)</f>
        <v>1002</v>
      </c>
      <c r="AO365" s="481">
        <v>21.4</v>
      </c>
      <c r="AP365" s="481"/>
      <c r="AQ365" s="481">
        <v>31</v>
      </c>
      <c r="AR365" s="481"/>
      <c r="AS365" s="481"/>
      <c r="AT365" s="481"/>
      <c r="AU365" s="481"/>
      <c r="AV365" s="481">
        <f>SUM(AO365:AU365)</f>
        <v>52.4</v>
      </c>
      <c r="AW365" s="548">
        <v>22</v>
      </c>
      <c r="AX365" s="548">
        <v>57</v>
      </c>
      <c r="AY365" s="491">
        <v>20</v>
      </c>
      <c r="AZ365" s="548"/>
      <c r="BA365" s="548"/>
      <c r="BB365" s="548"/>
      <c r="BC365" s="548"/>
      <c r="BD365" s="548">
        <f>SUM(AW365:BC365)</f>
        <v>99</v>
      </c>
      <c r="BE365" s="42">
        <f t="shared" si="202"/>
        <v>43.4</v>
      </c>
      <c r="BF365" s="42">
        <f t="shared" si="202"/>
        <v>59</v>
      </c>
      <c r="BG365" s="42">
        <f t="shared" si="202"/>
        <v>51</v>
      </c>
      <c r="BH365" s="42">
        <f t="shared" si="202"/>
        <v>0</v>
      </c>
      <c r="BI365" s="42">
        <f t="shared" si="202"/>
        <v>0</v>
      </c>
      <c r="BJ365" s="42">
        <f t="shared" si="201"/>
        <v>22.1</v>
      </c>
      <c r="BK365" s="42">
        <f t="shared" si="203"/>
        <v>1000</v>
      </c>
      <c r="BL365" s="42">
        <f t="shared" si="203"/>
        <v>1175.5</v>
      </c>
    </row>
    <row r="366" spans="1:64" ht="84" customHeight="1" x14ac:dyDescent="0.25">
      <c r="A366" s="298" t="s">
        <v>1097</v>
      </c>
      <c r="B366" s="299" t="s">
        <v>1095</v>
      </c>
      <c r="C366" s="1547"/>
      <c r="D366" s="1549"/>
      <c r="E366" s="1549"/>
      <c r="F366" s="1549"/>
      <c r="G366" s="1549"/>
      <c r="H366" s="1549"/>
      <c r="I366" s="1425" t="s">
        <v>1106</v>
      </c>
      <c r="J366" s="1425"/>
      <c r="K366" s="1425" t="s">
        <v>1107</v>
      </c>
      <c r="L366" s="301" t="s">
        <v>179</v>
      </c>
      <c r="M366" s="1425" t="s">
        <v>1102</v>
      </c>
      <c r="N366" s="476" t="s">
        <v>1103</v>
      </c>
      <c r="O366" s="1425" t="s">
        <v>47</v>
      </c>
      <c r="P366" s="586">
        <v>231509</v>
      </c>
      <c r="Q366" s="16" t="s">
        <v>1108</v>
      </c>
      <c r="R366" s="302" t="s">
        <v>1109</v>
      </c>
      <c r="S366" s="303">
        <v>2015</v>
      </c>
      <c r="T366" s="303">
        <v>1</v>
      </c>
      <c r="U366" s="303">
        <v>1</v>
      </c>
      <c r="V366" s="572">
        <v>1</v>
      </c>
      <c r="W366" s="572">
        <v>1</v>
      </c>
      <c r="X366" s="572">
        <v>0</v>
      </c>
      <c r="Y366" s="572">
        <f t="shared" si="232"/>
        <v>3</v>
      </c>
      <c r="Z366" s="481"/>
      <c r="AA366" s="481">
        <v>50.9</v>
      </c>
      <c r="AB366" s="481"/>
      <c r="AC366" s="481"/>
      <c r="AD366" s="481"/>
      <c r="AE366" s="481">
        <f>17.8+81.1</f>
        <v>98.899999999999991</v>
      </c>
      <c r="AF366" s="481"/>
      <c r="AG366" s="481">
        <f t="shared" si="225"/>
        <v>149.79999999999998</v>
      </c>
      <c r="AH366" s="548"/>
      <c r="AI366" s="491">
        <v>50</v>
      </c>
      <c r="AJ366" s="548"/>
      <c r="AK366" s="548"/>
      <c r="AL366" s="548"/>
      <c r="AM366" s="548"/>
      <c r="AN366" s="548">
        <f t="shared" ref="AN366:AN371" si="233">SUM(AH366:AM366)</f>
        <v>50</v>
      </c>
      <c r="AO366" s="481"/>
      <c r="AP366" s="491">
        <v>40</v>
      </c>
      <c r="AQ366" s="481"/>
      <c r="AR366" s="481"/>
      <c r="AS366" s="481"/>
      <c r="AT366" s="481"/>
      <c r="AU366" s="481"/>
      <c r="AV366" s="481">
        <f t="shared" ref="AV366:AV371" si="234">SUM(AO366:AU366)</f>
        <v>40</v>
      </c>
      <c r="AW366" s="548"/>
      <c r="AX366" s="548"/>
      <c r="AY366" s="548"/>
      <c r="AZ366" s="548"/>
      <c r="BA366" s="548"/>
      <c r="BB366" s="548"/>
      <c r="BC366" s="548"/>
      <c r="BD366" s="548">
        <f t="shared" ref="BD366:BD371" si="235">SUM(AW366:BC366)</f>
        <v>0</v>
      </c>
      <c r="BE366" s="42">
        <f t="shared" si="202"/>
        <v>0</v>
      </c>
      <c r="BF366" s="42">
        <f t="shared" si="202"/>
        <v>140.9</v>
      </c>
      <c r="BG366" s="42">
        <f t="shared" si="202"/>
        <v>0</v>
      </c>
      <c r="BH366" s="42">
        <f t="shared" si="202"/>
        <v>0</v>
      </c>
      <c r="BI366" s="42">
        <f t="shared" si="202"/>
        <v>0</v>
      </c>
      <c r="BJ366" s="42">
        <f t="shared" si="201"/>
        <v>98.899999999999991</v>
      </c>
      <c r="BK366" s="42">
        <f t="shared" si="203"/>
        <v>0</v>
      </c>
      <c r="BL366" s="42">
        <f t="shared" si="203"/>
        <v>239.79999999999998</v>
      </c>
    </row>
    <row r="367" spans="1:64" ht="54" customHeight="1" x14ac:dyDescent="0.25">
      <c r="A367" s="298" t="s">
        <v>1097</v>
      </c>
      <c r="B367" s="299" t="s">
        <v>1095</v>
      </c>
      <c r="C367" s="1547"/>
      <c r="D367" s="1549"/>
      <c r="E367" s="1549"/>
      <c r="F367" s="1549"/>
      <c r="G367" s="1549"/>
      <c r="H367" s="1549"/>
      <c r="I367" s="1425" t="s">
        <v>53</v>
      </c>
      <c r="J367" s="1425"/>
      <c r="K367" s="1425" t="s">
        <v>1110</v>
      </c>
      <c r="L367" s="301" t="s">
        <v>179</v>
      </c>
      <c r="M367" s="1425" t="s">
        <v>1102</v>
      </c>
      <c r="N367" s="476" t="s">
        <v>1103</v>
      </c>
      <c r="O367" s="1425" t="s">
        <v>47</v>
      </c>
      <c r="P367" s="586">
        <v>231504</v>
      </c>
      <c r="Q367" s="16" t="s">
        <v>1111</v>
      </c>
      <c r="R367" s="302" t="s">
        <v>1112</v>
      </c>
      <c r="S367" s="303">
        <v>2015</v>
      </c>
      <c r="T367" s="303">
        <v>0</v>
      </c>
      <c r="U367" s="303">
        <v>0</v>
      </c>
      <c r="V367" s="572">
        <v>1</v>
      </c>
      <c r="W367" s="572">
        <v>0</v>
      </c>
      <c r="X367" s="572">
        <v>0</v>
      </c>
      <c r="Y367" s="572">
        <f t="shared" si="232"/>
        <v>1</v>
      </c>
      <c r="Z367" s="481"/>
      <c r="AA367" s="481"/>
      <c r="AB367" s="481"/>
      <c r="AC367" s="481"/>
      <c r="AD367" s="481"/>
      <c r="AE367" s="481"/>
      <c r="AF367" s="481"/>
      <c r="AG367" s="481">
        <f t="shared" si="225"/>
        <v>0</v>
      </c>
      <c r="AH367" s="548"/>
      <c r="AI367" s="548">
        <v>1</v>
      </c>
      <c r="AJ367" s="548"/>
      <c r="AK367" s="548"/>
      <c r="AL367" s="548"/>
      <c r="AM367" s="548"/>
      <c r="AN367" s="548">
        <f t="shared" si="233"/>
        <v>1</v>
      </c>
      <c r="AO367" s="481"/>
      <c r="AP367" s="481"/>
      <c r="AQ367" s="481"/>
      <c r="AR367" s="481"/>
      <c r="AS367" s="481"/>
      <c r="AT367" s="481"/>
      <c r="AU367" s="481"/>
      <c r="AV367" s="481">
        <f t="shared" si="234"/>
        <v>0</v>
      </c>
      <c r="AW367" s="548"/>
      <c r="AX367" s="548"/>
      <c r="AY367" s="548"/>
      <c r="AZ367" s="548"/>
      <c r="BA367" s="548"/>
      <c r="BB367" s="548"/>
      <c r="BC367" s="548"/>
      <c r="BD367" s="548">
        <f t="shared" si="235"/>
        <v>0</v>
      </c>
      <c r="BE367" s="42">
        <f t="shared" si="202"/>
        <v>0</v>
      </c>
      <c r="BF367" s="42">
        <f t="shared" si="202"/>
        <v>1</v>
      </c>
      <c r="BG367" s="42">
        <f t="shared" si="202"/>
        <v>0</v>
      </c>
      <c r="BH367" s="42">
        <f t="shared" si="202"/>
        <v>0</v>
      </c>
      <c r="BI367" s="42">
        <f t="shared" si="202"/>
        <v>0</v>
      </c>
      <c r="BJ367" s="42">
        <f t="shared" si="201"/>
        <v>0</v>
      </c>
      <c r="BK367" s="42">
        <f t="shared" si="203"/>
        <v>0</v>
      </c>
      <c r="BL367" s="42">
        <f t="shared" si="203"/>
        <v>1</v>
      </c>
    </row>
    <row r="368" spans="1:64" ht="54.75" customHeight="1" x14ac:dyDescent="0.25">
      <c r="A368" s="298" t="s">
        <v>1097</v>
      </c>
      <c r="B368" s="299" t="s">
        <v>1095</v>
      </c>
      <c r="C368" s="1547"/>
      <c r="D368" s="1549"/>
      <c r="E368" s="1549"/>
      <c r="F368" s="1549"/>
      <c r="G368" s="1549"/>
      <c r="H368" s="1549"/>
      <c r="I368" s="1425" t="s">
        <v>53</v>
      </c>
      <c r="J368" s="1425"/>
      <c r="K368" s="1425" t="s">
        <v>1113</v>
      </c>
      <c r="L368" s="301" t="s">
        <v>179</v>
      </c>
      <c r="M368" s="1425" t="s">
        <v>1102</v>
      </c>
      <c r="N368" s="476" t="s">
        <v>1103</v>
      </c>
      <c r="O368" s="1425" t="s">
        <v>47</v>
      </c>
      <c r="P368" s="586">
        <v>1</v>
      </c>
      <c r="Q368" s="16" t="s">
        <v>1114</v>
      </c>
      <c r="R368" s="302" t="s">
        <v>1115</v>
      </c>
      <c r="S368" s="303">
        <v>2015</v>
      </c>
      <c r="T368" s="303">
        <v>0</v>
      </c>
      <c r="U368" s="303">
        <v>1</v>
      </c>
      <c r="V368" s="572">
        <v>0</v>
      </c>
      <c r="W368" s="572">
        <v>0</v>
      </c>
      <c r="X368" s="572">
        <v>0</v>
      </c>
      <c r="Y368" s="572">
        <f t="shared" si="232"/>
        <v>1</v>
      </c>
      <c r="Z368" s="481">
        <v>20</v>
      </c>
      <c r="AA368" s="481"/>
      <c r="AB368" s="481"/>
      <c r="AC368" s="481"/>
      <c r="AD368" s="481"/>
      <c r="AE368" s="481">
        <v>5</v>
      </c>
      <c r="AF368" s="481"/>
      <c r="AG368" s="481">
        <f t="shared" si="225"/>
        <v>25</v>
      </c>
      <c r="AH368" s="548"/>
      <c r="AI368" s="548"/>
      <c r="AJ368" s="548"/>
      <c r="AK368" s="548"/>
      <c r="AL368" s="548"/>
      <c r="AM368" s="548"/>
      <c r="AN368" s="548">
        <f t="shared" si="233"/>
        <v>0</v>
      </c>
      <c r="AO368" s="481"/>
      <c r="AP368" s="481"/>
      <c r="AQ368" s="481"/>
      <c r="AR368" s="481"/>
      <c r="AS368" s="481"/>
      <c r="AT368" s="481"/>
      <c r="AU368" s="481"/>
      <c r="AV368" s="481">
        <f t="shared" si="234"/>
        <v>0</v>
      </c>
      <c r="AW368" s="548"/>
      <c r="AX368" s="548"/>
      <c r="AY368" s="548"/>
      <c r="AZ368" s="548"/>
      <c r="BA368" s="548"/>
      <c r="BB368" s="548"/>
      <c r="BC368" s="548"/>
      <c r="BD368" s="548">
        <f t="shared" si="235"/>
        <v>0</v>
      </c>
      <c r="BE368" s="42">
        <f t="shared" si="202"/>
        <v>20</v>
      </c>
      <c r="BF368" s="42">
        <f t="shared" si="202"/>
        <v>0</v>
      </c>
      <c r="BG368" s="42">
        <f t="shared" si="202"/>
        <v>0</v>
      </c>
      <c r="BH368" s="42">
        <f t="shared" si="202"/>
        <v>0</v>
      </c>
      <c r="BI368" s="42">
        <f t="shared" si="202"/>
        <v>0</v>
      </c>
      <c r="BJ368" s="42">
        <f t="shared" si="201"/>
        <v>5</v>
      </c>
      <c r="BK368" s="42">
        <f t="shared" si="203"/>
        <v>0</v>
      </c>
      <c r="BL368" s="42">
        <f t="shared" si="203"/>
        <v>25</v>
      </c>
    </row>
    <row r="369" spans="1:64" ht="52.5" customHeight="1" x14ac:dyDescent="0.25">
      <c r="A369" s="298" t="s">
        <v>1097</v>
      </c>
      <c r="B369" s="299" t="s">
        <v>1095</v>
      </c>
      <c r="C369" s="1547"/>
      <c r="D369" s="1549"/>
      <c r="E369" s="1549"/>
      <c r="F369" s="1549"/>
      <c r="G369" s="1549"/>
      <c r="H369" s="1549"/>
      <c r="I369" s="1425" t="s">
        <v>53</v>
      </c>
      <c r="J369" s="1425"/>
      <c r="K369" s="1425" t="s">
        <v>1116</v>
      </c>
      <c r="L369" s="301" t="s">
        <v>179</v>
      </c>
      <c r="M369" s="1425" t="s">
        <v>1102</v>
      </c>
      <c r="N369" s="476" t="s">
        <v>1103</v>
      </c>
      <c r="O369" s="1425" t="s">
        <v>47</v>
      </c>
      <c r="P369" s="586">
        <v>23180408</v>
      </c>
      <c r="Q369" s="16" t="s">
        <v>1117</v>
      </c>
      <c r="R369" s="302" t="s">
        <v>1118</v>
      </c>
      <c r="S369" s="303">
        <v>2015</v>
      </c>
      <c r="T369" s="303">
        <v>0</v>
      </c>
      <c r="U369" s="303">
        <v>0</v>
      </c>
      <c r="V369" s="572">
        <v>1</v>
      </c>
      <c r="W369" s="572">
        <v>0</v>
      </c>
      <c r="X369" s="572">
        <v>0</v>
      </c>
      <c r="Y369" s="572">
        <f t="shared" si="232"/>
        <v>1</v>
      </c>
      <c r="Z369" s="481"/>
      <c r="AA369" s="481"/>
      <c r="AB369" s="481"/>
      <c r="AC369" s="481"/>
      <c r="AD369" s="481"/>
      <c r="AE369" s="481"/>
      <c r="AF369" s="481"/>
      <c r="AG369" s="481">
        <f t="shared" si="225"/>
        <v>0</v>
      </c>
      <c r="AH369" s="491">
        <v>10</v>
      </c>
      <c r="AI369" s="548"/>
      <c r="AJ369" s="548"/>
      <c r="AK369" s="548"/>
      <c r="AL369" s="548"/>
      <c r="AM369" s="548">
        <v>500</v>
      </c>
      <c r="AN369" s="548">
        <f t="shared" si="233"/>
        <v>510</v>
      </c>
      <c r="AO369" s="481"/>
      <c r="AP369" s="481"/>
      <c r="AQ369" s="481"/>
      <c r="AR369" s="481"/>
      <c r="AS369" s="481"/>
      <c r="AT369" s="481"/>
      <c r="AU369" s="481"/>
      <c r="AV369" s="481">
        <f t="shared" si="234"/>
        <v>0</v>
      </c>
      <c r="AW369" s="548"/>
      <c r="AX369" s="548"/>
      <c r="AY369" s="548"/>
      <c r="AZ369" s="548"/>
      <c r="BA369" s="548"/>
      <c r="BB369" s="548"/>
      <c r="BC369" s="548"/>
      <c r="BD369" s="548">
        <f t="shared" si="235"/>
        <v>0</v>
      </c>
      <c r="BE369" s="42">
        <f t="shared" si="202"/>
        <v>10</v>
      </c>
      <c r="BF369" s="42">
        <f t="shared" si="202"/>
        <v>0</v>
      </c>
      <c r="BG369" s="42">
        <f t="shared" si="202"/>
        <v>0</v>
      </c>
      <c r="BH369" s="42">
        <f t="shared" si="202"/>
        <v>0</v>
      </c>
      <c r="BI369" s="42">
        <f t="shared" si="202"/>
        <v>0</v>
      </c>
      <c r="BJ369" s="42">
        <f t="shared" si="201"/>
        <v>0</v>
      </c>
      <c r="BK369" s="42">
        <f t="shared" si="203"/>
        <v>500</v>
      </c>
      <c r="BL369" s="42">
        <f t="shared" si="203"/>
        <v>510</v>
      </c>
    </row>
    <row r="370" spans="1:64" ht="58.5" customHeight="1" x14ac:dyDescent="0.25">
      <c r="A370" s="298" t="s">
        <v>1097</v>
      </c>
      <c r="B370" s="299" t="s">
        <v>1095</v>
      </c>
      <c r="C370" s="1547"/>
      <c r="D370" s="1549"/>
      <c r="E370" s="1549"/>
      <c r="F370" s="1549"/>
      <c r="G370" s="1549"/>
      <c r="H370" s="1549"/>
      <c r="I370" s="1425"/>
      <c r="J370" s="1425"/>
      <c r="K370" s="1425" t="s">
        <v>1119</v>
      </c>
      <c r="L370" s="301" t="s">
        <v>179</v>
      </c>
      <c r="M370" s="1425" t="s">
        <v>1102</v>
      </c>
      <c r="N370" s="476" t="s">
        <v>1103</v>
      </c>
      <c r="O370" s="1425" t="s">
        <v>47</v>
      </c>
      <c r="P370" s="586"/>
      <c r="Q370" s="16" t="s">
        <v>1120</v>
      </c>
      <c r="R370" s="302" t="s">
        <v>1121</v>
      </c>
      <c r="S370" s="303">
        <v>2015</v>
      </c>
      <c r="T370" s="303">
        <v>0</v>
      </c>
      <c r="U370" s="303">
        <v>1</v>
      </c>
      <c r="V370" s="572">
        <v>0</v>
      </c>
      <c r="W370" s="572">
        <v>0</v>
      </c>
      <c r="X370" s="572">
        <v>0</v>
      </c>
      <c r="Y370" s="572">
        <f t="shared" si="232"/>
        <v>1</v>
      </c>
      <c r="Z370" s="481"/>
      <c r="AA370" s="481"/>
      <c r="AB370" s="481">
        <v>29</v>
      </c>
      <c r="AC370" s="481"/>
      <c r="AD370" s="481"/>
      <c r="AE370" s="481"/>
      <c r="AF370" s="481">
        <v>850</v>
      </c>
      <c r="AG370" s="481">
        <f t="shared" si="225"/>
        <v>879</v>
      </c>
      <c r="AH370" s="548"/>
      <c r="AI370" s="548"/>
      <c r="AJ370" s="548"/>
      <c r="AK370" s="548"/>
      <c r="AL370" s="548"/>
      <c r="AM370" s="548"/>
      <c r="AN370" s="548">
        <f t="shared" si="233"/>
        <v>0</v>
      </c>
      <c r="AO370" s="481"/>
      <c r="AP370" s="481"/>
      <c r="AQ370" s="481"/>
      <c r="AR370" s="481"/>
      <c r="AS370" s="481"/>
      <c r="AT370" s="481"/>
      <c r="AU370" s="481"/>
      <c r="AV370" s="481">
        <f t="shared" si="234"/>
        <v>0</v>
      </c>
      <c r="AW370" s="548"/>
      <c r="AX370" s="548"/>
      <c r="AY370" s="548"/>
      <c r="AZ370" s="548"/>
      <c r="BA370" s="548"/>
      <c r="BB370" s="548"/>
      <c r="BC370" s="548"/>
      <c r="BD370" s="548">
        <f t="shared" si="235"/>
        <v>0</v>
      </c>
      <c r="BE370" s="42">
        <f t="shared" si="202"/>
        <v>0</v>
      </c>
      <c r="BF370" s="42">
        <f t="shared" si="202"/>
        <v>0</v>
      </c>
      <c r="BG370" s="42">
        <f t="shared" si="202"/>
        <v>29</v>
      </c>
      <c r="BH370" s="42">
        <f t="shared" si="202"/>
        <v>0</v>
      </c>
      <c r="BI370" s="42">
        <f t="shared" si="202"/>
        <v>0</v>
      </c>
      <c r="BJ370" s="42">
        <f t="shared" si="201"/>
        <v>0</v>
      </c>
      <c r="BK370" s="42">
        <f t="shared" si="203"/>
        <v>850</v>
      </c>
      <c r="BL370" s="42">
        <f t="shared" si="203"/>
        <v>879</v>
      </c>
    </row>
    <row r="371" spans="1:64" ht="63" customHeight="1" x14ac:dyDescent="0.25">
      <c r="A371" s="298" t="s">
        <v>1097</v>
      </c>
      <c r="B371" s="299" t="s">
        <v>1095</v>
      </c>
      <c r="C371" s="1547"/>
      <c r="D371" s="1549"/>
      <c r="E371" s="1549"/>
      <c r="F371" s="1549"/>
      <c r="G371" s="1549"/>
      <c r="H371" s="1549"/>
      <c r="I371" s="1425"/>
      <c r="J371" s="1425"/>
      <c r="K371" s="1425" t="s">
        <v>1122</v>
      </c>
      <c r="L371" s="301" t="s">
        <v>179</v>
      </c>
      <c r="M371" s="1425" t="s">
        <v>1102</v>
      </c>
      <c r="N371" s="476" t="s">
        <v>1103</v>
      </c>
      <c r="O371" s="1425" t="s">
        <v>47</v>
      </c>
      <c r="P371" s="586">
        <v>2302040701</v>
      </c>
      <c r="Q371" s="16" t="s">
        <v>1123</v>
      </c>
      <c r="R371" s="302" t="s">
        <v>1124</v>
      </c>
      <c r="S371" s="303">
        <v>2015</v>
      </c>
      <c r="T371" s="303">
        <v>0</v>
      </c>
      <c r="U371" s="303">
        <v>0</v>
      </c>
      <c r="V371" s="572">
        <v>2</v>
      </c>
      <c r="W371" s="572">
        <v>2</v>
      </c>
      <c r="X371" s="572">
        <v>2</v>
      </c>
      <c r="Y371" s="572">
        <v>6</v>
      </c>
      <c r="Z371" s="481"/>
      <c r="AA371" s="481"/>
      <c r="AB371" s="481"/>
      <c r="AC371" s="481"/>
      <c r="AD371" s="481"/>
      <c r="AE371" s="481"/>
      <c r="AF371" s="481"/>
      <c r="AG371" s="481">
        <f t="shared" si="225"/>
        <v>0</v>
      </c>
      <c r="AH371" s="548"/>
      <c r="AI371" s="548"/>
      <c r="AJ371" s="491">
        <v>10</v>
      </c>
      <c r="AK371" s="548"/>
      <c r="AL371" s="548"/>
      <c r="AM371" s="548"/>
      <c r="AN371" s="548">
        <f t="shared" si="233"/>
        <v>10</v>
      </c>
      <c r="AO371" s="481"/>
      <c r="AP371" s="491">
        <v>14.5</v>
      </c>
      <c r="AQ371" s="481"/>
      <c r="AR371" s="481"/>
      <c r="AS371" s="481"/>
      <c r="AT371" s="481"/>
      <c r="AU371" s="481"/>
      <c r="AV371" s="481">
        <f t="shared" si="234"/>
        <v>14.5</v>
      </c>
      <c r="AW371" s="548"/>
      <c r="AX371" s="548"/>
      <c r="AY371" s="491">
        <v>12</v>
      </c>
      <c r="AZ371" s="548"/>
      <c r="BA371" s="548"/>
      <c r="BB371" s="548"/>
      <c r="BC371" s="548"/>
      <c r="BD371" s="548">
        <f t="shared" si="235"/>
        <v>12</v>
      </c>
      <c r="BE371" s="42">
        <f>+AW371+AO371+AH371+Z371</f>
        <v>0</v>
      </c>
      <c r="BF371" s="42">
        <f>+AX371+AP371+AI371+AA371</f>
        <v>14.5</v>
      </c>
      <c r="BG371" s="42">
        <f>+AY371+AQ371+AJ371+AB371</f>
        <v>22</v>
      </c>
      <c r="BH371" s="42">
        <f>+AZ371+AR371+AK371+AC371</f>
        <v>0</v>
      </c>
      <c r="BI371" s="42">
        <f>+BA371+AS371+AL371+AD371</f>
        <v>0</v>
      </c>
      <c r="BJ371" s="42">
        <f>+AE371+AT371+BB371</f>
        <v>0</v>
      </c>
      <c r="BK371" s="42">
        <f t="shared" si="203"/>
        <v>0</v>
      </c>
      <c r="BL371" s="42">
        <f t="shared" si="203"/>
        <v>36.5</v>
      </c>
    </row>
    <row r="372" spans="1:64" ht="63.75" customHeight="1" x14ac:dyDescent="0.25">
      <c r="A372" s="298" t="s">
        <v>1097</v>
      </c>
      <c r="B372" s="299" t="s">
        <v>1095</v>
      </c>
      <c r="C372" s="1547"/>
      <c r="D372" s="1549"/>
      <c r="E372" s="1549"/>
      <c r="F372" s="1549"/>
      <c r="G372" s="1549"/>
      <c r="H372" s="1549"/>
      <c r="I372" s="1425"/>
      <c r="J372" s="1425"/>
      <c r="K372" s="1425" t="s">
        <v>1125</v>
      </c>
      <c r="L372" s="301" t="s">
        <v>179</v>
      </c>
      <c r="M372" s="1425" t="s">
        <v>1102</v>
      </c>
      <c r="N372" s="476" t="s">
        <v>1103</v>
      </c>
      <c r="O372" s="1425" t="s">
        <v>47</v>
      </c>
      <c r="P372" s="586" t="s">
        <v>1126</v>
      </c>
      <c r="Q372" s="16" t="s">
        <v>1127</v>
      </c>
      <c r="R372" s="302" t="s">
        <v>1128</v>
      </c>
      <c r="S372" s="303">
        <v>2015</v>
      </c>
      <c r="T372" s="303">
        <v>0</v>
      </c>
      <c r="U372" s="303">
        <v>0</v>
      </c>
      <c r="V372" s="572">
        <v>1</v>
      </c>
      <c r="W372" s="572">
        <v>0</v>
      </c>
      <c r="X372" s="572">
        <v>0</v>
      </c>
      <c r="Y372" s="572">
        <f>SUBTOTAL(9,U372:X372)</f>
        <v>1</v>
      </c>
      <c r="Z372" s="481"/>
      <c r="AA372" s="481"/>
      <c r="AB372" s="481"/>
      <c r="AC372" s="481"/>
      <c r="AD372" s="481"/>
      <c r="AE372" s="481"/>
      <c r="AF372" s="481"/>
      <c r="AG372" s="481">
        <f>SUM(Z372:AF372)</f>
        <v>0</v>
      </c>
      <c r="AH372" s="548"/>
      <c r="AI372" s="548"/>
      <c r="AJ372" s="716">
        <v>30</v>
      </c>
      <c r="AK372" s="548"/>
      <c r="AL372" s="548"/>
      <c r="AM372" s="548"/>
      <c r="AN372" s="548">
        <f>SUM(AH372:AM372)</f>
        <v>30</v>
      </c>
      <c r="AO372" s="481"/>
      <c r="AP372" s="481"/>
      <c r="AQ372" s="481"/>
      <c r="AR372" s="481"/>
      <c r="AS372" s="481"/>
      <c r="AT372" s="481"/>
      <c r="AU372" s="481"/>
      <c r="AV372" s="481">
        <f>SUM(AO372:AU372)</f>
        <v>0</v>
      </c>
      <c r="AW372" s="548"/>
      <c r="AX372" s="548"/>
      <c r="AY372" s="548"/>
      <c r="AZ372" s="548"/>
      <c r="BA372" s="548"/>
      <c r="BB372" s="548"/>
      <c r="BC372" s="548"/>
      <c r="BD372" s="548">
        <f>SUM(AW372:BC372)</f>
        <v>0</v>
      </c>
      <c r="BE372" s="42">
        <f t="shared" ref="BE372:BI373" si="236">+AW372+AO372+AH372+Z372</f>
        <v>0</v>
      </c>
      <c r="BF372" s="42">
        <f t="shared" si="236"/>
        <v>0</v>
      </c>
      <c r="BG372" s="42">
        <f t="shared" si="236"/>
        <v>30</v>
      </c>
      <c r="BH372" s="42">
        <f t="shared" si="236"/>
        <v>0</v>
      </c>
      <c r="BI372" s="42">
        <f t="shared" si="236"/>
        <v>0</v>
      </c>
      <c r="BJ372" s="42">
        <f>+AE372+AT372+BB372</f>
        <v>0</v>
      </c>
      <c r="BK372" s="42">
        <f t="shared" si="203"/>
        <v>0</v>
      </c>
      <c r="BL372" s="42">
        <f t="shared" si="203"/>
        <v>30</v>
      </c>
    </row>
    <row r="373" spans="1:64" ht="73.5" customHeight="1" x14ac:dyDescent="0.25">
      <c r="A373" s="298" t="s">
        <v>1097</v>
      </c>
      <c r="B373" s="299" t="s">
        <v>1095</v>
      </c>
      <c r="C373" s="1548"/>
      <c r="D373" s="1549"/>
      <c r="E373" s="1549"/>
      <c r="F373" s="1549"/>
      <c r="G373" s="1549"/>
      <c r="H373" s="1549"/>
      <c r="I373" s="1425"/>
      <c r="J373" s="1425"/>
      <c r="K373" s="1425" t="s">
        <v>1129</v>
      </c>
      <c r="L373" s="301" t="s">
        <v>179</v>
      </c>
      <c r="M373" s="1425" t="s">
        <v>1102</v>
      </c>
      <c r="N373" s="476" t="s">
        <v>1103</v>
      </c>
      <c r="O373" s="1425" t="s">
        <v>47</v>
      </c>
      <c r="P373" s="586">
        <v>1</v>
      </c>
      <c r="Q373" s="16" t="s">
        <v>1130</v>
      </c>
      <c r="R373" s="302" t="s">
        <v>1131</v>
      </c>
      <c r="S373" s="303">
        <v>2015</v>
      </c>
      <c r="T373" s="303">
        <v>0</v>
      </c>
      <c r="U373" s="303">
        <v>0</v>
      </c>
      <c r="V373" s="572">
        <v>1</v>
      </c>
      <c r="W373" s="572">
        <v>0</v>
      </c>
      <c r="X373" s="572">
        <v>0</v>
      </c>
      <c r="Y373" s="572">
        <v>1</v>
      </c>
      <c r="Z373" s="481"/>
      <c r="AA373" s="481"/>
      <c r="AB373" s="481"/>
      <c r="AC373" s="481"/>
      <c r="AD373" s="481"/>
      <c r="AE373" s="481"/>
      <c r="AF373" s="481"/>
      <c r="AG373" s="481">
        <f>SUM(Z373:AF373)</f>
        <v>0</v>
      </c>
      <c r="AH373" s="491">
        <v>10</v>
      </c>
      <c r="AI373" s="548"/>
      <c r="AJ373" s="548"/>
      <c r="AK373" s="548"/>
      <c r="AL373" s="548"/>
      <c r="AM373" s="548"/>
      <c r="AN373" s="548">
        <f>SUM(AH373:AM373)</f>
        <v>10</v>
      </c>
      <c r="AO373" s="481"/>
      <c r="AP373" s="481"/>
      <c r="AQ373" s="481"/>
      <c r="AR373" s="481"/>
      <c r="AS373" s="481"/>
      <c r="AT373" s="481"/>
      <c r="AU373" s="481"/>
      <c r="AV373" s="481">
        <f>SUM(AO373:AU373)</f>
        <v>0</v>
      </c>
      <c r="AW373" s="548"/>
      <c r="AX373" s="548"/>
      <c r="AY373" s="548"/>
      <c r="AZ373" s="548"/>
      <c r="BA373" s="548"/>
      <c r="BB373" s="548"/>
      <c r="BC373" s="548"/>
      <c r="BD373" s="548">
        <f>SUM(AW373:BC373)</f>
        <v>0</v>
      </c>
      <c r="BE373" s="42">
        <f t="shared" si="236"/>
        <v>10</v>
      </c>
      <c r="BF373" s="42">
        <f t="shared" si="236"/>
        <v>0</v>
      </c>
      <c r="BG373" s="42">
        <f t="shared" si="236"/>
        <v>0</v>
      </c>
      <c r="BH373" s="42">
        <f t="shared" si="236"/>
        <v>0</v>
      </c>
      <c r="BI373" s="42">
        <f t="shared" si="236"/>
        <v>0</v>
      </c>
      <c r="BJ373" s="42">
        <f>+AE373+AT373+BB373</f>
        <v>0</v>
      </c>
      <c r="BK373" s="42">
        <f t="shared" si="203"/>
        <v>0</v>
      </c>
      <c r="BL373" s="42">
        <f t="shared" si="203"/>
        <v>10</v>
      </c>
    </row>
    <row r="374" spans="1:64" ht="3" customHeight="1" x14ac:dyDescent="0.25">
      <c r="A374" s="151"/>
      <c r="B374" s="19" t="s">
        <v>1132</v>
      </c>
      <c r="C374" s="19"/>
      <c r="D374" s="1442"/>
      <c r="E374" s="1442"/>
      <c r="F374" s="1442"/>
      <c r="G374" s="1442"/>
      <c r="H374" s="1442"/>
      <c r="I374" s="1442"/>
      <c r="J374" s="1442"/>
      <c r="K374" s="1442"/>
      <c r="L374" s="1442"/>
      <c r="M374" s="1442"/>
      <c r="N374" s="11"/>
      <c r="O374" s="1442"/>
      <c r="P374" s="1442"/>
      <c r="Q374" s="1440"/>
      <c r="R374" s="1440"/>
      <c r="S374" s="1442"/>
      <c r="T374" s="1442"/>
      <c r="U374" s="1442"/>
      <c r="V374" s="63"/>
      <c r="W374" s="63"/>
      <c r="X374" s="63"/>
      <c r="Y374" s="63"/>
      <c r="Z374" s="42">
        <v>259.5</v>
      </c>
      <c r="AA374" s="42"/>
      <c r="AB374" s="42">
        <v>439</v>
      </c>
      <c r="AC374" s="42"/>
      <c r="AD374" s="42"/>
      <c r="AE374" s="42">
        <v>23.7</v>
      </c>
      <c r="AF374" s="42"/>
      <c r="AG374" s="42">
        <f>SUBTOTAL(9,Z374:AF374)</f>
        <v>722.2</v>
      </c>
      <c r="AH374" s="42">
        <f>+Z374*1.04</f>
        <v>269.88</v>
      </c>
      <c r="AI374" s="42"/>
      <c r="AJ374" s="42">
        <f>+AB374*1.04</f>
        <v>456.56</v>
      </c>
      <c r="AK374" s="42"/>
      <c r="AL374" s="42"/>
      <c r="AM374" s="42"/>
      <c r="AN374" s="42"/>
      <c r="AO374" s="42">
        <f>+AH374*1.04</f>
        <v>280.67520000000002</v>
      </c>
      <c r="AP374" s="42"/>
      <c r="AQ374" s="42">
        <f>+AJ374*1.04</f>
        <v>474.82240000000002</v>
      </c>
      <c r="AR374" s="42"/>
      <c r="AS374" s="42"/>
      <c r="AT374" s="42"/>
      <c r="AU374" s="42"/>
      <c r="AV374" s="42"/>
      <c r="AW374" s="42">
        <f>+AO374*1.04</f>
        <v>291.90220800000003</v>
      </c>
      <c r="AX374" s="42"/>
      <c r="AY374" s="42">
        <f>+AQ374*1.04</f>
        <v>493.81529600000005</v>
      </c>
      <c r="AZ374" s="42"/>
      <c r="BA374" s="42"/>
      <c r="BB374" s="42"/>
      <c r="BC374" s="42"/>
      <c r="BD374" s="42"/>
      <c r="BE374" s="42">
        <f t="shared" si="202"/>
        <v>1101.9574080000002</v>
      </c>
      <c r="BF374" s="42">
        <f t="shared" si="202"/>
        <v>0</v>
      </c>
      <c r="BG374" s="42">
        <f t="shared" si="202"/>
        <v>1864.197696</v>
      </c>
      <c r="BH374" s="42">
        <f t="shared" si="202"/>
        <v>0</v>
      </c>
      <c r="BI374" s="42">
        <f t="shared" si="202"/>
        <v>0</v>
      </c>
      <c r="BJ374" s="42">
        <f t="shared" si="201"/>
        <v>23.7</v>
      </c>
      <c r="BK374" s="42">
        <f t="shared" si="203"/>
        <v>0</v>
      </c>
      <c r="BL374" s="42">
        <f t="shared" si="203"/>
        <v>722.2</v>
      </c>
    </row>
    <row r="375" spans="1:64" ht="22.8" x14ac:dyDescent="0.25">
      <c r="A375" s="420"/>
      <c r="B375" s="1568" t="s">
        <v>1133</v>
      </c>
      <c r="C375" s="1569"/>
      <c r="D375" s="1569"/>
      <c r="E375" s="1569"/>
      <c r="F375" s="1569"/>
      <c r="G375" s="1569"/>
      <c r="H375" s="1569"/>
      <c r="I375" s="1569"/>
      <c r="J375" s="1569"/>
      <c r="K375" s="1569"/>
      <c r="L375" s="1569"/>
      <c r="M375" s="1570"/>
      <c r="N375" s="597"/>
      <c r="O375" s="597"/>
      <c r="P375" s="597"/>
      <c r="Q375" s="598"/>
      <c r="R375" s="598"/>
      <c r="S375" s="597"/>
      <c r="T375" s="597"/>
      <c r="U375" s="597"/>
      <c r="V375" s="599"/>
      <c r="W375" s="599"/>
      <c r="X375" s="599"/>
      <c r="Y375" s="599"/>
      <c r="Z375" s="600">
        <f>+Z376</f>
        <v>259.5</v>
      </c>
      <c r="AA375" s="600">
        <f t="shared" ref="AA375:BL375" si="237">+AA376</f>
        <v>0</v>
      </c>
      <c r="AB375" s="600">
        <f t="shared" si="237"/>
        <v>439.6</v>
      </c>
      <c r="AC375" s="600">
        <f t="shared" si="237"/>
        <v>0</v>
      </c>
      <c r="AD375" s="600">
        <f t="shared" si="237"/>
        <v>0</v>
      </c>
      <c r="AE375" s="600">
        <f t="shared" si="237"/>
        <v>23.7</v>
      </c>
      <c r="AF375" s="600">
        <f t="shared" si="237"/>
        <v>0</v>
      </c>
      <c r="AG375" s="600">
        <f t="shared" si="237"/>
        <v>722.80000000000007</v>
      </c>
      <c r="AH375" s="600">
        <f t="shared" si="237"/>
        <v>269</v>
      </c>
      <c r="AI375" s="600">
        <f t="shared" si="237"/>
        <v>0</v>
      </c>
      <c r="AJ375" s="600">
        <f t="shared" si="237"/>
        <v>501</v>
      </c>
      <c r="AK375" s="600">
        <f t="shared" si="237"/>
        <v>0</v>
      </c>
      <c r="AL375" s="600">
        <f t="shared" si="237"/>
        <v>0</v>
      </c>
      <c r="AM375" s="600">
        <f t="shared" si="237"/>
        <v>300</v>
      </c>
      <c r="AN375" s="600">
        <f t="shared" si="237"/>
        <v>1070</v>
      </c>
      <c r="AO375" s="600">
        <f t="shared" si="237"/>
        <v>280</v>
      </c>
      <c r="AP375" s="600">
        <f t="shared" si="237"/>
        <v>0</v>
      </c>
      <c r="AQ375" s="600">
        <f t="shared" si="237"/>
        <v>474</v>
      </c>
      <c r="AR375" s="600">
        <f t="shared" si="237"/>
        <v>0</v>
      </c>
      <c r="AS375" s="600">
        <f t="shared" si="237"/>
        <v>0</v>
      </c>
      <c r="AT375" s="600">
        <f t="shared" si="237"/>
        <v>0</v>
      </c>
      <c r="AU375" s="600">
        <f t="shared" si="237"/>
        <v>0</v>
      </c>
      <c r="AV375" s="600">
        <f t="shared" si="237"/>
        <v>754</v>
      </c>
      <c r="AW375" s="600">
        <f t="shared" si="237"/>
        <v>280</v>
      </c>
      <c r="AX375" s="600">
        <f t="shared" si="237"/>
        <v>0</v>
      </c>
      <c r="AY375" s="600">
        <f t="shared" si="237"/>
        <v>493</v>
      </c>
      <c r="AZ375" s="600">
        <f t="shared" si="237"/>
        <v>0</v>
      </c>
      <c r="BA375" s="600">
        <f t="shared" si="237"/>
        <v>0</v>
      </c>
      <c r="BB375" s="600">
        <f t="shared" si="237"/>
        <v>0</v>
      </c>
      <c r="BC375" s="600">
        <f t="shared" si="237"/>
        <v>0</v>
      </c>
      <c r="BD375" s="600">
        <f t="shared" si="237"/>
        <v>773</v>
      </c>
      <c r="BE375" s="33">
        <f t="shared" si="237"/>
        <v>1088.5</v>
      </c>
      <c r="BF375" s="33">
        <f t="shared" si="237"/>
        <v>0</v>
      </c>
      <c r="BG375" s="33">
        <f t="shared" si="237"/>
        <v>1907.6</v>
      </c>
      <c r="BH375" s="33">
        <f t="shared" si="237"/>
        <v>0</v>
      </c>
      <c r="BI375" s="33">
        <f t="shared" si="237"/>
        <v>0</v>
      </c>
      <c r="BJ375" s="33">
        <f t="shared" si="201"/>
        <v>23.7</v>
      </c>
      <c r="BK375" s="33">
        <f t="shared" si="237"/>
        <v>300</v>
      </c>
      <c r="BL375" s="33">
        <f t="shared" si="237"/>
        <v>3319.8</v>
      </c>
    </row>
    <row r="376" spans="1:64" x14ac:dyDescent="0.25">
      <c r="A376" s="603"/>
      <c r="B376" s="155" t="s">
        <v>1132</v>
      </c>
      <c r="C376" s="155"/>
      <c r="D376" s="2" t="s">
        <v>1134</v>
      </c>
      <c r="E376" s="1"/>
      <c r="F376" s="1"/>
      <c r="G376" s="1"/>
      <c r="H376" s="1"/>
      <c r="I376" s="1"/>
      <c r="J376" s="1"/>
      <c r="K376" s="1"/>
      <c r="L376" s="1"/>
      <c r="M376" s="1"/>
      <c r="N376" s="1"/>
      <c r="O376" s="1"/>
      <c r="P376" s="1"/>
      <c r="Q376" s="22"/>
      <c r="R376" s="22"/>
      <c r="S376" s="1"/>
      <c r="T376" s="1"/>
      <c r="U376" s="1"/>
      <c r="V376" s="49"/>
      <c r="W376" s="49"/>
      <c r="X376" s="49"/>
      <c r="Y376" s="49"/>
      <c r="Z376" s="34">
        <f t="shared" ref="Z376:AF376" si="238">SUM(Z377:Z401)</f>
        <v>259.5</v>
      </c>
      <c r="AA376" s="34">
        <f t="shared" si="238"/>
        <v>0</v>
      </c>
      <c r="AB376" s="34">
        <f t="shared" si="238"/>
        <v>439.6</v>
      </c>
      <c r="AC376" s="34">
        <f t="shared" si="238"/>
        <v>0</v>
      </c>
      <c r="AD376" s="34">
        <f t="shared" si="238"/>
        <v>0</v>
      </c>
      <c r="AE376" s="34">
        <f t="shared" si="238"/>
        <v>23.7</v>
      </c>
      <c r="AF376" s="34">
        <f t="shared" si="238"/>
        <v>0</v>
      </c>
      <c r="AG376" s="34">
        <f t="shared" ref="AG376:AG382" si="239">SUM(Z376:AF376)</f>
        <v>722.80000000000007</v>
      </c>
      <c r="AH376" s="34">
        <f t="shared" ref="AH376:AM376" si="240">SUM(AH377:AH401)</f>
        <v>269</v>
      </c>
      <c r="AI376" s="34">
        <f t="shared" si="240"/>
        <v>0</v>
      </c>
      <c r="AJ376" s="34">
        <f t="shared" si="240"/>
        <v>501</v>
      </c>
      <c r="AK376" s="34">
        <f t="shared" si="240"/>
        <v>0</v>
      </c>
      <c r="AL376" s="34">
        <f t="shared" si="240"/>
        <v>0</v>
      </c>
      <c r="AM376" s="34">
        <f t="shared" si="240"/>
        <v>300</v>
      </c>
      <c r="AN376" s="34">
        <f t="shared" ref="AN376:AN382" si="241">SUM(AH376:AM376)</f>
        <v>1070</v>
      </c>
      <c r="AO376" s="34">
        <f t="shared" ref="AO376:AU376" si="242">SUM(AO377:AO401)</f>
        <v>280</v>
      </c>
      <c r="AP376" s="34">
        <f t="shared" si="242"/>
        <v>0</v>
      </c>
      <c r="AQ376" s="34">
        <f t="shared" si="242"/>
        <v>474</v>
      </c>
      <c r="AR376" s="34">
        <f t="shared" si="242"/>
        <v>0</v>
      </c>
      <c r="AS376" s="34">
        <f t="shared" si="242"/>
        <v>0</v>
      </c>
      <c r="AT376" s="34">
        <f t="shared" si="242"/>
        <v>0</v>
      </c>
      <c r="AU376" s="34">
        <f t="shared" si="242"/>
        <v>0</v>
      </c>
      <c r="AV376" s="34">
        <f t="shared" ref="AV376:AV382" si="243">SUM(AO376:AU376)</f>
        <v>754</v>
      </c>
      <c r="AW376" s="34">
        <f t="shared" ref="AW376:BC376" si="244">SUM(AW377:AW401)</f>
        <v>280</v>
      </c>
      <c r="AX376" s="34">
        <f t="shared" si="244"/>
        <v>0</v>
      </c>
      <c r="AY376" s="34">
        <f t="shared" si="244"/>
        <v>493</v>
      </c>
      <c r="AZ376" s="34">
        <f t="shared" si="244"/>
        <v>0</v>
      </c>
      <c r="BA376" s="34">
        <f t="shared" si="244"/>
        <v>0</v>
      </c>
      <c r="BB376" s="34">
        <f t="shared" si="244"/>
        <v>0</v>
      </c>
      <c r="BC376" s="34">
        <f t="shared" si="244"/>
        <v>0</v>
      </c>
      <c r="BD376" s="34">
        <f t="shared" ref="BD376:BD382" si="245">SUM(AW376:BC376)</f>
        <v>773</v>
      </c>
      <c r="BE376" s="34">
        <f>+Z376+AH376+AO376+AW376</f>
        <v>1088.5</v>
      </c>
      <c r="BF376" s="34">
        <f t="shared" si="202"/>
        <v>0</v>
      </c>
      <c r="BG376" s="34">
        <f t="shared" si="202"/>
        <v>1907.6</v>
      </c>
      <c r="BH376" s="34">
        <f t="shared" si="202"/>
        <v>0</v>
      </c>
      <c r="BI376" s="34">
        <f t="shared" si="202"/>
        <v>0</v>
      </c>
      <c r="BJ376" s="34">
        <f t="shared" si="201"/>
        <v>23.7</v>
      </c>
      <c r="BK376" s="34">
        <f t="shared" si="203"/>
        <v>300</v>
      </c>
      <c r="BL376" s="34">
        <f t="shared" si="203"/>
        <v>3319.8</v>
      </c>
    </row>
    <row r="377" spans="1:64" ht="45" customHeight="1" x14ac:dyDescent="0.25">
      <c r="A377" s="298" t="s">
        <v>1135</v>
      </c>
      <c r="B377" s="299" t="s">
        <v>1132</v>
      </c>
      <c r="C377" s="1546" t="s">
        <v>1136</v>
      </c>
      <c r="D377" s="1549" t="s">
        <v>1137</v>
      </c>
      <c r="E377" s="1549" t="s">
        <v>1138</v>
      </c>
      <c r="F377" s="1549">
        <v>2015</v>
      </c>
      <c r="G377" s="1549">
        <v>75.61</v>
      </c>
      <c r="H377" s="1549">
        <v>78</v>
      </c>
      <c r="I377" s="1425"/>
      <c r="J377" s="1425"/>
      <c r="K377" s="1425" t="s">
        <v>1139</v>
      </c>
      <c r="L377" s="301" t="s">
        <v>1140</v>
      </c>
      <c r="M377" s="1425" t="s">
        <v>1141</v>
      </c>
      <c r="N377" s="476"/>
      <c r="O377" s="1425" t="s">
        <v>47</v>
      </c>
      <c r="P377" s="1425"/>
      <c r="Q377" s="16" t="s">
        <v>1142</v>
      </c>
      <c r="R377" s="302" t="s">
        <v>522</v>
      </c>
      <c r="S377" s="303">
        <v>2015</v>
      </c>
      <c r="T377" s="303">
        <v>2</v>
      </c>
      <c r="U377" s="303">
        <v>2</v>
      </c>
      <c r="V377" s="572">
        <v>2</v>
      </c>
      <c r="W377" s="572">
        <v>2</v>
      </c>
      <c r="X377" s="572">
        <v>2</v>
      </c>
      <c r="Y377" s="572">
        <f>SUBTOTAL(9,U377:X377)</f>
        <v>8</v>
      </c>
      <c r="Z377" s="481">
        <f>259.5-217.2</f>
        <v>42.300000000000011</v>
      </c>
      <c r="AA377" s="481"/>
      <c r="AB377" s="481"/>
      <c r="AC377" s="481"/>
      <c r="AD377" s="481"/>
      <c r="AE377" s="481"/>
      <c r="AF377" s="481"/>
      <c r="AG377" s="481">
        <f t="shared" si="239"/>
        <v>42.300000000000011</v>
      </c>
      <c r="AH377" s="548">
        <v>49</v>
      </c>
      <c r="AI377" s="548"/>
      <c r="AJ377" s="548"/>
      <c r="AK377" s="548"/>
      <c r="AL377" s="548"/>
      <c r="AM377" s="548"/>
      <c r="AN377" s="548">
        <f t="shared" si="241"/>
        <v>49</v>
      </c>
      <c r="AO377" s="481">
        <v>50</v>
      </c>
      <c r="AP377" s="481"/>
      <c r="AQ377" s="481"/>
      <c r="AR377" s="481"/>
      <c r="AS377" s="481"/>
      <c r="AT377" s="481"/>
      <c r="AU377" s="481"/>
      <c r="AV377" s="481">
        <f t="shared" si="243"/>
        <v>50</v>
      </c>
      <c r="AW377" s="548">
        <v>50</v>
      </c>
      <c r="AX377" s="548"/>
      <c r="AY377" s="548"/>
      <c r="AZ377" s="548"/>
      <c r="BA377" s="548"/>
      <c r="BB377" s="548"/>
      <c r="BC377" s="548"/>
      <c r="BD377" s="548">
        <f t="shared" si="245"/>
        <v>50</v>
      </c>
      <c r="BE377" s="42">
        <f t="shared" si="202"/>
        <v>191.3</v>
      </c>
      <c r="BF377" s="42">
        <f t="shared" si="202"/>
        <v>0</v>
      </c>
      <c r="BG377" s="42">
        <f t="shared" si="202"/>
        <v>0</v>
      </c>
      <c r="BH377" s="42">
        <f t="shared" si="202"/>
        <v>0</v>
      </c>
      <c r="BI377" s="42">
        <f t="shared" si="202"/>
        <v>0</v>
      </c>
      <c r="BJ377" s="42">
        <f t="shared" si="201"/>
        <v>0</v>
      </c>
      <c r="BK377" s="42">
        <f t="shared" si="203"/>
        <v>0</v>
      </c>
      <c r="BL377" s="42">
        <f t="shared" si="203"/>
        <v>191.3</v>
      </c>
    </row>
    <row r="378" spans="1:64" ht="44.25" customHeight="1" x14ac:dyDescent="0.25">
      <c r="A378" s="298" t="s">
        <v>1135</v>
      </c>
      <c r="B378" s="299" t="s">
        <v>1132</v>
      </c>
      <c r="C378" s="1547"/>
      <c r="D378" s="1549"/>
      <c r="E378" s="1549"/>
      <c r="F378" s="1549"/>
      <c r="G378" s="1549"/>
      <c r="H378" s="1549"/>
      <c r="I378" s="1425"/>
      <c r="J378" s="1425"/>
      <c r="K378" s="1425" t="s">
        <v>1143</v>
      </c>
      <c r="L378" s="301" t="s">
        <v>1140</v>
      </c>
      <c r="M378" s="1425" t="s">
        <v>1141</v>
      </c>
      <c r="N378" s="476"/>
      <c r="O378" s="1425" t="s">
        <v>47</v>
      </c>
      <c r="P378" s="1425"/>
      <c r="Q378" s="16" t="s">
        <v>1144</v>
      </c>
      <c r="R378" s="302" t="s">
        <v>1145</v>
      </c>
      <c r="S378" s="303">
        <v>2015</v>
      </c>
      <c r="T378" s="303">
        <v>2</v>
      </c>
      <c r="U378" s="303">
        <v>1</v>
      </c>
      <c r="V378" s="572">
        <v>0</v>
      </c>
      <c r="W378" s="572">
        <v>1</v>
      </c>
      <c r="X378" s="572">
        <v>0</v>
      </c>
      <c r="Y378" s="572">
        <f t="shared" ref="Y378:Y401" si="246">SUBTOTAL(9,U378:X378)</f>
        <v>2</v>
      </c>
      <c r="Z378" s="491">
        <v>15</v>
      </c>
      <c r="AA378" s="481"/>
      <c r="AB378" s="481"/>
      <c r="AC378" s="481"/>
      <c r="AD378" s="481"/>
      <c r="AE378" s="481"/>
      <c r="AF378" s="481"/>
      <c r="AG378" s="481">
        <f t="shared" si="239"/>
        <v>15</v>
      </c>
      <c r="AH378" s="548"/>
      <c r="AI378" s="548"/>
      <c r="AJ378" s="548"/>
      <c r="AK378" s="548"/>
      <c r="AL378" s="548"/>
      <c r="AM378" s="548"/>
      <c r="AN378" s="548">
        <f t="shared" si="241"/>
        <v>0</v>
      </c>
      <c r="AO378" s="491">
        <v>1</v>
      </c>
      <c r="AP378" s="481"/>
      <c r="AQ378" s="481"/>
      <c r="AR378" s="481"/>
      <c r="AS378" s="481"/>
      <c r="AT378" s="481"/>
      <c r="AU378" s="481"/>
      <c r="AV378" s="481">
        <f t="shared" si="243"/>
        <v>1</v>
      </c>
      <c r="AW378" s="548"/>
      <c r="AX378" s="548"/>
      <c r="AY378" s="548"/>
      <c r="AZ378" s="548"/>
      <c r="BA378" s="548"/>
      <c r="BB378" s="548"/>
      <c r="BC378" s="548"/>
      <c r="BD378" s="548">
        <f t="shared" si="245"/>
        <v>0</v>
      </c>
      <c r="BE378" s="42">
        <f t="shared" si="202"/>
        <v>16</v>
      </c>
      <c r="BF378" s="42">
        <f t="shared" si="202"/>
        <v>0</v>
      </c>
      <c r="BG378" s="42">
        <f t="shared" si="202"/>
        <v>0</v>
      </c>
      <c r="BH378" s="42">
        <f t="shared" si="202"/>
        <v>0</v>
      </c>
      <c r="BI378" s="42">
        <f t="shared" si="202"/>
        <v>0</v>
      </c>
      <c r="BJ378" s="42">
        <f t="shared" si="201"/>
        <v>0</v>
      </c>
      <c r="BK378" s="42">
        <f t="shared" si="203"/>
        <v>0</v>
      </c>
      <c r="BL378" s="42">
        <f t="shared" si="203"/>
        <v>16</v>
      </c>
    </row>
    <row r="379" spans="1:64" ht="41.25" customHeight="1" x14ac:dyDescent="0.25">
      <c r="A379" s="298" t="s">
        <v>1135</v>
      </c>
      <c r="B379" s="299" t="s">
        <v>1132</v>
      </c>
      <c r="C379" s="1547"/>
      <c r="D379" s="1549"/>
      <c r="E379" s="1549"/>
      <c r="F379" s="1549"/>
      <c r="G379" s="1549"/>
      <c r="H379" s="1549"/>
      <c r="I379" s="1425"/>
      <c r="J379" s="1425"/>
      <c r="K379" s="1425" t="s">
        <v>1146</v>
      </c>
      <c r="L379" s="301" t="s">
        <v>1140</v>
      </c>
      <c r="M379" s="1425" t="s">
        <v>1141</v>
      </c>
      <c r="N379" s="476"/>
      <c r="O379" s="1425" t="s">
        <v>47</v>
      </c>
      <c r="P379" s="1425"/>
      <c r="Q379" s="16" t="s">
        <v>1147</v>
      </c>
      <c r="R379" s="302" t="s">
        <v>367</v>
      </c>
      <c r="S379" s="303">
        <v>2015</v>
      </c>
      <c r="T379" s="303">
        <v>0</v>
      </c>
      <c r="U379" s="303">
        <v>1</v>
      </c>
      <c r="V379" s="572">
        <v>0</v>
      </c>
      <c r="W379" s="572">
        <v>1</v>
      </c>
      <c r="X379" s="572">
        <v>0</v>
      </c>
      <c r="Y379" s="572">
        <f t="shared" si="246"/>
        <v>2</v>
      </c>
      <c r="Z379" s="491">
        <v>10</v>
      </c>
      <c r="AA379" s="481"/>
      <c r="AB379" s="481"/>
      <c r="AC379" s="481"/>
      <c r="AD379" s="481"/>
      <c r="AE379" s="481"/>
      <c r="AF379" s="481"/>
      <c r="AG379" s="481">
        <f t="shared" si="239"/>
        <v>10</v>
      </c>
      <c r="AH379" s="548"/>
      <c r="AI379" s="548"/>
      <c r="AJ379" s="548"/>
      <c r="AK379" s="548"/>
      <c r="AL379" s="548"/>
      <c r="AM379" s="548"/>
      <c r="AN379" s="548">
        <f t="shared" si="241"/>
        <v>0</v>
      </c>
      <c r="AO379" s="491">
        <v>1</v>
      </c>
      <c r="AP379" s="481"/>
      <c r="AQ379" s="481"/>
      <c r="AR379" s="481"/>
      <c r="AS379" s="481"/>
      <c r="AT379" s="481"/>
      <c r="AU379" s="481"/>
      <c r="AV379" s="481">
        <f t="shared" si="243"/>
        <v>1</v>
      </c>
      <c r="AW379" s="548"/>
      <c r="AX379" s="548"/>
      <c r="AY379" s="548"/>
      <c r="AZ379" s="548"/>
      <c r="BA379" s="548"/>
      <c r="BB379" s="548"/>
      <c r="BC379" s="548"/>
      <c r="BD379" s="548">
        <f t="shared" si="245"/>
        <v>0</v>
      </c>
      <c r="BE379" s="42">
        <f t="shared" si="202"/>
        <v>11</v>
      </c>
      <c r="BF379" s="42">
        <f t="shared" si="202"/>
        <v>0</v>
      </c>
      <c r="BG379" s="42">
        <f t="shared" si="202"/>
        <v>0</v>
      </c>
      <c r="BH379" s="42">
        <f t="shared" si="202"/>
        <v>0</v>
      </c>
      <c r="BI379" s="42">
        <f t="shared" si="202"/>
        <v>0</v>
      </c>
      <c r="BJ379" s="42">
        <f t="shared" si="201"/>
        <v>0</v>
      </c>
      <c r="BK379" s="42">
        <f t="shared" si="203"/>
        <v>0</v>
      </c>
      <c r="BL379" s="42">
        <f t="shared" si="203"/>
        <v>11</v>
      </c>
    </row>
    <row r="380" spans="1:64" ht="43.5" customHeight="1" x14ac:dyDescent="0.25">
      <c r="A380" s="298" t="s">
        <v>1135</v>
      </c>
      <c r="B380" s="299" t="s">
        <v>1132</v>
      </c>
      <c r="C380" s="1547"/>
      <c r="D380" s="1549"/>
      <c r="E380" s="1549"/>
      <c r="F380" s="1549"/>
      <c r="G380" s="1549"/>
      <c r="H380" s="1549"/>
      <c r="I380" s="1425"/>
      <c r="J380" s="1425"/>
      <c r="K380" s="1425" t="s">
        <v>1148</v>
      </c>
      <c r="L380" s="301" t="s">
        <v>1140</v>
      </c>
      <c r="M380" s="1425" t="s">
        <v>1141</v>
      </c>
      <c r="N380" s="476"/>
      <c r="O380" s="1425" t="s">
        <v>73</v>
      </c>
      <c r="P380" s="1425"/>
      <c r="Q380" s="16" t="s">
        <v>1149</v>
      </c>
      <c r="R380" s="302" t="s">
        <v>1150</v>
      </c>
      <c r="S380" s="303">
        <v>2015</v>
      </c>
      <c r="T380" s="303">
        <v>2</v>
      </c>
      <c r="U380" s="303">
        <v>3</v>
      </c>
      <c r="V380" s="572">
        <v>3</v>
      </c>
      <c r="W380" s="572">
        <v>3</v>
      </c>
      <c r="X380" s="572">
        <v>3</v>
      </c>
      <c r="Y380" s="572">
        <v>3</v>
      </c>
      <c r="Z380" s="491">
        <v>25</v>
      </c>
      <c r="AA380" s="481"/>
      <c r="AB380" s="481"/>
      <c r="AC380" s="481"/>
      <c r="AD380" s="481"/>
      <c r="AE380" s="481"/>
      <c r="AF380" s="481"/>
      <c r="AG380" s="481">
        <f t="shared" si="239"/>
        <v>25</v>
      </c>
      <c r="AH380" s="491">
        <v>1</v>
      </c>
      <c r="AI380" s="548"/>
      <c r="AJ380" s="548"/>
      <c r="AK380" s="548"/>
      <c r="AL380" s="548"/>
      <c r="AM380" s="548"/>
      <c r="AN380" s="548">
        <f t="shared" si="241"/>
        <v>1</v>
      </c>
      <c r="AO380" s="491">
        <v>1</v>
      </c>
      <c r="AP380" s="481"/>
      <c r="AQ380" s="481"/>
      <c r="AR380" s="481"/>
      <c r="AS380" s="481"/>
      <c r="AT380" s="481"/>
      <c r="AU380" s="481"/>
      <c r="AV380" s="481">
        <f t="shared" si="243"/>
        <v>1</v>
      </c>
      <c r="AW380" s="491">
        <v>1</v>
      </c>
      <c r="AX380" s="548"/>
      <c r="AY380" s="548"/>
      <c r="AZ380" s="548"/>
      <c r="BA380" s="548"/>
      <c r="BB380" s="548"/>
      <c r="BC380" s="548"/>
      <c r="BD380" s="548">
        <f t="shared" si="245"/>
        <v>1</v>
      </c>
      <c r="BE380" s="42">
        <f t="shared" ref="BE380:BI397" si="247">+AW380+AO380+AH380+Z380</f>
        <v>28</v>
      </c>
      <c r="BF380" s="42">
        <f t="shared" si="247"/>
        <v>0</v>
      </c>
      <c r="BG380" s="42">
        <f t="shared" si="247"/>
        <v>0</v>
      </c>
      <c r="BH380" s="42">
        <f t="shared" si="247"/>
        <v>0</v>
      </c>
      <c r="BI380" s="42">
        <f t="shared" si="247"/>
        <v>0</v>
      </c>
      <c r="BJ380" s="42">
        <f t="shared" si="201"/>
        <v>0</v>
      </c>
      <c r="BK380" s="42">
        <f t="shared" ref="BK380:BL397" si="248">+BC380+AU380+AM380+AF380</f>
        <v>0</v>
      </c>
      <c r="BL380" s="42">
        <f t="shared" si="248"/>
        <v>28</v>
      </c>
    </row>
    <row r="381" spans="1:64" ht="68.25" customHeight="1" x14ac:dyDescent="0.25">
      <c r="A381" s="298" t="s">
        <v>1135</v>
      </c>
      <c r="B381" s="299" t="s">
        <v>1132</v>
      </c>
      <c r="C381" s="1547"/>
      <c r="D381" s="1549"/>
      <c r="E381" s="1549"/>
      <c r="F381" s="1549"/>
      <c r="G381" s="1549"/>
      <c r="H381" s="1549"/>
      <c r="I381" s="1425" t="s">
        <v>1106</v>
      </c>
      <c r="J381" s="1425"/>
      <c r="K381" s="1425" t="s">
        <v>1151</v>
      </c>
      <c r="L381" s="301" t="s">
        <v>1140</v>
      </c>
      <c r="M381" s="1425" t="s">
        <v>1102</v>
      </c>
      <c r="N381" s="476" t="s">
        <v>1103</v>
      </c>
      <c r="O381" s="1425" t="s">
        <v>47</v>
      </c>
      <c r="P381" s="586">
        <v>231710</v>
      </c>
      <c r="Q381" s="16" t="s">
        <v>1152</v>
      </c>
      <c r="R381" s="302" t="s">
        <v>1153</v>
      </c>
      <c r="S381" s="303">
        <v>2015</v>
      </c>
      <c r="T381" s="303">
        <v>0</v>
      </c>
      <c r="U381" s="303">
        <v>0</v>
      </c>
      <c r="V381" s="572">
        <v>1</v>
      </c>
      <c r="W381" s="572">
        <v>0</v>
      </c>
      <c r="X381" s="572">
        <v>0</v>
      </c>
      <c r="Y381" s="572">
        <f t="shared" si="246"/>
        <v>1</v>
      </c>
      <c r="Z381" s="491"/>
      <c r="AA381" s="481"/>
      <c r="AB381" s="481"/>
      <c r="AC381" s="481"/>
      <c r="AD381" s="481"/>
      <c r="AE381" s="481"/>
      <c r="AF381" s="481"/>
      <c r="AG381" s="481">
        <f t="shared" si="239"/>
        <v>0</v>
      </c>
      <c r="AH381" s="491">
        <v>1</v>
      </c>
      <c r="AI381" s="548"/>
      <c r="AJ381" s="548"/>
      <c r="AK381" s="548"/>
      <c r="AL381" s="548"/>
      <c r="AM381" s="548">
        <v>300</v>
      </c>
      <c r="AN381" s="548">
        <f t="shared" si="241"/>
        <v>301</v>
      </c>
      <c r="AO381" s="481"/>
      <c r="AP381" s="481"/>
      <c r="AQ381" s="481"/>
      <c r="AR381" s="481"/>
      <c r="AS381" s="481"/>
      <c r="AT381" s="481"/>
      <c r="AU381" s="481"/>
      <c r="AV381" s="481">
        <f t="shared" si="243"/>
        <v>0</v>
      </c>
      <c r="AW381" s="548"/>
      <c r="AX381" s="548"/>
      <c r="AY381" s="548"/>
      <c r="AZ381" s="548"/>
      <c r="BA381" s="548"/>
      <c r="BB381" s="548"/>
      <c r="BC381" s="548"/>
      <c r="BD381" s="548">
        <f t="shared" si="245"/>
        <v>0</v>
      </c>
      <c r="BE381" s="42">
        <f t="shared" si="247"/>
        <v>1</v>
      </c>
      <c r="BF381" s="42">
        <f t="shared" si="247"/>
        <v>0</v>
      </c>
      <c r="BG381" s="42">
        <f t="shared" si="247"/>
        <v>0</v>
      </c>
      <c r="BH381" s="42">
        <f t="shared" si="247"/>
        <v>0</v>
      </c>
      <c r="BI381" s="42">
        <f t="shared" si="247"/>
        <v>0</v>
      </c>
      <c r="BJ381" s="42">
        <f t="shared" si="201"/>
        <v>0</v>
      </c>
      <c r="BK381" s="42">
        <f t="shared" si="248"/>
        <v>300</v>
      </c>
      <c r="BL381" s="42">
        <f t="shared" si="248"/>
        <v>301</v>
      </c>
    </row>
    <row r="382" spans="1:64" ht="40.5" customHeight="1" x14ac:dyDescent="0.25">
      <c r="A382" s="298" t="s">
        <v>1135</v>
      </c>
      <c r="B382" s="299" t="s">
        <v>1132</v>
      </c>
      <c r="C382" s="1547"/>
      <c r="D382" s="1549"/>
      <c r="E382" s="1549"/>
      <c r="F382" s="1549"/>
      <c r="G382" s="1549"/>
      <c r="H382" s="1549"/>
      <c r="I382" s="1425"/>
      <c r="J382" s="1425"/>
      <c r="K382" s="1425" t="s">
        <v>1154</v>
      </c>
      <c r="L382" s="301" t="s">
        <v>1140</v>
      </c>
      <c r="M382" s="1425" t="s">
        <v>497</v>
      </c>
      <c r="N382" s="476"/>
      <c r="O382" s="1425" t="s">
        <v>47</v>
      </c>
      <c r="P382" s="1425"/>
      <c r="Q382" s="16" t="s">
        <v>1155</v>
      </c>
      <c r="R382" s="302" t="s">
        <v>1156</v>
      </c>
      <c r="S382" s="303">
        <v>2015</v>
      </c>
      <c r="T382" s="303">
        <v>0</v>
      </c>
      <c r="U382" s="303">
        <v>1</v>
      </c>
      <c r="V382" s="572">
        <v>0</v>
      </c>
      <c r="W382" s="572">
        <v>0</v>
      </c>
      <c r="X382" s="572">
        <v>0</v>
      </c>
      <c r="Y382" s="572">
        <f t="shared" si="246"/>
        <v>1</v>
      </c>
      <c r="Z382" s="481"/>
      <c r="AA382" s="481"/>
      <c r="AB382" s="481">
        <v>50</v>
      </c>
      <c r="AC382" s="481"/>
      <c r="AD382" s="481"/>
      <c r="AE382" s="481"/>
      <c r="AF382" s="481"/>
      <c r="AG382" s="481">
        <f t="shared" si="239"/>
        <v>50</v>
      </c>
      <c r="AH382" s="548"/>
      <c r="AI382" s="548"/>
      <c r="AJ382" s="548"/>
      <c r="AK382" s="548"/>
      <c r="AL382" s="548"/>
      <c r="AM382" s="548"/>
      <c r="AN382" s="548">
        <f t="shared" si="241"/>
        <v>0</v>
      </c>
      <c r="AO382" s="481"/>
      <c r="AP382" s="481"/>
      <c r="AQ382" s="481"/>
      <c r="AR382" s="481"/>
      <c r="AS382" s="481"/>
      <c r="AT382" s="481"/>
      <c r="AU382" s="481"/>
      <c r="AV382" s="481">
        <f t="shared" si="243"/>
        <v>0</v>
      </c>
      <c r="AW382" s="548"/>
      <c r="AX382" s="548"/>
      <c r="AY382" s="548"/>
      <c r="AZ382" s="548"/>
      <c r="BA382" s="548"/>
      <c r="BB382" s="548"/>
      <c r="BC382" s="548"/>
      <c r="BD382" s="548">
        <f t="shared" si="245"/>
        <v>0</v>
      </c>
      <c r="BE382" s="42">
        <f t="shared" si="247"/>
        <v>0</v>
      </c>
      <c r="BF382" s="42">
        <f t="shared" si="247"/>
        <v>0</v>
      </c>
      <c r="BG382" s="42">
        <f t="shared" si="247"/>
        <v>50</v>
      </c>
      <c r="BH382" s="42">
        <f t="shared" si="247"/>
        <v>0</v>
      </c>
      <c r="BI382" s="42">
        <f t="shared" si="247"/>
        <v>0</v>
      </c>
      <c r="BJ382" s="42">
        <f t="shared" si="201"/>
        <v>0</v>
      </c>
      <c r="BK382" s="42">
        <f t="shared" si="248"/>
        <v>0</v>
      </c>
      <c r="BL382" s="42">
        <f t="shared" si="248"/>
        <v>50</v>
      </c>
    </row>
    <row r="383" spans="1:64" ht="42" customHeight="1" x14ac:dyDescent="0.25">
      <c r="A383" s="298" t="s">
        <v>1135</v>
      </c>
      <c r="B383" s="299" t="s">
        <v>1132</v>
      </c>
      <c r="C383" s="1547"/>
      <c r="D383" s="1549"/>
      <c r="E383" s="1549"/>
      <c r="F383" s="1549"/>
      <c r="G383" s="1549"/>
      <c r="H383" s="1549"/>
      <c r="I383" s="1425"/>
      <c r="J383" s="1425"/>
      <c r="K383" s="1425" t="s">
        <v>1157</v>
      </c>
      <c r="L383" s="301" t="s">
        <v>1140</v>
      </c>
      <c r="M383" s="1425" t="s">
        <v>497</v>
      </c>
      <c r="N383" s="476"/>
      <c r="O383" s="1425" t="s">
        <v>73</v>
      </c>
      <c r="P383" s="586" t="s">
        <v>1158</v>
      </c>
      <c r="Q383" s="16" t="s">
        <v>1159</v>
      </c>
      <c r="R383" s="302" t="s">
        <v>1160</v>
      </c>
      <c r="S383" s="303">
        <v>2015</v>
      </c>
      <c r="T383" s="303">
        <v>1</v>
      </c>
      <c r="U383" s="303">
        <v>1</v>
      </c>
      <c r="V383" s="572">
        <v>1</v>
      </c>
      <c r="W383" s="572">
        <v>1</v>
      </c>
      <c r="X383" s="572">
        <v>1</v>
      </c>
      <c r="Y383" s="572">
        <v>1</v>
      </c>
      <c r="Z383" s="491">
        <v>18.5</v>
      </c>
      <c r="AA383" s="481"/>
      <c r="AB383" s="481">
        <f>80+5+59+35.6</f>
        <v>179.6</v>
      </c>
      <c r="AC383" s="481"/>
      <c r="AD383" s="481"/>
      <c r="AE383" s="481">
        <v>23.7</v>
      </c>
      <c r="AF383" s="481"/>
      <c r="AG383" s="481">
        <f>SUM(Z383:AF383)</f>
        <v>221.79999999999998</v>
      </c>
      <c r="AH383" s="548">
        <v>70</v>
      </c>
      <c r="AI383" s="548"/>
      <c r="AJ383" s="548">
        <v>265</v>
      </c>
      <c r="AK383" s="548"/>
      <c r="AL383" s="548"/>
      <c r="AM383" s="548"/>
      <c r="AN383" s="548">
        <f>SUM(AH383:AM383)</f>
        <v>335</v>
      </c>
      <c r="AO383" s="481">
        <v>80</v>
      </c>
      <c r="AP383" s="481"/>
      <c r="AQ383" s="481">
        <v>200</v>
      </c>
      <c r="AR383" s="481"/>
      <c r="AS383" s="481"/>
      <c r="AT383" s="481"/>
      <c r="AU383" s="481"/>
      <c r="AV383" s="481">
        <f>SUM(AO383:AU383)</f>
        <v>280</v>
      </c>
      <c r="AW383" s="548">
        <v>80</v>
      </c>
      <c r="AX383" s="548"/>
      <c r="AY383" s="548">
        <v>210</v>
      </c>
      <c r="AZ383" s="548"/>
      <c r="BA383" s="548"/>
      <c r="BB383" s="548"/>
      <c r="BC383" s="548"/>
      <c r="BD383" s="548">
        <f>SUM(AW383:BC383)</f>
        <v>290</v>
      </c>
      <c r="BE383" s="42">
        <f t="shared" si="247"/>
        <v>248.5</v>
      </c>
      <c r="BF383" s="42">
        <f t="shared" si="247"/>
        <v>0</v>
      </c>
      <c r="BG383" s="42">
        <f t="shared" si="247"/>
        <v>854.6</v>
      </c>
      <c r="BH383" s="42">
        <f t="shared" si="247"/>
        <v>0</v>
      </c>
      <c r="BI383" s="42">
        <f t="shared" si="247"/>
        <v>0</v>
      </c>
      <c r="BJ383" s="42">
        <f t="shared" si="201"/>
        <v>23.7</v>
      </c>
      <c r="BK383" s="42">
        <f t="shared" si="248"/>
        <v>0</v>
      </c>
      <c r="BL383" s="42">
        <f t="shared" si="248"/>
        <v>1126.8</v>
      </c>
    </row>
    <row r="384" spans="1:64" ht="43.5" customHeight="1" x14ac:dyDescent="0.25">
      <c r="A384" s="298" t="s">
        <v>1135</v>
      </c>
      <c r="B384" s="299" t="s">
        <v>1132</v>
      </c>
      <c r="C384" s="1547"/>
      <c r="D384" s="1549"/>
      <c r="E384" s="1549"/>
      <c r="F384" s="1549"/>
      <c r="G384" s="1549"/>
      <c r="H384" s="1549"/>
      <c r="I384" s="1425"/>
      <c r="J384" s="1425"/>
      <c r="K384" s="1425" t="s">
        <v>1161</v>
      </c>
      <c r="L384" s="301" t="s">
        <v>1140</v>
      </c>
      <c r="M384" s="1425" t="s">
        <v>497</v>
      </c>
      <c r="N384" s="476"/>
      <c r="O384" s="1425" t="s">
        <v>47</v>
      </c>
      <c r="P384" s="1425"/>
      <c r="Q384" s="16" t="s">
        <v>1162</v>
      </c>
      <c r="R384" s="302" t="s">
        <v>1163</v>
      </c>
      <c r="S384" s="303">
        <v>2015</v>
      </c>
      <c r="T384" s="303">
        <v>4</v>
      </c>
      <c r="U384" s="303">
        <v>1</v>
      </c>
      <c r="V384" s="572">
        <v>1</v>
      </c>
      <c r="W384" s="572">
        <v>1</v>
      </c>
      <c r="X384" s="572">
        <v>1</v>
      </c>
      <c r="Y384" s="572">
        <f t="shared" si="246"/>
        <v>4</v>
      </c>
      <c r="Z384" s="491">
        <v>0.5</v>
      </c>
      <c r="AA384" s="481"/>
      <c r="AB384" s="481"/>
      <c r="AC384" s="481"/>
      <c r="AD384" s="481"/>
      <c r="AE384" s="481"/>
      <c r="AF384" s="481"/>
      <c r="AG384" s="481">
        <f>SUM(Z384:AF384)</f>
        <v>0.5</v>
      </c>
      <c r="AH384" s="491">
        <v>1</v>
      </c>
      <c r="AI384" s="548"/>
      <c r="AJ384" s="548"/>
      <c r="AK384" s="548"/>
      <c r="AL384" s="548"/>
      <c r="AM384" s="548"/>
      <c r="AN384" s="548">
        <f>SUM(AH384:AM384)</f>
        <v>1</v>
      </c>
      <c r="AO384" s="491">
        <v>1</v>
      </c>
      <c r="AP384" s="481"/>
      <c r="AQ384" s="481"/>
      <c r="AR384" s="481"/>
      <c r="AS384" s="481"/>
      <c r="AT384" s="481"/>
      <c r="AU384" s="481"/>
      <c r="AV384" s="481">
        <f>SUM(AO384:AU384)</f>
        <v>1</v>
      </c>
      <c r="AW384" s="491">
        <v>1</v>
      </c>
      <c r="AX384" s="548"/>
      <c r="AY384" s="548"/>
      <c r="AZ384" s="548"/>
      <c r="BA384" s="548"/>
      <c r="BB384" s="548"/>
      <c r="BC384" s="548"/>
      <c r="BD384" s="548">
        <f>SUM(AW384:BC384)</f>
        <v>1</v>
      </c>
      <c r="BE384" s="42">
        <f t="shared" si="247"/>
        <v>3.5</v>
      </c>
      <c r="BF384" s="42">
        <f t="shared" si="247"/>
        <v>0</v>
      </c>
      <c r="BG384" s="42">
        <f t="shared" si="247"/>
        <v>0</v>
      </c>
      <c r="BH384" s="42">
        <f t="shared" si="247"/>
        <v>0</v>
      </c>
      <c r="BI384" s="42">
        <f t="shared" si="247"/>
        <v>0</v>
      </c>
      <c r="BJ384" s="42">
        <f t="shared" si="201"/>
        <v>0</v>
      </c>
      <c r="BK384" s="42">
        <f t="shared" si="248"/>
        <v>0</v>
      </c>
      <c r="BL384" s="42">
        <f t="shared" si="248"/>
        <v>3.5</v>
      </c>
    </row>
    <row r="385" spans="1:64" ht="39.75" customHeight="1" x14ac:dyDescent="0.25">
      <c r="A385" s="298" t="s">
        <v>1135</v>
      </c>
      <c r="B385" s="299" t="s">
        <v>1132</v>
      </c>
      <c r="C385" s="1547"/>
      <c r="D385" s="1549"/>
      <c r="E385" s="1549"/>
      <c r="F385" s="1549"/>
      <c r="G385" s="1549"/>
      <c r="H385" s="1549"/>
      <c r="I385" s="1425"/>
      <c r="J385" s="1425"/>
      <c r="K385" s="1425" t="s">
        <v>1164</v>
      </c>
      <c r="L385" s="301" t="s">
        <v>1140</v>
      </c>
      <c r="M385" s="1425" t="s">
        <v>497</v>
      </c>
      <c r="N385" s="476"/>
      <c r="O385" s="1425" t="s">
        <v>73</v>
      </c>
      <c r="P385" s="586" t="s">
        <v>1158</v>
      </c>
      <c r="Q385" s="16" t="s">
        <v>1165</v>
      </c>
      <c r="R385" s="302" t="s">
        <v>1166</v>
      </c>
      <c r="S385" s="303">
        <v>2015</v>
      </c>
      <c r="T385" s="303" t="s">
        <v>177</v>
      </c>
      <c r="U385" s="303">
        <v>100</v>
      </c>
      <c r="V385" s="572">
        <v>100</v>
      </c>
      <c r="W385" s="572">
        <v>100</v>
      </c>
      <c r="X385" s="572">
        <v>100</v>
      </c>
      <c r="Y385" s="572">
        <v>100</v>
      </c>
      <c r="Z385" s="491">
        <v>1</v>
      </c>
      <c r="AA385" s="481"/>
      <c r="AB385" s="481"/>
      <c r="AC385" s="481"/>
      <c r="AD385" s="481"/>
      <c r="AE385" s="481"/>
      <c r="AF385" s="481"/>
      <c r="AG385" s="481">
        <f>SUM(Z385:AF385)</f>
        <v>1</v>
      </c>
      <c r="AH385" s="491">
        <v>1</v>
      </c>
      <c r="AI385" s="548"/>
      <c r="AJ385" s="716">
        <v>15</v>
      </c>
      <c r="AK385" s="548"/>
      <c r="AL385" s="548"/>
      <c r="AM385" s="548"/>
      <c r="AN385" s="548">
        <f>SUM(AH385:AM385)</f>
        <v>16</v>
      </c>
      <c r="AO385" s="491">
        <v>1</v>
      </c>
      <c r="AP385" s="481"/>
      <c r="AQ385" s="481"/>
      <c r="AR385" s="481"/>
      <c r="AS385" s="481"/>
      <c r="AT385" s="481"/>
      <c r="AU385" s="481"/>
      <c r="AV385" s="481">
        <f>SUM(AO385:AU385)</f>
        <v>1</v>
      </c>
      <c r="AW385" s="491">
        <v>1</v>
      </c>
      <c r="AX385" s="548"/>
      <c r="AY385" s="548"/>
      <c r="AZ385" s="548"/>
      <c r="BA385" s="548"/>
      <c r="BB385" s="548"/>
      <c r="BC385" s="548"/>
      <c r="BD385" s="548">
        <f>SUM(AW385:BC385)</f>
        <v>1</v>
      </c>
      <c r="BE385" s="42">
        <f t="shared" si="247"/>
        <v>4</v>
      </c>
      <c r="BF385" s="42">
        <f t="shared" si="247"/>
        <v>0</v>
      </c>
      <c r="BG385" s="42">
        <f t="shared" si="247"/>
        <v>15</v>
      </c>
      <c r="BH385" s="42">
        <f t="shared" si="247"/>
        <v>0</v>
      </c>
      <c r="BI385" s="42">
        <f t="shared" si="247"/>
        <v>0</v>
      </c>
      <c r="BJ385" s="42">
        <f t="shared" si="201"/>
        <v>0</v>
      </c>
      <c r="BK385" s="42">
        <f t="shared" si="248"/>
        <v>0</v>
      </c>
      <c r="BL385" s="42">
        <f t="shared" si="248"/>
        <v>19</v>
      </c>
    </row>
    <row r="386" spans="1:64" ht="38.25" customHeight="1" x14ac:dyDescent="0.25">
      <c r="A386" s="298" t="s">
        <v>1135</v>
      </c>
      <c r="B386" s="299" t="s">
        <v>1132</v>
      </c>
      <c r="C386" s="1547"/>
      <c r="D386" s="1549"/>
      <c r="E386" s="1549"/>
      <c r="F386" s="1549"/>
      <c r="G386" s="1549"/>
      <c r="H386" s="1549"/>
      <c r="I386" s="1425"/>
      <c r="J386" s="1425"/>
      <c r="K386" s="1425" t="s">
        <v>1167</v>
      </c>
      <c r="L386" s="301" t="s">
        <v>1140</v>
      </c>
      <c r="M386" s="1425" t="s">
        <v>497</v>
      </c>
      <c r="N386" s="476"/>
      <c r="O386" s="1425" t="s">
        <v>73</v>
      </c>
      <c r="P386" s="586" t="s">
        <v>1168</v>
      </c>
      <c r="Q386" s="16" t="s">
        <v>1169</v>
      </c>
      <c r="R386" s="302" t="s">
        <v>1170</v>
      </c>
      <c r="S386" s="303">
        <v>2015</v>
      </c>
      <c r="T386" s="303">
        <v>1</v>
      </c>
      <c r="U386" s="303">
        <v>1</v>
      </c>
      <c r="V386" s="572">
        <v>1</v>
      </c>
      <c r="W386" s="572">
        <v>1</v>
      </c>
      <c r="X386" s="572">
        <v>1</v>
      </c>
      <c r="Y386" s="572">
        <v>1</v>
      </c>
      <c r="Z386" s="481"/>
      <c r="AA386" s="481"/>
      <c r="AB386" s="481">
        <v>20</v>
      </c>
      <c r="AC386" s="481"/>
      <c r="AD386" s="481"/>
      <c r="AE386" s="481"/>
      <c r="AF386" s="481"/>
      <c r="AG386" s="481">
        <f>SUM(Z386:AF386)</f>
        <v>20</v>
      </c>
      <c r="AH386" s="548"/>
      <c r="AI386" s="548"/>
      <c r="AJ386" s="548">
        <v>25</v>
      </c>
      <c r="AK386" s="548"/>
      <c r="AL386" s="548"/>
      <c r="AM386" s="548"/>
      <c r="AN386" s="548">
        <f>SUM(AH386:AM386)</f>
        <v>25</v>
      </c>
      <c r="AO386" s="481"/>
      <c r="AP386" s="481"/>
      <c r="AQ386" s="481">
        <v>40</v>
      </c>
      <c r="AR386" s="481"/>
      <c r="AS386" s="481"/>
      <c r="AT386" s="481"/>
      <c r="AU386" s="481"/>
      <c r="AV386" s="481">
        <f>SUM(AO386:AU386)</f>
        <v>40</v>
      </c>
      <c r="AW386" s="548"/>
      <c r="AX386" s="548"/>
      <c r="AY386" s="548">
        <v>40</v>
      </c>
      <c r="AZ386" s="548"/>
      <c r="BA386" s="548"/>
      <c r="BB386" s="548"/>
      <c r="BC386" s="548"/>
      <c r="BD386" s="548">
        <f>SUM(AW386:BC386)</f>
        <v>40</v>
      </c>
      <c r="BE386" s="42">
        <f t="shared" si="247"/>
        <v>0</v>
      </c>
      <c r="BF386" s="42">
        <f t="shared" si="247"/>
        <v>0</v>
      </c>
      <c r="BG386" s="42">
        <f t="shared" si="247"/>
        <v>125</v>
      </c>
      <c r="BH386" s="42">
        <f t="shared" si="247"/>
        <v>0</v>
      </c>
      <c r="BI386" s="42">
        <f t="shared" si="247"/>
        <v>0</v>
      </c>
      <c r="BJ386" s="42">
        <f t="shared" si="201"/>
        <v>0</v>
      </c>
      <c r="BK386" s="42">
        <f t="shared" si="248"/>
        <v>0</v>
      </c>
      <c r="BL386" s="42">
        <f t="shared" si="248"/>
        <v>125</v>
      </c>
    </row>
    <row r="387" spans="1:64" ht="44.25" customHeight="1" x14ac:dyDescent="0.25">
      <c r="A387" s="298" t="s">
        <v>1135</v>
      </c>
      <c r="B387" s="299" t="s">
        <v>1132</v>
      </c>
      <c r="C387" s="1547"/>
      <c r="D387" s="1549"/>
      <c r="E387" s="1549"/>
      <c r="F387" s="1549"/>
      <c r="G387" s="1549"/>
      <c r="H387" s="1549"/>
      <c r="I387" s="1425" t="s">
        <v>53</v>
      </c>
      <c r="J387" s="1425"/>
      <c r="K387" s="1425" t="s">
        <v>1171</v>
      </c>
      <c r="L387" s="301" t="s">
        <v>1140</v>
      </c>
      <c r="M387" s="1425" t="s">
        <v>1102</v>
      </c>
      <c r="N387" s="476" t="s">
        <v>1103</v>
      </c>
      <c r="O387" s="1425" t="s">
        <v>47</v>
      </c>
      <c r="P387" s="586" t="s">
        <v>1172</v>
      </c>
      <c r="Q387" s="16" t="s">
        <v>1173</v>
      </c>
      <c r="R387" s="302" t="s">
        <v>1174</v>
      </c>
      <c r="S387" s="303">
        <v>2015</v>
      </c>
      <c r="T387" s="303">
        <v>0</v>
      </c>
      <c r="U387" s="303">
        <v>0</v>
      </c>
      <c r="V387" s="572">
        <v>1</v>
      </c>
      <c r="W387" s="572">
        <v>0</v>
      </c>
      <c r="X387" s="572">
        <v>0</v>
      </c>
      <c r="Y387" s="572">
        <f t="shared" si="246"/>
        <v>1</v>
      </c>
      <c r="Z387" s="481"/>
      <c r="AA387" s="481"/>
      <c r="AB387" s="491"/>
      <c r="AC387" s="481"/>
      <c r="AD387" s="481"/>
      <c r="AE387" s="481"/>
      <c r="AF387" s="481"/>
      <c r="AG387" s="481"/>
      <c r="AH387" s="548"/>
      <c r="AI387" s="548"/>
      <c r="AJ387" s="548">
        <v>96</v>
      </c>
      <c r="AK387" s="548"/>
      <c r="AL387" s="548"/>
      <c r="AM387" s="548"/>
      <c r="AN387" s="548">
        <f>SUM(AH387:AM387)</f>
        <v>96</v>
      </c>
      <c r="AO387" s="481"/>
      <c r="AP387" s="481"/>
      <c r="AQ387" s="481"/>
      <c r="AR387" s="481"/>
      <c r="AS387" s="481"/>
      <c r="AT387" s="481"/>
      <c r="AU387" s="481"/>
      <c r="AV387" s="481"/>
      <c r="AW387" s="548"/>
      <c r="AX387" s="548"/>
      <c r="AY387" s="548"/>
      <c r="AZ387" s="548"/>
      <c r="BA387" s="548"/>
      <c r="BB387" s="548"/>
      <c r="BC387" s="548"/>
      <c r="BD387" s="548"/>
      <c r="BE387" s="42">
        <f t="shared" si="247"/>
        <v>0</v>
      </c>
      <c r="BF387" s="42">
        <f t="shared" si="247"/>
        <v>0</v>
      </c>
      <c r="BG387" s="42">
        <f t="shared" si="247"/>
        <v>96</v>
      </c>
      <c r="BH387" s="42">
        <f t="shared" si="247"/>
        <v>0</v>
      </c>
      <c r="BI387" s="42">
        <f t="shared" si="247"/>
        <v>0</v>
      </c>
      <c r="BJ387" s="42">
        <f t="shared" si="201"/>
        <v>0</v>
      </c>
      <c r="BK387" s="42">
        <f t="shared" si="248"/>
        <v>0</v>
      </c>
      <c r="BL387" s="42">
        <f t="shared" si="248"/>
        <v>96</v>
      </c>
    </row>
    <row r="388" spans="1:64" ht="47.25" customHeight="1" x14ac:dyDescent="0.25">
      <c r="A388" s="298" t="s">
        <v>1135</v>
      </c>
      <c r="B388" s="299" t="s">
        <v>1132</v>
      </c>
      <c r="C388" s="1547"/>
      <c r="D388" s="1549"/>
      <c r="E388" s="1549"/>
      <c r="F388" s="1549"/>
      <c r="G388" s="1549"/>
      <c r="H388" s="1549"/>
      <c r="I388" s="1425"/>
      <c r="J388" s="1425"/>
      <c r="K388" s="1425" t="s">
        <v>1175</v>
      </c>
      <c r="L388" s="301" t="s">
        <v>1140</v>
      </c>
      <c r="M388" s="1425" t="s">
        <v>1102</v>
      </c>
      <c r="N388" s="476" t="s">
        <v>1103</v>
      </c>
      <c r="O388" s="1425" t="s">
        <v>73</v>
      </c>
      <c r="P388" s="586">
        <v>231709</v>
      </c>
      <c r="Q388" s="16" t="s">
        <v>1176</v>
      </c>
      <c r="R388" s="302" t="s">
        <v>1177</v>
      </c>
      <c r="S388" s="303">
        <v>2015</v>
      </c>
      <c r="T388" s="303">
        <v>0</v>
      </c>
      <c r="U388" s="303">
        <v>2</v>
      </c>
      <c r="V388" s="572">
        <v>2</v>
      </c>
      <c r="W388" s="572">
        <v>2</v>
      </c>
      <c r="X388" s="572">
        <v>2</v>
      </c>
      <c r="Y388" s="572">
        <v>2</v>
      </c>
      <c r="Z388" s="481">
        <v>70</v>
      </c>
      <c r="AA388" s="481"/>
      <c r="AB388" s="481"/>
      <c r="AC388" s="481"/>
      <c r="AD388" s="481"/>
      <c r="AE388" s="481"/>
      <c r="AF388" s="481"/>
      <c r="AG388" s="481">
        <f t="shared" ref="AG388:AG402" si="249">SUM(Z388:AF388)</f>
        <v>70</v>
      </c>
      <c r="AH388" s="548">
        <v>40</v>
      </c>
      <c r="AI388" s="548"/>
      <c r="AJ388" s="548"/>
      <c r="AK388" s="548"/>
      <c r="AL388" s="548"/>
      <c r="AM388" s="548"/>
      <c r="AN388" s="548">
        <f t="shared" ref="AN388:AN403" si="250">SUM(AH388:AM388)</f>
        <v>40</v>
      </c>
      <c r="AO388" s="481">
        <v>40</v>
      </c>
      <c r="AP388" s="481"/>
      <c r="AQ388" s="481"/>
      <c r="AR388" s="481"/>
      <c r="AS388" s="481"/>
      <c r="AT388" s="481"/>
      <c r="AU388" s="481"/>
      <c r="AV388" s="481">
        <f t="shared" ref="AV388:AV402" si="251">SUM(AO388:AU388)</f>
        <v>40</v>
      </c>
      <c r="AW388" s="548">
        <v>40</v>
      </c>
      <c r="AX388" s="548"/>
      <c r="AY388" s="548"/>
      <c r="AZ388" s="548"/>
      <c r="BA388" s="548"/>
      <c r="BB388" s="548"/>
      <c r="BC388" s="548"/>
      <c r="BD388" s="548">
        <f t="shared" ref="BD388:BD402" si="252">SUM(AW388:BC388)</f>
        <v>40</v>
      </c>
      <c r="BE388" s="42">
        <f t="shared" si="247"/>
        <v>190</v>
      </c>
      <c r="BF388" s="42">
        <f t="shared" si="247"/>
        <v>0</v>
      </c>
      <c r="BG388" s="42">
        <f t="shared" si="247"/>
        <v>0</v>
      </c>
      <c r="BH388" s="42">
        <f t="shared" si="247"/>
        <v>0</v>
      </c>
      <c r="BI388" s="42">
        <f t="shared" si="247"/>
        <v>0</v>
      </c>
      <c r="BJ388" s="42">
        <f t="shared" si="201"/>
        <v>0</v>
      </c>
      <c r="BK388" s="42">
        <f t="shared" si="248"/>
        <v>0</v>
      </c>
      <c r="BL388" s="42">
        <f t="shared" si="248"/>
        <v>190</v>
      </c>
    </row>
    <row r="389" spans="1:64" ht="66.75" customHeight="1" x14ac:dyDescent="0.25">
      <c r="A389" s="298" t="s">
        <v>1135</v>
      </c>
      <c r="B389" s="299" t="s">
        <v>1132</v>
      </c>
      <c r="C389" s="1547"/>
      <c r="D389" s="1549"/>
      <c r="E389" s="1549"/>
      <c r="F389" s="1549"/>
      <c r="G389" s="1549"/>
      <c r="H389" s="1549"/>
      <c r="I389" s="1425"/>
      <c r="J389" s="1425"/>
      <c r="K389" s="1425" t="s">
        <v>1178</v>
      </c>
      <c r="L389" s="301" t="s">
        <v>1140</v>
      </c>
      <c r="M389" s="1425" t="s">
        <v>497</v>
      </c>
      <c r="N389" s="476"/>
      <c r="O389" s="1425" t="s">
        <v>47</v>
      </c>
      <c r="P389" s="1425"/>
      <c r="Q389" s="16" t="s">
        <v>1179</v>
      </c>
      <c r="R389" s="302" t="s">
        <v>1180</v>
      </c>
      <c r="S389" s="303">
        <v>2015</v>
      </c>
      <c r="T389" s="303">
        <v>64</v>
      </c>
      <c r="U389" s="303">
        <v>65</v>
      </c>
      <c r="V389" s="572">
        <v>67</v>
      </c>
      <c r="W389" s="572">
        <v>70</v>
      </c>
      <c r="X389" s="572">
        <v>70</v>
      </c>
      <c r="Y389" s="572">
        <v>70</v>
      </c>
      <c r="Z389" s="481"/>
      <c r="AA389" s="481"/>
      <c r="AB389" s="491">
        <v>20</v>
      </c>
      <c r="AC389" s="481"/>
      <c r="AD389" s="481"/>
      <c r="AE389" s="481"/>
      <c r="AF389" s="481"/>
      <c r="AG389" s="481">
        <f t="shared" si="249"/>
        <v>20</v>
      </c>
      <c r="AH389" s="491">
        <v>1</v>
      </c>
      <c r="AI389" s="548"/>
      <c r="AJ389" s="548"/>
      <c r="AK389" s="548"/>
      <c r="AL389" s="548"/>
      <c r="AM389" s="548"/>
      <c r="AN389" s="548">
        <f t="shared" si="250"/>
        <v>1</v>
      </c>
      <c r="AO389" s="481"/>
      <c r="AP389" s="481"/>
      <c r="AQ389" s="481">
        <v>74</v>
      </c>
      <c r="AR389" s="481"/>
      <c r="AS389" s="481"/>
      <c r="AT389" s="481"/>
      <c r="AU389" s="481"/>
      <c r="AV389" s="481">
        <f t="shared" si="251"/>
        <v>74</v>
      </c>
      <c r="AW389" s="491">
        <v>1</v>
      </c>
      <c r="AX389" s="548"/>
      <c r="AY389" s="548"/>
      <c r="AZ389" s="548"/>
      <c r="BA389" s="548"/>
      <c r="BB389" s="548"/>
      <c r="BC389" s="548"/>
      <c r="BD389" s="548">
        <f t="shared" si="252"/>
        <v>1</v>
      </c>
      <c r="BE389" s="42">
        <f t="shared" si="247"/>
        <v>2</v>
      </c>
      <c r="BF389" s="42">
        <f t="shared" si="247"/>
        <v>0</v>
      </c>
      <c r="BG389" s="42">
        <f t="shared" si="247"/>
        <v>94</v>
      </c>
      <c r="BH389" s="42">
        <f t="shared" si="247"/>
        <v>0</v>
      </c>
      <c r="BI389" s="42">
        <f t="shared" si="247"/>
        <v>0</v>
      </c>
      <c r="BJ389" s="42">
        <f t="shared" si="201"/>
        <v>0</v>
      </c>
      <c r="BK389" s="42">
        <f t="shared" si="248"/>
        <v>0</v>
      </c>
      <c r="BL389" s="42">
        <f t="shared" si="248"/>
        <v>96</v>
      </c>
    </row>
    <row r="390" spans="1:64" ht="78" customHeight="1" x14ac:dyDescent="0.25">
      <c r="A390" s="298" t="s">
        <v>1135</v>
      </c>
      <c r="B390" s="299" t="s">
        <v>1132</v>
      </c>
      <c r="C390" s="1547"/>
      <c r="D390" s="1549"/>
      <c r="E390" s="1549"/>
      <c r="F390" s="1549"/>
      <c r="G390" s="1549"/>
      <c r="H390" s="1549"/>
      <c r="I390" s="1425"/>
      <c r="J390" s="1425"/>
      <c r="K390" s="1425" t="s">
        <v>1181</v>
      </c>
      <c r="L390" s="301" t="s">
        <v>1140</v>
      </c>
      <c r="M390" s="1425" t="s">
        <v>497</v>
      </c>
      <c r="N390" s="476" t="s">
        <v>1182</v>
      </c>
      <c r="O390" s="1425" t="s">
        <v>47</v>
      </c>
      <c r="P390" s="586" t="s">
        <v>1183</v>
      </c>
      <c r="Q390" s="16" t="s">
        <v>1184</v>
      </c>
      <c r="R390" s="302" t="s">
        <v>1185</v>
      </c>
      <c r="S390" s="303">
        <v>2015</v>
      </c>
      <c r="T390" s="303">
        <v>1</v>
      </c>
      <c r="U390" s="303">
        <v>1</v>
      </c>
      <c r="V390" s="572">
        <v>1</v>
      </c>
      <c r="W390" s="572">
        <v>1</v>
      </c>
      <c r="X390" s="572">
        <v>1</v>
      </c>
      <c r="Y390" s="572">
        <f t="shared" si="246"/>
        <v>4</v>
      </c>
      <c r="Z390" s="481">
        <f>20.2+57</f>
        <v>77.2</v>
      </c>
      <c r="AA390" s="481"/>
      <c r="AB390" s="491">
        <v>20</v>
      </c>
      <c r="AC390" s="481"/>
      <c r="AD390" s="481"/>
      <c r="AE390" s="481"/>
      <c r="AF390" s="481"/>
      <c r="AG390" s="481">
        <f t="shared" si="249"/>
        <v>97.2</v>
      </c>
      <c r="AH390" s="491">
        <v>87</v>
      </c>
      <c r="AI390" s="548"/>
      <c r="AJ390" s="548">
        <v>45</v>
      </c>
      <c r="AK390" s="548"/>
      <c r="AL390" s="548"/>
      <c r="AM390" s="548"/>
      <c r="AN390" s="548">
        <f t="shared" si="250"/>
        <v>132</v>
      </c>
      <c r="AO390" s="491">
        <v>90</v>
      </c>
      <c r="AP390" s="481"/>
      <c r="AQ390" s="481">
        <v>120</v>
      </c>
      <c r="AR390" s="481"/>
      <c r="AS390" s="481"/>
      <c r="AT390" s="481"/>
      <c r="AU390" s="481"/>
      <c r="AV390" s="481">
        <f t="shared" si="251"/>
        <v>210</v>
      </c>
      <c r="AW390" s="491">
        <v>94</v>
      </c>
      <c r="AX390" s="548"/>
      <c r="AY390" s="548">
        <v>120</v>
      </c>
      <c r="AZ390" s="548"/>
      <c r="BA390" s="548"/>
      <c r="BB390" s="548"/>
      <c r="BC390" s="548"/>
      <c r="BD390" s="548">
        <f t="shared" si="252"/>
        <v>214</v>
      </c>
      <c r="BE390" s="42">
        <f t="shared" si="247"/>
        <v>348.2</v>
      </c>
      <c r="BF390" s="42">
        <f t="shared" si="247"/>
        <v>0</v>
      </c>
      <c r="BG390" s="42">
        <f t="shared" si="247"/>
        <v>305</v>
      </c>
      <c r="BH390" s="42">
        <f t="shared" si="247"/>
        <v>0</v>
      </c>
      <c r="BI390" s="42">
        <f t="shared" si="247"/>
        <v>0</v>
      </c>
      <c r="BJ390" s="42">
        <f t="shared" si="201"/>
        <v>0</v>
      </c>
      <c r="BK390" s="42">
        <f t="shared" si="248"/>
        <v>0</v>
      </c>
      <c r="BL390" s="42">
        <f t="shared" si="248"/>
        <v>653.20000000000005</v>
      </c>
    </row>
    <row r="391" spans="1:64" ht="72" customHeight="1" x14ac:dyDescent="0.25">
      <c r="A391" s="298" t="s">
        <v>1135</v>
      </c>
      <c r="B391" s="299" t="s">
        <v>1132</v>
      </c>
      <c r="C391" s="1547"/>
      <c r="D391" s="1549"/>
      <c r="E391" s="1549"/>
      <c r="F391" s="1549"/>
      <c r="G391" s="1549"/>
      <c r="H391" s="1549"/>
      <c r="I391" s="1425"/>
      <c r="J391" s="1425"/>
      <c r="K391" s="1425" t="s">
        <v>1186</v>
      </c>
      <c r="L391" s="301" t="s">
        <v>1140</v>
      </c>
      <c r="M391" s="1425" t="s">
        <v>497</v>
      </c>
      <c r="N391" s="476" t="s">
        <v>1182</v>
      </c>
      <c r="O391" s="1425" t="s">
        <v>73</v>
      </c>
      <c r="P391" s="586" t="s">
        <v>1158</v>
      </c>
      <c r="Q391" s="16" t="s">
        <v>1187</v>
      </c>
      <c r="R391" s="302" t="s">
        <v>1188</v>
      </c>
      <c r="S391" s="303">
        <v>2015</v>
      </c>
      <c r="T391" s="303">
        <v>97.65</v>
      </c>
      <c r="U391" s="303">
        <v>90</v>
      </c>
      <c r="V391" s="572">
        <v>90</v>
      </c>
      <c r="W391" s="572">
        <v>90</v>
      </c>
      <c r="X391" s="572">
        <v>90</v>
      </c>
      <c r="Y391" s="572">
        <v>90</v>
      </c>
      <c r="Z391" s="481"/>
      <c r="AA391" s="481"/>
      <c r="AB391" s="491">
        <v>130</v>
      </c>
      <c r="AC391" s="481"/>
      <c r="AD391" s="481"/>
      <c r="AE391" s="481"/>
      <c r="AF391" s="481"/>
      <c r="AG391" s="481">
        <f t="shared" si="249"/>
        <v>130</v>
      </c>
      <c r="AH391" s="491">
        <v>1</v>
      </c>
      <c r="AI391" s="548"/>
      <c r="AJ391" s="716">
        <v>40</v>
      </c>
      <c r="AK391" s="548"/>
      <c r="AL391" s="548"/>
      <c r="AM391" s="548"/>
      <c r="AN391" s="548">
        <f t="shared" si="250"/>
        <v>41</v>
      </c>
      <c r="AO391" s="481"/>
      <c r="AP391" s="481"/>
      <c r="AQ391" s="481">
        <v>20</v>
      </c>
      <c r="AR391" s="481"/>
      <c r="AS391" s="481"/>
      <c r="AT391" s="481"/>
      <c r="AU391" s="481"/>
      <c r="AV391" s="481">
        <f t="shared" si="251"/>
        <v>20</v>
      </c>
      <c r="AW391" s="548"/>
      <c r="AX391" s="548"/>
      <c r="AY391" s="548">
        <v>50</v>
      </c>
      <c r="AZ391" s="548"/>
      <c r="BA391" s="548"/>
      <c r="BB391" s="548"/>
      <c r="BC391" s="548"/>
      <c r="BD391" s="548">
        <f t="shared" si="252"/>
        <v>50</v>
      </c>
      <c r="BE391" s="42">
        <f t="shared" si="247"/>
        <v>1</v>
      </c>
      <c r="BF391" s="42">
        <f t="shared" si="247"/>
        <v>0</v>
      </c>
      <c r="BG391" s="42">
        <f t="shared" si="247"/>
        <v>240</v>
      </c>
      <c r="BH391" s="42">
        <f t="shared" si="247"/>
        <v>0</v>
      </c>
      <c r="BI391" s="42">
        <f t="shared" si="247"/>
        <v>0</v>
      </c>
      <c r="BJ391" s="42">
        <f t="shared" si="201"/>
        <v>0</v>
      </c>
      <c r="BK391" s="42">
        <f t="shared" si="248"/>
        <v>0</v>
      </c>
      <c r="BL391" s="42">
        <f t="shared" si="248"/>
        <v>241</v>
      </c>
    </row>
    <row r="392" spans="1:64" ht="60" customHeight="1" x14ac:dyDescent="0.25">
      <c r="A392" s="298" t="s">
        <v>1135</v>
      </c>
      <c r="B392" s="299" t="s">
        <v>1132</v>
      </c>
      <c r="C392" s="1547"/>
      <c r="D392" s="1549"/>
      <c r="E392" s="1549"/>
      <c r="F392" s="1549"/>
      <c r="G392" s="1549"/>
      <c r="H392" s="1549"/>
      <c r="I392" s="1425"/>
      <c r="J392" s="1425"/>
      <c r="K392" s="1425" t="s">
        <v>1189</v>
      </c>
      <c r="L392" s="301" t="s">
        <v>1140</v>
      </c>
      <c r="M392" s="1425" t="s">
        <v>497</v>
      </c>
      <c r="N392" s="476" t="s">
        <v>1182</v>
      </c>
      <c r="O392" s="1425" t="s">
        <v>73</v>
      </c>
      <c r="P392" s="586">
        <v>231701</v>
      </c>
      <c r="Q392" s="16" t="s">
        <v>1190</v>
      </c>
      <c r="R392" s="302" t="s">
        <v>1191</v>
      </c>
      <c r="S392" s="303">
        <v>2015</v>
      </c>
      <c r="T392" s="303">
        <v>0</v>
      </c>
      <c r="U392" s="303">
        <v>1</v>
      </c>
      <c r="V392" s="572">
        <v>1</v>
      </c>
      <c r="W392" s="572">
        <v>1</v>
      </c>
      <c r="X392" s="572">
        <v>1</v>
      </c>
      <c r="Y392" s="572">
        <v>1</v>
      </c>
      <c r="Z392" s="481"/>
      <c r="AA392" s="481"/>
      <c r="AB392" s="491">
        <v>6</v>
      </c>
      <c r="AC392" s="481"/>
      <c r="AD392" s="481"/>
      <c r="AE392" s="481"/>
      <c r="AF392" s="481"/>
      <c r="AG392" s="481">
        <f t="shared" si="249"/>
        <v>6</v>
      </c>
      <c r="AH392" s="491">
        <v>1</v>
      </c>
      <c r="AI392" s="548"/>
      <c r="AJ392" s="548"/>
      <c r="AK392" s="548"/>
      <c r="AL392" s="548"/>
      <c r="AM392" s="548"/>
      <c r="AN392" s="548">
        <f t="shared" si="250"/>
        <v>1</v>
      </c>
      <c r="AO392" s="491">
        <v>1</v>
      </c>
      <c r="AP392" s="481"/>
      <c r="AQ392" s="481"/>
      <c r="AR392" s="481"/>
      <c r="AS392" s="481"/>
      <c r="AT392" s="481"/>
      <c r="AU392" s="481"/>
      <c r="AV392" s="481">
        <f t="shared" si="251"/>
        <v>1</v>
      </c>
      <c r="AW392" s="548"/>
      <c r="AX392" s="548"/>
      <c r="AY392" s="548">
        <v>53</v>
      </c>
      <c r="AZ392" s="548"/>
      <c r="BA392" s="548"/>
      <c r="BB392" s="548"/>
      <c r="BC392" s="548"/>
      <c r="BD392" s="548">
        <f t="shared" si="252"/>
        <v>53</v>
      </c>
      <c r="BE392" s="42">
        <f t="shared" si="247"/>
        <v>2</v>
      </c>
      <c r="BF392" s="42">
        <f t="shared" si="247"/>
        <v>0</v>
      </c>
      <c r="BG392" s="42">
        <f t="shared" si="247"/>
        <v>59</v>
      </c>
      <c r="BH392" s="42">
        <f t="shared" si="247"/>
        <v>0</v>
      </c>
      <c r="BI392" s="42">
        <f t="shared" si="247"/>
        <v>0</v>
      </c>
      <c r="BJ392" s="42">
        <f t="shared" si="201"/>
        <v>0</v>
      </c>
      <c r="BK392" s="42">
        <f t="shared" si="248"/>
        <v>0</v>
      </c>
      <c r="BL392" s="42">
        <f t="shared" si="248"/>
        <v>61</v>
      </c>
    </row>
    <row r="393" spans="1:64" ht="57" customHeight="1" x14ac:dyDescent="0.25">
      <c r="A393" s="298" t="s">
        <v>1135</v>
      </c>
      <c r="B393" s="299" t="s">
        <v>1132</v>
      </c>
      <c r="C393" s="1547"/>
      <c r="D393" s="1549"/>
      <c r="E393" s="1549"/>
      <c r="F393" s="1549"/>
      <c r="G393" s="1549"/>
      <c r="H393" s="1549"/>
      <c r="I393" s="1425"/>
      <c r="J393" s="1425"/>
      <c r="K393" s="1425" t="s">
        <v>1192</v>
      </c>
      <c r="L393" s="301" t="s">
        <v>1140</v>
      </c>
      <c r="M393" s="1425" t="s">
        <v>497</v>
      </c>
      <c r="N393" s="476" t="s">
        <v>1182</v>
      </c>
      <c r="O393" s="1425" t="s">
        <v>47</v>
      </c>
      <c r="P393" s="1425"/>
      <c r="Q393" s="16" t="s">
        <v>1193</v>
      </c>
      <c r="R393" s="302" t="s">
        <v>966</v>
      </c>
      <c r="S393" s="303">
        <v>2015</v>
      </c>
      <c r="T393" s="303">
        <v>0</v>
      </c>
      <c r="U393" s="303">
        <v>0</v>
      </c>
      <c r="V393" s="572">
        <v>0</v>
      </c>
      <c r="W393" s="572">
        <v>1</v>
      </c>
      <c r="X393" s="572">
        <v>1</v>
      </c>
      <c r="Y393" s="572">
        <f t="shared" si="246"/>
        <v>2</v>
      </c>
      <c r="Z393" s="481"/>
      <c r="AA393" s="481"/>
      <c r="AB393" s="481"/>
      <c r="AC393" s="481"/>
      <c r="AD393" s="481"/>
      <c r="AE393" s="481"/>
      <c r="AF393" s="481"/>
      <c r="AG393" s="481">
        <f t="shared" si="249"/>
        <v>0</v>
      </c>
      <c r="AH393" s="548"/>
      <c r="AI393" s="548"/>
      <c r="AJ393" s="548"/>
      <c r="AK393" s="548"/>
      <c r="AL393" s="548"/>
      <c r="AM393" s="548"/>
      <c r="AN393" s="548">
        <f t="shared" si="250"/>
        <v>0</v>
      </c>
      <c r="AO393" s="491">
        <v>1</v>
      </c>
      <c r="AP393" s="481"/>
      <c r="AQ393" s="481"/>
      <c r="AR393" s="481"/>
      <c r="AS393" s="481"/>
      <c r="AT393" s="481"/>
      <c r="AU393" s="481"/>
      <c r="AV393" s="481">
        <f t="shared" si="251"/>
        <v>1</v>
      </c>
      <c r="AW393" s="491">
        <v>1</v>
      </c>
      <c r="AX393" s="548"/>
      <c r="AY393" s="548"/>
      <c r="AZ393" s="548"/>
      <c r="BA393" s="548"/>
      <c r="BB393" s="548"/>
      <c r="BC393" s="548"/>
      <c r="BD393" s="548">
        <f t="shared" si="252"/>
        <v>1</v>
      </c>
      <c r="BE393" s="42">
        <f t="shared" si="247"/>
        <v>2</v>
      </c>
      <c r="BF393" s="42">
        <f t="shared" si="247"/>
        <v>0</v>
      </c>
      <c r="BG393" s="42">
        <f t="shared" si="247"/>
        <v>0</v>
      </c>
      <c r="BH393" s="42">
        <f t="shared" si="247"/>
        <v>0</v>
      </c>
      <c r="BI393" s="42">
        <f t="shared" si="247"/>
        <v>0</v>
      </c>
      <c r="BJ393" s="42">
        <f t="shared" si="201"/>
        <v>0</v>
      </c>
      <c r="BK393" s="42">
        <f t="shared" si="248"/>
        <v>0</v>
      </c>
      <c r="BL393" s="42">
        <f t="shared" si="248"/>
        <v>2</v>
      </c>
    </row>
    <row r="394" spans="1:64" ht="66" customHeight="1" x14ac:dyDescent="0.25">
      <c r="A394" s="298" t="s">
        <v>1135</v>
      </c>
      <c r="B394" s="299" t="s">
        <v>1132</v>
      </c>
      <c r="C394" s="1547"/>
      <c r="D394" s="1549"/>
      <c r="E394" s="1549"/>
      <c r="F394" s="1549"/>
      <c r="G394" s="1549"/>
      <c r="H394" s="1549"/>
      <c r="I394" s="1425"/>
      <c r="J394" s="1425"/>
      <c r="K394" s="1425" t="s">
        <v>1194</v>
      </c>
      <c r="L394" s="301" t="s">
        <v>1140</v>
      </c>
      <c r="M394" s="1425" t="s">
        <v>497</v>
      </c>
      <c r="N394" s="476" t="s">
        <v>1182</v>
      </c>
      <c r="O394" s="1425" t="s">
        <v>47</v>
      </c>
      <c r="P394" s="1425"/>
      <c r="Q394" s="16" t="s">
        <v>1195</v>
      </c>
      <c r="R394" s="302" t="s">
        <v>1196</v>
      </c>
      <c r="S394" s="303">
        <v>2015</v>
      </c>
      <c r="T394" s="303">
        <v>0</v>
      </c>
      <c r="U394" s="303">
        <v>1</v>
      </c>
      <c r="V394" s="572">
        <v>0</v>
      </c>
      <c r="W394" s="572">
        <v>1</v>
      </c>
      <c r="X394" s="572">
        <v>0</v>
      </c>
      <c r="Y394" s="572">
        <f t="shared" si="246"/>
        <v>2</v>
      </c>
      <c r="Z394" s="481"/>
      <c r="AA394" s="481"/>
      <c r="AB394" s="491">
        <v>0.5</v>
      </c>
      <c r="AC394" s="481"/>
      <c r="AD394" s="481"/>
      <c r="AE394" s="481"/>
      <c r="AF394" s="481"/>
      <c r="AG394" s="481">
        <f t="shared" si="249"/>
        <v>0.5</v>
      </c>
      <c r="AH394" s="548"/>
      <c r="AI394" s="548"/>
      <c r="AJ394" s="548"/>
      <c r="AK394" s="548"/>
      <c r="AL394" s="548"/>
      <c r="AM394" s="548"/>
      <c r="AN394" s="548">
        <f t="shared" si="250"/>
        <v>0</v>
      </c>
      <c r="AO394" s="491">
        <v>1</v>
      </c>
      <c r="AP394" s="481"/>
      <c r="AQ394" s="481"/>
      <c r="AR394" s="481"/>
      <c r="AS394" s="481"/>
      <c r="AT394" s="481"/>
      <c r="AU394" s="481"/>
      <c r="AV394" s="481">
        <f t="shared" si="251"/>
        <v>1</v>
      </c>
      <c r="AW394" s="548"/>
      <c r="AX394" s="548"/>
      <c r="AY394" s="548"/>
      <c r="AZ394" s="548"/>
      <c r="BA394" s="548"/>
      <c r="BB394" s="548"/>
      <c r="BC394" s="548"/>
      <c r="BD394" s="548">
        <f t="shared" si="252"/>
        <v>0</v>
      </c>
      <c r="BE394" s="42">
        <f t="shared" si="247"/>
        <v>1</v>
      </c>
      <c r="BF394" s="42">
        <f t="shared" si="247"/>
        <v>0</v>
      </c>
      <c r="BG394" s="42">
        <f t="shared" si="247"/>
        <v>0.5</v>
      </c>
      <c r="BH394" s="42">
        <f t="shared" si="247"/>
        <v>0</v>
      </c>
      <c r="BI394" s="42">
        <f t="shared" si="247"/>
        <v>0</v>
      </c>
      <c r="BJ394" s="42">
        <f t="shared" si="201"/>
        <v>0</v>
      </c>
      <c r="BK394" s="42">
        <f t="shared" si="248"/>
        <v>0</v>
      </c>
      <c r="BL394" s="42">
        <f t="shared" si="248"/>
        <v>1.5</v>
      </c>
    </row>
    <row r="395" spans="1:64" ht="75.75" customHeight="1" x14ac:dyDescent="0.25">
      <c r="A395" s="298" t="s">
        <v>1135</v>
      </c>
      <c r="B395" s="299" t="s">
        <v>1132</v>
      </c>
      <c r="C395" s="1547"/>
      <c r="D395" s="1549"/>
      <c r="E395" s="1549"/>
      <c r="F395" s="1549"/>
      <c r="G395" s="1549"/>
      <c r="H395" s="1549"/>
      <c r="I395" s="1425"/>
      <c r="J395" s="1425"/>
      <c r="K395" s="1425" t="s">
        <v>1197</v>
      </c>
      <c r="L395" s="301" t="s">
        <v>1140</v>
      </c>
      <c r="M395" s="1425" t="s">
        <v>1102</v>
      </c>
      <c r="N395" s="476" t="s">
        <v>1103</v>
      </c>
      <c r="O395" s="1425" t="s">
        <v>47</v>
      </c>
      <c r="P395" s="586">
        <v>231601</v>
      </c>
      <c r="Q395" s="16" t="s">
        <v>1198</v>
      </c>
      <c r="R395" s="302" t="s">
        <v>1199</v>
      </c>
      <c r="S395" s="303">
        <v>2015</v>
      </c>
      <c r="T395" s="303">
        <v>1</v>
      </c>
      <c r="U395" s="303">
        <v>1</v>
      </c>
      <c r="V395" s="572">
        <v>1</v>
      </c>
      <c r="W395" s="572">
        <v>1</v>
      </c>
      <c r="X395" s="572">
        <v>1</v>
      </c>
      <c r="Y395" s="572">
        <f t="shared" si="246"/>
        <v>4</v>
      </c>
      <c r="Z395" s="481"/>
      <c r="AA395" s="481"/>
      <c r="AB395" s="481">
        <v>10</v>
      </c>
      <c r="AC395" s="481"/>
      <c r="AD395" s="481"/>
      <c r="AE395" s="481"/>
      <c r="AF395" s="481"/>
      <c r="AG395" s="481">
        <f t="shared" si="249"/>
        <v>10</v>
      </c>
      <c r="AH395" s="548">
        <v>10</v>
      </c>
      <c r="AI395" s="548"/>
      <c r="AJ395" s="548"/>
      <c r="AK395" s="548"/>
      <c r="AL395" s="548"/>
      <c r="AM395" s="548"/>
      <c r="AN395" s="548">
        <f t="shared" si="250"/>
        <v>10</v>
      </c>
      <c r="AO395" s="481">
        <v>10</v>
      </c>
      <c r="AP395" s="481"/>
      <c r="AQ395" s="481">
        <v>10</v>
      </c>
      <c r="AR395" s="481"/>
      <c r="AS395" s="481"/>
      <c r="AT395" s="481"/>
      <c r="AU395" s="481"/>
      <c r="AV395" s="481">
        <f t="shared" si="251"/>
        <v>20</v>
      </c>
      <c r="AW395" s="548">
        <v>10</v>
      </c>
      <c r="AX395" s="548"/>
      <c r="AY395" s="548">
        <v>10</v>
      </c>
      <c r="AZ395" s="548"/>
      <c r="BA395" s="548"/>
      <c r="BB395" s="548"/>
      <c r="BC395" s="548"/>
      <c r="BD395" s="548">
        <f t="shared" si="252"/>
        <v>20</v>
      </c>
      <c r="BE395" s="42">
        <f t="shared" si="247"/>
        <v>30</v>
      </c>
      <c r="BF395" s="42">
        <f t="shared" si="247"/>
        <v>0</v>
      </c>
      <c r="BG395" s="42">
        <f t="shared" si="247"/>
        <v>30</v>
      </c>
      <c r="BH395" s="42">
        <f t="shared" si="247"/>
        <v>0</v>
      </c>
      <c r="BI395" s="42">
        <f t="shared" si="247"/>
        <v>0</v>
      </c>
      <c r="BJ395" s="42">
        <f t="shared" si="201"/>
        <v>0</v>
      </c>
      <c r="BK395" s="42">
        <f t="shared" si="248"/>
        <v>0</v>
      </c>
      <c r="BL395" s="42">
        <f t="shared" si="248"/>
        <v>60</v>
      </c>
    </row>
    <row r="396" spans="1:64" ht="62.25" customHeight="1" x14ac:dyDescent="0.25">
      <c r="A396" s="298" t="s">
        <v>1135</v>
      </c>
      <c r="B396" s="299" t="s">
        <v>1132</v>
      </c>
      <c r="C396" s="1547"/>
      <c r="D396" s="1549"/>
      <c r="E396" s="1549"/>
      <c r="F396" s="1549"/>
      <c r="G396" s="1549"/>
      <c r="H396" s="1549"/>
      <c r="I396" s="1425"/>
      <c r="J396" s="1425"/>
      <c r="K396" s="1425" t="s">
        <v>1200</v>
      </c>
      <c r="L396" s="301" t="s">
        <v>1140</v>
      </c>
      <c r="M396" s="1425" t="s">
        <v>497</v>
      </c>
      <c r="N396" s="476" t="s">
        <v>1182</v>
      </c>
      <c r="O396" s="1425" t="s">
        <v>47</v>
      </c>
      <c r="P396" s="586"/>
      <c r="Q396" s="16" t="s">
        <v>1201</v>
      </c>
      <c r="R396" s="302" t="s">
        <v>1202</v>
      </c>
      <c r="S396" s="303">
        <v>2015</v>
      </c>
      <c r="T396" s="303">
        <v>0</v>
      </c>
      <c r="U396" s="303">
        <v>0</v>
      </c>
      <c r="V396" s="572">
        <v>1</v>
      </c>
      <c r="W396" s="572">
        <v>1</v>
      </c>
      <c r="X396" s="572">
        <v>0</v>
      </c>
      <c r="Y396" s="572">
        <f t="shared" si="246"/>
        <v>2</v>
      </c>
      <c r="Z396" s="481"/>
      <c r="AA396" s="481"/>
      <c r="AB396" s="481">
        <v>0</v>
      </c>
      <c r="AC396" s="481"/>
      <c r="AD396" s="481"/>
      <c r="AE396" s="481"/>
      <c r="AF396" s="481"/>
      <c r="AG396" s="481">
        <f t="shared" si="249"/>
        <v>0</v>
      </c>
      <c r="AH396" s="491">
        <v>1</v>
      </c>
      <c r="AI396" s="548"/>
      <c r="AJ396" s="548"/>
      <c r="AK396" s="548"/>
      <c r="AL396" s="548"/>
      <c r="AM396" s="548"/>
      <c r="AN396" s="548">
        <f t="shared" si="250"/>
        <v>1</v>
      </c>
      <c r="AO396" s="481"/>
      <c r="AP396" s="481"/>
      <c r="AQ396" s="481">
        <v>10</v>
      </c>
      <c r="AR396" s="481"/>
      <c r="AS396" s="481"/>
      <c r="AT396" s="481"/>
      <c r="AU396" s="481"/>
      <c r="AV396" s="481">
        <f t="shared" si="251"/>
        <v>10</v>
      </c>
      <c r="AW396" s="548"/>
      <c r="AX396" s="548"/>
      <c r="AY396" s="491"/>
      <c r="AZ396" s="548"/>
      <c r="BA396" s="548"/>
      <c r="BB396" s="548"/>
      <c r="BC396" s="548"/>
      <c r="BD396" s="548">
        <f t="shared" si="252"/>
        <v>0</v>
      </c>
      <c r="BE396" s="42">
        <f t="shared" si="247"/>
        <v>1</v>
      </c>
      <c r="BF396" s="42">
        <f t="shared" si="247"/>
        <v>0</v>
      </c>
      <c r="BG396" s="42">
        <f t="shared" si="247"/>
        <v>10</v>
      </c>
      <c r="BH396" s="42">
        <f t="shared" si="247"/>
        <v>0</v>
      </c>
      <c r="BI396" s="42">
        <f t="shared" si="247"/>
        <v>0</v>
      </c>
      <c r="BJ396" s="42">
        <f t="shared" si="201"/>
        <v>0</v>
      </c>
      <c r="BK396" s="42">
        <f t="shared" si="248"/>
        <v>0</v>
      </c>
      <c r="BL396" s="42">
        <f t="shared" si="248"/>
        <v>11</v>
      </c>
    </row>
    <row r="397" spans="1:64" ht="58.5" customHeight="1" x14ac:dyDescent="0.25">
      <c r="A397" s="298" t="s">
        <v>1135</v>
      </c>
      <c r="B397" s="299" t="s">
        <v>1132</v>
      </c>
      <c r="C397" s="1547"/>
      <c r="D397" s="1549"/>
      <c r="E397" s="1549"/>
      <c r="F397" s="1549"/>
      <c r="G397" s="1549"/>
      <c r="H397" s="1549"/>
      <c r="I397" s="1425"/>
      <c r="J397" s="1425"/>
      <c r="K397" s="1425" t="s">
        <v>1203</v>
      </c>
      <c r="L397" s="301" t="s">
        <v>1140</v>
      </c>
      <c r="M397" s="1425" t="s">
        <v>497</v>
      </c>
      <c r="N397" s="476" t="s">
        <v>1182</v>
      </c>
      <c r="O397" s="1425" t="s">
        <v>47</v>
      </c>
      <c r="P397" s="586">
        <v>231702</v>
      </c>
      <c r="Q397" s="16" t="s">
        <v>1204</v>
      </c>
      <c r="R397" s="302" t="s">
        <v>1205</v>
      </c>
      <c r="S397" s="303">
        <v>2015</v>
      </c>
      <c r="T397" s="303">
        <v>0</v>
      </c>
      <c r="U397" s="303">
        <v>1</v>
      </c>
      <c r="V397" s="572">
        <v>1</v>
      </c>
      <c r="W397" s="572">
        <v>1</v>
      </c>
      <c r="X397" s="572">
        <v>1</v>
      </c>
      <c r="Y397" s="572">
        <f t="shared" si="246"/>
        <v>4</v>
      </c>
      <c r="Z397" s="481"/>
      <c r="AA397" s="481"/>
      <c r="AB397" s="491">
        <v>1.5</v>
      </c>
      <c r="AC397" s="481"/>
      <c r="AD397" s="481"/>
      <c r="AE397" s="481"/>
      <c r="AF397" s="481"/>
      <c r="AG397" s="481">
        <f t="shared" si="249"/>
        <v>1.5</v>
      </c>
      <c r="AH397" s="491">
        <v>1</v>
      </c>
      <c r="AI397" s="548"/>
      <c r="AJ397" s="548"/>
      <c r="AK397" s="548"/>
      <c r="AL397" s="548"/>
      <c r="AM397" s="548"/>
      <c r="AN397" s="548">
        <f t="shared" si="250"/>
        <v>1</v>
      </c>
      <c r="AO397" s="491">
        <v>1</v>
      </c>
      <c r="AP397" s="481"/>
      <c r="AQ397" s="481"/>
      <c r="AR397" s="481"/>
      <c r="AS397" s="481"/>
      <c r="AT397" s="481"/>
      <c r="AU397" s="481"/>
      <c r="AV397" s="481">
        <f t="shared" si="251"/>
        <v>1</v>
      </c>
      <c r="AW397" s="548"/>
      <c r="AX397" s="548"/>
      <c r="AY397" s="491">
        <v>10</v>
      </c>
      <c r="AZ397" s="548"/>
      <c r="BA397" s="548"/>
      <c r="BB397" s="548"/>
      <c r="BC397" s="548"/>
      <c r="BD397" s="548">
        <f t="shared" si="252"/>
        <v>10</v>
      </c>
      <c r="BE397" s="42">
        <f t="shared" si="247"/>
        <v>2</v>
      </c>
      <c r="BF397" s="42">
        <f t="shared" si="247"/>
        <v>0</v>
      </c>
      <c r="BG397" s="42">
        <f t="shared" si="247"/>
        <v>11.5</v>
      </c>
      <c r="BH397" s="42">
        <f t="shared" si="247"/>
        <v>0</v>
      </c>
      <c r="BI397" s="42">
        <f t="shared" si="247"/>
        <v>0</v>
      </c>
      <c r="BJ397" s="42">
        <f t="shared" si="201"/>
        <v>0</v>
      </c>
      <c r="BK397" s="42">
        <f t="shared" si="248"/>
        <v>0</v>
      </c>
      <c r="BL397" s="42">
        <f t="shared" si="248"/>
        <v>13.5</v>
      </c>
    </row>
    <row r="398" spans="1:64" ht="69.75" customHeight="1" x14ac:dyDescent="0.25">
      <c r="A398" s="298" t="s">
        <v>1135</v>
      </c>
      <c r="B398" s="299" t="s">
        <v>1132</v>
      </c>
      <c r="C398" s="1547"/>
      <c r="D398" s="1549"/>
      <c r="E398" s="1549"/>
      <c r="F398" s="1549"/>
      <c r="G398" s="1549"/>
      <c r="H398" s="1549"/>
      <c r="I398" s="1425"/>
      <c r="J398" s="1425"/>
      <c r="K398" s="1425" t="s">
        <v>1206</v>
      </c>
      <c r="L398" s="301" t="s">
        <v>1140</v>
      </c>
      <c r="M398" s="1425" t="s">
        <v>497</v>
      </c>
      <c r="N398" s="476" t="s">
        <v>1182</v>
      </c>
      <c r="O398" s="1425" t="s">
        <v>47</v>
      </c>
      <c r="P398" s="586" t="s">
        <v>1158</v>
      </c>
      <c r="Q398" s="16" t="s">
        <v>1207</v>
      </c>
      <c r="R398" s="302" t="s">
        <v>1208</v>
      </c>
      <c r="S398" s="303">
        <v>2015</v>
      </c>
      <c r="T398" s="303">
        <v>0</v>
      </c>
      <c r="U398" s="303">
        <v>0</v>
      </c>
      <c r="V398" s="572">
        <v>1</v>
      </c>
      <c r="W398" s="572">
        <v>0</v>
      </c>
      <c r="X398" s="572">
        <v>1</v>
      </c>
      <c r="Y398" s="572">
        <v>2</v>
      </c>
      <c r="Z398" s="481"/>
      <c r="AA398" s="481"/>
      <c r="AB398" s="481"/>
      <c r="AC398" s="481"/>
      <c r="AD398" s="481"/>
      <c r="AE398" s="481"/>
      <c r="AF398" s="481"/>
      <c r="AG398" s="481"/>
      <c r="AH398" s="491">
        <v>1</v>
      </c>
      <c r="AI398" s="548"/>
      <c r="AJ398" s="716">
        <v>15</v>
      </c>
      <c r="AK398" s="548"/>
      <c r="AL398" s="548"/>
      <c r="AM398" s="548"/>
      <c r="AN398" s="548">
        <f t="shared" si="250"/>
        <v>16</v>
      </c>
      <c r="AO398" s="481"/>
      <c r="AP398" s="481"/>
      <c r="AQ398" s="481"/>
      <c r="AR398" s="481"/>
      <c r="AS398" s="481"/>
      <c r="AT398" s="481"/>
      <c r="AU398" s="481"/>
      <c r="AV398" s="481"/>
      <c r="AW398" s="491">
        <v>1</v>
      </c>
      <c r="AX398" s="548"/>
      <c r="AY398" s="548"/>
      <c r="AZ398" s="548"/>
      <c r="BA398" s="548"/>
      <c r="BB398" s="548"/>
      <c r="BC398" s="548"/>
      <c r="BD398" s="548">
        <f>SUM(AW398:BC398)</f>
        <v>1</v>
      </c>
      <c r="BE398" s="42"/>
      <c r="BF398" s="42"/>
      <c r="BG398" s="42"/>
      <c r="BH398" s="42"/>
      <c r="BI398" s="42"/>
      <c r="BJ398" s="42">
        <f t="shared" si="201"/>
        <v>0</v>
      </c>
      <c r="BK398" s="42"/>
      <c r="BL398" s="42"/>
    </row>
    <row r="399" spans="1:64" ht="60" customHeight="1" x14ac:dyDescent="0.25">
      <c r="A399" s="298" t="s">
        <v>1135</v>
      </c>
      <c r="B399" s="299" t="s">
        <v>1132</v>
      </c>
      <c r="C399" s="1547"/>
      <c r="D399" s="1549"/>
      <c r="E399" s="1549"/>
      <c r="F399" s="1549"/>
      <c r="G399" s="1549"/>
      <c r="H399" s="1549"/>
      <c r="I399" s="1425"/>
      <c r="J399" s="1425"/>
      <c r="K399" s="1425" t="s">
        <v>1209</v>
      </c>
      <c r="L399" s="301" t="s">
        <v>1140</v>
      </c>
      <c r="M399" s="1425" t="s">
        <v>497</v>
      </c>
      <c r="N399" s="476" t="s">
        <v>1182</v>
      </c>
      <c r="O399" s="1425" t="s">
        <v>47</v>
      </c>
      <c r="P399" s="586">
        <v>231701</v>
      </c>
      <c r="Q399" s="16" t="s">
        <v>1210</v>
      </c>
      <c r="R399" s="302" t="s">
        <v>1211</v>
      </c>
      <c r="S399" s="303">
        <v>2015</v>
      </c>
      <c r="T399" s="303">
        <v>0</v>
      </c>
      <c r="U399" s="303">
        <v>1</v>
      </c>
      <c r="V399" s="572">
        <v>1</v>
      </c>
      <c r="W399" s="572">
        <v>0</v>
      </c>
      <c r="X399" s="572">
        <v>0</v>
      </c>
      <c r="Y399" s="572">
        <f t="shared" si="246"/>
        <v>2</v>
      </c>
      <c r="Z399" s="481"/>
      <c r="AA399" s="481"/>
      <c r="AB399" s="491">
        <v>1</v>
      </c>
      <c r="AC399" s="481"/>
      <c r="AD399" s="481"/>
      <c r="AE399" s="481"/>
      <c r="AF399" s="481"/>
      <c r="AG399" s="481">
        <f t="shared" si="249"/>
        <v>1</v>
      </c>
      <c r="AH399" s="491">
        <v>1</v>
      </c>
      <c r="AI399" s="548"/>
      <c r="AJ399" s="548"/>
      <c r="AK399" s="548"/>
      <c r="AL399" s="548"/>
      <c r="AM399" s="548"/>
      <c r="AN399" s="548">
        <f t="shared" si="250"/>
        <v>1</v>
      </c>
      <c r="AO399" s="481"/>
      <c r="AP399" s="481"/>
      <c r="AQ399" s="481"/>
      <c r="AR399" s="481"/>
      <c r="AS399" s="481"/>
      <c r="AT399" s="481"/>
      <c r="AU399" s="481"/>
      <c r="AV399" s="481">
        <f t="shared" si="251"/>
        <v>0</v>
      </c>
      <c r="AW399" s="548"/>
      <c r="AX399" s="548"/>
      <c r="AY399" s="548"/>
      <c r="AZ399" s="548"/>
      <c r="BA399" s="548"/>
      <c r="BB399" s="548"/>
      <c r="BC399" s="548"/>
      <c r="BD399" s="548">
        <f t="shared" si="252"/>
        <v>0</v>
      </c>
      <c r="BE399" s="42">
        <f t="shared" ref="BE399:BI431" si="253">+AW399+AO399+AH399+Z399</f>
        <v>1</v>
      </c>
      <c r="BF399" s="42">
        <f t="shared" si="253"/>
        <v>0</v>
      </c>
      <c r="BG399" s="42">
        <f t="shared" si="253"/>
        <v>1</v>
      </c>
      <c r="BH399" s="42">
        <f t="shared" si="253"/>
        <v>0</v>
      </c>
      <c r="BI399" s="42">
        <f t="shared" si="253"/>
        <v>0</v>
      </c>
      <c r="BJ399" s="42">
        <f t="shared" si="201"/>
        <v>0</v>
      </c>
      <c r="BK399" s="42">
        <f t="shared" ref="BK399:BL431" si="254">+BC399+AU399+AM399+AF399</f>
        <v>0</v>
      </c>
      <c r="BL399" s="42">
        <f t="shared" si="254"/>
        <v>2</v>
      </c>
    </row>
    <row r="400" spans="1:64" ht="65.25" customHeight="1" x14ac:dyDescent="0.25">
      <c r="A400" s="298" t="s">
        <v>1135</v>
      </c>
      <c r="B400" s="299" t="s">
        <v>1132</v>
      </c>
      <c r="C400" s="1547"/>
      <c r="D400" s="1549"/>
      <c r="E400" s="1549"/>
      <c r="F400" s="1549"/>
      <c r="G400" s="1549"/>
      <c r="H400" s="1549"/>
      <c r="I400" s="1425"/>
      <c r="J400" s="1425"/>
      <c r="K400" s="1425" t="s">
        <v>1212</v>
      </c>
      <c r="L400" s="301" t="s">
        <v>1140</v>
      </c>
      <c r="M400" s="1425" t="s">
        <v>497</v>
      </c>
      <c r="N400" s="476" t="s">
        <v>1182</v>
      </c>
      <c r="O400" s="1425" t="s">
        <v>47</v>
      </c>
      <c r="P400" s="586">
        <v>231601</v>
      </c>
      <c r="Q400" s="16" t="s">
        <v>1213</v>
      </c>
      <c r="R400" s="302" t="s">
        <v>1016</v>
      </c>
      <c r="S400" s="303">
        <v>2015</v>
      </c>
      <c r="T400" s="303">
        <v>0</v>
      </c>
      <c r="U400" s="303">
        <v>1</v>
      </c>
      <c r="V400" s="572">
        <v>1</v>
      </c>
      <c r="W400" s="572">
        <v>0</v>
      </c>
      <c r="X400" s="572">
        <v>0</v>
      </c>
      <c r="Y400" s="572">
        <f>SUBTOTAL(9,U400:X400)</f>
        <v>2</v>
      </c>
      <c r="Z400" s="481"/>
      <c r="AA400" s="481"/>
      <c r="AB400" s="491">
        <v>1</v>
      </c>
      <c r="AC400" s="481"/>
      <c r="AD400" s="481"/>
      <c r="AE400" s="481"/>
      <c r="AF400" s="481"/>
      <c r="AG400" s="481">
        <f>SUM(Z400:AF400)</f>
        <v>1</v>
      </c>
      <c r="AH400" s="491">
        <v>1</v>
      </c>
      <c r="AI400" s="548"/>
      <c r="AJ400" s="548"/>
      <c r="AK400" s="548"/>
      <c r="AL400" s="548"/>
      <c r="AM400" s="548"/>
      <c r="AN400" s="548">
        <f t="shared" si="250"/>
        <v>1</v>
      </c>
      <c r="AO400" s="481"/>
      <c r="AP400" s="481"/>
      <c r="AQ400" s="481"/>
      <c r="AR400" s="481"/>
      <c r="AS400" s="481"/>
      <c r="AT400" s="481"/>
      <c r="AU400" s="481"/>
      <c r="AV400" s="481">
        <f>SUM(AO400:AU400)</f>
        <v>0</v>
      </c>
      <c r="AW400" s="548"/>
      <c r="AX400" s="548"/>
      <c r="AY400" s="548"/>
      <c r="AZ400" s="548"/>
      <c r="BA400" s="548"/>
      <c r="BB400" s="548"/>
      <c r="BC400" s="548"/>
      <c r="BD400" s="548">
        <f>SUM(AW400:BC400)</f>
        <v>0</v>
      </c>
      <c r="BE400" s="42">
        <f>+AW400+AO400+AH400+Z400</f>
        <v>1</v>
      </c>
      <c r="BF400" s="42">
        <f>+AX400+AP400+AI400+AA400</f>
        <v>0</v>
      </c>
      <c r="BG400" s="42">
        <f>+AY400+AQ400+AJ400+AB400</f>
        <v>1</v>
      </c>
      <c r="BH400" s="42">
        <f>+AZ400+AR400+AK400+AC400</f>
        <v>0</v>
      </c>
      <c r="BI400" s="42">
        <f>+BA400+AS400+AL400+AD400</f>
        <v>0</v>
      </c>
      <c r="BJ400" s="42">
        <f t="shared" si="201"/>
        <v>0</v>
      </c>
      <c r="BK400" s="42">
        <f>+BC400+AU400+AM400+AF400</f>
        <v>0</v>
      </c>
      <c r="BL400" s="42">
        <f>+BD400+AV400+AN400+AG400</f>
        <v>2</v>
      </c>
    </row>
    <row r="401" spans="1:65" ht="65.25" customHeight="1" x14ac:dyDescent="0.25">
      <c r="A401" s="298" t="s">
        <v>1135</v>
      </c>
      <c r="B401" s="299" t="s">
        <v>1132</v>
      </c>
      <c r="C401" s="1548"/>
      <c r="D401" s="1549"/>
      <c r="E401" s="1549"/>
      <c r="F401" s="1549"/>
      <c r="G401" s="1549"/>
      <c r="H401" s="1549"/>
      <c r="I401" s="1425"/>
      <c r="J401" s="1425"/>
      <c r="K401" s="1425" t="s">
        <v>1214</v>
      </c>
      <c r="L401" s="301" t="s">
        <v>1140</v>
      </c>
      <c r="M401" s="1425" t="s">
        <v>497</v>
      </c>
      <c r="N401" s="476" t="s">
        <v>1182</v>
      </c>
      <c r="O401" s="1425" t="s">
        <v>47</v>
      </c>
      <c r="P401" s="586">
        <v>230204</v>
      </c>
      <c r="Q401" s="16" t="s">
        <v>1215</v>
      </c>
      <c r="R401" s="302" t="s">
        <v>1216</v>
      </c>
      <c r="S401" s="303">
        <v>2015</v>
      </c>
      <c r="T401" s="303">
        <v>0</v>
      </c>
      <c r="U401" s="303">
        <v>0</v>
      </c>
      <c r="V401" s="572">
        <v>1</v>
      </c>
      <c r="W401" s="572">
        <v>1</v>
      </c>
      <c r="X401" s="572">
        <v>0</v>
      </c>
      <c r="Y401" s="572">
        <f t="shared" si="246"/>
        <v>2</v>
      </c>
      <c r="Z401" s="481"/>
      <c r="AA401" s="481"/>
      <c r="AB401" s="481"/>
      <c r="AC401" s="481"/>
      <c r="AD401" s="481"/>
      <c r="AE401" s="481"/>
      <c r="AF401" s="481"/>
      <c r="AG401" s="481">
        <f t="shared" si="249"/>
        <v>0</v>
      </c>
      <c r="AH401" s="491">
        <v>1</v>
      </c>
      <c r="AI401" s="548"/>
      <c r="AJ401" s="548"/>
      <c r="AK401" s="548"/>
      <c r="AL401" s="548"/>
      <c r="AM401" s="548"/>
      <c r="AN401" s="548">
        <f t="shared" si="250"/>
        <v>1</v>
      </c>
      <c r="AO401" s="491">
        <v>1</v>
      </c>
      <c r="AP401" s="481"/>
      <c r="AQ401" s="481"/>
      <c r="AR401" s="481"/>
      <c r="AS401" s="481"/>
      <c r="AT401" s="481"/>
      <c r="AU401" s="481"/>
      <c r="AV401" s="481">
        <f t="shared" si="251"/>
        <v>1</v>
      </c>
      <c r="AW401" s="548"/>
      <c r="AX401" s="548"/>
      <c r="AY401" s="548"/>
      <c r="AZ401" s="548"/>
      <c r="BA401" s="548"/>
      <c r="BB401" s="548"/>
      <c r="BC401" s="548"/>
      <c r="BD401" s="548">
        <f t="shared" si="252"/>
        <v>0</v>
      </c>
      <c r="BE401" s="42">
        <f t="shared" si="253"/>
        <v>2</v>
      </c>
      <c r="BF401" s="42">
        <f t="shared" si="253"/>
        <v>0</v>
      </c>
      <c r="BG401" s="42">
        <f t="shared" si="253"/>
        <v>0</v>
      </c>
      <c r="BH401" s="42">
        <f t="shared" si="253"/>
        <v>0</v>
      </c>
      <c r="BI401" s="42">
        <f t="shared" si="253"/>
        <v>0</v>
      </c>
      <c r="BJ401" s="42">
        <f t="shared" si="201"/>
        <v>0</v>
      </c>
      <c r="BK401" s="42">
        <f t="shared" si="254"/>
        <v>0</v>
      </c>
      <c r="BL401" s="42">
        <f t="shared" si="254"/>
        <v>2</v>
      </c>
    </row>
    <row r="402" spans="1:65" ht="20.25" hidden="1" x14ac:dyDescent="0.2">
      <c r="A402" s="420"/>
      <c r="B402" s="1565" t="s">
        <v>1217</v>
      </c>
      <c r="C402" s="1566"/>
      <c r="D402" s="1566"/>
      <c r="E402" s="1566"/>
      <c r="F402" s="1566"/>
      <c r="G402" s="1566"/>
      <c r="H402" s="1566"/>
      <c r="I402" s="1566"/>
      <c r="J402" s="1566"/>
      <c r="K402" s="1566"/>
      <c r="L402" s="1566"/>
      <c r="M402" s="1567"/>
      <c r="N402" s="597"/>
      <c r="O402" s="597"/>
      <c r="P402" s="597"/>
      <c r="Q402" s="598"/>
      <c r="R402" s="598"/>
      <c r="S402" s="597"/>
      <c r="T402" s="597"/>
      <c r="U402" s="597"/>
      <c r="V402" s="599"/>
      <c r="W402" s="599"/>
      <c r="X402" s="599"/>
      <c r="Y402" s="599"/>
      <c r="Z402" s="600">
        <f>+Z403</f>
        <v>3</v>
      </c>
      <c r="AA402" s="600">
        <f t="shared" ref="AA402:AF402" si="255">+AA403</f>
        <v>0</v>
      </c>
      <c r="AB402" s="600">
        <f t="shared" si="255"/>
        <v>47</v>
      </c>
      <c r="AC402" s="600">
        <f t="shared" si="255"/>
        <v>0</v>
      </c>
      <c r="AD402" s="600">
        <f t="shared" si="255"/>
        <v>0</v>
      </c>
      <c r="AE402" s="600">
        <f t="shared" si="255"/>
        <v>0</v>
      </c>
      <c r="AF402" s="600">
        <f t="shared" si="255"/>
        <v>0</v>
      </c>
      <c r="AG402" s="600">
        <f t="shared" si="249"/>
        <v>50</v>
      </c>
      <c r="AH402" s="600">
        <f t="shared" ref="AH402:AM402" si="256">+AH403</f>
        <v>3</v>
      </c>
      <c r="AI402" s="600">
        <f t="shared" si="256"/>
        <v>0</v>
      </c>
      <c r="AJ402" s="600">
        <f t="shared" si="256"/>
        <v>56</v>
      </c>
      <c r="AK402" s="600">
        <f t="shared" si="256"/>
        <v>0</v>
      </c>
      <c r="AL402" s="600">
        <f t="shared" si="256"/>
        <v>0</v>
      </c>
      <c r="AM402" s="600">
        <f t="shared" si="256"/>
        <v>0</v>
      </c>
      <c r="AN402" s="600">
        <f t="shared" si="250"/>
        <v>59</v>
      </c>
      <c r="AO402" s="600">
        <f t="shared" ref="AO402:AU402" si="257">+AO403</f>
        <v>3</v>
      </c>
      <c r="AP402" s="600">
        <f t="shared" si="257"/>
        <v>0</v>
      </c>
      <c r="AQ402" s="600">
        <f t="shared" si="257"/>
        <v>47</v>
      </c>
      <c r="AR402" s="600">
        <f t="shared" si="257"/>
        <v>0</v>
      </c>
      <c r="AS402" s="600">
        <f t="shared" si="257"/>
        <v>0</v>
      </c>
      <c r="AT402" s="600">
        <f t="shared" si="257"/>
        <v>0</v>
      </c>
      <c r="AU402" s="600">
        <f t="shared" si="257"/>
        <v>0</v>
      </c>
      <c r="AV402" s="600">
        <f t="shared" si="251"/>
        <v>50</v>
      </c>
      <c r="AW402" s="600">
        <f t="shared" ref="AW402:BC402" si="258">+AW403</f>
        <v>3</v>
      </c>
      <c r="AX402" s="600">
        <f t="shared" si="258"/>
        <v>0</v>
      </c>
      <c r="AY402" s="600">
        <f t="shared" si="258"/>
        <v>47</v>
      </c>
      <c r="AZ402" s="600">
        <f t="shared" si="258"/>
        <v>0</v>
      </c>
      <c r="BA402" s="600">
        <f t="shared" si="258"/>
        <v>0</v>
      </c>
      <c r="BB402" s="600">
        <f t="shared" si="258"/>
        <v>0</v>
      </c>
      <c r="BC402" s="600">
        <f t="shared" si="258"/>
        <v>0</v>
      </c>
      <c r="BD402" s="600">
        <f t="shared" si="252"/>
        <v>50</v>
      </c>
      <c r="BE402" s="33">
        <f t="shared" si="253"/>
        <v>12</v>
      </c>
      <c r="BF402" s="33">
        <f t="shared" si="253"/>
        <v>0</v>
      </c>
      <c r="BG402" s="33">
        <f t="shared" si="253"/>
        <v>197</v>
      </c>
      <c r="BH402" s="33">
        <f t="shared" si="253"/>
        <v>0</v>
      </c>
      <c r="BI402" s="33">
        <f t="shared" si="253"/>
        <v>0</v>
      </c>
      <c r="BJ402" s="33">
        <f t="shared" si="201"/>
        <v>0</v>
      </c>
      <c r="BK402" s="33">
        <f t="shared" si="254"/>
        <v>0</v>
      </c>
      <c r="BL402" s="33">
        <f t="shared" si="254"/>
        <v>209</v>
      </c>
    </row>
    <row r="403" spans="1:65" ht="12.75" hidden="1" x14ac:dyDescent="0.2">
      <c r="A403" s="603"/>
      <c r="B403" s="155" t="s">
        <v>1218</v>
      </c>
      <c r="C403" s="155"/>
      <c r="D403" s="2" t="s">
        <v>1219</v>
      </c>
      <c r="E403" s="1"/>
      <c r="F403" s="1"/>
      <c r="G403" s="1"/>
      <c r="H403" s="1"/>
      <c r="I403" s="1"/>
      <c r="J403" s="1"/>
      <c r="K403" s="1"/>
      <c r="L403" s="1"/>
      <c r="M403" s="1"/>
      <c r="N403" s="1"/>
      <c r="O403" s="1"/>
      <c r="P403" s="1"/>
      <c r="Q403" s="22"/>
      <c r="R403" s="22"/>
      <c r="S403" s="1"/>
      <c r="T403" s="1"/>
      <c r="U403" s="1"/>
      <c r="V403" s="49"/>
      <c r="W403" s="49"/>
      <c r="X403" s="49"/>
      <c r="Y403" s="49"/>
      <c r="Z403" s="34">
        <f>SUM(Z404:Z414)</f>
        <v>3</v>
      </c>
      <c r="AA403" s="34">
        <f t="shared" ref="AA403:BD403" si="259">SUM(AA404:AA414)</f>
        <v>0</v>
      </c>
      <c r="AB403" s="34">
        <f t="shared" si="259"/>
        <v>47</v>
      </c>
      <c r="AC403" s="34">
        <f t="shared" si="259"/>
        <v>0</v>
      </c>
      <c r="AD403" s="34">
        <f t="shared" si="259"/>
        <v>0</v>
      </c>
      <c r="AE403" s="34">
        <f t="shared" si="259"/>
        <v>0</v>
      </c>
      <c r="AF403" s="34">
        <f t="shared" si="259"/>
        <v>0</v>
      </c>
      <c r="AG403" s="34">
        <f t="shared" si="259"/>
        <v>50</v>
      </c>
      <c r="AH403" s="34">
        <f t="shared" si="259"/>
        <v>3</v>
      </c>
      <c r="AI403" s="34">
        <f t="shared" si="259"/>
        <v>0</v>
      </c>
      <c r="AJ403" s="34">
        <f t="shared" si="259"/>
        <v>56</v>
      </c>
      <c r="AK403" s="34">
        <f t="shared" si="259"/>
        <v>0</v>
      </c>
      <c r="AL403" s="34">
        <f t="shared" si="259"/>
        <v>0</v>
      </c>
      <c r="AM403" s="34">
        <f t="shared" si="259"/>
        <v>0</v>
      </c>
      <c r="AN403" s="34">
        <f t="shared" si="250"/>
        <v>59</v>
      </c>
      <c r="AO403" s="34">
        <f t="shared" si="259"/>
        <v>3</v>
      </c>
      <c r="AP403" s="34">
        <f t="shared" si="259"/>
        <v>0</v>
      </c>
      <c r="AQ403" s="34">
        <f t="shared" si="259"/>
        <v>47</v>
      </c>
      <c r="AR403" s="34">
        <f t="shared" si="259"/>
        <v>0</v>
      </c>
      <c r="AS403" s="34">
        <f t="shared" si="259"/>
        <v>0</v>
      </c>
      <c r="AT403" s="34">
        <f t="shared" si="259"/>
        <v>0</v>
      </c>
      <c r="AU403" s="34">
        <f t="shared" si="259"/>
        <v>0</v>
      </c>
      <c r="AV403" s="34">
        <f t="shared" si="259"/>
        <v>50</v>
      </c>
      <c r="AW403" s="34">
        <f t="shared" si="259"/>
        <v>3</v>
      </c>
      <c r="AX403" s="34">
        <f t="shared" si="259"/>
        <v>0</v>
      </c>
      <c r="AY403" s="34">
        <f t="shared" si="259"/>
        <v>47</v>
      </c>
      <c r="AZ403" s="34">
        <f t="shared" si="259"/>
        <v>0</v>
      </c>
      <c r="BA403" s="34">
        <f t="shared" si="259"/>
        <v>0</v>
      </c>
      <c r="BB403" s="34">
        <f t="shared" si="259"/>
        <v>0</v>
      </c>
      <c r="BC403" s="34">
        <f t="shared" si="259"/>
        <v>0</v>
      </c>
      <c r="BD403" s="34">
        <f t="shared" si="259"/>
        <v>50</v>
      </c>
      <c r="BE403" s="34">
        <f t="shared" si="253"/>
        <v>12</v>
      </c>
      <c r="BF403" s="34">
        <f t="shared" si="253"/>
        <v>0</v>
      </c>
      <c r="BG403" s="34">
        <f t="shared" si="253"/>
        <v>197</v>
      </c>
      <c r="BH403" s="34">
        <f t="shared" si="253"/>
        <v>0</v>
      </c>
      <c r="BI403" s="34">
        <f t="shared" si="253"/>
        <v>0</v>
      </c>
      <c r="BJ403" s="34">
        <f t="shared" si="201"/>
        <v>0</v>
      </c>
      <c r="BK403" s="34">
        <f t="shared" si="254"/>
        <v>0</v>
      </c>
      <c r="BL403" s="34">
        <f t="shared" si="254"/>
        <v>209</v>
      </c>
    </row>
    <row r="404" spans="1:65" ht="40.5" hidden="1" customHeight="1" x14ac:dyDescent="0.2">
      <c r="A404" s="298" t="s">
        <v>1220</v>
      </c>
      <c r="B404" s="299" t="s">
        <v>1218</v>
      </c>
      <c r="C404" s="1546" t="s">
        <v>1221</v>
      </c>
      <c r="D404" s="1549" t="s">
        <v>1222</v>
      </c>
      <c r="E404" s="1549" t="s">
        <v>1223</v>
      </c>
      <c r="F404" s="1549">
        <v>2015</v>
      </c>
      <c r="G404" s="1549" t="s">
        <v>177</v>
      </c>
      <c r="H404" s="1549">
        <v>70</v>
      </c>
      <c r="I404" s="1425"/>
      <c r="J404" s="1425"/>
      <c r="K404" s="1425" t="s">
        <v>1224</v>
      </c>
      <c r="L404" s="301" t="s">
        <v>1140</v>
      </c>
      <c r="M404" s="1425" t="s">
        <v>1225</v>
      </c>
      <c r="N404" s="1425" t="s">
        <v>1226</v>
      </c>
      <c r="O404" s="1425" t="s">
        <v>47</v>
      </c>
      <c r="P404" s="1425"/>
      <c r="Q404" s="16" t="s">
        <v>1227</v>
      </c>
      <c r="R404" s="302" t="s">
        <v>1228</v>
      </c>
      <c r="S404" s="303">
        <v>2015</v>
      </c>
      <c r="T404" s="303">
        <v>0</v>
      </c>
      <c r="U404" s="303">
        <v>1</v>
      </c>
      <c r="V404" s="303">
        <v>1</v>
      </c>
      <c r="W404" s="303">
        <v>1</v>
      </c>
      <c r="X404" s="303">
        <v>1</v>
      </c>
      <c r="Y404" s="303">
        <v>4</v>
      </c>
      <c r="Z404" s="481">
        <v>0</v>
      </c>
      <c r="AA404" s="481">
        <v>0</v>
      </c>
      <c r="AB404" s="584">
        <v>7</v>
      </c>
      <c r="AC404" s="481">
        <v>0</v>
      </c>
      <c r="AD404" s="481">
        <v>0</v>
      </c>
      <c r="AE404" s="481">
        <v>0</v>
      </c>
      <c r="AF404" s="481">
        <v>0</v>
      </c>
      <c r="AG404" s="481">
        <f t="shared" ref="AG404:AG414" si="260">SUM(Z404:AF404)</f>
        <v>7</v>
      </c>
      <c r="AH404" s="548">
        <v>0</v>
      </c>
      <c r="AI404" s="548">
        <v>0</v>
      </c>
      <c r="AJ404" s="592">
        <v>7</v>
      </c>
      <c r="AK404" s="548">
        <v>0</v>
      </c>
      <c r="AL404" s="548">
        <v>0</v>
      </c>
      <c r="AM404" s="548">
        <v>0</v>
      </c>
      <c r="AN404" s="548">
        <f t="shared" ref="AN404:AN412" si="261">SUM(AH404:AM404)</f>
        <v>7</v>
      </c>
      <c r="AO404" s="481">
        <v>0</v>
      </c>
      <c r="AP404" s="481">
        <v>0</v>
      </c>
      <c r="AQ404" s="584">
        <v>7</v>
      </c>
      <c r="AR404" s="481">
        <v>0</v>
      </c>
      <c r="AS404" s="481">
        <v>0</v>
      </c>
      <c r="AT404" s="481">
        <v>0</v>
      </c>
      <c r="AU404" s="481">
        <v>0</v>
      </c>
      <c r="AV404" s="481">
        <f t="shared" ref="AV404:AV414" si="262">SUM(AO404:AU404)</f>
        <v>7</v>
      </c>
      <c r="AW404" s="548">
        <v>0</v>
      </c>
      <c r="AX404" s="548">
        <v>0</v>
      </c>
      <c r="AY404" s="592">
        <v>7</v>
      </c>
      <c r="AZ404" s="548">
        <v>0</v>
      </c>
      <c r="BA404" s="548">
        <v>0</v>
      </c>
      <c r="BB404" s="548">
        <v>0</v>
      </c>
      <c r="BC404" s="548">
        <v>0</v>
      </c>
      <c r="BD404" s="548">
        <f t="shared" ref="BD404:BD414" si="263">SUM(AW404:BC404)</f>
        <v>7</v>
      </c>
      <c r="BE404" s="42">
        <f t="shared" si="253"/>
        <v>0</v>
      </c>
      <c r="BF404" s="42">
        <f t="shared" si="253"/>
        <v>0</v>
      </c>
      <c r="BG404" s="35">
        <f t="shared" si="253"/>
        <v>28</v>
      </c>
      <c r="BH404" s="42">
        <f t="shared" si="253"/>
        <v>0</v>
      </c>
      <c r="BI404" s="42">
        <f t="shared" si="253"/>
        <v>0</v>
      </c>
      <c r="BJ404" s="42">
        <f t="shared" ref="BJ404:BJ470" si="264">+AE404+AT404+BB404</f>
        <v>0</v>
      </c>
      <c r="BK404" s="42">
        <f t="shared" si="254"/>
        <v>0</v>
      </c>
      <c r="BL404" s="42">
        <f t="shared" si="254"/>
        <v>28</v>
      </c>
      <c r="BM404" s="3"/>
    </row>
    <row r="405" spans="1:65" ht="54.75" hidden="1" customHeight="1" x14ac:dyDescent="0.2">
      <c r="A405" s="298" t="s">
        <v>1220</v>
      </c>
      <c r="B405" s="299" t="s">
        <v>1218</v>
      </c>
      <c r="C405" s="1547"/>
      <c r="D405" s="1549"/>
      <c r="E405" s="1549"/>
      <c r="F405" s="1549"/>
      <c r="G405" s="1549"/>
      <c r="H405" s="1549"/>
      <c r="I405" s="1425"/>
      <c r="J405" s="1425"/>
      <c r="K405" s="1425" t="s">
        <v>1229</v>
      </c>
      <c r="L405" s="301" t="s">
        <v>1140</v>
      </c>
      <c r="M405" s="1425" t="s">
        <v>1225</v>
      </c>
      <c r="N405" s="1425" t="s">
        <v>1226</v>
      </c>
      <c r="O405" s="1425" t="s">
        <v>47</v>
      </c>
      <c r="P405" s="1425"/>
      <c r="Q405" s="16" t="s">
        <v>1230</v>
      </c>
      <c r="R405" s="302" t="s">
        <v>1231</v>
      </c>
      <c r="S405" s="303">
        <v>2015</v>
      </c>
      <c r="T405" s="303">
        <v>0</v>
      </c>
      <c r="U405" s="303">
        <v>1</v>
      </c>
      <c r="V405" s="303">
        <v>1</v>
      </c>
      <c r="W405" s="303">
        <v>1</v>
      </c>
      <c r="X405" s="303">
        <v>1</v>
      </c>
      <c r="Y405" s="303">
        <v>4</v>
      </c>
      <c r="Z405" s="481">
        <v>0</v>
      </c>
      <c r="AA405" s="481">
        <v>0</v>
      </c>
      <c r="AB405" s="500">
        <v>5</v>
      </c>
      <c r="AC405" s="481">
        <v>0</v>
      </c>
      <c r="AD405" s="481">
        <v>0</v>
      </c>
      <c r="AE405" s="481">
        <v>0</v>
      </c>
      <c r="AF405" s="481">
        <v>0</v>
      </c>
      <c r="AG405" s="481">
        <f t="shared" si="260"/>
        <v>5</v>
      </c>
      <c r="AH405" s="491">
        <v>1</v>
      </c>
      <c r="AI405" s="548">
        <v>0</v>
      </c>
      <c r="AJ405" s="592">
        <v>0</v>
      </c>
      <c r="AK405" s="548">
        <v>0</v>
      </c>
      <c r="AL405" s="548">
        <v>0</v>
      </c>
      <c r="AM405" s="548">
        <v>0</v>
      </c>
      <c r="AN405" s="548">
        <f t="shared" si="261"/>
        <v>1</v>
      </c>
      <c r="AO405" s="493">
        <v>1</v>
      </c>
      <c r="AP405" s="481">
        <v>0</v>
      </c>
      <c r="AQ405" s="584">
        <v>0</v>
      </c>
      <c r="AR405" s="481">
        <v>0</v>
      </c>
      <c r="AS405" s="481">
        <v>0</v>
      </c>
      <c r="AT405" s="481">
        <v>0</v>
      </c>
      <c r="AU405" s="481">
        <v>0</v>
      </c>
      <c r="AV405" s="481">
        <f t="shared" si="262"/>
        <v>1</v>
      </c>
      <c r="AW405" s="493">
        <v>1</v>
      </c>
      <c r="AX405" s="548">
        <v>0</v>
      </c>
      <c r="AY405" s="592">
        <v>0</v>
      </c>
      <c r="AZ405" s="548">
        <v>0</v>
      </c>
      <c r="BA405" s="548">
        <v>0</v>
      </c>
      <c r="BB405" s="548">
        <v>0</v>
      </c>
      <c r="BC405" s="548">
        <v>0</v>
      </c>
      <c r="BD405" s="548">
        <f t="shared" si="263"/>
        <v>1</v>
      </c>
      <c r="BE405" s="42">
        <f t="shared" si="253"/>
        <v>3</v>
      </c>
      <c r="BF405" s="42">
        <f t="shared" si="253"/>
        <v>0</v>
      </c>
      <c r="BG405" s="35">
        <f t="shared" si="253"/>
        <v>5</v>
      </c>
      <c r="BH405" s="42">
        <f t="shared" si="253"/>
        <v>0</v>
      </c>
      <c r="BI405" s="42">
        <f t="shared" si="253"/>
        <v>0</v>
      </c>
      <c r="BJ405" s="42">
        <f t="shared" si="264"/>
        <v>0</v>
      </c>
      <c r="BK405" s="42">
        <f t="shared" si="254"/>
        <v>0</v>
      </c>
      <c r="BL405" s="42">
        <f t="shared" si="254"/>
        <v>8</v>
      </c>
      <c r="BM405" s="3"/>
    </row>
    <row r="406" spans="1:65" ht="90.75" hidden="1" customHeight="1" x14ac:dyDescent="0.2">
      <c r="A406" s="298" t="s">
        <v>1220</v>
      </c>
      <c r="B406" s="299" t="s">
        <v>1218</v>
      </c>
      <c r="C406" s="1547"/>
      <c r="D406" s="1549"/>
      <c r="E406" s="1549"/>
      <c r="F406" s="1549"/>
      <c r="G406" s="1549"/>
      <c r="H406" s="1549"/>
      <c r="I406" s="1425"/>
      <c r="J406" s="1425"/>
      <c r="K406" s="1425" t="s">
        <v>1232</v>
      </c>
      <c r="L406" s="301" t="s">
        <v>1140</v>
      </c>
      <c r="M406" s="1425" t="s">
        <v>1225</v>
      </c>
      <c r="N406" s="1425" t="s">
        <v>1226</v>
      </c>
      <c r="O406" s="1425" t="s">
        <v>73</v>
      </c>
      <c r="P406" s="1425"/>
      <c r="Q406" s="16" t="s">
        <v>1233</v>
      </c>
      <c r="R406" s="302" t="s">
        <v>1234</v>
      </c>
      <c r="S406" s="303">
        <v>2015</v>
      </c>
      <c r="T406" s="303">
        <v>1</v>
      </c>
      <c r="U406" s="303">
        <v>1</v>
      </c>
      <c r="V406" s="303">
        <v>1</v>
      </c>
      <c r="W406" s="303">
        <v>1</v>
      </c>
      <c r="X406" s="303">
        <v>1</v>
      </c>
      <c r="Y406" s="303">
        <v>1</v>
      </c>
      <c r="Z406" s="481"/>
      <c r="AA406" s="481"/>
      <c r="AB406" s="500">
        <v>5</v>
      </c>
      <c r="AC406" s="481"/>
      <c r="AD406" s="481"/>
      <c r="AE406" s="481"/>
      <c r="AF406" s="481"/>
      <c r="AG406" s="481">
        <f t="shared" si="260"/>
        <v>5</v>
      </c>
      <c r="AH406" s="548"/>
      <c r="AI406" s="548"/>
      <c r="AJ406" s="592">
        <v>10</v>
      </c>
      <c r="AK406" s="548"/>
      <c r="AL406" s="548"/>
      <c r="AM406" s="548"/>
      <c r="AN406" s="548">
        <f t="shared" si="261"/>
        <v>10</v>
      </c>
      <c r="AO406" s="481"/>
      <c r="AP406" s="481"/>
      <c r="AQ406" s="584">
        <v>10</v>
      </c>
      <c r="AR406" s="481"/>
      <c r="AS406" s="481"/>
      <c r="AT406" s="481"/>
      <c r="AU406" s="481"/>
      <c r="AV406" s="481">
        <f t="shared" si="262"/>
        <v>10</v>
      </c>
      <c r="AW406" s="548"/>
      <c r="AX406" s="548"/>
      <c r="AY406" s="592">
        <v>10</v>
      </c>
      <c r="AZ406" s="548"/>
      <c r="BA406" s="548"/>
      <c r="BB406" s="548"/>
      <c r="BC406" s="548"/>
      <c r="BD406" s="548">
        <f t="shared" si="263"/>
        <v>10</v>
      </c>
      <c r="BE406" s="42">
        <f t="shared" si="253"/>
        <v>0</v>
      </c>
      <c r="BF406" s="42">
        <f t="shared" si="253"/>
        <v>0</v>
      </c>
      <c r="BG406" s="35">
        <f t="shared" si="253"/>
        <v>35</v>
      </c>
      <c r="BH406" s="42">
        <f t="shared" si="253"/>
        <v>0</v>
      </c>
      <c r="BI406" s="42">
        <f t="shared" si="253"/>
        <v>0</v>
      </c>
      <c r="BJ406" s="42">
        <f t="shared" si="264"/>
        <v>0</v>
      </c>
      <c r="BK406" s="42">
        <f t="shared" si="254"/>
        <v>0</v>
      </c>
      <c r="BL406" s="42">
        <f t="shared" si="254"/>
        <v>35</v>
      </c>
      <c r="BM406" s="3"/>
    </row>
    <row r="407" spans="1:65" ht="46.5" hidden="1" customHeight="1" x14ac:dyDescent="0.2">
      <c r="A407" s="298" t="s">
        <v>1220</v>
      </c>
      <c r="B407" s="299" t="s">
        <v>1218</v>
      </c>
      <c r="C407" s="1547"/>
      <c r="D407" s="1549"/>
      <c r="E407" s="1549"/>
      <c r="F407" s="1549"/>
      <c r="G407" s="1549"/>
      <c r="H407" s="1549"/>
      <c r="I407" s="1425"/>
      <c r="J407" s="1425"/>
      <c r="K407" s="1425" t="s">
        <v>1235</v>
      </c>
      <c r="L407" s="301" t="s">
        <v>1140</v>
      </c>
      <c r="M407" s="1425" t="s">
        <v>1225</v>
      </c>
      <c r="N407" s="1425" t="s">
        <v>1226</v>
      </c>
      <c r="O407" s="1425" t="s">
        <v>47</v>
      </c>
      <c r="P407" s="1425"/>
      <c r="Q407" s="16" t="s">
        <v>1236</v>
      </c>
      <c r="R407" s="302" t="s">
        <v>337</v>
      </c>
      <c r="S407" s="303">
        <v>2015</v>
      </c>
      <c r="T407" s="303">
        <v>1</v>
      </c>
      <c r="U407" s="303">
        <v>1</v>
      </c>
      <c r="V407" s="303">
        <v>1</v>
      </c>
      <c r="W407" s="303">
        <v>1</v>
      </c>
      <c r="X407" s="303">
        <v>1</v>
      </c>
      <c r="Y407" s="303">
        <v>4</v>
      </c>
      <c r="Z407" s="483">
        <v>0</v>
      </c>
      <c r="AA407" s="483">
        <v>0</v>
      </c>
      <c r="AB407" s="500">
        <v>2.5</v>
      </c>
      <c r="AC407" s="483">
        <v>0</v>
      </c>
      <c r="AD407" s="483">
        <v>0</v>
      </c>
      <c r="AE407" s="483">
        <v>0</v>
      </c>
      <c r="AF407" s="483">
        <v>0</v>
      </c>
      <c r="AG407" s="481">
        <f t="shared" si="260"/>
        <v>2.5</v>
      </c>
      <c r="AH407" s="493">
        <v>1</v>
      </c>
      <c r="AI407" s="587">
        <v>0</v>
      </c>
      <c r="AJ407" s="592">
        <v>0</v>
      </c>
      <c r="AK407" s="587">
        <v>0</v>
      </c>
      <c r="AL407" s="587">
        <v>0</v>
      </c>
      <c r="AM407" s="587">
        <v>0</v>
      </c>
      <c r="AN407" s="587">
        <f t="shared" si="261"/>
        <v>1</v>
      </c>
      <c r="AO407" s="493">
        <v>1</v>
      </c>
      <c r="AP407" s="483">
        <v>0</v>
      </c>
      <c r="AQ407" s="584">
        <v>0</v>
      </c>
      <c r="AR407" s="483">
        <v>0</v>
      </c>
      <c r="AS407" s="483">
        <v>0</v>
      </c>
      <c r="AT407" s="483">
        <v>0</v>
      </c>
      <c r="AU407" s="483">
        <v>0</v>
      </c>
      <c r="AV407" s="483">
        <f t="shared" si="262"/>
        <v>1</v>
      </c>
      <c r="AW407" s="493">
        <v>1</v>
      </c>
      <c r="AX407" s="587">
        <v>0</v>
      </c>
      <c r="AY407" s="592">
        <v>0</v>
      </c>
      <c r="AZ407" s="587">
        <v>0</v>
      </c>
      <c r="BA407" s="587">
        <v>0</v>
      </c>
      <c r="BB407" s="587">
        <v>0</v>
      </c>
      <c r="BC407" s="587">
        <v>0</v>
      </c>
      <c r="BD407" s="587">
        <f t="shared" si="263"/>
        <v>1</v>
      </c>
      <c r="BE407" s="44">
        <f t="shared" si="253"/>
        <v>3</v>
      </c>
      <c r="BF407" s="44">
        <f t="shared" si="253"/>
        <v>0</v>
      </c>
      <c r="BG407" s="35">
        <f t="shared" si="253"/>
        <v>2.5</v>
      </c>
      <c r="BH407" s="44">
        <f t="shared" si="253"/>
        <v>0</v>
      </c>
      <c r="BI407" s="44">
        <f t="shared" si="253"/>
        <v>0</v>
      </c>
      <c r="BJ407" s="44">
        <f t="shared" si="264"/>
        <v>0</v>
      </c>
      <c r="BK407" s="44">
        <f t="shared" si="254"/>
        <v>0</v>
      </c>
      <c r="BL407" s="44">
        <f t="shared" si="254"/>
        <v>5.5</v>
      </c>
      <c r="BM407" s="3"/>
    </row>
    <row r="408" spans="1:65" ht="55.5" hidden="1" customHeight="1" x14ac:dyDescent="0.2">
      <c r="A408" s="298" t="s">
        <v>1220</v>
      </c>
      <c r="B408" s="299" t="s">
        <v>1218</v>
      </c>
      <c r="C408" s="1547"/>
      <c r="D408" s="1549"/>
      <c r="E408" s="1549"/>
      <c r="F408" s="1549"/>
      <c r="G408" s="1549"/>
      <c r="H408" s="1549"/>
      <c r="I408" s="1425"/>
      <c r="J408" s="1425"/>
      <c r="K408" s="1425" t="s">
        <v>1237</v>
      </c>
      <c r="L408" s="301" t="s">
        <v>1140</v>
      </c>
      <c r="M408" s="1425" t="s">
        <v>1225</v>
      </c>
      <c r="N408" s="1425" t="s">
        <v>1226</v>
      </c>
      <c r="O408" s="1425" t="s">
        <v>47</v>
      </c>
      <c r="P408" s="1425"/>
      <c r="Q408" s="16" t="s">
        <v>1238</v>
      </c>
      <c r="R408" s="302" t="s">
        <v>1239</v>
      </c>
      <c r="S408" s="303">
        <v>2015</v>
      </c>
      <c r="T408" s="303">
        <v>0</v>
      </c>
      <c r="U408" s="303">
        <v>1</v>
      </c>
      <c r="V408" s="303">
        <v>1</v>
      </c>
      <c r="W408" s="303">
        <v>1</v>
      </c>
      <c r="X408" s="303">
        <v>1</v>
      </c>
      <c r="Y408" s="303">
        <v>4</v>
      </c>
      <c r="Z408" s="481">
        <v>0</v>
      </c>
      <c r="AA408" s="481">
        <v>0</v>
      </c>
      <c r="AB408" s="500">
        <v>0.5</v>
      </c>
      <c r="AC408" s="481">
        <v>0</v>
      </c>
      <c r="AD408" s="481">
        <v>0</v>
      </c>
      <c r="AE408" s="481">
        <v>0</v>
      </c>
      <c r="AF408" s="481">
        <v>0</v>
      </c>
      <c r="AG408" s="481">
        <f t="shared" si="260"/>
        <v>0.5</v>
      </c>
      <c r="AH408" s="491">
        <v>0.5</v>
      </c>
      <c r="AI408" s="548">
        <v>0</v>
      </c>
      <c r="AJ408" s="592">
        <v>0</v>
      </c>
      <c r="AK408" s="548">
        <v>0</v>
      </c>
      <c r="AL408" s="548">
        <v>0</v>
      </c>
      <c r="AM408" s="548">
        <v>0</v>
      </c>
      <c r="AN408" s="548">
        <f t="shared" si="261"/>
        <v>0.5</v>
      </c>
      <c r="AO408" s="481">
        <v>0</v>
      </c>
      <c r="AP408" s="481">
        <v>0</v>
      </c>
      <c r="AQ408" s="493">
        <v>1</v>
      </c>
      <c r="AR408" s="481">
        <v>0</v>
      </c>
      <c r="AS408" s="481">
        <v>0</v>
      </c>
      <c r="AT408" s="481">
        <v>0</v>
      </c>
      <c r="AU408" s="481">
        <v>0</v>
      </c>
      <c r="AV408" s="481">
        <f t="shared" si="262"/>
        <v>1</v>
      </c>
      <c r="AW408" s="548">
        <v>0</v>
      </c>
      <c r="AX408" s="548">
        <v>0</v>
      </c>
      <c r="AY408" s="493">
        <v>1</v>
      </c>
      <c r="AZ408" s="548">
        <v>0</v>
      </c>
      <c r="BA408" s="548">
        <v>0</v>
      </c>
      <c r="BB408" s="548">
        <v>0</v>
      </c>
      <c r="BC408" s="548">
        <v>0</v>
      </c>
      <c r="BD408" s="548">
        <f t="shared" si="263"/>
        <v>1</v>
      </c>
      <c r="BE408" s="42">
        <f t="shared" si="253"/>
        <v>0.5</v>
      </c>
      <c r="BF408" s="42">
        <f t="shared" si="253"/>
        <v>0</v>
      </c>
      <c r="BG408" s="35">
        <f t="shared" si="253"/>
        <v>2.5</v>
      </c>
      <c r="BH408" s="42">
        <f t="shared" si="253"/>
        <v>0</v>
      </c>
      <c r="BI408" s="42">
        <f t="shared" si="253"/>
        <v>0</v>
      </c>
      <c r="BJ408" s="42">
        <f t="shared" si="264"/>
        <v>0</v>
      </c>
      <c r="BK408" s="42">
        <f t="shared" si="254"/>
        <v>0</v>
      </c>
      <c r="BL408" s="42">
        <f t="shared" si="254"/>
        <v>3</v>
      </c>
      <c r="BM408" s="3"/>
    </row>
    <row r="409" spans="1:65" ht="28.5" hidden="1" customHeight="1" x14ac:dyDescent="0.2">
      <c r="A409" s="298" t="s">
        <v>1220</v>
      </c>
      <c r="B409" s="299" t="s">
        <v>1218</v>
      </c>
      <c r="C409" s="1547"/>
      <c r="D409" s="1549"/>
      <c r="E409" s="1549"/>
      <c r="F409" s="1549"/>
      <c r="G409" s="1549"/>
      <c r="H409" s="1549"/>
      <c r="I409" s="1425"/>
      <c r="J409" s="1425"/>
      <c r="K409" s="1425" t="s">
        <v>1240</v>
      </c>
      <c r="L409" s="301" t="s">
        <v>1140</v>
      </c>
      <c r="M409" s="1425" t="s">
        <v>1225</v>
      </c>
      <c r="N409" s="1425" t="s">
        <v>1226</v>
      </c>
      <c r="O409" s="1425" t="s">
        <v>47</v>
      </c>
      <c r="P409" s="1425"/>
      <c r="Q409" s="16" t="s">
        <v>1241</v>
      </c>
      <c r="R409" s="302" t="s">
        <v>1242</v>
      </c>
      <c r="S409" s="303">
        <v>2015</v>
      </c>
      <c r="T409" s="303">
        <v>0</v>
      </c>
      <c r="U409" s="303">
        <v>1</v>
      </c>
      <c r="V409" s="303">
        <v>1</v>
      </c>
      <c r="W409" s="303">
        <v>1</v>
      </c>
      <c r="X409" s="303">
        <v>1</v>
      </c>
      <c r="Y409" s="303">
        <v>4</v>
      </c>
      <c r="Z409" s="481">
        <v>0</v>
      </c>
      <c r="AA409" s="481">
        <v>0</v>
      </c>
      <c r="AB409" s="500">
        <v>2</v>
      </c>
      <c r="AC409" s="481">
        <v>0</v>
      </c>
      <c r="AD409" s="481">
        <v>0</v>
      </c>
      <c r="AE409" s="481">
        <v>0</v>
      </c>
      <c r="AF409" s="481">
        <v>0</v>
      </c>
      <c r="AG409" s="481">
        <f t="shared" si="260"/>
        <v>2</v>
      </c>
      <c r="AH409" s="548">
        <v>0</v>
      </c>
      <c r="AI409" s="548">
        <v>0</v>
      </c>
      <c r="AJ409" s="493">
        <v>1</v>
      </c>
      <c r="AK409" s="548">
        <v>0</v>
      </c>
      <c r="AL409" s="548">
        <v>0</v>
      </c>
      <c r="AM409" s="548">
        <v>0</v>
      </c>
      <c r="AN409" s="548">
        <f t="shared" si="261"/>
        <v>1</v>
      </c>
      <c r="AO409" s="481">
        <v>0</v>
      </c>
      <c r="AP409" s="481">
        <v>0</v>
      </c>
      <c r="AQ409" s="493">
        <v>1</v>
      </c>
      <c r="AR409" s="481">
        <v>0</v>
      </c>
      <c r="AS409" s="481">
        <v>0</v>
      </c>
      <c r="AT409" s="481">
        <v>0</v>
      </c>
      <c r="AU409" s="481">
        <v>0</v>
      </c>
      <c r="AV409" s="481">
        <f t="shared" si="262"/>
        <v>1</v>
      </c>
      <c r="AW409" s="548">
        <v>0</v>
      </c>
      <c r="AX409" s="548">
        <v>0</v>
      </c>
      <c r="AY409" s="493">
        <v>1</v>
      </c>
      <c r="AZ409" s="548">
        <v>0</v>
      </c>
      <c r="BA409" s="548">
        <v>0</v>
      </c>
      <c r="BB409" s="548">
        <v>0</v>
      </c>
      <c r="BC409" s="548">
        <v>0</v>
      </c>
      <c r="BD409" s="548">
        <f t="shared" si="263"/>
        <v>1</v>
      </c>
      <c r="BE409" s="42">
        <f t="shared" si="253"/>
        <v>0</v>
      </c>
      <c r="BF409" s="42">
        <f t="shared" si="253"/>
        <v>0</v>
      </c>
      <c r="BG409" s="35">
        <f t="shared" si="253"/>
        <v>5</v>
      </c>
      <c r="BH409" s="42">
        <f t="shared" si="253"/>
        <v>0</v>
      </c>
      <c r="BI409" s="42">
        <f t="shared" si="253"/>
        <v>0</v>
      </c>
      <c r="BJ409" s="42">
        <f t="shared" si="264"/>
        <v>0</v>
      </c>
      <c r="BK409" s="42">
        <f t="shared" si="254"/>
        <v>0</v>
      </c>
      <c r="BL409" s="42">
        <f t="shared" si="254"/>
        <v>5</v>
      </c>
      <c r="BM409" s="3"/>
    </row>
    <row r="410" spans="1:65" ht="36" hidden="1" customHeight="1" x14ac:dyDescent="0.2">
      <c r="A410" s="298" t="s">
        <v>1220</v>
      </c>
      <c r="B410" s="299" t="s">
        <v>1218</v>
      </c>
      <c r="C410" s="1547"/>
      <c r="D410" s="1549"/>
      <c r="E410" s="1549"/>
      <c r="F410" s="1549"/>
      <c r="G410" s="1549"/>
      <c r="H410" s="1549"/>
      <c r="I410" s="1425"/>
      <c r="J410" s="1425"/>
      <c r="K410" s="1425" t="s">
        <v>1243</v>
      </c>
      <c r="L410" s="301" t="s">
        <v>1140</v>
      </c>
      <c r="M410" s="1425" t="s">
        <v>1225</v>
      </c>
      <c r="N410" s="1425" t="s">
        <v>1226</v>
      </c>
      <c r="O410" s="1425" t="s">
        <v>47</v>
      </c>
      <c r="P410" s="1425"/>
      <c r="Q410" s="16" t="s">
        <v>1244</v>
      </c>
      <c r="R410" s="302" t="s">
        <v>1245</v>
      </c>
      <c r="S410" s="303">
        <v>2015</v>
      </c>
      <c r="T410" s="303">
        <v>0</v>
      </c>
      <c r="U410" s="303">
        <v>0</v>
      </c>
      <c r="V410" s="303">
        <v>1</v>
      </c>
      <c r="W410" s="303">
        <v>0</v>
      </c>
      <c r="X410" s="303">
        <v>0</v>
      </c>
      <c r="Y410" s="303">
        <v>1</v>
      </c>
      <c r="Z410" s="481">
        <v>0</v>
      </c>
      <c r="AA410" s="481">
        <v>0</v>
      </c>
      <c r="AB410" s="584">
        <v>0</v>
      </c>
      <c r="AC410" s="481">
        <v>0</v>
      </c>
      <c r="AD410" s="481">
        <v>0</v>
      </c>
      <c r="AE410" s="481">
        <v>0</v>
      </c>
      <c r="AF410" s="481">
        <v>0</v>
      </c>
      <c r="AG410" s="481">
        <f t="shared" si="260"/>
        <v>0</v>
      </c>
      <c r="AH410" s="548">
        <v>0</v>
      </c>
      <c r="AI410" s="548">
        <v>0</v>
      </c>
      <c r="AJ410" s="493">
        <v>1</v>
      </c>
      <c r="AK410" s="548">
        <v>0</v>
      </c>
      <c r="AL410" s="548">
        <v>0</v>
      </c>
      <c r="AM410" s="548">
        <v>0</v>
      </c>
      <c r="AN410" s="548">
        <f t="shared" si="261"/>
        <v>1</v>
      </c>
      <c r="AO410" s="481">
        <v>0</v>
      </c>
      <c r="AP410" s="481">
        <v>0</v>
      </c>
      <c r="AQ410" s="584">
        <v>0</v>
      </c>
      <c r="AR410" s="481">
        <v>0</v>
      </c>
      <c r="AS410" s="481">
        <v>0</v>
      </c>
      <c r="AT410" s="481">
        <v>0</v>
      </c>
      <c r="AU410" s="481">
        <v>0</v>
      </c>
      <c r="AV410" s="481">
        <f t="shared" si="262"/>
        <v>0</v>
      </c>
      <c r="AW410" s="548">
        <v>0</v>
      </c>
      <c r="AX410" s="548">
        <v>0</v>
      </c>
      <c r="AY410" s="592">
        <v>0</v>
      </c>
      <c r="AZ410" s="548">
        <v>0</v>
      </c>
      <c r="BA410" s="548">
        <v>0</v>
      </c>
      <c r="BB410" s="548">
        <v>0</v>
      </c>
      <c r="BC410" s="548">
        <v>0</v>
      </c>
      <c r="BD410" s="548">
        <f t="shared" si="263"/>
        <v>0</v>
      </c>
      <c r="BE410" s="42">
        <f t="shared" si="253"/>
        <v>0</v>
      </c>
      <c r="BF410" s="42">
        <f t="shared" si="253"/>
        <v>0</v>
      </c>
      <c r="BG410" s="35">
        <f t="shared" si="253"/>
        <v>1</v>
      </c>
      <c r="BH410" s="42">
        <f t="shared" si="253"/>
        <v>0</v>
      </c>
      <c r="BI410" s="42">
        <f t="shared" si="253"/>
        <v>0</v>
      </c>
      <c r="BJ410" s="42">
        <f t="shared" si="264"/>
        <v>0</v>
      </c>
      <c r="BK410" s="42">
        <f t="shared" si="254"/>
        <v>0</v>
      </c>
      <c r="BL410" s="42">
        <f t="shared" si="254"/>
        <v>1</v>
      </c>
      <c r="BM410" s="3"/>
    </row>
    <row r="411" spans="1:65" ht="49.5" hidden="1" customHeight="1" x14ac:dyDescent="0.2">
      <c r="A411" s="298" t="s">
        <v>1220</v>
      </c>
      <c r="B411" s="299" t="s">
        <v>1218</v>
      </c>
      <c r="C411" s="1547"/>
      <c r="D411" s="1549"/>
      <c r="E411" s="1549"/>
      <c r="F411" s="1549"/>
      <c r="G411" s="1549"/>
      <c r="H411" s="1549"/>
      <c r="I411" s="1425"/>
      <c r="J411" s="1425"/>
      <c r="K411" s="1425" t="s">
        <v>1246</v>
      </c>
      <c r="L411" s="301" t="s">
        <v>1140</v>
      </c>
      <c r="M411" s="1425" t="s">
        <v>1225</v>
      </c>
      <c r="N411" s="1425" t="s">
        <v>1226</v>
      </c>
      <c r="O411" s="1425" t="s">
        <v>47</v>
      </c>
      <c r="P411" s="1425"/>
      <c r="Q411" s="16" t="s">
        <v>1247</v>
      </c>
      <c r="R411" s="302" t="s">
        <v>1248</v>
      </c>
      <c r="S411" s="303">
        <v>2015</v>
      </c>
      <c r="T411" s="303">
        <v>0</v>
      </c>
      <c r="U411" s="303">
        <v>0</v>
      </c>
      <c r="V411" s="303">
        <v>40</v>
      </c>
      <c r="W411" s="303">
        <v>40</v>
      </c>
      <c r="X411" s="303">
        <v>40</v>
      </c>
      <c r="Y411" s="303">
        <v>120</v>
      </c>
      <c r="Z411" s="481"/>
      <c r="AA411" s="481"/>
      <c r="AB411" s="500"/>
      <c r="AC411" s="481"/>
      <c r="AD411" s="481"/>
      <c r="AE411" s="481"/>
      <c r="AF411" s="481"/>
      <c r="AG411" s="481">
        <f t="shared" si="260"/>
        <v>0</v>
      </c>
      <c r="AH411" s="548"/>
      <c r="AI411" s="548"/>
      <c r="AJ411" s="500">
        <v>7</v>
      </c>
      <c r="AK411" s="548"/>
      <c r="AL411" s="548"/>
      <c r="AM411" s="548"/>
      <c r="AN411" s="548">
        <f t="shared" si="261"/>
        <v>7</v>
      </c>
      <c r="AO411" s="481"/>
      <c r="AP411" s="481"/>
      <c r="AQ411" s="500">
        <v>7</v>
      </c>
      <c r="AR411" s="481"/>
      <c r="AS411" s="481"/>
      <c r="AT411" s="481"/>
      <c r="AU411" s="481"/>
      <c r="AV411" s="481">
        <f t="shared" si="262"/>
        <v>7</v>
      </c>
      <c r="AW411" s="548"/>
      <c r="AX411" s="548"/>
      <c r="AY411" s="500">
        <v>7</v>
      </c>
      <c r="AZ411" s="548"/>
      <c r="BA411" s="548"/>
      <c r="BB411" s="548"/>
      <c r="BC411" s="548"/>
      <c r="BD411" s="548">
        <f t="shared" si="263"/>
        <v>7</v>
      </c>
      <c r="BE411" s="42">
        <f t="shared" si="253"/>
        <v>0</v>
      </c>
      <c r="BF411" s="42">
        <f t="shared" si="253"/>
        <v>0</v>
      </c>
      <c r="BG411" s="35">
        <f t="shared" si="253"/>
        <v>21</v>
      </c>
      <c r="BH411" s="42">
        <f t="shared" si="253"/>
        <v>0</v>
      </c>
      <c r="BI411" s="42">
        <f t="shared" si="253"/>
        <v>0</v>
      </c>
      <c r="BJ411" s="42">
        <f t="shared" si="264"/>
        <v>0</v>
      </c>
      <c r="BK411" s="42">
        <f t="shared" si="254"/>
        <v>0</v>
      </c>
      <c r="BL411" s="42">
        <f t="shared" si="254"/>
        <v>21</v>
      </c>
      <c r="BM411" s="3"/>
    </row>
    <row r="412" spans="1:65" ht="48.75" hidden="1" customHeight="1" x14ac:dyDescent="0.2">
      <c r="A412" s="298" t="s">
        <v>1220</v>
      </c>
      <c r="B412" s="299" t="s">
        <v>1218</v>
      </c>
      <c r="C412" s="1547"/>
      <c r="D412" s="1549"/>
      <c r="E412" s="1549"/>
      <c r="F412" s="1549"/>
      <c r="G412" s="1549"/>
      <c r="H412" s="1549"/>
      <c r="I412" s="1425"/>
      <c r="J412" s="1425"/>
      <c r="K412" s="1425" t="s">
        <v>1249</v>
      </c>
      <c r="L412" s="301" t="s">
        <v>1140</v>
      </c>
      <c r="M412" s="1425" t="s">
        <v>1225</v>
      </c>
      <c r="N412" s="1425" t="s">
        <v>1226</v>
      </c>
      <c r="O412" s="1425" t="s">
        <v>47</v>
      </c>
      <c r="P412" s="1425"/>
      <c r="Q412" s="16" t="s">
        <v>1250</v>
      </c>
      <c r="R412" s="302" t="s">
        <v>1251</v>
      </c>
      <c r="S412" s="303">
        <v>2015</v>
      </c>
      <c r="T412" s="303">
        <v>1</v>
      </c>
      <c r="U412" s="303">
        <v>1</v>
      </c>
      <c r="V412" s="303">
        <v>1</v>
      </c>
      <c r="W412" s="303">
        <v>1</v>
      </c>
      <c r="X412" s="303">
        <v>1</v>
      </c>
      <c r="Y412" s="303">
        <v>4</v>
      </c>
      <c r="Z412" s="481">
        <v>0</v>
      </c>
      <c r="AA412" s="481">
        <v>0</v>
      </c>
      <c r="AB412" s="500">
        <v>5</v>
      </c>
      <c r="AC412" s="481">
        <v>0</v>
      </c>
      <c r="AD412" s="481">
        <v>0</v>
      </c>
      <c r="AE412" s="481">
        <v>0</v>
      </c>
      <c r="AF412" s="481">
        <v>0</v>
      </c>
      <c r="AG412" s="481">
        <f t="shared" si="260"/>
        <v>5</v>
      </c>
      <c r="AH412" s="548">
        <v>0</v>
      </c>
      <c r="AI412" s="548">
        <v>0</v>
      </c>
      <c r="AJ412" s="719">
        <v>10</v>
      </c>
      <c r="AK412" s="548">
        <v>0</v>
      </c>
      <c r="AL412" s="548">
        <v>0</v>
      </c>
      <c r="AM412" s="548">
        <v>0</v>
      </c>
      <c r="AN412" s="548">
        <f t="shared" si="261"/>
        <v>10</v>
      </c>
      <c r="AO412" s="481">
        <v>0</v>
      </c>
      <c r="AP412" s="481">
        <v>0</v>
      </c>
      <c r="AQ412" s="493">
        <v>1</v>
      </c>
      <c r="AR412" s="481">
        <v>0</v>
      </c>
      <c r="AS412" s="481">
        <v>0</v>
      </c>
      <c r="AT412" s="481">
        <v>0</v>
      </c>
      <c r="AU412" s="481">
        <v>0</v>
      </c>
      <c r="AV412" s="481">
        <f t="shared" si="262"/>
        <v>1</v>
      </c>
      <c r="AW412" s="548">
        <v>0</v>
      </c>
      <c r="AX412" s="548">
        <v>0</v>
      </c>
      <c r="AY412" s="493">
        <v>1</v>
      </c>
      <c r="AZ412" s="548">
        <v>0</v>
      </c>
      <c r="BA412" s="548">
        <v>0</v>
      </c>
      <c r="BB412" s="548">
        <v>0</v>
      </c>
      <c r="BC412" s="548">
        <v>0</v>
      </c>
      <c r="BD412" s="548">
        <f t="shared" si="263"/>
        <v>1</v>
      </c>
      <c r="BE412" s="42">
        <f t="shared" si="253"/>
        <v>0</v>
      </c>
      <c r="BF412" s="42">
        <f t="shared" si="253"/>
        <v>0</v>
      </c>
      <c r="BG412" s="35">
        <f t="shared" si="253"/>
        <v>17</v>
      </c>
      <c r="BH412" s="42">
        <f t="shared" si="253"/>
        <v>0</v>
      </c>
      <c r="BI412" s="42">
        <f t="shared" si="253"/>
        <v>0</v>
      </c>
      <c r="BJ412" s="42">
        <f t="shared" si="264"/>
        <v>0</v>
      </c>
      <c r="BK412" s="42">
        <f t="shared" si="254"/>
        <v>0</v>
      </c>
      <c r="BL412" s="42">
        <f t="shared" si="254"/>
        <v>17</v>
      </c>
      <c r="BM412" s="3"/>
    </row>
    <row r="413" spans="1:65" ht="60.75" hidden="1" customHeight="1" x14ac:dyDescent="0.2">
      <c r="A413" s="298" t="s">
        <v>1220</v>
      </c>
      <c r="B413" s="299" t="s">
        <v>1218</v>
      </c>
      <c r="C413" s="1547"/>
      <c r="D413" s="1549"/>
      <c r="E413" s="1549"/>
      <c r="F413" s="1549"/>
      <c r="G413" s="1549"/>
      <c r="H413" s="1549"/>
      <c r="I413" s="1425"/>
      <c r="J413" s="1425"/>
      <c r="K413" s="1425" t="s">
        <v>1252</v>
      </c>
      <c r="L413" s="301" t="s">
        <v>1140</v>
      </c>
      <c r="M413" s="1425" t="s">
        <v>1225</v>
      </c>
      <c r="N413" s="1425" t="s">
        <v>1226</v>
      </c>
      <c r="O413" s="1425" t="s">
        <v>73</v>
      </c>
      <c r="P413" s="1425"/>
      <c r="Q413" s="16" t="s">
        <v>1253</v>
      </c>
      <c r="R413" s="302" t="s">
        <v>1254</v>
      </c>
      <c r="S413" s="303">
        <v>2015</v>
      </c>
      <c r="T413" s="303">
        <v>1</v>
      </c>
      <c r="U413" s="303">
        <v>1</v>
      </c>
      <c r="V413" s="303">
        <v>1</v>
      </c>
      <c r="W413" s="303">
        <v>1</v>
      </c>
      <c r="X413" s="303">
        <v>1</v>
      </c>
      <c r="Y413" s="303">
        <v>1</v>
      </c>
      <c r="Z413" s="481"/>
      <c r="AA413" s="481"/>
      <c r="AB413" s="584">
        <v>20</v>
      </c>
      <c r="AC413" s="481"/>
      <c r="AD413" s="481"/>
      <c r="AE413" s="481"/>
      <c r="AF413" s="481"/>
      <c r="AG413" s="481">
        <f t="shared" si="260"/>
        <v>20</v>
      </c>
      <c r="AH413" s="548"/>
      <c r="AI413" s="548"/>
      <c r="AJ413" s="592">
        <v>20</v>
      </c>
      <c r="AK413" s="548"/>
      <c r="AL413" s="548"/>
      <c r="AM413" s="548"/>
      <c r="AN413" s="548">
        <f>SUM(AH413:AM413)</f>
        <v>20</v>
      </c>
      <c r="AO413" s="481"/>
      <c r="AP413" s="481"/>
      <c r="AQ413" s="584">
        <v>20</v>
      </c>
      <c r="AR413" s="481"/>
      <c r="AS413" s="481"/>
      <c r="AT413" s="481"/>
      <c r="AU413" s="481"/>
      <c r="AV413" s="481">
        <f t="shared" si="262"/>
        <v>20</v>
      </c>
      <c r="AW413" s="548"/>
      <c r="AX413" s="548"/>
      <c r="AY413" s="592">
        <v>20</v>
      </c>
      <c r="AZ413" s="548"/>
      <c r="BA413" s="548"/>
      <c r="BB413" s="548"/>
      <c r="BC413" s="548"/>
      <c r="BD413" s="548">
        <f t="shared" si="263"/>
        <v>20</v>
      </c>
      <c r="BE413" s="42">
        <f t="shared" si="253"/>
        <v>0</v>
      </c>
      <c r="BF413" s="42">
        <f t="shared" si="253"/>
        <v>0</v>
      </c>
      <c r="BG413" s="35">
        <f t="shared" si="253"/>
        <v>80</v>
      </c>
      <c r="BH413" s="42">
        <f t="shared" si="253"/>
        <v>0</v>
      </c>
      <c r="BI413" s="42">
        <f t="shared" si="253"/>
        <v>0</v>
      </c>
      <c r="BJ413" s="42">
        <f t="shared" si="264"/>
        <v>0</v>
      </c>
      <c r="BK413" s="42">
        <f t="shared" si="254"/>
        <v>0</v>
      </c>
      <c r="BL413" s="42">
        <f t="shared" si="254"/>
        <v>80</v>
      </c>
      <c r="BM413" s="3"/>
    </row>
    <row r="414" spans="1:65" ht="49.5" hidden="1" customHeight="1" x14ac:dyDescent="0.2">
      <c r="A414" s="298" t="s">
        <v>1220</v>
      </c>
      <c r="B414" s="299" t="s">
        <v>1218</v>
      </c>
      <c r="C414" s="1548"/>
      <c r="D414" s="1549"/>
      <c r="E414" s="1549"/>
      <c r="F414" s="1549"/>
      <c r="G414" s="1549"/>
      <c r="H414" s="1549"/>
      <c r="I414" s="1425"/>
      <c r="J414" s="1425"/>
      <c r="K414" s="1425" t="s">
        <v>1255</v>
      </c>
      <c r="L414" s="301" t="s">
        <v>1140</v>
      </c>
      <c r="M414" s="1425" t="s">
        <v>1225</v>
      </c>
      <c r="N414" s="1425" t="s">
        <v>1226</v>
      </c>
      <c r="O414" s="1425" t="s">
        <v>47</v>
      </c>
      <c r="P414" s="1425"/>
      <c r="Q414" s="16" t="s">
        <v>1256</v>
      </c>
      <c r="R414" s="302" t="s">
        <v>1257</v>
      </c>
      <c r="S414" s="303">
        <v>2015</v>
      </c>
      <c r="T414" s="303">
        <v>0</v>
      </c>
      <c r="U414" s="303">
        <v>1</v>
      </c>
      <c r="V414" s="303">
        <v>1</v>
      </c>
      <c r="W414" s="303">
        <v>1</v>
      </c>
      <c r="X414" s="303">
        <v>1</v>
      </c>
      <c r="Y414" s="303">
        <v>4</v>
      </c>
      <c r="Z414" s="481">
        <v>3</v>
      </c>
      <c r="AA414" s="481"/>
      <c r="AB414" s="584">
        <v>0</v>
      </c>
      <c r="AC414" s="481"/>
      <c r="AD414" s="481"/>
      <c r="AE414" s="481"/>
      <c r="AF414" s="481"/>
      <c r="AG414" s="481">
        <f t="shared" si="260"/>
        <v>3</v>
      </c>
      <c r="AH414" s="491">
        <v>0.5</v>
      </c>
      <c r="AI414" s="548"/>
      <c r="AJ414" s="592">
        <v>0</v>
      </c>
      <c r="AK414" s="548"/>
      <c r="AL414" s="548"/>
      <c r="AM414" s="548"/>
      <c r="AN414" s="548">
        <f>SUM(AH414:AM414)</f>
        <v>0.5</v>
      </c>
      <c r="AO414" s="491">
        <v>1</v>
      </c>
      <c r="AP414" s="481"/>
      <c r="AQ414" s="584">
        <v>0</v>
      </c>
      <c r="AR414" s="481"/>
      <c r="AS414" s="481"/>
      <c r="AT414" s="481"/>
      <c r="AU414" s="481"/>
      <c r="AV414" s="481">
        <f t="shared" si="262"/>
        <v>1</v>
      </c>
      <c r="AW414" s="491">
        <v>1</v>
      </c>
      <c r="AX414" s="548"/>
      <c r="AY414" s="592">
        <v>0</v>
      </c>
      <c r="AZ414" s="548"/>
      <c r="BA414" s="548"/>
      <c r="BB414" s="548"/>
      <c r="BC414" s="548"/>
      <c r="BD414" s="548">
        <f t="shared" si="263"/>
        <v>1</v>
      </c>
      <c r="BE414" s="42">
        <f t="shared" si="253"/>
        <v>5.5</v>
      </c>
      <c r="BF414" s="42">
        <f t="shared" si="253"/>
        <v>0</v>
      </c>
      <c r="BG414" s="35">
        <f t="shared" si="253"/>
        <v>0</v>
      </c>
      <c r="BH414" s="42">
        <f t="shared" si="253"/>
        <v>0</v>
      </c>
      <c r="BI414" s="42">
        <f t="shared" si="253"/>
        <v>0</v>
      </c>
      <c r="BJ414" s="42">
        <f t="shared" si="264"/>
        <v>0</v>
      </c>
      <c r="BK414" s="42">
        <f t="shared" si="254"/>
        <v>0</v>
      </c>
      <c r="BL414" s="42">
        <f t="shared" si="254"/>
        <v>5.5</v>
      </c>
      <c r="BM414" s="3"/>
    </row>
    <row r="415" spans="1:65" ht="20.25" hidden="1" x14ac:dyDescent="0.2">
      <c r="A415" s="420"/>
      <c r="B415" s="1565" t="s">
        <v>1258</v>
      </c>
      <c r="C415" s="1566"/>
      <c r="D415" s="1566"/>
      <c r="E415" s="1566"/>
      <c r="F415" s="1566"/>
      <c r="G415" s="1566"/>
      <c r="H415" s="1566"/>
      <c r="I415" s="1566"/>
      <c r="J415" s="1566"/>
      <c r="K415" s="1566"/>
      <c r="L415" s="1566"/>
      <c r="M415" s="1567"/>
      <c r="N415" s="597"/>
      <c r="O415" s="597"/>
      <c r="P415" s="597"/>
      <c r="Q415" s="598"/>
      <c r="R415" s="598"/>
      <c r="S415" s="597"/>
      <c r="T415" s="597"/>
      <c r="U415" s="597"/>
      <c r="V415" s="599"/>
      <c r="W415" s="599"/>
      <c r="X415" s="599"/>
      <c r="Y415" s="599"/>
      <c r="Z415" s="600">
        <f t="shared" ref="Z415:BD415" si="265">+Z416+Z431</f>
        <v>54.9</v>
      </c>
      <c r="AA415" s="600">
        <f t="shared" si="265"/>
        <v>350</v>
      </c>
      <c r="AB415" s="600">
        <f t="shared" si="265"/>
        <v>50</v>
      </c>
      <c r="AC415" s="600">
        <f t="shared" si="265"/>
        <v>390</v>
      </c>
      <c r="AD415" s="600">
        <f t="shared" si="265"/>
        <v>0</v>
      </c>
      <c r="AE415" s="600">
        <f t="shared" si="265"/>
        <v>603</v>
      </c>
      <c r="AF415" s="600">
        <f t="shared" si="265"/>
        <v>0</v>
      </c>
      <c r="AG415" s="600">
        <f t="shared" si="265"/>
        <v>1447.9</v>
      </c>
      <c r="AH415" s="600">
        <f t="shared" si="265"/>
        <v>43</v>
      </c>
      <c r="AI415" s="600">
        <f t="shared" si="265"/>
        <v>325</v>
      </c>
      <c r="AJ415" s="600">
        <f t="shared" si="265"/>
        <v>55</v>
      </c>
      <c r="AK415" s="600">
        <f t="shared" si="265"/>
        <v>0</v>
      </c>
      <c r="AL415" s="600">
        <f t="shared" si="265"/>
        <v>0</v>
      </c>
      <c r="AM415" s="600">
        <f t="shared" si="265"/>
        <v>0</v>
      </c>
      <c r="AN415" s="600">
        <f t="shared" si="265"/>
        <v>423</v>
      </c>
      <c r="AO415" s="600">
        <f t="shared" si="265"/>
        <v>28</v>
      </c>
      <c r="AP415" s="600">
        <f t="shared" si="265"/>
        <v>345</v>
      </c>
      <c r="AQ415" s="600">
        <f t="shared" si="265"/>
        <v>0</v>
      </c>
      <c r="AR415" s="600">
        <f t="shared" si="265"/>
        <v>0</v>
      </c>
      <c r="AS415" s="600">
        <f t="shared" si="265"/>
        <v>0</v>
      </c>
      <c r="AT415" s="600">
        <f t="shared" si="265"/>
        <v>0</v>
      </c>
      <c r="AU415" s="600">
        <f t="shared" si="265"/>
        <v>0</v>
      </c>
      <c r="AV415" s="600">
        <f t="shared" si="265"/>
        <v>373</v>
      </c>
      <c r="AW415" s="600">
        <f t="shared" si="265"/>
        <v>43</v>
      </c>
      <c r="AX415" s="600">
        <f t="shared" si="265"/>
        <v>335</v>
      </c>
      <c r="AY415" s="600">
        <f t="shared" si="265"/>
        <v>0</v>
      </c>
      <c r="AZ415" s="600">
        <f t="shared" si="265"/>
        <v>0</v>
      </c>
      <c r="BA415" s="600">
        <f t="shared" si="265"/>
        <v>0</v>
      </c>
      <c r="BB415" s="600">
        <f t="shared" si="265"/>
        <v>0</v>
      </c>
      <c r="BC415" s="600">
        <f t="shared" si="265"/>
        <v>0</v>
      </c>
      <c r="BD415" s="600">
        <f t="shared" si="265"/>
        <v>378</v>
      </c>
      <c r="BE415" s="33">
        <f t="shared" si="253"/>
        <v>168.9</v>
      </c>
      <c r="BF415" s="33">
        <f t="shared" si="253"/>
        <v>1355</v>
      </c>
      <c r="BG415" s="33">
        <f t="shared" si="253"/>
        <v>105</v>
      </c>
      <c r="BH415" s="33">
        <f t="shared" si="253"/>
        <v>390</v>
      </c>
      <c r="BI415" s="33">
        <f t="shared" si="253"/>
        <v>0</v>
      </c>
      <c r="BJ415" s="33">
        <f t="shared" si="264"/>
        <v>603</v>
      </c>
      <c r="BK415" s="33">
        <f t="shared" si="254"/>
        <v>0</v>
      </c>
      <c r="BL415" s="33">
        <f t="shared" si="254"/>
        <v>2621.9</v>
      </c>
    </row>
    <row r="416" spans="1:65" ht="12.75" hidden="1" x14ac:dyDescent="0.2">
      <c r="A416" s="603"/>
      <c r="B416" s="155" t="s">
        <v>1259</v>
      </c>
      <c r="C416" s="155"/>
      <c r="D416" s="2" t="s">
        <v>1260</v>
      </c>
      <c r="E416" s="1"/>
      <c r="F416" s="1"/>
      <c r="G416" s="1"/>
      <c r="H416" s="1"/>
      <c r="I416" s="1"/>
      <c r="J416" s="1"/>
      <c r="K416" s="1"/>
      <c r="L416" s="1"/>
      <c r="M416" s="1"/>
      <c r="N416" s="1"/>
      <c r="O416" s="1"/>
      <c r="P416" s="1"/>
      <c r="Q416" s="22"/>
      <c r="R416" s="22"/>
      <c r="S416" s="1"/>
      <c r="T416" s="1"/>
      <c r="U416" s="1"/>
      <c r="V416" s="49"/>
      <c r="W416" s="49"/>
      <c r="X416" s="49"/>
      <c r="Y416" s="49"/>
      <c r="Z416" s="34">
        <f t="shared" ref="Z416:BD416" si="266">SUM(Z417:Z430)</f>
        <v>29.9</v>
      </c>
      <c r="AA416" s="34">
        <f t="shared" si="266"/>
        <v>45</v>
      </c>
      <c r="AB416" s="34">
        <f t="shared" si="266"/>
        <v>50</v>
      </c>
      <c r="AC416" s="34">
        <f t="shared" si="266"/>
        <v>390</v>
      </c>
      <c r="AD416" s="34">
        <f t="shared" si="266"/>
        <v>0</v>
      </c>
      <c r="AE416" s="34">
        <f t="shared" si="266"/>
        <v>603</v>
      </c>
      <c r="AF416" s="34">
        <f t="shared" si="266"/>
        <v>0</v>
      </c>
      <c r="AG416" s="34">
        <f t="shared" si="266"/>
        <v>1117.9000000000001</v>
      </c>
      <c r="AH416" s="34">
        <f t="shared" si="266"/>
        <v>16</v>
      </c>
      <c r="AI416" s="34">
        <f t="shared" si="266"/>
        <v>280</v>
      </c>
      <c r="AJ416" s="34">
        <f t="shared" si="266"/>
        <v>30</v>
      </c>
      <c r="AK416" s="34">
        <f t="shared" si="266"/>
        <v>0</v>
      </c>
      <c r="AL416" s="34">
        <f t="shared" si="266"/>
        <v>0</v>
      </c>
      <c r="AM416" s="34">
        <f t="shared" si="266"/>
        <v>0</v>
      </c>
      <c r="AN416" s="34">
        <f t="shared" si="266"/>
        <v>326</v>
      </c>
      <c r="AO416" s="34">
        <f t="shared" si="266"/>
        <v>16</v>
      </c>
      <c r="AP416" s="34">
        <f t="shared" si="266"/>
        <v>285</v>
      </c>
      <c r="AQ416" s="34">
        <f t="shared" si="266"/>
        <v>0</v>
      </c>
      <c r="AR416" s="34">
        <f t="shared" si="266"/>
        <v>0</v>
      </c>
      <c r="AS416" s="34">
        <f t="shared" si="266"/>
        <v>0</v>
      </c>
      <c r="AT416" s="34">
        <f t="shared" si="266"/>
        <v>0</v>
      </c>
      <c r="AU416" s="34">
        <f t="shared" si="266"/>
        <v>0</v>
      </c>
      <c r="AV416" s="34">
        <f t="shared" si="266"/>
        <v>301</v>
      </c>
      <c r="AW416" s="34">
        <f t="shared" si="266"/>
        <v>31</v>
      </c>
      <c r="AX416" s="34">
        <f t="shared" si="266"/>
        <v>275</v>
      </c>
      <c r="AY416" s="34">
        <f t="shared" si="266"/>
        <v>0</v>
      </c>
      <c r="AZ416" s="34">
        <f t="shared" si="266"/>
        <v>0</v>
      </c>
      <c r="BA416" s="34">
        <f t="shared" si="266"/>
        <v>0</v>
      </c>
      <c r="BB416" s="34">
        <f t="shared" si="266"/>
        <v>0</v>
      </c>
      <c r="BC416" s="34">
        <f t="shared" si="266"/>
        <v>0</v>
      </c>
      <c r="BD416" s="34">
        <f t="shared" si="266"/>
        <v>306</v>
      </c>
      <c r="BE416" s="34">
        <f t="shared" si="253"/>
        <v>92.9</v>
      </c>
      <c r="BF416" s="34">
        <f t="shared" si="253"/>
        <v>885</v>
      </c>
      <c r="BG416" s="34">
        <f t="shared" si="253"/>
        <v>80</v>
      </c>
      <c r="BH416" s="34">
        <f t="shared" si="253"/>
        <v>390</v>
      </c>
      <c r="BI416" s="34">
        <f t="shared" si="253"/>
        <v>0</v>
      </c>
      <c r="BJ416" s="34">
        <f t="shared" si="264"/>
        <v>603</v>
      </c>
      <c r="BK416" s="34">
        <f t="shared" si="254"/>
        <v>0</v>
      </c>
      <c r="BL416" s="34">
        <f t="shared" si="254"/>
        <v>2050.9</v>
      </c>
    </row>
    <row r="417" spans="1:65" ht="46.5" hidden="1" customHeight="1" x14ac:dyDescent="0.2">
      <c r="A417" s="298" t="s">
        <v>1261</v>
      </c>
      <c r="B417" s="299" t="s">
        <v>1259</v>
      </c>
      <c r="C417" s="1546" t="s">
        <v>1262</v>
      </c>
      <c r="D417" s="1550" t="s">
        <v>1263</v>
      </c>
      <c r="E417" s="1550" t="s">
        <v>1264</v>
      </c>
      <c r="F417" s="1550">
        <v>2015</v>
      </c>
      <c r="G417" s="1550">
        <v>6.49</v>
      </c>
      <c r="H417" s="1550" t="s">
        <v>1265</v>
      </c>
      <c r="I417" s="1425"/>
      <c r="J417" s="1425"/>
      <c r="K417" s="1425" t="s">
        <v>1266</v>
      </c>
      <c r="L417" s="301" t="s">
        <v>1140</v>
      </c>
      <c r="M417" s="1425" t="s">
        <v>497</v>
      </c>
      <c r="N417" s="476"/>
      <c r="O417" s="1425" t="s">
        <v>73</v>
      </c>
      <c r="P417" s="1425"/>
      <c r="Q417" s="16" t="s">
        <v>1267</v>
      </c>
      <c r="R417" s="302" t="s">
        <v>1268</v>
      </c>
      <c r="S417" s="303">
        <v>2015</v>
      </c>
      <c r="T417" s="303">
        <v>0</v>
      </c>
      <c r="U417" s="303">
        <v>1</v>
      </c>
      <c r="V417" s="303">
        <v>1</v>
      </c>
      <c r="W417" s="303">
        <v>1</v>
      </c>
      <c r="X417" s="303">
        <v>1</v>
      </c>
      <c r="Y417" s="303">
        <v>1</v>
      </c>
      <c r="Z417" s="481">
        <v>0</v>
      </c>
      <c r="AA417" s="482"/>
      <c r="AB417" s="481">
        <v>0</v>
      </c>
      <c r="AC417" s="481">
        <v>0</v>
      </c>
      <c r="AD417" s="481">
        <v>0</v>
      </c>
      <c r="AE417" s="481">
        <v>147</v>
      </c>
      <c r="AF417" s="481">
        <v>0</v>
      </c>
      <c r="AG417" s="481">
        <f t="shared" ref="AG417:AG440" si="267">SUM(Z417:AF417)</f>
        <v>147</v>
      </c>
      <c r="AH417" s="548">
        <v>0</v>
      </c>
      <c r="AI417" s="548">
        <v>250</v>
      </c>
      <c r="AJ417" s="548">
        <v>0</v>
      </c>
      <c r="AK417" s="548">
        <v>0</v>
      </c>
      <c r="AL417" s="548">
        <v>0</v>
      </c>
      <c r="AM417" s="548">
        <v>0</v>
      </c>
      <c r="AN417" s="548">
        <f t="shared" ref="AN417:AN430" si="268">SUM(AH417:AM417)</f>
        <v>250</v>
      </c>
      <c r="AO417" s="481">
        <v>0</v>
      </c>
      <c r="AP417" s="481">
        <v>255</v>
      </c>
      <c r="AQ417" s="481">
        <v>0</v>
      </c>
      <c r="AR417" s="481">
        <v>0</v>
      </c>
      <c r="AS417" s="481">
        <v>0</v>
      </c>
      <c r="AT417" s="481">
        <v>0</v>
      </c>
      <c r="AU417" s="481">
        <v>0</v>
      </c>
      <c r="AV417" s="481">
        <f t="shared" ref="AV417:AV428" si="269">SUM(AO417:AU417)</f>
        <v>255</v>
      </c>
      <c r="AW417" s="548"/>
      <c r="AX417" s="548">
        <v>260</v>
      </c>
      <c r="AY417" s="548"/>
      <c r="AZ417" s="548"/>
      <c r="BA417" s="548"/>
      <c r="BB417" s="548"/>
      <c r="BC417" s="548"/>
      <c r="BD417" s="548">
        <f t="shared" ref="BD417:BD440" si="270">SUM(AW417:BC417)</f>
        <v>260</v>
      </c>
      <c r="BE417" s="42">
        <f t="shared" si="253"/>
        <v>0</v>
      </c>
      <c r="BF417" s="42">
        <f t="shared" si="253"/>
        <v>765</v>
      </c>
      <c r="BG417" s="42">
        <f t="shared" si="253"/>
        <v>0</v>
      </c>
      <c r="BH417" s="42">
        <f t="shared" si="253"/>
        <v>0</v>
      </c>
      <c r="BI417" s="42">
        <f t="shared" si="253"/>
        <v>0</v>
      </c>
      <c r="BJ417" s="42">
        <f t="shared" si="264"/>
        <v>147</v>
      </c>
      <c r="BK417" s="42">
        <f t="shared" si="254"/>
        <v>0</v>
      </c>
      <c r="BL417" s="42">
        <f t="shared" si="254"/>
        <v>912</v>
      </c>
      <c r="BM417" s="3"/>
    </row>
    <row r="418" spans="1:65" ht="43.5" hidden="1" customHeight="1" x14ac:dyDescent="0.2">
      <c r="A418" s="298" t="s">
        <v>1261</v>
      </c>
      <c r="B418" s="299" t="s">
        <v>1259</v>
      </c>
      <c r="C418" s="1547"/>
      <c r="D418" s="1551"/>
      <c r="E418" s="1551"/>
      <c r="F418" s="1551"/>
      <c r="G418" s="1551"/>
      <c r="H418" s="1551"/>
      <c r="I418" s="1425"/>
      <c r="J418" s="1425"/>
      <c r="K418" s="1425" t="s">
        <v>1269</v>
      </c>
      <c r="L418" s="301" t="s">
        <v>1140</v>
      </c>
      <c r="M418" s="1425" t="s">
        <v>497</v>
      </c>
      <c r="N418" s="476"/>
      <c r="O418" s="1425" t="s">
        <v>73</v>
      </c>
      <c r="P418" s="1425"/>
      <c r="Q418" s="16" t="s">
        <v>1270</v>
      </c>
      <c r="R418" s="302" t="s">
        <v>1271</v>
      </c>
      <c r="S418" s="303">
        <v>2015</v>
      </c>
      <c r="T418" s="303">
        <v>0</v>
      </c>
      <c r="U418" s="303">
        <v>12</v>
      </c>
      <c r="V418" s="303">
        <v>12</v>
      </c>
      <c r="W418" s="303">
        <v>12</v>
      </c>
      <c r="X418" s="303">
        <v>12</v>
      </c>
      <c r="Y418" s="303">
        <v>12</v>
      </c>
      <c r="Z418" s="481">
        <v>0</v>
      </c>
      <c r="AA418" s="491">
        <v>7.5</v>
      </c>
      <c r="AB418" s="481">
        <v>0</v>
      </c>
      <c r="AC418" s="481">
        <v>0</v>
      </c>
      <c r="AD418" s="481">
        <v>0</v>
      </c>
      <c r="AE418" s="481">
        <v>0</v>
      </c>
      <c r="AF418" s="481">
        <v>0</v>
      </c>
      <c r="AG418" s="481">
        <f t="shared" si="267"/>
        <v>7.5</v>
      </c>
      <c r="AH418" s="491">
        <v>0.5</v>
      </c>
      <c r="AI418" s="548">
        <v>0</v>
      </c>
      <c r="AJ418" s="548">
        <v>0</v>
      </c>
      <c r="AK418" s="548">
        <v>0</v>
      </c>
      <c r="AL418" s="548">
        <v>0</v>
      </c>
      <c r="AM418" s="548">
        <v>0</v>
      </c>
      <c r="AN418" s="548">
        <f t="shared" si="268"/>
        <v>0.5</v>
      </c>
      <c r="AO418" s="481">
        <v>0</v>
      </c>
      <c r="AP418" s="491">
        <v>1</v>
      </c>
      <c r="AQ418" s="481">
        <v>0</v>
      </c>
      <c r="AR418" s="481">
        <v>0</v>
      </c>
      <c r="AS418" s="481">
        <v>0</v>
      </c>
      <c r="AT418" s="481">
        <v>0</v>
      </c>
      <c r="AU418" s="481">
        <v>0</v>
      </c>
      <c r="AV418" s="481">
        <f t="shared" si="269"/>
        <v>1</v>
      </c>
      <c r="AW418" s="491">
        <v>1</v>
      </c>
      <c r="AX418" s="548"/>
      <c r="AY418" s="548"/>
      <c r="AZ418" s="548"/>
      <c r="BA418" s="548"/>
      <c r="BB418" s="548"/>
      <c r="BC418" s="548"/>
      <c r="BD418" s="548">
        <f t="shared" si="270"/>
        <v>1</v>
      </c>
      <c r="BE418" s="42">
        <f t="shared" si="253"/>
        <v>1.5</v>
      </c>
      <c r="BF418" s="42">
        <f t="shared" si="253"/>
        <v>8.5</v>
      </c>
      <c r="BG418" s="42">
        <f t="shared" si="253"/>
        <v>0</v>
      </c>
      <c r="BH418" s="42">
        <f t="shared" si="253"/>
        <v>0</v>
      </c>
      <c r="BI418" s="42">
        <f t="shared" si="253"/>
        <v>0</v>
      </c>
      <c r="BJ418" s="42">
        <f t="shared" si="264"/>
        <v>0</v>
      </c>
      <c r="BK418" s="42">
        <f t="shared" si="254"/>
        <v>0</v>
      </c>
      <c r="BL418" s="42">
        <f t="shared" si="254"/>
        <v>10</v>
      </c>
      <c r="BM418" s="3"/>
    </row>
    <row r="419" spans="1:65" ht="47.25" hidden="1" customHeight="1" x14ac:dyDescent="0.2">
      <c r="A419" s="298" t="s">
        <v>1261</v>
      </c>
      <c r="B419" s="299" t="s">
        <v>1259</v>
      </c>
      <c r="C419" s="1547"/>
      <c r="D419" s="1551"/>
      <c r="E419" s="1551"/>
      <c r="F419" s="1551"/>
      <c r="G419" s="1551"/>
      <c r="H419" s="1551"/>
      <c r="I419" s="1425"/>
      <c r="J419" s="1425"/>
      <c r="K419" s="1425" t="s">
        <v>1272</v>
      </c>
      <c r="L419" s="301" t="s">
        <v>1140</v>
      </c>
      <c r="M419" s="1425" t="s">
        <v>497</v>
      </c>
      <c r="N419" s="476"/>
      <c r="O419" s="1425" t="s">
        <v>47</v>
      </c>
      <c r="P419" s="1425"/>
      <c r="Q419" s="16" t="s">
        <v>1273</v>
      </c>
      <c r="R419" s="302" t="s">
        <v>1274</v>
      </c>
      <c r="S419" s="303">
        <v>2015</v>
      </c>
      <c r="T419" s="303">
        <v>0</v>
      </c>
      <c r="U419" s="303">
        <v>1</v>
      </c>
      <c r="V419" s="303">
        <v>1</v>
      </c>
      <c r="W419" s="303">
        <v>1</v>
      </c>
      <c r="X419" s="303">
        <v>1</v>
      </c>
      <c r="Y419" s="303">
        <v>4</v>
      </c>
      <c r="Z419" s="481">
        <v>0</v>
      </c>
      <c r="AA419" s="491">
        <v>7.5</v>
      </c>
      <c r="AB419" s="481">
        <v>0</v>
      </c>
      <c r="AC419" s="481">
        <v>0</v>
      </c>
      <c r="AD419" s="481">
        <v>0</v>
      </c>
      <c r="AE419" s="481">
        <v>0</v>
      </c>
      <c r="AF419" s="481">
        <v>0</v>
      </c>
      <c r="AG419" s="481">
        <f t="shared" si="267"/>
        <v>7.5</v>
      </c>
      <c r="AH419" s="491">
        <v>0.5</v>
      </c>
      <c r="AI419" s="548">
        <v>0</v>
      </c>
      <c r="AJ419" s="548">
        <v>0</v>
      </c>
      <c r="AK419" s="548">
        <v>0</v>
      </c>
      <c r="AL419" s="548">
        <v>0</v>
      </c>
      <c r="AM419" s="548">
        <v>0</v>
      </c>
      <c r="AN419" s="548">
        <f t="shared" si="268"/>
        <v>0.5</v>
      </c>
      <c r="AO419" s="481">
        <v>0</v>
      </c>
      <c r="AP419" s="491">
        <v>1</v>
      </c>
      <c r="AQ419" s="481">
        <v>0</v>
      </c>
      <c r="AR419" s="481">
        <v>0</v>
      </c>
      <c r="AS419" s="481">
        <v>0</v>
      </c>
      <c r="AT419" s="481">
        <v>0</v>
      </c>
      <c r="AU419" s="481">
        <v>0</v>
      </c>
      <c r="AV419" s="481">
        <f t="shared" si="269"/>
        <v>1</v>
      </c>
      <c r="AW419" s="491">
        <v>1</v>
      </c>
      <c r="AX419" s="548"/>
      <c r="AY419" s="548"/>
      <c r="AZ419" s="548"/>
      <c r="BA419" s="548"/>
      <c r="BB419" s="548"/>
      <c r="BC419" s="548"/>
      <c r="BD419" s="548">
        <f t="shared" si="270"/>
        <v>1</v>
      </c>
      <c r="BE419" s="42">
        <f t="shared" si="253"/>
        <v>1.5</v>
      </c>
      <c r="BF419" s="42">
        <f t="shared" si="253"/>
        <v>8.5</v>
      </c>
      <c r="BG419" s="42">
        <f t="shared" si="253"/>
        <v>0</v>
      </c>
      <c r="BH419" s="42">
        <f t="shared" si="253"/>
        <v>0</v>
      </c>
      <c r="BI419" s="42">
        <f t="shared" si="253"/>
        <v>0</v>
      </c>
      <c r="BJ419" s="42">
        <f t="shared" si="264"/>
        <v>0</v>
      </c>
      <c r="BK419" s="42">
        <f t="shared" si="254"/>
        <v>0</v>
      </c>
      <c r="BL419" s="42">
        <f t="shared" si="254"/>
        <v>10</v>
      </c>
      <c r="BM419" s="3"/>
    </row>
    <row r="420" spans="1:65" ht="45.75" hidden="1" customHeight="1" x14ac:dyDescent="0.2">
      <c r="A420" s="298" t="s">
        <v>1261</v>
      </c>
      <c r="B420" s="299" t="s">
        <v>1259</v>
      </c>
      <c r="C420" s="1547"/>
      <c r="D420" s="1551"/>
      <c r="E420" s="1551"/>
      <c r="F420" s="1551"/>
      <c r="G420" s="1551"/>
      <c r="H420" s="1551"/>
      <c r="I420" s="1425"/>
      <c r="J420" s="1425"/>
      <c r="K420" s="1425" t="s">
        <v>1275</v>
      </c>
      <c r="L420" s="301" t="s">
        <v>1140</v>
      </c>
      <c r="M420" s="1425" t="s">
        <v>497</v>
      </c>
      <c r="N420" s="476"/>
      <c r="O420" s="1425" t="s">
        <v>73</v>
      </c>
      <c r="P420" s="1425"/>
      <c r="Q420" s="16" t="s">
        <v>1276</v>
      </c>
      <c r="R420" s="302" t="s">
        <v>1277</v>
      </c>
      <c r="S420" s="303">
        <v>2015</v>
      </c>
      <c r="T420" s="303">
        <v>0</v>
      </c>
      <c r="U420" s="303">
        <v>2</v>
      </c>
      <c r="V420" s="303">
        <v>2</v>
      </c>
      <c r="W420" s="303">
        <v>2</v>
      </c>
      <c r="X420" s="303">
        <v>2</v>
      </c>
      <c r="Y420" s="303">
        <v>2</v>
      </c>
      <c r="Z420" s="491">
        <v>9</v>
      </c>
      <c r="AA420" s="481">
        <v>0</v>
      </c>
      <c r="AB420" s="481">
        <v>0</v>
      </c>
      <c r="AC420" s="481">
        <v>0</v>
      </c>
      <c r="AD420" s="481">
        <v>0</v>
      </c>
      <c r="AE420" s="481">
        <v>0</v>
      </c>
      <c r="AF420" s="481">
        <v>0</v>
      </c>
      <c r="AG420" s="481">
        <f t="shared" si="267"/>
        <v>9</v>
      </c>
      <c r="AH420" s="491">
        <v>0.5</v>
      </c>
      <c r="AI420" s="548">
        <v>0</v>
      </c>
      <c r="AJ420" s="548">
        <v>0</v>
      </c>
      <c r="AK420" s="548">
        <v>0</v>
      </c>
      <c r="AL420" s="548">
        <v>0</v>
      </c>
      <c r="AM420" s="548">
        <v>0</v>
      </c>
      <c r="AN420" s="548">
        <f t="shared" si="268"/>
        <v>0.5</v>
      </c>
      <c r="AO420" s="481">
        <v>0</v>
      </c>
      <c r="AP420" s="491">
        <v>1</v>
      </c>
      <c r="AQ420" s="481">
        <v>0</v>
      </c>
      <c r="AR420" s="481">
        <v>0</v>
      </c>
      <c r="AS420" s="481">
        <v>0</v>
      </c>
      <c r="AT420" s="481">
        <v>0</v>
      </c>
      <c r="AU420" s="481">
        <v>0</v>
      </c>
      <c r="AV420" s="481">
        <f t="shared" si="269"/>
        <v>1</v>
      </c>
      <c r="AW420" s="491">
        <v>1</v>
      </c>
      <c r="AX420" s="548">
        <v>0</v>
      </c>
      <c r="AY420" s="548">
        <v>0</v>
      </c>
      <c r="AZ420" s="548">
        <v>0</v>
      </c>
      <c r="BA420" s="548">
        <v>0</v>
      </c>
      <c r="BB420" s="548">
        <v>0</v>
      </c>
      <c r="BC420" s="548">
        <v>0</v>
      </c>
      <c r="BD420" s="548">
        <f t="shared" si="270"/>
        <v>1</v>
      </c>
      <c r="BE420" s="42">
        <f t="shared" si="253"/>
        <v>10.5</v>
      </c>
      <c r="BF420" s="42">
        <f t="shared" si="253"/>
        <v>1</v>
      </c>
      <c r="BG420" s="42">
        <f t="shared" si="253"/>
        <v>0</v>
      </c>
      <c r="BH420" s="42">
        <f t="shared" si="253"/>
        <v>0</v>
      </c>
      <c r="BI420" s="42">
        <f t="shared" si="253"/>
        <v>0</v>
      </c>
      <c r="BJ420" s="42">
        <f t="shared" si="264"/>
        <v>0</v>
      </c>
      <c r="BK420" s="42">
        <f t="shared" si="254"/>
        <v>0</v>
      </c>
      <c r="BL420" s="42">
        <f t="shared" si="254"/>
        <v>11.5</v>
      </c>
      <c r="BM420" s="3"/>
    </row>
    <row r="421" spans="1:65" ht="31.5" hidden="1" customHeight="1" x14ac:dyDescent="0.2">
      <c r="A421" s="298" t="s">
        <v>1261</v>
      </c>
      <c r="B421" s="299" t="s">
        <v>1259</v>
      </c>
      <c r="C421" s="1547"/>
      <c r="D421" s="1551"/>
      <c r="E421" s="1551"/>
      <c r="F421" s="1551"/>
      <c r="G421" s="1551"/>
      <c r="H421" s="1551"/>
      <c r="I421" s="1425"/>
      <c r="J421" s="1425"/>
      <c r="K421" s="1425" t="s">
        <v>1278</v>
      </c>
      <c r="L421" s="301" t="s">
        <v>1140</v>
      </c>
      <c r="M421" s="1425" t="s">
        <v>497</v>
      </c>
      <c r="N421" s="476"/>
      <c r="O421" s="1425" t="s">
        <v>73</v>
      </c>
      <c r="P421" s="1425"/>
      <c r="Q421" s="16" t="s">
        <v>1279</v>
      </c>
      <c r="R421" s="302" t="s">
        <v>1280</v>
      </c>
      <c r="S421" s="303">
        <v>2015</v>
      </c>
      <c r="T421" s="303">
        <v>0</v>
      </c>
      <c r="U421" s="303">
        <v>6</v>
      </c>
      <c r="V421" s="303">
        <v>6</v>
      </c>
      <c r="W421" s="303">
        <v>6</v>
      </c>
      <c r="X421" s="303">
        <v>6</v>
      </c>
      <c r="Y421" s="303">
        <v>6</v>
      </c>
      <c r="Z421" s="491">
        <v>0.9</v>
      </c>
      <c r="AA421" s="481">
        <v>0</v>
      </c>
      <c r="AB421" s="481">
        <v>0</v>
      </c>
      <c r="AC421" s="481">
        <v>0</v>
      </c>
      <c r="AD421" s="481">
        <v>0</v>
      </c>
      <c r="AE421" s="481">
        <v>0</v>
      </c>
      <c r="AF421" s="481">
        <v>0</v>
      </c>
      <c r="AG421" s="481">
        <f t="shared" si="267"/>
        <v>0.9</v>
      </c>
      <c r="AH421" s="491">
        <v>0.5</v>
      </c>
      <c r="AI421" s="548">
        <v>0</v>
      </c>
      <c r="AJ421" s="716">
        <v>10</v>
      </c>
      <c r="AK421" s="548">
        <v>0</v>
      </c>
      <c r="AL421" s="548">
        <v>0</v>
      </c>
      <c r="AM421" s="548">
        <v>0</v>
      </c>
      <c r="AN421" s="548">
        <f t="shared" si="268"/>
        <v>10.5</v>
      </c>
      <c r="AO421" s="481">
        <v>0</v>
      </c>
      <c r="AP421" s="491">
        <v>1</v>
      </c>
      <c r="AQ421" s="481">
        <v>0</v>
      </c>
      <c r="AR421" s="481">
        <v>0</v>
      </c>
      <c r="AS421" s="481">
        <v>0</v>
      </c>
      <c r="AT421" s="481">
        <v>0</v>
      </c>
      <c r="AU421" s="481">
        <v>0</v>
      </c>
      <c r="AV421" s="481">
        <f t="shared" si="269"/>
        <v>1</v>
      </c>
      <c r="AW421" s="491">
        <v>1</v>
      </c>
      <c r="AX421" s="548">
        <v>0</v>
      </c>
      <c r="AY421" s="548">
        <v>0</v>
      </c>
      <c r="AZ421" s="548">
        <v>0</v>
      </c>
      <c r="BA421" s="548">
        <v>0</v>
      </c>
      <c r="BB421" s="548">
        <v>0</v>
      </c>
      <c r="BC421" s="548">
        <v>0</v>
      </c>
      <c r="BD421" s="548">
        <f t="shared" si="270"/>
        <v>1</v>
      </c>
      <c r="BE421" s="42">
        <f t="shared" si="253"/>
        <v>2.4</v>
      </c>
      <c r="BF421" s="42">
        <f t="shared" si="253"/>
        <v>1</v>
      </c>
      <c r="BG421" s="42">
        <f t="shared" si="253"/>
        <v>10</v>
      </c>
      <c r="BH421" s="42">
        <f t="shared" si="253"/>
        <v>0</v>
      </c>
      <c r="BI421" s="42">
        <f t="shared" si="253"/>
        <v>0</v>
      </c>
      <c r="BJ421" s="42">
        <f t="shared" si="264"/>
        <v>0</v>
      </c>
      <c r="BK421" s="42">
        <f t="shared" si="254"/>
        <v>0</v>
      </c>
      <c r="BL421" s="42">
        <f t="shared" si="254"/>
        <v>13.4</v>
      </c>
      <c r="BM421" s="3"/>
    </row>
    <row r="422" spans="1:65" s="38" customFormat="1" ht="44.25" hidden="1" customHeight="1" x14ac:dyDescent="0.2">
      <c r="A422" s="298" t="s">
        <v>1261</v>
      </c>
      <c r="B422" s="299" t="s">
        <v>1259</v>
      </c>
      <c r="C422" s="1547"/>
      <c r="D422" s="1551"/>
      <c r="E422" s="1551"/>
      <c r="F422" s="1551"/>
      <c r="G422" s="1551"/>
      <c r="H422" s="1551"/>
      <c r="I422" s="1432"/>
      <c r="J422" s="1432"/>
      <c r="K422" s="1425" t="s">
        <v>1281</v>
      </c>
      <c r="L422" s="301" t="s">
        <v>1140</v>
      </c>
      <c r="M422" s="1425" t="s">
        <v>497</v>
      </c>
      <c r="N422" s="476"/>
      <c r="O422" s="1425" t="s">
        <v>73</v>
      </c>
      <c r="P422" s="1425"/>
      <c r="Q422" s="71" t="s">
        <v>1282</v>
      </c>
      <c r="R422" s="345" t="s">
        <v>1283</v>
      </c>
      <c r="S422" s="346">
        <v>2015</v>
      </c>
      <c r="T422" s="346">
        <v>0</v>
      </c>
      <c r="U422" s="346">
        <v>10</v>
      </c>
      <c r="V422" s="346">
        <v>10</v>
      </c>
      <c r="W422" s="346">
        <v>10</v>
      </c>
      <c r="X422" s="346">
        <v>10</v>
      </c>
      <c r="Y422" s="346">
        <v>10</v>
      </c>
      <c r="Z422" s="579">
        <v>0</v>
      </c>
      <c r="AA422" s="579">
        <v>8</v>
      </c>
      <c r="AB422" s="579">
        <v>0</v>
      </c>
      <c r="AC422" s="579">
        <v>0</v>
      </c>
      <c r="AD422" s="579">
        <v>0</v>
      </c>
      <c r="AE422" s="579">
        <v>0</v>
      </c>
      <c r="AF422" s="579">
        <v>0</v>
      </c>
      <c r="AG422" s="579">
        <f t="shared" si="267"/>
        <v>8</v>
      </c>
      <c r="AH422" s="589">
        <v>8</v>
      </c>
      <c r="AI422" s="589">
        <v>0</v>
      </c>
      <c r="AJ422" s="589">
        <v>0</v>
      </c>
      <c r="AK422" s="589">
        <v>0</v>
      </c>
      <c r="AL422" s="589">
        <v>0</v>
      </c>
      <c r="AM422" s="589">
        <v>0</v>
      </c>
      <c r="AN422" s="589">
        <f t="shared" si="268"/>
        <v>8</v>
      </c>
      <c r="AO422" s="579">
        <v>8</v>
      </c>
      <c r="AP422" s="579">
        <v>0</v>
      </c>
      <c r="AQ422" s="579">
        <v>0</v>
      </c>
      <c r="AR422" s="579">
        <v>0</v>
      </c>
      <c r="AS422" s="579">
        <v>0</v>
      </c>
      <c r="AT422" s="579">
        <v>0</v>
      </c>
      <c r="AU422" s="579">
        <v>0</v>
      </c>
      <c r="AV422" s="579">
        <f t="shared" si="269"/>
        <v>8</v>
      </c>
      <c r="AW422" s="589">
        <v>8</v>
      </c>
      <c r="AX422" s="589">
        <v>0</v>
      </c>
      <c r="AY422" s="589">
        <v>0</v>
      </c>
      <c r="AZ422" s="589">
        <v>0</v>
      </c>
      <c r="BA422" s="589">
        <v>0</v>
      </c>
      <c r="BB422" s="589">
        <v>0</v>
      </c>
      <c r="BC422" s="589">
        <v>0</v>
      </c>
      <c r="BD422" s="589">
        <f t="shared" si="270"/>
        <v>8</v>
      </c>
      <c r="BE422" s="61">
        <f t="shared" si="253"/>
        <v>24</v>
      </c>
      <c r="BF422" s="61">
        <f t="shared" si="253"/>
        <v>8</v>
      </c>
      <c r="BG422" s="61">
        <f t="shared" si="253"/>
        <v>0</v>
      </c>
      <c r="BH422" s="61">
        <f t="shared" si="253"/>
        <v>0</v>
      </c>
      <c r="BI422" s="61">
        <f t="shared" si="253"/>
        <v>0</v>
      </c>
      <c r="BJ422" s="61">
        <f t="shared" si="264"/>
        <v>0</v>
      </c>
      <c r="BK422" s="61">
        <f t="shared" si="254"/>
        <v>0</v>
      </c>
      <c r="BL422" s="61">
        <f t="shared" si="254"/>
        <v>32</v>
      </c>
    </row>
    <row r="423" spans="1:65" ht="46.5" hidden="1" customHeight="1" x14ac:dyDescent="0.2">
      <c r="A423" s="298" t="s">
        <v>1261</v>
      </c>
      <c r="B423" s="299" t="s">
        <v>1259</v>
      </c>
      <c r="C423" s="1547"/>
      <c r="D423" s="1551"/>
      <c r="E423" s="1551"/>
      <c r="F423" s="1551"/>
      <c r="G423" s="1551"/>
      <c r="H423" s="1551"/>
      <c r="I423" s="1425"/>
      <c r="J423" s="1425"/>
      <c r="K423" s="1425" t="s">
        <v>1284</v>
      </c>
      <c r="L423" s="301" t="s">
        <v>1140</v>
      </c>
      <c r="M423" s="1425" t="s">
        <v>497</v>
      </c>
      <c r="N423" s="476"/>
      <c r="O423" s="1425" t="s">
        <v>73</v>
      </c>
      <c r="P423" s="1425"/>
      <c r="Q423" s="16" t="s">
        <v>1285</v>
      </c>
      <c r="R423" s="302" t="s">
        <v>1286</v>
      </c>
      <c r="S423" s="303">
        <v>2015</v>
      </c>
      <c r="T423" s="303">
        <v>1</v>
      </c>
      <c r="U423" s="303">
        <v>1</v>
      </c>
      <c r="V423" s="303">
        <v>1</v>
      </c>
      <c r="W423" s="303">
        <v>1</v>
      </c>
      <c r="X423" s="303">
        <v>1</v>
      </c>
      <c r="Y423" s="303">
        <v>1</v>
      </c>
      <c r="Z423" s="481">
        <v>20</v>
      </c>
      <c r="AA423" s="481">
        <v>4</v>
      </c>
      <c r="AB423" s="481">
        <v>0</v>
      </c>
      <c r="AC423" s="481">
        <v>0</v>
      </c>
      <c r="AD423" s="481">
        <v>0</v>
      </c>
      <c r="AE423" s="481">
        <v>6</v>
      </c>
      <c r="AF423" s="481">
        <v>0</v>
      </c>
      <c r="AG423" s="481">
        <f t="shared" si="267"/>
        <v>30</v>
      </c>
      <c r="AH423" s="548">
        <v>0</v>
      </c>
      <c r="AI423" s="548">
        <v>10</v>
      </c>
      <c r="AJ423" s="548">
        <v>0</v>
      </c>
      <c r="AK423" s="548">
        <v>0</v>
      </c>
      <c r="AL423" s="548">
        <v>0</v>
      </c>
      <c r="AM423" s="548">
        <v>0</v>
      </c>
      <c r="AN423" s="548">
        <f t="shared" si="268"/>
        <v>10</v>
      </c>
      <c r="AO423" s="481">
        <v>0</v>
      </c>
      <c r="AP423" s="481">
        <v>10</v>
      </c>
      <c r="AQ423" s="481">
        <v>0</v>
      </c>
      <c r="AR423" s="481">
        <v>0</v>
      </c>
      <c r="AS423" s="481">
        <v>0</v>
      </c>
      <c r="AT423" s="481">
        <v>0</v>
      </c>
      <c r="AU423" s="481">
        <v>0</v>
      </c>
      <c r="AV423" s="481">
        <f t="shared" si="269"/>
        <v>10</v>
      </c>
      <c r="AW423" s="548">
        <v>0</v>
      </c>
      <c r="AX423" s="548">
        <v>10</v>
      </c>
      <c r="AY423" s="548">
        <v>0</v>
      </c>
      <c r="AZ423" s="548">
        <v>0</v>
      </c>
      <c r="BA423" s="548">
        <v>0</v>
      </c>
      <c r="BB423" s="548">
        <v>0</v>
      </c>
      <c r="BC423" s="548">
        <v>0</v>
      </c>
      <c r="BD423" s="548">
        <f t="shared" si="270"/>
        <v>10</v>
      </c>
      <c r="BE423" s="42">
        <f t="shared" si="253"/>
        <v>20</v>
      </c>
      <c r="BF423" s="42">
        <f t="shared" si="253"/>
        <v>34</v>
      </c>
      <c r="BG423" s="42">
        <f t="shared" si="253"/>
        <v>0</v>
      </c>
      <c r="BH423" s="42">
        <f t="shared" si="253"/>
        <v>0</v>
      </c>
      <c r="BI423" s="42">
        <f t="shared" si="253"/>
        <v>0</v>
      </c>
      <c r="BJ423" s="42">
        <f t="shared" si="264"/>
        <v>6</v>
      </c>
      <c r="BK423" s="42">
        <f t="shared" si="254"/>
        <v>0</v>
      </c>
      <c r="BL423" s="42">
        <f t="shared" si="254"/>
        <v>60</v>
      </c>
      <c r="BM423" s="3"/>
    </row>
    <row r="424" spans="1:65" ht="36" hidden="1" customHeight="1" x14ac:dyDescent="0.2">
      <c r="A424" s="298" t="s">
        <v>1261</v>
      </c>
      <c r="B424" s="299" t="s">
        <v>1259</v>
      </c>
      <c r="C424" s="1547"/>
      <c r="D424" s="1551"/>
      <c r="E424" s="1551"/>
      <c r="F424" s="1551"/>
      <c r="G424" s="1551"/>
      <c r="H424" s="1551"/>
      <c r="I424" s="1425"/>
      <c r="J424" s="1425"/>
      <c r="K424" s="1425" t="s">
        <v>1287</v>
      </c>
      <c r="L424" s="301" t="s">
        <v>1140</v>
      </c>
      <c r="M424" s="1425" t="s">
        <v>497</v>
      </c>
      <c r="N424" s="476"/>
      <c r="O424" s="1425" t="s">
        <v>47</v>
      </c>
      <c r="P424" s="1425"/>
      <c r="Q424" s="16" t="s">
        <v>1288</v>
      </c>
      <c r="R424" s="302" t="s">
        <v>1289</v>
      </c>
      <c r="S424" s="303">
        <v>2015</v>
      </c>
      <c r="T424" s="303">
        <v>0</v>
      </c>
      <c r="U424" s="303">
        <v>10</v>
      </c>
      <c r="V424" s="303">
        <v>0</v>
      </c>
      <c r="W424" s="303">
        <v>0</v>
      </c>
      <c r="X424" s="303">
        <v>0</v>
      </c>
      <c r="Y424" s="303">
        <v>10</v>
      </c>
      <c r="Z424" s="481">
        <v>0</v>
      </c>
      <c r="AA424" s="482"/>
      <c r="AB424" s="481">
        <v>0</v>
      </c>
      <c r="AC424" s="481">
        <v>0</v>
      </c>
      <c r="AD424" s="481">
        <v>0</v>
      </c>
      <c r="AE424" s="481">
        <v>150</v>
      </c>
      <c r="AF424" s="481">
        <v>0</v>
      </c>
      <c r="AG424" s="481">
        <f t="shared" si="267"/>
        <v>150</v>
      </c>
      <c r="AH424" s="548">
        <v>0</v>
      </c>
      <c r="AI424" s="548">
        <v>0</v>
      </c>
      <c r="AJ424" s="548">
        <v>0</v>
      </c>
      <c r="AK424" s="548">
        <v>0</v>
      </c>
      <c r="AL424" s="548">
        <v>0</v>
      </c>
      <c r="AM424" s="548">
        <v>0</v>
      </c>
      <c r="AN424" s="548">
        <f t="shared" si="268"/>
        <v>0</v>
      </c>
      <c r="AO424" s="481">
        <v>0</v>
      </c>
      <c r="AP424" s="481">
        <v>0</v>
      </c>
      <c r="AQ424" s="481">
        <v>0</v>
      </c>
      <c r="AR424" s="481">
        <v>0</v>
      </c>
      <c r="AS424" s="481">
        <v>0</v>
      </c>
      <c r="AT424" s="481">
        <v>0</v>
      </c>
      <c r="AU424" s="481">
        <v>0</v>
      </c>
      <c r="AV424" s="481">
        <f t="shared" si="269"/>
        <v>0</v>
      </c>
      <c r="AW424" s="548">
        <v>0</v>
      </c>
      <c r="AX424" s="548">
        <v>0</v>
      </c>
      <c r="AY424" s="548">
        <v>0</v>
      </c>
      <c r="AZ424" s="548">
        <v>0</v>
      </c>
      <c r="BA424" s="548">
        <v>0</v>
      </c>
      <c r="BB424" s="548">
        <v>0</v>
      </c>
      <c r="BC424" s="548">
        <v>0</v>
      </c>
      <c r="BD424" s="548">
        <f t="shared" si="270"/>
        <v>0</v>
      </c>
      <c r="BE424" s="42">
        <f t="shared" si="253"/>
        <v>0</v>
      </c>
      <c r="BF424" s="42">
        <f t="shared" si="253"/>
        <v>0</v>
      </c>
      <c r="BG424" s="42">
        <f t="shared" si="253"/>
        <v>0</v>
      </c>
      <c r="BH424" s="42">
        <f t="shared" si="253"/>
        <v>0</v>
      </c>
      <c r="BI424" s="42">
        <f t="shared" si="253"/>
        <v>0</v>
      </c>
      <c r="BJ424" s="42">
        <f t="shared" si="264"/>
        <v>150</v>
      </c>
      <c r="BK424" s="42">
        <f t="shared" si="254"/>
        <v>0</v>
      </c>
      <c r="BL424" s="42">
        <f t="shared" si="254"/>
        <v>150</v>
      </c>
      <c r="BM424" s="3"/>
    </row>
    <row r="425" spans="1:65" ht="36.75" hidden="1" customHeight="1" x14ac:dyDescent="0.2">
      <c r="A425" s="298" t="s">
        <v>1261</v>
      </c>
      <c r="B425" s="299" t="s">
        <v>1259</v>
      </c>
      <c r="C425" s="1547"/>
      <c r="D425" s="1551"/>
      <c r="E425" s="1551"/>
      <c r="F425" s="1551"/>
      <c r="G425" s="1551"/>
      <c r="H425" s="1551"/>
      <c r="I425" s="1425"/>
      <c r="J425" s="1425"/>
      <c r="K425" s="1425" t="s">
        <v>1290</v>
      </c>
      <c r="L425" s="301" t="s">
        <v>1140</v>
      </c>
      <c r="M425" s="1425" t="s">
        <v>497</v>
      </c>
      <c r="N425" s="476"/>
      <c r="O425" s="1425" t="s">
        <v>47</v>
      </c>
      <c r="P425" s="1425"/>
      <c r="Q425" s="16" t="s">
        <v>1291</v>
      </c>
      <c r="R425" s="302" t="s">
        <v>1292</v>
      </c>
      <c r="S425" s="303">
        <v>2015</v>
      </c>
      <c r="T425" s="303">
        <v>0</v>
      </c>
      <c r="U425" s="303">
        <v>1</v>
      </c>
      <c r="V425" s="303">
        <v>0</v>
      </c>
      <c r="W425" s="303">
        <v>0</v>
      </c>
      <c r="X425" s="303">
        <v>0</v>
      </c>
      <c r="Y425" s="303">
        <v>1</v>
      </c>
      <c r="Z425" s="481">
        <v>0</v>
      </c>
      <c r="AA425" s="482"/>
      <c r="AB425" s="481">
        <v>0</v>
      </c>
      <c r="AC425" s="491">
        <v>390</v>
      </c>
      <c r="AD425" s="481">
        <v>0</v>
      </c>
      <c r="AE425" s="481">
        <v>300</v>
      </c>
      <c r="AF425" s="481">
        <v>0</v>
      </c>
      <c r="AG425" s="481">
        <f t="shared" si="267"/>
        <v>690</v>
      </c>
      <c r="AH425" s="548">
        <v>0</v>
      </c>
      <c r="AI425" s="548">
        <v>0</v>
      </c>
      <c r="AJ425" s="548">
        <v>0</v>
      </c>
      <c r="AK425" s="548">
        <v>0</v>
      </c>
      <c r="AL425" s="548">
        <v>0</v>
      </c>
      <c r="AM425" s="548">
        <v>0</v>
      </c>
      <c r="AN425" s="548">
        <f t="shared" si="268"/>
        <v>0</v>
      </c>
      <c r="AO425" s="481">
        <v>0</v>
      </c>
      <c r="AP425" s="481">
        <v>0</v>
      </c>
      <c r="AQ425" s="481">
        <v>0</v>
      </c>
      <c r="AR425" s="481">
        <v>0</v>
      </c>
      <c r="AS425" s="481">
        <v>0</v>
      </c>
      <c r="AT425" s="481">
        <v>0</v>
      </c>
      <c r="AU425" s="481">
        <v>0</v>
      </c>
      <c r="AV425" s="481">
        <f t="shared" si="269"/>
        <v>0</v>
      </c>
      <c r="AW425" s="548">
        <v>0</v>
      </c>
      <c r="AX425" s="548">
        <v>0</v>
      </c>
      <c r="AY425" s="548">
        <v>0</v>
      </c>
      <c r="AZ425" s="548">
        <v>0</v>
      </c>
      <c r="BA425" s="548">
        <v>0</v>
      </c>
      <c r="BB425" s="548">
        <v>0</v>
      </c>
      <c r="BC425" s="548">
        <v>0</v>
      </c>
      <c r="BD425" s="548">
        <f t="shared" si="270"/>
        <v>0</v>
      </c>
      <c r="BE425" s="42">
        <f t="shared" si="253"/>
        <v>0</v>
      </c>
      <c r="BF425" s="42">
        <f t="shared" si="253"/>
        <v>0</v>
      </c>
      <c r="BG425" s="42">
        <f t="shared" si="253"/>
        <v>0</v>
      </c>
      <c r="BH425" s="42">
        <f t="shared" si="253"/>
        <v>390</v>
      </c>
      <c r="BI425" s="42">
        <f t="shared" si="253"/>
        <v>0</v>
      </c>
      <c r="BJ425" s="42">
        <f t="shared" si="264"/>
        <v>300</v>
      </c>
      <c r="BK425" s="42">
        <f t="shared" si="254"/>
        <v>0</v>
      </c>
      <c r="BL425" s="42">
        <f t="shared" si="254"/>
        <v>690</v>
      </c>
      <c r="BM425" s="3"/>
    </row>
    <row r="426" spans="1:65" ht="37.5" hidden="1" customHeight="1" x14ac:dyDescent="0.2">
      <c r="A426" s="298" t="s">
        <v>1261</v>
      </c>
      <c r="B426" s="299" t="s">
        <v>1259</v>
      </c>
      <c r="C426" s="1547"/>
      <c r="D426" s="1551"/>
      <c r="E426" s="1551"/>
      <c r="F426" s="1551"/>
      <c r="G426" s="1551"/>
      <c r="H426" s="1551"/>
      <c r="I426" s="1425"/>
      <c r="J426" s="1425"/>
      <c r="K426" s="1425" t="s">
        <v>1293</v>
      </c>
      <c r="L426" s="301" t="s">
        <v>1140</v>
      </c>
      <c r="M426" s="1425" t="s">
        <v>497</v>
      </c>
      <c r="N426" s="476"/>
      <c r="O426" s="1425" t="s">
        <v>73</v>
      </c>
      <c r="P426" s="1425"/>
      <c r="Q426" s="16" t="s">
        <v>1294</v>
      </c>
      <c r="R426" s="302" t="s">
        <v>1295</v>
      </c>
      <c r="S426" s="303">
        <v>2015</v>
      </c>
      <c r="T426" s="303">
        <v>0</v>
      </c>
      <c r="U426" s="303">
        <v>1</v>
      </c>
      <c r="V426" s="303">
        <v>1</v>
      </c>
      <c r="W426" s="303">
        <v>1</v>
      </c>
      <c r="X426" s="303">
        <v>1</v>
      </c>
      <c r="Y426" s="303">
        <v>1</v>
      </c>
      <c r="Z426" s="481">
        <v>0</v>
      </c>
      <c r="AA426" s="481">
        <v>5</v>
      </c>
      <c r="AB426" s="481">
        <v>0</v>
      </c>
      <c r="AC426" s="481">
        <v>0</v>
      </c>
      <c r="AD426" s="481">
        <v>0</v>
      </c>
      <c r="AE426" s="481">
        <v>0</v>
      </c>
      <c r="AF426" s="481">
        <v>0</v>
      </c>
      <c r="AG426" s="481">
        <f t="shared" si="267"/>
        <v>5</v>
      </c>
      <c r="AH426" s="548">
        <v>0</v>
      </c>
      <c r="AI426" s="548">
        <v>5</v>
      </c>
      <c r="AJ426" s="548">
        <v>0</v>
      </c>
      <c r="AK426" s="548">
        <v>0</v>
      </c>
      <c r="AL426" s="548">
        <v>0</v>
      </c>
      <c r="AM426" s="548">
        <v>0</v>
      </c>
      <c r="AN426" s="548">
        <f t="shared" si="268"/>
        <v>5</v>
      </c>
      <c r="AO426" s="481">
        <v>0</v>
      </c>
      <c r="AP426" s="481">
        <v>5</v>
      </c>
      <c r="AQ426" s="481">
        <v>0</v>
      </c>
      <c r="AR426" s="481">
        <v>0</v>
      </c>
      <c r="AS426" s="481">
        <v>0</v>
      </c>
      <c r="AT426" s="481">
        <v>0</v>
      </c>
      <c r="AU426" s="481">
        <v>0</v>
      </c>
      <c r="AV426" s="481">
        <f t="shared" si="269"/>
        <v>5</v>
      </c>
      <c r="AW426" s="548">
        <v>0</v>
      </c>
      <c r="AX426" s="548">
        <v>5</v>
      </c>
      <c r="AY426" s="548">
        <v>0</v>
      </c>
      <c r="AZ426" s="548">
        <v>0</v>
      </c>
      <c r="BA426" s="548">
        <v>0</v>
      </c>
      <c r="BB426" s="548">
        <v>0</v>
      </c>
      <c r="BC426" s="548">
        <v>0</v>
      </c>
      <c r="BD426" s="548">
        <f t="shared" si="270"/>
        <v>5</v>
      </c>
      <c r="BE426" s="42">
        <f t="shared" si="253"/>
        <v>0</v>
      </c>
      <c r="BF426" s="42">
        <f t="shared" si="253"/>
        <v>20</v>
      </c>
      <c r="BG426" s="42">
        <f t="shared" si="253"/>
        <v>0</v>
      </c>
      <c r="BH426" s="42">
        <f t="shared" si="253"/>
        <v>0</v>
      </c>
      <c r="BI426" s="42">
        <f t="shared" si="253"/>
        <v>0</v>
      </c>
      <c r="BJ426" s="42">
        <f t="shared" si="264"/>
        <v>0</v>
      </c>
      <c r="BK426" s="42">
        <f t="shared" si="254"/>
        <v>0</v>
      </c>
      <c r="BL426" s="42">
        <f t="shared" si="254"/>
        <v>20</v>
      </c>
      <c r="BM426" s="3"/>
    </row>
    <row r="427" spans="1:65" ht="43.5" hidden="1" customHeight="1" x14ac:dyDescent="0.2">
      <c r="A427" s="298" t="s">
        <v>1261</v>
      </c>
      <c r="B427" s="299" t="s">
        <v>1259</v>
      </c>
      <c r="C427" s="1547"/>
      <c r="D427" s="1551"/>
      <c r="E427" s="1551"/>
      <c r="F427" s="1551"/>
      <c r="G427" s="1551"/>
      <c r="H427" s="1551"/>
      <c r="I427" s="1425"/>
      <c r="J427" s="1425"/>
      <c r="K427" s="1425" t="s">
        <v>1296</v>
      </c>
      <c r="L427" s="301" t="s">
        <v>1140</v>
      </c>
      <c r="M427" s="1425" t="s">
        <v>497</v>
      </c>
      <c r="N427" s="476"/>
      <c r="O427" s="1425" t="s">
        <v>73</v>
      </c>
      <c r="P427" s="1425"/>
      <c r="Q427" s="16" t="s">
        <v>1297</v>
      </c>
      <c r="R427" s="302" t="s">
        <v>1298</v>
      </c>
      <c r="S427" s="303">
        <v>2015</v>
      </c>
      <c r="T427" s="303">
        <v>0</v>
      </c>
      <c r="U427" s="303">
        <v>4</v>
      </c>
      <c r="V427" s="303">
        <v>4</v>
      </c>
      <c r="W427" s="303">
        <v>4</v>
      </c>
      <c r="X427" s="303">
        <v>4</v>
      </c>
      <c r="Y427" s="303">
        <v>4</v>
      </c>
      <c r="Z427" s="481">
        <v>0</v>
      </c>
      <c r="AA427" s="491">
        <v>5</v>
      </c>
      <c r="AB427" s="481">
        <v>0</v>
      </c>
      <c r="AC427" s="481">
        <v>0</v>
      </c>
      <c r="AD427" s="481">
        <v>0</v>
      </c>
      <c r="AE427" s="481">
        <v>0</v>
      </c>
      <c r="AF427" s="481">
        <v>0</v>
      </c>
      <c r="AG427" s="481">
        <f t="shared" si="267"/>
        <v>5</v>
      </c>
      <c r="AH427" s="491">
        <v>0.5</v>
      </c>
      <c r="AI427" s="548">
        <v>0</v>
      </c>
      <c r="AJ427" s="548">
        <v>0</v>
      </c>
      <c r="AK427" s="548">
        <v>0</v>
      </c>
      <c r="AL427" s="548">
        <v>0</v>
      </c>
      <c r="AM427" s="548">
        <v>0</v>
      </c>
      <c r="AN427" s="548">
        <f t="shared" si="268"/>
        <v>0.5</v>
      </c>
      <c r="AO427" s="481">
        <v>0</v>
      </c>
      <c r="AP427" s="491">
        <v>1</v>
      </c>
      <c r="AQ427" s="481">
        <v>0</v>
      </c>
      <c r="AR427" s="481">
        <v>0</v>
      </c>
      <c r="AS427" s="481">
        <v>0</v>
      </c>
      <c r="AT427" s="481">
        <v>0</v>
      </c>
      <c r="AU427" s="481">
        <v>0</v>
      </c>
      <c r="AV427" s="481">
        <f t="shared" si="269"/>
        <v>1</v>
      </c>
      <c r="AW427" s="491">
        <v>1</v>
      </c>
      <c r="AX427" s="548">
        <v>0</v>
      </c>
      <c r="AY427" s="548">
        <v>0</v>
      </c>
      <c r="AZ427" s="548">
        <v>0</v>
      </c>
      <c r="BA427" s="548">
        <v>0</v>
      </c>
      <c r="BB427" s="548">
        <v>0</v>
      </c>
      <c r="BC427" s="548">
        <v>0</v>
      </c>
      <c r="BD427" s="548">
        <f t="shared" si="270"/>
        <v>1</v>
      </c>
      <c r="BE427" s="42">
        <f t="shared" si="253"/>
        <v>1.5</v>
      </c>
      <c r="BF427" s="42">
        <f t="shared" si="253"/>
        <v>6</v>
      </c>
      <c r="BG427" s="42">
        <f t="shared" si="253"/>
        <v>0</v>
      </c>
      <c r="BH427" s="42">
        <f t="shared" si="253"/>
        <v>0</v>
      </c>
      <c r="BI427" s="42">
        <f t="shared" si="253"/>
        <v>0</v>
      </c>
      <c r="BJ427" s="42">
        <f t="shared" si="264"/>
        <v>0</v>
      </c>
      <c r="BK427" s="42">
        <f t="shared" si="254"/>
        <v>0</v>
      </c>
      <c r="BL427" s="42">
        <f t="shared" si="254"/>
        <v>7.5</v>
      </c>
      <c r="BM427" s="3"/>
    </row>
    <row r="428" spans="1:65" ht="45.75" hidden="1" customHeight="1" x14ac:dyDescent="0.2">
      <c r="A428" s="298" t="s">
        <v>1261</v>
      </c>
      <c r="B428" s="299" t="s">
        <v>1259</v>
      </c>
      <c r="C428" s="1547"/>
      <c r="D428" s="1551"/>
      <c r="E428" s="1551"/>
      <c r="F428" s="1551"/>
      <c r="G428" s="1551"/>
      <c r="H428" s="1551"/>
      <c r="I428" s="1425"/>
      <c r="J428" s="1425"/>
      <c r="K428" s="1425" t="s">
        <v>1299</v>
      </c>
      <c r="L428" s="301" t="s">
        <v>1140</v>
      </c>
      <c r="M428" s="1425" t="s">
        <v>497</v>
      </c>
      <c r="N428" s="476"/>
      <c r="O428" s="1425" t="s">
        <v>47</v>
      </c>
      <c r="P428" s="1425"/>
      <c r="Q428" s="16" t="s">
        <v>1300</v>
      </c>
      <c r="R428" s="302" t="s">
        <v>1301</v>
      </c>
      <c r="S428" s="303">
        <v>2015</v>
      </c>
      <c r="T428" s="303">
        <v>0</v>
      </c>
      <c r="U428" s="303">
        <v>2</v>
      </c>
      <c r="V428" s="303">
        <v>2</v>
      </c>
      <c r="W428" s="303">
        <v>2</v>
      </c>
      <c r="X428" s="303">
        <v>2</v>
      </c>
      <c r="Y428" s="303">
        <v>8</v>
      </c>
      <c r="Z428" s="481">
        <v>0</v>
      </c>
      <c r="AA428" s="481">
        <v>8</v>
      </c>
      <c r="AB428" s="481">
        <v>0</v>
      </c>
      <c r="AC428" s="481">
        <v>0</v>
      </c>
      <c r="AD428" s="481">
        <v>0</v>
      </c>
      <c r="AE428" s="481">
        <v>0</v>
      </c>
      <c r="AF428" s="481">
        <v>0</v>
      </c>
      <c r="AG428" s="481">
        <f t="shared" si="267"/>
        <v>8</v>
      </c>
      <c r="AH428" s="491">
        <v>5</v>
      </c>
      <c r="AI428" s="548">
        <v>0</v>
      </c>
      <c r="AJ428" s="548">
        <v>0</v>
      </c>
      <c r="AK428" s="548">
        <v>0</v>
      </c>
      <c r="AL428" s="548">
        <v>0</v>
      </c>
      <c r="AM428" s="548">
        <v>0</v>
      </c>
      <c r="AN428" s="548">
        <f t="shared" si="268"/>
        <v>5</v>
      </c>
      <c r="AO428" s="481">
        <v>8</v>
      </c>
      <c r="AP428" s="481">
        <v>0</v>
      </c>
      <c r="AQ428" s="481">
        <v>0</v>
      </c>
      <c r="AR428" s="481">
        <v>0</v>
      </c>
      <c r="AS428" s="481">
        <v>0</v>
      </c>
      <c r="AT428" s="481">
        <v>0</v>
      </c>
      <c r="AU428" s="481">
        <v>0</v>
      </c>
      <c r="AV428" s="481">
        <f t="shared" si="269"/>
        <v>8</v>
      </c>
      <c r="AW428" s="548">
        <v>8</v>
      </c>
      <c r="AX428" s="548">
        <v>0</v>
      </c>
      <c r="AY428" s="548">
        <v>0</v>
      </c>
      <c r="AZ428" s="548">
        <v>0</v>
      </c>
      <c r="BA428" s="548">
        <v>0</v>
      </c>
      <c r="BB428" s="548">
        <v>0</v>
      </c>
      <c r="BC428" s="548">
        <v>0</v>
      </c>
      <c r="BD428" s="548">
        <f t="shared" si="270"/>
        <v>8</v>
      </c>
      <c r="BE428" s="42">
        <f t="shared" si="253"/>
        <v>21</v>
      </c>
      <c r="BF428" s="42">
        <f t="shared" si="253"/>
        <v>8</v>
      </c>
      <c r="BG428" s="42">
        <f t="shared" si="253"/>
        <v>0</v>
      </c>
      <c r="BH428" s="42">
        <f t="shared" si="253"/>
        <v>0</v>
      </c>
      <c r="BI428" s="42">
        <f t="shared" si="253"/>
        <v>0</v>
      </c>
      <c r="BJ428" s="42">
        <f t="shared" si="264"/>
        <v>0</v>
      </c>
      <c r="BK428" s="42">
        <f t="shared" si="254"/>
        <v>0</v>
      </c>
      <c r="BL428" s="42">
        <f t="shared" si="254"/>
        <v>29</v>
      </c>
      <c r="BM428" s="3"/>
    </row>
    <row r="429" spans="1:65" ht="47.25" hidden="1" customHeight="1" x14ac:dyDescent="0.2">
      <c r="A429" s="298" t="s">
        <v>1261</v>
      </c>
      <c r="B429" s="299" t="s">
        <v>1259</v>
      </c>
      <c r="C429" s="1547"/>
      <c r="D429" s="1551"/>
      <c r="E429" s="1551"/>
      <c r="F429" s="1551"/>
      <c r="G429" s="1551"/>
      <c r="H429" s="1551"/>
      <c r="I429" s="1425"/>
      <c r="J429" s="1425"/>
      <c r="K429" s="1425" t="s">
        <v>1302</v>
      </c>
      <c r="L429" s="301" t="s">
        <v>1140</v>
      </c>
      <c r="M429" s="1425" t="s">
        <v>497</v>
      </c>
      <c r="N429" s="476"/>
      <c r="O429" s="1425" t="s">
        <v>47</v>
      </c>
      <c r="P429" s="1425"/>
      <c r="Q429" s="16" t="s">
        <v>1303</v>
      </c>
      <c r="R429" s="302" t="s">
        <v>1304</v>
      </c>
      <c r="S429" s="303">
        <v>2015</v>
      </c>
      <c r="T429" s="303">
        <v>0</v>
      </c>
      <c r="U429" s="303">
        <v>0</v>
      </c>
      <c r="V429" s="303">
        <v>1</v>
      </c>
      <c r="W429" s="303">
        <v>0</v>
      </c>
      <c r="X429" s="303">
        <v>0</v>
      </c>
      <c r="Y429" s="303">
        <v>1</v>
      </c>
      <c r="Z429" s="481">
        <v>0</v>
      </c>
      <c r="AA429" s="491"/>
      <c r="AB429" s="481">
        <v>0</v>
      </c>
      <c r="AC429" s="481">
        <v>0</v>
      </c>
      <c r="AD429" s="481">
        <v>0</v>
      </c>
      <c r="AE429" s="481">
        <v>0</v>
      </c>
      <c r="AF429" s="481">
        <v>0</v>
      </c>
      <c r="AG429" s="481">
        <f t="shared" si="267"/>
        <v>0</v>
      </c>
      <c r="AH429" s="548">
        <v>0</v>
      </c>
      <c r="AI429" s="548">
        <v>15</v>
      </c>
      <c r="AJ429" s="548">
        <v>0</v>
      </c>
      <c r="AK429" s="548">
        <v>0</v>
      </c>
      <c r="AL429" s="548">
        <v>0</v>
      </c>
      <c r="AM429" s="548">
        <v>0</v>
      </c>
      <c r="AN429" s="548">
        <f t="shared" si="268"/>
        <v>15</v>
      </c>
      <c r="AO429" s="481">
        <v>0</v>
      </c>
      <c r="AP429" s="491"/>
      <c r="AQ429" s="481">
        <v>0</v>
      </c>
      <c r="AR429" s="481">
        <v>0</v>
      </c>
      <c r="AS429" s="481">
        <v>0</v>
      </c>
      <c r="AT429" s="481">
        <v>0</v>
      </c>
      <c r="AU429" s="481">
        <v>0</v>
      </c>
      <c r="AV429" s="481">
        <v>0</v>
      </c>
      <c r="AW429" s="491"/>
      <c r="AX429" s="548">
        <v>0</v>
      </c>
      <c r="AY429" s="548">
        <v>0</v>
      </c>
      <c r="AZ429" s="548">
        <v>0</v>
      </c>
      <c r="BA429" s="548">
        <v>0</v>
      </c>
      <c r="BB429" s="548">
        <v>0</v>
      </c>
      <c r="BC429" s="548">
        <v>0</v>
      </c>
      <c r="BD429" s="548">
        <f t="shared" si="270"/>
        <v>0</v>
      </c>
      <c r="BE429" s="42">
        <f t="shared" si="253"/>
        <v>0</v>
      </c>
      <c r="BF429" s="42">
        <f t="shared" si="253"/>
        <v>15</v>
      </c>
      <c r="BG429" s="42">
        <f t="shared" si="253"/>
        <v>0</v>
      </c>
      <c r="BH429" s="42">
        <f t="shared" si="253"/>
        <v>0</v>
      </c>
      <c r="BI429" s="42">
        <f t="shared" si="253"/>
        <v>0</v>
      </c>
      <c r="BJ429" s="42">
        <f t="shared" si="264"/>
        <v>0</v>
      </c>
      <c r="BK429" s="42">
        <f t="shared" si="254"/>
        <v>0</v>
      </c>
      <c r="BL429" s="42">
        <f t="shared" si="254"/>
        <v>15</v>
      </c>
      <c r="BM429" s="3"/>
    </row>
    <row r="430" spans="1:65" ht="45" hidden="1" customHeight="1" x14ac:dyDescent="0.2">
      <c r="A430" s="298" t="s">
        <v>1261</v>
      </c>
      <c r="B430" s="299" t="s">
        <v>1259</v>
      </c>
      <c r="C430" s="1548"/>
      <c r="D430" s="1552"/>
      <c r="E430" s="1552"/>
      <c r="F430" s="1552"/>
      <c r="G430" s="1552"/>
      <c r="H430" s="1552"/>
      <c r="I430" s="1425"/>
      <c r="J430" s="1425"/>
      <c r="K430" s="1425" t="s">
        <v>1305</v>
      </c>
      <c r="L430" s="301" t="s">
        <v>1140</v>
      </c>
      <c r="M430" s="1425" t="s">
        <v>497</v>
      </c>
      <c r="N430" s="476"/>
      <c r="O430" s="1425" t="s">
        <v>73</v>
      </c>
      <c r="P430" s="1425"/>
      <c r="Q430" s="16" t="s">
        <v>1306</v>
      </c>
      <c r="R430" s="302" t="s">
        <v>787</v>
      </c>
      <c r="S430" s="303">
        <v>2015</v>
      </c>
      <c r="T430" s="303">
        <v>0</v>
      </c>
      <c r="U430" s="303">
        <v>1</v>
      </c>
      <c r="V430" s="303">
        <v>1</v>
      </c>
      <c r="W430" s="303">
        <v>1</v>
      </c>
      <c r="X430" s="303">
        <v>1</v>
      </c>
      <c r="Y430" s="303">
        <v>1</v>
      </c>
      <c r="Z430" s="481">
        <v>0</v>
      </c>
      <c r="AA430" s="481">
        <v>0</v>
      </c>
      <c r="AB430" s="481">
        <v>50</v>
      </c>
      <c r="AC430" s="481">
        <v>0</v>
      </c>
      <c r="AD430" s="481">
        <v>0</v>
      </c>
      <c r="AE430" s="481">
        <v>0</v>
      </c>
      <c r="AF430" s="481">
        <v>0</v>
      </c>
      <c r="AG430" s="481">
        <f t="shared" si="267"/>
        <v>50</v>
      </c>
      <c r="AH430" s="491">
        <v>0.5</v>
      </c>
      <c r="AI430" s="548">
        <v>0</v>
      </c>
      <c r="AJ430" s="716">
        <v>20</v>
      </c>
      <c r="AK430" s="548">
        <v>0</v>
      </c>
      <c r="AL430" s="548">
        <v>0</v>
      </c>
      <c r="AM430" s="548">
        <v>0</v>
      </c>
      <c r="AN430" s="548">
        <f t="shared" si="268"/>
        <v>20.5</v>
      </c>
      <c r="AO430" s="481">
        <v>0</v>
      </c>
      <c r="AP430" s="491">
        <v>10</v>
      </c>
      <c r="AQ430" s="481">
        <v>0</v>
      </c>
      <c r="AR430" s="481">
        <v>0</v>
      </c>
      <c r="AS430" s="481">
        <v>0</v>
      </c>
      <c r="AT430" s="481">
        <v>0</v>
      </c>
      <c r="AU430" s="481">
        <v>0</v>
      </c>
      <c r="AV430" s="481">
        <f t="shared" ref="AV430:AV440" si="271">SUM(AO430:AU430)</f>
        <v>10</v>
      </c>
      <c r="AW430" s="491">
        <v>10</v>
      </c>
      <c r="AX430" s="548">
        <v>0</v>
      </c>
      <c r="AY430" s="548">
        <v>0</v>
      </c>
      <c r="AZ430" s="548">
        <v>0</v>
      </c>
      <c r="BA430" s="548">
        <v>0</v>
      </c>
      <c r="BB430" s="548">
        <v>0</v>
      </c>
      <c r="BC430" s="548">
        <v>0</v>
      </c>
      <c r="BD430" s="548">
        <f t="shared" si="270"/>
        <v>10</v>
      </c>
      <c r="BE430" s="42">
        <f t="shared" si="253"/>
        <v>10.5</v>
      </c>
      <c r="BF430" s="42">
        <f t="shared" si="253"/>
        <v>10</v>
      </c>
      <c r="BG430" s="42">
        <f t="shared" si="253"/>
        <v>70</v>
      </c>
      <c r="BH430" s="42">
        <f t="shared" si="253"/>
        <v>0</v>
      </c>
      <c r="BI430" s="42">
        <f t="shared" si="253"/>
        <v>0</v>
      </c>
      <c r="BJ430" s="42">
        <f t="shared" si="264"/>
        <v>0</v>
      </c>
      <c r="BK430" s="42">
        <f t="shared" si="254"/>
        <v>0</v>
      </c>
      <c r="BL430" s="42">
        <f t="shared" si="254"/>
        <v>90.5</v>
      </c>
      <c r="BM430" s="3"/>
    </row>
    <row r="431" spans="1:65" ht="12" hidden="1" customHeight="1" x14ac:dyDescent="0.2">
      <c r="A431" s="295" t="s">
        <v>1261</v>
      </c>
      <c r="B431" s="24" t="s">
        <v>1259</v>
      </c>
      <c r="C431" s="2"/>
      <c r="D431" s="2" t="s">
        <v>1307</v>
      </c>
      <c r="E431" s="1"/>
      <c r="F431" s="1"/>
      <c r="G431" s="1"/>
      <c r="H431" s="1"/>
      <c r="I431" s="1"/>
      <c r="J431" s="1"/>
      <c r="K431" s="1"/>
      <c r="L431" s="1"/>
      <c r="M431" s="1"/>
      <c r="N431" s="1"/>
      <c r="O431" s="1"/>
      <c r="P431" s="1"/>
      <c r="Q431" s="22"/>
      <c r="R431" s="22"/>
      <c r="S431" s="1"/>
      <c r="T431" s="1"/>
      <c r="U431" s="1"/>
      <c r="V431" s="1"/>
      <c r="W431" s="1"/>
      <c r="X431" s="1"/>
      <c r="Y431" s="1"/>
      <c r="Z431" s="34">
        <f t="shared" ref="Z431:BD431" si="272">SUM(Z432:Z444)</f>
        <v>25</v>
      </c>
      <c r="AA431" s="34">
        <f t="shared" si="272"/>
        <v>305</v>
      </c>
      <c r="AB431" s="34">
        <f t="shared" si="272"/>
        <v>0</v>
      </c>
      <c r="AC431" s="34">
        <f t="shared" si="272"/>
        <v>0</v>
      </c>
      <c r="AD431" s="34">
        <f t="shared" si="272"/>
        <v>0</v>
      </c>
      <c r="AE431" s="34">
        <f t="shared" si="272"/>
        <v>0</v>
      </c>
      <c r="AF431" s="34">
        <f t="shared" si="272"/>
        <v>0</v>
      </c>
      <c r="AG431" s="34">
        <f t="shared" si="272"/>
        <v>330</v>
      </c>
      <c r="AH431" s="34">
        <f t="shared" si="272"/>
        <v>27</v>
      </c>
      <c r="AI431" s="34">
        <f t="shared" si="272"/>
        <v>45</v>
      </c>
      <c r="AJ431" s="34">
        <f t="shared" si="272"/>
        <v>25</v>
      </c>
      <c r="AK431" s="34">
        <f t="shared" si="272"/>
        <v>0</v>
      </c>
      <c r="AL431" s="34">
        <f t="shared" si="272"/>
        <v>0</v>
      </c>
      <c r="AM431" s="34">
        <f t="shared" si="272"/>
        <v>0</v>
      </c>
      <c r="AN431" s="34">
        <f t="shared" si="272"/>
        <v>97</v>
      </c>
      <c r="AO431" s="34">
        <f t="shared" si="272"/>
        <v>12</v>
      </c>
      <c r="AP431" s="34">
        <f t="shared" si="272"/>
        <v>60</v>
      </c>
      <c r="AQ431" s="34">
        <f t="shared" si="272"/>
        <v>0</v>
      </c>
      <c r="AR431" s="34">
        <f t="shared" si="272"/>
        <v>0</v>
      </c>
      <c r="AS431" s="34">
        <f t="shared" si="272"/>
        <v>0</v>
      </c>
      <c r="AT431" s="34">
        <f t="shared" si="272"/>
        <v>0</v>
      </c>
      <c r="AU431" s="34">
        <f t="shared" si="272"/>
        <v>0</v>
      </c>
      <c r="AV431" s="34">
        <f t="shared" si="272"/>
        <v>72</v>
      </c>
      <c r="AW431" s="34">
        <f t="shared" si="272"/>
        <v>12</v>
      </c>
      <c r="AX431" s="34">
        <f t="shared" si="272"/>
        <v>60</v>
      </c>
      <c r="AY431" s="34">
        <f t="shared" si="272"/>
        <v>0</v>
      </c>
      <c r="AZ431" s="34">
        <f t="shared" si="272"/>
        <v>0</v>
      </c>
      <c r="BA431" s="34">
        <f t="shared" si="272"/>
        <v>0</v>
      </c>
      <c r="BB431" s="34">
        <f t="shared" si="272"/>
        <v>0</v>
      </c>
      <c r="BC431" s="34">
        <f t="shared" si="272"/>
        <v>0</v>
      </c>
      <c r="BD431" s="34">
        <f t="shared" si="272"/>
        <v>72</v>
      </c>
      <c r="BE431" s="34">
        <f t="shared" si="253"/>
        <v>76</v>
      </c>
      <c r="BF431" s="34">
        <f t="shared" si="253"/>
        <v>470</v>
      </c>
      <c r="BG431" s="34">
        <f t="shared" si="253"/>
        <v>25</v>
      </c>
      <c r="BH431" s="34">
        <f t="shared" si="253"/>
        <v>0</v>
      </c>
      <c r="BI431" s="34">
        <f t="shared" si="253"/>
        <v>0</v>
      </c>
      <c r="BJ431" s="34">
        <f t="shared" si="264"/>
        <v>0</v>
      </c>
      <c r="BK431" s="34">
        <f t="shared" si="254"/>
        <v>0</v>
      </c>
      <c r="BL431" s="34">
        <f t="shared" si="254"/>
        <v>571</v>
      </c>
      <c r="BM431" s="3"/>
    </row>
    <row r="432" spans="1:65" ht="50.25" hidden="1" customHeight="1" x14ac:dyDescent="0.2">
      <c r="A432" s="298" t="s">
        <v>1261</v>
      </c>
      <c r="B432" s="299" t="s">
        <v>1259</v>
      </c>
      <c r="C432" s="1546" t="s">
        <v>1308</v>
      </c>
      <c r="D432" s="1549" t="s">
        <v>1309</v>
      </c>
      <c r="E432" s="1549" t="s">
        <v>1310</v>
      </c>
      <c r="F432" s="1549">
        <v>2015</v>
      </c>
      <c r="G432" s="1549" t="s">
        <v>1311</v>
      </c>
      <c r="H432" s="1549">
        <v>270</v>
      </c>
      <c r="I432" s="1425"/>
      <c r="J432" s="1425"/>
      <c r="K432" s="1425" t="s">
        <v>1312</v>
      </c>
      <c r="L432" s="301" t="s">
        <v>1140</v>
      </c>
      <c r="M432" s="1425" t="s">
        <v>497</v>
      </c>
      <c r="N432" s="476"/>
      <c r="O432" s="1425" t="s">
        <v>47</v>
      </c>
      <c r="P432" s="1425"/>
      <c r="Q432" s="16" t="s">
        <v>1313</v>
      </c>
      <c r="R432" s="302" t="s">
        <v>1314</v>
      </c>
      <c r="S432" s="303">
        <v>2015</v>
      </c>
      <c r="T432" s="303">
        <v>0</v>
      </c>
      <c r="U432" s="303">
        <v>6</v>
      </c>
      <c r="V432" s="303">
        <v>2</v>
      </c>
      <c r="W432" s="303">
        <v>2</v>
      </c>
      <c r="X432" s="303">
        <v>0</v>
      </c>
      <c r="Y432" s="303">
        <v>10</v>
      </c>
      <c r="Z432" s="481">
        <v>0</v>
      </c>
      <c r="AA432" s="481">
        <v>200</v>
      </c>
      <c r="AB432" s="481">
        <v>0</v>
      </c>
      <c r="AC432" s="481">
        <v>0</v>
      </c>
      <c r="AD432" s="481">
        <v>0</v>
      </c>
      <c r="AE432" s="481">
        <v>0</v>
      </c>
      <c r="AF432" s="481">
        <v>0</v>
      </c>
      <c r="AG432" s="481">
        <f t="shared" si="267"/>
        <v>200</v>
      </c>
      <c r="AH432" s="548">
        <v>0</v>
      </c>
      <c r="AI432" s="491">
        <v>1</v>
      </c>
      <c r="AJ432" s="716">
        <v>5</v>
      </c>
      <c r="AK432" s="548">
        <v>0</v>
      </c>
      <c r="AL432" s="548">
        <v>0</v>
      </c>
      <c r="AM432" s="548">
        <v>0</v>
      </c>
      <c r="AN432" s="548">
        <f t="shared" ref="AN432:AN440" si="273">SUM(AH432:AM432)</f>
        <v>6</v>
      </c>
      <c r="AO432" s="481">
        <v>0</v>
      </c>
      <c r="AP432" s="491">
        <v>1</v>
      </c>
      <c r="AQ432" s="481">
        <v>0</v>
      </c>
      <c r="AR432" s="481">
        <v>0</v>
      </c>
      <c r="AS432" s="481">
        <v>0</v>
      </c>
      <c r="AT432" s="481">
        <v>0</v>
      </c>
      <c r="AU432" s="481">
        <v>0</v>
      </c>
      <c r="AV432" s="481">
        <f t="shared" si="271"/>
        <v>1</v>
      </c>
      <c r="AW432" s="548">
        <v>0</v>
      </c>
      <c r="AX432" s="548">
        <v>0</v>
      </c>
      <c r="AY432" s="548">
        <v>0</v>
      </c>
      <c r="AZ432" s="548">
        <v>0</v>
      </c>
      <c r="BA432" s="548">
        <v>0</v>
      </c>
      <c r="BB432" s="548">
        <v>0</v>
      </c>
      <c r="BC432" s="548">
        <v>0</v>
      </c>
      <c r="BD432" s="548">
        <f t="shared" si="270"/>
        <v>0</v>
      </c>
      <c r="BE432" s="42">
        <f t="shared" ref="BE432:BI466" si="274">+AW432+AO432+AH432+Z432</f>
        <v>0</v>
      </c>
      <c r="BF432" s="42">
        <f t="shared" si="274"/>
        <v>202</v>
      </c>
      <c r="BG432" s="42">
        <f t="shared" si="274"/>
        <v>5</v>
      </c>
      <c r="BH432" s="42">
        <f t="shared" si="274"/>
        <v>0</v>
      </c>
      <c r="BI432" s="42">
        <f t="shared" si="274"/>
        <v>0</v>
      </c>
      <c r="BJ432" s="42">
        <f t="shared" si="264"/>
        <v>0</v>
      </c>
      <c r="BK432" s="42">
        <f t="shared" ref="BK432:BL466" si="275">+BC432+AU432+AM432+AF432</f>
        <v>0</v>
      </c>
      <c r="BL432" s="42">
        <f t="shared" si="275"/>
        <v>207</v>
      </c>
      <c r="BM432" s="3"/>
    </row>
    <row r="433" spans="1:65" ht="42" hidden="1" customHeight="1" x14ac:dyDescent="0.2">
      <c r="A433" s="298" t="s">
        <v>1261</v>
      </c>
      <c r="B433" s="299" t="s">
        <v>1259</v>
      </c>
      <c r="C433" s="1547"/>
      <c r="D433" s="1549"/>
      <c r="E433" s="1549"/>
      <c r="F433" s="1549"/>
      <c r="G433" s="1549"/>
      <c r="H433" s="1549"/>
      <c r="I433" s="1425"/>
      <c r="J433" s="1425"/>
      <c r="K433" s="1425" t="s">
        <v>1315</v>
      </c>
      <c r="L433" s="301" t="s">
        <v>1140</v>
      </c>
      <c r="M433" s="1425" t="s">
        <v>497</v>
      </c>
      <c r="N433" s="476"/>
      <c r="O433" s="1425" t="s">
        <v>73</v>
      </c>
      <c r="P433" s="1425"/>
      <c r="Q433" s="16" t="s">
        <v>1316</v>
      </c>
      <c r="R433" s="302" t="s">
        <v>1317</v>
      </c>
      <c r="S433" s="303">
        <v>2015</v>
      </c>
      <c r="T433" s="303">
        <v>1</v>
      </c>
      <c r="U433" s="303">
        <v>1</v>
      </c>
      <c r="V433" s="303">
        <v>1</v>
      </c>
      <c r="W433" s="303">
        <v>1</v>
      </c>
      <c r="X433" s="303">
        <v>1</v>
      </c>
      <c r="Y433" s="303">
        <v>1</v>
      </c>
      <c r="Z433" s="491">
        <v>1</v>
      </c>
      <c r="AA433" s="481"/>
      <c r="AB433" s="481"/>
      <c r="AC433" s="481"/>
      <c r="AD433" s="481"/>
      <c r="AE433" s="481"/>
      <c r="AF433" s="481"/>
      <c r="AG433" s="481">
        <f t="shared" si="267"/>
        <v>1</v>
      </c>
      <c r="AH433" s="548"/>
      <c r="AI433" s="491">
        <v>1</v>
      </c>
      <c r="AJ433" s="548"/>
      <c r="AK433" s="548"/>
      <c r="AL433" s="548"/>
      <c r="AM433" s="548"/>
      <c r="AN433" s="548">
        <f t="shared" si="273"/>
        <v>1</v>
      </c>
      <c r="AO433" s="481"/>
      <c r="AP433" s="491">
        <v>1</v>
      </c>
      <c r="AQ433" s="481"/>
      <c r="AR433" s="481"/>
      <c r="AS433" s="481"/>
      <c r="AT433" s="481"/>
      <c r="AU433" s="481"/>
      <c r="AV433" s="481">
        <f t="shared" si="271"/>
        <v>1</v>
      </c>
      <c r="AW433" s="548"/>
      <c r="AX433" s="491">
        <v>1</v>
      </c>
      <c r="AY433" s="548"/>
      <c r="AZ433" s="548"/>
      <c r="BA433" s="548"/>
      <c r="BB433" s="548"/>
      <c r="BC433" s="548"/>
      <c r="BD433" s="548">
        <f>SUM(AW433:BC433)</f>
        <v>1</v>
      </c>
      <c r="BE433" s="42">
        <f>SUM(AX433:BD433)</f>
        <v>2</v>
      </c>
      <c r="BF433" s="42">
        <f t="shared" si="274"/>
        <v>3</v>
      </c>
      <c r="BG433" s="42">
        <f t="shared" si="274"/>
        <v>0</v>
      </c>
      <c r="BH433" s="42">
        <f t="shared" si="274"/>
        <v>0</v>
      </c>
      <c r="BI433" s="42">
        <f t="shared" si="274"/>
        <v>0</v>
      </c>
      <c r="BJ433" s="42">
        <f>+BB433+AT433+AM433+AE433</f>
        <v>0</v>
      </c>
      <c r="BK433" s="42">
        <f>+AF433+AU433+BC433</f>
        <v>0</v>
      </c>
      <c r="BL433" s="42">
        <f t="shared" si="275"/>
        <v>4</v>
      </c>
      <c r="BM433" s="42">
        <f>+BE433+AW433+AO433+AH433</f>
        <v>2</v>
      </c>
    </row>
    <row r="434" spans="1:65" ht="44.25" hidden="1" customHeight="1" x14ac:dyDescent="0.2">
      <c r="A434" s="298" t="s">
        <v>1261</v>
      </c>
      <c r="B434" s="299" t="s">
        <v>1259</v>
      </c>
      <c r="C434" s="1547"/>
      <c r="D434" s="1549"/>
      <c r="E434" s="1549"/>
      <c r="F434" s="1549"/>
      <c r="G434" s="1549"/>
      <c r="H434" s="1549"/>
      <c r="I434" s="1425"/>
      <c r="J434" s="1425"/>
      <c r="K434" s="1425" t="s">
        <v>1318</v>
      </c>
      <c r="L434" s="301" t="s">
        <v>1140</v>
      </c>
      <c r="M434" s="1425" t="s">
        <v>497</v>
      </c>
      <c r="N434" s="476"/>
      <c r="O434" s="1425" t="s">
        <v>73</v>
      </c>
      <c r="P434" s="1425"/>
      <c r="Q434" s="16" t="s">
        <v>1319</v>
      </c>
      <c r="R434" s="302" t="s">
        <v>1320</v>
      </c>
      <c r="S434" s="303">
        <v>2015</v>
      </c>
      <c r="T434" s="303">
        <v>0</v>
      </c>
      <c r="U434" s="303">
        <v>1</v>
      </c>
      <c r="V434" s="303">
        <v>1</v>
      </c>
      <c r="W434" s="303">
        <v>1</v>
      </c>
      <c r="X434" s="303">
        <v>1</v>
      </c>
      <c r="Y434" s="303">
        <v>1</v>
      </c>
      <c r="Z434" s="481">
        <v>1</v>
      </c>
      <c r="AA434" s="481">
        <v>0</v>
      </c>
      <c r="AB434" s="481">
        <v>0</v>
      </c>
      <c r="AC434" s="481">
        <v>0</v>
      </c>
      <c r="AD434" s="481">
        <v>0</v>
      </c>
      <c r="AE434" s="481">
        <v>0</v>
      </c>
      <c r="AF434" s="481">
        <v>0</v>
      </c>
      <c r="AG434" s="481">
        <f t="shared" si="267"/>
        <v>1</v>
      </c>
      <c r="AH434" s="548">
        <v>4</v>
      </c>
      <c r="AI434" s="548">
        <v>0</v>
      </c>
      <c r="AJ434" s="548">
        <v>0</v>
      </c>
      <c r="AK434" s="548">
        <v>0</v>
      </c>
      <c r="AL434" s="548">
        <v>0</v>
      </c>
      <c r="AM434" s="548">
        <v>0</v>
      </c>
      <c r="AN434" s="548">
        <f t="shared" si="273"/>
        <v>4</v>
      </c>
      <c r="AO434" s="481">
        <v>4</v>
      </c>
      <c r="AP434" s="481">
        <v>0</v>
      </c>
      <c r="AQ434" s="481">
        <v>0</v>
      </c>
      <c r="AR434" s="481">
        <v>0</v>
      </c>
      <c r="AS434" s="481">
        <v>0</v>
      </c>
      <c r="AT434" s="481">
        <v>0</v>
      </c>
      <c r="AU434" s="481">
        <v>0</v>
      </c>
      <c r="AV434" s="481">
        <f t="shared" si="271"/>
        <v>4</v>
      </c>
      <c r="AW434" s="548">
        <v>4</v>
      </c>
      <c r="AX434" s="548">
        <v>0</v>
      </c>
      <c r="AY434" s="548">
        <v>0</v>
      </c>
      <c r="AZ434" s="548">
        <v>0</v>
      </c>
      <c r="BA434" s="548">
        <v>0</v>
      </c>
      <c r="BB434" s="548">
        <v>0</v>
      </c>
      <c r="BC434" s="548">
        <v>0</v>
      </c>
      <c r="BD434" s="548">
        <f t="shared" si="270"/>
        <v>4</v>
      </c>
      <c r="BE434" s="42">
        <f t="shared" si="274"/>
        <v>13</v>
      </c>
      <c r="BF434" s="42">
        <f t="shared" si="274"/>
        <v>0</v>
      </c>
      <c r="BG434" s="42">
        <f t="shared" si="274"/>
        <v>0</v>
      </c>
      <c r="BH434" s="42">
        <f t="shared" si="274"/>
        <v>0</v>
      </c>
      <c r="BI434" s="42">
        <f t="shared" si="274"/>
        <v>0</v>
      </c>
      <c r="BJ434" s="42">
        <f t="shared" si="264"/>
        <v>0</v>
      </c>
      <c r="BK434" s="42">
        <f t="shared" si="275"/>
        <v>0</v>
      </c>
      <c r="BL434" s="42">
        <f t="shared" si="275"/>
        <v>13</v>
      </c>
      <c r="BM434" s="3"/>
    </row>
    <row r="435" spans="1:65" ht="37.5" hidden="1" customHeight="1" x14ac:dyDescent="0.2">
      <c r="A435" s="298" t="s">
        <v>1261</v>
      </c>
      <c r="B435" s="299" t="s">
        <v>1259</v>
      </c>
      <c r="C435" s="1547"/>
      <c r="D435" s="1549"/>
      <c r="E435" s="1549"/>
      <c r="F435" s="1549"/>
      <c r="G435" s="1549"/>
      <c r="H435" s="1549"/>
      <c r="I435" s="1425"/>
      <c r="J435" s="1425"/>
      <c r="K435" s="1425" t="s">
        <v>1321</v>
      </c>
      <c r="L435" s="301" t="s">
        <v>1140</v>
      </c>
      <c r="M435" s="1425" t="s">
        <v>497</v>
      </c>
      <c r="N435" s="476"/>
      <c r="O435" s="1425" t="s">
        <v>73</v>
      </c>
      <c r="P435" s="1425"/>
      <c r="Q435" s="16" t="s">
        <v>1322</v>
      </c>
      <c r="R435" s="302" t="s">
        <v>1323</v>
      </c>
      <c r="S435" s="303">
        <v>2015</v>
      </c>
      <c r="T435" s="303">
        <v>1</v>
      </c>
      <c r="U435" s="303">
        <v>1</v>
      </c>
      <c r="V435" s="303">
        <v>1</v>
      </c>
      <c r="W435" s="303">
        <v>1</v>
      </c>
      <c r="X435" s="303">
        <v>1</v>
      </c>
      <c r="Y435" s="303">
        <v>1</v>
      </c>
      <c r="Z435" s="491">
        <v>3</v>
      </c>
      <c r="AA435" s="481">
        <v>0</v>
      </c>
      <c r="AB435" s="481">
        <v>0</v>
      </c>
      <c r="AC435" s="481">
        <v>0</v>
      </c>
      <c r="AD435" s="481">
        <v>0</v>
      </c>
      <c r="AE435" s="481">
        <v>0</v>
      </c>
      <c r="AF435" s="481">
        <v>0</v>
      </c>
      <c r="AG435" s="481">
        <f t="shared" si="267"/>
        <v>3</v>
      </c>
      <c r="AH435" s="548">
        <v>6</v>
      </c>
      <c r="AI435" s="548">
        <v>0</v>
      </c>
      <c r="AJ435" s="548">
        <v>0</v>
      </c>
      <c r="AK435" s="548">
        <v>0</v>
      </c>
      <c r="AL435" s="548">
        <v>0</v>
      </c>
      <c r="AM435" s="548">
        <v>0</v>
      </c>
      <c r="AN435" s="548">
        <f t="shared" si="273"/>
        <v>6</v>
      </c>
      <c r="AO435" s="481">
        <v>6</v>
      </c>
      <c r="AP435" s="481">
        <v>0</v>
      </c>
      <c r="AQ435" s="481">
        <v>0</v>
      </c>
      <c r="AR435" s="481">
        <v>0</v>
      </c>
      <c r="AS435" s="481">
        <v>0</v>
      </c>
      <c r="AT435" s="481">
        <v>0</v>
      </c>
      <c r="AU435" s="481">
        <v>0</v>
      </c>
      <c r="AV435" s="481">
        <f t="shared" si="271"/>
        <v>6</v>
      </c>
      <c r="AW435" s="548">
        <v>6</v>
      </c>
      <c r="AX435" s="548">
        <v>0</v>
      </c>
      <c r="AY435" s="548">
        <v>0</v>
      </c>
      <c r="AZ435" s="548">
        <v>0</v>
      </c>
      <c r="BA435" s="548">
        <v>0</v>
      </c>
      <c r="BB435" s="548">
        <v>0</v>
      </c>
      <c r="BC435" s="548">
        <v>0</v>
      </c>
      <c r="BD435" s="548">
        <f t="shared" si="270"/>
        <v>6</v>
      </c>
      <c r="BE435" s="42">
        <f t="shared" si="274"/>
        <v>21</v>
      </c>
      <c r="BF435" s="42">
        <f t="shared" si="274"/>
        <v>0</v>
      </c>
      <c r="BG435" s="42">
        <f t="shared" si="274"/>
        <v>0</v>
      </c>
      <c r="BH435" s="42">
        <f t="shared" si="274"/>
        <v>0</v>
      </c>
      <c r="BI435" s="42">
        <f t="shared" si="274"/>
        <v>0</v>
      </c>
      <c r="BJ435" s="42">
        <f t="shared" si="264"/>
        <v>0</v>
      </c>
      <c r="BK435" s="42">
        <f t="shared" si="275"/>
        <v>0</v>
      </c>
      <c r="BL435" s="42">
        <f t="shared" si="275"/>
        <v>21</v>
      </c>
      <c r="BM435" s="3"/>
    </row>
    <row r="436" spans="1:65" ht="37.5" hidden="1" customHeight="1" x14ac:dyDescent="0.2">
      <c r="A436" s="298" t="s">
        <v>1261</v>
      </c>
      <c r="B436" s="299" t="s">
        <v>1259</v>
      </c>
      <c r="C436" s="1547"/>
      <c r="D436" s="1549"/>
      <c r="E436" s="1549"/>
      <c r="F436" s="1549"/>
      <c r="G436" s="1549"/>
      <c r="H436" s="1549"/>
      <c r="I436" s="1425"/>
      <c r="J436" s="1425"/>
      <c r="K436" s="1425" t="s">
        <v>1324</v>
      </c>
      <c r="L436" s="301" t="s">
        <v>1140</v>
      </c>
      <c r="M436" s="1425" t="s">
        <v>497</v>
      </c>
      <c r="N436" s="476"/>
      <c r="O436" s="1425" t="s">
        <v>73</v>
      </c>
      <c r="P436" s="1425"/>
      <c r="Q436" s="71" t="s">
        <v>1325</v>
      </c>
      <c r="R436" s="302" t="s">
        <v>1326</v>
      </c>
      <c r="S436" s="303">
        <v>2015</v>
      </c>
      <c r="T436" s="303">
        <v>0</v>
      </c>
      <c r="U436" s="303">
        <v>1</v>
      </c>
      <c r="V436" s="303">
        <v>1</v>
      </c>
      <c r="W436" s="303">
        <v>1</v>
      </c>
      <c r="X436" s="303">
        <v>1</v>
      </c>
      <c r="Y436" s="303">
        <v>1</v>
      </c>
      <c r="Z436" s="481">
        <v>6</v>
      </c>
      <c r="AA436" s="481"/>
      <c r="AB436" s="481"/>
      <c r="AC436" s="481"/>
      <c r="AD436" s="481"/>
      <c r="AE436" s="481"/>
      <c r="AF436" s="481"/>
      <c r="AG436" s="481">
        <f t="shared" si="267"/>
        <v>6</v>
      </c>
      <c r="AH436" s="548"/>
      <c r="AI436" s="491">
        <v>1</v>
      </c>
      <c r="AJ436" s="716">
        <v>5</v>
      </c>
      <c r="AK436" s="548"/>
      <c r="AL436" s="548"/>
      <c r="AM436" s="548"/>
      <c r="AN436" s="548">
        <f t="shared" si="273"/>
        <v>6</v>
      </c>
      <c r="AO436" s="481"/>
      <c r="AP436" s="491">
        <v>1</v>
      </c>
      <c r="AQ436" s="481"/>
      <c r="AR436" s="481"/>
      <c r="AS436" s="481"/>
      <c r="AT436" s="481"/>
      <c r="AU436" s="481"/>
      <c r="AV436" s="481">
        <f t="shared" si="271"/>
        <v>1</v>
      </c>
      <c r="AW436" s="548"/>
      <c r="AX436" s="491">
        <v>1</v>
      </c>
      <c r="AY436" s="548"/>
      <c r="AZ436" s="548"/>
      <c r="BA436" s="548"/>
      <c r="BB436" s="548"/>
      <c r="BC436" s="548"/>
      <c r="BD436" s="548">
        <f t="shared" si="270"/>
        <v>1</v>
      </c>
      <c r="BE436" s="42">
        <f t="shared" si="274"/>
        <v>6</v>
      </c>
      <c r="BF436" s="42">
        <f t="shared" si="274"/>
        <v>3</v>
      </c>
      <c r="BG436" s="42">
        <f t="shared" si="274"/>
        <v>5</v>
      </c>
      <c r="BH436" s="42">
        <f t="shared" si="274"/>
        <v>0</v>
      </c>
      <c r="BI436" s="42">
        <f t="shared" si="274"/>
        <v>0</v>
      </c>
      <c r="BJ436" s="42">
        <f t="shared" si="264"/>
        <v>0</v>
      </c>
      <c r="BK436" s="42">
        <f t="shared" si="275"/>
        <v>0</v>
      </c>
      <c r="BL436" s="42">
        <f t="shared" si="275"/>
        <v>14</v>
      </c>
      <c r="BM436" s="3"/>
    </row>
    <row r="437" spans="1:65" ht="39" hidden="1" customHeight="1" x14ac:dyDescent="0.2">
      <c r="A437" s="298" t="s">
        <v>1261</v>
      </c>
      <c r="B437" s="299" t="s">
        <v>1259</v>
      </c>
      <c r="C437" s="1547"/>
      <c r="D437" s="1549"/>
      <c r="E437" s="1549"/>
      <c r="F437" s="1549"/>
      <c r="G437" s="1549"/>
      <c r="H437" s="1549"/>
      <c r="I437" s="1425"/>
      <c r="J437" s="1425"/>
      <c r="K437" s="1425" t="s">
        <v>1327</v>
      </c>
      <c r="L437" s="301" t="s">
        <v>1140</v>
      </c>
      <c r="M437" s="1425" t="s">
        <v>497</v>
      </c>
      <c r="N437" s="476"/>
      <c r="O437" s="1425" t="s">
        <v>73</v>
      </c>
      <c r="P437" s="1425"/>
      <c r="Q437" s="16" t="s">
        <v>1328</v>
      </c>
      <c r="R437" s="302" t="s">
        <v>1329</v>
      </c>
      <c r="S437" s="303">
        <v>2015</v>
      </c>
      <c r="T437" s="303">
        <v>0</v>
      </c>
      <c r="U437" s="303">
        <v>1</v>
      </c>
      <c r="V437" s="303">
        <v>1</v>
      </c>
      <c r="W437" s="303">
        <v>1</v>
      </c>
      <c r="X437" s="303">
        <v>1</v>
      </c>
      <c r="Y437" s="303">
        <v>1</v>
      </c>
      <c r="Z437" s="481">
        <v>2</v>
      </c>
      <c r="AA437" s="481"/>
      <c r="AB437" s="481"/>
      <c r="AC437" s="481"/>
      <c r="AD437" s="481"/>
      <c r="AE437" s="481"/>
      <c r="AF437" s="481"/>
      <c r="AG437" s="481">
        <f t="shared" si="267"/>
        <v>2</v>
      </c>
      <c r="AH437" s="548">
        <v>2</v>
      </c>
      <c r="AI437" s="548"/>
      <c r="AJ437" s="548"/>
      <c r="AK437" s="548"/>
      <c r="AL437" s="548"/>
      <c r="AM437" s="548"/>
      <c r="AN437" s="548">
        <f t="shared" si="273"/>
        <v>2</v>
      </c>
      <c r="AO437" s="481">
        <v>2</v>
      </c>
      <c r="AP437" s="481"/>
      <c r="AQ437" s="481"/>
      <c r="AR437" s="481"/>
      <c r="AS437" s="481"/>
      <c r="AT437" s="481"/>
      <c r="AU437" s="481"/>
      <c r="AV437" s="481">
        <f t="shared" si="271"/>
        <v>2</v>
      </c>
      <c r="AW437" s="548">
        <v>2</v>
      </c>
      <c r="AX437" s="548"/>
      <c r="AY437" s="548"/>
      <c r="AZ437" s="548"/>
      <c r="BA437" s="548"/>
      <c r="BB437" s="548"/>
      <c r="BC437" s="548"/>
      <c r="BD437" s="548">
        <f t="shared" si="270"/>
        <v>2</v>
      </c>
      <c r="BE437" s="42">
        <f t="shared" si="274"/>
        <v>8</v>
      </c>
      <c r="BF437" s="42">
        <f t="shared" si="274"/>
        <v>0</v>
      </c>
      <c r="BG437" s="42">
        <f t="shared" si="274"/>
        <v>0</v>
      </c>
      <c r="BH437" s="42">
        <f t="shared" si="274"/>
        <v>0</v>
      </c>
      <c r="BI437" s="42">
        <f t="shared" si="274"/>
        <v>0</v>
      </c>
      <c r="BJ437" s="42">
        <f t="shared" si="264"/>
        <v>0</v>
      </c>
      <c r="BK437" s="42">
        <f t="shared" si="275"/>
        <v>0</v>
      </c>
      <c r="BL437" s="42">
        <f t="shared" si="275"/>
        <v>8</v>
      </c>
      <c r="BM437" s="3"/>
    </row>
    <row r="438" spans="1:65" ht="49.5" hidden="1" customHeight="1" x14ac:dyDescent="0.2">
      <c r="A438" s="298" t="s">
        <v>1261</v>
      </c>
      <c r="B438" s="299" t="s">
        <v>1259</v>
      </c>
      <c r="C438" s="1547"/>
      <c r="D438" s="1549"/>
      <c r="E438" s="1549"/>
      <c r="F438" s="1549"/>
      <c r="G438" s="1549"/>
      <c r="H438" s="1549"/>
      <c r="I438" s="1425"/>
      <c r="J438" s="1425"/>
      <c r="K438" s="1425" t="s">
        <v>1330</v>
      </c>
      <c r="L438" s="301" t="s">
        <v>1140</v>
      </c>
      <c r="M438" s="1425" t="s">
        <v>497</v>
      </c>
      <c r="N438" s="476"/>
      <c r="O438" s="1425" t="s">
        <v>47</v>
      </c>
      <c r="P438" s="1425"/>
      <c r="Q438" s="16" t="s">
        <v>1331</v>
      </c>
      <c r="R438" s="302" t="s">
        <v>337</v>
      </c>
      <c r="S438" s="303">
        <v>2015</v>
      </c>
      <c r="T438" s="303">
        <v>0</v>
      </c>
      <c r="U438" s="303">
        <v>1</v>
      </c>
      <c r="V438" s="303">
        <v>1</v>
      </c>
      <c r="W438" s="303">
        <v>1</v>
      </c>
      <c r="X438" s="303">
        <v>1</v>
      </c>
      <c r="Y438" s="303">
        <v>4</v>
      </c>
      <c r="Z438" s="491">
        <v>1</v>
      </c>
      <c r="AA438" s="481"/>
      <c r="AB438" s="481"/>
      <c r="AC438" s="481"/>
      <c r="AD438" s="481"/>
      <c r="AE438" s="481"/>
      <c r="AF438" s="481"/>
      <c r="AG438" s="481">
        <f t="shared" si="267"/>
        <v>1</v>
      </c>
      <c r="AH438" s="548"/>
      <c r="AI438" s="491">
        <v>1</v>
      </c>
      <c r="AJ438" s="548"/>
      <c r="AK438" s="548"/>
      <c r="AL438" s="548"/>
      <c r="AM438" s="548"/>
      <c r="AN438" s="548">
        <f t="shared" si="273"/>
        <v>1</v>
      </c>
      <c r="AO438" s="481"/>
      <c r="AP438" s="491">
        <v>1</v>
      </c>
      <c r="AQ438" s="481"/>
      <c r="AR438" s="481"/>
      <c r="AS438" s="481"/>
      <c r="AT438" s="481"/>
      <c r="AU438" s="481"/>
      <c r="AV438" s="481">
        <f t="shared" si="271"/>
        <v>1</v>
      </c>
      <c r="AW438" s="548"/>
      <c r="AX438" s="491">
        <v>1</v>
      </c>
      <c r="AY438" s="548"/>
      <c r="AZ438" s="548"/>
      <c r="BA438" s="548"/>
      <c r="BB438" s="548"/>
      <c r="BC438" s="548"/>
      <c r="BD438" s="548">
        <f t="shared" si="270"/>
        <v>1</v>
      </c>
      <c r="BE438" s="42">
        <f t="shared" si="274"/>
        <v>1</v>
      </c>
      <c r="BF438" s="42">
        <f t="shared" si="274"/>
        <v>3</v>
      </c>
      <c r="BG438" s="42">
        <f t="shared" si="274"/>
        <v>0</v>
      </c>
      <c r="BH438" s="42">
        <f t="shared" si="274"/>
        <v>0</v>
      </c>
      <c r="BI438" s="42">
        <f t="shared" si="274"/>
        <v>0</v>
      </c>
      <c r="BJ438" s="42">
        <f t="shared" si="264"/>
        <v>0</v>
      </c>
      <c r="BK438" s="42">
        <f t="shared" si="275"/>
        <v>0</v>
      </c>
      <c r="BL438" s="42">
        <f t="shared" si="275"/>
        <v>4</v>
      </c>
      <c r="BM438" s="3"/>
    </row>
    <row r="439" spans="1:65" ht="49.5" hidden="1" customHeight="1" x14ac:dyDescent="0.2">
      <c r="A439" s="298" t="s">
        <v>1261</v>
      </c>
      <c r="B439" s="299" t="s">
        <v>1259</v>
      </c>
      <c r="C439" s="1547"/>
      <c r="D439" s="1549"/>
      <c r="E439" s="1549"/>
      <c r="F439" s="1549"/>
      <c r="G439" s="1549"/>
      <c r="H439" s="1549"/>
      <c r="I439" s="1425"/>
      <c r="J439" s="1425"/>
      <c r="K439" s="1425" t="s">
        <v>1332</v>
      </c>
      <c r="L439" s="301" t="s">
        <v>1140</v>
      </c>
      <c r="M439" s="1425" t="s">
        <v>497</v>
      </c>
      <c r="N439" s="476"/>
      <c r="O439" s="1425" t="s">
        <v>73</v>
      </c>
      <c r="P439" s="1425"/>
      <c r="Q439" s="16" t="s">
        <v>1333</v>
      </c>
      <c r="R439" s="302" t="s">
        <v>188</v>
      </c>
      <c r="S439" s="303">
        <v>2015</v>
      </c>
      <c r="T439" s="303">
        <v>0</v>
      </c>
      <c r="U439" s="303">
        <v>1</v>
      </c>
      <c r="V439" s="303">
        <v>1</v>
      </c>
      <c r="W439" s="303">
        <v>1</v>
      </c>
      <c r="X439" s="303">
        <v>1</v>
      </c>
      <c r="Y439" s="303">
        <v>1</v>
      </c>
      <c r="Z439" s="481"/>
      <c r="AA439" s="481">
        <v>50</v>
      </c>
      <c r="AB439" s="481"/>
      <c r="AC439" s="481"/>
      <c r="AD439" s="481"/>
      <c r="AE439" s="481"/>
      <c r="AF439" s="481"/>
      <c r="AG439" s="481">
        <f t="shared" si="267"/>
        <v>50</v>
      </c>
      <c r="AH439" s="548"/>
      <c r="AI439" s="548">
        <v>20</v>
      </c>
      <c r="AJ439" s="548"/>
      <c r="AK439" s="548"/>
      <c r="AL439" s="548"/>
      <c r="AM439" s="548"/>
      <c r="AN439" s="548">
        <f t="shared" si="273"/>
        <v>20</v>
      </c>
      <c r="AO439" s="481"/>
      <c r="AP439" s="481">
        <v>20</v>
      </c>
      <c r="AQ439" s="481"/>
      <c r="AR439" s="481"/>
      <c r="AS439" s="481"/>
      <c r="AT439" s="481"/>
      <c r="AU439" s="481"/>
      <c r="AV439" s="481">
        <f t="shared" si="271"/>
        <v>20</v>
      </c>
      <c r="AW439" s="548"/>
      <c r="AX439" s="548">
        <v>20</v>
      </c>
      <c r="AY439" s="548"/>
      <c r="AZ439" s="548"/>
      <c r="BA439" s="548"/>
      <c r="BB439" s="548"/>
      <c r="BC439" s="548"/>
      <c r="BD439" s="548">
        <f t="shared" si="270"/>
        <v>20</v>
      </c>
      <c r="BE439" s="42">
        <f t="shared" si="274"/>
        <v>0</v>
      </c>
      <c r="BF439" s="42">
        <f t="shared" si="274"/>
        <v>110</v>
      </c>
      <c r="BG439" s="42">
        <f t="shared" si="274"/>
        <v>0</v>
      </c>
      <c r="BH439" s="42">
        <f t="shared" si="274"/>
        <v>0</v>
      </c>
      <c r="BI439" s="42">
        <f t="shared" si="274"/>
        <v>0</v>
      </c>
      <c r="BJ439" s="42">
        <f t="shared" si="264"/>
        <v>0</v>
      </c>
      <c r="BK439" s="42">
        <f t="shared" si="275"/>
        <v>0</v>
      </c>
      <c r="BL439" s="42">
        <f t="shared" si="275"/>
        <v>110</v>
      </c>
      <c r="BM439" s="3"/>
    </row>
    <row r="440" spans="1:65" ht="55.5" hidden="1" customHeight="1" x14ac:dyDescent="0.2">
      <c r="A440" s="298" t="s">
        <v>1261</v>
      </c>
      <c r="B440" s="299" t="s">
        <v>1259</v>
      </c>
      <c r="C440" s="1547"/>
      <c r="D440" s="1549"/>
      <c r="E440" s="1549"/>
      <c r="F440" s="1549"/>
      <c r="G440" s="1549"/>
      <c r="H440" s="1549"/>
      <c r="I440" s="1425"/>
      <c r="J440" s="1425"/>
      <c r="K440" s="1425" t="s">
        <v>1334</v>
      </c>
      <c r="L440" s="301" t="s">
        <v>1140</v>
      </c>
      <c r="M440" s="1425" t="s">
        <v>497</v>
      </c>
      <c r="N440" s="476"/>
      <c r="O440" s="1425" t="s">
        <v>73</v>
      </c>
      <c r="P440" s="1425"/>
      <c r="Q440" s="16" t="s">
        <v>1335</v>
      </c>
      <c r="R440" s="302" t="s">
        <v>1336</v>
      </c>
      <c r="S440" s="303">
        <v>2015</v>
      </c>
      <c r="T440" s="303">
        <v>0</v>
      </c>
      <c r="U440" s="303">
        <v>1</v>
      </c>
      <c r="V440" s="303">
        <v>1</v>
      </c>
      <c r="W440" s="303">
        <v>1</v>
      </c>
      <c r="X440" s="303">
        <v>1</v>
      </c>
      <c r="Y440" s="303">
        <v>1</v>
      </c>
      <c r="Z440" s="481">
        <v>10</v>
      </c>
      <c r="AA440" s="481"/>
      <c r="AB440" s="481"/>
      <c r="AC440" s="481"/>
      <c r="AD440" s="481"/>
      <c r="AE440" s="481"/>
      <c r="AF440" s="481"/>
      <c r="AG440" s="481">
        <f t="shared" si="267"/>
        <v>10</v>
      </c>
      <c r="AH440" s="548"/>
      <c r="AI440" s="491">
        <v>1</v>
      </c>
      <c r="AJ440" s="716">
        <v>10</v>
      </c>
      <c r="AK440" s="548"/>
      <c r="AL440" s="548"/>
      <c r="AM440" s="548"/>
      <c r="AN440" s="548">
        <f t="shared" si="273"/>
        <v>11</v>
      </c>
      <c r="AO440" s="481"/>
      <c r="AP440" s="491">
        <v>1</v>
      </c>
      <c r="AQ440" s="481"/>
      <c r="AR440" s="481"/>
      <c r="AS440" s="481"/>
      <c r="AT440" s="481"/>
      <c r="AU440" s="481"/>
      <c r="AV440" s="481">
        <f t="shared" si="271"/>
        <v>1</v>
      </c>
      <c r="AW440" s="548"/>
      <c r="AX440" s="491">
        <v>1</v>
      </c>
      <c r="AY440" s="548"/>
      <c r="AZ440" s="548"/>
      <c r="BA440" s="548"/>
      <c r="BB440" s="548"/>
      <c r="BC440" s="548"/>
      <c r="BD440" s="548">
        <f t="shared" si="270"/>
        <v>1</v>
      </c>
      <c r="BE440" s="42">
        <f t="shared" si="274"/>
        <v>10</v>
      </c>
      <c r="BF440" s="42">
        <f t="shared" si="274"/>
        <v>3</v>
      </c>
      <c r="BG440" s="42">
        <f t="shared" si="274"/>
        <v>10</v>
      </c>
      <c r="BH440" s="42">
        <f t="shared" si="274"/>
        <v>0</v>
      </c>
      <c r="BI440" s="42">
        <f t="shared" si="274"/>
        <v>0</v>
      </c>
      <c r="BJ440" s="42">
        <f t="shared" si="264"/>
        <v>0</v>
      </c>
      <c r="BK440" s="42">
        <f t="shared" si="275"/>
        <v>0</v>
      </c>
      <c r="BL440" s="42">
        <f t="shared" si="275"/>
        <v>23</v>
      </c>
      <c r="BM440" s="3"/>
    </row>
    <row r="441" spans="1:65" ht="53.25" hidden="1" customHeight="1" x14ac:dyDescent="0.2">
      <c r="A441" s="298" t="s">
        <v>1261</v>
      </c>
      <c r="B441" s="299" t="s">
        <v>1259</v>
      </c>
      <c r="C441" s="1547"/>
      <c r="D441" s="1549"/>
      <c r="E441" s="1549"/>
      <c r="F441" s="1549"/>
      <c r="G441" s="1549"/>
      <c r="H441" s="1549"/>
      <c r="I441" s="1425"/>
      <c r="J441" s="1425"/>
      <c r="K441" s="1425" t="s">
        <v>1337</v>
      </c>
      <c r="L441" s="301" t="s">
        <v>1140</v>
      </c>
      <c r="M441" s="1425" t="s">
        <v>497</v>
      </c>
      <c r="N441" s="476"/>
      <c r="O441" s="1425" t="s">
        <v>73</v>
      </c>
      <c r="P441" s="1425"/>
      <c r="Q441" s="71" t="s">
        <v>1338</v>
      </c>
      <c r="R441" s="302" t="s">
        <v>1339</v>
      </c>
      <c r="S441" s="303">
        <v>2015</v>
      </c>
      <c r="T441" s="303">
        <v>1</v>
      </c>
      <c r="U441" s="303">
        <v>1</v>
      </c>
      <c r="V441" s="303">
        <v>1</v>
      </c>
      <c r="W441" s="303">
        <v>1</v>
      </c>
      <c r="X441" s="303">
        <v>1</v>
      </c>
      <c r="Y441" s="303">
        <v>1</v>
      </c>
      <c r="Z441" s="481"/>
      <c r="AA441" s="481">
        <v>15</v>
      </c>
      <c r="AB441" s="481"/>
      <c r="AC441" s="481"/>
      <c r="AD441" s="481"/>
      <c r="AE441" s="481"/>
      <c r="AF441" s="481"/>
      <c r="AG441" s="481">
        <f>SUM(Z441:AF441)</f>
        <v>15</v>
      </c>
      <c r="AH441" s="548">
        <v>15</v>
      </c>
      <c r="AI441" s="548"/>
      <c r="AJ441" s="548"/>
      <c r="AK441" s="548"/>
      <c r="AL441" s="548"/>
      <c r="AM441" s="548"/>
      <c r="AN441" s="548">
        <f>SUM(AH441:AM441)</f>
        <v>15</v>
      </c>
      <c r="AO441" s="481"/>
      <c r="AP441" s="481">
        <v>15</v>
      </c>
      <c r="AQ441" s="481"/>
      <c r="AR441" s="481"/>
      <c r="AS441" s="481"/>
      <c r="AT441" s="481"/>
      <c r="AU441" s="481"/>
      <c r="AV441" s="481">
        <f>SUM(AO441:AU441)</f>
        <v>15</v>
      </c>
      <c r="AW441" s="548"/>
      <c r="AX441" s="548">
        <v>15</v>
      </c>
      <c r="AY441" s="548"/>
      <c r="AZ441" s="548"/>
      <c r="BA441" s="548"/>
      <c r="BB441" s="548"/>
      <c r="BC441" s="548"/>
      <c r="BD441" s="548">
        <f>SUM(AW441:BC441)</f>
        <v>15</v>
      </c>
      <c r="BE441" s="42">
        <f t="shared" si="274"/>
        <v>15</v>
      </c>
      <c r="BF441" s="42">
        <f t="shared" si="274"/>
        <v>45</v>
      </c>
      <c r="BG441" s="42">
        <f t="shared" si="274"/>
        <v>0</v>
      </c>
      <c r="BH441" s="42">
        <f t="shared" si="274"/>
        <v>0</v>
      </c>
      <c r="BI441" s="42">
        <f t="shared" si="274"/>
        <v>0</v>
      </c>
      <c r="BJ441" s="42">
        <f t="shared" si="264"/>
        <v>0</v>
      </c>
      <c r="BK441" s="42">
        <f t="shared" si="275"/>
        <v>0</v>
      </c>
      <c r="BL441" s="42">
        <f t="shared" si="275"/>
        <v>60</v>
      </c>
      <c r="BM441" s="3"/>
    </row>
    <row r="442" spans="1:65" ht="63" hidden="1" customHeight="1" x14ac:dyDescent="0.2">
      <c r="A442" s="298" t="s">
        <v>1261</v>
      </c>
      <c r="B442" s="299" t="s">
        <v>1259</v>
      </c>
      <c r="C442" s="1547"/>
      <c r="D442" s="1549"/>
      <c r="E442" s="1549"/>
      <c r="F442" s="1549"/>
      <c r="G442" s="1549"/>
      <c r="H442" s="1549"/>
      <c r="I442" s="1425"/>
      <c r="J442" s="1425"/>
      <c r="K442" s="1425" t="s">
        <v>1340</v>
      </c>
      <c r="L442" s="301" t="s">
        <v>1140</v>
      </c>
      <c r="M442" s="1425" t="s">
        <v>497</v>
      </c>
      <c r="N442" s="476"/>
      <c r="O442" s="1425" t="s">
        <v>47</v>
      </c>
      <c r="P442" s="1425"/>
      <c r="Q442" s="16" t="s">
        <v>1341</v>
      </c>
      <c r="R442" s="302" t="s">
        <v>1342</v>
      </c>
      <c r="S442" s="303">
        <v>2015</v>
      </c>
      <c r="T442" s="303">
        <v>0</v>
      </c>
      <c r="U442" s="303">
        <v>2</v>
      </c>
      <c r="V442" s="303">
        <v>2</v>
      </c>
      <c r="W442" s="303">
        <v>2</v>
      </c>
      <c r="X442" s="303">
        <v>2</v>
      </c>
      <c r="Y442" s="303">
        <v>8</v>
      </c>
      <c r="Z442" s="481"/>
      <c r="AA442" s="481">
        <v>40</v>
      </c>
      <c r="AB442" s="481"/>
      <c r="AC442" s="481"/>
      <c r="AD442" s="481"/>
      <c r="AE442" s="481"/>
      <c r="AF442" s="481"/>
      <c r="AG442" s="481">
        <f>SUM(Z442:AF442)</f>
        <v>40</v>
      </c>
      <c r="AH442" s="548"/>
      <c r="AI442" s="491">
        <v>18</v>
      </c>
      <c r="AJ442" s="548"/>
      <c r="AK442" s="548"/>
      <c r="AL442" s="548"/>
      <c r="AM442" s="548"/>
      <c r="AN442" s="548">
        <f>SUM(AH442:AM442)</f>
        <v>18</v>
      </c>
      <c r="AO442" s="481"/>
      <c r="AP442" s="491">
        <v>19</v>
      </c>
      <c r="AQ442" s="481"/>
      <c r="AR442" s="481"/>
      <c r="AS442" s="481"/>
      <c r="AT442" s="481"/>
      <c r="AU442" s="481"/>
      <c r="AV442" s="481">
        <f>SUM(AO442:AU442)</f>
        <v>19</v>
      </c>
      <c r="AW442" s="548"/>
      <c r="AX442" s="491">
        <v>20</v>
      </c>
      <c r="AY442" s="548"/>
      <c r="AZ442" s="548"/>
      <c r="BA442" s="548"/>
      <c r="BB442" s="548"/>
      <c r="BC442" s="548"/>
      <c r="BD442" s="548">
        <f>SUM(AW442:BC442)</f>
        <v>20</v>
      </c>
      <c r="BE442" s="42">
        <f t="shared" si="274"/>
        <v>0</v>
      </c>
      <c r="BF442" s="42">
        <f t="shared" si="274"/>
        <v>97</v>
      </c>
      <c r="BG442" s="42">
        <f t="shared" si="274"/>
        <v>0</v>
      </c>
      <c r="BH442" s="42">
        <f t="shared" si="274"/>
        <v>0</v>
      </c>
      <c r="BI442" s="42">
        <f t="shared" si="274"/>
        <v>0</v>
      </c>
      <c r="BJ442" s="42">
        <f>+AE442+AT442+BB442</f>
        <v>0</v>
      </c>
      <c r="BK442" s="42">
        <f>+BC442+AU442+AM442+AF442</f>
        <v>0</v>
      </c>
      <c r="BL442" s="42">
        <f>+BD442+AV442+AN442+AG442</f>
        <v>97</v>
      </c>
      <c r="BM442" s="3"/>
    </row>
    <row r="443" spans="1:65" ht="60.75" hidden="1" customHeight="1" x14ac:dyDescent="0.2">
      <c r="A443" s="298" t="s">
        <v>1261</v>
      </c>
      <c r="B443" s="299" t="s">
        <v>1259</v>
      </c>
      <c r="C443" s="1547"/>
      <c r="D443" s="1549"/>
      <c r="E443" s="1549"/>
      <c r="F443" s="1549"/>
      <c r="G443" s="1549"/>
      <c r="H443" s="1549"/>
      <c r="I443" s="1425"/>
      <c r="J443" s="1425"/>
      <c r="K443" s="1425" t="s">
        <v>1343</v>
      </c>
      <c r="L443" s="301" t="s">
        <v>1140</v>
      </c>
      <c r="M443" s="1425" t="s">
        <v>497</v>
      </c>
      <c r="N443" s="476"/>
      <c r="O443" s="1425" t="s">
        <v>47</v>
      </c>
      <c r="P443" s="1425"/>
      <c r="Q443" s="71" t="s">
        <v>1344</v>
      </c>
      <c r="R443" s="302" t="s">
        <v>1345</v>
      </c>
      <c r="S443" s="303">
        <v>2015</v>
      </c>
      <c r="T443" s="303" t="s">
        <v>177</v>
      </c>
      <c r="U443" s="303">
        <v>12</v>
      </c>
      <c r="V443" s="303">
        <v>12</v>
      </c>
      <c r="W443" s="303">
        <v>12</v>
      </c>
      <c r="X443" s="303">
        <v>12</v>
      </c>
      <c r="Y443" s="303">
        <v>48</v>
      </c>
      <c r="Z443" s="491">
        <v>1</v>
      </c>
      <c r="AA443" s="481"/>
      <c r="AB443" s="481"/>
      <c r="AC443" s="481"/>
      <c r="AD443" s="481"/>
      <c r="AE443" s="481"/>
      <c r="AF443" s="481"/>
      <c r="AG443" s="481">
        <f>SUM(Z443:AF443)</f>
        <v>1</v>
      </c>
      <c r="AH443" s="548"/>
      <c r="AI443" s="491">
        <v>1</v>
      </c>
      <c r="AJ443" s="716">
        <v>5</v>
      </c>
      <c r="AK443" s="548"/>
      <c r="AL443" s="548"/>
      <c r="AM443" s="548"/>
      <c r="AN443" s="548">
        <f>SUM(AH443:AM443)</f>
        <v>6</v>
      </c>
      <c r="AO443" s="481"/>
      <c r="AP443" s="491">
        <v>1</v>
      </c>
      <c r="AQ443" s="481"/>
      <c r="AR443" s="481"/>
      <c r="AS443" s="481"/>
      <c r="AT443" s="481"/>
      <c r="AU443" s="481"/>
      <c r="AV443" s="481">
        <f>SUM(AO443:AU443)</f>
        <v>1</v>
      </c>
      <c r="AW443" s="548"/>
      <c r="AX443" s="491">
        <v>1</v>
      </c>
      <c r="AY443" s="548"/>
      <c r="AZ443" s="548"/>
      <c r="BA443" s="548"/>
      <c r="BB443" s="548"/>
      <c r="BC443" s="548"/>
      <c r="BD443" s="548">
        <f>SUM(AW443:BC443)</f>
        <v>1</v>
      </c>
      <c r="BE443" s="42">
        <f t="shared" si="274"/>
        <v>1</v>
      </c>
      <c r="BF443" s="42">
        <f t="shared" si="274"/>
        <v>3</v>
      </c>
      <c r="BG443" s="42">
        <f t="shared" si="274"/>
        <v>5</v>
      </c>
      <c r="BH443" s="42">
        <f t="shared" si="274"/>
        <v>0</v>
      </c>
      <c r="BI443" s="42">
        <f t="shared" si="274"/>
        <v>0</v>
      </c>
      <c r="BJ443" s="42">
        <f>+AE443+AT443+BB443</f>
        <v>0</v>
      </c>
      <c r="BK443" s="42">
        <f>+BC443+AU443+AM443+AF443</f>
        <v>0</v>
      </c>
      <c r="BL443" s="42">
        <f>+BD443+AV443+AN443+AG443</f>
        <v>9</v>
      </c>
      <c r="BM443" s="3"/>
    </row>
    <row r="444" spans="1:65" ht="57.75" hidden="1" customHeight="1" x14ac:dyDescent="0.2">
      <c r="A444" s="298" t="s">
        <v>1261</v>
      </c>
      <c r="B444" s="299" t="s">
        <v>1259</v>
      </c>
      <c r="C444" s="1548"/>
      <c r="D444" s="1549"/>
      <c r="E444" s="1549"/>
      <c r="F444" s="1549"/>
      <c r="G444" s="1549"/>
      <c r="H444" s="1549"/>
      <c r="I444" s="1425"/>
      <c r="J444" s="1425"/>
      <c r="K444" s="1425" t="s">
        <v>1346</v>
      </c>
      <c r="L444" s="301" t="s">
        <v>1140</v>
      </c>
      <c r="M444" s="1425" t="s">
        <v>497</v>
      </c>
      <c r="N444" s="476"/>
      <c r="O444" s="1425" t="s">
        <v>47</v>
      </c>
      <c r="P444" s="1425"/>
      <c r="Q444" s="16" t="s">
        <v>1347</v>
      </c>
      <c r="R444" s="302" t="s">
        <v>1348</v>
      </c>
      <c r="S444" s="303">
        <v>2015</v>
      </c>
      <c r="T444" s="303">
        <v>0</v>
      </c>
      <c r="U444" s="303">
        <v>0</v>
      </c>
      <c r="V444" s="303">
        <v>1</v>
      </c>
      <c r="W444" s="303">
        <v>0</v>
      </c>
      <c r="X444" s="303">
        <v>0</v>
      </c>
      <c r="Y444" s="303">
        <v>1</v>
      </c>
      <c r="Z444" s="481"/>
      <c r="AA444" s="481"/>
      <c r="AB444" s="481"/>
      <c r="AC444" s="481"/>
      <c r="AD444" s="481"/>
      <c r="AE444" s="481"/>
      <c r="AF444" s="481"/>
      <c r="AG444" s="481">
        <f>SUM(Z444:AF444)</f>
        <v>0</v>
      </c>
      <c r="AH444" s="548"/>
      <c r="AI444" s="491">
        <v>1</v>
      </c>
      <c r="AJ444" s="548"/>
      <c r="AK444" s="548"/>
      <c r="AL444" s="548"/>
      <c r="AM444" s="548"/>
      <c r="AN444" s="548">
        <f>SUM(AH444:AM444)</f>
        <v>1</v>
      </c>
      <c r="AO444" s="481"/>
      <c r="AP444" s="481"/>
      <c r="AQ444" s="481"/>
      <c r="AR444" s="481"/>
      <c r="AS444" s="481"/>
      <c r="AT444" s="481"/>
      <c r="AU444" s="481"/>
      <c r="AV444" s="481">
        <f>SUM(AO444:AU444)</f>
        <v>0</v>
      </c>
      <c r="AW444" s="548"/>
      <c r="AX444" s="548"/>
      <c r="AY444" s="548"/>
      <c r="AZ444" s="548"/>
      <c r="BA444" s="548"/>
      <c r="BB444" s="548"/>
      <c r="BC444" s="548"/>
      <c r="BD444" s="548">
        <f>SUM(AW444:BC444)</f>
        <v>0</v>
      </c>
      <c r="BE444" s="42">
        <f t="shared" si="274"/>
        <v>0</v>
      </c>
      <c r="BF444" s="42">
        <f t="shared" si="274"/>
        <v>1</v>
      </c>
      <c r="BG444" s="42">
        <f t="shared" si="274"/>
        <v>0</v>
      </c>
      <c r="BH444" s="42">
        <f t="shared" si="274"/>
        <v>0</v>
      </c>
      <c r="BI444" s="42">
        <f t="shared" si="274"/>
        <v>0</v>
      </c>
      <c r="BJ444" s="42">
        <f t="shared" si="264"/>
        <v>0</v>
      </c>
      <c r="BK444" s="42">
        <f t="shared" si="275"/>
        <v>0</v>
      </c>
      <c r="BL444" s="42">
        <f t="shared" si="275"/>
        <v>1</v>
      </c>
      <c r="BM444" s="3"/>
    </row>
    <row r="445" spans="1:65" ht="22.8" x14ac:dyDescent="0.25">
      <c r="A445" s="604"/>
      <c r="B445" s="1571" t="s">
        <v>1349</v>
      </c>
      <c r="C445" s="1572"/>
      <c r="D445" s="1572"/>
      <c r="E445" s="1572"/>
      <c r="F445" s="1572"/>
      <c r="G445" s="1572"/>
      <c r="H445" s="1572"/>
      <c r="I445" s="1572"/>
      <c r="J445" s="1572"/>
      <c r="K445" s="1572"/>
      <c r="L445" s="1572"/>
      <c r="M445" s="1573"/>
      <c r="N445" s="8"/>
      <c r="O445" s="8"/>
      <c r="P445" s="8"/>
      <c r="Q445" s="20"/>
      <c r="R445" s="20"/>
      <c r="S445" s="8"/>
      <c r="T445" s="8"/>
      <c r="U445" s="8"/>
      <c r="V445" s="65"/>
      <c r="W445" s="65"/>
      <c r="X445" s="65"/>
      <c r="Y445" s="65"/>
      <c r="Z445" s="36">
        <f t="shared" ref="Z445:AF445" si="276">+Z447+Z483</f>
        <v>249.2</v>
      </c>
      <c r="AA445" s="36">
        <f t="shared" si="276"/>
        <v>108</v>
      </c>
      <c r="AB445" s="36">
        <f t="shared" si="276"/>
        <v>27.299999999999997</v>
      </c>
      <c r="AC445" s="36">
        <f t="shared" si="276"/>
        <v>0</v>
      </c>
      <c r="AD445" s="36">
        <f t="shared" si="276"/>
        <v>0</v>
      </c>
      <c r="AE445" s="36">
        <f t="shared" si="276"/>
        <v>69.599999999999994</v>
      </c>
      <c r="AF445" s="36">
        <f t="shared" si="276"/>
        <v>0</v>
      </c>
      <c r="AG445" s="36">
        <f>SUM(Z445:AF445)</f>
        <v>454.1</v>
      </c>
      <c r="AH445" s="36">
        <f t="shared" ref="AH445:AM445" si="277">+AH447+AH483</f>
        <v>302</v>
      </c>
      <c r="AI445" s="36">
        <f t="shared" si="277"/>
        <v>113</v>
      </c>
      <c r="AJ445" s="36">
        <f t="shared" si="277"/>
        <v>87.9</v>
      </c>
      <c r="AK445" s="36">
        <f t="shared" si="277"/>
        <v>0</v>
      </c>
      <c r="AL445" s="36">
        <f t="shared" si="277"/>
        <v>0</v>
      </c>
      <c r="AM445" s="36">
        <f t="shared" si="277"/>
        <v>100</v>
      </c>
      <c r="AN445" s="36">
        <f>SUM(AH445:AM445)</f>
        <v>602.9</v>
      </c>
      <c r="AO445" s="36">
        <f t="shared" ref="AO445:AU445" si="278">+AO447+AO483</f>
        <v>291</v>
      </c>
      <c r="AP445" s="36">
        <f t="shared" si="278"/>
        <v>112</v>
      </c>
      <c r="AQ445" s="36">
        <f t="shared" si="278"/>
        <v>28.8</v>
      </c>
      <c r="AR445" s="36">
        <f t="shared" si="278"/>
        <v>0</v>
      </c>
      <c r="AS445" s="36">
        <f t="shared" si="278"/>
        <v>0</v>
      </c>
      <c r="AT445" s="36">
        <f t="shared" si="278"/>
        <v>0</v>
      </c>
      <c r="AU445" s="36">
        <f t="shared" si="278"/>
        <v>0</v>
      </c>
      <c r="AV445" s="36">
        <f>SUM(AO445:AU445)</f>
        <v>431.8</v>
      </c>
      <c r="AW445" s="36">
        <f t="shared" ref="AW445:BC445" si="279">+AW447+AW483</f>
        <v>347</v>
      </c>
      <c r="AX445" s="36">
        <f t="shared" si="279"/>
        <v>100</v>
      </c>
      <c r="AY445" s="36">
        <f t="shared" si="279"/>
        <v>29</v>
      </c>
      <c r="AZ445" s="36">
        <f t="shared" si="279"/>
        <v>0</v>
      </c>
      <c r="BA445" s="36">
        <f t="shared" si="279"/>
        <v>0</v>
      </c>
      <c r="BB445" s="36">
        <f t="shared" si="279"/>
        <v>0</v>
      </c>
      <c r="BC445" s="36">
        <f t="shared" si="279"/>
        <v>0</v>
      </c>
      <c r="BD445" s="36">
        <f>SUM(AW445:BC445)</f>
        <v>476</v>
      </c>
      <c r="BE445" s="36">
        <f t="shared" si="274"/>
        <v>1189.2</v>
      </c>
      <c r="BF445" s="36">
        <f t="shared" si="274"/>
        <v>433</v>
      </c>
      <c r="BG445" s="36">
        <f t="shared" si="274"/>
        <v>173</v>
      </c>
      <c r="BH445" s="36">
        <f t="shared" si="274"/>
        <v>0</v>
      </c>
      <c r="BI445" s="36">
        <f t="shared" si="274"/>
        <v>0</v>
      </c>
      <c r="BJ445" s="36">
        <f t="shared" si="264"/>
        <v>69.599999999999994</v>
      </c>
      <c r="BK445" s="36">
        <f t="shared" si="275"/>
        <v>100</v>
      </c>
      <c r="BL445" s="36">
        <f t="shared" si="275"/>
        <v>1964.7999999999997</v>
      </c>
    </row>
    <row r="446" spans="1:65" ht="1.5" customHeight="1" x14ac:dyDescent="0.25">
      <c r="A446" s="151"/>
      <c r="B446" s="18"/>
      <c r="C446" s="18"/>
      <c r="D446" s="8"/>
      <c r="E446" s="8"/>
      <c r="F446" s="8"/>
      <c r="G446" s="8"/>
      <c r="H446" s="8"/>
      <c r="I446" s="8"/>
      <c r="J446" s="8"/>
      <c r="K446" s="8"/>
      <c r="L446" s="8"/>
      <c r="M446" s="8"/>
      <c r="N446" s="8"/>
      <c r="O446" s="8"/>
      <c r="P446" s="8"/>
      <c r="Q446" s="1438"/>
      <c r="R446" s="20"/>
      <c r="S446" s="8"/>
      <c r="T446" s="8"/>
      <c r="U446" s="8"/>
      <c r="V446" s="65"/>
      <c r="W446" s="47"/>
      <c r="X446" s="47"/>
      <c r="Y446" s="65"/>
      <c r="Z446" s="32">
        <v>73.13</v>
      </c>
      <c r="AA446" s="32">
        <v>108</v>
      </c>
      <c r="AB446" s="32">
        <v>11.7</v>
      </c>
      <c r="AC446" s="32"/>
      <c r="AD446" s="32"/>
      <c r="AE446" s="32">
        <v>54.8</v>
      </c>
      <c r="AF446" s="32"/>
      <c r="AG446" s="32"/>
      <c r="AH446" s="32">
        <f>+Z446*1.04</f>
        <v>76.055199999999999</v>
      </c>
      <c r="AI446" s="32">
        <f>+AA446*1.04</f>
        <v>112.32000000000001</v>
      </c>
      <c r="AJ446" s="32">
        <f>+AB446*1.04</f>
        <v>12.167999999999999</v>
      </c>
      <c r="AK446" s="32"/>
      <c r="AL446" s="32"/>
      <c r="AM446" s="32"/>
      <c r="AN446" s="32"/>
      <c r="AO446" s="32">
        <f>+AH446*1.04</f>
        <v>79.097408000000001</v>
      </c>
      <c r="AP446" s="32">
        <f>+AI446*1.04</f>
        <v>116.81280000000001</v>
      </c>
      <c r="AQ446" s="32">
        <f>+AJ446*1.04</f>
        <v>12.654719999999999</v>
      </c>
      <c r="AR446" s="32"/>
      <c r="AS446" s="32"/>
      <c r="AT446" s="32"/>
      <c r="AU446" s="32"/>
      <c r="AV446" s="32"/>
      <c r="AW446" s="32">
        <f>+AO446*1.04</f>
        <v>82.261304320000008</v>
      </c>
      <c r="AX446" s="32">
        <f>+AP446*1.04</f>
        <v>121.48531200000001</v>
      </c>
      <c r="AY446" s="32">
        <f>+AQ446*1.04</f>
        <v>13.1609088</v>
      </c>
      <c r="AZ446" s="32"/>
      <c r="BA446" s="32"/>
      <c r="BB446" s="32"/>
      <c r="BC446" s="32"/>
      <c r="BD446" s="32"/>
      <c r="BE446" s="32">
        <f t="shared" si="274"/>
        <v>310.54391232</v>
      </c>
      <c r="BF446" s="32">
        <f t="shared" si="274"/>
        <v>458.618112</v>
      </c>
      <c r="BG446" s="32">
        <f t="shared" si="274"/>
        <v>49.683628799999994</v>
      </c>
      <c r="BH446" s="32">
        <f t="shared" si="274"/>
        <v>0</v>
      </c>
      <c r="BI446" s="32">
        <f t="shared" si="274"/>
        <v>0</v>
      </c>
      <c r="BJ446" s="32">
        <f t="shared" si="264"/>
        <v>54.8</v>
      </c>
      <c r="BK446" s="32">
        <f t="shared" si="275"/>
        <v>0</v>
      </c>
      <c r="BL446" s="32">
        <f t="shared" si="275"/>
        <v>0</v>
      </c>
    </row>
    <row r="447" spans="1:65" ht="20.25" hidden="1" x14ac:dyDescent="0.2">
      <c r="A447" s="420"/>
      <c r="B447" s="1565" t="s">
        <v>1350</v>
      </c>
      <c r="C447" s="1566"/>
      <c r="D447" s="1566"/>
      <c r="E447" s="1566"/>
      <c r="F447" s="1566"/>
      <c r="G447" s="1566"/>
      <c r="H447" s="1566"/>
      <c r="I447" s="1566"/>
      <c r="J447" s="1566"/>
      <c r="K447" s="1566"/>
      <c r="L447" s="1566"/>
      <c r="M447" s="1567"/>
      <c r="N447" s="597"/>
      <c r="O447" s="597"/>
      <c r="P447" s="597"/>
      <c r="Q447" s="598"/>
      <c r="R447" s="598"/>
      <c r="S447" s="597"/>
      <c r="T447" s="597"/>
      <c r="U447" s="597"/>
      <c r="V447" s="599"/>
      <c r="W447" s="599"/>
      <c r="X447" s="599"/>
      <c r="Y447" s="599"/>
      <c r="Z447" s="600">
        <f>+Z448</f>
        <v>73.5</v>
      </c>
      <c r="AA447" s="600">
        <f t="shared" ref="AA447:AF447" si="280">+AA448</f>
        <v>108</v>
      </c>
      <c r="AB447" s="600">
        <f t="shared" si="280"/>
        <v>11.7</v>
      </c>
      <c r="AC447" s="600">
        <f t="shared" si="280"/>
        <v>0</v>
      </c>
      <c r="AD447" s="600">
        <f t="shared" si="280"/>
        <v>0</v>
      </c>
      <c r="AE447" s="600">
        <f t="shared" si="280"/>
        <v>54.8</v>
      </c>
      <c r="AF447" s="600">
        <f t="shared" si="280"/>
        <v>0</v>
      </c>
      <c r="AG447" s="600">
        <f t="shared" ref="AG447:AG481" si="281">SUM(Z447:AF447)</f>
        <v>248</v>
      </c>
      <c r="AH447" s="600">
        <f t="shared" ref="AH447:AM447" si="282">+AH448</f>
        <v>120</v>
      </c>
      <c r="AI447" s="600">
        <f t="shared" si="282"/>
        <v>113</v>
      </c>
      <c r="AJ447" s="600">
        <f t="shared" si="282"/>
        <v>59.9</v>
      </c>
      <c r="AK447" s="600">
        <f t="shared" si="282"/>
        <v>0</v>
      </c>
      <c r="AL447" s="600">
        <f t="shared" si="282"/>
        <v>0</v>
      </c>
      <c r="AM447" s="600">
        <f t="shared" si="282"/>
        <v>100</v>
      </c>
      <c r="AN447" s="600">
        <f t="shared" ref="AN447:AN459" si="283">SUM(AH447:AM447)</f>
        <v>392.9</v>
      </c>
      <c r="AO447" s="600">
        <f t="shared" ref="AO447:AU447" si="284">+AO448</f>
        <v>101</v>
      </c>
      <c r="AP447" s="600">
        <f t="shared" si="284"/>
        <v>112</v>
      </c>
      <c r="AQ447" s="600">
        <f t="shared" si="284"/>
        <v>12</v>
      </c>
      <c r="AR447" s="600">
        <f t="shared" si="284"/>
        <v>0</v>
      </c>
      <c r="AS447" s="600">
        <f t="shared" si="284"/>
        <v>0</v>
      </c>
      <c r="AT447" s="600">
        <f t="shared" si="284"/>
        <v>0</v>
      </c>
      <c r="AU447" s="600">
        <f t="shared" si="284"/>
        <v>0</v>
      </c>
      <c r="AV447" s="600">
        <f t="shared" ref="AV447:AV473" si="285">SUM(AO447:AU447)</f>
        <v>225</v>
      </c>
      <c r="AW447" s="600">
        <f t="shared" ref="AW447:BC447" si="286">+AW448</f>
        <v>150</v>
      </c>
      <c r="AX447" s="600">
        <f t="shared" si="286"/>
        <v>100</v>
      </c>
      <c r="AY447" s="600">
        <f t="shared" si="286"/>
        <v>12</v>
      </c>
      <c r="AZ447" s="600">
        <f t="shared" si="286"/>
        <v>0</v>
      </c>
      <c r="BA447" s="600">
        <f t="shared" si="286"/>
        <v>0</v>
      </c>
      <c r="BB447" s="600">
        <f t="shared" si="286"/>
        <v>0</v>
      </c>
      <c r="BC447" s="600">
        <f t="shared" si="286"/>
        <v>0</v>
      </c>
      <c r="BD447" s="600">
        <f t="shared" ref="BD447:BD473" si="287">SUM(AW447:BC447)</f>
        <v>262</v>
      </c>
      <c r="BE447" s="33">
        <f t="shared" si="274"/>
        <v>444.5</v>
      </c>
      <c r="BF447" s="33">
        <f t="shared" si="274"/>
        <v>433</v>
      </c>
      <c r="BG447" s="33">
        <f t="shared" si="274"/>
        <v>95.600000000000009</v>
      </c>
      <c r="BH447" s="33">
        <f t="shared" si="274"/>
        <v>0</v>
      </c>
      <c r="BI447" s="33">
        <f t="shared" si="274"/>
        <v>0</v>
      </c>
      <c r="BJ447" s="33">
        <f t="shared" si="264"/>
        <v>54.8</v>
      </c>
      <c r="BK447" s="33">
        <f t="shared" si="275"/>
        <v>100</v>
      </c>
      <c r="BL447" s="33">
        <f t="shared" si="275"/>
        <v>1127.9000000000001</v>
      </c>
    </row>
    <row r="448" spans="1:65" ht="12.75" hidden="1" x14ac:dyDescent="0.2">
      <c r="A448" s="603"/>
      <c r="B448" s="155" t="s">
        <v>1351</v>
      </c>
      <c r="C448" s="155"/>
      <c r="D448" s="2" t="s">
        <v>1352</v>
      </c>
      <c r="E448" s="1"/>
      <c r="F448" s="1"/>
      <c r="G448" s="1"/>
      <c r="H448" s="1"/>
      <c r="I448" s="1"/>
      <c r="J448" s="1"/>
      <c r="K448" s="1"/>
      <c r="L448" s="1"/>
      <c r="M448" s="1"/>
      <c r="N448" s="1"/>
      <c r="O448" s="1"/>
      <c r="P448" s="1"/>
      <c r="Q448" s="22"/>
      <c r="R448" s="22"/>
      <c r="S448" s="1"/>
      <c r="T448" s="1"/>
      <c r="U448" s="1"/>
      <c r="V448" s="49"/>
      <c r="W448" s="49"/>
      <c r="X448" s="49"/>
      <c r="Y448" s="49"/>
      <c r="Z448" s="34">
        <f t="shared" ref="Z448:AF448" si="288">SUM(Z449:Z478)</f>
        <v>73.5</v>
      </c>
      <c r="AA448" s="34">
        <f t="shared" si="288"/>
        <v>108</v>
      </c>
      <c r="AB448" s="34">
        <f t="shared" si="288"/>
        <v>11.7</v>
      </c>
      <c r="AC448" s="34">
        <f t="shared" si="288"/>
        <v>0</v>
      </c>
      <c r="AD448" s="34">
        <f t="shared" si="288"/>
        <v>0</v>
      </c>
      <c r="AE448" s="34">
        <f t="shared" si="288"/>
        <v>54.8</v>
      </c>
      <c r="AF448" s="34">
        <f t="shared" si="288"/>
        <v>0</v>
      </c>
      <c r="AG448" s="34">
        <f t="shared" si="281"/>
        <v>248</v>
      </c>
      <c r="AH448" s="34">
        <f t="shared" ref="AH448:AM448" si="289">SUM(AH449:AH478)</f>
        <v>120</v>
      </c>
      <c r="AI448" s="34">
        <f>SUM(AI449:AI480)</f>
        <v>113</v>
      </c>
      <c r="AJ448" s="34">
        <f t="shared" si="289"/>
        <v>59.9</v>
      </c>
      <c r="AK448" s="34">
        <f t="shared" si="289"/>
        <v>0</v>
      </c>
      <c r="AL448" s="34">
        <f t="shared" si="289"/>
        <v>0</v>
      </c>
      <c r="AM448" s="34">
        <f t="shared" si="289"/>
        <v>100</v>
      </c>
      <c r="AN448" s="34">
        <f t="shared" si="283"/>
        <v>392.9</v>
      </c>
      <c r="AO448" s="34">
        <f t="shared" ref="AO448:AU448" si="290">SUM(AO449:AO478)</f>
        <v>101</v>
      </c>
      <c r="AP448" s="34">
        <f t="shared" si="290"/>
        <v>112</v>
      </c>
      <c r="AQ448" s="34">
        <f t="shared" si="290"/>
        <v>12</v>
      </c>
      <c r="AR448" s="34">
        <f t="shared" si="290"/>
        <v>0</v>
      </c>
      <c r="AS448" s="34">
        <f t="shared" si="290"/>
        <v>0</v>
      </c>
      <c r="AT448" s="34">
        <f t="shared" si="290"/>
        <v>0</v>
      </c>
      <c r="AU448" s="34">
        <f t="shared" si="290"/>
        <v>0</v>
      </c>
      <c r="AV448" s="34">
        <f t="shared" si="285"/>
        <v>225</v>
      </c>
      <c r="AW448" s="34">
        <f t="shared" ref="AW448:BC448" si="291">SUM(AW449:AW478)</f>
        <v>150</v>
      </c>
      <c r="AX448" s="34">
        <f t="shared" si="291"/>
        <v>100</v>
      </c>
      <c r="AY448" s="34">
        <f t="shared" si="291"/>
        <v>12</v>
      </c>
      <c r="AZ448" s="34">
        <f t="shared" si="291"/>
        <v>0</v>
      </c>
      <c r="BA448" s="34">
        <f t="shared" si="291"/>
        <v>0</v>
      </c>
      <c r="BB448" s="34">
        <f t="shared" si="291"/>
        <v>0</v>
      </c>
      <c r="BC448" s="34">
        <f t="shared" si="291"/>
        <v>0</v>
      </c>
      <c r="BD448" s="34">
        <f t="shared" si="287"/>
        <v>262</v>
      </c>
      <c r="BE448" s="34">
        <f t="shared" si="274"/>
        <v>444.5</v>
      </c>
      <c r="BF448" s="34">
        <f t="shared" si="274"/>
        <v>433</v>
      </c>
      <c r="BG448" s="34">
        <f t="shared" si="274"/>
        <v>95.600000000000009</v>
      </c>
      <c r="BH448" s="34">
        <f t="shared" si="274"/>
        <v>0</v>
      </c>
      <c r="BI448" s="34">
        <f t="shared" si="274"/>
        <v>0</v>
      </c>
      <c r="BJ448" s="34">
        <f t="shared" si="264"/>
        <v>54.8</v>
      </c>
      <c r="BK448" s="34">
        <f t="shared" si="275"/>
        <v>100</v>
      </c>
      <c r="BL448" s="34">
        <f t="shared" si="275"/>
        <v>1127.9000000000001</v>
      </c>
    </row>
    <row r="449" spans="1:64" ht="50.25" hidden="1" customHeight="1" x14ac:dyDescent="0.2">
      <c r="A449" s="298" t="s">
        <v>1353</v>
      </c>
      <c r="B449" s="299" t="s">
        <v>1351</v>
      </c>
      <c r="C449" s="1546" t="s">
        <v>1354</v>
      </c>
      <c r="D449" s="1550" t="s">
        <v>1355</v>
      </c>
      <c r="E449" s="1550" t="s">
        <v>1356</v>
      </c>
      <c r="F449" s="1550">
        <v>2015</v>
      </c>
      <c r="G449" s="1550">
        <v>12676</v>
      </c>
      <c r="H449" s="1550">
        <v>14000</v>
      </c>
      <c r="I449" s="1428"/>
      <c r="J449" s="1428"/>
      <c r="K449" s="1428" t="s">
        <v>1357</v>
      </c>
      <c r="L449" s="301" t="s">
        <v>1358</v>
      </c>
      <c r="M449" s="1425" t="s">
        <v>902</v>
      </c>
      <c r="N449" s="476" t="s">
        <v>903</v>
      </c>
      <c r="O449" s="1425" t="s">
        <v>47</v>
      </c>
      <c r="P449" s="1425"/>
      <c r="Q449" s="16" t="s">
        <v>1359</v>
      </c>
      <c r="R449" s="302" t="s">
        <v>1360</v>
      </c>
      <c r="S449" s="303">
        <v>2015</v>
      </c>
      <c r="T449" s="303">
        <v>195</v>
      </c>
      <c r="U449" s="303">
        <v>10</v>
      </c>
      <c r="V449" s="572">
        <v>20</v>
      </c>
      <c r="W449" s="572">
        <v>30</v>
      </c>
      <c r="X449" s="572">
        <v>44</v>
      </c>
      <c r="Y449" s="572">
        <v>44</v>
      </c>
      <c r="Z449" s="481"/>
      <c r="AA449" s="491">
        <v>1</v>
      </c>
      <c r="AB449" s="481"/>
      <c r="AC449" s="481"/>
      <c r="AD449" s="481"/>
      <c r="AE449" s="481"/>
      <c r="AF449" s="481"/>
      <c r="AG449" s="481">
        <f t="shared" si="281"/>
        <v>1</v>
      </c>
      <c r="AH449" s="548"/>
      <c r="AI449" s="491">
        <v>1</v>
      </c>
      <c r="AJ449" s="716">
        <v>5</v>
      </c>
      <c r="AK449" s="548"/>
      <c r="AL449" s="548"/>
      <c r="AM449" s="548"/>
      <c r="AN449" s="548">
        <f t="shared" si="283"/>
        <v>6</v>
      </c>
      <c r="AO449" s="481"/>
      <c r="AP449" s="491">
        <v>1</v>
      </c>
      <c r="AQ449" s="481"/>
      <c r="AR449" s="481"/>
      <c r="AS449" s="481"/>
      <c r="AT449" s="481"/>
      <c r="AU449" s="481"/>
      <c r="AV449" s="481">
        <f t="shared" si="285"/>
        <v>1</v>
      </c>
      <c r="AW449" s="548"/>
      <c r="AX449" s="491">
        <v>10</v>
      </c>
      <c r="AY449" s="548"/>
      <c r="AZ449" s="548"/>
      <c r="BA449" s="548"/>
      <c r="BB449" s="548"/>
      <c r="BC449" s="548"/>
      <c r="BD449" s="548">
        <f t="shared" si="287"/>
        <v>10</v>
      </c>
      <c r="BE449" s="42">
        <f t="shared" si="274"/>
        <v>0</v>
      </c>
      <c r="BF449" s="42">
        <f t="shared" si="274"/>
        <v>13</v>
      </c>
      <c r="BG449" s="42">
        <f t="shared" si="274"/>
        <v>5</v>
      </c>
      <c r="BH449" s="42">
        <f t="shared" si="274"/>
        <v>0</v>
      </c>
      <c r="BI449" s="42">
        <f t="shared" si="274"/>
        <v>0</v>
      </c>
      <c r="BJ449" s="42">
        <f t="shared" si="264"/>
        <v>0</v>
      </c>
      <c r="BK449" s="42">
        <f t="shared" si="275"/>
        <v>0</v>
      </c>
      <c r="BL449" s="42">
        <f t="shared" si="275"/>
        <v>18</v>
      </c>
    </row>
    <row r="450" spans="1:64" ht="79.5" hidden="1" customHeight="1" x14ac:dyDescent="0.2">
      <c r="A450" s="298" t="s">
        <v>1353</v>
      </c>
      <c r="B450" s="299" t="s">
        <v>1351</v>
      </c>
      <c r="C450" s="1547"/>
      <c r="D450" s="1551"/>
      <c r="E450" s="1551"/>
      <c r="F450" s="1551"/>
      <c r="G450" s="1551"/>
      <c r="H450" s="1551"/>
      <c r="I450" s="1425" t="s">
        <v>53</v>
      </c>
      <c r="J450" s="1425"/>
      <c r="K450" s="1428" t="s">
        <v>1361</v>
      </c>
      <c r="L450" s="301" t="s">
        <v>1358</v>
      </c>
      <c r="M450" s="1425" t="s">
        <v>902</v>
      </c>
      <c r="N450" s="476" t="s">
        <v>903</v>
      </c>
      <c r="O450" s="1425" t="s">
        <v>47</v>
      </c>
      <c r="P450" s="1425"/>
      <c r="Q450" s="16" t="s">
        <v>1362</v>
      </c>
      <c r="R450" s="302" t="s">
        <v>1363</v>
      </c>
      <c r="S450" s="303">
        <v>2015</v>
      </c>
      <c r="T450" s="303">
        <v>0</v>
      </c>
      <c r="U450" s="303">
        <v>3</v>
      </c>
      <c r="V450" s="572">
        <v>6</v>
      </c>
      <c r="W450" s="572">
        <v>9</v>
      </c>
      <c r="X450" s="572">
        <v>12</v>
      </c>
      <c r="Y450" s="572">
        <v>12</v>
      </c>
      <c r="Z450" s="481"/>
      <c r="AA450" s="491">
        <v>23</v>
      </c>
      <c r="AB450" s="481"/>
      <c r="AC450" s="481"/>
      <c r="AD450" s="481"/>
      <c r="AE450" s="481"/>
      <c r="AF450" s="481"/>
      <c r="AG450" s="481">
        <f t="shared" si="281"/>
        <v>23</v>
      </c>
      <c r="AH450" s="548"/>
      <c r="AI450" s="491">
        <v>23</v>
      </c>
      <c r="AJ450" s="548"/>
      <c r="AK450" s="548"/>
      <c r="AL450" s="548"/>
      <c r="AM450" s="548"/>
      <c r="AN450" s="548">
        <f t="shared" si="283"/>
        <v>23</v>
      </c>
      <c r="AO450" s="481"/>
      <c r="AP450" s="491">
        <v>20</v>
      </c>
      <c r="AQ450" s="481"/>
      <c r="AR450" s="481"/>
      <c r="AS450" s="481"/>
      <c r="AT450" s="481"/>
      <c r="AU450" s="481"/>
      <c r="AV450" s="481">
        <f t="shared" si="285"/>
        <v>20</v>
      </c>
      <c r="AW450" s="548"/>
      <c r="AX450" s="491">
        <v>20</v>
      </c>
      <c r="AY450" s="548"/>
      <c r="AZ450" s="548"/>
      <c r="BA450" s="548"/>
      <c r="BB450" s="548"/>
      <c r="BC450" s="548"/>
      <c r="BD450" s="548">
        <f t="shared" si="287"/>
        <v>20</v>
      </c>
      <c r="BE450" s="42">
        <f t="shared" si="274"/>
        <v>0</v>
      </c>
      <c r="BF450" s="42">
        <f t="shared" si="274"/>
        <v>86</v>
      </c>
      <c r="BG450" s="42">
        <f t="shared" si="274"/>
        <v>0</v>
      </c>
      <c r="BH450" s="42">
        <f t="shared" si="274"/>
        <v>0</v>
      </c>
      <c r="BI450" s="42">
        <f t="shared" si="274"/>
        <v>0</v>
      </c>
      <c r="BJ450" s="42">
        <f t="shared" si="264"/>
        <v>0</v>
      </c>
      <c r="BK450" s="42">
        <f t="shared" si="275"/>
        <v>0</v>
      </c>
      <c r="BL450" s="42">
        <f t="shared" si="275"/>
        <v>86</v>
      </c>
    </row>
    <row r="451" spans="1:64" ht="90" hidden="1" customHeight="1" x14ac:dyDescent="0.2">
      <c r="A451" s="298" t="s">
        <v>1353</v>
      </c>
      <c r="B451" s="299" t="s">
        <v>1351</v>
      </c>
      <c r="C451" s="1547"/>
      <c r="D451" s="1551"/>
      <c r="E451" s="1551"/>
      <c r="F451" s="1551"/>
      <c r="G451" s="1551"/>
      <c r="H451" s="1551"/>
      <c r="I451" s="1425"/>
      <c r="J451" s="1425"/>
      <c r="K451" s="1428" t="s">
        <v>1364</v>
      </c>
      <c r="L451" s="301" t="s">
        <v>1358</v>
      </c>
      <c r="M451" s="1425" t="s">
        <v>902</v>
      </c>
      <c r="N451" s="476" t="s">
        <v>903</v>
      </c>
      <c r="O451" s="1425" t="s">
        <v>47</v>
      </c>
      <c r="P451" s="1425"/>
      <c r="Q451" s="16" t="s">
        <v>1365</v>
      </c>
      <c r="R451" s="302" t="s">
        <v>1366</v>
      </c>
      <c r="S451" s="303">
        <v>2015</v>
      </c>
      <c r="T451" s="303">
        <v>0</v>
      </c>
      <c r="U451" s="303">
        <v>0</v>
      </c>
      <c r="V451" s="572">
        <v>1</v>
      </c>
      <c r="W451" s="572">
        <v>2</v>
      </c>
      <c r="X451" s="572">
        <v>3</v>
      </c>
      <c r="Y451" s="572">
        <v>3</v>
      </c>
      <c r="Z451" s="481"/>
      <c r="AA451" s="481"/>
      <c r="AB451" s="481"/>
      <c r="AC451" s="481"/>
      <c r="AD451" s="481"/>
      <c r="AE451" s="481"/>
      <c r="AF451" s="481"/>
      <c r="AG451" s="481">
        <f t="shared" si="281"/>
        <v>0</v>
      </c>
      <c r="AH451" s="548">
        <v>3</v>
      </c>
      <c r="AI451" s="548"/>
      <c r="AJ451" s="716">
        <v>3</v>
      </c>
      <c r="AK451" s="548"/>
      <c r="AL451" s="548"/>
      <c r="AM451" s="548"/>
      <c r="AN451" s="548">
        <f t="shared" si="283"/>
        <v>6</v>
      </c>
      <c r="AO451" s="481">
        <v>3</v>
      </c>
      <c r="AP451" s="481"/>
      <c r="AQ451" s="481"/>
      <c r="AR451" s="481"/>
      <c r="AS451" s="481"/>
      <c r="AT451" s="481"/>
      <c r="AU451" s="481"/>
      <c r="AV451" s="481">
        <f t="shared" si="285"/>
        <v>3</v>
      </c>
      <c r="AW451" s="548">
        <v>3</v>
      </c>
      <c r="AX451" s="548"/>
      <c r="AY451" s="548"/>
      <c r="AZ451" s="548"/>
      <c r="BA451" s="548"/>
      <c r="BB451" s="548"/>
      <c r="BC451" s="548"/>
      <c r="BD451" s="548">
        <f t="shared" si="287"/>
        <v>3</v>
      </c>
      <c r="BE451" s="42">
        <f t="shared" si="274"/>
        <v>9</v>
      </c>
      <c r="BF451" s="42">
        <f t="shared" si="274"/>
        <v>0</v>
      </c>
      <c r="BG451" s="42">
        <f t="shared" si="274"/>
        <v>3</v>
      </c>
      <c r="BH451" s="42">
        <f t="shared" si="274"/>
        <v>0</v>
      </c>
      <c r="BI451" s="42">
        <f t="shared" si="274"/>
        <v>0</v>
      </c>
      <c r="BJ451" s="42">
        <f t="shared" si="264"/>
        <v>0</v>
      </c>
      <c r="BK451" s="42">
        <f t="shared" si="275"/>
        <v>0</v>
      </c>
      <c r="BL451" s="42">
        <f t="shared" si="275"/>
        <v>12</v>
      </c>
    </row>
    <row r="452" spans="1:64" ht="47.25" hidden="1" customHeight="1" x14ac:dyDescent="0.2">
      <c r="A452" s="298" t="s">
        <v>1353</v>
      </c>
      <c r="B452" s="299" t="s">
        <v>1351</v>
      </c>
      <c r="C452" s="1547"/>
      <c r="D452" s="1551"/>
      <c r="E452" s="1551"/>
      <c r="F452" s="1551"/>
      <c r="G452" s="1551"/>
      <c r="H452" s="1551"/>
      <c r="I452" s="1425"/>
      <c r="J452" s="1425"/>
      <c r="K452" s="1428" t="s">
        <v>1367</v>
      </c>
      <c r="L452" s="301" t="s">
        <v>1358</v>
      </c>
      <c r="M452" s="1425" t="s">
        <v>902</v>
      </c>
      <c r="N452" s="476" t="s">
        <v>903</v>
      </c>
      <c r="O452" s="1425" t="s">
        <v>47</v>
      </c>
      <c r="P452" s="1425"/>
      <c r="Q452" s="16" t="s">
        <v>1368</v>
      </c>
      <c r="R452" s="302" t="s">
        <v>1369</v>
      </c>
      <c r="S452" s="303">
        <v>2015</v>
      </c>
      <c r="T452" s="303">
        <v>0</v>
      </c>
      <c r="U452" s="303">
        <v>0</v>
      </c>
      <c r="V452" s="572">
        <v>0</v>
      </c>
      <c r="W452" s="572">
        <v>1</v>
      </c>
      <c r="X452" s="572">
        <v>1</v>
      </c>
      <c r="Y452" s="572">
        <v>1</v>
      </c>
      <c r="Z452" s="481"/>
      <c r="AA452" s="481"/>
      <c r="AB452" s="481"/>
      <c r="AC452" s="481"/>
      <c r="AD452" s="481"/>
      <c r="AE452" s="481"/>
      <c r="AF452" s="481"/>
      <c r="AG452" s="481">
        <f t="shared" si="281"/>
        <v>0</v>
      </c>
      <c r="AH452" s="548"/>
      <c r="AI452" s="548"/>
      <c r="AJ452" s="548"/>
      <c r="AK452" s="548"/>
      <c r="AL452" s="548"/>
      <c r="AM452" s="548"/>
      <c r="AN452" s="548">
        <f t="shared" si="283"/>
        <v>0</v>
      </c>
      <c r="AO452" s="481"/>
      <c r="AP452" s="481">
        <v>4</v>
      </c>
      <c r="AQ452" s="481"/>
      <c r="AR452" s="481"/>
      <c r="AS452" s="481"/>
      <c r="AT452" s="481"/>
      <c r="AU452" s="481"/>
      <c r="AV452" s="481">
        <f t="shared" si="285"/>
        <v>4</v>
      </c>
      <c r="AW452" s="491">
        <v>2</v>
      </c>
      <c r="AX452" s="548"/>
      <c r="AY452" s="548"/>
      <c r="AZ452" s="548"/>
      <c r="BA452" s="548"/>
      <c r="BB452" s="548"/>
      <c r="BC452" s="548"/>
      <c r="BD452" s="548">
        <f t="shared" si="287"/>
        <v>2</v>
      </c>
      <c r="BE452" s="42">
        <f t="shared" si="274"/>
        <v>2</v>
      </c>
      <c r="BF452" s="42">
        <f t="shared" si="274"/>
        <v>4</v>
      </c>
      <c r="BG452" s="42">
        <f t="shared" si="274"/>
        <v>0</v>
      </c>
      <c r="BH452" s="42">
        <f t="shared" si="274"/>
        <v>0</v>
      </c>
      <c r="BI452" s="42">
        <f t="shared" si="274"/>
        <v>0</v>
      </c>
      <c r="BJ452" s="42">
        <f t="shared" si="264"/>
        <v>0</v>
      </c>
      <c r="BK452" s="42">
        <f t="shared" si="275"/>
        <v>0</v>
      </c>
      <c r="BL452" s="42">
        <f t="shared" si="275"/>
        <v>6</v>
      </c>
    </row>
    <row r="453" spans="1:64" ht="69.75" hidden="1" customHeight="1" x14ac:dyDescent="0.2">
      <c r="A453" s="298" t="s">
        <v>1353</v>
      </c>
      <c r="B453" s="299" t="s">
        <v>1351</v>
      </c>
      <c r="C453" s="1547"/>
      <c r="D453" s="1551"/>
      <c r="E453" s="1551"/>
      <c r="F453" s="1551"/>
      <c r="G453" s="1551"/>
      <c r="H453" s="1551"/>
      <c r="I453" s="1425"/>
      <c r="J453" s="1425"/>
      <c r="K453" s="1428" t="s">
        <v>1370</v>
      </c>
      <c r="L453" s="301" t="s">
        <v>1358</v>
      </c>
      <c r="M453" s="1425" t="s">
        <v>902</v>
      </c>
      <c r="N453" s="476" t="s">
        <v>903</v>
      </c>
      <c r="O453" s="1425" t="s">
        <v>47</v>
      </c>
      <c r="P453" s="1425"/>
      <c r="Q453" s="16" t="s">
        <v>1371</v>
      </c>
      <c r="R453" s="302" t="s">
        <v>1372</v>
      </c>
      <c r="S453" s="303">
        <v>2015</v>
      </c>
      <c r="T453" s="303">
        <v>0</v>
      </c>
      <c r="U453" s="303">
        <v>3000</v>
      </c>
      <c r="V453" s="572">
        <v>6000</v>
      </c>
      <c r="W453" s="572">
        <v>9000</v>
      </c>
      <c r="X453" s="572">
        <v>12000</v>
      </c>
      <c r="Y453" s="572">
        <v>12000</v>
      </c>
      <c r="Z453" s="481">
        <v>10</v>
      </c>
      <c r="AA453" s="482"/>
      <c r="AB453" s="481"/>
      <c r="AC453" s="481"/>
      <c r="AD453" s="481"/>
      <c r="AE453" s="481">
        <v>10</v>
      </c>
      <c r="AF453" s="481"/>
      <c r="AG453" s="481">
        <f t="shared" si="281"/>
        <v>20</v>
      </c>
      <c r="AH453" s="491">
        <v>5</v>
      </c>
      <c r="AI453" s="491">
        <v>6</v>
      </c>
      <c r="AJ453" s="548"/>
      <c r="AK453" s="548"/>
      <c r="AL453" s="548"/>
      <c r="AM453" s="548"/>
      <c r="AN453" s="548">
        <f t="shared" si="283"/>
        <v>11</v>
      </c>
      <c r="AO453" s="491">
        <v>5</v>
      </c>
      <c r="AP453" s="491">
        <v>5</v>
      </c>
      <c r="AQ453" s="481"/>
      <c r="AR453" s="481"/>
      <c r="AS453" s="481"/>
      <c r="AT453" s="481"/>
      <c r="AU453" s="481"/>
      <c r="AV453" s="481">
        <f t="shared" si="285"/>
        <v>10</v>
      </c>
      <c r="AW453" s="548">
        <v>10</v>
      </c>
      <c r="AX453" s="548">
        <v>10</v>
      </c>
      <c r="AY453" s="548"/>
      <c r="AZ453" s="548"/>
      <c r="BA453" s="548"/>
      <c r="BB453" s="548"/>
      <c r="BC453" s="548"/>
      <c r="BD453" s="548">
        <f t="shared" si="287"/>
        <v>20</v>
      </c>
      <c r="BE453" s="42">
        <f t="shared" si="274"/>
        <v>30</v>
      </c>
      <c r="BF453" s="42">
        <f t="shared" si="274"/>
        <v>21</v>
      </c>
      <c r="BG453" s="42">
        <f t="shared" si="274"/>
        <v>0</v>
      </c>
      <c r="BH453" s="42">
        <f t="shared" si="274"/>
        <v>0</v>
      </c>
      <c r="BI453" s="42">
        <f t="shared" si="274"/>
        <v>0</v>
      </c>
      <c r="BJ453" s="42">
        <f t="shared" si="264"/>
        <v>10</v>
      </c>
      <c r="BK453" s="42">
        <f t="shared" si="275"/>
        <v>0</v>
      </c>
      <c r="BL453" s="42">
        <f t="shared" si="275"/>
        <v>61</v>
      </c>
    </row>
    <row r="454" spans="1:64" ht="59.25" hidden="1" customHeight="1" x14ac:dyDescent="0.2">
      <c r="A454" s="298" t="s">
        <v>1353</v>
      </c>
      <c r="B454" s="299" t="s">
        <v>1351</v>
      </c>
      <c r="C454" s="1547"/>
      <c r="D454" s="1551"/>
      <c r="E454" s="1551"/>
      <c r="F454" s="1551"/>
      <c r="G454" s="1551"/>
      <c r="H454" s="1551"/>
      <c r="I454" s="1425"/>
      <c r="J454" s="1425"/>
      <c r="K454" s="1428" t="s">
        <v>1373</v>
      </c>
      <c r="L454" s="301" t="s">
        <v>1358</v>
      </c>
      <c r="M454" s="1425" t="s">
        <v>902</v>
      </c>
      <c r="N454" s="476" t="s">
        <v>903</v>
      </c>
      <c r="O454" s="1425" t="s">
        <v>47</v>
      </c>
      <c r="P454" s="1425"/>
      <c r="Q454" s="16" t="s">
        <v>1374</v>
      </c>
      <c r="R454" s="302" t="s">
        <v>1375</v>
      </c>
      <c r="S454" s="303">
        <v>2015</v>
      </c>
      <c r="T454" s="303">
        <v>0</v>
      </c>
      <c r="U454" s="303">
        <v>10</v>
      </c>
      <c r="V454" s="572">
        <v>20</v>
      </c>
      <c r="W454" s="572">
        <v>30</v>
      </c>
      <c r="X454" s="572">
        <v>40</v>
      </c>
      <c r="Y454" s="572">
        <v>40</v>
      </c>
      <c r="Z454" s="481">
        <v>4</v>
      </c>
      <c r="AA454" s="481">
        <v>5</v>
      </c>
      <c r="AB454" s="481"/>
      <c r="AC454" s="481"/>
      <c r="AD454" s="481"/>
      <c r="AE454" s="481"/>
      <c r="AF454" s="481"/>
      <c r="AG454" s="481">
        <f t="shared" si="281"/>
        <v>9</v>
      </c>
      <c r="AH454" s="548">
        <v>4</v>
      </c>
      <c r="AI454" s="548">
        <v>5</v>
      </c>
      <c r="AJ454" s="548"/>
      <c r="AK454" s="548"/>
      <c r="AL454" s="548"/>
      <c r="AM454" s="548"/>
      <c r="AN454" s="548">
        <f t="shared" si="283"/>
        <v>9</v>
      </c>
      <c r="AO454" s="481">
        <v>4</v>
      </c>
      <c r="AP454" s="481">
        <v>5</v>
      </c>
      <c r="AQ454" s="481"/>
      <c r="AR454" s="481"/>
      <c r="AS454" s="481"/>
      <c r="AT454" s="481"/>
      <c r="AU454" s="481"/>
      <c r="AV454" s="481">
        <f t="shared" si="285"/>
        <v>9</v>
      </c>
      <c r="AW454" s="548">
        <v>4</v>
      </c>
      <c r="AX454" s="548">
        <v>5</v>
      </c>
      <c r="AY454" s="548"/>
      <c r="AZ454" s="548"/>
      <c r="BA454" s="548"/>
      <c r="BB454" s="548"/>
      <c r="BC454" s="548"/>
      <c r="BD454" s="548">
        <f t="shared" si="287"/>
        <v>9</v>
      </c>
      <c r="BE454" s="42">
        <f t="shared" si="274"/>
        <v>16</v>
      </c>
      <c r="BF454" s="42">
        <f t="shared" si="274"/>
        <v>20</v>
      </c>
      <c r="BG454" s="42">
        <f t="shared" si="274"/>
        <v>0</v>
      </c>
      <c r="BH454" s="42">
        <f t="shared" si="274"/>
        <v>0</v>
      </c>
      <c r="BI454" s="42">
        <f t="shared" si="274"/>
        <v>0</v>
      </c>
      <c r="BJ454" s="42">
        <f t="shared" si="264"/>
        <v>0</v>
      </c>
      <c r="BK454" s="42">
        <f t="shared" si="275"/>
        <v>0</v>
      </c>
      <c r="BL454" s="42">
        <f t="shared" si="275"/>
        <v>36</v>
      </c>
    </row>
    <row r="455" spans="1:64" ht="79.5" hidden="1" customHeight="1" x14ac:dyDescent="0.2">
      <c r="A455" s="298" t="s">
        <v>1353</v>
      </c>
      <c r="B455" s="299" t="s">
        <v>1351</v>
      </c>
      <c r="C455" s="1547"/>
      <c r="D455" s="1551"/>
      <c r="E455" s="1551"/>
      <c r="F455" s="1551"/>
      <c r="G455" s="1551"/>
      <c r="H455" s="1551"/>
      <c r="I455" s="1425"/>
      <c r="J455" s="1425"/>
      <c r="K455" s="1428" t="s">
        <v>1376</v>
      </c>
      <c r="L455" s="301" t="s">
        <v>1358</v>
      </c>
      <c r="M455" s="1425" t="s">
        <v>902</v>
      </c>
      <c r="N455" s="476" t="s">
        <v>903</v>
      </c>
      <c r="O455" s="1425" t="s">
        <v>73</v>
      </c>
      <c r="P455" s="1425"/>
      <c r="Q455" s="16" t="s">
        <v>1377</v>
      </c>
      <c r="R455" s="302" t="s">
        <v>1378</v>
      </c>
      <c r="S455" s="303">
        <v>2015</v>
      </c>
      <c r="T455" s="303">
        <v>0</v>
      </c>
      <c r="U455" s="303">
        <v>4</v>
      </c>
      <c r="V455" s="572">
        <v>8</v>
      </c>
      <c r="W455" s="572">
        <v>12</v>
      </c>
      <c r="X455" s="572">
        <v>16</v>
      </c>
      <c r="Y455" s="572">
        <v>16</v>
      </c>
      <c r="Z455" s="481"/>
      <c r="AA455" s="481">
        <v>5</v>
      </c>
      <c r="AB455" s="481"/>
      <c r="AC455" s="481"/>
      <c r="AD455" s="481"/>
      <c r="AE455" s="481"/>
      <c r="AF455" s="481"/>
      <c r="AG455" s="481">
        <f t="shared" si="281"/>
        <v>5</v>
      </c>
      <c r="AH455" s="548"/>
      <c r="AI455" s="548">
        <v>5</v>
      </c>
      <c r="AJ455" s="548"/>
      <c r="AK455" s="548"/>
      <c r="AL455" s="548"/>
      <c r="AM455" s="548"/>
      <c r="AN455" s="548">
        <f t="shared" si="283"/>
        <v>5</v>
      </c>
      <c r="AO455" s="481"/>
      <c r="AP455" s="481">
        <v>5</v>
      </c>
      <c r="AQ455" s="481"/>
      <c r="AR455" s="481"/>
      <c r="AS455" s="481"/>
      <c r="AT455" s="481"/>
      <c r="AU455" s="481"/>
      <c r="AV455" s="481">
        <f t="shared" si="285"/>
        <v>5</v>
      </c>
      <c r="AW455" s="548"/>
      <c r="AX455" s="548">
        <v>5</v>
      </c>
      <c r="AY455" s="548"/>
      <c r="AZ455" s="548"/>
      <c r="BA455" s="548"/>
      <c r="BB455" s="548"/>
      <c r="BC455" s="548"/>
      <c r="BD455" s="548">
        <f t="shared" si="287"/>
        <v>5</v>
      </c>
      <c r="BE455" s="42">
        <f t="shared" si="274"/>
        <v>0</v>
      </c>
      <c r="BF455" s="42">
        <f t="shared" si="274"/>
        <v>20</v>
      </c>
      <c r="BG455" s="42">
        <f t="shared" si="274"/>
        <v>0</v>
      </c>
      <c r="BH455" s="42">
        <f t="shared" si="274"/>
        <v>0</v>
      </c>
      <c r="BI455" s="42">
        <f t="shared" si="274"/>
        <v>0</v>
      </c>
      <c r="BJ455" s="42">
        <f t="shared" si="264"/>
        <v>0</v>
      </c>
      <c r="BK455" s="42">
        <f t="shared" si="275"/>
        <v>0</v>
      </c>
      <c r="BL455" s="42">
        <f t="shared" si="275"/>
        <v>20</v>
      </c>
    </row>
    <row r="456" spans="1:64" ht="68.25" hidden="1" customHeight="1" x14ac:dyDescent="0.2">
      <c r="A456" s="298" t="s">
        <v>1353</v>
      </c>
      <c r="B456" s="299" t="s">
        <v>1351</v>
      </c>
      <c r="C456" s="1547"/>
      <c r="D456" s="1551"/>
      <c r="E456" s="1551"/>
      <c r="F456" s="1551"/>
      <c r="G456" s="1551"/>
      <c r="H456" s="1551"/>
      <c r="I456" s="1425"/>
      <c r="J456" s="1425"/>
      <c r="K456" s="1428" t="s">
        <v>1379</v>
      </c>
      <c r="L456" s="301" t="s">
        <v>1358</v>
      </c>
      <c r="M456" s="1425" t="s">
        <v>902</v>
      </c>
      <c r="N456" s="476" t="s">
        <v>903</v>
      </c>
      <c r="O456" s="1425" t="s">
        <v>47</v>
      </c>
      <c r="P456" s="1425"/>
      <c r="Q456" s="16" t="s">
        <v>1380</v>
      </c>
      <c r="R456" s="302" t="s">
        <v>1381</v>
      </c>
      <c r="S456" s="303">
        <v>2015</v>
      </c>
      <c r="T456" s="303">
        <v>0</v>
      </c>
      <c r="U456" s="303">
        <v>0</v>
      </c>
      <c r="V456" s="572">
        <v>0</v>
      </c>
      <c r="W456" s="572">
        <v>10</v>
      </c>
      <c r="X456" s="572">
        <v>20</v>
      </c>
      <c r="Y456" s="572">
        <v>20</v>
      </c>
      <c r="Z456" s="481"/>
      <c r="AA456" s="481"/>
      <c r="AB456" s="481"/>
      <c r="AC456" s="481"/>
      <c r="AD456" s="481"/>
      <c r="AE456" s="481"/>
      <c r="AF456" s="481"/>
      <c r="AG456" s="481">
        <f t="shared" si="281"/>
        <v>0</v>
      </c>
      <c r="AH456" s="548"/>
      <c r="AI456" s="548"/>
      <c r="AJ456" s="548"/>
      <c r="AK456" s="548"/>
      <c r="AL456" s="548"/>
      <c r="AM456" s="548"/>
      <c r="AN456" s="548">
        <f t="shared" si="283"/>
        <v>0</v>
      </c>
      <c r="AO456" s="481"/>
      <c r="AP456" s="481">
        <v>5</v>
      </c>
      <c r="AQ456" s="481"/>
      <c r="AR456" s="481"/>
      <c r="AS456" s="481"/>
      <c r="AT456" s="481"/>
      <c r="AU456" s="481"/>
      <c r="AV456" s="481">
        <f t="shared" si="285"/>
        <v>5</v>
      </c>
      <c r="AW456" s="548"/>
      <c r="AX456" s="548">
        <v>5</v>
      </c>
      <c r="AY456" s="548"/>
      <c r="AZ456" s="548"/>
      <c r="BA456" s="548"/>
      <c r="BB456" s="548"/>
      <c r="BC456" s="548"/>
      <c r="BD456" s="548">
        <f t="shared" si="287"/>
        <v>5</v>
      </c>
      <c r="BE456" s="42">
        <f t="shared" si="274"/>
        <v>0</v>
      </c>
      <c r="BF456" s="42">
        <f t="shared" si="274"/>
        <v>10</v>
      </c>
      <c r="BG456" s="42">
        <f t="shared" si="274"/>
        <v>0</v>
      </c>
      <c r="BH456" s="42">
        <f t="shared" si="274"/>
        <v>0</v>
      </c>
      <c r="BI456" s="42">
        <f t="shared" si="274"/>
        <v>0</v>
      </c>
      <c r="BJ456" s="42">
        <f t="shared" si="264"/>
        <v>0</v>
      </c>
      <c r="BK456" s="42">
        <f t="shared" si="275"/>
        <v>0</v>
      </c>
      <c r="BL456" s="42">
        <f t="shared" si="275"/>
        <v>10</v>
      </c>
    </row>
    <row r="457" spans="1:64" ht="73.5" hidden="1" customHeight="1" x14ac:dyDescent="0.2">
      <c r="A457" s="298" t="s">
        <v>1353</v>
      </c>
      <c r="B457" s="299" t="s">
        <v>1351</v>
      </c>
      <c r="C457" s="1547"/>
      <c r="D457" s="1551"/>
      <c r="E457" s="1551"/>
      <c r="F457" s="1551"/>
      <c r="G457" s="1551"/>
      <c r="H457" s="1551"/>
      <c r="I457" s="1425"/>
      <c r="J457" s="1425"/>
      <c r="K457" s="1428" t="s">
        <v>1382</v>
      </c>
      <c r="L457" s="301" t="s">
        <v>1358</v>
      </c>
      <c r="M457" s="1425" t="s">
        <v>902</v>
      </c>
      <c r="N457" s="476" t="s">
        <v>903</v>
      </c>
      <c r="O457" s="1425" t="s">
        <v>47</v>
      </c>
      <c r="P457" s="1425"/>
      <c r="Q457" s="16" t="s">
        <v>1383</v>
      </c>
      <c r="R457" s="302" t="s">
        <v>1384</v>
      </c>
      <c r="S457" s="303">
        <v>2015</v>
      </c>
      <c r="T457" s="303">
        <v>0</v>
      </c>
      <c r="U457" s="303">
        <v>0</v>
      </c>
      <c r="V457" s="572">
        <v>1</v>
      </c>
      <c r="W457" s="572">
        <v>1</v>
      </c>
      <c r="X457" s="572">
        <v>1</v>
      </c>
      <c r="Y457" s="572">
        <v>1</v>
      </c>
      <c r="Z457" s="481"/>
      <c r="AA457" s="481"/>
      <c r="AB457" s="481"/>
      <c r="AC457" s="481"/>
      <c r="AD457" s="481"/>
      <c r="AE457" s="481"/>
      <c r="AF457" s="481"/>
      <c r="AG457" s="481">
        <f t="shared" si="281"/>
        <v>0</v>
      </c>
      <c r="AH457" s="548"/>
      <c r="AI457" s="548">
        <v>2</v>
      </c>
      <c r="AJ457" s="548"/>
      <c r="AK457" s="548"/>
      <c r="AL457" s="548"/>
      <c r="AM457" s="548"/>
      <c r="AN457" s="548">
        <f t="shared" si="283"/>
        <v>2</v>
      </c>
      <c r="AO457" s="481"/>
      <c r="AP457" s="481">
        <v>2</v>
      </c>
      <c r="AQ457" s="481"/>
      <c r="AR457" s="481"/>
      <c r="AS457" s="481"/>
      <c r="AT457" s="481"/>
      <c r="AU457" s="481"/>
      <c r="AV457" s="481">
        <f t="shared" si="285"/>
        <v>2</v>
      </c>
      <c r="AW457" s="548"/>
      <c r="AX457" s="548">
        <v>2</v>
      </c>
      <c r="AY457" s="548"/>
      <c r="AZ457" s="548"/>
      <c r="BA457" s="548"/>
      <c r="BB457" s="548"/>
      <c r="BC457" s="548"/>
      <c r="BD457" s="548">
        <f t="shared" si="287"/>
        <v>2</v>
      </c>
      <c r="BE457" s="42">
        <f t="shared" si="274"/>
        <v>0</v>
      </c>
      <c r="BF457" s="42">
        <f t="shared" si="274"/>
        <v>6</v>
      </c>
      <c r="BG457" s="42">
        <f t="shared" si="274"/>
        <v>0</v>
      </c>
      <c r="BH457" s="42">
        <f t="shared" si="274"/>
        <v>0</v>
      </c>
      <c r="BI457" s="42">
        <f t="shared" si="274"/>
        <v>0</v>
      </c>
      <c r="BJ457" s="42">
        <f t="shared" si="264"/>
        <v>0</v>
      </c>
      <c r="BK457" s="42">
        <f t="shared" si="275"/>
        <v>0</v>
      </c>
      <c r="BL457" s="42">
        <f t="shared" si="275"/>
        <v>6</v>
      </c>
    </row>
    <row r="458" spans="1:64" ht="67.5" hidden="1" customHeight="1" x14ac:dyDescent="0.2">
      <c r="A458" s="298" t="s">
        <v>1353</v>
      </c>
      <c r="B458" s="299" t="s">
        <v>1351</v>
      </c>
      <c r="C458" s="1547"/>
      <c r="D458" s="1551"/>
      <c r="E458" s="1551"/>
      <c r="F458" s="1551"/>
      <c r="G458" s="1551"/>
      <c r="H458" s="1551"/>
      <c r="I458" s="1425"/>
      <c r="J458" s="1425"/>
      <c r="K458" s="1428" t="s">
        <v>1385</v>
      </c>
      <c r="L458" s="301" t="s">
        <v>1358</v>
      </c>
      <c r="M458" s="1425" t="s">
        <v>902</v>
      </c>
      <c r="N458" s="476" t="s">
        <v>903</v>
      </c>
      <c r="O458" s="1425" t="s">
        <v>47</v>
      </c>
      <c r="P458" s="1425"/>
      <c r="Q458" s="16" t="s">
        <v>1386</v>
      </c>
      <c r="R458" s="302" t="s">
        <v>1387</v>
      </c>
      <c r="S458" s="303">
        <v>2015</v>
      </c>
      <c r="T458" s="303">
        <v>0</v>
      </c>
      <c r="U458" s="303">
        <v>1</v>
      </c>
      <c r="V458" s="572">
        <v>1</v>
      </c>
      <c r="W458" s="572">
        <v>1</v>
      </c>
      <c r="X458" s="572">
        <v>1</v>
      </c>
      <c r="Y458" s="572">
        <v>4</v>
      </c>
      <c r="Z458" s="481"/>
      <c r="AA458" s="481">
        <v>2</v>
      </c>
      <c r="AB458" s="481"/>
      <c r="AC458" s="481"/>
      <c r="AD458" s="481"/>
      <c r="AE458" s="481"/>
      <c r="AF458" s="481"/>
      <c r="AG458" s="481">
        <f t="shared" si="281"/>
        <v>2</v>
      </c>
      <c r="AH458" s="548"/>
      <c r="AI458" s="548">
        <v>2</v>
      </c>
      <c r="AJ458" s="548"/>
      <c r="AK458" s="548"/>
      <c r="AL458" s="548"/>
      <c r="AM458" s="548"/>
      <c r="AN458" s="548">
        <f t="shared" si="283"/>
        <v>2</v>
      </c>
      <c r="AO458" s="481"/>
      <c r="AP458" s="481">
        <v>2</v>
      </c>
      <c r="AQ458" s="481"/>
      <c r="AR458" s="481"/>
      <c r="AS458" s="481"/>
      <c r="AT458" s="481"/>
      <c r="AU458" s="481"/>
      <c r="AV458" s="481">
        <f t="shared" si="285"/>
        <v>2</v>
      </c>
      <c r="AW458" s="548"/>
      <c r="AX458" s="548">
        <v>2</v>
      </c>
      <c r="AY458" s="548"/>
      <c r="AZ458" s="548"/>
      <c r="BA458" s="548"/>
      <c r="BB458" s="548"/>
      <c r="BC458" s="548"/>
      <c r="BD458" s="548">
        <f t="shared" si="287"/>
        <v>2</v>
      </c>
      <c r="BE458" s="42">
        <f t="shared" si="274"/>
        <v>0</v>
      </c>
      <c r="BF458" s="42">
        <f t="shared" si="274"/>
        <v>8</v>
      </c>
      <c r="BG458" s="42">
        <f t="shared" si="274"/>
        <v>0</v>
      </c>
      <c r="BH458" s="42">
        <f t="shared" si="274"/>
        <v>0</v>
      </c>
      <c r="BI458" s="42">
        <f t="shared" si="274"/>
        <v>0</v>
      </c>
      <c r="BJ458" s="42">
        <f t="shared" si="264"/>
        <v>0</v>
      </c>
      <c r="BK458" s="42">
        <f t="shared" si="275"/>
        <v>0</v>
      </c>
      <c r="BL458" s="42">
        <f t="shared" si="275"/>
        <v>8</v>
      </c>
    </row>
    <row r="459" spans="1:64" ht="54.75" hidden="1" customHeight="1" x14ac:dyDescent="0.2">
      <c r="A459" s="298" t="s">
        <v>1353</v>
      </c>
      <c r="B459" s="299" t="s">
        <v>1351</v>
      </c>
      <c r="C459" s="1547"/>
      <c r="D459" s="1551"/>
      <c r="E459" s="1551"/>
      <c r="F459" s="1551"/>
      <c r="G459" s="1551"/>
      <c r="H459" s="1551"/>
      <c r="I459" s="1425"/>
      <c r="J459" s="1425"/>
      <c r="K459" s="1428" t="s">
        <v>1388</v>
      </c>
      <c r="L459" s="301" t="s">
        <v>1358</v>
      </c>
      <c r="M459" s="1425" t="s">
        <v>902</v>
      </c>
      <c r="N459" s="476" t="s">
        <v>903</v>
      </c>
      <c r="O459" s="1425" t="s">
        <v>47</v>
      </c>
      <c r="P459" s="1425"/>
      <c r="Q459" s="16" t="s">
        <v>1389</v>
      </c>
      <c r="R459" s="302" t="s">
        <v>1390</v>
      </c>
      <c r="S459" s="303">
        <v>2015</v>
      </c>
      <c r="T459" s="303">
        <v>0</v>
      </c>
      <c r="U459" s="303">
        <v>0</v>
      </c>
      <c r="V459" s="572">
        <v>1</v>
      </c>
      <c r="W459" s="572">
        <v>1</v>
      </c>
      <c r="X459" s="572">
        <v>1</v>
      </c>
      <c r="Y459" s="572">
        <v>1</v>
      </c>
      <c r="Z459" s="481"/>
      <c r="AA459" s="481"/>
      <c r="AB459" s="481"/>
      <c r="AC459" s="481"/>
      <c r="AD459" s="481"/>
      <c r="AE459" s="481"/>
      <c r="AF459" s="481"/>
      <c r="AG459" s="481">
        <f>SUBTOTAL(9,Z459:AF459)</f>
        <v>0</v>
      </c>
      <c r="AH459" s="491">
        <v>13</v>
      </c>
      <c r="AI459" s="548"/>
      <c r="AJ459" s="491">
        <v>6</v>
      </c>
      <c r="AK459" s="548"/>
      <c r="AL459" s="548"/>
      <c r="AM459" s="548"/>
      <c r="AN459" s="548">
        <f t="shared" si="283"/>
        <v>19</v>
      </c>
      <c r="AO459" s="481"/>
      <c r="AP459" s="491">
        <v>1</v>
      </c>
      <c r="AQ459" s="481"/>
      <c r="AR459" s="481"/>
      <c r="AS459" s="481"/>
      <c r="AT459" s="481"/>
      <c r="AU459" s="481"/>
      <c r="AV459" s="481">
        <f>SUM(AO459:AU459)</f>
        <v>1</v>
      </c>
      <c r="AW459" s="491">
        <v>4</v>
      </c>
      <c r="AX459" s="548"/>
      <c r="AY459" s="548"/>
      <c r="AZ459" s="548"/>
      <c r="BA459" s="548"/>
      <c r="BB459" s="548"/>
      <c r="BC459" s="548"/>
      <c r="BD459" s="548">
        <f>SUM(AW459:BC459)</f>
        <v>4</v>
      </c>
      <c r="BE459" s="42">
        <f>+AW459+AO459+AH459+Z459</f>
        <v>17</v>
      </c>
      <c r="BF459" s="42">
        <f>+AX459+AP459+AI459+AA459</f>
        <v>1</v>
      </c>
      <c r="BG459" s="42">
        <f>+AY459+AQ459+AJ459+AB459</f>
        <v>6</v>
      </c>
      <c r="BH459" s="42">
        <f>+AZ459+AR459+AK459+AC459</f>
        <v>0</v>
      </c>
      <c r="BI459" s="42">
        <f>+BA459+AS459+AL459+AD459</f>
        <v>0</v>
      </c>
      <c r="BJ459" s="42">
        <f>+AE459+AT459+BB459</f>
        <v>0</v>
      </c>
      <c r="BK459" s="42">
        <f>+BC459+AU459+AM459+AF459</f>
        <v>0</v>
      </c>
      <c r="BL459" s="42">
        <f>+BD459+AV459+AN459+AG459</f>
        <v>24</v>
      </c>
    </row>
    <row r="460" spans="1:64" ht="54" hidden="1" customHeight="1" x14ac:dyDescent="0.2">
      <c r="A460" s="298" t="s">
        <v>1353</v>
      </c>
      <c r="B460" s="299" t="s">
        <v>1351</v>
      </c>
      <c r="C460" s="1547"/>
      <c r="D460" s="1551"/>
      <c r="E460" s="1551"/>
      <c r="F460" s="1551"/>
      <c r="G460" s="1551"/>
      <c r="H460" s="1551"/>
      <c r="I460" s="1425"/>
      <c r="J460" s="1425"/>
      <c r="K460" s="1428" t="s">
        <v>1391</v>
      </c>
      <c r="L460" s="301" t="s">
        <v>1358</v>
      </c>
      <c r="M460" s="1425" t="s">
        <v>902</v>
      </c>
      <c r="N460" s="476" t="s">
        <v>903</v>
      </c>
      <c r="O460" s="1425" t="s">
        <v>47</v>
      </c>
      <c r="P460" s="1425"/>
      <c r="Q460" s="16" t="s">
        <v>1392</v>
      </c>
      <c r="R460" s="302" t="s">
        <v>1393</v>
      </c>
      <c r="S460" s="303">
        <v>2015</v>
      </c>
      <c r="T460" s="303">
        <v>0</v>
      </c>
      <c r="U460" s="303">
        <v>0</v>
      </c>
      <c r="V460" s="572">
        <v>0</v>
      </c>
      <c r="W460" s="572">
        <v>1</v>
      </c>
      <c r="X460" s="572">
        <v>1</v>
      </c>
      <c r="Y460" s="572">
        <v>1</v>
      </c>
      <c r="Z460" s="481"/>
      <c r="AA460" s="481"/>
      <c r="AB460" s="481"/>
      <c r="AC460" s="481"/>
      <c r="AD460" s="481"/>
      <c r="AE460" s="481"/>
      <c r="AF460" s="481"/>
      <c r="AG460" s="481">
        <f t="shared" si="281"/>
        <v>0</v>
      </c>
      <c r="AH460" s="548"/>
      <c r="AI460" s="548"/>
      <c r="AJ460" s="548"/>
      <c r="AK460" s="548"/>
      <c r="AL460" s="548"/>
      <c r="AM460" s="548"/>
      <c r="AN460" s="548">
        <f t="shared" ref="AN460:AN473" si="292">SUM(AH460:AM460)</f>
        <v>0</v>
      </c>
      <c r="AO460" s="491">
        <v>15</v>
      </c>
      <c r="AP460" s="481"/>
      <c r="AQ460" s="481"/>
      <c r="AR460" s="481"/>
      <c r="AS460" s="481"/>
      <c r="AT460" s="481"/>
      <c r="AU460" s="481"/>
      <c r="AV460" s="481">
        <f t="shared" si="285"/>
        <v>15</v>
      </c>
      <c r="AW460" s="491">
        <v>5</v>
      </c>
      <c r="AX460" s="548"/>
      <c r="AY460" s="548"/>
      <c r="AZ460" s="548"/>
      <c r="BA460" s="548"/>
      <c r="BB460" s="548"/>
      <c r="BC460" s="548"/>
      <c r="BD460" s="548">
        <f t="shared" si="287"/>
        <v>5</v>
      </c>
      <c r="BE460" s="42">
        <f t="shared" si="274"/>
        <v>20</v>
      </c>
      <c r="BF460" s="42">
        <f t="shared" si="274"/>
        <v>0</v>
      </c>
      <c r="BG460" s="42">
        <f t="shared" si="274"/>
        <v>0</v>
      </c>
      <c r="BH460" s="42">
        <f t="shared" si="274"/>
        <v>0</v>
      </c>
      <c r="BI460" s="42">
        <f t="shared" si="274"/>
        <v>0</v>
      </c>
      <c r="BJ460" s="42">
        <f t="shared" si="264"/>
        <v>0</v>
      </c>
      <c r="BK460" s="42">
        <f t="shared" si="275"/>
        <v>0</v>
      </c>
      <c r="BL460" s="42">
        <f t="shared" si="275"/>
        <v>20</v>
      </c>
    </row>
    <row r="461" spans="1:64" ht="55.5" hidden="1" customHeight="1" x14ac:dyDescent="0.2">
      <c r="A461" s="298" t="s">
        <v>1353</v>
      </c>
      <c r="B461" s="299" t="s">
        <v>1351</v>
      </c>
      <c r="C461" s="1547"/>
      <c r="D461" s="1551"/>
      <c r="E461" s="1551"/>
      <c r="F461" s="1551"/>
      <c r="G461" s="1551"/>
      <c r="H461" s="1551"/>
      <c r="I461" s="1425"/>
      <c r="J461" s="1425"/>
      <c r="K461" s="1428" t="s">
        <v>1394</v>
      </c>
      <c r="L461" s="301" t="s">
        <v>1358</v>
      </c>
      <c r="M461" s="1425" t="s">
        <v>902</v>
      </c>
      <c r="N461" s="476" t="s">
        <v>903</v>
      </c>
      <c r="O461" s="1425" t="s">
        <v>47</v>
      </c>
      <c r="P461" s="1425"/>
      <c r="Q461" s="16" t="s">
        <v>1395</v>
      </c>
      <c r="R461" s="302" t="s">
        <v>337</v>
      </c>
      <c r="S461" s="303">
        <v>2015</v>
      </c>
      <c r="T461" s="303">
        <v>0</v>
      </c>
      <c r="U461" s="303">
        <v>2</v>
      </c>
      <c r="V461" s="572">
        <v>4</v>
      </c>
      <c r="W461" s="572">
        <v>6</v>
      </c>
      <c r="X461" s="572">
        <v>8</v>
      </c>
      <c r="Y461" s="572">
        <v>8</v>
      </c>
      <c r="Z461" s="481"/>
      <c r="AA461" s="481">
        <v>5</v>
      </c>
      <c r="AB461" s="481"/>
      <c r="AC461" s="481"/>
      <c r="AD461" s="481"/>
      <c r="AE461" s="481"/>
      <c r="AF461" s="481"/>
      <c r="AG461" s="481">
        <f t="shared" si="281"/>
        <v>5</v>
      </c>
      <c r="AH461" s="548"/>
      <c r="AI461" s="548">
        <v>5</v>
      </c>
      <c r="AJ461" s="548"/>
      <c r="AK461" s="548"/>
      <c r="AL461" s="548"/>
      <c r="AM461" s="548"/>
      <c r="AN461" s="548">
        <f t="shared" si="292"/>
        <v>5</v>
      </c>
      <c r="AO461" s="481"/>
      <c r="AP461" s="481">
        <v>5</v>
      </c>
      <c r="AQ461" s="481"/>
      <c r="AR461" s="481"/>
      <c r="AS461" s="481"/>
      <c r="AT461" s="481"/>
      <c r="AU461" s="481"/>
      <c r="AV461" s="481">
        <f t="shared" si="285"/>
        <v>5</v>
      </c>
      <c r="AW461" s="548"/>
      <c r="AX461" s="548">
        <v>5</v>
      </c>
      <c r="AY461" s="548"/>
      <c r="AZ461" s="548"/>
      <c r="BA461" s="548"/>
      <c r="BB461" s="548"/>
      <c r="BC461" s="548"/>
      <c r="BD461" s="548">
        <f t="shared" si="287"/>
        <v>5</v>
      </c>
      <c r="BE461" s="42">
        <f t="shared" si="274"/>
        <v>0</v>
      </c>
      <c r="BF461" s="42">
        <f t="shared" si="274"/>
        <v>20</v>
      </c>
      <c r="BG461" s="42">
        <f t="shared" si="274"/>
        <v>0</v>
      </c>
      <c r="BH461" s="42">
        <f t="shared" si="274"/>
        <v>0</v>
      </c>
      <c r="BI461" s="42">
        <f t="shared" si="274"/>
        <v>0</v>
      </c>
      <c r="BJ461" s="42">
        <f t="shared" si="264"/>
        <v>0</v>
      </c>
      <c r="BK461" s="42">
        <f t="shared" si="275"/>
        <v>0</v>
      </c>
      <c r="BL461" s="42">
        <f t="shared" si="275"/>
        <v>20</v>
      </c>
    </row>
    <row r="462" spans="1:64" ht="55.5" hidden="1" customHeight="1" x14ac:dyDescent="0.2">
      <c r="A462" s="298" t="s">
        <v>1353</v>
      </c>
      <c r="B462" s="299" t="s">
        <v>1351</v>
      </c>
      <c r="C462" s="1547"/>
      <c r="D462" s="1551"/>
      <c r="E462" s="1551"/>
      <c r="F462" s="1551"/>
      <c r="G462" s="1551"/>
      <c r="H462" s="1551"/>
      <c r="I462" s="1425"/>
      <c r="J462" s="1425"/>
      <c r="K462" s="1428" t="s">
        <v>1396</v>
      </c>
      <c r="L462" s="301" t="s">
        <v>1358</v>
      </c>
      <c r="M462" s="1425" t="s">
        <v>902</v>
      </c>
      <c r="N462" s="476" t="s">
        <v>903</v>
      </c>
      <c r="O462" s="1425" t="s">
        <v>47</v>
      </c>
      <c r="P462" s="1425"/>
      <c r="Q462" s="16" t="s">
        <v>1397</v>
      </c>
      <c r="R462" s="302" t="s">
        <v>337</v>
      </c>
      <c r="S462" s="303">
        <v>2015</v>
      </c>
      <c r="T462" s="303">
        <v>0</v>
      </c>
      <c r="U462" s="303">
        <v>4</v>
      </c>
      <c r="V462" s="572">
        <v>8</v>
      </c>
      <c r="W462" s="572">
        <v>10</v>
      </c>
      <c r="X462" s="572">
        <v>10</v>
      </c>
      <c r="Y462" s="572">
        <v>10</v>
      </c>
      <c r="Z462" s="481">
        <v>6</v>
      </c>
      <c r="AA462" s="481"/>
      <c r="AB462" s="481"/>
      <c r="AC462" s="481"/>
      <c r="AD462" s="481"/>
      <c r="AE462" s="481"/>
      <c r="AF462" s="481"/>
      <c r="AG462" s="481">
        <f t="shared" si="281"/>
        <v>6</v>
      </c>
      <c r="AH462" s="548">
        <v>3</v>
      </c>
      <c r="AI462" s="548">
        <v>3</v>
      </c>
      <c r="AJ462" s="548"/>
      <c r="AK462" s="548"/>
      <c r="AL462" s="548"/>
      <c r="AM462" s="548"/>
      <c r="AN462" s="548">
        <f t="shared" si="292"/>
        <v>6</v>
      </c>
      <c r="AO462" s="481">
        <v>3</v>
      </c>
      <c r="AP462" s="481">
        <v>3</v>
      </c>
      <c r="AQ462" s="481"/>
      <c r="AR462" s="481"/>
      <c r="AS462" s="481"/>
      <c r="AT462" s="481"/>
      <c r="AU462" s="481"/>
      <c r="AV462" s="481">
        <f t="shared" si="285"/>
        <v>6</v>
      </c>
      <c r="AW462" s="548">
        <v>3</v>
      </c>
      <c r="AX462" s="548">
        <v>3</v>
      </c>
      <c r="AY462" s="548"/>
      <c r="AZ462" s="548"/>
      <c r="BA462" s="548"/>
      <c r="BB462" s="548"/>
      <c r="BC462" s="548"/>
      <c r="BD462" s="548">
        <f t="shared" si="287"/>
        <v>6</v>
      </c>
      <c r="BE462" s="42">
        <f t="shared" si="274"/>
        <v>15</v>
      </c>
      <c r="BF462" s="42">
        <f t="shared" si="274"/>
        <v>9</v>
      </c>
      <c r="BG462" s="42">
        <f t="shared" si="274"/>
        <v>0</v>
      </c>
      <c r="BH462" s="42">
        <f t="shared" si="274"/>
        <v>0</v>
      </c>
      <c r="BI462" s="42">
        <f t="shared" si="274"/>
        <v>0</v>
      </c>
      <c r="BJ462" s="42">
        <f t="shared" si="264"/>
        <v>0</v>
      </c>
      <c r="BK462" s="42">
        <f t="shared" si="275"/>
        <v>0</v>
      </c>
      <c r="BL462" s="42">
        <f t="shared" si="275"/>
        <v>24</v>
      </c>
    </row>
    <row r="463" spans="1:64" ht="57" hidden="1" customHeight="1" x14ac:dyDescent="0.2">
      <c r="A463" s="298" t="s">
        <v>1353</v>
      </c>
      <c r="B463" s="299" t="s">
        <v>1351</v>
      </c>
      <c r="C463" s="1547"/>
      <c r="D463" s="1551"/>
      <c r="E463" s="1551"/>
      <c r="F463" s="1551"/>
      <c r="G463" s="1551"/>
      <c r="H463" s="1551"/>
      <c r="I463" s="1425"/>
      <c r="J463" s="1425"/>
      <c r="K463" s="1428" t="s">
        <v>1398</v>
      </c>
      <c r="L463" s="301" t="s">
        <v>1358</v>
      </c>
      <c r="M463" s="1425" t="s">
        <v>902</v>
      </c>
      <c r="N463" s="476" t="s">
        <v>903</v>
      </c>
      <c r="O463" s="1425" t="s">
        <v>47</v>
      </c>
      <c r="P463" s="1425"/>
      <c r="Q463" s="16" t="s">
        <v>1399</v>
      </c>
      <c r="R463" s="302" t="s">
        <v>957</v>
      </c>
      <c r="S463" s="303">
        <v>2015</v>
      </c>
      <c r="T463" s="303">
        <v>0</v>
      </c>
      <c r="U463" s="303">
        <v>1</v>
      </c>
      <c r="V463" s="572">
        <v>2</v>
      </c>
      <c r="W463" s="572">
        <v>3</v>
      </c>
      <c r="X463" s="572">
        <v>4</v>
      </c>
      <c r="Y463" s="572">
        <v>4</v>
      </c>
      <c r="Z463" s="491">
        <v>1</v>
      </c>
      <c r="AA463" s="481"/>
      <c r="AB463" s="481"/>
      <c r="AC463" s="481"/>
      <c r="AD463" s="481"/>
      <c r="AE463" s="481"/>
      <c r="AF463" s="481"/>
      <c r="AG463" s="481">
        <f t="shared" si="281"/>
        <v>1</v>
      </c>
      <c r="AH463" s="548"/>
      <c r="AI463" s="491">
        <v>1</v>
      </c>
      <c r="AJ463" s="548"/>
      <c r="AK463" s="548"/>
      <c r="AL463" s="548"/>
      <c r="AM463" s="548"/>
      <c r="AN463" s="548">
        <f t="shared" si="292"/>
        <v>1</v>
      </c>
      <c r="AO463" s="481"/>
      <c r="AP463" s="491">
        <v>1</v>
      </c>
      <c r="AQ463" s="481"/>
      <c r="AR463" s="481"/>
      <c r="AS463" s="481"/>
      <c r="AT463" s="481"/>
      <c r="AU463" s="481"/>
      <c r="AV463" s="481">
        <f t="shared" si="285"/>
        <v>1</v>
      </c>
      <c r="AW463" s="491">
        <v>1</v>
      </c>
      <c r="AX463" s="548"/>
      <c r="AY463" s="548"/>
      <c r="AZ463" s="548"/>
      <c r="BA463" s="548"/>
      <c r="BB463" s="548"/>
      <c r="BC463" s="548"/>
      <c r="BD463" s="548">
        <f t="shared" si="287"/>
        <v>1</v>
      </c>
      <c r="BE463" s="42">
        <f t="shared" si="274"/>
        <v>2</v>
      </c>
      <c r="BF463" s="42">
        <f t="shared" si="274"/>
        <v>2</v>
      </c>
      <c r="BG463" s="42">
        <f t="shared" si="274"/>
        <v>0</v>
      </c>
      <c r="BH463" s="42">
        <f t="shared" si="274"/>
        <v>0</v>
      </c>
      <c r="BI463" s="42">
        <f t="shared" si="274"/>
        <v>0</v>
      </c>
      <c r="BJ463" s="42">
        <f t="shared" si="264"/>
        <v>0</v>
      </c>
      <c r="BK463" s="42">
        <f t="shared" si="275"/>
        <v>0</v>
      </c>
      <c r="BL463" s="42">
        <f t="shared" si="275"/>
        <v>4</v>
      </c>
    </row>
    <row r="464" spans="1:64" ht="65.25" hidden="1" customHeight="1" x14ac:dyDescent="0.2">
      <c r="A464" s="298" t="s">
        <v>1353</v>
      </c>
      <c r="B464" s="299" t="s">
        <v>1351</v>
      </c>
      <c r="C464" s="1547"/>
      <c r="D464" s="1551"/>
      <c r="E464" s="1551"/>
      <c r="F464" s="1551"/>
      <c r="G464" s="1551"/>
      <c r="H464" s="1551"/>
      <c r="I464" s="1425"/>
      <c r="J464" s="1425"/>
      <c r="K464" s="1428" t="s">
        <v>1400</v>
      </c>
      <c r="L464" s="301" t="s">
        <v>1358</v>
      </c>
      <c r="M464" s="1425" t="s">
        <v>902</v>
      </c>
      <c r="N464" s="476" t="s">
        <v>903</v>
      </c>
      <c r="O464" s="1425" t="s">
        <v>47</v>
      </c>
      <c r="P464" s="1425"/>
      <c r="Q464" s="16" t="s">
        <v>1401</v>
      </c>
      <c r="R464" s="302" t="s">
        <v>1402</v>
      </c>
      <c r="S464" s="303">
        <v>2015</v>
      </c>
      <c r="T464" s="303">
        <v>0</v>
      </c>
      <c r="U464" s="303">
        <v>0</v>
      </c>
      <c r="V464" s="572">
        <v>1</v>
      </c>
      <c r="W464" s="572">
        <v>1</v>
      </c>
      <c r="X464" s="572">
        <v>1</v>
      </c>
      <c r="Y464" s="572">
        <v>1</v>
      </c>
      <c r="Z464" s="481"/>
      <c r="AA464" s="481"/>
      <c r="AB464" s="481"/>
      <c r="AC464" s="481"/>
      <c r="AD464" s="481"/>
      <c r="AE464" s="481"/>
      <c r="AF464" s="481"/>
      <c r="AG464" s="481">
        <f t="shared" si="281"/>
        <v>0</v>
      </c>
      <c r="AH464" s="548"/>
      <c r="AI464" s="491">
        <v>1</v>
      </c>
      <c r="AJ464" s="716">
        <v>3</v>
      </c>
      <c r="AK464" s="548"/>
      <c r="AL464" s="548"/>
      <c r="AM464" s="548"/>
      <c r="AN464" s="548">
        <f t="shared" si="292"/>
        <v>4</v>
      </c>
      <c r="AO464" s="481"/>
      <c r="AP464" s="491">
        <v>1</v>
      </c>
      <c r="AQ464" s="481"/>
      <c r="AR464" s="481"/>
      <c r="AS464" s="481"/>
      <c r="AT464" s="481"/>
      <c r="AU464" s="481"/>
      <c r="AV464" s="481">
        <f t="shared" si="285"/>
        <v>1</v>
      </c>
      <c r="AW464" s="491">
        <v>1</v>
      </c>
      <c r="AX464" s="548"/>
      <c r="AY464" s="548"/>
      <c r="AZ464" s="548"/>
      <c r="BA464" s="548"/>
      <c r="BB464" s="548"/>
      <c r="BC464" s="548"/>
      <c r="BD464" s="548">
        <f t="shared" si="287"/>
        <v>1</v>
      </c>
      <c r="BE464" s="42">
        <f t="shared" si="274"/>
        <v>1</v>
      </c>
      <c r="BF464" s="42">
        <f t="shared" si="274"/>
        <v>2</v>
      </c>
      <c r="BG464" s="42">
        <f t="shared" si="274"/>
        <v>3</v>
      </c>
      <c r="BH464" s="42">
        <f t="shared" si="274"/>
        <v>0</v>
      </c>
      <c r="BI464" s="42">
        <f t="shared" si="274"/>
        <v>0</v>
      </c>
      <c r="BJ464" s="42">
        <f t="shared" si="264"/>
        <v>0</v>
      </c>
      <c r="BK464" s="42">
        <f t="shared" si="275"/>
        <v>0</v>
      </c>
      <c r="BL464" s="42">
        <f t="shared" si="275"/>
        <v>6</v>
      </c>
    </row>
    <row r="465" spans="1:67" ht="56.25" hidden="1" customHeight="1" x14ac:dyDescent="0.2">
      <c r="A465" s="298" t="s">
        <v>1353</v>
      </c>
      <c r="B465" s="299" t="s">
        <v>1351</v>
      </c>
      <c r="C465" s="1547"/>
      <c r="D465" s="1551"/>
      <c r="E465" s="1551"/>
      <c r="F465" s="1551"/>
      <c r="G465" s="1551"/>
      <c r="H465" s="1551"/>
      <c r="I465" s="1425"/>
      <c r="J465" s="1425"/>
      <c r="K465" s="1428" t="s">
        <v>1403</v>
      </c>
      <c r="L465" s="301" t="s">
        <v>1358</v>
      </c>
      <c r="M465" s="1425" t="s">
        <v>902</v>
      </c>
      <c r="N465" s="476" t="s">
        <v>903</v>
      </c>
      <c r="O465" s="1425" t="s">
        <v>47</v>
      </c>
      <c r="P465" s="1425"/>
      <c r="Q465" s="16" t="s">
        <v>1404</v>
      </c>
      <c r="R465" s="302" t="s">
        <v>1405</v>
      </c>
      <c r="S465" s="303">
        <v>2015</v>
      </c>
      <c r="T465" s="303">
        <v>0</v>
      </c>
      <c r="U465" s="303">
        <v>0</v>
      </c>
      <c r="V465" s="572">
        <v>1</v>
      </c>
      <c r="W465" s="572">
        <v>1</v>
      </c>
      <c r="X465" s="572">
        <v>1</v>
      </c>
      <c r="Y465" s="572">
        <v>1</v>
      </c>
      <c r="Z465" s="481"/>
      <c r="AA465" s="481"/>
      <c r="AB465" s="481"/>
      <c r="AC465" s="481"/>
      <c r="AD465" s="481"/>
      <c r="AE465" s="481"/>
      <c r="AF465" s="481"/>
      <c r="AG465" s="481">
        <f t="shared" si="281"/>
        <v>0</v>
      </c>
      <c r="AH465" s="548"/>
      <c r="AI465" s="548"/>
      <c r="AJ465" s="716">
        <v>5</v>
      </c>
      <c r="AK465" s="548"/>
      <c r="AL465" s="548"/>
      <c r="AM465" s="548"/>
      <c r="AN465" s="548">
        <f t="shared" si="292"/>
        <v>5</v>
      </c>
      <c r="AO465" s="481"/>
      <c r="AP465" s="491">
        <v>1</v>
      </c>
      <c r="AQ465" s="481"/>
      <c r="AR465" s="481"/>
      <c r="AS465" s="481"/>
      <c r="AT465" s="481"/>
      <c r="AU465" s="481"/>
      <c r="AV465" s="481">
        <f t="shared" si="285"/>
        <v>1</v>
      </c>
      <c r="AW465" s="491">
        <v>3</v>
      </c>
      <c r="AX465" s="548"/>
      <c r="AY465" s="548"/>
      <c r="AZ465" s="548"/>
      <c r="BA465" s="548"/>
      <c r="BB465" s="548"/>
      <c r="BC465" s="548"/>
      <c r="BD465" s="548">
        <f>SUM(AW465:BC465)</f>
        <v>3</v>
      </c>
      <c r="BE465" s="42">
        <f>+AW465+AO465+AH465+Z465</f>
        <v>3</v>
      </c>
      <c r="BF465" s="42">
        <f>+AX465+AP465+AI465+AA465</f>
        <v>1</v>
      </c>
      <c r="BG465" s="42">
        <f>+AY465+AQ465+AJ465+AB465</f>
        <v>5</v>
      </c>
      <c r="BH465" s="42">
        <f>+AZ465+AR465+AK465+AC465</f>
        <v>0</v>
      </c>
      <c r="BI465" s="42">
        <f>+BA465+AS465+AL465+AD465</f>
        <v>0</v>
      </c>
      <c r="BJ465" s="42">
        <f>+AE465+AT465+BB465</f>
        <v>0</v>
      </c>
      <c r="BK465" s="42">
        <f>+BC465+AU465+AM465+AF465</f>
        <v>0</v>
      </c>
      <c r="BL465" s="42">
        <f>+BD465+AV465+AN465+AG465</f>
        <v>9</v>
      </c>
    </row>
    <row r="466" spans="1:67" ht="66.75" hidden="1" customHeight="1" x14ac:dyDescent="0.2">
      <c r="A466" s="298" t="s">
        <v>1353</v>
      </c>
      <c r="B466" s="299" t="s">
        <v>1351</v>
      </c>
      <c r="C466" s="1547"/>
      <c r="D466" s="1551"/>
      <c r="E466" s="1551"/>
      <c r="F466" s="1551"/>
      <c r="G466" s="1551"/>
      <c r="H466" s="1551"/>
      <c r="I466" s="1425"/>
      <c r="J466" s="1425"/>
      <c r="K466" s="1428" t="s">
        <v>1406</v>
      </c>
      <c r="L466" s="301" t="s">
        <v>1358</v>
      </c>
      <c r="M466" s="1425" t="s">
        <v>902</v>
      </c>
      <c r="N466" s="476" t="s">
        <v>903</v>
      </c>
      <c r="O466" s="1425" t="s">
        <v>47</v>
      </c>
      <c r="P466" s="1425"/>
      <c r="Q466" s="16" t="s">
        <v>1407</v>
      </c>
      <c r="R466" s="302" t="s">
        <v>1408</v>
      </c>
      <c r="S466" s="303">
        <v>2015</v>
      </c>
      <c r="T466" s="303">
        <v>0</v>
      </c>
      <c r="U466" s="303">
        <v>0</v>
      </c>
      <c r="V466" s="572">
        <v>50</v>
      </c>
      <c r="W466" s="572">
        <v>100</v>
      </c>
      <c r="X466" s="572">
        <v>150</v>
      </c>
      <c r="Y466" s="572">
        <v>150</v>
      </c>
      <c r="Z466" s="481"/>
      <c r="AA466" s="481"/>
      <c r="AB466" s="481"/>
      <c r="AC466" s="481"/>
      <c r="AD466" s="481"/>
      <c r="AE466" s="481"/>
      <c r="AF466" s="481"/>
      <c r="AG466" s="481">
        <f t="shared" si="281"/>
        <v>0</v>
      </c>
      <c r="AH466" s="491">
        <v>13</v>
      </c>
      <c r="AI466" s="548"/>
      <c r="AJ466" s="548"/>
      <c r="AK466" s="548"/>
      <c r="AL466" s="548"/>
      <c r="AM466" s="548">
        <v>100</v>
      </c>
      <c r="AN466" s="548">
        <f t="shared" si="292"/>
        <v>113</v>
      </c>
      <c r="AO466" s="491">
        <v>10</v>
      </c>
      <c r="AP466" s="481"/>
      <c r="AQ466" s="481"/>
      <c r="AR466" s="481"/>
      <c r="AS466" s="481"/>
      <c r="AT466" s="481"/>
      <c r="AU466" s="481"/>
      <c r="AV466" s="481">
        <f t="shared" si="285"/>
        <v>10</v>
      </c>
      <c r="AW466" s="548">
        <v>20</v>
      </c>
      <c r="AX466" s="548"/>
      <c r="AY466" s="548"/>
      <c r="AZ466" s="548"/>
      <c r="BA466" s="548"/>
      <c r="BB466" s="548"/>
      <c r="BC466" s="491"/>
      <c r="BD466" s="548">
        <f t="shared" si="287"/>
        <v>20</v>
      </c>
      <c r="BE466" s="42">
        <f t="shared" si="274"/>
        <v>43</v>
      </c>
      <c r="BF466" s="42">
        <f t="shared" si="274"/>
        <v>0</v>
      </c>
      <c r="BG466" s="42">
        <f t="shared" si="274"/>
        <v>0</v>
      </c>
      <c r="BH466" s="42">
        <f t="shared" si="274"/>
        <v>0</v>
      </c>
      <c r="BI466" s="42">
        <f t="shared" si="274"/>
        <v>0</v>
      </c>
      <c r="BJ466" s="42">
        <f t="shared" si="264"/>
        <v>0</v>
      </c>
      <c r="BK466" s="42">
        <f t="shared" si="275"/>
        <v>100</v>
      </c>
      <c r="BL466" s="42">
        <f t="shared" si="275"/>
        <v>143</v>
      </c>
    </row>
    <row r="467" spans="1:67" ht="60" hidden="1" customHeight="1" x14ac:dyDescent="0.2">
      <c r="A467" s="298" t="s">
        <v>1353</v>
      </c>
      <c r="B467" s="299" t="s">
        <v>1351</v>
      </c>
      <c r="C467" s="1547"/>
      <c r="D467" s="1551"/>
      <c r="E467" s="1551"/>
      <c r="F467" s="1551"/>
      <c r="G467" s="1551"/>
      <c r="H467" s="1551"/>
      <c r="I467" s="1425"/>
      <c r="J467" s="1425"/>
      <c r="K467" s="1428" t="s">
        <v>1409</v>
      </c>
      <c r="L467" s="301" t="s">
        <v>1358</v>
      </c>
      <c r="M467" s="1425" t="s">
        <v>902</v>
      </c>
      <c r="N467" s="476" t="s">
        <v>903</v>
      </c>
      <c r="O467" s="1425" t="s">
        <v>47</v>
      </c>
      <c r="P467" s="1426"/>
      <c r="Q467" s="70" t="s">
        <v>1410</v>
      </c>
      <c r="R467" s="350" t="s">
        <v>966</v>
      </c>
      <c r="S467" s="303">
        <v>2015</v>
      </c>
      <c r="T467" s="303">
        <v>0</v>
      </c>
      <c r="U467" s="303">
        <v>1</v>
      </c>
      <c r="V467" s="572">
        <v>2</v>
      </c>
      <c r="W467" s="572">
        <v>2</v>
      </c>
      <c r="X467" s="572">
        <v>2</v>
      </c>
      <c r="Y467" s="572">
        <v>2</v>
      </c>
      <c r="Z467" s="481"/>
      <c r="AA467" s="481">
        <v>2</v>
      </c>
      <c r="AB467" s="481"/>
      <c r="AC467" s="481"/>
      <c r="AD467" s="481"/>
      <c r="AE467" s="481"/>
      <c r="AF467" s="481"/>
      <c r="AG467" s="481">
        <f t="shared" si="281"/>
        <v>2</v>
      </c>
      <c r="AH467" s="548"/>
      <c r="AI467" s="548">
        <v>2</v>
      </c>
      <c r="AJ467" s="548"/>
      <c r="AK467" s="548"/>
      <c r="AL467" s="548"/>
      <c r="AM467" s="548"/>
      <c r="AN467" s="548">
        <f t="shared" si="292"/>
        <v>2</v>
      </c>
      <c r="AO467" s="491">
        <v>1</v>
      </c>
      <c r="AP467" s="481"/>
      <c r="AQ467" s="481"/>
      <c r="AR467" s="481"/>
      <c r="AS467" s="481"/>
      <c r="AT467" s="481"/>
      <c r="AU467" s="481"/>
      <c r="AV467" s="481">
        <f t="shared" si="285"/>
        <v>1</v>
      </c>
      <c r="AW467" s="491">
        <v>2</v>
      </c>
      <c r="AX467" s="548"/>
      <c r="AY467" s="548"/>
      <c r="AZ467" s="548"/>
      <c r="BA467" s="548"/>
      <c r="BB467" s="548"/>
      <c r="BC467" s="548"/>
      <c r="BD467" s="548">
        <f t="shared" si="287"/>
        <v>2</v>
      </c>
      <c r="BE467" s="42">
        <f t="shared" ref="BE467:BI486" si="293">+AW467+AO467+AH467+Z467</f>
        <v>3</v>
      </c>
      <c r="BF467" s="42">
        <f t="shared" si="293"/>
        <v>4</v>
      </c>
      <c r="BG467" s="42">
        <f t="shared" si="293"/>
        <v>0</v>
      </c>
      <c r="BH467" s="42">
        <f t="shared" si="293"/>
        <v>0</v>
      </c>
      <c r="BI467" s="42">
        <f t="shared" si="293"/>
        <v>0</v>
      </c>
      <c r="BJ467" s="42">
        <f t="shared" si="264"/>
        <v>0</v>
      </c>
      <c r="BK467" s="42">
        <f t="shared" ref="BK467:BL486" si="294">+BC467+AU467+AM467+AF467</f>
        <v>0</v>
      </c>
      <c r="BL467" s="42">
        <f t="shared" si="294"/>
        <v>7</v>
      </c>
    </row>
    <row r="468" spans="1:67" ht="40.5" hidden="1" customHeight="1" x14ac:dyDescent="0.2">
      <c r="A468" s="298" t="s">
        <v>1353</v>
      </c>
      <c r="B468" s="299" t="s">
        <v>1351</v>
      </c>
      <c r="C468" s="1547"/>
      <c r="D468" s="1551"/>
      <c r="E468" s="1551"/>
      <c r="F468" s="1551"/>
      <c r="G468" s="1551"/>
      <c r="H468" s="1551"/>
      <c r="I468" s="1425"/>
      <c r="J468" s="379"/>
      <c r="K468" s="1428" t="s">
        <v>1411</v>
      </c>
      <c r="L468" s="301" t="s">
        <v>1358</v>
      </c>
      <c r="M468" s="1425" t="s">
        <v>902</v>
      </c>
      <c r="N468" s="476" t="s">
        <v>903</v>
      </c>
      <c r="O468" s="1425" t="s">
        <v>47</v>
      </c>
      <c r="P468" s="1425"/>
      <c r="Q468" s="16" t="s">
        <v>1412</v>
      </c>
      <c r="R468" s="302" t="s">
        <v>960</v>
      </c>
      <c r="S468" s="351">
        <v>2015</v>
      </c>
      <c r="T468" s="303">
        <v>0</v>
      </c>
      <c r="U468" s="303">
        <v>0</v>
      </c>
      <c r="V468" s="572">
        <v>0</v>
      </c>
      <c r="W468" s="572">
        <v>100</v>
      </c>
      <c r="X468" s="572">
        <v>200</v>
      </c>
      <c r="Y468" s="572">
        <v>200</v>
      </c>
      <c r="Z468" s="481"/>
      <c r="AA468" s="481"/>
      <c r="AB468" s="481"/>
      <c r="AC468" s="481"/>
      <c r="AD468" s="481"/>
      <c r="AE468" s="481"/>
      <c r="AF468" s="481"/>
      <c r="AG468" s="481">
        <f t="shared" si="281"/>
        <v>0</v>
      </c>
      <c r="AH468" s="548"/>
      <c r="AI468" s="548"/>
      <c r="AJ468" s="548"/>
      <c r="AK468" s="548"/>
      <c r="AL468" s="548"/>
      <c r="AM468" s="548"/>
      <c r="AN468" s="548">
        <f t="shared" si="292"/>
        <v>0</v>
      </c>
      <c r="AO468" s="491">
        <v>19</v>
      </c>
      <c r="AP468" s="481"/>
      <c r="AQ468" s="481"/>
      <c r="AR468" s="481"/>
      <c r="AS468" s="481"/>
      <c r="AT468" s="481"/>
      <c r="AU468" s="481"/>
      <c r="AV468" s="481">
        <f t="shared" si="285"/>
        <v>19</v>
      </c>
      <c r="AW468" s="548">
        <v>30</v>
      </c>
      <c r="AX468" s="548"/>
      <c r="AY468" s="548"/>
      <c r="AZ468" s="548"/>
      <c r="BA468" s="548"/>
      <c r="BB468" s="548"/>
      <c r="BC468" s="548"/>
      <c r="BD468" s="548">
        <f t="shared" si="287"/>
        <v>30</v>
      </c>
      <c r="BE468" s="42">
        <f t="shared" si="293"/>
        <v>49</v>
      </c>
      <c r="BF468" s="42">
        <f t="shared" si="293"/>
        <v>0</v>
      </c>
      <c r="BG468" s="42">
        <f t="shared" si="293"/>
        <v>0</v>
      </c>
      <c r="BH468" s="42">
        <f t="shared" si="293"/>
        <v>0</v>
      </c>
      <c r="BI468" s="42">
        <f t="shared" si="293"/>
        <v>0</v>
      </c>
      <c r="BJ468" s="42">
        <f t="shared" si="264"/>
        <v>0</v>
      </c>
      <c r="BK468" s="42">
        <f t="shared" si="294"/>
        <v>0</v>
      </c>
      <c r="BL468" s="42">
        <f t="shared" si="294"/>
        <v>49</v>
      </c>
    </row>
    <row r="469" spans="1:67" ht="54.75" hidden="1" customHeight="1" x14ac:dyDescent="0.2">
      <c r="A469" s="298" t="s">
        <v>1353</v>
      </c>
      <c r="B469" s="299" t="s">
        <v>1351</v>
      </c>
      <c r="C469" s="1547"/>
      <c r="D469" s="1551"/>
      <c r="E469" s="1551"/>
      <c r="F469" s="1551"/>
      <c r="G469" s="1551"/>
      <c r="H469" s="1551"/>
      <c r="I469" s="1425"/>
      <c r="J469" s="379"/>
      <c r="K469" s="1428" t="s">
        <v>1413</v>
      </c>
      <c r="L469" s="301" t="s">
        <v>1358</v>
      </c>
      <c r="M469" s="1425" t="s">
        <v>902</v>
      </c>
      <c r="N469" s="476" t="s">
        <v>903</v>
      </c>
      <c r="O469" s="1425" t="s">
        <v>47</v>
      </c>
      <c r="P469" s="1425"/>
      <c r="Q469" s="16" t="s">
        <v>1414</v>
      </c>
      <c r="R469" s="302" t="s">
        <v>1415</v>
      </c>
      <c r="S469" s="351">
        <v>2015</v>
      </c>
      <c r="T469" s="303" t="s">
        <v>177</v>
      </c>
      <c r="U469" s="303">
        <v>40</v>
      </c>
      <c r="V469" s="572">
        <v>40</v>
      </c>
      <c r="W469" s="572">
        <v>40</v>
      </c>
      <c r="X469" s="572">
        <v>40</v>
      </c>
      <c r="Y469" s="572">
        <v>40</v>
      </c>
      <c r="Z469" s="481">
        <v>32</v>
      </c>
      <c r="AA469" s="481">
        <v>18</v>
      </c>
      <c r="AB469" s="481"/>
      <c r="AC469" s="481"/>
      <c r="AD469" s="481"/>
      <c r="AE469" s="481"/>
      <c r="AF469" s="481"/>
      <c r="AG469" s="481">
        <f t="shared" si="281"/>
        <v>50</v>
      </c>
      <c r="AH469" s="548"/>
      <c r="AI469" s="491">
        <v>1</v>
      </c>
      <c r="AJ469" s="716">
        <v>26.9</v>
      </c>
      <c r="AK469" s="548"/>
      <c r="AL469" s="548"/>
      <c r="AM469" s="548"/>
      <c r="AN469" s="548">
        <f t="shared" si="292"/>
        <v>27.9</v>
      </c>
      <c r="AO469" s="481"/>
      <c r="AP469" s="481">
        <v>0</v>
      </c>
      <c r="AQ469" s="491">
        <v>2</v>
      </c>
      <c r="AR469" s="481"/>
      <c r="AS469" s="481"/>
      <c r="AT469" s="481"/>
      <c r="AU469" s="481"/>
      <c r="AV469" s="481">
        <f t="shared" si="285"/>
        <v>2</v>
      </c>
      <c r="AW469" s="491">
        <v>3</v>
      </c>
      <c r="AX469" s="548"/>
      <c r="AY469" s="548"/>
      <c r="AZ469" s="548"/>
      <c r="BA469" s="548"/>
      <c r="BB469" s="548"/>
      <c r="BC469" s="548"/>
      <c r="BD469" s="548">
        <f t="shared" si="287"/>
        <v>3</v>
      </c>
      <c r="BE469" s="42">
        <f t="shared" si="293"/>
        <v>35</v>
      </c>
      <c r="BF469" s="42">
        <f t="shared" si="293"/>
        <v>19</v>
      </c>
      <c r="BG469" s="42">
        <f t="shared" si="293"/>
        <v>28.9</v>
      </c>
      <c r="BH469" s="42">
        <f t="shared" si="293"/>
        <v>0</v>
      </c>
      <c r="BI469" s="42">
        <f t="shared" si="293"/>
        <v>0</v>
      </c>
      <c r="BJ469" s="42">
        <f t="shared" si="264"/>
        <v>0</v>
      </c>
      <c r="BK469" s="42">
        <f t="shared" si="294"/>
        <v>0</v>
      </c>
      <c r="BL469" s="42">
        <f t="shared" si="294"/>
        <v>82.9</v>
      </c>
    </row>
    <row r="470" spans="1:67" ht="51.75" hidden="1" customHeight="1" x14ac:dyDescent="0.2">
      <c r="A470" s="298" t="s">
        <v>1353</v>
      </c>
      <c r="B470" s="299" t="s">
        <v>1351</v>
      </c>
      <c r="C470" s="1547"/>
      <c r="D470" s="1551"/>
      <c r="E470" s="1551"/>
      <c r="F470" s="1551"/>
      <c r="G470" s="1551"/>
      <c r="H470" s="1551"/>
      <c r="I470" s="1425"/>
      <c r="J470" s="379"/>
      <c r="K470" s="1428" t="s">
        <v>1416</v>
      </c>
      <c r="L470" s="301" t="s">
        <v>1358</v>
      </c>
      <c r="M470" s="1425" t="s">
        <v>902</v>
      </c>
      <c r="N470" s="476" t="s">
        <v>903</v>
      </c>
      <c r="O470" s="1425" t="s">
        <v>47</v>
      </c>
      <c r="P470" s="1425"/>
      <c r="Q470" s="16" t="s">
        <v>1417</v>
      </c>
      <c r="R470" s="302" t="s">
        <v>1418</v>
      </c>
      <c r="S470" s="351">
        <v>2015</v>
      </c>
      <c r="T470" s="303">
        <v>0</v>
      </c>
      <c r="U470" s="303">
        <v>0</v>
      </c>
      <c r="V470" s="572">
        <v>1</v>
      </c>
      <c r="W470" s="572">
        <v>0</v>
      </c>
      <c r="X470" s="572">
        <v>0</v>
      </c>
      <c r="Y470" s="572">
        <v>1</v>
      </c>
      <c r="Z470" s="481"/>
      <c r="AA470" s="481"/>
      <c r="AB470" s="481"/>
      <c r="AC470" s="481"/>
      <c r="AD470" s="481"/>
      <c r="AE470" s="481"/>
      <c r="AF470" s="481"/>
      <c r="AG470" s="481">
        <f t="shared" si="281"/>
        <v>0</v>
      </c>
      <c r="AH470" s="548"/>
      <c r="AI470" s="491">
        <v>1</v>
      </c>
      <c r="AJ470" s="716">
        <v>3</v>
      </c>
      <c r="AK470" s="548"/>
      <c r="AL470" s="548"/>
      <c r="AM470" s="548"/>
      <c r="AN470" s="548">
        <f t="shared" si="292"/>
        <v>4</v>
      </c>
      <c r="AO470" s="481"/>
      <c r="AP470" s="481"/>
      <c r="AQ470" s="481"/>
      <c r="AR470" s="481"/>
      <c r="AS470" s="481"/>
      <c r="AT470" s="481"/>
      <c r="AU470" s="481"/>
      <c r="AV470" s="481">
        <f t="shared" si="285"/>
        <v>0</v>
      </c>
      <c r="AW470" s="548"/>
      <c r="AX470" s="548"/>
      <c r="AY470" s="548"/>
      <c r="AZ470" s="548"/>
      <c r="BA470" s="548"/>
      <c r="BB470" s="548"/>
      <c r="BC470" s="548"/>
      <c r="BD470" s="548">
        <f t="shared" si="287"/>
        <v>0</v>
      </c>
      <c r="BE470" s="42">
        <f t="shared" si="293"/>
        <v>0</v>
      </c>
      <c r="BF470" s="42">
        <f t="shared" si="293"/>
        <v>1</v>
      </c>
      <c r="BG470" s="42">
        <f t="shared" si="293"/>
        <v>3</v>
      </c>
      <c r="BH470" s="42">
        <f t="shared" si="293"/>
        <v>0</v>
      </c>
      <c r="BI470" s="42">
        <f t="shared" si="293"/>
        <v>0</v>
      </c>
      <c r="BJ470" s="42">
        <f t="shared" si="264"/>
        <v>0</v>
      </c>
      <c r="BK470" s="42">
        <f t="shared" si="294"/>
        <v>0</v>
      </c>
      <c r="BL470" s="42">
        <f t="shared" si="294"/>
        <v>4</v>
      </c>
    </row>
    <row r="471" spans="1:67" ht="58.5" hidden="1" customHeight="1" x14ac:dyDescent="0.2">
      <c r="A471" s="298" t="s">
        <v>1353</v>
      </c>
      <c r="B471" s="299" t="s">
        <v>1351</v>
      </c>
      <c r="C471" s="1547"/>
      <c r="D471" s="1551"/>
      <c r="E471" s="1551"/>
      <c r="F471" s="1551"/>
      <c r="G471" s="1551"/>
      <c r="H471" s="1551"/>
      <c r="I471" s="1425" t="s">
        <v>53</v>
      </c>
      <c r="J471" s="379"/>
      <c r="K471" s="1428" t="s">
        <v>1419</v>
      </c>
      <c r="L471" s="301" t="s">
        <v>1358</v>
      </c>
      <c r="M471" s="1425" t="s">
        <v>902</v>
      </c>
      <c r="N471" s="476" t="s">
        <v>903</v>
      </c>
      <c r="O471" s="1425" t="s">
        <v>47</v>
      </c>
      <c r="P471" s="1425"/>
      <c r="Q471" s="16" t="s">
        <v>1420</v>
      </c>
      <c r="R471" s="302" t="s">
        <v>1421</v>
      </c>
      <c r="S471" s="351" t="s">
        <v>1422</v>
      </c>
      <c r="T471" s="303">
        <v>260</v>
      </c>
      <c r="U471" s="303">
        <v>80</v>
      </c>
      <c r="V471" s="572">
        <v>160</v>
      </c>
      <c r="W471" s="572">
        <v>240</v>
      </c>
      <c r="X471" s="572">
        <v>320</v>
      </c>
      <c r="Y471" s="572">
        <v>320</v>
      </c>
      <c r="Z471" s="491">
        <v>14.5</v>
      </c>
      <c r="AA471" s="481">
        <v>40</v>
      </c>
      <c r="AB471" s="481">
        <v>11.7</v>
      </c>
      <c r="AC471" s="481"/>
      <c r="AD471" s="481"/>
      <c r="AE471" s="481">
        <v>35.799999999999997</v>
      </c>
      <c r="AF471" s="481"/>
      <c r="AG471" s="481">
        <f t="shared" si="281"/>
        <v>102</v>
      </c>
      <c r="AH471" s="548">
        <v>35</v>
      </c>
      <c r="AI471" s="491">
        <v>52</v>
      </c>
      <c r="AJ471" s="491">
        <v>5</v>
      </c>
      <c r="AK471" s="548"/>
      <c r="AL471" s="548"/>
      <c r="AM471" s="548"/>
      <c r="AN471" s="548">
        <f t="shared" si="292"/>
        <v>92</v>
      </c>
      <c r="AO471" s="491">
        <v>20</v>
      </c>
      <c r="AP471" s="491">
        <v>50</v>
      </c>
      <c r="AQ471" s="491">
        <v>10</v>
      </c>
      <c r="AR471" s="481"/>
      <c r="AS471" s="481"/>
      <c r="AT471" s="481"/>
      <c r="AU471" s="481"/>
      <c r="AV471" s="481">
        <f t="shared" si="285"/>
        <v>80</v>
      </c>
      <c r="AW471" s="548">
        <v>35</v>
      </c>
      <c r="AX471" s="491">
        <v>33</v>
      </c>
      <c r="AY471" s="548">
        <v>12</v>
      </c>
      <c r="AZ471" s="548"/>
      <c r="BA471" s="548"/>
      <c r="BB471" s="548"/>
      <c r="BC471" s="548"/>
      <c r="BD471" s="548">
        <f t="shared" si="287"/>
        <v>80</v>
      </c>
      <c r="BE471" s="42">
        <f t="shared" si="293"/>
        <v>104.5</v>
      </c>
      <c r="BF471" s="42">
        <f t="shared" si="293"/>
        <v>175</v>
      </c>
      <c r="BG471" s="42">
        <f t="shared" si="293"/>
        <v>38.700000000000003</v>
      </c>
      <c r="BH471" s="42">
        <f t="shared" si="293"/>
        <v>0</v>
      </c>
      <c r="BI471" s="42">
        <f t="shared" si="293"/>
        <v>0</v>
      </c>
      <c r="BJ471" s="42">
        <f t="shared" ref="BJ471:BJ499" si="295">+AE471+AT471+BB471</f>
        <v>35.799999999999997</v>
      </c>
      <c r="BK471" s="42">
        <f t="shared" si="294"/>
        <v>0</v>
      </c>
      <c r="BL471" s="42">
        <f t="shared" si="294"/>
        <v>354</v>
      </c>
      <c r="BO471" s="222"/>
    </row>
    <row r="472" spans="1:67" ht="63.75" hidden="1" customHeight="1" x14ac:dyDescent="0.2">
      <c r="A472" s="298" t="s">
        <v>1353</v>
      </c>
      <c r="B472" s="299" t="s">
        <v>1351</v>
      </c>
      <c r="C472" s="1547"/>
      <c r="D472" s="1551"/>
      <c r="E472" s="1551"/>
      <c r="F472" s="1551"/>
      <c r="G472" s="1551"/>
      <c r="H472" s="1551"/>
      <c r="I472" s="1425"/>
      <c r="J472" s="379"/>
      <c r="K472" s="1428" t="s">
        <v>1423</v>
      </c>
      <c r="L472" s="301" t="s">
        <v>1358</v>
      </c>
      <c r="M472" s="1425" t="s">
        <v>902</v>
      </c>
      <c r="N472" s="476" t="s">
        <v>903</v>
      </c>
      <c r="O472" s="1425" t="s">
        <v>47</v>
      </c>
      <c r="P472" s="1425"/>
      <c r="Q472" s="16" t="s">
        <v>1424</v>
      </c>
      <c r="R472" s="302" t="s">
        <v>1425</v>
      </c>
      <c r="S472" s="351">
        <v>2015</v>
      </c>
      <c r="T472" s="303">
        <v>0</v>
      </c>
      <c r="U472" s="303">
        <v>0</v>
      </c>
      <c r="V472" s="572">
        <v>1</v>
      </c>
      <c r="W472" s="572">
        <v>1</v>
      </c>
      <c r="X472" s="572">
        <v>1</v>
      </c>
      <c r="Y472" s="572">
        <v>1</v>
      </c>
      <c r="Z472" s="481"/>
      <c r="AA472" s="481"/>
      <c r="AB472" s="481"/>
      <c r="AC472" s="481"/>
      <c r="AD472" s="481"/>
      <c r="AE472" s="481"/>
      <c r="AF472" s="481"/>
      <c r="AG472" s="481">
        <f t="shared" si="281"/>
        <v>0</v>
      </c>
      <c r="AH472" s="548">
        <v>23</v>
      </c>
      <c r="AI472" s="491">
        <v>1</v>
      </c>
      <c r="AJ472" s="548"/>
      <c r="AK472" s="548"/>
      <c r="AL472" s="548"/>
      <c r="AM472" s="548"/>
      <c r="AN472" s="548">
        <f t="shared" si="292"/>
        <v>24</v>
      </c>
      <c r="AO472" s="481"/>
      <c r="AP472" s="491">
        <v>1</v>
      </c>
      <c r="AQ472" s="481"/>
      <c r="AR472" s="481"/>
      <c r="AS472" s="481"/>
      <c r="AT472" s="481"/>
      <c r="AU472" s="481"/>
      <c r="AV472" s="481">
        <f t="shared" si="285"/>
        <v>1</v>
      </c>
      <c r="AW472" s="491">
        <v>2</v>
      </c>
      <c r="AX472" s="548"/>
      <c r="AY472" s="548"/>
      <c r="AZ472" s="548"/>
      <c r="BA472" s="548"/>
      <c r="BB472" s="548"/>
      <c r="BC472" s="548"/>
      <c r="BD472" s="548">
        <f t="shared" si="287"/>
        <v>2</v>
      </c>
      <c r="BE472" s="42">
        <f t="shared" si="293"/>
        <v>25</v>
      </c>
      <c r="BF472" s="42">
        <f t="shared" si="293"/>
        <v>2</v>
      </c>
      <c r="BG472" s="42">
        <f t="shared" si="293"/>
        <v>0</v>
      </c>
      <c r="BH472" s="42">
        <f t="shared" si="293"/>
        <v>0</v>
      </c>
      <c r="BI472" s="42">
        <f t="shared" si="293"/>
        <v>0</v>
      </c>
      <c r="BJ472" s="42">
        <f t="shared" si="295"/>
        <v>0</v>
      </c>
      <c r="BK472" s="42">
        <f t="shared" si="294"/>
        <v>0</v>
      </c>
      <c r="BL472" s="42">
        <f t="shared" si="294"/>
        <v>27</v>
      </c>
    </row>
    <row r="473" spans="1:67" ht="60" hidden="1" customHeight="1" x14ac:dyDescent="0.2">
      <c r="A473" s="298" t="s">
        <v>1353</v>
      </c>
      <c r="B473" s="299" t="s">
        <v>1351</v>
      </c>
      <c r="C473" s="1547"/>
      <c r="D473" s="1551"/>
      <c r="E473" s="1551"/>
      <c r="F473" s="1551"/>
      <c r="G473" s="1551"/>
      <c r="H473" s="1551"/>
      <c r="I473" s="1425"/>
      <c r="J473" s="379"/>
      <c r="K473" s="1428" t="s">
        <v>1426</v>
      </c>
      <c r="L473" s="301" t="s">
        <v>1358</v>
      </c>
      <c r="M473" s="1425" t="s">
        <v>902</v>
      </c>
      <c r="N473" s="476" t="s">
        <v>903</v>
      </c>
      <c r="O473" s="1425" t="s">
        <v>47</v>
      </c>
      <c r="P473" s="1425"/>
      <c r="Q473" s="16" t="s">
        <v>1427</v>
      </c>
      <c r="R473" s="302" t="s">
        <v>914</v>
      </c>
      <c r="S473" s="351">
        <v>2015</v>
      </c>
      <c r="T473" s="303">
        <v>0</v>
      </c>
      <c r="U473" s="303">
        <v>1</v>
      </c>
      <c r="V473" s="572">
        <v>2</v>
      </c>
      <c r="W473" s="572">
        <v>0</v>
      </c>
      <c r="X473" s="572">
        <v>0</v>
      </c>
      <c r="Y473" s="572">
        <v>2</v>
      </c>
      <c r="Z473" s="481"/>
      <c r="AA473" s="481">
        <v>2</v>
      </c>
      <c r="AB473" s="481"/>
      <c r="AC473" s="481"/>
      <c r="AD473" s="481"/>
      <c r="AE473" s="481"/>
      <c r="AF473" s="481"/>
      <c r="AG473" s="481">
        <f t="shared" si="281"/>
        <v>2</v>
      </c>
      <c r="AH473" s="548">
        <v>2</v>
      </c>
      <c r="AI473" s="548"/>
      <c r="AJ473" s="548"/>
      <c r="AK473" s="548"/>
      <c r="AL473" s="548"/>
      <c r="AM473" s="548"/>
      <c r="AN473" s="548">
        <f t="shared" si="292"/>
        <v>2</v>
      </c>
      <c r="AO473" s="481"/>
      <c r="AP473" s="481"/>
      <c r="AQ473" s="481"/>
      <c r="AR473" s="481"/>
      <c r="AS473" s="481"/>
      <c r="AT473" s="481"/>
      <c r="AU473" s="481"/>
      <c r="AV473" s="481">
        <f t="shared" si="285"/>
        <v>0</v>
      </c>
      <c r="AW473" s="548"/>
      <c r="AX473" s="548"/>
      <c r="AY473" s="548"/>
      <c r="AZ473" s="548"/>
      <c r="BA473" s="548"/>
      <c r="BB473" s="548"/>
      <c r="BC473" s="548"/>
      <c r="BD473" s="548">
        <f t="shared" si="287"/>
        <v>0</v>
      </c>
      <c r="BE473" s="42">
        <f t="shared" si="293"/>
        <v>2</v>
      </c>
      <c r="BF473" s="42">
        <f t="shared" si="293"/>
        <v>2</v>
      </c>
      <c r="BG473" s="42">
        <f t="shared" si="293"/>
        <v>0</v>
      </c>
      <c r="BH473" s="42">
        <f t="shared" si="293"/>
        <v>0</v>
      </c>
      <c r="BI473" s="42">
        <f t="shared" si="293"/>
        <v>0</v>
      </c>
      <c r="BJ473" s="42">
        <f t="shared" si="295"/>
        <v>0</v>
      </c>
      <c r="BK473" s="42">
        <f t="shared" si="294"/>
        <v>0</v>
      </c>
      <c r="BL473" s="42">
        <f t="shared" si="294"/>
        <v>4</v>
      </c>
    </row>
    <row r="474" spans="1:67" ht="51.75" hidden="1" customHeight="1" x14ac:dyDescent="0.2">
      <c r="A474" s="298" t="s">
        <v>1353</v>
      </c>
      <c r="B474" s="299" t="s">
        <v>1351</v>
      </c>
      <c r="C474" s="1547"/>
      <c r="D474" s="1551"/>
      <c r="E474" s="1551"/>
      <c r="F474" s="1551"/>
      <c r="G474" s="1551"/>
      <c r="H474" s="1551"/>
      <c r="I474" s="1425"/>
      <c r="J474" s="379"/>
      <c r="K474" s="1428" t="s">
        <v>1428</v>
      </c>
      <c r="L474" s="301" t="s">
        <v>1358</v>
      </c>
      <c r="M474" s="1425" t="s">
        <v>902</v>
      </c>
      <c r="N474" s="476" t="s">
        <v>903</v>
      </c>
      <c r="O474" s="1425" t="s">
        <v>47</v>
      </c>
      <c r="P474" s="1425"/>
      <c r="Q474" s="16" t="s">
        <v>1429</v>
      </c>
      <c r="R474" s="302" t="s">
        <v>1430</v>
      </c>
      <c r="S474" s="351">
        <v>2015</v>
      </c>
      <c r="T474" s="303">
        <v>0</v>
      </c>
      <c r="U474" s="303">
        <v>1</v>
      </c>
      <c r="V474" s="572">
        <v>2</v>
      </c>
      <c r="W474" s="572">
        <v>3</v>
      </c>
      <c r="X474" s="572">
        <v>4</v>
      </c>
      <c r="Y474" s="572">
        <v>4</v>
      </c>
      <c r="Z474" s="481"/>
      <c r="AA474" s="584">
        <v>5</v>
      </c>
      <c r="AB474" s="481"/>
      <c r="AC474" s="481"/>
      <c r="AD474" s="481"/>
      <c r="AE474" s="481">
        <v>0</v>
      </c>
      <c r="AF474" s="481"/>
      <c r="AG474" s="481">
        <f t="shared" si="281"/>
        <v>5</v>
      </c>
      <c r="AH474" s="548">
        <v>5</v>
      </c>
      <c r="AI474" s="548"/>
      <c r="AJ474" s="548"/>
      <c r="AK474" s="548"/>
      <c r="AL474" s="548"/>
      <c r="AM474" s="548"/>
      <c r="AN474" s="548">
        <f t="shared" ref="AN474:AN479" si="296">SUM(AH474:AM474)</f>
        <v>5</v>
      </c>
      <c r="AO474" s="481">
        <v>5</v>
      </c>
      <c r="AP474" s="481"/>
      <c r="AQ474" s="481"/>
      <c r="AR474" s="481"/>
      <c r="AS474" s="481"/>
      <c r="AT474" s="481"/>
      <c r="AU474" s="481"/>
      <c r="AV474" s="481">
        <f>SUM(AO474:AU474)</f>
        <v>5</v>
      </c>
      <c r="AW474" s="548">
        <v>5</v>
      </c>
      <c r="AX474" s="548"/>
      <c r="AY474" s="548"/>
      <c r="AZ474" s="548"/>
      <c r="BA474" s="548"/>
      <c r="BB474" s="548"/>
      <c r="BC474" s="548"/>
      <c r="BD474" s="548">
        <f>SUM(AW474:BC474)</f>
        <v>5</v>
      </c>
      <c r="BE474" s="42">
        <f t="shared" si="293"/>
        <v>15</v>
      </c>
      <c r="BF474" s="42">
        <f t="shared" si="293"/>
        <v>5</v>
      </c>
      <c r="BG474" s="42">
        <f t="shared" si="293"/>
        <v>0</v>
      </c>
      <c r="BH474" s="42">
        <f t="shared" si="293"/>
        <v>0</v>
      </c>
      <c r="BI474" s="42">
        <f t="shared" si="293"/>
        <v>0</v>
      </c>
      <c r="BJ474" s="42">
        <f t="shared" si="295"/>
        <v>0</v>
      </c>
      <c r="BK474" s="42">
        <f t="shared" si="294"/>
        <v>0</v>
      </c>
      <c r="BL474" s="42">
        <f t="shared" si="294"/>
        <v>20</v>
      </c>
    </row>
    <row r="475" spans="1:67" ht="60.75" hidden="1" customHeight="1" x14ac:dyDescent="0.2">
      <c r="A475" s="298" t="s">
        <v>1353</v>
      </c>
      <c r="B475" s="299" t="s">
        <v>1351</v>
      </c>
      <c r="C475" s="1547"/>
      <c r="D475" s="1551"/>
      <c r="E475" s="1551"/>
      <c r="F475" s="1551"/>
      <c r="G475" s="1551"/>
      <c r="H475" s="1551"/>
      <c r="I475" s="1425"/>
      <c r="J475" s="379"/>
      <c r="K475" s="1428" t="s">
        <v>1431</v>
      </c>
      <c r="L475" s="301" t="s">
        <v>1358</v>
      </c>
      <c r="M475" s="1425" t="s">
        <v>902</v>
      </c>
      <c r="N475" s="476" t="s">
        <v>903</v>
      </c>
      <c r="O475" s="1425" t="s">
        <v>47</v>
      </c>
      <c r="P475" s="1425"/>
      <c r="Q475" s="16" t="s">
        <v>1432</v>
      </c>
      <c r="R475" s="302" t="s">
        <v>1433</v>
      </c>
      <c r="S475" s="351" t="s">
        <v>1434</v>
      </c>
      <c r="T475" s="303">
        <v>30000</v>
      </c>
      <c r="U475" s="303">
        <v>0</v>
      </c>
      <c r="V475" s="572">
        <v>4000</v>
      </c>
      <c r="W475" s="572">
        <v>8000</v>
      </c>
      <c r="X475" s="572">
        <v>12000</v>
      </c>
      <c r="Y475" s="572">
        <v>12000</v>
      </c>
      <c r="Z475" s="481"/>
      <c r="AA475" s="584"/>
      <c r="AB475" s="481"/>
      <c r="AC475" s="481"/>
      <c r="AD475" s="481"/>
      <c r="AE475" s="481"/>
      <c r="AF475" s="481"/>
      <c r="AG475" s="481">
        <f t="shared" si="281"/>
        <v>0</v>
      </c>
      <c r="AH475" s="548">
        <v>10</v>
      </c>
      <c r="AI475" s="548"/>
      <c r="AJ475" s="548"/>
      <c r="AK475" s="548"/>
      <c r="AL475" s="548"/>
      <c r="AM475" s="548"/>
      <c r="AN475" s="548">
        <f t="shared" si="296"/>
        <v>10</v>
      </c>
      <c r="AO475" s="491">
        <v>11</v>
      </c>
      <c r="AP475" s="481"/>
      <c r="AQ475" s="481"/>
      <c r="AR475" s="481"/>
      <c r="AS475" s="481"/>
      <c r="AT475" s="481"/>
      <c r="AU475" s="481"/>
      <c r="AV475" s="481">
        <f>SUM(AO475:AU475)</f>
        <v>11</v>
      </c>
      <c r="AW475" s="548">
        <v>10</v>
      </c>
      <c r="AX475" s="548"/>
      <c r="AY475" s="548"/>
      <c r="AZ475" s="548"/>
      <c r="BA475" s="548"/>
      <c r="BB475" s="548"/>
      <c r="BC475" s="548"/>
      <c r="BD475" s="548">
        <f>SUM(AW475:BC475)</f>
        <v>10</v>
      </c>
      <c r="BE475" s="42">
        <f t="shared" si="293"/>
        <v>31</v>
      </c>
      <c r="BF475" s="42">
        <f t="shared" si="293"/>
        <v>0</v>
      </c>
      <c r="BG475" s="42">
        <f t="shared" si="293"/>
        <v>0</v>
      </c>
      <c r="BH475" s="42">
        <f t="shared" si="293"/>
        <v>0</v>
      </c>
      <c r="BI475" s="42">
        <f t="shared" si="293"/>
        <v>0</v>
      </c>
      <c r="BJ475" s="42">
        <f t="shared" si="295"/>
        <v>0</v>
      </c>
      <c r="BK475" s="42">
        <f t="shared" si="294"/>
        <v>0</v>
      </c>
      <c r="BL475" s="42">
        <f t="shared" si="294"/>
        <v>31</v>
      </c>
    </row>
    <row r="476" spans="1:67" ht="37.5" hidden="1" customHeight="1" x14ac:dyDescent="0.2">
      <c r="A476" s="298" t="s">
        <v>1353</v>
      </c>
      <c r="B476" s="299" t="s">
        <v>1351</v>
      </c>
      <c r="C476" s="1547"/>
      <c r="D476" s="1551"/>
      <c r="E476" s="1551"/>
      <c r="F476" s="1551"/>
      <c r="G476" s="1551"/>
      <c r="H476" s="1551"/>
      <c r="I476" s="1425"/>
      <c r="J476" s="379"/>
      <c r="K476" s="1428" t="s">
        <v>1435</v>
      </c>
      <c r="L476" s="301" t="s">
        <v>1358</v>
      </c>
      <c r="M476" s="1425" t="s">
        <v>902</v>
      </c>
      <c r="N476" s="476" t="s">
        <v>903</v>
      </c>
      <c r="O476" s="1425" t="s">
        <v>47</v>
      </c>
      <c r="P476" s="1425"/>
      <c r="Q476" s="16" t="s">
        <v>1436</v>
      </c>
      <c r="R476" s="302" t="s">
        <v>1437</v>
      </c>
      <c r="S476" s="351">
        <v>2015</v>
      </c>
      <c r="T476" s="303">
        <v>0</v>
      </c>
      <c r="U476" s="303">
        <v>1</v>
      </c>
      <c r="V476" s="572">
        <v>2</v>
      </c>
      <c r="W476" s="572">
        <v>3</v>
      </c>
      <c r="X476" s="572">
        <v>4</v>
      </c>
      <c r="Y476" s="572">
        <v>4</v>
      </c>
      <c r="Z476" s="491">
        <v>1</v>
      </c>
      <c r="AA476" s="584"/>
      <c r="AB476" s="481"/>
      <c r="AC476" s="481"/>
      <c r="AD476" s="481"/>
      <c r="AE476" s="481"/>
      <c r="AF476" s="481"/>
      <c r="AG476" s="481">
        <f t="shared" si="281"/>
        <v>1</v>
      </c>
      <c r="AH476" s="548"/>
      <c r="AI476" s="491">
        <v>1</v>
      </c>
      <c r="AJ476" s="548"/>
      <c r="AK476" s="548"/>
      <c r="AL476" s="548"/>
      <c r="AM476" s="548"/>
      <c r="AN476" s="548">
        <f t="shared" si="296"/>
        <v>1</v>
      </c>
      <c r="AO476" s="491">
        <v>1</v>
      </c>
      <c r="AP476" s="481"/>
      <c r="AQ476" s="481"/>
      <c r="AR476" s="481"/>
      <c r="AS476" s="481"/>
      <c r="AT476" s="481"/>
      <c r="AU476" s="481"/>
      <c r="AV476" s="481">
        <f>SUM(AO476:AU476)</f>
        <v>1</v>
      </c>
      <c r="AW476" s="491">
        <v>3</v>
      </c>
      <c r="AX476" s="548"/>
      <c r="AY476" s="548"/>
      <c r="AZ476" s="548"/>
      <c r="BA476" s="548"/>
      <c r="BB476" s="548"/>
      <c r="BC476" s="548"/>
      <c r="BD476" s="548">
        <f>SUM(AW476:BC476)</f>
        <v>3</v>
      </c>
      <c r="BE476" s="42">
        <f>+AW476+AO476+AH476+Z476</f>
        <v>5</v>
      </c>
      <c r="BF476" s="42">
        <f>+AX476+AP476+AI476+AA476</f>
        <v>1</v>
      </c>
      <c r="BG476" s="42">
        <f>+AY476+AQ476+AJ476+AB476</f>
        <v>0</v>
      </c>
      <c r="BH476" s="42">
        <f>+AZ476+AR476+AK476+AC476</f>
        <v>0</v>
      </c>
      <c r="BI476" s="42">
        <f>+BA476+AS476+AL476+AD476</f>
        <v>0</v>
      </c>
      <c r="BJ476" s="42">
        <f>+AE476+AT476+BB476</f>
        <v>0</v>
      </c>
      <c r="BK476" s="42">
        <f>+BC476+AU476+AM476+AF476</f>
        <v>0</v>
      </c>
      <c r="BL476" s="42">
        <f>+BD476+AV476+AN476+AG476</f>
        <v>6</v>
      </c>
    </row>
    <row r="477" spans="1:67" ht="49.5" hidden="1" customHeight="1" x14ac:dyDescent="0.2">
      <c r="A477" s="298" t="s">
        <v>1353</v>
      </c>
      <c r="B477" s="299" t="s">
        <v>1351</v>
      </c>
      <c r="C477" s="1547"/>
      <c r="D477" s="1551"/>
      <c r="E477" s="1551"/>
      <c r="F477" s="1551"/>
      <c r="G477" s="1551"/>
      <c r="H477" s="1551"/>
      <c r="I477" s="1425"/>
      <c r="J477" s="379"/>
      <c r="K477" s="1428" t="s">
        <v>1438</v>
      </c>
      <c r="L477" s="301" t="s">
        <v>1358</v>
      </c>
      <c r="M477" s="1425" t="s">
        <v>902</v>
      </c>
      <c r="N477" s="476" t="s">
        <v>903</v>
      </c>
      <c r="O477" s="1425" t="s">
        <v>47</v>
      </c>
      <c r="P477" s="1425"/>
      <c r="Q477" s="16" t="s">
        <v>1439</v>
      </c>
      <c r="R477" s="302" t="s">
        <v>914</v>
      </c>
      <c r="S477" s="351">
        <v>2015</v>
      </c>
      <c r="T477" s="303">
        <v>0</v>
      </c>
      <c r="U477" s="303">
        <v>1</v>
      </c>
      <c r="V477" s="572">
        <v>1</v>
      </c>
      <c r="W477" s="572">
        <v>1</v>
      </c>
      <c r="X477" s="572">
        <v>1</v>
      </c>
      <c r="Y477" s="572">
        <v>4</v>
      </c>
      <c r="Z477" s="481"/>
      <c r="AA477" s="584"/>
      <c r="AB477" s="481"/>
      <c r="AC477" s="481"/>
      <c r="AD477" s="481"/>
      <c r="AE477" s="481">
        <v>2</v>
      </c>
      <c r="AF477" s="481"/>
      <c r="AG477" s="481">
        <f t="shared" si="281"/>
        <v>2</v>
      </c>
      <c r="AH477" s="548">
        <v>2</v>
      </c>
      <c r="AI477" s="548"/>
      <c r="AJ477" s="548"/>
      <c r="AK477" s="548"/>
      <c r="AL477" s="548"/>
      <c r="AM477" s="548"/>
      <c r="AN477" s="548">
        <f t="shared" si="296"/>
        <v>2</v>
      </c>
      <c r="AO477" s="481">
        <v>2</v>
      </c>
      <c r="AP477" s="481"/>
      <c r="AQ477" s="481"/>
      <c r="AR477" s="481"/>
      <c r="AS477" s="481"/>
      <c r="AT477" s="481"/>
      <c r="AU477" s="481"/>
      <c r="AV477" s="481">
        <f>SUM(AO477:AU477)</f>
        <v>2</v>
      </c>
      <c r="AW477" s="548">
        <v>2</v>
      </c>
      <c r="AX477" s="548"/>
      <c r="AY477" s="548"/>
      <c r="AZ477" s="548"/>
      <c r="BA477" s="548"/>
      <c r="BB477" s="548"/>
      <c r="BC477" s="548"/>
      <c r="BD477" s="548">
        <f>SUM(AW477:BC477)</f>
        <v>2</v>
      </c>
      <c r="BE477" s="42">
        <v>2</v>
      </c>
      <c r="BF477" s="42"/>
      <c r="BG477" s="42"/>
      <c r="BH477" s="42"/>
      <c r="BI477" s="42"/>
      <c r="BJ477" s="42"/>
      <c r="BK477" s="42"/>
      <c r="BL477" s="42">
        <f>+BD477+AV477+AN477+AG477</f>
        <v>8</v>
      </c>
    </row>
    <row r="478" spans="1:67" ht="42" hidden="1" customHeight="1" x14ac:dyDescent="0.2">
      <c r="A478" s="298" t="s">
        <v>1353</v>
      </c>
      <c r="B478" s="299" t="s">
        <v>1351</v>
      </c>
      <c r="C478" s="1548"/>
      <c r="D478" s="1552"/>
      <c r="E478" s="1552"/>
      <c r="F478" s="1552"/>
      <c r="G478" s="1552"/>
      <c r="H478" s="1552"/>
      <c r="I478" s="1425"/>
      <c r="J478" s="379"/>
      <c r="K478" s="1428" t="s">
        <v>1440</v>
      </c>
      <c r="L478" s="301" t="s">
        <v>1358</v>
      </c>
      <c r="M478" s="1425" t="s">
        <v>902</v>
      </c>
      <c r="N478" s="476" t="s">
        <v>903</v>
      </c>
      <c r="O478" s="1425" t="s">
        <v>47</v>
      </c>
      <c r="P478" s="1425"/>
      <c r="Q478" s="16" t="s">
        <v>1441</v>
      </c>
      <c r="R478" s="302" t="s">
        <v>71</v>
      </c>
      <c r="S478" s="351">
        <v>2015</v>
      </c>
      <c r="T478" s="303">
        <v>0</v>
      </c>
      <c r="U478" s="303">
        <v>1</v>
      </c>
      <c r="V478" s="572">
        <v>2</v>
      </c>
      <c r="W478" s="572">
        <v>3</v>
      </c>
      <c r="X478" s="572">
        <v>4</v>
      </c>
      <c r="Y478" s="572">
        <v>4</v>
      </c>
      <c r="Z478" s="481">
        <v>5</v>
      </c>
      <c r="AA478" s="584"/>
      <c r="AB478" s="481"/>
      <c r="AC478" s="481"/>
      <c r="AD478" s="481"/>
      <c r="AE478" s="481">
        <v>7</v>
      </c>
      <c r="AF478" s="481"/>
      <c r="AG478" s="481">
        <f t="shared" si="281"/>
        <v>12</v>
      </c>
      <c r="AH478" s="548">
        <v>2</v>
      </c>
      <c r="AI478" s="548"/>
      <c r="AJ478" s="716">
        <v>3</v>
      </c>
      <c r="AK478" s="548"/>
      <c r="AL478" s="548"/>
      <c r="AM478" s="548"/>
      <c r="AN478" s="548">
        <f t="shared" si="296"/>
        <v>5</v>
      </c>
      <c r="AO478" s="481">
        <v>2</v>
      </c>
      <c r="AP478" s="481"/>
      <c r="AQ478" s="481"/>
      <c r="AR478" s="481"/>
      <c r="AS478" s="481"/>
      <c r="AT478" s="481"/>
      <c r="AU478" s="481"/>
      <c r="AV478" s="481">
        <f>SUM(AO478:AU478)</f>
        <v>2</v>
      </c>
      <c r="AW478" s="548">
        <v>2</v>
      </c>
      <c r="AX478" s="548"/>
      <c r="AY478" s="548"/>
      <c r="AZ478" s="548"/>
      <c r="BA478" s="548"/>
      <c r="BB478" s="548"/>
      <c r="BC478" s="548"/>
      <c r="BD478" s="548">
        <f>SUM(AW478:BC478)</f>
        <v>2</v>
      </c>
      <c r="BE478" s="42">
        <f t="shared" si="293"/>
        <v>11</v>
      </c>
      <c r="BF478" s="42">
        <f t="shared" si="293"/>
        <v>0</v>
      </c>
      <c r="BG478" s="42">
        <f t="shared" si="293"/>
        <v>3</v>
      </c>
      <c r="BH478" s="42">
        <f t="shared" si="293"/>
        <v>0</v>
      </c>
      <c r="BI478" s="42">
        <f t="shared" si="293"/>
        <v>0</v>
      </c>
      <c r="BJ478" s="42">
        <f t="shared" si="295"/>
        <v>7</v>
      </c>
      <c r="BK478" s="42">
        <f t="shared" si="294"/>
        <v>0</v>
      </c>
      <c r="BL478" s="42">
        <f t="shared" si="294"/>
        <v>21</v>
      </c>
    </row>
    <row r="479" spans="1:67" ht="49.5" hidden="1" customHeight="1" x14ac:dyDescent="0.2">
      <c r="A479" s="298" t="s">
        <v>1353</v>
      </c>
      <c r="B479" s="299" t="s">
        <v>1351</v>
      </c>
      <c r="C479" s="1424"/>
      <c r="D479" s="1427"/>
      <c r="E479" s="1427"/>
      <c r="F479" s="1427"/>
      <c r="G479" s="1427"/>
      <c r="H479" s="1427"/>
      <c r="I479" s="1425"/>
      <c r="J479" s="379"/>
      <c r="K479" s="1428" t="s">
        <v>1442</v>
      </c>
      <c r="L479" s="301" t="s">
        <v>1358</v>
      </c>
      <c r="M479" s="1425" t="s">
        <v>902</v>
      </c>
      <c r="N479" s="476" t="s">
        <v>903</v>
      </c>
      <c r="O479" s="1425" t="s">
        <v>47</v>
      </c>
      <c r="P479" s="1425"/>
      <c r="Q479" s="16" t="s">
        <v>1443</v>
      </c>
      <c r="R479" s="352" t="s">
        <v>1444</v>
      </c>
      <c r="S479" s="351">
        <v>2015</v>
      </c>
      <c r="T479" s="303">
        <v>0</v>
      </c>
      <c r="U479" s="303">
        <v>0</v>
      </c>
      <c r="V479" s="572">
        <v>1</v>
      </c>
      <c r="W479" s="572">
        <v>0</v>
      </c>
      <c r="X479" s="572">
        <v>0</v>
      </c>
      <c r="Y479" s="572">
        <v>1</v>
      </c>
      <c r="Z479" s="481"/>
      <c r="AA479" s="584"/>
      <c r="AB479" s="481"/>
      <c r="AC479" s="481"/>
      <c r="AD479" s="481"/>
      <c r="AE479" s="481"/>
      <c r="AF479" s="481"/>
      <c r="AG479" s="481"/>
      <c r="AH479" s="548"/>
      <c r="AI479" s="491">
        <v>1</v>
      </c>
      <c r="AJ479" s="548"/>
      <c r="AK479" s="548"/>
      <c r="AL479" s="548"/>
      <c r="AM479" s="548"/>
      <c r="AN479" s="548">
        <f t="shared" si="296"/>
        <v>1</v>
      </c>
      <c r="AO479" s="481"/>
      <c r="AP479" s="481"/>
      <c r="AQ479" s="481"/>
      <c r="AR479" s="481"/>
      <c r="AS479" s="481"/>
      <c r="AT479" s="481"/>
      <c r="AU479" s="481"/>
      <c r="AV479" s="481"/>
      <c r="AW479" s="548"/>
      <c r="AX479" s="548"/>
      <c r="AY479" s="548"/>
      <c r="AZ479" s="548"/>
      <c r="BA479" s="548"/>
      <c r="BB479" s="548"/>
      <c r="BC479" s="548"/>
      <c r="BD479" s="548"/>
      <c r="BE479" s="42"/>
      <c r="BF479" s="42"/>
      <c r="BG479" s="42"/>
      <c r="BH479" s="42"/>
      <c r="BI479" s="42"/>
      <c r="BJ479" s="42"/>
      <c r="BK479" s="42"/>
      <c r="BL479" s="42"/>
    </row>
    <row r="480" spans="1:67" ht="46.5" hidden="1" customHeight="1" x14ac:dyDescent="0.2">
      <c r="A480" s="298" t="s">
        <v>1353</v>
      </c>
      <c r="B480" s="299" t="s">
        <v>1351</v>
      </c>
      <c r="C480" s="1424"/>
      <c r="D480" s="1427"/>
      <c r="E480" s="1427"/>
      <c r="F480" s="1427"/>
      <c r="G480" s="1427"/>
      <c r="H480" s="1427"/>
      <c r="I480" s="1425"/>
      <c r="J480" s="379"/>
      <c r="K480" s="1428" t="s">
        <v>1445</v>
      </c>
      <c r="L480" s="301" t="s">
        <v>1358</v>
      </c>
      <c r="M480" s="1425" t="s">
        <v>902</v>
      </c>
      <c r="N480" s="476" t="s">
        <v>903</v>
      </c>
      <c r="O480" s="1425" t="s">
        <v>47</v>
      </c>
      <c r="P480" s="1425"/>
      <c r="Q480" s="16" t="s">
        <v>1446</v>
      </c>
      <c r="R480" s="352" t="s">
        <v>1447</v>
      </c>
      <c r="S480" s="351">
        <v>2015</v>
      </c>
      <c r="T480" s="303">
        <v>0</v>
      </c>
      <c r="U480" s="303">
        <v>0</v>
      </c>
      <c r="V480" s="572">
        <v>0</v>
      </c>
      <c r="W480" s="572">
        <v>1</v>
      </c>
      <c r="X480" s="572">
        <v>0</v>
      </c>
      <c r="Y480" s="572">
        <v>1</v>
      </c>
      <c r="Z480" s="481"/>
      <c r="AA480" s="584"/>
      <c r="AB480" s="481"/>
      <c r="AC480" s="481"/>
      <c r="AD480" s="481"/>
      <c r="AE480" s="481"/>
      <c r="AF480" s="481"/>
      <c r="AG480" s="481"/>
      <c r="AH480" s="548"/>
      <c r="AI480" s="548"/>
      <c r="AJ480" s="548"/>
      <c r="AK480" s="548"/>
      <c r="AL480" s="548"/>
      <c r="AM480" s="548"/>
      <c r="AN480" s="548"/>
      <c r="AO480" s="481"/>
      <c r="AP480" s="491">
        <v>1</v>
      </c>
      <c r="AQ480" s="481"/>
      <c r="AR480" s="481"/>
      <c r="AS480" s="481"/>
      <c r="AT480" s="481"/>
      <c r="AU480" s="481"/>
      <c r="AV480" s="481">
        <f>SUM(AO480:AU480)</f>
        <v>1</v>
      </c>
      <c r="AW480" s="548"/>
      <c r="AX480" s="548"/>
      <c r="AY480" s="548"/>
      <c r="AZ480" s="548"/>
      <c r="BA480" s="548"/>
      <c r="BB480" s="548"/>
      <c r="BC480" s="548"/>
      <c r="BD480" s="548"/>
      <c r="BE480" s="42"/>
      <c r="BF480" s="42"/>
      <c r="BG480" s="42"/>
      <c r="BH480" s="42"/>
      <c r="BI480" s="42"/>
      <c r="BJ480" s="42"/>
      <c r="BK480" s="42"/>
      <c r="BL480" s="42"/>
    </row>
    <row r="481" spans="1:64" ht="12.75" hidden="1" x14ac:dyDescent="0.2">
      <c r="A481" s="151"/>
      <c r="B481" s="7"/>
      <c r="C481" s="7"/>
      <c r="D481" s="1442"/>
      <c r="E481" s="1442"/>
      <c r="F481" s="1442"/>
      <c r="G481" s="1442"/>
      <c r="H481" s="1442"/>
      <c r="I481" s="1442"/>
      <c r="J481" s="64"/>
      <c r="K481" s="148"/>
      <c r="L481" s="148"/>
      <c r="M481" s="148"/>
      <c r="N481" s="11"/>
      <c r="O481" s="148"/>
      <c r="P481" s="148"/>
      <c r="Q481" s="1436"/>
      <c r="R481" s="1436"/>
      <c r="S481" s="69"/>
      <c r="T481" s="1442"/>
      <c r="U481" s="1442"/>
      <c r="V481" s="63"/>
      <c r="W481" s="63"/>
      <c r="X481" s="63"/>
      <c r="Y481" s="63"/>
      <c r="Z481" s="42">
        <v>175.7</v>
      </c>
      <c r="AA481" s="35"/>
      <c r="AB481" s="42"/>
      <c r="AC481" s="42"/>
      <c r="AD481" s="42"/>
      <c r="AE481" s="42">
        <v>14.8</v>
      </c>
      <c r="AF481" s="42"/>
      <c r="AG481" s="42">
        <f t="shared" si="281"/>
        <v>190.5</v>
      </c>
      <c r="AH481" s="42"/>
      <c r="AI481" s="42"/>
      <c r="AJ481" s="42"/>
      <c r="AK481" s="42"/>
      <c r="AL481" s="42"/>
      <c r="AM481" s="42"/>
      <c r="AN481" s="42"/>
      <c r="AO481" s="42"/>
      <c r="AP481" s="42"/>
      <c r="AQ481" s="42"/>
      <c r="AR481" s="42"/>
      <c r="AS481" s="42"/>
      <c r="AT481" s="42"/>
      <c r="AU481" s="42"/>
      <c r="AV481" s="42"/>
      <c r="AW481" s="42"/>
      <c r="AX481" s="42"/>
      <c r="AY481" s="42"/>
      <c r="AZ481" s="42"/>
      <c r="BA481" s="42"/>
      <c r="BB481" s="42"/>
      <c r="BC481" s="42"/>
      <c r="BD481" s="42"/>
      <c r="BE481" s="42">
        <f t="shared" si="293"/>
        <v>175.7</v>
      </c>
      <c r="BF481" s="42">
        <f t="shared" si="293"/>
        <v>0</v>
      </c>
      <c r="BG481" s="42">
        <f t="shared" si="293"/>
        <v>0</v>
      </c>
      <c r="BH481" s="42">
        <f t="shared" si="293"/>
        <v>0</v>
      </c>
      <c r="BI481" s="42">
        <f t="shared" si="293"/>
        <v>0</v>
      </c>
      <c r="BJ481" s="42">
        <f t="shared" si="295"/>
        <v>14.8</v>
      </c>
      <c r="BK481" s="42">
        <f t="shared" si="294"/>
        <v>0</v>
      </c>
      <c r="BL481" s="42">
        <f t="shared" si="294"/>
        <v>190.5</v>
      </c>
    </row>
    <row r="482" spans="1:64" ht="2.25" customHeight="1" x14ac:dyDescent="0.25">
      <c r="A482" s="151"/>
      <c r="B482" s="7" t="s">
        <v>1448</v>
      </c>
      <c r="C482" s="7"/>
      <c r="D482" s="1442"/>
      <c r="E482" s="1442"/>
      <c r="F482" s="1442"/>
      <c r="G482" s="1442"/>
      <c r="H482" s="1442"/>
      <c r="I482" s="1442"/>
      <c r="J482" s="64"/>
      <c r="K482" s="148"/>
      <c r="L482" s="148"/>
      <c r="M482" s="148"/>
      <c r="N482" s="11"/>
      <c r="O482" s="148"/>
      <c r="P482" s="148"/>
      <c r="Q482" s="1436"/>
      <c r="R482" s="1436"/>
      <c r="S482" s="69"/>
      <c r="T482" s="1442"/>
      <c r="U482" s="1442"/>
      <c r="V482" s="63"/>
      <c r="W482" s="63"/>
      <c r="X482" s="63"/>
      <c r="Y482" s="63"/>
      <c r="Z482" s="42">
        <v>175.7</v>
      </c>
      <c r="AA482" s="35"/>
      <c r="AB482" s="42">
        <v>15.6</v>
      </c>
      <c r="AC482" s="42"/>
      <c r="AD482" s="42"/>
      <c r="AE482" s="42">
        <v>14.8</v>
      </c>
      <c r="AF482" s="42"/>
      <c r="AG482" s="42"/>
      <c r="AH482" s="42">
        <f>+Z482*1.04</f>
        <v>182.72799999999998</v>
      </c>
      <c r="AI482" s="42">
        <f>+AA482*1.04</f>
        <v>0</v>
      </c>
      <c r="AJ482" s="42">
        <f>+AB482*1.04</f>
        <v>16.224</v>
      </c>
      <c r="AK482" s="42">
        <f>+AC482*1.04</f>
        <v>0</v>
      </c>
      <c r="AL482" s="42">
        <f>+AD482*1.04</f>
        <v>0</v>
      </c>
      <c r="AM482" s="42">
        <f>+AF482*1.04</f>
        <v>0</v>
      </c>
      <c r="AN482" s="42"/>
      <c r="AO482" s="42">
        <f>+AH482*1.04</f>
        <v>190.03711999999999</v>
      </c>
      <c r="AP482" s="42">
        <f>+AI482*1.04</f>
        <v>0</v>
      </c>
      <c r="AQ482" s="42">
        <f>+AJ482*1.04</f>
        <v>16.872959999999999</v>
      </c>
      <c r="AR482" s="42">
        <f>+AK482*1.04</f>
        <v>0</v>
      </c>
      <c r="AS482" s="42">
        <f>+AL482*1.04</f>
        <v>0</v>
      </c>
      <c r="AT482" s="42" t="e">
        <f>+#REF!*1.04</f>
        <v>#REF!</v>
      </c>
      <c r="AU482" s="42"/>
      <c r="AV482" s="42"/>
      <c r="AW482" s="42">
        <f t="shared" ref="AW482:BB482" si="297">+AO482*1.04</f>
        <v>197.6386048</v>
      </c>
      <c r="AX482" s="42">
        <f t="shared" si="297"/>
        <v>0</v>
      </c>
      <c r="AY482" s="42">
        <f t="shared" si="297"/>
        <v>17.547878399999998</v>
      </c>
      <c r="AZ482" s="42">
        <f t="shared" si="297"/>
        <v>0</v>
      </c>
      <c r="BA482" s="42">
        <f t="shared" si="297"/>
        <v>0</v>
      </c>
      <c r="BB482" s="42" t="e">
        <f t="shared" si="297"/>
        <v>#REF!</v>
      </c>
      <c r="BC482" s="42"/>
      <c r="BD482" s="42"/>
      <c r="BE482" s="42">
        <f t="shared" si="293"/>
        <v>746.10372480000001</v>
      </c>
      <c r="BF482" s="42">
        <f t="shared" si="293"/>
        <v>0</v>
      </c>
      <c r="BG482" s="42">
        <f t="shared" si="293"/>
        <v>66.244838399999992</v>
      </c>
      <c r="BH482" s="42">
        <f t="shared" si="293"/>
        <v>0</v>
      </c>
      <c r="BI482" s="42">
        <f t="shared" si="293"/>
        <v>0</v>
      </c>
      <c r="BJ482" s="42" t="e">
        <f t="shared" si="295"/>
        <v>#REF!</v>
      </c>
      <c r="BK482" s="42">
        <f t="shared" si="294"/>
        <v>0</v>
      </c>
      <c r="BL482" s="42">
        <f t="shared" si="294"/>
        <v>0</v>
      </c>
    </row>
    <row r="483" spans="1:64" ht="20.399999999999999" x14ac:dyDescent="0.25">
      <c r="A483" s="420"/>
      <c r="B483" s="1565" t="s">
        <v>1448</v>
      </c>
      <c r="C483" s="1566"/>
      <c r="D483" s="1566"/>
      <c r="E483" s="1566"/>
      <c r="F483" s="1566"/>
      <c r="G483" s="1566"/>
      <c r="H483" s="1566"/>
      <c r="I483" s="1566"/>
      <c r="J483" s="1566"/>
      <c r="K483" s="1566"/>
      <c r="L483" s="1566"/>
      <c r="M483" s="1567"/>
      <c r="N483" s="381"/>
      <c r="O483" s="381"/>
      <c r="P483" s="381"/>
      <c r="Q483" s="383"/>
      <c r="R483" s="383"/>
      <c r="S483" s="597"/>
      <c r="T483" s="597"/>
      <c r="U483" s="597"/>
      <c r="V483" s="599"/>
      <c r="W483" s="599"/>
      <c r="X483" s="599"/>
      <c r="Y483" s="599"/>
      <c r="Z483" s="600">
        <f>+Z484+Z492</f>
        <v>175.7</v>
      </c>
      <c r="AA483" s="600">
        <f t="shared" ref="AA483:AF483" si="298">+AA484+AA492</f>
        <v>0</v>
      </c>
      <c r="AB483" s="600">
        <f t="shared" si="298"/>
        <v>15.6</v>
      </c>
      <c r="AC483" s="600">
        <f t="shared" si="298"/>
        <v>0</v>
      </c>
      <c r="AD483" s="600">
        <f t="shared" si="298"/>
        <v>0</v>
      </c>
      <c r="AE483" s="600">
        <f t="shared" si="298"/>
        <v>14.8</v>
      </c>
      <c r="AF483" s="600">
        <f t="shared" si="298"/>
        <v>0</v>
      </c>
      <c r="AG483" s="600">
        <f t="shared" ref="AG483:AG499" si="299">SUM(Z483:AF483)</f>
        <v>206.1</v>
      </c>
      <c r="AH483" s="600">
        <f t="shared" ref="AH483:AM483" si="300">+AH484+AH492</f>
        <v>182</v>
      </c>
      <c r="AI483" s="600">
        <f t="shared" si="300"/>
        <v>0</v>
      </c>
      <c r="AJ483" s="600">
        <f t="shared" si="300"/>
        <v>28</v>
      </c>
      <c r="AK483" s="600">
        <f t="shared" si="300"/>
        <v>0</v>
      </c>
      <c r="AL483" s="600">
        <f t="shared" si="300"/>
        <v>0</v>
      </c>
      <c r="AM483" s="600">
        <f t="shared" si="300"/>
        <v>0</v>
      </c>
      <c r="AN483" s="600">
        <f>SUM(AH483:AM483)</f>
        <v>210</v>
      </c>
      <c r="AO483" s="600">
        <f t="shared" ref="AO483:AU483" si="301">+AO484+AO492</f>
        <v>190</v>
      </c>
      <c r="AP483" s="600">
        <f t="shared" si="301"/>
        <v>0</v>
      </c>
      <c r="AQ483" s="600">
        <f t="shared" si="301"/>
        <v>16.8</v>
      </c>
      <c r="AR483" s="600">
        <f t="shared" si="301"/>
        <v>0</v>
      </c>
      <c r="AS483" s="600">
        <f t="shared" si="301"/>
        <v>0</v>
      </c>
      <c r="AT483" s="600">
        <f t="shared" si="301"/>
        <v>0</v>
      </c>
      <c r="AU483" s="600">
        <f t="shared" si="301"/>
        <v>0</v>
      </c>
      <c r="AV483" s="600">
        <f t="shared" ref="AV483:AV499" si="302">SUM(AO483:AU483)</f>
        <v>206.8</v>
      </c>
      <c r="AW483" s="600">
        <f t="shared" ref="AW483:BC483" si="303">+AW484+AW492</f>
        <v>197</v>
      </c>
      <c r="AX483" s="600">
        <f t="shared" si="303"/>
        <v>0</v>
      </c>
      <c r="AY483" s="600">
        <f t="shared" si="303"/>
        <v>17</v>
      </c>
      <c r="AZ483" s="600">
        <f t="shared" si="303"/>
        <v>0</v>
      </c>
      <c r="BA483" s="600">
        <f t="shared" si="303"/>
        <v>0</v>
      </c>
      <c r="BB483" s="600">
        <f t="shared" si="303"/>
        <v>0</v>
      </c>
      <c r="BC483" s="600">
        <f t="shared" si="303"/>
        <v>0</v>
      </c>
      <c r="BD483" s="600">
        <f t="shared" ref="BD483:BD499" si="304">SUM(AW483:BC483)</f>
        <v>214</v>
      </c>
      <c r="BE483" s="33">
        <f t="shared" si="293"/>
        <v>744.7</v>
      </c>
      <c r="BF483" s="33">
        <f t="shared" si="293"/>
        <v>0</v>
      </c>
      <c r="BG483" s="33">
        <f t="shared" si="293"/>
        <v>77.399999999999991</v>
      </c>
      <c r="BH483" s="33">
        <f t="shared" si="293"/>
        <v>0</v>
      </c>
      <c r="BI483" s="33">
        <f t="shared" si="293"/>
        <v>0</v>
      </c>
      <c r="BJ483" s="33">
        <f t="shared" si="295"/>
        <v>14.8</v>
      </c>
      <c r="BK483" s="33">
        <f t="shared" si="294"/>
        <v>0</v>
      </c>
      <c r="BL483" s="33">
        <f t="shared" si="294"/>
        <v>836.9</v>
      </c>
    </row>
    <row r="484" spans="1:64" ht="39.6" x14ac:dyDescent="0.25">
      <c r="A484" s="603"/>
      <c r="B484" s="154" t="s">
        <v>1448</v>
      </c>
      <c r="C484" s="154"/>
      <c r="D484" s="2" t="s">
        <v>1449</v>
      </c>
      <c r="E484" s="1"/>
      <c r="F484" s="1"/>
      <c r="G484" s="1"/>
      <c r="H484" s="1"/>
      <c r="I484" s="1"/>
      <c r="J484" s="1"/>
      <c r="K484" s="1"/>
      <c r="L484" s="1"/>
      <c r="M484" s="1"/>
      <c r="N484" s="1"/>
      <c r="O484" s="1"/>
      <c r="P484" s="1"/>
      <c r="Q484" s="22"/>
      <c r="R484" s="22"/>
      <c r="S484" s="1"/>
      <c r="T484" s="1"/>
      <c r="U484" s="1"/>
      <c r="V484" s="49"/>
      <c r="W484" s="49"/>
      <c r="X484" s="49"/>
      <c r="Y484" s="49"/>
      <c r="Z484" s="34">
        <f>SUM(Z485:Z491)</f>
        <v>25.7</v>
      </c>
      <c r="AA484" s="34">
        <f t="shared" ref="AA484:AF484" si="305">SUM(AA485:AA491)</f>
        <v>0</v>
      </c>
      <c r="AB484" s="34">
        <f t="shared" si="305"/>
        <v>15.6</v>
      </c>
      <c r="AC484" s="34">
        <f t="shared" si="305"/>
        <v>0</v>
      </c>
      <c r="AD484" s="34">
        <f t="shared" si="305"/>
        <v>0</v>
      </c>
      <c r="AE484" s="34">
        <f t="shared" si="305"/>
        <v>0</v>
      </c>
      <c r="AF484" s="34">
        <f t="shared" si="305"/>
        <v>0</v>
      </c>
      <c r="AG484" s="34">
        <f t="shared" si="299"/>
        <v>41.3</v>
      </c>
      <c r="AH484" s="34">
        <f t="shared" ref="AH484:AM484" si="306">SUM(AH485:AH491)</f>
        <v>26</v>
      </c>
      <c r="AI484" s="34">
        <f t="shared" si="306"/>
        <v>0</v>
      </c>
      <c r="AJ484" s="34">
        <f t="shared" si="306"/>
        <v>0</v>
      </c>
      <c r="AK484" s="34">
        <f t="shared" si="306"/>
        <v>0</v>
      </c>
      <c r="AL484" s="34">
        <f t="shared" si="306"/>
        <v>0</v>
      </c>
      <c r="AM484" s="34">
        <f t="shared" si="306"/>
        <v>0</v>
      </c>
      <c r="AN484" s="34">
        <f>SUM(AH484:AM484)</f>
        <v>26</v>
      </c>
      <c r="AO484" s="34">
        <f t="shared" ref="AO484:AU484" si="307">SUM(AO485:AO491)</f>
        <v>34</v>
      </c>
      <c r="AP484" s="34">
        <f t="shared" si="307"/>
        <v>0</v>
      </c>
      <c r="AQ484" s="34">
        <f t="shared" si="307"/>
        <v>0</v>
      </c>
      <c r="AR484" s="34">
        <f t="shared" si="307"/>
        <v>0</v>
      </c>
      <c r="AS484" s="34">
        <f t="shared" si="307"/>
        <v>0</v>
      </c>
      <c r="AT484" s="34">
        <f t="shared" si="307"/>
        <v>0</v>
      </c>
      <c r="AU484" s="34">
        <f t="shared" si="307"/>
        <v>0</v>
      </c>
      <c r="AV484" s="34">
        <f t="shared" si="302"/>
        <v>34</v>
      </c>
      <c r="AW484" s="34">
        <f t="shared" ref="AW484:BC484" si="308">SUM(AW485:AW491)</f>
        <v>37</v>
      </c>
      <c r="AX484" s="34">
        <f t="shared" si="308"/>
        <v>0</v>
      </c>
      <c r="AY484" s="34">
        <f t="shared" si="308"/>
        <v>0</v>
      </c>
      <c r="AZ484" s="34">
        <f t="shared" si="308"/>
        <v>0</v>
      </c>
      <c r="BA484" s="34">
        <f t="shared" si="308"/>
        <v>0</v>
      </c>
      <c r="BB484" s="34">
        <f t="shared" si="308"/>
        <v>0</v>
      </c>
      <c r="BC484" s="34">
        <f t="shared" si="308"/>
        <v>0</v>
      </c>
      <c r="BD484" s="34">
        <f t="shared" si="304"/>
        <v>37</v>
      </c>
      <c r="BE484" s="34">
        <f t="shared" si="293"/>
        <v>122.7</v>
      </c>
      <c r="BF484" s="34">
        <f t="shared" si="293"/>
        <v>0</v>
      </c>
      <c r="BG484" s="34">
        <f t="shared" si="293"/>
        <v>15.6</v>
      </c>
      <c r="BH484" s="34">
        <f t="shared" si="293"/>
        <v>0</v>
      </c>
      <c r="BI484" s="34">
        <f t="shared" si="293"/>
        <v>0</v>
      </c>
      <c r="BJ484" s="34">
        <f t="shared" si="295"/>
        <v>0</v>
      </c>
      <c r="BK484" s="34">
        <f t="shared" si="294"/>
        <v>0</v>
      </c>
      <c r="BL484" s="34">
        <f t="shared" si="294"/>
        <v>138.30000000000001</v>
      </c>
    </row>
    <row r="485" spans="1:64" ht="51.75" customHeight="1" x14ac:dyDescent="0.25">
      <c r="A485" s="298" t="s">
        <v>1450</v>
      </c>
      <c r="B485" s="299" t="s">
        <v>1448</v>
      </c>
      <c r="C485" s="1546" t="s">
        <v>1451</v>
      </c>
      <c r="D485" s="1549" t="s">
        <v>1452</v>
      </c>
      <c r="E485" s="1549" t="s">
        <v>1453</v>
      </c>
      <c r="F485" s="1549">
        <v>2015</v>
      </c>
      <c r="G485" s="1549" t="s">
        <v>177</v>
      </c>
      <c r="H485" s="1549">
        <v>20</v>
      </c>
      <c r="I485" s="1425"/>
      <c r="J485" s="1425"/>
      <c r="K485" s="1425" t="s">
        <v>1454</v>
      </c>
      <c r="L485" s="301" t="s">
        <v>179</v>
      </c>
      <c r="M485" s="1425" t="s">
        <v>1102</v>
      </c>
      <c r="N485" s="476" t="s">
        <v>1103</v>
      </c>
      <c r="O485" s="1425" t="s">
        <v>47</v>
      </c>
      <c r="P485" s="586">
        <v>231218</v>
      </c>
      <c r="Q485" s="16" t="s">
        <v>1455</v>
      </c>
      <c r="R485" s="302" t="s">
        <v>1456</v>
      </c>
      <c r="S485" s="351">
        <v>2015</v>
      </c>
      <c r="T485" s="303">
        <v>0</v>
      </c>
      <c r="U485" s="303">
        <v>0</v>
      </c>
      <c r="V485" s="572">
        <v>1</v>
      </c>
      <c r="W485" s="572">
        <v>0</v>
      </c>
      <c r="X485" s="572">
        <v>0</v>
      </c>
      <c r="Y485" s="572">
        <f>SUBTOTAL(9,U485:X485)</f>
        <v>1</v>
      </c>
      <c r="Z485" s="481"/>
      <c r="AA485" s="481"/>
      <c r="AB485" s="481"/>
      <c r="AC485" s="481"/>
      <c r="AD485" s="481"/>
      <c r="AE485" s="481"/>
      <c r="AF485" s="481"/>
      <c r="AG485" s="481">
        <f t="shared" si="299"/>
        <v>0</v>
      </c>
      <c r="AH485" s="491">
        <v>1</v>
      </c>
      <c r="AI485" s="548"/>
      <c r="AJ485" s="548"/>
      <c r="AK485" s="548"/>
      <c r="AL485" s="548"/>
      <c r="AM485" s="548"/>
      <c r="AN485" s="548">
        <f>SUM(AH485:AM485)</f>
        <v>1</v>
      </c>
      <c r="AO485" s="481"/>
      <c r="AP485" s="481"/>
      <c r="AQ485" s="481"/>
      <c r="AR485" s="481"/>
      <c r="AS485" s="481"/>
      <c r="AT485" s="481"/>
      <c r="AU485" s="481"/>
      <c r="AV485" s="481">
        <f t="shared" si="302"/>
        <v>0</v>
      </c>
      <c r="AW485" s="548"/>
      <c r="AX485" s="548"/>
      <c r="AY485" s="548"/>
      <c r="AZ485" s="548"/>
      <c r="BA485" s="548"/>
      <c r="BB485" s="548"/>
      <c r="BC485" s="548"/>
      <c r="BD485" s="548">
        <f t="shared" si="304"/>
        <v>0</v>
      </c>
      <c r="BE485" s="42">
        <f t="shared" si="293"/>
        <v>1</v>
      </c>
      <c r="BF485" s="42">
        <f t="shared" si="293"/>
        <v>0</v>
      </c>
      <c r="BG485" s="42">
        <f t="shared" si="293"/>
        <v>0</v>
      </c>
      <c r="BH485" s="42">
        <f t="shared" si="293"/>
        <v>0</v>
      </c>
      <c r="BI485" s="42">
        <f t="shared" si="293"/>
        <v>0</v>
      </c>
      <c r="BJ485" s="42">
        <f t="shared" si="295"/>
        <v>0</v>
      </c>
      <c r="BK485" s="42">
        <f t="shared" si="294"/>
        <v>0</v>
      </c>
      <c r="BL485" s="42">
        <f t="shared" si="294"/>
        <v>1</v>
      </c>
    </row>
    <row r="486" spans="1:64" ht="42.75" customHeight="1" x14ac:dyDescent="0.25">
      <c r="A486" s="298" t="s">
        <v>1450</v>
      </c>
      <c r="B486" s="299" t="s">
        <v>1448</v>
      </c>
      <c r="C486" s="1547"/>
      <c r="D486" s="1549"/>
      <c r="E486" s="1549"/>
      <c r="F486" s="1549"/>
      <c r="G486" s="1549"/>
      <c r="H486" s="1549"/>
      <c r="I486" s="1425" t="s">
        <v>53</v>
      </c>
      <c r="J486" s="1425"/>
      <c r="K486" s="1425" t="s">
        <v>1457</v>
      </c>
      <c r="L486" s="301" t="s">
        <v>179</v>
      </c>
      <c r="M486" s="1425" t="s">
        <v>1102</v>
      </c>
      <c r="N486" s="476" t="s">
        <v>1103</v>
      </c>
      <c r="O486" s="1425" t="s">
        <v>47</v>
      </c>
      <c r="P486" s="586">
        <v>231211</v>
      </c>
      <c r="Q486" s="16" t="s">
        <v>1458</v>
      </c>
      <c r="R486" s="302" t="s">
        <v>1459</v>
      </c>
      <c r="S486" s="303">
        <v>2015</v>
      </c>
      <c r="T486" s="303">
        <v>0</v>
      </c>
      <c r="U486" s="303">
        <v>0</v>
      </c>
      <c r="V486" s="572">
        <v>1</v>
      </c>
      <c r="W486" s="572">
        <v>0</v>
      </c>
      <c r="X486" s="572">
        <v>0</v>
      </c>
      <c r="Y486" s="572">
        <f>SUBTOTAL(9,U486:X486)</f>
        <v>1</v>
      </c>
      <c r="Z486" s="491"/>
      <c r="AA486" s="481"/>
      <c r="AB486" s="481"/>
      <c r="AC486" s="481"/>
      <c r="AD486" s="481"/>
      <c r="AE486" s="481"/>
      <c r="AF486" s="481"/>
      <c r="AG486" s="481">
        <f t="shared" si="299"/>
        <v>0</v>
      </c>
      <c r="AH486" s="548">
        <v>2</v>
      </c>
      <c r="AI486" s="548"/>
      <c r="AJ486" s="548"/>
      <c r="AK486" s="548"/>
      <c r="AL486" s="548"/>
      <c r="AM486" s="548"/>
      <c r="AN486" s="548">
        <f>SUM(AH486:AM486)</f>
        <v>2</v>
      </c>
      <c r="AO486" s="481"/>
      <c r="AP486" s="481"/>
      <c r="AQ486" s="481"/>
      <c r="AR486" s="481"/>
      <c r="AS486" s="481"/>
      <c r="AT486" s="481"/>
      <c r="AU486" s="481"/>
      <c r="AV486" s="481">
        <f t="shared" si="302"/>
        <v>0</v>
      </c>
      <c r="AW486" s="548"/>
      <c r="AX486" s="548"/>
      <c r="AY486" s="548"/>
      <c r="AZ486" s="548"/>
      <c r="BA486" s="548"/>
      <c r="BB486" s="548"/>
      <c r="BC486" s="548"/>
      <c r="BD486" s="548">
        <f t="shared" si="304"/>
        <v>0</v>
      </c>
      <c r="BE486" s="42">
        <f t="shared" si="293"/>
        <v>2</v>
      </c>
      <c r="BF486" s="42">
        <f t="shared" si="293"/>
        <v>0</v>
      </c>
      <c r="BG486" s="42">
        <f t="shared" si="293"/>
        <v>0</v>
      </c>
      <c r="BH486" s="42">
        <f t="shared" si="293"/>
        <v>0</v>
      </c>
      <c r="BI486" s="42">
        <f t="shared" si="293"/>
        <v>0</v>
      </c>
      <c r="BJ486" s="42">
        <f t="shared" si="295"/>
        <v>0</v>
      </c>
      <c r="BK486" s="42">
        <f t="shared" si="294"/>
        <v>0</v>
      </c>
      <c r="BL486" s="42">
        <f t="shared" si="294"/>
        <v>2</v>
      </c>
    </row>
    <row r="487" spans="1:64" ht="25.5" customHeight="1" x14ac:dyDescent="0.25">
      <c r="A487" s="298" t="s">
        <v>1450</v>
      </c>
      <c r="B487" s="299" t="s">
        <v>1448</v>
      </c>
      <c r="C487" s="1547"/>
      <c r="D487" s="1549"/>
      <c r="E487" s="1549"/>
      <c r="F487" s="1549"/>
      <c r="G487" s="1549"/>
      <c r="H487" s="1549"/>
      <c r="I487" s="1425"/>
      <c r="J487" s="1425"/>
      <c r="K487" s="1425" t="s">
        <v>1460</v>
      </c>
      <c r="L487" s="301" t="s">
        <v>179</v>
      </c>
      <c r="M487" s="1425" t="s">
        <v>1102</v>
      </c>
      <c r="N487" s="476" t="s">
        <v>1103</v>
      </c>
      <c r="O487" s="1425" t="s">
        <v>47</v>
      </c>
      <c r="P487" s="586"/>
      <c r="Q487" s="16" t="s">
        <v>1461</v>
      </c>
      <c r="R487" s="302" t="s">
        <v>1462</v>
      </c>
      <c r="S487" s="351">
        <v>2015</v>
      </c>
      <c r="T487" s="303">
        <v>0</v>
      </c>
      <c r="U487" s="303">
        <v>1</v>
      </c>
      <c r="V487" s="572">
        <v>0</v>
      </c>
      <c r="W487" s="572">
        <v>0</v>
      </c>
      <c r="X487" s="572">
        <v>0</v>
      </c>
      <c r="Y487" s="572">
        <v>1</v>
      </c>
      <c r="Z487" s="481">
        <v>2</v>
      </c>
      <c r="AA487" s="481"/>
      <c r="AB487" s="481"/>
      <c r="AC487" s="481"/>
      <c r="AD487" s="481"/>
      <c r="AE487" s="481"/>
      <c r="AF487" s="481"/>
      <c r="AG487" s="481">
        <f t="shared" si="299"/>
        <v>2</v>
      </c>
      <c r="AH487" s="548"/>
      <c r="AI487" s="548"/>
      <c r="AJ487" s="548"/>
      <c r="AK487" s="548"/>
      <c r="AL487" s="548"/>
      <c r="AM487" s="548"/>
      <c r="AN487" s="548"/>
      <c r="AO487" s="481"/>
      <c r="AP487" s="481"/>
      <c r="AQ487" s="481"/>
      <c r="AR487" s="481"/>
      <c r="AS487" s="481"/>
      <c r="AT487" s="481"/>
      <c r="AU487" s="481"/>
      <c r="AV487" s="481"/>
      <c r="AW487" s="548"/>
      <c r="AX487" s="548"/>
      <c r="AY487" s="548"/>
      <c r="AZ487" s="548"/>
      <c r="BA487" s="548"/>
      <c r="BB487" s="548"/>
      <c r="BC487" s="548"/>
      <c r="BD487" s="548"/>
      <c r="BE487" s="42"/>
      <c r="BF487" s="42"/>
      <c r="BG487" s="42"/>
      <c r="BH487" s="42"/>
      <c r="BI487" s="42"/>
      <c r="BJ487" s="42">
        <f t="shared" si="295"/>
        <v>0</v>
      </c>
      <c r="BK487" s="42"/>
      <c r="BL487" s="42"/>
    </row>
    <row r="488" spans="1:64" ht="27.75" customHeight="1" x14ac:dyDescent="0.25">
      <c r="A488" s="298" t="s">
        <v>1450</v>
      </c>
      <c r="B488" s="299" t="s">
        <v>1448</v>
      </c>
      <c r="C488" s="1547"/>
      <c r="D488" s="1549"/>
      <c r="E488" s="1549"/>
      <c r="F488" s="1549"/>
      <c r="G488" s="1549"/>
      <c r="H488" s="1549"/>
      <c r="I488" s="1425"/>
      <c r="J488" s="1425"/>
      <c r="K488" s="1425" t="s">
        <v>1463</v>
      </c>
      <c r="L488" s="301" t="s">
        <v>179</v>
      </c>
      <c r="M488" s="1425" t="s">
        <v>1102</v>
      </c>
      <c r="N488" s="476" t="s">
        <v>1103</v>
      </c>
      <c r="O488" s="1425" t="s">
        <v>73</v>
      </c>
      <c r="P488" s="586">
        <v>231218</v>
      </c>
      <c r="Q488" s="16" t="s">
        <v>1464</v>
      </c>
      <c r="R488" s="302" t="s">
        <v>1465</v>
      </c>
      <c r="S488" s="351">
        <v>2015</v>
      </c>
      <c r="T488" s="303">
        <v>0</v>
      </c>
      <c r="U488" s="303">
        <v>3</v>
      </c>
      <c r="V488" s="572">
        <v>3</v>
      </c>
      <c r="W488" s="572">
        <v>3</v>
      </c>
      <c r="X488" s="572">
        <v>3</v>
      </c>
      <c r="Y488" s="572">
        <v>3</v>
      </c>
      <c r="Z488" s="481"/>
      <c r="AA488" s="481"/>
      <c r="AB488" s="491">
        <v>5.6</v>
      </c>
      <c r="AC488" s="481"/>
      <c r="AD488" s="481"/>
      <c r="AE488" s="481"/>
      <c r="AF488" s="481"/>
      <c r="AG488" s="481">
        <f t="shared" si="299"/>
        <v>5.6</v>
      </c>
      <c r="AH488" s="491">
        <v>1</v>
      </c>
      <c r="AI488" s="548"/>
      <c r="AJ488" s="548"/>
      <c r="AK488" s="548"/>
      <c r="AL488" s="548"/>
      <c r="AM488" s="548"/>
      <c r="AN488" s="548">
        <f t="shared" ref="AN488:AN499" si="309">SUM(AH488:AM488)</f>
        <v>1</v>
      </c>
      <c r="AO488" s="491">
        <v>5</v>
      </c>
      <c r="AP488" s="481"/>
      <c r="AQ488" s="481"/>
      <c r="AR488" s="481"/>
      <c r="AS488" s="481"/>
      <c r="AT488" s="481"/>
      <c r="AU488" s="481"/>
      <c r="AV488" s="481">
        <f t="shared" si="302"/>
        <v>5</v>
      </c>
      <c r="AW488" s="491">
        <v>7</v>
      </c>
      <c r="AX488" s="548"/>
      <c r="AY488" s="548"/>
      <c r="AZ488" s="548"/>
      <c r="BA488" s="548"/>
      <c r="BB488" s="548"/>
      <c r="BC488" s="548"/>
      <c r="BD488" s="548">
        <f t="shared" si="304"/>
        <v>7</v>
      </c>
      <c r="BE488" s="42">
        <f t="shared" ref="BE488:BI499" si="310">+AW488+AO488+AH488+Z488</f>
        <v>13</v>
      </c>
      <c r="BF488" s="42">
        <f t="shared" si="310"/>
        <v>0</v>
      </c>
      <c r="BG488" s="42">
        <f t="shared" si="310"/>
        <v>5.6</v>
      </c>
      <c r="BH488" s="42">
        <f t="shared" si="310"/>
        <v>0</v>
      </c>
      <c r="BI488" s="42">
        <f t="shared" si="310"/>
        <v>0</v>
      </c>
      <c r="BJ488" s="42">
        <f t="shared" si="295"/>
        <v>0</v>
      </c>
      <c r="BK488" s="42">
        <f t="shared" ref="BK488:BL499" si="311">+BC488+AU488+AM488+AF488</f>
        <v>0</v>
      </c>
      <c r="BL488" s="42">
        <f t="shared" si="311"/>
        <v>18.600000000000001</v>
      </c>
    </row>
    <row r="489" spans="1:64" ht="22.5" customHeight="1" x14ac:dyDescent="0.25">
      <c r="A489" s="298" t="s">
        <v>1450</v>
      </c>
      <c r="B489" s="299" t="s">
        <v>1448</v>
      </c>
      <c r="C489" s="1547"/>
      <c r="D489" s="1549"/>
      <c r="E489" s="1549"/>
      <c r="F489" s="1549"/>
      <c r="G489" s="1549"/>
      <c r="H489" s="1549"/>
      <c r="I489" s="1425"/>
      <c r="J489" s="1425"/>
      <c r="K489" s="1425" t="s">
        <v>1466</v>
      </c>
      <c r="L489" s="301" t="s">
        <v>179</v>
      </c>
      <c r="M489" s="1425" t="s">
        <v>1102</v>
      </c>
      <c r="N489" s="476" t="s">
        <v>1103</v>
      </c>
      <c r="O489" s="1425" t="s">
        <v>47</v>
      </c>
      <c r="P489" s="586"/>
      <c r="Q489" s="16" t="s">
        <v>1467</v>
      </c>
      <c r="R489" s="302" t="s">
        <v>1468</v>
      </c>
      <c r="S489" s="351">
        <v>2015</v>
      </c>
      <c r="T489" s="303">
        <v>0</v>
      </c>
      <c r="U489" s="303">
        <v>0</v>
      </c>
      <c r="V489" s="572">
        <v>0</v>
      </c>
      <c r="W489" s="572">
        <v>1</v>
      </c>
      <c r="X489" s="572">
        <v>0</v>
      </c>
      <c r="Y489" s="572">
        <f>SUBTOTAL(9,U489:X489)</f>
        <v>1</v>
      </c>
      <c r="Z489" s="481"/>
      <c r="AA489" s="481"/>
      <c r="AB489" s="481"/>
      <c r="AC489" s="481"/>
      <c r="AD489" s="481"/>
      <c r="AE489" s="481"/>
      <c r="AF489" s="481"/>
      <c r="AG489" s="481">
        <f t="shared" si="299"/>
        <v>0</v>
      </c>
      <c r="AH489" s="548"/>
      <c r="AI489" s="548"/>
      <c r="AJ489" s="548"/>
      <c r="AK489" s="548"/>
      <c r="AL489" s="548"/>
      <c r="AM489" s="548"/>
      <c r="AN489" s="548">
        <f t="shared" si="309"/>
        <v>0</v>
      </c>
      <c r="AO489" s="481">
        <v>5</v>
      </c>
      <c r="AP489" s="481"/>
      <c r="AQ489" s="481"/>
      <c r="AR489" s="481"/>
      <c r="AS489" s="481"/>
      <c r="AT489" s="481"/>
      <c r="AU489" s="481"/>
      <c r="AV489" s="481">
        <f t="shared" si="302"/>
        <v>5</v>
      </c>
      <c r="AW489" s="491"/>
      <c r="AX489" s="548"/>
      <c r="AY489" s="548"/>
      <c r="AZ489" s="548"/>
      <c r="BA489" s="548"/>
      <c r="BB489" s="548"/>
      <c r="BC489" s="548"/>
      <c r="BD489" s="548">
        <f t="shared" si="304"/>
        <v>0</v>
      </c>
      <c r="BE489" s="42">
        <f t="shared" si="310"/>
        <v>5</v>
      </c>
      <c r="BF489" s="42">
        <f t="shared" si="310"/>
        <v>0</v>
      </c>
      <c r="BG489" s="42">
        <f t="shared" si="310"/>
        <v>0</v>
      </c>
      <c r="BH489" s="42">
        <f t="shared" si="310"/>
        <v>0</v>
      </c>
      <c r="BI489" s="42">
        <f t="shared" si="310"/>
        <v>0</v>
      </c>
      <c r="BJ489" s="42">
        <f t="shared" si="295"/>
        <v>0</v>
      </c>
      <c r="BK489" s="42">
        <f t="shared" si="311"/>
        <v>0</v>
      </c>
      <c r="BL489" s="42">
        <f t="shared" si="311"/>
        <v>5</v>
      </c>
    </row>
    <row r="490" spans="1:64" ht="42" customHeight="1" x14ac:dyDescent="0.25">
      <c r="A490" s="298" t="s">
        <v>1450</v>
      </c>
      <c r="B490" s="299" t="s">
        <v>1448</v>
      </c>
      <c r="C490" s="1547"/>
      <c r="D490" s="1549"/>
      <c r="E490" s="1549"/>
      <c r="F490" s="1549"/>
      <c r="G490" s="1549"/>
      <c r="H490" s="1549"/>
      <c r="I490" s="1425"/>
      <c r="J490" s="1425"/>
      <c r="K490" s="1425" t="s">
        <v>1469</v>
      </c>
      <c r="L490" s="301" t="s">
        <v>179</v>
      </c>
      <c r="M490" s="1425" t="s">
        <v>1102</v>
      </c>
      <c r="N490" s="476" t="s">
        <v>1103</v>
      </c>
      <c r="O490" s="1425" t="s">
        <v>47</v>
      </c>
      <c r="P490" s="586"/>
      <c r="Q490" s="16" t="s">
        <v>1470</v>
      </c>
      <c r="R490" s="302" t="s">
        <v>1471</v>
      </c>
      <c r="S490" s="351">
        <v>2015</v>
      </c>
      <c r="T490" s="303">
        <v>0</v>
      </c>
      <c r="U490" s="303">
        <v>1</v>
      </c>
      <c r="V490" s="572">
        <v>0</v>
      </c>
      <c r="W490" s="572">
        <v>1</v>
      </c>
      <c r="X490" s="572">
        <v>0</v>
      </c>
      <c r="Y490" s="572">
        <f>SUBTOTAL(9,U490:X490)</f>
        <v>2</v>
      </c>
      <c r="Z490" s="481"/>
      <c r="AA490" s="481"/>
      <c r="AB490" s="491">
        <v>10</v>
      </c>
      <c r="AC490" s="481"/>
      <c r="AD490" s="481"/>
      <c r="AE490" s="481"/>
      <c r="AF490" s="481"/>
      <c r="AG490" s="481">
        <f t="shared" si="299"/>
        <v>10</v>
      </c>
      <c r="AH490" s="548"/>
      <c r="AI490" s="548"/>
      <c r="AJ490" s="548"/>
      <c r="AK490" s="548"/>
      <c r="AL490" s="548"/>
      <c r="AM490" s="548"/>
      <c r="AN490" s="548">
        <f t="shared" si="309"/>
        <v>0</v>
      </c>
      <c r="AO490" s="481">
        <v>4</v>
      </c>
      <c r="AP490" s="481"/>
      <c r="AQ490" s="481"/>
      <c r="AR490" s="481"/>
      <c r="AS490" s="481"/>
      <c r="AT490" s="481"/>
      <c r="AU490" s="481"/>
      <c r="AV490" s="481">
        <f t="shared" si="302"/>
        <v>4</v>
      </c>
      <c r="AW490" s="548"/>
      <c r="AX490" s="548"/>
      <c r="AY490" s="548"/>
      <c r="AZ490" s="548"/>
      <c r="BA490" s="548"/>
      <c r="BB490" s="548"/>
      <c r="BC490" s="548"/>
      <c r="BD490" s="548">
        <f t="shared" si="304"/>
        <v>0</v>
      </c>
      <c r="BE490" s="42">
        <f t="shared" si="310"/>
        <v>4</v>
      </c>
      <c r="BF490" s="42">
        <f t="shared" si="310"/>
        <v>0</v>
      </c>
      <c r="BG490" s="42">
        <f t="shared" si="310"/>
        <v>10</v>
      </c>
      <c r="BH490" s="42">
        <f t="shared" si="310"/>
        <v>0</v>
      </c>
      <c r="BI490" s="42">
        <f t="shared" si="310"/>
        <v>0</v>
      </c>
      <c r="BJ490" s="42">
        <f t="shared" si="295"/>
        <v>0</v>
      </c>
      <c r="BK490" s="42">
        <f t="shared" si="311"/>
        <v>0</v>
      </c>
      <c r="BL490" s="42">
        <f t="shared" si="311"/>
        <v>14</v>
      </c>
    </row>
    <row r="491" spans="1:64" ht="28.5" customHeight="1" x14ac:dyDescent="0.25">
      <c r="A491" s="298" t="s">
        <v>1450</v>
      </c>
      <c r="B491" s="299" t="s">
        <v>1448</v>
      </c>
      <c r="C491" s="1548"/>
      <c r="D491" s="1549"/>
      <c r="E491" s="1549"/>
      <c r="F491" s="1549"/>
      <c r="G491" s="1549"/>
      <c r="H491" s="1549"/>
      <c r="I491" s="1425"/>
      <c r="J491" s="1425"/>
      <c r="K491" s="1425" t="s">
        <v>1472</v>
      </c>
      <c r="L491" s="301" t="s">
        <v>179</v>
      </c>
      <c r="M491" s="1425" t="s">
        <v>1102</v>
      </c>
      <c r="N491" s="476" t="s">
        <v>1103</v>
      </c>
      <c r="O491" s="1425" t="s">
        <v>47</v>
      </c>
      <c r="P491" s="586">
        <v>23121801</v>
      </c>
      <c r="Q491" s="16" t="s">
        <v>1473</v>
      </c>
      <c r="R491" s="302" t="s">
        <v>1474</v>
      </c>
      <c r="S491" s="351">
        <v>2015</v>
      </c>
      <c r="T491" s="303">
        <v>0</v>
      </c>
      <c r="U491" s="303">
        <v>1</v>
      </c>
      <c r="V491" s="572">
        <v>1</v>
      </c>
      <c r="W491" s="572">
        <v>1</v>
      </c>
      <c r="X491" s="572">
        <v>1</v>
      </c>
      <c r="Y491" s="572">
        <f>SUBTOTAL(9,U491:X491)</f>
        <v>4</v>
      </c>
      <c r="Z491" s="481">
        <v>23.7</v>
      </c>
      <c r="AA491" s="481"/>
      <c r="AB491" s="481"/>
      <c r="AC491" s="481"/>
      <c r="AD491" s="481"/>
      <c r="AE491" s="481"/>
      <c r="AF491" s="481"/>
      <c r="AG491" s="481">
        <f t="shared" si="299"/>
        <v>23.7</v>
      </c>
      <c r="AH491" s="491">
        <v>22</v>
      </c>
      <c r="AI491" s="548"/>
      <c r="AJ491" s="548"/>
      <c r="AK491" s="548"/>
      <c r="AL491" s="548"/>
      <c r="AM491" s="548"/>
      <c r="AN491" s="548">
        <f t="shared" si="309"/>
        <v>22</v>
      </c>
      <c r="AO491" s="491">
        <v>20</v>
      </c>
      <c r="AP491" s="481"/>
      <c r="AQ491" s="481"/>
      <c r="AR491" s="481"/>
      <c r="AS491" s="481"/>
      <c r="AT491" s="481"/>
      <c r="AU491" s="481"/>
      <c r="AV491" s="481">
        <f t="shared" si="302"/>
        <v>20</v>
      </c>
      <c r="AW491" s="491">
        <v>30</v>
      </c>
      <c r="AX491" s="548"/>
      <c r="AY491" s="548"/>
      <c r="AZ491" s="548"/>
      <c r="BA491" s="548"/>
      <c r="BB491" s="548"/>
      <c r="BC491" s="548"/>
      <c r="BD491" s="548">
        <f t="shared" si="304"/>
        <v>30</v>
      </c>
      <c r="BE491" s="42">
        <f t="shared" si="310"/>
        <v>95.7</v>
      </c>
      <c r="BF491" s="42">
        <f t="shared" si="310"/>
        <v>0</v>
      </c>
      <c r="BG491" s="42">
        <f t="shared" si="310"/>
        <v>0</v>
      </c>
      <c r="BH491" s="42">
        <f t="shared" si="310"/>
        <v>0</v>
      </c>
      <c r="BI491" s="42">
        <f t="shared" si="310"/>
        <v>0</v>
      </c>
      <c r="BJ491" s="42">
        <f t="shared" si="295"/>
        <v>0</v>
      </c>
      <c r="BK491" s="42">
        <f t="shared" si="311"/>
        <v>0</v>
      </c>
      <c r="BL491" s="42">
        <f t="shared" si="311"/>
        <v>95.7</v>
      </c>
    </row>
    <row r="492" spans="1:64" ht="39.6" x14ac:dyDescent="0.25">
      <c r="A492" s="295" t="s">
        <v>1450</v>
      </c>
      <c r="B492" s="24" t="s">
        <v>1448</v>
      </c>
      <c r="C492" s="6"/>
      <c r="D492" s="2" t="s">
        <v>1475</v>
      </c>
      <c r="E492" s="1"/>
      <c r="F492" s="1"/>
      <c r="G492" s="1"/>
      <c r="H492" s="1"/>
      <c r="I492" s="1"/>
      <c r="J492" s="1"/>
      <c r="K492" s="1"/>
      <c r="L492" s="1"/>
      <c r="M492" s="1"/>
      <c r="N492" s="1"/>
      <c r="O492" s="1"/>
      <c r="P492" s="1"/>
      <c r="Q492" s="22"/>
      <c r="R492" s="22"/>
      <c r="S492" s="1"/>
      <c r="T492" s="1"/>
      <c r="U492" s="1"/>
      <c r="V492" s="49"/>
      <c r="W492" s="49"/>
      <c r="X492" s="49"/>
      <c r="Y492" s="49"/>
      <c r="Z492" s="34">
        <f t="shared" ref="Z492:AF492" si="312">SUM(Z493:Z499)</f>
        <v>150</v>
      </c>
      <c r="AA492" s="34">
        <f t="shared" si="312"/>
        <v>0</v>
      </c>
      <c r="AB492" s="34">
        <f t="shared" si="312"/>
        <v>0</v>
      </c>
      <c r="AC492" s="34">
        <f t="shared" si="312"/>
        <v>0</v>
      </c>
      <c r="AD492" s="34">
        <f t="shared" si="312"/>
        <v>0</v>
      </c>
      <c r="AE492" s="34">
        <f t="shared" si="312"/>
        <v>14.8</v>
      </c>
      <c r="AF492" s="34">
        <f t="shared" si="312"/>
        <v>0</v>
      </c>
      <c r="AG492" s="34">
        <f t="shared" si="299"/>
        <v>164.8</v>
      </c>
      <c r="AH492" s="34">
        <f t="shared" ref="AH492:AM492" si="313">SUM(AH493:AH499)</f>
        <v>156</v>
      </c>
      <c r="AI492" s="34">
        <f t="shared" si="313"/>
        <v>0</v>
      </c>
      <c r="AJ492" s="34">
        <f t="shared" si="313"/>
        <v>28</v>
      </c>
      <c r="AK492" s="34">
        <f t="shared" si="313"/>
        <v>0</v>
      </c>
      <c r="AL492" s="34">
        <f t="shared" si="313"/>
        <v>0</v>
      </c>
      <c r="AM492" s="34">
        <f t="shared" si="313"/>
        <v>0</v>
      </c>
      <c r="AN492" s="34">
        <f t="shared" si="309"/>
        <v>184</v>
      </c>
      <c r="AO492" s="34">
        <f t="shared" ref="AO492:AU492" si="314">SUM(AO493:AO499)</f>
        <v>156</v>
      </c>
      <c r="AP492" s="34">
        <f t="shared" si="314"/>
        <v>0</v>
      </c>
      <c r="AQ492" s="34">
        <f t="shared" si="314"/>
        <v>16.8</v>
      </c>
      <c r="AR492" s="34">
        <f t="shared" si="314"/>
        <v>0</v>
      </c>
      <c r="AS492" s="34">
        <f t="shared" si="314"/>
        <v>0</v>
      </c>
      <c r="AT492" s="34">
        <f t="shared" si="314"/>
        <v>0</v>
      </c>
      <c r="AU492" s="34">
        <f t="shared" si="314"/>
        <v>0</v>
      </c>
      <c r="AV492" s="34">
        <f t="shared" si="302"/>
        <v>172.8</v>
      </c>
      <c r="AW492" s="34">
        <f t="shared" ref="AW492:BB492" si="315">SUM(AW493:AW499)</f>
        <v>160</v>
      </c>
      <c r="AX492" s="34">
        <f t="shared" si="315"/>
        <v>0</v>
      </c>
      <c r="AY492" s="34">
        <f t="shared" si="315"/>
        <v>17</v>
      </c>
      <c r="AZ492" s="34">
        <f t="shared" si="315"/>
        <v>0</v>
      </c>
      <c r="BA492" s="34">
        <f t="shared" si="315"/>
        <v>0</v>
      </c>
      <c r="BB492" s="34">
        <f t="shared" si="315"/>
        <v>0</v>
      </c>
      <c r="BC492" s="34">
        <f>SUM(BC493:BC499)</f>
        <v>0</v>
      </c>
      <c r="BD492" s="34">
        <f t="shared" si="304"/>
        <v>177</v>
      </c>
      <c r="BE492" s="34">
        <f t="shared" si="310"/>
        <v>622</v>
      </c>
      <c r="BF492" s="34">
        <f t="shared" si="310"/>
        <v>0</v>
      </c>
      <c r="BG492" s="34">
        <f t="shared" si="310"/>
        <v>61.8</v>
      </c>
      <c r="BH492" s="34">
        <f t="shared" si="310"/>
        <v>0</v>
      </c>
      <c r="BI492" s="34">
        <f t="shared" si="310"/>
        <v>0</v>
      </c>
      <c r="BJ492" s="34">
        <f t="shared" si="295"/>
        <v>14.8</v>
      </c>
      <c r="BK492" s="34">
        <f t="shared" si="311"/>
        <v>0</v>
      </c>
      <c r="BL492" s="34">
        <f t="shared" si="311"/>
        <v>698.59999999999991</v>
      </c>
    </row>
    <row r="493" spans="1:64" ht="42" customHeight="1" x14ac:dyDescent="0.25">
      <c r="A493" s="298" t="s">
        <v>1450</v>
      </c>
      <c r="B493" s="299" t="s">
        <v>1448</v>
      </c>
      <c r="C493" s="1546" t="s">
        <v>1476</v>
      </c>
      <c r="D493" s="1549" t="s">
        <v>1477</v>
      </c>
      <c r="E493" s="1549" t="s">
        <v>1478</v>
      </c>
      <c r="F493" s="1549">
        <v>2015</v>
      </c>
      <c r="G493" s="1549">
        <v>100</v>
      </c>
      <c r="H493" s="1549">
        <v>100</v>
      </c>
      <c r="I493" s="1425"/>
      <c r="J493" s="1425"/>
      <c r="K493" s="1425" t="s">
        <v>1479</v>
      </c>
      <c r="L493" s="301" t="s">
        <v>179</v>
      </c>
      <c r="M493" s="1425" t="s">
        <v>1102</v>
      </c>
      <c r="N493" s="476" t="s">
        <v>1103</v>
      </c>
      <c r="O493" s="1425" t="s">
        <v>47</v>
      </c>
      <c r="P493" s="586">
        <v>231212</v>
      </c>
      <c r="Q493" s="16" t="s">
        <v>1480</v>
      </c>
      <c r="R493" s="302" t="s">
        <v>1481</v>
      </c>
      <c r="S493" s="303">
        <v>2015</v>
      </c>
      <c r="T493" s="303">
        <v>1</v>
      </c>
      <c r="U493" s="303">
        <v>1</v>
      </c>
      <c r="V493" s="572">
        <v>1</v>
      </c>
      <c r="W493" s="572">
        <v>1</v>
      </c>
      <c r="X493" s="572">
        <v>1</v>
      </c>
      <c r="Y493" s="572">
        <v>4</v>
      </c>
      <c r="Z493" s="491">
        <v>141</v>
      </c>
      <c r="AA493" s="481"/>
      <c r="AB493" s="481"/>
      <c r="AC493" s="481"/>
      <c r="AD493" s="481"/>
      <c r="AE493" s="481">
        <v>14.8</v>
      </c>
      <c r="AF493" s="481"/>
      <c r="AG493" s="481">
        <f t="shared" si="299"/>
        <v>155.80000000000001</v>
      </c>
      <c r="AH493" s="491">
        <v>140</v>
      </c>
      <c r="AI493" s="548"/>
      <c r="AJ493" s="548"/>
      <c r="AK493" s="548"/>
      <c r="AL493" s="548"/>
      <c r="AM493" s="548"/>
      <c r="AN493" s="594">
        <f t="shared" si="309"/>
        <v>140</v>
      </c>
      <c r="AO493" s="491">
        <v>146</v>
      </c>
      <c r="AP493" s="481"/>
      <c r="AQ493" s="481"/>
      <c r="AR493" s="481"/>
      <c r="AS493" s="481"/>
      <c r="AT493" s="481"/>
      <c r="AU493" s="481"/>
      <c r="AV493" s="481">
        <f t="shared" si="302"/>
        <v>146</v>
      </c>
      <c r="AW493" s="548">
        <v>155</v>
      </c>
      <c r="AX493" s="548"/>
      <c r="AY493" s="548"/>
      <c r="AZ493" s="548"/>
      <c r="BA493" s="548"/>
      <c r="BB493" s="548"/>
      <c r="BC493" s="548"/>
      <c r="BD493" s="548">
        <f t="shared" si="304"/>
        <v>155</v>
      </c>
      <c r="BE493" s="42">
        <f t="shared" si="310"/>
        <v>582</v>
      </c>
      <c r="BF493" s="42">
        <f t="shared" si="310"/>
        <v>0</v>
      </c>
      <c r="BG493" s="42">
        <f t="shared" si="310"/>
        <v>0</v>
      </c>
      <c r="BH493" s="42">
        <f t="shared" si="310"/>
        <v>0</v>
      </c>
      <c r="BI493" s="42">
        <f t="shared" si="310"/>
        <v>0</v>
      </c>
      <c r="BJ493" s="42">
        <f t="shared" si="295"/>
        <v>14.8</v>
      </c>
      <c r="BK493" s="42">
        <f t="shared" si="311"/>
        <v>0</v>
      </c>
      <c r="BL493" s="42">
        <f t="shared" si="311"/>
        <v>596.79999999999995</v>
      </c>
    </row>
    <row r="494" spans="1:64" ht="45" customHeight="1" x14ac:dyDescent="0.25">
      <c r="A494" s="298" t="s">
        <v>1450</v>
      </c>
      <c r="B494" s="299" t="s">
        <v>1448</v>
      </c>
      <c r="C494" s="1547"/>
      <c r="D494" s="1549"/>
      <c r="E494" s="1549"/>
      <c r="F494" s="1549"/>
      <c r="G494" s="1549"/>
      <c r="H494" s="1549"/>
      <c r="I494" s="1425"/>
      <c r="J494" s="1425"/>
      <c r="K494" s="1425" t="s">
        <v>1482</v>
      </c>
      <c r="L494" s="301" t="s">
        <v>179</v>
      </c>
      <c r="M494" s="1425" t="s">
        <v>1102</v>
      </c>
      <c r="N494" s="476" t="s">
        <v>1103</v>
      </c>
      <c r="O494" s="1425" t="s">
        <v>73</v>
      </c>
      <c r="P494" s="586">
        <v>231212</v>
      </c>
      <c r="Q494" s="16" t="s">
        <v>1483</v>
      </c>
      <c r="R494" s="302" t="s">
        <v>936</v>
      </c>
      <c r="S494" s="303">
        <v>2015</v>
      </c>
      <c r="T494" s="303">
        <v>0</v>
      </c>
      <c r="U494" s="303">
        <v>1</v>
      </c>
      <c r="V494" s="572">
        <v>1</v>
      </c>
      <c r="W494" s="572">
        <v>1</v>
      </c>
      <c r="X494" s="572">
        <v>1</v>
      </c>
      <c r="Y494" s="572">
        <v>1</v>
      </c>
      <c r="Z494" s="491">
        <v>1</v>
      </c>
      <c r="AA494" s="481"/>
      <c r="AB494" s="481"/>
      <c r="AC494" s="481"/>
      <c r="AD494" s="481"/>
      <c r="AE494" s="481"/>
      <c r="AF494" s="481"/>
      <c r="AG494" s="481">
        <f t="shared" si="299"/>
        <v>1</v>
      </c>
      <c r="AH494" s="491">
        <v>1</v>
      </c>
      <c r="AI494" s="548"/>
      <c r="AJ494" s="548"/>
      <c r="AK494" s="548"/>
      <c r="AL494" s="548"/>
      <c r="AM494" s="548"/>
      <c r="AN494" s="594">
        <f t="shared" si="309"/>
        <v>1</v>
      </c>
      <c r="AO494" s="491">
        <v>1</v>
      </c>
      <c r="AP494" s="481"/>
      <c r="AQ494" s="481"/>
      <c r="AR494" s="481"/>
      <c r="AS494" s="481"/>
      <c r="AT494" s="481"/>
      <c r="AU494" s="481"/>
      <c r="AV494" s="481">
        <f t="shared" si="302"/>
        <v>1</v>
      </c>
      <c r="AW494" s="491">
        <v>0.5</v>
      </c>
      <c r="AX494" s="548"/>
      <c r="AY494" s="548"/>
      <c r="AZ494" s="548"/>
      <c r="BA494" s="548"/>
      <c r="BB494" s="548"/>
      <c r="BC494" s="548"/>
      <c r="BD494" s="548">
        <f t="shared" si="304"/>
        <v>0.5</v>
      </c>
      <c r="BE494" s="42">
        <f t="shared" si="310"/>
        <v>3.5</v>
      </c>
      <c r="BF494" s="42">
        <f t="shared" si="310"/>
        <v>0</v>
      </c>
      <c r="BG494" s="42">
        <f t="shared" si="310"/>
        <v>0</v>
      </c>
      <c r="BH494" s="42">
        <f t="shared" si="310"/>
        <v>0</v>
      </c>
      <c r="BI494" s="42">
        <f t="shared" si="310"/>
        <v>0</v>
      </c>
      <c r="BJ494" s="42">
        <f t="shared" si="295"/>
        <v>0</v>
      </c>
      <c r="BK494" s="42">
        <f t="shared" si="311"/>
        <v>0</v>
      </c>
      <c r="BL494" s="42">
        <f t="shared" si="311"/>
        <v>3.5</v>
      </c>
    </row>
    <row r="495" spans="1:64" ht="48" customHeight="1" x14ac:dyDescent="0.25">
      <c r="A495" s="298" t="s">
        <v>1450</v>
      </c>
      <c r="B495" s="299" t="s">
        <v>1448</v>
      </c>
      <c r="C495" s="1547"/>
      <c r="D495" s="1549"/>
      <c r="E495" s="1549"/>
      <c r="F495" s="1549"/>
      <c r="G495" s="1549"/>
      <c r="H495" s="1549"/>
      <c r="I495" s="1425"/>
      <c r="J495" s="1425"/>
      <c r="K495" s="1425" t="s">
        <v>1484</v>
      </c>
      <c r="L495" s="301" t="s">
        <v>179</v>
      </c>
      <c r="M495" s="1425" t="s">
        <v>1102</v>
      </c>
      <c r="N495" s="476" t="s">
        <v>1103</v>
      </c>
      <c r="O495" s="1425" t="s">
        <v>47</v>
      </c>
      <c r="P495" s="586" t="s">
        <v>1485</v>
      </c>
      <c r="Q495" s="16" t="s">
        <v>1486</v>
      </c>
      <c r="R495" s="302" t="s">
        <v>1487</v>
      </c>
      <c r="S495" s="303">
        <v>2015</v>
      </c>
      <c r="T495" s="303">
        <v>0</v>
      </c>
      <c r="U495" s="303">
        <v>1</v>
      </c>
      <c r="V495" s="572">
        <v>1</v>
      </c>
      <c r="W495" s="572">
        <v>1</v>
      </c>
      <c r="X495" s="572">
        <v>1</v>
      </c>
      <c r="Y495" s="572">
        <v>4</v>
      </c>
      <c r="Z495" s="491">
        <v>1</v>
      </c>
      <c r="AA495" s="481"/>
      <c r="AB495" s="481"/>
      <c r="AC495" s="481"/>
      <c r="AD495" s="481"/>
      <c r="AE495" s="481"/>
      <c r="AF495" s="481"/>
      <c r="AG495" s="481">
        <f t="shared" si="299"/>
        <v>1</v>
      </c>
      <c r="AH495" s="491">
        <v>1</v>
      </c>
      <c r="AI495" s="548"/>
      <c r="AJ495" s="548">
        <v>16</v>
      </c>
      <c r="AK495" s="548"/>
      <c r="AL495" s="548"/>
      <c r="AM495" s="548"/>
      <c r="AN495" s="594">
        <f t="shared" si="309"/>
        <v>17</v>
      </c>
      <c r="AO495" s="481"/>
      <c r="AP495" s="481"/>
      <c r="AQ495" s="481">
        <v>16.8</v>
      </c>
      <c r="AR495" s="481"/>
      <c r="AS495" s="481"/>
      <c r="AT495" s="481"/>
      <c r="AU495" s="481"/>
      <c r="AV495" s="481">
        <f t="shared" si="302"/>
        <v>16.8</v>
      </c>
      <c r="AW495" s="491">
        <v>0.5</v>
      </c>
      <c r="AX495" s="548"/>
      <c r="AY495" s="548">
        <v>17</v>
      </c>
      <c r="AZ495" s="548"/>
      <c r="BA495" s="548"/>
      <c r="BB495" s="548"/>
      <c r="BC495" s="548"/>
      <c r="BD495" s="548">
        <f t="shared" si="304"/>
        <v>17.5</v>
      </c>
      <c r="BE495" s="42">
        <f t="shared" si="310"/>
        <v>2.5</v>
      </c>
      <c r="BF495" s="42">
        <f t="shared" si="310"/>
        <v>0</v>
      </c>
      <c r="BG495" s="42">
        <f t="shared" si="310"/>
        <v>49.8</v>
      </c>
      <c r="BH495" s="42">
        <f t="shared" si="310"/>
        <v>0</v>
      </c>
      <c r="BI495" s="42">
        <f t="shared" si="310"/>
        <v>0</v>
      </c>
      <c r="BJ495" s="42">
        <f t="shared" si="295"/>
        <v>0</v>
      </c>
      <c r="BK495" s="42">
        <f t="shared" si="311"/>
        <v>0</v>
      </c>
      <c r="BL495" s="42">
        <f t="shared" si="311"/>
        <v>52.3</v>
      </c>
    </row>
    <row r="496" spans="1:64" customFormat="1" ht="28.5" customHeight="1" x14ac:dyDescent="0.3">
      <c r="A496" s="298" t="s">
        <v>1450</v>
      </c>
      <c r="B496" s="299" t="s">
        <v>1448</v>
      </c>
      <c r="C496" s="1547"/>
      <c r="D496" s="1549"/>
      <c r="E496" s="1549"/>
      <c r="F496" s="1549"/>
      <c r="G496" s="1549"/>
      <c r="H496" s="1549"/>
      <c r="I496" s="1425"/>
      <c r="J496" s="1425"/>
      <c r="K496" s="1425" t="s">
        <v>1488</v>
      </c>
      <c r="L496" s="301" t="s">
        <v>179</v>
      </c>
      <c r="M496" s="1425" t="s">
        <v>1102</v>
      </c>
      <c r="N496" s="476" t="s">
        <v>1103</v>
      </c>
      <c r="O496" s="1425" t="s">
        <v>47</v>
      </c>
      <c r="P496" s="586">
        <v>231209</v>
      </c>
      <c r="Q496" s="16" t="s">
        <v>1489</v>
      </c>
      <c r="R496" s="302" t="s">
        <v>1490</v>
      </c>
      <c r="S496" s="303">
        <v>2015</v>
      </c>
      <c r="T496" s="303">
        <v>1</v>
      </c>
      <c r="U496" s="303">
        <v>0</v>
      </c>
      <c r="V496" s="572">
        <v>1</v>
      </c>
      <c r="W496" s="572">
        <v>1</v>
      </c>
      <c r="X496" s="572">
        <v>1</v>
      </c>
      <c r="Y496" s="572">
        <v>3</v>
      </c>
      <c r="Z496" s="585"/>
      <c r="AA496" s="585"/>
      <c r="AB496" s="586"/>
      <c r="AC496" s="586"/>
      <c r="AD496" s="1429"/>
      <c r="AE496" s="586"/>
      <c r="AF496" s="481"/>
      <c r="AG496" s="481"/>
      <c r="AH496" s="491">
        <v>1</v>
      </c>
      <c r="AI496" s="548"/>
      <c r="AJ496" s="548"/>
      <c r="AK496" s="548"/>
      <c r="AL496" s="548"/>
      <c r="AM496" s="548"/>
      <c r="AN496" s="711">
        <f>SUM(AH496:AM496)</f>
        <v>1</v>
      </c>
      <c r="AO496" s="491">
        <v>2</v>
      </c>
      <c r="AP496" s="595"/>
      <c r="AQ496" s="595"/>
      <c r="AR496" s="595"/>
      <c r="AS496" s="595"/>
      <c r="AT496" s="595"/>
      <c r="AU496" s="595"/>
      <c r="AV496" s="712">
        <f>SUM(AO496:AU496)</f>
        <v>2</v>
      </c>
      <c r="AW496" s="499">
        <v>0.5</v>
      </c>
      <c r="AX496" s="547"/>
      <c r="AY496" s="547"/>
      <c r="AZ496" s="547"/>
      <c r="BA496" s="547"/>
      <c r="BB496" s="547"/>
      <c r="BC496" s="547"/>
      <c r="BD496" s="547">
        <f>SUM(AW496:BC496)</f>
        <v>0.5</v>
      </c>
      <c r="BE496" s="89"/>
      <c r="BF496" s="89"/>
      <c r="BG496" s="89"/>
    </row>
    <row r="497" spans="1:64" ht="45" customHeight="1" x14ac:dyDescent="0.25">
      <c r="A497" s="298" t="s">
        <v>1450</v>
      </c>
      <c r="B497" s="299" t="s">
        <v>1448</v>
      </c>
      <c r="C497" s="1547"/>
      <c r="D497" s="1549"/>
      <c r="E497" s="1549"/>
      <c r="F497" s="1549"/>
      <c r="G497" s="1549"/>
      <c r="H497" s="1549"/>
      <c r="I497" s="1425" t="s">
        <v>53</v>
      </c>
      <c r="J497" s="1425"/>
      <c r="K497" s="1425" t="s">
        <v>1488</v>
      </c>
      <c r="L497" s="301" t="s">
        <v>179</v>
      </c>
      <c r="M497" s="1425" t="s">
        <v>1102</v>
      </c>
      <c r="N497" s="476" t="s">
        <v>1103</v>
      </c>
      <c r="O497" s="1425" t="s">
        <v>47</v>
      </c>
      <c r="P497" s="586" t="s">
        <v>1491</v>
      </c>
      <c r="Q497" s="16" t="s">
        <v>1492</v>
      </c>
      <c r="R497" s="302" t="s">
        <v>1493</v>
      </c>
      <c r="S497" s="303">
        <v>2015</v>
      </c>
      <c r="T497" s="303">
        <v>1</v>
      </c>
      <c r="U497" s="303">
        <v>1</v>
      </c>
      <c r="V497" s="572">
        <v>1</v>
      </c>
      <c r="W497" s="572">
        <v>0</v>
      </c>
      <c r="X497" s="572">
        <v>1</v>
      </c>
      <c r="Y497" s="572">
        <v>3</v>
      </c>
      <c r="Z497" s="491">
        <v>1</v>
      </c>
      <c r="AA497" s="481"/>
      <c r="AB497" s="481"/>
      <c r="AC497" s="481"/>
      <c r="AD497" s="481"/>
      <c r="AE497" s="481"/>
      <c r="AF497" s="481"/>
      <c r="AG497" s="481">
        <f t="shared" si="299"/>
        <v>1</v>
      </c>
      <c r="AH497" s="491">
        <v>6</v>
      </c>
      <c r="AI497" s="548"/>
      <c r="AJ497" s="716">
        <v>12</v>
      </c>
      <c r="AK497" s="548"/>
      <c r="AL497" s="548"/>
      <c r="AM497" s="548"/>
      <c r="AN497" s="594">
        <f t="shared" si="309"/>
        <v>18</v>
      </c>
      <c r="AO497" s="481"/>
      <c r="AP497" s="481"/>
      <c r="AQ497" s="481"/>
      <c r="AR497" s="481"/>
      <c r="AS497" s="481"/>
      <c r="AT497" s="481"/>
      <c r="AU497" s="481"/>
      <c r="AV497" s="481">
        <f t="shared" si="302"/>
        <v>0</v>
      </c>
      <c r="AW497" s="491">
        <v>0.5</v>
      </c>
      <c r="AX497" s="548"/>
      <c r="AY497" s="548"/>
      <c r="AZ497" s="548"/>
      <c r="BA497" s="548"/>
      <c r="BB497" s="548"/>
      <c r="BC497" s="548"/>
      <c r="BD497" s="548">
        <f t="shared" si="304"/>
        <v>0.5</v>
      </c>
      <c r="BE497" s="42">
        <f t="shared" si="310"/>
        <v>7.5</v>
      </c>
      <c r="BF497" s="42">
        <f t="shared" si="310"/>
        <v>0</v>
      </c>
      <c r="BG497" s="42">
        <f t="shared" si="310"/>
        <v>12</v>
      </c>
      <c r="BH497" s="42">
        <f t="shared" si="310"/>
        <v>0</v>
      </c>
      <c r="BI497" s="42">
        <f t="shared" si="310"/>
        <v>0</v>
      </c>
      <c r="BJ497" s="42">
        <f t="shared" si="295"/>
        <v>0</v>
      </c>
      <c r="BK497" s="42">
        <f t="shared" si="311"/>
        <v>0</v>
      </c>
      <c r="BL497" s="42">
        <f t="shared" si="311"/>
        <v>19.5</v>
      </c>
    </row>
    <row r="498" spans="1:64" ht="41.25" customHeight="1" x14ac:dyDescent="0.25">
      <c r="A498" s="298" t="s">
        <v>1450</v>
      </c>
      <c r="B498" s="299" t="s">
        <v>1448</v>
      </c>
      <c r="C498" s="1547"/>
      <c r="D498" s="1549"/>
      <c r="E498" s="1549"/>
      <c r="F498" s="1549"/>
      <c r="G498" s="1549"/>
      <c r="H498" s="1549"/>
      <c r="I498" s="1425"/>
      <c r="J498" s="1425"/>
      <c r="K498" s="1425" t="s">
        <v>1494</v>
      </c>
      <c r="L498" s="301" t="s">
        <v>179</v>
      </c>
      <c r="M498" s="1425" t="s">
        <v>1102</v>
      </c>
      <c r="N498" s="476" t="s">
        <v>1103</v>
      </c>
      <c r="O498" s="1425" t="s">
        <v>47</v>
      </c>
      <c r="P498" s="586">
        <v>231209</v>
      </c>
      <c r="Q498" s="16" t="s">
        <v>1495</v>
      </c>
      <c r="R498" s="302" t="s">
        <v>1496</v>
      </c>
      <c r="S498" s="303">
        <v>2015</v>
      </c>
      <c r="T498" s="303">
        <v>0</v>
      </c>
      <c r="U498" s="303">
        <v>1</v>
      </c>
      <c r="V498" s="572">
        <v>1</v>
      </c>
      <c r="W498" s="572">
        <v>1</v>
      </c>
      <c r="X498" s="572">
        <v>1</v>
      </c>
      <c r="Y498" s="572">
        <v>1</v>
      </c>
      <c r="Z498" s="491">
        <v>1</v>
      </c>
      <c r="AA498" s="481"/>
      <c r="AB498" s="481"/>
      <c r="AC498" s="481"/>
      <c r="AD498" s="481"/>
      <c r="AE498" s="481"/>
      <c r="AF498" s="481"/>
      <c r="AG498" s="481">
        <f t="shared" si="299"/>
        <v>1</v>
      </c>
      <c r="AH498" s="491">
        <v>1</v>
      </c>
      <c r="AI498" s="548"/>
      <c r="AJ498" s="548"/>
      <c r="AK498" s="548"/>
      <c r="AL498" s="548"/>
      <c r="AM498" s="548"/>
      <c r="AN498" s="594">
        <f t="shared" si="309"/>
        <v>1</v>
      </c>
      <c r="AO498" s="491">
        <v>1</v>
      </c>
      <c r="AP498" s="481"/>
      <c r="AQ498" s="481"/>
      <c r="AR498" s="481"/>
      <c r="AS498" s="481"/>
      <c r="AT498" s="481"/>
      <c r="AU498" s="481"/>
      <c r="AV498" s="481">
        <f t="shared" si="302"/>
        <v>1</v>
      </c>
      <c r="AW498" s="491">
        <v>0.5</v>
      </c>
      <c r="AX498" s="548"/>
      <c r="AY498" s="548"/>
      <c r="AZ498" s="548"/>
      <c r="BA498" s="548"/>
      <c r="BB498" s="548"/>
      <c r="BC498" s="548"/>
      <c r="BD498" s="548">
        <f t="shared" si="304"/>
        <v>0.5</v>
      </c>
      <c r="BE498" s="42">
        <f t="shared" si="310"/>
        <v>3.5</v>
      </c>
      <c r="BF498" s="42">
        <f t="shared" si="310"/>
        <v>0</v>
      </c>
      <c r="BG498" s="42">
        <f t="shared" si="310"/>
        <v>0</v>
      </c>
      <c r="BH498" s="42">
        <f t="shared" si="310"/>
        <v>0</v>
      </c>
      <c r="BI498" s="42">
        <f t="shared" si="310"/>
        <v>0</v>
      </c>
      <c r="BJ498" s="42">
        <f t="shared" si="295"/>
        <v>0</v>
      </c>
      <c r="BK498" s="42">
        <f t="shared" si="311"/>
        <v>0</v>
      </c>
      <c r="BL498" s="42">
        <f t="shared" si="311"/>
        <v>3.5</v>
      </c>
    </row>
    <row r="499" spans="1:64" ht="42" customHeight="1" x14ac:dyDescent="0.25">
      <c r="A499" s="298" t="s">
        <v>1450</v>
      </c>
      <c r="B499" s="299" t="s">
        <v>1448</v>
      </c>
      <c r="C499" s="1548"/>
      <c r="D499" s="1549"/>
      <c r="E499" s="1549"/>
      <c r="F499" s="1549"/>
      <c r="G499" s="1549"/>
      <c r="H499" s="1549"/>
      <c r="I499" s="1425"/>
      <c r="J499" s="1425"/>
      <c r="K499" s="1425" t="s">
        <v>1497</v>
      </c>
      <c r="L499" s="301" t="s">
        <v>179</v>
      </c>
      <c r="M499" s="1425" t="s">
        <v>1102</v>
      </c>
      <c r="N499" s="476" t="s">
        <v>1103</v>
      </c>
      <c r="O499" s="1425" t="s">
        <v>47</v>
      </c>
      <c r="P499" s="586">
        <v>23120602</v>
      </c>
      <c r="Q499" s="16" t="s">
        <v>1498</v>
      </c>
      <c r="R499" s="302" t="s">
        <v>1499</v>
      </c>
      <c r="S499" s="303">
        <v>2015</v>
      </c>
      <c r="T499" s="303">
        <v>0</v>
      </c>
      <c r="U499" s="303">
        <v>1</v>
      </c>
      <c r="V499" s="572">
        <v>1</v>
      </c>
      <c r="W499" s="572">
        <v>1</v>
      </c>
      <c r="X499" s="572">
        <v>1</v>
      </c>
      <c r="Y499" s="572">
        <v>4</v>
      </c>
      <c r="Z499" s="481">
        <v>5</v>
      </c>
      <c r="AA499" s="481"/>
      <c r="AB499" s="481"/>
      <c r="AC499" s="481"/>
      <c r="AD499" s="481"/>
      <c r="AE499" s="481"/>
      <c r="AF499" s="481"/>
      <c r="AG499" s="481">
        <f t="shared" si="299"/>
        <v>5</v>
      </c>
      <c r="AH499" s="548">
        <v>6</v>
      </c>
      <c r="AI499" s="548"/>
      <c r="AJ499" s="548"/>
      <c r="AK499" s="548"/>
      <c r="AL499" s="548"/>
      <c r="AM499" s="548"/>
      <c r="AN499" s="594">
        <f t="shared" si="309"/>
        <v>6</v>
      </c>
      <c r="AO499" s="481">
        <v>6</v>
      </c>
      <c r="AP499" s="481"/>
      <c r="AQ499" s="481"/>
      <c r="AR499" s="481"/>
      <c r="AS499" s="481"/>
      <c r="AT499" s="481"/>
      <c r="AU499" s="481"/>
      <c r="AV499" s="481">
        <f t="shared" si="302"/>
        <v>6</v>
      </c>
      <c r="AW499" s="491">
        <v>2.5</v>
      </c>
      <c r="AX499" s="548"/>
      <c r="AY499" s="548"/>
      <c r="AZ499" s="548"/>
      <c r="BA499" s="548"/>
      <c r="BB499" s="548"/>
      <c r="BC499" s="548"/>
      <c r="BD499" s="548">
        <f t="shared" si="304"/>
        <v>2.5</v>
      </c>
      <c r="BE499" s="42">
        <f t="shared" si="310"/>
        <v>19.5</v>
      </c>
      <c r="BF499" s="42">
        <f t="shared" si="310"/>
        <v>0</v>
      </c>
      <c r="BG499" s="42">
        <f t="shared" si="310"/>
        <v>0</v>
      </c>
      <c r="BH499" s="42">
        <f t="shared" si="310"/>
        <v>0</v>
      </c>
      <c r="BI499" s="42">
        <f t="shared" si="310"/>
        <v>0</v>
      </c>
      <c r="BJ499" s="42">
        <f t="shared" si="295"/>
        <v>0</v>
      </c>
      <c r="BK499" s="42">
        <f t="shared" si="311"/>
        <v>0</v>
      </c>
      <c r="BL499" s="42">
        <f t="shared" si="311"/>
        <v>19.5</v>
      </c>
    </row>
    <row r="500" spans="1:64" ht="12.75" customHeight="1" x14ac:dyDescent="0.25"/>
  </sheetData>
  <sheetProtection formatCells="0" formatColumns="0" formatRows="0" insertColumns="0" insertRows="0" insertHyperlinks="0" deleteColumns="0" deleteRows="0" sort="0" autoFilter="0" pivotTables="0"/>
  <autoFilter ref="B4:BL499"/>
  <customSheetViews>
    <customSheetView guid="{92B8BA5A-7984-4526-9F7A-187FF856FCAE}" scale="70" showAutoFilter="1" hiddenRows="1" hiddenColumns="1" state="hidden" topLeftCell="C1">
      <pane ySplit="4" topLeftCell="A5" activePane="bottomLeft" state="frozen"/>
      <selection pane="bottomLeft" activeCell="P113" sqref="P113"/>
      <pageMargins left="0" right="0" top="0" bottom="0" header="0" footer="0"/>
      <pageSetup paperSize="9" orientation="portrait" horizontalDpi="4294967292" verticalDpi="4294967292" r:id="rId1"/>
      <autoFilter ref="B4:BL499"/>
    </customSheetView>
  </customSheetViews>
  <mergeCells count="214">
    <mergeCell ref="C493:C499"/>
    <mergeCell ref="D493:D499"/>
    <mergeCell ref="E493:E499"/>
    <mergeCell ref="F493:F499"/>
    <mergeCell ref="G493:G499"/>
    <mergeCell ref="H493:H499"/>
    <mergeCell ref="B483:M483"/>
    <mergeCell ref="C485:C491"/>
    <mergeCell ref="D485:D491"/>
    <mergeCell ref="E485:E491"/>
    <mergeCell ref="F485:F491"/>
    <mergeCell ref="G485:G491"/>
    <mergeCell ref="H485:H491"/>
    <mergeCell ref="B445:M445"/>
    <mergeCell ref="B447:M447"/>
    <mergeCell ref="C449:C478"/>
    <mergeCell ref="D449:D478"/>
    <mergeCell ref="E449:E478"/>
    <mergeCell ref="F449:F478"/>
    <mergeCell ref="G449:G478"/>
    <mergeCell ref="H449:H478"/>
    <mergeCell ref="C432:C444"/>
    <mergeCell ref="D432:D444"/>
    <mergeCell ref="E432:E444"/>
    <mergeCell ref="F432:F444"/>
    <mergeCell ref="G432:G444"/>
    <mergeCell ref="H432:H444"/>
    <mergeCell ref="B415:M415"/>
    <mergeCell ref="C417:C430"/>
    <mergeCell ref="D417:D430"/>
    <mergeCell ref="E417:E430"/>
    <mergeCell ref="F417:F430"/>
    <mergeCell ref="G417:G430"/>
    <mergeCell ref="H417:H430"/>
    <mergeCell ref="B402:M402"/>
    <mergeCell ref="C404:C414"/>
    <mergeCell ref="D404:D414"/>
    <mergeCell ref="E404:E414"/>
    <mergeCell ref="F404:F414"/>
    <mergeCell ref="G404:G414"/>
    <mergeCell ref="H404:H414"/>
    <mergeCell ref="B375:M375"/>
    <mergeCell ref="C377:C401"/>
    <mergeCell ref="D377:D401"/>
    <mergeCell ref="E377:E401"/>
    <mergeCell ref="F377:F401"/>
    <mergeCell ref="G377:G401"/>
    <mergeCell ref="H377:H401"/>
    <mergeCell ref="B355:M355"/>
    <mergeCell ref="B361:N361"/>
    <mergeCell ref="B363:M363"/>
    <mergeCell ref="C365:C373"/>
    <mergeCell ref="D365:D373"/>
    <mergeCell ref="E365:E373"/>
    <mergeCell ref="F365:F373"/>
    <mergeCell ref="G365:G373"/>
    <mergeCell ref="H365:H373"/>
    <mergeCell ref="B331:M331"/>
    <mergeCell ref="C333:C353"/>
    <mergeCell ref="D333:D353"/>
    <mergeCell ref="E333:E353"/>
    <mergeCell ref="F333:F353"/>
    <mergeCell ref="G333:G353"/>
    <mergeCell ref="H333:H353"/>
    <mergeCell ref="B295:M295"/>
    <mergeCell ref="C297:C329"/>
    <mergeCell ref="D297:D329"/>
    <mergeCell ref="E297:E329"/>
    <mergeCell ref="F297:F329"/>
    <mergeCell ref="G297:G329"/>
    <mergeCell ref="H297:H329"/>
    <mergeCell ref="C290:C293"/>
    <mergeCell ref="D290:D293"/>
    <mergeCell ref="E290:E293"/>
    <mergeCell ref="F290:F293"/>
    <mergeCell ref="G290:G293"/>
    <mergeCell ref="H290:H293"/>
    <mergeCell ref="C277:C288"/>
    <mergeCell ref="D277:D288"/>
    <mergeCell ref="E277:E288"/>
    <mergeCell ref="F277:F288"/>
    <mergeCell ref="G277:G288"/>
    <mergeCell ref="H277:H288"/>
    <mergeCell ref="A261:N261"/>
    <mergeCell ref="B263:M263"/>
    <mergeCell ref="C265:C275"/>
    <mergeCell ref="D265:D275"/>
    <mergeCell ref="E265:E275"/>
    <mergeCell ref="F265:F275"/>
    <mergeCell ref="G265:G275"/>
    <mergeCell ref="H265:H275"/>
    <mergeCell ref="C244:C260"/>
    <mergeCell ref="D244:D260"/>
    <mergeCell ref="E244:E260"/>
    <mergeCell ref="F244:F260"/>
    <mergeCell ref="G244:G260"/>
    <mergeCell ref="H244:H260"/>
    <mergeCell ref="C213:C241"/>
    <mergeCell ref="D213:D241"/>
    <mergeCell ref="E213:E241"/>
    <mergeCell ref="F213:F241"/>
    <mergeCell ref="G213:G241"/>
    <mergeCell ref="H213:H241"/>
    <mergeCell ref="C202:C211"/>
    <mergeCell ref="D202:D211"/>
    <mergeCell ref="E202:E211"/>
    <mergeCell ref="F202:F211"/>
    <mergeCell ref="G202:G211"/>
    <mergeCell ref="H202:H211"/>
    <mergeCell ref="C194:C200"/>
    <mergeCell ref="D194:D200"/>
    <mergeCell ref="E194:E200"/>
    <mergeCell ref="F194:F200"/>
    <mergeCell ref="G194:G200"/>
    <mergeCell ref="H194:H200"/>
    <mergeCell ref="C183:C192"/>
    <mergeCell ref="D183:D192"/>
    <mergeCell ref="E183:E192"/>
    <mergeCell ref="F183:F192"/>
    <mergeCell ref="G183:G192"/>
    <mergeCell ref="H183:H192"/>
    <mergeCell ref="B156:M156"/>
    <mergeCell ref="C158:C181"/>
    <mergeCell ref="D158:D181"/>
    <mergeCell ref="E158:E181"/>
    <mergeCell ref="F158:F181"/>
    <mergeCell ref="G158:G181"/>
    <mergeCell ref="H158:H181"/>
    <mergeCell ref="C149:C155"/>
    <mergeCell ref="D149:D155"/>
    <mergeCell ref="E149:E155"/>
    <mergeCell ref="F149:F155"/>
    <mergeCell ref="G149:G155"/>
    <mergeCell ref="H149:H155"/>
    <mergeCell ref="C139:C147"/>
    <mergeCell ref="D139:D147"/>
    <mergeCell ref="E139:E147"/>
    <mergeCell ref="F139:F147"/>
    <mergeCell ref="G139:G147"/>
    <mergeCell ref="H139:H147"/>
    <mergeCell ref="B122:M122"/>
    <mergeCell ref="C124:C137"/>
    <mergeCell ref="D124:D137"/>
    <mergeCell ref="E124:E137"/>
    <mergeCell ref="F124:F137"/>
    <mergeCell ref="G124:G137"/>
    <mergeCell ref="H124:H137"/>
    <mergeCell ref="C117:C120"/>
    <mergeCell ref="D117:D120"/>
    <mergeCell ref="E117:E120"/>
    <mergeCell ref="F117:F120"/>
    <mergeCell ref="G117:G120"/>
    <mergeCell ref="H117:H120"/>
    <mergeCell ref="B109:M109"/>
    <mergeCell ref="C111:C115"/>
    <mergeCell ref="D111:D115"/>
    <mergeCell ref="E111:E115"/>
    <mergeCell ref="F111:F115"/>
    <mergeCell ref="G111:G115"/>
    <mergeCell ref="H111:H115"/>
    <mergeCell ref="C100:C107"/>
    <mergeCell ref="D100:D107"/>
    <mergeCell ref="E100:E107"/>
    <mergeCell ref="F100:F107"/>
    <mergeCell ref="G100:G107"/>
    <mergeCell ref="H100:H107"/>
    <mergeCell ref="B86:M86"/>
    <mergeCell ref="C88:C98"/>
    <mergeCell ref="D88:D98"/>
    <mergeCell ref="E88:E98"/>
    <mergeCell ref="F88:F98"/>
    <mergeCell ref="G88:G98"/>
    <mergeCell ref="H88:H98"/>
    <mergeCell ref="C76:C84"/>
    <mergeCell ref="D76:D84"/>
    <mergeCell ref="E76:E84"/>
    <mergeCell ref="F76:F84"/>
    <mergeCell ref="G76:G84"/>
    <mergeCell ref="H76:H84"/>
    <mergeCell ref="B48:M48"/>
    <mergeCell ref="B50:M50"/>
    <mergeCell ref="C52:C74"/>
    <mergeCell ref="D52:D74"/>
    <mergeCell ref="E52:E74"/>
    <mergeCell ref="F52:F74"/>
    <mergeCell ref="G52:G74"/>
    <mergeCell ref="H52:H74"/>
    <mergeCell ref="C9:C23"/>
    <mergeCell ref="D9:D23"/>
    <mergeCell ref="E9:E23"/>
    <mergeCell ref="F9:F23"/>
    <mergeCell ref="G9:G23"/>
    <mergeCell ref="H9:H23"/>
    <mergeCell ref="C45:C47"/>
    <mergeCell ref="D45:D47"/>
    <mergeCell ref="E45:E47"/>
    <mergeCell ref="F45:F47"/>
    <mergeCell ref="G45:G47"/>
    <mergeCell ref="H45:H47"/>
    <mergeCell ref="C25:C40"/>
    <mergeCell ref="D25:D40"/>
    <mergeCell ref="E25:E40"/>
    <mergeCell ref="F25:F40"/>
    <mergeCell ref="G25:G40"/>
    <mergeCell ref="H25:H40"/>
    <mergeCell ref="B2:M2"/>
    <mergeCell ref="U3:Y3"/>
    <mergeCell ref="Z3:AG3"/>
    <mergeCell ref="AH3:AN3"/>
    <mergeCell ref="AO3:AV3"/>
    <mergeCell ref="AW3:BD3"/>
    <mergeCell ref="BE3:BL3"/>
    <mergeCell ref="A5:M5"/>
    <mergeCell ref="B7:M7"/>
  </mergeCells>
  <dataValidations count="5">
    <dataValidation type="list" allowBlank="1" showInputMessage="1" showErrorMessage="1" sqref="O9:P23 O44:P47 O25:P42 O76:P84 O88:P98 O100:P107 O485:O491 O117:P120 O124:P137 O149:P155 O139:P147 O52:P74 O183:P192 O213:P220 O244:P260 O357:P358 O417:P430 O449:P480 P393:P394 O404:P414 O365:O373 O360:P360 O111:O115 O194:P200 O158:P181 O236:P241 O228:P234 O222:P226 O202:P211 O277:P288 O265:P275 O290:P293 O297:P329 O333:P353 O432:P444 O377:O401 P377:P380 P382 P384 P389 O493:O499">
      <formula1>TIPO</formula1>
    </dataValidation>
    <dataValidation type="list" allowBlank="1" showInputMessage="1" showErrorMessage="1" sqref="M9:M23 M149:M155 M44:M47 M25:M42 M76:M84 M88:M98 M100:M107 M111:M115 M485:M491 M124:M137 M139:M147 M117:M120 M52:M74 M183:M192 M194:M200 M202:M211 M213:M220 M222:M226 M228:M234 M236:M241 M244:M260 M158:M181 M290:M293 M357:M358 M360 M365:M373 M377:M401 M404:M414 M417:M430 M449:M480 M277:M288 M265:M275 M297:M329 M333:M353 M432:M444 M493:M499">
      <formula1>DEPENDENCIA</formula1>
    </dataValidation>
    <dataValidation type="list" allowBlank="1" showInputMessage="1" showErrorMessage="1" sqref="L485:L491 L9:L23 L449:L480 L44:L47 L25:L42 L88:L98 L100:L107 L76:L84 L111:L115 L117:L120 L124:L137 L139:L147 L194:L200 L52:L74 L149:L155 L183:L192 L202:L211 L213:L220 L222:L226 L228:L234 L236:L241 L244:L260 L158:L181 L290:L293 L357:L358 L360 L365:L373 L377:L401 L404:L414 L417:L430 L277:L288 L265:L275 L297:L329 L333:L353 L432:L444 L493:L499">
      <formula1>ODS</formula1>
    </dataValidation>
    <dataValidation type="list" allowBlank="1" showInputMessage="1" showErrorMessage="1" sqref="B9:B260 B447:B480 B482:B499 B362:B444 B262:B360">
      <formula1>SECTOR</formula1>
    </dataValidation>
    <dataValidation type="list" allowBlank="1" showInputMessage="1" showErrorMessage="1" sqref="AD496">
      <formula1>COOR</formula1>
    </dataValidation>
  </dataValidations>
  <pageMargins left="0.7" right="0.7" top="0.75" bottom="0.75" header="0.3" footer="0.3"/>
  <pageSetup paperSize="9" orientation="portrait" horizontalDpi="4294967292" verticalDpi="4294967292" r:id="rId2"/>
  <extLst>
    <ext xmlns:x14="http://schemas.microsoft.com/office/spreadsheetml/2009/9/main" uri="{78C0D931-6437-407d-A8EE-F0AAD7539E65}">
      <x14:conditionalFormattings>
        <x14:conditionalFormatting xmlns:xm="http://schemas.microsoft.com/office/excel/2006/main">
          <x14:cfRule type="containsText" priority="1" operator="containsText" text="AZ" id="{290352CF-67D5-4302-801C-6538B804C251}">
            <xm:f>NOT(ISERROR(SEARCH("AZ",'PLAN ACCION 2016'!#REF!)))</xm:f>
            <x14:dxf>
              <font>
                <b val="0"/>
                <i val="0"/>
                <color theme="1"/>
              </font>
              <fill>
                <patternFill>
                  <bgColor rgb="FF00B0F0"/>
                </patternFill>
              </fill>
            </x14:dxf>
          </x14:cfRule>
          <x14:cfRule type="containsText" priority="2" operator="containsText" text="RO" id="{F79F8FBA-6225-46BB-87B5-85ED90C435DF}">
            <xm:f>NOT(ISERROR(SEARCH("RO",'PLAN ACCION 2016'!#REF!)))</xm:f>
            <x14:dxf>
              <font>
                <b val="0"/>
                <i val="0"/>
                <color theme="1"/>
              </font>
              <fill>
                <patternFill>
                  <bgColor rgb="FFFF0000"/>
                </patternFill>
              </fill>
            </x14:dxf>
          </x14:cfRule>
          <x14:cfRule type="containsText" priority="3" operator="containsText" text="AM" id="{7564E275-E119-440D-9B50-092751B0F5CC}">
            <xm:f>NOT(ISERROR(SEARCH("AM",'PLAN ACCION 2016'!#REF!)))</xm:f>
            <x14:dxf>
              <font>
                <b val="0"/>
                <i val="0"/>
                <strike val="0"/>
                <color theme="1"/>
              </font>
              <fill>
                <patternFill>
                  <bgColor rgb="FFFFFF00"/>
                </patternFill>
              </fill>
            </x14:dxf>
          </x14:cfRule>
          <x14:cfRule type="containsText" priority="4" operator="containsText" text="VE" id="{157CF4C7-43A7-4D1B-A75F-F2D8F6DABD71}">
            <xm:f>NOT(ISERROR(SEARCH("VE",'PLAN ACCION 2016'!#REF!)))</xm:f>
            <x14:dxf>
              <font>
                <b val="0"/>
                <i val="0"/>
                <color theme="1"/>
              </font>
              <fill>
                <patternFill>
                  <fgColor theme="6"/>
                  <bgColor rgb="FF92D050"/>
                </patternFill>
              </fill>
            </x14:dxf>
          </x14:cfRule>
          <xm:sqref>AD496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U48"/>
  <sheetViews>
    <sheetView workbookViewId="0">
      <pane ySplit="3" topLeftCell="A4" activePane="bottomLeft" state="frozen"/>
      <selection pane="bottomLeft" activeCell="A4" sqref="A4"/>
    </sheetView>
  </sheetViews>
  <sheetFormatPr baseColWidth="10" defaultColWidth="11.44140625" defaultRowHeight="14.4" x14ac:dyDescent="0.3"/>
  <cols>
    <col min="1" max="1" width="12.6640625" customWidth="1"/>
    <col min="2" max="2" width="37.44140625" customWidth="1"/>
    <col min="3" max="3" width="25.6640625" customWidth="1"/>
    <col min="4" max="4" width="8.6640625" customWidth="1"/>
    <col min="5" max="6" width="7.109375" customWidth="1"/>
    <col min="7" max="9" width="7.109375" hidden="1" customWidth="1"/>
    <col min="10" max="10" width="11.88671875" customWidth="1"/>
    <col min="11" max="11" width="14.88671875" customWidth="1"/>
    <col min="12" max="14" width="35.44140625" customWidth="1"/>
    <col min="15" max="21" width="7.88671875" customWidth="1"/>
  </cols>
  <sheetData>
    <row r="2" spans="1:21" ht="15" x14ac:dyDescent="0.25">
      <c r="A2" s="3"/>
      <c r="B2" s="27"/>
      <c r="C2" s="28"/>
      <c r="D2" s="4"/>
      <c r="E2" s="4"/>
      <c r="F2" s="4"/>
      <c r="G2" s="46"/>
      <c r="H2" s="46"/>
      <c r="I2" s="46"/>
      <c r="J2" s="46"/>
      <c r="O2" s="1648" t="s">
        <v>3121</v>
      </c>
      <c r="P2" s="1649"/>
      <c r="Q2" s="1649"/>
      <c r="R2" s="1649"/>
      <c r="S2" s="1649"/>
      <c r="T2" s="1649"/>
      <c r="U2" s="1650"/>
    </row>
    <row r="3" spans="1:21" ht="26.4" x14ac:dyDescent="0.3">
      <c r="A3" s="11" t="s">
        <v>22</v>
      </c>
      <c r="B3" s="11" t="s">
        <v>24</v>
      </c>
      <c r="C3" s="1438" t="s">
        <v>12</v>
      </c>
      <c r="D3" s="11" t="s">
        <v>13</v>
      </c>
      <c r="E3" s="11" t="s">
        <v>14</v>
      </c>
      <c r="F3" s="11">
        <v>2016</v>
      </c>
      <c r="G3" s="47">
        <v>2017</v>
      </c>
      <c r="H3" s="47">
        <v>2018</v>
      </c>
      <c r="I3" s="47">
        <v>2019</v>
      </c>
      <c r="J3" s="47" t="s">
        <v>15</v>
      </c>
      <c r="K3" s="47" t="s">
        <v>3122</v>
      </c>
      <c r="L3" s="47" t="s">
        <v>3123</v>
      </c>
      <c r="M3" s="47" t="s">
        <v>3124</v>
      </c>
      <c r="N3" s="47" t="s">
        <v>3125</v>
      </c>
      <c r="O3" s="220" t="s">
        <v>3126</v>
      </c>
      <c r="P3" s="220" t="s">
        <v>3127</v>
      </c>
      <c r="Q3" s="220" t="s">
        <v>3128</v>
      </c>
      <c r="R3" s="220" t="s">
        <v>3129</v>
      </c>
      <c r="S3" s="220" t="s">
        <v>3130</v>
      </c>
      <c r="T3" s="220" t="s">
        <v>3131</v>
      </c>
      <c r="U3" s="220" t="s">
        <v>3132</v>
      </c>
    </row>
    <row r="4" spans="1:21" ht="25.5" x14ac:dyDescent="0.25">
      <c r="A4" s="50" t="s">
        <v>47</v>
      </c>
      <c r="B4" s="16" t="s">
        <v>55</v>
      </c>
      <c r="C4" s="1440" t="s">
        <v>56</v>
      </c>
      <c r="D4" s="1442">
        <v>2015</v>
      </c>
      <c r="E4" s="1442">
        <v>1</v>
      </c>
      <c r="F4" s="1442">
        <v>1</v>
      </c>
      <c r="G4" s="63">
        <v>1</v>
      </c>
      <c r="H4" s="63">
        <v>0</v>
      </c>
      <c r="I4" s="63">
        <v>0</v>
      </c>
      <c r="J4" s="63">
        <v>2</v>
      </c>
      <c r="K4" s="89"/>
      <c r="L4" s="89"/>
      <c r="M4" s="89"/>
      <c r="N4" s="89"/>
      <c r="O4" s="225"/>
      <c r="P4" s="226"/>
      <c r="Q4" s="225"/>
      <c r="R4" s="227"/>
      <c r="S4" s="227"/>
      <c r="T4" s="227"/>
      <c r="U4" s="227"/>
    </row>
    <row r="5" spans="1:21" ht="43.2" x14ac:dyDescent="0.3">
      <c r="A5" s="50" t="s">
        <v>47</v>
      </c>
      <c r="B5" s="16" t="s">
        <v>61</v>
      </c>
      <c r="C5" s="1440" t="s">
        <v>62</v>
      </c>
      <c r="D5" s="1442">
        <v>2015</v>
      </c>
      <c r="E5" s="1442">
        <v>0</v>
      </c>
      <c r="F5" s="1442">
        <v>15</v>
      </c>
      <c r="G5" s="63">
        <v>15</v>
      </c>
      <c r="H5" s="63">
        <v>0</v>
      </c>
      <c r="I5" s="63">
        <v>5</v>
      </c>
      <c r="J5" s="63">
        <v>35</v>
      </c>
      <c r="K5" s="228" t="s">
        <v>3133</v>
      </c>
      <c r="L5" s="89" t="s">
        <v>3134</v>
      </c>
      <c r="M5" s="89"/>
      <c r="N5" s="89"/>
      <c r="O5" s="89"/>
      <c r="P5" s="89"/>
      <c r="Q5" s="89"/>
      <c r="R5" s="89"/>
      <c r="S5" s="89"/>
      <c r="T5" s="89"/>
      <c r="U5" s="89"/>
    </row>
    <row r="6" spans="1:21" ht="79.2" x14ac:dyDescent="0.3">
      <c r="A6" s="50" t="s">
        <v>47</v>
      </c>
      <c r="B6" s="16" t="s">
        <v>208</v>
      </c>
      <c r="C6" s="1440" t="s">
        <v>209</v>
      </c>
      <c r="D6" s="1442">
        <v>2015</v>
      </c>
      <c r="E6" s="1442">
        <v>0</v>
      </c>
      <c r="F6" s="1442">
        <v>1</v>
      </c>
      <c r="G6" s="63">
        <v>0</v>
      </c>
      <c r="H6" s="63">
        <v>0</v>
      </c>
      <c r="I6" s="63">
        <v>0</v>
      </c>
      <c r="J6" s="63">
        <v>1</v>
      </c>
      <c r="K6" s="89"/>
      <c r="L6" s="89"/>
      <c r="M6" s="89"/>
      <c r="N6" s="89"/>
      <c r="O6" s="89"/>
      <c r="P6" s="89"/>
      <c r="Q6" s="89"/>
      <c r="R6" s="89"/>
      <c r="S6" s="89"/>
      <c r="T6" s="89"/>
      <c r="U6" s="89"/>
    </row>
    <row r="7" spans="1:21" ht="79.2" x14ac:dyDescent="0.3">
      <c r="A7" s="50" t="s">
        <v>47</v>
      </c>
      <c r="B7" s="16" t="s">
        <v>276</v>
      </c>
      <c r="C7" s="1440" t="s">
        <v>277</v>
      </c>
      <c r="D7" s="1442">
        <v>2015</v>
      </c>
      <c r="E7" s="1442">
        <v>0</v>
      </c>
      <c r="F7" s="1442">
        <v>1</v>
      </c>
      <c r="G7" s="63">
        <v>0</v>
      </c>
      <c r="H7" s="63">
        <v>1</v>
      </c>
      <c r="I7" s="63">
        <v>0</v>
      </c>
      <c r="J7" s="63">
        <v>2</v>
      </c>
      <c r="K7" s="89"/>
      <c r="L7" s="89"/>
      <c r="M7" s="89"/>
      <c r="N7" s="89"/>
      <c r="O7" s="89"/>
      <c r="P7" s="89"/>
      <c r="Q7" s="89"/>
      <c r="R7" s="89"/>
      <c r="S7" s="89"/>
      <c r="T7" s="89"/>
      <c r="U7" s="89"/>
    </row>
    <row r="8" spans="1:21" ht="42" customHeight="1" x14ac:dyDescent="0.3">
      <c r="A8" s="50" t="s">
        <v>47</v>
      </c>
      <c r="B8" s="16" t="s">
        <v>288</v>
      </c>
      <c r="C8" s="1440" t="s">
        <v>289</v>
      </c>
      <c r="D8" s="1442">
        <v>2015</v>
      </c>
      <c r="E8" s="1442">
        <v>0</v>
      </c>
      <c r="F8" s="1442">
        <v>1</v>
      </c>
      <c r="G8" s="63">
        <v>0</v>
      </c>
      <c r="H8" s="63">
        <v>0</v>
      </c>
      <c r="I8" s="63">
        <v>0</v>
      </c>
      <c r="J8" s="63">
        <v>1</v>
      </c>
      <c r="K8" s="89"/>
      <c r="L8" s="89"/>
      <c r="M8" s="89"/>
      <c r="N8" s="89"/>
      <c r="O8" s="89"/>
      <c r="P8" s="89"/>
      <c r="Q8" s="89"/>
      <c r="R8" s="89"/>
      <c r="S8" s="89"/>
      <c r="T8" s="89"/>
      <c r="U8" s="89"/>
    </row>
    <row r="9" spans="1:21" ht="38.25" x14ac:dyDescent="0.25">
      <c r="A9" s="50" t="s">
        <v>47</v>
      </c>
      <c r="B9" s="16" t="s">
        <v>291</v>
      </c>
      <c r="C9" s="1440" t="s">
        <v>292</v>
      </c>
      <c r="D9" s="1442" t="s">
        <v>182</v>
      </c>
      <c r="E9" s="1442">
        <v>4</v>
      </c>
      <c r="F9" s="1442">
        <v>2</v>
      </c>
      <c r="G9" s="63">
        <v>1</v>
      </c>
      <c r="H9" s="63">
        <v>1</v>
      </c>
      <c r="I9" s="63">
        <v>2</v>
      </c>
      <c r="J9" s="63">
        <v>6</v>
      </c>
      <c r="K9" s="89"/>
      <c r="L9" s="89"/>
      <c r="M9" s="89"/>
      <c r="N9" s="89"/>
      <c r="O9" s="89"/>
      <c r="P9" s="89"/>
      <c r="Q9" s="89"/>
      <c r="R9" s="89"/>
      <c r="S9" s="89"/>
      <c r="T9" s="89"/>
      <c r="U9" s="89"/>
    </row>
    <row r="10" spans="1:21" ht="38.25" x14ac:dyDescent="0.25">
      <c r="A10" s="50" t="s">
        <v>47</v>
      </c>
      <c r="B10" s="16" t="s">
        <v>297</v>
      </c>
      <c r="C10" s="1440" t="s">
        <v>298</v>
      </c>
      <c r="D10" s="1442">
        <v>2015</v>
      </c>
      <c r="E10" s="1442">
        <v>1</v>
      </c>
      <c r="F10" s="1442">
        <v>2</v>
      </c>
      <c r="G10" s="63">
        <v>2</v>
      </c>
      <c r="H10" s="63">
        <v>2</v>
      </c>
      <c r="I10" s="63">
        <v>2</v>
      </c>
      <c r="J10" s="63">
        <v>8</v>
      </c>
      <c r="K10" s="89"/>
      <c r="L10" s="89"/>
      <c r="M10" s="89"/>
      <c r="N10" s="89"/>
      <c r="O10" s="89"/>
      <c r="P10" s="89"/>
      <c r="Q10" s="89"/>
      <c r="R10" s="89"/>
      <c r="S10" s="89"/>
      <c r="T10" s="89"/>
      <c r="U10" s="89"/>
    </row>
    <row r="11" spans="1:21" ht="38.25" x14ac:dyDescent="0.25">
      <c r="A11" s="50" t="s">
        <v>47</v>
      </c>
      <c r="B11" s="16" t="s">
        <v>300</v>
      </c>
      <c r="C11" s="1440" t="s">
        <v>301</v>
      </c>
      <c r="D11" s="1442">
        <v>2015</v>
      </c>
      <c r="E11" s="1442">
        <v>1</v>
      </c>
      <c r="F11" s="1442">
        <v>2</v>
      </c>
      <c r="G11" s="63">
        <v>2</v>
      </c>
      <c r="H11" s="63">
        <v>2</v>
      </c>
      <c r="I11" s="63">
        <v>2</v>
      </c>
      <c r="J11" s="63">
        <v>8</v>
      </c>
      <c r="K11" s="89"/>
      <c r="L11" s="89"/>
      <c r="M11" s="89"/>
      <c r="N11" s="89"/>
      <c r="O11" s="89"/>
      <c r="P11" s="89"/>
      <c r="Q11" s="89"/>
      <c r="R11" s="89"/>
      <c r="S11" s="89"/>
      <c r="T11" s="89"/>
      <c r="U11" s="89"/>
    </row>
    <row r="12" spans="1:21" ht="38.25" x14ac:dyDescent="0.25">
      <c r="A12" s="50" t="s">
        <v>47</v>
      </c>
      <c r="B12" s="16" t="s">
        <v>309</v>
      </c>
      <c r="C12" s="1440" t="s">
        <v>310</v>
      </c>
      <c r="D12" s="1442">
        <v>2015</v>
      </c>
      <c r="E12" s="1442">
        <v>0</v>
      </c>
      <c r="F12" s="1442">
        <v>0</v>
      </c>
      <c r="G12" s="63">
        <v>1</v>
      </c>
      <c r="H12" s="63">
        <v>0</v>
      </c>
      <c r="I12" s="63">
        <v>0</v>
      </c>
      <c r="J12" s="63">
        <v>1</v>
      </c>
      <c r="K12" s="89"/>
      <c r="L12" s="89"/>
      <c r="M12" s="89"/>
      <c r="N12" s="89"/>
      <c r="O12" s="89"/>
      <c r="P12" s="89"/>
      <c r="Q12" s="89"/>
      <c r="R12" s="89"/>
      <c r="S12" s="89"/>
      <c r="T12" s="89"/>
      <c r="U12" s="89"/>
    </row>
    <row r="13" spans="1:21" ht="25.5" x14ac:dyDescent="0.25">
      <c r="A13" s="50" t="s">
        <v>47</v>
      </c>
      <c r="B13" s="16" t="s">
        <v>353</v>
      </c>
      <c r="C13" s="1440" t="s">
        <v>354</v>
      </c>
      <c r="D13" s="1442">
        <v>2015</v>
      </c>
      <c r="E13" s="1442" t="s">
        <v>177</v>
      </c>
      <c r="F13" s="1442">
        <v>200</v>
      </c>
      <c r="G13" s="63">
        <v>150</v>
      </c>
      <c r="H13" s="63">
        <v>50</v>
      </c>
      <c r="I13" s="63">
        <v>50</v>
      </c>
      <c r="J13" s="63">
        <v>450</v>
      </c>
      <c r="K13" s="89"/>
      <c r="L13" s="89"/>
      <c r="M13" s="89"/>
      <c r="N13" s="89"/>
      <c r="O13" s="89"/>
      <c r="P13" s="89"/>
      <c r="Q13" s="89"/>
      <c r="R13" s="89"/>
      <c r="S13" s="89"/>
      <c r="T13" s="89"/>
      <c r="U13" s="89"/>
    </row>
    <row r="14" spans="1:21" ht="26.4" x14ac:dyDescent="0.3">
      <c r="A14" s="50" t="s">
        <v>47</v>
      </c>
      <c r="B14" s="16" t="s">
        <v>373</v>
      </c>
      <c r="C14" s="1440" t="s">
        <v>374</v>
      </c>
      <c r="D14" s="1442">
        <v>2015</v>
      </c>
      <c r="E14" s="1442">
        <v>0</v>
      </c>
      <c r="F14" s="1442">
        <v>185</v>
      </c>
      <c r="G14" s="63">
        <v>0</v>
      </c>
      <c r="H14" s="63">
        <v>300</v>
      </c>
      <c r="I14" s="63">
        <v>0</v>
      </c>
      <c r="J14" s="63">
        <v>485</v>
      </c>
      <c r="K14" s="89"/>
      <c r="L14" s="89"/>
      <c r="M14" s="89"/>
      <c r="N14" s="89"/>
      <c r="O14" s="89"/>
      <c r="P14" s="89"/>
      <c r="Q14" s="89"/>
      <c r="R14" s="89"/>
      <c r="S14" s="89"/>
      <c r="T14" s="89"/>
      <c r="U14" s="89"/>
    </row>
    <row r="15" spans="1:21" ht="39.6" x14ac:dyDescent="0.3">
      <c r="A15" s="50" t="s">
        <v>47</v>
      </c>
      <c r="B15" s="16" t="s">
        <v>382</v>
      </c>
      <c r="C15" s="1440" t="s">
        <v>383</v>
      </c>
      <c r="D15" s="1442">
        <v>2015</v>
      </c>
      <c r="E15" s="1442">
        <v>0</v>
      </c>
      <c r="F15" s="1442">
        <v>1</v>
      </c>
      <c r="G15" s="63">
        <v>1</v>
      </c>
      <c r="H15" s="63">
        <v>0</v>
      </c>
      <c r="I15" s="63">
        <v>0</v>
      </c>
      <c r="J15" s="63">
        <v>2</v>
      </c>
      <c r="K15" s="89"/>
      <c r="L15" s="89"/>
      <c r="M15" s="89"/>
      <c r="N15" s="89"/>
      <c r="O15" s="89"/>
      <c r="P15" s="89"/>
      <c r="Q15" s="89"/>
      <c r="R15" s="89"/>
      <c r="S15" s="89"/>
      <c r="T15" s="89"/>
      <c r="U15" s="89"/>
    </row>
    <row r="16" spans="1:21" ht="39.6" x14ac:dyDescent="0.3">
      <c r="A16" s="50" t="s">
        <v>47</v>
      </c>
      <c r="B16" s="71" t="s">
        <v>394</v>
      </c>
      <c r="C16" s="1440" t="s">
        <v>395</v>
      </c>
      <c r="D16" s="1442">
        <v>2015</v>
      </c>
      <c r="E16" s="1442">
        <v>0</v>
      </c>
      <c r="F16" s="1442">
        <v>0</v>
      </c>
      <c r="G16" s="63">
        <v>0</v>
      </c>
      <c r="H16" s="63">
        <v>0</v>
      </c>
      <c r="I16" s="63">
        <v>1</v>
      </c>
      <c r="J16" s="63">
        <v>1</v>
      </c>
      <c r="K16" s="89"/>
      <c r="L16" s="89"/>
      <c r="M16" s="89"/>
      <c r="N16" s="89"/>
      <c r="O16" s="89"/>
      <c r="P16" s="89"/>
      <c r="Q16" s="89"/>
      <c r="R16" s="89"/>
      <c r="S16" s="89"/>
      <c r="T16" s="89"/>
      <c r="U16" s="89"/>
    </row>
    <row r="17" spans="1:21" ht="26.4" x14ac:dyDescent="0.3">
      <c r="A17" s="50" t="s">
        <v>47</v>
      </c>
      <c r="B17" s="71" t="s">
        <v>403</v>
      </c>
      <c r="C17" s="1440" t="s">
        <v>404</v>
      </c>
      <c r="D17" s="1442">
        <v>2015</v>
      </c>
      <c r="E17" s="1442">
        <v>1</v>
      </c>
      <c r="F17" s="1442">
        <v>0</v>
      </c>
      <c r="G17" s="63">
        <v>0</v>
      </c>
      <c r="H17" s="63">
        <v>1</v>
      </c>
      <c r="I17" s="63">
        <v>0</v>
      </c>
      <c r="J17" s="63">
        <v>1</v>
      </c>
      <c r="K17" s="89"/>
      <c r="L17" s="89"/>
      <c r="M17" s="89"/>
      <c r="N17" s="89"/>
      <c r="O17" s="89"/>
      <c r="P17" s="89"/>
      <c r="Q17" s="89"/>
      <c r="R17" s="89"/>
      <c r="S17" s="89"/>
      <c r="T17" s="89"/>
      <c r="U17" s="89"/>
    </row>
    <row r="18" spans="1:21" ht="26.4" x14ac:dyDescent="0.3">
      <c r="A18" s="50" t="s">
        <v>47</v>
      </c>
      <c r="B18" s="72" t="s">
        <v>421</v>
      </c>
      <c r="C18" s="1440" t="s">
        <v>422</v>
      </c>
      <c r="D18" s="1442">
        <v>2015</v>
      </c>
      <c r="E18" s="1442">
        <v>1145</v>
      </c>
      <c r="F18" s="1442">
        <v>600</v>
      </c>
      <c r="G18" s="63">
        <v>600</v>
      </c>
      <c r="H18" s="63">
        <v>600</v>
      </c>
      <c r="I18" s="63">
        <v>600</v>
      </c>
      <c r="J18" s="63">
        <v>2400</v>
      </c>
      <c r="K18" s="89"/>
      <c r="L18" s="89"/>
      <c r="M18" s="89"/>
      <c r="N18" s="89"/>
      <c r="O18" s="89"/>
      <c r="P18" s="89"/>
      <c r="Q18" s="89"/>
      <c r="R18" s="89"/>
      <c r="S18" s="89"/>
      <c r="T18" s="89"/>
      <c r="U18" s="89"/>
    </row>
    <row r="19" spans="1:21" ht="52.8" x14ac:dyDescent="0.3">
      <c r="A19" s="50" t="s">
        <v>47</v>
      </c>
      <c r="B19" s="16" t="s">
        <v>442</v>
      </c>
      <c r="C19" s="1440" t="s">
        <v>443</v>
      </c>
      <c r="D19" s="1442">
        <v>2015</v>
      </c>
      <c r="E19" s="1442">
        <v>0</v>
      </c>
      <c r="F19" s="1442">
        <v>0</v>
      </c>
      <c r="G19" s="63">
        <v>1</v>
      </c>
      <c r="H19" s="63">
        <v>0</v>
      </c>
      <c r="I19" s="63">
        <v>0</v>
      </c>
      <c r="J19" s="63">
        <v>1</v>
      </c>
      <c r="K19" s="89"/>
      <c r="L19" s="89"/>
      <c r="M19" s="89"/>
      <c r="N19" s="89"/>
      <c r="O19" s="89"/>
      <c r="P19" s="89"/>
      <c r="Q19" s="89"/>
      <c r="R19" s="89"/>
      <c r="S19" s="89"/>
      <c r="T19" s="89"/>
      <c r="U19" s="89"/>
    </row>
    <row r="20" spans="1:21" ht="26.4" x14ac:dyDescent="0.3">
      <c r="A20" s="50" t="s">
        <v>47</v>
      </c>
      <c r="B20" s="16" t="s">
        <v>451</v>
      </c>
      <c r="C20" s="1440" t="s">
        <v>452</v>
      </c>
      <c r="D20" s="1442">
        <v>2015</v>
      </c>
      <c r="E20" s="1442">
        <v>738</v>
      </c>
      <c r="F20" s="1442">
        <v>700</v>
      </c>
      <c r="G20" s="63">
        <v>700</v>
      </c>
      <c r="H20" s="63">
        <v>700</v>
      </c>
      <c r="I20" s="63">
        <v>700</v>
      </c>
      <c r="J20" s="63">
        <v>2800</v>
      </c>
      <c r="K20" s="89"/>
      <c r="L20" s="89"/>
      <c r="M20" s="89"/>
      <c r="N20" s="89"/>
      <c r="O20" s="89"/>
      <c r="P20" s="89"/>
      <c r="Q20" s="89"/>
      <c r="R20" s="89"/>
      <c r="S20" s="89"/>
      <c r="T20" s="89"/>
      <c r="U20" s="89"/>
    </row>
    <row r="21" spans="1:21" ht="52.8" x14ac:dyDescent="0.3">
      <c r="A21" s="50" t="s">
        <v>47</v>
      </c>
      <c r="B21" s="16" t="s">
        <v>469</v>
      </c>
      <c r="C21" s="1440" t="s">
        <v>470</v>
      </c>
      <c r="D21" s="1442">
        <v>2015</v>
      </c>
      <c r="E21" s="1442">
        <v>0</v>
      </c>
      <c r="F21" s="1442">
        <v>1</v>
      </c>
      <c r="G21" s="63">
        <v>0</v>
      </c>
      <c r="H21" s="63">
        <v>0</v>
      </c>
      <c r="I21" s="63">
        <v>0</v>
      </c>
      <c r="J21" s="63">
        <v>1</v>
      </c>
      <c r="K21" s="89"/>
      <c r="L21" s="89"/>
      <c r="M21" s="89"/>
      <c r="N21" s="89"/>
      <c r="O21" s="89"/>
      <c r="P21" s="89"/>
      <c r="Q21" s="89"/>
      <c r="R21" s="89"/>
      <c r="S21" s="89"/>
      <c r="T21" s="89"/>
      <c r="U21" s="89"/>
    </row>
    <row r="22" spans="1:21" ht="39.6" x14ac:dyDescent="0.3">
      <c r="A22" s="50" t="s">
        <v>47</v>
      </c>
      <c r="B22" s="16" t="s">
        <v>649</v>
      </c>
      <c r="C22" s="1440" t="s">
        <v>650</v>
      </c>
      <c r="D22" s="1442">
        <v>2015</v>
      </c>
      <c r="E22" s="1442">
        <v>0</v>
      </c>
      <c r="F22" s="1442">
        <v>1</v>
      </c>
      <c r="G22" s="1442">
        <v>0</v>
      </c>
      <c r="H22" s="1442">
        <v>0</v>
      </c>
      <c r="I22" s="1442">
        <v>0</v>
      </c>
      <c r="J22" s="1442">
        <v>1</v>
      </c>
      <c r="K22" s="89"/>
      <c r="L22" s="89"/>
      <c r="M22" s="89"/>
      <c r="N22" s="89"/>
      <c r="O22" s="89"/>
      <c r="P22" s="89"/>
      <c r="Q22" s="89"/>
      <c r="R22" s="89"/>
      <c r="S22" s="89"/>
      <c r="T22" s="89"/>
      <c r="U22" s="89"/>
    </row>
    <row r="23" spans="1:21" ht="39.6" x14ac:dyDescent="0.3">
      <c r="A23" s="50" t="s">
        <v>47</v>
      </c>
      <c r="B23" s="16" t="s">
        <v>904</v>
      </c>
      <c r="C23" s="1440" t="s">
        <v>905</v>
      </c>
      <c r="D23" s="1442">
        <v>2015</v>
      </c>
      <c r="E23" s="1442">
        <v>0</v>
      </c>
      <c r="F23" s="1442">
        <v>1</v>
      </c>
      <c r="G23" s="63">
        <v>0</v>
      </c>
      <c r="H23" s="63">
        <v>0</v>
      </c>
      <c r="I23" s="63">
        <v>0</v>
      </c>
      <c r="J23" s="63">
        <v>1</v>
      </c>
      <c r="K23" s="89"/>
      <c r="L23" s="89"/>
      <c r="M23" s="89"/>
      <c r="N23" s="89"/>
      <c r="O23" s="89"/>
      <c r="P23" s="89"/>
      <c r="Q23" s="89"/>
      <c r="R23" s="89"/>
      <c r="S23" s="89"/>
      <c r="T23" s="89"/>
      <c r="U23" s="89"/>
    </row>
    <row r="24" spans="1:21" ht="39.6" x14ac:dyDescent="0.3">
      <c r="A24" s="50" t="s">
        <v>47</v>
      </c>
      <c r="B24" s="16" t="s">
        <v>959</v>
      </c>
      <c r="C24" s="1440" t="s">
        <v>960</v>
      </c>
      <c r="D24" s="1442">
        <v>2015</v>
      </c>
      <c r="E24" s="1442">
        <v>0</v>
      </c>
      <c r="F24" s="1442">
        <v>0</v>
      </c>
      <c r="G24" s="63">
        <v>0</v>
      </c>
      <c r="H24" s="63">
        <v>1</v>
      </c>
      <c r="I24" s="63">
        <v>0</v>
      </c>
      <c r="J24" s="63">
        <v>1</v>
      </c>
      <c r="K24" s="89"/>
      <c r="L24" s="89"/>
      <c r="M24" s="89"/>
      <c r="N24" s="89"/>
      <c r="O24" s="89"/>
      <c r="P24" s="89"/>
      <c r="Q24" s="89"/>
      <c r="R24" s="89"/>
      <c r="S24" s="89"/>
      <c r="T24" s="89"/>
      <c r="U24" s="89"/>
    </row>
    <row r="25" spans="1:21" ht="39.6" x14ac:dyDescent="0.3">
      <c r="A25" s="50" t="s">
        <v>47</v>
      </c>
      <c r="B25" s="16" t="s">
        <v>962</v>
      </c>
      <c r="C25" s="1440" t="s">
        <v>963</v>
      </c>
      <c r="D25" s="1442">
        <v>2015</v>
      </c>
      <c r="E25" s="1442">
        <v>0</v>
      </c>
      <c r="F25" s="1442">
        <v>1</v>
      </c>
      <c r="G25" s="63">
        <v>0</v>
      </c>
      <c r="H25" s="63">
        <v>0</v>
      </c>
      <c r="I25" s="63">
        <v>0</v>
      </c>
      <c r="J25" s="63">
        <v>1</v>
      </c>
      <c r="K25" s="89"/>
      <c r="L25" s="89"/>
      <c r="M25" s="89"/>
      <c r="N25" s="89"/>
      <c r="O25" s="89"/>
      <c r="P25" s="89"/>
      <c r="Q25" s="89"/>
      <c r="R25" s="89"/>
      <c r="S25" s="89"/>
      <c r="T25" s="89"/>
      <c r="U25" s="89"/>
    </row>
    <row r="26" spans="1:21" ht="52.8" x14ac:dyDescent="0.3">
      <c r="A26" s="50" t="s">
        <v>73</v>
      </c>
      <c r="B26" s="16" t="s">
        <v>1018</v>
      </c>
      <c r="C26" s="1440" t="s">
        <v>835</v>
      </c>
      <c r="D26" s="1442">
        <v>2015</v>
      </c>
      <c r="E26" s="1442">
        <v>0</v>
      </c>
      <c r="F26" s="1442">
        <v>1</v>
      </c>
      <c r="G26" s="63">
        <v>1</v>
      </c>
      <c r="H26" s="63">
        <v>1</v>
      </c>
      <c r="I26" s="63">
        <v>1</v>
      </c>
      <c r="J26" s="63">
        <v>1</v>
      </c>
      <c r="K26" s="89"/>
      <c r="L26" s="89"/>
      <c r="M26" s="89"/>
      <c r="N26" s="89"/>
      <c r="O26" s="89"/>
      <c r="P26" s="89"/>
      <c r="Q26" s="89"/>
      <c r="R26" s="89"/>
      <c r="S26" s="89"/>
      <c r="T26" s="89"/>
      <c r="U26" s="89"/>
    </row>
    <row r="27" spans="1:21" ht="39.6" x14ac:dyDescent="0.3">
      <c r="A27" s="50" t="s">
        <v>47</v>
      </c>
      <c r="B27" s="16" t="s">
        <v>1045</v>
      </c>
      <c r="C27" s="1440" t="s">
        <v>1046</v>
      </c>
      <c r="D27" s="1442">
        <v>2015</v>
      </c>
      <c r="E27" s="1442">
        <v>0</v>
      </c>
      <c r="F27" s="1442">
        <v>0</v>
      </c>
      <c r="G27" s="63">
        <v>1</v>
      </c>
      <c r="H27" s="63">
        <v>0</v>
      </c>
      <c r="I27" s="63">
        <v>0</v>
      </c>
      <c r="J27" s="63">
        <v>1</v>
      </c>
      <c r="K27" s="89"/>
      <c r="L27" s="89"/>
      <c r="M27" s="89"/>
      <c r="N27" s="89"/>
      <c r="O27" s="89"/>
      <c r="P27" s="89"/>
      <c r="Q27" s="89"/>
      <c r="R27" s="89"/>
      <c r="S27" s="89"/>
      <c r="T27" s="89"/>
      <c r="U27" s="89"/>
    </row>
    <row r="28" spans="1:21" ht="39.6" x14ac:dyDescent="0.3">
      <c r="A28" s="50" t="s">
        <v>47</v>
      </c>
      <c r="B28" s="16" t="s">
        <v>1048</v>
      </c>
      <c r="C28" s="1440" t="s">
        <v>1049</v>
      </c>
      <c r="D28" s="1442">
        <v>2015</v>
      </c>
      <c r="E28" s="1442">
        <v>0</v>
      </c>
      <c r="F28" s="1442">
        <v>1</v>
      </c>
      <c r="G28" s="63">
        <v>0</v>
      </c>
      <c r="H28" s="63">
        <v>0</v>
      </c>
      <c r="I28" s="63">
        <v>0</v>
      </c>
      <c r="J28" s="63">
        <v>1</v>
      </c>
      <c r="K28" s="89"/>
      <c r="L28" s="89"/>
      <c r="M28" s="89"/>
      <c r="N28" s="89"/>
      <c r="O28" s="89"/>
      <c r="P28" s="89"/>
      <c r="Q28" s="89"/>
      <c r="R28" s="89"/>
      <c r="S28" s="89"/>
      <c r="T28" s="89"/>
      <c r="U28" s="89"/>
    </row>
    <row r="29" spans="1:21" ht="39.6" x14ac:dyDescent="0.3">
      <c r="A29" s="50" t="s">
        <v>47</v>
      </c>
      <c r="B29" s="16" t="s">
        <v>1051</v>
      </c>
      <c r="C29" s="1440" t="s">
        <v>1052</v>
      </c>
      <c r="D29" s="1442">
        <v>2015</v>
      </c>
      <c r="E29" s="1442">
        <v>0</v>
      </c>
      <c r="F29" s="1442">
        <v>7000</v>
      </c>
      <c r="G29" s="63">
        <v>9000</v>
      </c>
      <c r="H29" s="63">
        <v>9000</v>
      </c>
      <c r="I29" s="63">
        <v>9000</v>
      </c>
      <c r="J29" s="63">
        <v>34000</v>
      </c>
      <c r="K29" s="89"/>
      <c r="L29" s="89"/>
      <c r="M29" s="89"/>
      <c r="N29" s="89"/>
      <c r="O29" s="89"/>
      <c r="P29" s="89"/>
      <c r="Q29" s="89"/>
      <c r="R29" s="89"/>
      <c r="S29" s="89"/>
      <c r="T29" s="89"/>
      <c r="U29" s="89"/>
    </row>
    <row r="30" spans="1:21" ht="39.6" x14ac:dyDescent="0.3">
      <c r="A30" s="50" t="s">
        <v>47</v>
      </c>
      <c r="B30" s="16" t="s">
        <v>1054</v>
      </c>
      <c r="C30" s="1440" t="s">
        <v>1055</v>
      </c>
      <c r="D30" s="1442">
        <v>2015</v>
      </c>
      <c r="E30" s="1442">
        <v>0</v>
      </c>
      <c r="F30" s="1442">
        <v>400</v>
      </c>
      <c r="G30" s="63">
        <v>400</v>
      </c>
      <c r="H30" s="63">
        <v>400</v>
      </c>
      <c r="I30" s="63">
        <v>0</v>
      </c>
      <c r="J30" s="63">
        <v>1200</v>
      </c>
      <c r="K30" s="89"/>
      <c r="L30" s="89"/>
      <c r="M30" s="89"/>
      <c r="N30" s="89"/>
      <c r="O30" s="89"/>
      <c r="P30" s="89"/>
      <c r="Q30" s="89"/>
      <c r="R30" s="89"/>
      <c r="S30" s="89"/>
      <c r="T30" s="89"/>
      <c r="U30" s="89"/>
    </row>
    <row r="31" spans="1:21" ht="26.4" x14ac:dyDescent="0.3">
      <c r="A31" s="50" t="s">
        <v>47</v>
      </c>
      <c r="B31" s="16" t="s">
        <v>1060</v>
      </c>
      <c r="C31" s="1440" t="s">
        <v>1061</v>
      </c>
      <c r="D31" s="1442">
        <v>2015</v>
      </c>
      <c r="E31" s="1442">
        <v>0</v>
      </c>
      <c r="F31" s="1442">
        <v>300</v>
      </c>
      <c r="G31" s="63">
        <v>700</v>
      </c>
      <c r="H31" s="63">
        <v>1000</v>
      </c>
      <c r="I31" s="63">
        <v>1000</v>
      </c>
      <c r="J31" s="63">
        <v>3000</v>
      </c>
      <c r="K31" s="89"/>
      <c r="L31" s="89"/>
      <c r="M31" s="89"/>
      <c r="N31" s="89"/>
      <c r="O31" s="89"/>
      <c r="P31" s="89"/>
      <c r="Q31" s="89"/>
      <c r="R31" s="89"/>
      <c r="S31" s="89"/>
      <c r="T31" s="89"/>
      <c r="U31" s="89"/>
    </row>
    <row r="32" spans="1:21" ht="39.6" x14ac:dyDescent="0.3">
      <c r="A32" s="50" t="s">
        <v>47</v>
      </c>
      <c r="B32" s="16" t="s">
        <v>1063</v>
      </c>
      <c r="C32" s="1440" t="s">
        <v>1064</v>
      </c>
      <c r="D32" s="1442">
        <v>2015</v>
      </c>
      <c r="E32" s="1442">
        <v>0</v>
      </c>
      <c r="F32" s="1442">
        <v>20</v>
      </c>
      <c r="G32" s="63">
        <v>20</v>
      </c>
      <c r="H32" s="63">
        <v>40</v>
      </c>
      <c r="I32" s="63">
        <v>40</v>
      </c>
      <c r="J32" s="63">
        <v>120</v>
      </c>
      <c r="K32" s="89"/>
      <c r="L32" s="89"/>
      <c r="M32" s="89"/>
      <c r="N32" s="89"/>
      <c r="O32" s="89"/>
      <c r="P32" s="89"/>
      <c r="Q32" s="89"/>
      <c r="R32" s="89"/>
      <c r="S32" s="89"/>
      <c r="T32" s="89"/>
      <c r="U32" s="89"/>
    </row>
    <row r="33" spans="1:21" ht="26.4" x14ac:dyDescent="0.3">
      <c r="A33" s="50" t="s">
        <v>47</v>
      </c>
      <c r="B33" s="16" t="s">
        <v>1066</v>
      </c>
      <c r="C33" s="1440" t="s">
        <v>1067</v>
      </c>
      <c r="D33" s="1442">
        <v>2015</v>
      </c>
      <c r="E33" s="1442">
        <v>0</v>
      </c>
      <c r="F33" s="1442">
        <v>1</v>
      </c>
      <c r="G33" s="63">
        <v>1</v>
      </c>
      <c r="H33" s="63">
        <v>1</v>
      </c>
      <c r="I33" s="63">
        <v>1</v>
      </c>
      <c r="J33" s="63">
        <v>4</v>
      </c>
      <c r="K33" s="89"/>
      <c r="L33" s="89"/>
      <c r="M33" s="89"/>
      <c r="N33" s="89"/>
      <c r="O33" s="89"/>
      <c r="P33" s="89"/>
      <c r="Q33" s="89"/>
      <c r="R33" s="89"/>
      <c r="S33" s="89"/>
      <c r="T33" s="89"/>
      <c r="U33" s="89"/>
    </row>
    <row r="34" spans="1:21" ht="39.6" x14ac:dyDescent="0.3">
      <c r="A34" s="50" t="s">
        <v>47</v>
      </c>
      <c r="B34" s="16" t="s">
        <v>1069</v>
      </c>
      <c r="C34" s="1440" t="s">
        <v>1070</v>
      </c>
      <c r="D34" s="1442">
        <v>2015</v>
      </c>
      <c r="E34" s="1442">
        <v>0</v>
      </c>
      <c r="F34" s="1442">
        <v>250</v>
      </c>
      <c r="G34" s="63">
        <v>250</v>
      </c>
      <c r="H34" s="63">
        <v>250</v>
      </c>
      <c r="I34" s="63">
        <v>250</v>
      </c>
      <c r="J34" s="63">
        <v>1000</v>
      </c>
      <c r="K34" s="89"/>
      <c r="L34" s="89"/>
      <c r="M34" s="89"/>
      <c r="N34" s="89"/>
      <c r="O34" s="89"/>
      <c r="P34" s="89"/>
      <c r="Q34" s="89"/>
      <c r="R34" s="89"/>
      <c r="S34" s="89"/>
      <c r="T34" s="89"/>
      <c r="U34" s="89"/>
    </row>
    <row r="35" spans="1:21" ht="26.4" x14ac:dyDescent="0.3">
      <c r="A35" s="50" t="s">
        <v>47</v>
      </c>
      <c r="B35" s="16" t="s">
        <v>1079</v>
      </c>
      <c r="C35" s="1440" t="s">
        <v>1080</v>
      </c>
      <c r="D35" s="1442">
        <v>2015</v>
      </c>
      <c r="E35" s="1442">
        <v>0</v>
      </c>
      <c r="F35" s="1442">
        <v>100</v>
      </c>
      <c r="G35" s="63">
        <v>50</v>
      </c>
      <c r="H35" s="63">
        <v>50</v>
      </c>
      <c r="I35" s="63">
        <v>100</v>
      </c>
      <c r="J35" s="63">
        <v>300</v>
      </c>
      <c r="K35" s="89"/>
      <c r="L35" s="89"/>
      <c r="M35" s="89"/>
      <c r="N35" s="89"/>
      <c r="O35" s="89"/>
      <c r="P35" s="89"/>
      <c r="Q35" s="89"/>
      <c r="R35" s="89"/>
      <c r="S35" s="89"/>
      <c r="T35" s="89"/>
      <c r="U35" s="89"/>
    </row>
    <row r="36" spans="1:21" ht="39.6" x14ac:dyDescent="0.3">
      <c r="A36" s="50" t="s">
        <v>47</v>
      </c>
      <c r="B36" s="16" t="s">
        <v>1092</v>
      </c>
      <c r="C36" s="1440" t="s">
        <v>1093</v>
      </c>
      <c r="D36" s="1442">
        <v>2015</v>
      </c>
      <c r="E36" s="1442">
        <v>0</v>
      </c>
      <c r="F36" s="1442">
        <v>0</v>
      </c>
      <c r="G36" s="63">
        <v>100</v>
      </c>
      <c r="H36" s="63">
        <v>200</v>
      </c>
      <c r="I36" s="63">
        <v>200</v>
      </c>
      <c r="J36" s="63">
        <v>500</v>
      </c>
      <c r="K36" s="89"/>
      <c r="L36" s="89"/>
      <c r="M36" s="89"/>
      <c r="N36" s="89"/>
      <c r="O36" s="89"/>
      <c r="P36" s="89"/>
      <c r="Q36" s="89"/>
      <c r="R36" s="89"/>
      <c r="S36" s="89"/>
      <c r="T36" s="89"/>
      <c r="U36" s="89"/>
    </row>
    <row r="37" spans="1:21" ht="66" x14ac:dyDescent="0.3">
      <c r="A37" s="50" t="s">
        <v>47</v>
      </c>
      <c r="B37" s="16" t="s">
        <v>1104</v>
      </c>
      <c r="C37" s="1440" t="s">
        <v>1105</v>
      </c>
      <c r="D37" s="1442">
        <v>2015</v>
      </c>
      <c r="E37" s="1442">
        <v>0</v>
      </c>
      <c r="F37" s="1442">
        <v>1</v>
      </c>
      <c r="G37" s="63">
        <v>1</v>
      </c>
      <c r="H37" s="63">
        <v>1</v>
      </c>
      <c r="I37" s="63">
        <v>1</v>
      </c>
      <c r="J37" s="63">
        <v>4</v>
      </c>
      <c r="K37" s="89"/>
      <c r="L37" s="89"/>
      <c r="M37" s="89"/>
      <c r="N37" s="89"/>
      <c r="O37" s="89"/>
      <c r="P37" s="89"/>
      <c r="Q37" s="89"/>
      <c r="R37" s="89"/>
      <c r="S37" s="89"/>
      <c r="T37" s="89"/>
      <c r="U37" s="89"/>
    </row>
    <row r="38" spans="1:21" ht="52.8" x14ac:dyDescent="0.3">
      <c r="A38" s="50" t="s">
        <v>47</v>
      </c>
      <c r="B38" s="16" t="s">
        <v>1108</v>
      </c>
      <c r="C38" s="1440" t="s">
        <v>1109</v>
      </c>
      <c r="D38" s="1442">
        <v>2015</v>
      </c>
      <c r="E38" s="1442">
        <v>1</v>
      </c>
      <c r="F38" s="1442">
        <v>1</v>
      </c>
      <c r="G38" s="63">
        <v>1</v>
      </c>
      <c r="H38" s="63">
        <v>1</v>
      </c>
      <c r="I38" s="63">
        <v>0</v>
      </c>
      <c r="J38" s="63">
        <v>3</v>
      </c>
      <c r="K38" s="89"/>
      <c r="L38" s="89"/>
      <c r="M38" s="89"/>
      <c r="N38" s="89"/>
      <c r="O38" s="89"/>
      <c r="P38" s="89"/>
      <c r="Q38" s="89"/>
      <c r="R38" s="89"/>
      <c r="S38" s="89"/>
      <c r="T38" s="89"/>
      <c r="U38" s="89"/>
    </row>
    <row r="39" spans="1:21" ht="39.6" x14ac:dyDescent="0.3">
      <c r="A39" s="50" t="s">
        <v>47</v>
      </c>
      <c r="B39" s="16" t="s">
        <v>1111</v>
      </c>
      <c r="C39" s="1440" t="s">
        <v>1112</v>
      </c>
      <c r="D39" s="1442">
        <v>2015</v>
      </c>
      <c r="E39" s="1442">
        <v>0</v>
      </c>
      <c r="F39" s="1442">
        <v>0</v>
      </c>
      <c r="G39" s="63">
        <v>1</v>
      </c>
      <c r="H39" s="63">
        <v>0</v>
      </c>
      <c r="I39" s="63">
        <v>0</v>
      </c>
      <c r="J39" s="63">
        <v>1</v>
      </c>
      <c r="K39" s="89"/>
      <c r="L39" s="89"/>
      <c r="M39" s="89"/>
      <c r="N39" s="89"/>
      <c r="O39" s="89"/>
      <c r="P39" s="89"/>
      <c r="Q39" s="89"/>
      <c r="R39" s="89"/>
      <c r="S39" s="89"/>
      <c r="T39" s="89"/>
      <c r="U39" s="89"/>
    </row>
    <row r="40" spans="1:21" ht="52.8" x14ac:dyDescent="0.3">
      <c r="A40" s="50" t="s">
        <v>47</v>
      </c>
      <c r="B40" s="16" t="s">
        <v>1114</v>
      </c>
      <c r="C40" s="1440" t="s">
        <v>1115</v>
      </c>
      <c r="D40" s="1442">
        <v>2015</v>
      </c>
      <c r="E40" s="1442">
        <v>0</v>
      </c>
      <c r="F40" s="1442">
        <v>1</v>
      </c>
      <c r="G40" s="63">
        <v>0</v>
      </c>
      <c r="H40" s="63">
        <v>0</v>
      </c>
      <c r="I40" s="63">
        <v>0</v>
      </c>
      <c r="J40" s="63">
        <v>1</v>
      </c>
      <c r="K40" s="89"/>
      <c r="L40" s="89"/>
      <c r="M40" s="89"/>
      <c r="N40" s="89"/>
      <c r="O40" s="89"/>
      <c r="P40" s="89"/>
      <c r="Q40" s="89"/>
      <c r="R40" s="89"/>
      <c r="S40" s="89"/>
      <c r="T40" s="89"/>
      <c r="U40" s="89"/>
    </row>
    <row r="41" spans="1:21" ht="52.8" x14ac:dyDescent="0.3">
      <c r="A41" s="50" t="s">
        <v>47</v>
      </c>
      <c r="B41" s="16" t="s">
        <v>1117</v>
      </c>
      <c r="C41" s="1440" t="s">
        <v>1118</v>
      </c>
      <c r="D41" s="1442">
        <v>2015</v>
      </c>
      <c r="E41" s="1442">
        <v>0</v>
      </c>
      <c r="F41" s="1442">
        <v>0</v>
      </c>
      <c r="G41" s="63">
        <v>1</v>
      </c>
      <c r="H41" s="63">
        <v>0</v>
      </c>
      <c r="I41" s="63">
        <v>0</v>
      </c>
      <c r="J41" s="63">
        <v>1</v>
      </c>
      <c r="K41" s="89"/>
      <c r="L41" s="89"/>
      <c r="M41" s="89"/>
      <c r="N41" s="89"/>
      <c r="O41" s="89"/>
      <c r="P41" s="89"/>
      <c r="Q41" s="89"/>
      <c r="R41" s="89"/>
      <c r="S41" s="89"/>
      <c r="T41" s="89"/>
      <c r="U41" s="89"/>
    </row>
    <row r="42" spans="1:21" ht="26.4" x14ac:dyDescent="0.3">
      <c r="A42" s="50" t="s">
        <v>47</v>
      </c>
      <c r="B42" s="16" t="s">
        <v>1152</v>
      </c>
      <c r="C42" s="1440" t="s">
        <v>1153</v>
      </c>
      <c r="D42" s="1442">
        <v>2015</v>
      </c>
      <c r="E42" s="1442">
        <v>0</v>
      </c>
      <c r="F42" s="1442">
        <v>0</v>
      </c>
      <c r="G42" s="63">
        <v>1</v>
      </c>
      <c r="H42" s="63">
        <v>0</v>
      </c>
      <c r="I42" s="63">
        <v>0</v>
      </c>
      <c r="J42" s="63">
        <v>1</v>
      </c>
      <c r="K42" s="89"/>
      <c r="L42" s="89"/>
      <c r="M42" s="89"/>
      <c r="N42" s="89"/>
      <c r="O42" s="89"/>
      <c r="P42" s="89"/>
      <c r="Q42" s="89"/>
      <c r="R42" s="89"/>
      <c r="S42" s="89"/>
      <c r="T42" s="89"/>
      <c r="U42" s="89"/>
    </row>
    <row r="43" spans="1:21" ht="39.6" x14ac:dyDescent="0.3">
      <c r="A43" s="50" t="s">
        <v>47</v>
      </c>
      <c r="B43" s="16" t="s">
        <v>1173</v>
      </c>
      <c r="C43" s="1440" t="s">
        <v>1174</v>
      </c>
      <c r="D43" s="1442">
        <v>2015</v>
      </c>
      <c r="E43" s="1442">
        <v>0</v>
      </c>
      <c r="F43" s="1442">
        <v>0</v>
      </c>
      <c r="G43" s="63">
        <v>1</v>
      </c>
      <c r="H43" s="63">
        <v>0</v>
      </c>
      <c r="I43" s="63">
        <v>0</v>
      </c>
      <c r="J43" s="63">
        <v>1</v>
      </c>
      <c r="K43" s="89"/>
      <c r="L43" s="89"/>
      <c r="M43" s="89"/>
      <c r="N43" s="89"/>
      <c r="O43" s="89"/>
      <c r="P43" s="89"/>
      <c r="Q43" s="89"/>
      <c r="R43" s="89"/>
      <c r="S43" s="89"/>
      <c r="T43" s="89"/>
      <c r="U43" s="89"/>
    </row>
    <row r="44" spans="1:21" ht="39.6" x14ac:dyDescent="0.3">
      <c r="A44" s="50" t="s">
        <v>47</v>
      </c>
      <c r="B44" s="16" t="s">
        <v>3135</v>
      </c>
      <c r="C44" s="1440" t="s">
        <v>3136</v>
      </c>
      <c r="D44" s="1442">
        <v>2015</v>
      </c>
      <c r="E44" s="1442">
        <v>0</v>
      </c>
      <c r="F44" s="1442">
        <v>0</v>
      </c>
      <c r="G44" s="1442">
        <v>1</v>
      </c>
      <c r="H44" s="1442">
        <v>0</v>
      </c>
      <c r="I44" s="1442">
        <v>0</v>
      </c>
      <c r="J44" s="1442">
        <v>1</v>
      </c>
      <c r="K44" s="89"/>
      <c r="L44" s="89"/>
      <c r="M44" s="89"/>
      <c r="N44" s="89"/>
      <c r="O44" s="89"/>
      <c r="P44" s="89"/>
      <c r="Q44" s="89"/>
      <c r="R44" s="89"/>
      <c r="S44" s="89"/>
      <c r="T44" s="89"/>
      <c r="U44" s="89"/>
    </row>
    <row r="45" spans="1:21" ht="52.8" x14ac:dyDescent="0.3">
      <c r="A45" s="50" t="s">
        <v>47</v>
      </c>
      <c r="B45" s="16" t="s">
        <v>1362</v>
      </c>
      <c r="C45" s="1440" t="s">
        <v>1363</v>
      </c>
      <c r="D45" s="1442">
        <v>2015</v>
      </c>
      <c r="E45" s="1442">
        <v>0</v>
      </c>
      <c r="F45" s="1442">
        <v>3</v>
      </c>
      <c r="G45" s="63">
        <v>3</v>
      </c>
      <c r="H45" s="63">
        <v>3</v>
      </c>
      <c r="I45" s="63">
        <v>3</v>
      </c>
      <c r="J45" s="63">
        <v>12</v>
      </c>
      <c r="K45" s="89"/>
      <c r="L45" s="89"/>
      <c r="M45" s="89"/>
      <c r="N45" s="89"/>
      <c r="O45" s="89"/>
      <c r="P45" s="89"/>
      <c r="Q45" s="89"/>
      <c r="R45" s="89"/>
      <c r="S45" s="89"/>
      <c r="T45" s="89"/>
      <c r="U45" s="89"/>
    </row>
    <row r="46" spans="1:21" ht="39.6" x14ac:dyDescent="0.3">
      <c r="A46" s="50" t="s">
        <v>47</v>
      </c>
      <c r="B46" s="16" t="s">
        <v>1420</v>
      </c>
      <c r="C46" s="1440" t="s">
        <v>1421</v>
      </c>
      <c r="D46" s="69" t="s">
        <v>1422</v>
      </c>
      <c r="E46" s="1442">
        <v>260</v>
      </c>
      <c r="F46" s="1442">
        <v>80</v>
      </c>
      <c r="G46" s="63">
        <v>80</v>
      </c>
      <c r="H46" s="63">
        <v>80</v>
      </c>
      <c r="I46" s="63">
        <v>80</v>
      </c>
      <c r="J46" s="63">
        <v>320</v>
      </c>
      <c r="K46" s="89"/>
      <c r="L46" s="89"/>
      <c r="M46" s="89"/>
      <c r="N46" s="89"/>
      <c r="O46" s="89"/>
      <c r="P46" s="89"/>
      <c r="Q46" s="89"/>
      <c r="R46" s="89"/>
      <c r="S46" s="89"/>
      <c r="T46" s="89"/>
      <c r="U46" s="89"/>
    </row>
    <row r="47" spans="1:21" ht="39.6" x14ac:dyDescent="0.3">
      <c r="A47" s="50" t="s">
        <v>47</v>
      </c>
      <c r="B47" s="16" t="s">
        <v>1458</v>
      </c>
      <c r="C47" s="1440" t="s">
        <v>1459</v>
      </c>
      <c r="D47" s="1442">
        <v>2015</v>
      </c>
      <c r="E47" s="1442">
        <v>0</v>
      </c>
      <c r="F47" s="1442">
        <v>0</v>
      </c>
      <c r="G47" s="63">
        <v>1</v>
      </c>
      <c r="H47" s="63">
        <v>0</v>
      </c>
      <c r="I47" s="63">
        <v>0</v>
      </c>
      <c r="J47" s="63">
        <v>1</v>
      </c>
      <c r="K47" s="89"/>
      <c r="L47" s="89"/>
      <c r="M47" s="89"/>
      <c r="N47" s="89"/>
      <c r="O47" s="89"/>
      <c r="P47" s="89"/>
      <c r="Q47" s="89"/>
      <c r="R47" s="89"/>
      <c r="S47" s="89"/>
      <c r="T47" s="89"/>
      <c r="U47" s="89"/>
    </row>
    <row r="48" spans="1:21" ht="26.4" x14ac:dyDescent="0.3">
      <c r="A48" s="50" t="s">
        <v>47</v>
      </c>
      <c r="B48" s="16" t="s">
        <v>1492</v>
      </c>
      <c r="C48" s="1440" t="s">
        <v>1493</v>
      </c>
      <c r="D48" s="1442">
        <v>2015</v>
      </c>
      <c r="E48" s="1442">
        <v>1</v>
      </c>
      <c r="F48" s="1442">
        <v>1</v>
      </c>
      <c r="G48" s="63">
        <v>1</v>
      </c>
      <c r="H48" s="63">
        <v>0</v>
      </c>
      <c r="I48" s="63">
        <v>1</v>
      </c>
      <c r="J48" s="63">
        <v>3</v>
      </c>
      <c r="K48" s="89"/>
      <c r="L48" s="89"/>
      <c r="M48" s="89"/>
      <c r="N48" s="89"/>
      <c r="O48" s="89"/>
      <c r="P48" s="89"/>
      <c r="Q48" s="89"/>
      <c r="R48" s="89"/>
      <c r="S48" s="89"/>
      <c r="T48" s="89"/>
      <c r="U48" s="89"/>
    </row>
  </sheetData>
  <customSheetViews>
    <customSheetView guid="{92B8BA5A-7984-4526-9F7A-187FF856FCAE}" hiddenColumns="1" state="hidden">
      <pane ySplit="3" topLeftCell="A4" activePane="bottomLeft" state="frozen"/>
      <selection pane="bottomLeft" activeCell="A4" sqref="A4"/>
      <pageMargins left="0" right="0" top="0" bottom="0" header="0" footer="0"/>
    </customSheetView>
  </customSheetViews>
  <mergeCells count="1">
    <mergeCell ref="O2:U2"/>
  </mergeCells>
  <dataValidations count="1">
    <dataValidation type="list" allowBlank="1" showInputMessage="1" showErrorMessage="1" sqref="A4:A48">
      <formula1>TIPO</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Y87"/>
  <sheetViews>
    <sheetView zoomScale="70" zoomScaleNormal="70" workbookViewId="0">
      <selection activeCell="J8" sqref="J8"/>
    </sheetView>
  </sheetViews>
  <sheetFormatPr baseColWidth="10" defaultColWidth="11.44140625" defaultRowHeight="14.4" x14ac:dyDescent="0.3"/>
  <cols>
    <col min="3" max="3" width="29.44140625" customWidth="1"/>
    <col min="4" max="4" width="14.88671875" customWidth="1"/>
    <col min="8" max="8" width="16.6640625" customWidth="1"/>
    <col min="9" max="9" width="13.6640625" customWidth="1"/>
    <col min="10" max="10" width="34.44140625" customWidth="1"/>
    <col min="11" max="11" width="22.88671875" customWidth="1"/>
    <col min="12" max="13" width="11.44140625" customWidth="1"/>
    <col min="14" max="17" width="18.33203125" customWidth="1"/>
    <col min="18" max="18" width="15.44140625" customWidth="1"/>
    <col min="20" max="20" width="12.44140625" customWidth="1"/>
    <col min="29" max="29" width="13.33203125" customWidth="1"/>
    <col min="38" max="38" width="13.109375" customWidth="1"/>
    <col min="47" max="47" width="13" customWidth="1"/>
    <col min="56" max="56" width="14.109375" customWidth="1"/>
    <col min="259" max="259" width="29.44140625" customWidth="1"/>
    <col min="260" max="260" width="14.88671875" customWidth="1"/>
    <col min="264" max="264" width="16.6640625" customWidth="1"/>
    <col min="265" max="265" width="13.6640625" customWidth="1"/>
    <col min="266" max="266" width="34.44140625" customWidth="1"/>
    <col min="267" max="267" width="22.88671875" customWidth="1"/>
    <col min="270" max="273" width="18.33203125" customWidth="1"/>
    <col min="274" max="274" width="15.44140625" customWidth="1"/>
    <col min="276" max="276" width="12.44140625" customWidth="1"/>
    <col min="285" max="285" width="13.33203125" customWidth="1"/>
    <col min="294" max="294" width="13.109375" customWidth="1"/>
    <col min="303" max="303" width="13" customWidth="1"/>
    <col min="312" max="312" width="14.109375" customWidth="1"/>
    <col min="515" max="515" width="29.44140625" customWidth="1"/>
    <col min="516" max="516" width="14.88671875" customWidth="1"/>
    <col min="520" max="520" width="16.6640625" customWidth="1"/>
    <col min="521" max="521" width="13.6640625" customWidth="1"/>
    <col min="522" max="522" width="34.44140625" customWidth="1"/>
    <col min="523" max="523" width="22.88671875" customWidth="1"/>
    <col min="526" max="529" width="18.33203125" customWidth="1"/>
    <col min="530" max="530" width="15.44140625" customWidth="1"/>
    <col min="532" max="532" width="12.44140625" customWidth="1"/>
    <col min="541" max="541" width="13.33203125" customWidth="1"/>
    <col min="550" max="550" width="13.109375" customWidth="1"/>
    <col min="559" max="559" width="13" customWidth="1"/>
    <col min="568" max="568" width="14.109375" customWidth="1"/>
    <col min="771" max="771" width="29.44140625" customWidth="1"/>
    <col min="772" max="772" width="14.88671875" customWidth="1"/>
    <col min="776" max="776" width="16.6640625" customWidth="1"/>
    <col min="777" max="777" width="13.6640625" customWidth="1"/>
    <col min="778" max="778" width="34.44140625" customWidth="1"/>
    <col min="779" max="779" width="22.88671875" customWidth="1"/>
    <col min="782" max="785" width="18.33203125" customWidth="1"/>
    <col min="786" max="786" width="15.44140625" customWidth="1"/>
    <col min="788" max="788" width="12.44140625" customWidth="1"/>
    <col min="797" max="797" width="13.33203125" customWidth="1"/>
    <col min="806" max="806" width="13.109375" customWidth="1"/>
    <col min="815" max="815" width="13" customWidth="1"/>
    <col min="824" max="824" width="14.109375" customWidth="1"/>
    <col min="1027" max="1027" width="29.44140625" customWidth="1"/>
    <col min="1028" max="1028" width="14.88671875" customWidth="1"/>
    <col min="1032" max="1032" width="16.6640625" customWidth="1"/>
    <col min="1033" max="1033" width="13.6640625" customWidth="1"/>
    <col min="1034" max="1034" width="34.44140625" customWidth="1"/>
    <col min="1035" max="1035" width="22.88671875" customWidth="1"/>
    <col min="1038" max="1041" width="18.33203125" customWidth="1"/>
    <col min="1042" max="1042" width="15.44140625" customWidth="1"/>
    <col min="1044" max="1044" width="12.44140625" customWidth="1"/>
    <col min="1053" max="1053" width="13.33203125" customWidth="1"/>
    <col min="1062" max="1062" width="13.109375" customWidth="1"/>
    <col min="1071" max="1071" width="13" customWidth="1"/>
    <col min="1080" max="1080" width="14.109375" customWidth="1"/>
    <col min="1283" max="1283" width="29.44140625" customWidth="1"/>
    <col min="1284" max="1284" width="14.88671875" customWidth="1"/>
    <col min="1288" max="1288" width="16.6640625" customWidth="1"/>
    <col min="1289" max="1289" width="13.6640625" customWidth="1"/>
    <col min="1290" max="1290" width="34.44140625" customWidth="1"/>
    <col min="1291" max="1291" width="22.88671875" customWidth="1"/>
    <col min="1294" max="1297" width="18.33203125" customWidth="1"/>
    <col min="1298" max="1298" width="15.44140625" customWidth="1"/>
    <col min="1300" max="1300" width="12.44140625" customWidth="1"/>
    <col min="1309" max="1309" width="13.33203125" customWidth="1"/>
    <col min="1318" max="1318" width="13.109375" customWidth="1"/>
    <col min="1327" max="1327" width="13" customWidth="1"/>
    <col min="1336" max="1336" width="14.109375" customWidth="1"/>
    <col min="1539" max="1539" width="29.44140625" customWidth="1"/>
    <col min="1540" max="1540" width="14.88671875" customWidth="1"/>
    <col min="1544" max="1544" width="16.6640625" customWidth="1"/>
    <col min="1545" max="1545" width="13.6640625" customWidth="1"/>
    <col min="1546" max="1546" width="34.44140625" customWidth="1"/>
    <col min="1547" max="1547" width="22.88671875" customWidth="1"/>
    <col min="1550" max="1553" width="18.33203125" customWidth="1"/>
    <col min="1554" max="1554" width="15.44140625" customWidth="1"/>
    <col min="1556" max="1556" width="12.44140625" customWidth="1"/>
    <col min="1565" max="1565" width="13.33203125" customWidth="1"/>
    <col min="1574" max="1574" width="13.109375" customWidth="1"/>
    <col min="1583" max="1583" width="13" customWidth="1"/>
    <col min="1592" max="1592" width="14.109375" customWidth="1"/>
    <col min="1795" max="1795" width="29.44140625" customWidth="1"/>
    <col min="1796" max="1796" width="14.88671875" customWidth="1"/>
    <col min="1800" max="1800" width="16.6640625" customWidth="1"/>
    <col min="1801" max="1801" width="13.6640625" customWidth="1"/>
    <col min="1802" max="1802" width="34.44140625" customWidth="1"/>
    <col min="1803" max="1803" width="22.88671875" customWidth="1"/>
    <col min="1806" max="1809" width="18.33203125" customWidth="1"/>
    <col min="1810" max="1810" width="15.44140625" customWidth="1"/>
    <col min="1812" max="1812" width="12.44140625" customWidth="1"/>
    <col min="1821" max="1821" width="13.33203125" customWidth="1"/>
    <col min="1830" max="1830" width="13.109375" customWidth="1"/>
    <col min="1839" max="1839" width="13" customWidth="1"/>
    <col min="1848" max="1848" width="14.109375" customWidth="1"/>
    <col min="2051" max="2051" width="29.44140625" customWidth="1"/>
    <col min="2052" max="2052" width="14.88671875" customWidth="1"/>
    <col min="2056" max="2056" width="16.6640625" customWidth="1"/>
    <col min="2057" max="2057" width="13.6640625" customWidth="1"/>
    <col min="2058" max="2058" width="34.44140625" customWidth="1"/>
    <col min="2059" max="2059" width="22.88671875" customWidth="1"/>
    <col min="2062" max="2065" width="18.33203125" customWidth="1"/>
    <col min="2066" max="2066" width="15.44140625" customWidth="1"/>
    <col min="2068" max="2068" width="12.44140625" customWidth="1"/>
    <col min="2077" max="2077" width="13.33203125" customWidth="1"/>
    <col min="2086" max="2086" width="13.109375" customWidth="1"/>
    <col min="2095" max="2095" width="13" customWidth="1"/>
    <col min="2104" max="2104" width="14.109375" customWidth="1"/>
    <col min="2307" max="2307" width="29.44140625" customWidth="1"/>
    <col min="2308" max="2308" width="14.88671875" customWidth="1"/>
    <col min="2312" max="2312" width="16.6640625" customWidth="1"/>
    <col min="2313" max="2313" width="13.6640625" customWidth="1"/>
    <col min="2314" max="2314" width="34.44140625" customWidth="1"/>
    <col min="2315" max="2315" width="22.88671875" customWidth="1"/>
    <col min="2318" max="2321" width="18.33203125" customWidth="1"/>
    <col min="2322" max="2322" width="15.44140625" customWidth="1"/>
    <col min="2324" max="2324" width="12.44140625" customWidth="1"/>
    <col min="2333" max="2333" width="13.33203125" customWidth="1"/>
    <col min="2342" max="2342" width="13.109375" customWidth="1"/>
    <col min="2351" max="2351" width="13" customWidth="1"/>
    <col min="2360" max="2360" width="14.109375" customWidth="1"/>
    <col min="2563" max="2563" width="29.44140625" customWidth="1"/>
    <col min="2564" max="2564" width="14.88671875" customWidth="1"/>
    <col min="2568" max="2568" width="16.6640625" customWidth="1"/>
    <col min="2569" max="2569" width="13.6640625" customWidth="1"/>
    <col min="2570" max="2570" width="34.44140625" customWidth="1"/>
    <col min="2571" max="2571" width="22.88671875" customWidth="1"/>
    <col min="2574" max="2577" width="18.33203125" customWidth="1"/>
    <col min="2578" max="2578" width="15.44140625" customWidth="1"/>
    <col min="2580" max="2580" width="12.44140625" customWidth="1"/>
    <col min="2589" max="2589" width="13.33203125" customWidth="1"/>
    <col min="2598" max="2598" width="13.109375" customWidth="1"/>
    <col min="2607" max="2607" width="13" customWidth="1"/>
    <col min="2616" max="2616" width="14.109375" customWidth="1"/>
    <col min="2819" max="2819" width="29.44140625" customWidth="1"/>
    <col min="2820" max="2820" width="14.88671875" customWidth="1"/>
    <col min="2824" max="2824" width="16.6640625" customWidth="1"/>
    <col min="2825" max="2825" width="13.6640625" customWidth="1"/>
    <col min="2826" max="2826" width="34.44140625" customWidth="1"/>
    <col min="2827" max="2827" width="22.88671875" customWidth="1"/>
    <col min="2830" max="2833" width="18.33203125" customWidth="1"/>
    <col min="2834" max="2834" width="15.44140625" customWidth="1"/>
    <col min="2836" max="2836" width="12.44140625" customWidth="1"/>
    <col min="2845" max="2845" width="13.33203125" customWidth="1"/>
    <col min="2854" max="2854" width="13.109375" customWidth="1"/>
    <col min="2863" max="2863" width="13" customWidth="1"/>
    <col min="2872" max="2872" width="14.109375" customWidth="1"/>
    <col min="3075" max="3075" width="29.44140625" customWidth="1"/>
    <col min="3076" max="3076" width="14.88671875" customWidth="1"/>
    <col min="3080" max="3080" width="16.6640625" customWidth="1"/>
    <col min="3081" max="3081" width="13.6640625" customWidth="1"/>
    <col min="3082" max="3082" width="34.44140625" customWidth="1"/>
    <col min="3083" max="3083" width="22.88671875" customWidth="1"/>
    <col min="3086" max="3089" width="18.33203125" customWidth="1"/>
    <col min="3090" max="3090" width="15.44140625" customWidth="1"/>
    <col min="3092" max="3092" width="12.44140625" customWidth="1"/>
    <col min="3101" max="3101" width="13.33203125" customWidth="1"/>
    <col min="3110" max="3110" width="13.109375" customWidth="1"/>
    <col min="3119" max="3119" width="13" customWidth="1"/>
    <col min="3128" max="3128" width="14.109375" customWidth="1"/>
    <col min="3331" max="3331" width="29.44140625" customWidth="1"/>
    <col min="3332" max="3332" width="14.88671875" customWidth="1"/>
    <col min="3336" max="3336" width="16.6640625" customWidth="1"/>
    <col min="3337" max="3337" width="13.6640625" customWidth="1"/>
    <col min="3338" max="3338" width="34.44140625" customWidth="1"/>
    <col min="3339" max="3339" width="22.88671875" customWidth="1"/>
    <col min="3342" max="3345" width="18.33203125" customWidth="1"/>
    <col min="3346" max="3346" width="15.44140625" customWidth="1"/>
    <col min="3348" max="3348" width="12.44140625" customWidth="1"/>
    <col min="3357" max="3357" width="13.33203125" customWidth="1"/>
    <col min="3366" max="3366" width="13.109375" customWidth="1"/>
    <col min="3375" max="3375" width="13" customWidth="1"/>
    <col min="3384" max="3384" width="14.109375" customWidth="1"/>
    <col min="3587" max="3587" width="29.44140625" customWidth="1"/>
    <col min="3588" max="3588" width="14.88671875" customWidth="1"/>
    <col min="3592" max="3592" width="16.6640625" customWidth="1"/>
    <col min="3593" max="3593" width="13.6640625" customWidth="1"/>
    <col min="3594" max="3594" width="34.44140625" customWidth="1"/>
    <col min="3595" max="3595" width="22.88671875" customWidth="1"/>
    <col min="3598" max="3601" width="18.33203125" customWidth="1"/>
    <col min="3602" max="3602" width="15.44140625" customWidth="1"/>
    <col min="3604" max="3604" width="12.44140625" customWidth="1"/>
    <col min="3613" max="3613" width="13.33203125" customWidth="1"/>
    <col min="3622" max="3622" width="13.109375" customWidth="1"/>
    <col min="3631" max="3631" width="13" customWidth="1"/>
    <col min="3640" max="3640" width="14.109375" customWidth="1"/>
    <col min="3843" max="3843" width="29.44140625" customWidth="1"/>
    <col min="3844" max="3844" width="14.88671875" customWidth="1"/>
    <col min="3848" max="3848" width="16.6640625" customWidth="1"/>
    <col min="3849" max="3849" width="13.6640625" customWidth="1"/>
    <col min="3850" max="3850" width="34.44140625" customWidth="1"/>
    <col min="3851" max="3851" width="22.88671875" customWidth="1"/>
    <col min="3854" max="3857" width="18.33203125" customWidth="1"/>
    <col min="3858" max="3858" width="15.44140625" customWidth="1"/>
    <col min="3860" max="3860" width="12.44140625" customWidth="1"/>
    <col min="3869" max="3869" width="13.33203125" customWidth="1"/>
    <col min="3878" max="3878" width="13.109375" customWidth="1"/>
    <col min="3887" max="3887" width="13" customWidth="1"/>
    <col min="3896" max="3896" width="14.109375" customWidth="1"/>
    <col min="4099" max="4099" width="29.44140625" customWidth="1"/>
    <col min="4100" max="4100" width="14.88671875" customWidth="1"/>
    <col min="4104" max="4104" width="16.6640625" customWidth="1"/>
    <col min="4105" max="4105" width="13.6640625" customWidth="1"/>
    <col min="4106" max="4106" width="34.44140625" customWidth="1"/>
    <col min="4107" max="4107" width="22.88671875" customWidth="1"/>
    <col min="4110" max="4113" width="18.33203125" customWidth="1"/>
    <col min="4114" max="4114" width="15.44140625" customWidth="1"/>
    <col min="4116" max="4116" width="12.44140625" customWidth="1"/>
    <col min="4125" max="4125" width="13.33203125" customWidth="1"/>
    <col min="4134" max="4134" width="13.109375" customWidth="1"/>
    <col min="4143" max="4143" width="13" customWidth="1"/>
    <col min="4152" max="4152" width="14.109375" customWidth="1"/>
    <col min="4355" max="4355" width="29.44140625" customWidth="1"/>
    <col min="4356" max="4356" width="14.88671875" customWidth="1"/>
    <col min="4360" max="4360" width="16.6640625" customWidth="1"/>
    <col min="4361" max="4361" width="13.6640625" customWidth="1"/>
    <col min="4362" max="4362" width="34.44140625" customWidth="1"/>
    <col min="4363" max="4363" width="22.88671875" customWidth="1"/>
    <col min="4366" max="4369" width="18.33203125" customWidth="1"/>
    <col min="4370" max="4370" width="15.44140625" customWidth="1"/>
    <col min="4372" max="4372" width="12.44140625" customWidth="1"/>
    <col min="4381" max="4381" width="13.33203125" customWidth="1"/>
    <col min="4390" max="4390" width="13.109375" customWidth="1"/>
    <col min="4399" max="4399" width="13" customWidth="1"/>
    <col min="4408" max="4408" width="14.109375" customWidth="1"/>
    <col min="4611" max="4611" width="29.44140625" customWidth="1"/>
    <col min="4612" max="4612" width="14.88671875" customWidth="1"/>
    <col min="4616" max="4616" width="16.6640625" customWidth="1"/>
    <col min="4617" max="4617" width="13.6640625" customWidth="1"/>
    <col min="4618" max="4618" width="34.44140625" customWidth="1"/>
    <col min="4619" max="4619" width="22.88671875" customWidth="1"/>
    <col min="4622" max="4625" width="18.33203125" customWidth="1"/>
    <col min="4626" max="4626" width="15.44140625" customWidth="1"/>
    <col min="4628" max="4628" width="12.44140625" customWidth="1"/>
    <col min="4637" max="4637" width="13.33203125" customWidth="1"/>
    <col min="4646" max="4646" width="13.109375" customWidth="1"/>
    <col min="4655" max="4655" width="13" customWidth="1"/>
    <col min="4664" max="4664" width="14.109375" customWidth="1"/>
    <col min="4867" max="4867" width="29.44140625" customWidth="1"/>
    <col min="4868" max="4868" width="14.88671875" customWidth="1"/>
    <col min="4872" max="4872" width="16.6640625" customWidth="1"/>
    <col min="4873" max="4873" width="13.6640625" customWidth="1"/>
    <col min="4874" max="4874" width="34.44140625" customWidth="1"/>
    <col min="4875" max="4875" width="22.88671875" customWidth="1"/>
    <col min="4878" max="4881" width="18.33203125" customWidth="1"/>
    <col min="4882" max="4882" width="15.44140625" customWidth="1"/>
    <col min="4884" max="4884" width="12.44140625" customWidth="1"/>
    <col min="4893" max="4893" width="13.33203125" customWidth="1"/>
    <col min="4902" max="4902" width="13.109375" customWidth="1"/>
    <col min="4911" max="4911" width="13" customWidth="1"/>
    <col min="4920" max="4920" width="14.109375" customWidth="1"/>
    <col min="5123" max="5123" width="29.44140625" customWidth="1"/>
    <col min="5124" max="5124" width="14.88671875" customWidth="1"/>
    <col min="5128" max="5128" width="16.6640625" customWidth="1"/>
    <col min="5129" max="5129" width="13.6640625" customWidth="1"/>
    <col min="5130" max="5130" width="34.44140625" customWidth="1"/>
    <col min="5131" max="5131" width="22.88671875" customWidth="1"/>
    <col min="5134" max="5137" width="18.33203125" customWidth="1"/>
    <col min="5138" max="5138" width="15.44140625" customWidth="1"/>
    <col min="5140" max="5140" width="12.44140625" customWidth="1"/>
    <col min="5149" max="5149" width="13.33203125" customWidth="1"/>
    <col min="5158" max="5158" width="13.109375" customWidth="1"/>
    <col min="5167" max="5167" width="13" customWidth="1"/>
    <col min="5176" max="5176" width="14.109375" customWidth="1"/>
    <col min="5379" max="5379" width="29.44140625" customWidth="1"/>
    <col min="5380" max="5380" width="14.88671875" customWidth="1"/>
    <col min="5384" max="5384" width="16.6640625" customWidth="1"/>
    <col min="5385" max="5385" width="13.6640625" customWidth="1"/>
    <col min="5386" max="5386" width="34.44140625" customWidth="1"/>
    <col min="5387" max="5387" width="22.88671875" customWidth="1"/>
    <col min="5390" max="5393" width="18.33203125" customWidth="1"/>
    <col min="5394" max="5394" width="15.44140625" customWidth="1"/>
    <col min="5396" max="5396" width="12.44140625" customWidth="1"/>
    <col min="5405" max="5405" width="13.33203125" customWidth="1"/>
    <col min="5414" max="5414" width="13.109375" customWidth="1"/>
    <col min="5423" max="5423" width="13" customWidth="1"/>
    <col min="5432" max="5432" width="14.109375" customWidth="1"/>
    <col min="5635" max="5635" width="29.44140625" customWidth="1"/>
    <col min="5636" max="5636" width="14.88671875" customWidth="1"/>
    <col min="5640" max="5640" width="16.6640625" customWidth="1"/>
    <col min="5641" max="5641" width="13.6640625" customWidth="1"/>
    <col min="5642" max="5642" width="34.44140625" customWidth="1"/>
    <col min="5643" max="5643" width="22.88671875" customWidth="1"/>
    <col min="5646" max="5649" width="18.33203125" customWidth="1"/>
    <col min="5650" max="5650" width="15.44140625" customWidth="1"/>
    <col min="5652" max="5652" width="12.44140625" customWidth="1"/>
    <col min="5661" max="5661" width="13.33203125" customWidth="1"/>
    <col min="5670" max="5670" width="13.109375" customWidth="1"/>
    <col min="5679" max="5679" width="13" customWidth="1"/>
    <col min="5688" max="5688" width="14.109375" customWidth="1"/>
    <col min="5891" max="5891" width="29.44140625" customWidth="1"/>
    <col min="5892" max="5892" width="14.88671875" customWidth="1"/>
    <col min="5896" max="5896" width="16.6640625" customWidth="1"/>
    <col min="5897" max="5897" width="13.6640625" customWidth="1"/>
    <col min="5898" max="5898" width="34.44140625" customWidth="1"/>
    <col min="5899" max="5899" width="22.88671875" customWidth="1"/>
    <col min="5902" max="5905" width="18.33203125" customWidth="1"/>
    <col min="5906" max="5906" width="15.44140625" customWidth="1"/>
    <col min="5908" max="5908" width="12.44140625" customWidth="1"/>
    <col min="5917" max="5917" width="13.33203125" customWidth="1"/>
    <col min="5926" max="5926" width="13.109375" customWidth="1"/>
    <col min="5935" max="5935" width="13" customWidth="1"/>
    <col min="5944" max="5944" width="14.109375" customWidth="1"/>
    <col min="6147" max="6147" width="29.44140625" customWidth="1"/>
    <col min="6148" max="6148" width="14.88671875" customWidth="1"/>
    <col min="6152" max="6152" width="16.6640625" customWidth="1"/>
    <col min="6153" max="6153" width="13.6640625" customWidth="1"/>
    <col min="6154" max="6154" width="34.44140625" customWidth="1"/>
    <col min="6155" max="6155" width="22.88671875" customWidth="1"/>
    <col min="6158" max="6161" width="18.33203125" customWidth="1"/>
    <col min="6162" max="6162" width="15.44140625" customWidth="1"/>
    <col min="6164" max="6164" width="12.44140625" customWidth="1"/>
    <col min="6173" max="6173" width="13.33203125" customWidth="1"/>
    <col min="6182" max="6182" width="13.109375" customWidth="1"/>
    <col min="6191" max="6191" width="13" customWidth="1"/>
    <col min="6200" max="6200" width="14.109375" customWidth="1"/>
    <col min="6403" max="6403" width="29.44140625" customWidth="1"/>
    <col min="6404" max="6404" width="14.88671875" customWidth="1"/>
    <col min="6408" max="6408" width="16.6640625" customWidth="1"/>
    <col min="6409" max="6409" width="13.6640625" customWidth="1"/>
    <col min="6410" max="6410" width="34.44140625" customWidth="1"/>
    <col min="6411" max="6411" width="22.88671875" customWidth="1"/>
    <col min="6414" max="6417" width="18.33203125" customWidth="1"/>
    <col min="6418" max="6418" width="15.44140625" customWidth="1"/>
    <col min="6420" max="6420" width="12.44140625" customWidth="1"/>
    <col min="6429" max="6429" width="13.33203125" customWidth="1"/>
    <col min="6438" max="6438" width="13.109375" customWidth="1"/>
    <col min="6447" max="6447" width="13" customWidth="1"/>
    <col min="6456" max="6456" width="14.109375" customWidth="1"/>
    <col min="6659" max="6659" width="29.44140625" customWidth="1"/>
    <col min="6660" max="6660" width="14.88671875" customWidth="1"/>
    <col min="6664" max="6664" width="16.6640625" customWidth="1"/>
    <col min="6665" max="6665" width="13.6640625" customWidth="1"/>
    <col min="6666" max="6666" width="34.44140625" customWidth="1"/>
    <col min="6667" max="6667" width="22.88671875" customWidth="1"/>
    <col min="6670" max="6673" width="18.33203125" customWidth="1"/>
    <col min="6674" max="6674" width="15.44140625" customWidth="1"/>
    <col min="6676" max="6676" width="12.44140625" customWidth="1"/>
    <col min="6685" max="6685" width="13.33203125" customWidth="1"/>
    <col min="6694" max="6694" width="13.109375" customWidth="1"/>
    <col min="6703" max="6703" width="13" customWidth="1"/>
    <col min="6712" max="6712" width="14.109375" customWidth="1"/>
    <col min="6915" max="6915" width="29.44140625" customWidth="1"/>
    <col min="6916" max="6916" width="14.88671875" customWidth="1"/>
    <col min="6920" max="6920" width="16.6640625" customWidth="1"/>
    <col min="6921" max="6921" width="13.6640625" customWidth="1"/>
    <col min="6922" max="6922" width="34.44140625" customWidth="1"/>
    <col min="6923" max="6923" width="22.88671875" customWidth="1"/>
    <col min="6926" max="6929" width="18.33203125" customWidth="1"/>
    <col min="6930" max="6930" width="15.44140625" customWidth="1"/>
    <col min="6932" max="6932" width="12.44140625" customWidth="1"/>
    <col min="6941" max="6941" width="13.33203125" customWidth="1"/>
    <col min="6950" max="6950" width="13.109375" customWidth="1"/>
    <col min="6959" max="6959" width="13" customWidth="1"/>
    <col min="6968" max="6968" width="14.109375" customWidth="1"/>
    <col min="7171" max="7171" width="29.44140625" customWidth="1"/>
    <col min="7172" max="7172" width="14.88671875" customWidth="1"/>
    <col min="7176" max="7176" width="16.6640625" customWidth="1"/>
    <col min="7177" max="7177" width="13.6640625" customWidth="1"/>
    <col min="7178" max="7178" width="34.44140625" customWidth="1"/>
    <col min="7179" max="7179" width="22.88671875" customWidth="1"/>
    <col min="7182" max="7185" width="18.33203125" customWidth="1"/>
    <col min="7186" max="7186" width="15.44140625" customWidth="1"/>
    <col min="7188" max="7188" width="12.44140625" customWidth="1"/>
    <col min="7197" max="7197" width="13.33203125" customWidth="1"/>
    <col min="7206" max="7206" width="13.109375" customWidth="1"/>
    <col min="7215" max="7215" width="13" customWidth="1"/>
    <col min="7224" max="7224" width="14.109375" customWidth="1"/>
    <col min="7427" max="7427" width="29.44140625" customWidth="1"/>
    <col min="7428" max="7428" width="14.88671875" customWidth="1"/>
    <col min="7432" max="7432" width="16.6640625" customWidth="1"/>
    <col min="7433" max="7433" width="13.6640625" customWidth="1"/>
    <col min="7434" max="7434" width="34.44140625" customWidth="1"/>
    <col min="7435" max="7435" width="22.88671875" customWidth="1"/>
    <col min="7438" max="7441" width="18.33203125" customWidth="1"/>
    <col min="7442" max="7442" width="15.44140625" customWidth="1"/>
    <col min="7444" max="7444" width="12.44140625" customWidth="1"/>
    <col min="7453" max="7453" width="13.33203125" customWidth="1"/>
    <col min="7462" max="7462" width="13.109375" customWidth="1"/>
    <col min="7471" max="7471" width="13" customWidth="1"/>
    <col min="7480" max="7480" width="14.109375" customWidth="1"/>
    <col min="7683" max="7683" width="29.44140625" customWidth="1"/>
    <col min="7684" max="7684" width="14.88671875" customWidth="1"/>
    <col min="7688" max="7688" width="16.6640625" customWidth="1"/>
    <col min="7689" max="7689" width="13.6640625" customWidth="1"/>
    <col min="7690" max="7690" width="34.44140625" customWidth="1"/>
    <col min="7691" max="7691" width="22.88671875" customWidth="1"/>
    <col min="7694" max="7697" width="18.33203125" customWidth="1"/>
    <col min="7698" max="7698" width="15.44140625" customWidth="1"/>
    <col min="7700" max="7700" width="12.44140625" customWidth="1"/>
    <col min="7709" max="7709" width="13.33203125" customWidth="1"/>
    <col min="7718" max="7718" width="13.109375" customWidth="1"/>
    <col min="7727" max="7727" width="13" customWidth="1"/>
    <col min="7736" max="7736" width="14.109375" customWidth="1"/>
    <col min="7939" max="7939" width="29.44140625" customWidth="1"/>
    <col min="7940" max="7940" width="14.88671875" customWidth="1"/>
    <col min="7944" max="7944" width="16.6640625" customWidth="1"/>
    <col min="7945" max="7945" width="13.6640625" customWidth="1"/>
    <col min="7946" max="7946" width="34.44140625" customWidth="1"/>
    <col min="7947" max="7947" width="22.88671875" customWidth="1"/>
    <col min="7950" max="7953" width="18.33203125" customWidth="1"/>
    <col min="7954" max="7954" width="15.44140625" customWidth="1"/>
    <col min="7956" max="7956" width="12.44140625" customWidth="1"/>
    <col min="7965" max="7965" width="13.33203125" customWidth="1"/>
    <col min="7974" max="7974" width="13.109375" customWidth="1"/>
    <col min="7983" max="7983" width="13" customWidth="1"/>
    <col min="7992" max="7992" width="14.109375" customWidth="1"/>
    <col min="8195" max="8195" width="29.44140625" customWidth="1"/>
    <col min="8196" max="8196" width="14.88671875" customWidth="1"/>
    <col min="8200" max="8200" width="16.6640625" customWidth="1"/>
    <col min="8201" max="8201" width="13.6640625" customWidth="1"/>
    <col min="8202" max="8202" width="34.44140625" customWidth="1"/>
    <col min="8203" max="8203" width="22.88671875" customWidth="1"/>
    <col min="8206" max="8209" width="18.33203125" customWidth="1"/>
    <col min="8210" max="8210" width="15.44140625" customWidth="1"/>
    <col min="8212" max="8212" width="12.44140625" customWidth="1"/>
    <col min="8221" max="8221" width="13.33203125" customWidth="1"/>
    <col min="8230" max="8230" width="13.109375" customWidth="1"/>
    <col min="8239" max="8239" width="13" customWidth="1"/>
    <col min="8248" max="8248" width="14.109375" customWidth="1"/>
    <col min="8451" max="8451" width="29.44140625" customWidth="1"/>
    <col min="8452" max="8452" width="14.88671875" customWidth="1"/>
    <col min="8456" max="8456" width="16.6640625" customWidth="1"/>
    <col min="8457" max="8457" width="13.6640625" customWidth="1"/>
    <col min="8458" max="8458" width="34.44140625" customWidth="1"/>
    <col min="8459" max="8459" width="22.88671875" customWidth="1"/>
    <col min="8462" max="8465" width="18.33203125" customWidth="1"/>
    <col min="8466" max="8466" width="15.44140625" customWidth="1"/>
    <col min="8468" max="8468" width="12.44140625" customWidth="1"/>
    <col min="8477" max="8477" width="13.33203125" customWidth="1"/>
    <col min="8486" max="8486" width="13.109375" customWidth="1"/>
    <col min="8495" max="8495" width="13" customWidth="1"/>
    <col min="8504" max="8504" width="14.109375" customWidth="1"/>
    <col min="8707" max="8707" width="29.44140625" customWidth="1"/>
    <col min="8708" max="8708" width="14.88671875" customWidth="1"/>
    <col min="8712" max="8712" width="16.6640625" customWidth="1"/>
    <col min="8713" max="8713" width="13.6640625" customWidth="1"/>
    <col min="8714" max="8714" width="34.44140625" customWidth="1"/>
    <col min="8715" max="8715" width="22.88671875" customWidth="1"/>
    <col min="8718" max="8721" width="18.33203125" customWidth="1"/>
    <col min="8722" max="8722" width="15.44140625" customWidth="1"/>
    <col min="8724" max="8724" width="12.44140625" customWidth="1"/>
    <col min="8733" max="8733" width="13.33203125" customWidth="1"/>
    <col min="8742" max="8742" width="13.109375" customWidth="1"/>
    <col min="8751" max="8751" width="13" customWidth="1"/>
    <col min="8760" max="8760" width="14.109375" customWidth="1"/>
    <col min="8963" max="8963" width="29.44140625" customWidth="1"/>
    <col min="8964" max="8964" width="14.88671875" customWidth="1"/>
    <col min="8968" max="8968" width="16.6640625" customWidth="1"/>
    <col min="8969" max="8969" width="13.6640625" customWidth="1"/>
    <col min="8970" max="8970" width="34.44140625" customWidth="1"/>
    <col min="8971" max="8971" width="22.88671875" customWidth="1"/>
    <col min="8974" max="8977" width="18.33203125" customWidth="1"/>
    <col min="8978" max="8978" width="15.44140625" customWidth="1"/>
    <col min="8980" max="8980" width="12.44140625" customWidth="1"/>
    <col min="8989" max="8989" width="13.33203125" customWidth="1"/>
    <col min="8998" max="8998" width="13.109375" customWidth="1"/>
    <col min="9007" max="9007" width="13" customWidth="1"/>
    <col min="9016" max="9016" width="14.109375" customWidth="1"/>
    <col min="9219" max="9219" width="29.44140625" customWidth="1"/>
    <col min="9220" max="9220" width="14.88671875" customWidth="1"/>
    <col min="9224" max="9224" width="16.6640625" customWidth="1"/>
    <col min="9225" max="9225" width="13.6640625" customWidth="1"/>
    <col min="9226" max="9226" width="34.44140625" customWidth="1"/>
    <col min="9227" max="9227" width="22.88671875" customWidth="1"/>
    <col min="9230" max="9233" width="18.33203125" customWidth="1"/>
    <col min="9234" max="9234" width="15.44140625" customWidth="1"/>
    <col min="9236" max="9236" width="12.44140625" customWidth="1"/>
    <col min="9245" max="9245" width="13.33203125" customWidth="1"/>
    <col min="9254" max="9254" width="13.109375" customWidth="1"/>
    <col min="9263" max="9263" width="13" customWidth="1"/>
    <col min="9272" max="9272" width="14.109375" customWidth="1"/>
    <col min="9475" max="9475" width="29.44140625" customWidth="1"/>
    <col min="9476" max="9476" width="14.88671875" customWidth="1"/>
    <col min="9480" max="9480" width="16.6640625" customWidth="1"/>
    <col min="9481" max="9481" width="13.6640625" customWidth="1"/>
    <col min="9482" max="9482" width="34.44140625" customWidth="1"/>
    <col min="9483" max="9483" width="22.88671875" customWidth="1"/>
    <col min="9486" max="9489" width="18.33203125" customWidth="1"/>
    <col min="9490" max="9490" width="15.44140625" customWidth="1"/>
    <col min="9492" max="9492" width="12.44140625" customWidth="1"/>
    <col min="9501" max="9501" width="13.33203125" customWidth="1"/>
    <col min="9510" max="9510" width="13.109375" customWidth="1"/>
    <col min="9519" max="9519" width="13" customWidth="1"/>
    <col min="9528" max="9528" width="14.109375" customWidth="1"/>
    <col min="9731" max="9731" width="29.44140625" customWidth="1"/>
    <col min="9732" max="9732" width="14.88671875" customWidth="1"/>
    <col min="9736" max="9736" width="16.6640625" customWidth="1"/>
    <col min="9737" max="9737" width="13.6640625" customWidth="1"/>
    <col min="9738" max="9738" width="34.44140625" customWidth="1"/>
    <col min="9739" max="9739" width="22.88671875" customWidth="1"/>
    <col min="9742" max="9745" width="18.33203125" customWidth="1"/>
    <col min="9746" max="9746" width="15.44140625" customWidth="1"/>
    <col min="9748" max="9748" width="12.44140625" customWidth="1"/>
    <col min="9757" max="9757" width="13.33203125" customWidth="1"/>
    <col min="9766" max="9766" width="13.109375" customWidth="1"/>
    <col min="9775" max="9775" width="13" customWidth="1"/>
    <col min="9784" max="9784" width="14.109375" customWidth="1"/>
    <col min="9987" max="9987" width="29.44140625" customWidth="1"/>
    <col min="9988" max="9988" width="14.88671875" customWidth="1"/>
    <col min="9992" max="9992" width="16.6640625" customWidth="1"/>
    <col min="9993" max="9993" width="13.6640625" customWidth="1"/>
    <col min="9994" max="9994" width="34.44140625" customWidth="1"/>
    <col min="9995" max="9995" width="22.88671875" customWidth="1"/>
    <col min="9998" max="10001" width="18.33203125" customWidth="1"/>
    <col min="10002" max="10002" width="15.44140625" customWidth="1"/>
    <col min="10004" max="10004" width="12.44140625" customWidth="1"/>
    <col min="10013" max="10013" width="13.33203125" customWidth="1"/>
    <col min="10022" max="10022" width="13.109375" customWidth="1"/>
    <col min="10031" max="10031" width="13" customWidth="1"/>
    <col min="10040" max="10040" width="14.109375" customWidth="1"/>
    <col min="10243" max="10243" width="29.44140625" customWidth="1"/>
    <col min="10244" max="10244" width="14.88671875" customWidth="1"/>
    <col min="10248" max="10248" width="16.6640625" customWidth="1"/>
    <col min="10249" max="10249" width="13.6640625" customWidth="1"/>
    <col min="10250" max="10250" width="34.44140625" customWidth="1"/>
    <col min="10251" max="10251" width="22.88671875" customWidth="1"/>
    <col min="10254" max="10257" width="18.33203125" customWidth="1"/>
    <col min="10258" max="10258" width="15.44140625" customWidth="1"/>
    <col min="10260" max="10260" width="12.44140625" customWidth="1"/>
    <col min="10269" max="10269" width="13.33203125" customWidth="1"/>
    <col min="10278" max="10278" width="13.109375" customWidth="1"/>
    <col min="10287" max="10287" width="13" customWidth="1"/>
    <col min="10296" max="10296" width="14.109375" customWidth="1"/>
    <col min="10499" max="10499" width="29.44140625" customWidth="1"/>
    <col min="10500" max="10500" width="14.88671875" customWidth="1"/>
    <col min="10504" max="10504" width="16.6640625" customWidth="1"/>
    <col min="10505" max="10505" width="13.6640625" customWidth="1"/>
    <col min="10506" max="10506" width="34.44140625" customWidth="1"/>
    <col min="10507" max="10507" width="22.88671875" customWidth="1"/>
    <col min="10510" max="10513" width="18.33203125" customWidth="1"/>
    <col min="10514" max="10514" width="15.44140625" customWidth="1"/>
    <col min="10516" max="10516" width="12.44140625" customWidth="1"/>
    <col min="10525" max="10525" width="13.33203125" customWidth="1"/>
    <col min="10534" max="10534" width="13.109375" customWidth="1"/>
    <col min="10543" max="10543" width="13" customWidth="1"/>
    <col min="10552" max="10552" width="14.109375" customWidth="1"/>
    <col min="10755" max="10755" width="29.44140625" customWidth="1"/>
    <col min="10756" max="10756" width="14.88671875" customWidth="1"/>
    <col min="10760" max="10760" width="16.6640625" customWidth="1"/>
    <col min="10761" max="10761" width="13.6640625" customWidth="1"/>
    <col min="10762" max="10762" width="34.44140625" customWidth="1"/>
    <col min="10763" max="10763" width="22.88671875" customWidth="1"/>
    <col min="10766" max="10769" width="18.33203125" customWidth="1"/>
    <col min="10770" max="10770" width="15.44140625" customWidth="1"/>
    <col min="10772" max="10772" width="12.44140625" customWidth="1"/>
    <col min="10781" max="10781" width="13.33203125" customWidth="1"/>
    <col min="10790" max="10790" width="13.109375" customWidth="1"/>
    <col min="10799" max="10799" width="13" customWidth="1"/>
    <col min="10808" max="10808" width="14.109375" customWidth="1"/>
    <col min="11011" max="11011" width="29.44140625" customWidth="1"/>
    <col min="11012" max="11012" width="14.88671875" customWidth="1"/>
    <col min="11016" max="11016" width="16.6640625" customWidth="1"/>
    <col min="11017" max="11017" width="13.6640625" customWidth="1"/>
    <col min="11018" max="11018" width="34.44140625" customWidth="1"/>
    <col min="11019" max="11019" width="22.88671875" customWidth="1"/>
    <col min="11022" max="11025" width="18.33203125" customWidth="1"/>
    <col min="11026" max="11026" width="15.44140625" customWidth="1"/>
    <col min="11028" max="11028" width="12.44140625" customWidth="1"/>
    <col min="11037" max="11037" width="13.33203125" customWidth="1"/>
    <col min="11046" max="11046" width="13.109375" customWidth="1"/>
    <col min="11055" max="11055" width="13" customWidth="1"/>
    <col min="11064" max="11064" width="14.109375" customWidth="1"/>
    <col min="11267" max="11267" width="29.44140625" customWidth="1"/>
    <col min="11268" max="11268" width="14.88671875" customWidth="1"/>
    <col min="11272" max="11272" width="16.6640625" customWidth="1"/>
    <col min="11273" max="11273" width="13.6640625" customWidth="1"/>
    <col min="11274" max="11274" width="34.44140625" customWidth="1"/>
    <col min="11275" max="11275" width="22.88671875" customWidth="1"/>
    <col min="11278" max="11281" width="18.33203125" customWidth="1"/>
    <col min="11282" max="11282" width="15.44140625" customWidth="1"/>
    <col min="11284" max="11284" width="12.44140625" customWidth="1"/>
    <col min="11293" max="11293" width="13.33203125" customWidth="1"/>
    <col min="11302" max="11302" width="13.109375" customWidth="1"/>
    <col min="11311" max="11311" width="13" customWidth="1"/>
    <col min="11320" max="11320" width="14.109375" customWidth="1"/>
    <col min="11523" max="11523" width="29.44140625" customWidth="1"/>
    <col min="11524" max="11524" width="14.88671875" customWidth="1"/>
    <col min="11528" max="11528" width="16.6640625" customWidth="1"/>
    <col min="11529" max="11529" width="13.6640625" customWidth="1"/>
    <col min="11530" max="11530" width="34.44140625" customWidth="1"/>
    <col min="11531" max="11531" width="22.88671875" customWidth="1"/>
    <col min="11534" max="11537" width="18.33203125" customWidth="1"/>
    <col min="11538" max="11538" width="15.44140625" customWidth="1"/>
    <col min="11540" max="11540" width="12.44140625" customWidth="1"/>
    <col min="11549" max="11549" width="13.33203125" customWidth="1"/>
    <col min="11558" max="11558" width="13.109375" customWidth="1"/>
    <col min="11567" max="11567" width="13" customWidth="1"/>
    <col min="11576" max="11576" width="14.109375" customWidth="1"/>
    <col min="11779" max="11779" width="29.44140625" customWidth="1"/>
    <col min="11780" max="11780" width="14.88671875" customWidth="1"/>
    <col min="11784" max="11784" width="16.6640625" customWidth="1"/>
    <col min="11785" max="11785" width="13.6640625" customWidth="1"/>
    <col min="11786" max="11786" width="34.44140625" customWidth="1"/>
    <col min="11787" max="11787" width="22.88671875" customWidth="1"/>
    <col min="11790" max="11793" width="18.33203125" customWidth="1"/>
    <col min="11794" max="11794" width="15.44140625" customWidth="1"/>
    <col min="11796" max="11796" width="12.44140625" customWidth="1"/>
    <col min="11805" max="11805" width="13.33203125" customWidth="1"/>
    <col min="11814" max="11814" width="13.109375" customWidth="1"/>
    <col min="11823" max="11823" width="13" customWidth="1"/>
    <col min="11832" max="11832" width="14.109375" customWidth="1"/>
    <col min="12035" max="12035" width="29.44140625" customWidth="1"/>
    <col min="12036" max="12036" width="14.88671875" customWidth="1"/>
    <col min="12040" max="12040" width="16.6640625" customWidth="1"/>
    <col min="12041" max="12041" width="13.6640625" customWidth="1"/>
    <col min="12042" max="12042" width="34.44140625" customWidth="1"/>
    <col min="12043" max="12043" width="22.88671875" customWidth="1"/>
    <col min="12046" max="12049" width="18.33203125" customWidth="1"/>
    <col min="12050" max="12050" width="15.44140625" customWidth="1"/>
    <col min="12052" max="12052" width="12.44140625" customWidth="1"/>
    <col min="12061" max="12061" width="13.33203125" customWidth="1"/>
    <col min="12070" max="12070" width="13.109375" customWidth="1"/>
    <col min="12079" max="12079" width="13" customWidth="1"/>
    <col min="12088" max="12088" width="14.109375" customWidth="1"/>
    <col min="12291" max="12291" width="29.44140625" customWidth="1"/>
    <col min="12292" max="12292" width="14.88671875" customWidth="1"/>
    <col min="12296" max="12296" width="16.6640625" customWidth="1"/>
    <col min="12297" max="12297" width="13.6640625" customWidth="1"/>
    <col min="12298" max="12298" width="34.44140625" customWidth="1"/>
    <col min="12299" max="12299" width="22.88671875" customWidth="1"/>
    <col min="12302" max="12305" width="18.33203125" customWidth="1"/>
    <col min="12306" max="12306" width="15.44140625" customWidth="1"/>
    <col min="12308" max="12308" width="12.44140625" customWidth="1"/>
    <col min="12317" max="12317" width="13.33203125" customWidth="1"/>
    <col min="12326" max="12326" width="13.109375" customWidth="1"/>
    <col min="12335" max="12335" width="13" customWidth="1"/>
    <col min="12344" max="12344" width="14.109375" customWidth="1"/>
    <col min="12547" max="12547" width="29.44140625" customWidth="1"/>
    <col min="12548" max="12548" width="14.88671875" customWidth="1"/>
    <col min="12552" max="12552" width="16.6640625" customWidth="1"/>
    <col min="12553" max="12553" width="13.6640625" customWidth="1"/>
    <col min="12554" max="12554" width="34.44140625" customWidth="1"/>
    <col min="12555" max="12555" width="22.88671875" customWidth="1"/>
    <col min="12558" max="12561" width="18.33203125" customWidth="1"/>
    <col min="12562" max="12562" width="15.44140625" customWidth="1"/>
    <col min="12564" max="12564" width="12.44140625" customWidth="1"/>
    <col min="12573" max="12573" width="13.33203125" customWidth="1"/>
    <col min="12582" max="12582" width="13.109375" customWidth="1"/>
    <col min="12591" max="12591" width="13" customWidth="1"/>
    <col min="12600" max="12600" width="14.109375" customWidth="1"/>
    <col min="12803" max="12803" width="29.44140625" customWidth="1"/>
    <col min="12804" max="12804" width="14.88671875" customWidth="1"/>
    <col min="12808" max="12808" width="16.6640625" customWidth="1"/>
    <col min="12809" max="12809" width="13.6640625" customWidth="1"/>
    <col min="12810" max="12810" width="34.44140625" customWidth="1"/>
    <col min="12811" max="12811" width="22.88671875" customWidth="1"/>
    <col min="12814" max="12817" width="18.33203125" customWidth="1"/>
    <col min="12818" max="12818" width="15.44140625" customWidth="1"/>
    <col min="12820" max="12820" width="12.44140625" customWidth="1"/>
    <col min="12829" max="12829" width="13.33203125" customWidth="1"/>
    <col min="12838" max="12838" width="13.109375" customWidth="1"/>
    <col min="12847" max="12847" width="13" customWidth="1"/>
    <col min="12856" max="12856" width="14.109375" customWidth="1"/>
    <col min="13059" max="13059" width="29.44140625" customWidth="1"/>
    <col min="13060" max="13060" width="14.88671875" customWidth="1"/>
    <col min="13064" max="13064" width="16.6640625" customWidth="1"/>
    <col min="13065" max="13065" width="13.6640625" customWidth="1"/>
    <col min="13066" max="13066" width="34.44140625" customWidth="1"/>
    <col min="13067" max="13067" width="22.88671875" customWidth="1"/>
    <col min="13070" max="13073" width="18.33203125" customWidth="1"/>
    <col min="13074" max="13074" width="15.44140625" customWidth="1"/>
    <col min="13076" max="13076" width="12.44140625" customWidth="1"/>
    <col min="13085" max="13085" width="13.33203125" customWidth="1"/>
    <col min="13094" max="13094" width="13.109375" customWidth="1"/>
    <col min="13103" max="13103" width="13" customWidth="1"/>
    <col min="13112" max="13112" width="14.109375" customWidth="1"/>
    <col min="13315" max="13315" width="29.44140625" customWidth="1"/>
    <col min="13316" max="13316" width="14.88671875" customWidth="1"/>
    <col min="13320" max="13320" width="16.6640625" customWidth="1"/>
    <col min="13321" max="13321" width="13.6640625" customWidth="1"/>
    <col min="13322" max="13322" width="34.44140625" customWidth="1"/>
    <col min="13323" max="13323" width="22.88671875" customWidth="1"/>
    <col min="13326" max="13329" width="18.33203125" customWidth="1"/>
    <col min="13330" max="13330" width="15.44140625" customWidth="1"/>
    <col min="13332" max="13332" width="12.44140625" customWidth="1"/>
    <col min="13341" max="13341" width="13.33203125" customWidth="1"/>
    <col min="13350" max="13350" width="13.109375" customWidth="1"/>
    <col min="13359" max="13359" width="13" customWidth="1"/>
    <col min="13368" max="13368" width="14.109375" customWidth="1"/>
    <col min="13571" max="13571" width="29.44140625" customWidth="1"/>
    <col min="13572" max="13572" width="14.88671875" customWidth="1"/>
    <col min="13576" max="13576" width="16.6640625" customWidth="1"/>
    <col min="13577" max="13577" width="13.6640625" customWidth="1"/>
    <col min="13578" max="13578" width="34.44140625" customWidth="1"/>
    <col min="13579" max="13579" width="22.88671875" customWidth="1"/>
    <col min="13582" max="13585" width="18.33203125" customWidth="1"/>
    <col min="13586" max="13586" width="15.44140625" customWidth="1"/>
    <col min="13588" max="13588" width="12.44140625" customWidth="1"/>
    <col min="13597" max="13597" width="13.33203125" customWidth="1"/>
    <col min="13606" max="13606" width="13.109375" customWidth="1"/>
    <col min="13615" max="13615" width="13" customWidth="1"/>
    <col min="13624" max="13624" width="14.109375" customWidth="1"/>
    <col min="13827" max="13827" width="29.44140625" customWidth="1"/>
    <col min="13828" max="13828" width="14.88671875" customWidth="1"/>
    <col min="13832" max="13832" width="16.6640625" customWidth="1"/>
    <col min="13833" max="13833" width="13.6640625" customWidth="1"/>
    <col min="13834" max="13834" width="34.44140625" customWidth="1"/>
    <col min="13835" max="13835" width="22.88671875" customWidth="1"/>
    <col min="13838" max="13841" width="18.33203125" customWidth="1"/>
    <col min="13842" max="13842" width="15.44140625" customWidth="1"/>
    <col min="13844" max="13844" width="12.44140625" customWidth="1"/>
    <col min="13853" max="13853" width="13.33203125" customWidth="1"/>
    <col min="13862" max="13862" width="13.109375" customWidth="1"/>
    <col min="13871" max="13871" width="13" customWidth="1"/>
    <col min="13880" max="13880" width="14.109375" customWidth="1"/>
    <col min="14083" max="14083" width="29.44140625" customWidth="1"/>
    <col min="14084" max="14084" width="14.88671875" customWidth="1"/>
    <col min="14088" max="14088" width="16.6640625" customWidth="1"/>
    <col min="14089" max="14089" width="13.6640625" customWidth="1"/>
    <col min="14090" max="14090" width="34.44140625" customWidth="1"/>
    <col min="14091" max="14091" width="22.88671875" customWidth="1"/>
    <col min="14094" max="14097" width="18.33203125" customWidth="1"/>
    <col min="14098" max="14098" width="15.44140625" customWidth="1"/>
    <col min="14100" max="14100" width="12.44140625" customWidth="1"/>
    <col min="14109" max="14109" width="13.33203125" customWidth="1"/>
    <col min="14118" max="14118" width="13.109375" customWidth="1"/>
    <col min="14127" max="14127" width="13" customWidth="1"/>
    <col min="14136" max="14136" width="14.109375" customWidth="1"/>
    <col min="14339" max="14339" width="29.44140625" customWidth="1"/>
    <col min="14340" max="14340" width="14.88671875" customWidth="1"/>
    <col min="14344" max="14344" width="16.6640625" customWidth="1"/>
    <col min="14345" max="14345" width="13.6640625" customWidth="1"/>
    <col min="14346" max="14346" width="34.44140625" customWidth="1"/>
    <col min="14347" max="14347" width="22.88671875" customWidth="1"/>
    <col min="14350" max="14353" width="18.33203125" customWidth="1"/>
    <col min="14354" max="14354" width="15.44140625" customWidth="1"/>
    <col min="14356" max="14356" width="12.44140625" customWidth="1"/>
    <col min="14365" max="14365" width="13.33203125" customWidth="1"/>
    <col min="14374" max="14374" width="13.109375" customWidth="1"/>
    <col min="14383" max="14383" width="13" customWidth="1"/>
    <col min="14392" max="14392" width="14.109375" customWidth="1"/>
    <col min="14595" max="14595" width="29.44140625" customWidth="1"/>
    <col min="14596" max="14596" width="14.88671875" customWidth="1"/>
    <col min="14600" max="14600" width="16.6640625" customWidth="1"/>
    <col min="14601" max="14601" width="13.6640625" customWidth="1"/>
    <col min="14602" max="14602" width="34.44140625" customWidth="1"/>
    <col min="14603" max="14603" width="22.88671875" customWidth="1"/>
    <col min="14606" max="14609" width="18.33203125" customWidth="1"/>
    <col min="14610" max="14610" width="15.44140625" customWidth="1"/>
    <col min="14612" max="14612" width="12.44140625" customWidth="1"/>
    <col min="14621" max="14621" width="13.33203125" customWidth="1"/>
    <col min="14630" max="14630" width="13.109375" customWidth="1"/>
    <col min="14639" max="14639" width="13" customWidth="1"/>
    <col min="14648" max="14648" width="14.109375" customWidth="1"/>
    <col min="14851" max="14851" width="29.44140625" customWidth="1"/>
    <col min="14852" max="14852" width="14.88671875" customWidth="1"/>
    <col min="14856" max="14856" width="16.6640625" customWidth="1"/>
    <col min="14857" max="14857" width="13.6640625" customWidth="1"/>
    <col min="14858" max="14858" width="34.44140625" customWidth="1"/>
    <col min="14859" max="14859" width="22.88671875" customWidth="1"/>
    <col min="14862" max="14865" width="18.33203125" customWidth="1"/>
    <col min="14866" max="14866" width="15.44140625" customWidth="1"/>
    <col min="14868" max="14868" width="12.44140625" customWidth="1"/>
    <col min="14877" max="14877" width="13.33203125" customWidth="1"/>
    <col min="14886" max="14886" width="13.109375" customWidth="1"/>
    <col min="14895" max="14895" width="13" customWidth="1"/>
    <col min="14904" max="14904" width="14.109375" customWidth="1"/>
    <col min="15107" max="15107" width="29.44140625" customWidth="1"/>
    <col min="15108" max="15108" width="14.88671875" customWidth="1"/>
    <col min="15112" max="15112" width="16.6640625" customWidth="1"/>
    <col min="15113" max="15113" width="13.6640625" customWidth="1"/>
    <col min="15114" max="15114" width="34.44140625" customWidth="1"/>
    <col min="15115" max="15115" width="22.88671875" customWidth="1"/>
    <col min="15118" max="15121" width="18.33203125" customWidth="1"/>
    <col min="15122" max="15122" width="15.44140625" customWidth="1"/>
    <col min="15124" max="15124" width="12.44140625" customWidth="1"/>
    <col min="15133" max="15133" width="13.33203125" customWidth="1"/>
    <col min="15142" max="15142" width="13.109375" customWidth="1"/>
    <col min="15151" max="15151" width="13" customWidth="1"/>
    <col min="15160" max="15160" width="14.109375" customWidth="1"/>
    <col min="15363" max="15363" width="29.44140625" customWidth="1"/>
    <col min="15364" max="15364" width="14.88671875" customWidth="1"/>
    <col min="15368" max="15368" width="16.6640625" customWidth="1"/>
    <col min="15369" max="15369" width="13.6640625" customWidth="1"/>
    <col min="15370" max="15370" width="34.44140625" customWidth="1"/>
    <col min="15371" max="15371" width="22.88671875" customWidth="1"/>
    <col min="15374" max="15377" width="18.33203125" customWidth="1"/>
    <col min="15378" max="15378" width="15.44140625" customWidth="1"/>
    <col min="15380" max="15380" width="12.44140625" customWidth="1"/>
    <col min="15389" max="15389" width="13.33203125" customWidth="1"/>
    <col min="15398" max="15398" width="13.109375" customWidth="1"/>
    <col min="15407" max="15407" width="13" customWidth="1"/>
    <col min="15416" max="15416" width="14.109375" customWidth="1"/>
    <col min="15619" max="15619" width="29.44140625" customWidth="1"/>
    <col min="15620" max="15620" width="14.88671875" customWidth="1"/>
    <col min="15624" max="15624" width="16.6640625" customWidth="1"/>
    <col min="15625" max="15625" width="13.6640625" customWidth="1"/>
    <col min="15626" max="15626" width="34.44140625" customWidth="1"/>
    <col min="15627" max="15627" width="22.88671875" customWidth="1"/>
    <col min="15630" max="15633" width="18.33203125" customWidth="1"/>
    <col min="15634" max="15634" width="15.44140625" customWidth="1"/>
    <col min="15636" max="15636" width="12.44140625" customWidth="1"/>
    <col min="15645" max="15645" width="13.33203125" customWidth="1"/>
    <col min="15654" max="15654" width="13.109375" customWidth="1"/>
    <col min="15663" max="15663" width="13" customWidth="1"/>
    <col min="15672" max="15672" width="14.109375" customWidth="1"/>
    <col min="15875" max="15875" width="29.44140625" customWidth="1"/>
    <col min="15876" max="15876" width="14.88671875" customWidth="1"/>
    <col min="15880" max="15880" width="16.6640625" customWidth="1"/>
    <col min="15881" max="15881" width="13.6640625" customWidth="1"/>
    <col min="15882" max="15882" width="34.44140625" customWidth="1"/>
    <col min="15883" max="15883" width="22.88671875" customWidth="1"/>
    <col min="15886" max="15889" width="18.33203125" customWidth="1"/>
    <col min="15890" max="15890" width="15.44140625" customWidth="1"/>
    <col min="15892" max="15892" width="12.44140625" customWidth="1"/>
    <col min="15901" max="15901" width="13.33203125" customWidth="1"/>
    <col min="15910" max="15910" width="13.109375" customWidth="1"/>
    <col min="15919" max="15919" width="13" customWidth="1"/>
    <col min="15928" max="15928" width="14.109375" customWidth="1"/>
    <col min="16131" max="16131" width="29.44140625" customWidth="1"/>
    <col min="16132" max="16132" width="14.88671875" customWidth="1"/>
    <col min="16136" max="16136" width="16.6640625" customWidth="1"/>
    <col min="16137" max="16137" width="13.6640625" customWidth="1"/>
    <col min="16138" max="16138" width="34.44140625" customWidth="1"/>
    <col min="16139" max="16139" width="22.88671875" customWidth="1"/>
    <col min="16142" max="16145" width="18.33203125" customWidth="1"/>
    <col min="16146" max="16146" width="15.44140625" customWidth="1"/>
    <col min="16148" max="16148" width="12.44140625" customWidth="1"/>
    <col min="16157" max="16157" width="13.33203125" customWidth="1"/>
    <col min="16166" max="16166" width="13.109375" customWidth="1"/>
    <col min="16175" max="16175" width="13" customWidth="1"/>
    <col min="16184" max="16184" width="14.109375" customWidth="1"/>
  </cols>
  <sheetData>
    <row r="2" spans="1:63" s="3" customFormat="1" ht="12.75" x14ac:dyDescent="0.2">
      <c r="A2" s="5"/>
      <c r="B2" s="5"/>
      <c r="H2" s="4"/>
      <c r="J2" s="27"/>
      <c r="K2" s="28"/>
      <c r="L2" s="4"/>
      <c r="M2" s="4"/>
      <c r="N2" s="4"/>
      <c r="O2" s="46"/>
      <c r="P2" s="46"/>
      <c r="Q2" s="46"/>
      <c r="R2" s="46"/>
      <c r="S2" s="1540" t="s">
        <v>3137</v>
      </c>
      <c r="T2" s="1540"/>
      <c r="U2" s="1540"/>
      <c r="V2" s="1540"/>
      <c r="W2" s="1540"/>
      <c r="X2" s="1540"/>
      <c r="Y2" s="1540"/>
      <c r="Z2" s="1540"/>
      <c r="AA2" s="1706"/>
      <c r="AB2" s="1707" t="s">
        <v>3138</v>
      </c>
      <c r="AC2" s="1707"/>
      <c r="AD2" s="1707"/>
      <c r="AE2" s="1707"/>
      <c r="AF2" s="1707"/>
      <c r="AG2" s="1707"/>
      <c r="AH2" s="1707"/>
      <c r="AI2" s="1707"/>
      <c r="AJ2" s="1707"/>
      <c r="AK2" s="1540" t="s">
        <v>3139</v>
      </c>
      <c r="AL2" s="1540"/>
      <c r="AM2" s="1540"/>
      <c r="AN2" s="1540"/>
      <c r="AO2" s="1540"/>
      <c r="AP2" s="1540"/>
      <c r="AQ2" s="1540"/>
      <c r="AR2" s="1540"/>
      <c r="AS2" s="1540"/>
      <c r="AT2" s="1707" t="s">
        <v>3140</v>
      </c>
      <c r="AU2" s="1707"/>
      <c r="AV2" s="1707"/>
      <c r="AW2" s="1707"/>
      <c r="AX2" s="1707"/>
      <c r="AY2" s="1707"/>
      <c r="AZ2" s="1707"/>
      <c r="BA2" s="1707"/>
      <c r="BB2" s="1707"/>
      <c r="BC2" s="1540" t="s">
        <v>3141</v>
      </c>
      <c r="BD2" s="1540"/>
      <c r="BE2" s="1540"/>
      <c r="BF2" s="1540"/>
      <c r="BG2" s="1540"/>
      <c r="BH2" s="1540"/>
      <c r="BI2" s="1540"/>
      <c r="BJ2" s="1540"/>
      <c r="BK2" s="1540"/>
    </row>
    <row r="3" spans="1:63" s="3" customFormat="1" ht="52.8" x14ac:dyDescent="0.25">
      <c r="A3" s="11" t="s">
        <v>9</v>
      </c>
      <c r="B3" s="11" t="s">
        <v>3142</v>
      </c>
      <c r="C3" s="11" t="s">
        <v>11</v>
      </c>
      <c r="D3" s="11" t="s">
        <v>12</v>
      </c>
      <c r="E3" s="11" t="s">
        <v>13</v>
      </c>
      <c r="F3" s="11" t="s">
        <v>3143</v>
      </c>
      <c r="G3" s="11" t="s">
        <v>15</v>
      </c>
      <c r="H3" s="11" t="s">
        <v>16</v>
      </c>
      <c r="I3" s="11" t="s">
        <v>17</v>
      </c>
      <c r="J3" s="11" t="s">
        <v>24</v>
      </c>
      <c r="K3" s="11" t="s">
        <v>12</v>
      </c>
      <c r="L3" s="11" t="s">
        <v>13</v>
      </c>
      <c r="M3" s="11" t="s">
        <v>3143</v>
      </c>
      <c r="N3" s="11">
        <v>2016</v>
      </c>
      <c r="O3" s="47">
        <v>2017</v>
      </c>
      <c r="P3" s="47">
        <v>2018</v>
      </c>
      <c r="Q3" s="47">
        <v>2019</v>
      </c>
      <c r="R3" s="47" t="s">
        <v>15</v>
      </c>
      <c r="S3" s="32" t="s">
        <v>25</v>
      </c>
      <c r="T3" s="76" t="s">
        <v>3144</v>
      </c>
      <c r="U3" s="32" t="s">
        <v>27</v>
      </c>
      <c r="V3" s="32" t="s">
        <v>28</v>
      </c>
      <c r="W3" s="32" t="s">
        <v>1564</v>
      </c>
      <c r="X3" s="32" t="s">
        <v>30</v>
      </c>
      <c r="Y3" s="32" t="s">
        <v>3145</v>
      </c>
      <c r="Z3" s="32" t="s">
        <v>31</v>
      </c>
      <c r="AA3" s="41" t="s">
        <v>32</v>
      </c>
      <c r="AB3" s="32" t="s">
        <v>25</v>
      </c>
      <c r="AC3" s="76" t="s">
        <v>3144</v>
      </c>
      <c r="AD3" s="32" t="s">
        <v>27</v>
      </c>
      <c r="AE3" s="32" t="s">
        <v>28</v>
      </c>
      <c r="AF3" s="32" t="s">
        <v>1564</v>
      </c>
      <c r="AG3" s="32" t="s">
        <v>30</v>
      </c>
      <c r="AH3" s="32" t="s">
        <v>3145</v>
      </c>
      <c r="AI3" s="32" t="s">
        <v>31</v>
      </c>
      <c r="AJ3" s="32" t="s">
        <v>32</v>
      </c>
      <c r="AK3" s="32" t="s">
        <v>25</v>
      </c>
      <c r="AL3" s="76" t="s">
        <v>3144</v>
      </c>
      <c r="AM3" s="32" t="s">
        <v>27</v>
      </c>
      <c r="AN3" s="32" t="s">
        <v>28</v>
      </c>
      <c r="AO3" s="32" t="s">
        <v>1564</v>
      </c>
      <c r="AP3" s="32" t="s">
        <v>30</v>
      </c>
      <c r="AQ3" s="32" t="s">
        <v>3145</v>
      </c>
      <c r="AR3" s="32" t="s">
        <v>31</v>
      </c>
      <c r="AS3" s="32" t="s">
        <v>32</v>
      </c>
      <c r="AT3" s="32" t="s">
        <v>25</v>
      </c>
      <c r="AU3" s="76" t="s">
        <v>3144</v>
      </c>
      <c r="AV3" s="32" t="s">
        <v>27</v>
      </c>
      <c r="AW3" s="32" t="s">
        <v>28</v>
      </c>
      <c r="AX3" s="32" t="s">
        <v>1564</v>
      </c>
      <c r="AY3" s="32" t="s">
        <v>30</v>
      </c>
      <c r="AZ3" s="32" t="s">
        <v>3145</v>
      </c>
      <c r="BA3" s="32" t="s">
        <v>31</v>
      </c>
      <c r="BB3" s="32" t="s">
        <v>32</v>
      </c>
      <c r="BC3" s="32" t="s">
        <v>25</v>
      </c>
      <c r="BD3" s="76" t="s">
        <v>3144</v>
      </c>
      <c r="BE3" s="32" t="s">
        <v>27</v>
      </c>
      <c r="BF3" s="32" t="s">
        <v>28</v>
      </c>
      <c r="BG3" s="32" t="s">
        <v>1564</v>
      </c>
      <c r="BH3" s="32" t="s">
        <v>30</v>
      </c>
      <c r="BI3" s="32" t="s">
        <v>3145</v>
      </c>
      <c r="BJ3" s="32" t="s">
        <v>31</v>
      </c>
      <c r="BK3" s="32" t="s">
        <v>32</v>
      </c>
    </row>
    <row r="4" spans="1:63" s="3" customFormat="1" ht="12.75" x14ac:dyDescent="0.2">
      <c r="A4" s="9" t="s">
        <v>168</v>
      </c>
      <c r="B4" s="9"/>
      <c r="C4" s="10"/>
      <c r="D4" s="10"/>
      <c r="E4" s="10"/>
      <c r="F4" s="10"/>
      <c r="G4" s="10"/>
      <c r="H4" s="10"/>
      <c r="I4" s="10"/>
      <c r="J4" s="10"/>
      <c r="K4" s="21"/>
      <c r="L4" s="10"/>
      <c r="M4" s="10"/>
      <c r="N4" s="10"/>
      <c r="O4" s="77"/>
      <c r="P4" s="77"/>
      <c r="Q4" s="77"/>
      <c r="R4" s="77"/>
      <c r="S4" s="78">
        <f>+S5+S11+S24+S27+S85</f>
        <v>219</v>
      </c>
      <c r="T4" s="78">
        <f t="shared" ref="T4:BK4" si="0">+T5+T11+T24+T27+T85</f>
        <v>386</v>
      </c>
      <c r="U4" s="78">
        <f t="shared" si="0"/>
        <v>13932</v>
      </c>
      <c r="V4" s="78">
        <f t="shared" si="0"/>
        <v>0</v>
      </c>
      <c r="W4" s="78">
        <f t="shared" si="0"/>
        <v>15290</v>
      </c>
      <c r="X4" s="78">
        <f t="shared" si="0"/>
        <v>0</v>
      </c>
      <c r="Y4" s="78">
        <f t="shared" si="0"/>
        <v>839</v>
      </c>
      <c r="Z4" s="78">
        <f t="shared" si="0"/>
        <v>1988</v>
      </c>
      <c r="AA4" s="78">
        <f t="shared" si="0"/>
        <v>32654</v>
      </c>
      <c r="AB4" s="78">
        <f t="shared" si="0"/>
        <v>229.125</v>
      </c>
      <c r="AC4" s="78">
        <f t="shared" si="0"/>
        <v>401</v>
      </c>
      <c r="AD4" s="78">
        <f t="shared" si="0"/>
        <v>14438.4</v>
      </c>
      <c r="AE4" s="78">
        <f t="shared" si="0"/>
        <v>0</v>
      </c>
      <c r="AF4" s="78">
        <f t="shared" si="0"/>
        <v>15848</v>
      </c>
      <c r="AG4" s="78">
        <f t="shared" si="0"/>
        <v>0</v>
      </c>
      <c r="AH4" s="78">
        <f t="shared" si="0"/>
        <v>870</v>
      </c>
      <c r="AI4" s="78">
        <f t="shared" si="0"/>
        <v>224.595</v>
      </c>
      <c r="AJ4" s="78">
        <f t="shared" si="0"/>
        <v>32011.120000000003</v>
      </c>
      <c r="AK4" s="78">
        <f t="shared" si="0"/>
        <v>235.46437500000002</v>
      </c>
      <c r="AL4" s="78">
        <f t="shared" si="0"/>
        <v>415</v>
      </c>
      <c r="AM4" s="78">
        <f t="shared" si="0"/>
        <v>14964.073999999999</v>
      </c>
      <c r="AN4" s="78">
        <f t="shared" si="0"/>
        <v>0</v>
      </c>
      <c r="AO4" s="78">
        <f t="shared" si="0"/>
        <v>16427</v>
      </c>
      <c r="AP4" s="78">
        <f t="shared" si="0"/>
        <v>0</v>
      </c>
      <c r="AQ4" s="78">
        <f t="shared" si="0"/>
        <v>901</v>
      </c>
      <c r="AR4" s="78">
        <f t="shared" si="0"/>
        <v>241.38582500000001</v>
      </c>
      <c r="AS4" s="78">
        <f t="shared" si="0"/>
        <v>33183.924200000001</v>
      </c>
      <c r="AT4" s="78">
        <f t="shared" si="0"/>
        <v>217.025628125</v>
      </c>
      <c r="AU4" s="78">
        <f t="shared" si="0"/>
        <v>430</v>
      </c>
      <c r="AV4" s="78">
        <f t="shared" si="0"/>
        <v>15509.06659</v>
      </c>
      <c r="AW4" s="78">
        <f t="shared" si="0"/>
        <v>0</v>
      </c>
      <c r="AX4" s="78">
        <f t="shared" si="0"/>
        <v>17026</v>
      </c>
      <c r="AY4" s="78">
        <f t="shared" si="0"/>
        <v>0</v>
      </c>
      <c r="AZ4" s="78">
        <f t="shared" si="0"/>
        <v>934</v>
      </c>
      <c r="BA4" s="78">
        <f t="shared" si="0"/>
        <v>267.20432887499999</v>
      </c>
      <c r="BB4" s="78">
        <f t="shared" si="0"/>
        <v>34895.573772000003</v>
      </c>
      <c r="BC4" s="78">
        <f t="shared" si="0"/>
        <v>900.61500312500004</v>
      </c>
      <c r="BD4" s="78">
        <f t="shared" si="0"/>
        <v>1632</v>
      </c>
      <c r="BE4" s="78">
        <f t="shared" si="0"/>
        <v>58843.540589999997</v>
      </c>
      <c r="BF4" s="78">
        <f t="shared" si="0"/>
        <v>0</v>
      </c>
      <c r="BG4" s="78">
        <f t="shared" si="0"/>
        <v>64591</v>
      </c>
      <c r="BH4" s="78">
        <f t="shared" si="0"/>
        <v>0</v>
      </c>
      <c r="BI4" s="78">
        <f t="shared" si="0"/>
        <v>3544</v>
      </c>
      <c r="BJ4" s="78">
        <f t="shared" si="0"/>
        <v>2715.0503141262498</v>
      </c>
      <c r="BK4" s="78">
        <f t="shared" si="0"/>
        <v>132226.20590725125</v>
      </c>
    </row>
    <row r="5" spans="1:63" s="3" customFormat="1" ht="12.75" x14ac:dyDescent="0.2">
      <c r="A5" s="6" t="s">
        <v>168</v>
      </c>
      <c r="B5" s="6"/>
      <c r="C5" s="79" t="s">
        <v>3146</v>
      </c>
      <c r="D5" s="1"/>
      <c r="E5" s="1"/>
      <c r="F5" s="1"/>
      <c r="G5" s="1"/>
      <c r="H5" s="1"/>
      <c r="I5" s="1"/>
      <c r="J5" s="1"/>
      <c r="K5" s="22"/>
      <c r="L5" s="1"/>
      <c r="M5" s="1"/>
      <c r="N5" s="1"/>
      <c r="O5" s="80"/>
      <c r="P5" s="80"/>
      <c r="Q5" s="80"/>
      <c r="R5" s="80"/>
      <c r="S5" s="81">
        <f>+S6</f>
        <v>166</v>
      </c>
      <c r="T5" s="81">
        <f t="shared" ref="T5:BK5" si="1">+T6</f>
        <v>0</v>
      </c>
      <c r="U5" s="81">
        <f t="shared" si="1"/>
        <v>0</v>
      </c>
      <c r="V5" s="81">
        <f t="shared" si="1"/>
        <v>0</v>
      </c>
      <c r="W5" s="81">
        <f t="shared" si="1"/>
        <v>0</v>
      </c>
      <c r="X5" s="81">
        <f t="shared" si="1"/>
        <v>0</v>
      </c>
      <c r="Y5" s="81">
        <f t="shared" si="1"/>
        <v>0</v>
      </c>
      <c r="Z5" s="81">
        <f t="shared" si="1"/>
        <v>10</v>
      </c>
      <c r="AA5" s="81">
        <f t="shared" si="1"/>
        <v>176</v>
      </c>
      <c r="AB5" s="81">
        <f t="shared" si="1"/>
        <v>171.81</v>
      </c>
      <c r="AC5" s="81">
        <f t="shared" si="1"/>
        <v>0</v>
      </c>
      <c r="AD5" s="81">
        <f t="shared" si="1"/>
        <v>0</v>
      </c>
      <c r="AE5" s="81">
        <f t="shared" si="1"/>
        <v>0</v>
      </c>
      <c r="AF5" s="81">
        <f t="shared" si="1"/>
        <v>0</v>
      </c>
      <c r="AG5" s="81">
        <f t="shared" si="1"/>
        <v>0</v>
      </c>
      <c r="AH5" s="81">
        <f t="shared" si="1"/>
        <v>0</v>
      </c>
      <c r="AI5" s="81">
        <f t="shared" si="1"/>
        <v>5</v>
      </c>
      <c r="AJ5" s="81">
        <f t="shared" si="1"/>
        <v>176.81</v>
      </c>
      <c r="AK5" s="81">
        <f t="shared" si="1"/>
        <v>177.82335</v>
      </c>
      <c r="AL5" s="81">
        <f t="shared" si="1"/>
        <v>0</v>
      </c>
      <c r="AM5" s="81">
        <f t="shared" si="1"/>
        <v>0</v>
      </c>
      <c r="AN5" s="81">
        <f t="shared" si="1"/>
        <v>0</v>
      </c>
      <c r="AO5" s="81">
        <f t="shared" si="1"/>
        <v>0</v>
      </c>
      <c r="AP5" s="81">
        <f t="shared" si="1"/>
        <v>0</v>
      </c>
      <c r="AQ5" s="81">
        <f t="shared" si="1"/>
        <v>0</v>
      </c>
      <c r="AR5" s="81">
        <f t="shared" si="1"/>
        <v>5.1749999999999998</v>
      </c>
      <c r="AS5" s="81">
        <f t="shared" si="1"/>
        <v>182.99835000000002</v>
      </c>
      <c r="AT5" s="81">
        <f t="shared" si="1"/>
        <v>184.04716725</v>
      </c>
      <c r="AU5" s="81">
        <f t="shared" si="1"/>
        <v>0</v>
      </c>
      <c r="AV5" s="81">
        <f t="shared" si="1"/>
        <v>0</v>
      </c>
      <c r="AW5" s="81">
        <f t="shared" si="1"/>
        <v>0</v>
      </c>
      <c r="AX5" s="81">
        <f t="shared" si="1"/>
        <v>0</v>
      </c>
      <c r="AY5" s="81">
        <f t="shared" si="1"/>
        <v>0</v>
      </c>
      <c r="AZ5" s="81">
        <f t="shared" si="1"/>
        <v>0</v>
      </c>
      <c r="BA5" s="81">
        <f t="shared" si="1"/>
        <v>5.3561249999999996</v>
      </c>
      <c r="BB5" s="81">
        <f t="shared" si="1"/>
        <v>699.68051725000009</v>
      </c>
      <c r="BC5" s="81">
        <f t="shared" si="1"/>
        <v>699.68051725000009</v>
      </c>
      <c r="BD5" s="81">
        <f t="shared" si="1"/>
        <v>0</v>
      </c>
      <c r="BE5" s="81">
        <f t="shared" si="1"/>
        <v>0</v>
      </c>
      <c r="BF5" s="81">
        <f t="shared" si="1"/>
        <v>0</v>
      </c>
      <c r="BG5" s="81">
        <f t="shared" si="1"/>
        <v>0</v>
      </c>
      <c r="BH5" s="81">
        <f t="shared" si="1"/>
        <v>0</v>
      </c>
      <c r="BI5" s="81">
        <f t="shared" si="1"/>
        <v>0</v>
      </c>
      <c r="BJ5" s="81">
        <f t="shared" si="1"/>
        <v>25.531124999999999</v>
      </c>
      <c r="BK5" s="81">
        <f t="shared" si="1"/>
        <v>725.21164225000007</v>
      </c>
    </row>
    <row r="6" spans="1:63" s="3" customFormat="1" ht="153" customHeight="1" x14ac:dyDescent="0.25">
      <c r="A6" s="18" t="s">
        <v>168</v>
      </c>
      <c r="B6" s="1696" t="s">
        <v>3147</v>
      </c>
      <c r="C6" s="1673" t="s">
        <v>3148</v>
      </c>
      <c r="D6" s="1653" t="s">
        <v>3149</v>
      </c>
      <c r="E6" s="1708">
        <v>2015</v>
      </c>
      <c r="F6" s="1708" t="s">
        <v>3150</v>
      </c>
      <c r="G6" s="1708" t="s">
        <v>3151</v>
      </c>
      <c r="H6" s="1438"/>
      <c r="I6" s="1438"/>
      <c r="J6" s="1439" t="s">
        <v>3152</v>
      </c>
      <c r="K6" s="1438" t="s">
        <v>3153</v>
      </c>
      <c r="L6" s="1705">
        <v>2015</v>
      </c>
      <c r="M6" s="1705" t="s">
        <v>177</v>
      </c>
      <c r="N6" s="1705" t="s">
        <v>3154</v>
      </c>
      <c r="O6" s="1705" t="s">
        <v>3155</v>
      </c>
      <c r="P6" s="1705" t="s">
        <v>3155</v>
      </c>
      <c r="Q6" s="1705" t="s">
        <v>3155</v>
      </c>
      <c r="R6" s="1705" t="s">
        <v>3154</v>
      </c>
      <c r="S6" s="1663">
        <v>166</v>
      </c>
      <c r="T6" s="1663">
        <v>0</v>
      </c>
      <c r="U6" s="1663">
        <v>0</v>
      </c>
      <c r="V6" s="1663">
        <v>0</v>
      </c>
      <c r="W6" s="1663">
        <v>0</v>
      </c>
      <c r="X6" s="1663">
        <v>0</v>
      </c>
      <c r="Y6" s="1663">
        <v>0</v>
      </c>
      <c r="Z6" s="1663">
        <v>10</v>
      </c>
      <c r="AA6" s="1663">
        <f>+Z6+Y6+X6+W6+V6+U6+T6+S6</f>
        <v>176</v>
      </c>
      <c r="AB6" s="1663">
        <f t="shared" ref="AB6:AH6" si="2">+S6*3.5%+S6</f>
        <v>171.81</v>
      </c>
      <c r="AC6" s="1663">
        <f t="shared" si="2"/>
        <v>0</v>
      </c>
      <c r="AD6" s="1663">
        <f t="shared" si="2"/>
        <v>0</v>
      </c>
      <c r="AE6" s="1663">
        <f t="shared" si="2"/>
        <v>0</v>
      </c>
      <c r="AF6" s="1663">
        <f t="shared" si="2"/>
        <v>0</v>
      </c>
      <c r="AG6" s="1663">
        <f t="shared" si="2"/>
        <v>0</v>
      </c>
      <c r="AH6" s="1663">
        <f t="shared" si="2"/>
        <v>0</v>
      </c>
      <c r="AI6" s="1663">
        <v>5</v>
      </c>
      <c r="AJ6" s="1663">
        <f>+AI6+AH6+AG6+AF6+AE6+AD6+AC6+AB6</f>
        <v>176.81</v>
      </c>
      <c r="AK6" s="1663">
        <f t="shared" ref="AK6:AR6" si="3">+AB6*3.5%+AB6</f>
        <v>177.82335</v>
      </c>
      <c r="AL6" s="1663">
        <f t="shared" si="3"/>
        <v>0</v>
      </c>
      <c r="AM6" s="1663">
        <f t="shared" si="3"/>
        <v>0</v>
      </c>
      <c r="AN6" s="1663">
        <f t="shared" si="3"/>
        <v>0</v>
      </c>
      <c r="AO6" s="1663">
        <f t="shared" si="3"/>
        <v>0</v>
      </c>
      <c r="AP6" s="1663">
        <f t="shared" si="3"/>
        <v>0</v>
      </c>
      <c r="AQ6" s="1663">
        <f t="shared" si="3"/>
        <v>0</v>
      </c>
      <c r="AR6" s="1663">
        <f t="shared" si="3"/>
        <v>5.1749999999999998</v>
      </c>
      <c r="AS6" s="1663">
        <f>+AR6+AQ6+AP6+AO6+AN6+AM6+AL6+AK6</f>
        <v>182.99835000000002</v>
      </c>
      <c r="AT6" s="1663">
        <f t="shared" ref="AT6:BA6" si="4">+AK6*3.5%+AK6</f>
        <v>184.04716725</v>
      </c>
      <c r="AU6" s="1663">
        <f t="shared" si="4"/>
        <v>0</v>
      </c>
      <c r="AV6" s="1663">
        <f t="shared" si="4"/>
        <v>0</v>
      </c>
      <c r="AW6" s="1663">
        <f t="shared" si="4"/>
        <v>0</v>
      </c>
      <c r="AX6" s="1663">
        <f t="shared" si="4"/>
        <v>0</v>
      </c>
      <c r="AY6" s="1663">
        <f t="shared" si="4"/>
        <v>0</v>
      </c>
      <c r="AZ6" s="1663">
        <f t="shared" si="4"/>
        <v>0</v>
      </c>
      <c r="BA6" s="1663">
        <f t="shared" si="4"/>
        <v>5.3561249999999996</v>
      </c>
      <c r="BB6" s="1663">
        <f>+S6+AB6+AK6+AT6</f>
        <v>699.68051725000009</v>
      </c>
      <c r="BC6" s="1663">
        <f>+S6+AB6+AK6+AT6</f>
        <v>699.68051725000009</v>
      </c>
      <c r="BD6" s="1663">
        <f t="shared" ref="BD6:BJ6" si="5">+T6+AC6+AL6+AU6</f>
        <v>0</v>
      </c>
      <c r="BE6" s="1663">
        <f t="shared" si="5"/>
        <v>0</v>
      </c>
      <c r="BF6" s="1663">
        <f t="shared" si="5"/>
        <v>0</v>
      </c>
      <c r="BG6" s="1663">
        <f t="shared" si="5"/>
        <v>0</v>
      </c>
      <c r="BH6" s="1663">
        <f t="shared" si="5"/>
        <v>0</v>
      </c>
      <c r="BI6" s="1663">
        <f t="shared" si="5"/>
        <v>0</v>
      </c>
      <c r="BJ6" s="1663">
        <f t="shared" si="5"/>
        <v>25.531124999999999</v>
      </c>
      <c r="BK6" s="1663">
        <f>+BJ6+BI6+BH6+BG6+BF6+BE6+BD6+BC6</f>
        <v>725.21164225000007</v>
      </c>
    </row>
    <row r="7" spans="1:63" s="3" customFormat="1" ht="132" x14ac:dyDescent="0.25">
      <c r="A7" s="18" t="s">
        <v>168</v>
      </c>
      <c r="B7" s="1691"/>
      <c r="C7" s="1675"/>
      <c r="D7" s="1676"/>
      <c r="E7" s="1709"/>
      <c r="F7" s="1709"/>
      <c r="G7" s="1709"/>
      <c r="H7" s="1438"/>
      <c r="I7" s="1438"/>
      <c r="J7" s="1439" t="s">
        <v>3156</v>
      </c>
      <c r="K7" s="1438" t="s">
        <v>3157</v>
      </c>
      <c r="L7" s="1694"/>
      <c r="M7" s="1694"/>
      <c r="N7" s="1694"/>
      <c r="O7" s="1694"/>
      <c r="P7" s="1694"/>
      <c r="Q7" s="1694"/>
      <c r="R7" s="1694"/>
      <c r="S7" s="1666"/>
      <c r="T7" s="1666"/>
      <c r="U7" s="1666"/>
      <c r="V7" s="1666"/>
      <c r="W7" s="1666"/>
      <c r="X7" s="1666"/>
      <c r="Y7" s="1666"/>
      <c r="Z7" s="1666"/>
      <c r="AA7" s="1666"/>
      <c r="AB7" s="1666"/>
      <c r="AC7" s="1666"/>
      <c r="AD7" s="1666"/>
      <c r="AE7" s="1666"/>
      <c r="AF7" s="1666"/>
      <c r="AG7" s="1666"/>
      <c r="AH7" s="1666"/>
      <c r="AI7" s="1666"/>
      <c r="AJ7" s="1666"/>
      <c r="AK7" s="1666"/>
      <c r="AL7" s="1666"/>
      <c r="AM7" s="1666"/>
      <c r="AN7" s="1666"/>
      <c r="AO7" s="1666"/>
      <c r="AP7" s="1666"/>
      <c r="AQ7" s="1666"/>
      <c r="AR7" s="1666"/>
      <c r="AS7" s="1666"/>
      <c r="AT7" s="1666"/>
      <c r="AU7" s="1666"/>
      <c r="AV7" s="1666"/>
      <c r="AW7" s="1666"/>
      <c r="AX7" s="1666"/>
      <c r="AY7" s="1666"/>
      <c r="AZ7" s="1666"/>
      <c r="BA7" s="1666"/>
      <c r="BB7" s="1666"/>
      <c r="BC7" s="1666"/>
      <c r="BD7" s="1666"/>
      <c r="BE7" s="1666"/>
      <c r="BF7" s="1666"/>
      <c r="BG7" s="1666"/>
      <c r="BH7" s="1666"/>
      <c r="BI7" s="1666"/>
      <c r="BJ7" s="1666"/>
      <c r="BK7" s="1666"/>
    </row>
    <row r="8" spans="1:63" s="3" customFormat="1" ht="108.75" customHeight="1" x14ac:dyDescent="0.25">
      <c r="A8" s="18" t="s">
        <v>168</v>
      </c>
      <c r="B8" s="1691"/>
      <c r="C8" s="1675"/>
      <c r="D8" s="1676"/>
      <c r="E8" s="1709"/>
      <c r="F8" s="1709"/>
      <c r="G8" s="1709"/>
      <c r="H8" s="1438"/>
      <c r="I8" s="1438"/>
      <c r="J8" s="1438" t="s">
        <v>3158</v>
      </c>
      <c r="K8" s="1438" t="s">
        <v>3159</v>
      </c>
      <c r="L8" s="1694"/>
      <c r="M8" s="1694"/>
      <c r="N8" s="1694"/>
      <c r="O8" s="1694"/>
      <c r="P8" s="1694"/>
      <c r="Q8" s="1694"/>
      <c r="R8" s="1694"/>
      <c r="S8" s="1666"/>
      <c r="T8" s="1666"/>
      <c r="U8" s="1666"/>
      <c r="V8" s="1666"/>
      <c r="W8" s="1666"/>
      <c r="X8" s="1666"/>
      <c r="Y8" s="1666"/>
      <c r="Z8" s="1666"/>
      <c r="AA8" s="1666"/>
      <c r="AB8" s="1666"/>
      <c r="AC8" s="1666"/>
      <c r="AD8" s="1666"/>
      <c r="AE8" s="1666"/>
      <c r="AF8" s="1666"/>
      <c r="AG8" s="1666"/>
      <c r="AH8" s="1666"/>
      <c r="AI8" s="1666"/>
      <c r="AJ8" s="1666"/>
      <c r="AK8" s="1666"/>
      <c r="AL8" s="1666"/>
      <c r="AM8" s="1666"/>
      <c r="AN8" s="1666"/>
      <c r="AO8" s="1666"/>
      <c r="AP8" s="1666"/>
      <c r="AQ8" s="1666"/>
      <c r="AR8" s="1666"/>
      <c r="AS8" s="1666"/>
      <c r="AT8" s="1666"/>
      <c r="AU8" s="1666"/>
      <c r="AV8" s="1666"/>
      <c r="AW8" s="1666"/>
      <c r="AX8" s="1666"/>
      <c r="AY8" s="1666"/>
      <c r="AZ8" s="1666"/>
      <c r="BA8" s="1666"/>
      <c r="BB8" s="1666"/>
      <c r="BC8" s="1666"/>
      <c r="BD8" s="1666"/>
      <c r="BE8" s="1666"/>
      <c r="BF8" s="1666"/>
      <c r="BG8" s="1666"/>
      <c r="BH8" s="1666"/>
      <c r="BI8" s="1666"/>
      <c r="BJ8" s="1666"/>
      <c r="BK8" s="1666"/>
    </row>
    <row r="9" spans="1:63" s="3" customFormat="1" ht="88.5" customHeight="1" x14ac:dyDescent="0.25">
      <c r="A9" s="18" t="s">
        <v>168</v>
      </c>
      <c r="B9" s="1691"/>
      <c r="C9" s="1675"/>
      <c r="D9" s="1676"/>
      <c r="E9" s="1709"/>
      <c r="F9" s="1709"/>
      <c r="G9" s="1709"/>
      <c r="H9" s="1438"/>
      <c r="I9" s="1438"/>
      <c r="J9" s="1438" t="s">
        <v>3160</v>
      </c>
      <c r="K9" s="1438" t="s">
        <v>3161</v>
      </c>
      <c r="L9" s="1695"/>
      <c r="M9" s="1695"/>
      <c r="N9" s="1695"/>
      <c r="O9" s="1695"/>
      <c r="P9" s="1695"/>
      <c r="Q9" s="1695"/>
      <c r="R9" s="1695"/>
      <c r="S9" s="1666"/>
      <c r="T9" s="1666"/>
      <c r="U9" s="1666"/>
      <c r="V9" s="1666"/>
      <c r="W9" s="1666"/>
      <c r="X9" s="1666"/>
      <c r="Y9" s="1666"/>
      <c r="Z9" s="1666"/>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row>
    <row r="10" spans="1:63" s="3" customFormat="1" ht="92.4" x14ac:dyDescent="0.25">
      <c r="A10" s="18" t="s">
        <v>168</v>
      </c>
      <c r="B10" s="1692"/>
      <c r="C10" s="1674"/>
      <c r="D10" s="1654"/>
      <c r="E10" s="1710"/>
      <c r="F10" s="1710"/>
      <c r="G10" s="1710"/>
      <c r="H10" s="1438"/>
      <c r="I10" s="1438"/>
      <c r="J10" s="95" t="s">
        <v>3162</v>
      </c>
      <c r="K10" s="1438" t="s">
        <v>3163</v>
      </c>
      <c r="L10" s="96">
        <v>2015</v>
      </c>
      <c r="M10" s="96" t="s">
        <v>177</v>
      </c>
      <c r="N10" s="1438" t="s">
        <v>3164</v>
      </c>
      <c r="O10" s="1438" t="s">
        <v>3164</v>
      </c>
      <c r="P10" s="1438" t="s">
        <v>3164</v>
      </c>
      <c r="Q10" s="1438" t="s">
        <v>3164</v>
      </c>
      <c r="R10" s="84"/>
      <c r="S10" s="1664"/>
      <c r="T10" s="1664"/>
      <c r="U10" s="1664"/>
      <c r="V10" s="1664"/>
      <c r="W10" s="1664"/>
      <c r="X10" s="1664"/>
      <c r="Y10" s="1664"/>
      <c r="Z10" s="1664"/>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row>
    <row r="11" spans="1:63" s="3" customFormat="1" ht="13.2" x14ac:dyDescent="0.25">
      <c r="A11" s="6" t="s">
        <v>168</v>
      </c>
      <c r="B11" s="6"/>
      <c r="C11" s="79" t="s">
        <v>3165</v>
      </c>
      <c r="D11" s="17"/>
      <c r="E11" s="1"/>
      <c r="F11" s="1"/>
      <c r="G11" s="1"/>
      <c r="H11" s="1"/>
      <c r="I11" s="1"/>
      <c r="J11" s="1"/>
      <c r="K11" s="22"/>
      <c r="L11" s="1"/>
      <c r="M11" s="1"/>
      <c r="N11" s="1"/>
      <c r="O11" s="80"/>
      <c r="P11" s="80"/>
      <c r="Q11" s="80"/>
      <c r="R11" s="80"/>
      <c r="S11" s="81">
        <f>+S12+S13+S14+S15+S16+S17+S18+S19+S20+S21+S22+S23</f>
        <v>44</v>
      </c>
      <c r="T11" s="81">
        <f t="shared" ref="T11:BK11" si="6">+T12+T13+T14+T15+T16+T17+T18+T19+T20+T21+T22+T23</f>
        <v>386</v>
      </c>
      <c r="U11" s="81">
        <f t="shared" si="6"/>
        <v>12892</v>
      </c>
      <c r="V11" s="81">
        <f t="shared" si="6"/>
        <v>0</v>
      </c>
      <c r="W11" s="81">
        <f t="shared" si="6"/>
        <v>15290</v>
      </c>
      <c r="X11" s="81">
        <f t="shared" si="6"/>
        <v>0</v>
      </c>
      <c r="Y11" s="81">
        <f t="shared" si="6"/>
        <v>839</v>
      </c>
      <c r="Z11" s="81">
        <f t="shared" si="6"/>
        <v>176</v>
      </c>
      <c r="AA11" s="81">
        <f t="shared" si="6"/>
        <v>29627</v>
      </c>
      <c r="AB11" s="81">
        <f t="shared" si="6"/>
        <v>48</v>
      </c>
      <c r="AC11" s="81">
        <f t="shared" si="6"/>
        <v>401</v>
      </c>
      <c r="AD11" s="81">
        <f t="shared" si="6"/>
        <v>13362</v>
      </c>
      <c r="AE11" s="81">
        <f t="shared" si="6"/>
        <v>0</v>
      </c>
      <c r="AF11" s="81">
        <f t="shared" si="6"/>
        <v>15848</v>
      </c>
      <c r="AG11" s="81">
        <f t="shared" si="6"/>
        <v>0</v>
      </c>
      <c r="AH11" s="81">
        <f t="shared" si="6"/>
        <v>870</v>
      </c>
      <c r="AI11" s="81">
        <f t="shared" si="6"/>
        <v>199</v>
      </c>
      <c r="AJ11" s="81">
        <f t="shared" si="6"/>
        <v>30728</v>
      </c>
      <c r="AK11" s="81">
        <f t="shared" si="6"/>
        <v>48</v>
      </c>
      <c r="AL11" s="81">
        <f t="shared" si="6"/>
        <v>415</v>
      </c>
      <c r="AM11" s="81">
        <f t="shared" si="6"/>
        <v>13850</v>
      </c>
      <c r="AN11" s="81">
        <f t="shared" si="6"/>
        <v>0</v>
      </c>
      <c r="AO11" s="81">
        <f t="shared" si="6"/>
        <v>16427</v>
      </c>
      <c r="AP11" s="81">
        <f t="shared" si="6"/>
        <v>0</v>
      </c>
      <c r="AQ11" s="81">
        <f t="shared" si="6"/>
        <v>901</v>
      </c>
      <c r="AR11" s="81">
        <f t="shared" si="6"/>
        <v>215</v>
      </c>
      <c r="AS11" s="81">
        <f t="shared" si="6"/>
        <v>31856</v>
      </c>
      <c r="AT11" s="81">
        <f t="shared" si="6"/>
        <v>23</v>
      </c>
      <c r="AU11" s="81">
        <f t="shared" si="6"/>
        <v>430</v>
      </c>
      <c r="AV11" s="81">
        <f t="shared" si="6"/>
        <v>14356</v>
      </c>
      <c r="AW11" s="81">
        <f t="shared" si="6"/>
        <v>0</v>
      </c>
      <c r="AX11" s="81">
        <f t="shared" si="6"/>
        <v>17026</v>
      </c>
      <c r="AY11" s="81">
        <f t="shared" si="6"/>
        <v>0</v>
      </c>
      <c r="AZ11" s="81">
        <f t="shared" si="6"/>
        <v>934</v>
      </c>
      <c r="BA11" s="81">
        <f t="shared" si="6"/>
        <v>243</v>
      </c>
      <c r="BB11" s="81">
        <f t="shared" si="6"/>
        <v>33012</v>
      </c>
      <c r="BC11" s="81">
        <f t="shared" si="6"/>
        <v>163</v>
      </c>
      <c r="BD11" s="81">
        <f t="shared" si="6"/>
        <v>1632</v>
      </c>
      <c r="BE11" s="81">
        <f t="shared" si="6"/>
        <v>54460</v>
      </c>
      <c r="BF11" s="81">
        <f t="shared" si="6"/>
        <v>0</v>
      </c>
      <c r="BG11" s="81">
        <f t="shared" si="6"/>
        <v>64591</v>
      </c>
      <c r="BH11" s="81">
        <f t="shared" si="6"/>
        <v>0</v>
      </c>
      <c r="BI11" s="81">
        <f t="shared" si="6"/>
        <v>3544</v>
      </c>
      <c r="BJ11" s="81">
        <f t="shared" si="6"/>
        <v>833</v>
      </c>
      <c r="BK11" s="81">
        <f t="shared" si="6"/>
        <v>125223</v>
      </c>
    </row>
    <row r="12" spans="1:63" s="3" customFormat="1" ht="66" x14ac:dyDescent="0.25">
      <c r="A12" s="82" t="s">
        <v>168</v>
      </c>
      <c r="B12" s="1696" t="s">
        <v>3166</v>
      </c>
      <c r="C12" s="1702" t="s">
        <v>3167</v>
      </c>
      <c r="D12" s="1680" t="s">
        <v>3168</v>
      </c>
      <c r="E12" s="1705">
        <v>2015</v>
      </c>
      <c r="F12" s="1693">
        <v>0.96</v>
      </c>
      <c r="G12" s="1693">
        <v>0.96</v>
      </c>
      <c r="H12" s="11" t="s">
        <v>3169</v>
      </c>
      <c r="I12" s="1696" t="s">
        <v>3170</v>
      </c>
      <c r="J12" s="95" t="s">
        <v>3171</v>
      </c>
      <c r="K12" s="95" t="s">
        <v>3172</v>
      </c>
      <c r="L12" s="11">
        <v>2015</v>
      </c>
      <c r="M12" s="11" t="s">
        <v>3173</v>
      </c>
      <c r="N12" s="83" t="s">
        <v>3174</v>
      </c>
      <c r="O12" s="83" t="s">
        <v>3174</v>
      </c>
      <c r="P12" s="83" t="s">
        <v>3174</v>
      </c>
      <c r="Q12" s="83" t="s">
        <v>3174</v>
      </c>
      <c r="R12" s="84"/>
      <c r="S12" s="85">
        <v>0</v>
      </c>
      <c r="T12" s="85">
        <v>386</v>
      </c>
      <c r="U12" s="85">
        <v>12892</v>
      </c>
      <c r="V12" s="85"/>
      <c r="W12" s="85">
        <v>15290</v>
      </c>
      <c r="X12" s="85"/>
      <c r="Y12" s="85">
        <v>839</v>
      </c>
      <c r="Z12" s="85">
        <v>111</v>
      </c>
      <c r="AA12" s="85">
        <f>+S12+T12+U12+V12+X12+W12+Y12+Z12</f>
        <v>29518</v>
      </c>
      <c r="AB12" s="85"/>
      <c r="AC12" s="85">
        <v>401</v>
      </c>
      <c r="AD12" s="85">
        <v>13362</v>
      </c>
      <c r="AE12" s="85"/>
      <c r="AF12" s="85">
        <v>15848</v>
      </c>
      <c r="AG12" s="85"/>
      <c r="AH12" s="85">
        <v>870</v>
      </c>
      <c r="AI12" s="85">
        <v>115</v>
      </c>
      <c r="AJ12" s="85">
        <f>+AB12+AC12+AD12+AE12+AG12+AF12+AH12+AI12</f>
        <v>30596</v>
      </c>
      <c r="AK12" s="85"/>
      <c r="AL12" s="85">
        <v>415</v>
      </c>
      <c r="AM12" s="85">
        <v>13850</v>
      </c>
      <c r="AN12" s="85"/>
      <c r="AO12" s="85">
        <v>16427</v>
      </c>
      <c r="AP12" s="85"/>
      <c r="AQ12" s="85">
        <v>901</v>
      </c>
      <c r="AR12" s="85">
        <v>119</v>
      </c>
      <c r="AS12" s="85">
        <f>+AK12+AL12+AM12+AN12+AP12+AO12+AQ12+AR12</f>
        <v>31712</v>
      </c>
      <c r="AT12" s="85"/>
      <c r="AU12" s="85">
        <v>430</v>
      </c>
      <c r="AV12" s="85">
        <v>14356</v>
      </c>
      <c r="AW12" s="85"/>
      <c r="AX12" s="85">
        <v>17026</v>
      </c>
      <c r="AY12" s="85"/>
      <c r="AZ12" s="85">
        <v>934</v>
      </c>
      <c r="BA12" s="85">
        <v>123</v>
      </c>
      <c r="BB12" s="85">
        <f>+AT12+AU12+AV12+AW12+AY12+AX12+AZ12+BA12</f>
        <v>32869</v>
      </c>
      <c r="BC12" s="85">
        <f t="shared" ref="BC12:BJ23" si="7">+S12+AB12+AK12+AT12</f>
        <v>0</v>
      </c>
      <c r="BD12" s="85">
        <f t="shared" si="7"/>
        <v>1632</v>
      </c>
      <c r="BE12" s="85">
        <f t="shared" si="7"/>
        <v>54460</v>
      </c>
      <c r="BF12" s="85">
        <f t="shared" si="7"/>
        <v>0</v>
      </c>
      <c r="BG12" s="85">
        <f t="shared" si="7"/>
        <v>64591</v>
      </c>
      <c r="BH12" s="85">
        <f t="shared" si="7"/>
        <v>0</v>
      </c>
      <c r="BI12" s="85">
        <f t="shared" si="7"/>
        <v>3544</v>
      </c>
      <c r="BJ12" s="85">
        <f t="shared" si="7"/>
        <v>468</v>
      </c>
      <c r="BK12" s="85">
        <f t="shared" ref="BK12:BK23" si="8">+BC12+BD12+BE12+BF12+BH12+BG12+BI12+BJ12</f>
        <v>124695</v>
      </c>
    </row>
    <row r="13" spans="1:63" s="3" customFormat="1" ht="92.4" x14ac:dyDescent="0.25">
      <c r="A13" s="82" t="s">
        <v>168</v>
      </c>
      <c r="B13" s="1691"/>
      <c r="C13" s="1694"/>
      <c r="D13" s="1681"/>
      <c r="E13" s="1694"/>
      <c r="F13" s="1694"/>
      <c r="G13" s="1694"/>
      <c r="H13" s="11" t="s">
        <v>3175</v>
      </c>
      <c r="I13" s="1691"/>
      <c r="J13" s="95" t="s">
        <v>3176</v>
      </c>
      <c r="K13" s="95" t="s">
        <v>3177</v>
      </c>
      <c r="L13" s="11">
        <v>2015</v>
      </c>
      <c r="M13" s="11" t="s">
        <v>177</v>
      </c>
      <c r="N13" s="83" t="s">
        <v>3178</v>
      </c>
      <c r="O13" s="83" t="s">
        <v>3178</v>
      </c>
      <c r="P13" s="83" t="s">
        <v>3178</v>
      </c>
      <c r="Q13" s="83" t="s">
        <v>3178</v>
      </c>
      <c r="R13" s="84"/>
      <c r="S13" s="85">
        <v>0</v>
      </c>
      <c r="T13" s="85">
        <v>0</v>
      </c>
      <c r="U13" s="85">
        <v>0</v>
      </c>
      <c r="V13" s="85">
        <v>0</v>
      </c>
      <c r="W13" s="85">
        <v>0</v>
      </c>
      <c r="X13" s="85">
        <v>0</v>
      </c>
      <c r="Y13" s="85">
        <v>0</v>
      </c>
      <c r="Z13" s="85">
        <v>0</v>
      </c>
      <c r="AA13" s="85">
        <f t="shared" ref="AA13:AA23" si="9">+S13+T13+U13+V13+X13+W13+Y13+Z13</f>
        <v>0</v>
      </c>
      <c r="AB13" s="85"/>
      <c r="AC13" s="85"/>
      <c r="AD13" s="85"/>
      <c r="AE13" s="85"/>
      <c r="AF13" s="85"/>
      <c r="AG13" s="85"/>
      <c r="AH13" s="85"/>
      <c r="AI13" s="85"/>
      <c r="AJ13" s="85">
        <f t="shared" ref="AJ13:AJ23" si="10">+AB13+AC13+AD13+AE13+AG13+AF13+AH13+AI13</f>
        <v>0</v>
      </c>
      <c r="AK13" s="85"/>
      <c r="AL13" s="85"/>
      <c r="AM13" s="85"/>
      <c r="AN13" s="85"/>
      <c r="AO13" s="85"/>
      <c r="AP13" s="85"/>
      <c r="AQ13" s="85"/>
      <c r="AR13" s="85"/>
      <c r="AS13" s="85">
        <f t="shared" ref="AS13:AS23" si="11">+AK13+AL13+AM13+AN13+AP13+AO13+AQ13+AR13</f>
        <v>0</v>
      </c>
      <c r="AT13" s="85"/>
      <c r="AU13" s="85"/>
      <c r="AV13" s="85"/>
      <c r="AW13" s="85"/>
      <c r="AX13" s="85"/>
      <c r="AY13" s="85"/>
      <c r="AZ13" s="85"/>
      <c r="BA13" s="85"/>
      <c r="BB13" s="85">
        <f t="shared" ref="BB13:BB23" si="12">+AT13+AU13+AV13+AW13+AY13+AX13+AZ13+BA13</f>
        <v>0</v>
      </c>
      <c r="BC13" s="85">
        <f t="shared" si="7"/>
        <v>0</v>
      </c>
      <c r="BD13" s="85">
        <f t="shared" si="7"/>
        <v>0</v>
      </c>
      <c r="BE13" s="85">
        <f t="shared" si="7"/>
        <v>0</v>
      </c>
      <c r="BF13" s="85">
        <f t="shared" si="7"/>
        <v>0</v>
      </c>
      <c r="BG13" s="85">
        <f t="shared" si="7"/>
        <v>0</v>
      </c>
      <c r="BH13" s="85">
        <f t="shared" si="7"/>
        <v>0</v>
      </c>
      <c r="BI13" s="85">
        <f t="shared" si="7"/>
        <v>0</v>
      </c>
      <c r="BJ13" s="85">
        <f t="shared" si="7"/>
        <v>0</v>
      </c>
      <c r="BK13" s="85">
        <f t="shared" si="8"/>
        <v>0</v>
      </c>
    </row>
    <row r="14" spans="1:63" s="3" customFormat="1" ht="92.4" x14ac:dyDescent="0.25">
      <c r="A14" s="82" t="s">
        <v>168</v>
      </c>
      <c r="B14" s="1691"/>
      <c r="C14" s="1694"/>
      <c r="D14" s="1681"/>
      <c r="E14" s="1694"/>
      <c r="F14" s="1694"/>
      <c r="G14" s="1694"/>
      <c r="H14" s="1439" t="s">
        <v>3179</v>
      </c>
      <c r="I14" s="1691"/>
      <c r="J14" s="95" t="s">
        <v>3180</v>
      </c>
      <c r="K14" s="95" t="s">
        <v>3181</v>
      </c>
      <c r="L14" s="11">
        <v>2015</v>
      </c>
      <c r="M14" s="11" t="s">
        <v>177</v>
      </c>
      <c r="N14" s="11">
        <v>2</v>
      </c>
      <c r="O14" s="84">
        <v>2</v>
      </c>
      <c r="P14" s="84">
        <v>2</v>
      </c>
      <c r="Q14" s="84">
        <v>2</v>
      </c>
      <c r="R14" s="84">
        <v>8</v>
      </c>
      <c r="S14" s="85">
        <v>5</v>
      </c>
      <c r="T14" s="85">
        <v>0</v>
      </c>
      <c r="U14" s="85">
        <v>0</v>
      </c>
      <c r="V14" s="85">
        <v>0</v>
      </c>
      <c r="W14" s="85">
        <v>0</v>
      </c>
      <c r="X14" s="85">
        <v>0</v>
      </c>
      <c r="Y14" s="85">
        <v>0</v>
      </c>
      <c r="Z14" s="85">
        <v>0</v>
      </c>
      <c r="AA14" s="85">
        <f t="shared" si="9"/>
        <v>5</v>
      </c>
      <c r="AB14" s="85">
        <v>6</v>
      </c>
      <c r="AC14" s="85">
        <v>0</v>
      </c>
      <c r="AD14" s="85">
        <v>0</v>
      </c>
      <c r="AE14" s="85">
        <v>0</v>
      </c>
      <c r="AF14" s="85">
        <v>0</v>
      </c>
      <c r="AG14" s="85">
        <v>0</v>
      </c>
      <c r="AH14" s="85">
        <v>0</v>
      </c>
      <c r="AI14" s="85">
        <v>0</v>
      </c>
      <c r="AJ14" s="85">
        <f t="shared" si="10"/>
        <v>6</v>
      </c>
      <c r="AK14" s="85">
        <v>7</v>
      </c>
      <c r="AL14" s="85">
        <v>0</v>
      </c>
      <c r="AM14" s="85">
        <v>0</v>
      </c>
      <c r="AN14" s="85">
        <v>0</v>
      </c>
      <c r="AO14" s="85">
        <v>0</v>
      </c>
      <c r="AP14" s="85">
        <v>0</v>
      </c>
      <c r="AQ14" s="85">
        <v>0</v>
      </c>
      <c r="AR14" s="85">
        <v>0</v>
      </c>
      <c r="AS14" s="85">
        <f t="shared" si="11"/>
        <v>7</v>
      </c>
      <c r="AT14" s="85">
        <v>8</v>
      </c>
      <c r="AU14" s="85">
        <v>0</v>
      </c>
      <c r="AV14" s="85">
        <v>0</v>
      </c>
      <c r="AW14" s="85">
        <v>0</v>
      </c>
      <c r="AX14" s="85">
        <v>0</v>
      </c>
      <c r="AY14" s="85">
        <v>0</v>
      </c>
      <c r="AZ14" s="85">
        <v>0</v>
      </c>
      <c r="BA14" s="85">
        <v>0</v>
      </c>
      <c r="BB14" s="85">
        <f t="shared" si="12"/>
        <v>8</v>
      </c>
      <c r="BC14" s="85">
        <f t="shared" si="7"/>
        <v>26</v>
      </c>
      <c r="BD14" s="85">
        <f t="shared" si="7"/>
        <v>0</v>
      </c>
      <c r="BE14" s="85">
        <f t="shared" si="7"/>
        <v>0</v>
      </c>
      <c r="BF14" s="85">
        <f t="shared" si="7"/>
        <v>0</v>
      </c>
      <c r="BG14" s="85">
        <f t="shared" si="7"/>
        <v>0</v>
      </c>
      <c r="BH14" s="85">
        <f t="shared" si="7"/>
        <v>0</v>
      </c>
      <c r="BI14" s="85">
        <f t="shared" si="7"/>
        <v>0</v>
      </c>
      <c r="BJ14" s="85">
        <f t="shared" si="7"/>
        <v>0</v>
      </c>
      <c r="BK14" s="85">
        <f t="shared" si="8"/>
        <v>26</v>
      </c>
    </row>
    <row r="15" spans="1:63" s="3" customFormat="1" ht="102" customHeight="1" x14ac:dyDescent="0.25">
      <c r="A15" s="82" t="s">
        <v>168</v>
      </c>
      <c r="B15" s="1691"/>
      <c r="C15" s="1694"/>
      <c r="D15" s="1681"/>
      <c r="E15" s="1694"/>
      <c r="F15" s="1694"/>
      <c r="G15" s="1694"/>
      <c r="H15" s="1697" t="s">
        <v>3182</v>
      </c>
      <c r="I15" s="1691"/>
      <c r="J15" s="95" t="s">
        <v>3183</v>
      </c>
      <c r="K15" s="1438" t="s">
        <v>3184</v>
      </c>
      <c r="L15" s="11">
        <v>2015</v>
      </c>
      <c r="M15" s="11" t="s">
        <v>177</v>
      </c>
      <c r="N15" s="86">
        <v>0.9</v>
      </c>
      <c r="O15" s="87">
        <v>0.9</v>
      </c>
      <c r="P15" s="87">
        <v>0.9</v>
      </c>
      <c r="Q15" s="87">
        <v>0.9</v>
      </c>
      <c r="R15" s="87">
        <v>0.9</v>
      </c>
      <c r="S15" s="85">
        <v>24</v>
      </c>
      <c r="T15" s="85">
        <v>0</v>
      </c>
      <c r="U15" s="85">
        <v>0</v>
      </c>
      <c r="V15" s="85">
        <v>0</v>
      </c>
      <c r="W15" s="85">
        <v>0</v>
      </c>
      <c r="X15" s="85">
        <v>0</v>
      </c>
      <c r="Y15" s="85">
        <v>0</v>
      </c>
      <c r="Z15" s="85">
        <v>0</v>
      </c>
      <c r="AA15" s="85">
        <f t="shared" si="9"/>
        <v>24</v>
      </c>
      <c r="AB15" s="85">
        <v>25</v>
      </c>
      <c r="AC15" s="85">
        <v>0</v>
      </c>
      <c r="AD15" s="85">
        <v>0</v>
      </c>
      <c r="AE15" s="85">
        <v>0</v>
      </c>
      <c r="AF15" s="85">
        <v>0</v>
      </c>
      <c r="AG15" s="85">
        <v>0</v>
      </c>
      <c r="AH15" s="85">
        <v>0</v>
      </c>
      <c r="AI15" s="85">
        <v>0</v>
      </c>
      <c r="AJ15" s="85">
        <f t="shared" si="10"/>
        <v>25</v>
      </c>
      <c r="AK15" s="85">
        <v>27</v>
      </c>
      <c r="AL15" s="85">
        <v>0</v>
      </c>
      <c r="AM15" s="85">
        <v>0</v>
      </c>
      <c r="AN15" s="85">
        <v>0</v>
      </c>
      <c r="AO15" s="85">
        <v>0</v>
      </c>
      <c r="AP15" s="85">
        <v>0</v>
      </c>
      <c r="AQ15" s="85">
        <v>0</v>
      </c>
      <c r="AR15" s="85">
        <v>0</v>
      </c>
      <c r="AS15" s="85">
        <f t="shared" si="11"/>
        <v>27</v>
      </c>
      <c r="AT15" s="85">
        <v>3</v>
      </c>
      <c r="AU15" s="85">
        <v>0</v>
      </c>
      <c r="AV15" s="85">
        <v>0</v>
      </c>
      <c r="AW15" s="85">
        <v>0</v>
      </c>
      <c r="AX15" s="85">
        <v>0</v>
      </c>
      <c r="AY15" s="85">
        <v>0</v>
      </c>
      <c r="AZ15" s="85">
        <v>0</v>
      </c>
      <c r="BA15" s="85">
        <v>0</v>
      </c>
      <c r="BB15" s="85">
        <f t="shared" si="12"/>
        <v>3</v>
      </c>
      <c r="BC15" s="85">
        <f t="shared" si="7"/>
        <v>79</v>
      </c>
      <c r="BD15" s="85">
        <f t="shared" si="7"/>
        <v>0</v>
      </c>
      <c r="BE15" s="85">
        <f t="shared" si="7"/>
        <v>0</v>
      </c>
      <c r="BF15" s="85">
        <f t="shared" si="7"/>
        <v>0</v>
      </c>
      <c r="BG15" s="85">
        <f t="shared" si="7"/>
        <v>0</v>
      </c>
      <c r="BH15" s="85">
        <f t="shared" si="7"/>
        <v>0</v>
      </c>
      <c r="BI15" s="85">
        <f t="shared" si="7"/>
        <v>0</v>
      </c>
      <c r="BJ15" s="85">
        <f t="shared" si="7"/>
        <v>0</v>
      </c>
      <c r="BK15" s="85">
        <f t="shared" si="8"/>
        <v>79</v>
      </c>
    </row>
    <row r="16" spans="1:63" s="3" customFormat="1" ht="52.8" x14ac:dyDescent="0.25">
      <c r="A16" s="82" t="s">
        <v>168</v>
      </c>
      <c r="B16" s="1691"/>
      <c r="C16" s="1694"/>
      <c r="D16" s="1681"/>
      <c r="E16" s="1694"/>
      <c r="F16" s="1694"/>
      <c r="G16" s="1694"/>
      <c r="H16" s="1698"/>
      <c r="I16" s="1691"/>
      <c r="J16" s="1438" t="s">
        <v>3185</v>
      </c>
      <c r="K16" s="1438" t="s">
        <v>3186</v>
      </c>
      <c r="L16" s="11">
        <v>2015</v>
      </c>
      <c r="M16" s="11" t="s">
        <v>177</v>
      </c>
      <c r="N16" s="11">
        <v>4</v>
      </c>
      <c r="O16" s="84">
        <v>4</v>
      </c>
      <c r="P16" s="84">
        <v>4</v>
      </c>
      <c r="Q16" s="84">
        <v>4</v>
      </c>
      <c r="R16" s="84">
        <v>16</v>
      </c>
      <c r="S16" s="85">
        <v>0</v>
      </c>
      <c r="T16" s="85">
        <v>0</v>
      </c>
      <c r="U16" s="85">
        <v>0</v>
      </c>
      <c r="V16" s="85">
        <v>0</v>
      </c>
      <c r="W16" s="85">
        <v>0</v>
      </c>
      <c r="X16" s="85">
        <v>0</v>
      </c>
      <c r="Y16" s="85">
        <v>0</v>
      </c>
      <c r="Z16" s="85">
        <v>0</v>
      </c>
      <c r="AA16" s="85">
        <f t="shared" si="9"/>
        <v>0</v>
      </c>
      <c r="AB16" s="85">
        <v>0</v>
      </c>
      <c r="AC16" s="85">
        <v>0</v>
      </c>
      <c r="AD16" s="85">
        <v>0</v>
      </c>
      <c r="AE16" s="85">
        <v>0</v>
      </c>
      <c r="AF16" s="85">
        <v>0</v>
      </c>
      <c r="AG16" s="85">
        <v>0</v>
      </c>
      <c r="AH16" s="85">
        <v>0</v>
      </c>
      <c r="AI16" s="85">
        <v>0</v>
      </c>
      <c r="AJ16" s="85">
        <f t="shared" si="10"/>
        <v>0</v>
      </c>
      <c r="AK16" s="85">
        <v>0</v>
      </c>
      <c r="AL16" s="85">
        <v>0</v>
      </c>
      <c r="AM16" s="85">
        <v>0</v>
      </c>
      <c r="AN16" s="85">
        <v>0</v>
      </c>
      <c r="AO16" s="85">
        <v>0</v>
      </c>
      <c r="AP16" s="85">
        <v>0</v>
      </c>
      <c r="AQ16" s="85">
        <v>0</v>
      </c>
      <c r="AR16" s="85">
        <v>0</v>
      </c>
      <c r="AS16" s="85">
        <f t="shared" si="11"/>
        <v>0</v>
      </c>
      <c r="AT16" s="85">
        <v>0</v>
      </c>
      <c r="AU16" s="85">
        <v>0</v>
      </c>
      <c r="AV16" s="85">
        <v>0</v>
      </c>
      <c r="AW16" s="85">
        <v>0</v>
      </c>
      <c r="AX16" s="85">
        <v>0</v>
      </c>
      <c r="AY16" s="85">
        <v>0</v>
      </c>
      <c r="AZ16" s="85">
        <v>0</v>
      </c>
      <c r="BA16" s="85">
        <v>0</v>
      </c>
      <c r="BB16" s="85">
        <f t="shared" si="12"/>
        <v>0</v>
      </c>
      <c r="BC16" s="85">
        <f t="shared" si="7"/>
        <v>0</v>
      </c>
      <c r="BD16" s="85">
        <f t="shared" si="7"/>
        <v>0</v>
      </c>
      <c r="BE16" s="85">
        <f t="shared" si="7"/>
        <v>0</v>
      </c>
      <c r="BF16" s="85">
        <f t="shared" si="7"/>
        <v>0</v>
      </c>
      <c r="BG16" s="85">
        <f t="shared" si="7"/>
        <v>0</v>
      </c>
      <c r="BH16" s="85">
        <f t="shared" si="7"/>
        <v>0</v>
      </c>
      <c r="BI16" s="85">
        <f t="shared" si="7"/>
        <v>0</v>
      </c>
      <c r="BJ16" s="85">
        <f t="shared" si="7"/>
        <v>0</v>
      </c>
      <c r="BK16" s="85">
        <f t="shared" si="8"/>
        <v>0</v>
      </c>
    </row>
    <row r="17" spans="1:77" s="3" customFormat="1" ht="52.8" x14ac:dyDescent="0.25">
      <c r="A17" s="82"/>
      <c r="B17" s="1691"/>
      <c r="C17" s="1694"/>
      <c r="D17" s="1681"/>
      <c r="E17" s="1694"/>
      <c r="F17" s="1694"/>
      <c r="G17" s="1694"/>
      <c r="H17" s="1699"/>
      <c r="I17" s="1691"/>
      <c r="J17" s="95" t="s">
        <v>3187</v>
      </c>
      <c r="K17" s="1438" t="s">
        <v>3188</v>
      </c>
      <c r="L17" s="11">
        <v>2015</v>
      </c>
      <c r="M17" s="11">
        <v>2253</v>
      </c>
      <c r="N17" s="86">
        <v>0.2</v>
      </c>
      <c r="O17" s="87">
        <v>0.25</v>
      </c>
      <c r="P17" s="87">
        <v>0.25</v>
      </c>
      <c r="Q17" s="87">
        <v>0.2</v>
      </c>
      <c r="R17" s="87">
        <v>0.9</v>
      </c>
      <c r="S17" s="85">
        <v>15</v>
      </c>
      <c r="T17" s="85">
        <v>0</v>
      </c>
      <c r="U17" s="85">
        <v>0</v>
      </c>
      <c r="V17" s="85">
        <v>0</v>
      </c>
      <c r="W17" s="85">
        <v>0</v>
      </c>
      <c r="X17" s="85">
        <v>0</v>
      </c>
      <c r="Y17" s="85">
        <v>0</v>
      </c>
      <c r="Z17" s="85">
        <v>0</v>
      </c>
      <c r="AA17" s="85">
        <f t="shared" si="9"/>
        <v>15</v>
      </c>
      <c r="AB17" s="85">
        <v>17</v>
      </c>
      <c r="AC17" s="85">
        <v>0</v>
      </c>
      <c r="AD17" s="85">
        <v>0</v>
      </c>
      <c r="AE17" s="85">
        <v>0</v>
      </c>
      <c r="AF17" s="85">
        <v>0</v>
      </c>
      <c r="AG17" s="85">
        <v>0</v>
      </c>
      <c r="AH17" s="85">
        <v>0</v>
      </c>
      <c r="AI17" s="85">
        <v>0</v>
      </c>
      <c r="AJ17" s="85">
        <f t="shared" si="10"/>
        <v>17</v>
      </c>
      <c r="AK17" s="85">
        <v>14</v>
      </c>
      <c r="AL17" s="85">
        <v>0</v>
      </c>
      <c r="AM17" s="85">
        <v>0</v>
      </c>
      <c r="AN17" s="85">
        <v>0</v>
      </c>
      <c r="AO17" s="85">
        <v>0</v>
      </c>
      <c r="AP17" s="85">
        <v>0</v>
      </c>
      <c r="AQ17" s="85">
        <v>0</v>
      </c>
      <c r="AR17" s="85">
        <v>0</v>
      </c>
      <c r="AS17" s="85">
        <f t="shared" si="11"/>
        <v>14</v>
      </c>
      <c r="AT17" s="85">
        <v>12</v>
      </c>
      <c r="AU17" s="85">
        <v>0</v>
      </c>
      <c r="AV17" s="85">
        <v>0</v>
      </c>
      <c r="AW17" s="85">
        <v>0</v>
      </c>
      <c r="AX17" s="85">
        <v>0</v>
      </c>
      <c r="AY17" s="85">
        <v>0</v>
      </c>
      <c r="AZ17" s="85">
        <v>0</v>
      </c>
      <c r="BA17" s="85">
        <v>0</v>
      </c>
      <c r="BB17" s="85">
        <f t="shared" si="12"/>
        <v>12</v>
      </c>
      <c r="BC17" s="85">
        <f t="shared" si="7"/>
        <v>58</v>
      </c>
      <c r="BD17" s="85">
        <f t="shared" si="7"/>
        <v>0</v>
      </c>
      <c r="BE17" s="85">
        <f t="shared" si="7"/>
        <v>0</v>
      </c>
      <c r="BF17" s="85">
        <f t="shared" si="7"/>
        <v>0</v>
      </c>
      <c r="BG17" s="85">
        <f t="shared" si="7"/>
        <v>0</v>
      </c>
      <c r="BH17" s="85">
        <f t="shared" si="7"/>
        <v>0</v>
      </c>
      <c r="BI17" s="85">
        <f t="shared" si="7"/>
        <v>0</v>
      </c>
      <c r="BJ17" s="85">
        <f t="shared" si="7"/>
        <v>0</v>
      </c>
      <c r="BK17" s="85">
        <f t="shared" si="8"/>
        <v>58</v>
      </c>
    </row>
    <row r="18" spans="1:77" s="3" customFormat="1" ht="79.2" x14ac:dyDescent="0.25">
      <c r="A18" s="82"/>
      <c r="B18" s="1691"/>
      <c r="C18" s="1694"/>
      <c r="D18" s="1681"/>
      <c r="E18" s="1694"/>
      <c r="F18" s="1694"/>
      <c r="G18" s="1694"/>
      <c r="H18" s="1700" t="s">
        <v>3189</v>
      </c>
      <c r="I18" s="1691"/>
      <c r="J18" s="1438" t="s">
        <v>3190</v>
      </c>
      <c r="K18" s="1438" t="s">
        <v>3191</v>
      </c>
      <c r="L18" s="11">
        <v>2015</v>
      </c>
      <c r="M18" s="11">
        <v>1</v>
      </c>
      <c r="N18" s="11">
        <v>1</v>
      </c>
      <c r="O18" s="84">
        <v>1</v>
      </c>
      <c r="P18" s="84">
        <v>1</v>
      </c>
      <c r="Q18" s="84">
        <v>1</v>
      </c>
      <c r="R18" s="84">
        <v>1</v>
      </c>
      <c r="S18" s="85">
        <v>0</v>
      </c>
      <c r="T18" s="85">
        <v>0</v>
      </c>
      <c r="U18" s="85">
        <v>0</v>
      </c>
      <c r="V18" s="85">
        <v>0</v>
      </c>
      <c r="W18" s="85">
        <v>0</v>
      </c>
      <c r="X18" s="85">
        <v>0</v>
      </c>
      <c r="Y18" s="85">
        <v>0</v>
      </c>
      <c r="Z18" s="85">
        <v>65</v>
      </c>
      <c r="AA18" s="85">
        <f t="shared" si="9"/>
        <v>65</v>
      </c>
      <c r="AB18" s="85">
        <v>0</v>
      </c>
      <c r="AC18" s="85">
        <v>0</v>
      </c>
      <c r="AD18" s="85">
        <v>0</v>
      </c>
      <c r="AE18" s="85">
        <v>0</v>
      </c>
      <c r="AF18" s="85">
        <v>0</v>
      </c>
      <c r="AG18" s="85">
        <v>0</v>
      </c>
      <c r="AH18" s="85">
        <v>0</v>
      </c>
      <c r="AI18" s="85">
        <v>84</v>
      </c>
      <c r="AJ18" s="85">
        <f t="shared" si="10"/>
        <v>84</v>
      </c>
      <c r="AK18" s="85">
        <v>0</v>
      </c>
      <c r="AL18" s="85">
        <v>0</v>
      </c>
      <c r="AM18" s="85">
        <v>0</v>
      </c>
      <c r="AN18" s="85">
        <v>0</v>
      </c>
      <c r="AO18" s="85">
        <v>0</v>
      </c>
      <c r="AP18" s="85">
        <v>0</v>
      </c>
      <c r="AQ18" s="85">
        <v>0</v>
      </c>
      <c r="AR18" s="85">
        <v>96</v>
      </c>
      <c r="AS18" s="85">
        <f t="shared" si="11"/>
        <v>96</v>
      </c>
      <c r="AT18" s="85">
        <v>0</v>
      </c>
      <c r="AU18" s="85">
        <v>0</v>
      </c>
      <c r="AV18" s="85">
        <v>0</v>
      </c>
      <c r="AW18" s="85">
        <v>0</v>
      </c>
      <c r="AX18" s="85">
        <v>0</v>
      </c>
      <c r="AY18" s="85">
        <v>0</v>
      </c>
      <c r="AZ18" s="85">
        <v>0</v>
      </c>
      <c r="BA18" s="85">
        <v>120</v>
      </c>
      <c r="BB18" s="85">
        <f t="shared" si="12"/>
        <v>120</v>
      </c>
      <c r="BC18" s="85">
        <f t="shared" si="7"/>
        <v>0</v>
      </c>
      <c r="BD18" s="85">
        <f t="shared" si="7"/>
        <v>0</v>
      </c>
      <c r="BE18" s="85">
        <f t="shared" si="7"/>
        <v>0</v>
      </c>
      <c r="BF18" s="85">
        <f t="shared" si="7"/>
        <v>0</v>
      </c>
      <c r="BG18" s="85">
        <f t="shared" si="7"/>
        <v>0</v>
      </c>
      <c r="BH18" s="85">
        <f t="shared" si="7"/>
        <v>0</v>
      </c>
      <c r="BI18" s="85">
        <f t="shared" si="7"/>
        <v>0</v>
      </c>
      <c r="BJ18" s="85">
        <f t="shared" si="7"/>
        <v>365</v>
      </c>
      <c r="BK18" s="85">
        <f t="shared" si="8"/>
        <v>365</v>
      </c>
    </row>
    <row r="19" spans="1:77" s="3" customFormat="1" ht="52.8" x14ac:dyDescent="0.25">
      <c r="A19" s="82"/>
      <c r="B19" s="1691"/>
      <c r="C19" s="1694"/>
      <c r="D19" s="1681"/>
      <c r="E19" s="1694"/>
      <c r="F19" s="1694"/>
      <c r="G19" s="1694"/>
      <c r="H19" s="1701"/>
      <c r="I19" s="1691"/>
      <c r="J19" s="1439" t="s">
        <v>3192</v>
      </c>
      <c r="K19" s="1438" t="s">
        <v>3193</v>
      </c>
      <c r="L19" s="11">
        <v>2015</v>
      </c>
      <c r="M19" s="11" t="s">
        <v>3194</v>
      </c>
      <c r="N19" s="11">
        <v>7</v>
      </c>
      <c r="O19" s="84">
        <v>7</v>
      </c>
      <c r="P19" s="84">
        <v>7</v>
      </c>
      <c r="Q19" s="84">
        <v>7</v>
      </c>
      <c r="R19" s="84">
        <v>28</v>
      </c>
      <c r="S19" s="85">
        <v>0</v>
      </c>
      <c r="T19" s="85">
        <v>0</v>
      </c>
      <c r="U19" s="85">
        <v>0</v>
      </c>
      <c r="V19" s="85">
        <v>0</v>
      </c>
      <c r="W19" s="85">
        <v>0</v>
      </c>
      <c r="X19" s="85">
        <v>0</v>
      </c>
      <c r="Y19" s="85">
        <v>0</v>
      </c>
      <c r="Z19" s="85">
        <v>0</v>
      </c>
      <c r="AA19" s="85">
        <f t="shared" si="9"/>
        <v>0</v>
      </c>
      <c r="AB19" s="85">
        <v>0</v>
      </c>
      <c r="AC19" s="85">
        <v>0</v>
      </c>
      <c r="AD19" s="85">
        <v>0</v>
      </c>
      <c r="AE19" s="85">
        <v>0</v>
      </c>
      <c r="AF19" s="85">
        <v>0</v>
      </c>
      <c r="AG19" s="85">
        <v>0</v>
      </c>
      <c r="AH19" s="85">
        <v>0</v>
      </c>
      <c r="AI19" s="85">
        <v>0</v>
      </c>
      <c r="AJ19" s="85">
        <f t="shared" si="10"/>
        <v>0</v>
      </c>
      <c r="AK19" s="85">
        <v>0</v>
      </c>
      <c r="AL19" s="85">
        <v>0</v>
      </c>
      <c r="AM19" s="85">
        <v>0</v>
      </c>
      <c r="AN19" s="85">
        <v>0</v>
      </c>
      <c r="AO19" s="85">
        <v>0</v>
      </c>
      <c r="AP19" s="85">
        <v>0</v>
      </c>
      <c r="AQ19" s="85">
        <v>0</v>
      </c>
      <c r="AR19" s="85">
        <v>0</v>
      </c>
      <c r="AS19" s="85">
        <f t="shared" si="11"/>
        <v>0</v>
      </c>
      <c r="AT19" s="85">
        <v>0</v>
      </c>
      <c r="AU19" s="85">
        <v>0</v>
      </c>
      <c r="AV19" s="85">
        <v>0</v>
      </c>
      <c r="AW19" s="85">
        <v>0</v>
      </c>
      <c r="AX19" s="85">
        <v>0</v>
      </c>
      <c r="AY19" s="85">
        <v>0</v>
      </c>
      <c r="AZ19" s="85">
        <v>0</v>
      </c>
      <c r="BA19" s="85">
        <v>0</v>
      </c>
      <c r="BB19" s="85">
        <f t="shared" si="12"/>
        <v>0</v>
      </c>
      <c r="BC19" s="85">
        <f t="shared" si="7"/>
        <v>0</v>
      </c>
      <c r="BD19" s="85">
        <f t="shared" si="7"/>
        <v>0</v>
      </c>
      <c r="BE19" s="85">
        <f t="shared" si="7"/>
        <v>0</v>
      </c>
      <c r="BF19" s="85">
        <f t="shared" si="7"/>
        <v>0</v>
      </c>
      <c r="BG19" s="85">
        <f t="shared" si="7"/>
        <v>0</v>
      </c>
      <c r="BH19" s="85">
        <f t="shared" si="7"/>
        <v>0</v>
      </c>
      <c r="BI19" s="85">
        <f t="shared" si="7"/>
        <v>0</v>
      </c>
      <c r="BJ19" s="85">
        <f t="shared" si="7"/>
        <v>0</v>
      </c>
      <c r="BK19" s="85">
        <f t="shared" si="8"/>
        <v>0</v>
      </c>
    </row>
    <row r="20" spans="1:77" s="3" customFormat="1" ht="92.4" x14ac:dyDescent="0.25">
      <c r="A20" s="82" t="s">
        <v>168</v>
      </c>
      <c r="B20" s="1691"/>
      <c r="C20" s="1694"/>
      <c r="D20" s="1681"/>
      <c r="E20" s="1694"/>
      <c r="F20" s="1694"/>
      <c r="G20" s="1694"/>
      <c r="H20" s="1702" t="s">
        <v>3195</v>
      </c>
      <c r="I20" s="1691"/>
      <c r="J20" s="1438" t="s">
        <v>3196</v>
      </c>
      <c r="K20" s="1438" t="s">
        <v>3197</v>
      </c>
      <c r="L20" s="11">
        <v>2015</v>
      </c>
      <c r="M20" s="11" t="s">
        <v>3198</v>
      </c>
      <c r="N20" s="11">
        <v>12</v>
      </c>
      <c r="O20" s="11">
        <v>12</v>
      </c>
      <c r="P20" s="11">
        <v>12</v>
      </c>
      <c r="Q20" s="11">
        <v>12</v>
      </c>
      <c r="R20" s="84">
        <v>12</v>
      </c>
      <c r="S20" s="85">
        <v>0</v>
      </c>
      <c r="T20" s="85">
        <v>0</v>
      </c>
      <c r="U20" s="85">
        <v>0</v>
      </c>
      <c r="V20" s="85">
        <v>0</v>
      </c>
      <c r="W20" s="85">
        <v>0</v>
      </c>
      <c r="X20" s="85">
        <v>0</v>
      </c>
      <c r="Y20" s="85">
        <v>0</v>
      </c>
      <c r="Z20" s="85">
        <v>0</v>
      </c>
      <c r="AA20" s="85">
        <f t="shared" si="9"/>
        <v>0</v>
      </c>
      <c r="AB20" s="85">
        <v>0</v>
      </c>
      <c r="AC20" s="85">
        <v>0</v>
      </c>
      <c r="AD20" s="85">
        <v>0</v>
      </c>
      <c r="AE20" s="85">
        <v>0</v>
      </c>
      <c r="AF20" s="85">
        <v>0</v>
      </c>
      <c r="AG20" s="85">
        <v>0</v>
      </c>
      <c r="AH20" s="85">
        <v>0</v>
      </c>
      <c r="AI20" s="85">
        <v>0</v>
      </c>
      <c r="AJ20" s="85">
        <f t="shared" si="10"/>
        <v>0</v>
      </c>
      <c r="AK20" s="85">
        <v>0</v>
      </c>
      <c r="AL20" s="85">
        <v>0</v>
      </c>
      <c r="AM20" s="85">
        <v>0</v>
      </c>
      <c r="AN20" s="85">
        <v>0</v>
      </c>
      <c r="AO20" s="85">
        <v>0</v>
      </c>
      <c r="AP20" s="85">
        <v>0</v>
      </c>
      <c r="AQ20" s="85">
        <v>0</v>
      </c>
      <c r="AR20" s="85">
        <v>0</v>
      </c>
      <c r="AS20" s="85">
        <f t="shared" si="11"/>
        <v>0</v>
      </c>
      <c r="AT20" s="85">
        <v>0</v>
      </c>
      <c r="AU20" s="85">
        <v>0</v>
      </c>
      <c r="AV20" s="85">
        <v>0</v>
      </c>
      <c r="AW20" s="85">
        <v>0</v>
      </c>
      <c r="AX20" s="85">
        <v>0</v>
      </c>
      <c r="AY20" s="85">
        <v>0</v>
      </c>
      <c r="AZ20" s="85">
        <v>0</v>
      </c>
      <c r="BA20" s="85">
        <v>0</v>
      </c>
      <c r="BB20" s="85">
        <f t="shared" si="12"/>
        <v>0</v>
      </c>
      <c r="BC20" s="85">
        <f t="shared" si="7"/>
        <v>0</v>
      </c>
      <c r="BD20" s="85">
        <f t="shared" si="7"/>
        <v>0</v>
      </c>
      <c r="BE20" s="85">
        <f t="shared" si="7"/>
        <v>0</v>
      </c>
      <c r="BF20" s="85">
        <f t="shared" si="7"/>
        <v>0</v>
      </c>
      <c r="BG20" s="85">
        <f t="shared" si="7"/>
        <v>0</v>
      </c>
      <c r="BH20" s="85">
        <f t="shared" si="7"/>
        <v>0</v>
      </c>
      <c r="BI20" s="85">
        <f t="shared" si="7"/>
        <v>0</v>
      </c>
      <c r="BJ20" s="85">
        <f t="shared" si="7"/>
        <v>0</v>
      </c>
      <c r="BK20" s="85">
        <f t="shared" si="8"/>
        <v>0</v>
      </c>
    </row>
    <row r="21" spans="1:77" s="3" customFormat="1" ht="66" x14ac:dyDescent="0.25">
      <c r="A21" s="82"/>
      <c r="B21" s="1691"/>
      <c r="C21" s="1694"/>
      <c r="D21" s="1681"/>
      <c r="E21" s="1694"/>
      <c r="F21" s="1694"/>
      <c r="G21" s="1694"/>
      <c r="H21" s="1694"/>
      <c r="I21" s="1691"/>
      <c r="J21" s="1438" t="s">
        <v>3199</v>
      </c>
      <c r="K21" s="1438" t="s">
        <v>3200</v>
      </c>
      <c r="L21" s="11">
        <v>2015</v>
      </c>
      <c r="M21" s="11" t="s">
        <v>3198</v>
      </c>
      <c r="N21" s="11">
        <v>6</v>
      </c>
      <c r="O21" s="11">
        <v>6</v>
      </c>
      <c r="P21" s="11">
        <v>6</v>
      </c>
      <c r="Q21" s="11">
        <v>6</v>
      </c>
      <c r="R21" s="84">
        <v>6</v>
      </c>
      <c r="S21" s="85">
        <v>0</v>
      </c>
      <c r="T21" s="85">
        <v>0</v>
      </c>
      <c r="U21" s="85">
        <v>0</v>
      </c>
      <c r="V21" s="85">
        <v>0</v>
      </c>
      <c r="W21" s="85">
        <v>0</v>
      </c>
      <c r="X21" s="85">
        <v>0</v>
      </c>
      <c r="Y21" s="85">
        <v>0</v>
      </c>
      <c r="Z21" s="85">
        <v>0</v>
      </c>
      <c r="AA21" s="85">
        <f t="shared" si="9"/>
        <v>0</v>
      </c>
      <c r="AB21" s="85">
        <v>0</v>
      </c>
      <c r="AC21" s="85">
        <v>0</v>
      </c>
      <c r="AD21" s="85">
        <v>0</v>
      </c>
      <c r="AE21" s="85">
        <v>0</v>
      </c>
      <c r="AF21" s="85">
        <v>0</v>
      </c>
      <c r="AG21" s="85">
        <v>0</v>
      </c>
      <c r="AH21" s="85">
        <v>0</v>
      </c>
      <c r="AI21" s="85">
        <v>0</v>
      </c>
      <c r="AJ21" s="85">
        <f t="shared" si="10"/>
        <v>0</v>
      </c>
      <c r="AK21" s="85">
        <v>0</v>
      </c>
      <c r="AL21" s="85">
        <v>0</v>
      </c>
      <c r="AM21" s="85">
        <v>0</v>
      </c>
      <c r="AN21" s="85">
        <v>0</v>
      </c>
      <c r="AO21" s="85">
        <v>0</v>
      </c>
      <c r="AP21" s="85">
        <v>0</v>
      </c>
      <c r="AQ21" s="85">
        <v>0</v>
      </c>
      <c r="AR21" s="85">
        <v>0</v>
      </c>
      <c r="AS21" s="85">
        <f t="shared" si="11"/>
        <v>0</v>
      </c>
      <c r="AT21" s="85">
        <v>0</v>
      </c>
      <c r="AU21" s="85">
        <v>0</v>
      </c>
      <c r="AV21" s="85">
        <v>0</v>
      </c>
      <c r="AW21" s="85">
        <v>0</v>
      </c>
      <c r="AX21" s="85">
        <v>0</v>
      </c>
      <c r="AY21" s="85">
        <v>0</v>
      </c>
      <c r="AZ21" s="85">
        <v>0</v>
      </c>
      <c r="BA21" s="85">
        <v>0</v>
      </c>
      <c r="BB21" s="85">
        <f t="shared" si="12"/>
        <v>0</v>
      </c>
      <c r="BC21" s="85">
        <f t="shared" si="7"/>
        <v>0</v>
      </c>
      <c r="BD21" s="85">
        <f t="shared" si="7"/>
        <v>0</v>
      </c>
      <c r="BE21" s="85">
        <f t="shared" si="7"/>
        <v>0</v>
      </c>
      <c r="BF21" s="85">
        <f t="shared" si="7"/>
        <v>0</v>
      </c>
      <c r="BG21" s="85">
        <f t="shared" si="7"/>
        <v>0</v>
      </c>
      <c r="BH21" s="85">
        <f t="shared" si="7"/>
        <v>0</v>
      </c>
      <c r="BI21" s="85">
        <f t="shared" si="7"/>
        <v>0</v>
      </c>
      <c r="BJ21" s="85">
        <f t="shared" si="7"/>
        <v>0</v>
      </c>
      <c r="BK21" s="85">
        <f t="shared" si="8"/>
        <v>0</v>
      </c>
    </row>
    <row r="22" spans="1:77" s="3" customFormat="1" ht="105.6" x14ac:dyDescent="0.25">
      <c r="A22" s="82"/>
      <c r="B22" s="1691"/>
      <c r="C22" s="1694"/>
      <c r="D22" s="1681"/>
      <c r="E22" s="1694"/>
      <c r="F22" s="1694"/>
      <c r="G22" s="1694"/>
      <c r="H22" s="1695"/>
      <c r="I22" s="1691"/>
      <c r="J22" s="1438" t="s">
        <v>3201</v>
      </c>
      <c r="K22" s="1438" t="s">
        <v>3202</v>
      </c>
      <c r="L22" s="11">
        <v>2015</v>
      </c>
      <c r="M22" s="11" t="s">
        <v>3198</v>
      </c>
      <c r="N22" s="1438">
        <v>100</v>
      </c>
      <c r="O22" s="1438">
        <v>100</v>
      </c>
      <c r="P22" s="1438">
        <v>100</v>
      </c>
      <c r="Q22" s="1438">
        <v>100</v>
      </c>
      <c r="R22" s="87">
        <v>1</v>
      </c>
      <c r="S22" s="85">
        <v>0</v>
      </c>
      <c r="T22" s="85">
        <v>0</v>
      </c>
      <c r="U22" s="85">
        <v>0</v>
      </c>
      <c r="V22" s="85">
        <v>0</v>
      </c>
      <c r="W22" s="85">
        <v>0</v>
      </c>
      <c r="X22" s="85">
        <v>0</v>
      </c>
      <c r="Y22" s="85">
        <v>0</v>
      </c>
      <c r="Z22" s="85">
        <v>0</v>
      </c>
      <c r="AA22" s="85">
        <f t="shared" si="9"/>
        <v>0</v>
      </c>
      <c r="AB22" s="85">
        <v>0</v>
      </c>
      <c r="AC22" s="85">
        <v>0</v>
      </c>
      <c r="AD22" s="85">
        <v>0</v>
      </c>
      <c r="AE22" s="85">
        <v>0</v>
      </c>
      <c r="AF22" s="85">
        <v>0</v>
      </c>
      <c r="AG22" s="85">
        <v>0</v>
      </c>
      <c r="AH22" s="85">
        <v>0</v>
      </c>
      <c r="AI22" s="85">
        <v>0</v>
      </c>
      <c r="AJ22" s="85">
        <f t="shared" si="10"/>
        <v>0</v>
      </c>
      <c r="AK22" s="85">
        <v>0</v>
      </c>
      <c r="AL22" s="85">
        <v>0</v>
      </c>
      <c r="AM22" s="85">
        <v>0</v>
      </c>
      <c r="AN22" s="85">
        <v>0</v>
      </c>
      <c r="AO22" s="85">
        <v>0</v>
      </c>
      <c r="AP22" s="85">
        <v>0</v>
      </c>
      <c r="AQ22" s="85">
        <v>0</v>
      </c>
      <c r="AR22" s="85">
        <v>0</v>
      </c>
      <c r="AS22" s="85">
        <f t="shared" si="11"/>
        <v>0</v>
      </c>
      <c r="AT22" s="85">
        <v>0</v>
      </c>
      <c r="AU22" s="85">
        <v>0</v>
      </c>
      <c r="AV22" s="85">
        <v>0</v>
      </c>
      <c r="AW22" s="85">
        <v>0</v>
      </c>
      <c r="AX22" s="85">
        <v>0</v>
      </c>
      <c r="AY22" s="85">
        <v>0</v>
      </c>
      <c r="AZ22" s="85">
        <v>0</v>
      </c>
      <c r="BA22" s="85">
        <v>0</v>
      </c>
      <c r="BB22" s="85">
        <f t="shared" si="12"/>
        <v>0</v>
      </c>
      <c r="BC22" s="85">
        <f t="shared" si="7"/>
        <v>0</v>
      </c>
      <c r="BD22" s="85">
        <f t="shared" si="7"/>
        <v>0</v>
      </c>
      <c r="BE22" s="85">
        <f t="shared" si="7"/>
        <v>0</v>
      </c>
      <c r="BF22" s="85">
        <f t="shared" si="7"/>
        <v>0</v>
      </c>
      <c r="BG22" s="85">
        <f t="shared" si="7"/>
        <v>0</v>
      </c>
      <c r="BH22" s="85">
        <f t="shared" si="7"/>
        <v>0</v>
      </c>
      <c r="BI22" s="85">
        <f t="shared" si="7"/>
        <v>0</v>
      </c>
      <c r="BJ22" s="85">
        <f t="shared" si="7"/>
        <v>0</v>
      </c>
      <c r="BK22" s="85">
        <f t="shared" si="8"/>
        <v>0</v>
      </c>
    </row>
    <row r="23" spans="1:77" s="3" customFormat="1" ht="13.2" x14ac:dyDescent="0.25">
      <c r="A23" s="82" t="s">
        <v>168</v>
      </c>
      <c r="B23" s="1692"/>
      <c r="C23" s="1695"/>
      <c r="D23" s="1682"/>
      <c r="E23" s="1695"/>
      <c r="F23" s="1695"/>
      <c r="G23" s="1695"/>
      <c r="H23" s="11"/>
      <c r="I23" s="1692"/>
      <c r="J23" s="1438"/>
      <c r="K23" s="1438"/>
      <c r="L23" s="11"/>
      <c r="M23" s="11"/>
      <c r="N23" s="11"/>
      <c r="O23" s="84"/>
      <c r="P23" s="84"/>
      <c r="Q23" s="84"/>
      <c r="R23" s="84"/>
      <c r="S23" s="85">
        <v>0</v>
      </c>
      <c r="T23" s="85">
        <v>0</v>
      </c>
      <c r="U23" s="85">
        <v>0</v>
      </c>
      <c r="V23" s="85">
        <v>0</v>
      </c>
      <c r="W23" s="85">
        <v>0</v>
      </c>
      <c r="X23" s="85">
        <v>0</v>
      </c>
      <c r="Y23" s="85">
        <v>0</v>
      </c>
      <c r="Z23" s="85">
        <v>0</v>
      </c>
      <c r="AA23" s="85">
        <f t="shared" si="9"/>
        <v>0</v>
      </c>
      <c r="AB23" s="85">
        <v>0</v>
      </c>
      <c r="AC23" s="85">
        <v>0</v>
      </c>
      <c r="AD23" s="85">
        <v>0</v>
      </c>
      <c r="AE23" s="85">
        <v>0</v>
      </c>
      <c r="AF23" s="85">
        <v>0</v>
      </c>
      <c r="AG23" s="85">
        <v>0</v>
      </c>
      <c r="AH23" s="85">
        <v>0</v>
      </c>
      <c r="AI23" s="85">
        <v>0</v>
      </c>
      <c r="AJ23" s="85">
        <f t="shared" si="10"/>
        <v>0</v>
      </c>
      <c r="AK23" s="85">
        <v>0</v>
      </c>
      <c r="AL23" s="85">
        <v>0</v>
      </c>
      <c r="AM23" s="85">
        <v>0</v>
      </c>
      <c r="AN23" s="85">
        <v>0</v>
      </c>
      <c r="AO23" s="85">
        <v>0</v>
      </c>
      <c r="AP23" s="85">
        <v>0</v>
      </c>
      <c r="AQ23" s="85">
        <v>0</v>
      </c>
      <c r="AR23" s="85">
        <v>0</v>
      </c>
      <c r="AS23" s="85">
        <f t="shared" si="11"/>
        <v>0</v>
      </c>
      <c r="AT23" s="85">
        <v>0</v>
      </c>
      <c r="AU23" s="85">
        <v>0</v>
      </c>
      <c r="AV23" s="85">
        <v>0</v>
      </c>
      <c r="AW23" s="85">
        <v>0</v>
      </c>
      <c r="AX23" s="85">
        <v>0</v>
      </c>
      <c r="AY23" s="85">
        <v>0</v>
      </c>
      <c r="AZ23" s="85">
        <v>0</v>
      </c>
      <c r="BA23" s="85">
        <v>0</v>
      </c>
      <c r="BB23" s="85">
        <f t="shared" si="12"/>
        <v>0</v>
      </c>
      <c r="BC23" s="85">
        <f t="shared" si="7"/>
        <v>0</v>
      </c>
      <c r="BD23" s="85">
        <f t="shared" si="7"/>
        <v>0</v>
      </c>
      <c r="BE23" s="85">
        <f t="shared" si="7"/>
        <v>0</v>
      </c>
      <c r="BF23" s="85">
        <f t="shared" si="7"/>
        <v>0</v>
      </c>
      <c r="BG23" s="85">
        <f t="shared" si="7"/>
        <v>0</v>
      </c>
      <c r="BH23" s="85">
        <f t="shared" si="7"/>
        <v>0</v>
      </c>
      <c r="BI23" s="85">
        <f t="shared" si="7"/>
        <v>0</v>
      </c>
      <c r="BJ23" s="85">
        <f t="shared" si="7"/>
        <v>0</v>
      </c>
      <c r="BK23" s="85">
        <f t="shared" si="8"/>
        <v>0</v>
      </c>
    </row>
    <row r="24" spans="1:77" s="3" customFormat="1" ht="12.75" customHeight="1" x14ac:dyDescent="0.25">
      <c r="A24" s="6" t="s">
        <v>168</v>
      </c>
      <c r="B24" s="6"/>
      <c r="C24" s="79" t="s">
        <v>3203</v>
      </c>
      <c r="D24" s="17"/>
      <c r="E24" s="92"/>
      <c r="F24" s="92"/>
      <c r="G24" s="92"/>
      <c r="H24" s="92"/>
      <c r="I24" s="92"/>
      <c r="J24" s="92"/>
      <c r="K24" s="97"/>
      <c r="L24" s="92"/>
      <c r="M24" s="92"/>
      <c r="N24" s="92"/>
      <c r="O24" s="98"/>
      <c r="P24" s="98"/>
      <c r="Q24" s="98"/>
      <c r="R24" s="98"/>
      <c r="S24" s="99">
        <f>+S25+S26</f>
        <v>0</v>
      </c>
      <c r="T24" s="99">
        <f t="shared" ref="T24:BK24" si="13">+T25+T26</f>
        <v>0</v>
      </c>
      <c r="U24" s="99">
        <f t="shared" si="13"/>
        <v>350</v>
      </c>
      <c r="V24" s="99">
        <f t="shared" si="13"/>
        <v>0</v>
      </c>
      <c r="W24" s="99">
        <f t="shared" si="13"/>
        <v>0</v>
      </c>
      <c r="X24" s="99">
        <f t="shared" si="13"/>
        <v>0</v>
      </c>
      <c r="Y24" s="99">
        <f t="shared" si="13"/>
        <v>0</v>
      </c>
      <c r="Z24" s="99">
        <f t="shared" si="13"/>
        <v>4</v>
      </c>
      <c r="AA24" s="99">
        <f t="shared" si="13"/>
        <v>354</v>
      </c>
      <c r="AB24" s="99">
        <f t="shared" si="13"/>
        <v>0</v>
      </c>
      <c r="AC24" s="99">
        <f t="shared" si="13"/>
        <v>0</v>
      </c>
      <c r="AD24" s="99">
        <f t="shared" si="13"/>
        <v>362.25</v>
      </c>
      <c r="AE24" s="99">
        <f t="shared" si="13"/>
        <v>0</v>
      </c>
      <c r="AF24" s="99">
        <f t="shared" si="13"/>
        <v>0</v>
      </c>
      <c r="AG24" s="99">
        <f t="shared" si="13"/>
        <v>0</v>
      </c>
      <c r="AH24" s="99">
        <f t="shared" si="13"/>
        <v>0</v>
      </c>
      <c r="AI24" s="99">
        <f t="shared" si="13"/>
        <v>3</v>
      </c>
      <c r="AJ24" s="99">
        <f t="shared" si="13"/>
        <v>365.25</v>
      </c>
      <c r="AK24" s="99">
        <f t="shared" si="13"/>
        <v>0</v>
      </c>
      <c r="AL24" s="99">
        <f t="shared" si="13"/>
        <v>0</v>
      </c>
      <c r="AM24" s="99">
        <f t="shared" si="13"/>
        <v>374.92874999999998</v>
      </c>
      <c r="AN24" s="99">
        <f t="shared" si="13"/>
        <v>0</v>
      </c>
      <c r="AO24" s="99">
        <f t="shared" si="13"/>
        <v>0</v>
      </c>
      <c r="AP24" s="99">
        <f t="shared" si="13"/>
        <v>0</v>
      </c>
      <c r="AQ24" s="99">
        <f t="shared" si="13"/>
        <v>0</v>
      </c>
      <c r="AR24" s="99">
        <f t="shared" si="13"/>
        <v>3</v>
      </c>
      <c r="AS24" s="99">
        <f t="shared" si="13"/>
        <v>377.92874999999998</v>
      </c>
      <c r="AT24" s="99">
        <f t="shared" si="13"/>
        <v>0</v>
      </c>
      <c r="AU24" s="99">
        <f t="shared" si="13"/>
        <v>0</v>
      </c>
      <c r="AV24" s="99">
        <f t="shared" si="13"/>
        <v>388.05125624999999</v>
      </c>
      <c r="AW24" s="99">
        <f t="shared" si="13"/>
        <v>0</v>
      </c>
      <c r="AX24" s="99">
        <f t="shared" si="13"/>
        <v>0</v>
      </c>
      <c r="AY24" s="99">
        <f t="shared" si="13"/>
        <v>0</v>
      </c>
      <c r="AZ24" s="99">
        <f t="shared" si="13"/>
        <v>0</v>
      </c>
      <c r="BA24" s="99">
        <f t="shared" si="13"/>
        <v>0</v>
      </c>
      <c r="BB24" s="99">
        <f t="shared" si="13"/>
        <v>390.05125624999999</v>
      </c>
      <c r="BC24" s="99">
        <f t="shared" si="13"/>
        <v>0</v>
      </c>
      <c r="BD24" s="99">
        <f t="shared" si="13"/>
        <v>0</v>
      </c>
      <c r="BE24" s="99">
        <f t="shared" si="13"/>
        <v>1475.2300062500001</v>
      </c>
      <c r="BF24" s="99">
        <f t="shared" si="13"/>
        <v>0</v>
      </c>
      <c r="BG24" s="99">
        <f t="shared" si="13"/>
        <v>0</v>
      </c>
      <c r="BH24" s="99">
        <f t="shared" si="13"/>
        <v>0</v>
      </c>
      <c r="BI24" s="99">
        <f t="shared" si="13"/>
        <v>0</v>
      </c>
      <c r="BJ24" s="99">
        <f t="shared" si="13"/>
        <v>10</v>
      </c>
      <c r="BK24" s="99">
        <f t="shared" si="13"/>
        <v>1485.2300062500001</v>
      </c>
    </row>
    <row r="25" spans="1:77" s="3" customFormat="1" ht="64.5" customHeight="1" x14ac:dyDescent="0.25">
      <c r="A25" s="1703" t="s">
        <v>168</v>
      </c>
      <c r="B25" s="1438"/>
      <c r="C25" s="1704" t="s">
        <v>3204</v>
      </c>
      <c r="D25" s="1688" t="s">
        <v>3205</v>
      </c>
      <c r="E25" s="1703">
        <v>2015</v>
      </c>
      <c r="F25" s="1703">
        <v>2352</v>
      </c>
      <c r="G25" s="1703" t="s">
        <v>3206</v>
      </c>
      <c r="H25" s="1703"/>
      <c r="I25" s="1703"/>
      <c r="J25" s="100" t="s">
        <v>3207</v>
      </c>
      <c r="K25" s="100" t="s">
        <v>3208</v>
      </c>
      <c r="L25" s="11">
        <v>2015</v>
      </c>
      <c r="M25" s="101">
        <v>2352</v>
      </c>
      <c r="N25" s="95" t="s">
        <v>3209</v>
      </c>
      <c r="O25" s="95" t="s">
        <v>3209</v>
      </c>
      <c r="P25" s="95" t="s">
        <v>3209</v>
      </c>
      <c r="Q25" s="95" t="s">
        <v>3209</v>
      </c>
      <c r="R25" s="84"/>
      <c r="S25" s="85">
        <v>0</v>
      </c>
      <c r="T25" s="85">
        <v>0</v>
      </c>
      <c r="U25" s="85">
        <v>350</v>
      </c>
      <c r="V25" s="85">
        <v>0</v>
      </c>
      <c r="W25" s="85">
        <v>0</v>
      </c>
      <c r="X25" s="85">
        <v>0</v>
      </c>
      <c r="Y25" s="85">
        <v>0</v>
      </c>
      <c r="Z25" s="85">
        <v>2</v>
      </c>
      <c r="AA25" s="85">
        <f>+Z25+Y25+X25+W25+V25+U25+T25+S25</f>
        <v>352</v>
      </c>
      <c r="AB25" s="85">
        <f t="shared" ref="AB25:AF26" si="14">+(((S25*3.5%)+S25))</f>
        <v>0</v>
      </c>
      <c r="AC25" s="85">
        <f t="shared" si="14"/>
        <v>0</v>
      </c>
      <c r="AD25" s="85">
        <f t="shared" si="14"/>
        <v>362.25</v>
      </c>
      <c r="AE25" s="85">
        <f t="shared" si="14"/>
        <v>0</v>
      </c>
      <c r="AF25" s="85">
        <f t="shared" si="14"/>
        <v>0</v>
      </c>
      <c r="AG25" s="85">
        <v>0</v>
      </c>
      <c r="AH25" s="85">
        <f>+(((Y25*3.5%)+Y25))</f>
        <v>0</v>
      </c>
      <c r="AI25" s="85">
        <v>0</v>
      </c>
      <c r="AJ25" s="85">
        <f>+AI25+AH25+AG25+AF25+AE25+AD25+AC25+AB25</f>
        <v>362.25</v>
      </c>
      <c r="AK25" s="85">
        <f t="shared" ref="AK25:AO26" si="15">+(((AB25*3.5%)+AB25))</f>
        <v>0</v>
      </c>
      <c r="AL25" s="85">
        <f t="shared" si="15"/>
        <v>0</v>
      </c>
      <c r="AM25" s="85">
        <f t="shared" si="15"/>
        <v>374.92874999999998</v>
      </c>
      <c r="AN25" s="85">
        <f t="shared" si="15"/>
        <v>0</v>
      </c>
      <c r="AO25" s="85">
        <f t="shared" si="15"/>
        <v>0</v>
      </c>
      <c r="AP25" s="85">
        <v>0</v>
      </c>
      <c r="AQ25" s="85">
        <f>+(((AH25*3.5%)+AH25))</f>
        <v>0</v>
      </c>
      <c r="AR25" s="85">
        <v>0</v>
      </c>
      <c r="AS25" s="85">
        <f>+AR25+AQ25+AP25+AO25+AN25+AM25+AL25+AK25</f>
        <v>374.92874999999998</v>
      </c>
      <c r="AT25" s="85">
        <f t="shared" ref="AT25:AX26" si="16">+(((AK25*3.5%)+AK25))</f>
        <v>0</v>
      </c>
      <c r="AU25" s="85">
        <f t="shared" si="16"/>
        <v>0</v>
      </c>
      <c r="AV25" s="85">
        <f t="shared" si="16"/>
        <v>388.05125624999999</v>
      </c>
      <c r="AW25" s="85">
        <f t="shared" si="16"/>
        <v>0</v>
      </c>
      <c r="AX25" s="85">
        <f t="shared" si="16"/>
        <v>0</v>
      </c>
      <c r="AY25" s="85">
        <v>0</v>
      </c>
      <c r="AZ25" s="85">
        <f>+(((AQ25*3.5%)+AQ25))</f>
        <v>0</v>
      </c>
      <c r="BA25" s="85">
        <v>0</v>
      </c>
      <c r="BB25" s="85">
        <f>+BA25+AZ25+AY25+AX25+AW25+AV25+AU25+AT25</f>
        <v>388.05125624999999</v>
      </c>
      <c r="BC25" s="85">
        <f t="shared" ref="BC25:BJ26" si="17">+S25+AB25+AK25+AT25</f>
        <v>0</v>
      </c>
      <c r="BD25" s="85">
        <f t="shared" si="17"/>
        <v>0</v>
      </c>
      <c r="BE25" s="85">
        <f t="shared" si="17"/>
        <v>1475.2300062500001</v>
      </c>
      <c r="BF25" s="85">
        <f t="shared" si="17"/>
        <v>0</v>
      </c>
      <c r="BG25" s="85">
        <f t="shared" si="17"/>
        <v>0</v>
      </c>
      <c r="BH25" s="85">
        <f t="shared" si="17"/>
        <v>0</v>
      </c>
      <c r="BI25" s="85">
        <f t="shared" si="17"/>
        <v>0</v>
      </c>
      <c r="BJ25" s="85">
        <f t="shared" si="17"/>
        <v>2</v>
      </c>
      <c r="BK25" s="85">
        <f>+BJ25+BI25+BH25+BG25+BF25+BE25+BD25+BC25</f>
        <v>1477.2300062500001</v>
      </c>
    </row>
    <row r="26" spans="1:77" ht="66" x14ac:dyDescent="0.3">
      <c r="A26" s="1703"/>
      <c r="B26" s="1438"/>
      <c r="C26" s="1704"/>
      <c r="D26" s="1688"/>
      <c r="E26" s="1703"/>
      <c r="F26" s="1703"/>
      <c r="G26" s="1703"/>
      <c r="H26" s="1703"/>
      <c r="I26" s="1703"/>
      <c r="J26" s="100" t="s">
        <v>3210</v>
      </c>
      <c r="K26" s="100" t="s">
        <v>3211</v>
      </c>
      <c r="L26" s="102">
        <v>2015</v>
      </c>
      <c r="M26" s="100" t="s">
        <v>177</v>
      </c>
      <c r="N26" s="103" t="s">
        <v>3212</v>
      </c>
      <c r="O26" s="103" t="s">
        <v>3212</v>
      </c>
      <c r="P26" s="103" t="s">
        <v>3212</v>
      </c>
      <c r="Q26" s="103" t="s">
        <v>3212</v>
      </c>
      <c r="R26" s="89"/>
      <c r="S26" s="85">
        <v>0</v>
      </c>
      <c r="T26" s="85">
        <v>0</v>
      </c>
      <c r="U26" s="85">
        <v>0</v>
      </c>
      <c r="V26" s="85">
        <v>0</v>
      </c>
      <c r="W26" s="85">
        <v>0</v>
      </c>
      <c r="X26" s="85">
        <v>0</v>
      </c>
      <c r="Y26" s="85">
        <v>0</v>
      </c>
      <c r="Z26" s="85">
        <v>2</v>
      </c>
      <c r="AA26" s="85">
        <f>+Z26+Y26+X26+W26+V26+U26+T26+S26</f>
        <v>2</v>
      </c>
      <c r="AB26" s="85">
        <f t="shared" si="14"/>
        <v>0</v>
      </c>
      <c r="AC26" s="85">
        <f t="shared" si="14"/>
        <v>0</v>
      </c>
      <c r="AD26" s="85">
        <f t="shared" si="14"/>
        <v>0</v>
      </c>
      <c r="AE26" s="85">
        <f t="shared" si="14"/>
        <v>0</v>
      </c>
      <c r="AF26" s="85">
        <f t="shared" si="14"/>
        <v>0</v>
      </c>
      <c r="AG26" s="85">
        <v>0</v>
      </c>
      <c r="AH26" s="85">
        <f>+(((Y26*3.5%)+Y26))</f>
        <v>0</v>
      </c>
      <c r="AI26" s="85">
        <v>3</v>
      </c>
      <c r="AJ26" s="85">
        <f>+AI26+AH26+AG26+AF26+AE26+AD26+AC26+AB26</f>
        <v>3</v>
      </c>
      <c r="AK26" s="85">
        <f t="shared" si="15"/>
        <v>0</v>
      </c>
      <c r="AL26" s="85">
        <f t="shared" si="15"/>
        <v>0</v>
      </c>
      <c r="AM26" s="85">
        <f t="shared" si="15"/>
        <v>0</v>
      </c>
      <c r="AN26" s="85">
        <f t="shared" si="15"/>
        <v>0</v>
      </c>
      <c r="AO26" s="85">
        <f t="shared" si="15"/>
        <v>0</v>
      </c>
      <c r="AP26" s="85">
        <v>0</v>
      </c>
      <c r="AQ26" s="85">
        <f>+(((AH26*3.5%)+AH26))</f>
        <v>0</v>
      </c>
      <c r="AR26" s="85">
        <v>3</v>
      </c>
      <c r="AS26" s="85">
        <f>+AR26+AQ26+AP26+AO26+AN26+AM26+AL26+AK26</f>
        <v>3</v>
      </c>
      <c r="AT26" s="85">
        <f t="shared" si="16"/>
        <v>0</v>
      </c>
      <c r="AU26" s="85">
        <f t="shared" si="16"/>
        <v>0</v>
      </c>
      <c r="AV26" s="85">
        <f t="shared" si="16"/>
        <v>0</v>
      </c>
      <c r="AW26" s="85">
        <f t="shared" si="16"/>
        <v>0</v>
      </c>
      <c r="AX26" s="85">
        <f t="shared" si="16"/>
        <v>0</v>
      </c>
      <c r="AY26" s="85">
        <v>0</v>
      </c>
      <c r="AZ26" s="85">
        <f>+(((AQ26*3.5%)+AQ26))</f>
        <v>0</v>
      </c>
      <c r="BA26" s="85">
        <v>0</v>
      </c>
      <c r="BB26" s="85">
        <v>2</v>
      </c>
      <c r="BC26" s="85">
        <f t="shared" si="17"/>
        <v>0</v>
      </c>
      <c r="BD26" s="85">
        <f t="shared" si="17"/>
        <v>0</v>
      </c>
      <c r="BE26" s="85">
        <f t="shared" si="17"/>
        <v>0</v>
      </c>
      <c r="BF26" s="85">
        <f t="shared" si="17"/>
        <v>0</v>
      </c>
      <c r="BG26" s="85">
        <f t="shared" si="17"/>
        <v>0</v>
      </c>
      <c r="BH26" s="85">
        <f t="shared" si="17"/>
        <v>0</v>
      </c>
      <c r="BI26" s="85">
        <f t="shared" si="17"/>
        <v>0</v>
      </c>
      <c r="BJ26" s="85">
        <f t="shared" si="17"/>
        <v>8</v>
      </c>
      <c r="BK26" s="85">
        <f>+BJ26+BI26+BH26+BG26+BF26+BE26+BD26+BC26</f>
        <v>8</v>
      </c>
      <c r="BL26" s="3"/>
      <c r="BM26" s="3"/>
      <c r="BN26" s="3"/>
      <c r="BO26" s="3"/>
      <c r="BP26" s="3"/>
      <c r="BQ26" s="3"/>
      <c r="BR26" s="3"/>
      <c r="BS26" s="3"/>
      <c r="BT26" s="3"/>
      <c r="BU26" s="3"/>
      <c r="BV26" s="3"/>
      <c r="BW26" s="3"/>
      <c r="BX26" s="3"/>
      <c r="BY26" s="3"/>
    </row>
    <row r="27" spans="1:77" s="3" customFormat="1" ht="15" customHeight="1" x14ac:dyDescent="0.25">
      <c r="A27" s="6" t="s">
        <v>168</v>
      </c>
      <c r="B27" s="6"/>
      <c r="C27" s="79" t="s">
        <v>3213</v>
      </c>
      <c r="D27" s="17"/>
      <c r="E27" s="1"/>
      <c r="F27" s="1"/>
      <c r="G27" s="1"/>
      <c r="H27" s="1"/>
      <c r="I27" s="1"/>
      <c r="J27" s="1"/>
      <c r="K27" s="22"/>
      <c r="L27" s="1"/>
      <c r="M27" s="1"/>
      <c r="N27" s="1"/>
      <c r="O27" s="80"/>
      <c r="P27" s="80"/>
      <c r="Q27" s="80"/>
      <c r="R27" s="80"/>
      <c r="S27" s="81">
        <f>+S28+S37+S45+S51+S58+S64+S72+S76+S79+S82</f>
        <v>9</v>
      </c>
      <c r="T27" s="81">
        <f t="shared" ref="T27:BK27" si="18">+T28+T37+T45+T51+T58+T64+T72+T76+T79+T82</f>
        <v>0</v>
      </c>
      <c r="U27" s="81">
        <f t="shared" si="18"/>
        <v>690</v>
      </c>
      <c r="V27" s="81">
        <f t="shared" si="18"/>
        <v>0</v>
      </c>
      <c r="W27" s="81">
        <f t="shared" si="18"/>
        <v>0</v>
      </c>
      <c r="X27" s="81">
        <f t="shared" si="18"/>
        <v>0</v>
      </c>
      <c r="Y27" s="81">
        <f t="shared" si="18"/>
        <v>0</v>
      </c>
      <c r="Z27" s="81">
        <f t="shared" si="18"/>
        <v>125</v>
      </c>
      <c r="AA27" s="81">
        <f t="shared" si="18"/>
        <v>824</v>
      </c>
      <c r="AB27" s="81">
        <f t="shared" si="18"/>
        <v>9.3149999999999995</v>
      </c>
      <c r="AC27" s="81">
        <f t="shared" si="18"/>
        <v>0</v>
      </c>
      <c r="AD27" s="81">
        <f t="shared" si="18"/>
        <v>714.15000000000009</v>
      </c>
      <c r="AE27" s="81">
        <f t="shared" si="18"/>
        <v>0</v>
      </c>
      <c r="AF27" s="81">
        <f t="shared" si="18"/>
        <v>0</v>
      </c>
      <c r="AG27" s="81">
        <f t="shared" si="18"/>
        <v>0</v>
      </c>
      <c r="AH27" s="81">
        <f t="shared" si="18"/>
        <v>0</v>
      </c>
      <c r="AI27" s="81">
        <f t="shared" si="18"/>
        <v>17.594999999999999</v>
      </c>
      <c r="AJ27" s="81">
        <f t="shared" si="18"/>
        <v>741.06</v>
      </c>
      <c r="AK27" s="81">
        <f t="shared" si="18"/>
        <v>9.6410249999999991</v>
      </c>
      <c r="AL27" s="81">
        <f t="shared" si="18"/>
        <v>0</v>
      </c>
      <c r="AM27" s="81">
        <f t="shared" si="18"/>
        <v>739.14525000000003</v>
      </c>
      <c r="AN27" s="81">
        <f t="shared" si="18"/>
        <v>0</v>
      </c>
      <c r="AO27" s="81">
        <f t="shared" si="18"/>
        <v>0</v>
      </c>
      <c r="AP27" s="81">
        <f t="shared" si="18"/>
        <v>0</v>
      </c>
      <c r="AQ27" s="81">
        <f t="shared" si="18"/>
        <v>0</v>
      </c>
      <c r="AR27" s="81">
        <f t="shared" si="18"/>
        <v>18.210825</v>
      </c>
      <c r="AS27" s="81">
        <f t="shared" si="18"/>
        <v>766.99710000000005</v>
      </c>
      <c r="AT27" s="81">
        <f t="shared" si="18"/>
        <v>9.9784608749999997</v>
      </c>
      <c r="AU27" s="81">
        <f t="shared" si="18"/>
        <v>0</v>
      </c>
      <c r="AV27" s="81">
        <f t="shared" si="18"/>
        <v>765.01533374999997</v>
      </c>
      <c r="AW27" s="81">
        <f t="shared" si="18"/>
        <v>0</v>
      </c>
      <c r="AX27" s="81">
        <f t="shared" si="18"/>
        <v>0</v>
      </c>
      <c r="AY27" s="81">
        <f t="shared" si="18"/>
        <v>0</v>
      </c>
      <c r="AZ27" s="81">
        <f t="shared" si="18"/>
        <v>0</v>
      </c>
      <c r="BA27" s="81">
        <f t="shared" si="18"/>
        <v>18.848203874999999</v>
      </c>
      <c r="BB27" s="81">
        <f t="shared" si="18"/>
        <v>793.84199850000005</v>
      </c>
      <c r="BC27" s="81">
        <f t="shared" si="18"/>
        <v>37.934485875</v>
      </c>
      <c r="BD27" s="81">
        <f t="shared" si="18"/>
        <v>0</v>
      </c>
      <c r="BE27" s="81">
        <f t="shared" si="18"/>
        <v>2908.3105837499998</v>
      </c>
      <c r="BF27" s="81">
        <f t="shared" si="18"/>
        <v>0</v>
      </c>
      <c r="BG27" s="81">
        <f t="shared" si="18"/>
        <v>0</v>
      </c>
      <c r="BH27" s="81">
        <f t="shared" si="18"/>
        <v>0</v>
      </c>
      <c r="BI27" s="81">
        <f t="shared" si="18"/>
        <v>0</v>
      </c>
      <c r="BJ27" s="81">
        <f t="shared" si="18"/>
        <v>173.51918912624998</v>
      </c>
      <c r="BK27" s="81">
        <f t="shared" si="18"/>
        <v>3119.7642587512501</v>
      </c>
    </row>
    <row r="28" spans="1:77" s="3" customFormat="1" ht="15" customHeight="1" x14ac:dyDescent="0.25">
      <c r="A28" s="104" t="s">
        <v>168</v>
      </c>
      <c r="B28" s="104"/>
      <c r="C28" s="105" t="s">
        <v>3214</v>
      </c>
      <c r="D28" s="106"/>
      <c r="E28" s="107"/>
      <c r="F28" s="107"/>
      <c r="G28" s="107"/>
      <c r="H28" s="107"/>
      <c r="I28" s="107"/>
      <c r="J28" s="107"/>
      <c r="K28" s="108"/>
      <c r="L28" s="107"/>
      <c r="M28" s="107"/>
      <c r="N28" s="107"/>
      <c r="O28" s="109"/>
      <c r="P28" s="109"/>
      <c r="Q28" s="109"/>
      <c r="R28" s="109"/>
      <c r="S28" s="110">
        <f>+S29</f>
        <v>0</v>
      </c>
      <c r="T28" s="110">
        <f t="shared" ref="T28:BK28" si="19">+T29</f>
        <v>0</v>
      </c>
      <c r="U28" s="110">
        <f t="shared" si="19"/>
        <v>14</v>
      </c>
      <c r="V28" s="110">
        <f t="shared" si="19"/>
        <v>0</v>
      </c>
      <c r="W28" s="110">
        <f t="shared" si="19"/>
        <v>0</v>
      </c>
      <c r="X28" s="110">
        <f t="shared" si="19"/>
        <v>0</v>
      </c>
      <c r="Y28" s="110">
        <f t="shared" si="19"/>
        <v>0</v>
      </c>
      <c r="Z28" s="110">
        <f t="shared" si="19"/>
        <v>0</v>
      </c>
      <c r="AA28" s="110">
        <f t="shared" si="19"/>
        <v>14</v>
      </c>
      <c r="AB28" s="110">
        <f t="shared" si="19"/>
        <v>0</v>
      </c>
      <c r="AC28" s="110">
        <f t="shared" si="19"/>
        <v>0</v>
      </c>
      <c r="AD28" s="110">
        <f t="shared" si="19"/>
        <v>14.49</v>
      </c>
      <c r="AE28" s="110">
        <f t="shared" si="19"/>
        <v>0</v>
      </c>
      <c r="AF28" s="110">
        <f t="shared" si="19"/>
        <v>0</v>
      </c>
      <c r="AG28" s="110">
        <f t="shared" si="19"/>
        <v>0</v>
      </c>
      <c r="AH28" s="110">
        <f t="shared" si="19"/>
        <v>0</v>
      </c>
      <c r="AI28" s="110">
        <f t="shared" si="19"/>
        <v>0</v>
      </c>
      <c r="AJ28" s="110">
        <f t="shared" si="19"/>
        <v>14.49</v>
      </c>
      <c r="AK28" s="110">
        <f t="shared" si="19"/>
        <v>0</v>
      </c>
      <c r="AL28" s="110">
        <f t="shared" si="19"/>
        <v>0</v>
      </c>
      <c r="AM28" s="110">
        <f t="shared" si="19"/>
        <v>14.99715</v>
      </c>
      <c r="AN28" s="110">
        <f t="shared" si="19"/>
        <v>0</v>
      </c>
      <c r="AO28" s="110">
        <f t="shared" si="19"/>
        <v>0</v>
      </c>
      <c r="AP28" s="110">
        <f t="shared" si="19"/>
        <v>0</v>
      </c>
      <c r="AQ28" s="110">
        <f t="shared" si="19"/>
        <v>0</v>
      </c>
      <c r="AR28" s="110">
        <f t="shared" si="19"/>
        <v>0</v>
      </c>
      <c r="AS28" s="110">
        <f t="shared" si="19"/>
        <v>14.99715</v>
      </c>
      <c r="AT28" s="110">
        <f t="shared" si="19"/>
        <v>0</v>
      </c>
      <c r="AU28" s="110">
        <f t="shared" si="19"/>
        <v>0</v>
      </c>
      <c r="AV28" s="110">
        <f t="shared" si="19"/>
        <v>15.522050249999999</v>
      </c>
      <c r="AW28" s="110">
        <f t="shared" si="19"/>
        <v>0</v>
      </c>
      <c r="AX28" s="110">
        <f t="shared" si="19"/>
        <v>0</v>
      </c>
      <c r="AY28" s="110">
        <f t="shared" si="19"/>
        <v>0</v>
      </c>
      <c r="AZ28" s="110">
        <f t="shared" si="19"/>
        <v>0</v>
      </c>
      <c r="BA28" s="110">
        <f t="shared" si="19"/>
        <v>0</v>
      </c>
      <c r="BB28" s="110">
        <f t="shared" si="19"/>
        <v>15.522050249999999</v>
      </c>
      <c r="BC28" s="110">
        <f t="shared" si="19"/>
        <v>0</v>
      </c>
      <c r="BD28" s="110">
        <f t="shared" si="19"/>
        <v>0</v>
      </c>
      <c r="BE28" s="110">
        <f t="shared" si="19"/>
        <v>59.009200249999999</v>
      </c>
      <c r="BF28" s="110">
        <f t="shared" si="19"/>
        <v>0</v>
      </c>
      <c r="BG28" s="110">
        <f t="shared" si="19"/>
        <v>0</v>
      </c>
      <c r="BH28" s="110">
        <f t="shared" si="19"/>
        <v>0</v>
      </c>
      <c r="BI28" s="110">
        <f t="shared" si="19"/>
        <v>0</v>
      </c>
      <c r="BJ28" s="110">
        <f t="shared" si="19"/>
        <v>0</v>
      </c>
      <c r="BK28" s="110">
        <f t="shared" si="19"/>
        <v>59.009200249999999</v>
      </c>
    </row>
    <row r="29" spans="1:77" s="3" customFormat="1" ht="51" customHeight="1" x14ac:dyDescent="0.25">
      <c r="A29" s="82" t="s">
        <v>168</v>
      </c>
      <c r="B29" s="1690" t="s">
        <v>3215</v>
      </c>
      <c r="C29" s="1441" t="s">
        <v>3216</v>
      </c>
      <c r="D29" s="1440" t="s">
        <v>3217</v>
      </c>
      <c r="E29" s="1442">
        <v>2014</v>
      </c>
      <c r="F29" s="1442">
        <v>4.3</v>
      </c>
      <c r="G29" s="1440" t="s">
        <v>3218</v>
      </c>
      <c r="H29" s="1442"/>
      <c r="I29" s="1442"/>
      <c r="J29" s="1438" t="s">
        <v>3219</v>
      </c>
      <c r="K29" s="1438" t="s">
        <v>3220</v>
      </c>
      <c r="L29" s="11">
        <v>2015</v>
      </c>
      <c r="M29" s="86">
        <v>1</v>
      </c>
      <c r="N29" s="111">
        <v>1</v>
      </c>
      <c r="O29" s="83">
        <v>1</v>
      </c>
      <c r="P29" s="83">
        <v>1</v>
      </c>
      <c r="Q29" s="83">
        <v>1</v>
      </c>
      <c r="R29" s="87">
        <v>1</v>
      </c>
      <c r="S29" s="1663">
        <v>0</v>
      </c>
      <c r="T29" s="1663">
        <v>0</v>
      </c>
      <c r="U29" s="1663">
        <v>14</v>
      </c>
      <c r="V29" s="1663">
        <v>0</v>
      </c>
      <c r="W29" s="1661">
        <v>0</v>
      </c>
      <c r="X29" s="1661">
        <v>0</v>
      </c>
      <c r="Y29" s="1661">
        <v>0</v>
      </c>
      <c r="Z29" s="1661">
        <v>0</v>
      </c>
      <c r="AA29" s="1661">
        <f>+Z29+Y29+X29+W29+V29+U29+T29+S29</f>
        <v>14</v>
      </c>
      <c r="AB29" s="1661">
        <f>+(((S29*3.5%)+S29))</f>
        <v>0</v>
      </c>
      <c r="AC29" s="1661">
        <f t="shared" ref="AC29:AI29" si="20">+(((T29*3.5%)+T29))</f>
        <v>0</v>
      </c>
      <c r="AD29" s="1661">
        <f t="shared" si="20"/>
        <v>14.49</v>
      </c>
      <c r="AE29" s="1661">
        <f t="shared" si="20"/>
        <v>0</v>
      </c>
      <c r="AF29" s="1661">
        <f t="shared" si="20"/>
        <v>0</v>
      </c>
      <c r="AG29" s="1661">
        <f t="shared" si="20"/>
        <v>0</v>
      </c>
      <c r="AH29" s="1661">
        <f t="shared" si="20"/>
        <v>0</v>
      </c>
      <c r="AI29" s="1661">
        <f t="shared" si="20"/>
        <v>0</v>
      </c>
      <c r="AJ29" s="1661">
        <f>+AI29+AH29+AG29+AF29+AE29+AD29+AC29+AB29</f>
        <v>14.49</v>
      </c>
      <c r="AK29" s="1661">
        <f t="shared" ref="AK29:AR29" si="21">+(((AB29*3.5%)+AB29))</f>
        <v>0</v>
      </c>
      <c r="AL29" s="1661">
        <f t="shared" si="21"/>
        <v>0</v>
      </c>
      <c r="AM29" s="1661">
        <f t="shared" si="21"/>
        <v>14.99715</v>
      </c>
      <c r="AN29" s="1661">
        <f t="shared" si="21"/>
        <v>0</v>
      </c>
      <c r="AO29" s="1661">
        <f t="shared" si="21"/>
        <v>0</v>
      </c>
      <c r="AP29" s="1661">
        <f t="shared" si="21"/>
        <v>0</v>
      </c>
      <c r="AQ29" s="1661">
        <f t="shared" si="21"/>
        <v>0</v>
      </c>
      <c r="AR29" s="1661">
        <f t="shared" si="21"/>
        <v>0</v>
      </c>
      <c r="AS29" s="1661">
        <f>+AR29+AQ29+AP29+AO29+AN29+AM29+AL29+AK29</f>
        <v>14.99715</v>
      </c>
      <c r="AT29" s="1661">
        <f t="shared" ref="AT29:BA29" si="22">+(((AK29*3.5%)+AK29))</f>
        <v>0</v>
      </c>
      <c r="AU29" s="1661">
        <f t="shared" si="22"/>
        <v>0</v>
      </c>
      <c r="AV29" s="1661">
        <f t="shared" si="22"/>
        <v>15.522050249999999</v>
      </c>
      <c r="AW29" s="1661">
        <f t="shared" si="22"/>
        <v>0</v>
      </c>
      <c r="AX29" s="1661">
        <f t="shared" si="22"/>
        <v>0</v>
      </c>
      <c r="AY29" s="1661">
        <f t="shared" si="22"/>
        <v>0</v>
      </c>
      <c r="AZ29" s="1661">
        <f t="shared" si="22"/>
        <v>0</v>
      </c>
      <c r="BA29" s="1661">
        <f t="shared" si="22"/>
        <v>0</v>
      </c>
      <c r="BB29" s="1661">
        <f>+BA29+AZ29+AY29+AX29+AW29+AV29+AU29+AT29</f>
        <v>15.522050249999999</v>
      </c>
      <c r="BC29" s="1661">
        <f>+S29+AB29+AK29+AT29</f>
        <v>0</v>
      </c>
      <c r="BD29" s="1661">
        <f t="shared" ref="BD29:BJ29" si="23">+T29+AC29+AL29+AU29</f>
        <v>0</v>
      </c>
      <c r="BE29" s="1661">
        <f t="shared" si="23"/>
        <v>59.009200249999999</v>
      </c>
      <c r="BF29" s="1661">
        <f t="shared" si="23"/>
        <v>0</v>
      </c>
      <c r="BG29" s="1661">
        <f t="shared" si="23"/>
        <v>0</v>
      </c>
      <c r="BH29" s="1661">
        <f t="shared" si="23"/>
        <v>0</v>
      </c>
      <c r="BI29" s="1661">
        <f t="shared" si="23"/>
        <v>0</v>
      </c>
      <c r="BJ29" s="1661">
        <f t="shared" si="23"/>
        <v>0</v>
      </c>
      <c r="BK29" s="1661">
        <f>+BJ29+BI29+BH29+BG29+BF29+BE29+BD29+BC29</f>
        <v>59.009200249999999</v>
      </c>
    </row>
    <row r="30" spans="1:77" s="3" customFormat="1" ht="66" x14ac:dyDescent="0.25">
      <c r="A30" s="82" t="s">
        <v>168</v>
      </c>
      <c r="B30" s="1691"/>
      <c r="C30" s="1689" t="s">
        <v>3221</v>
      </c>
      <c r="D30" s="1686" t="s">
        <v>3222</v>
      </c>
      <c r="E30" s="1686" t="s">
        <v>177</v>
      </c>
      <c r="F30" s="1686" t="s">
        <v>177</v>
      </c>
      <c r="G30" s="1687">
        <v>1</v>
      </c>
      <c r="H30" s="1686"/>
      <c r="I30" s="1686"/>
      <c r="J30" s="1438" t="s">
        <v>3223</v>
      </c>
      <c r="K30" s="95" t="s">
        <v>3224</v>
      </c>
      <c r="L30" s="11">
        <v>2015</v>
      </c>
      <c r="M30" s="86" t="s">
        <v>177</v>
      </c>
      <c r="N30" s="111">
        <v>1</v>
      </c>
      <c r="O30" s="83">
        <v>1</v>
      </c>
      <c r="P30" s="83">
        <v>1</v>
      </c>
      <c r="Q30" s="83">
        <v>1</v>
      </c>
      <c r="R30" s="87">
        <v>1</v>
      </c>
      <c r="S30" s="1666"/>
      <c r="T30" s="1666"/>
      <c r="U30" s="1666"/>
      <c r="V30" s="1666"/>
      <c r="W30" s="1665"/>
      <c r="X30" s="1665"/>
      <c r="Y30" s="1665"/>
      <c r="Z30" s="1665"/>
      <c r="AA30" s="1665"/>
      <c r="AB30" s="1665"/>
      <c r="AC30" s="1665"/>
      <c r="AD30" s="1665"/>
      <c r="AE30" s="1665"/>
      <c r="AF30" s="1665"/>
      <c r="AG30" s="1665"/>
      <c r="AH30" s="1665"/>
      <c r="AI30" s="1665"/>
      <c r="AJ30" s="1665"/>
      <c r="AK30" s="1665"/>
      <c r="AL30" s="1665"/>
      <c r="AM30" s="1665"/>
      <c r="AN30" s="1665"/>
      <c r="AO30" s="1665"/>
      <c r="AP30" s="1665"/>
      <c r="AQ30" s="1665"/>
      <c r="AR30" s="1665"/>
      <c r="AS30" s="1665"/>
      <c r="AT30" s="1665"/>
      <c r="AU30" s="1665"/>
      <c r="AV30" s="1665"/>
      <c r="AW30" s="1665"/>
      <c r="AX30" s="1665"/>
      <c r="AY30" s="1665"/>
      <c r="AZ30" s="1665"/>
      <c r="BA30" s="1665"/>
      <c r="BB30" s="1665"/>
      <c r="BC30" s="1665"/>
      <c r="BD30" s="1665"/>
      <c r="BE30" s="1665"/>
      <c r="BF30" s="1665"/>
      <c r="BG30" s="1665"/>
      <c r="BH30" s="1665"/>
      <c r="BI30" s="1665"/>
      <c r="BJ30" s="1665"/>
      <c r="BK30" s="1665"/>
    </row>
    <row r="31" spans="1:77" s="3" customFormat="1" ht="66" x14ac:dyDescent="0.25">
      <c r="A31" s="82" t="s">
        <v>168</v>
      </c>
      <c r="B31" s="1691"/>
      <c r="C31" s="1689"/>
      <c r="D31" s="1686"/>
      <c r="E31" s="1686"/>
      <c r="F31" s="1686"/>
      <c r="G31" s="1687"/>
      <c r="H31" s="1686"/>
      <c r="I31" s="1686"/>
      <c r="J31" s="1438" t="s">
        <v>3225</v>
      </c>
      <c r="K31" s="1439" t="s">
        <v>3226</v>
      </c>
      <c r="L31" s="11">
        <v>2015</v>
      </c>
      <c r="M31" s="86" t="s">
        <v>3227</v>
      </c>
      <c r="N31" s="111" t="s">
        <v>3228</v>
      </c>
      <c r="O31" s="111" t="s">
        <v>3229</v>
      </c>
      <c r="P31" s="111" t="s">
        <v>3230</v>
      </c>
      <c r="Q31" s="111" t="s">
        <v>3231</v>
      </c>
      <c r="R31" s="87" t="s">
        <v>3232</v>
      </c>
      <c r="S31" s="1666"/>
      <c r="T31" s="1666"/>
      <c r="U31" s="1666"/>
      <c r="V31" s="1666"/>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665"/>
      <c r="AU31" s="1665"/>
      <c r="AV31" s="1665"/>
      <c r="AW31" s="1665"/>
      <c r="AX31" s="1665"/>
      <c r="AY31" s="1665"/>
      <c r="AZ31" s="1665"/>
      <c r="BA31" s="1665"/>
      <c r="BB31" s="1665"/>
      <c r="BC31" s="1665"/>
      <c r="BD31" s="1665"/>
      <c r="BE31" s="1665"/>
      <c r="BF31" s="1665"/>
      <c r="BG31" s="1665"/>
      <c r="BH31" s="1665"/>
      <c r="BI31" s="1665"/>
      <c r="BJ31" s="1665"/>
      <c r="BK31" s="1665"/>
    </row>
    <row r="32" spans="1:77" s="3" customFormat="1" ht="52.8" x14ac:dyDescent="0.25">
      <c r="A32" s="82" t="s">
        <v>168</v>
      </c>
      <c r="B32" s="1691"/>
      <c r="C32" s="1689"/>
      <c r="D32" s="1686"/>
      <c r="E32" s="1686"/>
      <c r="F32" s="1686"/>
      <c r="G32" s="1687"/>
      <c r="H32" s="1686"/>
      <c r="I32" s="1686"/>
      <c r="J32" s="1438" t="s">
        <v>3233</v>
      </c>
      <c r="K32" s="1439" t="s">
        <v>3234</v>
      </c>
      <c r="L32" s="11">
        <v>2015</v>
      </c>
      <c r="M32" s="86">
        <v>1</v>
      </c>
      <c r="N32" s="111">
        <v>1</v>
      </c>
      <c r="O32" s="111">
        <v>1</v>
      </c>
      <c r="P32" s="111">
        <v>1</v>
      </c>
      <c r="Q32" s="111">
        <v>1</v>
      </c>
      <c r="R32" s="87">
        <v>1</v>
      </c>
      <c r="S32" s="1666"/>
      <c r="T32" s="1666"/>
      <c r="U32" s="1666"/>
      <c r="V32" s="1666"/>
      <c r="W32" s="1665"/>
      <c r="X32" s="1665"/>
      <c r="Y32" s="1665"/>
      <c r="Z32" s="1665"/>
      <c r="AA32" s="1665"/>
      <c r="AB32" s="1665"/>
      <c r="AC32" s="1665"/>
      <c r="AD32" s="1665"/>
      <c r="AE32" s="1665"/>
      <c r="AF32" s="1665"/>
      <c r="AG32" s="1665"/>
      <c r="AH32" s="1665"/>
      <c r="AI32" s="1665"/>
      <c r="AJ32" s="1665"/>
      <c r="AK32" s="1665"/>
      <c r="AL32" s="1665"/>
      <c r="AM32" s="1665"/>
      <c r="AN32" s="1665"/>
      <c r="AO32" s="1665"/>
      <c r="AP32" s="1665"/>
      <c r="AQ32" s="1665"/>
      <c r="AR32" s="1665"/>
      <c r="AS32" s="1665"/>
      <c r="AT32" s="1665"/>
      <c r="AU32" s="1665"/>
      <c r="AV32" s="1665"/>
      <c r="AW32" s="1665"/>
      <c r="AX32" s="1665"/>
      <c r="AY32" s="1665"/>
      <c r="AZ32" s="1665"/>
      <c r="BA32" s="1665"/>
      <c r="BB32" s="1665"/>
      <c r="BC32" s="1665"/>
      <c r="BD32" s="1665"/>
      <c r="BE32" s="1665"/>
      <c r="BF32" s="1665"/>
      <c r="BG32" s="1665"/>
      <c r="BH32" s="1665"/>
      <c r="BI32" s="1665"/>
      <c r="BJ32" s="1665"/>
      <c r="BK32" s="1665"/>
    </row>
    <row r="33" spans="1:63" s="3" customFormat="1" ht="66" x14ac:dyDescent="0.25">
      <c r="A33" s="82" t="s">
        <v>168</v>
      </c>
      <c r="B33" s="1691"/>
      <c r="C33" s="1689"/>
      <c r="D33" s="1686"/>
      <c r="E33" s="1686"/>
      <c r="F33" s="1686"/>
      <c r="G33" s="1687"/>
      <c r="H33" s="1686"/>
      <c r="I33" s="1686"/>
      <c r="J33" s="1439" t="s">
        <v>3235</v>
      </c>
      <c r="K33" s="1439" t="s">
        <v>3236</v>
      </c>
      <c r="L33" s="11">
        <v>2015</v>
      </c>
      <c r="M33" s="112">
        <v>0</v>
      </c>
      <c r="N33" s="112">
        <v>0</v>
      </c>
      <c r="O33" s="111" t="s">
        <v>3237</v>
      </c>
      <c r="P33" s="111" t="s">
        <v>3237</v>
      </c>
      <c r="Q33" s="112">
        <v>0</v>
      </c>
      <c r="R33" s="87" t="s">
        <v>3238</v>
      </c>
      <c r="S33" s="1666"/>
      <c r="T33" s="1666"/>
      <c r="U33" s="1666"/>
      <c r="V33" s="1666"/>
      <c r="W33" s="1665"/>
      <c r="X33" s="1665"/>
      <c r="Y33" s="1665"/>
      <c r="Z33" s="1665"/>
      <c r="AA33" s="1665"/>
      <c r="AB33" s="1665"/>
      <c r="AC33" s="1665"/>
      <c r="AD33" s="1665"/>
      <c r="AE33" s="1665"/>
      <c r="AF33" s="1665"/>
      <c r="AG33" s="1665"/>
      <c r="AH33" s="1665"/>
      <c r="AI33" s="1665"/>
      <c r="AJ33" s="1665"/>
      <c r="AK33" s="1665"/>
      <c r="AL33" s="1665"/>
      <c r="AM33" s="1665"/>
      <c r="AN33" s="1665"/>
      <c r="AO33" s="1665"/>
      <c r="AP33" s="1665"/>
      <c r="AQ33" s="1665"/>
      <c r="AR33" s="1665"/>
      <c r="AS33" s="1665"/>
      <c r="AT33" s="1665"/>
      <c r="AU33" s="1665"/>
      <c r="AV33" s="1665"/>
      <c r="AW33" s="1665"/>
      <c r="AX33" s="1665"/>
      <c r="AY33" s="1665"/>
      <c r="AZ33" s="1665"/>
      <c r="BA33" s="1665"/>
      <c r="BB33" s="1665"/>
      <c r="BC33" s="1665"/>
      <c r="BD33" s="1665"/>
      <c r="BE33" s="1665"/>
      <c r="BF33" s="1665"/>
      <c r="BG33" s="1665"/>
      <c r="BH33" s="1665"/>
      <c r="BI33" s="1665"/>
      <c r="BJ33" s="1665"/>
      <c r="BK33" s="1665"/>
    </row>
    <row r="34" spans="1:63" s="3" customFormat="1" ht="79.2" x14ac:dyDescent="0.25">
      <c r="A34" s="82" t="s">
        <v>168</v>
      </c>
      <c r="B34" s="1691"/>
      <c r="C34" s="1689"/>
      <c r="D34" s="1686"/>
      <c r="E34" s="1686"/>
      <c r="F34" s="1686"/>
      <c r="G34" s="1687"/>
      <c r="H34" s="1686"/>
      <c r="I34" s="1686"/>
      <c r="J34" s="1439" t="s">
        <v>3239</v>
      </c>
      <c r="K34" s="1439" t="s">
        <v>3240</v>
      </c>
      <c r="L34" s="11">
        <v>2015</v>
      </c>
      <c r="M34" s="112" t="s">
        <v>177</v>
      </c>
      <c r="N34" s="112" t="s">
        <v>3241</v>
      </c>
      <c r="O34" s="112" t="s">
        <v>3241</v>
      </c>
      <c r="P34" s="112" t="s">
        <v>3241</v>
      </c>
      <c r="Q34" s="112" t="s">
        <v>3241</v>
      </c>
      <c r="R34" s="113" t="s">
        <v>3242</v>
      </c>
      <c r="S34" s="1666"/>
      <c r="T34" s="1666"/>
      <c r="U34" s="1666"/>
      <c r="V34" s="1666"/>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665"/>
      <c r="AU34" s="1665"/>
      <c r="AV34" s="1665"/>
      <c r="AW34" s="1665"/>
      <c r="AX34" s="1665"/>
      <c r="AY34" s="1665"/>
      <c r="AZ34" s="1665"/>
      <c r="BA34" s="1665"/>
      <c r="BB34" s="1665"/>
      <c r="BC34" s="1665"/>
      <c r="BD34" s="1665"/>
      <c r="BE34" s="1665"/>
      <c r="BF34" s="1665"/>
      <c r="BG34" s="1665"/>
      <c r="BH34" s="1665"/>
      <c r="BI34" s="1665"/>
      <c r="BJ34" s="1665"/>
      <c r="BK34" s="1665"/>
    </row>
    <row r="35" spans="1:63" s="3" customFormat="1" ht="39.6" x14ac:dyDescent="0.25">
      <c r="A35" s="82" t="s">
        <v>168</v>
      </c>
      <c r="B35" s="1691"/>
      <c r="C35" s="1689" t="s">
        <v>3243</v>
      </c>
      <c r="D35" s="1686" t="s">
        <v>3244</v>
      </c>
      <c r="E35" s="1686">
        <v>2013</v>
      </c>
      <c r="F35" s="1686">
        <v>0</v>
      </c>
      <c r="G35" s="1687" t="s">
        <v>3245</v>
      </c>
      <c r="H35" s="1686"/>
      <c r="I35" s="1686"/>
      <c r="J35" s="1439" t="s">
        <v>3246</v>
      </c>
      <c r="K35" s="1439" t="s">
        <v>3247</v>
      </c>
      <c r="L35" s="11">
        <v>2015</v>
      </c>
      <c r="M35" s="114">
        <v>1</v>
      </c>
      <c r="N35" s="114">
        <v>1</v>
      </c>
      <c r="O35" s="114">
        <v>1</v>
      </c>
      <c r="P35" s="114">
        <v>1</v>
      </c>
      <c r="Q35" s="114">
        <v>1</v>
      </c>
      <c r="R35" s="113">
        <v>1</v>
      </c>
      <c r="S35" s="1666"/>
      <c r="T35" s="1666"/>
      <c r="U35" s="1666"/>
      <c r="V35" s="1666"/>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665"/>
      <c r="AU35" s="1665"/>
      <c r="AV35" s="1665"/>
      <c r="AW35" s="1665"/>
      <c r="AX35" s="1665"/>
      <c r="AY35" s="1665"/>
      <c r="AZ35" s="1665"/>
      <c r="BA35" s="1665"/>
      <c r="BB35" s="1665"/>
      <c r="BC35" s="1665"/>
      <c r="BD35" s="1665"/>
      <c r="BE35" s="1665"/>
      <c r="BF35" s="1665"/>
      <c r="BG35" s="1665"/>
      <c r="BH35" s="1665"/>
      <c r="BI35" s="1665"/>
      <c r="BJ35" s="1665"/>
      <c r="BK35" s="1665"/>
    </row>
    <row r="36" spans="1:63" s="3" customFormat="1" ht="66" x14ac:dyDescent="0.25">
      <c r="A36" s="82" t="s">
        <v>168</v>
      </c>
      <c r="B36" s="1691"/>
      <c r="C36" s="1689"/>
      <c r="D36" s="1686"/>
      <c r="E36" s="1686"/>
      <c r="F36" s="1686"/>
      <c r="G36" s="1687"/>
      <c r="H36" s="1686"/>
      <c r="I36" s="1686"/>
      <c r="J36" s="1439" t="s">
        <v>3248</v>
      </c>
      <c r="K36" s="95" t="s">
        <v>3249</v>
      </c>
      <c r="L36" s="11">
        <v>2015</v>
      </c>
      <c r="M36" s="114">
        <v>1</v>
      </c>
      <c r="N36" s="112" t="s">
        <v>3250</v>
      </c>
      <c r="O36" s="115" t="s">
        <v>3251</v>
      </c>
      <c r="P36" s="115" t="s">
        <v>3252</v>
      </c>
      <c r="Q36" s="115" t="s">
        <v>3253</v>
      </c>
      <c r="R36" s="113">
        <v>1</v>
      </c>
      <c r="S36" s="1664"/>
      <c r="T36" s="1664"/>
      <c r="U36" s="1664"/>
      <c r="V36" s="1664"/>
      <c r="W36" s="1662"/>
      <c r="X36" s="1662"/>
      <c r="Y36" s="1662"/>
      <c r="Z36" s="1662"/>
      <c r="AA36" s="1662"/>
      <c r="AB36" s="1662"/>
      <c r="AC36" s="1662"/>
      <c r="AD36" s="1662"/>
      <c r="AE36" s="1662"/>
      <c r="AF36" s="1662"/>
      <c r="AG36" s="1662"/>
      <c r="AH36" s="1662"/>
      <c r="AI36" s="1662"/>
      <c r="AJ36" s="1662"/>
      <c r="AK36" s="1662"/>
      <c r="AL36" s="1662"/>
      <c r="AM36" s="1662"/>
      <c r="AN36" s="1662"/>
      <c r="AO36" s="1662"/>
      <c r="AP36" s="1662"/>
      <c r="AQ36" s="1662"/>
      <c r="AR36" s="1662"/>
      <c r="AS36" s="1662"/>
      <c r="AT36" s="1662"/>
      <c r="AU36" s="1662"/>
      <c r="AV36" s="1662"/>
      <c r="AW36" s="1662"/>
      <c r="AX36" s="1662"/>
      <c r="AY36" s="1662"/>
      <c r="AZ36" s="1662"/>
      <c r="BA36" s="1662"/>
      <c r="BB36" s="1662"/>
      <c r="BC36" s="1662"/>
      <c r="BD36" s="1662"/>
      <c r="BE36" s="1662"/>
      <c r="BF36" s="1662"/>
      <c r="BG36" s="1662"/>
      <c r="BH36" s="1662"/>
      <c r="BI36" s="1662"/>
      <c r="BJ36" s="1662"/>
      <c r="BK36" s="1662"/>
    </row>
    <row r="37" spans="1:63" s="3" customFormat="1" ht="15" customHeight="1" x14ac:dyDescent="0.25">
      <c r="A37" s="104" t="s">
        <v>168</v>
      </c>
      <c r="B37" s="1691"/>
      <c r="C37" s="116" t="s">
        <v>3254</v>
      </c>
      <c r="D37" s="106"/>
      <c r="E37" s="107"/>
      <c r="F37" s="107"/>
      <c r="G37" s="107"/>
      <c r="H37" s="107"/>
      <c r="I37" s="107"/>
      <c r="J37" s="107"/>
      <c r="K37" s="108"/>
      <c r="L37" s="107"/>
      <c r="M37" s="107"/>
      <c r="N37" s="107"/>
      <c r="O37" s="109"/>
      <c r="P37" s="109"/>
      <c r="Q37" s="109"/>
      <c r="R37" s="109"/>
      <c r="S37" s="110">
        <f>+S38</f>
        <v>0</v>
      </c>
      <c r="T37" s="110">
        <f t="shared" ref="T37:BK37" si="24">+T38</f>
        <v>0</v>
      </c>
      <c r="U37" s="110">
        <f t="shared" si="24"/>
        <v>57</v>
      </c>
      <c r="V37" s="110">
        <f t="shared" si="24"/>
        <v>0</v>
      </c>
      <c r="W37" s="110">
        <f t="shared" si="24"/>
        <v>0</v>
      </c>
      <c r="X37" s="110">
        <f t="shared" si="24"/>
        <v>0</v>
      </c>
      <c r="Y37" s="110">
        <f t="shared" si="24"/>
        <v>0</v>
      </c>
      <c r="Z37" s="110">
        <f t="shared" si="24"/>
        <v>4</v>
      </c>
      <c r="AA37" s="110">
        <f t="shared" si="24"/>
        <v>61</v>
      </c>
      <c r="AB37" s="110">
        <f t="shared" si="24"/>
        <v>0</v>
      </c>
      <c r="AC37" s="110">
        <f t="shared" si="24"/>
        <v>0</v>
      </c>
      <c r="AD37" s="110">
        <f t="shared" si="24"/>
        <v>58.994999999999997</v>
      </c>
      <c r="AE37" s="110">
        <f t="shared" si="24"/>
        <v>0</v>
      </c>
      <c r="AF37" s="110">
        <f t="shared" si="24"/>
        <v>0</v>
      </c>
      <c r="AG37" s="110">
        <f t="shared" si="24"/>
        <v>0</v>
      </c>
      <c r="AH37" s="110">
        <f t="shared" si="24"/>
        <v>0</v>
      </c>
      <c r="AI37" s="110">
        <f t="shared" si="24"/>
        <v>4.1399999999999997</v>
      </c>
      <c r="AJ37" s="110">
        <f t="shared" si="24"/>
        <v>63.134999999999998</v>
      </c>
      <c r="AK37" s="110">
        <f t="shared" si="24"/>
        <v>0</v>
      </c>
      <c r="AL37" s="110">
        <f t="shared" si="24"/>
        <v>0</v>
      </c>
      <c r="AM37" s="110">
        <f t="shared" si="24"/>
        <v>61.059824999999996</v>
      </c>
      <c r="AN37" s="110">
        <f t="shared" si="24"/>
        <v>0</v>
      </c>
      <c r="AO37" s="110">
        <f t="shared" si="24"/>
        <v>0</v>
      </c>
      <c r="AP37" s="110">
        <f t="shared" si="24"/>
        <v>0</v>
      </c>
      <c r="AQ37" s="110">
        <f t="shared" si="24"/>
        <v>0</v>
      </c>
      <c r="AR37" s="110">
        <f t="shared" si="24"/>
        <v>4.2848999999999995</v>
      </c>
      <c r="AS37" s="110">
        <f t="shared" si="24"/>
        <v>65.344724999999997</v>
      </c>
      <c r="AT37" s="110">
        <f t="shared" si="24"/>
        <v>0</v>
      </c>
      <c r="AU37" s="110">
        <f t="shared" si="24"/>
        <v>0</v>
      </c>
      <c r="AV37" s="110">
        <f t="shared" si="24"/>
        <v>63.196918874999994</v>
      </c>
      <c r="AW37" s="110">
        <f t="shared" si="24"/>
        <v>0</v>
      </c>
      <c r="AX37" s="110">
        <f t="shared" si="24"/>
        <v>0</v>
      </c>
      <c r="AY37" s="110">
        <f t="shared" si="24"/>
        <v>0</v>
      </c>
      <c r="AZ37" s="110">
        <f t="shared" si="24"/>
        <v>0</v>
      </c>
      <c r="BA37" s="110">
        <f t="shared" si="24"/>
        <v>4.4348714999999999</v>
      </c>
      <c r="BB37" s="110">
        <f t="shared" si="24"/>
        <v>67.631790374999994</v>
      </c>
      <c r="BC37" s="110">
        <f t="shared" si="24"/>
        <v>0</v>
      </c>
      <c r="BD37" s="110">
        <f t="shared" si="24"/>
        <v>0</v>
      </c>
      <c r="BE37" s="110">
        <f t="shared" si="24"/>
        <v>240.25174387499999</v>
      </c>
      <c r="BF37" s="110">
        <f t="shared" si="24"/>
        <v>0</v>
      </c>
      <c r="BG37" s="110">
        <f t="shared" si="24"/>
        <v>0</v>
      </c>
      <c r="BH37" s="110">
        <f t="shared" si="24"/>
        <v>0</v>
      </c>
      <c r="BI37" s="110">
        <f t="shared" si="24"/>
        <v>0</v>
      </c>
      <c r="BJ37" s="110">
        <f t="shared" si="24"/>
        <v>16.859771500000001</v>
      </c>
      <c r="BK37" s="110">
        <f t="shared" si="24"/>
        <v>257.11151537500001</v>
      </c>
    </row>
    <row r="38" spans="1:63" s="3" customFormat="1" ht="52.8" x14ac:dyDescent="0.25">
      <c r="A38" s="82"/>
      <c r="B38" s="1691"/>
      <c r="C38" s="1441" t="s">
        <v>3255</v>
      </c>
      <c r="D38" s="1440" t="s">
        <v>3256</v>
      </c>
      <c r="E38" s="1442">
        <v>2013</v>
      </c>
      <c r="F38" s="1442">
        <v>34.9</v>
      </c>
      <c r="G38" s="1443" t="s">
        <v>3257</v>
      </c>
      <c r="H38" s="1442"/>
      <c r="I38" s="1442"/>
      <c r="J38" s="1439" t="s">
        <v>3258</v>
      </c>
      <c r="K38" s="95" t="s">
        <v>3259</v>
      </c>
      <c r="L38" s="11">
        <v>2015</v>
      </c>
      <c r="M38" s="114">
        <v>0.05</v>
      </c>
      <c r="N38" s="114">
        <v>0.05</v>
      </c>
      <c r="O38" s="117">
        <v>0.05</v>
      </c>
      <c r="P38" s="117">
        <v>0.05</v>
      </c>
      <c r="Q38" s="117">
        <v>0.05</v>
      </c>
      <c r="R38" s="113">
        <v>0.2</v>
      </c>
      <c r="S38" s="1663">
        <v>0</v>
      </c>
      <c r="T38" s="1663">
        <v>0</v>
      </c>
      <c r="U38" s="1663">
        <v>57</v>
      </c>
      <c r="V38" s="1663">
        <v>0</v>
      </c>
      <c r="W38" s="1661">
        <v>0</v>
      </c>
      <c r="X38" s="1661">
        <v>0</v>
      </c>
      <c r="Y38" s="1661">
        <v>0</v>
      </c>
      <c r="Z38" s="1661">
        <v>4</v>
      </c>
      <c r="AA38" s="1661">
        <f>+Z38+Y38+X38+W38+V38+U38+T38+S38</f>
        <v>61</v>
      </c>
      <c r="AB38" s="1661">
        <f>+(((S38*3.5%)+S38))</f>
        <v>0</v>
      </c>
      <c r="AC38" s="1661">
        <f t="shared" ref="AC38:AI38" si="25">+(((T38*3.5%)+T38))</f>
        <v>0</v>
      </c>
      <c r="AD38" s="1661">
        <f t="shared" si="25"/>
        <v>58.994999999999997</v>
      </c>
      <c r="AE38" s="1661">
        <f t="shared" si="25"/>
        <v>0</v>
      </c>
      <c r="AF38" s="1661">
        <f t="shared" si="25"/>
        <v>0</v>
      </c>
      <c r="AG38" s="1661">
        <f t="shared" si="25"/>
        <v>0</v>
      </c>
      <c r="AH38" s="1661">
        <f t="shared" si="25"/>
        <v>0</v>
      </c>
      <c r="AI38" s="1661">
        <f t="shared" si="25"/>
        <v>4.1399999999999997</v>
      </c>
      <c r="AJ38" s="1661">
        <f>+AI38+AH38+AG38+AF38+AE38+AD38+AC38+AB38</f>
        <v>63.134999999999998</v>
      </c>
      <c r="AK38" s="1661">
        <f t="shared" ref="AK38:AR38" si="26">+(((AB38*3.5%)+AB38))</f>
        <v>0</v>
      </c>
      <c r="AL38" s="1661">
        <f t="shared" si="26"/>
        <v>0</v>
      </c>
      <c r="AM38" s="1661">
        <f t="shared" si="26"/>
        <v>61.059824999999996</v>
      </c>
      <c r="AN38" s="1661">
        <f t="shared" si="26"/>
        <v>0</v>
      </c>
      <c r="AO38" s="1661">
        <f t="shared" si="26"/>
        <v>0</v>
      </c>
      <c r="AP38" s="1661">
        <f t="shared" si="26"/>
        <v>0</v>
      </c>
      <c r="AQ38" s="1661">
        <f t="shared" si="26"/>
        <v>0</v>
      </c>
      <c r="AR38" s="1661">
        <f t="shared" si="26"/>
        <v>4.2848999999999995</v>
      </c>
      <c r="AS38" s="1661">
        <f>+AR38+AQ38+AP38+AO38+AN38+AM38+AL38+AK38</f>
        <v>65.344724999999997</v>
      </c>
      <c r="AT38" s="1661">
        <f t="shared" ref="AT38:BA38" si="27">+(((AK38*3.5%)+AK38))</f>
        <v>0</v>
      </c>
      <c r="AU38" s="1661">
        <f t="shared" si="27"/>
        <v>0</v>
      </c>
      <c r="AV38" s="1661">
        <f t="shared" si="27"/>
        <v>63.196918874999994</v>
      </c>
      <c r="AW38" s="1661">
        <f t="shared" si="27"/>
        <v>0</v>
      </c>
      <c r="AX38" s="1661">
        <f t="shared" si="27"/>
        <v>0</v>
      </c>
      <c r="AY38" s="1661">
        <f t="shared" si="27"/>
        <v>0</v>
      </c>
      <c r="AZ38" s="1661">
        <f t="shared" si="27"/>
        <v>0</v>
      </c>
      <c r="BA38" s="1661">
        <f t="shared" si="27"/>
        <v>4.4348714999999999</v>
      </c>
      <c r="BB38" s="1661">
        <f>+BA38+AZ38+AY38+AX38+AW38+AV38+AU38+AT38</f>
        <v>67.631790374999994</v>
      </c>
      <c r="BC38" s="1661">
        <f>+S38+AB38+AK38+AT38</f>
        <v>0</v>
      </c>
      <c r="BD38" s="1661">
        <f t="shared" ref="BD38:BJ38" si="28">+T38+AC38+AL38+AU38</f>
        <v>0</v>
      </c>
      <c r="BE38" s="1661">
        <f t="shared" si="28"/>
        <v>240.25174387499999</v>
      </c>
      <c r="BF38" s="1661">
        <f t="shared" si="28"/>
        <v>0</v>
      </c>
      <c r="BG38" s="1661">
        <f t="shared" si="28"/>
        <v>0</v>
      </c>
      <c r="BH38" s="1661">
        <f t="shared" si="28"/>
        <v>0</v>
      </c>
      <c r="BI38" s="1661">
        <f t="shared" si="28"/>
        <v>0</v>
      </c>
      <c r="BJ38" s="1661">
        <f t="shared" si="28"/>
        <v>16.859771500000001</v>
      </c>
      <c r="BK38" s="1661">
        <f>+BJ38+BI38+BH38+BG38+BF38+BE38+BD38+BC38</f>
        <v>257.11151537500001</v>
      </c>
    </row>
    <row r="39" spans="1:63" s="3" customFormat="1" ht="96" x14ac:dyDescent="0.25">
      <c r="A39" s="82"/>
      <c r="B39" s="1691"/>
      <c r="C39" s="1685" t="s">
        <v>3260</v>
      </c>
      <c r="D39" s="1686" t="s">
        <v>3261</v>
      </c>
      <c r="E39" s="1686">
        <v>2014</v>
      </c>
      <c r="F39" s="1686">
        <v>26</v>
      </c>
      <c r="G39" s="1687">
        <v>0.26</v>
      </c>
      <c r="H39" s="1686"/>
      <c r="I39" s="1686"/>
      <c r="J39" s="118" t="s">
        <v>3262</v>
      </c>
      <c r="K39" s="118" t="s">
        <v>3263</v>
      </c>
      <c r="L39" s="11">
        <v>2015</v>
      </c>
      <c r="M39" s="114" t="s">
        <v>177</v>
      </c>
      <c r="N39" s="112" t="s">
        <v>3264</v>
      </c>
      <c r="O39" s="115" t="s">
        <v>3265</v>
      </c>
      <c r="P39" s="115" t="s">
        <v>3265</v>
      </c>
      <c r="Q39" s="115" t="s">
        <v>3265</v>
      </c>
      <c r="R39" s="113" t="s">
        <v>3266</v>
      </c>
      <c r="S39" s="1666"/>
      <c r="T39" s="1666"/>
      <c r="U39" s="1666"/>
      <c r="V39" s="1666"/>
      <c r="W39" s="1665"/>
      <c r="X39" s="1665"/>
      <c r="Y39" s="1665"/>
      <c r="Z39" s="1665"/>
      <c r="AA39" s="1665"/>
      <c r="AB39" s="1665"/>
      <c r="AC39" s="1665"/>
      <c r="AD39" s="1665"/>
      <c r="AE39" s="1665"/>
      <c r="AF39" s="1665"/>
      <c r="AG39" s="1665"/>
      <c r="AH39" s="1665"/>
      <c r="AI39" s="1665"/>
      <c r="AJ39" s="1665"/>
      <c r="AK39" s="1665"/>
      <c r="AL39" s="1665"/>
      <c r="AM39" s="1665"/>
      <c r="AN39" s="1665"/>
      <c r="AO39" s="1665"/>
      <c r="AP39" s="1665"/>
      <c r="AQ39" s="1665"/>
      <c r="AR39" s="1665"/>
      <c r="AS39" s="1665"/>
      <c r="AT39" s="1665"/>
      <c r="AU39" s="1665"/>
      <c r="AV39" s="1665"/>
      <c r="AW39" s="1665"/>
      <c r="AX39" s="1665"/>
      <c r="AY39" s="1665"/>
      <c r="AZ39" s="1665"/>
      <c r="BA39" s="1665"/>
      <c r="BB39" s="1665"/>
      <c r="BC39" s="1665"/>
      <c r="BD39" s="1665"/>
      <c r="BE39" s="1665"/>
      <c r="BF39" s="1665"/>
      <c r="BG39" s="1665"/>
      <c r="BH39" s="1665"/>
      <c r="BI39" s="1665"/>
      <c r="BJ39" s="1665"/>
      <c r="BK39" s="1665"/>
    </row>
    <row r="40" spans="1:63" s="3" customFormat="1" ht="72" x14ac:dyDescent="0.25">
      <c r="A40" s="82"/>
      <c r="B40" s="1691"/>
      <c r="C40" s="1685"/>
      <c r="D40" s="1686"/>
      <c r="E40" s="1686"/>
      <c r="F40" s="1686"/>
      <c r="G40" s="1687"/>
      <c r="H40" s="1686"/>
      <c r="I40" s="1686"/>
      <c r="J40" s="1439" t="s">
        <v>3267</v>
      </c>
      <c r="K40" s="118" t="s">
        <v>3268</v>
      </c>
      <c r="L40" s="11">
        <v>2015</v>
      </c>
      <c r="M40" s="11">
        <v>1</v>
      </c>
      <c r="N40" s="112" t="s">
        <v>3264</v>
      </c>
      <c r="O40" s="115" t="s">
        <v>3265</v>
      </c>
      <c r="P40" s="115" t="s">
        <v>3269</v>
      </c>
      <c r="Q40" s="115" t="s">
        <v>3270</v>
      </c>
      <c r="R40" s="113" t="s">
        <v>3238</v>
      </c>
      <c r="S40" s="1666"/>
      <c r="T40" s="1666"/>
      <c r="U40" s="1666"/>
      <c r="V40" s="1666"/>
      <c r="W40" s="1665"/>
      <c r="X40" s="1665"/>
      <c r="Y40" s="1665"/>
      <c r="Z40" s="1665"/>
      <c r="AA40" s="1665"/>
      <c r="AB40" s="1665"/>
      <c r="AC40" s="1665"/>
      <c r="AD40" s="1665"/>
      <c r="AE40" s="1665"/>
      <c r="AF40" s="1665"/>
      <c r="AG40" s="1665"/>
      <c r="AH40" s="1665"/>
      <c r="AI40" s="1665"/>
      <c r="AJ40" s="1665"/>
      <c r="AK40" s="1665"/>
      <c r="AL40" s="1665"/>
      <c r="AM40" s="1665"/>
      <c r="AN40" s="1665"/>
      <c r="AO40" s="1665"/>
      <c r="AP40" s="1665"/>
      <c r="AQ40" s="1665"/>
      <c r="AR40" s="1665"/>
      <c r="AS40" s="1665"/>
      <c r="AT40" s="1665"/>
      <c r="AU40" s="1665"/>
      <c r="AV40" s="1665"/>
      <c r="AW40" s="1665"/>
      <c r="AX40" s="1665"/>
      <c r="AY40" s="1665"/>
      <c r="AZ40" s="1665"/>
      <c r="BA40" s="1665"/>
      <c r="BB40" s="1665"/>
      <c r="BC40" s="1665"/>
      <c r="BD40" s="1665"/>
      <c r="BE40" s="1665"/>
      <c r="BF40" s="1665"/>
      <c r="BG40" s="1665"/>
      <c r="BH40" s="1665"/>
      <c r="BI40" s="1665"/>
      <c r="BJ40" s="1665"/>
      <c r="BK40" s="1665"/>
    </row>
    <row r="41" spans="1:63" s="3" customFormat="1" ht="52.8" x14ac:dyDescent="0.25">
      <c r="A41" s="82"/>
      <c r="B41" s="1691"/>
      <c r="C41" s="1441" t="s">
        <v>3271</v>
      </c>
      <c r="D41" s="1440" t="s">
        <v>3272</v>
      </c>
      <c r="E41" s="1442">
        <v>2013</v>
      </c>
      <c r="F41" s="1442">
        <v>11</v>
      </c>
      <c r="G41" s="1443" t="s">
        <v>3273</v>
      </c>
      <c r="H41" s="1442"/>
      <c r="I41" s="1442"/>
      <c r="J41" s="1439" t="s">
        <v>3274</v>
      </c>
      <c r="K41" s="118" t="s">
        <v>3275</v>
      </c>
      <c r="L41" s="11">
        <v>2015</v>
      </c>
      <c r="M41" s="114">
        <v>3.5000000000000003E-2</v>
      </c>
      <c r="N41" s="119">
        <v>3.4000000000000002E-2</v>
      </c>
      <c r="O41" s="120">
        <v>3.3000000000000002E-2</v>
      </c>
      <c r="P41" s="120">
        <v>3.2000000000000001E-2</v>
      </c>
      <c r="Q41" s="117">
        <v>0.03</v>
      </c>
      <c r="R41" s="113">
        <v>0.03</v>
      </c>
      <c r="S41" s="1666"/>
      <c r="T41" s="1666"/>
      <c r="U41" s="1666"/>
      <c r="V41" s="1666"/>
      <c r="W41" s="1665"/>
      <c r="X41" s="1665"/>
      <c r="Y41" s="1665"/>
      <c r="Z41" s="1665"/>
      <c r="AA41" s="1665"/>
      <c r="AB41" s="1665"/>
      <c r="AC41" s="1665"/>
      <c r="AD41" s="1665"/>
      <c r="AE41" s="1665"/>
      <c r="AF41" s="1665"/>
      <c r="AG41" s="1665"/>
      <c r="AH41" s="1665"/>
      <c r="AI41" s="1665"/>
      <c r="AJ41" s="1665"/>
      <c r="AK41" s="1665"/>
      <c r="AL41" s="1665"/>
      <c r="AM41" s="1665"/>
      <c r="AN41" s="1665"/>
      <c r="AO41" s="1665"/>
      <c r="AP41" s="1665"/>
      <c r="AQ41" s="1665"/>
      <c r="AR41" s="1665"/>
      <c r="AS41" s="1665"/>
      <c r="AT41" s="1665"/>
      <c r="AU41" s="1665"/>
      <c r="AV41" s="1665"/>
      <c r="AW41" s="1665"/>
      <c r="AX41" s="1665"/>
      <c r="AY41" s="1665"/>
      <c r="AZ41" s="1665"/>
      <c r="BA41" s="1665"/>
      <c r="BB41" s="1665"/>
      <c r="BC41" s="1665"/>
      <c r="BD41" s="1665"/>
      <c r="BE41" s="1665"/>
      <c r="BF41" s="1665"/>
      <c r="BG41" s="1665"/>
      <c r="BH41" s="1665"/>
      <c r="BI41" s="1665"/>
      <c r="BJ41" s="1665"/>
      <c r="BK41" s="1665"/>
    </row>
    <row r="42" spans="1:63" s="3" customFormat="1" ht="89.25" customHeight="1" x14ac:dyDescent="0.25">
      <c r="A42" s="82"/>
      <c r="B42" s="1691"/>
      <c r="C42" s="1685" t="s">
        <v>3276</v>
      </c>
      <c r="D42" s="1688" t="s">
        <v>3277</v>
      </c>
      <c r="E42" s="1686">
        <v>20015</v>
      </c>
      <c r="F42" s="1686" t="s">
        <v>177</v>
      </c>
      <c r="G42" s="1687">
        <v>1</v>
      </c>
      <c r="H42" s="1442"/>
      <c r="I42" s="1442"/>
      <c r="J42" s="1439" t="s">
        <v>3278</v>
      </c>
      <c r="K42" s="1439" t="s">
        <v>3279</v>
      </c>
      <c r="L42" s="11">
        <v>2015</v>
      </c>
      <c r="M42" s="114" t="s">
        <v>177</v>
      </c>
      <c r="N42" s="114">
        <v>1</v>
      </c>
      <c r="O42" s="114">
        <v>1</v>
      </c>
      <c r="P42" s="114">
        <v>1</v>
      </c>
      <c r="Q42" s="114">
        <v>1</v>
      </c>
      <c r="R42" s="113">
        <v>1</v>
      </c>
      <c r="S42" s="1666"/>
      <c r="T42" s="1666"/>
      <c r="U42" s="1666"/>
      <c r="V42" s="1666"/>
      <c r="W42" s="1665"/>
      <c r="X42" s="1665"/>
      <c r="Y42" s="1665"/>
      <c r="Z42" s="1665"/>
      <c r="AA42" s="1665"/>
      <c r="AB42" s="1665"/>
      <c r="AC42" s="1665"/>
      <c r="AD42" s="1665"/>
      <c r="AE42" s="1665"/>
      <c r="AF42" s="1665"/>
      <c r="AG42" s="1665"/>
      <c r="AH42" s="1665"/>
      <c r="AI42" s="1665"/>
      <c r="AJ42" s="1665"/>
      <c r="AK42" s="1665"/>
      <c r="AL42" s="1665"/>
      <c r="AM42" s="1665"/>
      <c r="AN42" s="1665"/>
      <c r="AO42" s="1665"/>
      <c r="AP42" s="1665"/>
      <c r="AQ42" s="1665"/>
      <c r="AR42" s="1665"/>
      <c r="AS42" s="1665"/>
      <c r="AT42" s="1665"/>
      <c r="AU42" s="1665"/>
      <c r="AV42" s="1665"/>
      <c r="AW42" s="1665"/>
      <c r="AX42" s="1665"/>
      <c r="AY42" s="1665"/>
      <c r="AZ42" s="1665"/>
      <c r="BA42" s="1665"/>
      <c r="BB42" s="1665"/>
      <c r="BC42" s="1665"/>
      <c r="BD42" s="1665"/>
      <c r="BE42" s="1665"/>
      <c r="BF42" s="1665"/>
      <c r="BG42" s="1665"/>
      <c r="BH42" s="1665"/>
      <c r="BI42" s="1665"/>
      <c r="BJ42" s="1665"/>
      <c r="BK42" s="1665"/>
    </row>
    <row r="43" spans="1:63" s="3" customFormat="1" ht="52.8" x14ac:dyDescent="0.25">
      <c r="A43" s="82"/>
      <c r="B43" s="1691"/>
      <c r="C43" s="1685"/>
      <c r="D43" s="1688"/>
      <c r="E43" s="1686"/>
      <c r="F43" s="1686"/>
      <c r="G43" s="1687"/>
      <c r="H43" s="1442"/>
      <c r="I43" s="1442"/>
      <c r="J43" s="95" t="s">
        <v>3280</v>
      </c>
      <c r="K43" s="95" t="s">
        <v>3281</v>
      </c>
      <c r="L43" s="11">
        <v>2014</v>
      </c>
      <c r="M43" s="114">
        <v>7.2999999999999995E-2</v>
      </c>
      <c r="N43" s="112">
        <v>2.5</v>
      </c>
      <c r="O43" s="115">
        <v>2.5</v>
      </c>
      <c r="P43" s="115">
        <v>2.5</v>
      </c>
      <c r="Q43" s="115">
        <v>2.5</v>
      </c>
      <c r="R43" s="113">
        <v>2.5</v>
      </c>
      <c r="S43" s="1666"/>
      <c r="T43" s="1666"/>
      <c r="U43" s="1666"/>
      <c r="V43" s="1666"/>
      <c r="W43" s="1665"/>
      <c r="X43" s="1665"/>
      <c r="Y43" s="1665"/>
      <c r="Z43" s="1665"/>
      <c r="AA43" s="1665"/>
      <c r="AB43" s="1665"/>
      <c r="AC43" s="1665"/>
      <c r="AD43" s="1665"/>
      <c r="AE43" s="1665"/>
      <c r="AF43" s="1665"/>
      <c r="AG43" s="1665"/>
      <c r="AH43" s="1665"/>
      <c r="AI43" s="1665"/>
      <c r="AJ43" s="1665"/>
      <c r="AK43" s="1665"/>
      <c r="AL43" s="1665"/>
      <c r="AM43" s="1665"/>
      <c r="AN43" s="1665"/>
      <c r="AO43" s="1665"/>
      <c r="AP43" s="1665"/>
      <c r="AQ43" s="1665"/>
      <c r="AR43" s="1665"/>
      <c r="AS43" s="1665"/>
      <c r="AT43" s="1665"/>
      <c r="AU43" s="1665"/>
      <c r="AV43" s="1665"/>
      <c r="AW43" s="1665"/>
      <c r="AX43" s="1665"/>
      <c r="AY43" s="1665"/>
      <c r="AZ43" s="1665"/>
      <c r="BA43" s="1665"/>
      <c r="BB43" s="1665"/>
      <c r="BC43" s="1665"/>
      <c r="BD43" s="1665"/>
      <c r="BE43" s="1665"/>
      <c r="BF43" s="1665"/>
      <c r="BG43" s="1665"/>
      <c r="BH43" s="1665"/>
      <c r="BI43" s="1665"/>
      <c r="BJ43" s="1665"/>
      <c r="BK43" s="1665"/>
    </row>
    <row r="44" spans="1:63" s="3" customFormat="1" ht="52.8" x14ac:dyDescent="0.25">
      <c r="A44" s="82"/>
      <c r="B44" s="1691"/>
      <c r="C44" s="1441" t="s">
        <v>3282</v>
      </c>
      <c r="D44" s="1440" t="s">
        <v>3283</v>
      </c>
      <c r="E44" s="1442">
        <v>2013</v>
      </c>
      <c r="F44" s="1442">
        <v>13.9</v>
      </c>
      <c r="G44" s="1443" t="s">
        <v>3284</v>
      </c>
      <c r="H44" s="1442"/>
      <c r="I44" s="1442"/>
      <c r="J44" s="95" t="s">
        <v>3285</v>
      </c>
      <c r="K44" s="95" t="s">
        <v>3286</v>
      </c>
      <c r="L44" s="11">
        <v>2015</v>
      </c>
      <c r="M44" s="114">
        <v>0.1</v>
      </c>
      <c r="N44" s="114">
        <v>0.1</v>
      </c>
      <c r="O44" s="114">
        <v>0.1</v>
      </c>
      <c r="P44" s="114">
        <v>0.1</v>
      </c>
      <c r="Q44" s="114">
        <v>0.1</v>
      </c>
      <c r="R44" s="113">
        <v>0.5</v>
      </c>
      <c r="S44" s="1664"/>
      <c r="T44" s="1664"/>
      <c r="U44" s="1664"/>
      <c r="V44" s="1664"/>
      <c r="W44" s="1662"/>
      <c r="X44" s="1662"/>
      <c r="Y44" s="1662"/>
      <c r="Z44" s="1662"/>
      <c r="AA44" s="1662"/>
      <c r="AB44" s="1662"/>
      <c r="AC44" s="1662"/>
      <c r="AD44" s="1662"/>
      <c r="AE44" s="1662"/>
      <c r="AF44" s="1662"/>
      <c r="AG44" s="1662"/>
      <c r="AH44" s="1662"/>
      <c r="AI44" s="1662"/>
      <c r="AJ44" s="1662"/>
      <c r="AK44" s="1662"/>
      <c r="AL44" s="1662"/>
      <c r="AM44" s="1662"/>
      <c r="AN44" s="1662"/>
      <c r="AO44" s="1662"/>
      <c r="AP44" s="1662"/>
      <c r="AQ44" s="1662"/>
      <c r="AR44" s="1662"/>
      <c r="AS44" s="1662"/>
      <c r="AT44" s="1662"/>
      <c r="AU44" s="1662"/>
      <c r="AV44" s="1662"/>
      <c r="AW44" s="1662"/>
      <c r="AX44" s="1662"/>
      <c r="AY44" s="1662"/>
      <c r="AZ44" s="1662"/>
      <c r="BA44" s="1662"/>
      <c r="BB44" s="1662"/>
      <c r="BC44" s="1662"/>
      <c r="BD44" s="1662"/>
      <c r="BE44" s="1662"/>
      <c r="BF44" s="1662"/>
      <c r="BG44" s="1662"/>
      <c r="BH44" s="1662"/>
      <c r="BI44" s="1662"/>
      <c r="BJ44" s="1662"/>
      <c r="BK44" s="1662"/>
    </row>
    <row r="45" spans="1:63" s="3" customFormat="1" ht="15" customHeight="1" x14ac:dyDescent="0.25">
      <c r="A45" s="104" t="s">
        <v>168</v>
      </c>
      <c r="B45" s="1691"/>
      <c r="C45" s="105" t="s">
        <v>3287</v>
      </c>
      <c r="D45" s="106"/>
      <c r="E45" s="107"/>
      <c r="F45" s="107"/>
      <c r="G45" s="107"/>
      <c r="H45" s="107"/>
      <c r="I45" s="107"/>
      <c r="J45" s="107"/>
      <c r="K45" s="108"/>
      <c r="L45" s="107"/>
      <c r="M45" s="107"/>
      <c r="N45" s="107"/>
      <c r="O45" s="109"/>
      <c r="P45" s="109"/>
      <c r="Q45" s="109"/>
      <c r="R45" s="109"/>
      <c r="S45" s="110">
        <f>+S46</f>
        <v>0</v>
      </c>
      <c r="T45" s="110">
        <f t="shared" ref="T45:BK45" si="29">+T46</f>
        <v>0</v>
      </c>
      <c r="U45" s="110">
        <f t="shared" si="29"/>
        <v>220</v>
      </c>
      <c r="V45" s="110">
        <f t="shared" si="29"/>
        <v>0</v>
      </c>
      <c r="W45" s="110">
        <f t="shared" si="29"/>
        <v>0</v>
      </c>
      <c r="X45" s="110">
        <f t="shared" si="29"/>
        <v>0</v>
      </c>
      <c r="Y45" s="110">
        <f t="shared" si="29"/>
        <v>0</v>
      </c>
      <c r="Z45" s="110">
        <f t="shared" si="29"/>
        <v>108</v>
      </c>
      <c r="AA45" s="110">
        <f t="shared" si="29"/>
        <v>328</v>
      </c>
      <c r="AB45" s="110">
        <f t="shared" si="29"/>
        <v>0</v>
      </c>
      <c r="AC45" s="110">
        <f t="shared" si="29"/>
        <v>0</v>
      </c>
      <c r="AD45" s="110">
        <f t="shared" si="29"/>
        <v>227.7</v>
      </c>
      <c r="AE45" s="110">
        <f t="shared" si="29"/>
        <v>0</v>
      </c>
      <c r="AF45" s="110">
        <f t="shared" si="29"/>
        <v>0</v>
      </c>
      <c r="AG45" s="110">
        <f t="shared" si="29"/>
        <v>0</v>
      </c>
      <c r="AH45" s="110">
        <f t="shared" si="29"/>
        <v>0</v>
      </c>
      <c r="AI45" s="110">
        <f t="shared" si="29"/>
        <v>0</v>
      </c>
      <c r="AJ45" s="110">
        <f t="shared" si="29"/>
        <v>227.7</v>
      </c>
      <c r="AK45" s="110">
        <f t="shared" si="29"/>
        <v>0</v>
      </c>
      <c r="AL45" s="110">
        <f t="shared" si="29"/>
        <v>0</v>
      </c>
      <c r="AM45" s="110">
        <f t="shared" si="29"/>
        <v>235.6695</v>
      </c>
      <c r="AN45" s="110">
        <f t="shared" si="29"/>
        <v>0</v>
      </c>
      <c r="AO45" s="110">
        <f t="shared" si="29"/>
        <v>0</v>
      </c>
      <c r="AP45" s="110">
        <f t="shared" si="29"/>
        <v>0</v>
      </c>
      <c r="AQ45" s="110">
        <f t="shared" si="29"/>
        <v>0</v>
      </c>
      <c r="AR45" s="110">
        <f t="shared" si="29"/>
        <v>0</v>
      </c>
      <c r="AS45" s="110">
        <f t="shared" si="29"/>
        <v>235.6695</v>
      </c>
      <c r="AT45" s="110">
        <f t="shared" si="29"/>
        <v>0</v>
      </c>
      <c r="AU45" s="110">
        <f t="shared" si="29"/>
        <v>0</v>
      </c>
      <c r="AV45" s="110">
        <f t="shared" si="29"/>
        <v>243.91793250000001</v>
      </c>
      <c r="AW45" s="110">
        <f t="shared" si="29"/>
        <v>0</v>
      </c>
      <c r="AX45" s="110">
        <f t="shared" si="29"/>
        <v>0</v>
      </c>
      <c r="AY45" s="110">
        <f t="shared" si="29"/>
        <v>0</v>
      </c>
      <c r="AZ45" s="110">
        <f t="shared" si="29"/>
        <v>0</v>
      </c>
      <c r="BA45" s="110">
        <f t="shared" si="29"/>
        <v>0</v>
      </c>
      <c r="BB45" s="110">
        <f t="shared" si="29"/>
        <v>243.91793250000001</v>
      </c>
      <c r="BC45" s="110">
        <f t="shared" si="29"/>
        <v>0</v>
      </c>
      <c r="BD45" s="110">
        <f t="shared" si="29"/>
        <v>0</v>
      </c>
      <c r="BE45" s="110">
        <f t="shared" si="29"/>
        <v>927.28743250000002</v>
      </c>
      <c r="BF45" s="110">
        <f t="shared" si="29"/>
        <v>0</v>
      </c>
      <c r="BG45" s="110">
        <f t="shared" si="29"/>
        <v>0</v>
      </c>
      <c r="BH45" s="110">
        <f t="shared" si="29"/>
        <v>0</v>
      </c>
      <c r="BI45" s="110">
        <f t="shared" si="29"/>
        <v>0</v>
      </c>
      <c r="BJ45" s="110">
        <f t="shared" si="29"/>
        <v>108</v>
      </c>
      <c r="BK45" s="110">
        <f t="shared" si="29"/>
        <v>1035.2874325</v>
      </c>
    </row>
    <row r="46" spans="1:63" s="3" customFormat="1" ht="39.6" x14ac:dyDescent="0.25">
      <c r="A46" s="82"/>
      <c r="B46" s="1691"/>
      <c r="C46" s="121" t="s">
        <v>3288</v>
      </c>
      <c r="D46" s="1440" t="s">
        <v>3289</v>
      </c>
      <c r="E46" s="1442">
        <v>2014</v>
      </c>
      <c r="F46" s="1442">
        <v>3.2</v>
      </c>
      <c r="G46" s="1443" t="s">
        <v>3290</v>
      </c>
      <c r="H46" s="1442"/>
      <c r="I46" s="1442"/>
      <c r="J46" s="95" t="s">
        <v>3291</v>
      </c>
      <c r="K46" s="1439" t="s">
        <v>3292</v>
      </c>
      <c r="L46" s="11">
        <v>2015</v>
      </c>
      <c r="M46" s="114">
        <v>0.8</v>
      </c>
      <c r="N46" s="114">
        <v>0.95</v>
      </c>
      <c r="O46" s="114">
        <v>0.95</v>
      </c>
      <c r="P46" s="114">
        <v>0.95</v>
      </c>
      <c r="Q46" s="114">
        <v>0.95</v>
      </c>
      <c r="R46" s="113">
        <v>0.95</v>
      </c>
      <c r="S46" s="1663">
        <v>0</v>
      </c>
      <c r="T46" s="1663">
        <v>0</v>
      </c>
      <c r="U46" s="1663">
        <f>58+162</f>
        <v>220</v>
      </c>
      <c r="V46" s="1663">
        <v>0</v>
      </c>
      <c r="W46" s="1661">
        <v>0</v>
      </c>
      <c r="X46" s="1661">
        <v>0</v>
      </c>
      <c r="Y46" s="1661">
        <v>0</v>
      </c>
      <c r="Z46" s="1661">
        <v>108</v>
      </c>
      <c r="AA46" s="1661">
        <f>+Z46+Y46+X46+W46+V46+U46+T46+S46</f>
        <v>328</v>
      </c>
      <c r="AB46" s="1661">
        <f>+((((S46*3.5%)+(S46))))</f>
        <v>0</v>
      </c>
      <c r="AC46" s="1661">
        <f t="shared" ref="AC46:AH46" si="30">+((((T46*3.5%)+(T46))))</f>
        <v>0</v>
      </c>
      <c r="AD46" s="1661">
        <f t="shared" si="30"/>
        <v>227.7</v>
      </c>
      <c r="AE46" s="1661">
        <f t="shared" si="30"/>
        <v>0</v>
      </c>
      <c r="AF46" s="1661">
        <f t="shared" si="30"/>
        <v>0</v>
      </c>
      <c r="AG46" s="1661">
        <f t="shared" si="30"/>
        <v>0</v>
      </c>
      <c r="AH46" s="1661">
        <f t="shared" si="30"/>
        <v>0</v>
      </c>
      <c r="AI46" s="1661">
        <v>0</v>
      </c>
      <c r="AJ46" s="1661">
        <f>+AI46+AH46+AG46+AF46+AE46+AD46+AC46+AB46</f>
        <v>227.7</v>
      </c>
      <c r="AK46" s="1661">
        <f t="shared" ref="AK46:AR46" si="31">+((((AB46*3.5%)+(AB46))))</f>
        <v>0</v>
      </c>
      <c r="AL46" s="1661">
        <f t="shared" si="31"/>
        <v>0</v>
      </c>
      <c r="AM46" s="1661">
        <f t="shared" si="31"/>
        <v>235.6695</v>
      </c>
      <c r="AN46" s="1661">
        <f t="shared" si="31"/>
        <v>0</v>
      </c>
      <c r="AO46" s="1661">
        <f t="shared" si="31"/>
        <v>0</v>
      </c>
      <c r="AP46" s="1661">
        <f t="shared" si="31"/>
        <v>0</v>
      </c>
      <c r="AQ46" s="1661">
        <f t="shared" si="31"/>
        <v>0</v>
      </c>
      <c r="AR46" s="1661">
        <f t="shared" si="31"/>
        <v>0</v>
      </c>
      <c r="AS46" s="1661">
        <f>+AR46+AQ46+AP46+AO46+AN46+AM46+AL46+AK46</f>
        <v>235.6695</v>
      </c>
      <c r="AT46" s="1661">
        <f t="shared" ref="AT46:BA46" si="32">+((((AK46*3.5%)+(AK46))))</f>
        <v>0</v>
      </c>
      <c r="AU46" s="1661">
        <f t="shared" si="32"/>
        <v>0</v>
      </c>
      <c r="AV46" s="1661">
        <f t="shared" si="32"/>
        <v>243.91793250000001</v>
      </c>
      <c r="AW46" s="1661">
        <f t="shared" si="32"/>
        <v>0</v>
      </c>
      <c r="AX46" s="1661">
        <f t="shared" si="32"/>
        <v>0</v>
      </c>
      <c r="AY46" s="1661">
        <f t="shared" si="32"/>
        <v>0</v>
      </c>
      <c r="AZ46" s="1661">
        <f t="shared" si="32"/>
        <v>0</v>
      </c>
      <c r="BA46" s="1661">
        <f t="shared" si="32"/>
        <v>0</v>
      </c>
      <c r="BB46" s="1661">
        <f>+BA46+AZ46+AY46+AX46+AW46+AV46+AU46+AT46</f>
        <v>243.91793250000001</v>
      </c>
      <c r="BC46" s="1661">
        <f>+S46+AB46+AK46+AT46</f>
        <v>0</v>
      </c>
      <c r="BD46" s="1661">
        <f t="shared" ref="BD46:BJ46" si="33">+T46+AC46+AL46+AU46</f>
        <v>0</v>
      </c>
      <c r="BE46" s="1661">
        <f t="shared" si="33"/>
        <v>927.28743250000002</v>
      </c>
      <c r="BF46" s="1661">
        <f t="shared" si="33"/>
        <v>0</v>
      </c>
      <c r="BG46" s="1661">
        <f t="shared" si="33"/>
        <v>0</v>
      </c>
      <c r="BH46" s="1661">
        <f t="shared" si="33"/>
        <v>0</v>
      </c>
      <c r="BI46" s="1661">
        <f t="shared" si="33"/>
        <v>0</v>
      </c>
      <c r="BJ46" s="1661">
        <f t="shared" si="33"/>
        <v>108</v>
      </c>
      <c r="BK46" s="1661">
        <f>+BJ46+BI46+BH46+BG46+BF46+BE46+BD46+BC46</f>
        <v>1035.2874325</v>
      </c>
    </row>
    <row r="47" spans="1:63" s="3" customFormat="1" ht="89.25" customHeight="1" x14ac:dyDescent="0.25">
      <c r="A47" s="82"/>
      <c r="B47" s="1691"/>
      <c r="C47" s="1680" t="s">
        <v>3293</v>
      </c>
      <c r="D47" s="1680" t="s">
        <v>3294</v>
      </c>
      <c r="E47" s="1669">
        <v>2015</v>
      </c>
      <c r="F47" s="1669" t="s">
        <v>177</v>
      </c>
      <c r="G47" s="1671">
        <v>1</v>
      </c>
      <c r="H47" s="1442"/>
      <c r="I47" s="1442"/>
      <c r="J47" s="1439" t="s">
        <v>3295</v>
      </c>
      <c r="K47" s="1439" t="s">
        <v>3296</v>
      </c>
      <c r="L47" s="11">
        <v>2015</v>
      </c>
      <c r="M47" s="114" t="s">
        <v>177</v>
      </c>
      <c r="N47" s="114">
        <v>1</v>
      </c>
      <c r="O47" s="114">
        <v>1</v>
      </c>
      <c r="P47" s="114">
        <v>1</v>
      </c>
      <c r="Q47" s="114">
        <v>1</v>
      </c>
      <c r="R47" s="113">
        <v>1</v>
      </c>
      <c r="S47" s="1666"/>
      <c r="T47" s="1666"/>
      <c r="U47" s="1666"/>
      <c r="V47" s="1666"/>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665"/>
      <c r="AU47" s="1665"/>
      <c r="AV47" s="1665"/>
      <c r="AW47" s="1665"/>
      <c r="AX47" s="1665"/>
      <c r="AY47" s="1665"/>
      <c r="AZ47" s="1665"/>
      <c r="BA47" s="1665"/>
      <c r="BB47" s="1665"/>
      <c r="BC47" s="1665"/>
      <c r="BD47" s="1665"/>
      <c r="BE47" s="1665"/>
      <c r="BF47" s="1665"/>
      <c r="BG47" s="1665"/>
      <c r="BH47" s="1665"/>
      <c r="BI47" s="1665"/>
      <c r="BJ47" s="1665"/>
      <c r="BK47" s="1665"/>
    </row>
    <row r="48" spans="1:63" s="3" customFormat="1" ht="52.8" x14ac:dyDescent="0.25">
      <c r="A48" s="82"/>
      <c r="B48" s="1691"/>
      <c r="C48" s="1681"/>
      <c r="D48" s="1681"/>
      <c r="E48" s="1683"/>
      <c r="F48" s="1683"/>
      <c r="G48" s="1684"/>
      <c r="H48" s="1442"/>
      <c r="I48" s="1442"/>
      <c r="J48" s="1439" t="s">
        <v>3297</v>
      </c>
      <c r="K48" s="1439" t="s">
        <v>3298</v>
      </c>
      <c r="L48" s="11">
        <v>2015</v>
      </c>
      <c r="M48" s="114" t="s">
        <v>177</v>
      </c>
      <c r="N48" s="114">
        <v>0.8</v>
      </c>
      <c r="O48" s="114">
        <v>0.9</v>
      </c>
      <c r="P48" s="114">
        <v>1</v>
      </c>
      <c r="Q48" s="114">
        <v>1</v>
      </c>
      <c r="R48" s="113">
        <v>1</v>
      </c>
      <c r="S48" s="1666"/>
      <c r="T48" s="1666"/>
      <c r="U48" s="1666"/>
      <c r="V48" s="1666"/>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665"/>
      <c r="AU48" s="1665"/>
      <c r="AV48" s="1665"/>
      <c r="AW48" s="1665"/>
      <c r="AX48" s="1665"/>
      <c r="AY48" s="1665"/>
      <c r="AZ48" s="1665"/>
      <c r="BA48" s="1665"/>
      <c r="BB48" s="1665"/>
      <c r="BC48" s="1665"/>
      <c r="BD48" s="1665"/>
      <c r="BE48" s="1665"/>
      <c r="BF48" s="1665"/>
      <c r="BG48" s="1665"/>
      <c r="BH48" s="1665"/>
      <c r="BI48" s="1665"/>
      <c r="BJ48" s="1665"/>
      <c r="BK48" s="1665"/>
    </row>
    <row r="49" spans="1:63" s="3" customFormat="1" ht="66" x14ac:dyDescent="0.25">
      <c r="A49" s="82"/>
      <c r="B49" s="1691"/>
      <c r="C49" s="1681"/>
      <c r="D49" s="1681"/>
      <c r="E49" s="1683"/>
      <c r="F49" s="1683"/>
      <c r="G49" s="1684"/>
      <c r="H49" s="1442"/>
      <c r="I49" s="1442"/>
      <c r="J49" s="1439" t="s">
        <v>3299</v>
      </c>
      <c r="K49" s="1439" t="s">
        <v>3300</v>
      </c>
      <c r="L49" s="11">
        <v>2015</v>
      </c>
      <c r="M49" s="117" t="s">
        <v>3301</v>
      </c>
      <c r="N49" s="114" t="s">
        <v>3302</v>
      </c>
      <c r="O49" s="117" t="s">
        <v>3303</v>
      </c>
      <c r="P49" s="117" t="s">
        <v>3303</v>
      </c>
      <c r="Q49" s="117" t="s">
        <v>3303</v>
      </c>
      <c r="R49" s="113" t="s">
        <v>3227</v>
      </c>
      <c r="S49" s="1666"/>
      <c r="T49" s="1666"/>
      <c r="U49" s="1666"/>
      <c r="V49" s="1666"/>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665"/>
      <c r="AU49" s="1665"/>
      <c r="AV49" s="1665"/>
      <c r="AW49" s="1665"/>
      <c r="AX49" s="1665"/>
      <c r="AY49" s="1665"/>
      <c r="AZ49" s="1665"/>
      <c r="BA49" s="1665"/>
      <c r="BB49" s="1665"/>
      <c r="BC49" s="1665"/>
      <c r="BD49" s="1665"/>
      <c r="BE49" s="1665"/>
      <c r="BF49" s="1665"/>
      <c r="BG49" s="1665"/>
      <c r="BH49" s="1665"/>
      <c r="BI49" s="1665"/>
      <c r="BJ49" s="1665"/>
      <c r="BK49" s="1665"/>
    </row>
    <row r="50" spans="1:63" s="3" customFormat="1" ht="52.8" x14ac:dyDescent="0.25">
      <c r="A50" s="82"/>
      <c r="B50" s="1691"/>
      <c r="C50" s="1682"/>
      <c r="D50" s="1682"/>
      <c r="E50" s="1670"/>
      <c r="F50" s="1670"/>
      <c r="G50" s="1672"/>
      <c r="H50" s="1442"/>
      <c r="I50" s="1442"/>
      <c r="J50" s="1439" t="s">
        <v>3304</v>
      </c>
      <c r="K50" s="95" t="s">
        <v>3305</v>
      </c>
      <c r="L50" s="11">
        <v>2015</v>
      </c>
      <c r="M50" s="114" t="s">
        <v>3306</v>
      </c>
      <c r="N50" s="11">
        <v>56</v>
      </c>
      <c r="O50" s="11">
        <v>60</v>
      </c>
      <c r="P50" s="11">
        <v>63</v>
      </c>
      <c r="Q50" s="11">
        <v>64</v>
      </c>
      <c r="R50" s="11">
        <v>64</v>
      </c>
      <c r="S50" s="1664"/>
      <c r="T50" s="1664"/>
      <c r="U50" s="1664"/>
      <c r="V50" s="1664"/>
      <c r="W50" s="1662"/>
      <c r="X50" s="1662"/>
      <c r="Y50" s="1662"/>
      <c r="Z50" s="1662"/>
      <c r="AA50" s="1662"/>
      <c r="AB50" s="1662"/>
      <c r="AC50" s="1662"/>
      <c r="AD50" s="1662"/>
      <c r="AE50" s="1662"/>
      <c r="AF50" s="1662"/>
      <c r="AG50" s="1662"/>
      <c r="AH50" s="1662"/>
      <c r="AI50" s="1662"/>
      <c r="AJ50" s="1662"/>
      <c r="AK50" s="1662"/>
      <c r="AL50" s="1662"/>
      <c r="AM50" s="1662"/>
      <c r="AN50" s="1662"/>
      <c r="AO50" s="1662"/>
      <c r="AP50" s="1662"/>
      <c r="AQ50" s="1662"/>
      <c r="AR50" s="1662"/>
      <c r="AS50" s="1662"/>
      <c r="AT50" s="1662"/>
      <c r="AU50" s="1662"/>
      <c r="AV50" s="1662"/>
      <c r="AW50" s="1662"/>
      <c r="AX50" s="1662"/>
      <c r="AY50" s="1662"/>
      <c r="AZ50" s="1662"/>
      <c r="BA50" s="1662"/>
      <c r="BB50" s="1662"/>
      <c r="BC50" s="1662"/>
      <c r="BD50" s="1662"/>
      <c r="BE50" s="1662"/>
      <c r="BF50" s="1662"/>
      <c r="BG50" s="1662"/>
      <c r="BH50" s="1662"/>
      <c r="BI50" s="1662"/>
      <c r="BJ50" s="1662"/>
      <c r="BK50" s="1662"/>
    </row>
    <row r="51" spans="1:63" s="3" customFormat="1" ht="15" customHeight="1" x14ac:dyDescent="0.25">
      <c r="A51" s="104" t="s">
        <v>168</v>
      </c>
      <c r="B51" s="1691"/>
      <c r="C51" s="105" t="s">
        <v>3307</v>
      </c>
      <c r="D51" s="106"/>
      <c r="E51" s="107"/>
      <c r="F51" s="107"/>
      <c r="G51" s="107"/>
      <c r="H51" s="107"/>
      <c r="I51" s="107"/>
      <c r="J51" s="107"/>
      <c r="K51" s="108"/>
      <c r="L51" s="107"/>
      <c r="M51" s="107"/>
      <c r="N51" s="107"/>
      <c r="O51" s="109"/>
      <c r="P51" s="109"/>
      <c r="Q51" s="109"/>
      <c r="R51" s="109"/>
      <c r="S51" s="110">
        <f>+S52</f>
        <v>0</v>
      </c>
      <c r="T51" s="110">
        <f t="shared" ref="T51:BK51" si="34">+T52</f>
        <v>0</v>
      </c>
      <c r="U51" s="110">
        <f t="shared" si="34"/>
        <v>35</v>
      </c>
      <c r="V51" s="110">
        <f t="shared" si="34"/>
        <v>0</v>
      </c>
      <c r="W51" s="110">
        <f t="shared" si="34"/>
        <v>0</v>
      </c>
      <c r="X51" s="110">
        <f t="shared" si="34"/>
        <v>0</v>
      </c>
      <c r="Y51" s="110">
        <f t="shared" si="34"/>
        <v>0</v>
      </c>
      <c r="Z51" s="110">
        <f t="shared" si="34"/>
        <v>0</v>
      </c>
      <c r="AA51" s="110">
        <f t="shared" si="34"/>
        <v>35</v>
      </c>
      <c r="AB51" s="110">
        <f t="shared" si="34"/>
        <v>0</v>
      </c>
      <c r="AC51" s="110">
        <f t="shared" si="34"/>
        <v>0</v>
      </c>
      <c r="AD51" s="110">
        <f t="shared" si="34"/>
        <v>36.225000000000001</v>
      </c>
      <c r="AE51" s="110">
        <f t="shared" si="34"/>
        <v>0</v>
      </c>
      <c r="AF51" s="110">
        <f t="shared" si="34"/>
        <v>0</v>
      </c>
      <c r="AG51" s="110">
        <f t="shared" si="34"/>
        <v>0</v>
      </c>
      <c r="AH51" s="110">
        <f t="shared" si="34"/>
        <v>0</v>
      </c>
      <c r="AI51" s="110">
        <f t="shared" si="34"/>
        <v>0</v>
      </c>
      <c r="AJ51" s="110">
        <f t="shared" si="34"/>
        <v>36.225000000000001</v>
      </c>
      <c r="AK51" s="110">
        <f t="shared" si="34"/>
        <v>0</v>
      </c>
      <c r="AL51" s="110">
        <f t="shared" si="34"/>
        <v>0</v>
      </c>
      <c r="AM51" s="110">
        <f t="shared" si="34"/>
        <v>37.492874999999998</v>
      </c>
      <c r="AN51" s="110">
        <f t="shared" si="34"/>
        <v>0</v>
      </c>
      <c r="AO51" s="110">
        <f t="shared" si="34"/>
        <v>0</v>
      </c>
      <c r="AP51" s="110">
        <f t="shared" si="34"/>
        <v>0</v>
      </c>
      <c r="AQ51" s="110">
        <f t="shared" si="34"/>
        <v>0</v>
      </c>
      <c r="AR51" s="110">
        <f t="shared" si="34"/>
        <v>0</v>
      </c>
      <c r="AS51" s="110">
        <f t="shared" si="34"/>
        <v>37.492874999999998</v>
      </c>
      <c r="AT51" s="110">
        <f t="shared" si="34"/>
        <v>0</v>
      </c>
      <c r="AU51" s="110">
        <f t="shared" si="34"/>
        <v>0</v>
      </c>
      <c r="AV51" s="110">
        <f t="shared" si="34"/>
        <v>38.805125624999995</v>
      </c>
      <c r="AW51" s="110">
        <f t="shared" si="34"/>
        <v>0</v>
      </c>
      <c r="AX51" s="110">
        <f t="shared" si="34"/>
        <v>0</v>
      </c>
      <c r="AY51" s="110">
        <f t="shared" si="34"/>
        <v>0</v>
      </c>
      <c r="AZ51" s="110">
        <f t="shared" si="34"/>
        <v>0</v>
      </c>
      <c r="BA51" s="110">
        <f t="shared" si="34"/>
        <v>0</v>
      </c>
      <c r="BB51" s="110">
        <f t="shared" si="34"/>
        <v>38.805125624999995</v>
      </c>
      <c r="BC51" s="110">
        <f t="shared" si="34"/>
        <v>0</v>
      </c>
      <c r="BD51" s="110">
        <f t="shared" si="34"/>
        <v>0</v>
      </c>
      <c r="BE51" s="110">
        <f t="shared" si="34"/>
        <v>147.52300062499998</v>
      </c>
      <c r="BF51" s="110">
        <f t="shared" si="34"/>
        <v>0</v>
      </c>
      <c r="BG51" s="110">
        <f t="shared" si="34"/>
        <v>0</v>
      </c>
      <c r="BH51" s="110">
        <f t="shared" si="34"/>
        <v>0</v>
      </c>
      <c r="BI51" s="110">
        <f t="shared" si="34"/>
        <v>0</v>
      </c>
      <c r="BJ51" s="110">
        <f t="shared" si="34"/>
        <v>0</v>
      </c>
      <c r="BK51" s="110">
        <f t="shared" si="34"/>
        <v>147.52300062499998</v>
      </c>
    </row>
    <row r="52" spans="1:63" s="3" customFormat="1" ht="89.25" customHeight="1" x14ac:dyDescent="0.25">
      <c r="A52" s="82"/>
      <c r="B52" s="1691"/>
      <c r="C52" s="1673" t="s">
        <v>3308</v>
      </c>
      <c r="D52" s="1673" t="s">
        <v>3309</v>
      </c>
      <c r="E52" s="1669">
        <v>2015</v>
      </c>
      <c r="F52" s="1669" t="s">
        <v>177</v>
      </c>
      <c r="G52" s="1671">
        <v>1</v>
      </c>
      <c r="H52" s="1442"/>
      <c r="I52" s="1442"/>
      <c r="J52" s="1439" t="s">
        <v>3310</v>
      </c>
      <c r="K52" s="1439" t="s">
        <v>3311</v>
      </c>
      <c r="L52" s="11">
        <v>2015</v>
      </c>
      <c r="M52" s="114" t="s">
        <v>177</v>
      </c>
      <c r="N52" s="114">
        <v>1</v>
      </c>
      <c r="O52" s="114">
        <v>1</v>
      </c>
      <c r="P52" s="114">
        <v>1</v>
      </c>
      <c r="Q52" s="114">
        <v>1</v>
      </c>
      <c r="R52" s="113">
        <v>1</v>
      </c>
      <c r="S52" s="1663">
        <v>0</v>
      </c>
      <c r="T52" s="1663">
        <v>0</v>
      </c>
      <c r="U52" s="1663">
        <v>35</v>
      </c>
      <c r="V52" s="1663">
        <v>0</v>
      </c>
      <c r="W52" s="1661">
        <v>0</v>
      </c>
      <c r="X52" s="1661">
        <v>0</v>
      </c>
      <c r="Y52" s="1661">
        <v>0</v>
      </c>
      <c r="Z52" s="1661">
        <v>0</v>
      </c>
      <c r="AA52" s="1661">
        <f>+Z52+Y52+X52+W52+V52+U52+T52+S52</f>
        <v>35</v>
      </c>
      <c r="AB52" s="1661">
        <f>+S52*3.5%+(S52)</f>
        <v>0</v>
      </c>
      <c r="AC52" s="1661">
        <f t="shared" ref="AC52:AI52" si="35">+T52*3.5%+(T52)</f>
        <v>0</v>
      </c>
      <c r="AD52" s="1661">
        <f t="shared" si="35"/>
        <v>36.225000000000001</v>
      </c>
      <c r="AE52" s="1661">
        <f t="shared" si="35"/>
        <v>0</v>
      </c>
      <c r="AF52" s="1661">
        <f t="shared" si="35"/>
        <v>0</v>
      </c>
      <c r="AG52" s="1661">
        <f t="shared" si="35"/>
        <v>0</v>
      </c>
      <c r="AH52" s="1661">
        <f t="shared" si="35"/>
        <v>0</v>
      </c>
      <c r="AI52" s="1661">
        <f t="shared" si="35"/>
        <v>0</v>
      </c>
      <c r="AJ52" s="1661">
        <f>+AI52+AH52+AG52+AF52+AE52+AD52+AC52+AB52</f>
        <v>36.225000000000001</v>
      </c>
      <c r="AK52" s="1661">
        <f t="shared" ref="AK52:AR52" si="36">+AB52*3.5%+(AB52)</f>
        <v>0</v>
      </c>
      <c r="AL52" s="1661">
        <f t="shared" si="36"/>
        <v>0</v>
      </c>
      <c r="AM52" s="1661">
        <f t="shared" si="36"/>
        <v>37.492874999999998</v>
      </c>
      <c r="AN52" s="1661">
        <f t="shared" si="36"/>
        <v>0</v>
      </c>
      <c r="AO52" s="1661">
        <f t="shared" si="36"/>
        <v>0</v>
      </c>
      <c r="AP52" s="1661">
        <f t="shared" si="36"/>
        <v>0</v>
      </c>
      <c r="AQ52" s="1661">
        <f t="shared" si="36"/>
        <v>0</v>
      </c>
      <c r="AR52" s="1661">
        <f t="shared" si="36"/>
        <v>0</v>
      </c>
      <c r="AS52" s="1661">
        <f>+AR52+AQ52+AP52+AO52+AN52+AM52+AL52+AK52</f>
        <v>37.492874999999998</v>
      </c>
      <c r="AT52" s="1661">
        <f t="shared" ref="AT52:BA52" si="37">+AK52*3.5%+(AK52)</f>
        <v>0</v>
      </c>
      <c r="AU52" s="1661">
        <f t="shared" si="37"/>
        <v>0</v>
      </c>
      <c r="AV52" s="1661">
        <f t="shared" si="37"/>
        <v>38.805125624999995</v>
      </c>
      <c r="AW52" s="1661">
        <f t="shared" si="37"/>
        <v>0</v>
      </c>
      <c r="AX52" s="1661">
        <f t="shared" si="37"/>
        <v>0</v>
      </c>
      <c r="AY52" s="1661">
        <f t="shared" si="37"/>
        <v>0</v>
      </c>
      <c r="AZ52" s="1661">
        <f t="shared" si="37"/>
        <v>0</v>
      </c>
      <c r="BA52" s="1661">
        <f t="shared" si="37"/>
        <v>0</v>
      </c>
      <c r="BB52" s="1661">
        <f>+BA52+AZ52+AY52+AX52+AW52+AV52+AU52+AT52</f>
        <v>38.805125624999995</v>
      </c>
      <c r="BC52" s="1661">
        <f>+S52+AB52+AK52+AT52</f>
        <v>0</v>
      </c>
      <c r="BD52" s="1661">
        <f t="shared" ref="BD52:BJ52" si="38">+T52+AC52+AL52+AU52</f>
        <v>0</v>
      </c>
      <c r="BE52" s="1661">
        <f t="shared" si="38"/>
        <v>147.52300062499998</v>
      </c>
      <c r="BF52" s="1661">
        <f t="shared" si="38"/>
        <v>0</v>
      </c>
      <c r="BG52" s="1661">
        <f t="shared" si="38"/>
        <v>0</v>
      </c>
      <c r="BH52" s="1661">
        <f t="shared" si="38"/>
        <v>0</v>
      </c>
      <c r="BI52" s="1661">
        <f t="shared" si="38"/>
        <v>0</v>
      </c>
      <c r="BJ52" s="1661">
        <f t="shared" si="38"/>
        <v>0</v>
      </c>
      <c r="BK52" s="1661">
        <f>+BJ52+BI52+BH52+BG52+BF52+BE52+BD52+BC52</f>
        <v>147.52300062499998</v>
      </c>
    </row>
    <row r="53" spans="1:63" s="3" customFormat="1" ht="39.6" x14ac:dyDescent="0.25">
      <c r="A53" s="82"/>
      <c r="B53" s="1691"/>
      <c r="C53" s="1674"/>
      <c r="D53" s="1674"/>
      <c r="E53" s="1670"/>
      <c r="F53" s="1670"/>
      <c r="G53" s="1672"/>
      <c r="H53" s="1442"/>
      <c r="I53" s="1442"/>
      <c r="J53" s="1439" t="s">
        <v>3312</v>
      </c>
      <c r="K53" s="1439" t="s">
        <v>3313</v>
      </c>
      <c r="L53" s="11">
        <v>2015</v>
      </c>
      <c r="M53" s="114">
        <v>0.5</v>
      </c>
      <c r="N53" s="114">
        <v>0.6</v>
      </c>
      <c r="O53" s="114">
        <v>0.7</v>
      </c>
      <c r="P53" s="114">
        <v>0.8</v>
      </c>
      <c r="Q53" s="114">
        <v>0.8</v>
      </c>
      <c r="R53" s="113">
        <v>0.8</v>
      </c>
      <c r="S53" s="1666"/>
      <c r="T53" s="1666"/>
      <c r="U53" s="1666"/>
      <c r="V53" s="1666"/>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665"/>
      <c r="AU53" s="1665"/>
      <c r="AV53" s="1665"/>
      <c r="AW53" s="1665"/>
      <c r="AX53" s="1665"/>
      <c r="AY53" s="1665"/>
      <c r="AZ53" s="1665"/>
      <c r="BA53" s="1665"/>
      <c r="BB53" s="1665"/>
      <c r="BC53" s="1665"/>
      <c r="BD53" s="1665"/>
      <c r="BE53" s="1665"/>
      <c r="BF53" s="1665"/>
      <c r="BG53" s="1665"/>
      <c r="BH53" s="1665"/>
      <c r="BI53" s="1665"/>
      <c r="BJ53" s="1665"/>
      <c r="BK53" s="1665"/>
    </row>
    <row r="54" spans="1:63" s="3" customFormat="1" ht="52.8" x14ac:dyDescent="0.25">
      <c r="A54" s="82"/>
      <c r="B54" s="1691"/>
      <c r="C54" s="1673" t="s">
        <v>3314</v>
      </c>
      <c r="D54" s="1653" t="s">
        <v>3315</v>
      </c>
      <c r="E54" s="1653">
        <v>2013</v>
      </c>
      <c r="F54" s="1653">
        <v>0</v>
      </c>
      <c r="G54" s="1677" t="s">
        <v>3316</v>
      </c>
      <c r="H54" s="1442"/>
      <c r="I54" s="1442"/>
      <c r="J54" s="1439" t="s">
        <v>3317</v>
      </c>
      <c r="K54" s="1439" t="s">
        <v>3318</v>
      </c>
      <c r="L54" s="11">
        <v>2015</v>
      </c>
      <c r="M54" s="122">
        <v>2.2000000000000002</v>
      </c>
      <c r="N54" s="123">
        <v>2.1000000000000001E-2</v>
      </c>
      <c r="O54" s="114">
        <v>0.02</v>
      </c>
      <c r="P54" s="114">
        <v>0.02</v>
      </c>
      <c r="Q54" s="114">
        <v>0.02</v>
      </c>
      <c r="R54" s="114">
        <v>0.02</v>
      </c>
      <c r="S54" s="1666"/>
      <c r="T54" s="1666"/>
      <c r="U54" s="1666"/>
      <c r="V54" s="1666"/>
      <c r="W54" s="1665"/>
      <c r="X54" s="1665"/>
      <c r="Y54" s="1665"/>
      <c r="Z54" s="1665"/>
      <c r="AA54" s="1665"/>
      <c r="AB54" s="1665"/>
      <c r="AC54" s="1665"/>
      <c r="AD54" s="1665"/>
      <c r="AE54" s="1665"/>
      <c r="AF54" s="1665"/>
      <c r="AG54" s="1665"/>
      <c r="AH54" s="1665"/>
      <c r="AI54" s="1665"/>
      <c r="AJ54" s="1665"/>
      <c r="AK54" s="1665"/>
      <c r="AL54" s="1665"/>
      <c r="AM54" s="1665"/>
      <c r="AN54" s="1665"/>
      <c r="AO54" s="1665"/>
      <c r="AP54" s="1665"/>
      <c r="AQ54" s="1665"/>
      <c r="AR54" s="1665"/>
      <c r="AS54" s="1665"/>
      <c r="AT54" s="1665"/>
      <c r="AU54" s="1665"/>
      <c r="AV54" s="1665"/>
      <c r="AW54" s="1665"/>
      <c r="AX54" s="1665"/>
      <c r="AY54" s="1665"/>
      <c r="AZ54" s="1665"/>
      <c r="BA54" s="1665"/>
      <c r="BB54" s="1665"/>
      <c r="BC54" s="1665"/>
      <c r="BD54" s="1665"/>
      <c r="BE54" s="1665"/>
      <c r="BF54" s="1665"/>
      <c r="BG54" s="1665"/>
      <c r="BH54" s="1665"/>
      <c r="BI54" s="1665"/>
      <c r="BJ54" s="1665"/>
      <c r="BK54" s="1665"/>
    </row>
    <row r="55" spans="1:63" s="3" customFormat="1" ht="39.6" x14ac:dyDescent="0.25">
      <c r="A55" s="82"/>
      <c r="B55" s="1691"/>
      <c r="C55" s="1675"/>
      <c r="D55" s="1676"/>
      <c r="E55" s="1676"/>
      <c r="F55" s="1676"/>
      <c r="G55" s="1678"/>
      <c r="H55" s="1442"/>
      <c r="I55" s="1442"/>
      <c r="J55" s="1439" t="s">
        <v>3319</v>
      </c>
      <c r="K55" s="1439" t="s">
        <v>3320</v>
      </c>
      <c r="L55" s="11">
        <v>2014</v>
      </c>
      <c r="M55" s="124">
        <v>10.199999999999999</v>
      </c>
      <c r="N55" s="123">
        <v>9.5000000000000001E-2</v>
      </c>
      <c r="O55" s="114">
        <v>0.09</v>
      </c>
      <c r="P55" s="123">
        <v>8.5000000000000006E-2</v>
      </c>
      <c r="Q55" s="114">
        <v>0.08</v>
      </c>
      <c r="R55" s="113">
        <v>0.08</v>
      </c>
      <c r="S55" s="1666"/>
      <c r="T55" s="1666"/>
      <c r="U55" s="1666"/>
      <c r="V55" s="1666"/>
      <c r="W55" s="1665"/>
      <c r="X55" s="1665"/>
      <c r="Y55" s="1665"/>
      <c r="Z55" s="1665"/>
      <c r="AA55" s="1665"/>
      <c r="AB55" s="1665"/>
      <c r="AC55" s="1665"/>
      <c r="AD55" s="1665"/>
      <c r="AE55" s="1665"/>
      <c r="AF55" s="1665"/>
      <c r="AG55" s="1665"/>
      <c r="AH55" s="1665"/>
      <c r="AI55" s="1665"/>
      <c r="AJ55" s="1665"/>
      <c r="AK55" s="1665"/>
      <c r="AL55" s="1665"/>
      <c r="AM55" s="1665"/>
      <c r="AN55" s="1665"/>
      <c r="AO55" s="1665"/>
      <c r="AP55" s="1665"/>
      <c r="AQ55" s="1665"/>
      <c r="AR55" s="1665"/>
      <c r="AS55" s="1665"/>
      <c r="AT55" s="1665"/>
      <c r="AU55" s="1665"/>
      <c r="AV55" s="1665"/>
      <c r="AW55" s="1665"/>
      <c r="AX55" s="1665"/>
      <c r="AY55" s="1665"/>
      <c r="AZ55" s="1665"/>
      <c r="BA55" s="1665"/>
      <c r="BB55" s="1665"/>
      <c r="BC55" s="1665"/>
      <c r="BD55" s="1665"/>
      <c r="BE55" s="1665"/>
      <c r="BF55" s="1665"/>
      <c r="BG55" s="1665"/>
      <c r="BH55" s="1665"/>
      <c r="BI55" s="1665"/>
      <c r="BJ55" s="1665"/>
      <c r="BK55" s="1665"/>
    </row>
    <row r="56" spans="1:63" s="3" customFormat="1" ht="39.6" x14ac:dyDescent="0.25">
      <c r="A56" s="82"/>
      <c r="B56" s="1691"/>
      <c r="C56" s="1675"/>
      <c r="D56" s="1676"/>
      <c r="E56" s="1676"/>
      <c r="F56" s="1676"/>
      <c r="G56" s="1678"/>
      <c r="H56" s="1442"/>
      <c r="I56" s="1442"/>
      <c r="J56" s="1439" t="s">
        <v>3321</v>
      </c>
      <c r="K56" s="1439" t="s">
        <v>3322</v>
      </c>
      <c r="L56" s="11">
        <v>2014</v>
      </c>
      <c r="M56" s="124">
        <v>2.4</v>
      </c>
      <c r="N56" s="123">
        <v>2.3E-2</v>
      </c>
      <c r="O56" s="123">
        <v>2.1999999999999999E-2</v>
      </c>
      <c r="P56" s="123">
        <v>2.1000000000000001E-2</v>
      </c>
      <c r="Q56" s="114">
        <v>0.02</v>
      </c>
      <c r="R56" s="113">
        <v>0.02</v>
      </c>
      <c r="S56" s="1666"/>
      <c r="T56" s="1666"/>
      <c r="U56" s="1666"/>
      <c r="V56" s="1666"/>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665"/>
      <c r="AU56" s="1665"/>
      <c r="AV56" s="1665"/>
      <c r="AW56" s="1665"/>
      <c r="AX56" s="1665"/>
      <c r="AY56" s="1665"/>
      <c r="AZ56" s="1665"/>
      <c r="BA56" s="1665"/>
      <c r="BB56" s="1665"/>
      <c r="BC56" s="1665"/>
      <c r="BD56" s="1665"/>
      <c r="BE56" s="1665"/>
      <c r="BF56" s="1665"/>
      <c r="BG56" s="1665"/>
      <c r="BH56" s="1665"/>
      <c r="BI56" s="1665"/>
      <c r="BJ56" s="1665"/>
      <c r="BK56" s="1665"/>
    </row>
    <row r="57" spans="1:63" s="3" customFormat="1" ht="26.4" x14ac:dyDescent="0.25">
      <c r="A57" s="82"/>
      <c r="B57" s="1691"/>
      <c r="C57" s="1674"/>
      <c r="D57" s="1654"/>
      <c r="E57" s="1654"/>
      <c r="F57" s="1654"/>
      <c r="G57" s="1679"/>
      <c r="H57" s="1442"/>
      <c r="I57" s="1442"/>
      <c r="J57" s="95" t="s">
        <v>3323</v>
      </c>
      <c r="K57" s="1439" t="s">
        <v>3324</v>
      </c>
      <c r="L57" s="11">
        <v>2014</v>
      </c>
      <c r="M57" s="124">
        <v>6.8</v>
      </c>
      <c r="N57" s="123">
        <v>6.5000000000000002E-2</v>
      </c>
      <c r="O57" s="114">
        <v>0.06</v>
      </c>
      <c r="P57" s="123">
        <v>5.5E-2</v>
      </c>
      <c r="Q57" s="114">
        <v>0.05</v>
      </c>
      <c r="R57" s="113">
        <v>0.05</v>
      </c>
      <c r="S57" s="1664"/>
      <c r="T57" s="1664"/>
      <c r="U57" s="1664"/>
      <c r="V57" s="1664"/>
      <c r="W57" s="1662"/>
      <c r="X57" s="1662"/>
      <c r="Y57" s="1662"/>
      <c r="Z57" s="1662"/>
      <c r="AA57" s="1662"/>
      <c r="AB57" s="1662"/>
      <c r="AC57" s="1662"/>
      <c r="AD57" s="1662"/>
      <c r="AE57" s="1662"/>
      <c r="AF57" s="1662"/>
      <c r="AG57" s="1662"/>
      <c r="AH57" s="1662"/>
      <c r="AI57" s="1662"/>
      <c r="AJ57" s="1662"/>
      <c r="AK57" s="1662"/>
      <c r="AL57" s="1662"/>
      <c r="AM57" s="1662"/>
      <c r="AN57" s="1662"/>
      <c r="AO57" s="1662"/>
      <c r="AP57" s="1662"/>
      <c r="AQ57" s="1662"/>
      <c r="AR57" s="1662"/>
      <c r="AS57" s="1662"/>
      <c r="AT57" s="1662"/>
      <c r="AU57" s="1662"/>
      <c r="AV57" s="1662"/>
      <c r="AW57" s="1662"/>
      <c r="AX57" s="1662"/>
      <c r="AY57" s="1662"/>
      <c r="AZ57" s="1662"/>
      <c r="BA57" s="1662"/>
      <c r="BB57" s="1662"/>
      <c r="BC57" s="1662"/>
      <c r="BD57" s="1662"/>
      <c r="BE57" s="1662"/>
      <c r="BF57" s="1662"/>
      <c r="BG57" s="1662"/>
      <c r="BH57" s="1662"/>
      <c r="BI57" s="1662"/>
      <c r="BJ57" s="1662"/>
      <c r="BK57" s="1662"/>
    </row>
    <row r="58" spans="1:63" s="3" customFormat="1" ht="15" customHeight="1" x14ac:dyDescent="0.25">
      <c r="A58" s="104" t="s">
        <v>168</v>
      </c>
      <c r="B58" s="1691"/>
      <c r="C58" s="105" t="s">
        <v>3325</v>
      </c>
      <c r="D58" s="106"/>
      <c r="E58" s="107"/>
      <c r="F58" s="107"/>
      <c r="G58" s="107"/>
      <c r="H58" s="107"/>
      <c r="I58" s="107"/>
      <c r="J58" s="107"/>
      <c r="K58" s="108"/>
      <c r="L58" s="107"/>
      <c r="M58" s="107"/>
      <c r="N58" s="107"/>
      <c r="O58" s="109"/>
      <c r="P58" s="109"/>
      <c r="Q58" s="109"/>
      <c r="R58" s="109"/>
      <c r="S58" s="110">
        <f>+S59</f>
        <v>0</v>
      </c>
      <c r="T58" s="110">
        <f t="shared" ref="T58:BK58" si="39">+T59</f>
        <v>0</v>
      </c>
      <c r="U58" s="110">
        <f t="shared" si="39"/>
        <v>70</v>
      </c>
      <c r="V58" s="110">
        <f t="shared" si="39"/>
        <v>0</v>
      </c>
      <c r="W58" s="110">
        <f t="shared" si="39"/>
        <v>0</v>
      </c>
      <c r="X58" s="110">
        <f t="shared" si="39"/>
        <v>0</v>
      </c>
      <c r="Y58" s="110">
        <f t="shared" si="39"/>
        <v>0</v>
      </c>
      <c r="Z58" s="110">
        <f t="shared" si="39"/>
        <v>0</v>
      </c>
      <c r="AA58" s="110">
        <f t="shared" si="39"/>
        <v>70</v>
      </c>
      <c r="AB58" s="110">
        <f t="shared" si="39"/>
        <v>0</v>
      </c>
      <c r="AC58" s="110">
        <f t="shared" si="39"/>
        <v>0</v>
      </c>
      <c r="AD58" s="110">
        <f t="shared" si="39"/>
        <v>72.45</v>
      </c>
      <c r="AE58" s="110">
        <f t="shared" si="39"/>
        <v>0</v>
      </c>
      <c r="AF58" s="110">
        <f t="shared" si="39"/>
        <v>0</v>
      </c>
      <c r="AG58" s="110">
        <f t="shared" si="39"/>
        <v>0</v>
      </c>
      <c r="AH58" s="110">
        <f t="shared" si="39"/>
        <v>0</v>
      </c>
      <c r="AI58" s="110">
        <f t="shared" si="39"/>
        <v>0</v>
      </c>
      <c r="AJ58" s="110">
        <f t="shared" si="39"/>
        <v>72.45</v>
      </c>
      <c r="AK58" s="110">
        <f t="shared" si="39"/>
        <v>0</v>
      </c>
      <c r="AL58" s="110">
        <f t="shared" si="39"/>
        <v>0</v>
      </c>
      <c r="AM58" s="110">
        <f t="shared" si="39"/>
        <v>74.985749999999996</v>
      </c>
      <c r="AN58" s="110">
        <f t="shared" si="39"/>
        <v>0</v>
      </c>
      <c r="AO58" s="110">
        <f t="shared" si="39"/>
        <v>0</v>
      </c>
      <c r="AP58" s="110">
        <f t="shared" si="39"/>
        <v>0</v>
      </c>
      <c r="AQ58" s="110">
        <f t="shared" si="39"/>
        <v>0</v>
      </c>
      <c r="AR58" s="110">
        <f t="shared" si="39"/>
        <v>0</v>
      </c>
      <c r="AS58" s="110">
        <f t="shared" si="39"/>
        <v>74.985749999999996</v>
      </c>
      <c r="AT58" s="110">
        <f t="shared" si="39"/>
        <v>0</v>
      </c>
      <c r="AU58" s="110">
        <f t="shared" si="39"/>
        <v>0</v>
      </c>
      <c r="AV58" s="110">
        <f t="shared" si="39"/>
        <v>77.61025124999999</v>
      </c>
      <c r="AW58" s="110">
        <f t="shared" si="39"/>
        <v>0</v>
      </c>
      <c r="AX58" s="110">
        <f t="shared" si="39"/>
        <v>0</v>
      </c>
      <c r="AY58" s="110">
        <f t="shared" si="39"/>
        <v>0</v>
      </c>
      <c r="AZ58" s="110">
        <f t="shared" si="39"/>
        <v>0</v>
      </c>
      <c r="BA58" s="110">
        <f t="shared" si="39"/>
        <v>0</v>
      </c>
      <c r="BB58" s="110">
        <f t="shared" si="39"/>
        <v>77.61025124999999</v>
      </c>
      <c r="BC58" s="110">
        <f t="shared" si="39"/>
        <v>0</v>
      </c>
      <c r="BD58" s="110">
        <f t="shared" si="39"/>
        <v>0</v>
      </c>
      <c r="BE58" s="110">
        <f t="shared" si="39"/>
        <v>295.04600124999996</v>
      </c>
      <c r="BF58" s="110">
        <f t="shared" si="39"/>
        <v>0</v>
      </c>
      <c r="BG58" s="110">
        <f t="shared" si="39"/>
        <v>0</v>
      </c>
      <c r="BH58" s="110">
        <f t="shared" si="39"/>
        <v>0</v>
      </c>
      <c r="BI58" s="110">
        <f t="shared" si="39"/>
        <v>0</v>
      </c>
      <c r="BJ58" s="110">
        <f t="shared" si="39"/>
        <v>0</v>
      </c>
      <c r="BK58" s="110">
        <f t="shared" si="39"/>
        <v>295.04600124999996</v>
      </c>
    </row>
    <row r="59" spans="1:63" s="3" customFormat="1" ht="39.6" x14ac:dyDescent="0.25">
      <c r="A59" s="82"/>
      <c r="B59" s="1691"/>
      <c r="C59" s="1673" t="s">
        <v>3326</v>
      </c>
      <c r="D59" s="1673" t="s">
        <v>3327</v>
      </c>
      <c r="E59" s="1669">
        <v>2015</v>
      </c>
      <c r="F59" s="1669">
        <v>1.5</v>
      </c>
      <c r="G59" s="1671" t="s">
        <v>3328</v>
      </c>
      <c r="H59" s="1442"/>
      <c r="I59" s="1442"/>
      <c r="J59" s="1439" t="s">
        <v>3329</v>
      </c>
      <c r="K59" s="1439" t="s">
        <v>3330</v>
      </c>
      <c r="L59" s="11">
        <v>2013</v>
      </c>
      <c r="M59" s="114">
        <v>0.9</v>
      </c>
      <c r="N59" s="114">
        <v>0.9</v>
      </c>
      <c r="O59" s="114">
        <v>0.9</v>
      </c>
      <c r="P59" s="114">
        <v>0.9</v>
      </c>
      <c r="Q59" s="114">
        <v>0.9</v>
      </c>
      <c r="R59" s="113">
        <v>0.9</v>
      </c>
      <c r="S59" s="1663">
        <v>0</v>
      </c>
      <c r="T59" s="1663">
        <v>0</v>
      </c>
      <c r="U59" s="1663">
        <v>70</v>
      </c>
      <c r="V59" s="1663">
        <v>0</v>
      </c>
      <c r="W59" s="1661">
        <v>0</v>
      </c>
      <c r="X59" s="1661">
        <v>0</v>
      </c>
      <c r="Y59" s="1661">
        <v>0</v>
      </c>
      <c r="Z59" s="1661">
        <v>0</v>
      </c>
      <c r="AA59" s="1661">
        <f>+Z59+Y59+X59+W59+V59+U59+T59+S59</f>
        <v>70</v>
      </c>
      <c r="AB59" s="1661">
        <f>+(((S59*3.5%)+(S59)))</f>
        <v>0</v>
      </c>
      <c r="AC59" s="1661">
        <f t="shared" ref="AC59:AI59" si="40">+(((T59*3.5%)+(T59)))</f>
        <v>0</v>
      </c>
      <c r="AD59" s="1661">
        <f t="shared" si="40"/>
        <v>72.45</v>
      </c>
      <c r="AE59" s="1661">
        <f t="shared" si="40"/>
        <v>0</v>
      </c>
      <c r="AF59" s="1661">
        <f t="shared" si="40"/>
        <v>0</v>
      </c>
      <c r="AG59" s="1661">
        <f t="shared" si="40"/>
        <v>0</v>
      </c>
      <c r="AH59" s="1661">
        <f t="shared" si="40"/>
        <v>0</v>
      </c>
      <c r="AI59" s="1661">
        <f t="shared" si="40"/>
        <v>0</v>
      </c>
      <c r="AJ59" s="1661">
        <f>+AI59+AH59+AG59+AF59+AE59+AD59+AC59+AB59</f>
        <v>72.45</v>
      </c>
      <c r="AK59" s="1661">
        <f t="shared" ref="AK59:AR59" si="41">+(((AB59*3.5%)+(AB59)))</f>
        <v>0</v>
      </c>
      <c r="AL59" s="1661">
        <f t="shared" si="41"/>
        <v>0</v>
      </c>
      <c r="AM59" s="1661">
        <f t="shared" si="41"/>
        <v>74.985749999999996</v>
      </c>
      <c r="AN59" s="1661">
        <f t="shared" si="41"/>
        <v>0</v>
      </c>
      <c r="AO59" s="1661">
        <f t="shared" si="41"/>
        <v>0</v>
      </c>
      <c r="AP59" s="1661">
        <f t="shared" si="41"/>
        <v>0</v>
      </c>
      <c r="AQ59" s="1661">
        <f t="shared" si="41"/>
        <v>0</v>
      </c>
      <c r="AR59" s="1661">
        <f t="shared" si="41"/>
        <v>0</v>
      </c>
      <c r="AS59" s="1661">
        <f>+AR59+AQ59+AP59+AO59+AN59+AM59+AL59+AK59</f>
        <v>74.985749999999996</v>
      </c>
      <c r="AT59" s="1661">
        <f t="shared" ref="AT59:BA59" si="42">+(((AK59*3.5%)+(AK59)))</f>
        <v>0</v>
      </c>
      <c r="AU59" s="1661">
        <f t="shared" si="42"/>
        <v>0</v>
      </c>
      <c r="AV59" s="1661">
        <f t="shared" si="42"/>
        <v>77.61025124999999</v>
      </c>
      <c r="AW59" s="1661">
        <f t="shared" si="42"/>
        <v>0</v>
      </c>
      <c r="AX59" s="1661">
        <f t="shared" si="42"/>
        <v>0</v>
      </c>
      <c r="AY59" s="1661">
        <f t="shared" si="42"/>
        <v>0</v>
      </c>
      <c r="AZ59" s="1661">
        <f t="shared" si="42"/>
        <v>0</v>
      </c>
      <c r="BA59" s="1661">
        <f t="shared" si="42"/>
        <v>0</v>
      </c>
      <c r="BB59" s="1661">
        <f>+BA59+AZ59+AY59+AX59+AW59+AV59+AU59+AT59</f>
        <v>77.61025124999999</v>
      </c>
      <c r="BC59" s="1661">
        <f>+S59+AB59+AK59+AT59</f>
        <v>0</v>
      </c>
      <c r="BD59" s="1661">
        <f t="shared" ref="BD59:BJ59" si="43">+T59+AC59+AL59+AU59</f>
        <v>0</v>
      </c>
      <c r="BE59" s="1661">
        <f t="shared" si="43"/>
        <v>295.04600124999996</v>
      </c>
      <c r="BF59" s="1661">
        <f t="shared" si="43"/>
        <v>0</v>
      </c>
      <c r="BG59" s="1661">
        <f t="shared" si="43"/>
        <v>0</v>
      </c>
      <c r="BH59" s="1661">
        <f t="shared" si="43"/>
        <v>0</v>
      </c>
      <c r="BI59" s="1661">
        <f t="shared" si="43"/>
        <v>0</v>
      </c>
      <c r="BJ59" s="1661">
        <f t="shared" si="43"/>
        <v>0</v>
      </c>
      <c r="BK59" s="1661">
        <f>+BJ59+BI59+BH59+BG59+BF59+BE59+BD59+BC59</f>
        <v>295.04600124999996</v>
      </c>
    </row>
    <row r="60" spans="1:63" s="3" customFormat="1" ht="26.4" x14ac:dyDescent="0.25">
      <c r="A60" s="82"/>
      <c r="B60" s="1691"/>
      <c r="C60" s="1674"/>
      <c r="D60" s="1674"/>
      <c r="E60" s="1670"/>
      <c r="F60" s="1670"/>
      <c r="G60" s="1672"/>
      <c r="H60" s="1442"/>
      <c r="I60" s="1442"/>
      <c r="J60" s="1439" t="s">
        <v>3331</v>
      </c>
      <c r="K60" s="95" t="s">
        <v>3332</v>
      </c>
      <c r="L60" s="11">
        <v>2013</v>
      </c>
      <c r="M60" s="123">
        <v>0.97599999999999998</v>
      </c>
      <c r="N60" s="123">
        <v>0.97599999999999998</v>
      </c>
      <c r="O60" s="114">
        <v>0.98</v>
      </c>
      <c r="P60" s="114">
        <v>0.98</v>
      </c>
      <c r="Q60" s="114">
        <v>0.98</v>
      </c>
      <c r="R60" s="113">
        <v>0.98</v>
      </c>
      <c r="S60" s="1666"/>
      <c r="T60" s="1666"/>
      <c r="U60" s="1666"/>
      <c r="V60" s="1666"/>
      <c r="W60" s="1665"/>
      <c r="X60" s="1665"/>
      <c r="Y60" s="1665"/>
      <c r="Z60" s="1665"/>
      <c r="AA60" s="1665"/>
      <c r="AB60" s="1665"/>
      <c r="AC60" s="1665"/>
      <c r="AD60" s="1665"/>
      <c r="AE60" s="1665"/>
      <c r="AF60" s="1665"/>
      <c r="AG60" s="1665"/>
      <c r="AH60" s="1665"/>
      <c r="AI60" s="1665"/>
      <c r="AJ60" s="1665"/>
      <c r="AK60" s="1665"/>
      <c r="AL60" s="1665"/>
      <c r="AM60" s="1665"/>
      <c r="AN60" s="1665"/>
      <c r="AO60" s="1665"/>
      <c r="AP60" s="1665"/>
      <c r="AQ60" s="1665"/>
      <c r="AR60" s="1665"/>
      <c r="AS60" s="1665"/>
      <c r="AT60" s="1665"/>
      <c r="AU60" s="1665"/>
      <c r="AV60" s="1665"/>
      <c r="AW60" s="1665"/>
      <c r="AX60" s="1665"/>
      <c r="AY60" s="1665"/>
      <c r="AZ60" s="1665"/>
      <c r="BA60" s="1665"/>
      <c r="BB60" s="1665"/>
      <c r="BC60" s="1665"/>
      <c r="BD60" s="1665"/>
      <c r="BE60" s="1665"/>
      <c r="BF60" s="1665"/>
      <c r="BG60" s="1665"/>
      <c r="BH60" s="1665"/>
      <c r="BI60" s="1665"/>
      <c r="BJ60" s="1665"/>
      <c r="BK60" s="1665"/>
    </row>
    <row r="61" spans="1:63" s="3" customFormat="1" ht="92.4" x14ac:dyDescent="0.25">
      <c r="A61" s="82"/>
      <c r="B61" s="1691"/>
      <c r="C61" s="1441" t="s">
        <v>3333</v>
      </c>
      <c r="D61" s="1441" t="s">
        <v>3334</v>
      </c>
      <c r="E61" s="1442">
        <v>2015</v>
      </c>
      <c r="F61" s="1442" t="s">
        <v>177</v>
      </c>
      <c r="G61" s="1443">
        <v>1</v>
      </c>
      <c r="H61" s="1442"/>
      <c r="I61" s="1442"/>
      <c r="J61" s="1439" t="s">
        <v>3335</v>
      </c>
      <c r="K61" s="1439" t="s">
        <v>3336</v>
      </c>
      <c r="L61" s="11">
        <v>2015</v>
      </c>
      <c r="M61" s="114" t="s">
        <v>177</v>
      </c>
      <c r="N61" s="114">
        <v>1</v>
      </c>
      <c r="O61" s="114">
        <v>1</v>
      </c>
      <c r="P61" s="114">
        <v>1</v>
      </c>
      <c r="Q61" s="114">
        <v>1</v>
      </c>
      <c r="R61" s="113">
        <v>1</v>
      </c>
      <c r="S61" s="1666"/>
      <c r="T61" s="1666"/>
      <c r="U61" s="1666"/>
      <c r="V61" s="1666"/>
      <c r="W61" s="1665"/>
      <c r="X61" s="1665"/>
      <c r="Y61" s="1665"/>
      <c r="Z61" s="1665"/>
      <c r="AA61" s="1665"/>
      <c r="AB61" s="1665"/>
      <c r="AC61" s="1665"/>
      <c r="AD61" s="1665"/>
      <c r="AE61" s="1665"/>
      <c r="AF61" s="1665"/>
      <c r="AG61" s="1665"/>
      <c r="AH61" s="1665"/>
      <c r="AI61" s="1665"/>
      <c r="AJ61" s="1665"/>
      <c r="AK61" s="1665"/>
      <c r="AL61" s="1665"/>
      <c r="AM61" s="1665"/>
      <c r="AN61" s="1665"/>
      <c r="AO61" s="1665"/>
      <c r="AP61" s="1665"/>
      <c r="AQ61" s="1665"/>
      <c r="AR61" s="1665"/>
      <c r="AS61" s="1665"/>
      <c r="AT61" s="1665"/>
      <c r="AU61" s="1665"/>
      <c r="AV61" s="1665"/>
      <c r="AW61" s="1665"/>
      <c r="AX61" s="1665"/>
      <c r="AY61" s="1665"/>
      <c r="AZ61" s="1665"/>
      <c r="BA61" s="1665"/>
      <c r="BB61" s="1665"/>
      <c r="BC61" s="1665"/>
      <c r="BD61" s="1665"/>
      <c r="BE61" s="1665"/>
      <c r="BF61" s="1665"/>
      <c r="BG61" s="1665"/>
      <c r="BH61" s="1665"/>
      <c r="BI61" s="1665"/>
      <c r="BJ61" s="1665"/>
      <c r="BK61" s="1665"/>
    </row>
    <row r="62" spans="1:63" s="3" customFormat="1" ht="52.8" x14ac:dyDescent="0.25">
      <c r="A62" s="82"/>
      <c r="B62" s="1691"/>
      <c r="C62" s="1441" t="s">
        <v>3337</v>
      </c>
      <c r="D62" s="1441" t="s">
        <v>3338</v>
      </c>
      <c r="E62" s="1442">
        <v>2015</v>
      </c>
      <c r="F62" s="1442">
        <v>0.12</v>
      </c>
      <c r="G62" s="1443" t="s">
        <v>3339</v>
      </c>
      <c r="H62" s="1442"/>
      <c r="I62" s="1442"/>
      <c r="J62" s="1439" t="s">
        <v>3340</v>
      </c>
      <c r="K62" s="1439" t="s">
        <v>3341</v>
      </c>
      <c r="L62" s="11">
        <v>2015</v>
      </c>
      <c r="M62" s="114">
        <v>0.25</v>
      </c>
      <c r="N62" s="114">
        <v>0.3</v>
      </c>
      <c r="O62" s="114">
        <v>0.5</v>
      </c>
      <c r="P62" s="114">
        <v>0.7</v>
      </c>
      <c r="Q62" s="114">
        <v>0.9</v>
      </c>
      <c r="R62" s="113">
        <v>0.9</v>
      </c>
      <c r="S62" s="1666"/>
      <c r="T62" s="1666"/>
      <c r="U62" s="1666"/>
      <c r="V62" s="1666"/>
      <c r="W62" s="1665"/>
      <c r="X62" s="1665"/>
      <c r="Y62" s="1665"/>
      <c r="Z62" s="1665"/>
      <c r="AA62" s="1665"/>
      <c r="AB62" s="1665"/>
      <c r="AC62" s="1665"/>
      <c r="AD62" s="1665"/>
      <c r="AE62" s="1665"/>
      <c r="AF62" s="1665"/>
      <c r="AG62" s="1665"/>
      <c r="AH62" s="1665"/>
      <c r="AI62" s="1665"/>
      <c r="AJ62" s="1665"/>
      <c r="AK62" s="1665"/>
      <c r="AL62" s="1665"/>
      <c r="AM62" s="1665"/>
      <c r="AN62" s="1665"/>
      <c r="AO62" s="1665"/>
      <c r="AP62" s="1665"/>
      <c r="AQ62" s="1665"/>
      <c r="AR62" s="1665"/>
      <c r="AS62" s="1665"/>
      <c r="AT62" s="1665"/>
      <c r="AU62" s="1665"/>
      <c r="AV62" s="1665"/>
      <c r="AW62" s="1665"/>
      <c r="AX62" s="1665"/>
      <c r="AY62" s="1665"/>
      <c r="AZ62" s="1665"/>
      <c r="BA62" s="1665"/>
      <c r="BB62" s="1665"/>
      <c r="BC62" s="1665"/>
      <c r="BD62" s="1665"/>
      <c r="BE62" s="1665"/>
      <c r="BF62" s="1665"/>
      <c r="BG62" s="1665"/>
      <c r="BH62" s="1665"/>
      <c r="BI62" s="1665"/>
      <c r="BJ62" s="1665"/>
      <c r="BK62" s="1665"/>
    </row>
    <row r="63" spans="1:63" s="3" customFormat="1" ht="52.8" x14ac:dyDescent="0.25">
      <c r="A63" s="82"/>
      <c r="B63" s="1691"/>
      <c r="C63" s="1441" t="s">
        <v>3342</v>
      </c>
      <c r="D63" s="1441" t="s">
        <v>3343</v>
      </c>
      <c r="E63" s="1442">
        <v>2014</v>
      </c>
      <c r="F63" s="125">
        <v>8.8699999999999992</v>
      </c>
      <c r="G63" s="1443" t="s">
        <v>3344</v>
      </c>
      <c r="H63" s="1442"/>
      <c r="I63" s="1442"/>
      <c r="J63" s="1439" t="s">
        <v>3345</v>
      </c>
      <c r="K63" s="1439" t="s">
        <v>3346</v>
      </c>
      <c r="L63" s="11">
        <v>2015</v>
      </c>
      <c r="M63" s="114">
        <v>0.6</v>
      </c>
      <c r="N63" s="114">
        <v>0.63</v>
      </c>
      <c r="O63" s="114">
        <v>0.65</v>
      </c>
      <c r="P63" s="114">
        <v>0.68</v>
      </c>
      <c r="Q63" s="114">
        <v>0.7</v>
      </c>
      <c r="R63" s="113">
        <v>0.7</v>
      </c>
      <c r="S63" s="1664"/>
      <c r="T63" s="1664"/>
      <c r="U63" s="1664"/>
      <c r="V63" s="1664"/>
      <c r="W63" s="1662"/>
      <c r="X63" s="1662"/>
      <c r="Y63" s="1662"/>
      <c r="Z63" s="1662"/>
      <c r="AA63" s="1662"/>
      <c r="AB63" s="1662"/>
      <c r="AC63" s="1662"/>
      <c r="AD63" s="1662"/>
      <c r="AE63" s="1662"/>
      <c r="AF63" s="1662"/>
      <c r="AG63" s="1662"/>
      <c r="AH63" s="1662"/>
      <c r="AI63" s="1662"/>
      <c r="AJ63" s="1662"/>
      <c r="AK63" s="1662"/>
      <c r="AL63" s="1662"/>
      <c r="AM63" s="1662"/>
      <c r="AN63" s="1662"/>
      <c r="AO63" s="1662"/>
      <c r="AP63" s="1662"/>
      <c r="AQ63" s="1662"/>
      <c r="AR63" s="1662"/>
      <c r="AS63" s="1662"/>
      <c r="AT63" s="1662"/>
      <c r="AU63" s="1662"/>
      <c r="AV63" s="1662"/>
      <c r="AW63" s="1662"/>
      <c r="AX63" s="1662"/>
      <c r="AY63" s="1662"/>
      <c r="AZ63" s="1662"/>
      <c r="BA63" s="1662"/>
      <c r="BB63" s="1662"/>
      <c r="BC63" s="1662"/>
      <c r="BD63" s="1662"/>
      <c r="BE63" s="1662"/>
      <c r="BF63" s="1662"/>
      <c r="BG63" s="1662"/>
      <c r="BH63" s="1662"/>
      <c r="BI63" s="1662"/>
      <c r="BJ63" s="1662"/>
      <c r="BK63" s="1662"/>
    </row>
    <row r="64" spans="1:63" s="3" customFormat="1" ht="15" customHeight="1" x14ac:dyDescent="0.25">
      <c r="A64" s="104" t="s">
        <v>168</v>
      </c>
      <c r="B64" s="1691"/>
      <c r="C64" s="116" t="s">
        <v>3347</v>
      </c>
      <c r="D64" s="106"/>
      <c r="E64" s="107"/>
      <c r="F64" s="107"/>
      <c r="G64" s="107"/>
      <c r="H64" s="107"/>
      <c r="I64" s="107"/>
      <c r="J64" s="107"/>
      <c r="K64" s="108"/>
      <c r="L64" s="107"/>
      <c r="M64" s="107"/>
      <c r="N64" s="107"/>
      <c r="O64" s="109"/>
      <c r="P64" s="109"/>
      <c r="Q64" s="109"/>
      <c r="R64" s="109"/>
      <c r="S64" s="110">
        <f>+S65</f>
        <v>0</v>
      </c>
      <c r="T64" s="110">
        <f t="shared" ref="T64:BK64" si="44">+T65</f>
        <v>0</v>
      </c>
      <c r="U64" s="110">
        <f t="shared" si="44"/>
        <v>67</v>
      </c>
      <c r="V64" s="110">
        <f t="shared" si="44"/>
        <v>0</v>
      </c>
      <c r="W64" s="110">
        <f t="shared" si="44"/>
        <v>0</v>
      </c>
      <c r="X64" s="110">
        <f t="shared" si="44"/>
        <v>0</v>
      </c>
      <c r="Y64" s="110">
        <f t="shared" si="44"/>
        <v>0</v>
      </c>
      <c r="Z64" s="110">
        <f t="shared" si="44"/>
        <v>0</v>
      </c>
      <c r="AA64" s="110">
        <f t="shared" si="44"/>
        <v>67</v>
      </c>
      <c r="AB64" s="110">
        <f t="shared" si="44"/>
        <v>0</v>
      </c>
      <c r="AC64" s="110">
        <f t="shared" si="44"/>
        <v>0</v>
      </c>
      <c r="AD64" s="110">
        <f t="shared" si="44"/>
        <v>69.344999999999999</v>
      </c>
      <c r="AE64" s="110">
        <f t="shared" si="44"/>
        <v>0</v>
      </c>
      <c r="AF64" s="110">
        <f t="shared" si="44"/>
        <v>0</v>
      </c>
      <c r="AG64" s="110">
        <f t="shared" si="44"/>
        <v>0</v>
      </c>
      <c r="AH64" s="110">
        <f t="shared" si="44"/>
        <v>0</v>
      </c>
      <c r="AI64" s="110">
        <f t="shared" si="44"/>
        <v>0</v>
      </c>
      <c r="AJ64" s="110">
        <f t="shared" si="44"/>
        <v>69.344999999999999</v>
      </c>
      <c r="AK64" s="110">
        <f t="shared" si="44"/>
        <v>0</v>
      </c>
      <c r="AL64" s="110">
        <f t="shared" si="44"/>
        <v>0</v>
      </c>
      <c r="AM64" s="110">
        <f t="shared" si="44"/>
        <v>71.772075000000001</v>
      </c>
      <c r="AN64" s="110">
        <f t="shared" si="44"/>
        <v>0</v>
      </c>
      <c r="AO64" s="110">
        <f t="shared" si="44"/>
        <v>0</v>
      </c>
      <c r="AP64" s="110">
        <f t="shared" si="44"/>
        <v>0</v>
      </c>
      <c r="AQ64" s="110">
        <f t="shared" si="44"/>
        <v>0</v>
      </c>
      <c r="AR64" s="110">
        <f t="shared" si="44"/>
        <v>0</v>
      </c>
      <c r="AS64" s="110">
        <f t="shared" si="44"/>
        <v>71.772075000000001</v>
      </c>
      <c r="AT64" s="110">
        <f t="shared" si="44"/>
        <v>0</v>
      </c>
      <c r="AU64" s="110">
        <f t="shared" si="44"/>
        <v>0</v>
      </c>
      <c r="AV64" s="110">
        <f t="shared" si="44"/>
        <v>74.284097625000001</v>
      </c>
      <c r="AW64" s="110">
        <f t="shared" si="44"/>
        <v>0</v>
      </c>
      <c r="AX64" s="110">
        <f t="shared" si="44"/>
        <v>0</v>
      </c>
      <c r="AY64" s="110">
        <f t="shared" si="44"/>
        <v>0</v>
      </c>
      <c r="AZ64" s="110">
        <f t="shared" si="44"/>
        <v>0</v>
      </c>
      <c r="BA64" s="110">
        <f t="shared" si="44"/>
        <v>0</v>
      </c>
      <c r="BB64" s="110">
        <f t="shared" si="44"/>
        <v>74.284097625000001</v>
      </c>
      <c r="BC64" s="110">
        <f t="shared" si="44"/>
        <v>0</v>
      </c>
      <c r="BD64" s="110">
        <f t="shared" si="44"/>
        <v>0</v>
      </c>
      <c r="BE64" s="110">
        <f t="shared" si="44"/>
        <v>282.40117262500002</v>
      </c>
      <c r="BF64" s="110">
        <f t="shared" si="44"/>
        <v>0</v>
      </c>
      <c r="BG64" s="110">
        <f t="shared" si="44"/>
        <v>0</v>
      </c>
      <c r="BH64" s="110">
        <f t="shared" si="44"/>
        <v>0</v>
      </c>
      <c r="BI64" s="110">
        <f t="shared" si="44"/>
        <v>0</v>
      </c>
      <c r="BJ64" s="110">
        <f t="shared" si="44"/>
        <v>0</v>
      </c>
      <c r="BK64" s="110">
        <f t="shared" si="44"/>
        <v>282.40117262500002</v>
      </c>
    </row>
    <row r="65" spans="1:63" s="3" customFormat="1" ht="63.75" customHeight="1" x14ac:dyDescent="0.25">
      <c r="A65" s="82"/>
      <c r="B65" s="1691"/>
      <c r="C65" s="1673" t="s">
        <v>3348</v>
      </c>
      <c r="D65" s="1673" t="s">
        <v>3349</v>
      </c>
      <c r="E65" s="1669">
        <v>2015</v>
      </c>
      <c r="F65" s="1669">
        <v>0.12</v>
      </c>
      <c r="G65" s="1671">
        <v>0.94</v>
      </c>
      <c r="H65" s="1442"/>
      <c r="I65" s="1442"/>
      <c r="J65" s="1439" t="s">
        <v>3350</v>
      </c>
      <c r="K65" s="1439" t="s">
        <v>3351</v>
      </c>
      <c r="L65" s="11">
        <v>2015</v>
      </c>
      <c r="M65" s="114">
        <v>0.93</v>
      </c>
      <c r="N65" s="123">
        <v>0.93500000000000005</v>
      </c>
      <c r="O65" s="114">
        <v>0.94</v>
      </c>
      <c r="P65" s="123">
        <v>0.94499999999999995</v>
      </c>
      <c r="Q65" s="114">
        <v>0.95</v>
      </c>
      <c r="R65" s="113">
        <v>0.95</v>
      </c>
      <c r="S65" s="1663">
        <v>0</v>
      </c>
      <c r="T65" s="1663">
        <v>0</v>
      </c>
      <c r="U65" s="1663">
        <v>67</v>
      </c>
      <c r="V65" s="1663">
        <v>0</v>
      </c>
      <c r="W65" s="1661">
        <v>0</v>
      </c>
      <c r="X65" s="1661">
        <v>0</v>
      </c>
      <c r="Y65" s="1661">
        <v>0</v>
      </c>
      <c r="Z65" s="1661">
        <v>0</v>
      </c>
      <c r="AA65" s="1661">
        <f>+Z65+Y65+X65+W65+V65+U65+S65+T65</f>
        <v>67</v>
      </c>
      <c r="AB65" s="1661">
        <f>+(((S65*3.5%)+S65))</f>
        <v>0</v>
      </c>
      <c r="AC65" s="1661">
        <f t="shared" ref="AC65:AI65" si="45">+(((T65*3.5%)+T65))</f>
        <v>0</v>
      </c>
      <c r="AD65" s="1661">
        <f t="shared" si="45"/>
        <v>69.344999999999999</v>
      </c>
      <c r="AE65" s="1661">
        <f t="shared" si="45"/>
        <v>0</v>
      </c>
      <c r="AF65" s="1661">
        <f t="shared" si="45"/>
        <v>0</v>
      </c>
      <c r="AG65" s="1661">
        <f t="shared" si="45"/>
        <v>0</v>
      </c>
      <c r="AH65" s="1661">
        <f t="shared" si="45"/>
        <v>0</v>
      </c>
      <c r="AI65" s="1661">
        <f t="shared" si="45"/>
        <v>0</v>
      </c>
      <c r="AJ65" s="1661">
        <f>+AI65+AH65+AG65+AF65+AE65+AD65+AB65+AC65</f>
        <v>69.344999999999999</v>
      </c>
      <c r="AK65" s="1661">
        <f t="shared" ref="AK65:AR65" si="46">+(((AB65*3.5%)+AB65))</f>
        <v>0</v>
      </c>
      <c r="AL65" s="1661">
        <f t="shared" si="46"/>
        <v>0</v>
      </c>
      <c r="AM65" s="1661">
        <f t="shared" si="46"/>
        <v>71.772075000000001</v>
      </c>
      <c r="AN65" s="1661">
        <f t="shared" si="46"/>
        <v>0</v>
      </c>
      <c r="AO65" s="1661">
        <f t="shared" si="46"/>
        <v>0</v>
      </c>
      <c r="AP65" s="1661">
        <f t="shared" si="46"/>
        <v>0</v>
      </c>
      <c r="AQ65" s="1661">
        <f t="shared" si="46"/>
        <v>0</v>
      </c>
      <c r="AR65" s="1661">
        <f t="shared" si="46"/>
        <v>0</v>
      </c>
      <c r="AS65" s="1661">
        <f>+AR65+AQ65+AP65+AO65+AN65+AM65+AK65+AL65</f>
        <v>71.772075000000001</v>
      </c>
      <c r="AT65" s="1661">
        <f t="shared" ref="AT65:BA65" si="47">+(((AK65*3.5%)+AK65))</f>
        <v>0</v>
      </c>
      <c r="AU65" s="1661">
        <f t="shared" si="47"/>
        <v>0</v>
      </c>
      <c r="AV65" s="1661">
        <f t="shared" si="47"/>
        <v>74.284097625000001</v>
      </c>
      <c r="AW65" s="1661">
        <f t="shared" si="47"/>
        <v>0</v>
      </c>
      <c r="AX65" s="1661">
        <f t="shared" si="47"/>
        <v>0</v>
      </c>
      <c r="AY65" s="1661">
        <f t="shared" si="47"/>
        <v>0</v>
      </c>
      <c r="AZ65" s="1661">
        <f t="shared" si="47"/>
        <v>0</v>
      </c>
      <c r="BA65" s="1661">
        <f t="shared" si="47"/>
        <v>0</v>
      </c>
      <c r="BB65" s="1661">
        <f>+BA65+AZ65+AY65+AX65+AW65+AV65+AT65+AU65</f>
        <v>74.284097625000001</v>
      </c>
      <c r="BC65" s="1661">
        <f>+S65+AB65+AK65+AT65</f>
        <v>0</v>
      </c>
      <c r="BD65" s="1661">
        <f t="shared" ref="BD65:BJ65" si="48">+T65+AC65+AL65+AU65</f>
        <v>0</v>
      </c>
      <c r="BE65" s="1661">
        <f t="shared" si="48"/>
        <v>282.40117262500002</v>
      </c>
      <c r="BF65" s="1661">
        <f t="shared" si="48"/>
        <v>0</v>
      </c>
      <c r="BG65" s="1661">
        <f t="shared" si="48"/>
        <v>0</v>
      </c>
      <c r="BH65" s="1661">
        <f t="shared" si="48"/>
        <v>0</v>
      </c>
      <c r="BI65" s="1661">
        <f t="shared" si="48"/>
        <v>0</v>
      </c>
      <c r="BJ65" s="1661">
        <f t="shared" si="48"/>
        <v>0</v>
      </c>
      <c r="BK65" s="1661">
        <f>+BJ65+BI65+BH65+BG65+BF65+BE65+BC65+BD65</f>
        <v>282.40117262500002</v>
      </c>
    </row>
    <row r="66" spans="1:63" s="3" customFormat="1" ht="39.6" x14ac:dyDescent="0.25">
      <c r="A66" s="82"/>
      <c r="B66" s="1691"/>
      <c r="C66" s="1674"/>
      <c r="D66" s="1674"/>
      <c r="E66" s="1670"/>
      <c r="F66" s="1670"/>
      <c r="G66" s="1672"/>
      <c r="H66" s="1442"/>
      <c r="I66" s="1442"/>
      <c r="J66" s="1439" t="s">
        <v>3352</v>
      </c>
      <c r="K66" s="1439" t="s">
        <v>3353</v>
      </c>
      <c r="L66" s="11">
        <v>2015</v>
      </c>
      <c r="M66" s="114">
        <v>0.92</v>
      </c>
      <c r="N66" s="123">
        <v>0.92500000000000004</v>
      </c>
      <c r="O66" s="114">
        <v>0.93</v>
      </c>
      <c r="P66" s="123">
        <v>0.94499999999999995</v>
      </c>
      <c r="Q66" s="114">
        <v>0.95</v>
      </c>
      <c r="R66" s="113">
        <v>0.95</v>
      </c>
      <c r="S66" s="1666"/>
      <c r="T66" s="1666"/>
      <c r="U66" s="1666"/>
      <c r="V66" s="1666"/>
      <c r="W66" s="1665"/>
      <c r="X66" s="1665"/>
      <c r="Y66" s="1665"/>
      <c r="Z66" s="1665"/>
      <c r="AA66" s="1665"/>
      <c r="AB66" s="1665"/>
      <c r="AC66" s="1665"/>
      <c r="AD66" s="1665"/>
      <c r="AE66" s="1665"/>
      <c r="AF66" s="1665"/>
      <c r="AG66" s="1665"/>
      <c r="AH66" s="1665"/>
      <c r="AI66" s="1665"/>
      <c r="AJ66" s="1665"/>
      <c r="AK66" s="1665"/>
      <c r="AL66" s="1665"/>
      <c r="AM66" s="1665"/>
      <c r="AN66" s="1665"/>
      <c r="AO66" s="1665"/>
      <c r="AP66" s="1665"/>
      <c r="AQ66" s="1665"/>
      <c r="AR66" s="1665"/>
      <c r="AS66" s="1665"/>
      <c r="AT66" s="1665"/>
      <c r="AU66" s="1665"/>
      <c r="AV66" s="1665"/>
      <c r="AW66" s="1665"/>
      <c r="AX66" s="1665"/>
      <c r="AY66" s="1665"/>
      <c r="AZ66" s="1665"/>
      <c r="BA66" s="1665"/>
      <c r="BB66" s="1665"/>
      <c r="BC66" s="1665"/>
      <c r="BD66" s="1665"/>
      <c r="BE66" s="1665"/>
      <c r="BF66" s="1665"/>
      <c r="BG66" s="1665"/>
      <c r="BH66" s="1665"/>
      <c r="BI66" s="1665"/>
      <c r="BJ66" s="1665"/>
      <c r="BK66" s="1665"/>
    </row>
    <row r="67" spans="1:63" s="3" customFormat="1" ht="89.25" customHeight="1" x14ac:dyDescent="0.25">
      <c r="A67" s="82"/>
      <c r="B67" s="1691"/>
      <c r="C67" s="1667" t="s">
        <v>3354</v>
      </c>
      <c r="D67" s="1667" t="s">
        <v>3355</v>
      </c>
      <c r="E67" s="1669">
        <v>2015</v>
      </c>
      <c r="F67" s="1669" t="s">
        <v>177</v>
      </c>
      <c r="G67" s="1671">
        <v>1</v>
      </c>
      <c r="H67" s="1442"/>
      <c r="I67" s="1442"/>
      <c r="J67" s="1439" t="s">
        <v>3356</v>
      </c>
      <c r="K67" s="1439" t="s">
        <v>3357</v>
      </c>
      <c r="L67" s="11">
        <v>2015</v>
      </c>
      <c r="M67" s="114" t="s">
        <v>177</v>
      </c>
      <c r="N67" s="114">
        <v>1</v>
      </c>
      <c r="O67" s="114">
        <v>1</v>
      </c>
      <c r="P67" s="114">
        <v>1</v>
      </c>
      <c r="Q67" s="114">
        <v>1</v>
      </c>
      <c r="R67" s="113">
        <v>1</v>
      </c>
      <c r="S67" s="1666"/>
      <c r="T67" s="1666"/>
      <c r="U67" s="1666"/>
      <c r="V67" s="1666"/>
      <c r="W67" s="1665"/>
      <c r="X67" s="1665"/>
      <c r="Y67" s="1665"/>
      <c r="Z67" s="1665"/>
      <c r="AA67" s="1665"/>
      <c r="AB67" s="1665"/>
      <c r="AC67" s="1665"/>
      <c r="AD67" s="1665"/>
      <c r="AE67" s="1665"/>
      <c r="AF67" s="1665"/>
      <c r="AG67" s="1665"/>
      <c r="AH67" s="1665"/>
      <c r="AI67" s="1665"/>
      <c r="AJ67" s="1665"/>
      <c r="AK67" s="1665"/>
      <c r="AL67" s="1665"/>
      <c r="AM67" s="1665"/>
      <c r="AN67" s="1665"/>
      <c r="AO67" s="1665"/>
      <c r="AP67" s="1665"/>
      <c r="AQ67" s="1665"/>
      <c r="AR67" s="1665"/>
      <c r="AS67" s="1665"/>
      <c r="AT67" s="1665"/>
      <c r="AU67" s="1665"/>
      <c r="AV67" s="1665"/>
      <c r="AW67" s="1665"/>
      <c r="AX67" s="1665"/>
      <c r="AY67" s="1665"/>
      <c r="AZ67" s="1665"/>
      <c r="BA67" s="1665"/>
      <c r="BB67" s="1665"/>
      <c r="BC67" s="1665"/>
      <c r="BD67" s="1665"/>
      <c r="BE67" s="1665"/>
      <c r="BF67" s="1665"/>
      <c r="BG67" s="1665"/>
      <c r="BH67" s="1665"/>
      <c r="BI67" s="1665"/>
      <c r="BJ67" s="1665"/>
      <c r="BK67" s="1665"/>
    </row>
    <row r="68" spans="1:63" s="3" customFormat="1" ht="26.4" x14ac:dyDescent="0.25">
      <c r="A68" s="82"/>
      <c r="B68" s="1691"/>
      <c r="C68" s="1668"/>
      <c r="D68" s="1668"/>
      <c r="E68" s="1670"/>
      <c r="F68" s="1670"/>
      <c r="G68" s="1672"/>
      <c r="H68" s="1442"/>
      <c r="I68" s="1442"/>
      <c r="J68" s="1439" t="s">
        <v>3358</v>
      </c>
      <c r="K68" s="1439" t="s">
        <v>3359</v>
      </c>
      <c r="L68" s="11">
        <v>2015</v>
      </c>
      <c r="M68" s="126">
        <v>0</v>
      </c>
      <c r="N68" s="127">
        <v>0</v>
      </c>
      <c r="O68" s="127">
        <v>0</v>
      </c>
      <c r="P68" s="127">
        <v>0</v>
      </c>
      <c r="Q68" s="114" t="s">
        <v>3360</v>
      </c>
      <c r="R68" s="113" t="s">
        <v>3361</v>
      </c>
      <c r="S68" s="1666"/>
      <c r="T68" s="1666"/>
      <c r="U68" s="1666"/>
      <c r="V68" s="1666"/>
      <c r="W68" s="1665"/>
      <c r="X68" s="1665"/>
      <c r="Y68" s="1665"/>
      <c r="Z68" s="1665"/>
      <c r="AA68" s="1665"/>
      <c r="AB68" s="1665"/>
      <c r="AC68" s="1665"/>
      <c r="AD68" s="1665"/>
      <c r="AE68" s="1665"/>
      <c r="AF68" s="1665"/>
      <c r="AG68" s="1665"/>
      <c r="AH68" s="1665"/>
      <c r="AI68" s="1665"/>
      <c r="AJ68" s="1665"/>
      <c r="AK68" s="1665"/>
      <c r="AL68" s="1665"/>
      <c r="AM68" s="1665"/>
      <c r="AN68" s="1665"/>
      <c r="AO68" s="1665"/>
      <c r="AP68" s="1665"/>
      <c r="AQ68" s="1665"/>
      <c r="AR68" s="1665"/>
      <c r="AS68" s="1665"/>
      <c r="AT68" s="1665"/>
      <c r="AU68" s="1665"/>
      <c r="AV68" s="1665"/>
      <c r="AW68" s="1665"/>
      <c r="AX68" s="1665"/>
      <c r="AY68" s="1665"/>
      <c r="AZ68" s="1665"/>
      <c r="BA68" s="1665"/>
      <c r="BB68" s="1665"/>
      <c r="BC68" s="1665"/>
      <c r="BD68" s="1665"/>
      <c r="BE68" s="1665"/>
      <c r="BF68" s="1665"/>
      <c r="BG68" s="1665"/>
      <c r="BH68" s="1665"/>
      <c r="BI68" s="1665"/>
      <c r="BJ68" s="1665"/>
      <c r="BK68" s="1665"/>
    </row>
    <row r="69" spans="1:63" s="3" customFormat="1" ht="39.6" x14ac:dyDescent="0.25">
      <c r="A69" s="82"/>
      <c r="B69" s="1691"/>
      <c r="C69" s="1441" t="s">
        <v>3362</v>
      </c>
      <c r="D69" s="1441" t="s">
        <v>3363</v>
      </c>
      <c r="E69" s="1442">
        <v>2015</v>
      </c>
      <c r="F69" s="1442">
        <v>0</v>
      </c>
      <c r="G69" s="1443" t="s">
        <v>3339</v>
      </c>
      <c r="H69" s="1442"/>
      <c r="I69" s="1442"/>
      <c r="J69" s="1439" t="s">
        <v>3364</v>
      </c>
      <c r="K69" s="1439" t="s">
        <v>3365</v>
      </c>
      <c r="L69" s="11">
        <v>2014</v>
      </c>
      <c r="M69" s="123">
        <v>0.68300000000000005</v>
      </c>
      <c r="N69" s="123">
        <v>0.68600000000000005</v>
      </c>
      <c r="O69" s="114">
        <v>0.69</v>
      </c>
      <c r="P69" s="123">
        <v>0.69499999999999995</v>
      </c>
      <c r="Q69" s="114">
        <v>0.7</v>
      </c>
      <c r="R69" s="113">
        <v>0.7</v>
      </c>
      <c r="S69" s="1666"/>
      <c r="T69" s="1666"/>
      <c r="U69" s="1666"/>
      <c r="V69" s="1666"/>
      <c r="W69" s="1665"/>
      <c r="X69" s="1665"/>
      <c r="Y69" s="1665"/>
      <c r="Z69" s="1665"/>
      <c r="AA69" s="1665"/>
      <c r="AB69" s="1665"/>
      <c r="AC69" s="1665"/>
      <c r="AD69" s="1665"/>
      <c r="AE69" s="1665"/>
      <c r="AF69" s="1665"/>
      <c r="AG69" s="1665"/>
      <c r="AH69" s="1665"/>
      <c r="AI69" s="1665"/>
      <c r="AJ69" s="1665"/>
      <c r="AK69" s="1665"/>
      <c r="AL69" s="1665"/>
      <c r="AM69" s="1665"/>
      <c r="AN69" s="1665"/>
      <c r="AO69" s="1665"/>
      <c r="AP69" s="1665"/>
      <c r="AQ69" s="1665"/>
      <c r="AR69" s="1665"/>
      <c r="AS69" s="1665"/>
      <c r="AT69" s="1665"/>
      <c r="AU69" s="1665"/>
      <c r="AV69" s="1665"/>
      <c r="AW69" s="1665"/>
      <c r="AX69" s="1665"/>
      <c r="AY69" s="1665"/>
      <c r="AZ69" s="1665"/>
      <c r="BA69" s="1665"/>
      <c r="BB69" s="1665"/>
      <c r="BC69" s="1665"/>
      <c r="BD69" s="1665"/>
      <c r="BE69" s="1665"/>
      <c r="BF69" s="1665"/>
      <c r="BG69" s="1665"/>
      <c r="BH69" s="1665"/>
      <c r="BI69" s="1665"/>
      <c r="BJ69" s="1665"/>
      <c r="BK69" s="1665"/>
    </row>
    <row r="70" spans="1:63" s="3" customFormat="1" ht="89.25" customHeight="1" x14ac:dyDescent="0.25">
      <c r="A70" s="82"/>
      <c r="B70" s="1691"/>
      <c r="C70" s="1673" t="s">
        <v>3366</v>
      </c>
      <c r="D70" s="1673" t="s">
        <v>3367</v>
      </c>
      <c r="E70" s="1669">
        <v>2015</v>
      </c>
      <c r="F70" s="1669" t="s">
        <v>177</v>
      </c>
      <c r="G70" s="1671">
        <v>1</v>
      </c>
      <c r="H70" s="1442"/>
      <c r="I70" s="1442"/>
      <c r="J70" s="1439" t="s">
        <v>3368</v>
      </c>
      <c r="K70" s="1439" t="s">
        <v>3369</v>
      </c>
      <c r="L70" s="11">
        <v>2015</v>
      </c>
      <c r="M70" s="114" t="s">
        <v>177</v>
      </c>
      <c r="N70" s="114">
        <v>1</v>
      </c>
      <c r="O70" s="114">
        <v>1</v>
      </c>
      <c r="P70" s="114">
        <v>1</v>
      </c>
      <c r="Q70" s="114">
        <v>1</v>
      </c>
      <c r="R70" s="113">
        <v>1</v>
      </c>
      <c r="S70" s="1666"/>
      <c r="T70" s="1666"/>
      <c r="U70" s="1666"/>
      <c r="V70" s="1666"/>
      <c r="W70" s="1665"/>
      <c r="X70" s="1665"/>
      <c r="Y70" s="1665"/>
      <c r="Z70" s="1665"/>
      <c r="AA70" s="1665"/>
      <c r="AB70" s="1665"/>
      <c r="AC70" s="1665"/>
      <c r="AD70" s="1665"/>
      <c r="AE70" s="1665"/>
      <c r="AF70" s="1665"/>
      <c r="AG70" s="1665"/>
      <c r="AH70" s="1665"/>
      <c r="AI70" s="1665"/>
      <c r="AJ70" s="1665"/>
      <c r="AK70" s="1665"/>
      <c r="AL70" s="1665"/>
      <c r="AM70" s="1665"/>
      <c r="AN70" s="1665"/>
      <c r="AO70" s="1665"/>
      <c r="AP70" s="1665"/>
      <c r="AQ70" s="1665"/>
      <c r="AR70" s="1665"/>
      <c r="AS70" s="1665"/>
      <c r="AT70" s="1665"/>
      <c r="AU70" s="1665"/>
      <c r="AV70" s="1665"/>
      <c r="AW70" s="1665"/>
      <c r="AX70" s="1665"/>
      <c r="AY70" s="1665"/>
      <c r="AZ70" s="1665"/>
      <c r="BA70" s="1665"/>
      <c r="BB70" s="1665"/>
      <c r="BC70" s="1665"/>
      <c r="BD70" s="1665"/>
      <c r="BE70" s="1665"/>
      <c r="BF70" s="1665"/>
      <c r="BG70" s="1665"/>
      <c r="BH70" s="1665"/>
      <c r="BI70" s="1665"/>
      <c r="BJ70" s="1665"/>
      <c r="BK70" s="1665"/>
    </row>
    <row r="71" spans="1:63" s="3" customFormat="1" ht="52.8" x14ac:dyDescent="0.25">
      <c r="A71" s="82"/>
      <c r="B71" s="1691"/>
      <c r="C71" s="1674"/>
      <c r="D71" s="1674"/>
      <c r="E71" s="1670"/>
      <c r="F71" s="1670"/>
      <c r="G71" s="1672"/>
      <c r="H71" s="1442"/>
      <c r="I71" s="1442"/>
      <c r="J71" s="1439" t="s">
        <v>3370</v>
      </c>
      <c r="K71" s="95" t="s">
        <v>3371</v>
      </c>
      <c r="L71" s="11">
        <v>2015</v>
      </c>
      <c r="M71" s="114">
        <v>0.9</v>
      </c>
      <c r="N71" s="114">
        <v>1</v>
      </c>
      <c r="O71" s="114">
        <v>1</v>
      </c>
      <c r="P71" s="114">
        <v>1</v>
      </c>
      <c r="Q71" s="114">
        <v>1</v>
      </c>
      <c r="R71" s="113">
        <v>1</v>
      </c>
      <c r="S71" s="1664"/>
      <c r="T71" s="1664"/>
      <c r="U71" s="1664"/>
      <c r="V71" s="1664"/>
      <c r="W71" s="1662"/>
      <c r="X71" s="1662"/>
      <c r="Y71" s="1662"/>
      <c r="Z71" s="1662"/>
      <c r="AA71" s="1662"/>
      <c r="AB71" s="1662"/>
      <c r="AC71" s="1662"/>
      <c r="AD71" s="1662"/>
      <c r="AE71" s="1662"/>
      <c r="AF71" s="1662"/>
      <c r="AG71" s="1662"/>
      <c r="AH71" s="1662"/>
      <c r="AI71" s="1662"/>
      <c r="AJ71" s="1662"/>
      <c r="AK71" s="1662"/>
      <c r="AL71" s="1662"/>
      <c r="AM71" s="1662"/>
      <c r="AN71" s="1662"/>
      <c r="AO71" s="1662"/>
      <c r="AP71" s="1662"/>
      <c r="AQ71" s="1662"/>
      <c r="AR71" s="1662"/>
      <c r="AS71" s="1662"/>
      <c r="AT71" s="1662"/>
      <c r="AU71" s="1662"/>
      <c r="AV71" s="1662"/>
      <c r="AW71" s="1662"/>
      <c r="AX71" s="1662"/>
      <c r="AY71" s="1662"/>
      <c r="AZ71" s="1662"/>
      <c r="BA71" s="1662"/>
      <c r="BB71" s="1662"/>
      <c r="BC71" s="1662"/>
      <c r="BD71" s="1662"/>
      <c r="BE71" s="1662"/>
      <c r="BF71" s="1662"/>
      <c r="BG71" s="1662"/>
      <c r="BH71" s="1662"/>
      <c r="BI71" s="1662"/>
      <c r="BJ71" s="1662"/>
      <c r="BK71" s="1662"/>
    </row>
    <row r="72" spans="1:63" s="3" customFormat="1" ht="15" customHeight="1" x14ac:dyDescent="0.25">
      <c r="A72" s="104" t="s">
        <v>168</v>
      </c>
      <c r="B72" s="1691"/>
      <c r="C72" s="116" t="s">
        <v>3372</v>
      </c>
      <c r="D72" s="106"/>
      <c r="E72" s="107"/>
      <c r="F72" s="107"/>
      <c r="G72" s="107"/>
      <c r="H72" s="107"/>
      <c r="I72" s="107"/>
      <c r="J72" s="107"/>
      <c r="K72" s="108"/>
      <c r="L72" s="107"/>
      <c r="M72" s="107"/>
      <c r="N72" s="107"/>
      <c r="O72" s="109"/>
      <c r="P72" s="109"/>
      <c r="Q72" s="109"/>
      <c r="R72" s="109"/>
      <c r="S72" s="110">
        <f>+S73</f>
        <v>2</v>
      </c>
      <c r="T72" s="110">
        <f t="shared" ref="T72:BK72" si="49">+T73</f>
        <v>0</v>
      </c>
      <c r="U72" s="110">
        <f t="shared" si="49"/>
        <v>0</v>
      </c>
      <c r="V72" s="110">
        <f t="shared" si="49"/>
        <v>0</v>
      </c>
      <c r="W72" s="110">
        <f t="shared" si="49"/>
        <v>0</v>
      </c>
      <c r="X72" s="110">
        <f t="shared" si="49"/>
        <v>0</v>
      </c>
      <c r="Y72" s="110">
        <f t="shared" si="49"/>
        <v>0</v>
      </c>
      <c r="Z72" s="110">
        <f t="shared" si="49"/>
        <v>2</v>
      </c>
      <c r="AA72" s="110">
        <f t="shared" si="49"/>
        <v>4</v>
      </c>
      <c r="AB72" s="110">
        <f t="shared" si="49"/>
        <v>2.0699999999999998</v>
      </c>
      <c r="AC72" s="110">
        <f t="shared" si="49"/>
        <v>0</v>
      </c>
      <c r="AD72" s="110">
        <f t="shared" si="49"/>
        <v>0</v>
      </c>
      <c r="AE72" s="110">
        <f t="shared" si="49"/>
        <v>0</v>
      </c>
      <c r="AF72" s="110">
        <f t="shared" si="49"/>
        <v>0</v>
      </c>
      <c r="AG72" s="110">
        <f t="shared" si="49"/>
        <v>0</v>
      </c>
      <c r="AH72" s="110">
        <f t="shared" si="49"/>
        <v>0</v>
      </c>
      <c r="AI72" s="110">
        <f t="shared" si="49"/>
        <v>2.0699999999999998</v>
      </c>
      <c r="AJ72" s="110">
        <f t="shared" si="49"/>
        <v>4.1399999999999997</v>
      </c>
      <c r="AK72" s="110">
        <f t="shared" si="49"/>
        <v>2.1424499999999997</v>
      </c>
      <c r="AL72" s="110">
        <f t="shared" si="49"/>
        <v>0</v>
      </c>
      <c r="AM72" s="110">
        <f t="shared" si="49"/>
        <v>0</v>
      </c>
      <c r="AN72" s="110">
        <f t="shared" si="49"/>
        <v>0</v>
      </c>
      <c r="AO72" s="110">
        <f t="shared" si="49"/>
        <v>0</v>
      </c>
      <c r="AP72" s="110">
        <f t="shared" si="49"/>
        <v>0</v>
      </c>
      <c r="AQ72" s="110">
        <f t="shared" si="49"/>
        <v>0</v>
      </c>
      <c r="AR72" s="110">
        <f t="shared" si="49"/>
        <v>2.1424499999999997</v>
      </c>
      <c r="AS72" s="110">
        <f t="shared" si="49"/>
        <v>4.2848999999999995</v>
      </c>
      <c r="AT72" s="110">
        <f t="shared" si="49"/>
        <v>2.2174357499999999</v>
      </c>
      <c r="AU72" s="110">
        <f t="shared" si="49"/>
        <v>0</v>
      </c>
      <c r="AV72" s="110">
        <f t="shared" si="49"/>
        <v>0</v>
      </c>
      <c r="AW72" s="110">
        <f t="shared" si="49"/>
        <v>0</v>
      </c>
      <c r="AX72" s="110">
        <f t="shared" si="49"/>
        <v>0</v>
      </c>
      <c r="AY72" s="110">
        <f t="shared" si="49"/>
        <v>0</v>
      </c>
      <c r="AZ72" s="110">
        <f t="shared" si="49"/>
        <v>0</v>
      </c>
      <c r="BA72" s="110">
        <f t="shared" si="49"/>
        <v>2.2174357499999999</v>
      </c>
      <c r="BB72" s="110">
        <f t="shared" si="49"/>
        <v>4.4348714999999999</v>
      </c>
      <c r="BC72" s="110">
        <f t="shared" si="49"/>
        <v>8.4298857500000004</v>
      </c>
      <c r="BD72" s="110">
        <f t="shared" si="49"/>
        <v>0</v>
      </c>
      <c r="BE72" s="110">
        <f t="shared" si="49"/>
        <v>0</v>
      </c>
      <c r="BF72" s="110">
        <f t="shared" si="49"/>
        <v>0</v>
      </c>
      <c r="BG72" s="110">
        <f t="shared" si="49"/>
        <v>0</v>
      </c>
      <c r="BH72" s="110">
        <f t="shared" si="49"/>
        <v>0</v>
      </c>
      <c r="BI72" s="110">
        <f t="shared" si="49"/>
        <v>0</v>
      </c>
      <c r="BJ72" s="110">
        <f t="shared" si="49"/>
        <v>2.2950460012499998</v>
      </c>
      <c r="BK72" s="110">
        <f t="shared" si="49"/>
        <v>10.724931751250001</v>
      </c>
    </row>
    <row r="73" spans="1:63" s="3" customFormat="1" ht="79.2" x14ac:dyDescent="0.25">
      <c r="A73" s="82"/>
      <c r="B73" s="1691"/>
      <c r="C73" s="1441" t="s">
        <v>3373</v>
      </c>
      <c r="D73" s="1441" t="s">
        <v>3374</v>
      </c>
      <c r="E73" s="1442">
        <v>2015</v>
      </c>
      <c r="F73" s="1442" t="s">
        <v>177</v>
      </c>
      <c r="G73" s="1443">
        <v>1</v>
      </c>
      <c r="H73" s="1442"/>
      <c r="I73" s="1442"/>
      <c r="J73" s="1439" t="s">
        <v>3375</v>
      </c>
      <c r="K73" s="1439" t="s">
        <v>3376</v>
      </c>
      <c r="L73" s="11">
        <v>2015</v>
      </c>
      <c r="M73" s="114" t="s">
        <v>177</v>
      </c>
      <c r="N73" s="114">
        <v>1</v>
      </c>
      <c r="O73" s="114">
        <v>1</v>
      </c>
      <c r="P73" s="114">
        <v>1</v>
      </c>
      <c r="Q73" s="114">
        <v>1</v>
      </c>
      <c r="R73" s="113">
        <v>1</v>
      </c>
      <c r="S73" s="1663">
        <v>2</v>
      </c>
      <c r="T73" s="1663">
        <v>0</v>
      </c>
      <c r="U73" s="1663">
        <v>0</v>
      </c>
      <c r="V73" s="1663">
        <v>0</v>
      </c>
      <c r="W73" s="1661">
        <v>0</v>
      </c>
      <c r="X73" s="1661">
        <v>0</v>
      </c>
      <c r="Y73" s="1661">
        <v>0</v>
      </c>
      <c r="Z73" s="1661">
        <v>2</v>
      </c>
      <c r="AA73" s="1661">
        <f>+Z73+Y73+X73+W73+V73+U73+T73+S73</f>
        <v>4</v>
      </c>
      <c r="AB73" s="1661">
        <f>+(((S73*3.5%)+(S73)))</f>
        <v>2.0699999999999998</v>
      </c>
      <c r="AC73" s="1661">
        <f t="shared" ref="AC73:AI73" si="50">+(((T73*3.5%)+(T73)))</f>
        <v>0</v>
      </c>
      <c r="AD73" s="1661">
        <f t="shared" si="50"/>
        <v>0</v>
      </c>
      <c r="AE73" s="1661">
        <f t="shared" si="50"/>
        <v>0</v>
      </c>
      <c r="AF73" s="1661">
        <f t="shared" si="50"/>
        <v>0</v>
      </c>
      <c r="AG73" s="1661">
        <f t="shared" si="50"/>
        <v>0</v>
      </c>
      <c r="AH73" s="1661">
        <f t="shared" si="50"/>
        <v>0</v>
      </c>
      <c r="AI73" s="1661">
        <f t="shared" si="50"/>
        <v>2.0699999999999998</v>
      </c>
      <c r="AJ73" s="1661">
        <f>+AI73+AH73+AG73+AF73+AE73+AD73+AC73+AB73</f>
        <v>4.1399999999999997</v>
      </c>
      <c r="AK73" s="1661">
        <f t="shared" ref="AK73:AR73" si="51">+(((AB73*3.5%)+(AB73)))</f>
        <v>2.1424499999999997</v>
      </c>
      <c r="AL73" s="1661">
        <f t="shared" si="51"/>
        <v>0</v>
      </c>
      <c r="AM73" s="1661">
        <f t="shared" si="51"/>
        <v>0</v>
      </c>
      <c r="AN73" s="1661">
        <f t="shared" si="51"/>
        <v>0</v>
      </c>
      <c r="AO73" s="1661">
        <f t="shared" si="51"/>
        <v>0</v>
      </c>
      <c r="AP73" s="1661">
        <f t="shared" si="51"/>
        <v>0</v>
      </c>
      <c r="AQ73" s="1661">
        <f t="shared" si="51"/>
        <v>0</v>
      </c>
      <c r="AR73" s="1661">
        <f t="shared" si="51"/>
        <v>2.1424499999999997</v>
      </c>
      <c r="AS73" s="1661">
        <f>+AR73+AQ73+AP73+AO73+AN73+AM73+AL73+AK73</f>
        <v>4.2848999999999995</v>
      </c>
      <c r="AT73" s="1661">
        <f t="shared" ref="AT73:BA73" si="52">+(((AK73*3.5%)+(AK73)))</f>
        <v>2.2174357499999999</v>
      </c>
      <c r="AU73" s="1661">
        <f t="shared" si="52"/>
        <v>0</v>
      </c>
      <c r="AV73" s="1661">
        <f t="shared" si="52"/>
        <v>0</v>
      </c>
      <c r="AW73" s="1661">
        <f t="shared" si="52"/>
        <v>0</v>
      </c>
      <c r="AX73" s="1661">
        <f t="shared" si="52"/>
        <v>0</v>
      </c>
      <c r="AY73" s="1661">
        <f t="shared" si="52"/>
        <v>0</v>
      </c>
      <c r="AZ73" s="1661">
        <f t="shared" si="52"/>
        <v>0</v>
      </c>
      <c r="BA73" s="1661">
        <f t="shared" si="52"/>
        <v>2.2174357499999999</v>
      </c>
      <c r="BB73" s="1661">
        <f>+BA73+AZ73+AY73+AX73+AW73+AV73+AU73+AT73</f>
        <v>4.4348714999999999</v>
      </c>
      <c r="BC73" s="1661">
        <f>+S73+AB73+AK73+AT73</f>
        <v>8.4298857500000004</v>
      </c>
      <c r="BD73" s="1661">
        <f t="shared" ref="BD73:BJ73" si="53">+(((AU73*3.5%)+(AU73)))</f>
        <v>0</v>
      </c>
      <c r="BE73" s="1661">
        <f t="shared" si="53"/>
        <v>0</v>
      </c>
      <c r="BF73" s="1661">
        <f t="shared" si="53"/>
        <v>0</v>
      </c>
      <c r="BG73" s="1661">
        <f t="shared" si="53"/>
        <v>0</v>
      </c>
      <c r="BH73" s="1661">
        <f t="shared" si="53"/>
        <v>0</v>
      </c>
      <c r="BI73" s="1661">
        <f t="shared" si="53"/>
        <v>0</v>
      </c>
      <c r="BJ73" s="1661">
        <f t="shared" si="53"/>
        <v>2.2950460012499998</v>
      </c>
      <c r="BK73" s="1661">
        <f>+BJ73+BI73+BH73+BG73+BF73+BE73+BD73+BC73</f>
        <v>10.724931751250001</v>
      </c>
    </row>
    <row r="74" spans="1:63" s="3" customFormat="1" ht="224.4" x14ac:dyDescent="0.3">
      <c r="A74" s="82"/>
      <c r="B74" s="1691"/>
      <c r="C74" s="1440" t="s">
        <v>3377</v>
      </c>
      <c r="D74" s="128" t="s">
        <v>3378</v>
      </c>
      <c r="E74" s="90">
        <v>2015</v>
      </c>
      <c r="F74" s="90" t="s">
        <v>177</v>
      </c>
      <c r="G74" s="129"/>
      <c r="H74" s="89"/>
      <c r="I74" s="89"/>
      <c r="J74" s="130" t="s">
        <v>3379</v>
      </c>
      <c r="K74" s="131" t="s">
        <v>3380</v>
      </c>
      <c r="L74" s="131">
        <v>2015</v>
      </c>
      <c r="M74" s="131" t="s">
        <v>177</v>
      </c>
      <c r="N74" s="1438" t="s">
        <v>3381</v>
      </c>
      <c r="O74" s="1438" t="s">
        <v>3381</v>
      </c>
      <c r="P74" s="1438" t="s">
        <v>3381</v>
      </c>
      <c r="Q74" s="1438" t="s">
        <v>3381</v>
      </c>
      <c r="R74" s="113"/>
      <c r="S74" s="1666"/>
      <c r="T74" s="1666"/>
      <c r="U74" s="1666"/>
      <c r="V74" s="1666"/>
      <c r="W74" s="1665"/>
      <c r="X74" s="1665"/>
      <c r="Y74" s="1665"/>
      <c r="Z74" s="1665"/>
      <c r="AA74" s="1665"/>
      <c r="AB74" s="1665"/>
      <c r="AC74" s="1665"/>
      <c r="AD74" s="1665"/>
      <c r="AE74" s="1665"/>
      <c r="AF74" s="1665"/>
      <c r="AG74" s="1665"/>
      <c r="AH74" s="1665"/>
      <c r="AI74" s="1665"/>
      <c r="AJ74" s="1665"/>
      <c r="AK74" s="1665"/>
      <c r="AL74" s="1665"/>
      <c r="AM74" s="1665"/>
      <c r="AN74" s="1665"/>
      <c r="AO74" s="1665"/>
      <c r="AP74" s="1665"/>
      <c r="AQ74" s="1665"/>
      <c r="AR74" s="1665"/>
      <c r="AS74" s="1665"/>
      <c r="AT74" s="1665"/>
      <c r="AU74" s="1665"/>
      <c r="AV74" s="1665"/>
      <c r="AW74" s="1665"/>
      <c r="AX74" s="1665"/>
      <c r="AY74" s="1665"/>
      <c r="AZ74" s="1665"/>
      <c r="BA74" s="1665"/>
      <c r="BB74" s="1665"/>
      <c r="BC74" s="1665"/>
      <c r="BD74" s="1665"/>
      <c r="BE74" s="1665"/>
      <c r="BF74" s="1665"/>
      <c r="BG74" s="1665"/>
      <c r="BH74" s="1665"/>
      <c r="BI74" s="1665"/>
      <c r="BJ74" s="1665"/>
      <c r="BK74" s="1665"/>
    </row>
    <row r="75" spans="1:63" s="3" customFormat="1" ht="172.8" x14ac:dyDescent="0.3">
      <c r="A75" s="82"/>
      <c r="B75" s="1691"/>
      <c r="C75" s="1441" t="s">
        <v>3382</v>
      </c>
      <c r="D75" s="128" t="s">
        <v>3383</v>
      </c>
      <c r="E75" s="90">
        <v>2015</v>
      </c>
      <c r="F75" s="90" t="s">
        <v>177</v>
      </c>
      <c r="G75" s="132" t="s">
        <v>3384</v>
      </c>
      <c r="H75" s="89"/>
      <c r="I75" s="89"/>
      <c r="J75" s="133" t="s">
        <v>3385</v>
      </c>
      <c r="K75" s="131" t="s">
        <v>3386</v>
      </c>
      <c r="L75" s="131">
        <v>2015</v>
      </c>
      <c r="M75" s="131" t="s">
        <v>177</v>
      </c>
      <c r="N75" s="83">
        <v>1</v>
      </c>
      <c r="O75" s="83">
        <v>1</v>
      </c>
      <c r="P75" s="83">
        <v>1</v>
      </c>
      <c r="Q75" s="83">
        <v>1</v>
      </c>
      <c r="R75" s="83">
        <v>1</v>
      </c>
      <c r="S75" s="1664"/>
      <c r="T75" s="1664"/>
      <c r="U75" s="1664"/>
      <c r="V75" s="1664"/>
      <c r="W75" s="1662"/>
      <c r="X75" s="1662"/>
      <c r="Y75" s="1662"/>
      <c r="Z75" s="1662"/>
      <c r="AA75" s="1662"/>
      <c r="AB75" s="1662"/>
      <c r="AC75" s="1662"/>
      <c r="AD75" s="1662"/>
      <c r="AE75" s="1662"/>
      <c r="AF75" s="1662"/>
      <c r="AG75" s="1662"/>
      <c r="AH75" s="1662"/>
      <c r="AI75" s="1662"/>
      <c r="AJ75" s="1662"/>
      <c r="AK75" s="1662"/>
      <c r="AL75" s="1662"/>
      <c r="AM75" s="1662"/>
      <c r="AN75" s="1662"/>
      <c r="AO75" s="1662"/>
      <c r="AP75" s="1662"/>
      <c r="AQ75" s="1662"/>
      <c r="AR75" s="1662"/>
      <c r="AS75" s="1662"/>
      <c r="AT75" s="1662"/>
      <c r="AU75" s="1662"/>
      <c r="AV75" s="1662"/>
      <c r="AW75" s="1662"/>
      <c r="AX75" s="1662"/>
      <c r="AY75" s="1662"/>
      <c r="AZ75" s="1662"/>
      <c r="BA75" s="1662"/>
      <c r="BB75" s="1662"/>
      <c r="BC75" s="1662"/>
      <c r="BD75" s="1662"/>
      <c r="BE75" s="1662"/>
      <c r="BF75" s="1662"/>
      <c r="BG75" s="1662"/>
      <c r="BH75" s="1662"/>
      <c r="BI75" s="1662"/>
      <c r="BJ75" s="1662"/>
      <c r="BK75" s="1662"/>
    </row>
    <row r="76" spans="1:63" s="3" customFormat="1" ht="15" customHeight="1" x14ac:dyDescent="0.25">
      <c r="A76" s="104" t="s">
        <v>168</v>
      </c>
      <c r="B76" s="1691"/>
      <c r="C76" s="105" t="s">
        <v>3387</v>
      </c>
      <c r="D76" s="106"/>
      <c r="E76" s="107"/>
      <c r="F76" s="107"/>
      <c r="G76" s="107"/>
      <c r="H76" s="107"/>
      <c r="I76" s="107"/>
      <c r="J76" s="107"/>
      <c r="K76" s="108"/>
      <c r="L76" s="107"/>
      <c r="M76" s="107"/>
      <c r="N76" s="107"/>
      <c r="O76" s="109"/>
      <c r="P76" s="109"/>
      <c r="Q76" s="109"/>
      <c r="R76" s="109"/>
      <c r="S76" s="110">
        <f>+S77</f>
        <v>2</v>
      </c>
      <c r="T76" s="110">
        <f t="shared" ref="T76:BK76" si="54">+T77</f>
        <v>0</v>
      </c>
      <c r="U76" s="110">
        <f t="shared" si="54"/>
        <v>0</v>
      </c>
      <c r="V76" s="110">
        <f t="shared" si="54"/>
        <v>0</v>
      </c>
      <c r="W76" s="110">
        <f t="shared" si="54"/>
        <v>0</v>
      </c>
      <c r="X76" s="110">
        <f t="shared" si="54"/>
        <v>0</v>
      </c>
      <c r="Y76" s="110">
        <f t="shared" si="54"/>
        <v>0</v>
      </c>
      <c r="Z76" s="110">
        <f t="shared" si="54"/>
        <v>2</v>
      </c>
      <c r="AA76" s="110">
        <f t="shared" si="54"/>
        <v>4</v>
      </c>
      <c r="AB76" s="110">
        <f t="shared" si="54"/>
        <v>2.0699999999999998</v>
      </c>
      <c r="AC76" s="110">
        <f t="shared" si="54"/>
        <v>0</v>
      </c>
      <c r="AD76" s="110">
        <f t="shared" si="54"/>
        <v>0</v>
      </c>
      <c r="AE76" s="110">
        <f t="shared" si="54"/>
        <v>0</v>
      </c>
      <c r="AF76" s="110">
        <f t="shared" si="54"/>
        <v>0</v>
      </c>
      <c r="AG76" s="110">
        <f t="shared" si="54"/>
        <v>0</v>
      </c>
      <c r="AH76" s="110">
        <f t="shared" si="54"/>
        <v>0</v>
      </c>
      <c r="AI76" s="110">
        <f t="shared" si="54"/>
        <v>2.0699999999999998</v>
      </c>
      <c r="AJ76" s="110">
        <f t="shared" si="54"/>
        <v>4.1399999999999997</v>
      </c>
      <c r="AK76" s="110">
        <f t="shared" si="54"/>
        <v>2.1424499999999997</v>
      </c>
      <c r="AL76" s="110">
        <f t="shared" si="54"/>
        <v>0</v>
      </c>
      <c r="AM76" s="110">
        <f t="shared" si="54"/>
        <v>0</v>
      </c>
      <c r="AN76" s="110">
        <f t="shared" si="54"/>
        <v>0</v>
      </c>
      <c r="AO76" s="110">
        <f t="shared" si="54"/>
        <v>0</v>
      </c>
      <c r="AP76" s="110">
        <f t="shared" si="54"/>
        <v>0</v>
      </c>
      <c r="AQ76" s="110">
        <f t="shared" si="54"/>
        <v>0</v>
      </c>
      <c r="AR76" s="110">
        <f t="shared" si="54"/>
        <v>2.1424499999999997</v>
      </c>
      <c r="AS76" s="110">
        <f t="shared" si="54"/>
        <v>4.2848999999999995</v>
      </c>
      <c r="AT76" s="110">
        <f t="shared" si="54"/>
        <v>2.2174357499999999</v>
      </c>
      <c r="AU76" s="110">
        <f t="shared" si="54"/>
        <v>0</v>
      </c>
      <c r="AV76" s="110">
        <f t="shared" si="54"/>
        <v>0</v>
      </c>
      <c r="AW76" s="110">
        <f t="shared" si="54"/>
        <v>0</v>
      </c>
      <c r="AX76" s="110">
        <f t="shared" si="54"/>
        <v>0</v>
      </c>
      <c r="AY76" s="110">
        <f t="shared" si="54"/>
        <v>0</v>
      </c>
      <c r="AZ76" s="110">
        <f t="shared" si="54"/>
        <v>0</v>
      </c>
      <c r="BA76" s="110">
        <f t="shared" si="54"/>
        <v>2.2174357499999999</v>
      </c>
      <c r="BB76" s="110">
        <f t="shared" si="54"/>
        <v>4.4348714999999999</v>
      </c>
      <c r="BC76" s="110">
        <f t="shared" si="54"/>
        <v>8.4298857500000004</v>
      </c>
      <c r="BD76" s="110">
        <f t="shared" si="54"/>
        <v>0</v>
      </c>
      <c r="BE76" s="110">
        <f t="shared" si="54"/>
        <v>0</v>
      </c>
      <c r="BF76" s="110">
        <f t="shared" si="54"/>
        <v>0</v>
      </c>
      <c r="BG76" s="110">
        <f t="shared" si="54"/>
        <v>0</v>
      </c>
      <c r="BH76" s="110">
        <f t="shared" si="54"/>
        <v>0</v>
      </c>
      <c r="BI76" s="110">
        <f t="shared" si="54"/>
        <v>0</v>
      </c>
      <c r="BJ76" s="110">
        <f t="shared" si="54"/>
        <v>8.4298857500000004</v>
      </c>
      <c r="BK76" s="110">
        <f t="shared" si="54"/>
        <v>16.859771500000001</v>
      </c>
    </row>
    <row r="77" spans="1:63" s="3" customFormat="1" ht="39.6" x14ac:dyDescent="0.25">
      <c r="A77" s="82"/>
      <c r="B77" s="1691"/>
      <c r="C77" s="1441" t="s">
        <v>3388</v>
      </c>
      <c r="D77" s="1441" t="s">
        <v>3389</v>
      </c>
      <c r="E77" s="1442">
        <v>2015</v>
      </c>
      <c r="F77" s="1442">
        <v>0</v>
      </c>
      <c r="G77" s="1443" t="s">
        <v>3339</v>
      </c>
      <c r="H77" s="1442"/>
      <c r="I77" s="1442"/>
      <c r="J77" s="1439" t="s">
        <v>3390</v>
      </c>
      <c r="K77" s="1439" t="s">
        <v>3391</v>
      </c>
      <c r="L77" s="11">
        <v>2014</v>
      </c>
      <c r="M77" s="114">
        <v>0.95</v>
      </c>
      <c r="N77" s="114">
        <v>1</v>
      </c>
      <c r="O77" s="114">
        <v>1</v>
      </c>
      <c r="P77" s="114">
        <v>1</v>
      </c>
      <c r="Q77" s="114">
        <v>1</v>
      </c>
      <c r="R77" s="113">
        <v>1</v>
      </c>
      <c r="S77" s="1663">
        <v>2</v>
      </c>
      <c r="T77" s="1663">
        <v>0</v>
      </c>
      <c r="U77" s="1663">
        <v>0</v>
      </c>
      <c r="V77" s="1663">
        <v>0</v>
      </c>
      <c r="W77" s="1661">
        <v>0</v>
      </c>
      <c r="X77" s="1661">
        <v>0</v>
      </c>
      <c r="Y77" s="1661">
        <v>0</v>
      </c>
      <c r="Z77" s="1661">
        <v>2</v>
      </c>
      <c r="AA77" s="1661">
        <f>+Z77+Y77+X77+W77+V77+U77+T77+S77</f>
        <v>4</v>
      </c>
      <c r="AB77" s="1661">
        <f>+((S77*3.5%)+S77)</f>
        <v>2.0699999999999998</v>
      </c>
      <c r="AC77" s="1661">
        <f t="shared" ref="AC77:AI77" si="55">+((T77*3.5%)+T77)</f>
        <v>0</v>
      </c>
      <c r="AD77" s="1661">
        <f t="shared" si="55"/>
        <v>0</v>
      </c>
      <c r="AE77" s="1661">
        <f t="shared" si="55"/>
        <v>0</v>
      </c>
      <c r="AF77" s="1661">
        <f t="shared" si="55"/>
        <v>0</v>
      </c>
      <c r="AG77" s="1661">
        <f t="shared" si="55"/>
        <v>0</v>
      </c>
      <c r="AH77" s="1661">
        <f t="shared" si="55"/>
        <v>0</v>
      </c>
      <c r="AI77" s="1661">
        <f t="shared" si="55"/>
        <v>2.0699999999999998</v>
      </c>
      <c r="AJ77" s="1661">
        <f>+AI77+AH77+AG77+AF77+AE77+AD77+AC77+AB77</f>
        <v>4.1399999999999997</v>
      </c>
      <c r="AK77" s="1661">
        <f t="shared" ref="AK77:AR77" si="56">+((AB77*3.5%)+AB77)</f>
        <v>2.1424499999999997</v>
      </c>
      <c r="AL77" s="1661">
        <f t="shared" si="56"/>
        <v>0</v>
      </c>
      <c r="AM77" s="1661">
        <f t="shared" si="56"/>
        <v>0</v>
      </c>
      <c r="AN77" s="1661">
        <f t="shared" si="56"/>
        <v>0</v>
      </c>
      <c r="AO77" s="1661">
        <f t="shared" si="56"/>
        <v>0</v>
      </c>
      <c r="AP77" s="1661">
        <f t="shared" si="56"/>
        <v>0</v>
      </c>
      <c r="AQ77" s="1661">
        <f t="shared" si="56"/>
        <v>0</v>
      </c>
      <c r="AR77" s="1661">
        <f t="shared" si="56"/>
        <v>2.1424499999999997</v>
      </c>
      <c r="AS77" s="1661">
        <f>+AR77+AQ77+AP77+AO77+AN77+AM77+AL77+AK77</f>
        <v>4.2848999999999995</v>
      </c>
      <c r="AT77" s="1661">
        <f t="shared" ref="AT77:BA77" si="57">+((AK77*3.5%)+AK77)</f>
        <v>2.2174357499999999</v>
      </c>
      <c r="AU77" s="1661">
        <f t="shared" si="57"/>
        <v>0</v>
      </c>
      <c r="AV77" s="1661">
        <f t="shared" si="57"/>
        <v>0</v>
      </c>
      <c r="AW77" s="1661">
        <f t="shared" si="57"/>
        <v>0</v>
      </c>
      <c r="AX77" s="1661">
        <f t="shared" si="57"/>
        <v>0</v>
      </c>
      <c r="AY77" s="1661">
        <f t="shared" si="57"/>
        <v>0</v>
      </c>
      <c r="AZ77" s="1661">
        <f t="shared" si="57"/>
        <v>0</v>
      </c>
      <c r="BA77" s="1661">
        <f t="shared" si="57"/>
        <v>2.2174357499999999</v>
      </c>
      <c r="BB77" s="1661">
        <f>+BA77+AZ77+AY77+AX77+AW77+AV77+AU77+AT77</f>
        <v>4.4348714999999999</v>
      </c>
      <c r="BC77" s="1661">
        <f>+S77+AB77+AK77+AT77</f>
        <v>8.4298857500000004</v>
      </c>
      <c r="BD77" s="1661">
        <f t="shared" ref="BD77:BJ77" si="58">+T77+AC77+AL77+AU77</f>
        <v>0</v>
      </c>
      <c r="BE77" s="1661">
        <f t="shared" si="58"/>
        <v>0</v>
      </c>
      <c r="BF77" s="1661">
        <f t="shared" si="58"/>
        <v>0</v>
      </c>
      <c r="BG77" s="1661">
        <f t="shared" si="58"/>
        <v>0</v>
      </c>
      <c r="BH77" s="1661">
        <f t="shared" si="58"/>
        <v>0</v>
      </c>
      <c r="BI77" s="1661">
        <f t="shared" si="58"/>
        <v>0</v>
      </c>
      <c r="BJ77" s="1661">
        <f t="shared" si="58"/>
        <v>8.4298857500000004</v>
      </c>
      <c r="BK77" s="1661">
        <f>+BJ77+BI77+BH77+BG77+BF77+BE77+BD77+BC77</f>
        <v>16.859771500000001</v>
      </c>
    </row>
    <row r="78" spans="1:63" s="3" customFormat="1" ht="66" x14ac:dyDescent="0.25">
      <c r="A78" s="82"/>
      <c r="B78" s="1691"/>
      <c r="C78" s="1441" t="s">
        <v>3392</v>
      </c>
      <c r="D78" s="1441" t="s">
        <v>3393</v>
      </c>
      <c r="E78" s="1442">
        <v>2015</v>
      </c>
      <c r="F78" s="1442" t="s">
        <v>177</v>
      </c>
      <c r="G78" s="1443">
        <v>1</v>
      </c>
      <c r="H78" s="1442"/>
      <c r="I78" s="1442"/>
      <c r="J78" s="95" t="s">
        <v>3394</v>
      </c>
      <c r="K78" s="1439" t="s">
        <v>3395</v>
      </c>
      <c r="L78" s="11">
        <v>2015</v>
      </c>
      <c r="M78" s="114" t="s">
        <v>177</v>
      </c>
      <c r="N78" s="114">
        <v>1</v>
      </c>
      <c r="O78" s="114">
        <v>1</v>
      </c>
      <c r="P78" s="114">
        <v>1</v>
      </c>
      <c r="Q78" s="114">
        <v>1</v>
      </c>
      <c r="R78" s="113">
        <v>1</v>
      </c>
      <c r="S78" s="1664"/>
      <c r="T78" s="1664"/>
      <c r="U78" s="1664"/>
      <c r="V78" s="1664"/>
      <c r="W78" s="1662"/>
      <c r="X78" s="1662"/>
      <c r="Y78" s="1662"/>
      <c r="Z78" s="1662"/>
      <c r="AA78" s="1662"/>
      <c r="AB78" s="1662"/>
      <c r="AC78" s="1662"/>
      <c r="AD78" s="1662"/>
      <c r="AE78" s="1662"/>
      <c r="AF78" s="1662"/>
      <c r="AG78" s="1662"/>
      <c r="AH78" s="1662"/>
      <c r="AI78" s="1662"/>
      <c r="AJ78" s="1662"/>
      <c r="AK78" s="1662"/>
      <c r="AL78" s="1662"/>
      <c r="AM78" s="1662"/>
      <c r="AN78" s="1662"/>
      <c r="AO78" s="1662"/>
      <c r="AP78" s="1662"/>
      <c r="AQ78" s="1662"/>
      <c r="AR78" s="1662"/>
      <c r="AS78" s="1662"/>
      <c r="AT78" s="1662"/>
      <c r="AU78" s="1662"/>
      <c r="AV78" s="1662"/>
      <c r="AW78" s="1662"/>
      <c r="AX78" s="1662"/>
      <c r="AY78" s="1662"/>
      <c r="AZ78" s="1662"/>
      <c r="BA78" s="1662"/>
      <c r="BB78" s="1662"/>
      <c r="BC78" s="1662"/>
      <c r="BD78" s="1662"/>
      <c r="BE78" s="1662"/>
      <c r="BF78" s="1662"/>
      <c r="BG78" s="1662"/>
      <c r="BH78" s="1662"/>
      <c r="BI78" s="1662"/>
      <c r="BJ78" s="1662"/>
      <c r="BK78" s="1662"/>
    </row>
    <row r="79" spans="1:63" s="3" customFormat="1" ht="15" customHeight="1" x14ac:dyDescent="0.25">
      <c r="A79" s="104" t="s">
        <v>168</v>
      </c>
      <c r="B79" s="1691"/>
      <c r="C79" s="116" t="s">
        <v>3396</v>
      </c>
      <c r="D79" s="106"/>
      <c r="E79" s="107"/>
      <c r="F79" s="107"/>
      <c r="G79" s="107"/>
      <c r="H79" s="107"/>
      <c r="I79" s="107"/>
      <c r="J79" s="107"/>
      <c r="K79" s="108"/>
      <c r="L79" s="107"/>
      <c r="M79" s="107"/>
      <c r="N79" s="107"/>
      <c r="O79" s="109"/>
      <c r="P79" s="109"/>
      <c r="Q79" s="109"/>
      <c r="R79" s="109"/>
      <c r="S79" s="110">
        <f>+S80</f>
        <v>5</v>
      </c>
      <c r="T79" s="110">
        <f t="shared" ref="T79:BK79" si="59">+T80</f>
        <v>0</v>
      </c>
      <c r="U79" s="110">
        <f t="shared" si="59"/>
        <v>0</v>
      </c>
      <c r="V79" s="110">
        <f t="shared" si="59"/>
        <v>0</v>
      </c>
      <c r="W79" s="110">
        <f t="shared" si="59"/>
        <v>0</v>
      </c>
      <c r="X79" s="110">
        <f t="shared" si="59"/>
        <v>0</v>
      </c>
      <c r="Y79" s="110">
        <f t="shared" si="59"/>
        <v>0</v>
      </c>
      <c r="Z79" s="110">
        <f t="shared" si="59"/>
        <v>5</v>
      </c>
      <c r="AA79" s="110">
        <f t="shared" si="59"/>
        <v>10</v>
      </c>
      <c r="AB79" s="110">
        <f t="shared" si="59"/>
        <v>5.1749999999999998</v>
      </c>
      <c r="AC79" s="110">
        <f t="shared" si="59"/>
        <v>0</v>
      </c>
      <c r="AD79" s="110">
        <f t="shared" si="59"/>
        <v>0</v>
      </c>
      <c r="AE79" s="110">
        <f t="shared" si="59"/>
        <v>0</v>
      </c>
      <c r="AF79" s="110">
        <f t="shared" si="59"/>
        <v>0</v>
      </c>
      <c r="AG79" s="110">
        <f t="shared" si="59"/>
        <v>0</v>
      </c>
      <c r="AH79" s="110">
        <f t="shared" si="59"/>
        <v>0</v>
      </c>
      <c r="AI79" s="110">
        <f t="shared" si="59"/>
        <v>5.1749999999999998</v>
      </c>
      <c r="AJ79" s="110">
        <f t="shared" si="59"/>
        <v>10.35</v>
      </c>
      <c r="AK79" s="110">
        <f t="shared" si="59"/>
        <v>5.3561249999999996</v>
      </c>
      <c r="AL79" s="110">
        <f t="shared" si="59"/>
        <v>0</v>
      </c>
      <c r="AM79" s="110">
        <f t="shared" si="59"/>
        <v>0</v>
      </c>
      <c r="AN79" s="110">
        <f t="shared" si="59"/>
        <v>0</v>
      </c>
      <c r="AO79" s="110">
        <f t="shared" si="59"/>
        <v>0</v>
      </c>
      <c r="AP79" s="110">
        <f t="shared" si="59"/>
        <v>0</v>
      </c>
      <c r="AQ79" s="110">
        <f t="shared" si="59"/>
        <v>0</v>
      </c>
      <c r="AR79" s="110">
        <f t="shared" si="59"/>
        <v>5.3561249999999996</v>
      </c>
      <c r="AS79" s="110">
        <f t="shared" si="59"/>
        <v>10.712249999999999</v>
      </c>
      <c r="AT79" s="110">
        <f t="shared" si="59"/>
        <v>5.5435893749999998</v>
      </c>
      <c r="AU79" s="110">
        <f t="shared" si="59"/>
        <v>0</v>
      </c>
      <c r="AV79" s="110">
        <f t="shared" si="59"/>
        <v>0</v>
      </c>
      <c r="AW79" s="110">
        <f t="shared" si="59"/>
        <v>0</v>
      </c>
      <c r="AX79" s="110">
        <f t="shared" si="59"/>
        <v>0</v>
      </c>
      <c r="AY79" s="110">
        <f t="shared" si="59"/>
        <v>0</v>
      </c>
      <c r="AZ79" s="110">
        <f t="shared" si="59"/>
        <v>0</v>
      </c>
      <c r="BA79" s="110">
        <f t="shared" si="59"/>
        <v>5.5435893749999998</v>
      </c>
      <c r="BB79" s="110">
        <f t="shared" si="59"/>
        <v>11.08717875</v>
      </c>
      <c r="BC79" s="110">
        <f t="shared" si="59"/>
        <v>21.074714374999999</v>
      </c>
      <c r="BD79" s="110">
        <f t="shared" si="59"/>
        <v>0</v>
      </c>
      <c r="BE79" s="110">
        <f t="shared" si="59"/>
        <v>0</v>
      </c>
      <c r="BF79" s="110">
        <f t="shared" si="59"/>
        <v>0</v>
      </c>
      <c r="BG79" s="110">
        <f t="shared" si="59"/>
        <v>0</v>
      </c>
      <c r="BH79" s="110">
        <f t="shared" si="59"/>
        <v>0</v>
      </c>
      <c r="BI79" s="110">
        <f t="shared" si="59"/>
        <v>0</v>
      </c>
      <c r="BJ79" s="110">
        <f t="shared" si="59"/>
        <v>21.074714374999999</v>
      </c>
      <c r="BK79" s="110">
        <f t="shared" si="59"/>
        <v>42.149428749999998</v>
      </c>
    </row>
    <row r="80" spans="1:63" s="3" customFormat="1" ht="92.4" x14ac:dyDescent="0.25">
      <c r="A80" s="82"/>
      <c r="B80" s="1691"/>
      <c r="C80" s="1441" t="s">
        <v>3397</v>
      </c>
      <c r="D80" s="1441" t="s">
        <v>3398</v>
      </c>
      <c r="E80" s="1442">
        <v>2015</v>
      </c>
      <c r="F80" s="1442" t="s">
        <v>177</v>
      </c>
      <c r="G80" s="1443">
        <v>1</v>
      </c>
      <c r="H80" s="1442"/>
      <c r="I80" s="1442"/>
      <c r="J80" s="1439" t="s">
        <v>3399</v>
      </c>
      <c r="K80" s="1439" t="s">
        <v>3400</v>
      </c>
      <c r="L80" s="11">
        <v>2015</v>
      </c>
      <c r="M80" s="114" t="s">
        <v>177</v>
      </c>
      <c r="N80" s="114">
        <v>1</v>
      </c>
      <c r="O80" s="114">
        <v>1</v>
      </c>
      <c r="P80" s="114">
        <v>1</v>
      </c>
      <c r="Q80" s="114">
        <v>1</v>
      </c>
      <c r="R80" s="113">
        <v>1</v>
      </c>
      <c r="S80" s="1663">
        <v>5</v>
      </c>
      <c r="T80" s="1663">
        <v>0</v>
      </c>
      <c r="U80" s="1663">
        <v>0</v>
      </c>
      <c r="V80" s="1663">
        <v>0</v>
      </c>
      <c r="W80" s="1661">
        <v>0</v>
      </c>
      <c r="X80" s="1661">
        <v>0</v>
      </c>
      <c r="Y80" s="1661">
        <v>0</v>
      </c>
      <c r="Z80" s="1661">
        <v>5</v>
      </c>
      <c r="AA80" s="1661">
        <f>+Z80+Y80+X80+W80+V80+U80+T80+S80</f>
        <v>10</v>
      </c>
      <c r="AB80" s="1661">
        <f t="shared" ref="AB80:AI80" si="60">+((S80*3.5%)+S80)</f>
        <v>5.1749999999999998</v>
      </c>
      <c r="AC80" s="1661">
        <f t="shared" si="60"/>
        <v>0</v>
      </c>
      <c r="AD80" s="1661">
        <f t="shared" si="60"/>
        <v>0</v>
      </c>
      <c r="AE80" s="1661">
        <f t="shared" si="60"/>
        <v>0</v>
      </c>
      <c r="AF80" s="1661">
        <f t="shared" si="60"/>
        <v>0</v>
      </c>
      <c r="AG80" s="1661">
        <f t="shared" si="60"/>
        <v>0</v>
      </c>
      <c r="AH80" s="1661">
        <f t="shared" si="60"/>
        <v>0</v>
      </c>
      <c r="AI80" s="1661">
        <f t="shared" si="60"/>
        <v>5.1749999999999998</v>
      </c>
      <c r="AJ80" s="1661">
        <f>+AI80+AH80+AG80+AF80+AE80+AD80+AC80+AB80</f>
        <v>10.35</v>
      </c>
      <c r="AK80" s="1661">
        <f t="shared" ref="AK80:AR80" si="61">+((AB80*3.5%)+AB80)</f>
        <v>5.3561249999999996</v>
      </c>
      <c r="AL80" s="1661">
        <f t="shared" si="61"/>
        <v>0</v>
      </c>
      <c r="AM80" s="1661">
        <f t="shared" si="61"/>
        <v>0</v>
      </c>
      <c r="AN80" s="1661">
        <f t="shared" si="61"/>
        <v>0</v>
      </c>
      <c r="AO80" s="1661">
        <f t="shared" si="61"/>
        <v>0</v>
      </c>
      <c r="AP80" s="1661">
        <f t="shared" si="61"/>
        <v>0</v>
      </c>
      <c r="AQ80" s="1661">
        <f t="shared" si="61"/>
        <v>0</v>
      </c>
      <c r="AR80" s="1661">
        <f t="shared" si="61"/>
        <v>5.3561249999999996</v>
      </c>
      <c r="AS80" s="1661">
        <f>+AR80+AQ80+AP80+AO80+AN80+AM80+AL80+AK80</f>
        <v>10.712249999999999</v>
      </c>
      <c r="AT80" s="1661">
        <f t="shared" ref="AT80:BA80" si="62">+((AK80*3.5%)+AK80)</f>
        <v>5.5435893749999998</v>
      </c>
      <c r="AU80" s="1661">
        <f t="shared" si="62"/>
        <v>0</v>
      </c>
      <c r="AV80" s="1661">
        <f t="shared" si="62"/>
        <v>0</v>
      </c>
      <c r="AW80" s="1661">
        <f t="shared" si="62"/>
        <v>0</v>
      </c>
      <c r="AX80" s="1661">
        <f t="shared" si="62"/>
        <v>0</v>
      </c>
      <c r="AY80" s="1661">
        <f t="shared" si="62"/>
        <v>0</v>
      </c>
      <c r="AZ80" s="1661">
        <f t="shared" si="62"/>
        <v>0</v>
      </c>
      <c r="BA80" s="1661">
        <f t="shared" si="62"/>
        <v>5.5435893749999998</v>
      </c>
      <c r="BB80" s="1661">
        <f>+BA80+AZ80+AY80+AX80+AW80+AV80+AU80+AT80</f>
        <v>11.08717875</v>
      </c>
      <c r="BC80" s="1661">
        <f t="shared" ref="BC80:BJ80" si="63">+S80+AB80+AK80+AT80</f>
        <v>21.074714374999999</v>
      </c>
      <c r="BD80" s="1661">
        <f t="shared" si="63"/>
        <v>0</v>
      </c>
      <c r="BE80" s="1661">
        <f t="shared" si="63"/>
        <v>0</v>
      </c>
      <c r="BF80" s="1661">
        <f t="shared" si="63"/>
        <v>0</v>
      </c>
      <c r="BG80" s="1661">
        <f t="shared" si="63"/>
        <v>0</v>
      </c>
      <c r="BH80" s="1661">
        <f t="shared" si="63"/>
        <v>0</v>
      </c>
      <c r="BI80" s="1661">
        <f t="shared" si="63"/>
        <v>0</v>
      </c>
      <c r="BJ80" s="1661">
        <f t="shared" si="63"/>
        <v>21.074714374999999</v>
      </c>
      <c r="BK80" s="1661">
        <f>+BJ80+BI80+BH80+BG80+BF80+BE80+BD80+BC80</f>
        <v>42.149428749999998</v>
      </c>
    </row>
    <row r="81" spans="1:63" s="3" customFormat="1" ht="39.6" x14ac:dyDescent="0.25">
      <c r="A81" s="82"/>
      <c r="B81" s="1691"/>
      <c r="C81" s="1441" t="s">
        <v>3401</v>
      </c>
      <c r="D81" s="1441" t="s">
        <v>3402</v>
      </c>
      <c r="E81" s="1442">
        <v>2015</v>
      </c>
      <c r="F81" s="1442" t="s">
        <v>177</v>
      </c>
      <c r="G81" s="1443" t="s">
        <v>3339</v>
      </c>
      <c r="H81" s="1442"/>
      <c r="I81" s="1442"/>
      <c r="J81" s="1439" t="s">
        <v>3390</v>
      </c>
      <c r="K81" s="1439" t="s">
        <v>3391</v>
      </c>
      <c r="L81" s="11">
        <v>2014</v>
      </c>
      <c r="M81" s="114">
        <v>0.95</v>
      </c>
      <c r="N81" s="114">
        <v>1</v>
      </c>
      <c r="O81" s="114">
        <v>1</v>
      </c>
      <c r="P81" s="114">
        <v>1</v>
      </c>
      <c r="Q81" s="114">
        <v>1</v>
      </c>
      <c r="R81" s="113">
        <v>1</v>
      </c>
      <c r="S81" s="1664"/>
      <c r="T81" s="1664"/>
      <c r="U81" s="1664"/>
      <c r="V81" s="1664"/>
      <c r="W81" s="1662"/>
      <c r="X81" s="1662"/>
      <c r="Y81" s="1662"/>
      <c r="Z81" s="1662"/>
      <c r="AA81" s="1662"/>
      <c r="AB81" s="1662"/>
      <c r="AC81" s="1662"/>
      <c r="AD81" s="1662"/>
      <c r="AE81" s="1662"/>
      <c r="AF81" s="1662"/>
      <c r="AG81" s="1662"/>
      <c r="AH81" s="1662"/>
      <c r="AI81" s="1662"/>
      <c r="AJ81" s="1662"/>
      <c r="AK81" s="1662"/>
      <c r="AL81" s="1662"/>
      <c r="AM81" s="1662"/>
      <c r="AN81" s="1662"/>
      <c r="AO81" s="1662"/>
      <c r="AP81" s="1662"/>
      <c r="AQ81" s="1662"/>
      <c r="AR81" s="1662"/>
      <c r="AS81" s="1662"/>
      <c r="AT81" s="1662"/>
      <c r="AU81" s="1662"/>
      <c r="AV81" s="1662"/>
      <c r="AW81" s="1662"/>
      <c r="AX81" s="1662"/>
      <c r="AY81" s="1662"/>
      <c r="AZ81" s="1662"/>
      <c r="BA81" s="1662"/>
      <c r="BB81" s="1662"/>
      <c r="BC81" s="1662"/>
      <c r="BD81" s="1662"/>
      <c r="BE81" s="1662"/>
      <c r="BF81" s="1662"/>
      <c r="BG81" s="1662"/>
      <c r="BH81" s="1662"/>
      <c r="BI81" s="1662"/>
      <c r="BJ81" s="1662"/>
      <c r="BK81" s="1662"/>
    </row>
    <row r="82" spans="1:63" s="3" customFormat="1" ht="15" customHeight="1" x14ac:dyDescent="0.25">
      <c r="A82" s="104" t="s">
        <v>168</v>
      </c>
      <c r="B82" s="1691"/>
      <c r="C82" s="105" t="s">
        <v>3403</v>
      </c>
      <c r="D82" s="106"/>
      <c r="E82" s="107"/>
      <c r="F82" s="107"/>
      <c r="G82" s="107"/>
      <c r="H82" s="107"/>
      <c r="I82" s="107"/>
      <c r="J82" s="107"/>
      <c r="K82" s="108"/>
      <c r="L82" s="107"/>
      <c r="M82" s="107"/>
      <c r="N82" s="107"/>
      <c r="O82" s="109"/>
      <c r="P82" s="109"/>
      <c r="Q82" s="109"/>
      <c r="R82" s="109"/>
      <c r="S82" s="110">
        <f>+S83</f>
        <v>0</v>
      </c>
      <c r="T82" s="110">
        <f t="shared" ref="T82:BK82" si="64">+T83</f>
        <v>0</v>
      </c>
      <c r="U82" s="110">
        <f t="shared" si="64"/>
        <v>227</v>
      </c>
      <c r="V82" s="110">
        <f t="shared" si="64"/>
        <v>0</v>
      </c>
      <c r="W82" s="110">
        <f t="shared" si="64"/>
        <v>0</v>
      </c>
      <c r="X82" s="110">
        <f t="shared" si="64"/>
        <v>0</v>
      </c>
      <c r="Y82" s="110">
        <f t="shared" si="64"/>
        <v>0</v>
      </c>
      <c r="Z82" s="110">
        <f t="shared" si="64"/>
        <v>4</v>
      </c>
      <c r="AA82" s="110">
        <f t="shared" si="64"/>
        <v>231</v>
      </c>
      <c r="AB82" s="110">
        <f t="shared" si="64"/>
        <v>0</v>
      </c>
      <c r="AC82" s="110">
        <f t="shared" si="64"/>
        <v>0</v>
      </c>
      <c r="AD82" s="110">
        <f t="shared" si="64"/>
        <v>234.94499999999999</v>
      </c>
      <c r="AE82" s="110">
        <f t="shared" si="64"/>
        <v>0</v>
      </c>
      <c r="AF82" s="110">
        <f t="shared" si="64"/>
        <v>0</v>
      </c>
      <c r="AG82" s="110">
        <f t="shared" si="64"/>
        <v>0</v>
      </c>
      <c r="AH82" s="110">
        <f t="shared" si="64"/>
        <v>0</v>
      </c>
      <c r="AI82" s="110">
        <f t="shared" si="64"/>
        <v>4.1399999999999997</v>
      </c>
      <c r="AJ82" s="110">
        <f t="shared" si="64"/>
        <v>239.08499999999998</v>
      </c>
      <c r="AK82" s="110">
        <f t="shared" si="64"/>
        <v>0</v>
      </c>
      <c r="AL82" s="110">
        <f t="shared" si="64"/>
        <v>0</v>
      </c>
      <c r="AM82" s="110">
        <f t="shared" si="64"/>
        <v>243.16807499999999</v>
      </c>
      <c r="AN82" s="110">
        <f t="shared" si="64"/>
        <v>0</v>
      </c>
      <c r="AO82" s="110">
        <f t="shared" si="64"/>
        <v>0</v>
      </c>
      <c r="AP82" s="110">
        <f t="shared" si="64"/>
        <v>0</v>
      </c>
      <c r="AQ82" s="110">
        <f t="shared" si="64"/>
        <v>0</v>
      </c>
      <c r="AR82" s="110">
        <f t="shared" si="64"/>
        <v>4.2848999999999995</v>
      </c>
      <c r="AS82" s="110">
        <f t="shared" si="64"/>
        <v>247.45297499999998</v>
      </c>
      <c r="AT82" s="110">
        <f t="shared" si="64"/>
        <v>0</v>
      </c>
      <c r="AU82" s="110">
        <f t="shared" si="64"/>
        <v>0</v>
      </c>
      <c r="AV82" s="110">
        <f t="shared" si="64"/>
        <v>251.67895762499998</v>
      </c>
      <c r="AW82" s="110">
        <f t="shared" si="64"/>
        <v>0</v>
      </c>
      <c r="AX82" s="110">
        <f t="shared" si="64"/>
        <v>0</v>
      </c>
      <c r="AY82" s="110">
        <f t="shared" si="64"/>
        <v>0</v>
      </c>
      <c r="AZ82" s="110">
        <f t="shared" si="64"/>
        <v>0</v>
      </c>
      <c r="BA82" s="110">
        <f t="shared" si="64"/>
        <v>4.4348714999999999</v>
      </c>
      <c r="BB82" s="110">
        <f t="shared" si="64"/>
        <v>256.113829125</v>
      </c>
      <c r="BC82" s="110">
        <f t="shared" si="64"/>
        <v>0</v>
      </c>
      <c r="BD82" s="110">
        <f t="shared" si="64"/>
        <v>0</v>
      </c>
      <c r="BE82" s="110">
        <f t="shared" si="64"/>
        <v>956.79203262499993</v>
      </c>
      <c r="BF82" s="110">
        <f t="shared" si="64"/>
        <v>0</v>
      </c>
      <c r="BG82" s="110">
        <f t="shared" si="64"/>
        <v>0</v>
      </c>
      <c r="BH82" s="110">
        <f t="shared" si="64"/>
        <v>0</v>
      </c>
      <c r="BI82" s="110">
        <f t="shared" si="64"/>
        <v>0</v>
      </c>
      <c r="BJ82" s="110">
        <f t="shared" si="64"/>
        <v>16.859771500000001</v>
      </c>
      <c r="BK82" s="110">
        <f t="shared" si="64"/>
        <v>973.6518041249999</v>
      </c>
    </row>
    <row r="83" spans="1:63" ht="57.6" x14ac:dyDescent="0.3">
      <c r="A83" s="89"/>
      <c r="B83" s="1691"/>
      <c r="C83" s="93" t="s">
        <v>3404</v>
      </c>
      <c r="D83" s="134" t="s">
        <v>3405</v>
      </c>
      <c r="E83" s="91">
        <v>2015</v>
      </c>
      <c r="F83" s="135">
        <v>1</v>
      </c>
      <c r="G83" s="135">
        <v>1</v>
      </c>
      <c r="H83" s="91"/>
      <c r="I83" s="91"/>
      <c r="J83" s="136" t="s">
        <v>3406</v>
      </c>
      <c r="K83" s="136" t="s">
        <v>3407</v>
      </c>
      <c r="L83" s="137">
        <v>2015</v>
      </c>
      <c r="M83" s="138">
        <v>0.88</v>
      </c>
      <c r="N83" s="138">
        <v>1</v>
      </c>
      <c r="O83" s="138">
        <v>1</v>
      </c>
      <c r="P83" s="138">
        <v>1</v>
      </c>
      <c r="Q83" s="138">
        <v>1</v>
      </c>
      <c r="R83" s="138">
        <v>1</v>
      </c>
      <c r="S83" s="1663">
        <v>0</v>
      </c>
      <c r="T83" s="1663">
        <v>0</v>
      </c>
      <c r="U83" s="1663">
        <v>227</v>
      </c>
      <c r="V83" s="1663">
        <v>0</v>
      </c>
      <c r="W83" s="1661">
        <v>0</v>
      </c>
      <c r="X83" s="1661">
        <v>0</v>
      </c>
      <c r="Y83" s="1661">
        <v>0</v>
      </c>
      <c r="Z83" s="1661">
        <v>4</v>
      </c>
      <c r="AA83" s="1661">
        <f>+Z83+Y83+X83+W83+V83+U83+T83+S83</f>
        <v>231</v>
      </c>
      <c r="AB83" s="1661">
        <f t="shared" ref="AB83:AI83" si="65">+((S83*3.5%)+S83)</f>
        <v>0</v>
      </c>
      <c r="AC83" s="1661">
        <f t="shared" si="65"/>
        <v>0</v>
      </c>
      <c r="AD83" s="1661">
        <f t="shared" si="65"/>
        <v>234.94499999999999</v>
      </c>
      <c r="AE83" s="1661">
        <f t="shared" si="65"/>
        <v>0</v>
      </c>
      <c r="AF83" s="1661">
        <f t="shared" si="65"/>
        <v>0</v>
      </c>
      <c r="AG83" s="1661">
        <f t="shared" si="65"/>
        <v>0</v>
      </c>
      <c r="AH83" s="1661">
        <f t="shared" si="65"/>
        <v>0</v>
      </c>
      <c r="AI83" s="1661">
        <f t="shared" si="65"/>
        <v>4.1399999999999997</v>
      </c>
      <c r="AJ83" s="1661">
        <f>+AI83+AH83+AG83+AF83+AE83+AD83+AC83+AB83</f>
        <v>239.08499999999998</v>
      </c>
      <c r="AK83" s="1661">
        <f t="shared" ref="AK83:AR83" si="66">+((AB83*3.5%)+AB83)</f>
        <v>0</v>
      </c>
      <c r="AL83" s="1661">
        <f t="shared" si="66"/>
        <v>0</v>
      </c>
      <c r="AM83" s="1661">
        <f t="shared" si="66"/>
        <v>243.16807499999999</v>
      </c>
      <c r="AN83" s="1661">
        <f t="shared" si="66"/>
        <v>0</v>
      </c>
      <c r="AO83" s="1661">
        <f t="shared" si="66"/>
        <v>0</v>
      </c>
      <c r="AP83" s="1661">
        <f t="shared" si="66"/>
        <v>0</v>
      </c>
      <c r="AQ83" s="1661">
        <f t="shared" si="66"/>
        <v>0</v>
      </c>
      <c r="AR83" s="1661">
        <f t="shared" si="66"/>
        <v>4.2848999999999995</v>
      </c>
      <c r="AS83" s="1661">
        <f>+AR83+AQ83+AP83+AO83+AN83+AM83+AL83+AK83</f>
        <v>247.45297499999998</v>
      </c>
      <c r="AT83" s="1661">
        <f t="shared" ref="AT83:BA83" si="67">+((AK83*3.5%)+AK83)</f>
        <v>0</v>
      </c>
      <c r="AU83" s="1661">
        <f t="shared" si="67"/>
        <v>0</v>
      </c>
      <c r="AV83" s="1661">
        <f t="shared" si="67"/>
        <v>251.67895762499998</v>
      </c>
      <c r="AW83" s="1661">
        <f t="shared" si="67"/>
        <v>0</v>
      </c>
      <c r="AX83" s="1661">
        <f t="shared" si="67"/>
        <v>0</v>
      </c>
      <c r="AY83" s="1661">
        <f t="shared" si="67"/>
        <v>0</v>
      </c>
      <c r="AZ83" s="1661">
        <f t="shared" si="67"/>
        <v>0</v>
      </c>
      <c r="BA83" s="1661">
        <f t="shared" si="67"/>
        <v>4.4348714999999999</v>
      </c>
      <c r="BB83" s="1661">
        <f>+BA83+AZ83+AY83+AX83+AW83+AV83+AU83+AT83</f>
        <v>256.113829125</v>
      </c>
      <c r="BC83" s="1661">
        <f t="shared" ref="BC83:BJ83" si="68">+S83+AB83+AK83+AT83</f>
        <v>0</v>
      </c>
      <c r="BD83" s="1661">
        <f t="shared" si="68"/>
        <v>0</v>
      </c>
      <c r="BE83" s="1661">
        <f t="shared" si="68"/>
        <v>956.79203262499993</v>
      </c>
      <c r="BF83" s="1661">
        <f t="shared" si="68"/>
        <v>0</v>
      </c>
      <c r="BG83" s="1661">
        <f t="shared" si="68"/>
        <v>0</v>
      </c>
      <c r="BH83" s="1661">
        <f t="shared" si="68"/>
        <v>0</v>
      </c>
      <c r="BI83" s="1661">
        <f t="shared" si="68"/>
        <v>0</v>
      </c>
      <c r="BJ83" s="1661">
        <f t="shared" si="68"/>
        <v>16.859771500000001</v>
      </c>
      <c r="BK83" s="1661">
        <f>+BJ83+BI83+BH83+BG83+BF83+BE83+BD83+BC83</f>
        <v>973.6518041249999</v>
      </c>
    </row>
    <row r="84" spans="1:63" ht="100.8" x14ac:dyDescent="0.3">
      <c r="A84" s="89"/>
      <c r="B84" s="1692"/>
      <c r="C84" s="94" t="s">
        <v>3408</v>
      </c>
      <c r="D84" s="139" t="s">
        <v>3409</v>
      </c>
      <c r="E84" s="91">
        <v>2015</v>
      </c>
      <c r="F84" s="135">
        <v>0.89</v>
      </c>
      <c r="G84" s="135">
        <v>1</v>
      </c>
      <c r="H84" s="89"/>
      <c r="I84" s="89"/>
      <c r="J84" s="136" t="s">
        <v>3410</v>
      </c>
      <c r="K84" s="140" t="s">
        <v>3411</v>
      </c>
      <c r="L84" s="137">
        <v>2015</v>
      </c>
      <c r="M84" s="138">
        <v>0.89</v>
      </c>
      <c r="N84" s="138">
        <v>1</v>
      </c>
      <c r="O84" s="138">
        <v>1</v>
      </c>
      <c r="P84" s="138">
        <v>1</v>
      </c>
      <c r="Q84" s="138">
        <v>1</v>
      </c>
      <c r="R84" s="138">
        <v>1</v>
      </c>
      <c r="S84" s="1664"/>
      <c r="T84" s="1664"/>
      <c r="U84" s="1664"/>
      <c r="V84" s="1664"/>
      <c r="W84" s="1662"/>
      <c r="X84" s="1662"/>
      <c r="Y84" s="1662"/>
      <c r="Z84" s="1662"/>
      <c r="AA84" s="1662"/>
      <c r="AB84" s="1662"/>
      <c r="AC84" s="1662"/>
      <c r="AD84" s="1662"/>
      <c r="AE84" s="1662"/>
      <c r="AF84" s="1662"/>
      <c r="AG84" s="1662"/>
      <c r="AH84" s="1662"/>
      <c r="AI84" s="1662"/>
      <c r="AJ84" s="1662"/>
      <c r="AK84" s="1662"/>
      <c r="AL84" s="1662"/>
      <c r="AM84" s="1662"/>
      <c r="AN84" s="1662"/>
      <c r="AO84" s="1662"/>
      <c r="AP84" s="1662"/>
      <c r="AQ84" s="1662"/>
      <c r="AR84" s="1662"/>
      <c r="AS84" s="1662"/>
      <c r="AT84" s="1662"/>
      <c r="AU84" s="1662"/>
      <c r="AV84" s="1662"/>
      <c r="AW84" s="1662"/>
      <c r="AX84" s="1662"/>
      <c r="AY84" s="1662"/>
      <c r="AZ84" s="1662"/>
      <c r="BA84" s="1662"/>
      <c r="BB84" s="1662"/>
      <c r="BC84" s="1662"/>
      <c r="BD84" s="1662"/>
      <c r="BE84" s="1662"/>
      <c r="BF84" s="1662"/>
      <c r="BG84" s="1662"/>
      <c r="BH84" s="1662"/>
      <c r="BI84" s="1662"/>
      <c r="BJ84" s="1662"/>
      <c r="BK84" s="1662"/>
    </row>
    <row r="85" spans="1:63" s="3" customFormat="1" ht="12.75" customHeight="1" x14ac:dyDescent="0.25">
      <c r="A85" s="141" t="s">
        <v>168</v>
      </c>
      <c r="B85" s="142"/>
      <c r="C85" s="88" t="s">
        <v>3412</v>
      </c>
      <c r="D85" s="143"/>
      <c r="E85" s="92"/>
      <c r="F85" s="92"/>
      <c r="G85" s="92"/>
      <c r="H85" s="92"/>
      <c r="I85" s="92"/>
      <c r="J85" s="92"/>
      <c r="K85" s="97"/>
      <c r="L85" s="92"/>
      <c r="M85" s="92"/>
      <c r="N85" s="92"/>
      <c r="O85" s="98"/>
      <c r="P85" s="98"/>
      <c r="Q85" s="98"/>
      <c r="R85" s="98"/>
      <c r="S85" s="99">
        <f>+S86+S87</f>
        <v>0</v>
      </c>
      <c r="T85" s="99">
        <f t="shared" ref="T85:BK85" si="69">+T86+T87</f>
        <v>0</v>
      </c>
      <c r="U85" s="99">
        <f t="shared" si="69"/>
        <v>0</v>
      </c>
      <c r="V85" s="99">
        <f t="shared" si="69"/>
        <v>0</v>
      </c>
      <c r="W85" s="99">
        <f t="shared" si="69"/>
        <v>0</v>
      </c>
      <c r="X85" s="99">
        <f t="shared" si="69"/>
        <v>0</v>
      </c>
      <c r="Y85" s="99">
        <f t="shared" si="69"/>
        <v>0</v>
      </c>
      <c r="Z85" s="99">
        <f t="shared" si="69"/>
        <v>1673</v>
      </c>
      <c r="AA85" s="99">
        <f t="shared" si="69"/>
        <v>1673</v>
      </c>
      <c r="AB85" s="99">
        <f t="shared" si="69"/>
        <v>0</v>
      </c>
      <c r="AC85" s="99">
        <f t="shared" si="69"/>
        <v>0</v>
      </c>
      <c r="AD85" s="99">
        <f t="shared" si="69"/>
        <v>0</v>
      </c>
      <c r="AE85" s="99">
        <f t="shared" si="69"/>
        <v>0</v>
      </c>
      <c r="AF85" s="99">
        <f t="shared" si="69"/>
        <v>0</v>
      </c>
      <c r="AG85" s="99">
        <f t="shared" si="69"/>
        <v>0</v>
      </c>
      <c r="AH85" s="99">
        <f t="shared" si="69"/>
        <v>0</v>
      </c>
      <c r="AI85" s="99">
        <f t="shared" si="69"/>
        <v>0</v>
      </c>
      <c r="AJ85" s="99">
        <f t="shared" si="69"/>
        <v>0</v>
      </c>
      <c r="AK85" s="99">
        <f t="shared" si="69"/>
        <v>0</v>
      </c>
      <c r="AL85" s="99">
        <f t="shared" si="69"/>
        <v>0</v>
      </c>
      <c r="AM85" s="99">
        <f t="shared" si="69"/>
        <v>0</v>
      </c>
      <c r="AN85" s="99">
        <f t="shared" si="69"/>
        <v>0</v>
      </c>
      <c r="AO85" s="99">
        <f t="shared" si="69"/>
        <v>0</v>
      </c>
      <c r="AP85" s="99">
        <f t="shared" si="69"/>
        <v>0</v>
      </c>
      <c r="AQ85" s="99">
        <f t="shared" si="69"/>
        <v>0</v>
      </c>
      <c r="AR85" s="99">
        <f t="shared" si="69"/>
        <v>0</v>
      </c>
      <c r="AS85" s="99">
        <f t="shared" si="69"/>
        <v>0</v>
      </c>
      <c r="AT85" s="99">
        <f t="shared" si="69"/>
        <v>0</v>
      </c>
      <c r="AU85" s="99">
        <f t="shared" si="69"/>
        <v>0</v>
      </c>
      <c r="AV85" s="99">
        <f t="shared" si="69"/>
        <v>0</v>
      </c>
      <c r="AW85" s="99">
        <f t="shared" si="69"/>
        <v>0</v>
      </c>
      <c r="AX85" s="99">
        <f t="shared" si="69"/>
        <v>0</v>
      </c>
      <c r="AY85" s="99">
        <f t="shared" si="69"/>
        <v>0</v>
      </c>
      <c r="AZ85" s="99">
        <f t="shared" si="69"/>
        <v>0</v>
      </c>
      <c r="BA85" s="99">
        <f t="shared" si="69"/>
        <v>0</v>
      </c>
      <c r="BB85" s="99">
        <f t="shared" si="69"/>
        <v>0</v>
      </c>
      <c r="BC85" s="99">
        <f t="shared" si="69"/>
        <v>0</v>
      </c>
      <c r="BD85" s="99">
        <f t="shared" si="69"/>
        <v>0</v>
      </c>
      <c r="BE85" s="99">
        <f t="shared" si="69"/>
        <v>0</v>
      </c>
      <c r="BF85" s="99">
        <f t="shared" si="69"/>
        <v>0</v>
      </c>
      <c r="BG85" s="99">
        <f t="shared" si="69"/>
        <v>0</v>
      </c>
      <c r="BH85" s="99">
        <f t="shared" si="69"/>
        <v>0</v>
      </c>
      <c r="BI85" s="99">
        <f t="shared" si="69"/>
        <v>0</v>
      </c>
      <c r="BJ85" s="99">
        <f t="shared" si="69"/>
        <v>1673</v>
      </c>
      <c r="BK85" s="99">
        <f t="shared" si="69"/>
        <v>1673</v>
      </c>
    </row>
    <row r="86" spans="1:63" s="3" customFormat="1" ht="13.2" x14ac:dyDescent="0.25">
      <c r="A86" s="82" t="s">
        <v>168</v>
      </c>
      <c r="B86" s="142"/>
      <c r="C86" s="1653" t="s">
        <v>3413</v>
      </c>
      <c r="D86" s="1655" t="s">
        <v>3414</v>
      </c>
      <c r="E86" s="1657">
        <v>2015</v>
      </c>
      <c r="F86" s="1657" t="s">
        <v>177</v>
      </c>
      <c r="G86" s="1659"/>
      <c r="H86" s="1651"/>
      <c r="I86" s="1651"/>
      <c r="J86" s="144"/>
      <c r="K86" s="130"/>
      <c r="L86" s="131"/>
      <c r="M86" s="131"/>
      <c r="N86" s="1438"/>
      <c r="O86" s="1438"/>
      <c r="P86" s="1438"/>
      <c r="Q86" s="1438"/>
      <c r="R86" s="84"/>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row>
    <row r="87" spans="1:63" s="3" customFormat="1" ht="211.2" x14ac:dyDescent="0.25">
      <c r="A87" s="82" t="s">
        <v>168</v>
      </c>
      <c r="B87" s="145"/>
      <c r="C87" s="1654"/>
      <c r="D87" s="1656"/>
      <c r="E87" s="1658"/>
      <c r="F87" s="1658"/>
      <c r="G87" s="1660"/>
      <c r="H87" s="1652"/>
      <c r="I87" s="1652"/>
      <c r="J87" s="130" t="s">
        <v>3415</v>
      </c>
      <c r="K87" s="130" t="s">
        <v>3416</v>
      </c>
      <c r="L87" s="131">
        <v>2015</v>
      </c>
      <c r="M87" s="131" t="s">
        <v>177</v>
      </c>
      <c r="N87" s="1439" t="s">
        <v>3417</v>
      </c>
      <c r="O87" s="1439" t="s">
        <v>3418</v>
      </c>
      <c r="P87" s="1439" t="s">
        <v>3418</v>
      </c>
      <c r="Q87" s="1439" t="s">
        <v>3418</v>
      </c>
      <c r="R87" s="84"/>
      <c r="S87" s="85">
        <v>0</v>
      </c>
      <c r="T87" s="85">
        <v>0</v>
      </c>
      <c r="U87" s="85">
        <v>0</v>
      </c>
      <c r="V87" s="85">
        <v>0</v>
      </c>
      <c r="W87" s="85">
        <v>0</v>
      </c>
      <c r="X87" s="85">
        <v>0</v>
      </c>
      <c r="Y87" s="85">
        <v>0</v>
      </c>
      <c r="Z87" s="85">
        <v>1673</v>
      </c>
      <c r="AA87" s="85">
        <f>+Z87+Y87+X87+W87+V87+U87+T87+S87</f>
        <v>1673</v>
      </c>
      <c r="AB87" s="85">
        <f>+(((S87*3.5%)+S87))</f>
        <v>0</v>
      </c>
      <c r="AC87" s="85">
        <f>+(((T87*3.5%)+T87))</f>
        <v>0</v>
      </c>
      <c r="AD87" s="85">
        <f>+(((U87*3.5%)+U87))</f>
        <v>0</v>
      </c>
      <c r="AE87" s="85">
        <f>+(((V87*3.5%)+V87))</f>
        <v>0</v>
      </c>
      <c r="AF87" s="85">
        <f>+(((W87*3.5%)+W87))</f>
        <v>0</v>
      </c>
      <c r="AG87" s="85">
        <v>0</v>
      </c>
      <c r="AH87" s="85">
        <f>+(((Y87*3.5%)+Y87))</f>
        <v>0</v>
      </c>
      <c r="AI87" s="85">
        <v>0</v>
      </c>
      <c r="AJ87" s="85">
        <f>+AI87+AH87+AG87+AF87+AE87+AD87+AC87+AB87</f>
        <v>0</v>
      </c>
      <c r="AK87" s="85">
        <f>+(((AB87*3.5%)+AB87))</f>
        <v>0</v>
      </c>
      <c r="AL87" s="85">
        <f>+(((AC87*3.5%)+AC87))</f>
        <v>0</v>
      </c>
      <c r="AM87" s="85">
        <f>+(((AD87*3.5%)+AD87))</f>
        <v>0</v>
      </c>
      <c r="AN87" s="85">
        <f>+(((AE87*3.5%)+AE87))</f>
        <v>0</v>
      </c>
      <c r="AO87" s="85">
        <f>+(((AF87*3.5%)+AF87))</f>
        <v>0</v>
      </c>
      <c r="AP87" s="85">
        <v>0</v>
      </c>
      <c r="AQ87" s="85">
        <f>+(((AH87*3.5%)+AH87))</f>
        <v>0</v>
      </c>
      <c r="AR87" s="85">
        <v>0</v>
      </c>
      <c r="AS87" s="85">
        <f>+AR87+AQ87+AP87+AO87+AN87+AM87+AL87+AK87</f>
        <v>0</v>
      </c>
      <c r="AT87" s="85">
        <f>+(((AK87*3.5%)+AK87))</f>
        <v>0</v>
      </c>
      <c r="AU87" s="85">
        <f>+(((AL87*3.5%)+AL87))</f>
        <v>0</v>
      </c>
      <c r="AV87" s="85">
        <f>+(((AM87*3.5%)+AM87))</f>
        <v>0</v>
      </c>
      <c r="AW87" s="85">
        <f>+(((AN87*3.5%)+AN87))</f>
        <v>0</v>
      </c>
      <c r="AX87" s="85">
        <f>+(((AO87*3.5%)+AO87))</f>
        <v>0</v>
      </c>
      <c r="AY87" s="85">
        <v>0</v>
      </c>
      <c r="AZ87" s="85">
        <f>+(((AQ87*3.5%)+AQ87))</f>
        <v>0</v>
      </c>
      <c r="BA87" s="85">
        <v>0</v>
      </c>
      <c r="BB87" s="85">
        <f>+BA87+AZ87+AY87+AX87+AW87+AV87+AU87+AT87</f>
        <v>0</v>
      </c>
      <c r="BC87" s="85">
        <f t="shared" ref="BC87:BJ87" si="70">+S87+AB87+AK87+AT87</f>
        <v>0</v>
      </c>
      <c r="BD87" s="85">
        <f t="shared" si="70"/>
        <v>0</v>
      </c>
      <c r="BE87" s="85">
        <f t="shared" si="70"/>
        <v>0</v>
      </c>
      <c r="BF87" s="85">
        <f t="shared" si="70"/>
        <v>0</v>
      </c>
      <c r="BG87" s="85">
        <f t="shared" si="70"/>
        <v>0</v>
      </c>
      <c r="BH87" s="85">
        <f t="shared" si="70"/>
        <v>0</v>
      </c>
      <c r="BI87" s="85">
        <f t="shared" si="70"/>
        <v>0</v>
      </c>
      <c r="BJ87" s="85">
        <f t="shared" si="70"/>
        <v>1673</v>
      </c>
      <c r="BK87" s="85">
        <f>+BJ87+BI87+BH87+BG87+BF87+BE87+BD87+BC87</f>
        <v>1673</v>
      </c>
    </row>
  </sheetData>
  <customSheetViews>
    <customSheetView guid="{92B8BA5A-7984-4526-9F7A-187FF856FCAE}" scale="70" state="hidden">
      <selection activeCell="J8" sqref="J8"/>
      <pageMargins left="0" right="0" top="0" bottom="0" header="0" footer="0"/>
      <pageSetup paperSize="9" orientation="portrait" r:id="rId1"/>
    </customSheetView>
  </customSheetViews>
  <mergeCells count="600">
    <mergeCell ref="S2:AA2"/>
    <mergeCell ref="AB2:AJ2"/>
    <mergeCell ref="AK2:AS2"/>
    <mergeCell ref="AT2:BB2"/>
    <mergeCell ref="BC2:BK2"/>
    <mergeCell ref="B6:B10"/>
    <mergeCell ref="C6:C10"/>
    <mergeCell ref="D6:D10"/>
    <mergeCell ref="E6:E10"/>
    <mergeCell ref="F6:F10"/>
    <mergeCell ref="Q6:Q9"/>
    <mergeCell ref="R6:R9"/>
    <mergeCell ref="S6:S10"/>
    <mergeCell ref="T6:T10"/>
    <mergeCell ref="U6:U10"/>
    <mergeCell ref="V6:V10"/>
    <mergeCell ref="G6:G10"/>
    <mergeCell ref="L6:L9"/>
    <mergeCell ref="M6:M9"/>
    <mergeCell ref="N6:N9"/>
    <mergeCell ref="O6:O9"/>
    <mergeCell ref="P6:P9"/>
    <mergeCell ref="AC6:AC10"/>
    <mergeCell ref="AD6:AD10"/>
    <mergeCell ref="AE6:AE10"/>
    <mergeCell ref="AF6:AF10"/>
    <mergeCell ref="AG6:AG10"/>
    <mergeCell ref="AH6:AH10"/>
    <mergeCell ref="W6:W10"/>
    <mergeCell ref="X6:X10"/>
    <mergeCell ref="Y6:Y10"/>
    <mergeCell ref="Z6:Z10"/>
    <mergeCell ref="AA6:AA10"/>
    <mergeCell ref="AB6:AB10"/>
    <mergeCell ref="AQ6:AQ10"/>
    <mergeCell ref="AR6:AR10"/>
    <mergeCell ref="AS6:AS10"/>
    <mergeCell ref="AT6:AT10"/>
    <mergeCell ref="AI6:AI10"/>
    <mergeCell ref="AJ6:AJ10"/>
    <mergeCell ref="AK6:AK10"/>
    <mergeCell ref="AL6:AL10"/>
    <mergeCell ref="AM6:AM10"/>
    <mergeCell ref="AN6:AN10"/>
    <mergeCell ref="BG6:BG10"/>
    <mergeCell ref="BH6:BH10"/>
    <mergeCell ref="BI6:BI10"/>
    <mergeCell ref="BJ6:BJ10"/>
    <mergeCell ref="BK6:BK10"/>
    <mergeCell ref="B12:B23"/>
    <mergeCell ref="C12:C23"/>
    <mergeCell ref="D12:D23"/>
    <mergeCell ref="E12:E23"/>
    <mergeCell ref="F12:F23"/>
    <mergeCell ref="BA6:BA10"/>
    <mergeCell ref="BB6:BB10"/>
    <mergeCell ref="BC6:BC10"/>
    <mergeCell ref="BD6:BD10"/>
    <mergeCell ref="BE6:BE10"/>
    <mergeCell ref="BF6:BF10"/>
    <mergeCell ref="AU6:AU10"/>
    <mergeCell ref="AV6:AV10"/>
    <mergeCell ref="AW6:AW10"/>
    <mergeCell ref="AX6:AX10"/>
    <mergeCell ref="AY6:AY10"/>
    <mergeCell ref="AZ6:AZ10"/>
    <mergeCell ref="AO6:AO10"/>
    <mergeCell ref="AP6:AP10"/>
    <mergeCell ref="AB38:AB44"/>
    <mergeCell ref="G12:G23"/>
    <mergeCell ref="I12:I23"/>
    <mergeCell ref="H15:H17"/>
    <mergeCell ref="H18:H19"/>
    <mergeCell ref="H20:H22"/>
    <mergeCell ref="A25:A26"/>
    <mergeCell ref="C25:C26"/>
    <mergeCell ref="D25:D26"/>
    <mergeCell ref="E25:E26"/>
    <mergeCell ref="F25:F26"/>
    <mergeCell ref="G25:G26"/>
    <mergeCell ref="H25:H26"/>
    <mergeCell ref="I25:I26"/>
    <mergeCell ref="V29:V36"/>
    <mergeCell ref="W29:W36"/>
    <mergeCell ref="X29:X36"/>
    <mergeCell ref="Y29:Y36"/>
    <mergeCell ref="Z29:Z36"/>
    <mergeCell ref="X38:X44"/>
    <mergeCell ref="Y38:Y44"/>
    <mergeCell ref="Z38:Z44"/>
    <mergeCell ref="AA38:AA44"/>
    <mergeCell ref="C42:C43"/>
    <mergeCell ref="AG46:AG50"/>
    <mergeCell ref="B29:B84"/>
    <mergeCell ref="S29:S36"/>
    <mergeCell ref="T29:T36"/>
    <mergeCell ref="E35:E36"/>
    <mergeCell ref="F35:F36"/>
    <mergeCell ref="G35:G36"/>
    <mergeCell ref="H35:H36"/>
    <mergeCell ref="T46:T50"/>
    <mergeCell ref="U46:U50"/>
    <mergeCell ref="C52:C53"/>
    <mergeCell ref="D52:D53"/>
    <mergeCell ref="E52:E53"/>
    <mergeCell ref="F52:F53"/>
    <mergeCell ref="G52:G53"/>
    <mergeCell ref="S52:S57"/>
    <mergeCell ref="T59:T63"/>
    <mergeCell ref="U59:U63"/>
    <mergeCell ref="S73:S75"/>
    <mergeCell ref="T73:T75"/>
    <mergeCell ref="U73:U75"/>
    <mergeCell ref="AA29:AA36"/>
    <mergeCell ref="AB29:AB36"/>
    <mergeCell ref="I35:I36"/>
    <mergeCell ref="D42:D43"/>
    <mergeCell ref="AG29:AG36"/>
    <mergeCell ref="AH29:AH36"/>
    <mergeCell ref="AI29:AI36"/>
    <mergeCell ref="C30:C34"/>
    <mergeCell ref="D30:D34"/>
    <mergeCell ref="E30:E34"/>
    <mergeCell ref="F30:F34"/>
    <mergeCell ref="G30:G34"/>
    <mergeCell ref="H30:H34"/>
    <mergeCell ref="I30:I34"/>
    <mergeCell ref="C35:C36"/>
    <mergeCell ref="D35:D36"/>
    <mergeCell ref="E42:E43"/>
    <mergeCell ref="F42:F43"/>
    <mergeCell ref="G42:G43"/>
    <mergeCell ref="S38:S44"/>
    <mergeCell ref="T38:T44"/>
    <mergeCell ref="U38:U44"/>
    <mergeCell ref="V38:V44"/>
    <mergeCell ref="W38:W44"/>
    <mergeCell ref="I39:I40"/>
    <mergeCell ref="U29:U36"/>
    <mergeCell ref="AD38:AD44"/>
    <mergeCell ref="AJ29:AJ36"/>
    <mergeCell ref="AK29:AK36"/>
    <mergeCell ref="AL29:AL36"/>
    <mergeCell ref="AC29:AC36"/>
    <mergeCell ref="AD29:AD36"/>
    <mergeCell ref="AE29:AE36"/>
    <mergeCell ref="AF29:AF36"/>
    <mergeCell ref="AU29:AU36"/>
    <mergeCell ref="AV29:AV36"/>
    <mergeCell ref="AW29:AW36"/>
    <mergeCell ref="AX29:AX36"/>
    <mergeCell ref="AM29:AM36"/>
    <mergeCell ref="AN29:AN36"/>
    <mergeCell ref="AO29:AO36"/>
    <mergeCell ref="AP29:AP36"/>
    <mergeCell ref="AQ29:AQ36"/>
    <mergeCell ref="AR29:AR36"/>
    <mergeCell ref="BK29:BK36"/>
    <mergeCell ref="BE29:BE36"/>
    <mergeCell ref="BF29:BF36"/>
    <mergeCell ref="BG29:BG36"/>
    <mergeCell ref="BH29:BH36"/>
    <mergeCell ref="BI29:BI36"/>
    <mergeCell ref="BJ29:BJ36"/>
    <mergeCell ref="AY29:AY36"/>
    <mergeCell ref="AZ29:AZ36"/>
    <mergeCell ref="BA29:BA36"/>
    <mergeCell ref="BB29:BB36"/>
    <mergeCell ref="BC29:BC36"/>
    <mergeCell ref="BD29:BD36"/>
    <mergeCell ref="AS29:AS36"/>
    <mergeCell ref="AT29:AT36"/>
    <mergeCell ref="BK38:BK44"/>
    <mergeCell ref="C39:C40"/>
    <mergeCell ref="D39:D40"/>
    <mergeCell ref="E39:E40"/>
    <mergeCell ref="F39:F40"/>
    <mergeCell ref="G39:G40"/>
    <mergeCell ref="H39:H40"/>
    <mergeCell ref="BB38:BB44"/>
    <mergeCell ref="BC38:BC44"/>
    <mergeCell ref="BD38:BD44"/>
    <mergeCell ref="BE38:BE44"/>
    <mergeCell ref="BF38:BF44"/>
    <mergeCell ref="BG38:BG44"/>
    <mergeCell ref="AV38:AV44"/>
    <mergeCell ref="AW38:AW44"/>
    <mergeCell ref="AX38:AX44"/>
    <mergeCell ref="AY38:AY44"/>
    <mergeCell ref="AZ38:AZ44"/>
    <mergeCell ref="BA38:BA44"/>
    <mergeCell ref="AP38:AP44"/>
    <mergeCell ref="AQ38:AQ44"/>
    <mergeCell ref="AR38:AR44"/>
    <mergeCell ref="AS38:AS44"/>
    <mergeCell ref="AT38:AT44"/>
    <mergeCell ref="AE38:AE44"/>
    <mergeCell ref="AF38:AF44"/>
    <mergeCell ref="AG38:AG44"/>
    <mergeCell ref="AH38:AH44"/>
    <mergeCell ref="AI38:AI44"/>
    <mergeCell ref="BH38:BH44"/>
    <mergeCell ref="BI38:BI44"/>
    <mergeCell ref="BJ38:BJ44"/>
    <mergeCell ref="AU38:AU44"/>
    <mergeCell ref="AJ38:AJ44"/>
    <mergeCell ref="AK38:AK44"/>
    <mergeCell ref="AL38:AL44"/>
    <mergeCell ref="AM38:AM44"/>
    <mergeCell ref="AN38:AN44"/>
    <mergeCell ref="AO38:AO44"/>
    <mergeCell ref="AC38:AC44"/>
    <mergeCell ref="AK46:AK50"/>
    <mergeCell ref="Z46:Z50"/>
    <mergeCell ref="AA46:AA50"/>
    <mergeCell ref="AB46:AB50"/>
    <mergeCell ref="AC46:AC50"/>
    <mergeCell ref="AD46:AD50"/>
    <mergeCell ref="AE46:AE50"/>
    <mergeCell ref="BC46:BC50"/>
    <mergeCell ref="AR46:AR50"/>
    <mergeCell ref="AS46:AS50"/>
    <mergeCell ref="AT46:AT50"/>
    <mergeCell ref="AU46:AU50"/>
    <mergeCell ref="AV46:AV50"/>
    <mergeCell ref="AW46:AW50"/>
    <mergeCell ref="AL46:AL50"/>
    <mergeCell ref="AM46:AM50"/>
    <mergeCell ref="AN46:AN50"/>
    <mergeCell ref="AO46:AO50"/>
    <mergeCell ref="AP46:AP50"/>
    <mergeCell ref="AQ46:AQ50"/>
    <mergeCell ref="AH46:AH50"/>
    <mergeCell ref="AI46:AI50"/>
    <mergeCell ref="AJ46:AJ50"/>
    <mergeCell ref="BJ46:BJ50"/>
    <mergeCell ref="BK46:BK50"/>
    <mergeCell ref="C47:C50"/>
    <mergeCell ref="D47:D50"/>
    <mergeCell ref="E47:E50"/>
    <mergeCell ref="F47:F50"/>
    <mergeCell ref="G47:G50"/>
    <mergeCell ref="BD46:BD50"/>
    <mergeCell ref="BE46:BE50"/>
    <mergeCell ref="BF46:BF50"/>
    <mergeCell ref="BG46:BG50"/>
    <mergeCell ref="BH46:BH50"/>
    <mergeCell ref="BI46:BI50"/>
    <mergeCell ref="AX46:AX50"/>
    <mergeCell ref="AY46:AY50"/>
    <mergeCell ref="AZ46:AZ50"/>
    <mergeCell ref="BA46:BA50"/>
    <mergeCell ref="BB46:BB50"/>
    <mergeCell ref="V46:V50"/>
    <mergeCell ref="W46:W50"/>
    <mergeCell ref="X46:X50"/>
    <mergeCell ref="Y46:Y50"/>
    <mergeCell ref="S46:S50"/>
    <mergeCell ref="AF46:AF50"/>
    <mergeCell ref="Z52:Z57"/>
    <mergeCell ref="AA52:AA57"/>
    <mergeCell ref="AB52:AB57"/>
    <mergeCell ref="AC52:AC57"/>
    <mergeCell ref="AD52:AD57"/>
    <mergeCell ref="AE52:AE57"/>
    <mergeCell ref="T52:T57"/>
    <mergeCell ref="U52:U57"/>
    <mergeCell ref="V52:V57"/>
    <mergeCell ref="W52:W57"/>
    <mergeCell ref="X52:X57"/>
    <mergeCell ref="Y52:Y57"/>
    <mergeCell ref="AW52:AW57"/>
    <mergeCell ref="AL52:AL57"/>
    <mergeCell ref="AM52:AM57"/>
    <mergeCell ref="AN52:AN57"/>
    <mergeCell ref="AO52:AO57"/>
    <mergeCell ref="AP52:AP57"/>
    <mergeCell ref="AQ52:AQ57"/>
    <mergeCell ref="AF52:AF57"/>
    <mergeCell ref="AG52:AG57"/>
    <mergeCell ref="AH52:AH57"/>
    <mergeCell ref="AI52:AI57"/>
    <mergeCell ref="AJ52:AJ57"/>
    <mergeCell ref="AK52:AK57"/>
    <mergeCell ref="BJ52:BJ57"/>
    <mergeCell ref="BK52:BK57"/>
    <mergeCell ref="C54:C57"/>
    <mergeCell ref="D54:D57"/>
    <mergeCell ref="E54:E57"/>
    <mergeCell ref="F54:F57"/>
    <mergeCell ref="G54:G57"/>
    <mergeCell ref="BD52:BD57"/>
    <mergeCell ref="BE52:BE57"/>
    <mergeCell ref="BF52:BF57"/>
    <mergeCell ref="BG52:BG57"/>
    <mergeCell ref="BH52:BH57"/>
    <mergeCell ref="BI52:BI57"/>
    <mergeCell ref="AX52:AX57"/>
    <mergeCell ref="AY52:AY57"/>
    <mergeCell ref="AZ52:AZ57"/>
    <mergeCell ref="BA52:BA57"/>
    <mergeCell ref="BB52:BB57"/>
    <mergeCell ref="BC52:BC57"/>
    <mergeCell ref="AR52:AR57"/>
    <mergeCell ref="AS52:AS57"/>
    <mergeCell ref="AT52:AT57"/>
    <mergeCell ref="AU52:AU57"/>
    <mergeCell ref="AV52:AV57"/>
    <mergeCell ref="V59:V63"/>
    <mergeCell ref="W59:W63"/>
    <mergeCell ref="X59:X63"/>
    <mergeCell ref="Y59:Y63"/>
    <mergeCell ref="C59:C60"/>
    <mergeCell ref="D59:D60"/>
    <mergeCell ref="E59:E60"/>
    <mergeCell ref="F59:F60"/>
    <mergeCell ref="G59:G60"/>
    <mergeCell ref="S59:S63"/>
    <mergeCell ref="AF59:AF63"/>
    <mergeCell ref="AG59:AG63"/>
    <mergeCell ref="AH59:AH63"/>
    <mergeCell ref="AI59:AI63"/>
    <mergeCell ref="AJ59:AJ63"/>
    <mergeCell ref="AK59:AK63"/>
    <mergeCell ref="Z59:Z63"/>
    <mergeCell ref="AA59:AA63"/>
    <mergeCell ref="AB59:AB63"/>
    <mergeCell ref="AC59:AC63"/>
    <mergeCell ref="AD59:AD63"/>
    <mergeCell ref="AE59:AE63"/>
    <mergeCell ref="BC59:BC63"/>
    <mergeCell ref="AR59:AR63"/>
    <mergeCell ref="AS59:AS63"/>
    <mergeCell ref="AT59:AT63"/>
    <mergeCell ref="AU59:AU63"/>
    <mergeCell ref="AV59:AV63"/>
    <mergeCell ref="AW59:AW63"/>
    <mergeCell ref="AL59:AL63"/>
    <mergeCell ref="AM59:AM63"/>
    <mergeCell ref="AN59:AN63"/>
    <mergeCell ref="AO59:AO63"/>
    <mergeCell ref="AP59:AP63"/>
    <mergeCell ref="AQ59:AQ63"/>
    <mergeCell ref="Y65:Y71"/>
    <mergeCell ref="Z65:Z71"/>
    <mergeCell ref="AA65:AA71"/>
    <mergeCell ref="BJ59:BJ63"/>
    <mergeCell ref="BK59:BK63"/>
    <mergeCell ref="C65:C66"/>
    <mergeCell ref="D65:D66"/>
    <mergeCell ref="E65:E66"/>
    <mergeCell ref="F65:F66"/>
    <mergeCell ref="G65:G66"/>
    <mergeCell ref="S65:S71"/>
    <mergeCell ref="T65:T71"/>
    <mergeCell ref="U65:U71"/>
    <mergeCell ref="BD59:BD63"/>
    <mergeCell ref="BE59:BE63"/>
    <mergeCell ref="BF59:BF63"/>
    <mergeCell ref="BG59:BG63"/>
    <mergeCell ref="BH59:BH63"/>
    <mergeCell ref="BI59:BI63"/>
    <mergeCell ref="AX59:AX63"/>
    <mergeCell ref="AY59:AY63"/>
    <mergeCell ref="AZ59:AZ63"/>
    <mergeCell ref="BA59:BA63"/>
    <mergeCell ref="BB59:BB63"/>
    <mergeCell ref="AH65:AH71"/>
    <mergeCell ref="AI65:AI71"/>
    <mergeCell ref="AJ65:AJ71"/>
    <mergeCell ref="AK65:AK71"/>
    <mergeCell ref="AL65:AL71"/>
    <mergeCell ref="AM65:AM71"/>
    <mergeCell ref="AB65:AB71"/>
    <mergeCell ref="AC65:AC71"/>
    <mergeCell ref="AD65:AD71"/>
    <mergeCell ref="AE65:AE71"/>
    <mergeCell ref="AF65:AF71"/>
    <mergeCell ref="AG65:AG71"/>
    <mergeCell ref="AT65:AT71"/>
    <mergeCell ref="AU65:AU71"/>
    <mergeCell ref="AV65:AV71"/>
    <mergeCell ref="AW65:AW71"/>
    <mergeCell ref="AX65:AX71"/>
    <mergeCell ref="AY65:AY71"/>
    <mergeCell ref="AN65:AN71"/>
    <mergeCell ref="AO65:AO71"/>
    <mergeCell ref="AP65:AP71"/>
    <mergeCell ref="AQ65:AQ71"/>
    <mergeCell ref="AR65:AR71"/>
    <mergeCell ref="AS65:AS71"/>
    <mergeCell ref="BF65:BF71"/>
    <mergeCell ref="BG65:BG71"/>
    <mergeCell ref="BH65:BH71"/>
    <mergeCell ref="BI65:BI71"/>
    <mergeCell ref="BJ65:BJ71"/>
    <mergeCell ref="BK65:BK71"/>
    <mergeCell ref="AZ65:AZ71"/>
    <mergeCell ref="BA65:BA71"/>
    <mergeCell ref="BB65:BB71"/>
    <mergeCell ref="BC65:BC71"/>
    <mergeCell ref="BD65:BD71"/>
    <mergeCell ref="BE65:BE71"/>
    <mergeCell ref="V73:V75"/>
    <mergeCell ref="W73:W75"/>
    <mergeCell ref="X73:X75"/>
    <mergeCell ref="C67:C68"/>
    <mergeCell ref="D67:D68"/>
    <mergeCell ref="E67:E68"/>
    <mergeCell ref="F67:F68"/>
    <mergeCell ref="G67:G68"/>
    <mergeCell ref="C70:C71"/>
    <mergeCell ref="D70:D71"/>
    <mergeCell ref="E70:E71"/>
    <mergeCell ref="F70:F71"/>
    <mergeCell ref="G70:G71"/>
    <mergeCell ref="V65:V71"/>
    <mergeCell ref="W65:W71"/>
    <mergeCell ref="X65:X71"/>
    <mergeCell ref="AE73:AE75"/>
    <mergeCell ref="AF73:AF75"/>
    <mergeCell ref="AG73:AG75"/>
    <mergeCell ref="AH73:AH75"/>
    <mergeCell ref="AI73:AI75"/>
    <mergeCell ref="AJ73:AJ75"/>
    <mergeCell ref="Y73:Y75"/>
    <mergeCell ref="Z73:Z75"/>
    <mergeCell ref="AA73:AA75"/>
    <mergeCell ref="AB73:AB75"/>
    <mergeCell ref="AC73:AC75"/>
    <mergeCell ref="AD73:AD75"/>
    <mergeCell ref="AS73:AS75"/>
    <mergeCell ref="AT73:AT75"/>
    <mergeCell ref="AU73:AU75"/>
    <mergeCell ref="AV73:AV75"/>
    <mergeCell ref="AK73:AK75"/>
    <mergeCell ref="AL73:AL75"/>
    <mergeCell ref="AM73:AM75"/>
    <mergeCell ref="AN73:AN75"/>
    <mergeCell ref="AO73:AO75"/>
    <mergeCell ref="AP73:AP75"/>
    <mergeCell ref="BI73:BI75"/>
    <mergeCell ref="BJ73:BJ75"/>
    <mergeCell ref="BK73:BK75"/>
    <mergeCell ref="S77:S78"/>
    <mergeCell ref="T77:T78"/>
    <mergeCell ref="U77:U78"/>
    <mergeCell ref="V77:V78"/>
    <mergeCell ref="W77:W78"/>
    <mergeCell ref="X77:X78"/>
    <mergeCell ref="Y77:Y78"/>
    <mergeCell ref="BC73:BC75"/>
    <mergeCell ref="BD73:BD75"/>
    <mergeCell ref="BE73:BE75"/>
    <mergeCell ref="BF73:BF75"/>
    <mergeCell ref="BG73:BG75"/>
    <mergeCell ref="BH73:BH75"/>
    <mergeCell ref="AW73:AW75"/>
    <mergeCell ref="AX73:AX75"/>
    <mergeCell ref="AY73:AY75"/>
    <mergeCell ref="AZ73:AZ75"/>
    <mergeCell ref="BA73:BA75"/>
    <mergeCell ref="BB73:BB75"/>
    <mergeCell ref="AQ73:AQ75"/>
    <mergeCell ref="AR73:AR75"/>
    <mergeCell ref="AF77:AF78"/>
    <mergeCell ref="AG77:AG78"/>
    <mergeCell ref="AH77:AH78"/>
    <mergeCell ref="AI77:AI78"/>
    <mergeCell ref="AJ77:AJ78"/>
    <mergeCell ref="AK77:AK78"/>
    <mergeCell ref="Z77:Z78"/>
    <mergeCell ref="AA77:AA78"/>
    <mergeCell ref="AB77:AB78"/>
    <mergeCell ref="AC77:AC78"/>
    <mergeCell ref="AD77:AD78"/>
    <mergeCell ref="AE77:AE78"/>
    <mergeCell ref="AT77:AT78"/>
    <mergeCell ref="AU77:AU78"/>
    <mergeCell ref="AV77:AV78"/>
    <mergeCell ref="AW77:AW78"/>
    <mergeCell ref="AL77:AL78"/>
    <mergeCell ref="AM77:AM78"/>
    <mergeCell ref="AN77:AN78"/>
    <mergeCell ref="AO77:AO78"/>
    <mergeCell ref="AP77:AP78"/>
    <mergeCell ref="AQ77:AQ78"/>
    <mergeCell ref="BJ77:BJ78"/>
    <mergeCell ref="BK77:BK78"/>
    <mergeCell ref="S80:S81"/>
    <mergeCell ref="T80:T81"/>
    <mergeCell ref="U80:U81"/>
    <mergeCell ref="V80:V81"/>
    <mergeCell ref="W80:W81"/>
    <mergeCell ref="X80:X81"/>
    <mergeCell ref="Y80:Y81"/>
    <mergeCell ref="Z80:Z81"/>
    <mergeCell ref="BD77:BD78"/>
    <mergeCell ref="BE77:BE78"/>
    <mergeCell ref="BF77:BF78"/>
    <mergeCell ref="BG77:BG78"/>
    <mergeCell ref="BH77:BH78"/>
    <mergeCell ref="BI77:BI78"/>
    <mergeCell ref="AX77:AX78"/>
    <mergeCell ref="AY77:AY78"/>
    <mergeCell ref="AZ77:AZ78"/>
    <mergeCell ref="BA77:BA78"/>
    <mergeCell ref="BB77:BB78"/>
    <mergeCell ref="BC77:BC78"/>
    <mergeCell ref="AR77:AR78"/>
    <mergeCell ref="AS77:AS78"/>
    <mergeCell ref="AG80:AG81"/>
    <mergeCell ref="AH80:AH81"/>
    <mergeCell ref="AI80:AI81"/>
    <mergeCell ref="AJ80:AJ81"/>
    <mergeCell ref="AK80:AK81"/>
    <mergeCell ref="AL80:AL81"/>
    <mergeCell ref="AA80:AA81"/>
    <mergeCell ref="AB80:AB81"/>
    <mergeCell ref="AC80:AC81"/>
    <mergeCell ref="AD80:AD81"/>
    <mergeCell ref="AE80:AE81"/>
    <mergeCell ref="AF80:AF81"/>
    <mergeCell ref="AU80:AU81"/>
    <mergeCell ref="AV80:AV81"/>
    <mergeCell ref="AW80:AW81"/>
    <mergeCell ref="AX80:AX81"/>
    <mergeCell ref="AM80:AM81"/>
    <mergeCell ref="AN80:AN81"/>
    <mergeCell ref="AO80:AO81"/>
    <mergeCell ref="AP80:AP81"/>
    <mergeCell ref="AQ80:AQ81"/>
    <mergeCell ref="AR80:AR81"/>
    <mergeCell ref="BK80:BK81"/>
    <mergeCell ref="S83:S84"/>
    <mergeCell ref="T83:T84"/>
    <mergeCell ref="U83:U84"/>
    <mergeCell ref="V83:V84"/>
    <mergeCell ref="W83:W84"/>
    <mergeCell ref="X83:X84"/>
    <mergeCell ref="Y83:Y84"/>
    <mergeCell ref="Z83:Z84"/>
    <mergeCell ref="AA83:AA84"/>
    <mergeCell ref="BE80:BE81"/>
    <mergeCell ref="BF80:BF81"/>
    <mergeCell ref="BG80:BG81"/>
    <mergeCell ref="BH80:BH81"/>
    <mergeCell ref="BI80:BI81"/>
    <mergeCell ref="BJ80:BJ81"/>
    <mergeCell ref="AY80:AY81"/>
    <mergeCell ref="AZ80:AZ81"/>
    <mergeCell ref="BA80:BA81"/>
    <mergeCell ref="BB80:BB81"/>
    <mergeCell ref="BC80:BC81"/>
    <mergeCell ref="BD80:BD81"/>
    <mergeCell ref="AS80:AS81"/>
    <mergeCell ref="AT80:AT81"/>
    <mergeCell ref="AK83:AK84"/>
    <mergeCell ref="AL83:AL84"/>
    <mergeCell ref="AM83:AM84"/>
    <mergeCell ref="AB83:AB84"/>
    <mergeCell ref="AC83:AC84"/>
    <mergeCell ref="AD83:AD84"/>
    <mergeCell ref="AE83:AE84"/>
    <mergeCell ref="AF83:AF84"/>
    <mergeCell ref="AG83:AG84"/>
    <mergeCell ref="BH83:BH84"/>
    <mergeCell ref="BI83:BI84"/>
    <mergeCell ref="BJ83:BJ84"/>
    <mergeCell ref="BK83:BK84"/>
    <mergeCell ref="AZ83:AZ84"/>
    <mergeCell ref="BA83:BA84"/>
    <mergeCell ref="BB83:BB84"/>
    <mergeCell ref="BC83:BC84"/>
    <mergeCell ref="BD83:BD84"/>
    <mergeCell ref="BE83:BE84"/>
    <mergeCell ref="I86:I87"/>
    <mergeCell ref="C86:C87"/>
    <mergeCell ref="D86:D87"/>
    <mergeCell ref="E86:E87"/>
    <mergeCell ref="F86:F87"/>
    <mergeCell ref="G86:G87"/>
    <mergeCell ref="H86:H87"/>
    <mergeCell ref="BF83:BF84"/>
    <mergeCell ref="BG83:BG84"/>
    <mergeCell ref="AT83:AT84"/>
    <mergeCell ref="AU83:AU84"/>
    <mergeCell ref="AV83:AV84"/>
    <mergeCell ref="AW83:AW84"/>
    <mergeCell ref="AX83:AX84"/>
    <mergeCell ref="AY83:AY84"/>
    <mergeCell ref="AN83:AN84"/>
    <mergeCell ref="AO83:AO84"/>
    <mergeCell ref="AP83:AP84"/>
    <mergeCell ref="AQ83:AQ84"/>
    <mergeCell ref="AR83:AR84"/>
    <mergeCell ref="AS83:AS84"/>
    <mergeCell ref="AH83:AH84"/>
    <mergeCell ref="AI83:AI84"/>
    <mergeCell ref="AJ83:AJ84"/>
  </mergeCell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0"/>
  <sheetViews>
    <sheetView zoomScale="85" zoomScaleNormal="85" workbookViewId="0">
      <selection activeCell="C15" sqref="C15"/>
    </sheetView>
  </sheetViews>
  <sheetFormatPr baseColWidth="10" defaultColWidth="11.44140625" defaultRowHeight="14.4" x14ac:dyDescent="0.3"/>
  <cols>
    <col min="1" max="1" width="15.109375" customWidth="1"/>
    <col min="2" max="2" width="40.44140625" bestFit="1" customWidth="1"/>
    <col min="3" max="3" width="30.44140625" customWidth="1"/>
    <col min="4" max="4" width="7.44140625" bestFit="1" customWidth="1"/>
    <col min="6" max="6" width="42.6640625" customWidth="1"/>
  </cols>
  <sheetData>
    <row r="2" spans="1:8" ht="15" x14ac:dyDescent="0.25">
      <c r="A2" t="s">
        <v>3419</v>
      </c>
      <c r="B2" t="s">
        <v>3420</v>
      </c>
      <c r="C2" t="s">
        <v>9</v>
      </c>
      <c r="D2" t="s">
        <v>3421</v>
      </c>
      <c r="F2" t="s">
        <v>3422</v>
      </c>
    </row>
    <row r="3" spans="1:8" x14ac:dyDescent="0.3">
      <c r="A3" t="s">
        <v>73</v>
      </c>
      <c r="B3" t="s">
        <v>740</v>
      </c>
      <c r="C3" s="150" t="s">
        <v>39</v>
      </c>
      <c r="D3" t="s">
        <v>38</v>
      </c>
      <c r="F3" t="s">
        <v>45</v>
      </c>
      <c r="H3" t="s">
        <v>2600</v>
      </c>
    </row>
    <row r="4" spans="1:8" x14ac:dyDescent="0.3">
      <c r="A4" t="s">
        <v>3423</v>
      </c>
      <c r="B4" t="s">
        <v>970</v>
      </c>
      <c r="C4" s="150" t="s">
        <v>2250</v>
      </c>
      <c r="D4" t="s">
        <v>3424</v>
      </c>
      <c r="F4" t="s">
        <v>1225</v>
      </c>
      <c r="H4" t="s">
        <v>2594</v>
      </c>
    </row>
    <row r="5" spans="1:8" x14ac:dyDescent="0.3">
      <c r="A5" t="s">
        <v>47</v>
      </c>
      <c r="B5" t="s">
        <v>3425</v>
      </c>
      <c r="C5" s="150" t="s">
        <v>384</v>
      </c>
      <c r="D5" t="s">
        <v>386</v>
      </c>
      <c r="F5" t="s">
        <v>1102</v>
      </c>
      <c r="H5" t="s">
        <v>2604</v>
      </c>
    </row>
    <row r="6" spans="1:8" x14ac:dyDescent="0.3">
      <c r="B6" t="s">
        <v>44</v>
      </c>
      <c r="C6" s="150" t="s">
        <v>278</v>
      </c>
      <c r="D6" t="s">
        <v>280</v>
      </c>
      <c r="F6" t="s">
        <v>392</v>
      </c>
      <c r="H6" t="s">
        <v>2598</v>
      </c>
    </row>
    <row r="7" spans="1:8" x14ac:dyDescent="0.3">
      <c r="B7" t="s">
        <v>608</v>
      </c>
      <c r="C7" s="150" t="s">
        <v>169</v>
      </c>
      <c r="D7" t="s">
        <v>173</v>
      </c>
      <c r="F7" t="s">
        <v>497</v>
      </c>
    </row>
    <row r="8" spans="1:8" x14ac:dyDescent="0.3">
      <c r="B8" t="s">
        <v>391</v>
      </c>
      <c r="C8" s="150" t="s">
        <v>1071</v>
      </c>
      <c r="D8" t="s">
        <v>1073</v>
      </c>
      <c r="F8" t="s">
        <v>3426</v>
      </c>
    </row>
    <row r="9" spans="1:8" x14ac:dyDescent="0.3">
      <c r="B9" t="s">
        <v>1078</v>
      </c>
      <c r="C9" s="150" t="s">
        <v>343</v>
      </c>
      <c r="D9" t="s">
        <v>346</v>
      </c>
      <c r="F9" t="s">
        <v>1007</v>
      </c>
    </row>
    <row r="10" spans="1:8" x14ac:dyDescent="0.3">
      <c r="B10" t="s">
        <v>806</v>
      </c>
      <c r="C10" s="150" t="s">
        <v>3427</v>
      </c>
      <c r="D10" t="s">
        <v>896</v>
      </c>
      <c r="F10" t="s">
        <v>1041</v>
      </c>
    </row>
    <row r="11" spans="1:8" x14ac:dyDescent="0.3">
      <c r="B11" t="s">
        <v>883</v>
      </c>
      <c r="C11" s="150" t="s">
        <v>999</v>
      </c>
      <c r="D11" t="s">
        <v>1002</v>
      </c>
      <c r="F11" t="s">
        <v>1141</v>
      </c>
    </row>
    <row r="12" spans="1:8" x14ac:dyDescent="0.3">
      <c r="B12" t="s">
        <v>496</v>
      </c>
      <c r="C12" s="150" t="s">
        <v>1351</v>
      </c>
      <c r="D12" t="s">
        <v>1353</v>
      </c>
      <c r="F12" t="s">
        <v>902</v>
      </c>
    </row>
    <row r="13" spans="1:8" x14ac:dyDescent="0.3">
      <c r="B13" t="s">
        <v>179</v>
      </c>
      <c r="C13" s="150" t="s">
        <v>2255</v>
      </c>
      <c r="D13" t="s">
        <v>3428</v>
      </c>
    </row>
    <row r="14" spans="1:8" x14ac:dyDescent="0.3">
      <c r="B14" t="s">
        <v>901</v>
      </c>
      <c r="C14" s="150" t="s">
        <v>1448</v>
      </c>
      <c r="D14" t="s">
        <v>1450</v>
      </c>
    </row>
    <row r="15" spans="1:8" ht="28.8" x14ac:dyDescent="0.3">
      <c r="B15" t="s">
        <v>3429</v>
      </c>
      <c r="C15" s="150" t="s">
        <v>801</v>
      </c>
      <c r="D15" t="s">
        <v>800</v>
      </c>
    </row>
    <row r="16" spans="1:8" ht="28.8" x14ac:dyDescent="0.3">
      <c r="B16" t="s">
        <v>3430</v>
      </c>
      <c r="C16" s="150" t="s">
        <v>489</v>
      </c>
      <c r="D16" t="s">
        <v>491</v>
      </c>
    </row>
    <row r="17" spans="2:4" ht="15" x14ac:dyDescent="0.25">
      <c r="B17" t="s">
        <v>1358</v>
      </c>
      <c r="C17" s="150" t="s">
        <v>1095</v>
      </c>
      <c r="D17" t="s">
        <v>1097</v>
      </c>
    </row>
    <row r="18" spans="2:4" x14ac:dyDescent="0.3">
      <c r="B18" t="s">
        <v>1140</v>
      </c>
      <c r="C18" s="150" t="s">
        <v>1218</v>
      </c>
      <c r="D18" t="s">
        <v>1220</v>
      </c>
    </row>
    <row r="19" spans="2:4" ht="15" x14ac:dyDescent="0.25">
      <c r="B19" t="s">
        <v>3431</v>
      </c>
      <c r="C19" s="150" t="s">
        <v>1132</v>
      </c>
      <c r="D19" t="s">
        <v>1135</v>
      </c>
    </row>
    <row r="20" spans="2:4" ht="15" x14ac:dyDescent="0.25">
      <c r="C20" s="150" t="s">
        <v>1259</v>
      </c>
      <c r="D20" t="s">
        <v>1261</v>
      </c>
    </row>
  </sheetData>
  <customSheetViews>
    <customSheetView guid="{92B8BA5A-7984-4526-9F7A-187FF856FCAE}" scale="85" state="hidden">
      <selection activeCell="C15" sqref="C15"/>
      <pageMargins left="0" right="0" top="0" bottom="0" header="0" footer="0"/>
    </customSheetView>
  </customSheetView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sheetPr>
  <dimension ref="A1:CW500"/>
  <sheetViews>
    <sheetView topLeftCell="T345" zoomScale="77" zoomScaleNormal="77" zoomScalePageLayoutView="140" workbookViewId="0">
      <selection activeCell="AI348" sqref="AI348"/>
    </sheetView>
  </sheetViews>
  <sheetFormatPr baseColWidth="10" defaultColWidth="11.44140625" defaultRowHeight="14.4" x14ac:dyDescent="0.3"/>
  <cols>
    <col min="1" max="1" width="11.88671875" style="3" customWidth="1"/>
    <col min="2" max="2" width="13.6640625" style="5" customWidth="1"/>
    <col min="3" max="3" width="11" style="5" customWidth="1"/>
    <col min="4" max="4" width="22.33203125" style="3" customWidth="1"/>
    <col min="5" max="5" width="21.5546875" style="3" bestFit="1" customWidth="1"/>
    <col min="6" max="6" width="8.33203125" style="3" bestFit="1" customWidth="1"/>
    <col min="7" max="7" width="8.109375" style="3" customWidth="1"/>
    <col min="8" max="8" width="8.88671875" style="3" customWidth="1"/>
    <col min="9" max="9" width="8.5546875" style="253" customWidth="1"/>
    <col min="10" max="10" width="11.88671875" style="254" customWidth="1"/>
    <col min="11" max="11" width="11.109375" style="252" customWidth="1"/>
    <col min="12" max="12" width="15" style="3" customWidth="1"/>
    <col min="13" max="13" width="6.33203125" style="3" customWidth="1"/>
    <col min="14" max="14" width="17.44140625" style="252" customWidth="1"/>
    <col min="15" max="15" width="6.33203125" style="252" customWidth="1"/>
    <col min="16" max="16" width="21.6640625" style="28" customWidth="1"/>
    <col min="17" max="17" width="5" style="28" customWidth="1"/>
    <col min="18" max="18" width="5.5546875" style="4" customWidth="1"/>
    <col min="19" max="19" width="4.44140625" style="255" customWidth="1"/>
    <col min="20" max="20" width="4.6640625" style="678" customWidth="1"/>
    <col min="21" max="21" width="5.33203125" style="255" customWidth="1"/>
    <col min="22" max="22" width="3" style="255" customWidth="1"/>
    <col min="23" max="23" width="6.6640625" style="255" customWidth="1"/>
    <col min="24" max="24" width="4.33203125" style="255" customWidth="1"/>
    <col min="25" max="25" width="6.5546875" style="255" customWidth="1"/>
    <col min="26" max="26" width="3.5546875" style="255" customWidth="1"/>
    <col min="27" max="27" width="6" style="256" customWidth="1"/>
    <col min="28" max="28" width="3" style="256" customWidth="1"/>
    <col min="29" max="29" width="5.88671875" style="256" customWidth="1"/>
    <col min="30" max="30" width="11.5546875" style="256" customWidth="1"/>
    <col min="31" max="31" width="5.6640625" style="256" customWidth="1"/>
    <col min="32" max="32" width="2.5546875" style="256" customWidth="1"/>
    <col min="33" max="33" width="7.5546875" style="257" customWidth="1"/>
    <col min="34" max="34" width="2.88671875" style="257" customWidth="1"/>
    <col min="35" max="35" width="39.33203125" style="257" customWidth="1"/>
    <col min="36" max="36" width="3" style="256" customWidth="1"/>
    <col min="37" max="38" width="3.6640625" style="256" customWidth="1"/>
    <col min="39" max="39" width="2.44140625" style="256" customWidth="1"/>
    <col min="40" max="40" width="4.33203125" style="256" customWidth="1"/>
    <col min="41" max="41" width="12" style="257" customWidth="1"/>
    <col min="42" max="42" width="13" style="258" customWidth="1"/>
    <col min="43" max="43" width="15" style="258" customWidth="1"/>
    <col min="44" max="44" width="7.5546875" style="258" customWidth="1"/>
    <col min="45" max="45" width="6" style="258" customWidth="1"/>
    <col min="46" max="46" width="5.88671875" style="258" customWidth="1"/>
    <col min="47" max="47" width="7.5546875" style="258" customWidth="1"/>
    <col min="48" max="48" width="5.44140625" style="258" customWidth="1"/>
    <col min="49" max="49" width="23.44140625" style="259" customWidth="1"/>
    <col min="50" max="51" width="7.109375" style="258" hidden="1" customWidth="1"/>
    <col min="52" max="52" width="8.5546875" style="258" hidden="1" customWidth="1"/>
    <col min="53" max="53" width="8.6640625" style="258" hidden="1" customWidth="1"/>
    <col min="54" max="55" width="9" style="258" hidden="1" customWidth="1"/>
    <col min="56" max="56" width="8.109375" style="258" hidden="1" customWidth="1"/>
    <col min="57" max="57" width="9" style="259" hidden="1" customWidth="1"/>
    <col min="58" max="59" width="7.109375" style="258" hidden="1" customWidth="1"/>
    <col min="60" max="60" width="8.5546875" style="258" hidden="1" customWidth="1"/>
    <col min="61" max="61" width="8.6640625" style="258" hidden="1" customWidth="1"/>
    <col min="62" max="63" width="9" style="258" hidden="1" customWidth="1"/>
    <col min="64" max="64" width="8.109375" style="258" hidden="1" customWidth="1"/>
    <col min="65" max="65" width="9" style="259" hidden="1" customWidth="1"/>
    <col min="66" max="67" width="7.109375" style="258" hidden="1" customWidth="1"/>
    <col min="68" max="68" width="8.5546875" style="258" hidden="1" customWidth="1"/>
    <col min="69" max="69" width="8.6640625" style="258" hidden="1" customWidth="1"/>
    <col min="70" max="71" width="9" style="258" hidden="1" customWidth="1"/>
    <col min="72" max="72" width="8.109375" style="258" hidden="1" customWidth="1"/>
    <col min="73" max="73" width="1.5546875" style="259" customWidth="1"/>
    <col min="74" max="74" width="6.5546875" customWidth="1"/>
    <col min="75" max="75" width="6.33203125" customWidth="1"/>
    <col min="76" max="76" width="8.6640625" customWidth="1"/>
    <col min="77" max="77" width="8.88671875" customWidth="1"/>
    <col min="78" max="78" width="8.5546875" customWidth="1"/>
    <col min="79" max="79" width="9.5546875" customWidth="1"/>
    <col min="80" max="80" width="8.88671875" customWidth="1"/>
  </cols>
  <sheetData>
    <row r="1" spans="1:80" ht="68.25" customHeight="1" thickBot="1" x14ac:dyDescent="0.3">
      <c r="A1" s="1711" t="s">
        <v>3432</v>
      </c>
      <c r="B1" s="1585"/>
      <c r="C1" s="1585"/>
      <c r="D1" s="1585"/>
      <c r="E1" s="1585"/>
      <c r="F1" s="1585"/>
      <c r="G1" s="1585"/>
      <c r="H1" s="1585"/>
      <c r="I1" s="1585"/>
      <c r="J1" s="1585"/>
      <c r="K1" s="1585"/>
      <c r="L1" s="1585"/>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c r="AN1" s="1585"/>
      <c r="AO1" s="1585"/>
      <c r="AP1" s="1585"/>
      <c r="AQ1" s="1585"/>
      <c r="AR1" s="1585"/>
      <c r="AS1" s="1585"/>
      <c r="AT1" s="1585"/>
      <c r="AU1" s="1585"/>
      <c r="AV1" s="1585"/>
      <c r="AW1" s="1585"/>
      <c r="AX1" s="1585"/>
      <c r="AY1" s="1585"/>
      <c r="AZ1" s="1585"/>
      <c r="BA1" s="1585"/>
      <c r="BB1" s="1585"/>
      <c r="BC1" s="1585"/>
      <c r="BD1" s="1585"/>
      <c r="BE1" s="1585"/>
      <c r="BF1" s="1585"/>
      <c r="BG1" s="1585"/>
      <c r="BH1" s="1585"/>
      <c r="BI1" s="1585"/>
      <c r="BJ1" s="1585"/>
      <c r="BK1" s="1585"/>
      <c r="BL1" s="1585"/>
      <c r="BM1" s="1585"/>
      <c r="BN1" s="1585"/>
      <c r="BO1" s="1585"/>
      <c r="BP1" s="1585"/>
      <c r="BQ1" s="1585"/>
      <c r="BR1" s="1585"/>
      <c r="BS1" s="1585"/>
      <c r="BT1" s="1585"/>
      <c r="BU1" s="1585"/>
      <c r="BV1" s="1585"/>
      <c r="BW1" s="1585"/>
      <c r="BX1" s="1585"/>
      <c r="BY1" s="1585"/>
      <c r="BZ1" s="1585"/>
      <c r="CA1" s="1585"/>
      <c r="CB1" s="1586"/>
    </row>
    <row r="2" spans="1:80" ht="54.75" customHeight="1" thickBot="1" x14ac:dyDescent="0.35">
      <c r="A2" s="1617" t="s">
        <v>1</v>
      </c>
      <c r="B2" s="1618"/>
      <c r="C2" s="1618"/>
      <c r="D2" s="1618"/>
      <c r="E2" s="1618"/>
      <c r="F2" s="1618"/>
      <c r="G2" s="1618"/>
      <c r="H2" s="1618"/>
      <c r="I2" s="1618"/>
      <c r="J2" s="1618"/>
      <c r="K2" s="1618"/>
      <c r="L2" s="1618"/>
      <c r="M2" s="1618"/>
      <c r="N2" s="1618"/>
      <c r="O2" s="1618"/>
      <c r="P2" s="1618"/>
      <c r="Q2" s="1618"/>
      <c r="R2" s="1618"/>
      <c r="S2" s="1618"/>
      <c r="T2" s="1618"/>
      <c r="U2" s="1618"/>
      <c r="V2" s="1618"/>
      <c r="W2" s="1618"/>
      <c r="X2" s="1618"/>
      <c r="Y2" s="1618"/>
      <c r="Z2" s="1618"/>
      <c r="AA2" s="1618"/>
      <c r="AB2" s="1618"/>
      <c r="AC2" s="1618"/>
      <c r="AD2" s="1618"/>
      <c r="AE2" s="1618"/>
      <c r="AF2" s="1618"/>
      <c r="AG2" s="1618"/>
      <c r="AH2" s="1618"/>
      <c r="AI2" s="1618"/>
      <c r="AJ2" s="1618"/>
      <c r="AK2" s="1618"/>
      <c r="AL2" s="1618"/>
      <c r="AM2" s="1618"/>
      <c r="AN2" s="1618"/>
      <c r="AO2" s="1618"/>
      <c r="AP2" s="564"/>
      <c r="AQ2" s="564"/>
      <c r="AR2" s="564"/>
      <c r="AS2" s="564"/>
      <c r="AT2" s="564"/>
      <c r="AU2" s="564"/>
      <c r="AV2" s="564"/>
      <c r="AW2" s="565"/>
      <c r="AX2" s="564"/>
      <c r="AY2" s="564"/>
      <c r="AZ2" s="564"/>
      <c r="BA2" s="564"/>
      <c r="BB2" s="564"/>
      <c r="BC2" s="564"/>
      <c r="BD2" s="564"/>
      <c r="BE2" s="565"/>
      <c r="BF2" s="564"/>
      <c r="BG2" s="564"/>
      <c r="BH2" s="564"/>
      <c r="BI2" s="564"/>
      <c r="BJ2" s="564"/>
      <c r="BK2" s="564"/>
      <c r="BL2" s="564"/>
      <c r="BM2" s="565"/>
      <c r="BN2" s="564"/>
      <c r="BO2" s="564"/>
      <c r="BP2" s="564"/>
      <c r="BQ2" s="564"/>
      <c r="BR2" s="564"/>
      <c r="BS2" s="564"/>
      <c r="BT2" s="564"/>
      <c r="BU2" s="565"/>
      <c r="BV2" s="566"/>
      <c r="BW2" s="566"/>
      <c r="BX2" s="566"/>
      <c r="BY2" s="566"/>
      <c r="BZ2" s="566"/>
      <c r="CA2" s="567"/>
      <c r="CB2" s="568"/>
    </row>
    <row r="3" spans="1:80" ht="15.75" thickBot="1" x14ac:dyDescent="0.3">
      <c r="A3" s="459"/>
      <c r="B3" s="460"/>
      <c r="C3" s="460"/>
      <c r="D3" s="459"/>
      <c r="E3" s="459"/>
      <c r="F3" s="459"/>
      <c r="G3" s="459"/>
      <c r="H3" s="459"/>
      <c r="I3" s="461"/>
      <c r="J3" s="462"/>
      <c r="K3" s="463"/>
      <c r="L3" s="459"/>
      <c r="M3" s="459"/>
      <c r="N3" s="463"/>
      <c r="O3" s="463"/>
      <c r="P3" s="464"/>
      <c r="Q3" s="464"/>
      <c r="R3" s="465"/>
      <c r="S3" s="466"/>
      <c r="U3" s="466"/>
      <c r="V3" s="466"/>
      <c r="W3" s="466"/>
      <c r="X3" s="466"/>
      <c r="Y3" s="466"/>
      <c r="Z3" s="466"/>
      <c r="AA3" s="467"/>
      <c r="AB3" s="467"/>
      <c r="AC3" s="1621" t="s">
        <v>2558</v>
      </c>
      <c r="AD3" s="1622"/>
      <c r="AE3" s="1622"/>
      <c r="AF3" s="1623"/>
      <c r="AG3" s="468"/>
      <c r="AH3" s="468"/>
      <c r="AI3" s="468"/>
      <c r="AJ3" s="467"/>
      <c r="AK3" s="467"/>
      <c r="AL3" s="467"/>
      <c r="AM3" s="467"/>
      <c r="AN3" s="467"/>
      <c r="AO3" s="468"/>
      <c r="AP3" s="1614" t="s">
        <v>2559</v>
      </c>
      <c r="AQ3" s="1615"/>
      <c r="AR3" s="1615"/>
      <c r="AS3" s="1615"/>
      <c r="AT3" s="1615"/>
      <c r="AU3" s="1615"/>
      <c r="AV3" s="1615"/>
      <c r="AW3" s="1616"/>
      <c r="AX3" s="1614" t="s">
        <v>2560</v>
      </c>
      <c r="AY3" s="1615"/>
      <c r="AZ3" s="1615"/>
      <c r="BA3" s="1615"/>
      <c r="BB3" s="1615"/>
      <c r="BC3" s="1615"/>
      <c r="BD3" s="1615"/>
      <c r="BE3" s="1616"/>
      <c r="BF3" s="1614" t="s">
        <v>2561</v>
      </c>
      <c r="BG3" s="1615"/>
      <c r="BH3" s="1615"/>
      <c r="BI3" s="1615"/>
      <c r="BJ3" s="1615"/>
      <c r="BK3" s="1615"/>
      <c r="BL3" s="1615"/>
      <c r="BM3" s="1616"/>
      <c r="BN3" s="1614" t="s">
        <v>2562</v>
      </c>
      <c r="BO3" s="1615"/>
      <c r="BP3" s="1615"/>
      <c r="BQ3" s="1615"/>
      <c r="BR3" s="1615"/>
      <c r="BS3" s="1615"/>
      <c r="BT3" s="1615"/>
      <c r="BU3" s="1616"/>
      <c r="BV3" s="1587" t="s">
        <v>2563</v>
      </c>
      <c r="BW3" s="1588"/>
      <c r="BX3" s="1588"/>
      <c r="BY3" s="1588"/>
      <c r="BZ3" s="1588"/>
      <c r="CA3" s="1588"/>
      <c r="CB3" s="1589"/>
    </row>
    <row r="4" spans="1:80" ht="110.25" customHeight="1" thickBot="1" x14ac:dyDescent="0.35">
      <c r="A4" s="284" t="s">
        <v>8</v>
      </c>
      <c r="B4" s="284" t="s">
        <v>9</v>
      </c>
      <c r="C4" s="284" t="s">
        <v>10</v>
      </c>
      <c r="D4" s="284" t="s">
        <v>11</v>
      </c>
      <c r="E4" s="284" t="s">
        <v>12</v>
      </c>
      <c r="F4" s="284" t="s">
        <v>13</v>
      </c>
      <c r="G4" s="284" t="s">
        <v>14</v>
      </c>
      <c r="H4" s="284" t="s">
        <v>15</v>
      </c>
      <c r="I4" s="285" t="s">
        <v>16</v>
      </c>
      <c r="J4" s="285" t="s">
        <v>17</v>
      </c>
      <c r="K4" s="284" t="s">
        <v>18</v>
      </c>
      <c r="L4" s="284" t="s">
        <v>19</v>
      </c>
      <c r="M4" s="284" t="s">
        <v>20</v>
      </c>
      <c r="N4" s="286" t="s">
        <v>21</v>
      </c>
      <c r="O4" s="284" t="s">
        <v>22</v>
      </c>
      <c r="P4" s="284" t="s">
        <v>24</v>
      </c>
      <c r="Q4" s="284" t="s">
        <v>12</v>
      </c>
      <c r="R4" s="284" t="s">
        <v>13</v>
      </c>
      <c r="S4" s="287" t="s">
        <v>14</v>
      </c>
      <c r="T4" s="679" t="s">
        <v>2564</v>
      </c>
      <c r="U4" s="657" t="s">
        <v>2565</v>
      </c>
      <c r="V4" s="657" t="s">
        <v>2566</v>
      </c>
      <c r="W4" s="657" t="s">
        <v>2567</v>
      </c>
      <c r="X4" s="657"/>
      <c r="Y4" s="657" t="s">
        <v>2568</v>
      </c>
      <c r="Z4" s="657"/>
      <c r="AA4" s="658" t="s">
        <v>2569</v>
      </c>
      <c r="AB4" s="658"/>
      <c r="AC4" s="666" t="s">
        <v>2570</v>
      </c>
      <c r="AD4" s="666" t="s">
        <v>2571</v>
      </c>
      <c r="AE4" s="666" t="s">
        <v>2572</v>
      </c>
      <c r="AF4" s="666" t="s">
        <v>2573</v>
      </c>
      <c r="AG4" s="288" t="s">
        <v>2574</v>
      </c>
      <c r="AH4" s="288"/>
      <c r="AI4" s="289" t="s">
        <v>2575</v>
      </c>
      <c r="AJ4" s="288" t="s">
        <v>2576</v>
      </c>
      <c r="AK4" s="288" t="s">
        <v>2577</v>
      </c>
      <c r="AL4" s="288" t="s">
        <v>2578</v>
      </c>
      <c r="AM4" s="288" t="s">
        <v>2579</v>
      </c>
      <c r="AN4" s="288" t="s">
        <v>2580</v>
      </c>
      <c r="AO4" s="503" t="s">
        <v>2581</v>
      </c>
      <c r="AP4" s="535" t="s">
        <v>2582</v>
      </c>
      <c r="AQ4" s="536" t="s">
        <v>27</v>
      </c>
      <c r="AR4" s="535" t="s">
        <v>2583</v>
      </c>
      <c r="AS4" s="536" t="s">
        <v>2584</v>
      </c>
      <c r="AT4" s="535" t="s">
        <v>2585</v>
      </c>
      <c r="AU4" s="537" t="s">
        <v>2586</v>
      </c>
      <c r="AV4" s="535" t="s">
        <v>31</v>
      </c>
      <c r="AW4" s="538" t="s">
        <v>32</v>
      </c>
      <c r="AX4" s="535" t="s">
        <v>2582</v>
      </c>
      <c r="AY4" s="536" t="s">
        <v>27</v>
      </c>
      <c r="AZ4" s="535" t="s">
        <v>2583</v>
      </c>
      <c r="BA4" s="536" t="s">
        <v>2584</v>
      </c>
      <c r="BB4" s="535" t="s">
        <v>2585</v>
      </c>
      <c r="BC4" s="537" t="s">
        <v>2586</v>
      </c>
      <c r="BD4" s="535" t="s">
        <v>31</v>
      </c>
      <c r="BE4" s="538" t="s">
        <v>32</v>
      </c>
      <c r="BF4" s="535" t="s">
        <v>2582</v>
      </c>
      <c r="BG4" s="536" t="s">
        <v>27</v>
      </c>
      <c r="BH4" s="535" t="s">
        <v>2583</v>
      </c>
      <c r="BI4" s="536" t="s">
        <v>2584</v>
      </c>
      <c r="BJ4" s="535" t="s">
        <v>2585</v>
      </c>
      <c r="BK4" s="537" t="s">
        <v>2586</v>
      </c>
      <c r="BL4" s="535" t="s">
        <v>31</v>
      </c>
      <c r="BM4" s="538" t="s">
        <v>32</v>
      </c>
      <c r="BN4" s="535" t="s">
        <v>2582</v>
      </c>
      <c r="BO4" s="536" t="s">
        <v>27</v>
      </c>
      <c r="BP4" s="535" t="s">
        <v>2583</v>
      </c>
      <c r="BQ4" s="536" t="s">
        <v>2584</v>
      </c>
      <c r="BR4" s="535" t="s">
        <v>2585</v>
      </c>
      <c r="BS4" s="537" t="s">
        <v>2586</v>
      </c>
      <c r="BT4" s="535" t="s">
        <v>31</v>
      </c>
      <c r="BU4" s="538" t="s">
        <v>32</v>
      </c>
      <c r="BV4" s="569" t="s">
        <v>2587</v>
      </c>
      <c r="BW4" s="570" t="s">
        <v>2588</v>
      </c>
      <c r="BX4" s="571" t="s">
        <v>2589</v>
      </c>
      <c r="BY4" s="570" t="s">
        <v>2590</v>
      </c>
      <c r="BZ4" s="571" t="s">
        <v>2591</v>
      </c>
      <c r="CA4" s="570" t="s">
        <v>2592</v>
      </c>
      <c r="CB4" s="571" t="s">
        <v>2593</v>
      </c>
    </row>
    <row r="5" spans="1:80" ht="32.25" hidden="1" customHeight="1" x14ac:dyDescent="0.25">
      <c r="A5" s="1619" t="s">
        <v>33</v>
      </c>
      <c r="B5" s="1619"/>
      <c r="C5" s="1619"/>
      <c r="D5" s="1619"/>
      <c r="E5" s="1619"/>
      <c r="F5" s="1619"/>
      <c r="G5" s="1619"/>
      <c r="H5" s="1619"/>
      <c r="I5" s="1619"/>
      <c r="J5" s="1619"/>
      <c r="K5" s="1619"/>
      <c r="L5" s="1619"/>
      <c r="M5" s="1619"/>
      <c r="N5" s="1619"/>
      <c r="O5" s="1619"/>
      <c r="P5" s="1619"/>
      <c r="Q5" s="1619"/>
      <c r="R5" s="1619"/>
      <c r="S5" s="1619"/>
      <c r="T5" s="1619"/>
      <c r="U5" s="1619"/>
      <c r="V5" s="1619"/>
      <c r="W5" s="1619"/>
      <c r="X5" s="1619"/>
      <c r="Y5" s="1619"/>
      <c r="Z5" s="1619"/>
      <c r="AA5" s="1619"/>
      <c r="AB5" s="1619"/>
      <c r="AC5" s="1619"/>
      <c r="AD5" s="1619"/>
      <c r="AE5" s="1619"/>
      <c r="AF5" s="1619"/>
      <c r="AG5" s="1619"/>
      <c r="AH5" s="1619"/>
      <c r="AI5" s="1619"/>
      <c r="AJ5" s="1619"/>
      <c r="AK5" s="1619"/>
      <c r="AL5" s="1619"/>
      <c r="AM5" s="1620"/>
      <c r="AN5" s="292"/>
      <c r="AO5" s="504"/>
      <c r="AP5" s="553"/>
      <c r="AQ5" s="554"/>
      <c r="AR5" s="554"/>
      <c r="AS5" s="554"/>
      <c r="AT5" s="554"/>
      <c r="AU5" s="554"/>
      <c r="AV5" s="554"/>
      <c r="AW5" s="555">
        <f>SUM(AP5:AV5)</f>
        <v>0</v>
      </c>
      <c r="AX5" s="553"/>
      <c r="AY5" s="554"/>
      <c r="AZ5" s="554"/>
      <c r="BA5" s="554"/>
      <c r="BB5" s="554"/>
      <c r="BC5" s="554"/>
      <c r="BD5" s="554"/>
      <c r="BE5" s="555">
        <f>SUM(AX5:BD5)</f>
        <v>0</v>
      </c>
      <c r="BF5" s="553"/>
      <c r="BG5" s="554"/>
      <c r="BH5" s="554"/>
      <c r="BI5" s="554"/>
      <c r="BJ5" s="554"/>
      <c r="BK5" s="554"/>
      <c r="BL5" s="554"/>
      <c r="BM5" s="555">
        <f>SUM(BF5:BL5)</f>
        <v>0</v>
      </c>
      <c r="BN5" s="553"/>
      <c r="BO5" s="554"/>
      <c r="BP5" s="554"/>
      <c r="BQ5" s="554"/>
      <c r="BR5" s="554"/>
      <c r="BS5" s="554"/>
      <c r="BT5" s="554"/>
      <c r="BU5" s="555">
        <f>SUM(BN5:BT5)</f>
        <v>0</v>
      </c>
      <c r="BV5" s="552"/>
      <c r="BW5" s="552"/>
      <c r="BX5" s="556"/>
      <c r="BY5" s="556"/>
      <c r="BZ5" s="556"/>
      <c r="CA5" s="557"/>
      <c r="CB5" s="557"/>
    </row>
    <row r="6" spans="1:80" ht="1.5" hidden="1" customHeight="1" thickBot="1" x14ac:dyDescent="0.3">
      <c r="A6" s="323"/>
      <c r="B6" s="324" t="s">
        <v>35</v>
      </c>
      <c r="C6" s="324"/>
      <c r="D6" s="325" t="s">
        <v>36</v>
      </c>
      <c r="E6" s="325"/>
      <c r="F6" s="325"/>
      <c r="G6" s="325"/>
      <c r="H6" s="325"/>
      <c r="I6" s="325"/>
      <c r="J6" s="325"/>
      <c r="K6" s="325"/>
      <c r="L6" s="325"/>
      <c r="M6" s="325"/>
      <c r="N6" s="326"/>
      <c r="O6" s="325"/>
      <c r="P6" s="327"/>
      <c r="Q6" s="327"/>
      <c r="R6" s="325"/>
      <c r="S6" s="328"/>
      <c r="T6" s="680"/>
      <c r="U6" s="328"/>
      <c r="V6" s="328"/>
      <c r="W6" s="328"/>
      <c r="X6" s="328"/>
      <c r="Y6" s="328"/>
      <c r="Z6" s="328"/>
      <c r="AA6" s="329"/>
      <c r="AB6" s="329"/>
      <c r="AC6" s="329"/>
      <c r="AD6" s="329"/>
      <c r="AE6" s="329"/>
      <c r="AF6" s="329"/>
      <c r="AG6" s="330"/>
      <c r="AH6" s="330"/>
      <c r="AI6" s="330"/>
      <c r="AJ6" s="329"/>
      <c r="AK6" s="329"/>
      <c r="AL6" s="329"/>
      <c r="AM6" s="329"/>
      <c r="AN6" s="329"/>
      <c r="AO6" s="659"/>
      <c r="AP6" s="327"/>
      <c r="AQ6" s="327"/>
      <c r="AR6" s="327"/>
      <c r="AS6" s="327"/>
      <c r="AT6" s="327"/>
      <c r="AU6" s="327"/>
      <c r="AV6" s="327"/>
      <c r="AW6" s="327">
        <f t="shared" ref="AW6:AW51" si="0">SUM(AP6:AV6)</f>
        <v>0</v>
      </c>
      <c r="AX6" s="327"/>
      <c r="AY6" s="327"/>
      <c r="AZ6" s="327"/>
      <c r="BA6" s="327"/>
      <c r="BB6" s="327"/>
      <c r="BC6" s="327"/>
      <c r="BD6" s="327"/>
      <c r="BE6" s="327">
        <f t="shared" ref="BE6:BE23" si="1">SUM(AX6:BD6)</f>
        <v>0</v>
      </c>
      <c r="BF6" s="327"/>
      <c r="BG6" s="327"/>
      <c r="BH6" s="327"/>
      <c r="BI6" s="327"/>
      <c r="BJ6" s="327"/>
      <c r="BK6" s="327"/>
      <c r="BL6" s="327"/>
      <c r="BM6" s="327">
        <f t="shared" ref="BM6:BM23" si="2">SUM(BF6:BL6)</f>
        <v>0</v>
      </c>
      <c r="BN6" s="327"/>
      <c r="BO6" s="327"/>
      <c r="BP6" s="327"/>
      <c r="BQ6" s="327"/>
      <c r="BR6" s="327"/>
      <c r="BS6" s="327"/>
      <c r="BT6" s="327"/>
      <c r="BU6" s="327">
        <f t="shared" ref="BU6:BU23" si="3">SUM(BN6:BT6)</f>
        <v>0</v>
      </c>
      <c r="BV6" s="656"/>
      <c r="BW6" s="327"/>
      <c r="BX6" s="327"/>
      <c r="BY6" s="327"/>
      <c r="BZ6" s="327"/>
      <c r="CA6" s="327"/>
      <c r="CB6" s="327"/>
    </row>
    <row r="7" spans="1:80" ht="41.25" hidden="1" customHeight="1" thickBot="1" x14ac:dyDescent="0.3">
      <c r="A7" s="1608" t="s">
        <v>35</v>
      </c>
      <c r="B7" s="1609"/>
      <c r="C7" s="1609"/>
      <c r="D7" s="1609"/>
      <c r="E7" s="1609"/>
      <c r="F7" s="1609"/>
      <c r="G7" s="1609"/>
      <c r="H7" s="1609"/>
      <c r="I7" s="1609"/>
      <c r="J7" s="1609"/>
      <c r="K7" s="1609"/>
      <c r="L7" s="1609"/>
      <c r="M7" s="1609"/>
      <c r="N7" s="1609"/>
      <c r="O7" s="1609"/>
      <c r="P7" s="1609"/>
      <c r="Q7" s="1609"/>
      <c r="R7" s="1609"/>
      <c r="S7" s="1609"/>
      <c r="T7" s="1609"/>
      <c r="U7" s="1609"/>
      <c r="V7" s="1609"/>
      <c r="W7" s="1609"/>
      <c r="X7" s="1609"/>
      <c r="Y7" s="1609"/>
      <c r="Z7" s="1609"/>
      <c r="AA7" s="1609"/>
      <c r="AB7" s="1609"/>
      <c r="AC7" s="1609"/>
      <c r="AD7" s="1609"/>
      <c r="AE7" s="1609"/>
      <c r="AF7" s="1609"/>
      <c r="AG7" s="1609"/>
      <c r="AH7" s="1609"/>
      <c r="AI7" s="1609"/>
      <c r="AJ7" s="1609"/>
      <c r="AK7" s="1609"/>
      <c r="AL7" s="1609"/>
      <c r="AM7" s="1609"/>
      <c r="AN7" s="1609"/>
      <c r="AO7" s="1610"/>
      <c r="AP7" s="541"/>
      <c r="AQ7" s="542"/>
      <c r="AR7" s="542"/>
      <c r="AS7" s="542"/>
      <c r="AT7" s="542"/>
      <c r="AU7" s="542"/>
      <c r="AV7" s="542"/>
      <c r="AW7" s="543">
        <f t="shared" si="0"/>
        <v>0</v>
      </c>
      <c r="AX7" s="541"/>
      <c r="AY7" s="542"/>
      <c r="AZ7" s="542"/>
      <c r="BA7" s="542"/>
      <c r="BB7" s="542"/>
      <c r="BC7" s="542"/>
      <c r="BD7" s="542"/>
      <c r="BE7" s="543">
        <f t="shared" si="1"/>
        <v>0</v>
      </c>
      <c r="BF7" s="541"/>
      <c r="BG7" s="542"/>
      <c r="BH7" s="542"/>
      <c r="BI7" s="542"/>
      <c r="BJ7" s="542"/>
      <c r="BK7" s="542"/>
      <c r="BL7" s="542"/>
      <c r="BM7" s="543">
        <f t="shared" si="2"/>
        <v>0</v>
      </c>
      <c r="BN7" s="541"/>
      <c r="BO7" s="542"/>
      <c r="BP7" s="542"/>
      <c r="BQ7" s="542"/>
      <c r="BR7" s="542"/>
      <c r="BS7" s="542"/>
      <c r="BT7" s="542"/>
      <c r="BU7" s="543">
        <f t="shared" si="3"/>
        <v>0</v>
      </c>
      <c r="BV7" s="654"/>
      <c r="BW7" s="558"/>
      <c r="BX7" s="560"/>
      <c r="BY7" s="560"/>
      <c r="BZ7" s="560"/>
      <c r="CA7" s="559"/>
      <c r="CB7" s="559"/>
    </row>
    <row r="8" spans="1:80" ht="18" hidden="1" customHeight="1" x14ac:dyDescent="0.25">
      <c r="A8" s="296"/>
      <c r="B8" s="316" t="s">
        <v>35</v>
      </c>
      <c r="C8" s="1605" t="s">
        <v>37</v>
      </c>
      <c r="D8" s="1606"/>
      <c r="E8" s="1606"/>
      <c r="F8" s="1606"/>
      <c r="G8" s="1606"/>
      <c r="H8" s="1606"/>
      <c r="I8" s="1606"/>
      <c r="J8" s="1606"/>
      <c r="K8" s="1606"/>
      <c r="L8" s="1606"/>
      <c r="M8" s="1606"/>
      <c r="N8" s="1606"/>
      <c r="O8" s="1607"/>
      <c r="P8" s="318"/>
      <c r="Q8" s="318"/>
      <c r="R8" s="317"/>
      <c r="S8" s="319"/>
      <c r="T8" s="676"/>
      <c r="U8" s="319"/>
      <c r="V8" s="686">
        <f>SUM(V9:V23)</f>
        <v>1012.1</v>
      </c>
      <c r="W8" s="319"/>
      <c r="X8" s="695">
        <f>SUM(X9:X23)</f>
        <v>824420000</v>
      </c>
      <c r="Y8" s="319"/>
      <c r="Z8" s="695">
        <f>SUM(Z9:Z23)</f>
        <v>1050000000</v>
      </c>
      <c r="AA8" s="320"/>
      <c r="AB8" s="708">
        <f>SUM(AB9:AB23)</f>
        <v>1280000000</v>
      </c>
      <c r="AC8" s="320"/>
      <c r="AD8" s="320"/>
      <c r="AE8" s="320"/>
      <c r="AF8" s="320"/>
      <c r="AG8" s="321"/>
      <c r="AH8" s="321"/>
      <c r="AI8" s="321"/>
      <c r="AJ8" s="320"/>
      <c r="AK8" s="320"/>
      <c r="AL8" s="320"/>
      <c r="AM8" s="320"/>
      <c r="AN8" s="320"/>
      <c r="AO8" s="518"/>
      <c r="AP8" s="549" t="e">
        <f t="shared" ref="AP8:AV8" si="4">(AP9:AP23)</f>
        <v>#VALUE!</v>
      </c>
      <c r="AQ8" s="550" t="e">
        <f t="shared" si="4"/>
        <v>#VALUE!</v>
      </c>
      <c r="AR8" s="550" t="e">
        <f t="shared" si="4"/>
        <v>#VALUE!</v>
      </c>
      <c r="AS8" s="550" t="e">
        <f t="shared" si="4"/>
        <v>#VALUE!</v>
      </c>
      <c r="AT8" s="550" t="e">
        <f t="shared" si="4"/>
        <v>#VALUE!</v>
      </c>
      <c r="AU8" s="550" t="e">
        <f t="shared" si="4"/>
        <v>#VALUE!</v>
      </c>
      <c r="AV8" s="550" t="e">
        <f t="shared" si="4"/>
        <v>#VALUE!</v>
      </c>
      <c r="AW8" s="551" t="e">
        <f t="shared" si="0"/>
        <v>#VALUE!</v>
      </c>
      <c r="AX8" s="549" t="e">
        <f t="shared" ref="AX8:BD8" si="5">(AX9:AX23)</f>
        <v>#VALUE!</v>
      </c>
      <c r="AY8" s="550" t="e">
        <f t="shared" si="5"/>
        <v>#VALUE!</v>
      </c>
      <c r="AZ8" s="550" t="e">
        <f t="shared" si="5"/>
        <v>#VALUE!</v>
      </c>
      <c r="BA8" s="550" t="e">
        <f t="shared" si="5"/>
        <v>#VALUE!</v>
      </c>
      <c r="BB8" s="550" t="e">
        <f t="shared" si="5"/>
        <v>#VALUE!</v>
      </c>
      <c r="BC8" s="550" t="e">
        <f t="shared" si="5"/>
        <v>#VALUE!</v>
      </c>
      <c r="BD8" s="550" t="e">
        <f t="shared" si="5"/>
        <v>#VALUE!</v>
      </c>
      <c r="BE8" s="551" t="e">
        <f t="shared" si="1"/>
        <v>#VALUE!</v>
      </c>
      <c r="BF8" s="549" t="e">
        <f t="shared" ref="BF8:BL8" si="6">(BF9:BF23)</f>
        <v>#VALUE!</v>
      </c>
      <c r="BG8" s="550" t="e">
        <f t="shared" si="6"/>
        <v>#VALUE!</v>
      </c>
      <c r="BH8" s="550" t="e">
        <f t="shared" si="6"/>
        <v>#VALUE!</v>
      </c>
      <c r="BI8" s="550" t="e">
        <f t="shared" si="6"/>
        <v>#VALUE!</v>
      </c>
      <c r="BJ8" s="550" t="e">
        <f t="shared" si="6"/>
        <v>#VALUE!</v>
      </c>
      <c r="BK8" s="550" t="e">
        <f t="shared" si="6"/>
        <v>#VALUE!</v>
      </c>
      <c r="BL8" s="550" t="e">
        <f t="shared" si="6"/>
        <v>#VALUE!</v>
      </c>
      <c r="BM8" s="551" t="e">
        <f t="shared" si="2"/>
        <v>#VALUE!</v>
      </c>
      <c r="BN8" s="549" t="e">
        <f t="shared" ref="BN8:BT8" si="7">(BN9:BN23)</f>
        <v>#VALUE!</v>
      </c>
      <c r="BO8" s="550" t="e">
        <f t="shared" si="7"/>
        <v>#VALUE!</v>
      </c>
      <c r="BP8" s="550" t="e">
        <f t="shared" si="7"/>
        <v>#VALUE!</v>
      </c>
      <c r="BQ8" s="550" t="e">
        <f t="shared" si="7"/>
        <v>#VALUE!</v>
      </c>
      <c r="BR8" s="550" t="e">
        <f t="shared" si="7"/>
        <v>#VALUE!</v>
      </c>
      <c r="BS8" s="550" t="e">
        <f t="shared" si="7"/>
        <v>#VALUE!</v>
      </c>
      <c r="BT8" s="550" t="e">
        <f t="shared" si="7"/>
        <v>#VALUE!</v>
      </c>
      <c r="BU8" s="551" t="e">
        <f t="shared" si="3"/>
        <v>#VALUE!</v>
      </c>
      <c r="BV8" s="655"/>
      <c r="BW8" s="562"/>
      <c r="BX8" s="563"/>
      <c r="BY8" s="563"/>
      <c r="BZ8" s="563"/>
      <c r="CA8" s="563"/>
      <c r="CB8" s="563"/>
    </row>
    <row r="9" spans="1:80" ht="49.5" hidden="1" customHeight="1" x14ac:dyDescent="0.25">
      <c r="A9" s="298" t="s">
        <v>38</v>
      </c>
      <c r="B9" s="299" t="str">
        <f>'PLAN INDICATIVO'!B8</f>
        <v>Educación</v>
      </c>
      <c r="C9" s="1546" t="s">
        <v>40</v>
      </c>
      <c r="D9" s="1549" t="s">
        <v>41</v>
      </c>
      <c r="E9" s="1549" t="s">
        <v>42</v>
      </c>
      <c r="F9" s="1549">
        <v>2014</v>
      </c>
      <c r="G9" s="1549">
        <v>37.909999999999997</v>
      </c>
      <c r="H9" s="1549">
        <v>39.5</v>
      </c>
      <c r="I9" s="300">
        <f>'PLAN INDICATIVO'!I8</f>
        <v>0</v>
      </c>
      <c r="J9" s="300">
        <f>'PLAN INDICATIVO'!J8</f>
        <v>0</v>
      </c>
      <c r="K9" s="1425" t="str">
        <f>'PLAN INDICATIVO'!K8</f>
        <v>A.1.1.1</v>
      </c>
      <c r="L9" s="301" t="str">
        <f>'PLAN INDICATIVO'!L8</f>
        <v>4. Educación de calidad</v>
      </c>
      <c r="M9" s="301" t="str">
        <f>'PLAN INDICATIVO'!M8</f>
        <v>Secretaría de Educación, Cultura, deporte y Turismo</v>
      </c>
      <c r="N9" s="1425" t="str">
        <f>'PLAN INDICATIVO'!N8</f>
        <v>YIMI FERNANDO LOSADA PAYA</v>
      </c>
      <c r="O9" s="1425" t="str">
        <f>'PLAN INDICATIVO'!O8</f>
        <v>Incremento</v>
      </c>
      <c r="P9" s="16" t="str">
        <f>'PLAN INDICATIVO'!P8</f>
        <v>Suministrar 1500 Kit Escolares  a estudiantes de bajos recursos económicos del Municipio en el cuatrienio.</v>
      </c>
      <c r="Q9" s="302" t="str">
        <f>'PLAN INDICATIVO'!Q8</f>
        <v>No. de kit escolares suministrados en el cuatrienio</v>
      </c>
      <c r="R9" s="303">
        <f>'PLAN INDICATIVO'!R8</f>
        <v>2015</v>
      </c>
      <c r="S9" s="304">
        <v>0</v>
      </c>
      <c r="T9" s="677">
        <v>1500</v>
      </c>
      <c r="U9" s="303"/>
      <c r="V9" s="687">
        <v>16</v>
      </c>
      <c r="W9" s="572">
        <v>500</v>
      </c>
      <c r="X9" s="687">
        <v>19670000</v>
      </c>
      <c r="Y9" s="66">
        <v>297</v>
      </c>
      <c r="Z9" s="687">
        <v>15000000</v>
      </c>
      <c r="AA9" s="66">
        <v>0</v>
      </c>
      <c r="AB9" s="687">
        <v>7000000</v>
      </c>
      <c r="AC9" s="665">
        <v>0</v>
      </c>
      <c r="AD9" s="665">
        <v>1203</v>
      </c>
      <c r="AE9" s="665"/>
      <c r="AF9" s="665"/>
      <c r="AG9" s="664"/>
      <c r="AH9" s="664"/>
      <c r="AI9" s="307" t="s">
        <v>3433</v>
      </c>
      <c r="AJ9" s="308" t="s">
        <v>3434</v>
      </c>
      <c r="AK9" s="308" t="s">
        <v>3435</v>
      </c>
      <c r="AL9" s="308"/>
      <c r="AM9" s="308"/>
      <c r="AN9" s="267" t="s">
        <v>2598</v>
      </c>
      <c r="AO9" s="507" t="s">
        <v>2627</v>
      </c>
      <c r="AP9" s="525"/>
      <c r="AQ9" s="310"/>
      <c r="AR9" s="310"/>
      <c r="AS9" s="310"/>
      <c r="AT9" s="310"/>
      <c r="AU9" s="310"/>
      <c r="AV9" s="310"/>
      <c r="AW9" s="544">
        <f t="shared" si="0"/>
        <v>0</v>
      </c>
      <c r="AX9" s="525"/>
      <c r="AY9" s="310"/>
      <c r="AZ9" s="310"/>
      <c r="BA9" s="310"/>
      <c r="BB9" s="310"/>
      <c r="BC9" s="310"/>
      <c r="BD9" s="310"/>
      <c r="BE9" s="544">
        <f t="shared" si="1"/>
        <v>0</v>
      </c>
      <c r="BF9" s="525"/>
      <c r="BG9" s="310"/>
      <c r="BH9" s="310"/>
      <c r="BI9" s="310"/>
      <c r="BJ9" s="310"/>
      <c r="BK9" s="310"/>
      <c r="BL9" s="310"/>
      <c r="BM9" s="544">
        <f t="shared" si="2"/>
        <v>0</v>
      </c>
      <c r="BN9" s="525"/>
      <c r="BO9" s="310"/>
      <c r="BP9" s="310"/>
      <c r="BQ9" s="310"/>
      <c r="BR9" s="310"/>
      <c r="BS9" s="310"/>
      <c r="BT9" s="310"/>
      <c r="BU9" s="544">
        <f t="shared" si="3"/>
        <v>0</v>
      </c>
      <c r="BV9" s="1582" t="s">
        <v>2563</v>
      </c>
      <c r="BW9" s="663">
        <f>AC9+AD9+AE9+AF9</f>
        <v>1203</v>
      </c>
      <c r="BX9" s="674">
        <f>BW9/T9</f>
        <v>0.80200000000000005</v>
      </c>
      <c r="BY9" s="674" t="e">
        <f>AC9/U9</f>
        <v>#DIV/0!</v>
      </c>
      <c r="BZ9" s="674">
        <f>AD9/W9</f>
        <v>2.4060000000000001</v>
      </c>
      <c r="CA9" s="675">
        <f>AE9/Y9</f>
        <v>0</v>
      </c>
      <c r="CB9" s="675" t="e">
        <f>AF9/AA9</f>
        <v>#DIV/0!</v>
      </c>
    </row>
    <row r="10" spans="1:80" ht="75" hidden="1" customHeight="1" x14ac:dyDescent="0.25">
      <c r="A10" s="298" t="s">
        <v>38</v>
      </c>
      <c r="B10" s="299" t="str">
        <f>'PLAN INDICATIVO'!B9</f>
        <v>Educación</v>
      </c>
      <c r="C10" s="1547"/>
      <c r="D10" s="1550"/>
      <c r="E10" s="1550"/>
      <c r="F10" s="1549"/>
      <c r="G10" s="1549"/>
      <c r="H10" s="1549"/>
      <c r="I10" s="300">
        <f>'PLAN INDICATIVO'!I9</f>
        <v>0</v>
      </c>
      <c r="J10" s="300">
        <f>'PLAN INDICATIVO'!J9</f>
        <v>0</v>
      </c>
      <c r="K10" s="1425" t="str">
        <f>'PLAN INDICATIVO'!K9</f>
        <v>A.1.1.2</v>
      </c>
      <c r="L10" s="301" t="str">
        <f>'PLAN INDICATIVO'!L9</f>
        <v>4. Educación de calidad</v>
      </c>
      <c r="M10" s="301" t="str">
        <f>'PLAN INDICATIVO'!M9</f>
        <v>Secretaría de Educación, Cultura, deporte y Turismo</v>
      </c>
      <c r="N10" s="1425" t="str">
        <f>'PLAN INDICATIVO'!N9</f>
        <v>YIMI FERNANDO LOSADA PAYA</v>
      </c>
      <c r="O10" s="1425" t="str">
        <f>'PLAN INDICATIVO'!O9</f>
        <v>Incremento</v>
      </c>
      <c r="P10" s="16" t="str">
        <f>'PLAN INDICATIVO'!P9</f>
        <v>Realizar 4 apoyos para el pago de servicios públicos a las instituciones educativas durante el cuatrienio</v>
      </c>
      <c r="Q10" s="302" t="str">
        <f>'PLAN INDICATIVO'!Q9</f>
        <v>No. de apoyos realizado en el cuatrienio</v>
      </c>
      <c r="R10" s="303">
        <f>'PLAN INDICATIVO'!R9</f>
        <v>2015</v>
      </c>
      <c r="S10" s="304" t="s">
        <v>2595</v>
      </c>
      <c r="T10" s="677">
        <v>4</v>
      </c>
      <c r="U10" s="303">
        <v>1</v>
      </c>
      <c r="V10" s="687">
        <v>269</v>
      </c>
      <c r="W10" s="572">
        <v>1</v>
      </c>
      <c r="X10" s="687">
        <v>260000000</v>
      </c>
      <c r="Y10" s="572">
        <v>1</v>
      </c>
      <c r="Z10" s="687">
        <v>260000000</v>
      </c>
      <c r="AA10" s="572">
        <v>1</v>
      </c>
      <c r="AB10" s="687">
        <v>280000000</v>
      </c>
      <c r="AC10" s="665">
        <v>1</v>
      </c>
      <c r="AD10" s="665">
        <v>1</v>
      </c>
      <c r="AE10" s="665"/>
      <c r="AF10" s="665"/>
      <c r="AG10" s="664"/>
      <c r="AH10" s="664"/>
      <c r="AI10" s="307" t="s">
        <v>3436</v>
      </c>
      <c r="AJ10" s="309">
        <v>42767</v>
      </c>
      <c r="AK10" s="309" t="s">
        <v>3437</v>
      </c>
      <c r="AL10" s="308"/>
      <c r="AM10" s="308"/>
      <c r="AN10" s="267" t="s">
        <v>2598</v>
      </c>
      <c r="AO10" s="508" t="s">
        <v>3438</v>
      </c>
      <c r="AP10" s="525"/>
      <c r="AQ10" s="725">
        <f>272144640/2</f>
        <v>136072320</v>
      </c>
      <c r="AR10" s="310"/>
      <c r="AS10" s="310"/>
      <c r="AT10" s="310"/>
      <c r="AU10" s="310"/>
      <c r="AV10" s="310"/>
      <c r="AW10" s="544">
        <f t="shared" si="0"/>
        <v>136072320</v>
      </c>
      <c r="AX10" s="525"/>
      <c r="AY10" s="310"/>
      <c r="AZ10" s="310"/>
      <c r="BA10" s="310"/>
      <c r="BB10" s="310"/>
      <c r="BC10" s="310"/>
      <c r="BD10" s="310"/>
      <c r="BE10" s="544">
        <f t="shared" si="1"/>
        <v>0</v>
      </c>
      <c r="BF10" s="525"/>
      <c r="BG10" s="310"/>
      <c r="BH10" s="310"/>
      <c r="BI10" s="310"/>
      <c r="BJ10" s="310"/>
      <c r="BK10" s="310"/>
      <c r="BL10" s="310"/>
      <c r="BM10" s="544">
        <f t="shared" si="2"/>
        <v>0</v>
      </c>
      <c r="BN10" s="525"/>
      <c r="BO10" s="310"/>
      <c r="BP10" s="310"/>
      <c r="BQ10" s="310"/>
      <c r="BR10" s="310"/>
      <c r="BS10" s="310"/>
      <c r="BT10" s="310"/>
      <c r="BU10" s="544">
        <f t="shared" si="3"/>
        <v>0</v>
      </c>
      <c r="BV10" s="1582"/>
      <c r="BW10" s="663">
        <f t="shared" ref="BW10:BW73" si="8">AC10+AD10+AE10+AF10</f>
        <v>2</v>
      </c>
      <c r="BX10" s="674">
        <f t="shared" ref="BX10:BX73" si="9">BW10/T10</f>
        <v>0.5</v>
      </c>
      <c r="BY10" s="561">
        <f t="shared" ref="BY10:BY73" si="10">AC10/U10</f>
        <v>1</v>
      </c>
      <c r="BZ10" s="674">
        <f t="shared" ref="BZ10:BZ73" si="11">AD10/W10</f>
        <v>1</v>
      </c>
      <c r="CA10" s="675">
        <f t="shared" ref="CA10:CA73" si="12">AE10/Y10</f>
        <v>0</v>
      </c>
      <c r="CB10" s="675">
        <f t="shared" ref="CB10:CB73" si="13">AF10/AA10</f>
        <v>0</v>
      </c>
    </row>
    <row r="11" spans="1:80" ht="60.75" hidden="1" customHeight="1" x14ac:dyDescent="0.25">
      <c r="A11" s="298" t="s">
        <v>38</v>
      </c>
      <c r="B11" s="299" t="str">
        <f>'PLAN INDICATIVO'!B10</f>
        <v>Educación</v>
      </c>
      <c r="C11" s="1547"/>
      <c r="D11" s="1549"/>
      <c r="E11" s="1549"/>
      <c r="F11" s="1549"/>
      <c r="G11" s="1549"/>
      <c r="H11" s="1549"/>
      <c r="I11" s="1425" t="str">
        <f>'PLAN INDICATIVO'!I10</f>
        <v>SI</v>
      </c>
      <c r="J11" s="1425">
        <f>'PLAN INDICATIVO'!J10</f>
        <v>0</v>
      </c>
      <c r="K11" s="1425" t="str">
        <f>'PLAN INDICATIVO'!K10</f>
        <v>A.1.1.3</v>
      </c>
      <c r="L11" s="301" t="str">
        <f>'PLAN INDICATIVO'!L10</f>
        <v>4. Educación de calidad</v>
      </c>
      <c r="M11" s="301" t="str">
        <f>'PLAN INDICATIVO'!M10</f>
        <v>Secretaría de Educación, Cultura, deporte y Turismo</v>
      </c>
      <c r="N11" s="1425" t="str">
        <f>'PLAN INDICATIVO'!N10</f>
        <v>YIMI FERNANDO LOSADA PAYA</v>
      </c>
      <c r="O11" s="1425" t="str">
        <f>'PLAN INDICATIVO'!O10</f>
        <v>Incremento</v>
      </c>
      <c r="P11" s="942" t="str">
        <f>'PLAN INDICATIVO'!P10</f>
        <v>Construir  1 Colegios 10 en la zona urbana del Municipio de La Plata.</v>
      </c>
      <c r="Q11" s="302" t="str">
        <f>'PLAN INDICATIVO'!Q10</f>
        <v>No. De mega colegios construidos en el cuatrienio</v>
      </c>
      <c r="R11" s="303">
        <f>'PLAN INDICATIVO'!R10</f>
        <v>2015</v>
      </c>
      <c r="S11" s="304">
        <v>1</v>
      </c>
      <c r="T11" s="677">
        <v>2</v>
      </c>
      <c r="U11" s="303">
        <v>0</v>
      </c>
      <c r="V11" s="687"/>
      <c r="W11" s="572">
        <v>0</v>
      </c>
      <c r="X11" s="687"/>
      <c r="Y11" s="572">
        <v>1</v>
      </c>
      <c r="Z11" s="687">
        <v>120000000</v>
      </c>
      <c r="AA11" s="572">
        <v>1</v>
      </c>
      <c r="AB11" s="687">
        <v>120000000</v>
      </c>
      <c r="AC11" s="665">
        <v>0</v>
      </c>
      <c r="AD11" s="665"/>
      <c r="AE11" s="665"/>
      <c r="AF11" s="665"/>
      <c r="AG11" s="664"/>
      <c r="AH11" s="664"/>
      <c r="AI11" s="307"/>
      <c r="AJ11" s="308"/>
      <c r="AK11" s="308"/>
      <c r="AL11" s="308"/>
      <c r="AM11" s="308"/>
      <c r="AN11" s="267" t="s">
        <v>2594</v>
      </c>
      <c r="AO11" s="507"/>
      <c r="AP11" s="525"/>
      <c r="AQ11" s="310"/>
      <c r="AR11" s="310"/>
      <c r="AS11" s="310"/>
      <c r="AT11" s="310"/>
      <c r="AU11" s="310"/>
      <c r="AV11" s="310"/>
      <c r="AW11" s="544">
        <f t="shared" si="0"/>
        <v>0</v>
      </c>
      <c r="AX11" s="525"/>
      <c r="AY11" s="310"/>
      <c r="AZ11" s="310"/>
      <c r="BA11" s="310"/>
      <c r="BB11" s="310"/>
      <c r="BC11" s="310"/>
      <c r="BD11" s="310"/>
      <c r="BE11" s="544">
        <f t="shared" si="1"/>
        <v>0</v>
      </c>
      <c r="BF11" s="525"/>
      <c r="BG11" s="310"/>
      <c r="BH11" s="310"/>
      <c r="BI11" s="310"/>
      <c r="BJ11" s="310"/>
      <c r="BK11" s="310"/>
      <c r="BL11" s="310"/>
      <c r="BM11" s="544">
        <f t="shared" si="2"/>
        <v>0</v>
      </c>
      <c r="BN11" s="525"/>
      <c r="BO11" s="310"/>
      <c r="BP11" s="310"/>
      <c r="BQ11" s="310"/>
      <c r="BR11" s="310"/>
      <c r="BS11" s="310"/>
      <c r="BT11" s="310"/>
      <c r="BU11" s="544">
        <f t="shared" si="3"/>
        <v>0</v>
      </c>
      <c r="BV11" s="1582"/>
      <c r="BW11" s="663">
        <f t="shared" si="8"/>
        <v>0</v>
      </c>
      <c r="BX11" s="674">
        <f t="shared" si="9"/>
        <v>0</v>
      </c>
      <c r="BY11" s="561" t="e">
        <f t="shared" si="10"/>
        <v>#DIV/0!</v>
      </c>
      <c r="BZ11" s="674" t="e">
        <f t="shared" si="11"/>
        <v>#DIV/0!</v>
      </c>
      <c r="CA11" s="675">
        <f t="shared" si="12"/>
        <v>0</v>
      </c>
      <c r="CB11" s="675">
        <f t="shared" si="13"/>
        <v>0</v>
      </c>
    </row>
    <row r="12" spans="1:80" ht="65.25" hidden="1" customHeight="1" x14ac:dyDescent="0.25">
      <c r="A12" s="298" t="s">
        <v>38</v>
      </c>
      <c r="B12" s="299" t="str">
        <f>'PLAN INDICATIVO'!B11</f>
        <v>Educación</v>
      </c>
      <c r="C12" s="1547"/>
      <c r="D12" s="1551"/>
      <c r="E12" s="1551"/>
      <c r="F12" s="1549"/>
      <c r="G12" s="1549"/>
      <c r="H12" s="1549"/>
      <c r="I12" s="300">
        <f>'PLAN INDICATIVO'!I11</f>
        <v>0</v>
      </c>
      <c r="J12" s="300">
        <f>'PLAN INDICATIVO'!J11</f>
        <v>0</v>
      </c>
      <c r="K12" s="1425" t="str">
        <f>'PLAN INDICATIVO'!K11</f>
        <v>A.1.1.4</v>
      </c>
      <c r="L12" s="301" t="str">
        <f>'PLAN INDICATIVO'!L11</f>
        <v>4. Educación de calidad</v>
      </c>
      <c r="M12" s="301" t="str">
        <f>'PLAN INDICATIVO'!M11</f>
        <v>Secretaría de Educación, Cultura, deporte y Turismo</v>
      </c>
      <c r="N12" s="1425" t="str">
        <f>'PLAN INDICATIVO'!N11</f>
        <v>YIMI FERNANDO LOSADA PAYA</v>
      </c>
      <c r="O12" s="1425" t="str">
        <f>'PLAN INDICATIVO'!O11</f>
        <v>Incremento</v>
      </c>
      <c r="P12" s="25" t="str">
        <f>'PLAN INDICATIVO'!P11</f>
        <v>Realizar 12 Mantenimientos  a instituciones educativa del municipio durante el cuatrienio.</v>
      </c>
      <c r="Q12" s="302" t="str">
        <f>'PLAN INDICATIVO'!Q11</f>
        <v>No.  De mantenimientos realizados en el cuatrienio</v>
      </c>
      <c r="R12" s="303">
        <f>'PLAN INDICATIVO'!R11</f>
        <v>2015</v>
      </c>
      <c r="S12" s="304">
        <v>0</v>
      </c>
      <c r="T12" s="677">
        <v>12</v>
      </c>
      <c r="U12" s="303">
        <v>3</v>
      </c>
      <c r="V12" s="687">
        <v>153</v>
      </c>
      <c r="W12" s="572">
        <v>6</v>
      </c>
      <c r="X12" s="687">
        <v>50000000</v>
      </c>
      <c r="Y12" s="572">
        <v>3</v>
      </c>
      <c r="Z12" s="687">
        <v>50000000</v>
      </c>
      <c r="AA12" s="66">
        <v>0</v>
      </c>
      <c r="AB12" s="687">
        <v>50000000</v>
      </c>
      <c r="AC12" s="665">
        <v>0</v>
      </c>
      <c r="AD12" s="665">
        <v>9</v>
      </c>
      <c r="AE12" s="665"/>
      <c r="AF12" s="665"/>
      <c r="AG12" s="664"/>
      <c r="AH12" s="664"/>
      <c r="AI12" s="307" t="s">
        <v>3439</v>
      </c>
      <c r="AJ12" s="309">
        <v>42795</v>
      </c>
      <c r="AK12" s="309">
        <v>43069</v>
      </c>
      <c r="AL12" s="308"/>
      <c r="AM12" s="308"/>
      <c r="AN12" s="267" t="s">
        <v>2598</v>
      </c>
      <c r="AO12" s="508"/>
      <c r="AP12" s="525"/>
      <c r="AQ12" s="721">
        <v>180000000</v>
      </c>
      <c r="AR12" s="310"/>
      <c r="AS12" s="310"/>
      <c r="AT12" s="310"/>
      <c r="AU12" s="310"/>
      <c r="AV12" s="310"/>
      <c r="AW12" s="544">
        <f t="shared" si="0"/>
        <v>180000000</v>
      </c>
      <c r="AX12" s="525"/>
      <c r="AY12" s="310"/>
      <c r="AZ12" s="310"/>
      <c r="BA12" s="310"/>
      <c r="BB12" s="310"/>
      <c r="BC12" s="310"/>
      <c r="BD12" s="310"/>
      <c r="BE12" s="544">
        <f t="shared" si="1"/>
        <v>0</v>
      </c>
      <c r="BF12" s="525"/>
      <c r="BG12" s="310"/>
      <c r="BH12" s="310"/>
      <c r="BI12" s="310"/>
      <c r="BJ12" s="310"/>
      <c r="BK12" s="310"/>
      <c r="BL12" s="310"/>
      <c r="BM12" s="544">
        <f t="shared" si="2"/>
        <v>0</v>
      </c>
      <c r="BN12" s="525"/>
      <c r="BO12" s="310"/>
      <c r="BP12" s="310"/>
      <c r="BQ12" s="310"/>
      <c r="BR12" s="310"/>
      <c r="BS12" s="310"/>
      <c r="BT12" s="310"/>
      <c r="BU12" s="544">
        <f t="shared" si="3"/>
        <v>0</v>
      </c>
      <c r="BV12" s="1582"/>
      <c r="BW12" s="663">
        <f t="shared" si="8"/>
        <v>9</v>
      </c>
      <c r="BX12" s="674">
        <f t="shared" si="9"/>
        <v>0.75</v>
      </c>
      <c r="BY12" s="561">
        <f t="shared" si="10"/>
        <v>0</v>
      </c>
      <c r="BZ12" s="674">
        <f>AD12/W12</f>
        <v>1.5</v>
      </c>
      <c r="CA12" s="675">
        <f t="shared" si="12"/>
        <v>0</v>
      </c>
      <c r="CB12" s="675" t="e">
        <f t="shared" si="13"/>
        <v>#DIV/0!</v>
      </c>
    </row>
    <row r="13" spans="1:80" ht="61.5" hidden="1" customHeight="1" x14ac:dyDescent="0.25">
      <c r="A13" s="298" t="s">
        <v>38</v>
      </c>
      <c r="B13" s="299" t="str">
        <f>'PLAN INDICATIVO'!B12</f>
        <v>Educación</v>
      </c>
      <c r="C13" s="1547"/>
      <c r="D13" s="1549"/>
      <c r="E13" s="1549"/>
      <c r="F13" s="1549"/>
      <c r="G13" s="1549"/>
      <c r="H13" s="1549"/>
      <c r="I13" s="1425" t="str">
        <f>'PLAN INDICATIVO'!I12</f>
        <v>SI</v>
      </c>
      <c r="J13" s="1425">
        <f>'PLAN INDICATIVO'!J12</f>
        <v>0</v>
      </c>
      <c r="K13" s="1425" t="str">
        <f>'PLAN INDICATIVO'!K12</f>
        <v>A.1.1.5</v>
      </c>
      <c r="L13" s="301" t="str">
        <f>'PLAN INDICATIVO'!L12</f>
        <v>4. Educación de calidad</v>
      </c>
      <c r="M13" s="301" t="str">
        <f>'PLAN INDICATIVO'!M12</f>
        <v>Secretaría de Educación, Cultura, deporte y Turismo</v>
      </c>
      <c r="N13" s="1425" t="str">
        <f>'PLAN INDICATIVO'!N12</f>
        <v>YIMI FERNANDO LOSADA PAYA</v>
      </c>
      <c r="O13" s="1425" t="str">
        <f>'PLAN INDICATIVO'!O12</f>
        <v>Incremento</v>
      </c>
      <c r="P13" s="22" t="str">
        <f>'PLAN INDICATIVO'!P12</f>
        <v xml:space="preserve">Construir 35 Aulas en las instituciones educativas en el Municipio durante el cuatrienio. </v>
      </c>
      <c r="Q13" s="302" t="str">
        <f>'PLAN INDICATIVO'!Q12</f>
        <v>No. de aulas construidas en el cuatrienio</v>
      </c>
      <c r="R13" s="303">
        <f>'PLAN INDICATIVO'!R12</f>
        <v>2015</v>
      </c>
      <c r="S13" s="304">
        <v>0</v>
      </c>
      <c r="T13" s="677">
        <v>35</v>
      </c>
      <c r="U13" s="303">
        <v>13</v>
      </c>
      <c r="V13" s="687">
        <v>208</v>
      </c>
      <c r="W13" s="823">
        <v>10</v>
      </c>
      <c r="X13" s="687">
        <v>200000000</v>
      </c>
      <c r="Y13" s="572">
        <v>17</v>
      </c>
      <c r="Z13" s="687">
        <v>6000000</v>
      </c>
      <c r="AA13" s="572">
        <v>8</v>
      </c>
      <c r="AB13" s="687">
        <v>200000000</v>
      </c>
      <c r="AC13" s="665">
        <v>0</v>
      </c>
      <c r="AD13" s="665">
        <v>4</v>
      </c>
      <c r="AE13" s="665"/>
      <c r="AF13" s="665"/>
      <c r="AG13" s="664"/>
      <c r="AH13" s="664"/>
      <c r="AI13" s="307" t="s">
        <v>3440</v>
      </c>
      <c r="AJ13" s="309">
        <v>42795</v>
      </c>
      <c r="AK13" s="309">
        <v>43100</v>
      </c>
      <c r="AL13" s="308"/>
      <c r="AM13" s="308"/>
      <c r="AN13" s="267" t="s">
        <v>2604</v>
      </c>
      <c r="AO13" s="508" t="s">
        <v>3441</v>
      </c>
      <c r="AP13" s="525"/>
      <c r="AQ13" s="721">
        <v>300000000</v>
      </c>
      <c r="AR13" s="310"/>
      <c r="AS13" s="310"/>
      <c r="AT13" s="310"/>
      <c r="AU13" s="380"/>
      <c r="AV13" s="310"/>
      <c r="AW13" s="544">
        <f t="shared" si="0"/>
        <v>300000000</v>
      </c>
      <c r="AX13" s="525"/>
      <c r="AY13" s="310"/>
      <c r="AZ13" s="310"/>
      <c r="BA13" s="310"/>
      <c r="BB13" s="310"/>
      <c r="BC13" s="380"/>
      <c r="BD13" s="310"/>
      <c r="BE13" s="544">
        <f t="shared" si="1"/>
        <v>0</v>
      </c>
      <c r="BF13" s="525"/>
      <c r="BG13" s="310"/>
      <c r="BH13" s="310"/>
      <c r="BI13" s="310"/>
      <c r="BJ13" s="310"/>
      <c r="BK13" s="380"/>
      <c r="BL13" s="310"/>
      <c r="BM13" s="544">
        <f t="shared" si="2"/>
        <v>0</v>
      </c>
      <c r="BN13" s="525"/>
      <c r="BO13" s="310"/>
      <c r="BP13" s="310"/>
      <c r="BQ13" s="310"/>
      <c r="BR13" s="310"/>
      <c r="BS13" s="380"/>
      <c r="BT13" s="310"/>
      <c r="BU13" s="544">
        <f t="shared" si="3"/>
        <v>0</v>
      </c>
      <c r="BV13" s="1582"/>
      <c r="BW13" s="663">
        <f t="shared" si="8"/>
        <v>4</v>
      </c>
      <c r="BX13" s="674">
        <f t="shared" si="9"/>
        <v>0.11428571428571428</v>
      </c>
      <c r="BY13" s="561">
        <f t="shared" si="10"/>
        <v>0</v>
      </c>
      <c r="BZ13" s="674">
        <f t="shared" si="11"/>
        <v>0.4</v>
      </c>
      <c r="CA13" s="675">
        <f t="shared" si="12"/>
        <v>0</v>
      </c>
      <c r="CB13" s="675">
        <f t="shared" si="13"/>
        <v>0</v>
      </c>
    </row>
    <row r="14" spans="1:80" ht="54.75" hidden="1" customHeight="1" x14ac:dyDescent="0.25">
      <c r="A14" s="298" t="s">
        <v>38</v>
      </c>
      <c r="B14" s="299" t="str">
        <f>'PLAN INDICATIVO'!B13</f>
        <v>Educación</v>
      </c>
      <c r="C14" s="1547"/>
      <c r="D14" s="1552"/>
      <c r="E14" s="1552"/>
      <c r="F14" s="1549"/>
      <c r="G14" s="1549"/>
      <c r="H14" s="1549"/>
      <c r="I14" s="300">
        <f>'PLAN INDICATIVO'!I13</f>
        <v>0</v>
      </c>
      <c r="J14" s="300">
        <f>'PLAN INDICATIVO'!J13</f>
        <v>0</v>
      </c>
      <c r="K14" s="1425" t="str">
        <f>'PLAN INDICATIVO'!K13</f>
        <v>A.1.1.6</v>
      </c>
      <c r="L14" s="301" t="str">
        <f>'PLAN INDICATIVO'!L13</f>
        <v>4. Educación de calidad</v>
      </c>
      <c r="M14" s="301" t="str">
        <f>'PLAN INDICATIVO'!M13</f>
        <v>Secretaría de Educación, Cultura, deporte y Turismo</v>
      </c>
      <c r="N14" s="1425" t="str">
        <f>'PLAN INDICATIVO'!N13</f>
        <v>YIMI FERNANDO LOSADA PAYA</v>
      </c>
      <c r="O14" s="1425" t="str">
        <f>'PLAN INDICATIVO'!O13</f>
        <v>Incremento</v>
      </c>
      <c r="P14" s="942" t="str">
        <f>'PLAN INDICATIVO'!P13</f>
        <v xml:space="preserve">Construir 4 Restaurantes Escolares en el municipio durante el cuatrienio </v>
      </c>
      <c r="Q14" s="302" t="str">
        <f>'PLAN INDICATIVO'!Q13</f>
        <v>No. de restaurantes escolares construidos en el cuatrienio</v>
      </c>
      <c r="R14" s="303">
        <f>'PLAN INDICATIVO'!R13</f>
        <v>2015</v>
      </c>
      <c r="S14" s="304">
        <v>0</v>
      </c>
      <c r="T14" s="677">
        <v>6</v>
      </c>
      <c r="U14" s="303">
        <v>1</v>
      </c>
      <c r="V14" s="687">
        <v>30</v>
      </c>
      <c r="W14" s="66">
        <v>0</v>
      </c>
      <c r="X14" s="687"/>
      <c r="Y14" s="66">
        <v>3</v>
      </c>
      <c r="Z14" s="687">
        <v>150000000</v>
      </c>
      <c r="AA14" s="66">
        <v>3</v>
      </c>
      <c r="AB14" s="687">
        <v>230000000</v>
      </c>
      <c r="AC14" s="665">
        <v>0</v>
      </c>
      <c r="AD14" s="904">
        <v>0</v>
      </c>
      <c r="AE14" s="665"/>
      <c r="AF14" s="665"/>
      <c r="AG14" s="664"/>
      <c r="AH14" s="664"/>
      <c r="AI14" s="307" t="s">
        <v>3442</v>
      </c>
      <c r="AJ14" s="309">
        <v>42795</v>
      </c>
      <c r="AK14" s="309">
        <v>43100</v>
      </c>
      <c r="AL14" s="308"/>
      <c r="AM14" s="308"/>
      <c r="AN14" s="267" t="s">
        <v>2594</v>
      </c>
      <c r="AO14" s="507" t="s">
        <v>3443</v>
      </c>
      <c r="AP14" s="525"/>
      <c r="AQ14" s="721">
        <v>300000000</v>
      </c>
      <c r="AR14" s="310"/>
      <c r="AS14" s="310"/>
      <c r="AT14" s="310"/>
      <c r="AU14" s="310"/>
      <c r="AV14" s="310"/>
      <c r="AW14" s="544">
        <f t="shared" si="0"/>
        <v>300000000</v>
      </c>
      <c r="AX14" s="525"/>
      <c r="AY14" s="310"/>
      <c r="AZ14" s="310"/>
      <c r="BA14" s="310"/>
      <c r="BB14" s="310"/>
      <c r="BC14" s="310"/>
      <c r="BD14" s="310"/>
      <c r="BE14" s="544">
        <f t="shared" si="1"/>
        <v>0</v>
      </c>
      <c r="BF14" s="525"/>
      <c r="BG14" s="310"/>
      <c r="BH14" s="310"/>
      <c r="BI14" s="310"/>
      <c r="BJ14" s="310"/>
      <c r="BK14" s="310"/>
      <c r="BL14" s="310"/>
      <c r="BM14" s="544">
        <f t="shared" si="2"/>
        <v>0</v>
      </c>
      <c r="BN14" s="525"/>
      <c r="BO14" s="310"/>
      <c r="BP14" s="310"/>
      <c r="BQ14" s="310"/>
      <c r="BR14" s="310"/>
      <c r="BS14" s="310"/>
      <c r="BT14" s="310"/>
      <c r="BU14" s="544">
        <f t="shared" si="3"/>
        <v>0</v>
      </c>
      <c r="BV14" s="1582"/>
      <c r="BW14" s="663">
        <f t="shared" si="8"/>
        <v>0</v>
      </c>
      <c r="BX14" s="674">
        <f t="shared" si="9"/>
        <v>0</v>
      </c>
      <c r="BY14" s="561">
        <f t="shared" si="10"/>
        <v>0</v>
      </c>
      <c r="BZ14" s="674" t="e">
        <f t="shared" si="11"/>
        <v>#DIV/0!</v>
      </c>
      <c r="CA14" s="675">
        <f t="shared" si="12"/>
        <v>0</v>
      </c>
      <c r="CB14" s="675">
        <f t="shared" si="13"/>
        <v>0</v>
      </c>
    </row>
    <row r="15" spans="1:80" ht="308.25" hidden="1" customHeight="1" x14ac:dyDescent="0.25">
      <c r="A15" s="298" t="s">
        <v>38</v>
      </c>
      <c r="B15" s="299" t="str">
        <f>'PLAN INDICATIVO'!B14</f>
        <v>Educación</v>
      </c>
      <c r="C15" s="1547"/>
      <c r="D15" s="1549"/>
      <c r="E15" s="1549"/>
      <c r="F15" s="1549"/>
      <c r="G15" s="1549"/>
      <c r="H15" s="1549"/>
      <c r="I15" s="300">
        <f>'PLAN INDICATIVO'!I14</f>
        <v>0</v>
      </c>
      <c r="J15" s="300">
        <f>'PLAN INDICATIVO'!J14</f>
        <v>0</v>
      </c>
      <c r="K15" s="1425" t="str">
        <f>'PLAN INDICATIVO'!K14</f>
        <v>A.1.1.7</v>
      </c>
      <c r="L15" s="301" t="str">
        <f>'PLAN INDICATIVO'!L14</f>
        <v>4. Educación de calidad</v>
      </c>
      <c r="M15" s="301" t="str">
        <f>'PLAN INDICATIVO'!M14</f>
        <v>Secretaría de Educación, Cultura, deporte y Turismo</v>
      </c>
      <c r="N15" s="1425" t="str">
        <f>'PLAN INDICATIVO'!N14</f>
        <v>YIMI FERNANDO LOSADA PAYA</v>
      </c>
      <c r="O15" s="1425" t="str">
        <f>'PLAN INDICATIVO'!O14</f>
        <v>Incremento</v>
      </c>
      <c r="P15" s="16" t="str">
        <f>'PLAN INDICATIVO'!P14</f>
        <v>Realizar 35 obras de construcción y/o mejoramientos a la infraestructura educativa municipal durante el cuatrienio</v>
      </c>
      <c r="Q15" s="302" t="str">
        <f>'PLAN INDICATIVO'!Q14</f>
        <v>No. De obras construidas o mejoradas</v>
      </c>
      <c r="R15" s="303">
        <f>'PLAN INDICATIVO'!R14</f>
        <v>2015</v>
      </c>
      <c r="S15" s="304">
        <v>0</v>
      </c>
      <c r="T15" s="677">
        <v>60</v>
      </c>
      <c r="U15" s="303">
        <v>2</v>
      </c>
      <c r="V15" s="687">
        <v>295.10000000000002</v>
      </c>
      <c r="W15" s="572">
        <v>15</v>
      </c>
      <c r="X15" s="687">
        <v>256750000</v>
      </c>
      <c r="Y15" s="572">
        <v>20</v>
      </c>
      <c r="Z15" s="687">
        <v>445000000</v>
      </c>
      <c r="AA15" s="572">
        <v>20</v>
      </c>
      <c r="AB15" s="687">
        <v>385000000</v>
      </c>
      <c r="AC15" s="665">
        <v>5</v>
      </c>
      <c r="AD15" s="904">
        <v>16</v>
      </c>
      <c r="AE15" s="665"/>
      <c r="AF15" s="665"/>
      <c r="AG15" s="664"/>
      <c r="AH15" s="664"/>
      <c r="AI15" s="307" t="s">
        <v>3444</v>
      </c>
      <c r="AJ15" s="309" t="s">
        <v>3445</v>
      </c>
      <c r="AK15" s="309">
        <v>43100</v>
      </c>
      <c r="AL15" s="308"/>
      <c r="AM15" s="308"/>
      <c r="AN15" s="267" t="s">
        <v>2598</v>
      </c>
      <c r="AO15" s="508" t="s">
        <v>3446</v>
      </c>
      <c r="AP15" s="525"/>
      <c r="AQ15" s="721">
        <v>415000000</v>
      </c>
      <c r="AR15" s="310"/>
      <c r="AS15" s="721">
        <v>320460293.25</v>
      </c>
      <c r="AT15" s="310"/>
      <c r="AU15" s="310"/>
      <c r="AV15" s="310"/>
      <c r="AW15" s="544">
        <f t="shared" si="0"/>
        <v>735460293.25</v>
      </c>
      <c r="AX15" s="525"/>
      <c r="AY15" s="310"/>
      <c r="AZ15" s="310"/>
      <c r="BA15" s="310"/>
      <c r="BB15" s="310"/>
      <c r="BC15" s="310"/>
      <c r="BD15" s="310"/>
      <c r="BE15" s="544">
        <f t="shared" si="1"/>
        <v>0</v>
      </c>
      <c r="BF15" s="525"/>
      <c r="BG15" s="310"/>
      <c r="BH15" s="310"/>
      <c r="BI15" s="310"/>
      <c r="BJ15" s="310"/>
      <c r="BK15" s="310"/>
      <c r="BL15" s="310"/>
      <c r="BM15" s="544">
        <f t="shared" si="2"/>
        <v>0</v>
      </c>
      <c r="BN15" s="525"/>
      <c r="BO15" s="310"/>
      <c r="BP15" s="310"/>
      <c r="BQ15" s="310"/>
      <c r="BR15" s="310"/>
      <c r="BS15" s="310"/>
      <c r="BT15" s="310"/>
      <c r="BU15" s="544">
        <f t="shared" si="3"/>
        <v>0</v>
      </c>
      <c r="BV15" s="1582"/>
      <c r="BW15" s="663">
        <f t="shared" si="8"/>
        <v>21</v>
      </c>
      <c r="BX15" s="674">
        <f t="shared" si="9"/>
        <v>0.35</v>
      </c>
      <c r="BY15" s="561">
        <f t="shared" si="10"/>
        <v>2.5</v>
      </c>
      <c r="BZ15" s="674">
        <f t="shared" si="11"/>
        <v>1.0666666666666667</v>
      </c>
      <c r="CA15" s="675">
        <f t="shared" si="12"/>
        <v>0</v>
      </c>
      <c r="CB15" s="675">
        <f t="shared" si="13"/>
        <v>0</v>
      </c>
    </row>
    <row r="16" spans="1:80" ht="72" hidden="1" customHeight="1" x14ac:dyDescent="0.25">
      <c r="A16" s="298" t="s">
        <v>38</v>
      </c>
      <c r="B16" s="299" t="str">
        <f>'PLAN INDICATIVO'!B15</f>
        <v>Educación</v>
      </c>
      <c r="C16" s="1547"/>
      <c r="D16" s="1549"/>
      <c r="E16" s="1549"/>
      <c r="F16" s="1549"/>
      <c r="G16" s="1549"/>
      <c r="H16" s="1549"/>
      <c r="I16" s="300">
        <f>'PLAN INDICATIVO'!I15</f>
        <v>0</v>
      </c>
      <c r="J16" s="300">
        <f>'PLAN INDICATIVO'!J15</f>
        <v>0</v>
      </c>
      <c r="K16" s="1425" t="str">
        <f>'PLAN INDICATIVO'!K15</f>
        <v>A.1.1.8</v>
      </c>
      <c r="L16" s="301" t="str">
        <f>'PLAN INDICATIVO'!L15</f>
        <v>4. Educación de calidad</v>
      </c>
      <c r="M16" s="301" t="str">
        <f>'PLAN INDICATIVO'!M15</f>
        <v>Secretaría de Educación, Cultura, deporte y Turismo</v>
      </c>
      <c r="N16" s="1425" t="str">
        <f>'PLAN INDICATIVO'!N15</f>
        <v>YIMI FERNANDO LOSADA PAYA</v>
      </c>
      <c r="O16" s="1425" t="str">
        <f>'PLAN INDICATIVO'!O15</f>
        <v>Incremento</v>
      </c>
      <c r="P16" s="16" t="str">
        <f>'PLAN INDICATIVO'!P15</f>
        <v>Realizar 1 apoyo para la formulación del proyecto para la construcción de la tercera etapa de la IE San Sebastián, en la zona urbana, durante el cuatrienio</v>
      </c>
      <c r="Q16" s="302" t="str">
        <f>'PLAN INDICATIVO'!Q15</f>
        <v>No. De apoyos otorgados</v>
      </c>
      <c r="R16" s="303">
        <f>'PLAN INDICATIVO'!R15</f>
        <v>2015</v>
      </c>
      <c r="S16" s="304">
        <v>0</v>
      </c>
      <c r="T16" s="677">
        <v>1</v>
      </c>
      <c r="U16" s="303">
        <v>0.5</v>
      </c>
      <c r="V16" s="687">
        <v>15</v>
      </c>
      <c r="W16" s="572">
        <v>1</v>
      </c>
      <c r="X16" s="687">
        <v>15000000</v>
      </c>
      <c r="Y16" s="572">
        <v>0</v>
      </c>
      <c r="Z16" s="687">
        <v>500000</v>
      </c>
      <c r="AA16" s="572">
        <v>0</v>
      </c>
      <c r="AB16" s="687">
        <v>1000000</v>
      </c>
      <c r="AC16" s="665">
        <v>0</v>
      </c>
      <c r="AD16" s="665">
        <v>1</v>
      </c>
      <c r="AE16" s="665"/>
      <c r="AF16" s="665"/>
      <c r="AG16" s="664"/>
      <c r="AH16" s="664"/>
      <c r="AI16" s="336" t="s">
        <v>3447</v>
      </c>
      <c r="AJ16" s="309">
        <v>42750</v>
      </c>
      <c r="AK16" s="309">
        <v>43100</v>
      </c>
      <c r="AL16" s="308"/>
      <c r="AM16" s="308"/>
      <c r="AN16" s="267" t="s">
        <v>2598</v>
      </c>
      <c r="AO16" s="507"/>
      <c r="AP16" s="525"/>
      <c r="AQ16" s="310"/>
      <c r="AR16" s="310"/>
      <c r="AS16" s="310"/>
      <c r="AT16" s="310"/>
      <c r="AU16" s="310"/>
      <c r="AV16" s="310"/>
      <c r="AW16" s="544">
        <f t="shared" si="0"/>
        <v>0</v>
      </c>
      <c r="AX16" s="525"/>
      <c r="AY16" s="310"/>
      <c r="AZ16" s="310"/>
      <c r="BA16" s="310"/>
      <c r="BB16" s="310"/>
      <c r="BC16" s="310"/>
      <c r="BD16" s="310"/>
      <c r="BE16" s="544">
        <f t="shared" si="1"/>
        <v>0</v>
      </c>
      <c r="BF16" s="525"/>
      <c r="BG16" s="310"/>
      <c r="BH16" s="310"/>
      <c r="BI16" s="310"/>
      <c r="BJ16" s="310"/>
      <c r="BK16" s="310"/>
      <c r="BL16" s="310"/>
      <c r="BM16" s="544">
        <f t="shared" si="2"/>
        <v>0</v>
      </c>
      <c r="BN16" s="525"/>
      <c r="BO16" s="310"/>
      <c r="BP16" s="310"/>
      <c r="BQ16" s="310"/>
      <c r="BR16" s="310"/>
      <c r="BS16" s="310"/>
      <c r="BT16" s="310"/>
      <c r="BU16" s="544">
        <f t="shared" si="3"/>
        <v>0</v>
      </c>
      <c r="BV16" s="1582"/>
      <c r="BW16" s="663">
        <f t="shared" si="8"/>
        <v>1</v>
      </c>
      <c r="BX16" s="674">
        <f t="shared" si="9"/>
        <v>1</v>
      </c>
      <c r="BY16" s="561">
        <f t="shared" si="10"/>
        <v>0</v>
      </c>
      <c r="BZ16" s="674">
        <f t="shared" si="11"/>
        <v>1</v>
      </c>
      <c r="CA16" s="675" t="e">
        <f t="shared" si="12"/>
        <v>#DIV/0!</v>
      </c>
      <c r="CB16" s="675" t="e">
        <f t="shared" si="13"/>
        <v>#DIV/0!</v>
      </c>
    </row>
    <row r="17" spans="1:80" ht="75" hidden="1" customHeight="1" x14ac:dyDescent="0.25">
      <c r="A17" s="298" t="s">
        <v>38</v>
      </c>
      <c r="B17" s="299" t="str">
        <f>'PLAN INDICATIVO'!B16</f>
        <v>Educación</v>
      </c>
      <c r="C17" s="1547"/>
      <c r="D17" s="1549"/>
      <c r="E17" s="1549"/>
      <c r="F17" s="1549"/>
      <c r="G17" s="1549"/>
      <c r="H17" s="1549"/>
      <c r="I17" s="300">
        <f>'PLAN INDICATIVO'!I16</f>
        <v>0</v>
      </c>
      <c r="J17" s="300">
        <f>'PLAN INDICATIVO'!J16</f>
        <v>0</v>
      </c>
      <c r="K17" s="1425" t="str">
        <f>'PLAN INDICATIVO'!K16</f>
        <v>A.1.1.9</v>
      </c>
      <c r="L17" s="301" t="str">
        <f>'PLAN INDICATIVO'!L16</f>
        <v>4. Educación de calidad</v>
      </c>
      <c r="M17" s="301" t="str">
        <f>'PLAN INDICATIVO'!M16</f>
        <v>Secretaría de Educación, Cultura, deporte y Turismo</v>
      </c>
      <c r="N17" s="1425" t="str">
        <f>'PLAN INDICATIVO'!N16</f>
        <v>YIMI FERNANDO LOSADA PAYA</v>
      </c>
      <c r="O17" s="1425" t="str">
        <f>'PLAN INDICATIVO'!O16</f>
        <v>Mantenimiento</v>
      </c>
      <c r="P17" s="942" t="str">
        <f>'PLAN INDICATIVO'!P16</f>
        <v>Apoyar la estrategia de “Escuela para Padres” en las 18 IE con el propósito de vincular de manera más directa al padre de familia en la formación educativa de los hijos, en el cuatrienio</v>
      </c>
      <c r="Q17" s="302" t="str">
        <f>'PLAN INDICATIVO'!Q16</f>
        <v>No. De estrategias creadas e implementadas</v>
      </c>
      <c r="R17" s="303">
        <f>'PLAN INDICATIVO'!R16</f>
        <v>2015</v>
      </c>
      <c r="S17" s="304">
        <v>0</v>
      </c>
      <c r="T17" s="677">
        <v>1</v>
      </c>
      <c r="U17" s="303">
        <v>1</v>
      </c>
      <c r="V17" s="687">
        <v>3</v>
      </c>
      <c r="W17" s="572">
        <v>1</v>
      </c>
      <c r="X17" s="687">
        <v>3000000</v>
      </c>
      <c r="Y17" s="572">
        <v>1</v>
      </c>
      <c r="Z17" s="687">
        <v>500000</v>
      </c>
      <c r="AA17" s="572">
        <v>1</v>
      </c>
      <c r="AB17" s="687">
        <v>1000000</v>
      </c>
      <c r="AC17" s="665">
        <v>0</v>
      </c>
      <c r="AD17" s="665">
        <v>1</v>
      </c>
      <c r="AE17" s="665"/>
      <c r="AF17" s="665"/>
      <c r="AG17" s="664"/>
      <c r="AH17" s="664"/>
      <c r="AI17" s="307" t="s">
        <v>3448</v>
      </c>
      <c r="AJ17" s="309">
        <v>42750</v>
      </c>
      <c r="AK17" s="309">
        <v>43100</v>
      </c>
      <c r="AL17" s="308"/>
      <c r="AM17" s="308"/>
      <c r="AN17" s="267" t="s">
        <v>2598</v>
      </c>
      <c r="AO17" s="507"/>
      <c r="AP17" s="525"/>
      <c r="AQ17" s="310"/>
      <c r="AR17" s="310"/>
      <c r="AS17" s="310"/>
      <c r="AT17" s="310"/>
      <c r="AU17" s="310"/>
      <c r="AV17" s="310"/>
      <c r="AW17" s="544">
        <f t="shared" si="0"/>
        <v>0</v>
      </c>
      <c r="AX17" s="525"/>
      <c r="AY17" s="310"/>
      <c r="AZ17" s="310"/>
      <c r="BA17" s="310"/>
      <c r="BB17" s="310"/>
      <c r="BC17" s="310"/>
      <c r="BD17" s="310"/>
      <c r="BE17" s="544">
        <f t="shared" si="1"/>
        <v>0</v>
      </c>
      <c r="BF17" s="525"/>
      <c r="BG17" s="310"/>
      <c r="BH17" s="310"/>
      <c r="BI17" s="310"/>
      <c r="BJ17" s="310"/>
      <c r="BK17" s="310"/>
      <c r="BL17" s="310"/>
      <c r="BM17" s="544">
        <f t="shared" si="2"/>
        <v>0</v>
      </c>
      <c r="BN17" s="525"/>
      <c r="BO17" s="310"/>
      <c r="BP17" s="310"/>
      <c r="BQ17" s="310"/>
      <c r="BR17" s="310"/>
      <c r="BS17" s="310"/>
      <c r="BT17" s="310"/>
      <c r="BU17" s="544">
        <f t="shared" si="3"/>
        <v>0</v>
      </c>
      <c r="BV17" s="1582"/>
      <c r="BW17" s="663">
        <f t="shared" si="8"/>
        <v>1</v>
      </c>
      <c r="BX17" s="674">
        <f t="shared" si="9"/>
        <v>1</v>
      </c>
      <c r="BY17" s="561">
        <f t="shared" si="10"/>
        <v>0</v>
      </c>
      <c r="BZ17" s="674">
        <f t="shared" si="11"/>
        <v>1</v>
      </c>
      <c r="CA17" s="675">
        <f t="shared" si="12"/>
        <v>0</v>
      </c>
      <c r="CB17" s="675">
        <f t="shared" si="13"/>
        <v>0</v>
      </c>
    </row>
    <row r="18" spans="1:80" ht="46.5" hidden="1" customHeight="1" x14ac:dyDescent="0.25">
      <c r="A18" s="298" t="s">
        <v>38</v>
      </c>
      <c r="B18" s="299" t="str">
        <f>'PLAN INDICATIVO'!B17</f>
        <v>Educación</v>
      </c>
      <c r="C18" s="1547"/>
      <c r="D18" s="1549"/>
      <c r="E18" s="1549"/>
      <c r="F18" s="1549"/>
      <c r="G18" s="1549"/>
      <c r="H18" s="1549"/>
      <c r="I18" s="300">
        <f>'PLAN INDICATIVO'!I17</f>
        <v>0</v>
      </c>
      <c r="J18" s="300">
        <f>'PLAN INDICATIVO'!J17</f>
        <v>0</v>
      </c>
      <c r="K18" s="1425" t="str">
        <f>'PLAN INDICATIVO'!K17</f>
        <v>A.1.1.10</v>
      </c>
      <c r="L18" s="301" t="str">
        <f>'PLAN INDICATIVO'!L17</f>
        <v>4. Educación de calidad</v>
      </c>
      <c r="M18" s="301" t="str">
        <f>'PLAN INDICATIVO'!M17</f>
        <v>Secretaría de Educación, Cultura, deporte y Turismo</v>
      </c>
      <c r="N18" s="1425" t="str">
        <f>'PLAN INDICATIVO'!N17</f>
        <v>YIMI FERNANDO LOSADA PAYA</v>
      </c>
      <c r="O18" s="1425" t="str">
        <f>'PLAN INDICATIVO'!O17</f>
        <v>Incremento</v>
      </c>
      <c r="P18" s="16" t="str">
        <f>'PLAN INDICATIVO'!P17</f>
        <v>Dirigir y coordinar 4 Campañas de oferta educativa institucional en el municipio durante el cuatrienio.</v>
      </c>
      <c r="Q18" s="302" t="str">
        <f>'PLAN INDICATIVO'!Q17</f>
        <v>No. De campañas dirigidas en el cuatrienio</v>
      </c>
      <c r="R18" s="303">
        <f>'PLAN INDICATIVO'!R17</f>
        <v>2015</v>
      </c>
      <c r="S18" s="304">
        <v>1</v>
      </c>
      <c r="T18" s="677">
        <v>4</v>
      </c>
      <c r="U18" s="303">
        <v>1</v>
      </c>
      <c r="V18" s="687">
        <v>1</v>
      </c>
      <c r="W18" s="572">
        <v>1</v>
      </c>
      <c r="X18" s="687">
        <v>1000000</v>
      </c>
      <c r="Y18" s="572">
        <v>1</v>
      </c>
      <c r="Z18" s="687">
        <v>500000</v>
      </c>
      <c r="AA18" s="572">
        <v>1</v>
      </c>
      <c r="AB18" s="687">
        <v>1000000</v>
      </c>
      <c r="AC18" s="665">
        <v>0</v>
      </c>
      <c r="AD18" s="665">
        <v>1</v>
      </c>
      <c r="AE18" s="665"/>
      <c r="AF18" s="665"/>
      <c r="AG18" s="664"/>
      <c r="AH18" s="664"/>
      <c r="AI18" s="307" t="s">
        <v>3449</v>
      </c>
      <c r="AJ18" s="309">
        <v>42583</v>
      </c>
      <c r="AK18" s="309">
        <v>42643</v>
      </c>
      <c r="AL18" s="308"/>
      <c r="AM18" s="308"/>
      <c r="AN18" s="267" t="s">
        <v>2598</v>
      </c>
      <c r="AO18" s="507"/>
      <c r="AP18" s="525"/>
      <c r="AQ18" s="310"/>
      <c r="AR18" s="310"/>
      <c r="AS18" s="310"/>
      <c r="AT18" s="310"/>
      <c r="AU18" s="310"/>
      <c r="AV18" s="310"/>
      <c r="AW18" s="544">
        <f t="shared" si="0"/>
        <v>0</v>
      </c>
      <c r="AX18" s="525"/>
      <c r="AY18" s="310"/>
      <c r="AZ18" s="310"/>
      <c r="BA18" s="310"/>
      <c r="BB18" s="310"/>
      <c r="BC18" s="310"/>
      <c r="BD18" s="310"/>
      <c r="BE18" s="544">
        <f t="shared" si="1"/>
        <v>0</v>
      </c>
      <c r="BF18" s="525"/>
      <c r="BG18" s="310"/>
      <c r="BH18" s="310"/>
      <c r="BI18" s="310"/>
      <c r="BJ18" s="310"/>
      <c r="BK18" s="310"/>
      <c r="BL18" s="310"/>
      <c r="BM18" s="544">
        <f t="shared" si="2"/>
        <v>0</v>
      </c>
      <c r="BN18" s="525"/>
      <c r="BO18" s="310"/>
      <c r="BP18" s="310"/>
      <c r="BQ18" s="310"/>
      <c r="BR18" s="310"/>
      <c r="BS18" s="310"/>
      <c r="BT18" s="310"/>
      <c r="BU18" s="544">
        <f t="shared" si="3"/>
        <v>0</v>
      </c>
      <c r="BV18" s="1582"/>
      <c r="BW18" s="663">
        <f t="shared" si="8"/>
        <v>1</v>
      </c>
      <c r="BX18" s="674">
        <f t="shared" si="9"/>
        <v>0.25</v>
      </c>
      <c r="BY18" s="561">
        <f t="shared" si="10"/>
        <v>0</v>
      </c>
      <c r="BZ18" s="674">
        <f t="shared" si="11"/>
        <v>1</v>
      </c>
      <c r="CA18" s="675">
        <f t="shared" si="12"/>
        <v>0</v>
      </c>
      <c r="CB18" s="675">
        <f t="shared" si="13"/>
        <v>0</v>
      </c>
    </row>
    <row r="19" spans="1:80" ht="59.25" hidden="1" customHeight="1" x14ac:dyDescent="0.25">
      <c r="A19" s="298" t="s">
        <v>38</v>
      </c>
      <c r="B19" s="299" t="str">
        <f>'PLAN INDICATIVO'!B18</f>
        <v>Educación</v>
      </c>
      <c r="C19" s="1547"/>
      <c r="D19" s="1549"/>
      <c r="E19" s="1549"/>
      <c r="F19" s="1549"/>
      <c r="G19" s="1549"/>
      <c r="H19" s="1549"/>
      <c r="I19" s="300">
        <f>'PLAN INDICATIVO'!I18</f>
        <v>0</v>
      </c>
      <c r="J19" s="300">
        <f>'PLAN INDICATIVO'!J18</f>
        <v>0</v>
      </c>
      <c r="K19" s="1425" t="str">
        <f>'PLAN INDICATIVO'!K18</f>
        <v>A.1.1.11</v>
      </c>
      <c r="L19" s="301" t="str">
        <f>'PLAN INDICATIVO'!L18</f>
        <v>4. Educación de calidad</v>
      </c>
      <c r="M19" s="301" t="str">
        <f>'PLAN INDICATIVO'!M18</f>
        <v>Secretaría de Educación, Cultura, deporte y Turismo</v>
      </c>
      <c r="N19" s="1425" t="str">
        <f>'PLAN INDICATIVO'!N18</f>
        <v>YIMI FERNANDO LOSADA PAYA</v>
      </c>
      <c r="O19" s="1425" t="str">
        <f>'PLAN INDICATIVO'!O18</f>
        <v>Incremento</v>
      </c>
      <c r="P19" s="25" t="str">
        <f>'PLAN INDICATIVO'!P18</f>
        <v>Crear 1 JUNTA MUNICIPAL DE EDUCACIÓN durante el cuatrienio.</v>
      </c>
      <c r="Q19" s="302" t="str">
        <f>'PLAN INDICATIVO'!Q18</f>
        <v>No. De juntas municipales creadas en el cuatrienio</v>
      </c>
      <c r="R19" s="303">
        <f>'PLAN INDICATIVO'!R18</f>
        <v>2015</v>
      </c>
      <c r="S19" s="304">
        <v>0</v>
      </c>
      <c r="T19" s="677">
        <v>1</v>
      </c>
      <c r="U19" s="303">
        <v>1</v>
      </c>
      <c r="V19" s="687">
        <v>1</v>
      </c>
      <c r="W19" s="823">
        <v>0</v>
      </c>
      <c r="X19" s="687">
        <v>1000000</v>
      </c>
      <c r="Y19" s="572">
        <v>1</v>
      </c>
      <c r="Z19" s="687">
        <v>500000</v>
      </c>
      <c r="AA19" s="572">
        <v>1</v>
      </c>
      <c r="AB19" s="687">
        <v>1000000</v>
      </c>
      <c r="AC19" s="665">
        <v>0</v>
      </c>
      <c r="AD19" s="665">
        <v>0</v>
      </c>
      <c r="AE19" s="665"/>
      <c r="AF19" s="665"/>
      <c r="AG19" s="664"/>
      <c r="AH19" s="664"/>
      <c r="AI19" s="307" t="s">
        <v>3450</v>
      </c>
      <c r="AJ19" s="309">
        <v>42795</v>
      </c>
      <c r="AK19" s="309" t="s">
        <v>3451</v>
      </c>
      <c r="AL19" s="308"/>
      <c r="AM19" s="308"/>
      <c r="AN19" s="267" t="s">
        <v>2594</v>
      </c>
      <c r="AO19" s="507"/>
      <c r="AP19" s="525"/>
      <c r="AQ19" s="310"/>
      <c r="AR19" s="310"/>
      <c r="AS19" s="310"/>
      <c r="AT19" s="310"/>
      <c r="AU19" s="310"/>
      <c r="AV19" s="310"/>
      <c r="AW19" s="544">
        <f t="shared" si="0"/>
        <v>0</v>
      </c>
      <c r="AX19" s="525"/>
      <c r="AY19" s="310"/>
      <c r="AZ19" s="310"/>
      <c r="BA19" s="310"/>
      <c r="BB19" s="310"/>
      <c r="BC19" s="310"/>
      <c r="BD19" s="310"/>
      <c r="BE19" s="544">
        <f t="shared" si="1"/>
        <v>0</v>
      </c>
      <c r="BF19" s="525"/>
      <c r="BG19" s="310"/>
      <c r="BH19" s="310"/>
      <c r="BI19" s="310"/>
      <c r="BJ19" s="310"/>
      <c r="BK19" s="310"/>
      <c r="BL19" s="310"/>
      <c r="BM19" s="544">
        <f t="shared" si="2"/>
        <v>0</v>
      </c>
      <c r="BN19" s="525"/>
      <c r="BO19" s="310"/>
      <c r="BP19" s="310"/>
      <c r="BQ19" s="310"/>
      <c r="BR19" s="310"/>
      <c r="BS19" s="310"/>
      <c r="BT19" s="310"/>
      <c r="BU19" s="544">
        <f t="shared" si="3"/>
        <v>0</v>
      </c>
      <c r="BV19" s="1582"/>
      <c r="BW19" s="663">
        <f t="shared" si="8"/>
        <v>0</v>
      </c>
      <c r="BX19" s="674">
        <f t="shared" si="9"/>
        <v>0</v>
      </c>
      <c r="BY19" s="561">
        <f t="shared" si="10"/>
        <v>0</v>
      </c>
      <c r="BZ19" s="674" t="e">
        <f t="shared" si="11"/>
        <v>#DIV/0!</v>
      </c>
      <c r="CA19" s="675">
        <f t="shared" si="12"/>
        <v>0</v>
      </c>
      <c r="CB19" s="675">
        <f t="shared" si="13"/>
        <v>0</v>
      </c>
    </row>
    <row r="20" spans="1:80" ht="57" hidden="1" customHeight="1" x14ac:dyDescent="0.25">
      <c r="A20" s="298" t="s">
        <v>38</v>
      </c>
      <c r="B20" s="299" t="str">
        <f>'PLAN INDICATIVO'!B19</f>
        <v>Educación</v>
      </c>
      <c r="C20" s="1547"/>
      <c r="D20" s="1549"/>
      <c r="E20" s="1549"/>
      <c r="F20" s="1549"/>
      <c r="G20" s="1549"/>
      <c r="H20" s="1549"/>
      <c r="I20" s="300">
        <f>'PLAN INDICATIVO'!I19</f>
        <v>0</v>
      </c>
      <c r="J20" s="300">
        <f>'PLAN INDICATIVO'!J19</f>
        <v>0</v>
      </c>
      <c r="K20" s="1425" t="str">
        <f>'PLAN INDICATIVO'!K19</f>
        <v>A.1.1.12</v>
      </c>
      <c r="L20" s="301" t="str">
        <f>'PLAN INDICATIVO'!L19</f>
        <v>4. Educación de calidad</v>
      </c>
      <c r="M20" s="301" t="str">
        <f>'PLAN INDICATIVO'!M19</f>
        <v>Secretaría de Educación, Cultura, deporte y Turismo</v>
      </c>
      <c r="N20" s="1425" t="str">
        <f>'PLAN INDICATIVO'!N19</f>
        <v>YIMI FERNANDO LOSADA PAYA</v>
      </c>
      <c r="O20" s="1425" t="str">
        <f>'PLAN INDICATIVO'!O19</f>
        <v>Incremento</v>
      </c>
      <c r="P20" s="16" t="str">
        <f>'PLAN INDICATIVO'!P19</f>
        <v>Lograr que 20 sedes educativas  del municipio tengan nuevos accesos a conectividad  durante el cuatrienio.</v>
      </c>
      <c r="Q20" s="302" t="str">
        <f>'PLAN INDICATIVO'!Q19</f>
        <v>No. de sedes educativas con nuevos accesos a conectividad durante el cuatrienio</v>
      </c>
      <c r="R20" s="303">
        <f>'PLAN INDICATIVO'!R19</f>
        <v>2015</v>
      </c>
      <c r="S20" s="304">
        <v>0</v>
      </c>
      <c r="T20" s="677">
        <v>20</v>
      </c>
      <c r="U20" s="303">
        <v>6</v>
      </c>
      <c r="V20" s="687">
        <v>8</v>
      </c>
      <c r="W20" s="572">
        <v>6</v>
      </c>
      <c r="X20" s="687">
        <v>5000000</v>
      </c>
      <c r="Y20" s="572">
        <v>6</v>
      </c>
      <c r="Z20" s="687">
        <v>500000</v>
      </c>
      <c r="AA20" s="572">
        <v>8</v>
      </c>
      <c r="AB20" s="687">
        <v>1000000</v>
      </c>
      <c r="AC20" s="665">
        <v>0</v>
      </c>
      <c r="AD20" s="665">
        <v>11</v>
      </c>
      <c r="AE20" s="665"/>
      <c r="AF20" s="665"/>
      <c r="AG20" s="664"/>
      <c r="AH20" s="664"/>
      <c r="AI20" s="307" t="s">
        <v>3452</v>
      </c>
      <c r="AJ20" s="309" t="s">
        <v>3445</v>
      </c>
      <c r="AK20" s="309">
        <v>43100</v>
      </c>
      <c r="AL20" s="308"/>
      <c r="AM20" s="308"/>
      <c r="AN20" s="267" t="s">
        <v>2598</v>
      </c>
      <c r="AO20" s="507" t="s">
        <v>2627</v>
      </c>
      <c r="AP20" s="525"/>
      <c r="AQ20" s="310"/>
      <c r="AR20" s="310"/>
      <c r="AS20" s="310"/>
      <c r="AT20" s="310"/>
      <c r="AU20" s="310"/>
      <c r="AV20" s="310"/>
      <c r="AW20" s="544">
        <f t="shared" si="0"/>
        <v>0</v>
      </c>
      <c r="AX20" s="525"/>
      <c r="AY20" s="310"/>
      <c r="AZ20" s="310"/>
      <c r="BA20" s="310"/>
      <c r="BB20" s="310"/>
      <c r="BC20" s="310"/>
      <c r="BD20" s="310"/>
      <c r="BE20" s="544">
        <f t="shared" si="1"/>
        <v>0</v>
      </c>
      <c r="BF20" s="525"/>
      <c r="BG20" s="310"/>
      <c r="BH20" s="310"/>
      <c r="BI20" s="310"/>
      <c r="BJ20" s="310"/>
      <c r="BK20" s="310"/>
      <c r="BL20" s="310"/>
      <c r="BM20" s="544">
        <f t="shared" si="2"/>
        <v>0</v>
      </c>
      <c r="BN20" s="525"/>
      <c r="BO20" s="310"/>
      <c r="BP20" s="310"/>
      <c r="BQ20" s="310"/>
      <c r="BR20" s="310"/>
      <c r="BS20" s="310"/>
      <c r="BT20" s="310"/>
      <c r="BU20" s="544">
        <f t="shared" si="3"/>
        <v>0</v>
      </c>
      <c r="BV20" s="1582"/>
      <c r="BW20" s="663">
        <f t="shared" si="8"/>
        <v>11</v>
      </c>
      <c r="BX20" s="674">
        <f t="shared" si="9"/>
        <v>0.55000000000000004</v>
      </c>
      <c r="BY20" s="561">
        <f t="shared" si="10"/>
        <v>0</v>
      </c>
      <c r="BZ20" s="674">
        <f t="shared" si="11"/>
        <v>1.8333333333333333</v>
      </c>
      <c r="CA20" s="675">
        <f t="shared" si="12"/>
        <v>0</v>
      </c>
      <c r="CB20" s="675">
        <f t="shared" si="13"/>
        <v>0</v>
      </c>
    </row>
    <row r="21" spans="1:80" ht="108.75" hidden="1" customHeight="1" x14ac:dyDescent="0.25">
      <c r="A21" s="298" t="s">
        <v>38</v>
      </c>
      <c r="B21" s="299" t="str">
        <f>'PLAN INDICATIVO'!B20</f>
        <v>Educación</v>
      </c>
      <c r="C21" s="1547"/>
      <c r="D21" s="1549"/>
      <c r="E21" s="1549"/>
      <c r="F21" s="1549"/>
      <c r="G21" s="1549"/>
      <c r="H21" s="1549"/>
      <c r="I21" s="300">
        <f>'PLAN INDICATIVO'!I20</f>
        <v>0</v>
      </c>
      <c r="J21" s="300">
        <f>'PLAN INDICATIVO'!J20</f>
        <v>0</v>
      </c>
      <c r="K21" s="1425" t="str">
        <f>'PLAN INDICATIVO'!K20</f>
        <v>A.1.1.13</v>
      </c>
      <c r="L21" s="301" t="str">
        <f>'PLAN INDICATIVO'!L20</f>
        <v>4. Educación de calidad</v>
      </c>
      <c r="M21" s="301" t="str">
        <f>'PLAN INDICATIVO'!M20</f>
        <v>Secretaría de Educación, Cultura, deporte y Turismo</v>
      </c>
      <c r="N21" s="1425" t="str">
        <f>'PLAN INDICATIVO'!N20</f>
        <v>YIMI FERNANDO LOSADA PAYA</v>
      </c>
      <c r="O21" s="1425" t="str">
        <f>'PLAN INDICATIVO'!O20</f>
        <v>Incremento</v>
      </c>
      <c r="P21" s="16" t="str">
        <f>'PLAN INDICATIVO'!P20</f>
        <v>Desarrollar 4 programas para promover la educación Financiera y/o en emprendimiento  en las Instituciones Municipales durante el cuatrienio</v>
      </c>
      <c r="Q21" s="302" t="str">
        <f>'PLAN INDICATIVO'!Q20</f>
        <v>No. de programas desarrollados durante el cuatrienio</v>
      </c>
      <c r="R21" s="303">
        <f>'PLAN INDICATIVO'!R20</f>
        <v>2015</v>
      </c>
      <c r="S21" s="304">
        <v>0</v>
      </c>
      <c r="T21" s="677">
        <v>4</v>
      </c>
      <c r="U21" s="303">
        <v>1</v>
      </c>
      <c r="V21" s="687">
        <v>3</v>
      </c>
      <c r="W21" s="572">
        <v>1</v>
      </c>
      <c r="X21" s="687">
        <v>3000000</v>
      </c>
      <c r="Y21" s="572">
        <v>1</v>
      </c>
      <c r="Z21" s="687">
        <v>500000</v>
      </c>
      <c r="AA21" s="572">
        <v>1</v>
      </c>
      <c r="AB21" s="687">
        <v>1000000</v>
      </c>
      <c r="AC21" s="665">
        <v>1</v>
      </c>
      <c r="AD21" s="665">
        <v>1</v>
      </c>
      <c r="AE21" s="665"/>
      <c r="AF21" s="665"/>
      <c r="AG21" s="664"/>
      <c r="AH21" s="664"/>
      <c r="AI21" s="307" t="s">
        <v>3453</v>
      </c>
      <c r="AJ21" s="309">
        <v>42856</v>
      </c>
      <c r="AK21" s="309">
        <v>42977</v>
      </c>
      <c r="AL21" s="308"/>
      <c r="AM21" s="308"/>
      <c r="AN21" s="267" t="s">
        <v>2598</v>
      </c>
      <c r="AO21" s="507"/>
      <c r="AP21" s="525"/>
      <c r="AQ21" s="310"/>
      <c r="AR21" s="310"/>
      <c r="AS21" s="310"/>
      <c r="AT21" s="310"/>
      <c r="AU21" s="310"/>
      <c r="AV21" s="310"/>
      <c r="AW21" s="544">
        <f t="shared" si="0"/>
        <v>0</v>
      </c>
      <c r="AX21" s="525"/>
      <c r="AY21" s="310"/>
      <c r="AZ21" s="310"/>
      <c r="BA21" s="310"/>
      <c r="BB21" s="310"/>
      <c r="BC21" s="310"/>
      <c r="BD21" s="310"/>
      <c r="BE21" s="544">
        <f t="shared" si="1"/>
        <v>0</v>
      </c>
      <c r="BF21" s="525"/>
      <c r="BG21" s="310"/>
      <c r="BH21" s="310"/>
      <c r="BI21" s="310"/>
      <c r="BJ21" s="310"/>
      <c r="BK21" s="310"/>
      <c r="BL21" s="310"/>
      <c r="BM21" s="544">
        <f t="shared" si="2"/>
        <v>0</v>
      </c>
      <c r="BN21" s="525"/>
      <c r="BO21" s="310"/>
      <c r="BP21" s="310"/>
      <c r="BQ21" s="310"/>
      <c r="BR21" s="310"/>
      <c r="BS21" s="310"/>
      <c r="BT21" s="310"/>
      <c r="BU21" s="544">
        <f t="shared" si="3"/>
        <v>0</v>
      </c>
      <c r="BV21" s="1582"/>
      <c r="BW21" s="663">
        <f t="shared" si="8"/>
        <v>2</v>
      </c>
      <c r="BX21" s="674">
        <f t="shared" si="9"/>
        <v>0.5</v>
      </c>
      <c r="BY21" s="561">
        <f t="shared" si="10"/>
        <v>1</v>
      </c>
      <c r="BZ21" s="674">
        <f t="shared" si="11"/>
        <v>1</v>
      </c>
      <c r="CA21" s="675">
        <f t="shared" si="12"/>
        <v>0</v>
      </c>
      <c r="CB21" s="675">
        <f t="shared" si="13"/>
        <v>0</v>
      </c>
    </row>
    <row r="22" spans="1:80" ht="78.75" hidden="1" customHeight="1" x14ac:dyDescent="0.25">
      <c r="A22" s="298" t="s">
        <v>38</v>
      </c>
      <c r="B22" s="299" t="str">
        <f>'PLAN INDICATIVO'!B21</f>
        <v>Educación</v>
      </c>
      <c r="C22" s="1547"/>
      <c r="D22" s="1549"/>
      <c r="E22" s="1549"/>
      <c r="F22" s="1549"/>
      <c r="G22" s="1549"/>
      <c r="H22" s="1549"/>
      <c r="I22" s="300">
        <f>'PLAN INDICATIVO'!I21</f>
        <v>0</v>
      </c>
      <c r="J22" s="300">
        <f>'PLAN INDICATIVO'!J21</f>
        <v>0</v>
      </c>
      <c r="K22" s="1425" t="str">
        <f>'PLAN INDICATIVO'!K21</f>
        <v>A.1.1.14</v>
      </c>
      <c r="L22" s="301" t="str">
        <f>'PLAN INDICATIVO'!L21</f>
        <v>4. Educación de calidad</v>
      </c>
      <c r="M22" s="301" t="str">
        <f>'PLAN INDICATIVO'!M21</f>
        <v>Secretaría de Educación, Cultura, deporte y Turismo</v>
      </c>
      <c r="N22" s="1425" t="str">
        <f>'PLAN INDICATIVO'!N21</f>
        <v>YIMI FERNANDO LOSADA PAYA</v>
      </c>
      <c r="O22" s="1425" t="str">
        <f>'PLAN INDICATIVO'!O21</f>
        <v>Mantenimiento</v>
      </c>
      <c r="P22" s="16" t="str">
        <f>'PLAN INDICATIVO'!P21</f>
        <v>Gestionar el acceso al sistema escolar de la población víctima por fuera del sistema, durante el cuatrienio</v>
      </c>
      <c r="Q22" s="302" t="str">
        <f>'PLAN INDICATIVO'!Q21</f>
        <v>No. De Rutas especializadas creadas durante el cuatrienio</v>
      </c>
      <c r="R22" s="303">
        <f>'PLAN INDICATIVO'!R21</f>
        <v>2015</v>
      </c>
      <c r="S22" s="304">
        <v>0</v>
      </c>
      <c r="T22" s="677">
        <v>1</v>
      </c>
      <c r="U22" s="303">
        <v>0</v>
      </c>
      <c r="V22" s="687">
        <v>5</v>
      </c>
      <c r="W22" s="572">
        <v>1</v>
      </c>
      <c r="X22" s="687">
        <v>5000000</v>
      </c>
      <c r="Y22" s="572">
        <v>1</v>
      </c>
      <c r="Z22" s="687">
        <v>500000</v>
      </c>
      <c r="AA22" s="572">
        <v>1</v>
      </c>
      <c r="AB22" s="687">
        <v>1000000</v>
      </c>
      <c r="AC22" s="665">
        <v>0</v>
      </c>
      <c r="AD22" s="665">
        <v>1</v>
      </c>
      <c r="AE22" s="665"/>
      <c r="AF22" s="665"/>
      <c r="AG22" s="664"/>
      <c r="AH22" s="664"/>
      <c r="AI22" s="307" t="s">
        <v>3454</v>
      </c>
      <c r="AJ22" s="309">
        <v>42795</v>
      </c>
      <c r="AK22" s="309">
        <v>42977</v>
      </c>
      <c r="AL22" s="308"/>
      <c r="AM22" s="308"/>
      <c r="AN22" s="267" t="s">
        <v>2598</v>
      </c>
      <c r="AO22" s="507" t="s">
        <v>2635</v>
      </c>
      <c r="AP22" s="525"/>
      <c r="AQ22" s="310"/>
      <c r="AR22" s="310"/>
      <c r="AS22" s="310"/>
      <c r="AT22" s="310"/>
      <c r="AU22" s="310"/>
      <c r="AV22" s="310"/>
      <c r="AW22" s="544">
        <f t="shared" si="0"/>
        <v>0</v>
      </c>
      <c r="AX22" s="525"/>
      <c r="AY22" s="310"/>
      <c r="AZ22" s="310"/>
      <c r="BA22" s="310"/>
      <c r="BB22" s="310"/>
      <c r="BC22" s="310"/>
      <c r="BD22" s="310"/>
      <c r="BE22" s="544">
        <f t="shared" si="1"/>
        <v>0</v>
      </c>
      <c r="BF22" s="525"/>
      <c r="BG22" s="310"/>
      <c r="BH22" s="310"/>
      <c r="BI22" s="310"/>
      <c r="BJ22" s="310"/>
      <c r="BK22" s="310"/>
      <c r="BL22" s="310"/>
      <c r="BM22" s="544">
        <f t="shared" si="2"/>
        <v>0</v>
      </c>
      <c r="BN22" s="525"/>
      <c r="BO22" s="310"/>
      <c r="BP22" s="310"/>
      <c r="BQ22" s="310"/>
      <c r="BR22" s="310"/>
      <c r="BS22" s="310"/>
      <c r="BT22" s="310"/>
      <c r="BU22" s="544">
        <f t="shared" si="3"/>
        <v>0</v>
      </c>
      <c r="BV22" s="1582"/>
      <c r="BW22" s="663">
        <f t="shared" si="8"/>
        <v>1</v>
      </c>
      <c r="BX22" s="674">
        <f t="shared" si="9"/>
        <v>1</v>
      </c>
      <c r="BY22" s="561" t="e">
        <f t="shared" si="10"/>
        <v>#DIV/0!</v>
      </c>
      <c r="BZ22" s="674">
        <f t="shared" si="11"/>
        <v>1</v>
      </c>
      <c r="CA22" s="675">
        <f t="shared" si="12"/>
        <v>0</v>
      </c>
      <c r="CB22" s="675">
        <f t="shared" si="13"/>
        <v>0</v>
      </c>
    </row>
    <row r="23" spans="1:80" ht="66.75" hidden="1" customHeight="1" x14ac:dyDescent="0.25">
      <c r="A23" s="298" t="s">
        <v>38</v>
      </c>
      <c r="B23" s="299" t="str">
        <f>'PLAN INDICATIVO'!B22</f>
        <v>Educación</v>
      </c>
      <c r="C23" s="1548"/>
      <c r="D23" s="1549"/>
      <c r="E23" s="1549"/>
      <c r="F23" s="1549"/>
      <c r="G23" s="1549"/>
      <c r="H23" s="1549"/>
      <c r="I23" s="300">
        <f>'PLAN INDICATIVO'!I22</f>
        <v>0</v>
      </c>
      <c r="J23" s="300">
        <f>'PLAN INDICATIVO'!J22</f>
        <v>0</v>
      </c>
      <c r="K23" s="1425" t="str">
        <f>'PLAN INDICATIVO'!K22</f>
        <v>A.1.1.15</v>
      </c>
      <c r="L23" s="301" t="str">
        <f>'PLAN INDICATIVO'!L22</f>
        <v>4. Educación de calidad</v>
      </c>
      <c r="M23" s="301" t="str">
        <f>'PLAN INDICATIVO'!M22</f>
        <v>Secretaría de Educación, Cultura, deporte y Turismo</v>
      </c>
      <c r="N23" s="1425" t="str">
        <f>'PLAN INDICATIVO'!N22</f>
        <v>YIMI FERNANDO LOSADA PAYA</v>
      </c>
      <c r="O23" s="1425" t="str">
        <f>'PLAN INDICATIVO'!O22</f>
        <v>Mantenimiento</v>
      </c>
      <c r="P23" s="16" t="str">
        <f>'PLAN INDICATIVO'!P22</f>
        <v>Implementar un programa de orientación y vocación profesional para estudiantes de educación media cada año</v>
      </c>
      <c r="Q23" s="302" t="str">
        <f>'PLAN INDICATIVO'!Q22</f>
        <v>No. de programas en el cuatrenio</v>
      </c>
      <c r="R23" s="303">
        <f>'PLAN INDICATIVO'!R22</f>
        <v>2015</v>
      </c>
      <c r="S23" s="304">
        <v>0</v>
      </c>
      <c r="T23" s="677">
        <v>1</v>
      </c>
      <c r="U23" s="303">
        <v>1</v>
      </c>
      <c r="V23" s="687">
        <v>5</v>
      </c>
      <c r="W23" s="572">
        <v>1</v>
      </c>
      <c r="X23" s="687">
        <v>5000000</v>
      </c>
      <c r="Y23" s="572">
        <v>1</v>
      </c>
      <c r="Z23" s="687">
        <v>500000</v>
      </c>
      <c r="AA23" s="572">
        <v>1</v>
      </c>
      <c r="AB23" s="687">
        <v>1000000</v>
      </c>
      <c r="AC23" s="665">
        <v>0</v>
      </c>
      <c r="AD23" s="665">
        <v>1</v>
      </c>
      <c r="AE23" s="665"/>
      <c r="AF23" s="665"/>
      <c r="AG23" s="664"/>
      <c r="AH23" s="664"/>
      <c r="AI23" s="307" t="s">
        <v>3455</v>
      </c>
      <c r="AJ23" s="309">
        <v>42826</v>
      </c>
      <c r="AK23" s="309">
        <v>43008</v>
      </c>
      <c r="AL23" s="308"/>
      <c r="AM23" s="308"/>
      <c r="AN23" s="267" t="s">
        <v>2598</v>
      </c>
      <c r="AO23" s="507" t="s">
        <v>2635</v>
      </c>
      <c r="AP23" s="525"/>
      <c r="AQ23" s="310"/>
      <c r="AR23" s="310"/>
      <c r="AS23" s="310"/>
      <c r="AT23" s="310"/>
      <c r="AU23" s="310"/>
      <c r="AV23" s="310"/>
      <c r="AW23" s="544">
        <f t="shared" si="0"/>
        <v>0</v>
      </c>
      <c r="AX23" s="525"/>
      <c r="AY23" s="310"/>
      <c r="AZ23" s="310"/>
      <c r="BA23" s="310"/>
      <c r="BB23" s="310"/>
      <c r="BC23" s="310"/>
      <c r="BD23" s="310"/>
      <c r="BE23" s="544">
        <f t="shared" si="1"/>
        <v>0</v>
      </c>
      <c r="BF23" s="525"/>
      <c r="BG23" s="310"/>
      <c r="BH23" s="310"/>
      <c r="BI23" s="310"/>
      <c r="BJ23" s="310"/>
      <c r="BK23" s="310"/>
      <c r="BL23" s="310"/>
      <c r="BM23" s="544">
        <f t="shared" si="2"/>
        <v>0</v>
      </c>
      <c r="BN23" s="525"/>
      <c r="BO23" s="310"/>
      <c r="BP23" s="310"/>
      <c r="BQ23" s="310"/>
      <c r="BR23" s="310"/>
      <c r="BS23" s="310"/>
      <c r="BT23" s="310"/>
      <c r="BU23" s="544">
        <f t="shared" si="3"/>
        <v>0</v>
      </c>
      <c r="BV23" s="1583"/>
      <c r="BW23" s="663">
        <f t="shared" si="8"/>
        <v>1</v>
      </c>
      <c r="BX23" s="674">
        <f t="shared" si="9"/>
        <v>1</v>
      </c>
      <c r="BY23" s="561">
        <f t="shared" si="10"/>
        <v>0</v>
      </c>
      <c r="BZ23" s="674">
        <f t="shared" si="11"/>
        <v>1</v>
      </c>
      <c r="CA23" s="675">
        <f t="shared" si="12"/>
        <v>0</v>
      </c>
      <c r="CB23" s="675">
        <f t="shared" si="13"/>
        <v>0</v>
      </c>
    </row>
    <row r="24" spans="1:80" ht="39" hidden="1" customHeight="1" x14ac:dyDescent="0.25">
      <c r="A24" s="295" t="s">
        <v>38</v>
      </c>
      <c r="B24" s="24" t="str">
        <f>'PLAN INDICATIVO'!B23</f>
        <v>Educación</v>
      </c>
      <c r="C24" s="1574" t="s">
        <v>94</v>
      </c>
      <c r="D24" s="1575"/>
      <c r="E24" s="1575"/>
      <c r="F24" s="1575"/>
      <c r="G24" s="1575"/>
      <c r="H24" s="1575"/>
      <c r="I24" s="1575"/>
      <c r="J24" s="1575"/>
      <c r="K24" s="1575"/>
      <c r="L24" s="1575"/>
      <c r="M24" s="1575"/>
      <c r="N24" s="1575"/>
      <c r="O24" s="1576"/>
      <c r="P24" s="22"/>
      <c r="Q24" s="22"/>
      <c r="R24" s="1"/>
      <c r="S24" s="261"/>
      <c r="T24" s="681"/>
      <c r="U24" s="261"/>
      <c r="V24" s="689">
        <f>SUM(V25:V42)</f>
        <v>1454.4</v>
      </c>
      <c r="W24" s="261"/>
      <c r="X24" s="689">
        <f>SUM(X25:X42)</f>
        <v>1444750000</v>
      </c>
      <c r="Y24" s="261"/>
      <c r="Z24" s="689">
        <f>SUM(Z25:Z42)</f>
        <v>827500000</v>
      </c>
      <c r="AA24" s="262"/>
      <c r="AB24" s="690">
        <f>SUM(AB25:AB42)</f>
        <v>869000000</v>
      </c>
      <c r="AC24" s="262"/>
      <c r="AD24" s="262"/>
      <c r="AE24" s="262"/>
      <c r="AF24" s="262"/>
      <c r="AG24" s="263"/>
      <c r="AH24" s="263"/>
      <c r="AI24" s="263"/>
      <c r="AJ24" s="262"/>
      <c r="AK24" s="262"/>
      <c r="AL24" s="262"/>
      <c r="AM24" s="262"/>
      <c r="AN24" s="262"/>
      <c r="AO24" s="612"/>
      <c r="AP24" s="614" t="e">
        <f>(AP25:AP42)</f>
        <v>#VALUE!</v>
      </c>
      <c r="AQ24" s="614" t="e">
        <f t="shared" ref="AQ24:AV24" si="14">(AQ25:AQ42)</f>
        <v>#VALUE!</v>
      </c>
      <c r="AR24" s="614" t="e">
        <f t="shared" si="14"/>
        <v>#VALUE!</v>
      </c>
      <c r="AS24" s="614" t="e">
        <f t="shared" si="14"/>
        <v>#VALUE!</v>
      </c>
      <c r="AT24" s="614" t="e">
        <f t="shared" si="14"/>
        <v>#VALUE!</v>
      </c>
      <c r="AU24" s="614" t="e">
        <f t="shared" si="14"/>
        <v>#VALUE!</v>
      </c>
      <c r="AV24" s="614" t="e">
        <f t="shared" si="14"/>
        <v>#VALUE!</v>
      </c>
      <c r="AW24" s="22" t="e">
        <f>SUM(AP24:AP24:AV24)</f>
        <v>#VALUE!</v>
      </c>
      <c r="AX24" s="614" t="e">
        <f>(AX25:AX42)</f>
        <v>#VALUE!</v>
      </c>
      <c r="AY24" s="614" t="e">
        <f t="shared" ref="AY24:BD24" si="15">(AY25:AY42)</f>
        <v>#VALUE!</v>
      </c>
      <c r="AZ24" s="614" t="e">
        <f t="shared" si="15"/>
        <v>#VALUE!</v>
      </c>
      <c r="BA24" s="614" t="e">
        <f t="shared" si="15"/>
        <v>#VALUE!</v>
      </c>
      <c r="BB24" s="614" t="e">
        <f t="shared" si="15"/>
        <v>#VALUE!</v>
      </c>
      <c r="BC24" s="614" t="e">
        <f t="shared" si="15"/>
        <v>#VALUE!</v>
      </c>
      <c r="BD24" s="614" t="e">
        <f t="shared" si="15"/>
        <v>#VALUE!</v>
      </c>
      <c r="BE24" s="22" t="e">
        <f>SUM(AX24:AX24:BD24)</f>
        <v>#VALUE!</v>
      </c>
      <c r="BF24" s="614" t="e">
        <f>(BF25:BF42)</f>
        <v>#VALUE!</v>
      </c>
      <c r="BG24" s="614" t="e">
        <f t="shared" ref="BG24:BL24" si="16">(BG25:BG42)</f>
        <v>#VALUE!</v>
      </c>
      <c r="BH24" s="614" t="e">
        <f t="shared" si="16"/>
        <v>#VALUE!</v>
      </c>
      <c r="BI24" s="614" t="e">
        <f t="shared" si="16"/>
        <v>#VALUE!</v>
      </c>
      <c r="BJ24" s="614" t="e">
        <f t="shared" si="16"/>
        <v>#VALUE!</v>
      </c>
      <c r="BK24" s="614" t="e">
        <f t="shared" si="16"/>
        <v>#VALUE!</v>
      </c>
      <c r="BL24" s="614" t="e">
        <f t="shared" si="16"/>
        <v>#VALUE!</v>
      </c>
      <c r="BM24" s="22" t="e">
        <f>SUM(BF24:BF24:BL24)</f>
        <v>#VALUE!</v>
      </c>
      <c r="BN24" s="614" t="e">
        <f>(BN25:BN42)</f>
        <v>#VALUE!</v>
      </c>
      <c r="BO24" s="614" t="e">
        <f t="shared" ref="BO24:BT24" si="17">(BO25:BO42)</f>
        <v>#VALUE!</v>
      </c>
      <c r="BP24" s="614" t="e">
        <f t="shared" si="17"/>
        <v>#VALUE!</v>
      </c>
      <c r="BQ24" s="614" t="e">
        <f t="shared" si="17"/>
        <v>#VALUE!</v>
      </c>
      <c r="BR24" s="614" t="e">
        <f t="shared" si="17"/>
        <v>#VALUE!</v>
      </c>
      <c r="BS24" s="614" t="e">
        <f t="shared" si="17"/>
        <v>#VALUE!</v>
      </c>
      <c r="BT24" s="614" t="e">
        <f t="shared" si="17"/>
        <v>#VALUE!</v>
      </c>
      <c r="BU24" s="22" t="e">
        <f>SUM(BN24:BN24:BT24)</f>
        <v>#VALUE!</v>
      </c>
      <c r="BV24" s="22"/>
      <c r="BW24" s="863">
        <f t="shared" si="8"/>
        <v>0</v>
      </c>
      <c r="BX24" s="864" t="e">
        <f t="shared" si="9"/>
        <v>#DIV/0!</v>
      </c>
      <c r="BY24" s="613" t="e">
        <f t="shared" si="10"/>
        <v>#DIV/0!</v>
      </c>
      <c r="BZ24" s="864" t="e">
        <f t="shared" si="11"/>
        <v>#DIV/0!</v>
      </c>
      <c r="CA24" s="1450" t="e">
        <f t="shared" si="12"/>
        <v>#DIV/0!</v>
      </c>
      <c r="CB24" s="675" t="e">
        <f t="shared" si="13"/>
        <v>#DIV/0!</v>
      </c>
    </row>
    <row r="25" spans="1:80" ht="58.5" hidden="1" customHeight="1" x14ac:dyDescent="0.25">
      <c r="A25" s="298" t="s">
        <v>38</v>
      </c>
      <c r="B25" s="299" t="str">
        <f>'PLAN INDICATIVO'!B24</f>
        <v>Educación</v>
      </c>
      <c r="C25" s="1546" t="s">
        <v>95</v>
      </c>
      <c r="D25" s="1549" t="s">
        <v>96</v>
      </c>
      <c r="E25" s="1549" t="s">
        <v>97</v>
      </c>
      <c r="F25" s="1549">
        <v>2014</v>
      </c>
      <c r="G25" s="1549">
        <v>47.54</v>
      </c>
      <c r="H25" s="1549">
        <v>50</v>
      </c>
      <c r="I25" s="300">
        <f>'PLAN INDICATIVO'!I24</f>
        <v>0</v>
      </c>
      <c r="J25" s="300">
        <f>'PLAN INDICATIVO'!J24</f>
        <v>0</v>
      </c>
      <c r="K25" s="1425" t="str">
        <f>'PLAN INDICATIVO'!K24</f>
        <v>A.1.2.1</v>
      </c>
      <c r="L25" s="1425" t="str">
        <f>'PLAN INDICATIVO'!L24</f>
        <v>4. Educación de calidad</v>
      </c>
      <c r="M25" s="1425" t="str">
        <f>'PLAN INDICATIVO'!M24</f>
        <v>Secretaría de Educación, Cultura, deporte y Turismo</v>
      </c>
      <c r="N25" s="1425" t="str">
        <f>'PLAN INDICATIVO'!N24</f>
        <v>YIMI FERNANDO LOSADA PAYA</v>
      </c>
      <c r="O25" s="1425" t="str">
        <f>'PLAN INDICATIVO'!O24</f>
        <v>Incremento</v>
      </c>
      <c r="P25" s="16" t="str">
        <f>'PLAN INDICATIVO'!P24</f>
        <v>Dotar 18 Instituciones educativas con mobiliario y equipo, material didáctico para la enseñanza, durante el cuatrienio.</v>
      </c>
      <c r="Q25" s="302" t="str">
        <f>'PLAN INDICATIVO'!Q24</f>
        <v>No. de centros educativos dotados en el cuatrienio</v>
      </c>
      <c r="R25" s="303">
        <f>'PLAN INDICATIVO'!R24</f>
        <v>2015</v>
      </c>
      <c r="S25" s="304">
        <v>0</v>
      </c>
      <c r="T25" s="677">
        <v>18</v>
      </c>
      <c r="U25" s="303">
        <v>2</v>
      </c>
      <c r="V25" s="687">
        <v>15</v>
      </c>
      <c r="W25" s="572">
        <v>2</v>
      </c>
      <c r="X25" s="687">
        <v>20000000</v>
      </c>
      <c r="Y25" s="572">
        <v>7</v>
      </c>
      <c r="Z25" s="687">
        <v>100000000</v>
      </c>
      <c r="AA25" s="572">
        <v>7</v>
      </c>
      <c r="AB25" s="687">
        <v>100000000</v>
      </c>
      <c r="AC25" s="665">
        <v>2</v>
      </c>
      <c r="AD25" s="665">
        <v>2</v>
      </c>
      <c r="AE25" s="665"/>
      <c r="AF25" s="665"/>
      <c r="AG25" s="306"/>
      <c r="AH25" s="306"/>
      <c r="AI25" s="307" t="s">
        <v>3456</v>
      </c>
      <c r="AJ25" s="309">
        <v>42767</v>
      </c>
      <c r="AK25" s="309">
        <v>43069</v>
      </c>
      <c r="AL25" s="308"/>
      <c r="AM25" s="308"/>
      <c r="AN25" s="267" t="s">
        <v>2598</v>
      </c>
      <c r="AO25" s="507" t="s">
        <v>3457</v>
      </c>
      <c r="AP25" s="525"/>
      <c r="AQ25" s="310"/>
      <c r="AR25" s="310"/>
      <c r="AS25" s="310"/>
      <c r="AT25" s="310"/>
      <c r="AU25" s="310">
        <v>332333000</v>
      </c>
      <c r="AV25" s="310"/>
      <c r="AW25" s="544">
        <f t="shared" si="0"/>
        <v>332333000</v>
      </c>
      <c r="AX25" s="525"/>
      <c r="AY25" s="310"/>
      <c r="AZ25" s="310"/>
      <c r="BA25" s="310"/>
      <c r="BB25" s="310"/>
      <c r="BC25" s="310"/>
      <c r="BD25" s="310"/>
      <c r="BE25" s="544">
        <f t="shared" ref="BE25:BE88" si="18">SUM(AX25:BD25)</f>
        <v>0</v>
      </c>
      <c r="BF25" s="525"/>
      <c r="BG25" s="310"/>
      <c r="BH25" s="310"/>
      <c r="BI25" s="310"/>
      <c r="BJ25" s="310"/>
      <c r="BK25" s="310"/>
      <c r="BL25" s="310"/>
      <c r="BM25" s="544">
        <f t="shared" ref="BM25:BM88" si="19">SUM(BF25:BL25)</f>
        <v>0</v>
      </c>
      <c r="BN25" s="525"/>
      <c r="BO25" s="310"/>
      <c r="BP25" s="310"/>
      <c r="BQ25" s="310"/>
      <c r="BR25" s="310"/>
      <c r="BS25" s="310"/>
      <c r="BT25" s="310"/>
      <c r="BU25" s="544">
        <f t="shared" ref="BU25:BU88" si="20">SUM(BN25:BT25)</f>
        <v>0</v>
      </c>
      <c r="BV25" s="1637" t="s">
        <v>2563</v>
      </c>
      <c r="BW25" s="663">
        <f t="shared" si="8"/>
        <v>4</v>
      </c>
      <c r="BX25" s="674">
        <f t="shared" si="9"/>
        <v>0.22222222222222221</v>
      </c>
      <c r="BY25" s="561">
        <f t="shared" si="10"/>
        <v>1</v>
      </c>
      <c r="BZ25" s="674">
        <f t="shared" si="11"/>
        <v>1</v>
      </c>
      <c r="CA25" s="675">
        <f t="shared" si="12"/>
        <v>0</v>
      </c>
      <c r="CB25" s="675">
        <f t="shared" si="13"/>
        <v>0</v>
      </c>
    </row>
    <row r="26" spans="1:80" ht="69.75" hidden="1" customHeight="1" x14ac:dyDescent="0.25">
      <c r="A26" s="298" t="s">
        <v>38</v>
      </c>
      <c r="B26" s="299" t="str">
        <f>'PLAN INDICATIVO'!B25</f>
        <v>Educación</v>
      </c>
      <c r="C26" s="1547"/>
      <c r="D26" s="1549"/>
      <c r="E26" s="1549"/>
      <c r="F26" s="1549"/>
      <c r="G26" s="1549"/>
      <c r="H26" s="1549"/>
      <c r="I26" s="300">
        <f>'PLAN INDICATIVO'!I25</f>
        <v>0</v>
      </c>
      <c r="J26" s="300">
        <f>'PLAN INDICATIVO'!J25</f>
        <v>0</v>
      </c>
      <c r="K26" s="1425" t="str">
        <f>'PLAN INDICATIVO'!K25</f>
        <v>A.1.2.2</v>
      </c>
      <c r="L26" s="1425" t="str">
        <f>'PLAN INDICATIVO'!L25</f>
        <v>4. Educación de calidad</v>
      </c>
      <c r="M26" s="1425" t="str">
        <f>'PLAN INDICATIVO'!M25</f>
        <v>Secretaría de Educación, Cultura, deporte y Turismo</v>
      </c>
      <c r="N26" s="1425" t="str">
        <f>'PLAN INDICATIVO'!N25</f>
        <v>YIMI FERNANDO LOSADA PAYA</v>
      </c>
      <c r="O26" s="1425" t="str">
        <f>'PLAN INDICATIVO'!O25</f>
        <v>Mantenimiento</v>
      </c>
      <c r="P26" s="16" t="str">
        <f>'PLAN INDICATIVO'!P25</f>
        <v>Apoyar a 18 Instituciones Educativas con recursos para garantizar la gratuidad en la educación cada año</v>
      </c>
      <c r="Q26" s="302" t="str">
        <f>'PLAN INDICATIVO'!Q25</f>
        <v>No. De IE apoyadas cada año</v>
      </c>
      <c r="R26" s="303">
        <f>'PLAN INDICATIVO'!R25</f>
        <v>2015</v>
      </c>
      <c r="S26" s="304">
        <v>1</v>
      </c>
      <c r="T26" s="677">
        <v>18</v>
      </c>
      <c r="U26" s="303">
        <v>18</v>
      </c>
      <c r="V26" s="687">
        <v>1282.4000000000001</v>
      </c>
      <c r="W26" s="303">
        <v>18</v>
      </c>
      <c r="X26" s="687">
        <v>1256750000</v>
      </c>
      <c r="Y26" s="303">
        <v>18</v>
      </c>
      <c r="Z26" s="687">
        <v>640000000</v>
      </c>
      <c r="AA26" s="303">
        <v>18</v>
      </c>
      <c r="AB26" s="687">
        <v>670000000</v>
      </c>
      <c r="AC26" s="665">
        <v>18</v>
      </c>
      <c r="AD26" s="665">
        <v>1</v>
      </c>
      <c r="AE26" s="665"/>
      <c r="AF26" s="665"/>
      <c r="AG26" s="306"/>
      <c r="AH26" s="306"/>
      <c r="AI26" s="307" t="s">
        <v>3458</v>
      </c>
      <c r="AJ26" s="309">
        <v>42491</v>
      </c>
      <c r="AK26" s="309">
        <v>43069</v>
      </c>
      <c r="AL26" s="308"/>
      <c r="AM26" s="308"/>
      <c r="AN26" s="267" t="s">
        <v>2598</v>
      </c>
      <c r="AO26" s="507" t="s">
        <v>3459</v>
      </c>
      <c r="AP26" s="525"/>
      <c r="AQ26" s="310"/>
      <c r="AR26" s="310"/>
      <c r="AS26" s="310"/>
      <c r="AT26" s="310"/>
      <c r="AU26" s="310"/>
      <c r="AV26" s="310"/>
      <c r="AW26" s="544">
        <f t="shared" si="0"/>
        <v>0</v>
      </c>
      <c r="AX26" s="525"/>
      <c r="AY26" s="310"/>
      <c r="AZ26" s="310"/>
      <c r="BA26" s="310"/>
      <c r="BB26" s="310"/>
      <c r="BC26" s="310"/>
      <c r="BD26" s="310"/>
      <c r="BE26" s="544">
        <f t="shared" si="18"/>
        <v>0</v>
      </c>
      <c r="BF26" s="525"/>
      <c r="BG26" s="310"/>
      <c r="BH26" s="310"/>
      <c r="BI26" s="310"/>
      <c r="BJ26" s="310"/>
      <c r="BK26" s="310"/>
      <c r="BL26" s="310"/>
      <c r="BM26" s="544">
        <f t="shared" si="19"/>
        <v>0</v>
      </c>
      <c r="BN26" s="525"/>
      <c r="BO26" s="310"/>
      <c r="BP26" s="310"/>
      <c r="BQ26" s="310"/>
      <c r="BR26" s="310"/>
      <c r="BS26" s="310"/>
      <c r="BT26" s="310"/>
      <c r="BU26" s="544">
        <f t="shared" si="20"/>
        <v>0</v>
      </c>
      <c r="BV26" s="1638"/>
      <c r="BW26" s="663">
        <f t="shared" si="8"/>
        <v>19</v>
      </c>
      <c r="BX26" s="674">
        <f t="shared" si="9"/>
        <v>1.0555555555555556</v>
      </c>
      <c r="BY26" s="835">
        <f t="shared" si="10"/>
        <v>1</v>
      </c>
      <c r="BZ26" s="674">
        <v>1</v>
      </c>
      <c r="CA26" s="675">
        <f t="shared" si="12"/>
        <v>0</v>
      </c>
      <c r="CB26" s="675">
        <f t="shared" si="13"/>
        <v>0</v>
      </c>
    </row>
    <row r="27" spans="1:80" ht="58.5" hidden="1" customHeight="1" x14ac:dyDescent="0.25">
      <c r="A27" s="298" t="s">
        <v>38</v>
      </c>
      <c r="B27" s="299" t="str">
        <f>'PLAN INDICATIVO'!B26</f>
        <v>Educación</v>
      </c>
      <c r="C27" s="1547"/>
      <c r="D27" s="1549"/>
      <c r="E27" s="1549"/>
      <c r="F27" s="1549"/>
      <c r="G27" s="1549"/>
      <c r="H27" s="1549"/>
      <c r="I27" s="300">
        <f>'PLAN INDICATIVO'!I26</f>
        <v>0</v>
      </c>
      <c r="J27" s="300">
        <f>'PLAN INDICATIVO'!J26</f>
        <v>0</v>
      </c>
      <c r="K27" s="1425" t="str">
        <f>'PLAN INDICATIVO'!K26</f>
        <v>A.1.2.3</v>
      </c>
      <c r="L27" s="1425" t="str">
        <f>'PLAN INDICATIVO'!L26</f>
        <v>4. Educación de calidad</v>
      </c>
      <c r="M27" s="1425" t="str">
        <f>'PLAN INDICATIVO'!M26</f>
        <v>Secretaría de Educación, Cultura, deporte y Turismo</v>
      </c>
      <c r="N27" s="1425" t="str">
        <f>'PLAN INDICATIVO'!N26</f>
        <v>YIMI FERNANDO LOSADA PAYA</v>
      </c>
      <c r="O27" s="1425" t="str">
        <f>'PLAN INDICATIVO'!O26</f>
        <v>Mantenimiento</v>
      </c>
      <c r="P27" s="16" t="str">
        <f>'PLAN INDICATIVO'!P26</f>
        <v xml:space="preserve">Desarrollar 1 programa de capacitación y formación por año dirigido a docentes, directivos y administrativos de las instituciones educativas del municipio </v>
      </c>
      <c r="Q27" s="302" t="str">
        <f>'PLAN INDICATIVO'!Q26</f>
        <v>No. Programas de capacitación y formación dirigidos a directivos y administrativos de IE desarrollados cada año</v>
      </c>
      <c r="R27" s="303">
        <f>'PLAN INDICATIVO'!R26</f>
        <v>2015</v>
      </c>
      <c r="S27" s="304">
        <v>0</v>
      </c>
      <c r="T27" s="677">
        <v>4</v>
      </c>
      <c r="U27" s="303">
        <v>1</v>
      </c>
      <c r="V27" s="687">
        <v>15</v>
      </c>
      <c r="W27" s="572">
        <v>1</v>
      </c>
      <c r="X27" s="687">
        <v>25000000</v>
      </c>
      <c r="Y27" s="572">
        <v>1</v>
      </c>
      <c r="Z27" s="687">
        <v>2500000</v>
      </c>
      <c r="AA27" s="572">
        <v>1</v>
      </c>
      <c r="AB27" s="687">
        <v>1500000</v>
      </c>
      <c r="AC27" s="665">
        <v>1</v>
      </c>
      <c r="AD27" s="665">
        <v>1</v>
      </c>
      <c r="AE27" s="665"/>
      <c r="AF27" s="665"/>
      <c r="AG27" s="306"/>
      <c r="AH27" s="982"/>
      <c r="AI27" s="882" t="s">
        <v>3460</v>
      </c>
      <c r="AJ27" s="309">
        <v>42826</v>
      </c>
      <c r="AK27" s="309">
        <v>42916</v>
      </c>
      <c r="AL27" s="308"/>
      <c r="AM27" s="308"/>
      <c r="AN27" s="267" t="s">
        <v>2598</v>
      </c>
      <c r="AO27" s="507" t="s">
        <v>3461</v>
      </c>
      <c r="AP27" s="526"/>
      <c r="AQ27" s="470">
        <v>15000000</v>
      </c>
      <c r="AR27" s="470"/>
      <c r="AS27" s="470"/>
      <c r="AT27" s="470"/>
      <c r="AU27" s="470"/>
      <c r="AV27" s="470"/>
      <c r="AW27" s="544">
        <f t="shared" si="0"/>
        <v>15000000</v>
      </c>
      <c r="AX27" s="526"/>
      <c r="AY27" s="470"/>
      <c r="AZ27" s="470"/>
      <c r="BA27" s="470"/>
      <c r="BB27" s="470"/>
      <c r="BC27" s="470"/>
      <c r="BD27" s="470"/>
      <c r="BE27" s="544">
        <f t="shared" si="18"/>
        <v>0</v>
      </c>
      <c r="BF27" s="526"/>
      <c r="BG27" s="470"/>
      <c r="BH27" s="470"/>
      <c r="BI27" s="470"/>
      <c r="BJ27" s="470"/>
      <c r="BK27" s="470"/>
      <c r="BL27" s="470"/>
      <c r="BM27" s="544">
        <f t="shared" si="19"/>
        <v>0</v>
      </c>
      <c r="BN27" s="526"/>
      <c r="BO27" s="470"/>
      <c r="BP27" s="470"/>
      <c r="BQ27" s="470"/>
      <c r="BR27" s="470"/>
      <c r="BS27" s="470"/>
      <c r="BT27" s="470"/>
      <c r="BU27" s="544">
        <f t="shared" si="20"/>
        <v>0</v>
      </c>
      <c r="BV27" s="1638"/>
      <c r="BW27" s="663">
        <f t="shared" si="8"/>
        <v>2</v>
      </c>
      <c r="BX27" s="674">
        <f t="shared" si="9"/>
        <v>0.5</v>
      </c>
      <c r="BY27" s="561">
        <f t="shared" si="10"/>
        <v>1</v>
      </c>
      <c r="BZ27" s="674">
        <f t="shared" si="11"/>
        <v>1</v>
      </c>
      <c r="CA27" s="675">
        <f t="shared" si="12"/>
        <v>0</v>
      </c>
      <c r="CB27" s="675">
        <f t="shared" si="13"/>
        <v>0</v>
      </c>
    </row>
    <row r="28" spans="1:80" ht="48.75" hidden="1" customHeight="1" x14ac:dyDescent="0.25">
      <c r="A28" s="298" t="s">
        <v>38</v>
      </c>
      <c r="B28" s="299" t="str">
        <f>'PLAN INDICATIVO'!B27</f>
        <v>Educación</v>
      </c>
      <c r="C28" s="1547"/>
      <c r="D28" s="1549"/>
      <c r="E28" s="1549"/>
      <c r="F28" s="1549"/>
      <c r="G28" s="1549"/>
      <c r="H28" s="1549"/>
      <c r="I28" s="300">
        <f>'PLAN INDICATIVO'!I27</f>
        <v>0</v>
      </c>
      <c r="J28" s="300">
        <f>'PLAN INDICATIVO'!J27</f>
        <v>0</v>
      </c>
      <c r="K28" s="1425" t="str">
        <f>'PLAN INDICATIVO'!K27</f>
        <v>A.1.2.4</v>
      </c>
      <c r="L28" s="1425" t="str">
        <f>'PLAN INDICATIVO'!L27</f>
        <v>4. Educación de calidad</v>
      </c>
      <c r="M28" s="1425" t="str">
        <f>'PLAN INDICATIVO'!M27</f>
        <v>Secretaría de Educación, Cultura, deporte y Turismo</v>
      </c>
      <c r="N28" s="1425" t="str">
        <f>'PLAN INDICATIVO'!N27</f>
        <v>YIMI FERNANDO LOSADA PAYA</v>
      </c>
      <c r="O28" s="1425" t="str">
        <f>'PLAN INDICATIVO'!O27</f>
        <v>Mantenimiento</v>
      </c>
      <c r="P28" s="16" t="str">
        <f>'PLAN INDICATIVO'!P27</f>
        <v>Implementar cada año 1 estrategia para mejorar los resultados en las pruebas SABER en el municipio</v>
      </c>
      <c r="Q28" s="302" t="str">
        <f>'PLAN INDICATIVO'!Q27</f>
        <v>No. de estrategias implementadas cada año</v>
      </c>
      <c r="R28" s="303">
        <f>'PLAN INDICATIVO'!R27</f>
        <v>2015</v>
      </c>
      <c r="S28" s="304">
        <v>0</v>
      </c>
      <c r="T28" s="677">
        <v>4</v>
      </c>
      <c r="U28" s="303">
        <v>1</v>
      </c>
      <c r="V28" s="687">
        <v>70</v>
      </c>
      <c r="W28" s="572">
        <v>1</v>
      </c>
      <c r="X28" s="687">
        <v>70000000</v>
      </c>
      <c r="Y28" s="572">
        <v>1</v>
      </c>
      <c r="Z28" s="687">
        <v>70000000</v>
      </c>
      <c r="AA28" s="572">
        <v>1</v>
      </c>
      <c r="AB28" s="687">
        <v>79000000</v>
      </c>
      <c r="AC28" s="665">
        <v>1</v>
      </c>
      <c r="AD28" s="665">
        <v>1</v>
      </c>
      <c r="AE28" s="665"/>
      <c r="AF28" s="665"/>
      <c r="AG28" s="306"/>
      <c r="AH28" s="306"/>
      <c r="AI28" s="307" t="s">
        <v>3462</v>
      </c>
      <c r="AJ28" s="309">
        <v>42826</v>
      </c>
      <c r="AK28" s="309">
        <v>42946</v>
      </c>
      <c r="AL28" s="308"/>
      <c r="AM28" s="308"/>
      <c r="AN28" s="267" t="s">
        <v>2598</v>
      </c>
      <c r="AO28" s="507" t="s">
        <v>3463</v>
      </c>
      <c r="AP28" s="525"/>
      <c r="AQ28" s="310">
        <v>40000000</v>
      </c>
      <c r="AR28" s="310"/>
      <c r="AS28" s="310"/>
      <c r="AT28" s="310"/>
      <c r="AU28" s="310"/>
      <c r="AV28" s="310"/>
      <c r="AW28" s="544">
        <f t="shared" si="0"/>
        <v>40000000</v>
      </c>
      <c r="AX28" s="525"/>
      <c r="AY28" s="310"/>
      <c r="AZ28" s="310"/>
      <c r="BA28" s="310"/>
      <c r="BB28" s="310"/>
      <c r="BC28" s="310"/>
      <c r="BD28" s="310"/>
      <c r="BE28" s="544">
        <f t="shared" si="18"/>
        <v>0</v>
      </c>
      <c r="BF28" s="525"/>
      <c r="BG28" s="310"/>
      <c r="BH28" s="310"/>
      <c r="BI28" s="310"/>
      <c r="BJ28" s="310"/>
      <c r="BK28" s="310"/>
      <c r="BL28" s="310"/>
      <c r="BM28" s="544">
        <f t="shared" si="19"/>
        <v>0</v>
      </c>
      <c r="BN28" s="525"/>
      <c r="BO28" s="310"/>
      <c r="BP28" s="310"/>
      <c r="BQ28" s="310"/>
      <c r="BR28" s="310"/>
      <c r="BS28" s="310"/>
      <c r="BT28" s="310"/>
      <c r="BU28" s="544">
        <f t="shared" si="20"/>
        <v>0</v>
      </c>
      <c r="BV28" s="1638"/>
      <c r="BW28" s="663">
        <f t="shared" si="8"/>
        <v>2</v>
      </c>
      <c r="BX28" s="674">
        <f t="shared" si="9"/>
        <v>0.5</v>
      </c>
      <c r="BY28" s="561">
        <f t="shared" si="10"/>
        <v>1</v>
      </c>
      <c r="BZ28" s="674">
        <f t="shared" si="11"/>
        <v>1</v>
      </c>
      <c r="CA28" s="675">
        <f t="shared" si="12"/>
        <v>0</v>
      </c>
      <c r="CB28" s="675">
        <f t="shared" si="13"/>
        <v>0</v>
      </c>
    </row>
    <row r="29" spans="1:80" ht="71.25" hidden="1" customHeight="1" x14ac:dyDescent="0.25">
      <c r="A29" s="298" t="s">
        <v>38</v>
      </c>
      <c r="B29" s="299" t="str">
        <f>'PLAN INDICATIVO'!B28</f>
        <v>Educación</v>
      </c>
      <c r="C29" s="1547"/>
      <c r="D29" s="1549"/>
      <c r="E29" s="1549"/>
      <c r="F29" s="1549"/>
      <c r="G29" s="1549"/>
      <c r="H29" s="1549"/>
      <c r="I29" s="300">
        <f>'PLAN INDICATIVO'!I28</f>
        <v>0</v>
      </c>
      <c r="J29" s="300">
        <f>'PLAN INDICATIVO'!J28</f>
        <v>0</v>
      </c>
      <c r="K29" s="1425" t="str">
        <f>'PLAN INDICATIVO'!K28</f>
        <v>A.1.2.5</v>
      </c>
      <c r="L29" s="1425" t="str">
        <f>'PLAN INDICATIVO'!L28</f>
        <v>4. Educación de calidad</v>
      </c>
      <c r="M29" s="1425" t="str">
        <f>'PLAN INDICATIVO'!M28</f>
        <v>Secretaría de Educación, Cultura, deporte y Turismo</v>
      </c>
      <c r="N29" s="1425" t="str">
        <f>'PLAN INDICATIVO'!N28</f>
        <v>YIMI FERNANDO LOSADA PAYA</v>
      </c>
      <c r="O29" s="1425" t="str">
        <f>'PLAN INDICATIVO'!O28</f>
        <v>Mantenimiento</v>
      </c>
      <c r="P29" s="25" t="str">
        <f>'PLAN INDICATIVO'!P28</f>
        <v>Implementar 1 Programa de apoyo a la educación superior, para estudiantes con excelentes promedios académicos durante el cuatrienio.</v>
      </c>
      <c r="Q29" s="302" t="str">
        <f>'PLAN INDICATIVO'!Q28</f>
        <v>No. De programas de apoyo implementados cada año</v>
      </c>
      <c r="R29" s="303">
        <f>'PLAN INDICATIVO'!R28</f>
        <v>2015</v>
      </c>
      <c r="S29" s="304">
        <v>1</v>
      </c>
      <c r="T29" s="677">
        <v>1</v>
      </c>
      <c r="U29" s="303">
        <v>0</v>
      </c>
      <c r="V29" s="687">
        <v>20</v>
      </c>
      <c r="W29" s="823">
        <v>0</v>
      </c>
      <c r="X29" s="687">
        <v>25000000</v>
      </c>
      <c r="Y29" s="572">
        <v>1</v>
      </c>
      <c r="Z29" s="687">
        <v>500000</v>
      </c>
      <c r="AA29" s="572">
        <v>1</v>
      </c>
      <c r="AB29" s="687">
        <v>1000000</v>
      </c>
      <c r="AC29" s="665">
        <v>0</v>
      </c>
      <c r="AD29" s="665"/>
      <c r="AE29" s="665"/>
      <c r="AF29" s="665"/>
      <c r="AG29" s="306"/>
      <c r="AH29" s="306"/>
      <c r="AI29" s="307"/>
      <c r="AJ29" s="309">
        <v>42767</v>
      </c>
      <c r="AK29" s="309">
        <v>42916</v>
      </c>
      <c r="AL29" s="308"/>
      <c r="AM29" s="308"/>
      <c r="AN29" s="267" t="s">
        <v>2594</v>
      </c>
      <c r="AO29" s="507"/>
      <c r="AP29" s="525"/>
      <c r="AQ29" s="310"/>
      <c r="AR29" s="310"/>
      <c r="AS29" s="310"/>
      <c r="AT29" s="310"/>
      <c r="AU29" s="310"/>
      <c r="AV29" s="310"/>
      <c r="AW29" s="544">
        <f t="shared" si="0"/>
        <v>0</v>
      </c>
      <c r="AX29" s="525"/>
      <c r="AY29" s="310"/>
      <c r="AZ29" s="310"/>
      <c r="BA29" s="310"/>
      <c r="BB29" s="310"/>
      <c r="BC29" s="310"/>
      <c r="BD29" s="310"/>
      <c r="BE29" s="544">
        <f t="shared" si="18"/>
        <v>0</v>
      </c>
      <c r="BF29" s="525"/>
      <c r="BG29" s="310"/>
      <c r="BH29" s="310"/>
      <c r="BI29" s="310"/>
      <c r="BJ29" s="310"/>
      <c r="BK29" s="310"/>
      <c r="BL29" s="310"/>
      <c r="BM29" s="544">
        <f t="shared" si="19"/>
        <v>0</v>
      </c>
      <c r="BN29" s="525"/>
      <c r="BO29" s="310"/>
      <c r="BP29" s="310"/>
      <c r="BQ29" s="310"/>
      <c r="BR29" s="310"/>
      <c r="BS29" s="310"/>
      <c r="BT29" s="310"/>
      <c r="BU29" s="544">
        <f t="shared" si="20"/>
        <v>0</v>
      </c>
      <c r="BV29" s="1638"/>
      <c r="BW29" s="663">
        <f t="shared" si="8"/>
        <v>0</v>
      </c>
      <c r="BX29" s="674">
        <f t="shared" si="9"/>
        <v>0</v>
      </c>
      <c r="BY29" s="561" t="e">
        <f t="shared" si="10"/>
        <v>#DIV/0!</v>
      </c>
      <c r="BZ29" s="674" t="e">
        <f t="shared" si="11"/>
        <v>#DIV/0!</v>
      </c>
      <c r="CA29" s="675">
        <f t="shared" si="12"/>
        <v>0</v>
      </c>
      <c r="CB29" s="675">
        <f t="shared" si="13"/>
        <v>0</v>
      </c>
    </row>
    <row r="30" spans="1:80" ht="69.75" hidden="1" customHeight="1" x14ac:dyDescent="0.25">
      <c r="A30" s="298" t="s">
        <v>38</v>
      </c>
      <c r="B30" s="299" t="str">
        <f>'PLAN INDICATIVO'!B29</f>
        <v>Educación</v>
      </c>
      <c r="C30" s="1547"/>
      <c r="D30" s="1549"/>
      <c r="E30" s="1549"/>
      <c r="F30" s="1549"/>
      <c r="G30" s="1549"/>
      <c r="H30" s="1549"/>
      <c r="I30" s="300">
        <f>'PLAN INDICATIVO'!I29</f>
        <v>0</v>
      </c>
      <c r="J30" s="300">
        <f>'PLAN INDICATIVO'!J29</f>
        <v>0</v>
      </c>
      <c r="K30" s="1425" t="str">
        <f>'PLAN INDICATIVO'!K29</f>
        <v>A.1.2.6</v>
      </c>
      <c r="L30" s="1425" t="str">
        <f>'PLAN INDICATIVO'!L29</f>
        <v>4. Educación de calidad</v>
      </c>
      <c r="M30" s="1425" t="str">
        <f>'PLAN INDICATIVO'!M29</f>
        <v>Secretaría de Educación, Cultura, deporte y Turismo</v>
      </c>
      <c r="N30" s="1425" t="str">
        <f>'PLAN INDICATIVO'!N29</f>
        <v>YIMI FERNANDO LOSADA PAYA</v>
      </c>
      <c r="O30" s="1425" t="str">
        <f>'PLAN INDICATIVO'!O29</f>
        <v>Incremento</v>
      </c>
      <c r="P30" s="16" t="str">
        <f>'PLAN INDICATIVO'!P29</f>
        <v>Realizar 4 foros educativos durante el cuatrienio</v>
      </c>
      <c r="Q30" s="302" t="str">
        <f>'PLAN INDICATIVO'!Q29</f>
        <v>No. de foros realizados durante el cuatrienio</v>
      </c>
      <c r="R30" s="303">
        <f>'PLAN INDICATIVO'!R29</f>
        <v>2015</v>
      </c>
      <c r="S30" s="304">
        <v>1</v>
      </c>
      <c r="T30" s="677">
        <v>4</v>
      </c>
      <c r="U30" s="303">
        <v>1</v>
      </c>
      <c r="V30" s="687">
        <v>5</v>
      </c>
      <c r="W30" s="572">
        <v>1</v>
      </c>
      <c r="X30" s="687">
        <v>5000000</v>
      </c>
      <c r="Y30" s="572">
        <v>1</v>
      </c>
      <c r="Z30" s="687">
        <v>4500000</v>
      </c>
      <c r="AA30" s="572">
        <v>1</v>
      </c>
      <c r="AB30" s="687">
        <v>3000000</v>
      </c>
      <c r="AC30" s="665">
        <v>1</v>
      </c>
      <c r="AD30" s="665">
        <v>1</v>
      </c>
      <c r="AE30" s="665"/>
      <c r="AF30" s="665"/>
      <c r="AG30" s="306"/>
      <c r="AH30" s="306"/>
      <c r="AI30" s="307" t="s">
        <v>3464</v>
      </c>
      <c r="AJ30" s="309">
        <v>42948</v>
      </c>
      <c r="AK30" s="309">
        <v>43039</v>
      </c>
      <c r="AL30" s="308"/>
      <c r="AM30" s="308"/>
      <c r="AN30" s="267" t="s">
        <v>2598</v>
      </c>
      <c r="AO30" s="507" t="s">
        <v>3465</v>
      </c>
      <c r="AP30" s="525"/>
      <c r="AQ30" s="310">
        <v>15000000</v>
      </c>
      <c r="AR30" s="310"/>
      <c r="AS30" s="310"/>
      <c r="AT30" s="310"/>
      <c r="AU30" s="310"/>
      <c r="AV30" s="310"/>
      <c r="AW30" s="544">
        <f t="shared" si="0"/>
        <v>15000000</v>
      </c>
      <c r="AX30" s="525"/>
      <c r="AY30" s="310"/>
      <c r="AZ30" s="310"/>
      <c r="BA30" s="310"/>
      <c r="BB30" s="310"/>
      <c r="BC30" s="310"/>
      <c r="BD30" s="310"/>
      <c r="BE30" s="544">
        <f t="shared" si="18"/>
        <v>0</v>
      </c>
      <c r="BF30" s="525"/>
      <c r="BG30" s="310"/>
      <c r="BH30" s="310"/>
      <c r="BI30" s="310"/>
      <c r="BJ30" s="310"/>
      <c r="BK30" s="310"/>
      <c r="BL30" s="310"/>
      <c r="BM30" s="544">
        <f t="shared" si="19"/>
        <v>0</v>
      </c>
      <c r="BN30" s="525"/>
      <c r="BO30" s="310"/>
      <c r="BP30" s="310"/>
      <c r="BQ30" s="310"/>
      <c r="BR30" s="310"/>
      <c r="BS30" s="310"/>
      <c r="BT30" s="310"/>
      <c r="BU30" s="544">
        <f t="shared" si="20"/>
        <v>0</v>
      </c>
      <c r="BV30" s="1638"/>
      <c r="BW30" s="663">
        <f t="shared" si="8"/>
        <v>2</v>
      </c>
      <c r="BX30" s="674">
        <f t="shared" si="9"/>
        <v>0.5</v>
      </c>
      <c r="BY30" s="561">
        <f t="shared" si="10"/>
        <v>1</v>
      </c>
      <c r="BZ30" s="674">
        <f t="shared" si="11"/>
        <v>1</v>
      </c>
      <c r="CA30" s="675">
        <f t="shared" si="12"/>
        <v>0</v>
      </c>
      <c r="CB30" s="675">
        <f t="shared" si="13"/>
        <v>0</v>
      </c>
    </row>
    <row r="31" spans="1:80" ht="105" hidden="1" customHeight="1" x14ac:dyDescent="0.25">
      <c r="A31" s="298" t="s">
        <v>38</v>
      </c>
      <c r="B31" s="299" t="str">
        <f>'PLAN INDICATIVO'!B30</f>
        <v>Educación</v>
      </c>
      <c r="C31" s="1547"/>
      <c r="D31" s="1549"/>
      <c r="E31" s="1549"/>
      <c r="F31" s="1549"/>
      <c r="G31" s="1549"/>
      <c r="H31" s="1549"/>
      <c r="I31" s="300">
        <f>'PLAN INDICATIVO'!I30</f>
        <v>0</v>
      </c>
      <c r="J31" s="300">
        <f>'PLAN INDICATIVO'!J30</f>
        <v>0</v>
      </c>
      <c r="K31" s="1425" t="str">
        <f>'PLAN INDICATIVO'!K30</f>
        <v>A.1.2.7</v>
      </c>
      <c r="L31" s="1425" t="str">
        <f>'PLAN INDICATIVO'!L30</f>
        <v>4. Educación de calidad</v>
      </c>
      <c r="M31" s="1425" t="str">
        <f>'PLAN INDICATIVO'!M30</f>
        <v>Secretaría de Educación, Cultura, deporte y Turismo</v>
      </c>
      <c r="N31" s="1425" t="str">
        <f>'PLAN INDICATIVO'!N30</f>
        <v>YIMI FERNANDO LOSADA PAYA</v>
      </c>
      <c r="O31" s="1425" t="str">
        <f>'PLAN INDICATIVO'!O30</f>
        <v>Mantenimiento</v>
      </c>
      <c r="P31" s="16" t="str">
        <f>'PLAN INDICATIVO'!P30</f>
        <v>Lograr 1 alianza estratégica anual con diferentes instituciones del orden departamental, nacional o internacional que permitan fortalecer la formación educativa en el municipio durante el cuatrienio</v>
      </c>
      <c r="Q31" s="302" t="str">
        <f>'PLAN INDICATIVO'!Q30</f>
        <v>No. de alianzas estratégicas establecidas por año</v>
      </c>
      <c r="R31" s="303">
        <f>'PLAN INDICATIVO'!R30</f>
        <v>2015</v>
      </c>
      <c r="S31" s="304">
        <v>0</v>
      </c>
      <c r="T31" s="677">
        <v>1</v>
      </c>
      <c r="U31" s="303">
        <v>0</v>
      </c>
      <c r="V31" s="687">
        <v>2</v>
      </c>
      <c r="W31" s="572">
        <v>0.33</v>
      </c>
      <c r="X31" s="687">
        <v>1000000</v>
      </c>
      <c r="Y31" s="572">
        <v>0.34</v>
      </c>
      <c r="Z31" s="687">
        <v>500000</v>
      </c>
      <c r="AA31" s="572">
        <v>0.33</v>
      </c>
      <c r="AB31" s="687">
        <v>500000</v>
      </c>
      <c r="AC31" s="665">
        <v>0</v>
      </c>
      <c r="AD31" s="665">
        <v>0.33</v>
      </c>
      <c r="AE31" s="665"/>
      <c r="AF31" s="665"/>
      <c r="AG31" s="306"/>
      <c r="AH31" s="306"/>
      <c r="AI31" s="307" t="s">
        <v>3466</v>
      </c>
      <c r="AJ31" s="309">
        <v>42767</v>
      </c>
      <c r="AK31" s="309">
        <v>43069</v>
      </c>
      <c r="AL31" s="308"/>
      <c r="AM31" s="308"/>
      <c r="AN31" s="267" t="s">
        <v>2598</v>
      </c>
      <c r="AO31" s="507"/>
      <c r="AP31" s="525"/>
      <c r="AQ31" s="310"/>
      <c r="AR31" s="310"/>
      <c r="AS31" s="310"/>
      <c r="AT31" s="310"/>
      <c r="AU31" s="310"/>
      <c r="AV31" s="310"/>
      <c r="AW31" s="544">
        <f t="shared" si="0"/>
        <v>0</v>
      </c>
      <c r="AX31" s="525"/>
      <c r="AY31" s="310"/>
      <c r="AZ31" s="310"/>
      <c r="BA31" s="310"/>
      <c r="BB31" s="310"/>
      <c r="BC31" s="310"/>
      <c r="BD31" s="310"/>
      <c r="BE31" s="544">
        <f t="shared" si="18"/>
        <v>0</v>
      </c>
      <c r="BF31" s="525"/>
      <c r="BG31" s="310"/>
      <c r="BH31" s="310"/>
      <c r="BI31" s="310"/>
      <c r="BJ31" s="310"/>
      <c r="BK31" s="310"/>
      <c r="BL31" s="310"/>
      <c r="BM31" s="544">
        <f t="shared" si="19"/>
        <v>0</v>
      </c>
      <c r="BN31" s="525"/>
      <c r="BO31" s="310"/>
      <c r="BP31" s="310"/>
      <c r="BQ31" s="310"/>
      <c r="BR31" s="310"/>
      <c r="BS31" s="310"/>
      <c r="BT31" s="310"/>
      <c r="BU31" s="544">
        <f t="shared" si="20"/>
        <v>0</v>
      </c>
      <c r="BV31" s="1638"/>
      <c r="BW31" s="663">
        <f t="shared" si="8"/>
        <v>0.33</v>
      </c>
      <c r="BX31" s="674">
        <f t="shared" si="9"/>
        <v>0.33</v>
      </c>
      <c r="BY31" s="561" t="e">
        <f t="shared" si="10"/>
        <v>#DIV/0!</v>
      </c>
      <c r="BZ31" s="674">
        <f t="shared" si="11"/>
        <v>1</v>
      </c>
      <c r="CA31" s="675">
        <f t="shared" si="12"/>
        <v>0</v>
      </c>
      <c r="CB31" s="675">
        <f t="shared" si="13"/>
        <v>0</v>
      </c>
    </row>
    <row r="32" spans="1:80" ht="45.75" hidden="1" customHeight="1" x14ac:dyDescent="0.25">
      <c r="A32" s="298" t="s">
        <v>38</v>
      </c>
      <c r="B32" s="299" t="str">
        <f>'PLAN INDICATIVO'!B31</f>
        <v>Educación</v>
      </c>
      <c r="C32" s="1547"/>
      <c r="D32" s="1549"/>
      <c r="E32" s="1549"/>
      <c r="F32" s="1549"/>
      <c r="G32" s="1549"/>
      <c r="H32" s="1549"/>
      <c r="I32" s="300">
        <f>'PLAN INDICATIVO'!I31</f>
        <v>0</v>
      </c>
      <c r="J32" s="300">
        <f>'PLAN INDICATIVO'!J31</f>
        <v>0</v>
      </c>
      <c r="K32" s="1425" t="str">
        <f>'PLAN INDICATIVO'!K31</f>
        <v>A.1.2.8</v>
      </c>
      <c r="L32" s="1425" t="str">
        <f>'PLAN INDICATIVO'!L31</f>
        <v>4. Educación de calidad</v>
      </c>
      <c r="M32" s="1425" t="str">
        <f>'PLAN INDICATIVO'!M31</f>
        <v>Secretaría de Educación, Cultura, deporte y Turismo</v>
      </c>
      <c r="N32" s="1425" t="str">
        <f>'PLAN INDICATIVO'!N31</f>
        <v>YIMI FERNANDO LOSADA PAYA</v>
      </c>
      <c r="O32" s="1425" t="str">
        <f>'PLAN INDICATIVO'!O31</f>
        <v>Incremento</v>
      </c>
      <c r="P32" s="25" t="str">
        <f>'PLAN INDICATIVO'!P31</f>
        <v>Promover la creación de 1 dependencia Municipal de Educación durante el cuatrienio.</v>
      </c>
      <c r="Q32" s="302" t="str">
        <f>'PLAN INDICATIVO'!Q31</f>
        <v>No. de dependencias con promoción para su creación, durante el cuatrienio</v>
      </c>
      <c r="R32" s="303">
        <f>'PLAN INDICATIVO'!R31</f>
        <v>2015</v>
      </c>
      <c r="S32" s="304">
        <v>0</v>
      </c>
      <c r="T32" s="677">
        <v>1</v>
      </c>
      <c r="U32" s="303">
        <v>0</v>
      </c>
      <c r="V32" s="687">
        <v>1</v>
      </c>
      <c r="W32" s="823">
        <v>0</v>
      </c>
      <c r="X32" s="687">
        <v>1000000</v>
      </c>
      <c r="Y32" s="572">
        <v>0.67</v>
      </c>
      <c r="Z32" s="687">
        <v>500000</v>
      </c>
      <c r="AA32" s="572">
        <v>0.33</v>
      </c>
      <c r="AB32" s="687">
        <v>500000</v>
      </c>
      <c r="AC32" s="665">
        <v>0</v>
      </c>
      <c r="AD32" s="665">
        <v>0.5</v>
      </c>
      <c r="AE32" s="665"/>
      <c r="AF32" s="665"/>
      <c r="AG32" s="306"/>
      <c r="AH32" s="306"/>
      <c r="AI32" s="307" t="s">
        <v>3467</v>
      </c>
      <c r="AJ32" s="309">
        <v>42768</v>
      </c>
      <c r="AK32" s="309">
        <v>43100</v>
      </c>
      <c r="AL32" s="308"/>
      <c r="AM32" s="308"/>
      <c r="AN32" s="267" t="s">
        <v>2594</v>
      </c>
      <c r="AO32" s="507"/>
      <c r="AP32" s="525"/>
      <c r="AQ32" s="310"/>
      <c r="AR32" s="310"/>
      <c r="AS32" s="310"/>
      <c r="AT32" s="310"/>
      <c r="AU32" s="310"/>
      <c r="AV32" s="310"/>
      <c r="AW32" s="544">
        <f t="shared" si="0"/>
        <v>0</v>
      </c>
      <c r="AX32" s="525"/>
      <c r="AY32" s="310"/>
      <c r="AZ32" s="310"/>
      <c r="BA32" s="310"/>
      <c r="BB32" s="310"/>
      <c r="BC32" s="310"/>
      <c r="BD32" s="310"/>
      <c r="BE32" s="544">
        <f t="shared" si="18"/>
        <v>0</v>
      </c>
      <c r="BF32" s="525"/>
      <c r="BG32" s="310"/>
      <c r="BH32" s="310"/>
      <c r="BI32" s="310"/>
      <c r="BJ32" s="310"/>
      <c r="BK32" s="310"/>
      <c r="BL32" s="310"/>
      <c r="BM32" s="544">
        <f t="shared" si="19"/>
        <v>0</v>
      </c>
      <c r="BN32" s="525"/>
      <c r="BO32" s="310"/>
      <c r="BP32" s="310"/>
      <c r="BQ32" s="310"/>
      <c r="BR32" s="310"/>
      <c r="BS32" s="310"/>
      <c r="BT32" s="310"/>
      <c r="BU32" s="544">
        <f t="shared" si="20"/>
        <v>0</v>
      </c>
      <c r="BV32" s="1638"/>
      <c r="BW32" s="663">
        <f t="shared" si="8"/>
        <v>0.5</v>
      </c>
      <c r="BX32" s="674">
        <f t="shared" si="9"/>
        <v>0.5</v>
      </c>
      <c r="BY32" s="561" t="e">
        <f t="shared" si="10"/>
        <v>#DIV/0!</v>
      </c>
      <c r="BZ32" s="674" t="e">
        <f t="shared" si="11"/>
        <v>#DIV/0!</v>
      </c>
      <c r="CA32" s="675">
        <f t="shared" si="12"/>
        <v>0</v>
      </c>
      <c r="CB32" s="675">
        <f t="shared" si="13"/>
        <v>0</v>
      </c>
    </row>
    <row r="33" spans="1:101" ht="65.25" hidden="1" customHeight="1" x14ac:dyDescent="0.25">
      <c r="A33" s="298" t="s">
        <v>38</v>
      </c>
      <c r="B33" s="299" t="str">
        <f>'PLAN INDICATIVO'!B32</f>
        <v>Educación</v>
      </c>
      <c r="C33" s="1547"/>
      <c r="D33" s="1549"/>
      <c r="E33" s="1549"/>
      <c r="F33" s="1549"/>
      <c r="G33" s="1549"/>
      <c r="H33" s="1549"/>
      <c r="I33" s="300">
        <f>'PLAN INDICATIVO'!I32</f>
        <v>0</v>
      </c>
      <c r="J33" s="300">
        <f>'PLAN INDICATIVO'!J32</f>
        <v>0</v>
      </c>
      <c r="K33" s="1425" t="str">
        <f>'PLAN INDICATIVO'!K32</f>
        <v>A.1.2.9</v>
      </c>
      <c r="L33" s="1425" t="str">
        <f>'PLAN INDICATIVO'!L32</f>
        <v>4. Educación de calidad</v>
      </c>
      <c r="M33" s="1425" t="str">
        <f>'PLAN INDICATIVO'!M32</f>
        <v>Secretaría de Educación, Cultura, deporte y Turismo</v>
      </c>
      <c r="N33" s="1425" t="str">
        <f>'PLAN INDICATIVO'!N32</f>
        <v>YIMI FERNANDO LOSADA PAYA</v>
      </c>
      <c r="O33" s="1425" t="str">
        <f>'PLAN INDICATIVO'!O32</f>
        <v>Mantenimiento</v>
      </c>
      <c r="P33" s="16" t="str">
        <f>'PLAN INDICATIVO'!P32</f>
        <v>Mantener 6 instituciones educativas articuladas con  la media técnica con el SENA cada año</v>
      </c>
      <c r="Q33" s="302" t="str">
        <f>'PLAN INDICATIVO'!Q32</f>
        <v>No. de instituciones articuladas con media técnica con el SENA cada año</v>
      </c>
      <c r="R33" s="303">
        <f>'PLAN INDICATIVO'!R32</f>
        <v>2015</v>
      </c>
      <c r="S33" s="304">
        <v>0</v>
      </c>
      <c r="T33" s="677">
        <v>6</v>
      </c>
      <c r="U33" s="303">
        <v>6</v>
      </c>
      <c r="V33" s="687">
        <v>5</v>
      </c>
      <c r="W33" s="572">
        <v>6</v>
      </c>
      <c r="X33" s="687">
        <v>12000000</v>
      </c>
      <c r="Y33" s="572">
        <v>6</v>
      </c>
      <c r="Z33" s="687">
        <v>5000000</v>
      </c>
      <c r="AA33" s="572">
        <v>6</v>
      </c>
      <c r="AB33" s="687">
        <v>10000000</v>
      </c>
      <c r="AC33" s="665">
        <v>3</v>
      </c>
      <c r="AD33" s="665">
        <v>6</v>
      </c>
      <c r="AE33" s="665"/>
      <c r="AF33" s="665"/>
      <c r="AG33" s="306"/>
      <c r="AH33" s="306"/>
      <c r="AI33" s="307" t="s">
        <v>3468</v>
      </c>
      <c r="AJ33" s="309">
        <v>42430</v>
      </c>
      <c r="AK33" s="309">
        <v>42735</v>
      </c>
      <c r="AL33" s="308"/>
      <c r="AM33" s="308"/>
      <c r="AN33" s="267" t="s">
        <v>2598</v>
      </c>
      <c r="AO33" s="507"/>
      <c r="AP33" s="525"/>
      <c r="AQ33" s="310"/>
      <c r="AR33" s="310"/>
      <c r="AS33" s="310"/>
      <c r="AT33" s="310"/>
      <c r="AU33" s="310"/>
      <c r="AV33" s="310"/>
      <c r="AW33" s="544">
        <f t="shared" si="0"/>
        <v>0</v>
      </c>
      <c r="AX33" s="525"/>
      <c r="AY33" s="310"/>
      <c r="AZ33" s="310"/>
      <c r="BA33" s="310"/>
      <c r="BB33" s="310"/>
      <c r="BC33" s="310"/>
      <c r="BD33" s="310"/>
      <c r="BE33" s="544">
        <f t="shared" si="18"/>
        <v>0</v>
      </c>
      <c r="BF33" s="525"/>
      <c r="BG33" s="310"/>
      <c r="BH33" s="310"/>
      <c r="BI33" s="310"/>
      <c r="BJ33" s="310"/>
      <c r="BK33" s="310"/>
      <c r="BL33" s="310"/>
      <c r="BM33" s="544">
        <f t="shared" si="19"/>
        <v>0</v>
      </c>
      <c r="BN33" s="525"/>
      <c r="BO33" s="310"/>
      <c r="BP33" s="310"/>
      <c r="BQ33" s="310"/>
      <c r="BR33" s="310"/>
      <c r="BS33" s="310"/>
      <c r="BT33" s="310"/>
      <c r="BU33" s="544">
        <f t="shared" si="20"/>
        <v>0</v>
      </c>
      <c r="BV33" s="1638"/>
      <c r="BW33" s="663">
        <f t="shared" si="8"/>
        <v>9</v>
      </c>
      <c r="BX33" s="674">
        <f t="shared" si="9"/>
        <v>1.5</v>
      </c>
      <c r="BY33" s="905">
        <f t="shared" si="10"/>
        <v>0.5</v>
      </c>
      <c r="BZ33" s="674">
        <f t="shared" si="11"/>
        <v>1</v>
      </c>
      <c r="CA33" s="675">
        <f t="shared" si="12"/>
        <v>0</v>
      </c>
      <c r="CB33" s="675">
        <f t="shared" si="13"/>
        <v>0</v>
      </c>
    </row>
    <row r="34" spans="1:101" s="3" customFormat="1" ht="89.25" hidden="1" customHeight="1" x14ac:dyDescent="0.25">
      <c r="A34" s="298" t="s">
        <v>38</v>
      </c>
      <c r="B34" s="299" t="str">
        <f>'PLAN INDICATIVO'!B33</f>
        <v>Educación</v>
      </c>
      <c r="C34" s="1547"/>
      <c r="D34" s="1549"/>
      <c r="E34" s="1549"/>
      <c r="F34" s="1549"/>
      <c r="G34" s="1549"/>
      <c r="H34" s="1549"/>
      <c r="I34" s="300">
        <f>'PLAN INDICATIVO'!I33</f>
        <v>0</v>
      </c>
      <c r="J34" s="300">
        <f>'PLAN INDICATIVO'!J33</f>
        <v>0</v>
      </c>
      <c r="K34" s="1425" t="str">
        <f>'PLAN INDICATIVO'!K33</f>
        <v>A.1.2.10</v>
      </c>
      <c r="L34" s="1425" t="str">
        <f>'PLAN INDICATIVO'!L33</f>
        <v>4. Educación de calidad</v>
      </c>
      <c r="M34" s="1425" t="str">
        <f>'PLAN INDICATIVO'!M33</f>
        <v>Secretaría de Educación, Cultura, deporte y Turismo</v>
      </c>
      <c r="N34" s="1425" t="str">
        <f>'PLAN INDICATIVO'!N33</f>
        <v>YIMI FERNANDO LOSADA PAYA</v>
      </c>
      <c r="O34" s="1425" t="str">
        <f>'PLAN INDICATIVO'!O33</f>
        <v>Incremento</v>
      </c>
      <c r="P34" s="942" t="str">
        <f>'PLAN INDICATIVO'!P33</f>
        <v>Promever la articulación de 3 nuevas instituciones educativas con el SENA, para la educación media técnica, dirigida a la población estudiantil del sector rural, durante el cuatrienio</v>
      </c>
      <c r="Q34" s="302" t="str">
        <f>'PLAN INDICATIVO'!Q33</f>
        <v>No. de instituciones articuladas con el SENA cada año</v>
      </c>
      <c r="R34" s="303">
        <f>'PLAN INDICATIVO'!R33</f>
        <v>2015</v>
      </c>
      <c r="S34" s="304">
        <v>0</v>
      </c>
      <c r="T34" s="677">
        <v>3</v>
      </c>
      <c r="U34" s="303">
        <v>0</v>
      </c>
      <c r="V34" s="687">
        <v>3</v>
      </c>
      <c r="W34" s="572">
        <v>1</v>
      </c>
      <c r="X34" s="687">
        <v>3000000</v>
      </c>
      <c r="Y34" s="572">
        <v>1</v>
      </c>
      <c r="Z34" s="687">
        <v>500000</v>
      </c>
      <c r="AA34" s="572">
        <v>1</v>
      </c>
      <c r="AB34" s="687">
        <v>500000</v>
      </c>
      <c r="AC34" s="665">
        <v>0</v>
      </c>
      <c r="AD34" s="665">
        <v>0</v>
      </c>
      <c r="AE34" s="665"/>
      <c r="AF34" s="665"/>
      <c r="AG34" s="306"/>
      <c r="AH34" s="306"/>
      <c r="AI34" s="307" t="s">
        <v>3469</v>
      </c>
      <c r="AJ34" s="309">
        <v>42917</v>
      </c>
      <c r="AK34" s="310"/>
      <c r="AL34" s="310"/>
      <c r="AM34" s="310"/>
      <c r="AN34" s="267" t="s">
        <v>2600</v>
      </c>
      <c r="AO34" s="509"/>
      <c r="AP34" s="525"/>
      <c r="AQ34" s="310"/>
      <c r="AR34" s="310"/>
      <c r="AS34" s="310"/>
      <c r="AT34" s="310"/>
      <c r="AU34" s="310"/>
      <c r="AV34" s="310"/>
      <c r="AW34" s="544">
        <f t="shared" si="0"/>
        <v>0</v>
      </c>
      <c r="AX34" s="525"/>
      <c r="AY34" s="310"/>
      <c r="AZ34" s="310"/>
      <c r="BA34" s="310"/>
      <c r="BB34" s="310"/>
      <c r="BC34" s="310"/>
      <c r="BD34" s="310"/>
      <c r="BE34" s="544">
        <f t="shared" si="18"/>
        <v>0</v>
      </c>
      <c r="BF34" s="525"/>
      <c r="BG34" s="310"/>
      <c r="BH34" s="310"/>
      <c r="BI34" s="310"/>
      <c r="BJ34" s="310"/>
      <c r="BK34" s="310"/>
      <c r="BL34" s="310"/>
      <c r="BM34" s="544">
        <f t="shared" si="19"/>
        <v>0</v>
      </c>
      <c r="BN34" s="525"/>
      <c r="BO34" s="310"/>
      <c r="BP34" s="310"/>
      <c r="BQ34" s="310"/>
      <c r="BR34" s="310"/>
      <c r="BS34" s="310"/>
      <c r="BT34" s="310"/>
      <c r="BU34" s="544">
        <f t="shared" si="20"/>
        <v>0</v>
      </c>
      <c r="BV34" s="1638"/>
      <c r="BW34" s="663">
        <f t="shared" si="8"/>
        <v>0</v>
      </c>
      <c r="BX34" s="674">
        <f t="shared" si="9"/>
        <v>0</v>
      </c>
      <c r="BY34" s="561" t="e">
        <f t="shared" si="10"/>
        <v>#DIV/0!</v>
      </c>
      <c r="BZ34" s="674">
        <f t="shared" si="11"/>
        <v>0</v>
      </c>
      <c r="CA34" s="675">
        <f t="shared" si="12"/>
        <v>0</v>
      </c>
      <c r="CB34" s="675">
        <f t="shared" si="13"/>
        <v>0</v>
      </c>
      <c r="CC34" s="75"/>
      <c r="CD34" s="75"/>
      <c r="CE34" s="75"/>
      <c r="CF34" s="75"/>
      <c r="CG34" s="75"/>
      <c r="CH34" s="75"/>
      <c r="CI34" s="75"/>
      <c r="CJ34" s="75"/>
      <c r="CK34" s="75"/>
      <c r="CL34" s="75"/>
      <c r="CM34" s="75"/>
      <c r="CN34" s="75"/>
      <c r="CO34" s="75"/>
      <c r="CP34" s="521"/>
      <c r="CQ34" s="42"/>
      <c r="CR34" s="42"/>
      <c r="CS34" s="42"/>
      <c r="CT34" s="42"/>
      <c r="CU34" s="42"/>
      <c r="CV34" s="42"/>
      <c r="CW34" s="40"/>
    </row>
    <row r="35" spans="1:101" ht="105" hidden="1" customHeight="1" x14ac:dyDescent="0.25">
      <c r="A35" s="298" t="s">
        <v>38</v>
      </c>
      <c r="B35" s="299" t="str">
        <f>'PLAN INDICATIVO'!B34</f>
        <v>Educación</v>
      </c>
      <c r="C35" s="1547"/>
      <c r="D35" s="1549"/>
      <c r="E35" s="1549"/>
      <c r="F35" s="1549"/>
      <c r="G35" s="1549"/>
      <c r="H35" s="1549"/>
      <c r="I35" s="300">
        <f>'PLAN INDICATIVO'!I34</f>
        <v>0</v>
      </c>
      <c r="J35" s="300">
        <f>'PLAN INDICATIVO'!J34</f>
        <v>0</v>
      </c>
      <c r="K35" s="1425" t="str">
        <f>'PLAN INDICATIVO'!K34</f>
        <v>A.1.2.11</v>
      </c>
      <c r="L35" s="1425" t="str">
        <f>'PLAN INDICATIVO'!L34</f>
        <v>4. Educación de calidad</v>
      </c>
      <c r="M35" s="1425" t="str">
        <f>'PLAN INDICATIVO'!M34</f>
        <v>Secretaría de Educación, Cultura, deporte y Turismo</v>
      </c>
      <c r="N35" s="1425" t="str">
        <f>'PLAN INDICATIVO'!N34</f>
        <v>YIMI FERNANDO LOSADA PAYA</v>
      </c>
      <c r="O35" s="1425" t="str">
        <f>'PLAN INDICATIVO'!O34</f>
        <v>Incremento</v>
      </c>
      <c r="P35" s="16" t="str">
        <f>'PLAN INDICATIVO'!P34</f>
        <v>Implementar 2 estrategias con la Secretaria de Educación del Departamento, para atender estudiantes con dificultades de aprendizaje durante el cuatrienio</v>
      </c>
      <c r="Q35" s="302" t="str">
        <f>'PLAN INDICATIVO'!Q34</f>
        <v>No. De Estrategia implementadas durante el cuatrienio</v>
      </c>
      <c r="R35" s="303">
        <f>'PLAN INDICATIVO'!R34</f>
        <v>2015</v>
      </c>
      <c r="S35" s="304">
        <v>0</v>
      </c>
      <c r="T35" s="677">
        <v>2</v>
      </c>
      <c r="U35" s="303">
        <v>0</v>
      </c>
      <c r="V35" s="687">
        <v>5</v>
      </c>
      <c r="W35" s="572">
        <v>1</v>
      </c>
      <c r="X35" s="687">
        <v>5000000</v>
      </c>
      <c r="Y35" s="572">
        <v>1</v>
      </c>
      <c r="Z35" s="687">
        <v>500000</v>
      </c>
      <c r="AA35" s="572">
        <v>2</v>
      </c>
      <c r="AB35" s="687">
        <v>500000</v>
      </c>
      <c r="AC35" s="665">
        <v>0</v>
      </c>
      <c r="AD35" s="665">
        <v>1</v>
      </c>
      <c r="AE35" s="665"/>
      <c r="AF35" s="665"/>
      <c r="AG35" s="306"/>
      <c r="AH35" s="306"/>
      <c r="AI35" s="307" t="s">
        <v>3470</v>
      </c>
      <c r="AJ35" s="309">
        <v>42767</v>
      </c>
      <c r="AK35" s="309">
        <v>42916</v>
      </c>
      <c r="AL35" s="308"/>
      <c r="AM35" s="308"/>
      <c r="AN35" s="267" t="s">
        <v>2598</v>
      </c>
      <c r="AO35" s="507"/>
      <c r="AP35" s="525"/>
      <c r="AQ35" s="310"/>
      <c r="AR35" s="310"/>
      <c r="AS35" s="310"/>
      <c r="AT35" s="310"/>
      <c r="AU35" s="310"/>
      <c r="AV35" s="310"/>
      <c r="AW35" s="544">
        <f t="shared" si="0"/>
        <v>0</v>
      </c>
      <c r="AX35" s="525"/>
      <c r="AY35" s="310"/>
      <c r="AZ35" s="310"/>
      <c r="BA35" s="310"/>
      <c r="BB35" s="310"/>
      <c r="BC35" s="310"/>
      <c r="BD35" s="310"/>
      <c r="BE35" s="544">
        <f t="shared" si="18"/>
        <v>0</v>
      </c>
      <c r="BF35" s="525"/>
      <c r="BG35" s="310"/>
      <c r="BH35" s="310"/>
      <c r="BI35" s="310"/>
      <c r="BJ35" s="310"/>
      <c r="BK35" s="310"/>
      <c r="BL35" s="310"/>
      <c r="BM35" s="544">
        <f t="shared" si="19"/>
        <v>0</v>
      </c>
      <c r="BN35" s="525"/>
      <c r="BO35" s="310"/>
      <c r="BP35" s="310"/>
      <c r="BQ35" s="310"/>
      <c r="BR35" s="310"/>
      <c r="BS35" s="310"/>
      <c r="BT35" s="310"/>
      <c r="BU35" s="544">
        <f t="shared" si="20"/>
        <v>0</v>
      </c>
      <c r="BV35" s="1638"/>
      <c r="BW35" s="663">
        <f t="shared" si="8"/>
        <v>1</v>
      </c>
      <c r="BX35" s="674">
        <f t="shared" si="9"/>
        <v>0.5</v>
      </c>
      <c r="BY35" s="561" t="e">
        <f t="shared" si="10"/>
        <v>#DIV/0!</v>
      </c>
      <c r="BZ35" s="674">
        <f t="shared" si="11"/>
        <v>1</v>
      </c>
      <c r="CA35" s="675">
        <f t="shared" si="12"/>
        <v>0</v>
      </c>
      <c r="CB35" s="675">
        <f t="shared" si="13"/>
        <v>0</v>
      </c>
    </row>
    <row r="36" spans="1:101" ht="63.75" hidden="1" customHeight="1" x14ac:dyDescent="0.25">
      <c r="A36" s="298" t="s">
        <v>38</v>
      </c>
      <c r="B36" s="299" t="str">
        <f>'PLAN INDICATIVO'!B35</f>
        <v>Educación</v>
      </c>
      <c r="C36" s="1547"/>
      <c r="D36" s="1549"/>
      <c r="E36" s="1549"/>
      <c r="F36" s="1549"/>
      <c r="G36" s="1549"/>
      <c r="H36" s="1549"/>
      <c r="I36" s="300">
        <f>'PLAN INDICATIVO'!I35</f>
        <v>0</v>
      </c>
      <c r="J36" s="300">
        <f>'PLAN INDICATIVO'!J35</f>
        <v>0</v>
      </c>
      <c r="K36" s="1425" t="str">
        <f>'PLAN INDICATIVO'!K35</f>
        <v>A.1.2.12</v>
      </c>
      <c r="L36" s="1425" t="str">
        <f>'PLAN INDICATIVO'!L35</f>
        <v>4. Educación de calidad</v>
      </c>
      <c r="M36" s="1425" t="str">
        <f>'PLAN INDICATIVO'!M35</f>
        <v>Secretaría de Educación, Cultura, deporte y Turismo</v>
      </c>
      <c r="N36" s="1425" t="str">
        <f>'PLAN INDICATIVO'!N35</f>
        <v>YIMI FERNANDO LOSADA PAYA</v>
      </c>
      <c r="O36" s="1425" t="str">
        <f>'PLAN INDICATIVO'!O35</f>
        <v>Mantenimiento</v>
      </c>
      <c r="P36" s="16" t="str">
        <f>'PLAN INDICATIVO'!P35</f>
        <v>Hacer 1 enlace anual con el sector salud y las I.E para garantizar la disminución de los indicadores de embarazos en adolecentes</v>
      </c>
      <c r="Q36" s="302" t="str">
        <f>'PLAN INDICATIVO'!Q35</f>
        <v>No. de enlaces en funcionamiento cada año</v>
      </c>
      <c r="R36" s="303">
        <f>'PLAN INDICATIVO'!R35</f>
        <v>2015</v>
      </c>
      <c r="S36" s="304">
        <v>0</v>
      </c>
      <c r="T36" s="677">
        <v>1</v>
      </c>
      <c r="U36" s="303">
        <v>0.25</v>
      </c>
      <c r="V36" s="687">
        <v>3</v>
      </c>
      <c r="W36" s="303">
        <v>0.25</v>
      </c>
      <c r="X36" s="687">
        <v>3000000</v>
      </c>
      <c r="Y36" s="303">
        <v>0.25</v>
      </c>
      <c r="Z36" s="687">
        <v>500000</v>
      </c>
      <c r="AA36" s="303">
        <v>0.25</v>
      </c>
      <c r="AB36" s="687">
        <v>500000</v>
      </c>
      <c r="AC36" s="665">
        <v>0.25</v>
      </c>
      <c r="AD36" s="665">
        <v>0.25</v>
      </c>
      <c r="AE36" s="665"/>
      <c r="AF36" s="665"/>
      <c r="AG36" s="306"/>
      <c r="AH36" s="306"/>
      <c r="AI36" s="307" t="s">
        <v>3471</v>
      </c>
      <c r="AJ36" s="309">
        <v>42767</v>
      </c>
      <c r="AK36" s="309">
        <v>43008</v>
      </c>
      <c r="AL36" s="308"/>
      <c r="AM36" s="308"/>
      <c r="AN36" s="267" t="s">
        <v>2598</v>
      </c>
      <c r="AO36" s="507"/>
      <c r="AP36" s="525"/>
      <c r="AQ36" s="310"/>
      <c r="AR36" s="310"/>
      <c r="AS36" s="310"/>
      <c r="AT36" s="303">
        <v>0.25</v>
      </c>
      <c r="AU36" s="310"/>
      <c r="AV36" s="310"/>
      <c r="AW36" s="544">
        <f t="shared" si="0"/>
        <v>0.25</v>
      </c>
      <c r="AX36" s="525"/>
      <c r="AY36" s="310"/>
      <c r="AZ36" s="310"/>
      <c r="BA36" s="310"/>
      <c r="BB36" s="310"/>
      <c r="BC36" s="310"/>
      <c r="BD36" s="310"/>
      <c r="BE36" s="544">
        <f t="shared" si="18"/>
        <v>0</v>
      </c>
      <c r="BF36" s="525"/>
      <c r="BG36" s="310"/>
      <c r="BH36" s="310"/>
      <c r="BI36" s="310"/>
      <c r="BJ36" s="310"/>
      <c r="BK36" s="310"/>
      <c r="BL36" s="310"/>
      <c r="BM36" s="544">
        <f t="shared" si="19"/>
        <v>0</v>
      </c>
      <c r="BN36" s="525"/>
      <c r="BO36" s="310"/>
      <c r="BP36" s="310"/>
      <c r="BQ36" s="310"/>
      <c r="BR36" s="310"/>
      <c r="BS36" s="310"/>
      <c r="BT36" s="310"/>
      <c r="BU36" s="544">
        <f t="shared" si="20"/>
        <v>0</v>
      </c>
      <c r="BV36" s="1638"/>
      <c r="BW36" s="663">
        <f t="shared" si="8"/>
        <v>0.5</v>
      </c>
      <c r="BX36" s="674">
        <f t="shared" si="9"/>
        <v>0.5</v>
      </c>
      <c r="BY36" s="835">
        <f>AC36/U36</f>
        <v>1</v>
      </c>
      <c r="BZ36" s="674">
        <f t="shared" si="11"/>
        <v>1</v>
      </c>
      <c r="CA36" s="675">
        <f t="shared" si="12"/>
        <v>0</v>
      </c>
      <c r="CB36" s="675">
        <f t="shared" si="13"/>
        <v>0</v>
      </c>
    </row>
    <row r="37" spans="1:101" ht="62.25" hidden="1" customHeight="1" x14ac:dyDescent="0.25">
      <c r="A37" s="298" t="s">
        <v>38</v>
      </c>
      <c r="B37" s="299" t="str">
        <f>'PLAN INDICATIVO'!B36</f>
        <v>Educación</v>
      </c>
      <c r="C37" s="1547"/>
      <c r="D37" s="1549"/>
      <c r="E37" s="1549"/>
      <c r="F37" s="1549"/>
      <c r="G37" s="1549"/>
      <c r="H37" s="1549"/>
      <c r="I37" s="300">
        <f>'PLAN INDICATIVO'!I36</f>
        <v>0</v>
      </c>
      <c r="J37" s="300">
        <f>'PLAN INDICATIVO'!J36</f>
        <v>0</v>
      </c>
      <c r="K37" s="1425" t="str">
        <f>'PLAN INDICATIVO'!K36</f>
        <v>A.1.2.13</v>
      </c>
      <c r="L37" s="1425" t="str">
        <f>'PLAN INDICATIVO'!L36</f>
        <v>4. Educación de calidad</v>
      </c>
      <c r="M37" s="1425" t="str">
        <f>'PLAN INDICATIVO'!M36</f>
        <v>Secretaría de Educación, Cultura, deporte y Turismo</v>
      </c>
      <c r="N37" s="1425" t="str">
        <f>'PLAN INDICATIVO'!N36</f>
        <v>YIMI FERNANDO LOSADA PAYA</v>
      </c>
      <c r="O37" s="1425" t="str">
        <f>'PLAN INDICATIVO'!O36</f>
        <v>Mantenimiento</v>
      </c>
      <c r="P37" s="16" t="str">
        <f>'PLAN INDICATIVO'!P36</f>
        <v>Articular con la secretaria de gobierno, ICBF y comisaria de familia, 1 jornada al año para la erradicación del trabajo infantil y la incorporación al sistema educativo de NNA.</v>
      </c>
      <c r="Q37" s="302" t="str">
        <f>'PLAN INDICATIVO'!Q36</f>
        <v>No. De Jornadas realizada al año</v>
      </c>
      <c r="R37" s="303">
        <f>'PLAN INDICATIVO'!R36</f>
        <v>2015</v>
      </c>
      <c r="S37" s="304">
        <v>0</v>
      </c>
      <c r="T37" s="677">
        <v>1</v>
      </c>
      <c r="U37" s="303">
        <v>0.25</v>
      </c>
      <c r="V37" s="687">
        <v>3</v>
      </c>
      <c r="W37" s="303">
        <v>0.25</v>
      </c>
      <c r="X37" s="687">
        <v>3000000</v>
      </c>
      <c r="Y37" s="303">
        <v>0.25</v>
      </c>
      <c r="Z37" s="687">
        <v>500000</v>
      </c>
      <c r="AA37" s="303">
        <v>0.25</v>
      </c>
      <c r="AB37" s="687">
        <v>500000</v>
      </c>
      <c r="AC37" s="665">
        <v>0.25</v>
      </c>
      <c r="AD37" s="665">
        <v>0.25</v>
      </c>
      <c r="AE37" s="665"/>
      <c r="AF37" s="665"/>
      <c r="AG37" s="306"/>
      <c r="AH37" s="306"/>
      <c r="AI37" s="307" t="s">
        <v>3472</v>
      </c>
      <c r="AJ37" s="309">
        <v>42767</v>
      </c>
      <c r="AK37" s="309">
        <v>43008</v>
      </c>
      <c r="AL37" s="308"/>
      <c r="AM37" s="308"/>
      <c r="AN37" s="267" t="s">
        <v>2598</v>
      </c>
      <c r="AO37" s="507"/>
      <c r="AP37" s="525"/>
      <c r="AQ37" s="310"/>
      <c r="AR37" s="310"/>
      <c r="AS37" s="310"/>
      <c r="AT37" s="310"/>
      <c r="AU37" s="310"/>
      <c r="AV37" s="310"/>
      <c r="AW37" s="544">
        <f t="shared" si="0"/>
        <v>0</v>
      </c>
      <c r="AX37" s="525"/>
      <c r="AY37" s="310"/>
      <c r="AZ37" s="310"/>
      <c r="BA37" s="310"/>
      <c r="BB37" s="310"/>
      <c r="BC37" s="310"/>
      <c r="BD37" s="310"/>
      <c r="BE37" s="544">
        <f t="shared" si="18"/>
        <v>0</v>
      </c>
      <c r="BF37" s="525"/>
      <c r="BG37" s="310"/>
      <c r="BH37" s="310"/>
      <c r="BI37" s="310"/>
      <c r="BJ37" s="310"/>
      <c r="BK37" s="310"/>
      <c r="BL37" s="310"/>
      <c r="BM37" s="544">
        <f t="shared" si="19"/>
        <v>0</v>
      </c>
      <c r="BN37" s="525"/>
      <c r="BO37" s="310"/>
      <c r="BP37" s="310"/>
      <c r="BQ37" s="310"/>
      <c r="BR37" s="310"/>
      <c r="BS37" s="310"/>
      <c r="BT37" s="310"/>
      <c r="BU37" s="544">
        <f t="shared" si="20"/>
        <v>0</v>
      </c>
      <c r="BV37" s="1638"/>
      <c r="BW37" s="663">
        <f t="shared" si="8"/>
        <v>0.5</v>
      </c>
      <c r="BX37" s="674">
        <f t="shared" si="9"/>
        <v>0.5</v>
      </c>
      <c r="BY37" s="835">
        <f t="shared" si="10"/>
        <v>1</v>
      </c>
      <c r="BZ37" s="674">
        <f t="shared" si="11"/>
        <v>1</v>
      </c>
      <c r="CA37" s="675">
        <f t="shared" si="12"/>
        <v>0</v>
      </c>
      <c r="CB37" s="675">
        <f t="shared" si="13"/>
        <v>0</v>
      </c>
    </row>
    <row r="38" spans="1:101" ht="51.75" hidden="1" customHeight="1" x14ac:dyDescent="0.25">
      <c r="A38" s="298" t="s">
        <v>38</v>
      </c>
      <c r="B38" s="299" t="str">
        <f>'PLAN INDICATIVO'!B37</f>
        <v>Educación</v>
      </c>
      <c r="C38" s="1547"/>
      <c r="D38" s="1549"/>
      <c r="E38" s="1549"/>
      <c r="F38" s="1549"/>
      <c r="G38" s="1549"/>
      <c r="H38" s="1549"/>
      <c r="I38" s="300">
        <f>'PLAN INDICATIVO'!I37</f>
        <v>0</v>
      </c>
      <c r="J38" s="300">
        <f>'PLAN INDICATIVO'!J37</f>
        <v>0</v>
      </c>
      <c r="K38" s="1425" t="str">
        <f>'PLAN INDICATIVO'!K37</f>
        <v>A.1.2.14</v>
      </c>
      <c r="L38" s="1425" t="str">
        <f>'PLAN INDICATIVO'!L37</f>
        <v>4. Educación de calidad</v>
      </c>
      <c r="M38" s="1425" t="str">
        <f>'PLAN INDICATIVO'!M37</f>
        <v>Secretaría de Educación, Cultura, deporte y Turismo</v>
      </c>
      <c r="N38" s="1425" t="str">
        <f>'PLAN INDICATIVO'!N37</f>
        <v>YIMI FERNANDO LOSADA PAYA</v>
      </c>
      <c r="O38" s="1425" t="str">
        <f>'PLAN INDICATIVO'!O37</f>
        <v>Incremento</v>
      </c>
      <c r="P38" s="942" t="str">
        <f>'PLAN INDICATIVO'!P37</f>
        <v>Buscar la creación de una nueva facultad de la Universidad Surcolombiana en el municipio de La Plata, durante el cuatrienio</v>
      </c>
      <c r="Q38" s="302" t="str">
        <f>'PLAN INDICATIVO'!Q37</f>
        <v>No. De apoyos otorgados</v>
      </c>
      <c r="R38" s="303">
        <f>'PLAN INDICATIVO'!R37</f>
        <v>2015</v>
      </c>
      <c r="S38" s="304">
        <v>0</v>
      </c>
      <c r="T38" s="677">
        <v>1</v>
      </c>
      <c r="U38" s="303">
        <v>0</v>
      </c>
      <c r="V38" s="687">
        <v>8</v>
      </c>
      <c r="W38" s="572">
        <v>0.33</v>
      </c>
      <c r="X38" s="687">
        <v>5000000</v>
      </c>
      <c r="Y38" s="572">
        <v>0.34</v>
      </c>
      <c r="Z38" s="687">
        <v>500000</v>
      </c>
      <c r="AA38" s="572">
        <v>0.33</v>
      </c>
      <c r="AB38" s="687">
        <v>500000</v>
      </c>
      <c r="AC38" s="665">
        <v>0</v>
      </c>
      <c r="AD38" s="665">
        <v>0.33</v>
      </c>
      <c r="AE38" s="665"/>
      <c r="AF38" s="665"/>
      <c r="AG38" s="306"/>
      <c r="AH38" s="306"/>
      <c r="AI38" s="307" t="s">
        <v>3473</v>
      </c>
      <c r="AJ38" s="309">
        <v>42917</v>
      </c>
      <c r="AK38" s="309">
        <v>43100</v>
      </c>
      <c r="AL38" s="308"/>
      <c r="AM38" s="308"/>
      <c r="AN38" s="267" t="s">
        <v>2598</v>
      </c>
      <c r="AO38" s="507"/>
      <c r="AP38" s="525"/>
      <c r="AQ38" s="310"/>
      <c r="AR38" s="310"/>
      <c r="AS38" s="310"/>
      <c r="AT38" s="310"/>
      <c r="AU38" s="310"/>
      <c r="AV38" s="310"/>
      <c r="AW38" s="544">
        <f t="shared" si="0"/>
        <v>0</v>
      </c>
      <c r="AX38" s="525"/>
      <c r="AY38" s="310"/>
      <c r="AZ38" s="310"/>
      <c r="BA38" s="310"/>
      <c r="BB38" s="310"/>
      <c r="BC38" s="310"/>
      <c r="BD38" s="310"/>
      <c r="BE38" s="544">
        <f t="shared" si="18"/>
        <v>0</v>
      </c>
      <c r="BF38" s="525"/>
      <c r="BG38" s="310"/>
      <c r="BH38" s="310"/>
      <c r="BI38" s="310"/>
      <c r="BJ38" s="310"/>
      <c r="BK38" s="310"/>
      <c r="BL38" s="310"/>
      <c r="BM38" s="544">
        <f t="shared" si="19"/>
        <v>0</v>
      </c>
      <c r="BN38" s="525"/>
      <c r="BO38" s="310"/>
      <c r="BP38" s="310"/>
      <c r="BQ38" s="310"/>
      <c r="BR38" s="310"/>
      <c r="BS38" s="310"/>
      <c r="BT38" s="310"/>
      <c r="BU38" s="544">
        <f t="shared" si="20"/>
        <v>0</v>
      </c>
      <c r="BV38" s="1638"/>
      <c r="BW38" s="663">
        <f t="shared" si="8"/>
        <v>0.33</v>
      </c>
      <c r="BX38" s="674">
        <f t="shared" si="9"/>
        <v>0.33</v>
      </c>
      <c r="BY38" s="561" t="e">
        <f t="shared" si="10"/>
        <v>#DIV/0!</v>
      </c>
      <c r="BZ38" s="674">
        <f t="shared" si="11"/>
        <v>1</v>
      </c>
      <c r="CA38" s="675">
        <f t="shared" si="12"/>
        <v>0</v>
      </c>
      <c r="CB38" s="675">
        <f t="shared" si="13"/>
        <v>0</v>
      </c>
    </row>
    <row r="39" spans="1:101" ht="83.25" hidden="1" customHeight="1" x14ac:dyDescent="0.25">
      <c r="A39" s="298" t="s">
        <v>38</v>
      </c>
      <c r="B39" s="299" t="str">
        <f>'PLAN INDICATIVO'!B38</f>
        <v>Educación</v>
      </c>
      <c r="C39" s="1547"/>
      <c r="D39" s="1549"/>
      <c r="E39" s="1549"/>
      <c r="F39" s="1549"/>
      <c r="G39" s="1549"/>
      <c r="H39" s="1549"/>
      <c r="I39" s="300">
        <f>'PLAN INDICATIVO'!I38</f>
        <v>0</v>
      </c>
      <c r="J39" s="300">
        <f>'PLAN INDICATIVO'!J38</f>
        <v>0</v>
      </c>
      <c r="K39" s="1425" t="str">
        <f>'PLAN INDICATIVO'!K38</f>
        <v>A.1.2.15</v>
      </c>
      <c r="L39" s="1425" t="str">
        <f>'PLAN INDICATIVO'!L38</f>
        <v>4. Educación de calidad</v>
      </c>
      <c r="M39" s="1425" t="str">
        <f>'PLAN INDICATIVO'!M38</f>
        <v>Secretaría de Educación, Cultura, deporte y Turismo</v>
      </c>
      <c r="N39" s="1425" t="str">
        <f>'PLAN INDICATIVO'!N38</f>
        <v>YIMI FERNANDO LOSADA PAYA</v>
      </c>
      <c r="O39" s="1425" t="str">
        <f>'PLAN INDICATIVO'!O38</f>
        <v>Incremento</v>
      </c>
      <c r="P39" s="16" t="str">
        <f>'PLAN INDICATIVO'!P38</f>
        <v>Apoyar la implementación de una nueva oferta en educación superior, en el marco del Plan Maestro de Regionalización en niveles de pregrado y postgrado, durante el cuatrienio</v>
      </c>
      <c r="Q39" s="302" t="str">
        <f>'PLAN INDICATIVO'!Q38</f>
        <v>No. De apoyos otorgados</v>
      </c>
      <c r="R39" s="303">
        <f>'PLAN INDICATIVO'!R38</f>
        <v>2015</v>
      </c>
      <c r="S39" s="304">
        <v>0</v>
      </c>
      <c r="T39" s="677">
        <v>1</v>
      </c>
      <c r="U39" s="303">
        <v>0</v>
      </c>
      <c r="V39" s="687">
        <v>5</v>
      </c>
      <c r="W39" s="572">
        <v>0.33</v>
      </c>
      <c r="X39" s="687">
        <v>5000000</v>
      </c>
      <c r="Y39" s="572">
        <v>0.34</v>
      </c>
      <c r="Z39" s="687">
        <v>500000</v>
      </c>
      <c r="AA39" s="572">
        <v>0.33</v>
      </c>
      <c r="AB39" s="687">
        <v>500000</v>
      </c>
      <c r="AC39" s="665">
        <v>0</v>
      </c>
      <c r="AD39" s="665">
        <v>0.33</v>
      </c>
      <c r="AE39" s="665"/>
      <c r="AF39" s="665"/>
      <c r="AG39" s="306"/>
      <c r="AH39" s="306"/>
      <c r="AI39" s="307" t="s">
        <v>3474</v>
      </c>
      <c r="AJ39" s="309">
        <v>42767</v>
      </c>
      <c r="AK39" s="309">
        <v>42855</v>
      </c>
      <c r="AL39" s="308"/>
      <c r="AM39" s="308"/>
      <c r="AN39" s="267" t="s">
        <v>2598</v>
      </c>
      <c r="AO39" s="507"/>
      <c r="AP39" s="525"/>
      <c r="AQ39" s="310"/>
      <c r="AR39" s="310"/>
      <c r="AS39" s="310"/>
      <c r="AT39" s="310"/>
      <c r="AU39" s="310"/>
      <c r="AV39" s="310"/>
      <c r="AW39" s="544">
        <f t="shared" si="0"/>
        <v>0</v>
      </c>
      <c r="AX39" s="525"/>
      <c r="AY39" s="310"/>
      <c r="AZ39" s="310"/>
      <c r="BA39" s="310"/>
      <c r="BB39" s="310"/>
      <c r="BC39" s="310"/>
      <c r="BD39" s="310"/>
      <c r="BE39" s="544">
        <f t="shared" si="18"/>
        <v>0</v>
      </c>
      <c r="BF39" s="525"/>
      <c r="BG39" s="310"/>
      <c r="BH39" s="310"/>
      <c r="BI39" s="310"/>
      <c r="BJ39" s="310"/>
      <c r="BK39" s="310"/>
      <c r="BL39" s="310"/>
      <c r="BM39" s="544">
        <f t="shared" si="19"/>
        <v>0</v>
      </c>
      <c r="BN39" s="525"/>
      <c r="BO39" s="310"/>
      <c r="BP39" s="310"/>
      <c r="BQ39" s="310"/>
      <c r="BR39" s="310"/>
      <c r="BS39" s="310"/>
      <c r="BT39" s="310"/>
      <c r="BU39" s="544">
        <f t="shared" si="20"/>
        <v>0</v>
      </c>
      <c r="BV39" s="1638"/>
      <c r="BW39" s="663">
        <f t="shared" si="8"/>
        <v>0.33</v>
      </c>
      <c r="BX39" s="674">
        <f t="shared" si="9"/>
        <v>0.33</v>
      </c>
      <c r="BY39" s="561" t="e">
        <f t="shared" si="10"/>
        <v>#DIV/0!</v>
      </c>
      <c r="BZ39" s="674">
        <f t="shared" si="11"/>
        <v>1</v>
      </c>
      <c r="CA39" s="675">
        <f t="shared" si="12"/>
        <v>0</v>
      </c>
      <c r="CB39" s="675">
        <f t="shared" si="13"/>
        <v>0</v>
      </c>
    </row>
    <row r="40" spans="1:101" ht="55.5" hidden="1" customHeight="1" x14ac:dyDescent="0.25">
      <c r="A40" s="298" t="s">
        <v>38</v>
      </c>
      <c r="B40" s="299" t="str">
        <f>'PLAN INDICATIVO'!B39</f>
        <v>Educación</v>
      </c>
      <c r="C40" s="1548"/>
      <c r="D40" s="1549"/>
      <c r="E40" s="1549"/>
      <c r="F40" s="1549"/>
      <c r="G40" s="1549"/>
      <c r="H40" s="1549"/>
      <c r="I40" s="300">
        <f>'PLAN INDICATIVO'!I39</f>
        <v>0</v>
      </c>
      <c r="J40" s="300">
        <f>'PLAN INDICATIVO'!J39</f>
        <v>0</v>
      </c>
      <c r="K40" s="1425" t="str">
        <f>'PLAN INDICATIVO'!K39</f>
        <v>A.1.2.16</v>
      </c>
      <c r="L40" s="1425" t="str">
        <f>'PLAN INDICATIVO'!L39</f>
        <v>4. Educación de calidad</v>
      </c>
      <c r="M40" s="1425" t="str">
        <f>'PLAN INDICATIVO'!M39</f>
        <v>Secretaría de Educación, Cultura, deporte y Turismo</v>
      </c>
      <c r="N40" s="1425" t="str">
        <f>'PLAN INDICATIVO'!N39</f>
        <v>YIMI FERNANDO LOSADA PAYA</v>
      </c>
      <c r="O40" s="1425" t="str">
        <f>'PLAN INDICATIVO'!O39</f>
        <v>Incremento</v>
      </c>
      <c r="P40" s="942" t="str">
        <f>'PLAN INDICATIVO'!P39</f>
        <v>Implementar 2 proyectos para mejorar el aprendizaje en el área de inglés, durante el cuatrienio</v>
      </c>
      <c r="Q40" s="302" t="str">
        <f>'PLAN INDICATIVO'!Q39</f>
        <v>No. De proyectos implementados durante el cuatrienio</v>
      </c>
      <c r="R40" s="303">
        <f>'PLAN INDICATIVO'!R39</f>
        <v>2015</v>
      </c>
      <c r="S40" s="304">
        <v>0</v>
      </c>
      <c r="T40" s="677">
        <v>2</v>
      </c>
      <c r="U40" s="303">
        <v>0</v>
      </c>
      <c r="V40" s="687">
        <v>10</v>
      </c>
      <c r="W40" s="823">
        <v>0</v>
      </c>
      <c r="X40" s="687">
        <v>3000000</v>
      </c>
      <c r="Y40" s="572">
        <v>1</v>
      </c>
      <c r="Z40" s="687">
        <v>500000</v>
      </c>
      <c r="AA40" s="572">
        <v>1</v>
      </c>
      <c r="AB40" s="687">
        <v>500000</v>
      </c>
      <c r="AC40" s="665">
        <v>0</v>
      </c>
      <c r="AD40" s="665"/>
      <c r="AE40" s="665"/>
      <c r="AF40" s="665"/>
      <c r="AG40" s="306"/>
      <c r="AH40" s="306"/>
      <c r="AI40" s="307"/>
      <c r="AJ40" s="881">
        <v>42767</v>
      </c>
      <c r="AK40" s="881">
        <v>43069</v>
      </c>
      <c r="AL40" s="308"/>
      <c r="AM40" s="308"/>
      <c r="AN40" s="267" t="s">
        <v>2594</v>
      </c>
      <c r="AO40" s="507"/>
      <c r="AP40" s="525"/>
      <c r="AQ40" s="310"/>
      <c r="AR40" s="310"/>
      <c r="AS40" s="310"/>
      <c r="AT40" s="310"/>
      <c r="AU40" s="310"/>
      <c r="AV40" s="310"/>
      <c r="AW40" s="544">
        <f t="shared" si="0"/>
        <v>0</v>
      </c>
      <c r="AX40" s="525"/>
      <c r="AY40" s="310"/>
      <c r="AZ40" s="310"/>
      <c r="BA40" s="310"/>
      <c r="BB40" s="310"/>
      <c r="BC40" s="310"/>
      <c r="BD40" s="310"/>
      <c r="BE40" s="544">
        <f t="shared" si="18"/>
        <v>0</v>
      </c>
      <c r="BF40" s="525"/>
      <c r="BG40" s="310"/>
      <c r="BH40" s="310"/>
      <c r="BI40" s="310"/>
      <c r="BJ40" s="310"/>
      <c r="BK40" s="310"/>
      <c r="BL40" s="310"/>
      <c r="BM40" s="544">
        <f t="shared" si="19"/>
        <v>0</v>
      </c>
      <c r="BN40" s="525"/>
      <c r="BO40" s="310"/>
      <c r="BP40" s="310"/>
      <c r="BQ40" s="310"/>
      <c r="BR40" s="310"/>
      <c r="BS40" s="310"/>
      <c r="BT40" s="310"/>
      <c r="BU40" s="544">
        <f t="shared" si="20"/>
        <v>0</v>
      </c>
      <c r="BV40" s="1638"/>
      <c r="BW40" s="663">
        <f t="shared" si="8"/>
        <v>0</v>
      </c>
      <c r="BX40" s="674">
        <f t="shared" si="9"/>
        <v>0</v>
      </c>
      <c r="BY40" s="561" t="e">
        <f t="shared" si="10"/>
        <v>#DIV/0!</v>
      </c>
      <c r="BZ40" s="674" t="e">
        <f t="shared" si="11"/>
        <v>#DIV/0!</v>
      </c>
      <c r="CA40" s="675">
        <f t="shared" si="12"/>
        <v>0</v>
      </c>
      <c r="CB40" s="675">
        <f t="shared" si="13"/>
        <v>0</v>
      </c>
    </row>
    <row r="41" spans="1:101" ht="42.75" hidden="1" customHeight="1" x14ac:dyDescent="0.25">
      <c r="A41" s="298" t="s">
        <v>38</v>
      </c>
      <c r="B41" s="299" t="str">
        <f>'PLAN INDICATIVO'!B40</f>
        <v>Educación</v>
      </c>
      <c r="C41" s="1424"/>
      <c r="D41" s="1425"/>
      <c r="E41" s="1425"/>
      <c r="F41" s="1425"/>
      <c r="G41" s="1425"/>
      <c r="H41" s="1425"/>
      <c r="I41" s="300">
        <f>'PLAN INDICATIVO'!I40</f>
        <v>0</v>
      </c>
      <c r="J41" s="300">
        <f>'PLAN INDICATIVO'!J40</f>
        <v>0</v>
      </c>
      <c r="K41" s="1425" t="str">
        <f>'PLAN INDICATIVO'!K40</f>
        <v>A.1.2.17</v>
      </c>
      <c r="L41" s="1425" t="str">
        <f>'PLAN INDICATIVO'!L40</f>
        <v>4. Educación de calidad</v>
      </c>
      <c r="M41" s="1425" t="str">
        <f>'PLAN INDICATIVO'!M40</f>
        <v>Secretaría de Educación, Cultura, deporte y Turismo</v>
      </c>
      <c r="N41" s="1425" t="str">
        <f>'PLAN INDICATIVO'!N40</f>
        <v>YIMI FERNANDO LOSADA PAYA</v>
      </c>
      <c r="O41" s="1425" t="str">
        <f>'PLAN INDICATIVO'!O40</f>
        <v>Incremento</v>
      </c>
      <c r="P41" s="942" t="str">
        <f>'PLAN INDICATIVO'!P40</f>
        <v>Realizar apoyo y acompañamiento a los semilleros de investigación que se encuentran funcionando en el municipio, durante el cuatrenio.</v>
      </c>
      <c r="Q41" s="302" t="str">
        <f>'PLAN INDICATIVO'!Q40</f>
        <v>No. De apoyos gestionados en el cuatrenio.</v>
      </c>
      <c r="R41" s="303">
        <f>'PLAN INDICATIVO'!R40</f>
        <v>2015</v>
      </c>
      <c r="S41" s="304">
        <v>0</v>
      </c>
      <c r="T41" s="677">
        <v>1</v>
      </c>
      <c r="U41" s="303">
        <v>0</v>
      </c>
      <c r="V41" s="687"/>
      <c r="W41" s="572">
        <v>0.5</v>
      </c>
      <c r="X41" s="687"/>
      <c r="Y41" s="572">
        <v>0.5</v>
      </c>
      <c r="Z41" s="687">
        <v>500000</v>
      </c>
      <c r="AA41" s="572">
        <v>0</v>
      </c>
      <c r="AB41" s="687"/>
      <c r="AC41" s="665">
        <v>0</v>
      </c>
      <c r="AD41" s="665">
        <v>0.5</v>
      </c>
      <c r="AE41" s="665"/>
      <c r="AF41" s="665"/>
      <c r="AG41" s="266"/>
      <c r="AH41" s="266"/>
      <c r="AI41" s="307" t="s">
        <v>3475</v>
      </c>
      <c r="AJ41" s="308" t="s">
        <v>3476</v>
      </c>
      <c r="AK41" s="881">
        <v>43069</v>
      </c>
      <c r="AL41" s="308"/>
      <c r="AM41" s="308"/>
      <c r="AN41" s="267" t="s">
        <v>2604</v>
      </c>
      <c r="AO41" s="507"/>
      <c r="AP41" s="525"/>
      <c r="AQ41" s="310"/>
      <c r="AR41" s="310"/>
      <c r="AS41" s="310"/>
      <c r="AT41" s="310"/>
      <c r="AU41" s="310"/>
      <c r="AV41" s="310"/>
      <c r="AW41" s="544">
        <f t="shared" si="0"/>
        <v>0</v>
      </c>
      <c r="AX41" s="525"/>
      <c r="AY41" s="310"/>
      <c r="AZ41" s="310"/>
      <c r="BA41" s="310"/>
      <c r="BB41" s="310"/>
      <c r="BC41" s="310"/>
      <c r="BD41" s="310"/>
      <c r="BE41" s="544">
        <f t="shared" si="18"/>
        <v>0</v>
      </c>
      <c r="BF41" s="525"/>
      <c r="BG41" s="310"/>
      <c r="BH41" s="310"/>
      <c r="BI41" s="310"/>
      <c r="BJ41" s="310"/>
      <c r="BK41" s="310"/>
      <c r="BL41" s="310"/>
      <c r="BM41" s="544">
        <f t="shared" si="19"/>
        <v>0</v>
      </c>
      <c r="BN41" s="525"/>
      <c r="BO41" s="310"/>
      <c r="BP41" s="310"/>
      <c r="BQ41" s="310"/>
      <c r="BR41" s="310"/>
      <c r="BS41" s="310"/>
      <c r="BT41" s="310"/>
      <c r="BU41" s="544">
        <f t="shared" si="20"/>
        <v>0</v>
      </c>
      <c r="BV41" s="1638"/>
      <c r="BW41" s="663">
        <f t="shared" si="8"/>
        <v>0.5</v>
      </c>
      <c r="BX41" s="674">
        <f t="shared" si="9"/>
        <v>0.5</v>
      </c>
      <c r="BY41" s="561" t="e">
        <f t="shared" si="10"/>
        <v>#DIV/0!</v>
      </c>
      <c r="BZ41" s="674">
        <v>0.5</v>
      </c>
      <c r="CA41" s="675">
        <f t="shared" si="12"/>
        <v>0</v>
      </c>
      <c r="CB41" s="675" t="e">
        <f t="shared" si="13"/>
        <v>#DIV/0!</v>
      </c>
    </row>
    <row r="42" spans="1:101" ht="54" hidden="1" customHeight="1" x14ac:dyDescent="0.25">
      <c r="A42" s="298" t="s">
        <v>38</v>
      </c>
      <c r="B42" s="299" t="str">
        <f>'PLAN INDICATIVO'!B41</f>
        <v>Educación</v>
      </c>
      <c r="C42" s="1424"/>
      <c r="D42" s="1425"/>
      <c r="E42" s="1425"/>
      <c r="F42" s="1425"/>
      <c r="G42" s="1425"/>
      <c r="H42" s="1425"/>
      <c r="I42" s="300">
        <f>'PLAN INDICATIVO'!I41</f>
        <v>0</v>
      </c>
      <c r="J42" s="300">
        <f>'PLAN INDICATIVO'!J41</f>
        <v>0</v>
      </c>
      <c r="K42" s="1425" t="str">
        <f>'PLAN INDICATIVO'!K41</f>
        <v>A.1.2.18</v>
      </c>
      <c r="L42" s="1425" t="str">
        <f>'PLAN INDICATIVO'!L41</f>
        <v>4. Educación de calidad</v>
      </c>
      <c r="M42" s="1425" t="str">
        <f>'PLAN INDICATIVO'!M41</f>
        <v>Secretaría de Educación, Cultura, deporte y Turismo</v>
      </c>
      <c r="N42" s="1425" t="str">
        <f>'PLAN INDICATIVO'!N41</f>
        <v>YIMI FERNANDO LOSADA PAYA</v>
      </c>
      <c r="O42" s="1425" t="str">
        <f>'PLAN INDICATIVO'!O41</f>
        <v>Incremento</v>
      </c>
      <c r="P42" s="16" t="str">
        <f>'PLAN INDICATIVO'!P41</f>
        <v>Apoyo para la vinculación de estudiantes al programa ONDAS.</v>
      </c>
      <c r="Q42" s="302" t="str">
        <f>'PLAN INDICATIVO'!Q41</f>
        <v>No. De apoyos gestionados en el cuatrenio.</v>
      </c>
      <c r="R42" s="303">
        <f>'PLAN INDICATIVO'!R41</f>
        <v>2015</v>
      </c>
      <c r="S42" s="304">
        <v>0</v>
      </c>
      <c r="T42" s="677">
        <v>1</v>
      </c>
      <c r="U42" s="303">
        <v>0</v>
      </c>
      <c r="V42" s="687">
        <v>2</v>
      </c>
      <c r="W42" s="572">
        <v>1</v>
      </c>
      <c r="X42" s="687">
        <v>2000000</v>
      </c>
      <c r="Y42" s="572">
        <v>0</v>
      </c>
      <c r="Z42" s="687"/>
      <c r="AA42" s="572">
        <v>0</v>
      </c>
      <c r="AB42" s="687"/>
      <c r="AC42" s="665">
        <v>0</v>
      </c>
      <c r="AD42" s="665">
        <v>1</v>
      </c>
      <c r="AE42" s="665"/>
      <c r="AF42" s="665"/>
      <c r="AG42" s="306"/>
      <c r="AH42" s="306"/>
      <c r="AI42" s="307" t="s">
        <v>3477</v>
      </c>
      <c r="AJ42" s="881">
        <v>42767</v>
      </c>
      <c r="AK42" s="881">
        <v>43069</v>
      </c>
      <c r="AL42" s="308"/>
      <c r="AM42" s="308"/>
      <c r="AN42" s="267" t="s">
        <v>2598</v>
      </c>
      <c r="AO42" s="507"/>
      <c r="AP42" s="525"/>
      <c r="AQ42" s="310"/>
      <c r="AR42" s="310"/>
      <c r="AS42" s="310"/>
      <c r="AT42" s="310"/>
      <c r="AU42" s="310"/>
      <c r="AV42" s="310"/>
      <c r="AW42" s="544">
        <f t="shared" si="0"/>
        <v>0</v>
      </c>
      <c r="AX42" s="525"/>
      <c r="AY42" s="310"/>
      <c r="AZ42" s="310"/>
      <c r="BA42" s="310"/>
      <c r="BB42" s="310"/>
      <c r="BC42" s="310"/>
      <c r="BD42" s="310"/>
      <c r="BE42" s="544">
        <f t="shared" si="18"/>
        <v>0</v>
      </c>
      <c r="BF42" s="525"/>
      <c r="BG42" s="310"/>
      <c r="BH42" s="310"/>
      <c r="BI42" s="310"/>
      <c r="BJ42" s="310"/>
      <c r="BK42" s="310"/>
      <c r="BL42" s="310"/>
      <c r="BM42" s="544">
        <f t="shared" si="19"/>
        <v>0</v>
      </c>
      <c r="BN42" s="525"/>
      <c r="BO42" s="310"/>
      <c r="BP42" s="310"/>
      <c r="BQ42" s="310"/>
      <c r="BR42" s="310"/>
      <c r="BS42" s="310"/>
      <c r="BT42" s="310"/>
      <c r="BU42" s="544">
        <f t="shared" si="20"/>
        <v>0</v>
      </c>
      <c r="BV42" s="1639"/>
      <c r="BW42" s="663">
        <f t="shared" si="8"/>
        <v>1</v>
      </c>
      <c r="BX42" s="674">
        <f t="shared" si="9"/>
        <v>1</v>
      </c>
      <c r="BY42" s="835" t="e">
        <f t="shared" si="10"/>
        <v>#DIV/0!</v>
      </c>
      <c r="BZ42" s="674">
        <f t="shared" si="11"/>
        <v>1</v>
      </c>
      <c r="CA42" s="675" t="e">
        <f t="shared" si="12"/>
        <v>#DIV/0!</v>
      </c>
      <c r="CB42" s="675" t="e">
        <f t="shared" si="13"/>
        <v>#DIV/0!</v>
      </c>
    </row>
    <row r="43" spans="1:101" ht="33" hidden="1" customHeight="1" x14ac:dyDescent="0.25">
      <c r="A43" s="295" t="s">
        <v>38</v>
      </c>
      <c r="B43" s="24" t="str">
        <f>'PLAN INDICATIVO'!B42</f>
        <v>Educación</v>
      </c>
      <c r="C43" s="1574" t="s">
        <v>149</v>
      </c>
      <c r="D43" s="1575"/>
      <c r="E43" s="1575"/>
      <c r="F43" s="1575"/>
      <c r="G43" s="1575"/>
      <c r="H43" s="1575"/>
      <c r="I43" s="1575"/>
      <c r="J43" s="1575"/>
      <c r="K43" s="1575"/>
      <c r="L43" s="1575"/>
      <c r="M43" s="1575"/>
      <c r="N43" s="1575"/>
      <c r="O43" s="1576"/>
      <c r="P43" s="22"/>
      <c r="Q43" s="22"/>
      <c r="R43" s="1"/>
      <c r="S43" s="261"/>
      <c r="T43" s="681"/>
      <c r="U43" s="261"/>
      <c r="V43" s="689">
        <f>SUM(V44:V47)</f>
        <v>731.96</v>
      </c>
      <c r="W43" s="261"/>
      <c r="X43" s="689">
        <f>SUM(X44:X47)</f>
        <v>932530000</v>
      </c>
      <c r="Y43" s="261"/>
      <c r="Z43" s="689">
        <f>SUM(Z44:Z47)</f>
        <v>962500000</v>
      </c>
      <c r="AA43" s="262"/>
      <c r="AB43" s="690">
        <f>SUM(AB44:AB47)</f>
        <v>971000000</v>
      </c>
      <c r="AC43" s="262"/>
      <c r="AD43" s="262"/>
      <c r="AE43" s="262"/>
      <c r="AF43" s="262"/>
      <c r="AG43" s="263"/>
      <c r="AH43" s="263"/>
      <c r="AI43" s="263"/>
      <c r="AJ43" s="262"/>
      <c r="AK43" s="262"/>
      <c r="AL43" s="262"/>
      <c r="AM43" s="262"/>
      <c r="AN43" s="262"/>
      <c r="AO43" s="612"/>
      <c r="AP43" s="616" t="e">
        <f>(AP44:AP47)</f>
        <v>#VALUE!</v>
      </c>
      <c r="AQ43" s="616" t="e">
        <f t="shared" ref="AQ43:AV43" si="21">(AQ44:AQ47)</f>
        <v>#VALUE!</v>
      </c>
      <c r="AR43" s="616" t="e">
        <f t="shared" si="21"/>
        <v>#VALUE!</v>
      </c>
      <c r="AS43" s="616" t="e">
        <f t="shared" si="21"/>
        <v>#VALUE!</v>
      </c>
      <c r="AT43" s="616" t="e">
        <f t="shared" si="21"/>
        <v>#VALUE!</v>
      </c>
      <c r="AU43" s="616" t="e">
        <f t="shared" si="21"/>
        <v>#VALUE!</v>
      </c>
      <c r="AV43" s="616" t="e">
        <f t="shared" si="21"/>
        <v>#VALUE!</v>
      </c>
      <c r="AW43" s="617" t="e">
        <f t="shared" si="0"/>
        <v>#VALUE!</v>
      </c>
      <c r="AX43" s="616" t="e">
        <f>(AX44:AX47)</f>
        <v>#VALUE!</v>
      </c>
      <c r="AY43" s="616" t="e">
        <f t="shared" ref="AY43:BD43" si="22">(AY44:AY47)</f>
        <v>#VALUE!</v>
      </c>
      <c r="AZ43" s="616" t="e">
        <f t="shared" si="22"/>
        <v>#VALUE!</v>
      </c>
      <c r="BA43" s="616" t="e">
        <f t="shared" si="22"/>
        <v>#VALUE!</v>
      </c>
      <c r="BB43" s="616" t="e">
        <f t="shared" si="22"/>
        <v>#VALUE!</v>
      </c>
      <c r="BC43" s="616" t="e">
        <f t="shared" si="22"/>
        <v>#VALUE!</v>
      </c>
      <c r="BD43" s="616" t="e">
        <f t="shared" si="22"/>
        <v>#VALUE!</v>
      </c>
      <c r="BE43" s="617" t="e">
        <f t="shared" si="18"/>
        <v>#VALUE!</v>
      </c>
      <c r="BF43" s="616" t="e">
        <f>(BF44:BF47)</f>
        <v>#VALUE!</v>
      </c>
      <c r="BG43" s="616" t="e">
        <f t="shared" ref="BG43:BL43" si="23">(BG44:BG47)</f>
        <v>#VALUE!</v>
      </c>
      <c r="BH43" s="616" t="e">
        <f t="shared" si="23"/>
        <v>#VALUE!</v>
      </c>
      <c r="BI43" s="616" t="e">
        <f t="shared" si="23"/>
        <v>#VALUE!</v>
      </c>
      <c r="BJ43" s="616" t="e">
        <f t="shared" si="23"/>
        <v>#VALUE!</v>
      </c>
      <c r="BK43" s="616" t="e">
        <f t="shared" si="23"/>
        <v>#VALUE!</v>
      </c>
      <c r="BL43" s="616" t="e">
        <f t="shared" si="23"/>
        <v>#VALUE!</v>
      </c>
      <c r="BM43" s="617" t="e">
        <f t="shared" si="19"/>
        <v>#VALUE!</v>
      </c>
      <c r="BN43" s="616" t="e">
        <f>(BN44:BN47)</f>
        <v>#VALUE!</v>
      </c>
      <c r="BO43" s="616" t="e">
        <f t="shared" ref="BO43:BT43" si="24">(BO44:BO47)</f>
        <v>#VALUE!</v>
      </c>
      <c r="BP43" s="616" t="e">
        <f t="shared" si="24"/>
        <v>#VALUE!</v>
      </c>
      <c r="BQ43" s="616" t="e">
        <f t="shared" si="24"/>
        <v>#VALUE!</v>
      </c>
      <c r="BR43" s="616" t="e">
        <f t="shared" si="24"/>
        <v>#VALUE!</v>
      </c>
      <c r="BS43" s="616" t="e">
        <f t="shared" si="24"/>
        <v>#VALUE!</v>
      </c>
      <c r="BT43" s="616" t="e">
        <f t="shared" si="24"/>
        <v>#VALUE!</v>
      </c>
      <c r="BU43" s="617" t="e">
        <f t="shared" si="20"/>
        <v>#VALUE!</v>
      </c>
      <c r="BV43" s="556"/>
      <c r="BW43" s="863">
        <f t="shared" si="8"/>
        <v>0</v>
      </c>
      <c r="BX43" s="864" t="e">
        <f t="shared" si="9"/>
        <v>#DIV/0!</v>
      </c>
      <c r="BY43" s="613" t="e">
        <f t="shared" si="10"/>
        <v>#DIV/0!</v>
      </c>
      <c r="BZ43" s="864" t="e">
        <f t="shared" si="11"/>
        <v>#DIV/0!</v>
      </c>
      <c r="CA43" s="1450" t="e">
        <f t="shared" si="12"/>
        <v>#DIV/0!</v>
      </c>
      <c r="CB43" s="675" t="e">
        <f t="shared" si="13"/>
        <v>#DIV/0!</v>
      </c>
    </row>
    <row r="44" spans="1:101" ht="55.5" hidden="1" customHeight="1" x14ac:dyDescent="0.25">
      <c r="A44" s="298" t="s">
        <v>38</v>
      </c>
      <c r="B44" s="299" t="str">
        <f>'PLAN INDICATIVO'!B43</f>
        <v>Educación</v>
      </c>
      <c r="C44" s="299" t="s">
        <v>150</v>
      </c>
      <c r="D44" s="1425" t="s">
        <v>151</v>
      </c>
      <c r="E44" s="1425" t="s">
        <v>152</v>
      </c>
      <c r="F44" s="1429">
        <v>2014</v>
      </c>
      <c r="G44" s="1425">
        <v>10.6</v>
      </c>
      <c r="H44" s="1429">
        <v>8</v>
      </c>
      <c r="I44" s="300">
        <f>'PLAN INDICATIVO'!I43</f>
        <v>0</v>
      </c>
      <c r="J44" s="300">
        <f>'PLAN INDICATIVO'!J43</f>
        <v>0</v>
      </c>
      <c r="K44" s="1425" t="str">
        <f>'PLAN INDICATIVO'!K43</f>
        <v>A.1.3.1</v>
      </c>
      <c r="L44" s="1425" t="str">
        <f>'PLAN INDICATIVO'!L43</f>
        <v>4. Educación de calidad</v>
      </c>
      <c r="M44" s="1425" t="str">
        <f>'PLAN INDICATIVO'!M43</f>
        <v>Secretaría de Educación, Cultura, deporte y Turismo</v>
      </c>
      <c r="N44" s="1425" t="str">
        <f>'PLAN INDICATIVO'!N43</f>
        <v>YIMI FERNANDO LOSADA PAYA</v>
      </c>
      <c r="O44" s="1425" t="str">
        <f>'PLAN INDICATIVO'!O43</f>
        <v>Incremento</v>
      </c>
      <c r="P44" s="942" t="str">
        <f>'PLAN INDICATIVO'!P43</f>
        <v>Apoyar 4 programas de alfabetización para el cambio, dirigido a la población analfabeta del municipio.</v>
      </c>
      <c r="Q44" s="302" t="str">
        <f>'PLAN INDICATIVO'!Q43</f>
        <v>No. De programas de alfabetización con seguimiento</v>
      </c>
      <c r="R44" s="303">
        <f>'PLAN INDICATIVO'!R43</f>
        <v>2015</v>
      </c>
      <c r="S44" s="304">
        <v>1</v>
      </c>
      <c r="T44" s="677">
        <v>4</v>
      </c>
      <c r="U44" s="303">
        <v>1</v>
      </c>
      <c r="V44" s="687">
        <v>3</v>
      </c>
      <c r="W44" s="572">
        <v>1</v>
      </c>
      <c r="X44" s="687">
        <v>5000000</v>
      </c>
      <c r="Y44" s="572">
        <v>1</v>
      </c>
      <c r="Z44" s="687">
        <v>2500000</v>
      </c>
      <c r="AA44" s="572">
        <v>1</v>
      </c>
      <c r="AB44" s="687">
        <v>1000000</v>
      </c>
      <c r="AC44" s="665">
        <v>1</v>
      </c>
      <c r="AD44" s="665">
        <v>1</v>
      </c>
      <c r="AE44" s="665"/>
      <c r="AF44" s="665"/>
      <c r="AG44" s="306"/>
      <c r="AH44" s="306"/>
      <c r="AI44" s="307" t="s">
        <v>3478</v>
      </c>
      <c r="AJ44" s="309">
        <v>42767</v>
      </c>
      <c r="AK44" s="309">
        <v>42916</v>
      </c>
      <c r="AL44" s="308"/>
      <c r="AM44" s="308"/>
      <c r="AN44" s="267" t="s">
        <v>2598</v>
      </c>
      <c r="AO44" s="507"/>
      <c r="AP44" s="525"/>
      <c r="AQ44" s="310"/>
      <c r="AR44" s="310"/>
      <c r="AS44" s="310"/>
      <c r="AT44" s="310"/>
      <c r="AU44" s="310"/>
      <c r="AV44" s="310"/>
      <c r="AW44" s="544">
        <f t="shared" si="0"/>
        <v>0</v>
      </c>
      <c r="AX44" s="525"/>
      <c r="AY44" s="310"/>
      <c r="AZ44" s="310"/>
      <c r="BA44" s="310"/>
      <c r="BB44" s="310"/>
      <c r="BC44" s="310"/>
      <c r="BD44" s="310"/>
      <c r="BE44" s="544">
        <f t="shared" si="18"/>
        <v>0</v>
      </c>
      <c r="BF44" s="525"/>
      <c r="BG44" s="310"/>
      <c r="BH44" s="310"/>
      <c r="BI44" s="310"/>
      <c r="BJ44" s="310"/>
      <c r="BK44" s="310"/>
      <c r="BL44" s="310"/>
      <c r="BM44" s="544">
        <f t="shared" si="19"/>
        <v>0</v>
      </c>
      <c r="BN44" s="525"/>
      <c r="BO44" s="310"/>
      <c r="BP44" s="310"/>
      <c r="BQ44" s="310"/>
      <c r="BR44" s="310"/>
      <c r="BS44" s="310"/>
      <c r="BT44" s="310"/>
      <c r="BU44" s="544">
        <f t="shared" si="20"/>
        <v>0</v>
      </c>
      <c r="BV44" s="1637" t="s">
        <v>2587</v>
      </c>
      <c r="BW44" s="663">
        <f t="shared" si="8"/>
        <v>2</v>
      </c>
      <c r="BX44" s="674">
        <f t="shared" si="9"/>
        <v>0.5</v>
      </c>
      <c r="BY44" s="835">
        <f t="shared" si="10"/>
        <v>1</v>
      </c>
      <c r="BZ44" s="674">
        <f t="shared" si="11"/>
        <v>1</v>
      </c>
      <c r="CA44" s="675">
        <f t="shared" si="12"/>
        <v>0</v>
      </c>
      <c r="CB44" s="675">
        <f t="shared" si="13"/>
        <v>0</v>
      </c>
    </row>
    <row r="45" spans="1:101" ht="52.5" hidden="1" customHeight="1" x14ac:dyDescent="0.25">
      <c r="A45" s="298" t="s">
        <v>38</v>
      </c>
      <c r="B45" s="299" t="str">
        <f>'PLAN INDICATIVO'!B44</f>
        <v>Educación</v>
      </c>
      <c r="C45" s="1546" t="s">
        <v>156</v>
      </c>
      <c r="D45" s="1549" t="s">
        <v>157</v>
      </c>
      <c r="E45" s="1549" t="s">
        <v>158</v>
      </c>
      <c r="F45" s="1549">
        <v>2014</v>
      </c>
      <c r="G45" s="1549">
        <v>4.29</v>
      </c>
      <c r="H45" s="1549">
        <v>4</v>
      </c>
      <c r="I45" s="300">
        <f>'PLAN INDICATIVO'!I44</f>
        <v>0</v>
      </c>
      <c r="J45" s="300">
        <f>'PLAN INDICATIVO'!J44</f>
        <v>0</v>
      </c>
      <c r="K45" s="1425" t="str">
        <f>'PLAN INDICATIVO'!K44</f>
        <v>A.1.4.1</v>
      </c>
      <c r="L45" s="1425" t="str">
        <f>'PLAN INDICATIVO'!L44</f>
        <v>4. Educación de calidad</v>
      </c>
      <c r="M45" s="1425" t="str">
        <f>'PLAN INDICATIVO'!M44</f>
        <v>Secretaría de Educación, Cultura, deporte y Turismo</v>
      </c>
      <c r="N45" s="1425" t="str">
        <f>'PLAN INDICATIVO'!N44</f>
        <v>YIMI FERNANDO LOSADA PAYA</v>
      </c>
      <c r="O45" s="1425" t="str">
        <f>'PLAN INDICATIVO'!O44</f>
        <v>Mantenimiento</v>
      </c>
      <c r="P45" s="16" t="str">
        <f>'PLAN INDICATIVO'!P44</f>
        <v>Mantener 1 Programa de Alimentación escolar cada año en el municipio durante el cuatrienio.</v>
      </c>
      <c r="Q45" s="302" t="str">
        <f>'PLAN INDICATIVO'!Q44</f>
        <v>No. De programas de restaurantes escolares en funcionamiento cada año</v>
      </c>
      <c r="R45" s="303">
        <f>'PLAN INDICATIVO'!R44</f>
        <v>2015</v>
      </c>
      <c r="S45" s="304">
        <v>1</v>
      </c>
      <c r="T45" s="677">
        <v>1</v>
      </c>
      <c r="U45" s="303">
        <v>0.25</v>
      </c>
      <c r="V45" s="687">
        <v>297.52999999999997</v>
      </c>
      <c r="W45" s="572">
        <v>0.25</v>
      </c>
      <c r="X45" s="687">
        <v>300000000</v>
      </c>
      <c r="Y45" s="572">
        <v>0.25</v>
      </c>
      <c r="Z45" s="687">
        <v>340000000</v>
      </c>
      <c r="AA45" s="572">
        <v>0.25</v>
      </c>
      <c r="AB45" s="687">
        <v>340000000</v>
      </c>
      <c r="AC45" s="665">
        <v>0.25</v>
      </c>
      <c r="AD45" s="665">
        <v>0.25</v>
      </c>
      <c r="AE45" s="665"/>
      <c r="AF45" s="665"/>
      <c r="AG45" s="306"/>
      <c r="AH45" s="306"/>
      <c r="AI45" s="307" t="s">
        <v>3479</v>
      </c>
      <c r="AJ45" s="309">
        <v>42826</v>
      </c>
      <c r="AK45" s="309">
        <v>43069</v>
      </c>
      <c r="AL45" s="308"/>
      <c r="AM45" s="308"/>
      <c r="AN45" s="267" t="s">
        <v>2598</v>
      </c>
      <c r="AO45" s="507" t="s">
        <v>3480</v>
      </c>
      <c r="AP45" s="525"/>
      <c r="AQ45" s="310">
        <v>282684809</v>
      </c>
      <c r="AR45" s="310"/>
      <c r="AS45" s="310"/>
      <c r="AT45" s="310"/>
      <c r="AU45" s="310"/>
      <c r="AV45" s="310"/>
      <c r="AW45" s="544">
        <f t="shared" si="0"/>
        <v>282684809</v>
      </c>
      <c r="AX45" s="525"/>
      <c r="AY45" s="310"/>
      <c r="AZ45" s="310"/>
      <c r="BA45" s="310"/>
      <c r="BB45" s="310"/>
      <c r="BC45" s="310"/>
      <c r="BD45" s="310"/>
      <c r="BE45" s="544">
        <f t="shared" si="18"/>
        <v>0</v>
      </c>
      <c r="BF45" s="525"/>
      <c r="BG45" s="310"/>
      <c r="BH45" s="310"/>
      <c r="BI45" s="310"/>
      <c r="BJ45" s="310"/>
      <c r="BK45" s="310"/>
      <c r="BL45" s="310"/>
      <c r="BM45" s="544">
        <f t="shared" si="19"/>
        <v>0</v>
      </c>
      <c r="BN45" s="525"/>
      <c r="BO45" s="310"/>
      <c r="BP45" s="310"/>
      <c r="BQ45" s="310"/>
      <c r="BR45" s="310"/>
      <c r="BS45" s="310"/>
      <c r="BT45" s="310"/>
      <c r="BU45" s="544">
        <f t="shared" si="20"/>
        <v>0</v>
      </c>
      <c r="BV45" s="1638"/>
      <c r="BW45" s="663">
        <f t="shared" si="8"/>
        <v>0.5</v>
      </c>
      <c r="BX45" s="674">
        <f t="shared" si="9"/>
        <v>0.5</v>
      </c>
      <c r="BY45" s="835">
        <f t="shared" si="10"/>
        <v>1</v>
      </c>
      <c r="BZ45" s="674">
        <f t="shared" si="11"/>
        <v>1</v>
      </c>
      <c r="CA45" s="675">
        <f t="shared" si="12"/>
        <v>0</v>
      </c>
      <c r="CB45" s="675">
        <f t="shared" si="13"/>
        <v>0</v>
      </c>
    </row>
    <row r="46" spans="1:101" ht="50.25" hidden="1" customHeight="1" x14ac:dyDescent="0.25">
      <c r="A46" s="298" t="s">
        <v>38</v>
      </c>
      <c r="B46" s="299" t="str">
        <f>'PLAN INDICATIVO'!B45</f>
        <v>Educación</v>
      </c>
      <c r="C46" s="1547"/>
      <c r="D46" s="1549"/>
      <c r="E46" s="1549"/>
      <c r="F46" s="1549"/>
      <c r="G46" s="1549"/>
      <c r="H46" s="1549"/>
      <c r="I46" s="300">
        <f>'PLAN INDICATIVO'!I45</f>
        <v>0</v>
      </c>
      <c r="J46" s="300">
        <f>'PLAN INDICATIVO'!J45</f>
        <v>0</v>
      </c>
      <c r="K46" s="1425" t="str">
        <f>'PLAN INDICATIVO'!K45</f>
        <v>A.1.4.2</v>
      </c>
      <c r="L46" s="1425" t="str">
        <f>'PLAN INDICATIVO'!L45</f>
        <v>4. Educación de calidad</v>
      </c>
      <c r="M46" s="1425" t="str">
        <f>'PLAN INDICATIVO'!M45</f>
        <v>Secretaría de Educación, Cultura, deporte y Turismo</v>
      </c>
      <c r="N46" s="1425" t="str">
        <f>'PLAN INDICATIVO'!N45</f>
        <v>YIMI FERNANDO LOSADA PAYA</v>
      </c>
      <c r="O46" s="1425" t="str">
        <f>'PLAN INDICATIVO'!O45</f>
        <v>Incremento</v>
      </c>
      <c r="P46" s="16" t="str">
        <f>'PLAN INDICATIVO'!P45</f>
        <v>Suministrar 4 dotaciones de menaje y dotación para la prestación del servicio de alimentación escolar a las IE públicas del municipio, durante el cuatrienio</v>
      </c>
      <c r="Q46" s="302" t="str">
        <f>'PLAN INDICATIVO'!Q45</f>
        <v>No. De dotaciones suministradas durante el cuatrienio</v>
      </c>
      <c r="R46" s="303">
        <f>'PLAN INDICATIVO'!R45</f>
        <v>2015</v>
      </c>
      <c r="S46" s="304">
        <v>1</v>
      </c>
      <c r="T46" s="677">
        <v>4</v>
      </c>
      <c r="U46" s="303">
        <v>1</v>
      </c>
      <c r="V46" s="687">
        <v>31.43</v>
      </c>
      <c r="W46" s="572">
        <v>1</v>
      </c>
      <c r="X46" s="687">
        <v>27530000</v>
      </c>
      <c r="Y46" s="572">
        <v>1</v>
      </c>
      <c r="Z46" s="687">
        <v>5000000</v>
      </c>
      <c r="AA46" s="572">
        <v>1</v>
      </c>
      <c r="AB46" s="687">
        <v>10000000</v>
      </c>
      <c r="AC46" s="665">
        <v>1</v>
      </c>
      <c r="AD46" s="665">
        <v>1</v>
      </c>
      <c r="AE46" s="665"/>
      <c r="AF46" s="665"/>
      <c r="AG46" s="306"/>
      <c r="AH46" s="306"/>
      <c r="AI46" s="307" t="s">
        <v>3481</v>
      </c>
      <c r="AJ46" s="309">
        <v>42826</v>
      </c>
      <c r="AK46" s="309">
        <v>42916</v>
      </c>
      <c r="AL46" s="308"/>
      <c r="AM46" s="308"/>
      <c r="AN46" s="267" t="s">
        <v>2598</v>
      </c>
      <c r="AO46" s="507" t="s">
        <v>3482</v>
      </c>
      <c r="AP46" s="525"/>
      <c r="AQ46" s="310">
        <v>140513208</v>
      </c>
      <c r="AR46" s="310"/>
      <c r="AS46" s="310"/>
      <c r="AT46" s="310"/>
      <c r="AU46" s="310"/>
      <c r="AV46" s="310"/>
      <c r="AW46" s="544">
        <f t="shared" si="0"/>
        <v>140513208</v>
      </c>
      <c r="AX46" s="525"/>
      <c r="AY46" s="310"/>
      <c r="AZ46" s="310"/>
      <c r="BA46" s="310"/>
      <c r="BB46" s="310"/>
      <c r="BC46" s="310"/>
      <c r="BD46" s="310"/>
      <c r="BE46" s="544">
        <f t="shared" si="18"/>
        <v>0</v>
      </c>
      <c r="BF46" s="525"/>
      <c r="BG46" s="310"/>
      <c r="BH46" s="310"/>
      <c r="BI46" s="310"/>
      <c r="BJ46" s="310"/>
      <c r="BK46" s="310"/>
      <c r="BL46" s="310"/>
      <c r="BM46" s="544">
        <f t="shared" si="19"/>
        <v>0</v>
      </c>
      <c r="BN46" s="525"/>
      <c r="BO46" s="310"/>
      <c r="BP46" s="310"/>
      <c r="BQ46" s="310"/>
      <c r="BR46" s="310"/>
      <c r="BS46" s="310"/>
      <c r="BT46" s="310"/>
      <c r="BU46" s="544">
        <f t="shared" si="20"/>
        <v>0</v>
      </c>
      <c r="BV46" s="1638"/>
      <c r="BW46" s="663">
        <f t="shared" si="8"/>
        <v>2</v>
      </c>
      <c r="BX46" s="674">
        <f t="shared" si="9"/>
        <v>0.5</v>
      </c>
      <c r="BY46" s="835">
        <f t="shared" si="10"/>
        <v>1</v>
      </c>
      <c r="BZ46" s="674">
        <f t="shared" si="11"/>
        <v>1</v>
      </c>
      <c r="CA46" s="675">
        <f t="shared" si="12"/>
        <v>0</v>
      </c>
      <c r="CB46" s="675">
        <f t="shared" si="13"/>
        <v>0</v>
      </c>
    </row>
    <row r="47" spans="1:101" ht="51" hidden="1" customHeight="1" thickBot="1" x14ac:dyDescent="0.3">
      <c r="A47" s="298" t="s">
        <v>38</v>
      </c>
      <c r="B47" s="299" t="str">
        <f>'PLAN INDICATIVO'!B46</f>
        <v>Educación</v>
      </c>
      <c r="C47" s="1548"/>
      <c r="D47" s="1549"/>
      <c r="E47" s="1549"/>
      <c r="F47" s="1549"/>
      <c r="G47" s="1549"/>
      <c r="H47" s="1549"/>
      <c r="I47" s="300">
        <f>'PLAN INDICATIVO'!I46</f>
        <v>0</v>
      </c>
      <c r="J47" s="300">
        <f>'PLAN INDICATIVO'!J46</f>
        <v>0</v>
      </c>
      <c r="K47" s="1425" t="str">
        <f>'PLAN INDICATIVO'!K46</f>
        <v>A.1.4.3</v>
      </c>
      <c r="L47" s="1425" t="str">
        <f>'PLAN INDICATIVO'!L46</f>
        <v>4. Educación de calidad</v>
      </c>
      <c r="M47" s="1425" t="str">
        <f>'PLAN INDICATIVO'!M46</f>
        <v>Secretaría de Educación, Cultura, deporte y Turismo</v>
      </c>
      <c r="N47" s="1425" t="str">
        <f>'PLAN INDICATIVO'!N46</f>
        <v>YIMI FERNANDO LOSADA PAYA</v>
      </c>
      <c r="O47" s="1425" t="str">
        <f>'PLAN INDICATIVO'!O46</f>
        <v>Mantenimiento</v>
      </c>
      <c r="P47" s="16" t="str">
        <f>'PLAN INDICATIVO'!P46</f>
        <v xml:space="preserve">Atender 65 rutas de transporte escolar por año en el sector urbano y rural del municipio durante el cuatrienio. </v>
      </c>
      <c r="Q47" s="302" t="str">
        <f>'PLAN INDICATIVO'!Q46</f>
        <v>No. De rutas de transporte escolar implementadas cada año</v>
      </c>
      <c r="R47" s="303">
        <f>'PLAN INDICATIVO'!R46</f>
        <v>2015</v>
      </c>
      <c r="S47" s="304">
        <v>61</v>
      </c>
      <c r="T47" s="677">
        <v>65</v>
      </c>
      <c r="U47" s="303">
        <v>65</v>
      </c>
      <c r="V47" s="687">
        <v>400</v>
      </c>
      <c r="W47" s="572">
        <v>65</v>
      </c>
      <c r="X47" s="687">
        <v>600000000</v>
      </c>
      <c r="Y47" s="572">
        <v>65</v>
      </c>
      <c r="Z47" s="687">
        <v>615000000</v>
      </c>
      <c r="AA47" s="572">
        <v>65</v>
      </c>
      <c r="AB47" s="687">
        <v>620000000</v>
      </c>
      <c r="AC47" s="665">
        <f>65</f>
        <v>65</v>
      </c>
      <c r="AD47" s="904">
        <v>83</v>
      </c>
      <c r="AE47" s="665"/>
      <c r="AF47" s="665"/>
      <c r="AG47" s="306"/>
      <c r="AH47" s="306"/>
      <c r="AI47" s="307" t="s">
        <v>3483</v>
      </c>
      <c r="AJ47" s="309">
        <v>42826</v>
      </c>
      <c r="AK47" s="309">
        <v>43064</v>
      </c>
      <c r="AL47" s="308"/>
      <c r="AM47" s="308"/>
      <c r="AN47" s="267" t="s">
        <v>2598</v>
      </c>
      <c r="AO47" s="507" t="s">
        <v>3484</v>
      </c>
      <c r="AP47" s="525"/>
      <c r="AQ47" s="310">
        <v>550000000</v>
      </c>
      <c r="AR47" s="310"/>
      <c r="AS47" s="310"/>
      <c r="AT47" s="310"/>
      <c r="AU47" s="310"/>
      <c r="AV47" s="310"/>
      <c r="AW47" s="544">
        <f t="shared" si="0"/>
        <v>550000000</v>
      </c>
      <c r="AX47" s="525"/>
      <c r="AY47" s="310"/>
      <c r="AZ47" s="310"/>
      <c r="BA47" s="310"/>
      <c r="BB47" s="310"/>
      <c r="BC47" s="310"/>
      <c r="BD47" s="310"/>
      <c r="BE47" s="544">
        <f t="shared" si="18"/>
        <v>0</v>
      </c>
      <c r="BF47" s="525"/>
      <c r="BG47" s="310"/>
      <c r="BH47" s="310"/>
      <c r="BI47" s="310"/>
      <c r="BJ47" s="310"/>
      <c r="BK47" s="310"/>
      <c r="BL47" s="310"/>
      <c r="BM47" s="544">
        <f t="shared" si="19"/>
        <v>0</v>
      </c>
      <c r="BN47" s="525"/>
      <c r="BO47" s="310"/>
      <c r="BP47" s="310"/>
      <c r="BQ47" s="310"/>
      <c r="BR47" s="310"/>
      <c r="BS47" s="310"/>
      <c r="BT47" s="310"/>
      <c r="BU47" s="544">
        <f t="shared" si="20"/>
        <v>0</v>
      </c>
      <c r="BV47" s="1639"/>
      <c r="BW47" s="663">
        <f t="shared" si="8"/>
        <v>148</v>
      </c>
      <c r="BX47" s="674">
        <f t="shared" si="9"/>
        <v>2.2769230769230768</v>
      </c>
      <c r="BY47" s="835">
        <f t="shared" si="10"/>
        <v>1</v>
      </c>
      <c r="BZ47" s="674">
        <f t="shared" si="11"/>
        <v>1.2769230769230768</v>
      </c>
      <c r="CA47" s="675">
        <f t="shared" si="12"/>
        <v>0</v>
      </c>
      <c r="CB47" s="675">
        <f t="shared" si="13"/>
        <v>0</v>
      </c>
    </row>
    <row r="48" spans="1:101" ht="28.5" hidden="1" customHeight="1" thickBot="1" x14ac:dyDescent="0.3">
      <c r="A48" s="1608" t="s">
        <v>168</v>
      </c>
      <c r="B48" s="1609"/>
      <c r="C48" s="1609"/>
      <c r="D48" s="1609"/>
      <c r="E48" s="1609"/>
      <c r="F48" s="1609"/>
      <c r="G48" s="1609"/>
      <c r="H48" s="1609"/>
      <c r="I48" s="1609"/>
      <c r="J48" s="1609"/>
      <c r="K48" s="1609"/>
      <c r="L48" s="1609"/>
      <c r="M48" s="1609"/>
      <c r="N48" s="1609"/>
      <c r="O48" s="1609"/>
      <c r="P48" s="1609"/>
      <c r="Q48" s="1609"/>
      <c r="R48" s="1609"/>
      <c r="S48" s="1609"/>
      <c r="T48" s="1609"/>
      <c r="U48" s="1609"/>
      <c r="V48" s="1609"/>
      <c r="W48" s="1609"/>
      <c r="X48" s="1609"/>
      <c r="Y48" s="1609"/>
      <c r="Z48" s="1609"/>
      <c r="AA48" s="1609"/>
      <c r="AB48" s="1609"/>
      <c r="AC48" s="1609"/>
      <c r="AD48" s="1609"/>
      <c r="AE48" s="1609"/>
      <c r="AF48" s="1609"/>
      <c r="AG48" s="1609"/>
      <c r="AH48" s="1609"/>
      <c r="AI48" s="1609"/>
      <c r="AJ48" s="1609"/>
      <c r="AK48" s="1609"/>
      <c r="AL48" s="1609"/>
      <c r="AM48" s="1610"/>
      <c r="AN48" s="292"/>
      <c r="AO48" s="505"/>
      <c r="AP48" s="541"/>
      <c r="AQ48" s="542"/>
      <c r="AR48" s="542"/>
      <c r="AS48" s="542"/>
      <c r="AT48" s="542"/>
      <c r="AU48" s="542"/>
      <c r="AV48" s="542"/>
      <c r="AW48" s="543">
        <f t="shared" si="0"/>
        <v>0</v>
      </c>
      <c r="AX48" s="541"/>
      <c r="AY48" s="542"/>
      <c r="AZ48" s="542"/>
      <c r="BA48" s="542"/>
      <c r="BB48" s="542"/>
      <c r="BC48" s="542"/>
      <c r="BD48" s="542"/>
      <c r="BE48" s="543">
        <f t="shared" si="18"/>
        <v>0</v>
      </c>
      <c r="BF48" s="541"/>
      <c r="BG48" s="542"/>
      <c r="BH48" s="542"/>
      <c r="BI48" s="542"/>
      <c r="BJ48" s="542"/>
      <c r="BK48" s="542"/>
      <c r="BL48" s="542"/>
      <c r="BM48" s="543">
        <f t="shared" si="19"/>
        <v>0</v>
      </c>
      <c r="BN48" s="541"/>
      <c r="BO48" s="542"/>
      <c r="BP48" s="542"/>
      <c r="BQ48" s="542"/>
      <c r="BR48" s="542"/>
      <c r="BS48" s="542"/>
      <c r="BT48" s="542"/>
      <c r="BU48" s="543">
        <f t="shared" si="20"/>
        <v>0</v>
      </c>
      <c r="BV48" s="620"/>
      <c r="BW48" s="663">
        <f t="shared" si="8"/>
        <v>0</v>
      </c>
      <c r="BX48" s="674" t="e">
        <f t="shared" si="9"/>
        <v>#DIV/0!</v>
      </c>
      <c r="BY48" s="647" t="e">
        <f t="shared" si="10"/>
        <v>#DIV/0!</v>
      </c>
      <c r="BZ48" s="674" t="e">
        <f t="shared" si="11"/>
        <v>#DIV/0!</v>
      </c>
      <c r="CA48" s="675" t="e">
        <f t="shared" si="12"/>
        <v>#DIV/0!</v>
      </c>
      <c r="CB48" s="675" t="e">
        <f t="shared" si="13"/>
        <v>#DIV/0!</v>
      </c>
    </row>
    <row r="49" spans="1:80" ht="15" hidden="1" customHeight="1" thickBot="1" x14ac:dyDescent="0.3">
      <c r="A49" s="311"/>
      <c r="B49" s="312" t="str">
        <f>'PLAN INDICATIVO'!B48</f>
        <v>Cultura</v>
      </c>
      <c r="C49" s="312"/>
      <c r="D49" s="1444" t="s">
        <v>170</v>
      </c>
      <c r="E49" s="1444"/>
      <c r="F49" s="1444"/>
      <c r="G49" s="1444"/>
      <c r="H49" s="1444"/>
      <c r="I49" s="1444"/>
      <c r="J49" s="1444"/>
      <c r="K49" s="1444"/>
      <c r="L49" s="1444"/>
      <c r="M49" s="1444"/>
      <c r="N49" s="1444"/>
      <c r="O49" s="1444"/>
      <c r="P49" s="1434"/>
      <c r="Q49" s="1434"/>
      <c r="R49" s="1444"/>
      <c r="S49" s="313"/>
      <c r="T49" s="682"/>
      <c r="U49" s="313"/>
      <c r="V49" s="313"/>
      <c r="W49" s="313"/>
      <c r="X49" s="313"/>
      <c r="Y49" s="313"/>
      <c r="Z49" s="313"/>
      <c r="AA49" s="314"/>
      <c r="AB49" s="314"/>
      <c r="AC49" s="314"/>
      <c r="AD49" s="314"/>
      <c r="AE49" s="314"/>
      <c r="AF49" s="314"/>
      <c r="AG49" s="315"/>
      <c r="AH49" s="315"/>
      <c r="AI49" s="315"/>
      <c r="AJ49" s="314"/>
      <c r="AK49" s="314"/>
      <c r="AL49" s="314"/>
      <c r="AM49" s="314"/>
      <c r="AN49" s="268"/>
      <c r="AO49" s="508"/>
      <c r="AP49" s="525"/>
      <c r="AQ49" s="310"/>
      <c r="AR49" s="310"/>
      <c r="AS49" s="310"/>
      <c r="AT49" s="310"/>
      <c r="AU49" s="310"/>
      <c r="AV49" s="310"/>
      <c r="AW49" s="544">
        <f t="shared" si="0"/>
        <v>0</v>
      </c>
      <c r="AX49" s="525"/>
      <c r="AY49" s="310"/>
      <c r="AZ49" s="310"/>
      <c r="BA49" s="310"/>
      <c r="BB49" s="310"/>
      <c r="BC49" s="310"/>
      <c r="BD49" s="310"/>
      <c r="BE49" s="544">
        <f t="shared" si="18"/>
        <v>0</v>
      </c>
      <c r="BF49" s="525"/>
      <c r="BG49" s="310"/>
      <c r="BH49" s="310"/>
      <c r="BI49" s="310"/>
      <c r="BJ49" s="310"/>
      <c r="BK49" s="310"/>
      <c r="BL49" s="310"/>
      <c r="BM49" s="544">
        <f t="shared" si="19"/>
        <v>0</v>
      </c>
      <c r="BN49" s="525"/>
      <c r="BO49" s="310"/>
      <c r="BP49" s="310"/>
      <c r="BQ49" s="310"/>
      <c r="BR49" s="310"/>
      <c r="BS49" s="310"/>
      <c r="BT49" s="310"/>
      <c r="BU49" s="544">
        <f t="shared" si="20"/>
        <v>0</v>
      </c>
      <c r="BV49" s="556"/>
      <c r="BW49" s="663">
        <f t="shared" si="8"/>
        <v>0</v>
      </c>
      <c r="BX49" s="674" t="e">
        <f t="shared" si="9"/>
        <v>#DIV/0!</v>
      </c>
      <c r="BY49" s="561" t="e">
        <f t="shared" si="10"/>
        <v>#DIV/0!</v>
      </c>
      <c r="BZ49" s="674" t="e">
        <f t="shared" si="11"/>
        <v>#DIV/0!</v>
      </c>
      <c r="CA49" s="675" t="e">
        <f t="shared" si="12"/>
        <v>#DIV/0!</v>
      </c>
      <c r="CB49" s="675" t="e">
        <f t="shared" si="13"/>
        <v>#DIV/0!</v>
      </c>
    </row>
    <row r="50" spans="1:80" ht="42.75" hidden="1" customHeight="1" thickBot="1" x14ac:dyDescent="0.3">
      <c r="A50" s="1608" t="s">
        <v>171</v>
      </c>
      <c r="B50" s="1609"/>
      <c r="C50" s="1609"/>
      <c r="D50" s="1609"/>
      <c r="E50" s="1609"/>
      <c r="F50" s="1609"/>
      <c r="G50" s="1609"/>
      <c r="H50" s="1609"/>
      <c r="I50" s="1609"/>
      <c r="J50" s="1609"/>
      <c r="K50" s="1609"/>
      <c r="L50" s="1609"/>
      <c r="M50" s="1609"/>
      <c r="N50" s="1609"/>
      <c r="O50" s="1609"/>
      <c r="P50" s="1609"/>
      <c r="Q50" s="1609"/>
      <c r="R50" s="1609"/>
      <c r="S50" s="1609"/>
      <c r="T50" s="1609"/>
      <c r="U50" s="1609"/>
      <c r="V50" s="1609"/>
      <c r="W50" s="1609"/>
      <c r="X50" s="1609"/>
      <c r="Y50" s="1609"/>
      <c r="Z50" s="1609"/>
      <c r="AA50" s="1609"/>
      <c r="AB50" s="1609"/>
      <c r="AC50" s="1609"/>
      <c r="AD50" s="1609"/>
      <c r="AE50" s="1609"/>
      <c r="AF50" s="1609"/>
      <c r="AG50" s="1609"/>
      <c r="AH50" s="1609"/>
      <c r="AI50" s="1609"/>
      <c r="AJ50" s="1609"/>
      <c r="AK50" s="1609"/>
      <c r="AL50" s="1609"/>
      <c r="AM50" s="1610"/>
      <c r="AN50" s="435"/>
      <c r="AO50" s="660"/>
      <c r="AP50" s="541">
        <f>SUM(AP51+AP75)</f>
        <v>31873000</v>
      </c>
      <c r="AQ50" s="541">
        <f t="shared" ref="AQ50:AV50" si="25">SUM(AQ51+AQ75)</f>
        <v>49000000</v>
      </c>
      <c r="AR50" s="541">
        <f t="shared" si="25"/>
        <v>32000000</v>
      </c>
      <c r="AS50" s="541">
        <f t="shared" si="25"/>
        <v>473579604</v>
      </c>
      <c r="AT50" s="541">
        <f t="shared" si="25"/>
        <v>0</v>
      </c>
      <c r="AU50" s="541">
        <f t="shared" si="25"/>
        <v>0</v>
      </c>
      <c r="AV50" s="541">
        <f t="shared" si="25"/>
        <v>0</v>
      </c>
      <c r="AW50" s="543">
        <f t="shared" si="0"/>
        <v>586452604</v>
      </c>
      <c r="AX50" s="541"/>
      <c r="AY50" s="542"/>
      <c r="AZ50" s="542"/>
      <c r="BA50" s="542"/>
      <c r="BB50" s="542"/>
      <c r="BC50" s="542"/>
      <c r="BD50" s="542"/>
      <c r="BE50" s="543">
        <f t="shared" si="18"/>
        <v>0</v>
      </c>
      <c r="BF50" s="541"/>
      <c r="BG50" s="542"/>
      <c r="BH50" s="542"/>
      <c r="BI50" s="542"/>
      <c r="BJ50" s="542"/>
      <c r="BK50" s="542"/>
      <c r="BL50" s="542"/>
      <c r="BM50" s="543">
        <f t="shared" si="19"/>
        <v>0</v>
      </c>
      <c r="BN50" s="541"/>
      <c r="BO50" s="542"/>
      <c r="BP50" s="542"/>
      <c r="BQ50" s="542"/>
      <c r="BR50" s="542"/>
      <c r="BS50" s="542"/>
      <c r="BT50" s="542"/>
      <c r="BU50" s="543">
        <f t="shared" si="20"/>
        <v>0</v>
      </c>
      <c r="BV50" s="620"/>
      <c r="BW50" s="663">
        <f t="shared" si="8"/>
        <v>0</v>
      </c>
      <c r="BX50" s="674" t="e">
        <f t="shared" si="9"/>
        <v>#DIV/0!</v>
      </c>
      <c r="BY50" s="647" t="e">
        <f t="shared" si="10"/>
        <v>#DIV/0!</v>
      </c>
      <c r="BZ50" s="674" t="e">
        <f t="shared" si="11"/>
        <v>#DIV/0!</v>
      </c>
      <c r="CA50" s="675" t="e">
        <f t="shared" si="12"/>
        <v>#DIV/0!</v>
      </c>
      <c r="CB50" s="675" t="e">
        <f t="shared" si="13"/>
        <v>#DIV/0!</v>
      </c>
    </row>
    <row r="51" spans="1:80" ht="15" hidden="1" customHeight="1" x14ac:dyDescent="0.25">
      <c r="A51" s="296"/>
      <c r="B51" s="331"/>
      <c r="C51" s="1592" t="s">
        <v>172</v>
      </c>
      <c r="D51" s="1593"/>
      <c r="E51" s="1593"/>
      <c r="F51" s="1593"/>
      <c r="G51" s="1593"/>
      <c r="H51" s="1593"/>
      <c r="I51" s="1593"/>
      <c r="J51" s="1593"/>
      <c r="K51" s="1593"/>
      <c r="L51" s="1593"/>
      <c r="M51" s="1593"/>
      <c r="N51" s="1593"/>
      <c r="O51" s="1594"/>
      <c r="P51" s="318"/>
      <c r="Q51" s="318"/>
      <c r="R51" s="317"/>
      <c r="S51" s="319"/>
      <c r="T51" s="676"/>
      <c r="U51" s="319"/>
      <c r="V51" s="695">
        <f>SUM(V52:V74)</f>
        <v>137000000</v>
      </c>
      <c r="W51" s="319"/>
      <c r="X51" s="695">
        <f>SUM(X52:X74)</f>
        <v>145000000</v>
      </c>
      <c r="Y51" s="319"/>
      <c r="Z51" s="695">
        <f>SUM(Z52:Z74)</f>
        <v>138000000</v>
      </c>
      <c r="AA51" s="320"/>
      <c r="AB51" s="708">
        <f>SUM(AB52:AB74)</f>
        <v>657000000</v>
      </c>
      <c r="AC51" s="320"/>
      <c r="AD51" s="320"/>
      <c r="AE51" s="320"/>
      <c r="AF51" s="320"/>
      <c r="AG51" s="321"/>
      <c r="AH51" s="321"/>
      <c r="AI51" s="321"/>
      <c r="AJ51" s="320"/>
      <c r="AK51" s="320"/>
      <c r="AL51" s="320"/>
      <c r="AM51" s="320"/>
      <c r="AN51" s="262"/>
      <c r="AO51" s="615"/>
      <c r="AP51" s="616">
        <f t="shared" ref="AP51:AV51" si="26">SUM(AP52:AP74)</f>
        <v>19000000</v>
      </c>
      <c r="AQ51" s="616">
        <f t="shared" si="26"/>
        <v>49000000</v>
      </c>
      <c r="AR51" s="616">
        <f t="shared" si="26"/>
        <v>32000000</v>
      </c>
      <c r="AS51" s="616">
        <f t="shared" si="26"/>
        <v>473579604</v>
      </c>
      <c r="AT51" s="616">
        <f t="shared" si="26"/>
        <v>0</v>
      </c>
      <c r="AU51" s="616">
        <f t="shared" si="26"/>
        <v>0</v>
      </c>
      <c r="AV51" s="616">
        <f t="shared" si="26"/>
        <v>0</v>
      </c>
      <c r="AW51" s="617">
        <f t="shared" si="0"/>
        <v>573579604</v>
      </c>
      <c r="AX51" s="616" t="e">
        <f>(AX52:AX74)</f>
        <v>#VALUE!</v>
      </c>
      <c r="AY51" s="616" t="e">
        <f t="shared" ref="AY51:BD51" si="27">(AY52:AY74)</f>
        <v>#VALUE!</v>
      </c>
      <c r="AZ51" s="616" t="e">
        <f t="shared" si="27"/>
        <v>#VALUE!</v>
      </c>
      <c r="BA51" s="616" t="e">
        <f t="shared" si="27"/>
        <v>#VALUE!</v>
      </c>
      <c r="BB51" s="616" t="e">
        <f t="shared" si="27"/>
        <v>#VALUE!</v>
      </c>
      <c r="BC51" s="616" t="e">
        <f t="shared" si="27"/>
        <v>#VALUE!</v>
      </c>
      <c r="BD51" s="616" t="e">
        <f t="shared" si="27"/>
        <v>#VALUE!</v>
      </c>
      <c r="BE51" s="617" t="e">
        <f t="shared" si="18"/>
        <v>#VALUE!</v>
      </c>
      <c r="BF51" s="616" t="e">
        <f>(BF52:BF74)</f>
        <v>#VALUE!</v>
      </c>
      <c r="BG51" s="616" t="e">
        <f t="shared" ref="BG51:BL51" si="28">(BG52:BG74)</f>
        <v>#VALUE!</v>
      </c>
      <c r="BH51" s="616" t="e">
        <f t="shared" si="28"/>
        <v>#VALUE!</v>
      </c>
      <c r="BI51" s="616" t="e">
        <f t="shared" si="28"/>
        <v>#VALUE!</v>
      </c>
      <c r="BJ51" s="616" t="e">
        <f t="shared" si="28"/>
        <v>#VALUE!</v>
      </c>
      <c r="BK51" s="616" t="e">
        <f t="shared" si="28"/>
        <v>#VALUE!</v>
      </c>
      <c r="BL51" s="616" t="e">
        <f t="shared" si="28"/>
        <v>#VALUE!</v>
      </c>
      <c r="BM51" s="617" t="e">
        <f t="shared" si="19"/>
        <v>#VALUE!</v>
      </c>
      <c r="BN51" s="616" t="e">
        <f>(BN52:BN74)</f>
        <v>#VALUE!</v>
      </c>
      <c r="BO51" s="616" t="e">
        <f t="shared" ref="BO51:BT51" si="29">(BO52:BO74)</f>
        <v>#VALUE!</v>
      </c>
      <c r="BP51" s="616" t="e">
        <f t="shared" si="29"/>
        <v>#VALUE!</v>
      </c>
      <c r="BQ51" s="616" t="e">
        <f t="shared" si="29"/>
        <v>#VALUE!</v>
      </c>
      <c r="BR51" s="616" t="e">
        <f t="shared" si="29"/>
        <v>#VALUE!</v>
      </c>
      <c r="BS51" s="616" t="e">
        <f t="shared" si="29"/>
        <v>#VALUE!</v>
      </c>
      <c r="BT51" s="616" t="e">
        <f t="shared" si="29"/>
        <v>#VALUE!</v>
      </c>
      <c r="BU51" s="617" t="e">
        <f t="shared" si="20"/>
        <v>#VALUE!</v>
      </c>
      <c r="BV51" s="556"/>
      <c r="BW51" s="663">
        <f t="shared" si="8"/>
        <v>0</v>
      </c>
      <c r="BX51" s="674" t="e">
        <f t="shared" si="9"/>
        <v>#DIV/0!</v>
      </c>
      <c r="BY51" s="561" t="e">
        <f t="shared" si="10"/>
        <v>#DIV/0!</v>
      </c>
      <c r="BZ51" s="674" t="e">
        <f t="shared" si="11"/>
        <v>#DIV/0!</v>
      </c>
      <c r="CA51" s="675" t="e">
        <f t="shared" si="12"/>
        <v>#DIV/0!</v>
      </c>
      <c r="CB51" s="675" t="e">
        <f t="shared" si="13"/>
        <v>#DIV/0!</v>
      </c>
    </row>
    <row r="52" spans="1:80" ht="74.25" hidden="1" customHeight="1" x14ac:dyDescent="0.25">
      <c r="A52" s="298" t="s">
        <v>173</v>
      </c>
      <c r="B52" s="299" t="str">
        <f>'PLAN INDICATIVO'!B51</f>
        <v>Cultura</v>
      </c>
      <c r="C52" s="1546" t="s">
        <v>174</v>
      </c>
      <c r="D52" s="1550" t="s">
        <v>175</v>
      </c>
      <c r="E52" s="1550" t="s">
        <v>176</v>
      </c>
      <c r="F52" s="1550">
        <v>2015</v>
      </c>
      <c r="G52" s="1550" t="s">
        <v>177</v>
      </c>
      <c r="H52" s="1550">
        <v>10</v>
      </c>
      <c r="I52" s="332">
        <f>'PLAN INDICATIVO'!I51</f>
        <v>0</v>
      </c>
      <c r="J52" s="332">
        <f>'PLAN INDICATIVO'!J51</f>
        <v>0</v>
      </c>
      <c r="K52" s="1429" t="str">
        <f>'PLAN INDICATIVO'!K51</f>
        <v>A.5.1.1</v>
      </c>
      <c r="L52" s="1429" t="str">
        <f>'PLAN INDICATIVO'!L51</f>
        <v>11. Ciudades y comunidades sostenibles</v>
      </c>
      <c r="M52" s="1429" t="str">
        <f>'PLAN INDICATIVO'!M51</f>
        <v>Secretaría de Educación, Cultura, deporte y Turismo</v>
      </c>
      <c r="N52" s="1429" t="str">
        <f>'PLAN INDICATIVO'!N51</f>
        <v>YIMI FERNANDO LOSADA PAYA</v>
      </c>
      <c r="O52" s="1429" t="str">
        <f>'PLAN INDICATIVO'!O51</f>
        <v>Incremento</v>
      </c>
      <c r="P52" s="74" t="str">
        <f>'PLAN INDICATIVO'!P51</f>
        <v xml:space="preserve">Vincular 3.200 Personas al Programa de Escuelas de Formación Artística en el municipio durante el cuatrienio. </v>
      </c>
      <c r="Q52" s="333" t="str">
        <f>'PLAN INDICATIVO'!Q51</f>
        <v>Número  personas vinculadas en el cuatrienio</v>
      </c>
      <c r="R52" s="334" t="str">
        <f>'PLAN INDICATIVO'!R51</f>
        <v>2012/2015</v>
      </c>
      <c r="S52" s="304">
        <v>2049</v>
      </c>
      <c r="T52" s="677">
        <v>3200</v>
      </c>
      <c r="U52" s="303">
        <v>800</v>
      </c>
      <c r="V52" s="687">
        <v>17000000</v>
      </c>
      <c r="W52" s="572">
        <v>800</v>
      </c>
      <c r="X52" s="687">
        <v>17000000</v>
      </c>
      <c r="Y52" s="572">
        <v>800</v>
      </c>
      <c r="Z52" s="687">
        <v>20000000</v>
      </c>
      <c r="AA52" s="572">
        <v>800</v>
      </c>
      <c r="AB52" s="687">
        <v>12000000</v>
      </c>
      <c r="AC52" s="665">
        <f>600+200</f>
        <v>800</v>
      </c>
      <c r="AD52" s="665">
        <v>800</v>
      </c>
      <c r="AE52" s="665"/>
      <c r="AF52" s="665"/>
      <c r="AG52" s="306" t="s">
        <v>3485</v>
      </c>
      <c r="AH52" s="306">
        <v>2017413960005</v>
      </c>
      <c r="AI52" s="307" t="s">
        <v>3486</v>
      </c>
      <c r="AJ52" s="309">
        <v>42767</v>
      </c>
      <c r="AK52" s="309">
        <v>42916</v>
      </c>
      <c r="AL52" s="308"/>
      <c r="AM52" s="308"/>
      <c r="AN52" s="267" t="s">
        <v>2598</v>
      </c>
      <c r="AO52" s="508" t="s">
        <v>3487</v>
      </c>
      <c r="AP52" s="310">
        <v>17000000</v>
      </c>
      <c r="AQ52" s="310"/>
      <c r="AR52" s="310"/>
      <c r="AS52" s="310"/>
      <c r="AT52" s="310"/>
      <c r="AU52" s="310"/>
      <c r="AV52" s="310"/>
      <c r="AW52" s="544">
        <f t="shared" ref="AW52:AW61" si="30">AP52+AQ52+AR52+AS52+AT52+AU52+AV52</f>
        <v>17000000</v>
      </c>
      <c r="AX52" s="525"/>
      <c r="AY52" s="310"/>
      <c r="AZ52" s="310"/>
      <c r="BA52" s="310"/>
      <c r="BB52" s="310"/>
      <c r="BC52" s="310"/>
      <c r="BD52" s="310"/>
      <c r="BE52" s="544">
        <f t="shared" si="18"/>
        <v>0</v>
      </c>
      <c r="BF52" s="525"/>
      <c r="BG52" s="310"/>
      <c r="BH52" s="310"/>
      <c r="BI52" s="310"/>
      <c r="BJ52" s="310"/>
      <c r="BK52" s="310"/>
      <c r="BL52" s="310"/>
      <c r="BM52" s="544">
        <f t="shared" si="19"/>
        <v>0</v>
      </c>
      <c r="BN52" s="525"/>
      <c r="BO52" s="310"/>
      <c r="BP52" s="310"/>
      <c r="BQ52" s="310"/>
      <c r="BR52" s="310"/>
      <c r="BS52" s="310"/>
      <c r="BT52" s="310"/>
      <c r="BU52" s="544">
        <f t="shared" si="20"/>
        <v>0</v>
      </c>
      <c r="BV52" s="556"/>
      <c r="BW52" s="663">
        <f t="shared" si="8"/>
        <v>1600</v>
      </c>
      <c r="BX52" s="674">
        <f t="shared" si="9"/>
        <v>0.5</v>
      </c>
      <c r="BY52" s="835">
        <f t="shared" si="10"/>
        <v>1</v>
      </c>
      <c r="BZ52" s="674">
        <f t="shared" si="11"/>
        <v>1</v>
      </c>
      <c r="CA52" s="675">
        <f t="shared" si="12"/>
        <v>0</v>
      </c>
      <c r="CB52" s="675">
        <f t="shared" si="13"/>
        <v>0</v>
      </c>
    </row>
    <row r="53" spans="1:80" ht="81.75" hidden="1" customHeight="1" x14ac:dyDescent="0.25">
      <c r="A53" s="298" t="s">
        <v>173</v>
      </c>
      <c r="B53" s="299" t="str">
        <f>'PLAN INDICATIVO'!B52</f>
        <v>Cultura</v>
      </c>
      <c r="C53" s="1547"/>
      <c r="D53" s="1551"/>
      <c r="E53" s="1551"/>
      <c r="F53" s="1551"/>
      <c r="G53" s="1551"/>
      <c r="H53" s="1551"/>
      <c r="I53" s="332">
        <f>'PLAN INDICATIVO'!I52</f>
        <v>0</v>
      </c>
      <c r="J53" s="332">
        <f>'PLAN INDICATIVO'!J52</f>
        <v>0</v>
      </c>
      <c r="K53" s="1429" t="str">
        <f>'PLAN INDICATIVO'!K52</f>
        <v>A.5.1.2</v>
      </c>
      <c r="L53" s="1429" t="str">
        <f>'PLAN INDICATIVO'!L52</f>
        <v>11. Ciudades y comunidades sostenibles</v>
      </c>
      <c r="M53" s="1429" t="str">
        <f>'PLAN INDICATIVO'!M52</f>
        <v>Secretaría de Educación, Cultura, deporte y Turismo</v>
      </c>
      <c r="N53" s="1429" t="str">
        <f>'PLAN INDICATIVO'!N52</f>
        <v>YIMI FERNANDO LOSADA PAYA</v>
      </c>
      <c r="O53" s="1429" t="str">
        <f>'PLAN INDICATIVO'!O52</f>
        <v>Incremento</v>
      </c>
      <c r="P53" s="74" t="str">
        <f>'PLAN INDICATIVO'!P52</f>
        <v>Realizar 8 Capacitaciones dirigidas a Formadores Artísticos durante el cuatrienio</v>
      </c>
      <c r="Q53" s="333" t="str">
        <f>'PLAN INDICATIVO'!Q52</f>
        <v>No. De capacitaciones realizadas en el cuatrienio</v>
      </c>
      <c r="R53" s="334">
        <f>'PLAN INDICATIVO'!R52</f>
        <v>2015</v>
      </c>
      <c r="S53" s="304">
        <v>0</v>
      </c>
      <c r="T53" s="677">
        <v>8</v>
      </c>
      <c r="U53" s="303">
        <v>2</v>
      </c>
      <c r="V53" s="687">
        <v>2000000</v>
      </c>
      <c r="W53" s="572">
        <v>2</v>
      </c>
      <c r="X53" s="687">
        <v>500000</v>
      </c>
      <c r="Y53" s="572">
        <v>2</v>
      </c>
      <c r="Z53" s="687">
        <v>500000</v>
      </c>
      <c r="AA53" s="572">
        <v>2</v>
      </c>
      <c r="AB53" s="687">
        <v>500000</v>
      </c>
      <c r="AC53" s="665">
        <v>2</v>
      </c>
      <c r="AD53" s="665">
        <v>2</v>
      </c>
      <c r="AE53" s="665"/>
      <c r="AF53" s="665"/>
      <c r="AG53" s="306" t="s">
        <v>3485</v>
      </c>
      <c r="AH53" s="306">
        <v>2017413960005</v>
      </c>
      <c r="AI53" s="307" t="s">
        <v>3488</v>
      </c>
      <c r="AJ53" s="309">
        <v>42767</v>
      </c>
      <c r="AK53" s="309">
        <v>42916</v>
      </c>
      <c r="AL53" s="308"/>
      <c r="AM53" s="308"/>
      <c r="AN53" s="267" t="s">
        <v>2598</v>
      </c>
      <c r="AO53" s="508"/>
      <c r="AP53" s="526"/>
      <c r="AQ53" s="470"/>
      <c r="AR53" s="470"/>
      <c r="AS53" s="470"/>
      <c r="AT53" s="470"/>
      <c r="AU53" s="470"/>
      <c r="AV53" s="470"/>
      <c r="AW53" s="544">
        <f t="shared" si="30"/>
        <v>0</v>
      </c>
      <c r="AX53" s="526"/>
      <c r="AY53" s="470"/>
      <c r="AZ53" s="470"/>
      <c r="BA53" s="470"/>
      <c r="BB53" s="470"/>
      <c r="BC53" s="470"/>
      <c r="BD53" s="470"/>
      <c r="BE53" s="544">
        <f t="shared" si="18"/>
        <v>0</v>
      </c>
      <c r="BF53" s="526"/>
      <c r="BG53" s="470"/>
      <c r="BH53" s="470"/>
      <c r="BI53" s="470"/>
      <c r="BJ53" s="470"/>
      <c r="BK53" s="470"/>
      <c r="BL53" s="470"/>
      <c r="BM53" s="544">
        <f t="shared" si="19"/>
        <v>0</v>
      </c>
      <c r="BN53" s="526"/>
      <c r="BO53" s="470"/>
      <c r="BP53" s="470"/>
      <c r="BQ53" s="470"/>
      <c r="BR53" s="470"/>
      <c r="BS53" s="470"/>
      <c r="BT53" s="470"/>
      <c r="BU53" s="544">
        <f t="shared" si="20"/>
        <v>0</v>
      </c>
      <c r="BV53" s="556"/>
      <c r="BW53" s="663">
        <f t="shared" si="8"/>
        <v>4</v>
      </c>
      <c r="BX53" s="674">
        <f t="shared" si="9"/>
        <v>0.5</v>
      </c>
      <c r="BY53" s="835">
        <f t="shared" si="10"/>
        <v>1</v>
      </c>
      <c r="BZ53" s="674">
        <f t="shared" si="11"/>
        <v>1</v>
      </c>
      <c r="CA53" s="675">
        <f t="shared" si="12"/>
        <v>0</v>
      </c>
      <c r="CB53" s="675">
        <f t="shared" si="13"/>
        <v>0</v>
      </c>
    </row>
    <row r="54" spans="1:80" ht="79.5" hidden="1" customHeight="1" x14ac:dyDescent="0.25">
      <c r="A54" s="298" t="s">
        <v>173</v>
      </c>
      <c r="B54" s="299" t="str">
        <f>'PLAN INDICATIVO'!B53</f>
        <v>Cultura</v>
      </c>
      <c r="C54" s="1547"/>
      <c r="D54" s="1551"/>
      <c r="E54" s="1551"/>
      <c r="F54" s="1551"/>
      <c r="G54" s="1551"/>
      <c r="H54" s="1551"/>
      <c r="I54" s="332">
        <f>'PLAN INDICATIVO'!I53</f>
        <v>0</v>
      </c>
      <c r="J54" s="332" t="str">
        <f>'PLAN INDICATIVO'!J53</f>
        <v>SI</v>
      </c>
      <c r="K54" s="1429" t="str">
        <f>'PLAN INDICATIVO'!K53</f>
        <v>A.5.1.3</v>
      </c>
      <c r="L54" s="1429" t="str">
        <f>'PLAN INDICATIVO'!L53</f>
        <v>11. Ciudades y comunidades sostenibles</v>
      </c>
      <c r="M54" s="1429" t="str">
        <f>'PLAN INDICATIVO'!M53</f>
        <v>Secretaría de Educación, Cultura, deporte y Turismo</v>
      </c>
      <c r="N54" s="1429" t="str">
        <f>'PLAN INDICATIVO'!N53</f>
        <v>YIMI FERNANDO LOSADA PAYA</v>
      </c>
      <c r="O54" s="1429" t="str">
        <f>'PLAN INDICATIVO'!O53</f>
        <v>Mantenimiento</v>
      </c>
      <c r="P54" s="74" t="str">
        <f>'PLAN INDICATIVO'!P53</f>
        <v>Implementar 1 programa de formación cultural y artística apoyados con instructores y dotación cada año</v>
      </c>
      <c r="Q54" s="333" t="str">
        <f>'PLAN INDICATIVO'!Q53</f>
        <v>No. De programas implementados por año</v>
      </c>
      <c r="R54" s="334">
        <f>'PLAN INDICATIVO'!R53</f>
        <v>2015</v>
      </c>
      <c r="S54" s="304">
        <v>1</v>
      </c>
      <c r="T54" s="677">
        <v>4</v>
      </c>
      <c r="U54" s="303">
        <v>1</v>
      </c>
      <c r="V54" s="687">
        <v>8000000</v>
      </c>
      <c r="W54" s="572">
        <v>1</v>
      </c>
      <c r="X54" s="687">
        <v>44000000</v>
      </c>
      <c r="Y54" s="572">
        <v>1</v>
      </c>
      <c r="Z54" s="687">
        <v>46000000</v>
      </c>
      <c r="AA54" s="572">
        <v>1</v>
      </c>
      <c r="AB54" s="687">
        <v>34500000</v>
      </c>
      <c r="AC54" s="665">
        <f>1</f>
        <v>1</v>
      </c>
      <c r="AD54" s="665">
        <v>1</v>
      </c>
      <c r="AE54" s="665"/>
      <c r="AF54" s="665"/>
      <c r="AG54" s="306" t="s">
        <v>3485</v>
      </c>
      <c r="AH54" s="306">
        <v>2017413960005</v>
      </c>
      <c r="AI54" s="307" t="s">
        <v>3489</v>
      </c>
      <c r="AJ54" s="309">
        <v>42767</v>
      </c>
      <c r="AK54" s="309">
        <v>42916</v>
      </c>
      <c r="AL54" s="308"/>
      <c r="AM54" s="308"/>
      <c r="AN54" s="267" t="s">
        <v>2598</v>
      </c>
      <c r="AO54" s="508" t="s">
        <v>3490</v>
      </c>
      <c r="AP54" s="310">
        <v>2000000</v>
      </c>
      <c r="AQ54" s="310">
        <v>6000000</v>
      </c>
      <c r="AR54" s="310"/>
      <c r="AS54" s="310"/>
      <c r="AT54" s="310"/>
      <c r="AU54" s="310"/>
      <c r="AV54" s="310"/>
      <c r="AW54" s="544">
        <f t="shared" si="30"/>
        <v>8000000</v>
      </c>
      <c r="AX54" s="525"/>
      <c r="AY54" s="310"/>
      <c r="AZ54" s="310"/>
      <c r="BA54" s="310"/>
      <c r="BB54" s="310"/>
      <c r="BC54" s="310"/>
      <c r="BD54" s="310"/>
      <c r="BE54" s="544">
        <f t="shared" si="18"/>
        <v>0</v>
      </c>
      <c r="BF54" s="525"/>
      <c r="BG54" s="310"/>
      <c r="BH54" s="310"/>
      <c r="BI54" s="310"/>
      <c r="BJ54" s="310"/>
      <c r="BK54" s="310"/>
      <c r="BL54" s="310"/>
      <c r="BM54" s="544">
        <f t="shared" si="19"/>
        <v>0</v>
      </c>
      <c r="BN54" s="525"/>
      <c r="BO54" s="310"/>
      <c r="BP54" s="310"/>
      <c r="BQ54" s="310"/>
      <c r="BR54" s="310"/>
      <c r="BS54" s="310"/>
      <c r="BT54" s="310"/>
      <c r="BU54" s="544">
        <f t="shared" si="20"/>
        <v>0</v>
      </c>
      <c r="BV54" s="556"/>
      <c r="BW54" s="663">
        <f t="shared" si="8"/>
        <v>2</v>
      </c>
      <c r="BX54" s="674">
        <f t="shared" si="9"/>
        <v>0.5</v>
      </c>
      <c r="BY54" s="835">
        <f t="shared" si="10"/>
        <v>1</v>
      </c>
      <c r="BZ54" s="674">
        <f t="shared" si="11"/>
        <v>1</v>
      </c>
      <c r="CA54" s="675">
        <f t="shared" si="12"/>
        <v>0</v>
      </c>
      <c r="CB54" s="675">
        <f t="shared" si="13"/>
        <v>0</v>
      </c>
    </row>
    <row r="55" spans="1:80" ht="72" hidden="1" customHeight="1" x14ac:dyDescent="0.25">
      <c r="A55" s="298" t="s">
        <v>173</v>
      </c>
      <c r="B55" s="299" t="str">
        <f>'PLAN INDICATIVO'!B54</f>
        <v>Cultura</v>
      </c>
      <c r="C55" s="1547"/>
      <c r="D55" s="1551"/>
      <c r="E55" s="1551"/>
      <c r="F55" s="1551"/>
      <c r="G55" s="1551"/>
      <c r="H55" s="1551"/>
      <c r="I55" s="332">
        <f>'PLAN INDICATIVO'!I54</f>
        <v>0</v>
      </c>
      <c r="J55" s="332">
        <f>'PLAN INDICATIVO'!J54</f>
        <v>0</v>
      </c>
      <c r="K55" s="1429" t="str">
        <f>'PLAN INDICATIVO'!K54</f>
        <v>A.5.1.4</v>
      </c>
      <c r="L55" s="1429" t="str">
        <f>'PLAN INDICATIVO'!L54</f>
        <v>11. Ciudades y comunidades sostenibles</v>
      </c>
      <c r="M55" s="1429" t="str">
        <f>'PLAN INDICATIVO'!M54</f>
        <v>Secretaría de Educación, Cultura, deporte y Turismo</v>
      </c>
      <c r="N55" s="1429" t="str">
        <f>'PLAN INDICATIVO'!N54</f>
        <v>YIMI FERNANDO LOSADA PAYA</v>
      </c>
      <c r="O55" s="1429" t="str">
        <f>'PLAN INDICATIVO'!O54</f>
        <v>Incremento</v>
      </c>
      <c r="P55" s="74" t="str">
        <f>'PLAN INDICATIVO'!P54</f>
        <v>Mantener 40 Vigías culturales vinculados a programa de conservación del patrimonio cultural material e inmaterial del municipio durante el cuatrienio</v>
      </c>
      <c r="Q55" s="333" t="str">
        <f>'PLAN INDICATIVO'!Q54</f>
        <v>No. De vigías vinculados durante el cuatrienio</v>
      </c>
      <c r="R55" s="334">
        <f>'PLAN INDICATIVO'!R54</f>
        <v>2015</v>
      </c>
      <c r="S55" s="304">
        <v>0</v>
      </c>
      <c r="T55" s="677">
        <v>40</v>
      </c>
      <c r="U55" s="303">
        <v>10</v>
      </c>
      <c r="V55" s="687">
        <v>1000000</v>
      </c>
      <c r="W55" s="572">
        <v>10</v>
      </c>
      <c r="X55" s="687">
        <v>2000000</v>
      </c>
      <c r="Y55" s="572">
        <v>10</v>
      </c>
      <c r="Z55" s="687">
        <v>2000000</v>
      </c>
      <c r="AA55" s="572">
        <v>15</v>
      </c>
      <c r="AB55" s="687">
        <v>515000000</v>
      </c>
      <c r="AC55" s="665">
        <v>5</v>
      </c>
      <c r="AD55" s="665">
        <v>10</v>
      </c>
      <c r="AE55" s="665"/>
      <c r="AF55" s="665"/>
      <c r="AG55" s="306" t="s">
        <v>3485</v>
      </c>
      <c r="AH55" s="306">
        <v>2017413960005</v>
      </c>
      <c r="AI55" s="307" t="s">
        <v>3491</v>
      </c>
      <c r="AJ55" s="309">
        <v>42795</v>
      </c>
      <c r="AK55" s="309">
        <v>42916</v>
      </c>
      <c r="AL55" s="308"/>
      <c r="AM55" s="308"/>
      <c r="AN55" s="267" t="s">
        <v>2598</v>
      </c>
      <c r="AO55" s="508" t="s">
        <v>3492</v>
      </c>
      <c r="AP55" s="525"/>
      <c r="AQ55" s="310">
        <v>1000000</v>
      </c>
      <c r="AR55" s="310"/>
      <c r="AS55" s="310"/>
      <c r="AT55" s="310"/>
      <c r="AU55" s="310"/>
      <c r="AV55" s="310"/>
      <c r="AW55" s="544">
        <f t="shared" si="30"/>
        <v>1000000</v>
      </c>
      <c r="AX55" s="525"/>
      <c r="AY55" s="310"/>
      <c r="AZ55" s="310"/>
      <c r="BA55" s="310"/>
      <c r="BB55" s="310"/>
      <c r="BC55" s="310"/>
      <c r="BD55" s="310"/>
      <c r="BE55" s="544">
        <f t="shared" si="18"/>
        <v>0</v>
      </c>
      <c r="BF55" s="525"/>
      <c r="BG55" s="310"/>
      <c r="BH55" s="310"/>
      <c r="BI55" s="310"/>
      <c r="BJ55" s="310"/>
      <c r="BK55" s="310"/>
      <c r="BL55" s="310"/>
      <c r="BM55" s="544">
        <f t="shared" si="19"/>
        <v>0</v>
      </c>
      <c r="BN55" s="525"/>
      <c r="BO55" s="310"/>
      <c r="BP55" s="310"/>
      <c r="BQ55" s="310"/>
      <c r="BR55" s="310"/>
      <c r="BS55" s="310"/>
      <c r="BT55" s="310"/>
      <c r="BU55" s="544">
        <f t="shared" si="20"/>
        <v>0</v>
      </c>
      <c r="BV55" s="556"/>
      <c r="BW55" s="663">
        <f t="shared" si="8"/>
        <v>15</v>
      </c>
      <c r="BX55" s="674">
        <f t="shared" si="9"/>
        <v>0.375</v>
      </c>
      <c r="BY55" s="835">
        <f t="shared" si="10"/>
        <v>0.5</v>
      </c>
      <c r="BZ55" s="674">
        <f t="shared" si="11"/>
        <v>1</v>
      </c>
      <c r="CA55" s="675">
        <f t="shared" si="12"/>
        <v>0</v>
      </c>
      <c r="CB55" s="675">
        <f t="shared" si="13"/>
        <v>0</v>
      </c>
    </row>
    <row r="56" spans="1:80" ht="115.5" hidden="1" customHeight="1" x14ac:dyDescent="0.25">
      <c r="A56" s="298" t="s">
        <v>173</v>
      </c>
      <c r="B56" s="299" t="str">
        <f>'PLAN INDICATIVO'!B55</f>
        <v>Cultura</v>
      </c>
      <c r="C56" s="1547"/>
      <c r="D56" s="1551"/>
      <c r="E56" s="1551"/>
      <c r="F56" s="1551"/>
      <c r="G56" s="1551"/>
      <c r="H56" s="1551"/>
      <c r="I56" s="332">
        <f>'PLAN INDICATIVO'!I55</f>
        <v>0</v>
      </c>
      <c r="J56" s="332" t="str">
        <f>'PLAN INDICATIVO'!J55</f>
        <v>SI</v>
      </c>
      <c r="K56" s="1429" t="str">
        <f>'PLAN INDICATIVO'!K55</f>
        <v>A.5.1.5</v>
      </c>
      <c r="L56" s="1429" t="str">
        <f>'PLAN INDICATIVO'!L55</f>
        <v>11. Ciudades y comunidades sostenibles</v>
      </c>
      <c r="M56" s="1429" t="str">
        <f>'PLAN INDICATIVO'!M55</f>
        <v>Secretaría de Educación, Cultura, deporte y Turismo</v>
      </c>
      <c r="N56" s="1429" t="str">
        <f>'PLAN INDICATIVO'!N55</f>
        <v>YIMI FERNANDO LOSADA PAYA</v>
      </c>
      <c r="O56" s="1429" t="str">
        <f>'PLAN INDICATIVO'!O55</f>
        <v>Mantenimiento</v>
      </c>
      <c r="P56" s="943" t="str">
        <f>'PLAN INDICATIVO'!P55</f>
        <v>Realizar una capacitación de apoyo que fomente el  reconocimiento y legalización a los diferentes grupos culturales del municipio durante el cuatrienio</v>
      </c>
      <c r="Q56" s="333" t="str">
        <f>'PLAN INDICATIVO'!Q55</f>
        <v>No. De convenios suscritos por año</v>
      </c>
      <c r="R56" s="334">
        <f>'PLAN INDICATIVO'!R55</f>
        <v>2015</v>
      </c>
      <c r="S56" s="304">
        <v>0</v>
      </c>
      <c r="T56" s="677">
        <v>1</v>
      </c>
      <c r="U56" s="303">
        <v>1</v>
      </c>
      <c r="V56" s="687">
        <v>1000000</v>
      </c>
      <c r="W56" s="572">
        <v>1</v>
      </c>
      <c r="X56" s="687">
        <v>500000</v>
      </c>
      <c r="Y56" s="572">
        <v>1</v>
      </c>
      <c r="Z56" s="687">
        <v>500000</v>
      </c>
      <c r="AA56" s="572">
        <v>1</v>
      </c>
      <c r="AB56" s="687">
        <v>500000</v>
      </c>
      <c r="AC56" s="665">
        <v>0</v>
      </c>
      <c r="AD56" s="665">
        <v>1</v>
      </c>
      <c r="AE56" s="665"/>
      <c r="AF56" s="665"/>
      <c r="AG56" s="306" t="s">
        <v>3485</v>
      </c>
      <c r="AH56" s="306">
        <v>2017413960005</v>
      </c>
      <c r="AI56" s="307" t="s">
        <v>3493</v>
      </c>
      <c r="AJ56" s="309">
        <v>42917</v>
      </c>
      <c r="AK56" s="309">
        <v>43099</v>
      </c>
      <c r="AL56" s="308"/>
      <c r="AM56" s="308"/>
      <c r="AN56" s="267" t="s">
        <v>2598</v>
      </c>
      <c r="AO56" s="508"/>
      <c r="AP56" s="526"/>
      <c r="AQ56" s="470"/>
      <c r="AR56" s="310"/>
      <c r="AS56" s="310"/>
      <c r="AT56" s="470"/>
      <c r="AU56" s="470"/>
      <c r="AV56" s="470"/>
      <c r="AW56" s="544">
        <f t="shared" si="30"/>
        <v>0</v>
      </c>
      <c r="AX56" s="526"/>
      <c r="AY56" s="470"/>
      <c r="AZ56" s="470"/>
      <c r="BA56" s="470"/>
      <c r="BB56" s="470"/>
      <c r="BC56" s="470"/>
      <c r="BD56" s="470"/>
      <c r="BE56" s="544">
        <f t="shared" si="18"/>
        <v>0</v>
      </c>
      <c r="BF56" s="526"/>
      <c r="BG56" s="470"/>
      <c r="BH56" s="470"/>
      <c r="BI56" s="470"/>
      <c r="BJ56" s="470"/>
      <c r="BK56" s="470"/>
      <c r="BL56" s="470"/>
      <c r="BM56" s="544">
        <f t="shared" si="19"/>
        <v>0</v>
      </c>
      <c r="BN56" s="526"/>
      <c r="BO56" s="470"/>
      <c r="BP56" s="470"/>
      <c r="BQ56" s="470"/>
      <c r="BR56" s="470"/>
      <c r="BS56" s="470"/>
      <c r="BT56" s="470"/>
      <c r="BU56" s="544">
        <f t="shared" si="20"/>
        <v>0</v>
      </c>
      <c r="BV56" s="556"/>
      <c r="BW56" s="663">
        <f t="shared" si="8"/>
        <v>1</v>
      </c>
      <c r="BX56" s="674">
        <f t="shared" si="9"/>
        <v>1</v>
      </c>
      <c r="BY56" s="561">
        <f t="shared" si="10"/>
        <v>0</v>
      </c>
      <c r="BZ56" s="674">
        <f t="shared" si="11"/>
        <v>1</v>
      </c>
      <c r="CA56" s="675">
        <f t="shared" si="12"/>
        <v>0</v>
      </c>
      <c r="CB56" s="675">
        <f t="shared" si="13"/>
        <v>0</v>
      </c>
    </row>
    <row r="57" spans="1:80" ht="81.75" hidden="1" customHeight="1" x14ac:dyDescent="0.25">
      <c r="A57" s="298" t="s">
        <v>173</v>
      </c>
      <c r="B57" s="299" t="str">
        <f>'PLAN INDICATIVO'!B56</f>
        <v>Cultura</v>
      </c>
      <c r="C57" s="1547"/>
      <c r="D57" s="1551"/>
      <c r="E57" s="1551"/>
      <c r="F57" s="1551"/>
      <c r="G57" s="1551"/>
      <c r="H57" s="1551"/>
      <c r="I57" s="332">
        <f>'PLAN INDICATIVO'!I56</f>
        <v>0</v>
      </c>
      <c r="J57" s="332">
        <f>'PLAN INDICATIVO'!J56</f>
        <v>0</v>
      </c>
      <c r="K57" s="1429" t="str">
        <f>'PLAN INDICATIVO'!K56</f>
        <v>A.5.1.6</v>
      </c>
      <c r="L57" s="1429" t="str">
        <f>'PLAN INDICATIVO'!L56</f>
        <v>11. Ciudades y comunidades sostenibles</v>
      </c>
      <c r="M57" s="1429" t="str">
        <f>'PLAN INDICATIVO'!M56</f>
        <v>Secretaría de Educación, Cultura, deporte y Turismo</v>
      </c>
      <c r="N57" s="1429" t="str">
        <f>'PLAN INDICATIVO'!N56</f>
        <v>YIMI FERNANDO LOSADA PAYA</v>
      </c>
      <c r="O57" s="1429" t="str">
        <f>'PLAN INDICATIVO'!O56</f>
        <v>Incremento</v>
      </c>
      <c r="P57" s="74" t="str">
        <f>'PLAN INDICATIVO'!P56</f>
        <v>Presentar  16  proyectos que garanticen la financiación de los diferentes programas culturales del municipio durante el cuatrienio</v>
      </c>
      <c r="Q57" s="333" t="str">
        <f>'PLAN INDICATIVO'!Q56</f>
        <v>No. De proyectos presentados en el cuatrienio</v>
      </c>
      <c r="R57" s="334">
        <f>'PLAN INDICATIVO'!R56</f>
        <v>2015</v>
      </c>
      <c r="S57" s="304">
        <v>0</v>
      </c>
      <c r="T57" s="677">
        <v>16</v>
      </c>
      <c r="U57" s="303">
        <v>4</v>
      </c>
      <c r="V57" s="687">
        <v>1000000</v>
      </c>
      <c r="W57" s="572">
        <v>4</v>
      </c>
      <c r="X57" s="687">
        <v>500000</v>
      </c>
      <c r="Y57" s="572">
        <v>4</v>
      </c>
      <c r="Z57" s="687">
        <v>500000</v>
      </c>
      <c r="AA57" s="572">
        <v>4</v>
      </c>
      <c r="AB57" s="687">
        <v>500000</v>
      </c>
      <c r="AC57" s="665">
        <v>4</v>
      </c>
      <c r="AD57" s="665">
        <v>4</v>
      </c>
      <c r="AE57" s="665"/>
      <c r="AF57" s="665"/>
      <c r="AG57" s="306" t="s">
        <v>3485</v>
      </c>
      <c r="AH57" s="306">
        <v>2017413960005</v>
      </c>
      <c r="AI57" s="307" t="s">
        <v>3494</v>
      </c>
      <c r="AJ57" s="309">
        <v>42795</v>
      </c>
      <c r="AK57" s="309">
        <v>43099</v>
      </c>
      <c r="AL57" s="308"/>
      <c r="AM57" s="308"/>
      <c r="AN57" s="267" t="s">
        <v>2598</v>
      </c>
      <c r="AO57" s="508" t="s">
        <v>3495</v>
      </c>
      <c r="AP57" s="525"/>
      <c r="AQ57" s="310">
        <v>1000000</v>
      </c>
      <c r="AR57" s="470">
        <v>32000000</v>
      </c>
      <c r="AS57" s="470">
        <v>473579604</v>
      </c>
      <c r="AT57" s="310"/>
      <c r="AU57" s="310"/>
      <c r="AV57" s="310"/>
      <c r="AW57" s="544">
        <f t="shared" si="30"/>
        <v>506579604</v>
      </c>
      <c r="AX57" s="525"/>
      <c r="AY57" s="310"/>
      <c r="AZ57" s="310"/>
      <c r="BA57" s="310"/>
      <c r="BB57" s="310"/>
      <c r="BC57" s="310"/>
      <c r="BD57" s="310"/>
      <c r="BE57" s="544">
        <f t="shared" si="18"/>
        <v>0</v>
      </c>
      <c r="BF57" s="525"/>
      <c r="BG57" s="310"/>
      <c r="BH57" s="310"/>
      <c r="BI57" s="310"/>
      <c r="BJ57" s="310"/>
      <c r="BK57" s="310"/>
      <c r="BL57" s="310"/>
      <c r="BM57" s="544">
        <f t="shared" si="19"/>
        <v>0</v>
      </c>
      <c r="BN57" s="525"/>
      <c r="BO57" s="310"/>
      <c r="BP57" s="310"/>
      <c r="BQ57" s="310"/>
      <c r="BR57" s="310"/>
      <c r="BS57" s="310"/>
      <c r="BT57" s="310"/>
      <c r="BU57" s="544">
        <f t="shared" si="20"/>
        <v>0</v>
      </c>
      <c r="BV57" s="556"/>
      <c r="BW57" s="663">
        <f t="shared" si="8"/>
        <v>8</v>
      </c>
      <c r="BX57" s="674">
        <f t="shared" si="9"/>
        <v>0.5</v>
      </c>
      <c r="BY57" s="835">
        <f t="shared" si="10"/>
        <v>1</v>
      </c>
      <c r="BZ57" s="674">
        <f t="shared" si="11"/>
        <v>1</v>
      </c>
      <c r="CA57" s="675">
        <f t="shared" si="12"/>
        <v>0</v>
      </c>
      <c r="CB57" s="675">
        <f t="shared" si="13"/>
        <v>0</v>
      </c>
    </row>
    <row r="58" spans="1:80" ht="71.25" hidden="1" customHeight="1" x14ac:dyDescent="0.25">
      <c r="A58" s="298" t="s">
        <v>173</v>
      </c>
      <c r="B58" s="299" t="str">
        <f>'PLAN INDICATIVO'!B57</f>
        <v>Cultura</v>
      </c>
      <c r="C58" s="1547"/>
      <c r="D58" s="1551"/>
      <c r="E58" s="1551"/>
      <c r="F58" s="1551"/>
      <c r="G58" s="1551"/>
      <c r="H58" s="1551"/>
      <c r="I58" s="332">
        <f>'PLAN INDICATIVO'!I57</f>
        <v>0</v>
      </c>
      <c r="J58" s="332">
        <f>'PLAN INDICATIVO'!J57</f>
        <v>0</v>
      </c>
      <c r="K58" s="1429" t="str">
        <f>'PLAN INDICATIVO'!K57</f>
        <v>A.5.1.7</v>
      </c>
      <c r="L58" s="1429" t="str">
        <f>'PLAN INDICATIVO'!L57</f>
        <v>11. Ciudades y comunidades sostenibles</v>
      </c>
      <c r="M58" s="1429" t="str">
        <f>'PLAN INDICATIVO'!M57</f>
        <v>Secretaría de Educación, Cultura, deporte y Turismo</v>
      </c>
      <c r="N58" s="1429" t="str">
        <f>'PLAN INDICATIVO'!N57</f>
        <v>YIMI FERNANDO LOSADA PAYA</v>
      </c>
      <c r="O58" s="1429" t="str">
        <f>'PLAN INDICATIVO'!O57</f>
        <v>Mantenimiento</v>
      </c>
      <c r="P58" s="74" t="str">
        <f>'PLAN INDICATIVO'!P57</f>
        <v>Apoyar 4 eventos culturales dentro de la agenda cultural establecida anualmente  en el municipio.</v>
      </c>
      <c r="Q58" s="333" t="str">
        <f>'PLAN INDICATIVO'!Q57</f>
        <v>No. De eventos culturales apoyados cada año</v>
      </c>
      <c r="R58" s="334">
        <f>'PLAN INDICATIVO'!R57</f>
        <v>2015</v>
      </c>
      <c r="S58" s="304">
        <v>3</v>
      </c>
      <c r="T58" s="677">
        <v>16</v>
      </c>
      <c r="U58" s="303">
        <v>4</v>
      </c>
      <c r="V58" s="687">
        <v>5000000</v>
      </c>
      <c r="W58" s="572">
        <v>4</v>
      </c>
      <c r="X58" s="687">
        <v>500000</v>
      </c>
      <c r="Y58" s="572">
        <v>4</v>
      </c>
      <c r="Z58" s="687">
        <v>500000</v>
      </c>
      <c r="AA58" s="572">
        <v>4</v>
      </c>
      <c r="AB58" s="687">
        <v>10500000</v>
      </c>
      <c r="AC58" s="665">
        <v>4</v>
      </c>
      <c r="AD58" s="904">
        <v>4</v>
      </c>
      <c r="AE58" s="665"/>
      <c r="AF58" s="665"/>
      <c r="AG58" s="306" t="s">
        <v>3485</v>
      </c>
      <c r="AH58" s="306">
        <v>2017413960005</v>
      </c>
      <c r="AI58" s="307" t="s">
        <v>3496</v>
      </c>
      <c r="AJ58" s="309">
        <v>42736</v>
      </c>
      <c r="AK58" s="309">
        <v>43099</v>
      </c>
      <c r="AL58" s="308"/>
      <c r="AM58" s="308"/>
      <c r="AN58" s="267" t="s">
        <v>2598</v>
      </c>
      <c r="AO58" s="508" t="s">
        <v>3497</v>
      </c>
      <c r="AP58" s="525"/>
      <c r="AQ58" s="310"/>
      <c r="AR58" s="310"/>
      <c r="AS58" s="310"/>
      <c r="AT58" s="310"/>
      <c r="AU58" s="310"/>
      <c r="AV58" s="310"/>
      <c r="AW58" s="544">
        <f t="shared" si="30"/>
        <v>0</v>
      </c>
      <c r="AX58" s="525"/>
      <c r="AY58" s="310"/>
      <c r="AZ58" s="310"/>
      <c r="BA58" s="310"/>
      <c r="BB58" s="310"/>
      <c r="BC58" s="310"/>
      <c r="BD58" s="310"/>
      <c r="BE58" s="544">
        <f t="shared" si="18"/>
        <v>0</v>
      </c>
      <c r="BF58" s="525"/>
      <c r="BG58" s="310"/>
      <c r="BH58" s="310"/>
      <c r="BI58" s="310"/>
      <c r="BJ58" s="310"/>
      <c r="BK58" s="310"/>
      <c r="BL58" s="310"/>
      <c r="BM58" s="544">
        <f t="shared" si="19"/>
        <v>0</v>
      </c>
      <c r="BN58" s="525"/>
      <c r="BO58" s="310"/>
      <c r="BP58" s="310"/>
      <c r="BQ58" s="310"/>
      <c r="BR58" s="310"/>
      <c r="BS58" s="310"/>
      <c r="BT58" s="310"/>
      <c r="BU58" s="544">
        <f t="shared" si="20"/>
        <v>0</v>
      </c>
      <c r="BV58" s="556"/>
      <c r="BW58" s="663">
        <f t="shared" si="8"/>
        <v>8</v>
      </c>
      <c r="BX58" s="674">
        <f t="shared" si="9"/>
        <v>0.5</v>
      </c>
      <c r="BY58" s="835">
        <f t="shared" si="10"/>
        <v>1</v>
      </c>
      <c r="BZ58" s="674">
        <f t="shared" si="11"/>
        <v>1</v>
      </c>
      <c r="CA58" s="675">
        <f t="shared" si="12"/>
        <v>0</v>
      </c>
      <c r="CB58" s="675">
        <f t="shared" si="13"/>
        <v>0</v>
      </c>
    </row>
    <row r="59" spans="1:80" ht="75.75" hidden="1" customHeight="1" x14ac:dyDescent="0.25">
      <c r="A59" s="298" t="s">
        <v>173</v>
      </c>
      <c r="B59" s="299" t="str">
        <f>'PLAN INDICATIVO'!B58</f>
        <v>Cultura</v>
      </c>
      <c r="C59" s="1547"/>
      <c r="D59" s="1551"/>
      <c r="E59" s="1551"/>
      <c r="F59" s="1551"/>
      <c r="G59" s="1551"/>
      <c r="H59" s="1551"/>
      <c r="I59" s="332">
        <f>'PLAN INDICATIVO'!I58</f>
        <v>0</v>
      </c>
      <c r="J59" s="332">
        <f>'PLAN INDICATIVO'!J58</f>
        <v>0</v>
      </c>
      <c r="K59" s="1429" t="str">
        <f>'PLAN INDICATIVO'!K58</f>
        <v>A.5.1.8</v>
      </c>
      <c r="L59" s="1429" t="str">
        <f>'PLAN INDICATIVO'!L58</f>
        <v>11. Ciudades y comunidades sostenibles</v>
      </c>
      <c r="M59" s="1429" t="str">
        <f>'PLAN INDICATIVO'!M58</f>
        <v>Secretaría de Educación, Cultura, deporte y Turismo</v>
      </c>
      <c r="N59" s="1429" t="str">
        <f>'PLAN INDICATIVO'!N58</f>
        <v>YIMI FERNANDO LOSADA PAYA</v>
      </c>
      <c r="O59" s="1429" t="str">
        <f>'PLAN INDICATIVO'!O58</f>
        <v>Incremento</v>
      </c>
      <c r="P59" s="74" t="str">
        <f>'PLAN INDICATIVO'!P58</f>
        <v>Realizar 6 eventos de intercambio cultural  y artístico donde converjan las diferentes manifestaciones artísticas de carácter  local, regional y nacional  durante el cuatrienio</v>
      </c>
      <c r="Q59" s="333" t="str">
        <f>'PLAN INDICATIVO'!Q58</f>
        <v>No. De eventos de intercambio cultural realizados en el cuatrienio</v>
      </c>
      <c r="R59" s="334">
        <f>'PLAN INDICATIVO'!R58</f>
        <v>2015</v>
      </c>
      <c r="S59" s="304">
        <v>2</v>
      </c>
      <c r="T59" s="677">
        <v>6</v>
      </c>
      <c r="U59" s="303">
        <v>2</v>
      </c>
      <c r="V59" s="687">
        <v>12000000</v>
      </c>
      <c r="W59" s="572">
        <v>1</v>
      </c>
      <c r="X59" s="687">
        <v>14000000</v>
      </c>
      <c r="Y59" s="572">
        <v>2</v>
      </c>
      <c r="Z59" s="687">
        <v>8500000</v>
      </c>
      <c r="AA59" s="572">
        <v>2</v>
      </c>
      <c r="AB59" s="687">
        <v>15000000</v>
      </c>
      <c r="AC59" s="665">
        <f>1</f>
        <v>1</v>
      </c>
      <c r="AD59" s="904">
        <v>2</v>
      </c>
      <c r="AE59" s="665"/>
      <c r="AF59" s="665"/>
      <c r="AG59" s="306" t="s">
        <v>3485</v>
      </c>
      <c r="AH59" s="306">
        <v>2017413960005</v>
      </c>
      <c r="AI59" s="307" t="s">
        <v>3498</v>
      </c>
      <c r="AJ59" s="309">
        <v>42917</v>
      </c>
      <c r="AK59" s="309">
        <v>42916</v>
      </c>
      <c r="AL59" s="308"/>
      <c r="AM59" s="308"/>
      <c r="AN59" s="267" t="s">
        <v>2598</v>
      </c>
      <c r="AO59" s="508" t="s">
        <v>2627</v>
      </c>
      <c r="AP59" s="525"/>
      <c r="AQ59" s="310"/>
      <c r="AR59" s="310"/>
      <c r="AS59" s="310"/>
      <c r="AT59" s="310"/>
      <c r="AU59" s="310"/>
      <c r="AV59" s="310"/>
      <c r="AW59" s="544">
        <f t="shared" si="30"/>
        <v>0</v>
      </c>
      <c r="AX59" s="525"/>
      <c r="AY59" s="310"/>
      <c r="AZ59" s="310"/>
      <c r="BA59" s="310"/>
      <c r="BB59" s="310"/>
      <c r="BC59" s="310"/>
      <c r="BD59" s="310"/>
      <c r="BE59" s="544">
        <f t="shared" si="18"/>
        <v>0</v>
      </c>
      <c r="BF59" s="525"/>
      <c r="BG59" s="310"/>
      <c r="BH59" s="310"/>
      <c r="BI59" s="310"/>
      <c r="BJ59" s="310"/>
      <c r="BK59" s="310"/>
      <c r="BL59" s="310"/>
      <c r="BM59" s="544">
        <f t="shared" si="19"/>
        <v>0</v>
      </c>
      <c r="BN59" s="525"/>
      <c r="BO59" s="310"/>
      <c r="BP59" s="310"/>
      <c r="BQ59" s="310"/>
      <c r="BR59" s="310"/>
      <c r="BS59" s="310"/>
      <c r="BT59" s="310"/>
      <c r="BU59" s="544">
        <f t="shared" si="20"/>
        <v>0</v>
      </c>
      <c r="BV59" s="556"/>
      <c r="BW59" s="663">
        <f t="shared" si="8"/>
        <v>3</v>
      </c>
      <c r="BX59" s="674">
        <f t="shared" si="9"/>
        <v>0.5</v>
      </c>
      <c r="BY59" s="835">
        <f t="shared" si="10"/>
        <v>0.5</v>
      </c>
      <c r="BZ59" s="674">
        <f t="shared" si="11"/>
        <v>2</v>
      </c>
      <c r="CA59" s="675">
        <f t="shared" si="12"/>
        <v>0</v>
      </c>
      <c r="CB59" s="675">
        <f t="shared" si="13"/>
        <v>0</v>
      </c>
    </row>
    <row r="60" spans="1:80" ht="77.25" hidden="1" customHeight="1" x14ac:dyDescent="0.25">
      <c r="A60" s="298" t="s">
        <v>173</v>
      </c>
      <c r="B60" s="299" t="str">
        <f>'PLAN INDICATIVO'!B59</f>
        <v>Cultura</v>
      </c>
      <c r="C60" s="1547"/>
      <c r="D60" s="1551"/>
      <c r="E60" s="1551"/>
      <c r="F60" s="1551"/>
      <c r="G60" s="1551"/>
      <c r="H60" s="1551"/>
      <c r="I60" s="332">
        <f>'PLAN INDICATIVO'!I59</f>
        <v>0</v>
      </c>
      <c r="J60" s="332">
        <f>'PLAN INDICATIVO'!J59</f>
        <v>0</v>
      </c>
      <c r="K60" s="1429" t="str">
        <f>'PLAN INDICATIVO'!K59</f>
        <v>A.5.1.9</v>
      </c>
      <c r="L60" s="1429" t="str">
        <f>'PLAN INDICATIVO'!L59</f>
        <v>11. Ciudades y comunidades sostenibles</v>
      </c>
      <c r="M60" s="1429" t="str">
        <f>'PLAN INDICATIVO'!M59</f>
        <v>Secretaría de Educación, Cultura, deporte y Turismo</v>
      </c>
      <c r="N60" s="1429" t="str">
        <f>'PLAN INDICATIVO'!N59</f>
        <v>YIMI FERNANDO LOSADA PAYA</v>
      </c>
      <c r="O60" s="1429" t="str">
        <f>'PLAN INDICATIVO'!O59</f>
        <v>Incremento</v>
      </c>
      <c r="P60" s="74" t="str">
        <f>'PLAN INDICATIVO'!P59</f>
        <v>Realizar 4 actividades culturales en el cuatrienio, que garanticen el acceso cultural de la primera infancia y la infancia</v>
      </c>
      <c r="Q60" s="333" t="str">
        <f>'PLAN INDICATIVO'!Q59</f>
        <v>No. De actividades realizadas en el cuatrienio</v>
      </c>
      <c r="R60" s="334">
        <f>'PLAN INDICATIVO'!R59</f>
        <v>2015</v>
      </c>
      <c r="S60" s="304">
        <v>0</v>
      </c>
      <c r="T60" s="677">
        <v>4</v>
      </c>
      <c r="U60" s="303">
        <v>1</v>
      </c>
      <c r="V60" s="687">
        <v>1000000</v>
      </c>
      <c r="W60" s="572">
        <v>1</v>
      </c>
      <c r="X60" s="687">
        <v>500000</v>
      </c>
      <c r="Y60" s="572">
        <v>1</v>
      </c>
      <c r="Z60" s="687">
        <v>500000</v>
      </c>
      <c r="AA60" s="572">
        <v>1</v>
      </c>
      <c r="AB60" s="687">
        <v>500000</v>
      </c>
      <c r="AC60" s="665">
        <v>1</v>
      </c>
      <c r="AD60" s="904">
        <v>1</v>
      </c>
      <c r="AE60" s="665"/>
      <c r="AF60" s="665"/>
      <c r="AG60" s="306" t="s">
        <v>3485</v>
      </c>
      <c r="AH60" s="306">
        <v>2017413960005</v>
      </c>
      <c r="AI60" s="307" t="s">
        <v>3499</v>
      </c>
      <c r="AJ60" s="309">
        <v>42767</v>
      </c>
      <c r="AK60" s="309">
        <v>42916</v>
      </c>
      <c r="AL60" s="308"/>
      <c r="AM60" s="308"/>
      <c r="AN60" s="267" t="s">
        <v>2598</v>
      </c>
      <c r="AO60" s="508" t="s">
        <v>3500</v>
      </c>
      <c r="AP60" s="525"/>
      <c r="AQ60" s="310">
        <v>1000000</v>
      </c>
      <c r="AR60" s="310"/>
      <c r="AS60" s="310"/>
      <c r="AT60" s="310"/>
      <c r="AU60" s="310"/>
      <c r="AV60" s="310"/>
      <c r="AW60" s="544">
        <f t="shared" si="30"/>
        <v>1000000</v>
      </c>
      <c r="AX60" s="525"/>
      <c r="AY60" s="310"/>
      <c r="AZ60" s="310"/>
      <c r="BA60" s="310"/>
      <c r="BB60" s="310"/>
      <c r="BC60" s="310"/>
      <c r="BD60" s="310"/>
      <c r="BE60" s="544">
        <f t="shared" si="18"/>
        <v>0</v>
      </c>
      <c r="BF60" s="525"/>
      <c r="BG60" s="310"/>
      <c r="BH60" s="310"/>
      <c r="BI60" s="310"/>
      <c r="BJ60" s="310"/>
      <c r="BK60" s="310"/>
      <c r="BL60" s="310"/>
      <c r="BM60" s="544">
        <f t="shared" si="19"/>
        <v>0</v>
      </c>
      <c r="BN60" s="525"/>
      <c r="BO60" s="310"/>
      <c r="BP60" s="310"/>
      <c r="BQ60" s="310"/>
      <c r="BR60" s="310"/>
      <c r="BS60" s="310"/>
      <c r="BT60" s="310"/>
      <c r="BU60" s="544">
        <f t="shared" si="20"/>
        <v>0</v>
      </c>
      <c r="BV60" s="556"/>
      <c r="BW60" s="663">
        <f t="shared" si="8"/>
        <v>2</v>
      </c>
      <c r="BX60" s="674">
        <f t="shared" si="9"/>
        <v>0.5</v>
      </c>
      <c r="BY60" s="835">
        <f t="shared" si="10"/>
        <v>1</v>
      </c>
      <c r="BZ60" s="674">
        <f t="shared" si="11"/>
        <v>1</v>
      </c>
      <c r="CA60" s="675">
        <f t="shared" si="12"/>
        <v>0</v>
      </c>
      <c r="CB60" s="675">
        <f t="shared" si="13"/>
        <v>0</v>
      </c>
    </row>
    <row r="61" spans="1:80" ht="55.5" hidden="1" customHeight="1" x14ac:dyDescent="0.25">
      <c r="A61" s="298" t="s">
        <v>173</v>
      </c>
      <c r="B61" s="299" t="str">
        <f>'PLAN INDICATIVO'!B60</f>
        <v>Cultura</v>
      </c>
      <c r="C61" s="1547"/>
      <c r="D61" s="1549"/>
      <c r="E61" s="1549"/>
      <c r="F61" s="1551"/>
      <c r="G61" s="1551"/>
      <c r="H61" s="1551"/>
      <c r="I61" s="1429" t="str">
        <f>'PLAN INDICATIVO'!I60</f>
        <v>SI</v>
      </c>
      <c r="J61" s="1429">
        <f>'PLAN INDICATIVO'!J60</f>
        <v>0</v>
      </c>
      <c r="K61" s="1429" t="str">
        <f>'PLAN INDICATIVO'!K60</f>
        <v>A.5.1.10</v>
      </c>
      <c r="L61" s="1429" t="str">
        <f>'PLAN INDICATIVO'!L60</f>
        <v>11. Ciudades y comunidades sostenibles</v>
      </c>
      <c r="M61" s="1429" t="str">
        <f>'PLAN INDICATIVO'!M60</f>
        <v>Secretaría de Educación, Cultura, deporte y Turismo</v>
      </c>
      <c r="N61" s="1429" t="str">
        <f>'PLAN INDICATIVO'!N60</f>
        <v>YIMI FERNANDO LOSADA PAYA</v>
      </c>
      <c r="O61" s="1429" t="str">
        <f>'PLAN INDICATIVO'!O60</f>
        <v>Incremento</v>
      </c>
      <c r="P61" s="74" t="str">
        <f>'PLAN INDICATIVO'!P60</f>
        <v>Presentar 1 Proyecto de investigación para declarar patrimonio cultural inmaterial  el FESTIVAL FOLKLORICO Y SANPEDRINO DEL SUR OCCIDENTE HUILENSE Y ORIENTE CAUCANO,  garantizando su desarrollo y reconocimiento.</v>
      </c>
      <c r="Q61" s="333" t="str">
        <f>'PLAN INDICATIVO'!Q60</f>
        <v>No. De Proyectos presentados en el cuatrienio</v>
      </c>
      <c r="R61" s="334">
        <f>'PLAN INDICATIVO'!R60</f>
        <v>2015</v>
      </c>
      <c r="S61" s="304">
        <v>0</v>
      </c>
      <c r="T61" s="677">
        <v>1</v>
      </c>
      <c r="U61" s="303">
        <v>1</v>
      </c>
      <c r="V61" s="687">
        <v>1000000</v>
      </c>
      <c r="W61" s="572">
        <v>1</v>
      </c>
      <c r="X61" s="687">
        <v>500000</v>
      </c>
      <c r="Y61" s="572">
        <v>1</v>
      </c>
      <c r="Z61" s="687">
        <v>500000</v>
      </c>
      <c r="AA61" s="572">
        <v>1</v>
      </c>
      <c r="AB61" s="687">
        <v>500000</v>
      </c>
      <c r="AC61" s="665">
        <v>1</v>
      </c>
      <c r="AD61" s="904">
        <v>1</v>
      </c>
      <c r="AE61" s="665"/>
      <c r="AF61" s="665"/>
      <c r="AG61" s="306" t="s">
        <v>3485</v>
      </c>
      <c r="AH61" s="306">
        <v>2017413960005</v>
      </c>
      <c r="AI61" s="307" t="s">
        <v>3501</v>
      </c>
      <c r="AJ61" s="309">
        <v>42795</v>
      </c>
      <c r="AK61" s="309">
        <v>43099</v>
      </c>
      <c r="AL61" s="308"/>
      <c r="AM61" s="308"/>
      <c r="AN61" s="267" t="s">
        <v>2598</v>
      </c>
      <c r="AO61" s="508" t="s">
        <v>3495</v>
      </c>
      <c r="AP61" s="525"/>
      <c r="AQ61" s="310">
        <v>1000000</v>
      </c>
      <c r="AR61" s="310"/>
      <c r="AS61" s="310"/>
      <c r="AT61" s="310"/>
      <c r="AU61" s="310"/>
      <c r="AV61" s="310"/>
      <c r="AW61" s="544">
        <f t="shared" si="30"/>
        <v>1000000</v>
      </c>
      <c r="AX61" s="525"/>
      <c r="AY61" s="310"/>
      <c r="AZ61" s="310"/>
      <c r="BA61" s="310"/>
      <c r="BB61" s="310"/>
      <c r="BC61" s="310"/>
      <c r="BD61" s="310"/>
      <c r="BE61" s="544">
        <f t="shared" si="18"/>
        <v>0</v>
      </c>
      <c r="BF61" s="525"/>
      <c r="BG61" s="310"/>
      <c r="BH61" s="310"/>
      <c r="BI61" s="310"/>
      <c r="BJ61" s="310"/>
      <c r="BK61" s="310"/>
      <c r="BL61" s="310"/>
      <c r="BM61" s="544">
        <f t="shared" si="19"/>
        <v>0</v>
      </c>
      <c r="BN61" s="525"/>
      <c r="BO61" s="310"/>
      <c r="BP61" s="310"/>
      <c r="BQ61" s="310"/>
      <c r="BR61" s="310"/>
      <c r="BS61" s="310"/>
      <c r="BT61" s="310"/>
      <c r="BU61" s="544">
        <f t="shared" si="20"/>
        <v>0</v>
      </c>
      <c r="BV61" s="556"/>
      <c r="BW61" s="663">
        <f t="shared" si="8"/>
        <v>2</v>
      </c>
      <c r="BX61" s="674">
        <f t="shared" si="9"/>
        <v>2</v>
      </c>
      <c r="BY61" s="835">
        <f t="shared" si="10"/>
        <v>1</v>
      </c>
      <c r="BZ61" s="674">
        <f t="shared" si="11"/>
        <v>1</v>
      </c>
      <c r="CA61" s="675">
        <f t="shared" si="12"/>
        <v>0</v>
      </c>
      <c r="CB61" s="675">
        <f t="shared" si="13"/>
        <v>0</v>
      </c>
    </row>
    <row r="62" spans="1:80" ht="63" hidden="1" customHeight="1" x14ac:dyDescent="0.25">
      <c r="A62" s="298" t="s">
        <v>173</v>
      </c>
      <c r="B62" s="299" t="str">
        <f>'PLAN INDICATIVO'!B61</f>
        <v>Cultura</v>
      </c>
      <c r="C62" s="1547"/>
      <c r="D62" s="1551"/>
      <c r="E62" s="1551"/>
      <c r="F62" s="1551"/>
      <c r="G62" s="1551"/>
      <c r="H62" s="1551"/>
      <c r="I62" s="332">
        <f>'PLAN INDICATIVO'!I61</f>
        <v>0</v>
      </c>
      <c r="J62" s="332">
        <f>'PLAN INDICATIVO'!J61</f>
        <v>0</v>
      </c>
      <c r="K62" s="1429" t="str">
        <f>'PLAN INDICATIVO'!K61</f>
        <v>A.5.1.11</v>
      </c>
      <c r="L62" s="1429" t="str">
        <f>'PLAN INDICATIVO'!L61</f>
        <v>11. Ciudades y comunidades sostenibles</v>
      </c>
      <c r="M62" s="1429" t="str">
        <f>'PLAN INDICATIVO'!M61</f>
        <v>Secretaría de Educación, Cultura, deporte y Turismo</v>
      </c>
      <c r="N62" s="1429" t="str">
        <f>'PLAN INDICATIVO'!N61</f>
        <v>YIMI FERNANDO LOSADA PAYA</v>
      </c>
      <c r="O62" s="1429" t="str">
        <f>'PLAN INDICATIVO'!O61</f>
        <v>Incremento</v>
      </c>
      <c r="P62" s="74" t="str">
        <f>'PLAN INDICATIVO'!P61</f>
        <v>Realizar Cuatro (4) versiones del FESTIVAL FOLKLORICO Y SANPEDRINO DEL SUR OCCIDENTE HUILENSE Y ORIENTE CAUCANO</v>
      </c>
      <c r="Q62" s="333" t="str">
        <f>'PLAN INDICATIVO'!Q61</f>
        <v>No. De versiones del Festival Folclórico realizados en el cuatrienio</v>
      </c>
      <c r="R62" s="334">
        <f>'PLAN INDICATIVO'!R61</f>
        <v>2015</v>
      </c>
      <c r="S62" s="304">
        <v>1</v>
      </c>
      <c r="T62" s="677">
        <v>4</v>
      </c>
      <c r="U62" s="303">
        <v>1</v>
      </c>
      <c r="V62" s="687">
        <v>15000000</v>
      </c>
      <c r="W62" s="572">
        <v>1</v>
      </c>
      <c r="X62" s="687">
        <v>500000</v>
      </c>
      <c r="Y62" s="572">
        <v>1</v>
      </c>
      <c r="Z62" s="687">
        <v>500000</v>
      </c>
      <c r="AA62" s="572">
        <v>1</v>
      </c>
      <c r="AB62" s="687">
        <v>500000</v>
      </c>
      <c r="AC62" s="665">
        <v>1</v>
      </c>
      <c r="AD62" s="904">
        <v>1</v>
      </c>
      <c r="AE62" s="665"/>
      <c r="AF62" s="665"/>
      <c r="AG62" s="306" t="s">
        <v>3485</v>
      </c>
      <c r="AH62" s="306">
        <v>2017413960005</v>
      </c>
      <c r="AI62" s="307" t="s">
        <v>3502</v>
      </c>
      <c r="AJ62" s="309">
        <v>42902</v>
      </c>
      <c r="AK62" s="309">
        <v>42916</v>
      </c>
      <c r="AL62" s="308"/>
      <c r="AM62" s="308"/>
      <c r="AN62" s="267" t="s">
        <v>2598</v>
      </c>
      <c r="AO62" s="508"/>
      <c r="AP62" s="525"/>
      <c r="AQ62" s="310"/>
      <c r="AR62" s="310"/>
      <c r="AS62" s="310"/>
      <c r="AT62" s="310"/>
      <c r="AU62" s="310"/>
      <c r="AV62" s="310"/>
      <c r="AW62" s="544"/>
      <c r="AX62" s="525"/>
      <c r="AY62" s="310"/>
      <c r="AZ62" s="310"/>
      <c r="BA62" s="310"/>
      <c r="BB62" s="310"/>
      <c r="BC62" s="310"/>
      <c r="BD62" s="310"/>
      <c r="BE62" s="544">
        <f t="shared" si="18"/>
        <v>0</v>
      </c>
      <c r="BF62" s="525"/>
      <c r="BG62" s="310"/>
      <c r="BH62" s="310"/>
      <c r="BI62" s="310"/>
      <c r="BJ62" s="310"/>
      <c r="BK62" s="310"/>
      <c r="BL62" s="310"/>
      <c r="BM62" s="544">
        <f t="shared" si="19"/>
        <v>0</v>
      </c>
      <c r="BN62" s="525"/>
      <c r="BO62" s="310"/>
      <c r="BP62" s="310"/>
      <c r="BQ62" s="310"/>
      <c r="BR62" s="310"/>
      <c r="BS62" s="310"/>
      <c r="BT62" s="310"/>
      <c r="BU62" s="544">
        <f t="shared" si="20"/>
        <v>0</v>
      </c>
      <c r="BV62" s="556"/>
      <c r="BW62" s="663">
        <f t="shared" si="8"/>
        <v>2</v>
      </c>
      <c r="BX62" s="674">
        <f t="shared" si="9"/>
        <v>0.5</v>
      </c>
      <c r="BY62" s="835">
        <f t="shared" si="10"/>
        <v>1</v>
      </c>
      <c r="BZ62" s="674">
        <f t="shared" si="11"/>
        <v>1</v>
      </c>
      <c r="CA62" s="675">
        <f t="shared" si="12"/>
        <v>0</v>
      </c>
      <c r="CB62" s="675">
        <f t="shared" si="13"/>
        <v>0</v>
      </c>
    </row>
    <row r="63" spans="1:80" ht="54" hidden="1" customHeight="1" x14ac:dyDescent="0.25">
      <c r="A63" s="298" t="s">
        <v>173</v>
      </c>
      <c r="B63" s="299" t="str">
        <f>'PLAN INDICATIVO'!B62</f>
        <v>Cultura</v>
      </c>
      <c r="C63" s="1547"/>
      <c r="D63" s="1551"/>
      <c r="E63" s="1551"/>
      <c r="F63" s="1551"/>
      <c r="G63" s="1551"/>
      <c r="H63" s="1551"/>
      <c r="I63" s="332">
        <f>'PLAN INDICATIVO'!I62</f>
        <v>0</v>
      </c>
      <c r="J63" s="332">
        <f>'PLAN INDICATIVO'!J62</f>
        <v>0</v>
      </c>
      <c r="K63" s="1429" t="str">
        <f>'PLAN INDICATIVO'!K62</f>
        <v>A.5.1.12</v>
      </c>
      <c r="L63" s="1429" t="str">
        <f>'PLAN INDICATIVO'!L62</f>
        <v>11. Ciudades y comunidades sostenibles</v>
      </c>
      <c r="M63" s="1429" t="str">
        <f>'PLAN INDICATIVO'!M62</f>
        <v>Secretaría de Educación, Cultura, deporte y Turismo</v>
      </c>
      <c r="N63" s="1429" t="str">
        <f>'PLAN INDICATIVO'!N62</f>
        <v>YIMI FERNANDO LOSADA PAYA</v>
      </c>
      <c r="O63" s="1429" t="str">
        <f>'PLAN INDICATIVO'!O62</f>
        <v>Incremento</v>
      </c>
      <c r="P63" s="943" t="str">
        <f>'PLAN INDICATIVO'!P62</f>
        <v>Formular 1 Plan Decenal Municipal de Cultura  durante el cuatrienio.</v>
      </c>
      <c r="Q63" s="333" t="str">
        <f>'PLAN INDICATIVO'!Q62</f>
        <v>No. De planes decenales implementados en el cuatrienio</v>
      </c>
      <c r="R63" s="334">
        <f>'PLAN INDICATIVO'!R62</f>
        <v>2015</v>
      </c>
      <c r="S63" s="304">
        <v>0</v>
      </c>
      <c r="T63" s="677">
        <v>1</v>
      </c>
      <c r="U63" s="303">
        <v>0</v>
      </c>
      <c r="V63" s="687">
        <v>0</v>
      </c>
      <c r="W63" s="572">
        <v>0</v>
      </c>
      <c r="X63" s="687"/>
      <c r="Y63" s="572">
        <v>0.5</v>
      </c>
      <c r="Z63" s="687">
        <v>500000</v>
      </c>
      <c r="AA63" s="572">
        <v>0.5</v>
      </c>
      <c r="AB63" s="687">
        <v>500000</v>
      </c>
      <c r="AC63" s="665">
        <v>0</v>
      </c>
      <c r="AD63" s="665"/>
      <c r="AE63" s="665"/>
      <c r="AF63" s="665"/>
      <c r="AG63" s="306" t="s">
        <v>3485</v>
      </c>
      <c r="AH63" s="306">
        <v>2017413960005</v>
      </c>
      <c r="AI63" s="307"/>
      <c r="AJ63" s="309"/>
      <c r="AK63" s="309"/>
      <c r="AL63" s="308"/>
      <c r="AM63" s="308"/>
      <c r="AN63" s="267" t="s">
        <v>2594</v>
      </c>
      <c r="AO63" s="508"/>
      <c r="AP63" s="526"/>
      <c r="AQ63" s="470"/>
      <c r="AR63" s="470"/>
      <c r="AS63" s="470"/>
      <c r="AT63" s="470"/>
      <c r="AU63" s="470"/>
      <c r="AV63" s="470"/>
      <c r="AW63" s="544"/>
      <c r="AX63" s="526"/>
      <c r="AY63" s="470"/>
      <c r="AZ63" s="470"/>
      <c r="BA63" s="470"/>
      <c r="BB63" s="470"/>
      <c r="BC63" s="470"/>
      <c r="BD63" s="470"/>
      <c r="BE63" s="544">
        <f t="shared" si="18"/>
        <v>0</v>
      </c>
      <c r="BF63" s="526"/>
      <c r="BG63" s="470"/>
      <c r="BH63" s="470"/>
      <c r="BI63" s="470"/>
      <c r="BJ63" s="470"/>
      <c r="BK63" s="470"/>
      <c r="BL63" s="470"/>
      <c r="BM63" s="544">
        <f t="shared" si="19"/>
        <v>0</v>
      </c>
      <c r="BN63" s="526"/>
      <c r="BO63" s="470"/>
      <c r="BP63" s="470"/>
      <c r="BQ63" s="470"/>
      <c r="BR63" s="470"/>
      <c r="BS63" s="470"/>
      <c r="BT63" s="470"/>
      <c r="BU63" s="544">
        <f t="shared" si="20"/>
        <v>0</v>
      </c>
      <c r="BV63" s="556"/>
      <c r="BW63" s="663">
        <f t="shared" si="8"/>
        <v>0</v>
      </c>
      <c r="BX63" s="674">
        <f t="shared" si="9"/>
        <v>0</v>
      </c>
      <c r="BY63" s="561" t="e">
        <f t="shared" si="10"/>
        <v>#DIV/0!</v>
      </c>
      <c r="BZ63" s="674" t="e">
        <f t="shared" si="11"/>
        <v>#DIV/0!</v>
      </c>
      <c r="CA63" s="675">
        <f t="shared" si="12"/>
        <v>0</v>
      </c>
      <c r="CB63" s="675">
        <f t="shared" si="13"/>
        <v>0</v>
      </c>
    </row>
    <row r="64" spans="1:80" ht="76.5" hidden="1" customHeight="1" x14ac:dyDescent="0.25">
      <c r="A64" s="298" t="s">
        <v>173</v>
      </c>
      <c r="B64" s="299" t="str">
        <f>'PLAN INDICATIVO'!B63</f>
        <v>Cultura</v>
      </c>
      <c r="C64" s="1547"/>
      <c r="D64" s="1551"/>
      <c r="E64" s="1551"/>
      <c r="F64" s="1551"/>
      <c r="G64" s="1551"/>
      <c r="H64" s="1551"/>
      <c r="I64" s="332">
        <f>'PLAN INDICATIVO'!I63</f>
        <v>0</v>
      </c>
      <c r="J64" s="332">
        <f>'PLAN INDICATIVO'!J63</f>
        <v>0</v>
      </c>
      <c r="K64" s="1429" t="str">
        <f>'PLAN INDICATIVO'!K63</f>
        <v>A.5.1.13</v>
      </c>
      <c r="L64" s="1429" t="str">
        <f>'PLAN INDICATIVO'!L63</f>
        <v>11. Ciudades y comunidades sostenibles</v>
      </c>
      <c r="M64" s="1429" t="str">
        <f>'PLAN INDICATIVO'!M63</f>
        <v>Secretaría de Educación, Cultura, deporte y Turismo</v>
      </c>
      <c r="N64" s="1429" t="str">
        <f>'PLAN INDICATIVO'!N63</f>
        <v>YIMI FERNANDO LOSADA PAYA</v>
      </c>
      <c r="O64" s="1429" t="str">
        <f>'PLAN INDICATIVO'!O63</f>
        <v>Incremento</v>
      </c>
      <c r="P64" s="74" t="str">
        <f>'PLAN INDICATIVO'!P63</f>
        <v>Realizar 2 capacitaciones para promover la comercialización del sector artesanal  durante el cuatrienio</v>
      </c>
      <c r="Q64" s="333" t="str">
        <f>'PLAN INDICATIVO'!Q63</f>
        <v>No. De capacitaciones realizadas</v>
      </c>
      <c r="R64" s="334">
        <f>'PLAN INDICATIVO'!R63</f>
        <v>2015</v>
      </c>
      <c r="S64" s="304">
        <v>0</v>
      </c>
      <c r="T64" s="677">
        <v>2</v>
      </c>
      <c r="U64" s="303">
        <v>0</v>
      </c>
      <c r="V64" s="687">
        <v>1000000</v>
      </c>
      <c r="W64" s="572">
        <v>1</v>
      </c>
      <c r="X64" s="687">
        <v>500000</v>
      </c>
      <c r="Y64" s="572">
        <v>1</v>
      </c>
      <c r="Z64" s="687">
        <v>500000</v>
      </c>
      <c r="AA64" s="572">
        <v>0</v>
      </c>
      <c r="AB64" s="687">
        <v>500000</v>
      </c>
      <c r="AC64" s="665">
        <v>1</v>
      </c>
      <c r="AD64" s="665"/>
      <c r="AE64" s="665"/>
      <c r="AF64" s="665"/>
      <c r="AG64" s="306" t="s">
        <v>3485</v>
      </c>
      <c r="AH64" s="306">
        <v>2017413960005</v>
      </c>
      <c r="AI64" s="307"/>
      <c r="AJ64" s="309">
        <v>42917</v>
      </c>
      <c r="AK64" s="309">
        <v>43099</v>
      </c>
      <c r="AL64" s="308"/>
      <c r="AM64" s="308"/>
      <c r="AN64" s="267" t="s">
        <v>2598</v>
      </c>
      <c r="AO64" s="508"/>
      <c r="AP64" s="526"/>
      <c r="AQ64" s="470"/>
      <c r="AR64" s="470"/>
      <c r="AS64" s="470"/>
      <c r="AT64" s="470"/>
      <c r="AU64" s="470"/>
      <c r="AV64" s="470"/>
      <c r="AW64" s="544"/>
      <c r="AX64" s="526"/>
      <c r="AY64" s="470"/>
      <c r="AZ64" s="470"/>
      <c r="BA64" s="470"/>
      <c r="BB64" s="470"/>
      <c r="BC64" s="470"/>
      <c r="BD64" s="470"/>
      <c r="BE64" s="544">
        <f t="shared" si="18"/>
        <v>0</v>
      </c>
      <c r="BF64" s="526"/>
      <c r="BG64" s="470"/>
      <c r="BH64" s="470"/>
      <c r="BI64" s="470"/>
      <c r="BJ64" s="470"/>
      <c r="BK64" s="470"/>
      <c r="BL64" s="470"/>
      <c r="BM64" s="544">
        <f t="shared" si="19"/>
        <v>0</v>
      </c>
      <c r="BN64" s="526"/>
      <c r="BO64" s="470"/>
      <c r="BP64" s="470"/>
      <c r="BQ64" s="470"/>
      <c r="BR64" s="470"/>
      <c r="BS64" s="470"/>
      <c r="BT64" s="470"/>
      <c r="BU64" s="544">
        <f t="shared" si="20"/>
        <v>0</v>
      </c>
      <c r="BV64" s="556"/>
      <c r="BW64" s="663">
        <f t="shared" si="8"/>
        <v>1</v>
      </c>
      <c r="BX64" s="674">
        <f t="shared" si="9"/>
        <v>0.5</v>
      </c>
      <c r="BY64" s="561" t="e">
        <f t="shared" si="10"/>
        <v>#DIV/0!</v>
      </c>
      <c r="BZ64" s="674">
        <f t="shared" si="11"/>
        <v>0</v>
      </c>
      <c r="CA64" s="675">
        <f t="shared" si="12"/>
        <v>0</v>
      </c>
      <c r="CB64" s="675" t="e">
        <f t="shared" si="13"/>
        <v>#DIV/0!</v>
      </c>
    </row>
    <row r="65" spans="1:80" ht="60" hidden="1" customHeight="1" x14ac:dyDescent="0.25">
      <c r="A65" s="298" t="s">
        <v>173</v>
      </c>
      <c r="B65" s="299" t="str">
        <f>'PLAN INDICATIVO'!B64</f>
        <v>Cultura</v>
      </c>
      <c r="C65" s="1547"/>
      <c r="D65" s="1551"/>
      <c r="E65" s="1551"/>
      <c r="F65" s="1551"/>
      <c r="G65" s="1551"/>
      <c r="H65" s="1551"/>
      <c r="I65" s="332">
        <f>'PLAN INDICATIVO'!I64</f>
        <v>0</v>
      </c>
      <c r="J65" s="332" t="str">
        <f>'PLAN INDICATIVO'!J64</f>
        <v>SI</v>
      </c>
      <c r="K65" s="1429" t="str">
        <f>'PLAN INDICATIVO'!K64</f>
        <v>A.5.1.14</v>
      </c>
      <c r="L65" s="1429" t="str">
        <f>'PLAN INDICATIVO'!L64</f>
        <v>11. Ciudades y comunidades sostenibles</v>
      </c>
      <c r="M65" s="1429" t="str">
        <f>'PLAN INDICATIVO'!M64</f>
        <v>Secretaría de Educación, Cultura, deporte y Turismo</v>
      </c>
      <c r="N65" s="1429" t="str">
        <f>'PLAN INDICATIVO'!N64</f>
        <v>YIMI FERNANDO LOSADA PAYA</v>
      </c>
      <c r="O65" s="1429" t="str">
        <f>'PLAN INDICATIVO'!O64</f>
        <v>Incremento</v>
      </c>
      <c r="P65" s="74" t="str">
        <f>'PLAN INDICATIVO'!P64</f>
        <v>Implementar medidas de salvaguarda del FESTIVAL FOLKLORICO Y SANPEDRINO DEL SUR OCCIDENTE HUILENSE Y ORIENTE CAUCANO, durante el cuatrienio</v>
      </c>
      <c r="Q65" s="333" t="str">
        <f>'PLAN INDICATIVO'!Q64</f>
        <v>No. De medidas implementadas</v>
      </c>
      <c r="R65" s="334">
        <f>'PLAN INDICATIVO'!R64</f>
        <v>2015</v>
      </c>
      <c r="S65" s="304">
        <v>0</v>
      </c>
      <c r="T65" s="677">
        <v>1</v>
      </c>
      <c r="U65" s="303">
        <v>0</v>
      </c>
      <c r="V65" s="687">
        <v>1000000</v>
      </c>
      <c r="W65" s="572">
        <v>1</v>
      </c>
      <c r="X65" s="687">
        <v>500000</v>
      </c>
      <c r="Y65" s="572">
        <v>1</v>
      </c>
      <c r="Z65" s="687">
        <v>500000</v>
      </c>
      <c r="AA65" s="572">
        <v>1</v>
      </c>
      <c r="AB65" s="687">
        <v>500000</v>
      </c>
      <c r="AC65" s="665">
        <v>0</v>
      </c>
      <c r="AD65" s="665"/>
      <c r="AE65" s="665"/>
      <c r="AF65" s="665"/>
      <c r="AG65" s="306" t="s">
        <v>3485</v>
      </c>
      <c r="AH65" s="306">
        <v>2017413960005</v>
      </c>
      <c r="AI65" s="307"/>
      <c r="AJ65" s="309">
        <v>42917</v>
      </c>
      <c r="AK65" s="309">
        <v>43099</v>
      </c>
      <c r="AL65" s="308"/>
      <c r="AM65" s="308"/>
      <c r="AN65" s="267" t="s">
        <v>2600</v>
      </c>
      <c r="AO65" s="508"/>
      <c r="AP65" s="525"/>
      <c r="AQ65" s="310"/>
      <c r="AR65" s="310"/>
      <c r="AS65" s="310"/>
      <c r="AT65" s="310"/>
      <c r="AU65" s="310"/>
      <c r="AV65" s="310"/>
      <c r="AW65" s="544"/>
      <c r="AX65" s="525"/>
      <c r="AY65" s="310"/>
      <c r="AZ65" s="310"/>
      <c r="BA65" s="310"/>
      <c r="BB65" s="310"/>
      <c r="BC65" s="310"/>
      <c r="BD65" s="310"/>
      <c r="BE65" s="544">
        <f t="shared" si="18"/>
        <v>0</v>
      </c>
      <c r="BF65" s="525"/>
      <c r="BG65" s="310"/>
      <c r="BH65" s="310"/>
      <c r="BI65" s="310"/>
      <c r="BJ65" s="310"/>
      <c r="BK65" s="310"/>
      <c r="BL65" s="310"/>
      <c r="BM65" s="544">
        <f t="shared" si="19"/>
        <v>0</v>
      </c>
      <c r="BN65" s="525"/>
      <c r="BO65" s="310"/>
      <c r="BP65" s="310"/>
      <c r="BQ65" s="310"/>
      <c r="BR65" s="310"/>
      <c r="BS65" s="310"/>
      <c r="BT65" s="310"/>
      <c r="BU65" s="544">
        <f t="shared" si="20"/>
        <v>0</v>
      </c>
      <c r="BV65" s="556"/>
      <c r="BW65" s="663">
        <f t="shared" si="8"/>
        <v>0</v>
      </c>
      <c r="BX65" s="674">
        <f t="shared" si="9"/>
        <v>0</v>
      </c>
      <c r="BY65" s="561" t="e">
        <f t="shared" si="10"/>
        <v>#DIV/0!</v>
      </c>
      <c r="BZ65" s="674">
        <f t="shared" si="11"/>
        <v>0</v>
      </c>
      <c r="CA65" s="675">
        <f t="shared" si="12"/>
        <v>0</v>
      </c>
      <c r="CB65" s="675">
        <f t="shared" si="13"/>
        <v>0</v>
      </c>
    </row>
    <row r="66" spans="1:80" ht="77.25" hidden="1" customHeight="1" x14ac:dyDescent="0.25">
      <c r="A66" s="298" t="s">
        <v>173</v>
      </c>
      <c r="B66" s="299" t="str">
        <f>'PLAN INDICATIVO'!B65</f>
        <v>Cultura</v>
      </c>
      <c r="C66" s="1547"/>
      <c r="D66" s="1551"/>
      <c r="E66" s="1551"/>
      <c r="F66" s="1551"/>
      <c r="G66" s="1551"/>
      <c r="H66" s="1551"/>
      <c r="I66" s="332">
        <f>'PLAN INDICATIVO'!I65</f>
        <v>0</v>
      </c>
      <c r="J66" s="332">
        <f>'PLAN INDICATIVO'!J65</f>
        <v>0</v>
      </c>
      <c r="K66" s="1429" t="str">
        <f>'PLAN INDICATIVO'!K65</f>
        <v>A.5.1.15</v>
      </c>
      <c r="L66" s="1429" t="str">
        <f>'PLAN INDICATIVO'!L65</f>
        <v>11. Ciudades y comunidades sostenibles</v>
      </c>
      <c r="M66" s="1429" t="str">
        <f>'PLAN INDICATIVO'!M65</f>
        <v>Secretaría de Educación, Cultura, deporte y Turismo</v>
      </c>
      <c r="N66" s="1429" t="str">
        <f>'PLAN INDICATIVO'!N65</f>
        <v>YIMI FERNANDO LOSADA PAYA</v>
      </c>
      <c r="O66" s="1429" t="str">
        <f>'PLAN INDICATIVO'!O65</f>
        <v>Incremento</v>
      </c>
      <c r="P66" s="74" t="str">
        <f>'PLAN INDICATIVO'!P65</f>
        <v>Realizar 16 Peñas Culturales, en la zona urbana y rural, durante el cuatrienio</v>
      </c>
      <c r="Q66" s="333" t="str">
        <f>'PLAN INDICATIVO'!Q65</f>
        <v>No. de peñas culturales realizadas en el cuatrienio</v>
      </c>
      <c r="R66" s="334">
        <f>'PLAN INDICATIVO'!R65</f>
        <v>2015</v>
      </c>
      <c r="S66" s="304">
        <v>0</v>
      </c>
      <c r="T66" s="677">
        <v>16</v>
      </c>
      <c r="U66" s="303">
        <v>4</v>
      </c>
      <c r="V66" s="687">
        <v>11000000</v>
      </c>
      <c r="W66" s="572">
        <v>4</v>
      </c>
      <c r="X66" s="687">
        <v>5000000</v>
      </c>
      <c r="Y66" s="572">
        <v>4</v>
      </c>
      <c r="Z66" s="687">
        <v>5000000</v>
      </c>
      <c r="AA66" s="572">
        <v>4</v>
      </c>
      <c r="AB66" s="687">
        <v>5000000</v>
      </c>
      <c r="AC66" s="665">
        <v>4</v>
      </c>
      <c r="AD66" s="665">
        <v>4</v>
      </c>
      <c r="AE66" s="665"/>
      <c r="AF66" s="665"/>
      <c r="AG66" s="306" t="s">
        <v>3485</v>
      </c>
      <c r="AH66" s="306">
        <v>2017413960005</v>
      </c>
      <c r="AI66" s="307" t="s">
        <v>3503</v>
      </c>
      <c r="AJ66" s="309">
        <v>42856</v>
      </c>
      <c r="AK66" s="309">
        <v>42916</v>
      </c>
      <c r="AL66" s="308"/>
      <c r="AM66" s="308"/>
      <c r="AN66" s="267" t="s">
        <v>2598</v>
      </c>
      <c r="AO66" s="508"/>
      <c r="AP66" s="525"/>
      <c r="AQ66" s="310"/>
      <c r="AR66" s="310"/>
      <c r="AS66" s="310"/>
      <c r="AT66" s="310"/>
      <c r="AU66" s="310"/>
      <c r="AV66" s="310"/>
      <c r="AW66" s="544"/>
      <c r="AX66" s="525"/>
      <c r="AY66" s="310"/>
      <c r="AZ66" s="310"/>
      <c r="BA66" s="310"/>
      <c r="BB66" s="310"/>
      <c r="BC66" s="310"/>
      <c r="BD66" s="310"/>
      <c r="BE66" s="544">
        <f t="shared" si="18"/>
        <v>0</v>
      </c>
      <c r="BF66" s="525"/>
      <c r="BG66" s="310"/>
      <c r="BH66" s="310"/>
      <c r="BI66" s="310"/>
      <c r="BJ66" s="310"/>
      <c r="BK66" s="310"/>
      <c r="BL66" s="310"/>
      <c r="BM66" s="544">
        <f t="shared" si="19"/>
        <v>0</v>
      </c>
      <c r="BN66" s="525"/>
      <c r="BO66" s="310"/>
      <c r="BP66" s="310"/>
      <c r="BQ66" s="310"/>
      <c r="BR66" s="310"/>
      <c r="BS66" s="310"/>
      <c r="BT66" s="310"/>
      <c r="BU66" s="544">
        <f t="shared" si="20"/>
        <v>0</v>
      </c>
      <c r="BV66" s="556"/>
      <c r="BW66" s="663">
        <f t="shared" si="8"/>
        <v>8</v>
      </c>
      <c r="BX66" s="674">
        <f t="shared" si="9"/>
        <v>0.5</v>
      </c>
      <c r="BY66" s="835">
        <f t="shared" si="10"/>
        <v>1</v>
      </c>
      <c r="BZ66" s="674">
        <f t="shared" si="11"/>
        <v>1</v>
      </c>
      <c r="CA66" s="675">
        <f t="shared" si="12"/>
        <v>0</v>
      </c>
      <c r="CB66" s="675">
        <f t="shared" si="13"/>
        <v>0</v>
      </c>
    </row>
    <row r="67" spans="1:80" ht="81" hidden="1" customHeight="1" x14ac:dyDescent="0.25">
      <c r="A67" s="298" t="s">
        <v>173</v>
      </c>
      <c r="B67" s="299" t="str">
        <f>'PLAN INDICATIVO'!B66</f>
        <v>Cultura</v>
      </c>
      <c r="C67" s="1547"/>
      <c r="D67" s="1551"/>
      <c r="E67" s="1551"/>
      <c r="F67" s="1551"/>
      <c r="G67" s="1551"/>
      <c r="H67" s="1551"/>
      <c r="I67" s="332">
        <f>'PLAN INDICATIVO'!I66</f>
        <v>0</v>
      </c>
      <c r="J67" s="332">
        <f>'PLAN INDICATIVO'!J66</f>
        <v>0</v>
      </c>
      <c r="K67" s="1429" t="str">
        <f>'PLAN INDICATIVO'!K66</f>
        <v>A.5.1.16</v>
      </c>
      <c r="L67" s="1429" t="str">
        <f>'PLAN INDICATIVO'!L66</f>
        <v>11. Ciudades y comunidades sostenibles</v>
      </c>
      <c r="M67" s="1429" t="str">
        <f>'PLAN INDICATIVO'!M66</f>
        <v>Secretaría de Educación, Cultura, deporte y Turismo</v>
      </c>
      <c r="N67" s="1429" t="str">
        <f>'PLAN INDICATIVO'!N66</f>
        <v>YIMI FERNANDO LOSADA PAYA</v>
      </c>
      <c r="O67" s="1429" t="str">
        <f>'PLAN INDICATIVO'!O66</f>
        <v>Incremento</v>
      </c>
      <c r="P67" s="74" t="str">
        <f>'PLAN INDICATIVO'!P66</f>
        <v>Suministrar 2 dotaciones mantenimiento y/o compra de accesorios, para los instrumentos para las bandas musicales y de paz, durante el cuatrienio</v>
      </c>
      <c r="Q67" s="333" t="str">
        <f>'PLAN INDICATIVO'!Q66</f>
        <v>No. de dotaciones mantenimientos y/o compras de accesorios suministradas en el cuatrienio</v>
      </c>
      <c r="R67" s="334">
        <f>'PLAN INDICATIVO'!R66</f>
        <v>2015</v>
      </c>
      <c r="S67" s="304">
        <v>0</v>
      </c>
      <c r="T67" s="677">
        <v>2</v>
      </c>
      <c r="U67" s="303">
        <v>1</v>
      </c>
      <c r="V67" s="687">
        <v>2000000</v>
      </c>
      <c r="W67" s="685">
        <v>2</v>
      </c>
      <c r="X67" s="687">
        <v>17000000</v>
      </c>
      <c r="Y67" s="685">
        <v>2</v>
      </c>
      <c r="Z67" s="687">
        <v>10000000</v>
      </c>
      <c r="AA67" s="685">
        <v>2</v>
      </c>
      <c r="AB67" s="687">
        <v>20000000</v>
      </c>
      <c r="AC67" s="665">
        <v>0</v>
      </c>
      <c r="AD67" s="665">
        <v>2</v>
      </c>
      <c r="AE67" s="665"/>
      <c r="AF67" s="665"/>
      <c r="AG67" s="306" t="s">
        <v>3485</v>
      </c>
      <c r="AH67" s="306">
        <v>2017413960005</v>
      </c>
      <c r="AI67" s="307" t="s">
        <v>3504</v>
      </c>
      <c r="AJ67" s="309">
        <v>42798</v>
      </c>
      <c r="AK67" s="309">
        <v>42856</v>
      </c>
      <c r="AL67" s="308"/>
      <c r="AM67" s="308"/>
      <c r="AN67" s="267" t="s">
        <v>2598</v>
      </c>
      <c r="AO67" s="508" t="s">
        <v>3505</v>
      </c>
      <c r="AP67" s="525"/>
      <c r="AQ67" s="310">
        <v>10000000</v>
      </c>
      <c r="AR67" s="310"/>
      <c r="AS67" s="310"/>
      <c r="AT67" s="310"/>
      <c r="AU67" s="310"/>
      <c r="AV67" s="310"/>
      <c r="AW67" s="544">
        <f>AP67+AQ67+AR67+AS67+AT67+AU67+AV67</f>
        <v>10000000</v>
      </c>
      <c r="AX67" s="525"/>
      <c r="AY67" s="310"/>
      <c r="AZ67" s="310"/>
      <c r="BA67" s="310"/>
      <c r="BB67" s="310"/>
      <c r="BC67" s="310"/>
      <c r="BD67" s="310"/>
      <c r="BE67" s="544">
        <f t="shared" si="18"/>
        <v>0</v>
      </c>
      <c r="BF67" s="525"/>
      <c r="BG67" s="310"/>
      <c r="BH67" s="310"/>
      <c r="BI67" s="310"/>
      <c r="BJ67" s="310"/>
      <c r="BK67" s="310"/>
      <c r="BL67" s="310"/>
      <c r="BM67" s="544">
        <f t="shared" si="19"/>
        <v>0</v>
      </c>
      <c r="BN67" s="525"/>
      <c r="BO67" s="310"/>
      <c r="BP67" s="310"/>
      <c r="BQ67" s="310"/>
      <c r="BR67" s="310"/>
      <c r="BS67" s="310"/>
      <c r="BT67" s="310"/>
      <c r="BU67" s="544">
        <f t="shared" si="20"/>
        <v>0</v>
      </c>
      <c r="BV67" s="556"/>
      <c r="BW67" s="663">
        <f t="shared" si="8"/>
        <v>2</v>
      </c>
      <c r="BX67" s="674">
        <f t="shared" si="9"/>
        <v>1</v>
      </c>
      <c r="BY67" s="561">
        <f t="shared" si="10"/>
        <v>0</v>
      </c>
      <c r="BZ67" s="674">
        <f t="shared" si="11"/>
        <v>1</v>
      </c>
      <c r="CA67" s="675">
        <f t="shared" si="12"/>
        <v>0</v>
      </c>
      <c r="CB67" s="675">
        <f t="shared" si="13"/>
        <v>0</v>
      </c>
    </row>
    <row r="68" spans="1:80" ht="82.5" hidden="1" customHeight="1" x14ac:dyDescent="0.25">
      <c r="A68" s="298" t="s">
        <v>173</v>
      </c>
      <c r="B68" s="299" t="str">
        <f>'PLAN INDICATIVO'!B67</f>
        <v>Cultura</v>
      </c>
      <c r="C68" s="1547"/>
      <c r="D68" s="1551"/>
      <c r="E68" s="1551"/>
      <c r="F68" s="1551"/>
      <c r="G68" s="1551"/>
      <c r="H68" s="1551"/>
      <c r="I68" s="332">
        <f>'PLAN INDICATIVO'!I67</f>
        <v>0</v>
      </c>
      <c r="J68" s="332">
        <f>'PLAN INDICATIVO'!J67</f>
        <v>0</v>
      </c>
      <c r="K68" s="1429" t="str">
        <f>'PLAN INDICATIVO'!K67</f>
        <v>A.5.1.17</v>
      </c>
      <c r="L68" s="1429" t="str">
        <f>'PLAN INDICATIVO'!L67</f>
        <v>11. Ciudades y comunidades sostenibles</v>
      </c>
      <c r="M68" s="1429" t="str">
        <f>'PLAN INDICATIVO'!M67</f>
        <v>Secretaría de Educación, Cultura, deporte y Turismo</v>
      </c>
      <c r="N68" s="1429" t="str">
        <f>'PLAN INDICATIVO'!N67</f>
        <v>YIMI FERNANDO LOSADA PAYA</v>
      </c>
      <c r="O68" s="1429" t="str">
        <f>'PLAN INDICATIVO'!O67</f>
        <v>Incremento</v>
      </c>
      <c r="P68" s="74" t="str">
        <f>'PLAN INDICATIVO'!P67</f>
        <v>Vincular 320 personas en el cuatrienio al programa musical de bandas, coros, música tradicional y de cuerda, con apoyo logístico y de personal</v>
      </c>
      <c r="Q68" s="333" t="str">
        <f>'PLAN INDICATIVO'!Q67</f>
        <v>No. De personas vinculadas en el cuatrienio</v>
      </c>
      <c r="R68" s="334">
        <f>'PLAN INDICATIVO'!R67</f>
        <v>2015</v>
      </c>
      <c r="S68" s="304">
        <v>50</v>
      </c>
      <c r="T68" s="677">
        <v>320</v>
      </c>
      <c r="U68" s="303">
        <v>80</v>
      </c>
      <c r="V68" s="687">
        <v>29000000</v>
      </c>
      <c r="W68" s="572">
        <v>80</v>
      </c>
      <c r="X68" s="687">
        <v>18000000</v>
      </c>
      <c r="Y68" s="572">
        <v>80</v>
      </c>
      <c r="Z68" s="687">
        <v>18000000</v>
      </c>
      <c r="AA68" s="572">
        <v>30</v>
      </c>
      <c r="AB68" s="687">
        <v>15000000</v>
      </c>
      <c r="AC68" s="665">
        <f>60+70</f>
        <v>130</v>
      </c>
      <c r="AD68" s="665">
        <v>80</v>
      </c>
      <c r="AE68" s="665"/>
      <c r="AF68" s="665"/>
      <c r="AG68" s="306" t="s">
        <v>3485</v>
      </c>
      <c r="AH68" s="306">
        <v>2017413960005</v>
      </c>
      <c r="AI68" s="307" t="s">
        <v>3506</v>
      </c>
      <c r="AJ68" s="309">
        <v>42767</v>
      </c>
      <c r="AK68" s="309">
        <v>43099</v>
      </c>
      <c r="AL68" s="308"/>
      <c r="AM68" s="308"/>
      <c r="AN68" s="267" t="s">
        <v>2598</v>
      </c>
      <c r="AO68" s="508" t="s">
        <v>3507</v>
      </c>
      <c r="AP68" s="525"/>
      <c r="AQ68" s="310">
        <v>29000000</v>
      </c>
      <c r="AR68" s="310"/>
      <c r="AS68" s="310"/>
      <c r="AT68" s="310"/>
      <c r="AU68" s="310"/>
      <c r="AV68" s="310"/>
      <c r="AW68" s="544">
        <f>AP68+AQ68+AR68+AS68+AT68+AU68+AV68</f>
        <v>29000000</v>
      </c>
      <c r="AX68" s="525"/>
      <c r="AY68" s="310"/>
      <c r="AZ68" s="310"/>
      <c r="BA68" s="310"/>
      <c r="BB68" s="310"/>
      <c r="BC68" s="310"/>
      <c r="BD68" s="310"/>
      <c r="BE68" s="544">
        <f t="shared" si="18"/>
        <v>0</v>
      </c>
      <c r="BF68" s="525"/>
      <c r="BG68" s="310"/>
      <c r="BH68" s="310"/>
      <c r="BI68" s="310"/>
      <c r="BJ68" s="310"/>
      <c r="BK68" s="310"/>
      <c r="BL68" s="310"/>
      <c r="BM68" s="544">
        <f t="shared" si="19"/>
        <v>0</v>
      </c>
      <c r="BN68" s="525"/>
      <c r="BO68" s="310"/>
      <c r="BP68" s="310"/>
      <c r="BQ68" s="310"/>
      <c r="BR68" s="310"/>
      <c r="BS68" s="310"/>
      <c r="BT68" s="310"/>
      <c r="BU68" s="544">
        <f t="shared" si="20"/>
        <v>0</v>
      </c>
      <c r="BV68" s="556"/>
      <c r="BW68" s="663">
        <f t="shared" si="8"/>
        <v>210</v>
      </c>
      <c r="BX68" s="674">
        <f t="shared" si="9"/>
        <v>0.65625</v>
      </c>
      <c r="BY68" s="835">
        <f t="shared" si="10"/>
        <v>1.625</v>
      </c>
      <c r="BZ68" s="674">
        <f t="shared" si="11"/>
        <v>1</v>
      </c>
      <c r="CA68" s="675">
        <f t="shared" si="12"/>
        <v>0</v>
      </c>
      <c r="CB68" s="675">
        <f t="shared" si="13"/>
        <v>0</v>
      </c>
    </row>
    <row r="69" spans="1:80" ht="71.25" hidden="1" customHeight="1" x14ac:dyDescent="0.25">
      <c r="A69" s="298" t="s">
        <v>173</v>
      </c>
      <c r="B69" s="299" t="str">
        <f>'PLAN INDICATIVO'!B68</f>
        <v>Cultura</v>
      </c>
      <c r="C69" s="1547"/>
      <c r="D69" s="1551"/>
      <c r="E69" s="1551"/>
      <c r="F69" s="1551"/>
      <c r="G69" s="1551"/>
      <c r="H69" s="1551"/>
      <c r="I69" s="332">
        <f>'PLAN INDICATIVO'!I68</f>
        <v>0</v>
      </c>
      <c r="J69" s="332">
        <f>'PLAN INDICATIVO'!J68</f>
        <v>0</v>
      </c>
      <c r="K69" s="1429" t="str">
        <f>'PLAN INDICATIVO'!K68</f>
        <v>A.5.1.18</v>
      </c>
      <c r="L69" s="1429" t="str">
        <f>'PLAN INDICATIVO'!L68</f>
        <v>11. Ciudades y comunidades sostenibles</v>
      </c>
      <c r="M69" s="1429" t="str">
        <f>'PLAN INDICATIVO'!M68</f>
        <v>Secretaría de Educación, Cultura, deporte y Turismo</v>
      </c>
      <c r="N69" s="1429" t="str">
        <f>'PLAN INDICATIVO'!N68</f>
        <v>YIMI FERNANDO LOSADA PAYA</v>
      </c>
      <c r="O69" s="1429" t="str">
        <f>'PLAN INDICATIVO'!O68</f>
        <v>Incremento</v>
      </c>
      <c r="P69" s="943" t="str">
        <f>'PLAN INDICATIVO'!P68</f>
        <v>Crear 1 Secretaria Municipal de Cultura, Deporte y Turismo durante el cuatrienio.</v>
      </c>
      <c r="Q69" s="333" t="str">
        <f>'PLAN INDICATIVO'!Q68</f>
        <v>No. De secretarias creadas en el cuatrienio</v>
      </c>
      <c r="R69" s="334">
        <f>'PLAN INDICATIVO'!R68</f>
        <v>2015</v>
      </c>
      <c r="S69" s="304">
        <v>0</v>
      </c>
      <c r="T69" s="677">
        <v>1</v>
      </c>
      <c r="U69" s="303">
        <v>0</v>
      </c>
      <c r="V69" s="687">
        <v>1000000</v>
      </c>
      <c r="W69" s="572">
        <v>0</v>
      </c>
      <c r="X69" s="687">
        <v>500000</v>
      </c>
      <c r="Y69" s="572">
        <v>0</v>
      </c>
      <c r="Z69" s="687">
        <v>500000</v>
      </c>
      <c r="AA69" s="66">
        <v>1</v>
      </c>
      <c r="AB69" s="687">
        <v>500000</v>
      </c>
      <c r="AC69" s="665">
        <v>0</v>
      </c>
      <c r="AD69" s="665"/>
      <c r="AE69" s="665"/>
      <c r="AF69" s="665"/>
      <c r="AG69" s="306" t="s">
        <v>3485</v>
      </c>
      <c r="AH69" s="306">
        <v>2017413960005</v>
      </c>
      <c r="AI69" s="307"/>
      <c r="AJ69" s="309">
        <v>42767</v>
      </c>
      <c r="AK69" s="309">
        <v>43099</v>
      </c>
      <c r="AL69" s="308"/>
      <c r="AM69" s="308"/>
      <c r="AN69" s="267" t="s">
        <v>2600</v>
      </c>
      <c r="AO69" s="508"/>
      <c r="AP69" s="525"/>
      <c r="AQ69" s="310"/>
      <c r="AR69" s="310"/>
      <c r="AS69" s="310"/>
      <c r="AT69" s="310"/>
      <c r="AU69" s="310"/>
      <c r="AV69" s="310"/>
      <c r="AW69" s="544"/>
      <c r="AX69" s="525"/>
      <c r="AY69" s="310"/>
      <c r="AZ69" s="310"/>
      <c r="BA69" s="310"/>
      <c r="BB69" s="310"/>
      <c r="BC69" s="310"/>
      <c r="BD69" s="310"/>
      <c r="BE69" s="544">
        <f t="shared" si="18"/>
        <v>0</v>
      </c>
      <c r="BF69" s="525"/>
      <c r="BG69" s="310"/>
      <c r="BH69" s="310"/>
      <c r="BI69" s="310"/>
      <c r="BJ69" s="310"/>
      <c r="BK69" s="310"/>
      <c r="BL69" s="310"/>
      <c r="BM69" s="544">
        <f t="shared" si="19"/>
        <v>0</v>
      </c>
      <c r="BN69" s="525"/>
      <c r="BO69" s="310"/>
      <c r="BP69" s="310"/>
      <c r="BQ69" s="310"/>
      <c r="BR69" s="310"/>
      <c r="BS69" s="310"/>
      <c r="BT69" s="310"/>
      <c r="BU69" s="544">
        <f t="shared" si="20"/>
        <v>0</v>
      </c>
      <c r="BV69" s="556"/>
      <c r="BW69" s="663">
        <f t="shared" si="8"/>
        <v>0</v>
      </c>
      <c r="BX69" s="674">
        <f t="shared" si="9"/>
        <v>0</v>
      </c>
      <c r="BY69" s="561" t="e">
        <f t="shared" si="10"/>
        <v>#DIV/0!</v>
      </c>
      <c r="BZ69" s="674" t="e">
        <f t="shared" si="11"/>
        <v>#DIV/0!</v>
      </c>
      <c r="CA69" s="675" t="e">
        <f t="shared" si="12"/>
        <v>#DIV/0!</v>
      </c>
      <c r="CB69" s="675">
        <f t="shared" si="13"/>
        <v>0</v>
      </c>
    </row>
    <row r="70" spans="1:80" ht="62.25" hidden="1" customHeight="1" x14ac:dyDescent="0.25">
      <c r="A70" s="298" t="s">
        <v>173</v>
      </c>
      <c r="B70" s="299" t="str">
        <f>'PLAN INDICATIVO'!B69</f>
        <v>Cultura</v>
      </c>
      <c r="C70" s="1547"/>
      <c r="D70" s="1551"/>
      <c r="E70" s="1551"/>
      <c r="F70" s="1551"/>
      <c r="G70" s="1551"/>
      <c r="H70" s="1551"/>
      <c r="I70" s="332">
        <f>'PLAN INDICATIVO'!I69</f>
        <v>0</v>
      </c>
      <c r="J70" s="332">
        <f>'PLAN INDICATIVO'!J69</f>
        <v>0</v>
      </c>
      <c r="K70" s="1429" t="str">
        <f>'PLAN INDICATIVO'!K69</f>
        <v>A.5.1.19</v>
      </c>
      <c r="L70" s="1429" t="str">
        <f>'PLAN INDICATIVO'!L69</f>
        <v>11. Ciudades y comunidades sostenibles</v>
      </c>
      <c r="M70" s="1429" t="str">
        <f>'PLAN INDICATIVO'!M69</f>
        <v>Secretaría de Educación, Cultura, deporte y Turismo</v>
      </c>
      <c r="N70" s="1429" t="str">
        <f>'PLAN INDICATIVO'!N69</f>
        <v>YIMI FERNANDO LOSADA PAYA</v>
      </c>
      <c r="O70" s="1429" t="str">
        <f>'PLAN INDICATIVO'!O69</f>
        <v>Incremento</v>
      </c>
      <c r="P70" s="74" t="str">
        <f>'PLAN INDICATIVO'!P69</f>
        <v>Apoyar 9  giras de intercambio cultural  a  grupos artísticos representativos del municipio, durante el cuatrienio</v>
      </c>
      <c r="Q70" s="333" t="str">
        <f>'PLAN INDICATIVO'!Q69</f>
        <v>No. de giras realizadas en el cuatrienio</v>
      </c>
      <c r="R70" s="334">
        <f>'PLAN INDICATIVO'!R69</f>
        <v>2015</v>
      </c>
      <c r="S70" s="304">
        <v>0</v>
      </c>
      <c r="T70" s="677">
        <v>9</v>
      </c>
      <c r="U70" s="303">
        <v>0</v>
      </c>
      <c r="V70" s="687">
        <v>10000000</v>
      </c>
      <c r="W70" s="572">
        <v>3</v>
      </c>
      <c r="X70" s="687">
        <v>500000</v>
      </c>
      <c r="Y70" s="572">
        <v>3</v>
      </c>
      <c r="Z70" s="687">
        <v>500000</v>
      </c>
      <c r="AA70" s="572">
        <v>3</v>
      </c>
      <c r="AB70" s="687">
        <v>500000</v>
      </c>
      <c r="AC70" s="665">
        <v>0</v>
      </c>
      <c r="AD70" s="665">
        <v>2</v>
      </c>
      <c r="AE70" s="665"/>
      <c r="AF70" s="665"/>
      <c r="AG70" s="306" t="s">
        <v>3485</v>
      </c>
      <c r="AH70" s="306">
        <v>2017413960005</v>
      </c>
      <c r="AI70" s="307" t="s">
        <v>3498</v>
      </c>
      <c r="AJ70" s="309">
        <v>42826</v>
      </c>
      <c r="AK70" s="309">
        <v>43099</v>
      </c>
      <c r="AL70" s="308"/>
      <c r="AM70" s="308"/>
      <c r="AN70" s="267" t="s">
        <v>2604</v>
      </c>
      <c r="AO70" s="508" t="s">
        <v>2627</v>
      </c>
      <c r="AP70" s="525"/>
      <c r="AQ70" s="310"/>
      <c r="AR70" s="310"/>
      <c r="AS70" s="310"/>
      <c r="AT70" s="310"/>
      <c r="AU70" s="310"/>
      <c r="AV70" s="310"/>
      <c r="AW70" s="544"/>
      <c r="AX70" s="525"/>
      <c r="AY70" s="310"/>
      <c r="AZ70" s="310"/>
      <c r="BA70" s="310"/>
      <c r="BB70" s="310"/>
      <c r="BC70" s="310"/>
      <c r="BD70" s="310"/>
      <c r="BE70" s="544">
        <f t="shared" si="18"/>
        <v>0</v>
      </c>
      <c r="BF70" s="525"/>
      <c r="BG70" s="310"/>
      <c r="BH70" s="310"/>
      <c r="BI70" s="310"/>
      <c r="BJ70" s="310"/>
      <c r="BK70" s="310"/>
      <c r="BL70" s="310"/>
      <c r="BM70" s="544">
        <f t="shared" si="19"/>
        <v>0</v>
      </c>
      <c r="BN70" s="525"/>
      <c r="BO70" s="310"/>
      <c r="BP70" s="310"/>
      <c r="BQ70" s="310"/>
      <c r="BR70" s="310"/>
      <c r="BS70" s="310"/>
      <c r="BT70" s="310"/>
      <c r="BU70" s="544">
        <f t="shared" si="20"/>
        <v>0</v>
      </c>
      <c r="BV70" s="556"/>
      <c r="BW70" s="663">
        <f t="shared" si="8"/>
        <v>2</v>
      </c>
      <c r="BX70" s="674">
        <f t="shared" si="9"/>
        <v>0.22222222222222221</v>
      </c>
      <c r="BY70" s="561" t="e">
        <f t="shared" si="10"/>
        <v>#DIV/0!</v>
      </c>
      <c r="BZ70" s="674">
        <f t="shared" si="11"/>
        <v>0.66666666666666663</v>
      </c>
      <c r="CA70" s="675">
        <f t="shared" si="12"/>
        <v>0</v>
      </c>
      <c r="CB70" s="675">
        <f t="shared" si="13"/>
        <v>0</v>
      </c>
    </row>
    <row r="71" spans="1:80" ht="72" hidden="1" customHeight="1" x14ac:dyDescent="0.25">
      <c r="A71" s="298" t="s">
        <v>173</v>
      </c>
      <c r="B71" s="299" t="str">
        <f>'PLAN INDICATIVO'!B70</f>
        <v>Cultura</v>
      </c>
      <c r="C71" s="1547"/>
      <c r="D71" s="1551"/>
      <c r="E71" s="1551"/>
      <c r="F71" s="1551"/>
      <c r="G71" s="1551"/>
      <c r="H71" s="1551"/>
      <c r="I71" s="332">
        <f>'PLAN INDICATIVO'!I70</f>
        <v>0</v>
      </c>
      <c r="J71" s="332">
        <f>'PLAN INDICATIVO'!J70</f>
        <v>0</v>
      </c>
      <c r="K71" s="1429" t="str">
        <f>'PLAN INDICATIVO'!K70</f>
        <v>A.5.1.20</v>
      </c>
      <c r="L71" s="1429" t="str">
        <f>'PLAN INDICATIVO'!L70</f>
        <v>11. Ciudades y comunidades sostenibles</v>
      </c>
      <c r="M71" s="1429" t="str">
        <f>'PLAN INDICATIVO'!M70</f>
        <v>Secretaría de Educación, Cultura, deporte y Turismo</v>
      </c>
      <c r="N71" s="1429" t="str">
        <f>'PLAN INDICATIVO'!N70</f>
        <v>YIMI FERNANDO LOSADA PAYA</v>
      </c>
      <c r="O71" s="1429" t="str">
        <f>'PLAN INDICATIVO'!O70</f>
        <v>Mantenimiento</v>
      </c>
      <c r="P71" s="74" t="str">
        <f>'PLAN INDICATIVO'!P70</f>
        <v>Generar 1  Espacio  anual de intercambio y formación  para  visibilización de  las manifestaciones artísticas y culturales de los diferentes grupos étnicos  acentuados en el municipio.</v>
      </c>
      <c r="Q71" s="333" t="str">
        <f>'PLAN INDICATIVO'!Q70</f>
        <v>No. de actividades realizadas cada año</v>
      </c>
      <c r="R71" s="334">
        <f>'PLAN INDICATIVO'!R70</f>
        <v>2015</v>
      </c>
      <c r="S71" s="304">
        <v>0</v>
      </c>
      <c r="T71" s="677">
        <v>4</v>
      </c>
      <c r="U71" s="303">
        <v>1</v>
      </c>
      <c r="V71" s="687">
        <v>9000000</v>
      </c>
      <c r="W71" s="572">
        <v>1</v>
      </c>
      <c r="X71" s="687">
        <v>10000000</v>
      </c>
      <c r="Y71" s="572">
        <v>1</v>
      </c>
      <c r="Z71" s="687">
        <v>10000000</v>
      </c>
      <c r="AA71" s="572">
        <v>1</v>
      </c>
      <c r="AB71" s="687">
        <v>10000000</v>
      </c>
      <c r="AC71" s="665">
        <v>1</v>
      </c>
      <c r="AD71" s="665">
        <v>1</v>
      </c>
      <c r="AE71" s="665"/>
      <c r="AF71" s="665"/>
      <c r="AG71" s="306" t="s">
        <v>3485</v>
      </c>
      <c r="AH71" s="306">
        <v>2017413960005</v>
      </c>
      <c r="AI71" s="307" t="s">
        <v>3508</v>
      </c>
      <c r="AJ71" s="309">
        <v>42887</v>
      </c>
      <c r="AK71" s="309">
        <v>43099</v>
      </c>
      <c r="AL71" s="308"/>
      <c r="AM71" s="308"/>
      <c r="AN71" s="267" t="s">
        <v>2598</v>
      </c>
      <c r="AO71" s="508" t="s">
        <v>2627</v>
      </c>
      <c r="AP71" s="525"/>
      <c r="AQ71" s="310"/>
      <c r="AR71" s="310"/>
      <c r="AS71" s="310"/>
      <c r="AT71" s="310"/>
      <c r="AU71" s="310"/>
      <c r="AV71" s="310"/>
      <c r="AW71" s="544"/>
      <c r="AX71" s="525"/>
      <c r="AY71" s="310"/>
      <c r="AZ71" s="310"/>
      <c r="BA71" s="310"/>
      <c r="BB71" s="310"/>
      <c r="BC71" s="310"/>
      <c r="BD71" s="310"/>
      <c r="BE71" s="544">
        <f t="shared" si="18"/>
        <v>0</v>
      </c>
      <c r="BF71" s="525"/>
      <c r="BG71" s="310"/>
      <c r="BH71" s="310"/>
      <c r="BI71" s="310"/>
      <c r="BJ71" s="310"/>
      <c r="BK71" s="310"/>
      <c r="BL71" s="310"/>
      <c r="BM71" s="544">
        <f t="shared" si="19"/>
        <v>0</v>
      </c>
      <c r="BN71" s="525"/>
      <c r="BO71" s="310"/>
      <c r="BP71" s="310"/>
      <c r="BQ71" s="310"/>
      <c r="BR71" s="310"/>
      <c r="BS71" s="310"/>
      <c r="BT71" s="310"/>
      <c r="BU71" s="544">
        <f t="shared" si="20"/>
        <v>0</v>
      </c>
      <c r="BV71" s="556"/>
      <c r="BW71" s="663">
        <f t="shared" si="8"/>
        <v>2</v>
      </c>
      <c r="BX71" s="674">
        <f t="shared" si="9"/>
        <v>0.5</v>
      </c>
      <c r="BY71" s="561">
        <f t="shared" si="10"/>
        <v>1</v>
      </c>
      <c r="BZ71" s="674">
        <f t="shared" si="11"/>
        <v>1</v>
      </c>
      <c r="CA71" s="675">
        <f t="shared" si="12"/>
        <v>0</v>
      </c>
      <c r="CB71" s="675">
        <f t="shared" si="13"/>
        <v>0</v>
      </c>
    </row>
    <row r="72" spans="1:80" ht="66.75" hidden="1" customHeight="1" x14ac:dyDescent="0.25">
      <c r="A72" s="298" t="s">
        <v>173</v>
      </c>
      <c r="B72" s="299" t="str">
        <f>'PLAN INDICATIVO'!B71</f>
        <v>Cultura</v>
      </c>
      <c r="C72" s="1547"/>
      <c r="D72" s="1551"/>
      <c r="E72" s="1551"/>
      <c r="F72" s="1551"/>
      <c r="G72" s="1551"/>
      <c r="H72" s="1551"/>
      <c r="I72" s="332">
        <f>'PLAN INDICATIVO'!I71</f>
        <v>0</v>
      </c>
      <c r="J72" s="332">
        <f>'PLAN INDICATIVO'!J71</f>
        <v>0</v>
      </c>
      <c r="K72" s="1429" t="str">
        <f>'PLAN INDICATIVO'!K71</f>
        <v>A.5.1.21</v>
      </c>
      <c r="L72" s="1429" t="str">
        <f>'PLAN INDICATIVO'!L71</f>
        <v>11. Ciudades y comunidades sostenibles</v>
      </c>
      <c r="M72" s="1429" t="str">
        <f>'PLAN INDICATIVO'!M71</f>
        <v>Secretaría de Educación, Cultura, deporte y Turismo</v>
      </c>
      <c r="N72" s="1429" t="str">
        <f>'PLAN INDICATIVO'!N71</f>
        <v>YIMI FERNANDO LOSADA PAYA</v>
      </c>
      <c r="O72" s="1429" t="str">
        <f>'PLAN INDICATIVO'!O71</f>
        <v>Mantenimiento</v>
      </c>
      <c r="P72" s="74" t="str">
        <f>'PLAN INDICATIVO'!P71</f>
        <v>Desarrollar 1 plan de apoyo a gestores culturales para el fomento de la cultura local cada año</v>
      </c>
      <c r="Q72" s="333" t="str">
        <f>'PLAN INDICATIVO'!Q71</f>
        <v>No. De planes desarrollados cada año</v>
      </c>
      <c r="R72" s="334">
        <f>'PLAN INDICATIVO'!R71</f>
        <v>2015</v>
      </c>
      <c r="S72" s="304">
        <v>1</v>
      </c>
      <c r="T72" s="677">
        <v>4</v>
      </c>
      <c r="U72" s="303">
        <v>1</v>
      </c>
      <c r="V72" s="687">
        <v>7000000</v>
      </c>
      <c r="W72" s="572">
        <v>1</v>
      </c>
      <c r="X72" s="687">
        <v>7000000</v>
      </c>
      <c r="Y72" s="572">
        <v>1</v>
      </c>
      <c r="Z72" s="687">
        <v>7000000</v>
      </c>
      <c r="AA72" s="572">
        <v>1</v>
      </c>
      <c r="AB72" s="687">
        <v>9000000</v>
      </c>
      <c r="AC72" s="665">
        <v>1</v>
      </c>
      <c r="AD72" s="904">
        <v>1</v>
      </c>
      <c r="AE72" s="665"/>
      <c r="AF72" s="665"/>
      <c r="AG72" s="306" t="s">
        <v>3485</v>
      </c>
      <c r="AH72" s="306">
        <v>2017413960005</v>
      </c>
      <c r="AI72" s="307" t="s">
        <v>3509</v>
      </c>
      <c r="AJ72" s="309">
        <v>42767</v>
      </c>
      <c r="AK72" s="309">
        <v>43099</v>
      </c>
      <c r="AL72" s="308"/>
      <c r="AM72" s="308"/>
      <c r="AN72" s="267" t="s">
        <v>2598</v>
      </c>
      <c r="AO72" s="508"/>
      <c r="AP72" s="525"/>
      <c r="AQ72" s="310"/>
      <c r="AR72" s="310"/>
      <c r="AS72" s="310"/>
      <c r="AT72" s="310"/>
      <c r="AU72" s="310"/>
      <c r="AV72" s="310"/>
      <c r="AW72" s="544"/>
      <c r="AX72" s="525"/>
      <c r="AY72" s="310"/>
      <c r="AZ72" s="310"/>
      <c r="BA72" s="310"/>
      <c r="BB72" s="310"/>
      <c r="BC72" s="310"/>
      <c r="BD72" s="310"/>
      <c r="BE72" s="544">
        <f t="shared" si="18"/>
        <v>0</v>
      </c>
      <c r="BF72" s="525"/>
      <c r="BG72" s="310"/>
      <c r="BH72" s="310"/>
      <c r="BI72" s="310"/>
      <c r="BJ72" s="310"/>
      <c r="BK72" s="310"/>
      <c r="BL72" s="310"/>
      <c r="BM72" s="544">
        <f t="shared" si="19"/>
        <v>0</v>
      </c>
      <c r="BN72" s="525"/>
      <c r="BO72" s="310"/>
      <c r="BP72" s="310"/>
      <c r="BQ72" s="310"/>
      <c r="BR72" s="310"/>
      <c r="BS72" s="310"/>
      <c r="BT72" s="310"/>
      <c r="BU72" s="544">
        <f t="shared" si="20"/>
        <v>0</v>
      </c>
      <c r="BV72" s="556"/>
      <c r="BW72" s="663">
        <f t="shared" si="8"/>
        <v>2</v>
      </c>
      <c r="BX72" s="674">
        <f t="shared" si="9"/>
        <v>0.5</v>
      </c>
      <c r="BY72" s="835">
        <f t="shared" si="10"/>
        <v>1</v>
      </c>
      <c r="BZ72" s="674">
        <f t="shared" si="11"/>
        <v>1</v>
      </c>
      <c r="CA72" s="675">
        <f t="shared" si="12"/>
        <v>0</v>
      </c>
      <c r="CB72" s="675">
        <f t="shared" si="13"/>
        <v>0</v>
      </c>
    </row>
    <row r="73" spans="1:80" ht="65.25" hidden="1" customHeight="1" x14ac:dyDescent="0.25">
      <c r="A73" s="298" t="s">
        <v>173</v>
      </c>
      <c r="B73" s="299" t="str">
        <f>'PLAN INDICATIVO'!B72</f>
        <v>Cultura</v>
      </c>
      <c r="C73" s="1547"/>
      <c r="D73" s="1551"/>
      <c r="E73" s="1551"/>
      <c r="F73" s="1551"/>
      <c r="G73" s="1551"/>
      <c r="H73" s="1551"/>
      <c r="I73" s="332">
        <f>'PLAN INDICATIVO'!I72</f>
        <v>0</v>
      </c>
      <c r="J73" s="332">
        <f>'PLAN INDICATIVO'!J72</f>
        <v>0</v>
      </c>
      <c r="K73" s="1429" t="str">
        <f>'PLAN INDICATIVO'!K72</f>
        <v>A.5.1.22</v>
      </c>
      <c r="L73" s="1429" t="str">
        <f>'PLAN INDICATIVO'!L72</f>
        <v>11. Ciudades y comunidades sostenibles</v>
      </c>
      <c r="M73" s="1429" t="str">
        <f>'PLAN INDICATIVO'!M72</f>
        <v>Secretaría de Educación, Cultura, deporte y Turismo</v>
      </c>
      <c r="N73" s="1429" t="str">
        <f>'PLAN INDICATIVO'!N72</f>
        <v>YIMI FERNANDO LOSADA PAYA</v>
      </c>
      <c r="O73" s="1429" t="str">
        <f>'PLAN INDICATIVO'!O72</f>
        <v>Incremento</v>
      </c>
      <c r="P73" s="74" t="str">
        <f>'PLAN INDICATIVO'!P72</f>
        <v>Crear a través de un (1) acuerdo municipal, la institucionalización de las festividades del 6 de enero en el Centro Poblado Belen</v>
      </c>
      <c r="Q73" s="333" t="str">
        <f>'PLAN INDICATIVO'!Q72</f>
        <v>No. De acuerdos municipales creados</v>
      </c>
      <c r="R73" s="334">
        <f>'PLAN INDICATIVO'!R72</f>
        <v>2015</v>
      </c>
      <c r="S73" s="304">
        <v>0</v>
      </c>
      <c r="T73" s="677">
        <v>1</v>
      </c>
      <c r="U73" s="303">
        <v>0</v>
      </c>
      <c r="V73" s="687">
        <v>1000000</v>
      </c>
      <c r="W73" s="572">
        <v>1</v>
      </c>
      <c r="X73" s="687">
        <v>500000</v>
      </c>
      <c r="Y73" s="572">
        <v>1</v>
      </c>
      <c r="Z73" s="687">
        <v>500000</v>
      </c>
      <c r="AA73" s="572">
        <v>1</v>
      </c>
      <c r="AB73" s="687">
        <v>500000</v>
      </c>
      <c r="AC73" s="665">
        <v>0</v>
      </c>
      <c r="AD73" s="665">
        <v>1</v>
      </c>
      <c r="AE73" s="665"/>
      <c r="AF73" s="665"/>
      <c r="AG73" s="306" t="s">
        <v>3485</v>
      </c>
      <c r="AH73" s="306">
        <v>2017413960005</v>
      </c>
      <c r="AI73" s="307" t="s">
        <v>3510</v>
      </c>
      <c r="AJ73" s="309">
        <v>42767</v>
      </c>
      <c r="AK73" s="309">
        <v>43099</v>
      </c>
      <c r="AL73" s="308"/>
      <c r="AM73" s="308"/>
      <c r="AN73" s="267" t="s">
        <v>2598</v>
      </c>
      <c r="AO73" s="508" t="s">
        <v>2627</v>
      </c>
      <c r="AP73" s="525"/>
      <c r="AQ73" s="310"/>
      <c r="AR73" s="310"/>
      <c r="AS73" s="310"/>
      <c r="AT73" s="310"/>
      <c r="AU73" s="310"/>
      <c r="AV73" s="310"/>
      <c r="AW73" s="544"/>
      <c r="AX73" s="525"/>
      <c r="AY73" s="310"/>
      <c r="AZ73" s="310"/>
      <c r="BA73" s="310"/>
      <c r="BB73" s="310"/>
      <c r="BC73" s="310"/>
      <c r="BD73" s="310"/>
      <c r="BE73" s="544">
        <f t="shared" si="18"/>
        <v>0</v>
      </c>
      <c r="BF73" s="525"/>
      <c r="BG73" s="310"/>
      <c r="BH73" s="310"/>
      <c r="BI73" s="310"/>
      <c r="BJ73" s="310"/>
      <c r="BK73" s="310"/>
      <c r="BL73" s="310"/>
      <c r="BM73" s="544">
        <f t="shared" si="19"/>
        <v>0</v>
      </c>
      <c r="BN73" s="525"/>
      <c r="BO73" s="310"/>
      <c r="BP73" s="310"/>
      <c r="BQ73" s="310"/>
      <c r="BR73" s="310"/>
      <c r="BS73" s="310"/>
      <c r="BT73" s="310"/>
      <c r="BU73" s="544">
        <f t="shared" si="20"/>
        <v>0</v>
      </c>
      <c r="BV73" s="556"/>
      <c r="BW73" s="663">
        <f t="shared" si="8"/>
        <v>1</v>
      </c>
      <c r="BX73" s="674">
        <f t="shared" si="9"/>
        <v>1</v>
      </c>
      <c r="BY73" s="561" t="e">
        <f t="shared" si="10"/>
        <v>#DIV/0!</v>
      </c>
      <c r="BZ73" s="674">
        <f t="shared" si="11"/>
        <v>1</v>
      </c>
      <c r="CA73" s="675">
        <f t="shared" si="12"/>
        <v>0</v>
      </c>
      <c r="CB73" s="675">
        <f t="shared" si="13"/>
        <v>0</v>
      </c>
    </row>
    <row r="74" spans="1:80" ht="78" hidden="1" customHeight="1" x14ac:dyDescent="0.25">
      <c r="A74" s="298" t="s">
        <v>173</v>
      </c>
      <c r="B74" s="299" t="str">
        <f>'PLAN INDICATIVO'!B73</f>
        <v>Cultura</v>
      </c>
      <c r="C74" s="1547"/>
      <c r="D74" s="1551"/>
      <c r="E74" s="1551"/>
      <c r="F74" s="1551"/>
      <c r="G74" s="1551"/>
      <c r="H74" s="1551"/>
      <c r="I74" s="332">
        <f>'PLAN INDICATIVO'!I73</f>
        <v>0</v>
      </c>
      <c r="J74" s="332">
        <f>'PLAN INDICATIVO'!J73</f>
        <v>0</v>
      </c>
      <c r="K74" s="1429" t="str">
        <f>'PLAN INDICATIVO'!K73</f>
        <v>A.5.1.23</v>
      </c>
      <c r="L74" s="1429" t="str">
        <f>'PLAN INDICATIVO'!L73</f>
        <v>11. Ciudades y comunidades sostenibles</v>
      </c>
      <c r="M74" s="1429" t="str">
        <f>'PLAN INDICATIVO'!M73</f>
        <v>Secretaría de Educación, Cultura, deporte y Turismo</v>
      </c>
      <c r="N74" s="1429" t="str">
        <f>'PLAN INDICATIVO'!N73</f>
        <v>YIMI FERNANDO LOSADA PAYA</v>
      </c>
      <c r="O74" s="1429" t="str">
        <f>'PLAN INDICATIVO'!O73</f>
        <v>Mantenimiento</v>
      </c>
      <c r="P74" s="74" t="str">
        <f>'PLAN INDICATIVO'!P73</f>
        <v>Ejecutar 1 convenio anualmente de apoyo a programas de difusión periodística y promoción  cultural en medios de comunicación.</v>
      </c>
      <c r="Q74" s="333" t="str">
        <f>'PLAN INDICATIVO'!Q73</f>
        <v>No. De convenios ejecutados cada año</v>
      </c>
      <c r="R74" s="334">
        <f>'PLAN INDICATIVO'!R73</f>
        <v>2015</v>
      </c>
      <c r="S74" s="304">
        <v>0</v>
      </c>
      <c r="T74" s="677">
        <v>4</v>
      </c>
      <c r="U74" s="303">
        <v>1</v>
      </c>
      <c r="V74" s="687">
        <v>1000000</v>
      </c>
      <c r="W74" s="572">
        <v>1</v>
      </c>
      <c r="X74" s="687">
        <v>5000000</v>
      </c>
      <c r="Y74" s="572">
        <v>1</v>
      </c>
      <c r="Z74" s="687">
        <v>5000000</v>
      </c>
      <c r="AA74" s="572">
        <v>1</v>
      </c>
      <c r="AB74" s="687">
        <v>5000000</v>
      </c>
      <c r="AC74" s="665">
        <v>1</v>
      </c>
      <c r="AD74" s="904">
        <v>1</v>
      </c>
      <c r="AE74" s="665"/>
      <c r="AF74" s="665"/>
      <c r="AG74" s="306" t="s">
        <v>3485</v>
      </c>
      <c r="AH74" s="306">
        <v>2017413960005</v>
      </c>
      <c r="AI74" s="307" t="s">
        <v>3511</v>
      </c>
      <c r="AJ74" s="309">
        <v>42887</v>
      </c>
      <c r="AK74" s="309">
        <v>43099</v>
      </c>
      <c r="AL74" s="308"/>
      <c r="AM74" s="308"/>
      <c r="AN74" s="267" t="s">
        <v>2598</v>
      </c>
      <c r="AO74" s="508"/>
      <c r="AP74" s="525"/>
      <c r="AQ74" s="310"/>
      <c r="AR74" s="310"/>
      <c r="AS74" s="310"/>
      <c r="AT74" s="310"/>
      <c r="AU74" s="310"/>
      <c r="AV74" s="310"/>
      <c r="AW74" s="544"/>
      <c r="AX74" s="525"/>
      <c r="AY74" s="310"/>
      <c r="AZ74" s="310"/>
      <c r="BA74" s="310"/>
      <c r="BB74" s="310"/>
      <c r="BC74" s="310"/>
      <c r="BD74" s="310"/>
      <c r="BE74" s="544">
        <f t="shared" si="18"/>
        <v>0</v>
      </c>
      <c r="BF74" s="525"/>
      <c r="BG74" s="310"/>
      <c r="BH74" s="310"/>
      <c r="BI74" s="310"/>
      <c r="BJ74" s="310"/>
      <c r="BK74" s="310"/>
      <c r="BL74" s="310"/>
      <c r="BM74" s="544">
        <f t="shared" si="19"/>
        <v>0</v>
      </c>
      <c r="BN74" s="525"/>
      <c r="BO74" s="310"/>
      <c r="BP74" s="310"/>
      <c r="BQ74" s="310"/>
      <c r="BR74" s="310"/>
      <c r="BS74" s="310"/>
      <c r="BT74" s="310"/>
      <c r="BU74" s="544">
        <f t="shared" si="20"/>
        <v>0</v>
      </c>
      <c r="BV74" s="556"/>
      <c r="BW74" s="663">
        <f t="shared" ref="BW74:BW137" si="31">AC74+AD74+AE74+AF74</f>
        <v>2</v>
      </c>
      <c r="BX74" s="674">
        <f t="shared" ref="BX74:BX137" si="32">BW74/T74</f>
        <v>0.5</v>
      </c>
      <c r="BY74" s="561">
        <f t="shared" ref="BY74:BY137" si="33">AC74/U74</f>
        <v>1</v>
      </c>
      <c r="BZ74" s="674">
        <f t="shared" ref="BZ74:BZ137" si="34">AD74/W74</f>
        <v>1</v>
      </c>
      <c r="CA74" s="675">
        <f t="shared" ref="CA74:CA137" si="35">AE74/Y74</f>
        <v>0</v>
      </c>
      <c r="CB74" s="675">
        <f t="shared" ref="CB74:CB137" si="36">AF74/AA74</f>
        <v>0</v>
      </c>
    </row>
    <row r="75" spans="1:80" ht="12" hidden="1" customHeight="1" x14ac:dyDescent="0.25">
      <c r="A75" s="295" t="s">
        <v>173</v>
      </c>
      <c r="B75" s="24" t="str">
        <f>'PLAN INDICATIVO'!B74</f>
        <v>Cultura</v>
      </c>
      <c r="C75" s="1624" t="s">
        <v>249</v>
      </c>
      <c r="D75" s="1625"/>
      <c r="E75" s="1625"/>
      <c r="F75" s="1625"/>
      <c r="G75" s="1625"/>
      <c r="H75" s="1625"/>
      <c r="I75" s="1625"/>
      <c r="J75" s="1625"/>
      <c r="K75" s="1625"/>
      <c r="L75" s="1625"/>
      <c r="M75" s="1625"/>
      <c r="N75" s="1625"/>
      <c r="O75" s="1626"/>
      <c r="P75" s="25"/>
      <c r="Q75" s="25"/>
      <c r="R75" s="17"/>
      <c r="S75" s="270"/>
      <c r="T75" s="677"/>
      <c r="U75" s="270"/>
      <c r="V75" s="713">
        <f>SUM(V76:V84)</f>
        <v>48000000</v>
      </c>
      <c r="W75" s="270"/>
      <c r="X75" s="705">
        <f>SUM(X76:X84)</f>
        <v>20000000</v>
      </c>
      <c r="Y75" s="270"/>
      <c r="Z75" s="705">
        <f>SUM(Z76:Z84)</f>
        <v>26000000</v>
      </c>
      <c r="AA75" s="271"/>
      <c r="AB75" s="714">
        <f>SUM(AB76:AB84)</f>
        <v>30000000</v>
      </c>
      <c r="AC75" s="271"/>
      <c r="AD75" s="271"/>
      <c r="AE75" s="271"/>
      <c r="AF75" s="271"/>
      <c r="AG75" s="272"/>
      <c r="AH75" s="272"/>
      <c r="AI75" s="272"/>
      <c r="AJ75" s="271"/>
      <c r="AK75" s="271"/>
      <c r="AL75" s="271"/>
      <c r="AM75" s="271"/>
      <c r="AN75" s="271"/>
      <c r="AO75" s="618"/>
      <c r="AP75" s="619">
        <f>SUM(AP76:AP84)</f>
        <v>12873000</v>
      </c>
      <c r="AQ75" s="619">
        <f t="shared" ref="AQ75:AV75" si="37">SUM(AQ76:AQ84)</f>
        <v>0</v>
      </c>
      <c r="AR75" s="619">
        <f t="shared" si="37"/>
        <v>0</v>
      </c>
      <c r="AS75" s="619">
        <f t="shared" si="37"/>
        <v>0</v>
      </c>
      <c r="AT75" s="619">
        <f t="shared" si="37"/>
        <v>0</v>
      </c>
      <c r="AU75" s="619">
        <f t="shared" si="37"/>
        <v>0</v>
      </c>
      <c r="AV75" s="619">
        <f t="shared" si="37"/>
        <v>0</v>
      </c>
      <c r="AW75" s="619">
        <f>SUM(AW76:AW84)</f>
        <v>7766000</v>
      </c>
      <c r="AX75" s="619" t="e">
        <f>(AX76:AX84)</f>
        <v>#VALUE!</v>
      </c>
      <c r="AY75" s="619" t="e">
        <f t="shared" ref="AY75:BD75" si="38">(AY76:AY84)</f>
        <v>#VALUE!</v>
      </c>
      <c r="AZ75" s="619" t="e">
        <f t="shared" si="38"/>
        <v>#VALUE!</v>
      </c>
      <c r="BA75" s="619" t="e">
        <f t="shared" si="38"/>
        <v>#VALUE!</v>
      </c>
      <c r="BB75" s="619" t="e">
        <f t="shared" si="38"/>
        <v>#VALUE!</v>
      </c>
      <c r="BC75" s="619" t="e">
        <f t="shared" si="38"/>
        <v>#VALUE!</v>
      </c>
      <c r="BD75" s="619" t="e">
        <f t="shared" si="38"/>
        <v>#VALUE!</v>
      </c>
      <c r="BE75" s="617" t="e">
        <f t="shared" si="18"/>
        <v>#VALUE!</v>
      </c>
      <c r="BF75" s="619" t="e">
        <f>(BF76:BF84)</f>
        <v>#VALUE!</v>
      </c>
      <c r="BG75" s="619" t="e">
        <f t="shared" ref="BG75:BL75" si="39">(BG76:BG84)</f>
        <v>#VALUE!</v>
      </c>
      <c r="BH75" s="619" t="e">
        <f t="shared" si="39"/>
        <v>#VALUE!</v>
      </c>
      <c r="BI75" s="619" t="e">
        <f t="shared" si="39"/>
        <v>#VALUE!</v>
      </c>
      <c r="BJ75" s="619" t="e">
        <f t="shared" si="39"/>
        <v>#VALUE!</v>
      </c>
      <c r="BK75" s="619" t="e">
        <f t="shared" si="39"/>
        <v>#VALUE!</v>
      </c>
      <c r="BL75" s="619" t="e">
        <f t="shared" si="39"/>
        <v>#VALUE!</v>
      </c>
      <c r="BM75" s="617" t="e">
        <f t="shared" si="19"/>
        <v>#VALUE!</v>
      </c>
      <c r="BN75" s="619" t="e">
        <f>(BN76:BN84)</f>
        <v>#VALUE!</v>
      </c>
      <c r="BO75" s="619" t="e">
        <f t="shared" ref="BO75:BT75" si="40">(BO76:BO84)</f>
        <v>#VALUE!</v>
      </c>
      <c r="BP75" s="619" t="e">
        <f t="shared" si="40"/>
        <v>#VALUE!</v>
      </c>
      <c r="BQ75" s="619" t="e">
        <f t="shared" si="40"/>
        <v>#VALUE!</v>
      </c>
      <c r="BR75" s="619" t="e">
        <f t="shared" si="40"/>
        <v>#VALUE!</v>
      </c>
      <c r="BS75" s="619" t="e">
        <f t="shared" si="40"/>
        <v>#VALUE!</v>
      </c>
      <c r="BT75" s="619" t="e">
        <f t="shared" si="40"/>
        <v>#VALUE!</v>
      </c>
      <c r="BU75" s="617" t="e">
        <f t="shared" si="20"/>
        <v>#VALUE!</v>
      </c>
      <c r="BV75" s="556"/>
      <c r="BW75" s="663">
        <f t="shared" si="31"/>
        <v>0</v>
      </c>
      <c r="BX75" s="674" t="e">
        <f t="shared" si="32"/>
        <v>#DIV/0!</v>
      </c>
      <c r="BY75" s="613" t="e">
        <f t="shared" si="33"/>
        <v>#DIV/0!</v>
      </c>
      <c r="BZ75" s="674" t="e">
        <f t="shared" si="34"/>
        <v>#DIV/0!</v>
      </c>
      <c r="CA75" s="675" t="e">
        <f t="shared" si="35"/>
        <v>#DIV/0!</v>
      </c>
      <c r="CB75" s="675" t="e">
        <f t="shared" si="36"/>
        <v>#DIV/0!</v>
      </c>
    </row>
    <row r="76" spans="1:80" ht="76.5" hidden="1" customHeight="1" x14ac:dyDescent="0.25">
      <c r="A76" s="298" t="s">
        <v>173</v>
      </c>
      <c r="B76" s="299" t="str">
        <f>'PLAN INDICATIVO'!B75</f>
        <v>Cultura</v>
      </c>
      <c r="C76" s="1546" t="s">
        <v>250</v>
      </c>
      <c r="D76" s="1549" t="s">
        <v>251</v>
      </c>
      <c r="E76" s="1549" t="s">
        <v>252</v>
      </c>
      <c r="F76" s="1549">
        <v>2015</v>
      </c>
      <c r="G76" s="1549">
        <v>5589</v>
      </c>
      <c r="H76" s="1549">
        <v>7000</v>
      </c>
      <c r="I76" s="332">
        <f>'PLAN INDICATIVO'!I75</f>
        <v>0</v>
      </c>
      <c r="J76" s="332">
        <f>'PLAN INDICATIVO'!J75</f>
        <v>0</v>
      </c>
      <c r="K76" s="1429" t="str">
        <f>'PLAN INDICATIVO'!K75</f>
        <v>A.5.2.1</v>
      </c>
      <c r="L76" s="1429" t="str">
        <f>'PLAN INDICATIVO'!L75</f>
        <v>11. Ciudades y comunidades sostenibles</v>
      </c>
      <c r="M76" s="1429" t="str">
        <f>'PLAN INDICATIVO'!M75</f>
        <v>Secretaría de Educación, Cultura, deporte y Turismo</v>
      </c>
      <c r="N76" s="1429" t="str">
        <f>'PLAN INDICATIVO'!N75</f>
        <v>YIMI FERNANDO LOSADA PAYA</v>
      </c>
      <c r="O76" s="1429" t="str">
        <f>'PLAN INDICATIVO'!O75</f>
        <v>Incremento</v>
      </c>
      <c r="P76" s="74" t="str">
        <f>'PLAN INDICATIVO'!P75</f>
        <v>Capacitar a 400 personasen la biblioteca Simon Bolivar, manejo de las TIC´S y manejo del SIABUT, en el cuatrienio.</v>
      </c>
      <c r="Q76" s="333" t="str">
        <f>'PLAN INDICATIVO'!Q75</f>
        <v>No. De personas capacitadas en el cuatrienio</v>
      </c>
      <c r="R76" s="334">
        <f>'PLAN INDICATIVO'!R75</f>
        <v>2015</v>
      </c>
      <c r="S76" s="304" t="s">
        <v>177</v>
      </c>
      <c r="T76" s="677">
        <v>400</v>
      </c>
      <c r="U76" s="304">
        <v>100</v>
      </c>
      <c r="V76" s="687">
        <v>1000000</v>
      </c>
      <c r="W76" s="304">
        <v>100</v>
      </c>
      <c r="X76" s="687">
        <v>1000000</v>
      </c>
      <c r="Y76" s="304">
        <v>100</v>
      </c>
      <c r="Z76" s="687">
        <v>2000000</v>
      </c>
      <c r="AA76" s="305">
        <v>100</v>
      </c>
      <c r="AB76" s="687">
        <v>2000000</v>
      </c>
      <c r="AC76" s="665">
        <v>100</v>
      </c>
      <c r="AD76" s="665">
        <v>100</v>
      </c>
      <c r="AE76" s="665"/>
      <c r="AF76" s="665"/>
      <c r="AG76" s="306" t="s">
        <v>3485</v>
      </c>
      <c r="AH76" s="306">
        <v>2017413960005</v>
      </c>
      <c r="AI76" s="307"/>
      <c r="AJ76" s="906">
        <v>42887</v>
      </c>
      <c r="AK76" s="309">
        <v>43099</v>
      </c>
      <c r="AL76" s="308"/>
      <c r="AM76" s="308"/>
      <c r="AN76" s="267" t="s">
        <v>2598</v>
      </c>
      <c r="AO76" s="508" t="s">
        <v>3512</v>
      </c>
      <c r="AP76" s="525">
        <v>1968000</v>
      </c>
      <c r="AQ76" s="310"/>
      <c r="AR76" s="310"/>
      <c r="AS76" s="310"/>
      <c r="AT76" s="310"/>
      <c r="AU76" s="310"/>
      <c r="AV76" s="310"/>
      <c r="AW76" s="544"/>
      <c r="AX76" s="525"/>
      <c r="AY76" s="310"/>
      <c r="AZ76" s="310"/>
      <c r="BA76" s="310"/>
      <c r="BB76" s="310"/>
      <c r="BC76" s="310"/>
      <c r="BD76" s="310"/>
      <c r="BE76" s="544">
        <f t="shared" si="18"/>
        <v>0</v>
      </c>
      <c r="BF76" s="525"/>
      <c r="BG76" s="310"/>
      <c r="BH76" s="310"/>
      <c r="BI76" s="310"/>
      <c r="BJ76" s="310"/>
      <c r="BK76" s="310"/>
      <c r="BL76" s="310"/>
      <c r="BM76" s="544">
        <f t="shared" si="19"/>
        <v>0</v>
      </c>
      <c r="BN76" s="525"/>
      <c r="BO76" s="310"/>
      <c r="BP76" s="310"/>
      <c r="BQ76" s="310"/>
      <c r="BR76" s="310"/>
      <c r="BS76" s="310"/>
      <c r="BT76" s="310"/>
      <c r="BU76" s="544">
        <f t="shared" si="20"/>
        <v>0</v>
      </c>
      <c r="BV76" s="556"/>
      <c r="BW76" s="663">
        <f t="shared" si="31"/>
        <v>200</v>
      </c>
      <c r="BX76" s="674">
        <f t="shared" si="32"/>
        <v>0.5</v>
      </c>
      <c r="BY76" s="561">
        <f t="shared" si="33"/>
        <v>1</v>
      </c>
      <c r="BZ76" s="674">
        <f t="shared" si="34"/>
        <v>1</v>
      </c>
      <c r="CA76" s="675">
        <f t="shared" si="35"/>
        <v>0</v>
      </c>
      <c r="CB76" s="675">
        <f t="shared" si="36"/>
        <v>0</v>
      </c>
    </row>
    <row r="77" spans="1:80" ht="84" hidden="1" customHeight="1" x14ac:dyDescent="0.25">
      <c r="A77" s="298" t="s">
        <v>173</v>
      </c>
      <c r="B77" s="299" t="str">
        <f>'PLAN INDICATIVO'!B76</f>
        <v>Cultura</v>
      </c>
      <c r="C77" s="1547"/>
      <c r="D77" s="1549"/>
      <c r="E77" s="1549"/>
      <c r="F77" s="1549"/>
      <c r="G77" s="1549"/>
      <c r="H77" s="1549"/>
      <c r="I77" s="332">
        <f>'PLAN INDICATIVO'!I76</f>
        <v>0</v>
      </c>
      <c r="J77" s="332">
        <f>'PLAN INDICATIVO'!J76</f>
        <v>0</v>
      </c>
      <c r="K77" s="1429" t="str">
        <f>'PLAN INDICATIVO'!K76</f>
        <v>A.5.2.2</v>
      </c>
      <c r="L77" s="1429" t="str">
        <f>'PLAN INDICATIVO'!L76</f>
        <v>11. Ciudades y comunidades sostenibles</v>
      </c>
      <c r="M77" s="1429" t="str">
        <f>'PLAN INDICATIVO'!M76</f>
        <v>Secretaría de Educación, Cultura, deporte y Turismo</v>
      </c>
      <c r="N77" s="1429" t="str">
        <f>'PLAN INDICATIVO'!N76</f>
        <v>YIMI FERNANDO LOSADA PAYA</v>
      </c>
      <c r="O77" s="1429" t="str">
        <f>'PLAN INDICATIVO'!O76</f>
        <v>Incremento</v>
      </c>
      <c r="P77" s="74" t="str">
        <f>'PLAN INDICATIVO'!P76</f>
        <v>Vincular 1.000 personas en la Realización de actividades de promoción de lectura, durante el cuatrienio</v>
      </c>
      <c r="Q77" s="333" t="str">
        <f>'PLAN INDICATIVO'!Q76</f>
        <v>No. personas vinculadas en el cuatrienio</v>
      </c>
      <c r="R77" s="334">
        <f>'PLAN INDICATIVO'!R76</f>
        <v>2015</v>
      </c>
      <c r="S77" s="304" t="s">
        <v>177</v>
      </c>
      <c r="T77" s="677">
        <v>1000</v>
      </c>
      <c r="U77" s="304">
        <v>250</v>
      </c>
      <c r="V77" s="687">
        <v>2000000</v>
      </c>
      <c r="W77" s="304">
        <v>250</v>
      </c>
      <c r="X77" s="687">
        <v>1000000</v>
      </c>
      <c r="Y77" s="304">
        <v>250</v>
      </c>
      <c r="Z77" s="687">
        <v>2000000</v>
      </c>
      <c r="AA77" s="305">
        <v>250</v>
      </c>
      <c r="AB77" s="687">
        <v>2000000</v>
      </c>
      <c r="AC77" s="665">
        <v>2900</v>
      </c>
      <c r="AD77" s="665">
        <v>2149</v>
      </c>
      <c r="AE77" s="665"/>
      <c r="AF77" s="665"/>
      <c r="AG77" s="306" t="s">
        <v>3485</v>
      </c>
      <c r="AH77" s="306">
        <v>2017413960005</v>
      </c>
      <c r="AI77" s="307" t="s">
        <v>3513</v>
      </c>
      <c r="AJ77" s="309">
        <v>42825</v>
      </c>
      <c r="AK77" s="309">
        <v>43099</v>
      </c>
      <c r="AL77" s="308"/>
      <c r="AM77" s="308"/>
      <c r="AN77" s="267" t="s">
        <v>2598</v>
      </c>
      <c r="AO77" s="508" t="s">
        <v>3514</v>
      </c>
      <c r="AP77" s="525">
        <v>2000000</v>
      </c>
      <c r="AQ77" s="310"/>
      <c r="AR77" s="310"/>
      <c r="AS77" s="310"/>
      <c r="AT77" s="310"/>
      <c r="AU77" s="310"/>
      <c r="AV77" s="310"/>
      <c r="AW77" s="544">
        <f>AP77+AQ77+AR77+AS77+AT77+AU77+AV77</f>
        <v>2000000</v>
      </c>
      <c r="AX77" s="525"/>
      <c r="AY77" s="310"/>
      <c r="AZ77" s="310"/>
      <c r="BA77" s="310"/>
      <c r="BB77" s="310"/>
      <c r="BC77" s="310"/>
      <c r="BD77" s="310"/>
      <c r="BE77" s="544">
        <f t="shared" si="18"/>
        <v>0</v>
      </c>
      <c r="BF77" s="525"/>
      <c r="BG77" s="310"/>
      <c r="BH77" s="310"/>
      <c r="BI77" s="310"/>
      <c r="BJ77" s="310"/>
      <c r="BK77" s="310"/>
      <c r="BL77" s="310"/>
      <c r="BM77" s="544">
        <f t="shared" si="19"/>
        <v>0</v>
      </c>
      <c r="BN77" s="525"/>
      <c r="BO77" s="310"/>
      <c r="BP77" s="310"/>
      <c r="BQ77" s="310"/>
      <c r="BR77" s="310"/>
      <c r="BS77" s="310"/>
      <c r="BT77" s="310"/>
      <c r="BU77" s="544">
        <f t="shared" si="20"/>
        <v>0</v>
      </c>
      <c r="BV77" s="556"/>
      <c r="BW77" s="663">
        <f t="shared" si="31"/>
        <v>5049</v>
      </c>
      <c r="BX77" s="674">
        <f t="shared" si="32"/>
        <v>5.0490000000000004</v>
      </c>
      <c r="BY77" s="835">
        <f t="shared" si="33"/>
        <v>11.6</v>
      </c>
      <c r="BZ77" s="674">
        <f t="shared" si="34"/>
        <v>8.5960000000000001</v>
      </c>
      <c r="CA77" s="675">
        <f t="shared" si="35"/>
        <v>0</v>
      </c>
      <c r="CB77" s="675">
        <f t="shared" si="36"/>
        <v>0</v>
      </c>
    </row>
    <row r="78" spans="1:80" ht="52.5" hidden="1" customHeight="1" x14ac:dyDescent="0.25">
      <c r="A78" s="298" t="s">
        <v>173</v>
      </c>
      <c r="B78" s="299" t="str">
        <f>'PLAN INDICATIVO'!B77</f>
        <v>Cultura</v>
      </c>
      <c r="C78" s="1547"/>
      <c r="D78" s="1549"/>
      <c r="E78" s="1549"/>
      <c r="F78" s="1549"/>
      <c r="G78" s="1549"/>
      <c r="H78" s="1549"/>
      <c r="I78" s="332">
        <f>'PLAN INDICATIVO'!I77</f>
        <v>0</v>
      </c>
      <c r="J78" s="332">
        <f>'PLAN INDICATIVO'!J77</f>
        <v>0</v>
      </c>
      <c r="K78" s="1429" t="str">
        <f>'PLAN INDICATIVO'!K77</f>
        <v>A.5.2.3</v>
      </c>
      <c r="L78" s="1429" t="str">
        <f>'PLAN INDICATIVO'!L77</f>
        <v>11. Ciudades y comunidades sostenibles</v>
      </c>
      <c r="M78" s="1429" t="str">
        <f>'PLAN INDICATIVO'!M77</f>
        <v>Secretaría de Educación, Cultura, deporte y Turismo</v>
      </c>
      <c r="N78" s="1429" t="str">
        <f>'PLAN INDICATIVO'!N77</f>
        <v>YIMI FERNANDO LOSADA PAYA</v>
      </c>
      <c r="O78" s="1429" t="str">
        <f>'PLAN INDICATIVO'!O77</f>
        <v>Incremento</v>
      </c>
      <c r="P78" s="943" t="str">
        <f>'PLAN INDICATIVO'!P77</f>
        <v>Incrementar a 7 puntos piloto de acceso a internet  instalados  y funcionando durante el cuatrienio</v>
      </c>
      <c r="Q78" s="333" t="str">
        <f>'PLAN INDICATIVO'!Q77</f>
        <v>No. de puntos Huila vive digital instalados en el cuatrienio</v>
      </c>
      <c r="R78" s="334">
        <f>'PLAN INDICATIVO'!R77</f>
        <v>2015</v>
      </c>
      <c r="S78" s="304">
        <v>4</v>
      </c>
      <c r="T78" s="677">
        <v>7</v>
      </c>
      <c r="U78" s="304">
        <v>0</v>
      </c>
      <c r="V78" s="687">
        <v>1000000</v>
      </c>
      <c r="W78" s="304">
        <v>4</v>
      </c>
      <c r="X78" s="687">
        <v>1000000</v>
      </c>
      <c r="Y78" s="304">
        <v>3</v>
      </c>
      <c r="Z78" s="687">
        <v>2000000</v>
      </c>
      <c r="AA78" s="305">
        <v>0</v>
      </c>
      <c r="AB78" s="687">
        <v>2000000</v>
      </c>
      <c r="AC78" s="665">
        <v>0</v>
      </c>
      <c r="AD78" s="665">
        <v>4</v>
      </c>
      <c r="AE78" s="665"/>
      <c r="AF78" s="665"/>
      <c r="AG78" s="306" t="s">
        <v>3485</v>
      </c>
      <c r="AH78" s="306">
        <v>2017413960005</v>
      </c>
      <c r="AI78" s="307" t="s">
        <v>3515</v>
      </c>
      <c r="AJ78" s="309">
        <v>42887</v>
      </c>
      <c r="AK78" s="309">
        <v>43099</v>
      </c>
      <c r="AL78" s="308"/>
      <c r="AM78" s="308"/>
      <c r="AN78" s="267" t="s">
        <v>2598</v>
      </c>
      <c r="AO78" s="508"/>
      <c r="AP78" s="525"/>
      <c r="AQ78" s="310"/>
      <c r="AR78" s="310"/>
      <c r="AS78" s="310"/>
      <c r="AT78" s="310"/>
      <c r="AU78" s="310"/>
      <c r="AV78" s="310"/>
      <c r="AW78" s="544"/>
      <c r="AX78" s="525"/>
      <c r="AY78" s="310"/>
      <c r="AZ78" s="310"/>
      <c r="BA78" s="310"/>
      <c r="BB78" s="310"/>
      <c r="BC78" s="310"/>
      <c r="BD78" s="310"/>
      <c r="BE78" s="544">
        <f t="shared" si="18"/>
        <v>0</v>
      </c>
      <c r="BF78" s="525"/>
      <c r="BG78" s="310"/>
      <c r="BH78" s="310"/>
      <c r="BI78" s="310"/>
      <c r="BJ78" s="310"/>
      <c r="BK78" s="310"/>
      <c r="BL78" s="310"/>
      <c r="BM78" s="544">
        <f t="shared" si="19"/>
        <v>0</v>
      </c>
      <c r="BN78" s="525"/>
      <c r="BO78" s="310"/>
      <c r="BP78" s="310"/>
      <c r="BQ78" s="310"/>
      <c r="BR78" s="310"/>
      <c r="BS78" s="310"/>
      <c r="BT78" s="310"/>
      <c r="BU78" s="544">
        <f t="shared" si="20"/>
        <v>0</v>
      </c>
      <c r="BV78" s="556"/>
      <c r="BW78" s="663">
        <f t="shared" si="31"/>
        <v>4</v>
      </c>
      <c r="BX78" s="674">
        <f t="shared" si="32"/>
        <v>0.5714285714285714</v>
      </c>
      <c r="BY78" s="561" t="e">
        <f t="shared" si="33"/>
        <v>#DIV/0!</v>
      </c>
      <c r="BZ78" s="674">
        <f t="shared" si="34"/>
        <v>1</v>
      </c>
      <c r="CA78" s="675">
        <f t="shared" si="35"/>
        <v>0</v>
      </c>
      <c r="CB78" s="675" t="e">
        <f t="shared" si="36"/>
        <v>#DIV/0!</v>
      </c>
    </row>
    <row r="79" spans="1:80" ht="54.75" hidden="1" customHeight="1" x14ac:dyDescent="0.25">
      <c r="A79" s="298" t="s">
        <v>173</v>
      </c>
      <c r="B79" s="299" t="str">
        <f>'PLAN INDICATIVO'!B78</f>
        <v>Cultura</v>
      </c>
      <c r="C79" s="1547"/>
      <c r="D79" s="1549"/>
      <c r="E79" s="1549"/>
      <c r="F79" s="1549"/>
      <c r="G79" s="1549"/>
      <c r="H79" s="1549"/>
      <c r="I79" s="332">
        <f>'PLAN INDICATIVO'!I78</f>
        <v>0</v>
      </c>
      <c r="J79" s="332">
        <f>'PLAN INDICATIVO'!J78</f>
        <v>0</v>
      </c>
      <c r="K79" s="1429" t="str">
        <f>'PLAN INDICATIVO'!K78</f>
        <v>A.5.2.4</v>
      </c>
      <c r="L79" s="1429" t="str">
        <f>'PLAN INDICATIVO'!L78</f>
        <v>11. Ciudades y comunidades sostenibles</v>
      </c>
      <c r="M79" s="1429" t="str">
        <f>'PLAN INDICATIVO'!M78</f>
        <v>Secretaría de Educación, Cultura, deporte y Turismo</v>
      </c>
      <c r="N79" s="1429" t="str">
        <f>'PLAN INDICATIVO'!N78</f>
        <v>YIMI FERNANDO LOSADA PAYA</v>
      </c>
      <c r="O79" s="1429" t="str">
        <f>'PLAN INDICATIVO'!O78</f>
        <v>Mantenimiento</v>
      </c>
      <c r="P79" s="74" t="str">
        <f>'PLAN INDICATIVO'!P78</f>
        <v>Ejecutar 1 convenio de alianza público-privada para el programa CULTIVARTE - DAVIVIENDA, durante el cuatrienio</v>
      </c>
      <c r="Q79" s="333" t="str">
        <f>'PLAN INDICATIVO'!Q78</f>
        <v>No. De convenios ejecutados en el cuatrienio</v>
      </c>
      <c r="R79" s="334">
        <f>'PLAN INDICATIVO'!R78</f>
        <v>2015</v>
      </c>
      <c r="S79" s="304">
        <v>0</v>
      </c>
      <c r="T79" s="677">
        <v>4</v>
      </c>
      <c r="U79" s="304">
        <v>1</v>
      </c>
      <c r="V79" s="687">
        <v>1000000</v>
      </c>
      <c r="W79" s="304">
        <v>1</v>
      </c>
      <c r="X79" s="687">
        <v>1000000</v>
      </c>
      <c r="Y79" s="304">
        <v>1</v>
      </c>
      <c r="Z79" s="687">
        <v>2000000</v>
      </c>
      <c r="AA79" s="305">
        <v>1</v>
      </c>
      <c r="AB79" s="687">
        <v>2000000</v>
      </c>
      <c r="AC79" s="665">
        <v>1</v>
      </c>
      <c r="AD79" s="665">
        <v>1</v>
      </c>
      <c r="AE79" s="665"/>
      <c r="AF79" s="665"/>
      <c r="AG79" s="306" t="s">
        <v>3485</v>
      </c>
      <c r="AH79" s="306">
        <v>2017413960005</v>
      </c>
      <c r="AI79" s="307" t="s">
        <v>3516</v>
      </c>
      <c r="AJ79" s="309">
        <v>42736</v>
      </c>
      <c r="AK79" s="309">
        <v>43099</v>
      </c>
      <c r="AL79" s="308"/>
      <c r="AM79" s="308"/>
      <c r="AN79" s="267" t="s">
        <v>2598</v>
      </c>
      <c r="AO79" s="508" t="s">
        <v>3517</v>
      </c>
      <c r="AP79" s="525">
        <v>3766000</v>
      </c>
      <c r="AQ79" s="310"/>
      <c r="AR79" s="310"/>
      <c r="AS79" s="310"/>
      <c r="AT79" s="310"/>
      <c r="AU79" s="310"/>
      <c r="AV79" s="310"/>
      <c r="AW79" s="544">
        <f>AP79+AQ79+AR79+AS79+AT79+AU79+AV79</f>
        <v>3766000</v>
      </c>
      <c r="AX79" s="525"/>
      <c r="AY79" s="310"/>
      <c r="AZ79" s="310"/>
      <c r="BA79" s="310"/>
      <c r="BB79" s="310"/>
      <c r="BC79" s="310"/>
      <c r="BD79" s="310"/>
      <c r="BE79" s="544">
        <f t="shared" si="18"/>
        <v>0</v>
      </c>
      <c r="BF79" s="525"/>
      <c r="BG79" s="310"/>
      <c r="BH79" s="310"/>
      <c r="BI79" s="310"/>
      <c r="BJ79" s="310"/>
      <c r="BK79" s="310"/>
      <c r="BL79" s="310"/>
      <c r="BM79" s="544">
        <f t="shared" si="19"/>
        <v>0</v>
      </c>
      <c r="BN79" s="525"/>
      <c r="BO79" s="310"/>
      <c r="BP79" s="310"/>
      <c r="BQ79" s="310"/>
      <c r="BR79" s="310"/>
      <c r="BS79" s="310"/>
      <c r="BT79" s="310"/>
      <c r="BU79" s="544">
        <f t="shared" si="20"/>
        <v>0</v>
      </c>
      <c r="BV79" s="556"/>
      <c r="BW79" s="663">
        <f t="shared" si="31"/>
        <v>2</v>
      </c>
      <c r="BX79" s="674">
        <f t="shared" si="32"/>
        <v>0.5</v>
      </c>
      <c r="BY79" s="835">
        <f t="shared" si="33"/>
        <v>1</v>
      </c>
      <c r="BZ79" s="674">
        <f t="shared" si="34"/>
        <v>1</v>
      </c>
      <c r="CA79" s="675">
        <f t="shared" si="35"/>
        <v>0</v>
      </c>
      <c r="CB79" s="675">
        <f t="shared" si="36"/>
        <v>0</v>
      </c>
    </row>
    <row r="80" spans="1:80" ht="54.75" hidden="1" customHeight="1" x14ac:dyDescent="0.25">
      <c r="A80" s="298" t="s">
        <v>173</v>
      </c>
      <c r="B80" s="299" t="str">
        <f>'PLAN INDICATIVO'!B79</f>
        <v>Cultura</v>
      </c>
      <c r="C80" s="1547"/>
      <c r="D80" s="1549"/>
      <c r="E80" s="1549"/>
      <c r="F80" s="1549"/>
      <c r="G80" s="1549"/>
      <c r="H80" s="1549"/>
      <c r="I80" s="332">
        <f>'PLAN INDICATIVO'!I79</f>
        <v>0</v>
      </c>
      <c r="J80" s="332">
        <f>'PLAN INDICATIVO'!J79</f>
        <v>0</v>
      </c>
      <c r="K80" s="1429" t="str">
        <f>'PLAN INDICATIVO'!K79</f>
        <v>A.5.2.5</v>
      </c>
      <c r="L80" s="1429" t="str">
        <f>'PLAN INDICATIVO'!L79</f>
        <v>11. Ciudades y comunidades sostenibles</v>
      </c>
      <c r="M80" s="1429" t="str">
        <f>'PLAN INDICATIVO'!M79</f>
        <v>Secretaría de Educación, Cultura, deporte y Turismo</v>
      </c>
      <c r="N80" s="1429" t="str">
        <f>'PLAN INDICATIVO'!N79</f>
        <v>YIMI FERNANDO LOSADA PAYA</v>
      </c>
      <c r="O80" s="1429" t="str">
        <f>'PLAN INDICATIVO'!O79</f>
        <v>Incremento</v>
      </c>
      <c r="P80" s="74" t="str">
        <f>'PLAN INDICATIVO'!P79</f>
        <v>Realizar 4 dotaciones de  medios audiovisuales y/o bibliográficos para la biblioteca municipal SIMÓN BOLIVAR, durante el cuatrienio</v>
      </c>
      <c r="Q80" s="333" t="str">
        <f>'PLAN INDICATIVO'!Q79</f>
        <v>No. de dotaciones entregadas en el cuatrienio</v>
      </c>
      <c r="R80" s="334">
        <f>'PLAN INDICATIVO'!R79</f>
        <v>2015</v>
      </c>
      <c r="S80" s="304">
        <v>0</v>
      </c>
      <c r="T80" s="677">
        <v>4</v>
      </c>
      <c r="U80" s="304">
        <v>1</v>
      </c>
      <c r="V80" s="687">
        <v>3000000</v>
      </c>
      <c r="W80" s="304">
        <v>1</v>
      </c>
      <c r="X80" s="687">
        <v>12000000</v>
      </c>
      <c r="Y80" s="304">
        <v>1</v>
      </c>
      <c r="Z80" s="687">
        <v>12000000</v>
      </c>
      <c r="AA80" s="305">
        <v>1</v>
      </c>
      <c r="AB80" s="687">
        <v>14000000</v>
      </c>
      <c r="AC80" s="665">
        <v>1</v>
      </c>
      <c r="AD80" s="665">
        <v>1</v>
      </c>
      <c r="AE80" s="665"/>
      <c r="AF80" s="665"/>
      <c r="AG80" s="306" t="s">
        <v>3485</v>
      </c>
      <c r="AH80" s="306">
        <v>2017413960005</v>
      </c>
      <c r="AI80" s="307"/>
      <c r="AJ80" s="309">
        <v>42767</v>
      </c>
      <c r="AK80" s="309">
        <v>43099</v>
      </c>
      <c r="AL80" s="308"/>
      <c r="AM80" s="308"/>
      <c r="AN80" s="267" t="s">
        <v>2598</v>
      </c>
      <c r="AO80" s="508"/>
      <c r="AP80" s="525"/>
      <c r="AQ80" s="310"/>
      <c r="AR80" s="310"/>
      <c r="AS80" s="310"/>
      <c r="AT80" s="310"/>
      <c r="AU80" s="310"/>
      <c r="AV80" s="310"/>
      <c r="AW80" s="544"/>
      <c r="AX80" s="525"/>
      <c r="AY80" s="310"/>
      <c r="AZ80" s="310"/>
      <c r="BA80" s="310"/>
      <c r="BB80" s="310"/>
      <c r="BC80" s="310"/>
      <c r="BD80" s="310"/>
      <c r="BE80" s="544">
        <f t="shared" si="18"/>
        <v>0</v>
      </c>
      <c r="BF80" s="525"/>
      <c r="BG80" s="310"/>
      <c r="BH80" s="310"/>
      <c r="BI80" s="310"/>
      <c r="BJ80" s="310"/>
      <c r="BK80" s="310"/>
      <c r="BL80" s="310"/>
      <c r="BM80" s="544">
        <f t="shared" si="19"/>
        <v>0</v>
      </c>
      <c r="BN80" s="525"/>
      <c r="BO80" s="310"/>
      <c r="BP80" s="310"/>
      <c r="BQ80" s="310"/>
      <c r="BR80" s="310"/>
      <c r="BS80" s="310"/>
      <c r="BT80" s="310"/>
      <c r="BU80" s="544">
        <f t="shared" si="20"/>
        <v>0</v>
      </c>
      <c r="BV80" s="556"/>
      <c r="BW80" s="663">
        <f t="shared" si="31"/>
        <v>2</v>
      </c>
      <c r="BX80" s="674">
        <f t="shared" si="32"/>
        <v>0.5</v>
      </c>
      <c r="BY80" s="835">
        <f t="shared" si="33"/>
        <v>1</v>
      </c>
      <c r="BZ80" s="674">
        <f t="shared" si="34"/>
        <v>1</v>
      </c>
      <c r="CA80" s="675">
        <f t="shared" si="35"/>
        <v>0</v>
      </c>
      <c r="CB80" s="675">
        <f t="shared" si="36"/>
        <v>0</v>
      </c>
    </row>
    <row r="81" spans="1:80" ht="50.25" hidden="1" customHeight="1" x14ac:dyDescent="0.25">
      <c r="A81" s="298" t="s">
        <v>173</v>
      </c>
      <c r="B81" s="299" t="str">
        <f>'PLAN INDICATIVO'!B80</f>
        <v>Cultura</v>
      </c>
      <c r="C81" s="1547"/>
      <c r="D81" s="1549"/>
      <c r="E81" s="1549"/>
      <c r="F81" s="1549"/>
      <c r="G81" s="1549"/>
      <c r="H81" s="1549"/>
      <c r="I81" s="332">
        <f>'PLAN INDICATIVO'!I80</f>
        <v>0</v>
      </c>
      <c r="J81" s="332">
        <f>'PLAN INDICATIVO'!J80</f>
        <v>0</v>
      </c>
      <c r="K81" s="1429" t="str">
        <f>'PLAN INDICATIVO'!K80</f>
        <v>A.5.2.6</v>
      </c>
      <c r="L81" s="1429" t="str">
        <f>'PLAN INDICATIVO'!L80</f>
        <v>11. Ciudades y comunidades sostenibles</v>
      </c>
      <c r="M81" s="1429" t="str">
        <f>'PLAN INDICATIVO'!M80</f>
        <v>Secretaría de Educación, Cultura, deporte y Turismo</v>
      </c>
      <c r="N81" s="1429" t="str">
        <f>'PLAN INDICATIVO'!N80</f>
        <v>YIMI FERNANDO LOSADA PAYA</v>
      </c>
      <c r="O81" s="1429" t="str">
        <f>'PLAN INDICATIVO'!O80</f>
        <v>Incremento</v>
      </c>
      <c r="P81" s="74" t="str">
        <f>'PLAN INDICATIVO'!P80</f>
        <v>Realizar 4  capacitaciones en formación para bibliotecarios a través del sistema nacional de bibliotecas durante el cuatrienio</v>
      </c>
      <c r="Q81" s="333" t="str">
        <f>'PLAN INDICATIVO'!Q80</f>
        <v>No. De capacitaciones realizadas en el cuatrienio</v>
      </c>
      <c r="R81" s="334">
        <f>'PLAN INDICATIVO'!R80</f>
        <v>2015</v>
      </c>
      <c r="S81" s="304">
        <v>0</v>
      </c>
      <c r="T81" s="677">
        <v>4</v>
      </c>
      <c r="U81" s="304">
        <v>1</v>
      </c>
      <c r="V81" s="687">
        <v>1000000</v>
      </c>
      <c r="W81" s="304">
        <v>1</v>
      </c>
      <c r="X81" s="687">
        <v>1000000</v>
      </c>
      <c r="Y81" s="304">
        <v>1</v>
      </c>
      <c r="Z81" s="687">
        <v>1500000</v>
      </c>
      <c r="AA81" s="305">
        <v>1</v>
      </c>
      <c r="AB81" s="687">
        <v>2000000</v>
      </c>
      <c r="AC81" s="665">
        <v>1</v>
      </c>
      <c r="AD81" s="665">
        <v>1</v>
      </c>
      <c r="AE81" s="665"/>
      <c r="AF81" s="665"/>
      <c r="AG81" s="306" t="s">
        <v>3485</v>
      </c>
      <c r="AH81" s="306">
        <v>2017413960005</v>
      </c>
      <c r="AI81" s="307" t="s">
        <v>3518</v>
      </c>
      <c r="AJ81" s="309">
        <v>42826</v>
      </c>
      <c r="AK81" s="309">
        <v>42916</v>
      </c>
      <c r="AL81" s="308"/>
      <c r="AM81" s="308"/>
      <c r="AN81" s="267" t="s">
        <v>2598</v>
      </c>
      <c r="AO81" s="508" t="s">
        <v>3514</v>
      </c>
      <c r="AP81" s="525">
        <v>1000000</v>
      </c>
      <c r="AQ81" s="310"/>
      <c r="AR81" s="310"/>
      <c r="AS81" s="310"/>
      <c r="AT81" s="310"/>
      <c r="AU81" s="310"/>
      <c r="AV81" s="310"/>
      <c r="AW81" s="544">
        <f>AP81+AQ81+AR81+AS81+AT81+AU81+AV81</f>
        <v>1000000</v>
      </c>
      <c r="AX81" s="525"/>
      <c r="AY81" s="310"/>
      <c r="AZ81" s="310"/>
      <c r="BA81" s="310"/>
      <c r="BB81" s="310"/>
      <c r="BC81" s="310"/>
      <c r="BD81" s="310"/>
      <c r="BE81" s="544">
        <f t="shared" si="18"/>
        <v>0</v>
      </c>
      <c r="BF81" s="525"/>
      <c r="BG81" s="310"/>
      <c r="BH81" s="310"/>
      <c r="BI81" s="310"/>
      <c r="BJ81" s="310"/>
      <c r="BK81" s="310"/>
      <c r="BL81" s="310"/>
      <c r="BM81" s="544">
        <f t="shared" si="19"/>
        <v>0</v>
      </c>
      <c r="BN81" s="525"/>
      <c r="BO81" s="310"/>
      <c r="BP81" s="310"/>
      <c r="BQ81" s="310"/>
      <c r="BR81" s="310"/>
      <c r="BS81" s="310"/>
      <c r="BT81" s="310"/>
      <c r="BU81" s="544">
        <f t="shared" si="20"/>
        <v>0</v>
      </c>
      <c r="BV81" s="556"/>
      <c r="BW81" s="663">
        <f t="shared" si="31"/>
        <v>2</v>
      </c>
      <c r="BX81" s="674">
        <f t="shared" si="32"/>
        <v>0.5</v>
      </c>
      <c r="BY81" s="835">
        <f t="shared" si="33"/>
        <v>1</v>
      </c>
      <c r="BZ81" s="674">
        <f t="shared" si="34"/>
        <v>1</v>
      </c>
      <c r="CA81" s="675">
        <f t="shared" si="35"/>
        <v>0</v>
      </c>
      <c r="CB81" s="675">
        <f t="shared" si="36"/>
        <v>0</v>
      </c>
    </row>
    <row r="82" spans="1:80" ht="62.25" hidden="1" customHeight="1" x14ac:dyDescent="0.25">
      <c r="A82" s="298" t="s">
        <v>173</v>
      </c>
      <c r="B82" s="299" t="str">
        <f>'PLAN INDICATIVO'!B81</f>
        <v>Cultura</v>
      </c>
      <c r="C82" s="1547"/>
      <c r="D82" s="1549"/>
      <c r="E82" s="1549"/>
      <c r="F82" s="1549"/>
      <c r="G82" s="1549"/>
      <c r="H82" s="1549"/>
      <c r="I82" s="332">
        <f>'PLAN INDICATIVO'!I81</f>
        <v>0</v>
      </c>
      <c r="J82" s="332">
        <f>'PLAN INDICATIVO'!J81</f>
        <v>0</v>
      </c>
      <c r="K82" s="1429" t="str">
        <f>'PLAN INDICATIVO'!K81</f>
        <v>A.5.2.7</v>
      </c>
      <c r="L82" s="1429" t="str">
        <f>'PLAN INDICATIVO'!L81</f>
        <v>11. Ciudades y comunidades sostenibles</v>
      </c>
      <c r="M82" s="1429" t="str">
        <f>'PLAN INDICATIVO'!M81</f>
        <v>Secretaría de Educación, Cultura, deporte y Turismo</v>
      </c>
      <c r="N82" s="1429" t="str">
        <f>'PLAN INDICATIVO'!N81</f>
        <v>YIMI FERNANDO LOSADA PAYA</v>
      </c>
      <c r="O82" s="1429" t="str">
        <f>'PLAN INDICATIVO'!O81</f>
        <v>Incremento</v>
      </c>
      <c r="P82" s="74" t="str">
        <f>'PLAN INDICATIVO'!P81</f>
        <v xml:space="preserve">Desarrollar 4 actividades por año de biblioteca móvil  en la zona urbana y rural </v>
      </c>
      <c r="Q82" s="333" t="str">
        <f>'PLAN INDICATIVO'!Q81</f>
        <v>No. de actividades realizadas cada año</v>
      </c>
      <c r="R82" s="334">
        <f>'PLAN INDICATIVO'!R81</f>
        <v>2015</v>
      </c>
      <c r="S82" s="304">
        <v>0</v>
      </c>
      <c r="T82" s="677">
        <v>16</v>
      </c>
      <c r="U82" s="304">
        <v>4</v>
      </c>
      <c r="V82" s="687">
        <v>1000000</v>
      </c>
      <c r="W82" s="304">
        <v>4</v>
      </c>
      <c r="X82" s="687">
        <v>1000000</v>
      </c>
      <c r="Y82" s="304">
        <v>4</v>
      </c>
      <c r="Z82" s="687">
        <v>1500000</v>
      </c>
      <c r="AA82" s="305">
        <v>4</v>
      </c>
      <c r="AB82" s="687">
        <v>2000000</v>
      </c>
      <c r="AC82" s="665">
        <v>4</v>
      </c>
      <c r="AD82" s="665">
        <v>4</v>
      </c>
      <c r="AE82" s="665"/>
      <c r="AF82" s="665"/>
      <c r="AG82" s="306" t="s">
        <v>3485</v>
      </c>
      <c r="AH82" s="306">
        <v>2017413960005</v>
      </c>
      <c r="AI82" s="307" t="s">
        <v>3519</v>
      </c>
      <c r="AJ82" s="309">
        <v>42826</v>
      </c>
      <c r="AK82" s="309">
        <v>42856</v>
      </c>
      <c r="AL82" s="308"/>
      <c r="AM82" s="308"/>
      <c r="AN82" s="267" t="s">
        <v>2598</v>
      </c>
      <c r="AO82" s="508" t="s">
        <v>3520</v>
      </c>
      <c r="AP82" s="525">
        <v>2819000</v>
      </c>
      <c r="AQ82" s="310"/>
      <c r="AR82" s="310"/>
      <c r="AS82" s="310"/>
      <c r="AT82" s="310"/>
      <c r="AU82" s="310"/>
      <c r="AV82" s="310"/>
      <c r="AW82" s="544"/>
      <c r="AX82" s="525"/>
      <c r="AY82" s="310"/>
      <c r="AZ82" s="310"/>
      <c r="BA82" s="310"/>
      <c r="BB82" s="310"/>
      <c r="BC82" s="310"/>
      <c r="BD82" s="310"/>
      <c r="BE82" s="544">
        <f t="shared" si="18"/>
        <v>0</v>
      </c>
      <c r="BF82" s="525"/>
      <c r="BG82" s="310"/>
      <c r="BH82" s="310"/>
      <c r="BI82" s="310"/>
      <c r="BJ82" s="310"/>
      <c r="BK82" s="310"/>
      <c r="BL82" s="310"/>
      <c r="BM82" s="544">
        <f t="shared" si="19"/>
        <v>0</v>
      </c>
      <c r="BN82" s="525"/>
      <c r="BO82" s="310"/>
      <c r="BP82" s="310"/>
      <c r="BQ82" s="310"/>
      <c r="BR82" s="310"/>
      <c r="BS82" s="310"/>
      <c r="BT82" s="310"/>
      <c r="BU82" s="544">
        <f t="shared" si="20"/>
        <v>0</v>
      </c>
      <c r="BV82" s="556"/>
      <c r="BW82" s="663">
        <f t="shared" si="31"/>
        <v>8</v>
      </c>
      <c r="BX82" s="674">
        <f t="shared" si="32"/>
        <v>0.5</v>
      </c>
      <c r="BY82" s="835">
        <f t="shared" si="33"/>
        <v>1</v>
      </c>
      <c r="BZ82" s="674">
        <f t="shared" si="34"/>
        <v>1</v>
      </c>
      <c r="CA82" s="675">
        <f t="shared" si="35"/>
        <v>0</v>
      </c>
      <c r="CB82" s="675">
        <f t="shared" si="36"/>
        <v>0</v>
      </c>
    </row>
    <row r="83" spans="1:80" ht="48.75" hidden="1" customHeight="1" x14ac:dyDescent="0.25">
      <c r="A83" s="298" t="s">
        <v>173</v>
      </c>
      <c r="B83" s="299" t="str">
        <f>'PLAN INDICATIVO'!B82</f>
        <v>Cultura</v>
      </c>
      <c r="C83" s="1547"/>
      <c r="D83" s="1550"/>
      <c r="E83" s="1550"/>
      <c r="F83" s="1549"/>
      <c r="G83" s="1549"/>
      <c r="H83" s="1549"/>
      <c r="I83" s="332">
        <f>'PLAN INDICATIVO'!I82</f>
        <v>0</v>
      </c>
      <c r="J83" s="332">
        <f>'PLAN INDICATIVO'!J82</f>
        <v>0</v>
      </c>
      <c r="K83" s="1429" t="str">
        <f>'PLAN INDICATIVO'!K82</f>
        <v>A.5.2.8</v>
      </c>
      <c r="L83" s="1429" t="str">
        <f>'PLAN INDICATIVO'!L82</f>
        <v>11. Ciudades y comunidades sostenibles</v>
      </c>
      <c r="M83" s="1429" t="str">
        <f>'PLAN INDICATIVO'!M82</f>
        <v>Secretaría de Educación, Cultura, deporte y Turismo</v>
      </c>
      <c r="N83" s="1429" t="str">
        <f>'PLAN INDICATIVO'!N82</f>
        <v>YIMI FERNANDO LOSADA PAYA</v>
      </c>
      <c r="O83" s="1429" t="str">
        <f>'PLAN INDICATIVO'!O82</f>
        <v>Mantenimiento</v>
      </c>
      <c r="P83" s="74" t="str">
        <f>'PLAN INDICATIVO'!P82</f>
        <v>Realizar 1 programa cultural  anual  de vinculación  al centro integral para la primera infancia</v>
      </c>
      <c r="Q83" s="333" t="str">
        <f>'PLAN INDICATIVO'!Q82</f>
        <v>No. De Programa implementado cada año</v>
      </c>
      <c r="R83" s="334">
        <f>'PLAN INDICATIVO'!R82</f>
        <v>2015</v>
      </c>
      <c r="S83" s="304">
        <v>0</v>
      </c>
      <c r="T83" s="677">
        <v>4</v>
      </c>
      <c r="U83" s="304">
        <v>1</v>
      </c>
      <c r="V83" s="687">
        <v>1000000</v>
      </c>
      <c r="W83" s="304">
        <v>1</v>
      </c>
      <c r="X83" s="687">
        <v>1000000</v>
      </c>
      <c r="Y83" s="304">
        <v>1</v>
      </c>
      <c r="Z83" s="687">
        <v>1500000</v>
      </c>
      <c r="AA83" s="305">
        <v>1</v>
      </c>
      <c r="AB83" s="687">
        <v>2000000</v>
      </c>
      <c r="AC83" s="665">
        <v>1</v>
      </c>
      <c r="AD83" s="665">
        <v>1</v>
      </c>
      <c r="AE83" s="665"/>
      <c r="AF83" s="665"/>
      <c r="AG83" s="306" t="s">
        <v>3485</v>
      </c>
      <c r="AH83" s="306">
        <v>2017413960005</v>
      </c>
      <c r="AI83" s="307" t="s">
        <v>3521</v>
      </c>
      <c r="AJ83" s="309">
        <v>42767</v>
      </c>
      <c r="AK83" s="309">
        <v>43099</v>
      </c>
      <c r="AL83" s="308"/>
      <c r="AM83" s="308"/>
      <c r="AN83" s="267" t="s">
        <v>2598</v>
      </c>
      <c r="AO83" s="508" t="s">
        <v>3522</v>
      </c>
      <c r="AP83" s="525">
        <v>1000000</v>
      </c>
      <c r="AQ83" s="310"/>
      <c r="AR83" s="310"/>
      <c r="AS83" s="310"/>
      <c r="AT83" s="310"/>
      <c r="AU83" s="310"/>
      <c r="AV83" s="310"/>
      <c r="AW83" s="544">
        <f>AP83+AQ83+AR83+AS83+AT83+AU83+AV83</f>
        <v>1000000</v>
      </c>
      <c r="AX83" s="525"/>
      <c r="AY83" s="310"/>
      <c r="AZ83" s="310"/>
      <c r="BA83" s="310"/>
      <c r="BB83" s="310"/>
      <c r="BC83" s="310"/>
      <c r="BD83" s="310"/>
      <c r="BE83" s="544">
        <f t="shared" si="18"/>
        <v>0</v>
      </c>
      <c r="BF83" s="525"/>
      <c r="BG83" s="310"/>
      <c r="BH83" s="310"/>
      <c r="BI83" s="310"/>
      <c r="BJ83" s="310"/>
      <c r="BK83" s="310"/>
      <c r="BL83" s="310"/>
      <c r="BM83" s="544">
        <f t="shared" si="19"/>
        <v>0</v>
      </c>
      <c r="BN83" s="525"/>
      <c r="BO83" s="310"/>
      <c r="BP83" s="310"/>
      <c r="BQ83" s="310"/>
      <c r="BR83" s="310"/>
      <c r="BS83" s="310"/>
      <c r="BT83" s="310"/>
      <c r="BU83" s="544">
        <f t="shared" si="20"/>
        <v>0</v>
      </c>
      <c r="BV83" s="556"/>
      <c r="BW83" s="663">
        <f t="shared" si="31"/>
        <v>2</v>
      </c>
      <c r="BX83" s="674">
        <f t="shared" si="32"/>
        <v>0.5</v>
      </c>
      <c r="BY83" s="835">
        <f t="shared" si="33"/>
        <v>1</v>
      </c>
      <c r="BZ83" s="674">
        <f t="shared" si="34"/>
        <v>1</v>
      </c>
      <c r="CA83" s="675">
        <f t="shared" si="35"/>
        <v>0</v>
      </c>
      <c r="CB83" s="675">
        <f t="shared" si="36"/>
        <v>0</v>
      </c>
    </row>
    <row r="84" spans="1:80" ht="97.5" hidden="1" customHeight="1" x14ac:dyDescent="0.25">
      <c r="A84" s="298" t="s">
        <v>173</v>
      </c>
      <c r="B84" s="299" t="str">
        <f>'PLAN INDICATIVO'!B83</f>
        <v>Cultura</v>
      </c>
      <c r="C84" s="1548"/>
      <c r="D84" s="1549"/>
      <c r="E84" s="1549"/>
      <c r="F84" s="1549"/>
      <c r="G84" s="1549"/>
      <c r="H84" s="1549"/>
      <c r="I84" s="1429" t="str">
        <f>'PLAN INDICATIVO'!I83</f>
        <v>SI</v>
      </c>
      <c r="J84" s="1429">
        <f>'PLAN INDICATIVO'!J83</f>
        <v>0</v>
      </c>
      <c r="K84" s="1429" t="str">
        <f>'PLAN INDICATIVO'!K83</f>
        <v>A.5.2.9</v>
      </c>
      <c r="L84" s="1429" t="str">
        <f>'PLAN INDICATIVO'!L83</f>
        <v>11. Ciudades y comunidades sostenibles</v>
      </c>
      <c r="M84" s="1429" t="str">
        <f>'PLAN INDICATIVO'!M83</f>
        <v>Secretaría de Educación, Cultura, deporte y Turismo</v>
      </c>
      <c r="N84" s="1429" t="str">
        <f>'PLAN INDICATIVO'!N83</f>
        <v>YIMI FERNANDO LOSADA PAYA</v>
      </c>
      <c r="O84" s="1429" t="str">
        <f>'PLAN INDICATIVO'!O83</f>
        <v>Incremento</v>
      </c>
      <c r="P84" s="74" t="str">
        <f>'PLAN INDICATIVO'!P83</f>
        <v>Realizar 2 obras de infraestructura para construcción, ampliación, conservación y/o mantenimiento de la infraestructura municipal de cultura, incluyendo interventorías y diseños, durante el cuatrienio</v>
      </c>
      <c r="Q84" s="333" t="str">
        <f>'PLAN INDICATIVO'!Q83</f>
        <v>No. De obras ejecutadas en el cuatrienio</v>
      </c>
      <c r="R84" s="334">
        <f>'PLAN INDICATIVO'!R83</f>
        <v>2015</v>
      </c>
      <c r="S84" s="304">
        <v>0</v>
      </c>
      <c r="T84" s="677">
        <v>2</v>
      </c>
      <c r="U84" s="304">
        <v>0</v>
      </c>
      <c r="V84" s="687">
        <v>37000000</v>
      </c>
      <c r="W84" s="304">
        <v>1</v>
      </c>
      <c r="X84" s="687">
        <v>1000000</v>
      </c>
      <c r="Y84" s="304">
        <v>1</v>
      </c>
      <c r="Z84" s="687">
        <v>1500000</v>
      </c>
      <c r="AA84" s="305">
        <v>0</v>
      </c>
      <c r="AB84" s="687">
        <v>2000000</v>
      </c>
      <c r="AC84" s="665"/>
      <c r="AD84" s="665">
        <v>1</v>
      </c>
      <c r="AE84" s="665"/>
      <c r="AF84" s="665"/>
      <c r="AG84" s="306" t="s">
        <v>3485</v>
      </c>
      <c r="AH84" s="306">
        <v>2017413960005</v>
      </c>
      <c r="AI84" s="307" t="s">
        <v>3523</v>
      </c>
      <c r="AJ84" s="309">
        <v>42887</v>
      </c>
      <c r="AK84" s="309">
        <v>43099</v>
      </c>
      <c r="AL84" s="308"/>
      <c r="AM84" s="308"/>
      <c r="AN84" s="267" t="s">
        <v>2598</v>
      </c>
      <c r="AO84" s="926" t="s">
        <v>3524</v>
      </c>
      <c r="AP84" s="525">
        <v>320000</v>
      </c>
      <c r="AQ84" s="310"/>
      <c r="AR84" s="310"/>
      <c r="AS84" s="310"/>
      <c r="AT84" s="310"/>
      <c r="AU84" s="310"/>
      <c r="AV84" s="310"/>
      <c r="AW84" s="544"/>
      <c r="AX84" s="525"/>
      <c r="AY84" s="310"/>
      <c r="AZ84" s="310"/>
      <c r="BA84" s="310"/>
      <c r="BB84" s="310"/>
      <c r="BC84" s="310"/>
      <c r="BD84" s="310"/>
      <c r="BE84" s="544">
        <f t="shared" si="18"/>
        <v>0</v>
      </c>
      <c r="BF84" s="525"/>
      <c r="BG84" s="310"/>
      <c r="BH84" s="310"/>
      <c r="BI84" s="310"/>
      <c r="BJ84" s="310"/>
      <c r="BK84" s="310"/>
      <c r="BL84" s="310"/>
      <c r="BM84" s="544">
        <f t="shared" si="19"/>
        <v>0</v>
      </c>
      <c r="BN84" s="525"/>
      <c r="BO84" s="310"/>
      <c r="BP84" s="310"/>
      <c r="BQ84" s="310"/>
      <c r="BR84" s="310"/>
      <c r="BS84" s="310"/>
      <c r="BT84" s="310"/>
      <c r="BU84" s="544">
        <f t="shared" si="20"/>
        <v>0</v>
      </c>
      <c r="BV84" s="556"/>
      <c r="BW84" s="663">
        <f t="shared" si="31"/>
        <v>1</v>
      </c>
      <c r="BX84" s="674">
        <f t="shared" si="32"/>
        <v>0.5</v>
      </c>
      <c r="BY84" s="561" t="e">
        <f t="shared" si="33"/>
        <v>#DIV/0!</v>
      </c>
      <c r="BZ84" s="674">
        <f t="shared" si="34"/>
        <v>1</v>
      </c>
      <c r="CA84" s="675">
        <f t="shared" si="35"/>
        <v>0</v>
      </c>
      <c r="CB84" s="675" t="e">
        <f t="shared" si="36"/>
        <v>#DIV/0!</v>
      </c>
    </row>
    <row r="85" spans="1:80" ht="15" hidden="1" customHeight="1" thickBot="1" x14ac:dyDescent="0.3">
      <c r="A85" s="621"/>
      <c r="B85" s="312" t="e">
        <f>'PLAN INDICATIVO'!#REF!</f>
        <v>#REF!</v>
      </c>
      <c r="C85" s="622"/>
      <c r="D85" s="1446"/>
      <c r="E85" s="1446"/>
      <c r="F85" s="1444"/>
      <c r="G85" s="1444"/>
      <c r="H85" s="1444"/>
      <c r="I85" s="502"/>
      <c r="J85" s="502"/>
      <c r="K85" s="502"/>
      <c r="L85" s="502"/>
      <c r="M85" s="502"/>
      <c r="N85" s="1444"/>
      <c r="O85" s="502"/>
      <c r="P85" s="70"/>
      <c r="Q85" s="1434"/>
      <c r="R85" s="1444"/>
      <c r="S85" s="313"/>
      <c r="T85" s="682"/>
      <c r="U85" s="313"/>
      <c r="V85" s="313"/>
      <c r="W85" s="313"/>
      <c r="X85" s="313"/>
      <c r="Y85" s="313"/>
      <c r="Z85" s="313"/>
      <c r="AA85" s="314"/>
      <c r="AB85" s="314"/>
      <c r="AC85" s="314"/>
      <c r="AD85" s="314"/>
      <c r="AE85" s="314"/>
      <c r="AF85" s="314"/>
      <c r="AG85" s="315"/>
      <c r="AH85" s="315"/>
      <c r="AI85" s="315"/>
      <c r="AJ85" s="314"/>
      <c r="AK85" s="314"/>
      <c r="AL85" s="314"/>
      <c r="AM85" s="314"/>
      <c r="AN85" s="314"/>
      <c r="AO85" s="516"/>
      <c r="AP85" s="623"/>
      <c r="AQ85" s="624"/>
      <c r="AR85" s="624"/>
      <c r="AS85" s="624"/>
      <c r="AT85" s="624"/>
      <c r="AU85" s="624"/>
      <c r="AV85" s="624"/>
      <c r="AW85" s="625">
        <f t="shared" ref="AW85:AW133" si="41">SUM(AP85:AV85)</f>
        <v>0</v>
      </c>
      <c r="AX85" s="623"/>
      <c r="AY85" s="624"/>
      <c r="AZ85" s="624"/>
      <c r="BA85" s="624"/>
      <c r="BB85" s="624"/>
      <c r="BC85" s="624"/>
      <c r="BD85" s="624"/>
      <c r="BE85" s="625">
        <f t="shared" si="18"/>
        <v>0</v>
      </c>
      <c r="BF85" s="623"/>
      <c r="BG85" s="624"/>
      <c r="BH85" s="624"/>
      <c r="BI85" s="624"/>
      <c r="BJ85" s="624"/>
      <c r="BK85" s="624"/>
      <c r="BL85" s="624"/>
      <c r="BM85" s="625">
        <f t="shared" si="19"/>
        <v>0</v>
      </c>
      <c r="BN85" s="623"/>
      <c r="BO85" s="624"/>
      <c r="BP85" s="624"/>
      <c r="BQ85" s="624"/>
      <c r="BR85" s="624"/>
      <c r="BS85" s="624"/>
      <c r="BT85" s="624"/>
      <c r="BU85" s="625">
        <f t="shared" si="20"/>
        <v>0</v>
      </c>
      <c r="BV85" s="649"/>
      <c r="BW85" s="663">
        <f t="shared" si="31"/>
        <v>0</v>
      </c>
      <c r="BX85" s="674" t="e">
        <f t="shared" si="32"/>
        <v>#DIV/0!</v>
      </c>
      <c r="BY85" s="561" t="e">
        <f t="shared" si="33"/>
        <v>#DIV/0!</v>
      </c>
      <c r="BZ85" s="674" t="e">
        <f t="shared" si="34"/>
        <v>#DIV/0!</v>
      </c>
      <c r="CA85" s="675" t="e">
        <f t="shared" si="35"/>
        <v>#DIV/0!</v>
      </c>
      <c r="CB85" s="675" t="e">
        <f t="shared" si="36"/>
        <v>#DIV/0!</v>
      </c>
    </row>
    <row r="86" spans="1:80" ht="28.5" hidden="1" customHeight="1" thickBot="1" x14ac:dyDescent="0.3">
      <c r="A86" s="1608" t="s">
        <v>2662</v>
      </c>
      <c r="B86" s="1609"/>
      <c r="C86" s="1609"/>
      <c r="D86" s="1609"/>
      <c r="E86" s="1609"/>
      <c r="F86" s="1609"/>
      <c r="G86" s="1609"/>
      <c r="H86" s="1609"/>
      <c r="I86" s="1609"/>
      <c r="J86" s="1609"/>
      <c r="K86" s="1609"/>
      <c r="L86" s="1609"/>
      <c r="M86" s="1609"/>
      <c r="N86" s="1609"/>
      <c r="O86" s="1609"/>
      <c r="P86" s="1609"/>
      <c r="Q86" s="1609"/>
      <c r="R86" s="1609"/>
      <c r="S86" s="1609"/>
      <c r="T86" s="1609"/>
      <c r="U86" s="1609"/>
      <c r="V86" s="1609"/>
      <c r="W86" s="1609"/>
      <c r="X86" s="1609"/>
      <c r="Y86" s="1609"/>
      <c r="Z86" s="1609"/>
      <c r="AA86" s="1609"/>
      <c r="AB86" s="1609"/>
      <c r="AC86" s="1609"/>
      <c r="AD86" s="1609"/>
      <c r="AE86" s="1609"/>
      <c r="AF86" s="1609"/>
      <c r="AG86" s="1609"/>
      <c r="AH86" s="1609"/>
      <c r="AI86" s="1609"/>
      <c r="AJ86" s="1609"/>
      <c r="AK86" s="1609"/>
      <c r="AL86" s="1609"/>
      <c r="AM86" s="1610"/>
      <c r="AN86" s="437"/>
      <c r="AO86" s="626"/>
      <c r="AP86" s="627"/>
      <c r="AQ86" s="628"/>
      <c r="AR86" s="628"/>
      <c r="AS86" s="628"/>
      <c r="AT86" s="628"/>
      <c r="AU86" s="628"/>
      <c r="AV86" s="628"/>
      <c r="AW86" s="629">
        <f>SUM(AW87+AW99)</f>
        <v>1294591753</v>
      </c>
      <c r="AX86" s="627"/>
      <c r="AY86" s="628"/>
      <c r="AZ86" s="628"/>
      <c r="BA86" s="628"/>
      <c r="BB86" s="628"/>
      <c r="BC86" s="628"/>
      <c r="BD86" s="628"/>
      <c r="BE86" s="629">
        <f t="shared" si="18"/>
        <v>0</v>
      </c>
      <c r="BF86" s="627"/>
      <c r="BG86" s="628"/>
      <c r="BH86" s="628"/>
      <c r="BI86" s="628"/>
      <c r="BJ86" s="628"/>
      <c r="BK86" s="628"/>
      <c r="BL86" s="628"/>
      <c r="BM86" s="629">
        <f t="shared" si="19"/>
        <v>0</v>
      </c>
      <c r="BN86" s="627"/>
      <c r="BO86" s="628"/>
      <c r="BP86" s="628"/>
      <c r="BQ86" s="628"/>
      <c r="BR86" s="628"/>
      <c r="BS86" s="628"/>
      <c r="BT86" s="628"/>
      <c r="BU86" s="629">
        <f t="shared" si="20"/>
        <v>0</v>
      </c>
      <c r="BV86" s="650"/>
      <c r="BW86" s="663">
        <f t="shared" si="31"/>
        <v>0</v>
      </c>
      <c r="BX86" s="674" t="e">
        <f t="shared" si="32"/>
        <v>#DIV/0!</v>
      </c>
      <c r="BY86" s="661" t="e">
        <f t="shared" si="33"/>
        <v>#DIV/0!</v>
      </c>
      <c r="BZ86" s="674" t="e">
        <f t="shared" si="34"/>
        <v>#DIV/0!</v>
      </c>
      <c r="CA86" s="675" t="e">
        <f t="shared" si="35"/>
        <v>#DIV/0!</v>
      </c>
      <c r="CB86" s="675" t="e">
        <f t="shared" si="36"/>
        <v>#DIV/0!</v>
      </c>
    </row>
    <row r="87" spans="1:80" ht="24.75" hidden="1" customHeight="1" x14ac:dyDescent="0.25">
      <c r="A87" s="296"/>
      <c r="B87" s="331" t="str">
        <f>'PLAN INDICATIVO'!B85</f>
        <v>Deporte y Recreación</v>
      </c>
      <c r="C87" s="1605" t="s">
        <v>279</v>
      </c>
      <c r="D87" s="1606"/>
      <c r="E87" s="1606"/>
      <c r="F87" s="1606"/>
      <c r="G87" s="1606"/>
      <c r="H87" s="1606"/>
      <c r="I87" s="1606"/>
      <c r="J87" s="1606"/>
      <c r="K87" s="1606"/>
      <c r="L87" s="1606"/>
      <c r="M87" s="1606"/>
      <c r="N87" s="1606"/>
      <c r="O87" s="1607"/>
      <c r="P87" s="318"/>
      <c r="Q87" s="318"/>
      <c r="R87" s="317"/>
      <c r="S87" s="319"/>
      <c r="T87" s="676"/>
      <c r="U87" s="319"/>
      <c r="V87" s="695">
        <f>SUM(V88:V98)</f>
        <v>608</v>
      </c>
      <c r="W87" s="319"/>
      <c r="X87" s="695">
        <f>SUM(X88:X98)</f>
        <v>592600000</v>
      </c>
      <c r="Y87" s="319"/>
      <c r="Z87" s="695">
        <f>SUM(Z88:Z98)</f>
        <v>111000000</v>
      </c>
      <c r="AA87" s="320"/>
      <c r="AB87" s="320">
        <f>SUM(AB88:AB98)</f>
        <v>118000000</v>
      </c>
      <c r="AC87" s="320"/>
      <c r="AD87" s="320"/>
      <c r="AE87" s="320"/>
      <c r="AF87" s="320"/>
      <c r="AG87" s="321"/>
      <c r="AH87" s="321"/>
      <c r="AI87" s="321"/>
      <c r="AJ87" s="320"/>
      <c r="AK87" s="320"/>
      <c r="AL87" s="320"/>
      <c r="AM87" s="320"/>
      <c r="AN87" s="320"/>
      <c r="AO87" s="630"/>
      <c r="AP87" s="631">
        <f>SUM(AP88:AP98)</f>
        <v>0</v>
      </c>
      <c r="AQ87" s="631">
        <f t="shared" ref="AQ87:AW87" si="42">SUM(AQ88:AQ98)</f>
        <v>81000000</v>
      </c>
      <c r="AR87" s="631">
        <f t="shared" si="42"/>
        <v>0</v>
      </c>
      <c r="AS87" s="631">
        <f t="shared" si="42"/>
        <v>0</v>
      </c>
      <c r="AT87" s="631">
        <f t="shared" si="42"/>
        <v>0</v>
      </c>
      <c r="AU87" s="631">
        <f t="shared" si="42"/>
        <v>0</v>
      </c>
      <c r="AV87" s="631">
        <f t="shared" si="42"/>
        <v>1104641753</v>
      </c>
      <c r="AW87" s="631">
        <f t="shared" si="42"/>
        <v>1185641753</v>
      </c>
      <c r="AX87" s="631" t="e">
        <f>(AX88:AX98)</f>
        <v>#VALUE!</v>
      </c>
      <c r="AY87" s="631" t="e">
        <f t="shared" ref="AY87:BD87" si="43">(AY88:AY98)</f>
        <v>#VALUE!</v>
      </c>
      <c r="AZ87" s="631" t="e">
        <f t="shared" si="43"/>
        <v>#VALUE!</v>
      </c>
      <c r="BA87" s="631" t="e">
        <f t="shared" si="43"/>
        <v>#VALUE!</v>
      </c>
      <c r="BB87" s="631" t="e">
        <f t="shared" si="43"/>
        <v>#VALUE!</v>
      </c>
      <c r="BC87" s="631" t="e">
        <f t="shared" si="43"/>
        <v>#VALUE!</v>
      </c>
      <c r="BD87" s="631" t="e">
        <f t="shared" si="43"/>
        <v>#VALUE!</v>
      </c>
      <c r="BE87" s="617" t="e">
        <f t="shared" si="18"/>
        <v>#VALUE!</v>
      </c>
      <c r="BF87" s="631" t="e">
        <f>(BF88:BF98)</f>
        <v>#VALUE!</v>
      </c>
      <c r="BG87" s="631" t="e">
        <f t="shared" ref="BG87:BL87" si="44">(BG88:BG98)</f>
        <v>#VALUE!</v>
      </c>
      <c r="BH87" s="631" t="e">
        <f t="shared" si="44"/>
        <v>#VALUE!</v>
      </c>
      <c r="BI87" s="631" t="e">
        <f t="shared" si="44"/>
        <v>#VALUE!</v>
      </c>
      <c r="BJ87" s="631" t="e">
        <f t="shared" si="44"/>
        <v>#VALUE!</v>
      </c>
      <c r="BK87" s="631" t="e">
        <f t="shared" si="44"/>
        <v>#VALUE!</v>
      </c>
      <c r="BL87" s="631" t="e">
        <f t="shared" si="44"/>
        <v>#VALUE!</v>
      </c>
      <c r="BM87" s="617" t="e">
        <f t="shared" si="19"/>
        <v>#VALUE!</v>
      </c>
      <c r="BN87" s="631" t="e">
        <f>(BN88:BN98)</f>
        <v>#VALUE!</v>
      </c>
      <c r="BO87" s="631" t="e">
        <f t="shared" ref="BO87:BT87" si="45">(BO88:BO98)</f>
        <v>#VALUE!</v>
      </c>
      <c r="BP87" s="631" t="e">
        <f t="shared" si="45"/>
        <v>#VALUE!</v>
      </c>
      <c r="BQ87" s="631" t="e">
        <f t="shared" si="45"/>
        <v>#VALUE!</v>
      </c>
      <c r="BR87" s="631" t="e">
        <f t="shared" si="45"/>
        <v>#VALUE!</v>
      </c>
      <c r="BS87" s="631" t="e">
        <f t="shared" si="45"/>
        <v>#VALUE!</v>
      </c>
      <c r="BT87" s="631" t="e">
        <f t="shared" si="45"/>
        <v>#VALUE!</v>
      </c>
      <c r="BU87" s="617" t="e">
        <f t="shared" si="20"/>
        <v>#VALUE!</v>
      </c>
      <c r="BV87" s="651"/>
      <c r="BW87" s="863">
        <f t="shared" si="31"/>
        <v>0</v>
      </c>
      <c r="BX87" s="864" t="e">
        <f t="shared" si="32"/>
        <v>#DIV/0!</v>
      </c>
      <c r="BY87" s="613" t="e">
        <f t="shared" si="33"/>
        <v>#DIV/0!</v>
      </c>
      <c r="BZ87" s="864" t="e">
        <f t="shared" si="34"/>
        <v>#DIV/0!</v>
      </c>
      <c r="CA87" s="1450" t="e">
        <f t="shared" si="35"/>
        <v>#DIV/0!</v>
      </c>
      <c r="CB87" s="675" t="e">
        <f t="shared" si="36"/>
        <v>#DIV/0!</v>
      </c>
    </row>
    <row r="88" spans="1:80" ht="75" hidden="1" customHeight="1" x14ac:dyDescent="0.25">
      <c r="A88" s="298" t="s">
        <v>280</v>
      </c>
      <c r="B88" s="299" t="str">
        <f>'PLAN INDICATIVO'!B86</f>
        <v>Deporte y Recreación</v>
      </c>
      <c r="C88" s="1546" t="s">
        <v>281</v>
      </c>
      <c r="D88" s="1550" t="s">
        <v>282</v>
      </c>
      <c r="E88" s="1550" t="s">
        <v>283</v>
      </c>
      <c r="F88" s="1550">
        <v>2015</v>
      </c>
      <c r="G88" s="1550">
        <v>8</v>
      </c>
      <c r="H88" s="1550">
        <v>10</v>
      </c>
      <c r="I88" s="300">
        <f>'PLAN INDICATIVO'!I86</f>
        <v>0</v>
      </c>
      <c r="J88" s="300">
        <f>'PLAN INDICATIVO'!J86</f>
        <v>0</v>
      </c>
      <c r="K88" s="1425" t="str">
        <f>'PLAN INDICATIVO'!K86</f>
        <v>A.4.1.1</v>
      </c>
      <c r="L88" s="1425">
        <f>'PLAN INDICATIVO'!L86</f>
        <v>0</v>
      </c>
      <c r="M88" s="1425" t="str">
        <f>'PLAN INDICATIVO'!M86</f>
        <v>Secretaría de Educación, Cultura, deporte y Turismo</v>
      </c>
      <c r="N88" s="1425" t="str">
        <f>'PLAN INDICATIVO'!N86</f>
        <v>YIMI FERNANDO LOSADA PAYA</v>
      </c>
      <c r="O88" s="1425" t="str">
        <f>'PLAN INDICATIVO'!O86</f>
        <v>Incremento</v>
      </c>
      <c r="P88" s="942" t="str">
        <f>'PLAN INDICATIVO'!P86</f>
        <v>Actualizar 1 Plan Local de Deporte, Recreación, Educación Física y Aprovechamiento del Tiempo Libre en el Cuatrienio.</v>
      </c>
      <c r="Q88" s="302" t="str">
        <f>'PLAN INDICATIVO'!Q86</f>
        <v>No. De Planes actualizados</v>
      </c>
      <c r="R88" s="303">
        <f>'PLAN INDICATIVO'!R86</f>
        <v>2015</v>
      </c>
      <c r="S88" s="304">
        <v>0</v>
      </c>
      <c r="T88" s="677">
        <v>1</v>
      </c>
      <c r="U88" s="303">
        <v>0</v>
      </c>
      <c r="V88" s="687">
        <v>1</v>
      </c>
      <c r="W88" s="572">
        <v>0.33</v>
      </c>
      <c r="X88" s="687">
        <v>1000000</v>
      </c>
      <c r="Y88" s="572">
        <v>0.33</v>
      </c>
      <c r="Z88" s="687">
        <v>1000000</v>
      </c>
      <c r="AA88" s="572">
        <v>0.34</v>
      </c>
      <c r="AB88" s="572">
        <v>1000000</v>
      </c>
      <c r="AC88" s="665">
        <v>0</v>
      </c>
      <c r="AD88" s="665" t="s">
        <v>3525</v>
      </c>
      <c r="AE88" s="665"/>
      <c r="AF88" s="665"/>
      <c r="AG88" s="306" t="s">
        <v>3526</v>
      </c>
      <c r="AH88" s="306">
        <v>2017413960006</v>
      </c>
      <c r="AI88" s="307" t="s">
        <v>3527</v>
      </c>
      <c r="AJ88" s="309">
        <v>43313</v>
      </c>
      <c r="AK88" s="309">
        <v>43099</v>
      </c>
      <c r="AL88" s="308"/>
      <c r="AM88" s="308"/>
      <c r="AN88" s="267" t="s">
        <v>2598</v>
      </c>
      <c r="AO88" s="507"/>
      <c r="AP88" s="526"/>
      <c r="AQ88" s="470"/>
      <c r="AR88" s="470"/>
      <c r="AS88" s="470"/>
      <c r="AT88" s="470"/>
      <c r="AU88" s="470"/>
      <c r="AV88" s="470" t="s">
        <v>3528</v>
      </c>
      <c r="AW88" s="544">
        <f t="shared" si="41"/>
        <v>0</v>
      </c>
      <c r="AX88" s="526"/>
      <c r="AY88" s="470"/>
      <c r="AZ88" s="470"/>
      <c r="BA88" s="470"/>
      <c r="BB88" s="470"/>
      <c r="BC88" s="470"/>
      <c r="BD88" s="470"/>
      <c r="BE88" s="544">
        <f t="shared" si="18"/>
        <v>0</v>
      </c>
      <c r="BF88" s="526"/>
      <c r="BG88" s="470"/>
      <c r="BH88" s="470"/>
      <c r="BI88" s="470"/>
      <c r="BJ88" s="470"/>
      <c r="BK88" s="470"/>
      <c r="BL88" s="470"/>
      <c r="BM88" s="544">
        <f t="shared" si="19"/>
        <v>0</v>
      </c>
      <c r="BN88" s="526"/>
      <c r="BO88" s="470"/>
      <c r="BP88" s="470"/>
      <c r="BQ88" s="470"/>
      <c r="BR88" s="470"/>
      <c r="BS88" s="470"/>
      <c r="BT88" s="470"/>
      <c r="BU88" s="544">
        <f t="shared" si="20"/>
        <v>0</v>
      </c>
      <c r="BV88" s="556"/>
      <c r="BW88" s="663" t="e">
        <f t="shared" si="31"/>
        <v>#VALUE!</v>
      </c>
      <c r="BX88" s="674" t="e">
        <f t="shared" si="32"/>
        <v>#VALUE!</v>
      </c>
      <c r="BY88" s="561" t="e">
        <f t="shared" si="33"/>
        <v>#DIV/0!</v>
      </c>
      <c r="BZ88" s="674" t="e">
        <f t="shared" si="34"/>
        <v>#VALUE!</v>
      </c>
      <c r="CA88" s="675">
        <f t="shared" si="35"/>
        <v>0</v>
      </c>
      <c r="CB88" s="675">
        <f t="shared" si="36"/>
        <v>0</v>
      </c>
    </row>
    <row r="89" spans="1:80" ht="73.5" hidden="1" customHeight="1" x14ac:dyDescent="0.25">
      <c r="A89" s="298" t="s">
        <v>280</v>
      </c>
      <c r="B89" s="299" t="str">
        <f>'PLAN INDICATIVO'!B87</f>
        <v>Deporte y Recreación</v>
      </c>
      <c r="C89" s="1547"/>
      <c r="D89" s="1551"/>
      <c r="E89" s="1551"/>
      <c r="F89" s="1551"/>
      <c r="G89" s="1551"/>
      <c r="H89" s="1551"/>
      <c r="I89" s="1425" t="str">
        <f>'PLAN INDICATIVO'!I87</f>
        <v>SI</v>
      </c>
      <c r="J89" s="1425">
        <f>'PLAN INDICATIVO'!J87</f>
        <v>0</v>
      </c>
      <c r="K89" s="1425" t="str">
        <f>'PLAN INDICATIVO'!K87</f>
        <v>A.4.1.2</v>
      </c>
      <c r="L89" s="1425">
        <f>'PLAN INDICATIVO'!L87</f>
        <v>0</v>
      </c>
      <c r="M89" s="1425" t="str">
        <f>'PLAN INDICATIVO'!M87</f>
        <v>Secretaría de Educación, Cultura, deporte y Turismo</v>
      </c>
      <c r="N89" s="1425" t="str">
        <f>'PLAN INDICATIVO'!N87</f>
        <v>YIMI FERNANDO LOSADA PAYA</v>
      </c>
      <c r="O89" s="1425" t="str">
        <f>'PLAN INDICATIVO'!O87</f>
        <v>Incremento</v>
      </c>
      <c r="P89" s="16" t="str">
        <f>'PLAN INDICATIVO'!P87</f>
        <v>Optimizar 1 complejo deportivo en la Villa Olímpica del Municipio en el cuatrienio.</v>
      </c>
      <c r="Q89" s="302" t="str">
        <f>'PLAN INDICATIVO'!Q87</f>
        <v>No. De Villa olímpica optimizada</v>
      </c>
      <c r="R89" s="303">
        <f>'PLAN INDICATIVO'!R87</f>
        <v>2015</v>
      </c>
      <c r="S89" s="304">
        <v>0</v>
      </c>
      <c r="T89" s="677">
        <v>1</v>
      </c>
      <c r="U89" s="303">
        <v>0.25</v>
      </c>
      <c r="V89" s="687">
        <v>5</v>
      </c>
      <c r="W89" s="66">
        <v>0.3</v>
      </c>
      <c r="X89" s="687">
        <v>1000000</v>
      </c>
      <c r="Y89" s="66">
        <v>0.1</v>
      </c>
      <c r="Z89" s="687">
        <v>1000000</v>
      </c>
      <c r="AA89" s="66">
        <v>0.2</v>
      </c>
      <c r="AB89" s="572">
        <v>1000000</v>
      </c>
      <c r="AC89" s="665">
        <v>0.4</v>
      </c>
      <c r="AD89" s="665">
        <v>0.1</v>
      </c>
      <c r="AE89" s="665"/>
      <c r="AF89" s="665"/>
      <c r="AG89" s="306" t="s">
        <v>3526</v>
      </c>
      <c r="AH89" s="306">
        <v>2017413960006</v>
      </c>
      <c r="AI89" s="307" t="s">
        <v>3529</v>
      </c>
      <c r="AJ89" s="309">
        <v>42917</v>
      </c>
      <c r="AK89" s="309">
        <v>43099</v>
      </c>
      <c r="AL89" s="308"/>
      <c r="AM89" s="308"/>
      <c r="AN89" s="267" t="s">
        <v>2604</v>
      </c>
      <c r="AO89" s="507"/>
      <c r="AP89" s="470"/>
      <c r="AQ89" s="470"/>
      <c r="AR89" s="470"/>
      <c r="AS89" s="470"/>
      <c r="AT89" s="310"/>
      <c r="AU89" s="310"/>
      <c r="AV89" s="310"/>
      <c r="AW89" s="544">
        <f t="shared" si="41"/>
        <v>0</v>
      </c>
      <c r="AX89" s="525"/>
      <c r="AY89" s="310"/>
      <c r="AZ89" s="310"/>
      <c r="BA89" s="310"/>
      <c r="BB89" s="310"/>
      <c r="BC89" s="310"/>
      <c r="BD89" s="310"/>
      <c r="BE89" s="544">
        <f t="shared" ref="BE89:BE152" si="46">SUM(AX89:BD89)</f>
        <v>0</v>
      </c>
      <c r="BF89" s="525"/>
      <c r="BG89" s="310"/>
      <c r="BH89" s="310"/>
      <c r="BI89" s="310"/>
      <c r="BJ89" s="310"/>
      <c r="BK89" s="310"/>
      <c r="BL89" s="310"/>
      <c r="BM89" s="544">
        <f t="shared" ref="BM89:BM152" si="47">SUM(BF89:BL89)</f>
        <v>0</v>
      </c>
      <c r="BN89" s="525"/>
      <c r="BO89" s="310"/>
      <c r="BP89" s="310"/>
      <c r="BQ89" s="310"/>
      <c r="BR89" s="310"/>
      <c r="BS89" s="310"/>
      <c r="BT89" s="310"/>
      <c r="BU89" s="544">
        <f t="shared" ref="BU89:BU152" si="48">SUM(BN89:BT89)</f>
        <v>0</v>
      </c>
      <c r="BV89" s="556"/>
      <c r="BW89" s="663">
        <f t="shared" si="31"/>
        <v>0.5</v>
      </c>
      <c r="BX89" s="674">
        <f t="shared" si="32"/>
        <v>0.5</v>
      </c>
      <c r="BY89" s="835">
        <f t="shared" si="33"/>
        <v>1.6</v>
      </c>
      <c r="BZ89" s="674">
        <f t="shared" si="34"/>
        <v>0.33333333333333337</v>
      </c>
      <c r="CA89" s="675">
        <f t="shared" si="35"/>
        <v>0</v>
      </c>
      <c r="CB89" s="675">
        <f t="shared" si="36"/>
        <v>0</v>
      </c>
    </row>
    <row r="90" spans="1:80" ht="90" hidden="1" customHeight="1" x14ac:dyDescent="0.25">
      <c r="A90" s="298" t="s">
        <v>280</v>
      </c>
      <c r="B90" s="299" t="str">
        <f>'PLAN INDICATIVO'!B88</f>
        <v>Deporte y Recreación</v>
      </c>
      <c r="C90" s="1547"/>
      <c r="D90" s="1551"/>
      <c r="E90" s="1551"/>
      <c r="F90" s="1551"/>
      <c r="G90" s="1551"/>
      <c r="H90" s="1551"/>
      <c r="I90" s="1425" t="str">
        <f>'PLAN INDICATIVO'!I88</f>
        <v>SI</v>
      </c>
      <c r="J90" s="1425">
        <f>'PLAN INDICATIVO'!J88</f>
        <v>0</v>
      </c>
      <c r="K90" s="1425" t="str">
        <f>'PLAN INDICATIVO'!K88</f>
        <v>A.4.1.3</v>
      </c>
      <c r="L90" s="1425">
        <f>'PLAN INDICATIVO'!L88</f>
        <v>0</v>
      </c>
      <c r="M90" s="1425" t="str">
        <f>'PLAN INDICATIVO'!M88</f>
        <v>Secretaría de Educación, Cultura, deporte y Turismo</v>
      </c>
      <c r="N90" s="1425" t="str">
        <f>'PLAN INDICATIVO'!N88</f>
        <v>YIMI FERNANDO LOSADA PAYA</v>
      </c>
      <c r="O90" s="1425" t="str">
        <f>'PLAN INDICATIVO'!O88</f>
        <v>Incremento</v>
      </c>
      <c r="P90" s="25" t="str">
        <f>'PLAN INDICATIVO'!P88</f>
        <v>Construir 13 cubiertas para escenarios deportivos en el sector rural y urbano en el municipio en el cuatrienio (LB 4)</v>
      </c>
      <c r="Q90" s="302" t="str">
        <f>'PLAN INDICATIVO'!Q88</f>
        <v>No. De Cubiertas de escenarios deportivos construidas</v>
      </c>
      <c r="R90" s="303" t="str">
        <f>'PLAN INDICATIVO'!R88</f>
        <v>2012/2015</v>
      </c>
      <c r="S90" s="304">
        <v>4</v>
      </c>
      <c r="T90" s="677">
        <v>6</v>
      </c>
      <c r="U90" s="303">
        <v>2</v>
      </c>
      <c r="V90" s="687">
        <v>10</v>
      </c>
      <c r="W90" s="66">
        <v>4</v>
      </c>
      <c r="X90" s="687">
        <v>10000000</v>
      </c>
      <c r="Y90" s="66">
        <v>1</v>
      </c>
      <c r="Z90" s="687">
        <v>40000000</v>
      </c>
      <c r="AA90" s="66">
        <v>0.2</v>
      </c>
      <c r="AB90" s="572">
        <v>58000000</v>
      </c>
      <c r="AC90" s="665">
        <v>0.8</v>
      </c>
      <c r="AD90" s="665">
        <v>1</v>
      </c>
      <c r="AE90" s="665"/>
      <c r="AF90" s="665"/>
      <c r="AG90" s="306" t="s">
        <v>3526</v>
      </c>
      <c r="AH90" s="306">
        <v>2017413960006</v>
      </c>
      <c r="AI90" s="307" t="s">
        <v>3530</v>
      </c>
      <c r="AJ90" s="309">
        <v>42917</v>
      </c>
      <c r="AK90" s="309">
        <v>43084</v>
      </c>
      <c r="AL90" s="308"/>
      <c r="AM90" s="308"/>
      <c r="AN90" s="267" t="s">
        <v>2604</v>
      </c>
      <c r="AO90" s="507" t="s">
        <v>3531</v>
      </c>
      <c r="AP90" s="526"/>
      <c r="AQ90" s="470"/>
      <c r="AR90" s="470"/>
      <c r="AS90" s="470"/>
      <c r="AT90" s="470"/>
      <c r="AU90" s="470"/>
      <c r="AV90" s="470">
        <v>1104641753</v>
      </c>
      <c r="AW90" s="544">
        <f t="shared" si="41"/>
        <v>1104641753</v>
      </c>
      <c r="AX90" s="526"/>
      <c r="AY90" s="470"/>
      <c r="AZ90" s="470"/>
      <c r="BA90" s="470"/>
      <c r="BB90" s="470"/>
      <c r="BC90" s="470"/>
      <c r="BD90" s="470"/>
      <c r="BE90" s="544">
        <f t="shared" si="46"/>
        <v>0</v>
      </c>
      <c r="BF90" s="526"/>
      <c r="BG90" s="470"/>
      <c r="BH90" s="470"/>
      <c r="BI90" s="470"/>
      <c r="BJ90" s="470"/>
      <c r="BK90" s="470"/>
      <c r="BL90" s="470"/>
      <c r="BM90" s="544">
        <f t="shared" si="47"/>
        <v>0</v>
      </c>
      <c r="BN90" s="526"/>
      <c r="BO90" s="470"/>
      <c r="BP90" s="470"/>
      <c r="BQ90" s="470"/>
      <c r="BR90" s="470"/>
      <c r="BS90" s="470"/>
      <c r="BT90" s="470"/>
      <c r="BU90" s="544">
        <f t="shared" si="48"/>
        <v>0</v>
      </c>
      <c r="BV90" s="556"/>
      <c r="BW90" s="663">
        <f t="shared" si="31"/>
        <v>1.8</v>
      </c>
      <c r="BX90" s="674">
        <f t="shared" si="32"/>
        <v>0.3</v>
      </c>
      <c r="BY90" s="561">
        <f t="shared" si="33"/>
        <v>0.4</v>
      </c>
      <c r="BZ90" s="674">
        <f t="shared" si="34"/>
        <v>0.25</v>
      </c>
      <c r="CA90" s="675">
        <f t="shared" si="35"/>
        <v>0</v>
      </c>
      <c r="CB90" s="675">
        <f t="shared" si="36"/>
        <v>0</v>
      </c>
    </row>
    <row r="91" spans="1:80" ht="90" hidden="1" customHeight="1" x14ac:dyDescent="0.25">
      <c r="A91" s="298" t="s">
        <v>280</v>
      </c>
      <c r="B91" s="299" t="str">
        <f>'PLAN INDICATIVO'!B89</f>
        <v>Deporte y Recreación</v>
      </c>
      <c r="C91" s="1547"/>
      <c r="D91" s="1551"/>
      <c r="E91" s="1551"/>
      <c r="F91" s="1551"/>
      <c r="G91" s="1551"/>
      <c r="H91" s="1551"/>
      <c r="I91" s="300">
        <f>'PLAN INDICATIVO'!I89</f>
        <v>0</v>
      </c>
      <c r="J91" s="300">
        <f>'PLAN INDICATIVO'!J89</f>
        <v>0</v>
      </c>
      <c r="K91" s="1425" t="str">
        <f>'PLAN INDICATIVO'!K89</f>
        <v>A.4.1.4</v>
      </c>
      <c r="L91" s="1425">
        <f>'PLAN INDICATIVO'!L89</f>
        <v>0</v>
      </c>
      <c r="M91" s="1425" t="str">
        <f>'PLAN INDICATIVO'!M89</f>
        <v>Secretaría de Educación, Cultura, deporte y Turismo</v>
      </c>
      <c r="N91" s="1425" t="str">
        <f>'PLAN INDICATIVO'!N89</f>
        <v>YIMI FERNANDO LOSADA PAYA</v>
      </c>
      <c r="O91" s="1425" t="str">
        <f>'PLAN INDICATIVO'!O89</f>
        <v>Incremento</v>
      </c>
      <c r="P91" s="25" t="str">
        <f>'PLAN INDICATIVO'!P89</f>
        <v>Realizar construcción, mejoramiento o mantenimiento de 12 escenarios deportivos comunitarios del sector urbano y rural del municipio durante el cuatrienio</v>
      </c>
      <c r="Q91" s="302" t="str">
        <f>'PLAN INDICATIVO'!Q89</f>
        <v>No. De escenarios deportivos  con construcción, mejoramiento o mantenimiento</v>
      </c>
      <c r="R91" s="303">
        <f>'PLAN INDICATIVO'!R89</f>
        <v>2015</v>
      </c>
      <c r="S91" s="304">
        <v>0</v>
      </c>
      <c r="T91" s="677">
        <v>12</v>
      </c>
      <c r="U91" s="303">
        <v>3</v>
      </c>
      <c r="V91" s="687">
        <v>22.67</v>
      </c>
      <c r="W91" s="66">
        <v>5.4</v>
      </c>
      <c r="X91" s="687">
        <v>34000000</v>
      </c>
      <c r="Y91" s="66">
        <v>3</v>
      </c>
      <c r="Z91" s="687">
        <v>11000000</v>
      </c>
      <c r="AA91" s="66">
        <v>3</v>
      </c>
      <c r="AB91" s="572">
        <v>1000000</v>
      </c>
      <c r="AC91" s="665">
        <v>0.6</v>
      </c>
      <c r="AD91" s="665">
        <v>5.4</v>
      </c>
      <c r="AE91" s="665"/>
      <c r="AF91" s="665"/>
      <c r="AG91" s="306" t="s">
        <v>3526</v>
      </c>
      <c r="AH91" s="306">
        <v>2017413960006</v>
      </c>
      <c r="AI91" s="664" t="s">
        <v>3532</v>
      </c>
      <c r="AJ91" s="309">
        <v>42795</v>
      </c>
      <c r="AK91" s="309">
        <v>43038</v>
      </c>
      <c r="AL91" s="308"/>
      <c r="AM91" s="308"/>
      <c r="AN91" s="267" t="s">
        <v>2598</v>
      </c>
      <c r="AO91" s="507" t="s">
        <v>3533</v>
      </c>
      <c r="AP91" s="526"/>
      <c r="AQ91" s="526">
        <v>10500000</v>
      </c>
      <c r="AR91" s="526"/>
      <c r="AS91" s="526"/>
      <c r="AT91" s="526"/>
      <c r="AU91" s="526"/>
      <c r="AV91" s="310"/>
      <c r="AW91" s="544">
        <f t="shared" si="41"/>
        <v>10500000</v>
      </c>
      <c r="AX91" s="525"/>
      <c r="AY91" s="310"/>
      <c r="AZ91" s="310"/>
      <c r="BA91" s="310"/>
      <c r="BB91" s="310"/>
      <c r="BC91" s="310"/>
      <c r="BD91" s="310"/>
      <c r="BE91" s="544">
        <f t="shared" si="46"/>
        <v>0</v>
      </c>
      <c r="BF91" s="525"/>
      <c r="BG91" s="310"/>
      <c r="BH91" s="310"/>
      <c r="BI91" s="310"/>
      <c r="BJ91" s="310"/>
      <c r="BK91" s="310"/>
      <c r="BL91" s="310"/>
      <c r="BM91" s="544">
        <f t="shared" si="47"/>
        <v>0</v>
      </c>
      <c r="BN91" s="525"/>
      <c r="BO91" s="310"/>
      <c r="BP91" s="310"/>
      <c r="BQ91" s="310"/>
      <c r="BR91" s="310"/>
      <c r="BS91" s="310"/>
      <c r="BT91" s="310"/>
      <c r="BU91" s="544">
        <f t="shared" si="48"/>
        <v>0</v>
      </c>
      <c r="BV91" s="556"/>
      <c r="BW91" s="663">
        <f>AC91+AD91+AE91+AF91</f>
        <v>6</v>
      </c>
      <c r="BX91" s="674">
        <f t="shared" si="32"/>
        <v>0.5</v>
      </c>
      <c r="BY91" s="835">
        <f t="shared" si="33"/>
        <v>0.19999999999999998</v>
      </c>
      <c r="BZ91" s="674">
        <f>AD91/W91</f>
        <v>1</v>
      </c>
      <c r="CA91" s="675">
        <f>AE91/Y91</f>
        <v>0</v>
      </c>
      <c r="CB91" s="675">
        <f t="shared" si="36"/>
        <v>0</v>
      </c>
    </row>
    <row r="92" spans="1:80" ht="60" hidden="1" customHeight="1" x14ac:dyDescent="0.25">
      <c r="A92" s="298" t="s">
        <v>280</v>
      </c>
      <c r="B92" s="299" t="str">
        <f>'PLAN INDICATIVO'!B90</f>
        <v>Deporte y Recreación</v>
      </c>
      <c r="C92" s="1547"/>
      <c r="D92" s="1551"/>
      <c r="E92" s="1551"/>
      <c r="F92" s="1551"/>
      <c r="G92" s="1551"/>
      <c r="H92" s="1551"/>
      <c r="I92" s="1425" t="str">
        <f>'PLAN INDICATIVO'!I90</f>
        <v>SI</v>
      </c>
      <c r="J92" s="1425">
        <f>'PLAN INDICATIVO'!J90</f>
        <v>0</v>
      </c>
      <c r="K92" s="1425" t="str">
        <f>'PLAN INDICATIVO'!K90</f>
        <v>A.4.1.5</v>
      </c>
      <c r="L92" s="1425">
        <f>'PLAN INDICATIVO'!L90</f>
        <v>0</v>
      </c>
      <c r="M92" s="1425" t="str">
        <f>'PLAN INDICATIVO'!M90</f>
        <v>Secretaría de Educación, Cultura, deporte y Turismo</v>
      </c>
      <c r="N92" s="1425" t="str">
        <f>'PLAN INDICATIVO'!N90</f>
        <v>YIMI FERNANDO LOSADA PAYA</v>
      </c>
      <c r="O92" s="1425" t="str">
        <f>'PLAN INDICATIVO'!O90</f>
        <v>Incremento</v>
      </c>
      <c r="P92" s="820" t="str">
        <f>'PLAN INDICATIVO'!P90</f>
        <v>Construir  3 Parques Biosaludables  en el sector rural y/o urbano en el municipio en el cuatrienio</v>
      </c>
      <c r="Q92" s="302" t="str">
        <f>'PLAN INDICATIVO'!Q90</f>
        <v>No. De parques construidos</v>
      </c>
      <c r="R92" s="303">
        <f>'PLAN INDICATIVO'!R90</f>
        <v>2015</v>
      </c>
      <c r="S92" s="304">
        <v>1</v>
      </c>
      <c r="T92" s="677">
        <v>8</v>
      </c>
      <c r="U92" s="303">
        <v>2</v>
      </c>
      <c r="V92" s="687">
        <v>5</v>
      </c>
      <c r="W92" s="66">
        <v>2</v>
      </c>
      <c r="X92" s="687">
        <v>1000000</v>
      </c>
      <c r="Y92" s="66">
        <v>3</v>
      </c>
      <c r="Z92" s="687">
        <v>1000000</v>
      </c>
      <c r="AA92" s="66">
        <v>3</v>
      </c>
      <c r="AB92" s="572">
        <v>1000000</v>
      </c>
      <c r="AC92" s="665">
        <v>0</v>
      </c>
      <c r="AD92" s="945">
        <v>0.3</v>
      </c>
      <c r="AE92" s="665"/>
      <c r="AF92" s="665"/>
      <c r="AG92" s="306" t="s">
        <v>3526</v>
      </c>
      <c r="AH92" s="306">
        <v>2017413960006</v>
      </c>
      <c r="AI92" s="307" t="s">
        <v>3534</v>
      </c>
      <c r="AJ92" s="309">
        <v>42795</v>
      </c>
      <c r="AK92" s="309">
        <v>43038</v>
      </c>
      <c r="AL92" s="308"/>
      <c r="AM92" s="308"/>
      <c r="AN92" s="267" t="s">
        <v>2604</v>
      </c>
      <c r="AO92" s="507" t="s">
        <v>3535</v>
      </c>
      <c r="AP92" s="525"/>
      <c r="AQ92" s="310"/>
      <c r="AR92" s="310"/>
      <c r="AS92" s="310"/>
      <c r="AT92" s="310"/>
      <c r="AU92" s="310"/>
      <c r="AV92" s="310"/>
      <c r="AW92" s="544">
        <f t="shared" si="41"/>
        <v>0</v>
      </c>
      <c r="AX92" s="525"/>
      <c r="AY92" s="310"/>
      <c r="AZ92" s="310"/>
      <c r="BA92" s="310"/>
      <c r="BB92" s="310"/>
      <c r="BC92" s="310"/>
      <c r="BD92" s="310"/>
      <c r="BE92" s="544">
        <f t="shared" si="46"/>
        <v>0</v>
      </c>
      <c r="BF92" s="525"/>
      <c r="BG92" s="310"/>
      <c r="BH92" s="310"/>
      <c r="BI92" s="310"/>
      <c r="BJ92" s="310"/>
      <c r="BK92" s="310"/>
      <c r="BL92" s="310"/>
      <c r="BM92" s="544">
        <f t="shared" si="47"/>
        <v>0</v>
      </c>
      <c r="BN92" s="525"/>
      <c r="BO92" s="310"/>
      <c r="BP92" s="310"/>
      <c r="BQ92" s="310"/>
      <c r="BR92" s="310"/>
      <c r="BS92" s="310"/>
      <c r="BT92" s="310"/>
      <c r="BU92" s="544">
        <f t="shared" si="48"/>
        <v>0</v>
      </c>
      <c r="BV92" s="556"/>
      <c r="BW92" s="663">
        <f t="shared" si="31"/>
        <v>0.3</v>
      </c>
      <c r="BX92" s="674">
        <f t="shared" si="32"/>
        <v>3.7499999999999999E-2</v>
      </c>
      <c r="BY92" s="561">
        <f t="shared" si="33"/>
        <v>0</v>
      </c>
      <c r="BZ92" s="674">
        <f t="shared" si="34"/>
        <v>0.15</v>
      </c>
      <c r="CA92" s="675">
        <f t="shared" si="35"/>
        <v>0</v>
      </c>
      <c r="CB92" s="675">
        <f t="shared" si="36"/>
        <v>0</v>
      </c>
    </row>
    <row r="93" spans="1:80" ht="65.25" hidden="1" customHeight="1" x14ac:dyDescent="0.25">
      <c r="A93" s="298" t="s">
        <v>280</v>
      </c>
      <c r="B93" s="299" t="str">
        <f>'PLAN INDICATIVO'!B91</f>
        <v>Deporte y Recreación</v>
      </c>
      <c r="C93" s="1547"/>
      <c r="D93" s="1551"/>
      <c r="E93" s="1551"/>
      <c r="F93" s="1551"/>
      <c r="G93" s="1551"/>
      <c r="H93" s="1551"/>
      <c r="I93" s="1425" t="str">
        <f>'PLAN INDICATIVO'!I91</f>
        <v>SI</v>
      </c>
      <c r="J93" s="1425">
        <f>'PLAN INDICATIVO'!J91</f>
        <v>0</v>
      </c>
      <c r="K93" s="1425" t="str">
        <f>'PLAN INDICATIVO'!K91</f>
        <v>A.4.1.6</v>
      </c>
      <c r="L93" s="1425">
        <f>'PLAN INDICATIVO'!L91</f>
        <v>0</v>
      </c>
      <c r="M93" s="1425" t="str">
        <f>'PLAN INDICATIVO'!M91</f>
        <v>Secretaría de Educación, Cultura, deporte y Turismo</v>
      </c>
      <c r="N93" s="1425" t="str">
        <f>'PLAN INDICATIVO'!N91</f>
        <v>YIMI FERNANDO LOSADA PAYA</v>
      </c>
      <c r="O93" s="1425" t="str">
        <f>'PLAN INDICATIVO'!O91</f>
        <v>Incremento</v>
      </c>
      <c r="P93" s="942" t="str">
        <f>'PLAN INDICATIVO'!P91</f>
        <v xml:space="preserve">Construir 8 Parques Infantiles en el sector rural y urbano en el municipio en el cuatrienio </v>
      </c>
      <c r="Q93" s="302" t="str">
        <f>'PLAN INDICATIVO'!Q91</f>
        <v>No. De parques infantiles construidos</v>
      </c>
      <c r="R93" s="303">
        <f>'PLAN INDICATIVO'!R91</f>
        <v>2015</v>
      </c>
      <c r="S93" s="304">
        <v>1</v>
      </c>
      <c r="T93" s="677">
        <v>8</v>
      </c>
      <c r="U93" s="303">
        <v>2</v>
      </c>
      <c r="V93" s="687">
        <v>0.33</v>
      </c>
      <c r="W93" s="66">
        <v>5</v>
      </c>
      <c r="X93" s="687">
        <v>1000000</v>
      </c>
      <c r="Y93" s="66">
        <v>2</v>
      </c>
      <c r="Z93" s="687">
        <v>1000000</v>
      </c>
      <c r="AA93" s="66">
        <v>1</v>
      </c>
      <c r="AB93" s="572">
        <v>1000000</v>
      </c>
      <c r="AC93" s="665">
        <v>0</v>
      </c>
      <c r="AD93" s="945">
        <v>1</v>
      </c>
      <c r="AE93" s="665"/>
      <c r="AF93" s="665"/>
      <c r="AG93" s="306" t="s">
        <v>3526</v>
      </c>
      <c r="AH93" s="306">
        <v>2017413960006</v>
      </c>
      <c r="AI93" s="307" t="s">
        <v>3536</v>
      </c>
      <c r="AJ93" s="309">
        <v>42795</v>
      </c>
      <c r="AK93" s="309">
        <v>43038</v>
      </c>
      <c r="AL93" s="308"/>
      <c r="AM93" s="308"/>
      <c r="AN93" s="267" t="s">
        <v>2604</v>
      </c>
      <c r="AO93" s="507"/>
      <c r="AP93" s="525"/>
      <c r="AQ93" s="310"/>
      <c r="AR93" s="310"/>
      <c r="AS93" s="310"/>
      <c r="AT93" s="310"/>
      <c r="AU93" s="310"/>
      <c r="AV93" s="310"/>
      <c r="AW93" s="544">
        <f t="shared" si="41"/>
        <v>0</v>
      </c>
      <c r="AX93" s="525"/>
      <c r="AY93" s="310"/>
      <c r="AZ93" s="310"/>
      <c r="BA93" s="310"/>
      <c r="BB93" s="310"/>
      <c r="BC93" s="310"/>
      <c r="BD93" s="310"/>
      <c r="BE93" s="544">
        <f t="shared" si="46"/>
        <v>0</v>
      </c>
      <c r="BF93" s="525"/>
      <c r="BG93" s="310"/>
      <c r="BH93" s="310"/>
      <c r="BI93" s="310"/>
      <c r="BJ93" s="310"/>
      <c r="BK93" s="310"/>
      <c r="BL93" s="310"/>
      <c r="BM93" s="544">
        <f t="shared" si="47"/>
        <v>0</v>
      </c>
      <c r="BN93" s="525"/>
      <c r="BO93" s="310"/>
      <c r="BP93" s="310"/>
      <c r="BQ93" s="310"/>
      <c r="BR93" s="310"/>
      <c r="BS93" s="310"/>
      <c r="BT93" s="310"/>
      <c r="BU93" s="544">
        <f t="shared" si="48"/>
        <v>0</v>
      </c>
      <c r="BV93" s="556"/>
      <c r="BW93" s="663">
        <f t="shared" si="31"/>
        <v>1</v>
      </c>
      <c r="BX93" s="674">
        <f t="shared" si="32"/>
        <v>0.125</v>
      </c>
      <c r="BY93" s="561">
        <f t="shared" si="33"/>
        <v>0</v>
      </c>
      <c r="BZ93" s="674">
        <f t="shared" si="34"/>
        <v>0.2</v>
      </c>
      <c r="CA93" s="675">
        <f t="shared" si="35"/>
        <v>0</v>
      </c>
      <c r="CB93" s="675">
        <f t="shared" si="36"/>
        <v>0</v>
      </c>
    </row>
    <row r="94" spans="1:80" ht="59.25" hidden="1" customHeight="1" x14ac:dyDescent="0.25">
      <c r="A94" s="298" t="s">
        <v>280</v>
      </c>
      <c r="B94" s="299" t="str">
        <f>'PLAN INDICATIVO'!B92</f>
        <v>Deporte y Recreación</v>
      </c>
      <c r="C94" s="1547"/>
      <c r="D94" s="1551"/>
      <c r="E94" s="1551"/>
      <c r="F94" s="1551"/>
      <c r="G94" s="1551"/>
      <c r="H94" s="1551"/>
      <c r="I94" s="300">
        <f>'PLAN INDICATIVO'!I92</f>
        <v>0</v>
      </c>
      <c r="J94" s="300">
        <f>'PLAN INDICATIVO'!J92</f>
        <v>0</v>
      </c>
      <c r="K94" s="1425" t="str">
        <f>'PLAN INDICATIVO'!K92</f>
        <v>A.4.1.7</v>
      </c>
      <c r="L94" s="1425">
        <f>'PLAN INDICATIVO'!L92</f>
        <v>0</v>
      </c>
      <c r="M94" s="1425" t="str">
        <f>'PLAN INDICATIVO'!M92</f>
        <v>Secretaría de Educación, Cultura, deporte y Turismo</v>
      </c>
      <c r="N94" s="1425" t="str">
        <f>'PLAN INDICATIVO'!N92</f>
        <v>YIMI FERNANDO LOSADA PAYA</v>
      </c>
      <c r="O94" s="1425" t="str">
        <f>'PLAN INDICATIVO'!O92</f>
        <v>Incremento</v>
      </c>
      <c r="P94" s="16" t="str">
        <f>'PLAN INDICATIVO'!P92</f>
        <v>Realizar 4 campeonatos de deportes alternativos durante el cuatrienio dirigido a la población juvenil del municipio.</v>
      </c>
      <c r="Q94" s="302" t="str">
        <f>'PLAN INDICATIVO'!Q92</f>
        <v>No. De  campeonatos realizados</v>
      </c>
      <c r="R94" s="303">
        <f>'PLAN INDICATIVO'!R92</f>
        <v>2015</v>
      </c>
      <c r="S94" s="304" t="s">
        <v>177</v>
      </c>
      <c r="T94" s="677">
        <v>4</v>
      </c>
      <c r="U94" s="303">
        <v>1</v>
      </c>
      <c r="V94" s="687">
        <v>25</v>
      </c>
      <c r="W94" s="572">
        <v>1</v>
      </c>
      <c r="X94" s="687">
        <v>1000000</v>
      </c>
      <c r="Y94" s="572">
        <v>1</v>
      </c>
      <c r="Z94" s="687">
        <v>1000000</v>
      </c>
      <c r="AA94" s="572">
        <v>1</v>
      </c>
      <c r="AB94" s="572">
        <v>1000000</v>
      </c>
      <c r="AC94" s="665">
        <v>1</v>
      </c>
      <c r="AD94" s="665">
        <v>1</v>
      </c>
      <c r="AE94" s="665"/>
      <c r="AF94" s="665"/>
      <c r="AG94" s="306" t="s">
        <v>3526</v>
      </c>
      <c r="AH94" s="306">
        <v>2017413960006</v>
      </c>
      <c r="AI94" s="307" t="s">
        <v>3537</v>
      </c>
      <c r="AJ94" s="309">
        <v>42948</v>
      </c>
      <c r="AK94" s="309">
        <v>43038</v>
      </c>
      <c r="AL94" s="308"/>
      <c r="AM94" s="308"/>
      <c r="AN94" s="267" t="s">
        <v>2598</v>
      </c>
      <c r="AO94" s="507"/>
      <c r="AP94" s="525"/>
      <c r="AQ94" s="310"/>
      <c r="AR94" s="310"/>
      <c r="AS94" s="310"/>
      <c r="AT94" s="310"/>
      <c r="AU94" s="310"/>
      <c r="AV94" s="310" t="s">
        <v>3528</v>
      </c>
      <c r="AW94" s="544">
        <f t="shared" si="41"/>
        <v>0</v>
      </c>
      <c r="AX94" s="525"/>
      <c r="AY94" s="310"/>
      <c r="AZ94" s="310"/>
      <c r="BA94" s="310"/>
      <c r="BB94" s="310"/>
      <c r="BC94" s="310"/>
      <c r="BD94" s="310"/>
      <c r="BE94" s="544">
        <f t="shared" si="46"/>
        <v>0</v>
      </c>
      <c r="BF94" s="525"/>
      <c r="BG94" s="310"/>
      <c r="BH94" s="310"/>
      <c r="BI94" s="310"/>
      <c r="BJ94" s="310"/>
      <c r="BK94" s="310"/>
      <c r="BL94" s="310"/>
      <c r="BM94" s="544">
        <f t="shared" si="47"/>
        <v>0</v>
      </c>
      <c r="BN94" s="525"/>
      <c r="BO94" s="310"/>
      <c r="BP94" s="310"/>
      <c r="BQ94" s="310"/>
      <c r="BR94" s="310"/>
      <c r="BS94" s="310"/>
      <c r="BT94" s="310"/>
      <c r="BU94" s="544">
        <f t="shared" si="48"/>
        <v>0</v>
      </c>
      <c r="BV94" s="556"/>
      <c r="BW94" s="663">
        <f t="shared" si="31"/>
        <v>2</v>
      </c>
      <c r="BX94" s="674">
        <f t="shared" si="32"/>
        <v>0.5</v>
      </c>
      <c r="BY94" s="835">
        <f t="shared" si="33"/>
        <v>1</v>
      </c>
      <c r="BZ94" s="674">
        <f t="shared" si="34"/>
        <v>1</v>
      </c>
      <c r="CA94" s="675">
        <f t="shared" si="35"/>
        <v>0</v>
      </c>
      <c r="CB94" s="675">
        <f t="shared" si="36"/>
        <v>0</v>
      </c>
    </row>
    <row r="95" spans="1:80" ht="69" hidden="1" customHeight="1" x14ac:dyDescent="0.25">
      <c r="A95" s="298" t="s">
        <v>280</v>
      </c>
      <c r="B95" s="299" t="str">
        <f>'PLAN INDICATIVO'!B93</f>
        <v>Deporte y Recreación</v>
      </c>
      <c r="C95" s="1547"/>
      <c r="D95" s="1551"/>
      <c r="E95" s="1551"/>
      <c r="F95" s="1551"/>
      <c r="G95" s="1551"/>
      <c r="H95" s="1551"/>
      <c r="I95" s="300">
        <f>'PLAN INDICATIVO'!I93</f>
        <v>0</v>
      </c>
      <c r="J95" s="300">
        <f>'PLAN INDICATIVO'!J93</f>
        <v>0</v>
      </c>
      <c r="K95" s="1425" t="str">
        <f>'PLAN INDICATIVO'!K93</f>
        <v>A.4.1.8</v>
      </c>
      <c r="L95" s="1425">
        <f>'PLAN INDICATIVO'!L93</f>
        <v>0</v>
      </c>
      <c r="M95" s="1425" t="str">
        <f>'PLAN INDICATIVO'!M93</f>
        <v>Secretaría de Educación, Cultura, deporte y Turismo</v>
      </c>
      <c r="N95" s="1425" t="str">
        <f>'PLAN INDICATIVO'!N93</f>
        <v>YIMI FERNANDO LOSADA PAYA</v>
      </c>
      <c r="O95" s="1425" t="str">
        <f>'PLAN INDICATIVO'!O93</f>
        <v>Incremento</v>
      </c>
      <c r="P95" s="16" t="str">
        <f>'PLAN INDICATIVO'!P93</f>
        <v>Desarrollar 4 Festivales Deportivo-Recreativo para personas en situación de discapacidad durante el cuatrienio.</v>
      </c>
      <c r="Q95" s="302" t="str">
        <f>'PLAN INDICATIVO'!Q93</f>
        <v>No. Festivales deportivos - recreativos realizados</v>
      </c>
      <c r="R95" s="303">
        <f>'PLAN INDICATIVO'!R93</f>
        <v>2015</v>
      </c>
      <c r="S95" s="304">
        <v>0</v>
      </c>
      <c r="T95" s="677">
        <v>4</v>
      </c>
      <c r="U95" s="303">
        <v>1</v>
      </c>
      <c r="V95" s="687">
        <v>5</v>
      </c>
      <c r="W95" s="572">
        <v>1</v>
      </c>
      <c r="X95" s="687">
        <v>1000000</v>
      </c>
      <c r="Y95" s="572">
        <v>1</v>
      </c>
      <c r="Z95" s="687">
        <v>1000000</v>
      </c>
      <c r="AA95" s="572">
        <v>1</v>
      </c>
      <c r="AB95" s="572">
        <v>1000000</v>
      </c>
      <c r="AC95" s="665">
        <v>1</v>
      </c>
      <c r="AD95" s="665">
        <v>1</v>
      </c>
      <c r="AE95" s="665"/>
      <c r="AF95" s="665"/>
      <c r="AG95" s="306" t="s">
        <v>3526</v>
      </c>
      <c r="AH95" s="306">
        <v>2017413960006</v>
      </c>
      <c r="AI95" s="307" t="s">
        <v>3538</v>
      </c>
      <c r="AJ95" s="309">
        <v>43009</v>
      </c>
      <c r="AK95" s="309">
        <v>43084</v>
      </c>
      <c r="AL95" s="308"/>
      <c r="AM95" s="308"/>
      <c r="AN95" s="267" t="s">
        <v>2598</v>
      </c>
      <c r="AO95" s="507" t="s">
        <v>3539</v>
      </c>
      <c r="AP95" s="525"/>
      <c r="AQ95" s="310">
        <v>2800000</v>
      </c>
      <c r="AR95" s="310"/>
      <c r="AS95" s="310"/>
      <c r="AT95" s="310"/>
      <c r="AU95" s="310"/>
      <c r="AV95" s="310"/>
      <c r="AW95" s="544">
        <f t="shared" si="41"/>
        <v>2800000</v>
      </c>
      <c r="AX95" s="525"/>
      <c r="AY95" s="310"/>
      <c r="AZ95" s="310"/>
      <c r="BA95" s="310"/>
      <c r="BB95" s="310"/>
      <c r="BC95" s="310"/>
      <c r="BD95" s="310"/>
      <c r="BE95" s="544">
        <f t="shared" si="46"/>
        <v>0</v>
      </c>
      <c r="BF95" s="525"/>
      <c r="BG95" s="310"/>
      <c r="BH95" s="310"/>
      <c r="BI95" s="310"/>
      <c r="BJ95" s="310"/>
      <c r="BK95" s="310"/>
      <c r="BL95" s="310"/>
      <c r="BM95" s="544">
        <f t="shared" si="47"/>
        <v>0</v>
      </c>
      <c r="BN95" s="525"/>
      <c r="BO95" s="310"/>
      <c r="BP95" s="310"/>
      <c r="BQ95" s="310"/>
      <c r="BR95" s="310"/>
      <c r="BS95" s="310"/>
      <c r="BT95" s="310"/>
      <c r="BU95" s="544">
        <f t="shared" si="48"/>
        <v>0</v>
      </c>
      <c r="BV95" s="556"/>
      <c r="BW95" s="663">
        <f t="shared" si="31"/>
        <v>2</v>
      </c>
      <c r="BX95" s="674">
        <f t="shared" si="32"/>
        <v>0.5</v>
      </c>
      <c r="BY95" s="835">
        <f t="shared" si="33"/>
        <v>1</v>
      </c>
      <c r="BZ95" s="674">
        <f t="shared" si="34"/>
        <v>1</v>
      </c>
      <c r="CA95" s="675">
        <f t="shared" si="35"/>
        <v>0</v>
      </c>
      <c r="CB95" s="675">
        <f t="shared" si="36"/>
        <v>0</v>
      </c>
    </row>
    <row r="96" spans="1:80" ht="93" hidden="1" customHeight="1" x14ac:dyDescent="0.25">
      <c r="A96" s="298" t="s">
        <v>280</v>
      </c>
      <c r="B96" s="299" t="str">
        <f>'PLAN INDICATIVO'!B94</f>
        <v>Deporte y Recreación</v>
      </c>
      <c r="C96" s="1547"/>
      <c r="D96" s="1551"/>
      <c r="E96" s="1551"/>
      <c r="F96" s="1551"/>
      <c r="G96" s="1551"/>
      <c r="H96" s="1551"/>
      <c r="I96" s="1425" t="str">
        <f>'PLAN INDICATIVO'!I94</f>
        <v>SI</v>
      </c>
      <c r="J96" s="1425">
        <f>'PLAN INDICATIVO'!J94</f>
        <v>0</v>
      </c>
      <c r="K96" s="1425" t="str">
        <f>'PLAN INDICATIVO'!K94</f>
        <v>A.4.1.9</v>
      </c>
      <c r="L96" s="1425">
        <f>'PLAN INDICATIVO'!L94</f>
        <v>0</v>
      </c>
      <c r="M96" s="1425" t="str">
        <f>'PLAN INDICATIVO'!M94</f>
        <v>Secretaría de Educación, Cultura, deporte y Turismo</v>
      </c>
      <c r="N96" s="1425" t="str">
        <f>'PLAN INDICATIVO'!N94</f>
        <v>YIMI FERNANDO LOSADA PAYA</v>
      </c>
      <c r="O96" s="1425" t="str">
        <f>'PLAN INDICATIVO'!O94</f>
        <v>Incremento</v>
      </c>
      <c r="P96" s="25" t="str">
        <f>'PLAN INDICATIVO'!P94</f>
        <v>Construir 1 escenario educativo, recreativo, cultural y comunitario denominado Aldea Para la Felicidad, durante el cuatrienio</v>
      </c>
      <c r="Q96" s="302" t="str">
        <f>'PLAN INDICATIVO'!Q94</f>
        <v>No. De complejos construidos durante el cuatrienio</v>
      </c>
      <c r="R96" s="303">
        <f>'PLAN INDICATIVO'!R94</f>
        <v>2015</v>
      </c>
      <c r="S96" s="304">
        <v>0</v>
      </c>
      <c r="T96" s="677">
        <v>1</v>
      </c>
      <c r="U96" s="303">
        <v>0</v>
      </c>
      <c r="V96" s="687">
        <v>500</v>
      </c>
      <c r="W96" s="66">
        <v>0</v>
      </c>
      <c r="X96" s="687">
        <v>500000000</v>
      </c>
      <c r="Y96" s="572">
        <v>0</v>
      </c>
      <c r="Z96" s="687">
        <v>1000000</v>
      </c>
      <c r="AA96" s="823">
        <v>1</v>
      </c>
      <c r="AB96" s="572">
        <v>1000000</v>
      </c>
      <c r="AC96" s="665">
        <v>0</v>
      </c>
      <c r="AD96" s="665"/>
      <c r="AE96" s="665"/>
      <c r="AF96" s="665"/>
      <c r="AG96" s="306" t="s">
        <v>3526</v>
      </c>
      <c r="AH96" s="306">
        <v>2017413960006</v>
      </c>
      <c r="AI96" s="307"/>
      <c r="AJ96" s="309">
        <v>42826</v>
      </c>
      <c r="AK96" s="309">
        <v>43069</v>
      </c>
      <c r="AL96" s="308"/>
      <c r="AM96" s="308"/>
      <c r="AN96" s="267" t="s">
        <v>2600</v>
      </c>
      <c r="AO96" s="507"/>
      <c r="AP96" s="525"/>
      <c r="AQ96" s="310"/>
      <c r="AR96" s="310"/>
      <c r="AS96" s="310"/>
      <c r="AT96" s="310"/>
      <c r="AU96" s="310"/>
      <c r="AV96" s="310"/>
      <c r="AW96" s="544">
        <f t="shared" si="41"/>
        <v>0</v>
      </c>
      <c r="AX96" s="525"/>
      <c r="AY96" s="310"/>
      <c r="AZ96" s="310"/>
      <c r="BA96" s="310"/>
      <c r="BB96" s="310"/>
      <c r="BC96" s="310"/>
      <c r="BD96" s="310"/>
      <c r="BE96" s="544">
        <f t="shared" si="46"/>
        <v>0</v>
      </c>
      <c r="BF96" s="525"/>
      <c r="BG96" s="310"/>
      <c r="BH96" s="310"/>
      <c r="BI96" s="310"/>
      <c r="BJ96" s="310"/>
      <c r="BK96" s="310"/>
      <c r="BL96" s="310"/>
      <c r="BM96" s="544">
        <f t="shared" si="47"/>
        <v>0</v>
      </c>
      <c r="BN96" s="525"/>
      <c r="BO96" s="310"/>
      <c r="BP96" s="310"/>
      <c r="BQ96" s="310"/>
      <c r="BR96" s="310"/>
      <c r="BS96" s="310"/>
      <c r="BT96" s="310"/>
      <c r="BU96" s="544">
        <f t="shared" si="48"/>
        <v>0</v>
      </c>
      <c r="BV96" s="556"/>
      <c r="BW96" s="663">
        <f t="shared" si="31"/>
        <v>0</v>
      </c>
      <c r="BX96" s="674">
        <f t="shared" si="32"/>
        <v>0</v>
      </c>
      <c r="BY96" s="561" t="e">
        <f t="shared" si="33"/>
        <v>#DIV/0!</v>
      </c>
      <c r="BZ96" s="674" t="e">
        <f t="shared" si="34"/>
        <v>#DIV/0!</v>
      </c>
      <c r="CA96" s="675" t="e">
        <f t="shared" si="35"/>
        <v>#DIV/0!</v>
      </c>
      <c r="CB96" s="675">
        <f t="shared" si="36"/>
        <v>0</v>
      </c>
    </row>
    <row r="97" spans="1:80" ht="72" hidden="1" customHeight="1" x14ac:dyDescent="0.25">
      <c r="A97" s="298" t="s">
        <v>280</v>
      </c>
      <c r="B97" s="299" t="str">
        <f>'PLAN INDICATIVO'!B95</f>
        <v>Deporte y Recreación</v>
      </c>
      <c r="C97" s="1547"/>
      <c r="D97" s="1551"/>
      <c r="E97" s="1551"/>
      <c r="F97" s="1551"/>
      <c r="G97" s="1551"/>
      <c r="H97" s="1551"/>
      <c r="I97" s="300">
        <f>'PLAN INDICATIVO'!I95</f>
        <v>0</v>
      </c>
      <c r="J97" s="300">
        <f>'PLAN INDICATIVO'!J95</f>
        <v>0</v>
      </c>
      <c r="K97" s="1425" t="str">
        <f>'PLAN INDICATIVO'!K95</f>
        <v>A.4.1.10</v>
      </c>
      <c r="L97" s="1425">
        <f>'PLAN INDICATIVO'!L95</f>
        <v>0</v>
      </c>
      <c r="M97" s="1425" t="str">
        <f>'PLAN INDICATIVO'!M95</f>
        <v>Secretaría de Educación, Cultura, deporte y Turismo</v>
      </c>
      <c r="N97" s="1425" t="str">
        <f>'PLAN INDICATIVO'!N95</f>
        <v>YIMI FERNANDO LOSADA PAYA</v>
      </c>
      <c r="O97" s="1425" t="str">
        <f>'PLAN INDICATIVO'!O95</f>
        <v>Incremento</v>
      </c>
      <c r="P97" s="16" t="str">
        <f>'PLAN INDICATIVO'!P95</f>
        <v>Desarrollar un programa de Actividad Física por año durante el cuatrienio dirigido a la población adulta mayor.</v>
      </c>
      <c r="Q97" s="302" t="str">
        <f>'PLAN INDICATIVO'!Q95</f>
        <v>No. De programas desarrollados</v>
      </c>
      <c r="R97" s="303">
        <f>'PLAN INDICATIVO'!R95</f>
        <v>2015</v>
      </c>
      <c r="S97" s="304">
        <v>1</v>
      </c>
      <c r="T97" s="677">
        <v>4</v>
      </c>
      <c r="U97" s="303">
        <v>1</v>
      </c>
      <c r="V97" s="687">
        <v>5</v>
      </c>
      <c r="W97" s="572">
        <v>1</v>
      </c>
      <c r="X97" s="687">
        <v>1000000</v>
      </c>
      <c r="Y97" s="572">
        <v>1</v>
      </c>
      <c r="Z97" s="687">
        <v>1000000</v>
      </c>
      <c r="AA97" s="572">
        <v>1</v>
      </c>
      <c r="AB97" s="572">
        <v>1000000</v>
      </c>
      <c r="AC97" s="665">
        <v>1</v>
      </c>
      <c r="AD97" s="665">
        <v>1</v>
      </c>
      <c r="AE97" s="665"/>
      <c r="AF97" s="665"/>
      <c r="AG97" s="306" t="s">
        <v>3526</v>
      </c>
      <c r="AH97" s="306">
        <v>2017413960006</v>
      </c>
      <c r="AI97" s="307" t="s">
        <v>3540</v>
      </c>
      <c r="AJ97" s="309">
        <v>43009</v>
      </c>
      <c r="AK97" s="309">
        <v>43084</v>
      </c>
      <c r="AL97" s="308"/>
      <c r="AM97" s="308"/>
      <c r="AN97" s="267" t="s">
        <v>2598</v>
      </c>
      <c r="AO97" s="507" t="s">
        <v>3541</v>
      </c>
      <c r="AP97" s="525"/>
      <c r="AQ97" s="310">
        <v>9800000</v>
      </c>
      <c r="AR97" s="525"/>
      <c r="AS97" s="310"/>
      <c r="AT97" s="310"/>
      <c r="AU97" s="310"/>
      <c r="AV97" s="310"/>
      <c r="AW97" s="544">
        <f t="shared" si="41"/>
        <v>9800000</v>
      </c>
      <c r="AX97" s="525"/>
      <c r="AY97" s="310"/>
      <c r="AZ97" s="310"/>
      <c r="BA97" s="310"/>
      <c r="BB97" s="310"/>
      <c r="BC97" s="310"/>
      <c r="BD97" s="310"/>
      <c r="BE97" s="544">
        <f t="shared" si="46"/>
        <v>0</v>
      </c>
      <c r="BF97" s="525"/>
      <c r="BG97" s="310"/>
      <c r="BH97" s="310"/>
      <c r="BI97" s="310"/>
      <c r="BJ97" s="310"/>
      <c r="BK97" s="310"/>
      <c r="BL97" s="310"/>
      <c r="BM97" s="544">
        <f t="shared" si="47"/>
        <v>0</v>
      </c>
      <c r="BN97" s="525"/>
      <c r="BO97" s="310"/>
      <c r="BP97" s="310"/>
      <c r="BQ97" s="310"/>
      <c r="BR97" s="310"/>
      <c r="BS97" s="310"/>
      <c r="BT97" s="310"/>
      <c r="BU97" s="544">
        <f t="shared" si="48"/>
        <v>0</v>
      </c>
      <c r="BV97" s="556"/>
      <c r="BW97" s="663">
        <f t="shared" si="31"/>
        <v>2</v>
      </c>
      <c r="BX97" s="674">
        <f t="shared" si="32"/>
        <v>0.5</v>
      </c>
      <c r="BY97" s="835">
        <f t="shared" si="33"/>
        <v>1</v>
      </c>
      <c r="BZ97" s="674">
        <f t="shared" si="34"/>
        <v>1</v>
      </c>
      <c r="CA97" s="675">
        <f t="shared" si="35"/>
        <v>0</v>
      </c>
      <c r="CB97" s="675">
        <f t="shared" si="36"/>
        <v>0</v>
      </c>
    </row>
    <row r="98" spans="1:80" ht="99.75" hidden="1" customHeight="1" x14ac:dyDescent="0.25">
      <c r="A98" s="298" t="s">
        <v>280</v>
      </c>
      <c r="B98" s="299" t="str">
        <f>'PLAN INDICATIVO'!B96</f>
        <v>Deporte y Recreación</v>
      </c>
      <c r="C98" s="1548"/>
      <c r="D98" s="1552"/>
      <c r="E98" s="1552"/>
      <c r="F98" s="1552"/>
      <c r="G98" s="1552"/>
      <c r="H98" s="1552"/>
      <c r="I98" s="300">
        <f>'PLAN INDICATIVO'!I96</f>
        <v>0</v>
      </c>
      <c r="J98" s="300">
        <f>'PLAN INDICATIVO'!J96</f>
        <v>0</v>
      </c>
      <c r="K98" s="1425" t="str">
        <f>'PLAN INDICATIVO'!K96</f>
        <v>A.4.1.11</v>
      </c>
      <c r="L98" s="1425">
        <f>'PLAN INDICATIVO'!L96</f>
        <v>0</v>
      </c>
      <c r="M98" s="1425" t="str">
        <f>'PLAN INDICATIVO'!M96</f>
        <v>Secretaría de Educación, Cultura, deporte y Turismo</v>
      </c>
      <c r="N98" s="1425" t="str">
        <f>'PLAN INDICATIVO'!N96</f>
        <v>YIMI FERNANDO LOSADA PAYA</v>
      </c>
      <c r="O98" s="1425" t="str">
        <f>'PLAN INDICATIVO'!O96</f>
        <v>Mantenimiento</v>
      </c>
      <c r="P98" s="16" t="str">
        <f>'PLAN INDICATIVO'!P96</f>
        <v>Fomentar y apoyar  4 Escuelas de Formación en las diferentes disciplinas deportivas en el sector urbano y rural del municipio durante el cuatrienio.</v>
      </c>
      <c r="Q98" s="302" t="str">
        <f>'PLAN INDICATIVO'!Q96</f>
        <v>No. De escuelas apoyadas</v>
      </c>
      <c r="R98" s="303">
        <f>'PLAN INDICATIVO'!R96</f>
        <v>2015</v>
      </c>
      <c r="S98" s="304">
        <v>1</v>
      </c>
      <c r="T98" s="677">
        <v>4</v>
      </c>
      <c r="U98" s="303">
        <v>4</v>
      </c>
      <c r="V98" s="687">
        <v>29</v>
      </c>
      <c r="W98" s="572">
        <v>4</v>
      </c>
      <c r="X98" s="687">
        <v>41600000</v>
      </c>
      <c r="Y98" s="572">
        <v>4</v>
      </c>
      <c r="Z98" s="687">
        <v>52000000</v>
      </c>
      <c r="AA98" s="572">
        <v>4</v>
      </c>
      <c r="AB98" s="572">
        <v>51000000</v>
      </c>
      <c r="AC98" s="665">
        <v>4</v>
      </c>
      <c r="AD98" s="665">
        <v>4</v>
      </c>
      <c r="AE98" s="665"/>
      <c r="AF98" s="665"/>
      <c r="AG98" s="306" t="s">
        <v>3526</v>
      </c>
      <c r="AH98" s="306">
        <v>2017413960006</v>
      </c>
      <c r="AI98" s="307" t="s">
        <v>3542</v>
      </c>
      <c r="AJ98" s="309">
        <v>42767</v>
      </c>
      <c r="AK98" s="309">
        <v>43084</v>
      </c>
      <c r="AL98" s="308"/>
      <c r="AM98" s="308"/>
      <c r="AN98" s="267" t="s">
        <v>2598</v>
      </c>
      <c r="AO98" s="507" t="s">
        <v>3543</v>
      </c>
      <c r="AP98" s="525"/>
      <c r="AQ98" s="310">
        <v>57900000</v>
      </c>
      <c r="AR98" s="310"/>
      <c r="AS98" s="310"/>
      <c r="AT98" s="310"/>
      <c r="AU98" s="310"/>
      <c r="AV98" s="310"/>
      <c r="AW98" s="544">
        <f t="shared" si="41"/>
        <v>57900000</v>
      </c>
      <c r="AX98" s="525"/>
      <c r="AY98" s="310"/>
      <c r="AZ98" s="310"/>
      <c r="BA98" s="310"/>
      <c r="BB98" s="310"/>
      <c r="BC98" s="310"/>
      <c r="BD98" s="310"/>
      <c r="BE98" s="544">
        <f t="shared" si="46"/>
        <v>0</v>
      </c>
      <c r="BF98" s="525"/>
      <c r="BG98" s="310"/>
      <c r="BH98" s="310"/>
      <c r="BI98" s="310"/>
      <c r="BJ98" s="310"/>
      <c r="BK98" s="310"/>
      <c r="BL98" s="310"/>
      <c r="BM98" s="544">
        <f t="shared" si="47"/>
        <v>0</v>
      </c>
      <c r="BN98" s="525"/>
      <c r="BO98" s="310"/>
      <c r="BP98" s="310"/>
      <c r="BQ98" s="310"/>
      <c r="BR98" s="310"/>
      <c r="BS98" s="310"/>
      <c r="BT98" s="310"/>
      <c r="BU98" s="544">
        <f t="shared" si="48"/>
        <v>0</v>
      </c>
      <c r="BV98" s="556"/>
      <c r="BW98" s="663">
        <f t="shared" si="31"/>
        <v>8</v>
      </c>
      <c r="BX98" s="674">
        <f t="shared" si="32"/>
        <v>2</v>
      </c>
      <c r="BY98" s="835">
        <f t="shared" si="33"/>
        <v>1</v>
      </c>
      <c r="BZ98" s="674">
        <f t="shared" si="34"/>
        <v>1</v>
      </c>
      <c r="CA98" s="675">
        <f t="shared" si="35"/>
        <v>0</v>
      </c>
      <c r="CB98" s="675">
        <f t="shared" si="36"/>
        <v>0</v>
      </c>
    </row>
    <row r="99" spans="1:80" ht="30.75" hidden="1" customHeight="1" x14ac:dyDescent="0.25">
      <c r="A99" s="295" t="s">
        <v>280</v>
      </c>
      <c r="B99" s="24" t="str">
        <f>'PLAN INDICATIVO'!B97</f>
        <v>Deporte y Recreación</v>
      </c>
      <c r="C99" s="1574" t="s">
        <v>317</v>
      </c>
      <c r="D99" s="1575"/>
      <c r="E99" s="1575"/>
      <c r="F99" s="1575"/>
      <c r="G99" s="1575"/>
      <c r="H99" s="1575"/>
      <c r="I99" s="1575"/>
      <c r="J99" s="1575"/>
      <c r="K99" s="1575"/>
      <c r="L99" s="1575"/>
      <c r="M99" s="1575"/>
      <c r="N99" s="1575"/>
      <c r="O99" s="1576"/>
      <c r="P99" s="22"/>
      <c r="Q99" s="22"/>
      <c r="R99" s="1"/>
      <c r="S99" s="261"/>
      <c r="T99" s="681"/>
      <c r="U99" s="261"/>
      <c r="V99" s="695">
        <f>SUM(V100:V107)</f>
        <v>44</v>
      </c>
      <c r="W99" s="695"/>
      <c r="X99" s="695">
        <f>SUM(X100:X107)</f>
        <v>50000000</v>
      </c>
      <c r="Y99" s="695"/>
      <c r="Z99" s="695">
        <f>SUM(Z100:Z107)</f>
        <v>50000000</v>
      </c>
      <c r="AA99" s="695"/>
      <c r="AB99" s="695">
        <f>SUM(AB100:AB107)</f>
        <v>50000000</v>
      </c>
      <c r="AC99" s="262"/>
      <c r="AD99" s="262"/>
      <c r="AE99" s="262"/>
      <c r="AF99" s="262"/>
      <c r="AG99" s="263"/>
      <c r="AH99" s="263"/>
      <c r="AI99" s="263"/>
      <c r="AJ99" s="262"/>
      <c r="AK99" s="262"/>
      <c r="AL99" s="262"/>
      <c r="AM99" s="262"/>
      <c r="AN99" s="262"/>
      <c r="AO99" s="612"/>
      <c r="AP99" s="616">
        <f>SUM(AP100:AP107)</f>
        <v>0</v>
      </c>
      <c r="AQ99" s="616">
        <f t="shared" ref="AQ99:AV99" si="49">SUM(AQ100:AQ107)</f>
        <v>108950000</v>
      </c>
      <c r="AR99" s="616">
        <f t="shared" si="49"/>
        <v>0</v>
      </c>
      <c r="AS99" s="616">
        <f t="shared" si="49"/>
        <v>0</v>
      </c>
      <c r="AT99" s="616">
        <f t="shared" si="49"/>
        <v>0</v>
      </c>
      <c r="AU99" s="616">
        <f t="shared" si="49"/>
        <v>0</v>
      </c>
      <c r="AV99" s="616">
        <f t="shared" si="49"/>
        <v>0</v>
      </c>
      <c r="AW99" s="616">
        <f>SUM(AW100:AW107)</f>
        <v>108950000</v>
      </c>
      <c r="AX99" s="616" t="e">
        <f>(AX100:AX107)</f>
        <v>#VALUE!</v>
      </c>
      <c r="AY99" s="616" t="e">
        <f t="shared" ref="AY99:BD99" si="50">(AY100:AY107)</f>
        <v>#VALUE!</v>
      </c>
      <c r="AZ99" s="616" t="e">
        <f t="shared" si="50"/>
        <v>#VALUE!</v>
      </c>
      <c r="BA99" s="616" t="e">
        <f t="shared" si="50"/>
        <v>#VALUE!</v>
      </c>
      <c r="BB99" s="616" t="e">
        <f t="shared" si="50"/>
        <v>#VALUE!</v>
      </c>
      <c r="BC99" s="616" t="e">
        <f t="shared" si="50"/>
        <v>#VALUE!</v>
      </c>
      <c r="BD99" s="616" t="e">
        <f t="shared" si="50"/>
        <v>#VALUE!</v>
      </c>
      <c r="BE99" s="617" t="e">
        <f t="shared" si="46"/>
        <v>#VALUE!</v>
      </c>
      <c r="BF99" s="616" t="e">
        <f>(BF100:BF107)</f>
        <v>#VALUE!</v>
      </c>
      <c r="BG99" s="616" t="e">
        <f t="shared" ref="BG99:BL99" si="51">(BG100:BG107)</f>
        <v>#VALUE!</v>
      </c>
      <c r="BH99" s="616" t="e">
        <f t="shared" si="51"/>
        <v>#VALUE!</v>
      </c>
      <c r="BI99" s="616" t="e">
        <f t="shared" si="51"/>
        <v>#VALUE!</v>
      </c>
      <c r="BJ99" s="616" t="e">
        <f t="shared" si="51"/>
        <v>#VALUE!</v>
      </c>
      <c r="BK99" s="616" t="e">
        <f t="shared" si="51"/>
        <v>#VALUE!</v>
      </c>
      <c r="BL99" s="616" t="e">
        <f t="shared" si="51"/>
        <v>#VALUE!</v>
      </c>
      <c r="BM99" s="617" t="e">
        <f t="shared" si="47"/>
        <v>#VALUE!</v>
      </c>
      <c r="BN99" s="616" t="e">
        <f>(BN100:BN107)</f>
        <v>#VALUE!</v>
      </c>
      <c r="BO99" s="616" t="e">
        <f t="shared" ref="BO99:BT99" si="52">(BO100:BO107)</f>
        <v>#VALUE!</v>
      </c>
      <c r="BP99" s="616" t="e">
        <f t="shared" si="52"/>
        <v>#VALUE!</v>
      </c>
      <c r="BQ99" s="616" t="e">
        <f t="shared" si="52"/>
        <v>#VALUE!</v>
      </c>
      <c r="BR99" s="616" t="e">
        <f t="shared" si="52"/>
        <v>#VALUE!</v>
      </c>
      <c r="BS99" s="616" t="e">
        <f t="shared" si="52"/>
        <v>#VALUE!</v>
      </c>
      <c r="BT99" s="616" t="e">
        <f t="shared" si="52"/>
        <v>#VALUE!</v>
      </c>
      <c r="BU99" s="617" t="e">
        <f t="shared" si="48"/>
        <v>#VALUE!</v>
      </c>
      <c r="BV99" s="556"/>
      <c r="BW99" s="663">
        <f t="shared" si="31"/>
        <v>0</v>
      </c>
      <c r="BX99" s="674" t="e">
        <f t="shared" si="32"/>
        <v>#DIV/0!</v>
      </c>
      <c r="BY99" s="613" t="e">
        <f t="shared" si="33"/>
        <v>#DIV/0!</v>
      </c>
      <c r="BZ99" s="674" t="e">
        <f t="shared" si="34"/>
        <v>#DIV/0!</v>
      </c>
      <c r="CA99" s="675" t="e">
        <f t="shared" si="35"/>
        <v>#DIV/0!</v>
      </c>
      <c r="CB99" s="675" t="e">
        <f t="shared" si="36"/>
        <v>#DIV/0!</v>
      </c>
    </row>
    <row r="100" spans="1:80" ht="108" hidden="1" customHeight="1" x14ac:dyDescent="0.25">
      <c r="A100" s="298" t="s">
        <v>280</v>
      </c>
      <c r="B100" s="299" t="str">
        <f>'PLAN INDICATIVO'!B98</f>
        <v>Deporte y Recreación</v>
      </c>
      <c r="C100" s="1546" t="s">
        <v>318</v>
      </c>
      <c r="D100" s="1549" t="s">
        <v>319</v>
      </c>
      <c r="E100" s="1549" t="s">
        <v>283</v>
      </c>
      <c r="F100" s="1549">
        <v>2015</v>
      </c>
      <c r="G100" s="1549">
        <v>8</v>
      </c>
      <c r="H100" s="1549">
        <v>15</v>
      </c>
      <c r="I100" s="300">
        <f>'PLAN INDICATIVO'!I98</f>
        <v>0</v>
      </c>
      <c r="J100" s="300">
        <f>'PLAN INDICATIVO'!J98</f>
        <v>0</v>
      </c>
      <c r="K100" s="1425" t="str">
        <f>'PLAN INDICATIVO'!K98</f>
        <v>A.4.2.1</v>
      </c>
      <c r="L100" s="1425">
        <f>'PLAN INDICATIVO'!L98</f>
        <v>0</v>
      </c>
      <c r="M100" s="1425" t="str">
        <f>'PLAN INDICATIVO'!M98</f>
        <v>Secretaría de Educación, Cultura, deporte y Turismo</v>
      </c>
      <c r="N100" s="1425" t="str">
        <f>'PLAN INDICATIVO'!N98</f>
        <v>YIMI FERNANDO LOSADA PAYA</v>
      </c>
      <c r="O100" s="1425" t="str">
        <f>'PLAN INDICATIVO'!O98</f>
        <v>Incremento</v>
      </c>
      <c r="P100" s="16" t="str">
        <f>'PLAN INDICATIVO'!P98</f>
        <v>Crear 1 programa de apoyo a los deportistas de alto  rendimiento que representen al municipio en ámbito regional, nacional e internacional por año durante el cuatrienio.</v>
      </c>
      <c r="Q100" s="302" t="str">
        <f>'PLAN INDICATIVO'!Q98</f>
        <v>No. De programas creados en el cuatrienio</v>
      </c>
      <c r="R100" s="303">
        <f>'PLAN INDICATIVO'!R98</f>
        <v>2015</v>
      </c>
      <c r="S100" s="304">
        <v>0</v>
      </c>
      <c r="T100" s="677">
        <v>4</v>
      </c>
      <c r="U100" s="303">
        <v>1</v>
      </c>
      <c r="V100" s="687">
        <v>2</v>
      </c>
      <c r="W100" s="572">
        <v>1</v>
      </c>
      <c r="X100" s="572">
        <v>1000000</v>
      </c>
      <c r="Y100" s="572">
        <v>1</v>
      </c>
      <c r="Z100" s="572">
        <v>1000000</v>
      </c>
      <c r="AA100" s="572">
        <v>1</v>
      </c>
      <c r="AB100" s="572">
        <v>1000000</v>
      </c>
      <c r="AC100" s="665">
        <v>1</v>
      </c>
      <c r="AD100" s="665">
        <v>1</v>
      </c>
      <c r="AE100" s="665"/>
      <c r="AF100" s="665"/>
      <c r="AG100" s="306" t="s">
        <v>3526</v>
      </c>
      <c r="AH100" s="306">
        <v>2017413960006</v>
      </c>
      <c r="AI100" s="307" t="s">
        <v>3544</v>
      </c>
      <c r="AJ100" s="309">
        <v>42948</v>
      </c>
      <c r="AK100" s="309">
        <v>43084</v>
      </c>
      <c r="AL100" s="308"/>
      <c r="AM100" s="308"/>
      <c r="AN100" s="267" t="s">
        <v>2598</v>
      </c>
      <c r="AO100" s="507" t="s">
        <v>3545</v>
      </c>
      <c r="AP100" s="525"/>
      <c r="AQ100" s="310">
        <v>1800000</v>
      </c>
      <c r="AR100" s="310"/>
      <c r="AS100" s="310"/>
      <c r="AT100" s="310"/>
      <c r="AU100" s="310"/>
      <c r="AV100" s="310"/>
      <c r="AW100" s="544">
        <f t="shared" si="41"/>
        <v>1800000</v>
      </c>
      <c r="AX100" s="525"/>
      <c r="AY100" s="310"/>
      <c r="AZ100" s="310"/>
      <c r="BA100" s="310"/>
      <c r="BB100" s="310"/>
      <c r="BC100" s="310"/>
      <c r="BD100" s="310"/>
      <c r="BE100" s="544">
        <f t="shared" si="46"/>
        <v>0</v>
      </c>
      <c r="BF100" s="525"/>
      <c r="BG100" s="310"/>
      <c r="BH100" s="310"/>
      <c r="BI100" s="310"/>
      <c r="BJ100" s="310"/>
      <c r="BK100" s="310"/>
      <c r="BL100" s="310"/>
      <c r="BM100" s="544">
        <f t="shared" si="47"/>
        <v>0</v>
      </c>
      <c r="BN100" s="525"/>
      <c r="BO100" s="310"/>
      <c r="BP100" s="310"/>
      <c r="BQ100" s="310"/>
      <c r="BR100" s="310"/>
      <c r="BS100" s="310"/>
      <c r="BT100" s="310"/>
      <c r="BU100" s="544">
        <f t="shared" si="48"/>
        <v>0</v>
      </c>
      <c r="BV100" s="556"/>
      <c r="BW100" s="663">
        <f t="shared" si="31"/>
        <v>2</v>
      </c>
      <c r="BX100" s="674">
        <f t="shared" si="32"/>
        <v>0.5</v>
      </c>
      <c r="BY100" s="835">
        <f t="shared" si="33"/>
        <v>1</v>
      </c>
      <c r="BZ100" s="674">
        <f t="shared" si="34"/>
        <v>1</v>
      </c>
      <c r="CA100" s="675">
        <f t="shared" si="35"/>
        <v>0</v>
      </c>
      <c r="CB100" s="675">
        <f t="shared" si="36"/>
        <v>0</v>
      </c>
    </row>
    <row r="101" spans="1:80" ht="66.75" hidden="1" customHeight="1" x14ac:dyDescent="0.25">
      <c r="A101" s="298" t="s">
        <v>280</v>
      </c>
      <c r="B101" s="299" t="str">
        <f>'PLAN INDICATIVO'!B99</f>
        <v>Deporte y Recreación</v>
      </c>
      <c r="C101" s="1547"/>
      <c r="D101" s="1549"/>
      <c r="E101" s="1549"/>
      <c r="F101" s="1549"/>
      <c r="G101" s="1549"/>
      <c r="H101" s="1549"/>
      <c r="I101" s="300">
        <f>'PLAN INDICATIVO'!I99</f>
        <v>0</v>
      </c>
      <c r="J101" s="300">
        <f>'PLAN INDICATIVO'!J99</f>
        <v>0</v>
      </c>
      <c r="K101" s="1425" t="str">
        <f>'PLAN INDICATIVO'!K99</f>
        <v>A.4.2.2</v>
      </c>
      <c r="L101" s="1425">
        <f>'PLAN INDICATIVO'!L99</f>
        <v>0</v>
      </c>
      <c r="M101" s="1425" t="str">
        <f>'PLAN INDICATIVO'!M99</f>
        <v>Secretaría de Educación, Cultura, deporte y Turismo</v>
      </c>
      <c r="N101" s="1425" t="str">
        <f>'PLAN INDICATIVO'!N99</f>
        <v>YIMI FERNANDO LOSADA PAYA</v>
      </c>
      <c r="O101" s="1425" t="str">
        <f>'PLAN INDICATIVO'!O99</f>
        <v>Incremento</v>
      </c>
      <c r="P101" s="16" t="str">
        <f>'PLAN INDICATIVO'!P99</f>
        <v>Realizar 4 dotaciones durante el cuatrienio de implementos deportivos a deportistas locales</v>
      </c>
      <c r="Q101" s="302" t="str">
        <f>'PLAN INDICATIVO'!Q99</f>
        <v>No. De dotaciones realizadas</v>
      </c>
      <c r="R101" s="303">
        <f>'PLAN INDICATIVO'!R99</f>
        <v>2015</v>
      </c>
      <c r="S101" s="304">
        <v>1</v>
      </c>
      <c r="T101" s="677">
        <v>4</v>
      </c>
      <c r="U101" s="303">
        <v>1</v>
      </c>
      <c r="V101" s="687">
        <v>5</v>
      </c>
      <c r="W101" s="572">
        <v>1</v>
      </c>
      <c r="X101" s="572">
        <v>6000000</v>
      </c>
      <c r="Y101" s="572">
        <v>1</v>
      </c>
      <c r="Z101" s="572">
        <v>6000000</v>
      </c>
      <c r="AA101" s="572">
        <v>1</v>
      </c>
      <c r="AB101" s="572">
        <v>6000000</v>
      </c>
      <c r="AC101" s="665">
        <v>1</v>
      </c>
      <c r="AD101" s="665">
        <v>1</v>
      </c>
      <c r="AE101" s="665"/>
      <c r="AF101" s="665"/>
      <c r="AG101" s="306" t="s">
        <v>3526</v>
      </c>
      <c r="AH101" s="306">
        <v>2017413960006</v>
      </c>
      <c r="AI101" s="307" t="s">
        <v>3546</v>
      </c>
      <c r="AJ101" s="309">
        <v>42948</v>
      </c>
      <c r="AK101" s="309">
        <v>43084</v>
      </c>
      <c r="AL101" s="308"/>
      <c r="AM101" s="308"/>
      <c r="AN101" s="267" t="s">
        <v>2598</v>
      </c>
      <c r="AO101" s="765"/>
      <c r="AP101" s="525"/>
      <c r="AQ101" s="310"/>
      <c r="AR101" s="310"/>
      <c r="AS101" s="310"/>
      <c r="AT101" s="310"/>
      <c r="AU101" s="310"/>
      <c r="AV101" s="310"/>
      <c r="AW101" s="544">
        <f t="shared" si="41"/>
        <v>0</v>
      </c>
      <c r="AX101" s="525"/>
      <c r="AY101" s="310"/>
      <c r="AZ101" s="310"/>
      <c r="BA101" s="310"/>
      <c r="BB101" s="310"/>
      <c r="BC101" s="310"/>
      <c r="BD101" s="310"/>
      <c r="BE101" s="544">
        <f t="shared" si="46"/>
        <v>0</v>
      </c>
      <c r="BF101" s="525"/>
      <c r="BG101" s="310"/>
      <c r="BH101" s="310"/>
      <c r="BI101" s="310"/>
      <c r="BJ101" s="310"/>
      <c r="BK101" s="310"/>
      <c r="BL101" s="310"/>
      <c r="BM101" s="544">
        <f t="shared" si="47"/>
        <v>0</v>
      </c>
      <c r="BN101" s="525"/>
      <c r="BO101" s="310"/>
      <c r="BP101" s="310"/>
      <c r="BQ101" s="310"/>
      <c r="BR101" s="310"/>
      <c r="BS101" s="310"/>
      <c r="BT101" s="310"/>
      <c r="BU101" s="544">
        <f t="shared" si="48"/>
        <v>0</v>
      </c>
      <c r="BV101" s="556"/>
      <c r="BW101" s="663">
        <f t="shared" si="31"/>
        <v>2</v>
      </c>
      <c r="BX101" s="674">
        <f t="shared" si="32"/>
        <v>0.5</v>
      </c>
      <c r="BY101" s="835">
        <f t="shared" si="33"/>
        <v>1</v>
      </c>
      <c r="BZ101" s="674">
        <f t="shared" si="34"/>
        <v>1</v>
      </c>
      <c r="CA101" s="675">
        <f t="shared" si="35"/>
        <v>0</v>
      </c>
      <c r="CB101" s="675">
        <f t="shared" si="36"/>
        <v>0</v>
      </c>
    </row>
    <row r="102" spans="1:80" ht="57.75" hidden="1" customHeight="1" x14ac:dyDescent="0.25">
      <c r="A102" s="298" t="s">
        <v>280</v>
      </c>
      <c r="B102" s="299" t="str">
        <f>'PLAN INDICATIVO'!B100</f>
        <v>Deporte y Recreación</v>
      </c>
      <c r="C102" s="1547"/>
      <c r="D102" s="1549"/>
      <c r="E102" s="1549"/>
      <c r="F102" s="1549"/>
      <c r="G102" s="1549"/>
      <c r="H102" s="1549"/>
      <c r="I102" s="300">
        <f>'PLAN INDICATIVO'!I100</f>
        <v>0</v>
      </c>
      <c r="J102" s="300">
        <f>'PLAN INDICATIVO'!J100</f>
        <v>0</v>
      </c>
      <c r="K102" s="1425" t="str">
        <f>'PLAN INDICATIVO'!K100</f>
        <v>A.4.2.3</v>
      </c>
      <c r="L102" s="1425">
        <f>'PLAN INDICATIVO'!L100</f>
        <v>0</v>
      </c>
      <c r="M102" s="1425" t="str">
        <f>'PLAN INDICATIVO'!M100</f>
        <v>Secretaría de Educación, Cultura, deporte y Turismo</v>
      </c>
      <c r="N102" s="1425" t="str">
        <f>'PLAN INDICATIVO'!N100</f>
        <v>YIMI FERNANDO LOSADA PAYA</v>
      </c>
      <c r="O102" s="1425" t="str">
        <f>'PLAN INDICATIVO'!O100</f>
        <v>Incremento</v>
      </c>
      <c r="P102" s="16" t="str">
        <f>'PLAN INDICATIVO'!P100</f>
        <v>Realizar 3  olimpiadas campesinas durante el cuatrienio</v>
      </c>
      <c r="Q102" s="302" t="str">
        <f>'PLAN INDICATIVO'!Q100</f>
        <v>No. De olimpiadas realizadas</v>
      </c>
      <c r="R102" s="303">
        <f>'PLAN INDICATIVO'!R100</f>
        <v>2015</v>
      </c>
      <c r="S102" s="304">
        <v>1</v>
      </c>
      <c r="T102" s="677">
        <v>4</v>
      </c>
      <c r="U102" s="303">
        <v>1</v>
      </c>
      <c r="V102" s="687">
        <v>15</v>
      </c>
      <c r="W102" s="572">
        <v>1</v>
      </c>
      <c r="X102" s="572">
        <v>6000000</v>
      </c>
      <c r="Y102" s="572">
        <v>1</v>
      </c>
      <c r="Z102" s="572">
        <v>6000000</v>
      </c>
      <c r="AA102" s="572">
        <v>1</v>
      </c>
      <c r="AB102" s="572">
        <v>6000000</v>
      </c>
      <c r="AC102" s="665">
        <v>1</v>
      </c>
      <c r="AD102" s="665">
        <v>1</v>
      </c>
      <c r="AE102" s="665"/>
      <c r="AF102" s="665"/>
      <c r="AG102" s="306" t="s">
        <v>3526</v>
      </c>
      <c r="AH102" s="306">
        <v>2017413960006</v>
      </c>
      <c r="AI102" s="307" t="s">
        <v>3547</v>
      </c>
      <c r="AJ102" s="309">
        <v>42948</v>
      </c>
      <c r="AK102" s="309">
        <v>43084</v>
      </c>
      <c r="AL102" s="308"/>
      <c r="AM102" s="308"/>
      <c r="AN102" s="267" t="s">
        <v>2598</v>
      </c>
      <c r="AO102" s="767"/>
      <c r="AP102" s="766"/>
      <c r="AQ102" s="310"/>
      <c r="AR102" s="310"/>
      <c r="AS102" s="310"/>
      <c r="AT102" s="310"/>
      <c r="AU102" s="310"/>
      <c r="AV102" s="310"/>
      <c r="AW102" s="544">
        <f t="shared" si="41"/>
        <v>0</v>
      </c>
      <c r="AX102" s="525"/>
      <c r="AY102" s="310"/>
      <c r="AZ102" s="310"/>
      <c r="BA102" s="310"/>
      <c r="BB102" s="310"/>
      <c r="BC102" s="310"/>
      <c r="BD102" s="310"/>
      <c r="BE102" s="544">
        <f t="shared" si="46"/>
        <v>0</v>
      </c>
      <c r="BF102" s="525"/>
      <c r="BG102" s="310"/>
      <c r="BH102" s="310"/>
      <c r="BI102" s="310"/>
      <c r="BJ102" s="310"/>
      <c r="BK102" s="310"/>
      <c r="BL102" s="310"/>
      <c r="BM102" s="544">
        <f t="shared" si="47"/>
        <v>0</v>
      </c>
      <c r="BN102" s="525"/>
      <c r="BO102" s="310"/>
      <c r="BP102" s="310"/>
      <c r="BQ102" s="310"/>
      <c r="BR102" s="310"/>
      <c r="BS102" s="310"/>
      <c r="BT102" s="310"/>
      <c r="BU102" s="544">
        <f t="shared" si="48"/>
        <v>0</v>
      </c>
      <c r="BV102" s="556"/>
      <c r="BW102" s="663">
        <f t="shared" si="31"/>
        <v>2</v>
      </c>
      <c r="BX102" s="674">
        <f t="shared" si="32"/>
        <v>0.5</v>
      </c>
      <c r="BY102" s="835">
        <f t="shared" si="33"/>
        <v>1</v>
      </c>
      <c r="BZ102" s="674">
        <f t="shared" si="34"/>
        <v>1</v>
      </c>
      <c r="CA102" s="675">
        <f t="shared" si="35"/>
        <v>0</v>
      </c>
      <c r="CB102" s="675">
        <f t="shared" si="36"/>
        <v>0</v>
      </c>
    </row>
    <row r="103" spans="1:80" ht="50.25" hidden="1" customHeight="1" x14ac:dyDescent="0.25">
      <c r="A103" s="298" t="s">
        <v>280</v>
      </c>
      <c r="B103" s="299" t="str">
        <f>'PLAN INDICATIVO'!B101</f>
        <v>Deporte y Recreación</v>
      </c>
      <c r="C103" s="1547"/>
      <c r="D103" s="1549"/>
      <c r="E103" s="1549"/>
      <c r="F103" s="1549"/>
      <c r="G103" s="1549"/>
      <c r="H103" s="1549"/>
      <c r="I103" s="300">
        <f>'PLAN INDICATIVO'!I101</f>
        <v>0</v>
      </c>
      <c r="J103" s="300">
        <f>'PLAN INDICATIVO'!J101</f>
        <v>0</v>
      </c>
      <c r="K103" s="1425" t="str">
        <f>'PLAN INDICATIVO'!K101</f>
        <v>A.4.2.4</v>
      </c>
      <c r="L103" s="1425">
        <f>'PLAN INDICATIVO'!L101</f>
        <v>0</v>
      </c>
      <c r="M103" s="1425" t="str">
        <f>'PLAN INDICATIVO'!M101</f>
        <v>Secretaría de Educación, Cultura, deporte y Turismo</v>
      </c>
      <c r="N103" s="1425" t="str">
        <f>'PLAN INDICATIVO'!N101</f>
        <v>YIMI FERNANDO LOSADA PAYA</v>
      </c>
      <c r="O103" s="1425" t="str">
        <f>'PLAN INDICATIVO'!O101</f>
        <v>Mantenimiento</v>
      </c>
      <c r="P103" s="16" t="str">
        <f>'PLAN INDICATIVO'!P101</f>
        <v>Realizar 12 eventos deportivos cada año</v>
      </c>
      <c r="Q103" s="302" t="str">
        <f>'PLAN INDICATIVO'!Q101</f>
        <v>No. Eventos deportivos realizados por año.</v>
      </c>
      <c r="R103" s="303">
        <f>'PLAN INDICATIVO'!R101</f>
        <v>2015</v>
      </c>
      <c r="S103" s="304">
        <v>8</v>
      </c>
      <c r="T103" s="677">
        <v>48</v>
      </c>
      <c r="U103" s="303">
        <v>12</v>
      </c>
      <c r="V103" s="687">
        <v>7</v>
      </c>
      <c r="W103" s="572">
        <v>12</v>
      </c>
      <c r="X103" s="572">
        <v>20000000</v>
      </c>
      <c r="Y103" s="572">
        <v>12</v>
      </c>
      <c r="Z103" s="572">
        <v>14000000</v>
      </c>
      <c r="AA103" s="572">
        <v>12</v>
      </c>
      <c r="AB103" s="572">
        <v>20000000</v>
      </c>
      <c r="AC103" s="665">
        <v>12</v>
      </c>
      <c r="AD103" s="665">
        <v>13</v>
      </c>
      <c r="AE103" s="665"/>
      <c r="AF103" s="665"/>
      <c r="AG103" s="306" t="s">
        <v>3526</v>
      </c>
      <c r="AH103" s="306">
        <v>2017413960006</v>
      </c>
      <c r="AI103" s="307" t="s">
        <v>3548</v>
      </c>
      <c r="AJ103" s="309">
        <v>42750</v>
      </c>
      <c r="AK103" s="309">
        <v>43100</v>
      </c>
      <c r="AL103" s="308"/>
      <c r="AM103" s="308"/>
      <c r="AN103" s="267" t="s">
        <v>2598</v>
      </c>
      <c r="AO103" s="507" t="s">
        <v>3549</v>
      </c>
      <c r="AP103" s="766"/>
      <c r="AQ103" s="310">
        <v>45400000</v>
      </c>
      <c r="AR103" s="310"/>
      <c r="AS103" s="310"/>
      <c r="AT103" s="310"/>
      <c r="AU103" s="310"/>
      <c r="AV103" s="310"/>
      <c r="AW103" s="544">
        <f t="shared" si="41"/>
        <v>45400000</v>
      </c>
      <c r="AX103" s="525"/>
      <c r="AY103" s="310"/>
      <c r="AZ103" s="310"/>
      <c r="BA103" s="310"/>
      <c r="BB103" s="310"/>
      <c r="BC103" s="310"/>
      <c r="BD103" s="310"/>
      <c r="BE103" s="544">
        <f t="shared" si="46"/>
        <v>0</v>
      </c>
      <c r="BF103" s="525"/>
      <c r="BG103" s="310"/>
      <c r="BH103" s="310"/>
      <c r="BI103" s="310"/>
      <c r="BJ103" s="310"/>
      <c r="BK103" s="310"/>
      <c r="BL103" s="310"/>
      <c r="BM103" s="544">
        <f t="shared" si="47"/>
        <v>0</v>
      </c>
      <c r="BN103" s="525"/>
      <c r="BO103" s="310"/>
      <c r="BP103" s="310"/>
      <c r="BQ103" s="310"/>
      <c r="BR103" s="310"/>
      <c r="BS103" s="310"/>
      <c r="BT103" s="310"/>
      <c r="BU103" s="544">
        <f t="shared" si="48"/>
        <v>0</v>
      </c>
      <c r="BV103" s="556"/>
      <c r="BW103" s="663">
        <f t="shared" si="31"/>
        <v>25</v>
      </c>
      <c r="BX103" s="674">
        <f t="shared" si="32"/>
        <v>0.52083333333333337</v>
      </c>
      <c r="BY103" s="835">
        <f t="shared" si="33"/>
        <v>1</v>
      </c>
      <c r="BZ103" s="674">
        <f t="shared" si="34"/>
        <v>1.0833333333333333</v>
      </c>
      <c r="CA103" s="675">
        <f t="shared" si="35"/>
        <v>0</v>
      </c>
      <c r="CB103" s="675">
        <f t="shared" si="36"/>
        <v>0</v>
      </c>
    </row>
    <row r="104" spans="1:80" ht="54" hidden="1" customHeight="1" x14ac:dyDescent="0.25">
      <c r="A104" s="298" t="s">
        <v>280</v>
      </c>
      <c r="B104" s="299" t="str">
        <f>'PLAN INDICATIVO'!B102</f>
        <v>Deporte y Recreación</v>
      </c>
      <c r="C104" s="1547"/>
      <c r="D104" s="1549"/>
      <c r="E104" s="1549"/>
      <c r="F104" s="1549"/>
      <c r="G104" s="1549"/>
      <c r="H104" s="1549"/>
      <c r="I104" s="300">
        <f>'PLAN INDICATIVO'!I102</f>
        <v>0</v>
      </c>
      <c r="J104" s="300">
        <f>'PLAN INDICATIVO'!J102</f>
        <v>0</v>
      </c>
      <c r="K104" s="1425" t="str">
        <f>'PLAN INDICATIVO'!K102</f>
        <v>A.4.2.5</v>
      </c>
      <c r="L104" s="1425">
        <f>'PLAN INDICATIVO'!L102</f>
        <v>0</v>
      </c>
      <c r="M104" s="1425" t="str">
        <f>'PLAN INDICATIVO'!M102</f>
        <v>Secretaría de Educación, Cultura, deporte y Turismo</v>
      </c>
      <c r="N104" s="1425" t="str">
        <f>'PLAN INDICATIVO'!N102</f>
        <v>YIMI FERNANDO LOSADA PAYA</v>
      </c>
      <c r="O104" s="1425" t="str">
        <f>'PLAN INDICATIVO'!O102</f>
        <v>Mantenimiento</v>
      </c>
      <c r="P104" s="16" t="str">
        <f>'PLAN INDICATIVO'!P102</f>
        <v>Apoyar una actividad anual  a Clubes Deportivos del municipio durante el cuatrienio.</v>
      </c>
      <c r="Q104" s="302" t="str">
        <f>'PLAN INDICATIVO'!Q102</f>
        <v>No. De actividades apoyadas</v>
      </c>
      <c r="R104" s="303">
        <f>'PLAN INDICATIVO'!R102</f>
        <v>2015</v>
      </c>
      <c r="S104" s="304">
        <v>1</v>
      </c>
      <c r="T104" s="677">
        <v>4</v>
      </c>
      <c r="U104" s="303">
        <v>1</v>
      </c>
      <c r="V104" s="687">
        <v>3</v>
      </c>
      <c r="W104" s="572">
        <v>1</v>
      </c>
      <c r="X104" s="572">
        <v>6000000</v>
      </c>
      <c r="Y104" s="572">
        <v>1</v>
      </c>
      <c r="Z104" s="572">
        <v>6000000</v>
      </c>
      <c r="AA104" s="572">
        <v>1</v>
      </c>
      <c r="AB104" s="572">
        <v>6000000</v>
      </c>
      <c r="AC104" s="665">
        <v>1</v>
      </c>
      <c r="AD104" s="665">
        <v>1</v>
      </c>
      <c r="AE104" s="665"/>
      <c r="AF104" s="665"/>
      <c r="AG104" s="306" t="s">
        <v>3526</v>
      </c>
      <c r="AH104" s="306">
        <v>2017413960006</v>
      </c>
      <c r="AI104" s="307" t="s">
        <v>3550</v>
      </c>
      <c r="AJ104" s="309">
        <v>42767</v>
      </c>
      <c r="AK104" s="309">
        <v>43038</v>
      </c>
      <c r="AL104" s="308"/>
      <c r="AM104" s="308"/>
      <c r="AN104" s="267" t="s">
        <v>2598</v>
      </c>
      <c r="AO104" s="507" t="s">
        <v>3545</v>
      </c>
      <c r="AP104" s="525"/>
      <c r="AQ104" s="310">
        <v>15000000</v>
      </c>
      <c r="AR104" s="310"/>
      <c r="AS104" s="310"/>
      <c r="AT104" s="310"/>
      <c r="AU104" s="310"/>
      <c r="AV104" s="310"/>
      <c r="AW104" s="544">
        <f t="shared" si="41"/>
        <v>15000000</v>
      </c>
      <c r="AX104" s="525"/>
      <c r="AY104" s="310"/>
      <c r="AZ104" s="310"/>
      <c r="BA104" s="310"/>
      <c r="BB104" s="310"/>
      <c r="BC104" s="310"/>
      <c r="BD104" s="310"/>
      <c r="BE104" s="544">
        <f t="shared" si="46"/>
        <v>0</v>
      </c>
      <c r="BF104" s="525"/>
      <c r="BG104" s="310"/>
      <c r="BH104" s="310"/>
      <c r="BI104" s="310"/>
      <c r="BJ104" s="310"/>
      <c r="BK104" s="310"/>
      <c r="BL104" s="310"/>
      <c r="BM104" s="544">
        <f t="shared" si="47"/>
        <v>0</v>
      </c>
      <c r="BN104" s="525"/>
      <c r="BO104" s="310"/>
      <c r="BP104" s="310"/>
      <c r="BQ104" s="310"/>
      <c r="BR104" s="310"/>
      <c r="BS104" s="310"/>
      <c r="BT104" s="310"/>
      <c r="BU104" s="544">
        <f t="shared" si="48"/>
        <v>0</v>
      </c>
      <c r="BV104" s="556"/>
      <c r="BW104" s="663">
        <f t="shared" si="31"/>
        <v>2</v>
      </c>
      <c r="BX104" s="674">
        <f t="shared" si="32"/>
        <v>0.5</v>
      </c>
      <c r="BY104" s="835">
        <f t="shared" si="33"/>
        <v>1</v>
      </c>
      <c r="BZ104" s="674">
        <f t="shared" si="34"/>
        <v>1</v>
      </c>
      <c r="CA104" s="675">
        <f t="shared" si="35"/>
        <v>0</v>
      </c>
      <c r="CB104" s="675">
        <f t="shared" si="36"/>
        <v>0</v>
      </c>
    </row>
    <row r="105" spans="1:80" ht="86.25" hidden="1" customHeight="1" x14ac:dyDescent="0.25">
      <c r="A105" s="298" t="s">
        <v>280</v>
      </c>
      <c r="B105" s="299" t="str">
        <f>'PLAN INDICATIVO'!B103</f>
        <v>Deporte y Recreación</v>
      </c>
      <c r="C105" s="1547"/>
      <c r="D105" s="1549"/>
      <c r="E105" s="1549"/>
      <c r="F105" s="1549"/>
      <c r="G105" s="1549"/>
      <c r="H105" s="1549"/>
      <c r="I105" s="300">
        <f>'PLAN INDICATIVO'!I103</f>
        <v>0</v>
      </c>
      <c r="J105" s="300">
        <f>'PLAN INDICATIVO'!J103</f>
        <v>0</v>
      </c>
      <c r="K105" s="1425" t="str">
        <f>'PLAN INDICATIVO'!K103</f>
        <v>A.4.2.6</v>
      </c>
      <c r="L105" s="1425">
        <f>'PLAN INDICATIVO'!L103</f>
        <v>0</v>
      </c>
      <c r="M105" s="1425" t="str">
        <f>'PLAN INDICATIVO'!M103</f>
        <v>Secretaría de Educación, Cultura, deporte y Turismo</v>
      </c>
      <c r="N105" s="1425" t="str">
        <f>'PLAN INDICATIVO'!N103</f>
        <v>YIMI FERNANDO LOSADA PAYA</v>
      </c>
      <c r="O105" s="1425" t="str">
        <f>'PLAN INDICATIVO'!O103</f>
        <v>Incremento</v>
      </c>
      <c r="P105" s="25" t="str">
        <f>'PLAN INDICATIVO'!P103</f>
        <v>Realizar 8 capacitaciones a dirigentes deportivos, entrenadores y líderes del sector urbano y rural en municipio durante el cuatrienio.</v>
      </c>
      <c r="Q105" s="302" t="str">
        <f>'PLAN INDICATIVO'!Q103</f>
        <v>No. De capacitaciones realizadas</v>
      </c>
      <c r="R105" s="303">
        <f>'PLAN INDICATIVO'!R103</f>
        <v>2015</v>
      </c>
      <c r="S105" s="304">
        <v>1</v>
      </c>
      <c r="T105" s="677">
        <v>8</v>
      </c>
      <c r="U105" s="303">
        <v>2</v>
      </c>
      <c r="V105" s="687">
        <v>2</v>
      </c>
      <c r="W105" s="572">
        <v>2</v>
      </c>
      <c r="X105" s="572">
        <v>5000000</v>
      </c>
      <c r="Y105" s="66">
        <v>1</v>
      </c>
      <c r="Z105" s="572">
        <v>5000000</v>
      </c>
      <c r="AA105" s="572">
        <v>2</v>
      </c>
      <c r="AB105" s="572">
        <v>5000000</v>
      </c>
      <c r="AC105" s="665">
        <v>3</v>
      </c>
      <c r="AD105" s="665">
        <v>2</v>
      </c>
      <c r="AE105" s="665"/>
      <c r="AF105" s="665"/>
      <c r="AG105" s="306" t="s">
        <v>3526</v>
      </c>
      <c r="AH105" s="306">
        <v>2017413960006</v>
      </c>
      <c r="AI105" s="307" t="s">
        <v>3551</v>
      </c>
      <c r="AJ105" s="309">
        <v>42948</v>
      </c>
      <c r="AK105" s="309">
        <v>43084</v>
      </c>
      <c r="AL105" s="308"/>
      <c r="AM105" s="308"/>
      <c r="AN105" s="267" t="s">
        <v>2598</v>
      </c>
      <c r="AO105" s="767" t="s">
        <v>3552</v>
      </c>
      <c r="AP105" s="525"/>
      <c r="AQ105" s="310">
        <v>3750000</v>
      </c>
      <c r="AR105" s="310"/>
      <c r="AS105" s="310"/>
      <c r="AT105" s="310"/>
      <c r="AU105" s="310"/>
      <c r="AV105" s="310"/>
      <c r="AW105" s="544">
        <f t="shared" si="41"/>
        <v>3750000</v>
      </c>
      <c r="AX105" s="525"/>
      <c r="AY105" s="310"/>
      <c r="AZ105" s="310"/>
      <c r="BA105" s="310"/>
      <c r="BB105" s="310"/>
      <c r="BC105" s="310"/>
      <c r="BD105" s="310"/>
      <c r="BE105" s="544">
        <f t="shared" si="46"/>
        <v>0</v>
      </c>
      <c r="BF105" s="525"/>
      <c r="BG105" s="310"/>
      <c r="BH105" s="310"/>
      <c r="BI105" s="310"/>
      <c r="BJ105" s="310"/>
      <c r="BK105" s="310"/>
      <c r="BL105" s="310"/>
      <c r="BM105" s="544">
        <f t="shared" si="47"/>
        <v>0</v>
      </c>
      <c r="BN105" s="525"/>
      <c r="BO105" s="310"/>
      <c r="BP105" s="310"/>
      <c r="BQ105" s="310"/>
      <c r="BR105" s="310"/>
      <c r="BS105" s="310"/>
      <c r="BT105" s="310"/>
      <c r="BU105" s="544">
        <f t="shared" si="48"/>
        <v>0</v>
      </c>
      <c r="BV105" s="556"/>
      <c r="BW105" s="663">
        <f t="shared" si="31"/>
        <v>5</v>
      </c>
      <c r="BX105" s="674">
        <f t="shared" si="32"/>
        <v>0.625</v>
      </c>
      <c r="BY105" s="835">
        <f t="shared" si="33"/>
        <v>1.5</v>
      </c>
      <c r="BZ105" s="674">
        <f t="shared" si="34"/>
        <v>1</v>
      </c>
      <c r="CA105" s="675">
        <f t="shared" si="35"/>
        <v>0</v>
      </c>
      <c r="CB105" s="675">
        <f t="shared" si="36"/>
        <v>0</v>
      </c>
    </row>
    <row r="106" spans="1:80" ht="52.5" hidden="1" customHeight="1" x14ac:dyDescent="0.25">
      <c r="A106" s="298" t="s">
        <v>280</v>
      </c>
      <c r="B106" s="299" t="str">
        <f>'PLAN INDICATIVO'!B104</f>
        <v>Deporte y Recreación</v>
      </c>
      <c r="C106" s="1547"/>
      <c r="D106" s="1549"/>
      <c r="E106" s="1549"/>
      <c r="F106" s="1549"/>
      <c r="G106" s="1549"/>
      <c r="H106" s="1549"/>
      <c r="I106" s="300">
        <f>'PLAN INDICATIVO'!I104</f>
        <v>0</v>
      </c>
      <c r="J106" s="300">
        <f>'PLAN INDICATIVO'!J104</f>
        <v>0</v>
      </c>
      <c r="K106" s="1425" t="str">
        <f>'PLAN INDICATIVO'!K104</f>
        <v>A.4.2.7</v>
      </c>
      <c r="L106" s="1425">
        <f>'PLAN INDICATIVO'!L104</f>
        <v>0</v>
      </c>
      <c r="M106" s="1425" t="str">
        <f>'PLAN INDICATIVO'!M104</f>
        <v>Secretaría de Educación, Cultura, deporte y Turismo</v>
      </c>
      <c r="N106" s="1425" t="str">
        <f>'PLAN INDICATIVO'!N104</f>
        <v>YIMI FERNANDO LOSADA PAYA</v>
      </c>
      <c r="O106" s="1425" t="str">
        <f>'PLAN INDICATIVO'!O104</f>
        <v>Incremento</v>
      </c>
      <c r="P106" s="16" t="str">
        <f>'PLAN INDICATIVO'!P104</f>
        <v>Lograr que 1600 alumnos de las IE participen en los juegos Supérate cada año durante el cuatrienio.</v>
      </c>
      <c r="Q106" s="302" t="str">
        <f>'PLAN INDICATIVO'!Q104</f>
        <v>No. De alumnos de las IE participando en juegos supérate cada año.</v>
      </c>
      <c r="R106" s="303">
        <f>'PLAN INDICATIVO'!R104</f>
        <v>2015</v>
      </c>
      <c r="S106" s="304">
        <v>1600</v>
      </c>
      <c r="T106" s="677">
        <v>6400</v>
      </c>
      <c r="U106" s="303">
        <v>1600</v>
      </c>
      <c r="V106" s="687">
        <v>9</v>
      </c>
      <c r="W106" s="572">
        <v>1600</v>
      </c>
      <c r="X106" s="572">
        <v>6000000</v>
      </c>
      <c r="Y106" s="572">
        <v>1600</v>
      </c>
      <c r="Z106" s="572">
        <v>6000000</v>
      </c>
      <c r="AA106" s="572">
        <v>1600</v>
      </c>
      <c r="AB106" s="572">
        <v>6000000</v>
      </c>
      <c r="AC106" s="665">
        <v>1458</v>
      </c>
      <c r="AD106" s="665">
        <v>1340</v>
      </c>
      <c r="AE106" s="665"/>
      <c r="AF106" s="665"/>
      <c r="AG106" s="306" t="s">
        <v>3526</v>
      </c>
      <c r="AH106" s="306">
        <v>2017413960006</v>
      </c>
      <c r="AI106" s="307" t="s">
        <v>3553</v>
      </c>
      <c r="AJ106" s="309">
        <v>42767</v>
      </c>
      <c r="AK106" s="309">
        <v>42916</v>
      </c>
      <c r="AL106" s="308"/>
      <c r="AM106" s="308"/>
      <c r="AN106" s="267" t="s">
        <v>2598</v>
      </c>
      <c r="AO106" s="507" t="s">
        <v>3545</v>
      </c>
      <c r="AP106" s="526"/>
      <c r="AQ106" s="310">
        <v>40000000</v>
      </c>
      <c r="AR106" s="310"/>
      <c r="AS106" s="470"/>
      <c r="AT106" s="470"/>
      <c r="AU106" s="470"/>
      <c r="AV106" s="470"/>
      <c r="AW106" s="544">
        <f t="shared" si="41"/>
        <v>40000000</v>
      </c>
      <c r="AX106" s="526"/>
      <c r="AY106" s="470"/>
      <c r="AZ106" s="470"/>
      <c r="BA106" s="470"/>
      <c r="BB106" s="470"/>
      <c r="BC106" s="470"/>
      <c r="BD106" s="470"/>
      <c r="BE106" s="544">
        <f t="shared" si="46"/>
        <v>0</v>
      </c>
      <c r="BF106" s="526"/>
      <c r="BG106" s="470"/>
      <c r="BH106" s="470"/>
      <c r="BI106" s="470"/>
      <c r="BJ106" s="470"/>
      <c r="BK106" s="470"/>
      <c r="BL106" s="470"/>
      <c r="BM106" s="544">
        <f t="shared" si="47"/>
        <v>0</v>
      </c>
      <c r="BN106" s="526"/>
      <c r="BO106" s="470"/>
      <c r="BP106" s="470"/>
      <c r="BQ106" s="470"/>
      <c r="BR106" s="470"/>
      <c r="BS106" s="470"/>
      <c r="BT106" s="470"/>
      <c r="BU106" s="544">
        <f t="shared" si="48"/>
        <v>0</v>
      </c>
      <c r="BV106" s="556"/>
      <c r="BW106" s="663">
        <f t="shared" si="31"/>
        <v>2798</v>
      </c>
      <c r="BX106" s="674">
        <f t="shared" si="32"/>
        <v>0.43718750000000001</v>
      </c>
      <c r="BY106" s="835">
        <f t="shared" si="33"/>
        <v>0.91125</v>
      </c>
      <c r="BZ106" s="674">
        <f t="shared" si="34"/>
        <v>0.83750000000000002</v>
      </c>
      <c r="CA106" s="675">
        <f t="shared" si="35"/>
        <v>0</v>
      </c>
      <c r="CB106" s="675">
        <f t="shared" si="36"/>
        <v>0</v>
      </c>
    </row>
    <row r="107" spans="1:80" ht="79.5" hidden="1" customHeight="1" x14ac:dyDescent="0.25">
      <c r="A107" s="298" t="s">
        <v>280</v>
      </c>
      <c r="B107" s="299" t="str">
        <f>'PLAN INDICATIVO'!B105</f>
        <v>Deporte y Recreación</v>
      </c>
      <c r="C107" s="1548"/>
      <c r="D107" s="1549"/>
      <c r="E107" s="1549"/>
      <c r="F107" s="1549"/>
      <c r="G107" s="1549"/>
      <c r="H107" s="1549"/>
      <c r="I107" s="300">
        <f>'PLAN INDICATIVO'!I105</f>
        <v>0</v>
      </c>
      <c r="J107" s="300">
        <f>'PLAN INDICATIVO'!J105</f>
        <v>0</v>
      </c>
      <c r="K107" s="1425" t="str">
        <f>'PLAN INDICATIVO'!K105</f>
        <v>A.4.2.8</v>
      </c>
      <c r="L107" s="1425">
        <f>'PLAN INDICATIVO'!L105</f>
        <v>0</v>
      </c>
      <c r="M107" s="1425" t="str">
        <f>'PLAN INDICATIVO'!M105</f>
        <v>Secretaría de Educación, Cultura, deporte y Turismo</v>
      </c>
      <c r="N107" s="1425" t="str">
        <f>'PLAN INDICATIVO'!N105</f>
        <v>YIMI FERNANDO LOSADA PAYA</v>
      </c>
      <c r="O107" s="1425" t="str">
        <f>'PLAN INDICATIVO'!O105</f>
        <v>Incremento</v>
      </c>
      <c r="P107" s="16" t="str">
        <f>'PLAN INDICATIVO'!P105</f>
        <v>Desarrollar 2 programas  deportivo-recreativo "Por la Convivencia Ciudadana" dirigido a la población del sector urbano y rural  del municipio durante el cuatrienio.</v>
      </c>
      <c r="Q107" s="302" t="str">
        <f>'PLAN INDICATIVO'!Q105</f>
        <v>No. De programas desarrollados</v>
      </c>
      <c r="R107" s="303">
        <f>'PLAN INDICATIVO'!R105</f>
        <v>2015</v>
      </c>
      <c r="S107" s="304">
        <v>0</v>
      </c>
      <c r="T107" s="677">
        <v>2</v>
      </c>
      <c r="U107" s="303">
        <v>1</v>
      </c>
      <c r="V107" s="687">
        <v>1</v>
      </c>
      <c r="W107" s="572">
        <v>1</v>
      </c>
      <c r="X107" s="572"/>
      <c r="Y107" s="572">
        <v>0</v>
      </c>
      <c r="Z107" s="572">
        <v>6000000</v>
      </c>
      <c r="AA107" s="572">
        <v>0</v>
      </c>
      <c r="AB107" s="572"/>
      <c r="AC107" s="665">
        <v>1</v>
      </c>
      <c r="AD107" s="665">
        <v>1</v>
      </c>
      <c r="AE107" s="665"/>
      <c r="AF107" s="665"/>
      <c r="AG107" s="306" t="s">
        <v>3526</v>
      </c>
      <c r="AH107" s="306">
        <v>2017413960006</v>
      </c>
      <c r="AI107" s="307" t="s">
        <v>3554</v>
      </c>
      <c r="AJ107" s="309">
        <v>42767</v>
      </c>
      <c r="AK107" s="309">
        <v>42916</v>
      </c>
      <c r="AL107" s="308"/>
      <c r="AM107" s="308"/>
      <c r="AN107" s="267" t="s">
        <v>2598</v>
      </c>
      <c r="AO107" s="507" t="s">
        <v>3545</v>
      </c>
      <c r="AP107" s="525"/>
      <c r="AQ107" s="310">
        <v>3000000</v>
      </c>
      <c r="AR107" s="310"/>
      <c r="AS107" s="310"/>
      <c r="AT107" s="310"/>
      <c r="AU107" s="310"/>
      <c r="AV107" s="310"/>
      <c r="AW107" s="544">
        <f t="shared" si="41"/>
        <v>3000000</v>
      </c>
      <c r="AX107" s="525"/>
      <c r="AY107" s="310"/>
      <c r="AZ107" s="310"/>
      <c r="BA107" s="310"/>
      <c r="BB107" s="310"/>
      <c r="BC107" s="310"/>
      <c r="BD107" s="310"/>
      <c r="BE107" s="544">
        <f t="shared" si="46"/>
        <v>0</v>
      </c>
      <c r="BF107" s="525"/>
      <c r="BG107" s="310"/>
      <c r="BH107" s="310"/>
      <c r="BI107" s="310"/>
      <c r="BJ107" s="310"/>
      <c r="BK107" s="310"/>
      <c r="BL107" s="310"/>
      <c r="BM107" s="544">
        <f t="shared" si="47"/>
        <v>0</v>
      </c>
      <c r="BN107" s="525"/>
      <c r="BO107" s="310"/>
      <c r="BP107" s="310"/>
      <c r="BQ107" s="310"/>
      <c r="BR107" s="310"/>
      <c r="BS107" s="310"/>
      <c r="BT107" s="310"/>
      <c r="BU107" s="544">
        <f t="shared" si="48"/>
        <v>0</v>
      </c>
      <c r="BV107" s="556"/>
      <c r="BW107" s="663">
        <f t="shared" si="31"/>
        <v>2</v>
      </c>
      <c r="BX107" s="674">
        <f t="shared" si="32"/>
        <v>1</v>
      </c>
      <c r="BY107" s="561">
        <f t="shared" si="33"/>
        <v>1</v>
      </c>
      <c r="BZ107" s="674">
        <f t="shared" si="34"/>
        <v>1</v>
      </c>
      <c r="CA107" s="675" t="e">
        <f t="shared" si="35"/>
        <v>#DIV/0!</v>
      </c>
      <c r="CB107" s="675" t="e">
        <f t="shared" si="36"/>
        <v>#DIV/0!</v>
      </c>
    </row>
    <row r="108" spans="1:80" ht="1.5" hidden="1" customHeight="1" thickBot="1" x14ac:dyDescent="0.3">
      <c r="A108" s="311"/>
      <c r="B108" s="312" t="e">
        <f>'PLAN INDICATIVO'!#REF!</f>
        <v>#REF!</v>
      </c>
      <c r="C108" s="312"/>
      <c r="D108" s="1444"/>
      <c r="E108" s="1444"/>
      <c r="F108" s="1444"/>
      <c r="G108" s="1444"/>
      <c r="H108" s="1444"/>
      <c r="I108" s="1444"/>
      <c r="J108" s="1444"/>
      <c r="K108" s="1444"/>
      <c r="L108" s="1444"/>
      <c r="M108" s="1444"/>
      <c r="N108" s="1444"/>
      <c r="O108" s="1444"/>
      <c r="P108" s="1434"/>
      <c r="Q108" s="1434"/>
      <c r="R108" s="1444"/>
      <c r="S108" s="313"/>
      <c r="T108" s="682"/>
      <c r="U108" s="313"/>
      <c r="V108" s="313"/>
      <c r="W108" s="313"/>
      <c r="X108" s="313"/>
      <c r="Y108" s="313"/>
      <c r="Z108" s="313"/>
      <c r="AA108" s="314"/>
      <c r="AB108" s="314"/>
      <c r="AC108" s="314"/>
      <c r="AD108" s="314"/>
      <c r="AE108" s="314"/>
      <c r="AF108" s="314"/>
      <c r="AG108" s="315"/>
      <c r="AH108" s="315"/>
      <c r="AI108" s="315"/>
      <c r="AJ108" s="314"/>
      <c r="AK108" s="314"/>
      <c r="AL108" s="314"/>
      <c r="AM108" s="314"/>
      <c r="AN108" s="314"/>
      <c r="AO108" s="516"/>
      <c r="AP108" s="623"/>
      <c r="AQ108" s="624"/>
      <c r="AR108" s="624"/>
      <c r="AS108" s="624"/>
      <c r="AT108" s="624"/>
      <c r="AU108" s="624"/>
      <c r="AV108" s="624"/>
      <c r="AW108" s="625">
        <f t="shared" si="41"/>
        <v>0</v>
      </c>
      <c r="AX108" s="623"/>
      <c r="AY108" s="624"/>
      <c r="AZ108" s="624"/>
      <c r="BA108" s="624"/>
      <c r="BB108" s="624"/>
      <c r="BC108" s="624"/>
      <c r="BD108" s="624"/>
      <c r="BE108" s="625">
        <f t="shared" si="46"/>
        <v>0</v>
      </c>
      <c r="BF108" s="623"/>
      <c r="BG108" s="624"/>
      <c r="BH108" s="624"/>
      <c r="BI108" s="624"/>
      <c r="BJ108" s="624"/>
      <c r="BK108" s="624"/>
      <c r="BL108" s="624"/>
      <c r="BM108" s="625">
        <f t="shared" si="47"/>
        <v>0</v>
      </c>
      <c r="BN108" s="623"/>
      <c r="BO108" s="624"/>
      <c r="BP108" s="624"/>
      <c r="BQ108" s="624"/>
      <c r="BR108" s="624"/>
      <c r="BS108" s="624"/>
      <c r="BT108" s="624"/>
      <c r="BU108" s="625">
        <f t="shared" si="48"/>
        <v>0</v>
      </c>
      <c r="BV108" s="556"/>
      <c r="BW108" s="663">
        <f t="shared" si="31"/>
        <v>0</v>
      </c>
      <c r="BX108" s="674" t="e">
        <f t="shared" si="32"/>
        <v>#DIV/0!</v>
      </c>
      <c r="BY108" s="561" t="e">
        <f t="shared" si="33"/>
        <v>#DIV/0!</v>
      </c>
      <c r="BZ108" s="674" t="e">
        <f t="shared" si="34"/>
        <v>#DIV/0!</v>
      </c>
      <c r="CA108" s="675" t="e">
        <f t="shared" si="35"/>
        <v>#DIV/0!</v>
      </c>
      <c r="CB108" s="675" t="e">
        <f t="shared" si="36"/>
        <v>#DIV/0!</v>
      </c>
    </row>
    <row r="109" spans="1:80" ht="52.5" hidden="1" customHeight="1" thickBot="1" x14ac:dyDescent="0.3">
      <c r="A109" s="1608" t="s">
        <v>344</v>
      </c>
      <c r="B109" s="1609"/>
      <c r="C109" s="1609"/>
      <c r="D109" s="1609"/>
      <c r="E109" s="1609"/>
      <c r="F109" s="1609"/>
      <c r="G109" s="1609"/>
      <c r="H109" s="1609"/>
      <c r="I109" s="1609"/>
      <c r="J109" s="1609"/>
      <c r="K109" s="1609"/>
      <c r="L109" s="1609"/>
      <c r="M109" s="1609"/>
      <c r="N109" s="1609"/>
      <c r="O109" s="1609"/>
      <c r="P109" s="1609"/>
      <c r="Q109" s="1609"/>
      <c r="R109" s="1609"/>
      <c r="S109" s="1609"/>
      <c r="T109" s="1609"/>
      <c r="U109" s="1609"/>
      <c r="V109" s="1609"/>
      <c r="W109" s="1609"/>
      <c r="X109" s="1609"/>
      <c r="Y109" s="1609"/>
      <c r="Z109" s="1609"/>
      <c r="AA109" s="1609"/>
      <c r="AB109" s="1609"/>
      <c r="AC109" s="1609"/>
      <c r="AD109" s="1609"/>
      <c r="AE109" s="1609"/>
      <c r="AF109" s="1609"/>
      <c r="AG109" s="1609"/>
      <c r="AH109" s="1609"/>
      <c r="AI109" s="1609"/>
      <c r="AJ109" s="1609"/>
      <c r="AK109" s="1609"/>
      <c r="AL109" s="1609"/>
      <c r="AM109" s="1610"/>
      <c r="AN109" s="437"/>
      <c r="AO109" s="626"/>
      <c r="AP109" s="627"/>
      <c r="AQ109" s="628"/>
      <c r="AR109" s="628"/>
      <c r="AS109" s="628"/>
      <c r="AT109" s="628"/>
      <c r="AU109" s="628"/>
      <c r="AV109" s="628"/>
      <c r="AW109" s="634">
        <f t="shared" si="41"/>
        <v>0</v>
      </c>
      <c r="AX109" s="627"/>
      <c r="AY109" s="628"/>
      <c r="AZ109" s="628"/>
      <c r="BA109" s="628"/>
      <c r="BB109" s="628"/>
      <c r="BC109" s="628"/>
      <c r="BD109" s="628"/>
      <c r="BE109" s="634">
        <f t="shared" si="46"/>
        <v>0</v>
      </c>
      <c r="BF109" s="627"/>
      <c r="BG109" s="628"/>
      <c r="BH109" s="628"/>
      <c r="BI109" s="628"/>
      <c r="BJ109" s="628"/>
      <c r="BK109" s="628"/>
      <c r="BL109" s="628"/>
      <c r="BM109" s="634">
        <f t="shared" si="47"/>
        <v>0</v>
      </c>
      <c r="BN109" s="627"/>
      <c r="BO109" s="628"/>
      <c r="BP109" s="628"/>
      <c r="BQ109" s="628"/>
      <c r="BR109" s="628"/>
      <c r="BS109" s="628"/>
      <c r="BT109" s="628"/>
      <c r="BU109" s="634">
        <f t="shared" si="48"/>
        <v>0</v>
      </c>
      <c r="BV109" s="652"/>
      <c r="BW109" s="663">
        <f t="shared" si="31"/>
        <v>0</v>
      </c>
      <c r="BX109" s="674" t="e">
        <f t="shared" si="32"/>
        <v>#DIV/0!</v>
      </c>
      <c r="BY109" s="647" t="e">
        <f t="shared" si="33"/>
        <v>#DIV/0!</v>
      </c>
      <c r="BZ109" s="674" t="e">
        <f t="shared" si="34"/>
        <v>#DIV/0!</v>
      </c>
      <c r="CA109" s="675" t="e">
        <f t="shared" si="35"/>
        <v>#DIV/0!</v>
      </c>
      <c r="CB109" s="675" t="e">
        <f t="shared" si="36"/>
        <v>#DIV/0!</v>
      </c>
    </row>
    <row r="110" spans="1:80" ht="87" hidden="1" customHeight="1" x14ac:dyDescent="0.25">
      <c r="A110" s="296"/>
      <c r="B110" s="331" t="str">
        <f>'PLAN INDICATIVO'!B107</f>
        <v>Vivienda</v>
      </c>
      <c r="C110" s="1605" t="s">
        <v>345</v>
      </c>
      <c r="D110" s="1606"/>
      <c r="E110" s="1606"/>
      <c r="F110" s="1606"/>
      <c r="G110" s="1606"/>
      <c r="H110" s="1606"/>
      <c r="I110" s="1606"/>
      <c r="J110" s="1606"/>
      <c r="K110" s="1606"/>
      <c r="L110" s="1606"/>
      <c r="M110" s="1606"/>
      <c r="N110" s="1606"/>
      <c r="O110" s="1607"/>
      <c r="P110" s="318"/>
      <c r="Q110" s="318"/>
      <c r="R110" s="317"/>
      <c r="S110" s="319"/>
      <c r="T110" s="676"/>
      <c r="U110" s="319"/>
      <c r="V110" s="698">
        <v>745700</v>
      </c>
      <c r="W110" s="319"/>
      <c r="X110" s="695">
        <f>SUM(X111:X115)</f>
        <v>501000000</v>
      </c>
      <c r="Y110" s="319"/>
      <c r="Z110" s="696">
        <f>SUM(Z111:Z115)</f>
        <v>101000000</v>
      </c>
      <c r="AA110" s="320"/>
      <c r="AB110" s="697">
        <f>SUM(AB111:AB115)</f>
        <v>105000000</v>
      </c>
      <c r="AC110" s="320"/>
      <c r="AD110" s="320"/>
      <c r="AE110" s="320"/>
      <c r="AF110" s="320"/>
      <c r="AG110" s="321"/>
      <c r="AH110" s="321"/>
      <c r="AI110" s="321"/>
      <c r="AJ110" s="320"/>
      <c r="AK110" s="320"/>
      <c r="AL110" s="320"/>
      <c r="AM110" s="320"/>
      <c r="AN110" s="320"/>
      <c r="AO110" s="630"/>
      <c r="AP110" s="631" t="e">
        <f>(AP111:AP115)</f>
        <v>#VALUE!</v>
      </c>
      <c r="AQ110" s="631" t="e">
        <f t="shared" ref="AQ110:AV110" si="53">(AQ111:AQ115)</f>
        <v>#VALUE!</v>
      </c>
      <c r="AR110" s="631" t="e">
        <f t="shared" si="53"/>
        <v>#VALUE!</v>
      </c>
      <c r="AS110" s="631" t="e">
        <f t="shared" si="53"/>
        <v>#VALUE!</v>
      </c>
      <c r="AT110" s="631" t="e">
        <f t="shared" si="53"/>
        <v>#VALUE!</v>
      </c>
      <c r="AU110" s="631" t="e">
        <f t="shared" si="53"/>
        <v>#VALUE!</v>
      </c>
      <c r="AV110" s="631" t="e">
        <f t="shared" si="53"/>
        <v>#VALUE!</v>
      </c>
      <c r="AW110" s="617" t="e">
        <f t="shared" si="41"/>
        <v>#VALUE!</v>
      </c>
      <c r="AX110" s="631" t="e">
        <f>(AX111:AX115)</f>
        <v>#VALUE!</v>
      </c>
      <c r="AY110" s="631" t="e">
        <f t="shared" ref="AY110:BD110" si="54">(AY111:AY115)</f>
        <v>#VALUE!</v>
      </c>
      <c r="AZ110" s="631" t="e">
        <f t="shared" si="54"/>
        <v>#VALUE!</v>
      </c>
      <c r="BA110" s="631" t="e">
        <f t="shared" si="54"/>
        <v>#VALUE!</v>
      </c>
      <c r="BB110" s="631" t="e">
        <f t="shared" si="54"/>
        <v>#VALUE!</v>
      </c>
      <c r="BC110" s="631" t="e">
        <f t="shared" si="54"/>
        <v>#VALUE!</v>
      </c>
      <c r="BD110" s="631" t="e">
        <f t="shared" si="54"/>
        <v>#VALUE!</v>
      </c>
      <c r="BE110" s="617" t="e">
        <f t="shared" si="46"/>
        <v>#VALUE!</v>
      </c>
      <c r="BF110" s="631" t="e">
        <f>(BF111:BF115)</f>
        <v>#VALUE!</v>
      </c>
      <c r="BG110" s="631" t="e">
        <f t="shared" ref="BG110:BL110" si="55">(BG111:BG115)</f>
        <v>#VALUE!</v>
      </c>
      <c r="BH110" s="631" t="e">
        <f t="shared" si="55"/>
        <v>#VALUE!</v>
      </c>
      <c r="BI110" s="631" t="e">
        <f t="shared" si="55"/>
        <v>#VALUE!</v>
      </c>
      <c r="BJ110" s="631" t="e">
        <f t="shared" si="55"/>
        <v>#VALUE!</v>
      </c>
      <c r="BK110" s="631" t="e">
        <f t="shared" si="55"/>
        <v>#VALUE!</v>
      </c>
      <c r="BL110" s="631" t="e">
        <f t="shared" si="55"/>
        <v>#VALUE!</v>
      </c>
      <c r="BM110" s="617" t="e">
        <f t="shared" si="47"/>
        <v>#VALUE!</v>
      </c>
      <c r="BN110" s="631" t="e">
        <f>(BN111:BN115)</f>
        <v>#VALUE!</v>
      </c>
      <c r="BO110" s="631" t="e">
        <f t="shared" ref="BO110:BT110" si="56">(BO111:BO115)</f>
        <v>#VALUE!</v>
      </c>
      <c r="BP110" s="631" t="e">
        <f t="shared" si="56"/>
        <v>#VALUE!</v>
      </c>
      <c r="BQ110" s="631" t="e">
        <f t="shared" si="56"/>
        <v>#VALUE!</v>
      </c>
      <c r="BR110" s="631" t="e">
        <f t="shared" si="56"/>
        <v>#VALUE!</v>
      </c>
      <c r="BS110" s="631" t="e">
        <f t="shared" si="56"/>
        <v>#VALUE!</v>
      </c>
      <c r="BT110" s="631" t="e">
        <f t="shared" si="56"/>
        <v>#VALUE!</v>
      </c>
      <c r="BU110" s="617" t="e">
        <f t="shared" si="48"/>
        <v>#VALUE!</v>
      </c>
      <c r="BV110" s="556"/>
      <c r="BW110" s="663">
        <f t="shared" si="31"/>
        <v>0</v>
      </c>
      <c r="BX110" s="674" t="e">
        <f t="shared" si="32"/>
        <v>#DIV/0!</v>
      </c>
      <c r="BY110" s="613" t="e">
        <f t="shared" si="33"/>
        <v>#DIV/0!</v>
      </c>
      <c r="BZ110" s="674" t="e">
        <f t="shared" si="34"/>
        <v>#DIV/0!</v>
      </c>
      <c r="CA110" s="675" t="e">
        <f t="shared" si="35"/>
        <v>#DIV/0!</v>
      </c>
      <c r="CB110" s="675" t="e">
        <f t="shared" si="36"/>
        <v>#DIV/0!</v>
      </c>
    </row>
    <row r="111" spans="1:80" ht="66" hidden="1" customHeight="1" x14ac:dyDescent="0.25">
      <c r="A111" s="298" t="s">
        <v>346</v>
      </c>
      <c r="B111" s="299" t="str">
        <f>'PLAN INDICATIVO'!B108</f>
        <v>Vivienda</v>
      </c>
      <c r="C111" s="1546" t="s">
        <v>347</v>
      </c>
      <c r="D111" s="1549" t="s">
        <v>348</v>
      </c>
      <c r="E111" s="1549" t="s">
        <v>349</v>
      </c>
      <c r="F111" s="1549">
        <v>2015</v>
      </c>
      <c r="G111" s="1549">
        <v>37.700000000000003</v>
      </c>
      <c r="H111" s="1549">
        <v>33</v>
      </c>
      <c r="I111" s="1425" t="str">
        <f>'PLAN INDICATIVO'!I108</f>
        <v>SI</v>
      </c>
      <c r="J111" s="1425">
        <f>'PLAN INDICATIVO'!J108</f>
        <v>0</v>
      </c>
      <c r="K111" s="1425" t="str">
        <f>'PLAN INDICATIVO'!K108</f>
        <v>A.7.1.1</v>
      </c>
      <c r="L111" s="1425" t="str">
        <f>'PLAN INDICATIVO'!L108</f>
        <v>11. Ciudades y comunidades sostenibles</v>
      </c>
      <c r="M111" s="1425" t="str">
        <f>'PLAN INDICATIVO'!M108</f>
        <v>departamento Municipal de Planeación</v>
      </c>
      <c r="N111" s="1425" t="s">
        <v>3555</v>
      </c>
      <c r="O111" s="1425" t="str">
        <f>'PLAN INDICATIVO'!O108</f>
        <v>Incremento</v>
      </c>
      <c r="P111" s="16" t="str">
        <f>'PLAN INDICATIVO'!P108</f>
        <v>Realizar   450 mejoramientos de vivienda  en el municipio durante  el cuatrienio.</v>
      </c>
      <c r="Q111" s="302" t="str">
        <f>'PLAN INDICATIVO'!Q108</f>
        <v>No. De Mejoramientos de vivienda realizados</v>
      </c>
      <c r="R111" s="303">
        <f>'PLAN INDICATIVO'!R108</f>
        <v>2015</v>
      </c>
      <c r="S111" s="304" t="s">
        <v>177</v>
      </c>
      <c r="T111" s="677">
        <v>450</v>
      </c>
      <c r="U111" s="303">
        <v>152</v>
      </c>
      <c r="V111" s="687">
        <v>573000000</v>
      </c>
      <c r="W111" s="572">
        <v>180</v>
      </c>
      <c r="X111" s="687">
        <v>490000000</v>
      </c>
      <c r="Y111" s="572">
        <v>131</v>
      </c>
      <c r="Z111" s="688">
        <v>101000000</v>
      </c>
      <c r="AA111" s="572">
        <v>131</v>
      </c>
      <c r="AB111" s="688">
        <v>105000000</v>
      </c>
      <c r="AC111" s="665">
        <v>8</v>
      </c>
      <c r="AD111" s="665">
        <f>98+32+28+23</f>
        <v>181</v>
      </c>
      <c r="AE111" s="665"/>
      <c r="AF111" s="665"/>
      <c r="AG111" s="306" t="s">
        <v>3556</v>
      </c>
      <c r="AH111" s="306"/>
      <c r="AI111" s="307" t="s">
        <v>4870</v>
      </c>
      <c r="AJ111" s="838">
        <v>42781</v>
      </c>
      <c r="AK111" s="838">
        <v>43099</v>
      </c>
      <c r="AL111" s="308"/>
      <c r="AM111" s="308"/>
      <c r="AN111" s="267" t="s">
        <v>2598</v>
      </c>
      <c r="AO111" s="507" t="s">
        <v>3557</v>
      </c>
      <c r="AP111" s="525"/>
      <c r="AQ111" s="310"/>
      <c r="AR111" s="310">
        <f>341451789+232186257+83634981+145847482</f>
        <v>803120509</v>
      </c>
      <c r="AS111" s="310"/>
      <c r="AT111" s="310"/>
      <c r="AU111" s="380"/>
      <c r="AV111" s="310"/>
      <c r="AW111" s="544">
        <f t="shared" si="41"/>
        <v>803120509</v>
      </c>
      <c r="AX111" s="525"/>
      <c r="AY111" s="310"/>
      <c r="AZ111" s="310"/>
      <c r="BA111" s="310"/>
      <c r="BB111" s="310"/>
      <c r="BC111" s="380"/>
      <c r="BD111" s="310"/>
      <c r="BE111" s="544">
        <f t="shared" si="46"/>
        <v>0</v>
      </c>
      <c r="BF111" s="525"/>
      <c r="BG111" s="310"/>
      <c r="BH111" s="310"/>
      <c r="BI111" s="310"/>
      <c r="BJ111" s="310"/>
      <c r="BK111" s="380"/>
      <c r="BL111" s="310"/>
      <c r="BM111" s="544">
        <f t="shared" si="47"/>
        <v>0</v>
      </c>
      <c r="BN111" s="525"/>
      <c r="BO111" s="310"/>
      <c r="BP111" s="310"/>
      <c r="BQ111" s="310"/>
      <c r="BR111" s="310"/>
      <c r="BS111" s="380"/>
      <c r="BT111" s="310"/>
      <c r="BU111" s="544">
        <f t="shared" si="48"/>
        <v>0</v>
      </c>
      <c r="BV111" s="556"/>
      <c r="BW111" s="663">
        <f t="shared" si="31"/>
        <v>189</v>
      </c>
      <c r="BX111" s="674">
        <f>BW111/T111</f>
        <v>0.42</v>
      </c>
      <c r="BY111" s="909">
        <f t="shared" si="33"/>
        <v>5.2631578947368418E-2</v>
      </c>
      <c r="BZ111" s="674">
        <f t="shared" si="34"/>
        <v>1.0055555555555555</v>
      </c>
      <c r="CA111" s="675">
        <f t="shared" si="35"/>
        <v>0</v>
      </c>
      <c r="CB111" s="675">
        <f t="shared" si="36"/>
        <v>0</v>
      </c>
    </row>
    <row r="112" spans="1:80" ht="85.5" hidden="1" customHeight="1" x14ac:dyDescent="0.25">
      <c r="A112" s="298" t="s">
        <v>346</v>
      </c>
      <c r="B112" s="299" t="str">
        <f>'PLAN INDICATIVO'!B109</f>
        <v>Vivienda</v>
      </c>
      <c r="C112" s="1547"/>
      <c r="D112" s="1549"/>
      <c r="E112" s="1549"/>
      <c r="F112" s="1549"/>
      <c r="G112" s="1549"/>
      <c r="H112" s="1549"/>
      <c r="I112" s="300">
        <f>'PLAN INDICATIVO'!I109</f>
        <v>0</v>
      </c>
      <c r="J112" s="300">
        <f>'PLAN INDICATIVO'!J109</f>
        <v>0</v>
      </c>
      <c r="K112" s="1425" t="str">
        <f>'PLAN INDICATIVO'!K109</f>
        <v>A.7.1.2</v>
      </c>
      <c r="L112" s="1425" t="str">
        <f>'PLAN INDICATIVO'!L109</f>
        <v>11. Ciudades y comunidades sostenibles</v>
      </c>
      <c r="M112" s="1425" t="str">
        <f>'PLAN INDICATIVO'!M109</f>
        <v>departamento Municipal de Planeación</v>
      </c>
      <c r="N112" s="1425" t="s">
        <v>3555</v>
      </c>
      <c r="O112" s="1425" t="str">
        <f>'PLAN INDICATIVO'!O109</f>
        <v>Incremento</v>
      </c>
      <c r="P112" s="16" t="str">
        <f>'PLAN INDICATIVO'!P109</f>
        <v>Apoyar a 2 barrios con programa de legalización durante el cuatrienio</v>
      </c>
      <c r="Q112" s="302" t="str">
        <f>'PLAN INDICATIVO'!Q109</f>
        <v>No. De barrios legalizados</v>
      </c>
      <c r="R112" s="303">
        <f>'PLAN INDICATIVO'!R109</f>
        <v>2015</v>
      </c>
      <c r="S112" s="304">
        <v>0</v>
      </c>
      <c r="T112" s="677">
        <v>2</v>
      </c>
      <c r="U112" s="303">
        <v>0</v>
      </c>
      <c r="V112" s="686">
        <v>19000000</v>
      </c>
      <c r="W112" s="572">
        <v>1</v>
      </c>
      <c r="X112" s="687">
        <v>500000</v>
      </c>
      <c r="Y112" s="572">
        <v>1</v>
      </c>
      <c r="Z112" s="572"/>
      <c r="AA112" s="572">
        <v>0</v>
      </c>
      <c r="AB112" s="572"/>
      <c r="AC112" s="843"/>
      <c r="AD112" s="665">
        <v>0.8</v>
      </c>
      <c r="AE112" s="665"/>
      <c r="AF112" s="665"/>
      <c r="AG112" s="306" t="s">
        <v>3556</v>
      </c>
      <c r="AH112" s="306"/>
      <c r="AI112" s="307" t="s">
        <v>3558</v>
      </c>
      <c r="AJ112" s="838">
        <v>42948</v>
      </c>
      <c r="AK112" s="838">
        <v>42993</v>
      </c>
      <c r="AL112" s="308"/>
      <c r="AM112" s="308"/>
      <c r="AN112" s="267" t="s">
        <v>2604</v>
      </c>
      <c r="AO112" s="507"/>
      <c r="AP112" s="525"/>
      <c r="AQ112" s="310"/>
      <c r="AR112" s="310"/>
      <c r="AS112" s="310"/>
      <c r="AT112" s="310"/>
      <c r="AU112" s="310"/>
      <c r="AV112" s="310"/>
      <c r="AW112" s="544">
        <f t="shared" si="41"/>
        <v>0</v>
      </c>
      <c r="AX112" s="525"/>
      <c r="AY112" s="310"/>
      <c r="AZ112" s="310"/>
      <c r="BA112" s="310"/>
      <c r="BB112" s="310"/>
      <c r="BC112" s="310"/>
      <c r="BD112" s="310"/>
      <c r="BE112" s="544">
        <f t="shared" si="46"/>
        <v>0</v>
      </c>
      <c r="BF112" s="525"/>
      <c r="BG112" s="310"/>
      <c r="BH112" s="310"/>
      <c r="BI112" s="310"/>
      <c r="BJ112" s="310"/>
      <c r="BK112" s="310"/>
      <c r="BL112" s="310"/>
      <c r="BM112" s="544">
        <f t="shared" si="47"/>
        <v>0</v>
      </c>
      <c r="BN112" s="525"/>
      <c r="BO112" s="310"/>
      <c r="BP112" s="310"/>
      <c r="BQ112" s="310"/>
      <c r="BR112" s="310"/>
      <c r="BS112" s="310"/>
      <c r="BT112" s="310"/>
      <c r="BU112" s="544">
        <f t="shared" si="48"/>
        <v>0</v>
      </c>
      <c r="BV112" s="556"/>
      <c r="BW112" s="663">
        <f t="shared" si="31"/>
        <v>0.8</v>
      </c>
      <c r="BX112" s="674">
        <f t="shared" si="32"/>
        <v>0.4</v>
      </c>
      <c r="BY112" s="561" t="e">
        <f t="shared" si="33"/>
        <v>#DIV/0!</v>
      </c>
      <c r="BZ112" s="674">
        <f t="shared" si="34"/>
        <v>0.8</v>
      </c>
      <c r="CA112" s="675">
        <f t="shared" si="35"/>
        <v>0</v>
      </c>
      <c r="CB112" s="675" t="e">
        <f t="shared" si="36"/>
        <v>#DIV/0!</v>
      </c>
    </row>
    <row r="113" spans="1:80" ht="63.75" hidden="1" customHeight="1" x14ac:dyDescent="0.25">
      <c r="A113" s="298" t="s">
        <v>346</v>
      </c>
      <c r="B113" s="299" t="str">
        <f>'PLAN INDICATIVO'!B110</f>
        <v>Vivienda</v>
      </c>
      <c r="C113" s="1547"/>
      <c r="D113" s="1549"/>
      <c r="E113" s="1549"/>
      <c r="F113" s="1549"/>
      <c r="G113" s="1549"/>
      <c r="H113" s="1549"/>
      <c r="I113" s="300">
        <f>'PLAN INDICATIVO'!I110</f>
        <v>0</v>
      </c>
      <c r="J113" s="300">
        <f>'PLAN INDICATIVO'!J110</f>
        <v>0</v>
      </c>
      <c r="K113" s="1425" t="str">
        <f>'PLAN INDICATIVO'!K110</f>
        <v>A.7.1.3</v>
      </c>
      <c r="L113" s="1425" t="str">
        <f>'PLAN INDICATIVO'!L110</f>
        <v>11. Ciudades y comunidades sostenibles</v>
      </c>
      <c r="M113" s="1425" t="str">
        <f>'PLAN INDICATIVO'!M110</f>
        <v>departamento Municipal de Planeación</v>
      </c>
      <c r="N113" s="1425" t="s">
        <v>3555</v>
      </c>
      <c r="O113" s="1425" t="str">
        <f>'PLAN INDICATIVO'!O110</f>
        <v>Incremento</v>
      </c>
      <c r="P113" s="16" t="str">
        <f>'PLAN INDICATIVO'!P110</f>
        <v>Construir o remodelar 15.000 m2 de espacio público  para el disfrute de los ciudadanos durante el cuatrienio</v>
      </c>
      <c r="Q113" s="302" t="str">
        <f>'PLAN INDICATIVO'!Q110</f>
        <v>No. De m2 construidos o remodelados de espacio público</v>
      </c>
      <c r="R113" s="303">
        <f>'PLAN INDICATIVO'!R110</f>
        <v>2015</v>
      </c>
      <c r="S113" s="304">
        <v>0</v>
      </c>
      <c r="T113" s="677">
        <v>15000</v>
      </c>
      <c r="U113" s="303">
        <v>0</v>
      </c>
      <c r="V113" s="686">
        <v>20000000</v>
      </c>
      <c r="W113" s="572">
        <v>4000</v>
      </c>
      <c r="X113" s="687">
        <v>10000000</v>
      </c>
      <c r="Y113" s="572">
        <v>5500</v>
      </c>
      <c r="Z113" s="572"/>
      <c r="AA113" s="572">
        <v>5500</v>
      </c>
      <c r="AB113" s="572"/>
      <c r="AC113" s="665"/>
      <c r="AD113" s="665">
        <v>5843</v>
      </c>
      <c r="AE113" s="665"/>
      <c r="AF113" s="665"/>
      <c r="AG113" s="338" t="s">
        <v>3559</v>
      </c>
      <c r="AH113" s="338">
        <v>2017413960077</v>
      </c>
      <c r="AI113" s="336" t="s">
        <v>3560</v>
      </c>
      <c r="AJ113" s="898">
        <v>42840</v>
      </c>
      <c r="AK113" s="898">
        <v>43099</v>
      </c>
      <c r="AL113" s="337"/>
      <c r="AM113" s="337"/>
      <c r="AN113" s="267" t="s">
        <v>2598</v>
      </c>
      <c r="AO113" s="510" t="s">
        <v>3561</v>
      </c>
      <c r="AP113" s="527"/>
      <c r="AQ113" s="471"/>
      <c r="AR113" s="471"/>
      <c r="AS113" s="471"/>
      <c r="AT113" s="471"/>
      <c r="AU113" s="471"/>
      <c r="AV113" s="471"/>
      <c r="AW113" s="544">
        <f t="shared" si="41"/>
        <v>0</v>
      </c>
      <c r="AX113" s="527"/>
      <c r="AY113" s="471"/>
      <c r="AZ113" s="471"/>
      <c r="BA113" s="471"/>
      <c r="BB113" s="471"/>
      <c r="BC113" s="471"/>
      <c r="BD113" s="471"/>
      <c r="BE113" s="544">
        <f t="shared" si="46"/>
        <v>0</v>
      </c>
      <c r="BF113" s="527"/>
      <c r="BG113" s="471"/>
      <c r="BH113" s="471"/>
      <c r="BI113" s="471"/>
      <c r="BJ113" s="471"/>
      <c r="BK113" s="471"/>
      <c r="BL113" s="471"/>
      <c r="BM113" s="544">
        <f t="shared" si="47"/>
        <v>0</v>
      </c>
      <c r="BN113" s="527"/>
      <c r="BO113" s="471"/>
      <c r="BP113" s="471"/>
      <c r="BQ113" s="471"/>
      <c r="BR113" s="471"/>
      <c r="BS113" s="471"/>
      <c r="BT113" s="471"/>
      <c r="BU113" s="544">
        <f t="shared" si="48"/>
        <v>0</v>
      </c>
      <c r="BV113" s="556"/>
      <c r="BW113" s="663">
        <f t="shared" si="31"/>
        <v>5843</v>
      </c>
      <c r="BX113" s="674">
        <f t="shared" si="32"/>
        <v>0.38953333333333334</v>
      </c>
      <c r="BY113" s="835" t="e">
        <f t="shared" si="33"/>
        <v>#DIV/0!</v>
      </c>
      <c r="BZ113" s="674">
        <f>AD113/W113</f>
        <v>1.46075</v>
      </c>
      <c r="CA113" s="675">
        <f t="shared" si="35"/>
        <v>0</v>
      </c>
      <c r="CB113" s="675">
        <f t="shared" si="36"/>
        <v>0</v>
      </c>
    </row>
    <row r="114" spans="1:80" ht="90" hidden="1" customHeight="1" x14ac:dyDescent="0.25">
      <c r="A114" s="298" t="s">
        <v>346</v>
      </c>
      <c r="B114" s="299" t="str">
        <f>'PLAN INDICATIVO'!B111</f>
        <v>Vivienda</v>
      </c>
      <c r="C114" s="1547"/>
      <c r="D114" s="1549"/>
      <c r="E114" s="1549"/>
      <c r="F114" s="1549"/>
      <c r="G114" s="1549"/>
      <c r="H114" s="1549"/>
      <c r="I114" s="300">
        <f>'PLAN INDICATIVO'!I111</f>
        <v>0</v>
      </c>
      <c r="J114" s="300">
        <f>'PLAN INDICATIVO'!J111</f>
        <v>0</v>
      </c>
      <c r="K114" s="1425" t="str">
        <f>'PLAN INDICATIVO'!K111</f>
        <v>A.7.1.4</v>
      </c>
      <c r="L114" s="1425" t="str">
        <f>'PLAN INDICATIVO'!L111</f>
        <v>11. Ciudades y comunidades sostenibles</v>
      </c>
      <c r="M114" s="1425" t="str">
        <f>'PLAN INDICATIVO'!M111</f>
        <v>departamento Municipal de Planeación</v>
      </c>
      <c r="N114" s="1425" t="s">
        <v>3555</v>
      </c>
      <c r="O114" s="1425" t="str">
        <f>'PLAN INDICATIVO'!O111</f>
        <v>Incremento</v>
      </c>
      <c r="P114" s="16" t="str">
        <f>'PLAN INDICATIVO'!P111</f>
        <v>Ajustar un nuevo PBOT  que defina áreas de desarrollo urbanístico en zonas que no representen alto riesgo</v>
      </c>
      <c r="Q114" s="302" t="str">
        <f>'PLAN INDICATIVO'!Q111</f>
        <v>No. De PBOT ajustado</v>
      </c>
      <c r="R114" s="303">
        <f>'PLAN INDICATIVO'!R111</f>
        <v>2015</v>
      </c>
      <c r="S114" s="304">
        <v>0</v>
      </c>
      <c r="T114" s="677">
        <v>1</v>
      </c>
      <c r="U114" s="106">
        <v>0</v>
      </c>
      <c r="V114" s="686">
        <v>0</v>
      </c>
      <c r="W114" s="572">
        <v>0</v>
      </c>
      <c r="X114" s="572"/>
      <c r="Y114" s="572">
        <v>1</v>
      </c>
      <c r="Z114" s="572"/>
      <c r="AA114" s="572">
        <v>0</v>
      </c>
      <c r="AB114" s="572"/>
      <c r="AC114" s="665"/>
      <c r="AD114" s="665"/>
      <c r="AE114" s="665"/>
      <c r="AF114" s="665"/>
      <c r="AG114" s="306"/>
      <c r="AH114" s="306"/>
      <c r="AI114" s="307"/>
      <c r="AJ114" s="308"/>
      <c r="AK114" s="308"/>
      <c r="AL114" s="308"/>
      <c r="AM114" s="308"/>
      <c r="AN114" s="267" t="s">
        <v>2594</v>
      </c>
      <c r="AO114" s="507"/>
      <c r="AP114" s="525"/>
      <c r="AQ114" s="310"/>
      <c r="AR114" s="310"/>
      <c r="AS114" s="310"/>
      <c r="AT114" s="310"/>
      <c r="AU114" s="310"/>
      <c r="AV114" s="310"/>
      <c r="AW114" s="544">
        <f t="shared" si="41"/>
        <v>0</v>
      </c>
      <c r="AX114" s="525"/>
      <c r="AY114" s="310"/>
      <c r="AZ114" s="310"/>
      <c r="BA114" s="310"/>
      <c r="BB114" s="310"/>
      <c r="BC114" s="310"/>
      <c r="BD114" s="310"/>
      <c r="BE114" s="544">
        <f t="shared" si="46"/>
        <v>0</v>
      </c>
      <c r="BF114" s="525"/>
      <c r="BG114" s="310"/>
      <c r="BH114" s="310"/>
      <c r="BI114" s="310"/>
      <c r="BJ114" s="310"/>
      <c r="BK114" s="310"/>
      <c r="BL114" s="310"/>
      <c r="BM114" s="544">
        <f t="shared" si="47"/>
        <v>0</v>
      </c>
      <c r="BN114" s="525"/>
      <c r="BO114" s="310"/>
      <c r="BP114" s="310"/>
      <c r="BQ114" s="310"/>
      <c r="BR114" s="310"/>
      <c r="BS114" s="310"/>
      <c r="BT114" s="310"/>
      <c r="BU114" s="544">
        <f t="shared" si="48"/>
        <v>0</v>
      </c>
      <c r="BV114" s="556"/>
      <c r="BW114" s="663">
        <f t="shared" si="31"/>
        <v>0</v>
      </c>
      <c r="BX114" s="674">
        <f t="shared" si="32"/>
        <v>0</v>
      </c>
      <c r="BY114" s="561" t="e">
        <f t="shared" si="33"/>
        <v>#DIV/0!</v>
      </c>
      <c r="BZ114" s="674" t="e">
        <f t="shared" si="34"/>
        <v>#DIV/0!</v>
      </c>
      <c r="CA114" s="675">
        <f t="shared" si="35"/>
        <v>0</v>
      </c>
      <c r="CB114" s="675" t="e">
        <f t="shared" si="36"/>
        <v>#DIV/0!</v>
      </c>
    </row>
    <row r="115" spans="1:80" ht="91.5" hidden="1" customHeight="1" x14ac:dyDescent="0.25">
      <c r="A115" s="298" t="s">
        <v>346</v>
      </c>
      <c r="B115" s="299" t="str">
        <f>'PLAN INDICATIVO'!B112</f>
        <v>Vivienda</v>
      </c>
      <c r="C115" s="1548"/>
      <c r="D115" s="1549"/>
      <c r="E115" s="1549"/>
      <c r="F115" s="1549"/>
      <c r="G115" s="1549"/>
      <c r="H115" s="1549"/>
      <c r="I115" s="300">
        <f>'PLAN INDICATIVO'!I112</f>
        <v>0</v>
      </c>
      <c r="J115" s="300">
        <f>'PLAN INDICATIVO'!J112</f>
        <v>0</v>
      </c>
      <c r="K115" s="1425" t="str">
        <f>'PLAN INDICATIVO'!K112</f>
        <v>A.7.1.5</v>
      </c>
      <c r="L115" s="1425" t="str">
        <f>'PLAN INDICATIVO'!L112</f>
        <v>11. Ciudades y comunidades sostenibles</v>
      </c>
      <c r="M115" s="1425" t="str">
        <f>'PLAN INDICATIVO'!M112</f>
        <v>departamento Municipal de Planeación</v>
      </c>
      <c r="N115" s="1425" t="s">
        <v>3555</v>
      </c>
      <c r="O115" s="1425" t="str">
        <f>'PLAN INDICATIVO'!O112</f>
        <v>Incremento</v>
      </c>
      <c r="P115" s="16" t="str">
        <f>'PLAN INDICATIVO'!P112</f>
        <v>Realizar 5 capacitaciones  a familias,  durante el cuatrienio, en el tema de "créditos de vivienda".</v>
      </c>
      <c r="Q115" s="302" t="str">
        <f>'PLAN INDICATIVO'!Q112</f>
        <v>No. de capacitaciones realizadas</v>
      </c>
      <c r="R115" s="303">
        <f>'PLAN INDICATIVO'!R112</f>
        <v>2015</v>
      </c>
      <c r="S115" s="304">
        <v>0</v>
      </c>
      <c r="T115" s="677">
        <v>8</v>
      </c>
      <c r="U115" s="303">
        <v>3</v>
      </c>
      <c r="V115" s="686">
        <v>1000000</v>
      </c>
      <c r="W115" s="572">
        <v>3</v>
      </c>
      <c r="X115" s="687">
        <v>500000</v>
      </c>
      <c r="Y115" s="572">
        <v>2</v>
      </c>
      <c r="Z115" s="572"/>
      <c r="AA115" s="572">
        <v>2</v>
      </c>
      <c r="AB115" s="572"/>
      <c r="AC115" s="665">
        <v>0</v>
      </c>
      <c r="AD115" s="665">
        <v>3</v>
      </c>
      <c r="AE115" s="665"/>
      <c r="AF115" s="665"/>
      <c r="AG115" s="306" t="s">
        <v>3556</v>
      </c>
      <c r="AH115" s="306"/>
      <c r="AI115" s="307" t="s">
        <v>3562</v>
      </c>
      <c r="AJ115" s="838">
        <v>42781</v>
      </c>
      <c r="AK115" s="838">
        <v>43069</v>
      </c>
      <c r="AL115" s="308"/>
      <c r="AM115" s="308"/>
      <c r="AN115" s="267" t="s">
        <v>2598</v>
      </c>
      <c r="AO115" s="507">
        <v>230703</v>
      </c>
      <c r="AP115" s="525"/>
      <c r="AQ115" s="310"/>
      <c r="AR115" s="310"/>
      <c r="AS115" s="310"/>
      <c r="AT115" s="310"/>
      <c r="AU115" s="310"/>
      <c r="AV115" s="310"/>
      <c r="AW115" s="544">
        <f t="shared" si="41"/>
        <v>0</v>
      </c>
      <c r="AX115" s="525"/>
      <c r="AY115" s="310"/>
      <c r="AZ115" s="310"/>
      <c r="BA115" s="310"/>
      <c r="BB115" s="310"/>
      <c r="BC115" s="310"/>
      <c r="BD115" s="310"/>
      <c r="BE115" s="544">
        <f t="shared" si="46"/>
        <v>0</v>
      </c>
      <c r="BF115" s="525"/>
      <c r="BG115" s="310"/>
      <c r="BH115" s="310"/>
      <c r="BI115" s="310"/>
      <c r="BJ115" s="310"/>
      <c r="BK115" s="310"/>
      <c r="BL115" s="310"/>
      <c r="BM115" s="544">
        <f t="shared" si="47"/>
        <v>0</v>
      </c>
      <c r="BN115" s="525"/>
      <c r="BO115" s="310"/>
      <c r="BP115" s="310"/>
      <c r="BQ115" s="310"/>
      <c r="BR115" s="310"/>
      <c r="BS115" s="310"/>
      <c r="BT115" s="310"/>
      <c r="BU115" s="544">
        <f t="shared" si="48"/>
        <v>0</v>
      </c>
      <c r="BV115" s="556"/>
      <c r="BW115" s="663">
        <f t="shared" si="31"/>
        <v>3</v>
      </c>
      <c r="BX115" s="674">
        <f t="shared" si="32"/>
        <v>0.375</v>
      </c>
      <c r="BY115" s="613">
        <f t="shared" si="33"/>
        <v>0</v>
      </c>
      <c r="BZ115" s="674">
        <f t="shared" si="34"/>
        <v>1</v>
      </c>
      <c r="CA115" s="675">
        <f t="shared" si="35"/>
        <v>0</v>
      </c>
      <c r="CB115" s="675">
        <f t="shared" si="36"/>
        <v>0</v>
      </c>
    </row>
    <row r="116" spans="1:80" ht="18" hidden="1" customHeight="1" x14ac:dyDescent="0.25">
      <c r="A116" s="295" t="s">
        <v>346</v>
      </c>
      <c r="B116" s="24" t="str">
        <f>'PLAN INDICATIVO'!B113</f>
        <v>Vivienda</v>
      </c>
      <c r="C116" s="1574" t="s">
        <v>368</v>
      </c>
      <c r="D116" s="1575"/>
      <c r="E116" s="1575"/>
      <c r="F116" s="1575"/>
      <c r="G116" s="1575"/>
      <c r="H116" s="1575"/>
      <c r="I116" s="1575"/>
      <c r="J116" s="1575"/>
      <c r="K116" s="1575"/>
      <c r="L116" s="1575"/>
      <c r="M116" s="1575"/>
      <c r="N116" s="1575"/>
      <c r="O116" s="1576"/>
      <c r="P116" s="22"/>
      <c r="Q116" s="22"/>
      <c r="R116" s="1"/>
      <c r="S116" s="261"/>
      <c r="T116" s="681"/>
      <c r="U116" s="261"/>
      <c r="V116" s="689">
        <f>V117+V118+V119+V120</f>
        <v>207000000</v>
      </c>
      <c r="W116" s="261"/>
      <c r="X116" s="689">
        <f>X117+X118+X119+X120</f>
        <v>519000000</v>
      </c>
      <c r="Y116" s="261"/>
      <c r="Z116" s="689">
        <f>Z117+Z118+Z119+Z120</f>
        <v>21000000</v>
      </c>
      <c r="AA116" s="262"/>
      <c r="AB116" s="690">
        <f>AB117+AB118+AB119+AB120</f>
        <v>22500000</v>
      </c>
      <c r="AC116" s="262"/>
      <c r="AD116" s="262"/>
      <c r="AE116" s="262"/>
      <c r="AF116" s="262"/>
      <c r="AG116" s="263"/>
      <c r="AH116" s="263"/>
      <c r="AI116" s="263"/>
      <c r="AJ116" s="262"/>
      <c r="AK116" s="262"/>
      <c r="AL116" s="262"/>
      <c r="AM116" s="262"/>
      <c r="AN116" s="262"/>
      <c r="AO116" s="612"/>
      <c r="AP116" s="616" t="e">
        <f>(AP117:AP120)</f>
        <v>#VALUE!</v>
      </c>
      <c r="AQ116" s="616" t="e">
        <f t="shared" ref="AQ116:AV116" si="57">(AQ117:AQ120)</f>
        <v>#VALUE!</v>
      </c>
      <c r="AR116" s="616" t="e">
        <f t="shared" si="57"/>
        <v>#VALUE!</v>
      </c>
      <c r="AS116" s="616" t="e">
        <f t="shared" si="57"/>
        <v>#VALUE!</v>
      </c>
      <c r="AT116" s="616" t="e">
        <f t="shared" si="57"/>
        <v>#VALUE!</v>
      </c>
      <c r="AU116" s="616" t="e">
        <f t="shared" si="57"/>
        <v>#VALUE!</v>
      </c>
      <c r="AV116" s="616" t="e">
        <f t="shared" si="57"/>
        <v>#VALUE!</v>
      </c>
      <c r="AW116" s="617" t="e">
        <f t="shared" si="41"/>
        <v>#VALUE!</v>
      </c>
      <c r="AX116" s="616" t="e">
        <f>(AX117:AX120)</f>
        <v>#VALUE!</v>
      </c>
      <c r="AY116" s="616" t="e">
        <f t="shared" ref="AY116:BD116" si="58">(AY117:AY120)</f>
        <v>#VALUE!</v>
      </c>
      <c r="AZ116" s="616" t="e">
        <f t="shared" si="58"/>
        <v>#VALUE!</v>
      </c>
      <c r="BA116" s="616" t="e">
        <f t="shared" si="58"/>
        <v>#VALUE!</v>
      </c>
      <c r="BB116" s="616" t="e">
        <f t="shared" si="58"/>
        <v>#VALUE!</v>
      </c>
      <c r="BC116" s="616" t="e">
        <f t="shared" si="58"/>
        <v>#VALUE!</v>
      </c>
      <c r="BD116" s="616" t="e">
        <f t="shared" si="58"/>
        <v>#VALUE!</v>
      </c>
      <c r="BE116" s="617" t="e">
        <f t="shared" si="46"/>
        <v>#VALUE!</v>
      </c>
      <c r="BF116" s="616" t="e">
        <f>(BF117:BF120)</f>
        <v>#VALUE!</v>
      </c>
      <c r="BG116" s="616" t="e">
        <f t="shared" ref="BG116:BL116" si="59">(BG117:BG120)</f>
        <v>#VALUE!</v>
      </c>
      <c r="BH116" s="616" t="e">
        <f t="shared" si="59"/>
        <v>#VALUE!</v>
      </c>
      <c r="BI116" s="616" t="e">
        <f t="shared" si="59"/>
        <v>#VALUE!</v>
      </c>
      <c r="BJ116" s="616" t="e">
        <f t="shared" si="59"/>
        <v>#VALUE!</v>
      </c>
      <c r="BK116" s="616" t="e">
        <f t="shared" si="59"/>
        <v>#VALUE!</v>
      </c>
      <c r="BL116" s="616" t="e">
        <f t="shared" si="59"/>
        <v>#VALUE!</v>
      </c>
      <c r="BM116" s="617" t="e">
        <f t="shared" si="47"/>
        <v>#VALUE!</v>
      </c>
      <c r="BN116" s="616" t="e">
        <f>(BN117:BN120)</f>
        <v>#VALUE!</v>
      </c>
      <c r="BO116" s="616" t="e">
        <f t="shared" ref="BO116:BT116" si="60">(BO117:BO120)</f>
        <v>#VALUE!</v>
      </c>
      <c r="BP116" s="616" t="e">
        <f t="shared" si="60"/>
        <v>#VALUE!</v>
      </c>
      <c r="BQ116" s="616" t="e">
        <f t="shared" si="60"/>
        <v>#VALUE!</v>
      </c>
      <c r="BR116" s="616" t="e">
        <f t="shared" si="60"/>
        <v>#VALUE!</v>
      </c>
      <c r="BS116" s="616" t="e">
        <f t="shared" si="60"/>
        <v>#VALUE!</v>
      </c>
      <c r="BT116" s="616" t="e">
        <f t="shared" si="60"/>
        <v>#VALUE!</v>
      </c>
      <c r="BU116" s="617" t="e">
        <f t="shared" si="48"/>
        <v>#VALUE!</v>
      </c>
      <c r="BV116" s="556"/>
      <c r="BW116" s="663">
        <f t="shared" si="31"/>
        <v>0</v>
      </c>
      <c r="BX116" s="674" t="e">
        <f t="shared" si="32"/>
        <v>#DIV/0!</v>
      </c>
      <c r="BY116" s="613" t="e">
        <f t="shared" si="33"/>
        <v>#DIV/0!</v>
      </c>
      <c r="BZ116" s="674" t="e">
        <f t="shared" si="34"/>
        <v>#DIV/0!</v>
      </c>
      <c r="CA116" s="675" t="e">
        <f t="shared" si="35"/>
        <v>#DIV/0!</v>
      </c>
      <c r="CB116" s="675" t="e">
        <f t="shared" si="36"/>
        <v>#DIV/0!</v>
      </c>
    </row>
    <row r="117" spans="1:80" ht="156" hidden="1" customHeight="1" x14ac:dyDescent="0.25">
      <c r="A117" s="298" t="s">
        <v>346</v>
      </c>
      <c r="B117" s="299" t="str">
        <f>'PLAN INDICATIVO'!B114</f>
        <v>Vivienda</v>
      </c>
      <c r="C117" s="1546" t="s">
        <v>369</v>
      </c>
      <c r="D117" s="1549" t="s">
        <v>370</v>
      </c>
      <c r="E117" s="1549" t="s">
        <v>371</v>
      </c>
      <c r="F117" s="1549">
        <v>2015</v>
      </c>
      <c r="G117" s="1549">
        <v>18.899999999999999</v>
      </c>
      <c r="H117" s="1549">
        <v>16.399999999999999</v>
      </c>
      <c r="I117" s="1425" t="str">
        <f>'PLAN INDICATIVO'!I114</f>
        <v>SI</v>
      </c>
      <c r="J117" s="1425">
        <f>'PLAN INDICATIVO'!J114</f>
        <v>0</v>
      </c>
      <c r="K117" s="1425" t="str">
        <f>'PLAN INDICATIVO'!K114</f>
        <v>A.7.2.1</v>
      </c>
      <c r="L117" s="1425" t="str">
        <f>'PLAN INDICATIVO'!L114</f>
        <v>11. Ciudades y comunidades sostenibles</v>
      </c>
      <c r="M117" s="1425" t="str">
        <f>'PLAN INDICATIVO'!M114</f>
        <v>departamento Municipal de Planeación</v>
      </c>
      <c r="N117" s="1425" t="s">
        <v>3555</v>
      </c>
      <c r="O117" s="1425" t="str">
        <f>'PLAN INDICATIVO'!O114</f>
        <v>Incremento</v>
      </c>
      <c r="P117" s="25" t="str">
        <f>'PLAN INDICATIVO'!P114</f>
        <v>Construir 485 viviendas VIS o VIP,  durante el cuatrienio</v>
      </c>
      <c r="Q117" s="302" t="str">
        <f>'PLAN INDICATIVO'!Q114</f>
        <v>No. De viviendas construidas</v>
      </c>
      <c r="R117" s="303">
        <f>'PLAN INDICATIVO'!R114</f>
        <v>2015</v>
      </c>
      <c r="S117" s="304">
        <v>0</v>
      </c>
      <c r="T117" s="677">
        <v>485</v>
      </c>
      <c r="U117" s="303">
        <v>61</v>
      </c>
      <c r="V117" s="303">
        <v>200000000</v>
      </c>
      <c r="W117" s="66">
        <v>75</v>
      </c>
      <c r="X117" s="687">
        <v>218500000</v>
      </c>
      <c r="Y117" s="572">
        <v>205</v>
      </c>
      <c r="Z117" s="687">
        <v>21000000</v>
      </c>
      <c r="AA117" s="572">
        <v>205</v>
      </c>
      <c r="AB117" s="687">
        <v>22500000</v>
      </c>
      <c r="AC117" s="665">
        <v>30</v>
      </c>
      <c r="AD117" s="665">
        <f>7+45+23</f>
        <v>75</v>
      </c>
      <c r="AE117" s="665"/>
      <c r="AF117" s="665"/>
      <c r="AG117" s="306" t="s">
        <v>3556</v>
      </c>
      <c r="AH117" s="306"/>
      <c r="AI117" s="307" t="s">
        <v>3563</v>
      </c>
      <c r="AJ117" s="308"/>
      <c r="AK117" s="308"/>
      <c r="AL117" s="308"/>
      <c r="AM117" s="308"/>
      <c r="AN117" s="267" t="s">
        <v>2598</v>
      </c>
      <c r="AO117" s="507"/>
      <c r="AP117" s="525"/>
      <c r="AQ117" s="310"/>
      <c r="AR117" s="310"/>
      <c r="AS117" s="310"/>
      <c r="AT117" s="310"/>
      <c r="AU117" s="310"/>
      <c r="AV117" s="310"/>
      <c r="AW117" s="544">
        <f t="shared" si="41"/>
        <v>0</v>
      </c>
      <c r="AX117" s="525"/>
      <c r="AY117" s="310"/>
      <c r="AZ117" s="310"/>
      <c r="BA117" s="310"/>
      <c r="BB117" s="310"/>
      <c r="BC117" s="310"/>
      <c r="BD117" s="310"/>
      <c r="BE117" s="544">
        <f t="shared" si="46"/>
        <v>0</v>
      </c>
      <c r="BF117" s="525"/>
      <c r="BG117" s="310"/>
      <c r="BH117" s="310"/>
      <c r="BI117" s="310"/>
      <c r="BJ117" s="310"/>
      <c r="BK117" s="310"/>
      <c r="BL117" s="310"/>
      <c r="BM117" s="544">
        <f t="shared" si="47"/>
        <v>0</v>
      </c>
      <c r="BN117" s="525"/>
      <c r="BO117" s="310"/>
      <c r="BP117" s="310"/>
      <c r="BQ117" s="310"/>
      <c r="BR117" s="310"/>
      <c r="BS117" s="310"/>
      <c r="BT117" s="310"/>
      <c r="BU117" s="544">
        <f t="shared" si="48"/>
        <v>0</v>
      </c>
      <c r="BV117" s="556"/>
      <c r="BW117" s="663">
        <f t="shared" si="31"/>
        <v>105</v>
      </c>
      <c r="BX117" s="674">
        <f t="shared" si="32"/>
        <v>0.21649484536082475</v>
      </c>
      <c r="BY117" s="910">
        <f t="shared" si="33"/>
        <v>0.49180327868852458</v>
      </c>
      <c r="BZ117" s="674">
        <f t="shared" si="34"/>
        <v>1</v>
      </c>
      <c r="CA117" s="675">
        <f t="shared" si="35"/>
        <v>0</v>
      </c>
      <c r="CB117" s="675">
        <f t="shared" si="36"/>
        <v>0</v>
      </c>
    </row>
    <row r="118" spans="1:80" ht="61.5" hidden="1" customHeight="1" x14ac:dyDescent="0.25">
      <c r="A118" s="298" t="s">
        <v>346</v>
      </c>
      <c r="B118" s="299" t="str">
        <f>'PLAN INDICATIVO'!B115</f>
        <v>Vivienda</v>
      </c>
      <c r="C118" s="1547"/>
      <c r="D118" s="1549"/>
      <c r="E118" s="1549"/>
      <c r="F118" s="1549"/>
      <c r="G118" s="1549"/>
      <c r="H118" s="1549"/>
      <c r="I118" s="300">
        <f>'PLAN INDICATIVO'!I115</f>
        <v>0</v>
      </c>
      <c r="J118" s="300">
        <f>'PLAN INDICATIVO'!J115</f>
        <v>0</v>
      </c>
      <c r="K118" s="1425" t="str">
        <f>'PLAN INDICATIVO'!K115</f>
        <v>A.7.2.2</v>
      </c>
      <c r="L118" s="1425" t="str">
        <f>'PLAN INDICATIVO'!L115</f>
        <v>11. Ciudades y comunidades sostenibles</v>
      </c>
      <c r="M118" s="1425" t="str">
        <f>'PLAN INDICATIVO'!M115</f>
        <v>departamento Municipal de Planeación</v>
      </c>
      <c r="N118" s="1425" t="s">
        <v>3555</v>
      </c>
      <c r="O118" s="1425" t="str">
        <f>'PLAN INDICATIVO'!O115</f>
        <v>Incremento</v>
      </c>
      <c r="P118" s="16" t="str">
        <f>'PLAN INDICATIVO'!P115</f>
        <v>Apoyar 4 asociaciones de vivienda  del municipio para gestión de vivienda nueva, durante el cuatrienio</v>
      </c>
      <c r="Q118" s="302" t="str">
        <f>'PLAN INDICATIVO'!Q115</f>
        <v>No. De apoyos realizados</v>
      </c>
      <c r="R118" s="303">
        <f>'PLAN INDICATIVO'!R115</f>
        <v>2015</v>
      </c>
      <c r="S118" s="304">
        <v>0</v>
      </c>
      <c r="T118" s="677">
        <v>4</v>
      </c>
      <c r="U118" s="303">
        <v>2</v>
      </c>
      <c r="V118" s="303">
        <v>7000000</v>
      </c>
      <c r="W118" s="572">
        <v>2</v>
      </c>
      <c r="X118" s="687">
        <v>500000</v>
      </c>
      <c r="Y118" s="572">
        <v>1</v>
      </c>
      <c r="Z118" s="687"/>
      <c r="AA118" s="572">
        <v>1</v>
      </c>
      <c r="AB118" s="687"/>
      <c r="AC118" s="665">
        <v>0</v>
      </c>
      <c r="AD118" s="665">
        <v>3</v>
      </c>
      <c r="AE118" s="665"/>
      <c r="AF118" s="665"/>
      <c r="AG118" s="306" t="s">
        <v>3556</v>
      </c>
      <c r="AH118" s="306"/>
      <c r="AI118" s="307" t="s">
        <v>4882</v>
      </c>
      <c r="AJ118" s="335">
        <v>42767</v>
      </c>
      <c r="AK118" s="335">
        <v>43040</v>
      </c>
      <c r="AL118" s="308"/>
      <c r="AM118" s="308"/>
      <c r="AN118" s="267" t="s">
        <v>2598</v>
      </c>
      <c r="AO118" s="507"/>
      <c r="AP118" s="525"/>
      <c r="AQ118" s="310"/>
      <c r="AR118" s="310"/>
      <c r="AS118" s="310"/>
      <c r="AT118" s="310"/>
      <c r="AU118" s="310"/>
      <c r="AV118" s="310"/>
      <c r="AW118" s="544">
        <f t="shared" si="41"/>
        <v>0</v>
      </c>
      <c r="AX118" s="525"/>
      <c r="AY118" s="310"/>
      <c r="AZ118" s="310"/>
      <c r="BA118" s="310"/>
      <c r="BB118" s="310"/>
      <c r="BC118" s="310"/>
      <c r="BD118" s="310"/>
      <c r="BE118" s="544">
        <f t="shared" si="46"/>
        <v>0</v>
      </c>
      <c r="BF118" s="525"/>
      <c r="BG118" s="310"/>
      <c r="BH118" s="310"/>
      <c r="BI118" s="310"/>
      <c r="BJ118" s="310"/>
      <c r="BK118" s="310"/>
      <c r="BL118" s="310"/>
      <c r="BM118" s="544">
        <f t="shared" si="47"/>
        <v>0</v>
      </c>
      <c r="BN118" s="525"/>
      <c r="BO118" s="310"/>
      <c r="BP118" s="310"/>
      <c r="BQ118" s="310"/>
      <c r="BR118" s="310"/>
      <c r="BS118" s="310"/>
      <c r="BT118" s="310"/>
      <c r="BU118" s="544">
        <f t="shared" si="48"/>
        <v>0</v>
      </c>
      <c r="BV118" s="556"/>
      <c r="BW118" s="663">
        <f t="shared" si="31"/>
        <v>3</v>
      </c>
      <c r="BX118" s="674">
        <f t="shared" si="32"/>
        <v>0.75</v>
      </c>
      <c r="BY118" s="561">
        <f t="shared" si="33"/>
        <v>0</v>
      </c>
      <c r="BZ118" s="674">
        <f t="shared" si="34"/>
        <v>1.5</v>
      </c>
      <c r="CA118" s="675">
        <f t="shared" si="35"/>
        <v>0</v>
      </c>
      <c r="CB118" s="675">
        <f t="shared" si="36"/>
        <v>0</v>
      </c>
    </row>
    <row r="119" spans="1:80" ht="51" hidden="1" customHeight="1" x14ac:dyDescent="0.25">
      <c r="A119" s="298" t="s">
        <v>346</v>
      </c>
      <c r="B119" s="299" t="str">
        <f>'PLAN INDICATIVO'!B116</f>
        <v>Vivienda</v>
      </c>
      <c r="C119" s="1547"/>
      <c r="D119" s="1549"/>
      <c r="E119" s="1549"/>
      <c r="F119" s="1549"/>
      <c r="G119" s="1549"/>
      <c r="H119" s="1549"/>
      <c r="I119" s="300">
        <f>'PLAN INDICATIVO'!I116</f>
        <v>0</v>
      </c>
      <c r="J119" s="300">
        <f>'PLAN INDICATIVO'!J116</f>
        <v>0</v>
      </c>
      <c r="K119" s="1425" t="str">
        <f>'PLAN INDICATIVO'!K116</f>
        <v>A.7.2.3</v>
      </c>
      <c r="L119" s="1425" t="str">
        <f>'PLAN INDICATIVO'!L116</f>
        <v>11. Ciudades y comunidades sostenibles</v>
      </c>
      <c r="M119" s="1425" t="str">
        <f>'PLAN INDICATIVO'!M116</f>
        <v>departamento Municipal de Planeación</v>
      </c>
      <c r="N119" s="1425" t="s">
        <v>3555</v>
      </c>
      <c r="O119" s="1425" t="str">
        <f>'PLAN INDICATIVO'!O116</f>
        <v>Incremento</v>
      </c>
      <c r="P119" s="16" t="str">
        <f>'PLAN INDICATIVO'!P116</f>
        <v>Reubicar 50 familias localizadas en zonas de alto riesgo durante el cuatrienio</v>
      </c>
      <c r="Q119" s="302" t="str">
        <f>'PLAN INDICATIVO'!Q116</f>
        <v>No. De familias reubicadas</v>
      </c>
      <c r="R119" s="303">
        <f>'PLAN INDICATIVO'!R116</f>
        <v>2015</v>
      </c>
      <c r="S119" s="304">
        <v>0</v>
      </c>
      <c r="T119" s="677">
        <v>50</v>
      </c>
      <c r="U119" s="106">
        <v>0</v>
      </c>
      <c r="V119" s="303"/>
      <c r="W119" s="572">
        <v>0</v>
      </c>
      <c r="X119" s="687"/>
      <c r="Y119" s="572">
        <v>0</v>
      </c>
      <c r="Z119" s="687"/>
      <c r="AA119" s="572">
        <v>0</v>
      </c>
      <c r="AB119" s="687"/>
      <c r="AC119" s="665">
        <v>50</v>
      </c>
      <c r="AD119" s="665"/>
      <c r="AE119" s="665"/>
      <c r="AF119" s="665"/>
      <c r="AG119" s="306"/>
      <c r="AH119" s="306"/>
      <c r="AI119" s="307"/>
      <c r="AJ119" s="335"/>
      <c r="AK119" s="335"/>
      <c r="AL119" s="308"/>
      <c r="AM119" s="308"/>
      <c r="AN119" s="267" t="s">
        <v>2594</v>
      </c>
      <c r="AO119" s="507"/>
      <c r="AP119" s="525"/>
      <c r="AQ119" s="310"/>
      <c r="AR119" s="310"/>
      <c r="AS119" s="310"/>
      <c r="AT119" s="310"/>
      <c r="AU119" s="310"/>
      <c r="AV119" s="310"/>
      <c r="AW119" s="544">
        <f t="shared" si="41"/>
        <v>0</v>
      </c>
      <c r="AX119" s="525"/>
      <c r="AY119" s="310"/>
      <c r="AZ119" s="310"/>
      <c r="BA119" s="310"/>
      <c r="BB119" s="310"/>
      <c r="BC119" s="310"/>
      <c r="BD119" s="310"/>
      <c r="BE119" s="544">
        <f t="shared" si="46"/>
        <v>0</v>
      </c>
      <c r="BF119" s="525"/>
      <c r="BG119" s="310"/>
      <c r="BH119" s="310"/>
      <c r="BI119" s="310"/>
      <c r="BJ119" s="310"/>
      <c r="BK119" s="310"/>
      <c r="BL119" s="310"/>
      <c r="BM119" s="544">
        <f t="shared" si="47"/>
        <v>0</v>
      </c>
      <c r="BN119" s="525"/>
      <c r="BO119" s="310"/>
      <c r="BP119" s="310"/>
      <c r="BQ119" s="310"/>
      <c r="BR119" s="310"/>
      <c r="BS119" s="310"/>
      <c r="BT119" s="310"/>
      <c r="BU119" s="544">
        <f t="shared" si="48"/>
        <v>0</v>
      </c>
      <c r="BV119" s="556"/>
      <c r="BW119" s="663">
        <f t="shared" si="31"/>
        <v>50</v>
      </c>
      <c r="BX119" s="674">
        <f t="shared" si="32"/>
        <v>1</v>
      </c>
      <c r="BY119" s="561" t="e">
        <f t="shared" si="33"/>
        <v>#DIV/0!</v>
      </c>
      <c r="BZ119" s="674" t="e">
        <f t="shared" si="34"/>
        <v>#DIV/0!</v>
      </c>
      <c r="CA119" s="675" t="e">
        <f t="shared" si="35"/>
        <v>#DIV/0!</v>
      </c>
      <c r="CB119" s="675" t="e">
        <f t="shared" si="36"/>
        <v>#DIV/0!</v>
      </c>
    </row>
    <row r="120" spans="1:80" ht="112.5" hidden="1" customHeight="1" x14ac:dyDescent="0.25">
      <c r="A120" s="298" t="s">
        <v>346</v>
      </c>
      <c r="B120" s="299" t="str">
        <f>'PLAN INDICATIVO'!B117</f>
        <v>Vivienda</v>
      </c>
      <c r="C120" s="1548"/>
      <c r="D120" s="1549"/>
      <c r="E120" s="1549"/>
      <c r="F120" s="1549"/>
      <c r="G120" s="1549"/>
      <c r="H120" s="1549"/>
      <c r="I120" s="1425" t="str">
        <f>'PLAN INDICATIVO'!I117</f>
        <v>SI</v>
      </c>
      <c r="J120" s="1425">
        <f>'PLAN INDICATIVO'!J117</f>
        <v>0</v>
      </c>
      <c r="K120" s="1425" t="str">
        <f>'PLAN INDICATIVO'!K117</f>
        <v>A.7.2.4</v>
      </c>
      <c r="L120" s="1425" t="str">
        <f>'PLAN INDICATIVO'!L117</f>
        <v>11. Ciudades y comunidades sostenibles</v>
      </c>
      <c r="M120" s="1425" t="str">
        <f>'PLAN INDICATIVO'!M117</f>
        <v>departamento Municipal de Planeación</v>
      </c>
      <c r="N120" s="1425" t="s">
        <v>3555</v>
      </c>
      <c r="O120" s="1425" t="str">
        <f>'PLAN INDICATIVO'!O117</f>
        <v>Incremento</v>
      </c>
      <c r="P120" s="16" t="str">
        <f>'PLAN INDICATIVO'!P117</f>
        <v>Adquirir 2 hectáreas de terreno o habilitar este mismo número de hectáreas con servicios públicos, durante el cuatrienio</v>
      </c>
      <c r="Q120" s="302" t="str">
        <f>'PLAN INDICATIVO'!Q117</f>
        <v>No. De Has. De terreno habilitados</v>
      </c>
      <c r="R120" s="303">
        <f>'PLAN INDICATIVO'!R117</f>
        <v>2015</v>
      </c>
      <c r="S120" s="304">
        <v>0</v>
      </c>
      <c r="T120" s="677">
        <v>2</v>
      </c>
      <c r="U120" s="106">
        <v>0</v>
      </c>
      <c r="V120" s="687"/>
      <c r="W120" s="572">
        <v>0</v>
      </c>
      <c r="X120" s="687">
        <v>300000000</v>
      </c>
      <c r="Y120" s="572">
        <v>0</v>
      </c>
      <c r="Z120" s="687"/>
      <c r="AA120" s="572">
        <v>0</v>
      </c>
      <c r="AB120" s="687"/>
      <c r="AC120" s="665">
        <v>3</v>
      </c>
      <c r="AD120" s="847"/>
      <c r="AE120" s="665"/>
      <c r="AF120" s="665"/>
      <c r="AG120" s="306"/>
      <c r="AH120" s="306"/>
      <c r="AI120" s="307"/>
      <c r="AJ120" s="335"/>
      <c r="AK120" s="335"/>
      <c r="AL120" s="308"/>
      <c r="AM120" s="308"/>
      <c r="AN120" s="501" t="s">
        <v>2594</v>
      </c>
      <c r="AO120" s="511"/>
      <c r="AP120" s="525"/>
      <c r="AQ120" s="310"/>
      <c r="AR120" s="310"/>
      <c r="AS120" s="310"/>
      <c r="AT120" s="310"/>
      <c r="AU120" s="310"/>
      <c r="AV120" s="310"/>
      <c r="AW120" s="544">
        <f t="shared" si="41"/>
        <v>0</v>
      </c>
      <c r="AX120" s="525"/>
      <c r="AY120" s="310"/>
      <c r="AZ120" s="310"/>
      <c r="BA120" s="310"/>
      <c r="BB120" s="310"/>
      <c r="BC120" s="310"/>
      <c r="BD120" s="310"/>
      <c r="BE120" s="544">
        <f t="shared" si="46"/>
        <v>0</v>
      </c>
      <c r="BF120" s="525"/>
      <c r="BG120" s="310"/>
      <c r="BH120" s="310"/>
      <c r="BI120" s="310"/>
      <c r="BJ120" s="310"/>
      <c r="BK120" s="310"/>
      <c r="BL120" s="310"/>
      <c r="BM120" s="544">
        <f t="shared" si="47"/>
        <v>0</v>
      </c>
      <c r="BN120" s="525"/>
      <c r="BO120" s="310"/>
      <c r="BP120" s="310"/>
      <c r="BQ120" s="310"/>
      <c r="BR120" s="310"/>
      <c r="BS120" s="310"/>
      <c r="BT120" s="310"/>
      <c r="BU120" s="544">
        <f t="shared" si="48"/>
        <v>0</v>
      </c>
      <c r="BV120" s="556"/>
      <c r="BW120" s="663">
        <f t="shared" si="31"/>
        <v>3</v>
      </c>
      <c r="BX120" s="674">
        <f t="shared" si="32"/>
        <v>1.5</v>
      </c>
      <c r="BY120" s="561" t="e">
        <f t="shared" si="33"/>
        <v>#DIV/0!</v>
      </c>
      <c r="BZ120" s="674" t="e">
        <f t="shared" si="34"/>
        <v>#DIV/0!</v>
      </c>
      <c r="CA120" s="675" t="e">
        <f t="shared" si="35"/>
        <v>#DIV/0!</v>
      </c>
      <c r="CB120" s="675" t="e">
        <f t="shared" si="36"/>
        <v>#DIV/0!</v>
      </c>
    </row>
    <row r="121" spans="1:80" ht="15" hidden="1" customHeight="1" thickBot="1" x14ac:dyDescent="0.3">
      <c r="A121" s="151"/>
      <c r="B121" s="7" t="e">
        <f>'PLAN INDICATIVO'!#REF!</f>
        <v>#REF!</v>
      </c>
      <c r="C121" s="7"/>
      <c r="D121" s="1442"/>
      <c r="E121" s="1442"/>
      <c r="F121" s="1442"/>
      <c r="G121" s="1442"/>
      <c r="H121" s="1442"/>
      <c r="I121" s="1442"/>
      <c r="J121" s="1442"/>
      <c r="K121" s="1442"/>
      <c r="L121" s="1442"/>
      <c r="M121" s="1442"/>
      <c r="N121" s="1442"/>
      <c r="O121" s="1442"/>
      <c r="P121" s="1440"/>
      <c r="Q121" s="1440"/>
      <c r="R121" s="1442"/>
      <c r="S121" s="265"/>
      <c r="T121" s="677"/>
      <c r="U121" s="265"/>
      <c r="V121" s="265"/>
      <c r="W121" s="265"/>
      <c r="X121" s="265"/>
      <c r="Y121" s="265"/>
      <c r="Z121" s="265"/>
      <c r="AA121" s="268"/>
      <c r="AB121" s="268"/>
      <c r="AC121" s="268"/>
      <c r="AD121" s="268"/>
      <c r="AE121" s="268"/>
      <c r="AF121" s="268"/>
      <c r="AG121" s="269"/>
      <c r="AH121" s="269"/>
      <c r="AI121" s="269"/>
      <c r="AJ121" s="268"/>
      <c r="AK121" s="268"/>
      <c r="AL121" s="268"/>
      <c r="AM121" s="268"/>
      <c r="AN121" s="268"/>
      <c r="AO121" s="507"/>
      <c r="AP121" s="525"/>
      <c r="AQ121" s="310"/>
      <c r="AR121" s="310"/>
      <c r="AS121" s="310"/>
      <c r="AT121" s="310"/>
      <c r="AU121" s="310"/>
      <c r="AV121" s="310"/>
      <c r="AW121" s="544">
        <f t="shared" si="41"/>
        <v>0</v>
      </c>
      <c r="AX121" s="525"/>
      <c r="AY121" s="310"/>
      <c r="AZ121" s="310"/>
      <c r="BA121" s="310"/>
      <c r="BB121" s="310"/>
      <c r="BC121" s="310"/>
      <c r="BD121" s="310"/>
      <c r="BE121" s="544">
        <f t="shared" si="46"/>
        <v>0</v>
      </c>
      <c r="BF121" s="525"/>
      <c r="BG121" s="310"/>
      <c r="BH121" s="310"/>
      <c r="BI121" s="310"/>
      <c r="BJ121" s="310"/>
      <c r="BK121" s="310"/>
      <c r="BL121" s="310"/>
      <c r="BM121" s="544">
        <f t="shared" si="47"/>
        <v>0</v>
      </c>
      <c r="BN121" s="525"/>
      <c r="BO121" s="310"/>
      <c r="BP121" s="310"/>
      <c r="BQ121" s="310"/>
      <c r="BR121" s="310"/>
      <c r="BS121" s="310"/>
      <c r="BT121" s="310"/>
      <c r="BU121" s="544">
        <f t="shared" si="48"/>
        <v>0</v>
      </c>
      <c r="BV121" s="556"/>
      <c r="BW121" s="663">
        <f t="shared" si="31"/>
        <v>0</v>
      </c>
      <c r="BX121" s="674" t="e">
        <f t="shared" si="32"/>
        <v>#DIV/0!</v>
      </c>
      <c r="BY121" s="561" t="e">
        <f t="shared" si="33"/>
        <v>#DIV/0!</v>
      </c>
      <c r="BZ121" s="674" t="e">
        <f t="shared" si="34"/>
        <v>#DIV/0!</v>
      </c>
      <c r="CA121" s="675" t="e">
        <f t="shared" si="35"/>
        <v>#DIV/0!</v>
      </c>
      <c r="CB121" s="675" t="e">
        <f t="shared" si="36"/>
        <v>#DIV/0!</v>
      </c>
    </row>
    <row r="122" spans="1:80" ht="28.5" hidden="1" customHeight="1" thickBot="1" x14ac:dyDescent="0.3">
      <c r="A122" s="1608" t="s">
        <v>2703</v>
      </c>
      <c r="B122" s="1609"/>
      <c r="C122" s="1609"/>
      <c r="D122" s="1609"/>
      <c r="E122" s="1609"/>
      <c r="F122" s="1609"/>
      <c r="G122" s="1609"/>
      <c r="H122" s="1609"/>
      <c r="I122" s="1609"/>
      <c r="J122" s="1609"/>
      <c r="K122" s="1609"/>
      <c r="L122" s="1609"/>
      <c r="M122" s="1609"/>
      <c r="N122" s="1609"/>
      <c r="O122" s="1609"/>
      <c r="P122" s="1609"/>
      <c r="Q122" s="1609"/>
      <c r="R122" s="1609"/>
      <c r="S122" s="1609"/>
      <c r="T122" s="1609"/>
      <c r="U122" s="1609"/>
      <c r="V122" s="1609"/>
      <c r="W122" s="1609"/>
      <c r="X122" s="1609"/>
      <c r="Y122" s="1609"/>
      <c r="Z122" s="1609"/>
      <c r="AA122" s="1609"/>
      <c r="AB122" s="1609"/>
      <c r="AC122" s="1609"/>
      <c r="AD122" s="1609"/>
      <c r="AE122" s="1609"/>
      <c r="AF122" s="1609"/>
      <c r="AG122" s="1609"/>
      <c r="AH122" s="1609"/>
      <c r="AI122" s="1609"/>
      <c r="AJ122" s="1609"/>
      <c r="AK122" s="1609"/>
      <c r="AL122" s="1609"/>
      <c r="AM122" s="1610"/>
      <c r="AN122" s="260"/>
      <c r="AO122" s="506"/>
      <c r="AP122" s="524"/>
      <c r="AQ122" s="374"/>
      <c r="AR122" s="374"/>
      <c r="AS122" s="374"/>
      <c r="AT122" s="374"/>
      <c r="AU122" s="374"/>
      <c r="AV122" s="374"/>
      <c r="AW122" s="544">
        <f t="shared" si="41"/>
        <v>0</v>
      </c>
      <c r="AX122" s="524"/>
      <c r="AY122" s="374"/>
      <c r="AZ122" s="374"/>
      <c r="BA122" s="374"/>
      <c r="BB122" s="374"/>
      <c r="BC122" s="374"/>
      <c r="BD122" s="374"/>
      <c r="BE122" s="544">
        <f t="shared" si="46"/>
        <v>0</v>
      </c>
      <c r="BF122" s="524"/>
      <c r="BG122" s="374"/>
      <c r="BH122" s="374"/>
      <c r="BI122" s="374"/>
      <c r="BJ122" s="374"/>
      <c r="BK122" s="374"/>
      <c r="BL122" s="374"/>
      <c r="BM122" s="544">
        <f t="shared" si="47"/>
        <v>0</v>
      </c>
      <c r="BN122" s="524"/>
      <c r="BO122" s="374"/>
      <c r="BP122" s="374"/>
      <c r="BQ122" s="374"/>
      <c r="BR122" s="374"/>
      <c r="BS122" s="374"/>
      <c r="BT122" s="374"/>
      <c r="BU122" s="544">
        <f t="shared" si="48"/>
        <v>0</v>
      </c>
      <c r="BV122" s="556"/>
      <c r="BW122" s="663">
        <f t="shared" si="31"/>
        <v>0</v>
      </c>
      <c r="BX122" s="674" t="e">
        <f t="shared" si="32"/>
        <v>#DIV/0!</v>
      </c>
      <c r="BY122" s="561" t="e">
        <f t="shared" si="33"/>
        <v>#DIV/0!</v>
      </c>
      <c r="BZ122" s="674" t="e">
        <f t="shared" si="34"/>
        <v>#DIV/0!</v>
      </c>
      <c r="CA122" s="675" t="e">
        <f t="shared" si="35"/>
        <v>#DIV/0!</v>
      </c>
      <c r="CB122" s="675" t="e">
        <f t="shared" si="36"/>
        <v>#DIV/0!</v>
      </c>
    </row>
    <row r="123" spans="1:80" ht="15.75" hidden="1" customHeight="1" x14ac:dyDescent="0.25">
      <c r="A123" s="296"/>
      <c r="B123" s="24" t="str">
        <f>'PLAN INDICATIVO'!B119</f>
        <v>APSB</v>
      </c>
      <c r="C123" s="1592" t="s">
        <v>385</v>
      </c>
      <c r="D123" s="1593"/>
      <c r="E123" s="1593"/>
      <c r="F123" s="1593"/>
      <c r="G123" s="1593"/>
      <c r="H123" s="1593"/>
      <c r="I123" s="1593"/>
      <c r="J123" s="1593"/>
      <c r="K123" s="1593"/>
      <c r="L123" s="1593"/>
      <c r="M123" s="1593"/>
      <c r="N123" s="1593"/>
      <c r="O123" s="1594"/>
      <c r="P123" s="22"/>
      <c r="Q123" s="22"/>
      <c r="R123" s="1"/>
      <c r="S123" s="261"/>
      <c r="T123" s="681"/>
      <c r="U123" s="691"/>
      <c r="V123" s="693">
        <f>V124+V125+V126+V127+V127+V128+V129+V130+V131+V132+V133+V134+V135+V136+V137</f>
        <v>923980000</v>
      </c>
      <c r="W123" s="691"/>
      <c r="X123" s="693">
        <f>X125+X126+X127+X128+X129+X130+X131+X132+X133+X134+X135+X136+X137</f>
        <v>1221730000</v>
      </c>
      <c r="Y123" s="691"/>
      <c r="Z123" s="693">
        <f>SUM(Z124:Z137)</f>
        <v>1403070000</v>
      </c>
      <c r="AA123" s="692"/>
      <c r="AB123" s="694">
        <f>SUM(AB124:AB137)</f>
        <v>1547400000</v>
      </c>
      <c r="AC123" s="262"/>
      <c r="AD123" s="262"/>
      <c r="AE123" s="262"/>
      <c r="AF123" s="262"/>
      <c r="AG123" s="263"/>
      <c r="AH123" s="263"/>
      <c r="AI123" s="263"/>
      <c r="AJ123" s="262"/>
      <c r="AK123" s="262"/>
      <c r="AL123" s="262"/>
      <c r="AM123" s="262"/>
      <c r="AN123" s="262"/>
      <c r="AO123" s="612"/>
      <c r="AP123" s="616" t="e">
        <f>(AP124:AP137)</f>
        <v>#VALUE!</v>
      </c>
      <c r="AQ123" s="616" t="e">
        <f t="shared" ref="AQ123:AV123" si="61">(AQ124:AQ137)</f>
        <v>#VALUE!</v>
      </c>
      <c r="AR123" s="616" t="e">
        <f t="shared" si="61"/>
        <v>#VALUE!</v>
      </c>
      <c r="AS123" s="616" t="e">
        <f t="shared" si="61"/>
        <v>#VALUE!</v>
      </c>
      <c r="AT123" s="616" t="e">
        <f t="shared" si="61"/>
        <v>#VALUE!</v>
      </c>
      <c r="AU123" s="616" t="e">
        <f t="shared" si="61"/>
        <v>#VALUE!</v>
      </c>
      <c r="AV123" s="616" t="e">
        <f t="shared" si="61"/>
        <v>#VALUE!</v>
      </c>
      <c r="AW123" s="617" t="e">
        <f t="shared" si="41"/>
        <v>#VALUE!</v>
      </c>
      <c r="AX123" s="616" t="e">
        <f>(AX124:AX137)</f>
        <v>#VALUE!</v>
      </c>
      <c r="AY123" s="616" t="e">
        <f t="shared" ref="AY123:BD123" si="62">(AY124:AY137)</f>
        <v>#VALUE!</v>
      </c>
      <c r="AZ123" s="616" t="e">
        <f t="shared" si="62"/>
        <v>#VALUE!</v>
      </c>
      <c r="BA123" s="616" t="e">
        <f t="shared" si="62"/>
        <v>#VALUE!</v>
      </c>
      <c r="BB123" s="616" t="e">
        <f t="shared" si="62"/>
        <v>#VALUE!</v>
      </c>
      <c r="BC123" s="616" t="e">
        <f t="shared" si="62"/>
        <v>#VALUE!</v>
      </c>
      <c r="BD123" s="616" t="e">
        <f t="shared" si="62"/>
        <v>#VALUE!</v>
      </c>
      <c r="BE123" s="617" t="e">
        <f t="shared" si="46"/>
        <v>#VALUE!</v>
      </c>
      <c r="BF123" s="616" t="e">
        <f>(BF124:BF137)</f>
        <v>#VALUE!</v>
      </c>
      <c r="BG123" s="616" t="e">
        <f t="shared" ref="BG123:BL123" si="63">(BG124:BG137)</f>
        <v>#VALUE!</v>
      </c>
      <c r="BH123" s="616" t="e">
        <f t="shared" si="63"/>
        <v>#VALUE!</v>
      </c>
      <c r="BI123" s="616" t="e">
        <f t="shared" si="63"/>
        <v>#VALUE!</v>
      </c>
      <c r="BJ123" s="616" t="e">
        <f t="shared" si="63"/>
        <v>#VALUE!</v>
      </c>
      <c r="BK123" s="616" t="e">
        <f t="shared" si="63"/>
        <v>#VALUE!</v>
      </c>
      <c r="BL123" s="616" t="e">
        <f t="shared" si="63"/>
        <v>#VALUE!</v>
      </c>
      <c r="BM123" s="617" t="e">
        <f t="shared" si="47"/>
        <v>#VALUE!</v>
      </c>
      <c r="BN123" s="616" t="e">
        <f>(BN124:BN137)</f>
        <v>#VALUE!</v>
      </c>
      <c r="BO123" s="616" t="e">
        <f t="shared" ref="BO123:BT123" si="64">(BO124:BO137)</f>
        <v>#VALUE!</v>
      </c>
      <c r="BP123" s="616" t="e">
        <f t="shared" si="64"/>
        <v>#VALUE!</v>
      </c>
      <c r="BQ123" s="616" t="e">
        <f t="shared" si="64"/>
        <v>#VALUE!</v>
      </c>
      <c r="BR123" s="616" t="e">
        <f t="shared" si="64"/>
        <v>#VALUE!</v>
      </c>
      <c r="BS123" s="616" t="e">
        <f t="shared" si="64"/>
        <v>#VALUE!</v>
      </c>
      <c r="BT123" s="616" t="e">
        <f t="shared" si="64"/>
        <v>#VALUE!</v>
      </c>
      <c r="BU123" s="617" t="e">
        <f t="shared" si="48"/>
        <v>#VALUE!</v>
      </c>
      <c r="BV123" s="556"/>
      <c r="BW123" s="663">
        <f t="shared" si="31"/>
        <v>0</v>
      </c>
      <c r="BX123" s="674" t="e">
        <f t="shared" si="32"/>
        <v>#DIV/0!</v>
      </c>
      <c r="BY123" s="613" t="e">
        <f t="shared" si="33"/>
        <v>#DIV/0!</v>
      </c>
      <c r="BZ123" s="674" t="e">
        <f t="shared" si="34"/>
        <v>#DIV/0!</v>
      </c>
      <c r="CA123" s="675" t="e">
        <f t="shared" si="35"/>
        <v>#DIV/0!</v>
      </c>
      <c r="CB123" s="675" t="e">
        <f t="shared" si="36"/>
        <v>#DIV/0!</v>
      </c>
    </row>
    <row r="124" spans="1:80" ht="65.25" hidden="1" customHeight="1" x14ac:dyDescent="0.25">
      <c r="A124" s="298" t="s">
        <v>386</v>
      </c>
      <c r="B124" s="299" t="str">
        <f>'PLAN INDICATIVO'!B120</f>
        <v>APSB</v>
      </c>
      <c r="C124" s="1546" t="s">
        <v>387</v>
      </c>
      <c r="D124" s="1549" t="s">
        <v>388</v>
      </c>
      <c r="E124" s="1549" t="s">
        <v>389</v>
      </c>
      <c r="F124" s="1559">
        <v>2005</v>
      </c>
      <c r="G124" s="1560">
        <v>0.65100000000000002</v>
      </c>
      <c r="H124" s="1561">
        <v>0.7</v>
      </c>
      <c r="I124" s="1425" t="str">
        <f>'PLAN INDICATIVO'!I120</f>
        <v>SI</v>
      </c>
      <c r="J124" s="1425">
        <f>'PLAN INDICATIVO'!J120</f>
        <v>0</v>
      </c>
      <c r="K124" s="1425" t="str">
        <f>'PLAN INDICATIVO'!K120</f>
        <v>A.3.1.1</v>
      </c>
      <c r="L124" s="1425" t="str">
        <f>'PLAN INDICATIVO'!L120</f>
        <v>6. Agua limplia y saneamiento</v>
      </c>
      <c r="M124" s="1425" t="str">
        <f>'PLAN INDICATIVO'!M120</f>
        <v>EMSERPLA</v>
      </c>
      <c r="N124" s="1425" t="str">
        <f>'PLAN INDICATIVO'!N120</f>
        <v>MARIO MONTILLA CABRERA</v>
      </c>
      <c r="O124" s="1425" t="str">
        <f>'PLAN INDICATIVO'!O120</f>
        <v>Incremento</v>
      </c>
      <c r="P124" s="25" t="str">
        <f>'PLAN INDICATIVO'!P120</f>
        <v>Apoyar la implementación de 1 plan maestro de acueducto en la zona urbana durante el cuatrienio</v>
      </c>
      <c r="Q124" s="302" t="str">
        <f>'PLAN INDICATIVO'!Q120</f>
        <v>No. De planes maestros apoyados</v>
      </c>
      <c r="R124" s="303">
        <f>'PLAN INDICATIVO'!R120</f>
        <v>2015</v>
      </c>
      <c r="S124" s="304">
        <v>0</v>
      </c>
      <c r="T124" s="677">
        <v>1</v>
      </c>
      <c r="U124" s="844">
        <v>0</v>
      </c>
      <c r="V124" s="687">
        <v>0</v>
      </c>
      <c r="W124" s="304"/>
      <c r="X124" s="687"/>
      <c r="Y124" s="270">
        <v>1</v>
      </c>
      <c r="Z124" s="687"/>
      <c r="AA124" s="271">
        <v>0</v>
      </c>
      <c r="AB124" s="687">
        <v>500000000</v>
      </c>
      <c r="AC124" s="665"/>
      <c r="AD124" s="843"/>
      <c r="AE124" s="665"/>
      <c r="AF124" s="665"/>
      <c r="AG124" s="306" t="s">
        <v>3564</v>
      </c>
      <c r="AH124" s="306">
        <v>2017413960074</v>
      </c>
      <c r="AI124" s="307"/>
      <c r="AJ124" s="308"/>
      <c r="AK124" s="308"/>
      <c r="AL124" s="308"/>
      <c r="AM124" s="308"/>
      <c r="AN124" s="267" t="s">
        <v>2594</v>
      </c>
      <c r="AO124" s="507"/>
      <c r="AP124" s="729"/>
      <c r="AQ124" s="730"/>
      <c r="AR124" s="730"/>
      <c r="AS124" s="730"/>
      <c r="AT124" s="730"/>
      <c r="AU124" s="730"/>
      <c r="AV124" s="730"/>
      <c r="AW124" s="901">
        <f t="shared" si="41"/>
        <v>0</v>
      </c>
      <c r="AX124" s="525"/>
      <c r="AY124" s="310"/>
      <c r="AZ124" s="310"/>
      <c r="BA124" s="310"/>
      <c r="BB124" s="310"/>
      <c r="BC124" s="310"/>
      <c r="BD124" s="310"/>
      <c r="BE124" s="544">
        <f t="shared" si="46"/>
        <v>0</v>
      </c>
      <c r="BF124" s="525"/>
      <c r="BG124" s="310"/>
      <c r="BH124" s="310"/>
      <c r="BI124" s="310"/>
      <c r="BJ124" s="310"/>
      <c r="BK124" s="310"/>
      <c r="BL124" s="310"/>
      <c r="BM124" s="544">
        <f t="shared" si="47"/>
        <v>0</v>
      </c>
      <c r="BN124" s="525"/>
      <c r="BO124" s="310"/>
      <c r="BP124" s="310"/>
      <c r="BQ124" s="310"/>
      <c r="BR124" s="310"/>
      <c r="BS124" s="310"/>
      <c r="BT124" s="310"/>
      <c r="BU124" s="544">
        <f t="shared" si="48"/>
        <v>0</v>
      </c>
      <c r="BV124" s="556"/>
      <c r="BW124" s="663">
        <f t="shared" si="31"/>
        <v>0</v>
      </c>
      <c r="BX124" s="918">
        <f t="shared" si="32"/>
        <v>0</v>
      </c>
      <c r="BY124" s="561" t="e">
        <f t="shared" si="33"/>
        <v>#DIV/0!</v>
      </c>
      <c r="BZ124" s="674" t="e">
        <f t="shared" si="34"/>
        <v>#DIV/0!</v>
      </c>
      <c r="CA124" s="675">
        <f t="shared" si="35"/>
        <v>0</v>
      </c>
      <c r="CB124" s="675" t="e">
        <f t="shared" si="36"/>
        <v>#DIV/0!</v>
      </c>
    </row>
    <row r="125" spans="1:80" ht="79.5" hidden="1" customHeight="1" x14ac:dyDescent="0.25">
      <c r="A125" s="298" t="s">
        <v>386</v>
      </c>
      <c r="B125" s="299" t="str">
        <f>'PLAN INDICATIVO'!B121</f>
        <v>APSB</v>
      </c>
      <c r="C125" s="1547"/>
      <c r="D125" s="1549"/>
      <c r="E125" s="1549"/>
      <c r="F125" s="1559"/>
      <c r="G125" s="1560"/>
      <c r="H125" s="1561"/>
      <c r="I125" s="300">
        <f>'PLAN INDICATIVO'!I121</f>
        <v>0</v>
      </c>
      <c r="J125" s="300">
        <f>'PLAN INDICATIVO'!J121</f>
        <v>0</v>
      </c>
      <c r="K125" s="1425" t="str">
        <f>'PLAN INDICATIVO'!K121</f>
        <v>A.3.1.2</v>
      </c>
      <c r="L125" s="1425" t="str">
        <f>'PLAN INDICATIVO'!L121</f>
        <v>6. Agua limplia y saneamiento</v>
      </c>
      <c r="M125" s="1425" t="str">
        <f>'PLAN INDICATIVO'!M121</f>
        <v>EMSERPLA</v>
      </c>
      <c r="N125" s="1425" t="str">
        <f>'PLAN INDICATIVO'!N121</f>
        <v>MARIO MONTILLA CABRERA</v>
      </c>
      <c r="O125" s="1425" t="str">
        <f>'PLAN INDICATIVO'!O121</f>
        <v>Mantenimiento</v>
      </c>
      <c r="P125" s="16" t="str">
        <f>'PLAN INDICATIVO'!P121</f>
        <v>Mantener 1 Sistema de acueducto urbano operando cada año</v>
      </c>
      <c r="Q125" s="302" t="str">
        <f>'PLAN INDICATIVO'!Q121</f>
        <v>No. De Sistemas de Acueducto operando cada año</v>
      </c>
      <c r="R125" s="303">
        <f>'PLAN INDICATIVO'!R121</f>
        <v>2015</v>
      </c>
      <c r="S125" s="304">
        <v>1</v>
      </c>
      <c r="T125" s="677">
        <v>1</v>
      </c>
      <c r="U125" s="304">
        <v>1</v>
      </c>
      <c r="V125" s="687">
        <v>19700000</v>
      </c>
      <c r="W125" s="304">
        <v>1</v>
      </c>
      <c r="X125" s="687">
        <v>19700000</v>
      </c>
      <c r="Y125" s="304">
        <v>1</v>
      </c>
      <c r="Z125" s="687">
        <v>20390000</v>
      </c>
      <c r="AA125" s="305">
        <v>1</v>
      </c>
      <c r="AB125" s="687">
        <v>21100000</v>
      </c>
      <c r="AC125" s="665">
        <v>1</v>
      </c>
      <c r="AD125" s="665">
        <v>1</v>
      </c>
      <c r="AE125" s="665"/>
      <c r="AF125" s="665"/>
      <c r="AG125" s="306" t="s">
        <v>3564</v>
      </c>
      <c r="AH125" s="306">
        <v>2017413960074</v>
      </c>
      <c r="AI125" s="307"/>
      <c r="AJ125" s="335">
        <v>42736</v>
      </c>
      <c r="AK125" s="335">
        <v>43100</v>
      </c>
      <c r="AL125" s="308"/>
      <c r="AM125" s="308"/>
      <c r="AN125" s="267" t="s">
        <v>2598</v>
      </c>
      <c r="AO125" s="507"/>
      <c r="AP125" s="729">
        <f>55650000+15969181</f>
        <v>71619181</v>
      </c>
      <c r="AQ125" s="730"/>
      <c r="AR125" s="730"/>
      <c r="AS125" s="730"/>
      <c r="AT125" s="730"/>
      <c r="AU125" s="730"/>
      <c r="AV125" s="730">
        <f>830000+85000000+2948000</f>
        <v>88778000</v>
      </c>
      <c r="AW125" s="1002">
        <f t="shared" si="41"/>
        <v>160397181</v>
      </c>
      <c r="AX125" s="525"/>
      <c r="AY125" s="310"/>
      <c r="AZ125" s="310"/>
      <c r="BA125" s="310"/>
      <c r="BB125" s="310"/>
      <c r="BC125" s="310"/>
      <c r="BD125" s="310"/>
      <c r="BE125" s="544">
        <f t="shared" si="46"/>
        <v>0</v>
      </c>
      <c r="BF125" s="525"/>
      <c r="BG125" s="310"/>
      <c r="BH125" s="310"/>
      <c r="BI125" s="310"/>
      <c r="BJ125" s="310"/>
      <c r="BK125" s="310"/>
      <c r="BL125" s="310"/>
      <c r="BM125" s="544">
        <f t="shared" si="47"/>
        <v>0</v>
      </c>
      <c r="BN125" s="525"/>
      <c r="BO125" s="310"/>
      <c r="BP125" s="310"/>
      <c r="BQ125" s="310"/>
      <c r="BR125" s="310"/>
      <c r="BS125" s="310"/>
      <c r="BT125" s="310"/>
      <c r="BU125" s="544">
        <f t="shared" si="48"/>
        <v>0</v>
      </c>
      <c r="BV125" s="556"/>
      <c r="BW125" s="663">
        <f t="shared" si="31"/>
        <v>2</v>
      </c>
      <c r="BX125" s="674">
        <f t="shared" si="32"/>
        <v>2</v>
      </c>
      <c r="BY125" s="674">
        <f t="shared" si="33"/>
        <v>1</v>
      </c>
      <c r="BZ125" s="674">
        <f t="shared" si="34"/>
        <v>1</v>
      </c>
      <c r="CA125" s="675">
        <f t="shared" si="35"/>
        <v>0</v>
      </c>
      <c r="CB125" s="675">
        <f t="shared" si="36"/>
        <v>0</v>
      </c>
    </row>
    <row r="126" spans="1:80" ht="69" hidden="1" customHeight="1" x14ac:dyDescent="0.25">
      <c r="A126" s="298" t="s">
        <v>386</v>
      </c>
      <c r="B126" s="299" t="str">
        <f>'PLAN INDICATIVO'!B122</f>
        <v>APSB</v>
      </c>
      <c r="C126" s="1547"/>
      <c r="D126" s="1549"/>
      <c r="E126" s="1549"/>
      <c r="F126" s="1559"/>
      <c r="G126" s="1560"/>
      <c r="H126" s="1561"/>
      <c r="I126" s="300">
        <f>'PLAN INDICATIVO'!I122</f>
        <v>0</v>
      </c>
      <c r="J126" s="300">
        <f>'PLAN INDICATIVO'!J122</f>
        <v>0</v>
      </c>
      <c r="K126" s="1425" t="str">
        <f>'PLAN INDICATIVO'!K122</f>
        <v>A.3.1.3</v>
      </c>
      <c r="L126" s="1425" t="str">
        <f>'PLAN INDICATIVO'!L122</f>
        <v>6. Agua limplia y saneamiento</v>
      </c>
      <c r="M126" s="1425" t="str">
        <f>'PLAN INDICATIVO'!M122</f>
        <v>EMSERPLA</v>
      </c>
      <c r="N126" s="1425" t="str">
        <f>'PLAN INDICATIVO'!N122</f>
        <v>MARIO MONTILLA CABRERA</v>
      </c>
      <c r="O126" s="1425" t="str">
        <f>'PLAN INDICATIVO'!O122</f>
        <v>Incremento</v>
      </c>
      <c r="P126" s="16" t="str">
        <f>'PLAN INDICATIVO'!P122</f>
        <v>Presentar 1 Plan de uso eficiente y Ahorro del Agua (PUEA) para aprobación por parte de la CAM durante el cuatrienio.</v>
      </c>
      <c r="Q126" s="302" t="str">
        <f>'PLAN INDICATIVO'!Q122</f>
        <v xml:space="preserve">No. De PUEA presentados </v>
      </c>
      <c r="R126" s="303">
        <f>'PLAN INDICATIVO'!R122</f>
        <v>2015</v>
      </c>
      <c r="S126" s="304">
        <v>0</v>
      </c>
      <c r="T126" s="677">
        <v>1</v>
      </c>
      <c r="U126" s="304">
        <v>1</v>
      </c>
      <c r="V126" s="687">
        <v>1000000</v>
      </c>
      <c r="W126" s="304">
        <v>1</v>
      </c>
      <c r="X126" s="687">
        <v>1000000</v>
      </c>
      <c r="Y126" s="304">
        <v>1</v>
      </c>
      <c r="Z126" s="687"/>
      <c r="AA126" s="305">
        <v>1</v>
      </c>
      <c r="AB126" s="687">
        <v>10000000</v>
      </c>
      <c r="AC126" s="667">
        <v>1</v>
      </c>
      <c r="AD126" s="667">
        <v>1</v>
      </c>
      <c r="AE126" s="667"/>
      <c r="AF126" s="667"/>
      <c r="AG126" s="306" t="s">
        <v>3564</v>
      </c>
      <c r="AH126" s="306">
        <v>2017413960074</v>
      </c>
      <c r="AI126" s="336" t="s">
        <v>3565</v>
      </c>
      <c r="AJ126" s="335">
        <v>42736</v>
      </c>
      <c r="AK126" s="335">
        <v>43100</v>
      </c>
      <c r="AL126" s="337"/>
      <c r="AM126" s="337"/>
      <c r="AN126" s="267" t="s">
        <v>2598</v>
      </c>
      <c r="AO126" s="507"/>
      <c r="AP126" s="732"/>
      <c r="AQ126" s="733"/>
      <c r="AR126" s="733"/>
      <c r="AS126" s="733"/>
      <c r="AT126" s="733"/>
      <c r="AU126" s="733"/>
      <c r="AV126" s="733">
        <v>200000</v>
      </c>
      <c r="AW126" s="901">
        <f t="shared" si="41"/>
        <v>200000</v>
      </c>
      <c r="AX126" s="528"/>
      <c r="AY126" s="472"/>
      <c r="AZ126" s="472"/>
      <c r="BA126" s="472"/>
      <c r="BB126" s="472"/>
      <c r="BC126" s="472"/>
      <c r="BD126" s="472"/>
      <c r="BE126" s="544">
        <f t="shared" si="46"/>
        <v>0</v>
      </c>
      <c r="BF126" s="528"/>
      <c r="BG126" s="472"/>
      <c r="BH126" s="472"/>
      <c r="BI126" s="472"/>
      <c r="BJ126" s="472"/>
      <c r="BK126" s="472"/>
      <c r="BL126" s="472"/>
      <c r="BM126" s="544">
        <f t="shared" si="47"/>
        <v>0</v>
      </c>
      <c r="BN126" s="528"/>
      <c r="BO126" s="472"/>
      <c r="BP126" s="472"/>
      <c r="BQ126" s="472"/>
      <c r="BR126" s="472"/>
      <c r="BS126" s="472"/>
      <c r="BT126" s="472"/>
      <c r="BU126" s="544">
        <f t="shared" si="48"/>
        <v>0</v>
      </c>
      <c r="BV126" s="556"/>
      <c r="BW126" s="663">
        <f t="shared" si="31"/>
        <v>2</v>
      </c>
      <c r="BX126" s="674">
        <f t="shared" si="32"/>
        <v>2</v>
      </c>
      <c r="BY126" s="561">
        <f t="shared" si="33"/>
        <v>1</v>
      </c>
      <c r="BZ126" s="674">
        <f t="shared" si="34"/>
        <v>1</v>
      </c>
      <c r="CA126" s="675">
        <f t="shared" si="35"/>
        <v>0</v>
      </c>
      <c r="CB126" s="675">
        <f t="shared" si="36"/>
        <v>0</v>
      </c>
    </row>
    <row r="127" spans="1:80" ht="63.75" hidden="1" customHeight="1" x14ac:dyDescent="0.25">
      <c r="A127" s="298" t="s">
        <v>386</v>
      </c>
      <c r="B127" s="299" t="str">
        <f>'PLAN INDICATIVO'!B123</f>
        <v>APSB</v>
      </c>
      <c r="C127" s="1547"/>
      <c r="D127" s="1549"/>
      <c r="E127" s="1549"/>
      <c r="F127" s="1559"/>
      <c r="G127" s="1560"/>
      <c r="H127" s="1561"/>
      <c r="I127" s="1425" t="str">
        <f>'PLAN INDICATIVO'!I123</f>
        <v>SI</v>
      </c>
      <c r="J127" s="1425">
        <f>'PLAN INDICATIVO'!J123</f>
        <v>0</v>
      </c>
      <c r="K127" s="1425" t="str">
        <f>'PLAN INDICATIVO'!K123</f>
        <v>A.3.1.4</v>
      </c>
      <c r="L127" s="1425" t="str">
        <f>'PLAN INDICATIVO'!L123</f>
        <v>6. Agua limplia y saneamiento</v>
      </c>
      <c r="M127" s="1425" t="str">
        <f>'PLAN INDICATIVO'!M123</f>
        <v>EMSERPLA</v>
      </c>
      <c r="N127" s="1425" t="str">
        <f>'PLAN INDICATIVO'!N123</f>
        <v>MARIO MONTILLA CABRERA</v>
      </c>
      <c r="O127" s="1425" t="str">
        <f>'PLAN INDICATIVO'!O123</f>
        <v>Incremento</v>
      </c>
      <c r="P127" s="16" t="str">
        <f>'PLAN INDICATIVO'!P123</f>
        <v>Apoyar 1 estudio y diseño para una fuente alterna de captación, durante el cuatrienio.</v>
      </c>
      <c r="Q127" s="302" t="str">
        <f>'PLAN INDICATIVO'!Q123</f>
        <v>No. De apoyos para estudios y diseños</v>
      </c>
      <c r="R127" s="303">
        <f>'PLAN INDICATIVO'!R123</f>
        <v>2015</v>
      </c>
      <c r="S127" s="304">
        <v>1</v>
      </c>
      <c r="T127" s="677">
        <v>1</v>
      </c>
      <c r="U127" s="844">
        <v>0</v>
      </c>
      <c r="V127" s="687">
        <v>0</v>
      </c>
      <c r="W127" s="304">
        <v>0.75</v>
      </c>
      <c r="X127" s="687"/>
      <c r="Y127" s="304">
        <v>0.25</v>
      </c>
      <c r="Z127" s="687">
        <v>99000000</v>
      </c>
      <c r="AA127" s="305">
        <v>0</v>
      </c>
      <c r="AB127" s="687"/>
      <c r="AC127" s="665"/>
      <c r="AD127" s="843">
        <v>1</v>
      </c>
      <c r="AE127" s="665"/>
      <c r="AF127" s="665"/>
      <c r="AG127" s="306" t="s">
        <v>3564</v>
      </c>
      <c r="AH127" s="306">
        <v>2017413960074</v>
      </c>
      <c r="AI127" s="307"/>
      <c r="AJ127" s="308"/>
      <c r="AK127" s="308"/>
      <c r="AL127" s="308"/>
      <c r="AM127" s="308"/>
      <c r="AN127" s="267" t="s">
        <v>2604</v>
      </c>
      <c r="AO127" s="507"/>
      <c r="AP127" s="729"/>
      <c r="AQ127" s="730">
        <v>349146000</v>
      </c>
      <c r="AR127" s="730"/>
      <c r="AS127" s="730"/>
      <c r="AT127" s="730"/>
      <c r="AU127" s="730"/>
      <c r="AV127" s="730"/>
      <c r="AW127" s="901">
        <f t="shared" si="41"/>
        <v>349146000</v>
      </c>
      <c r="AX127" s="525"/>
      <c r="AY127" s="310"/>
      <c r="AZ127" s="310"/>
      <c r="BA127" s="310"/>
      <c r="BB127" s="310"/>
      <c r="BC127" s="310"/>
      <c r="BD127" s="310"/>
      <c r="BE127" s="544">
        <f t="shared" si="46"/>
        <v>0</v>
      </c>
      <c r="BF127" s="525"/>
      <c r="BG127" s="310"/>
      <c r="BH127" s="310"/>
      <c r="BI127" s="310"/>
      <c r="BJ127" s="310"/>
      <c r="BK127" s="310"/>
      <c r="BL127" s="310"/>
      <c r="BM127" s="544">
        <f t="shared" si="47"/>
        <v>0</v>
      </c>
      <c r="BN127" s="525"/>
      <c r="BO127" s="310"/>
      <c r="BP127" s="310"/>
      <c r="BQ127" s="310"/>
      <c r="BR127" s="310"/>
      <c r="BS127" s="310"/>
      <c r="BT127" s="310"/>
      <c r="BU127" s="544">
        <f t="shared" si="48"/>
        <v>0</v>
      </c>
      <c r="BV127" s="556"/>
      <c r="BW127" s="663">
        <f t="shared" si="31"/>
        <v>1</v>
      </c>
      <c r="BX127" s="918">
        <f t="shared" si="32"/>
        <v>1</v>
      </c>
      <c r="BY127" s="561" t="e">
        <f t="shared" si="33"/>
        <v>#DIV/0!</v>
      </c>
      <c r="BZ127" s="674">
        <f t="shared" si="34"/>
        <v>1.3333333333333333</v>
      </c>
      <c r="CA127" s="675">
        <f t="shared" si="35"/>
        <v>0</v>
      </c>
      <c r="CB127" s="675" t="e">
        <f t="shared" si="36"/>
        <v>#DIV/0!</v>
      </c>
    </row>
    <row r="128" spans="1:80" ht="92.25" hidden="1" customHeight="1" x14ac:dyDescent="0.25">
      <c r="A128" s="298" t="s">
        <v>386</v>
      </c>
      <c r="B128" s="299" t="str">
        <f>'PLAN INDICATIVO'!B124</f>
        <v>APSB</v>
      </c>
      <c r="C128" s="1547"/>
      <c r="D128" s="1549"/>
      <c r="E128" s="1549"/>
      <c r="F128" s="1559"/>
      <c r="G128" s="1560"/>
      <c r="H128" s="1561"/>
      <c r="I128" s="300">
        <f>'PLAN INDICATIVO'!I124</f>
        <v>0</v>
      </c>
      <c r="J128" s="300">
        <f>'PLAN INDICATIVO'!J124</f>
        <v>0</v>
      </c>
      <c r="K128" s="1425" t="str">
        <f>'PLAN INDICATIVO'!K124</f>
        <v>A.3.1.5</v>
      </c>
      <c r="L128" s="1425" t="str">
        <f>'PLAN INDICATIVO'!L124</f>
        <v>6. Agua limplia y saneamiento</v>
      </c>
      <c r="M128" s="1425" t="str">
        <f>'PLAN INDICATIVO'!M124</f>
        <v>EMSERPLA</v>
      </c>
      <c r="N128" s="1425" t="str">
        <f>'PLAN INDICATIVO'!N124</f>
        <v>MARIO MONTILLA CABRERA</v>
      </c>
      <c r="O128" s="1425" t="str">
        <f>'PLAN INDICATIVO'!O124</f>
        <v>Incremento</v>
      </c>
      <c r="P128" s="16" t="str">
        <f>'PLAN INDICATIVO'!P124</f>
        <v>Construcción de 1900 ML de nueva Red de acueducto en el cuatrienio durante el cuatrienio.</v>
      </c>
      <c r="Q128" s="302" t="str">
        <f>'PLAN INDICATIVO'!Q124</f>
        <v>No. De metros lineales construidos.</v>
      </c>
      <c r="R128" s="303">
        <f>'PLAN INDICATIVO'!R124</f>
        <v>2015</v>
      </c>
      <c r="S128" s="304">
        <v>250</v>
      </c>
      <c r="T128" s="677">
        <v>1300</v>
      </c>
      <c r="U128" s="304">
        <v>250</v>
      </c>
      <c r="V128" s="687">
        <v>71930000</v>
      </c>
      <c r="W128" s="304">
        <v>250</v>
      </c>
      <c r="X128" s="687">
        <v>56930000</v>
      </c>
      <c r="Y128" s="304">
        <v>400</v>
      </c>
      <c r="Z128" s="687">
        <v>58920000</v>
      </c>
      <c r="AA128" s="305">
        <v>400</v>
      </c>
      <c r="AB128" s="687">
        <v>60980000</v>
      </c>
      <c r="AC128" s="665">
        <v>853</v>
      </c>
      <c r="AD128" s="665">
        <v>600</v>
      </c>
      <c r="AE128" s="665"/>
      <c r="AF128" s="665"/>
      <c r="AG128" s="306" t="s">
        <v>3564</v>
      </c>
      <c r="AH128" s="306">
        <v>2017413960074</v>
      </c>
      <c r="AI128" s="307" t="s">
        <v>3566</v>
      </c>
      <c r="AJ128" s="838">
        <v>42840</v>
      </c>
      <c r="AK128" s="838">
        <v>43100</v>
      </c>
      <c r="AL128" s="308"/>
      <c r="AM128" s="308"/>
      <c r="AN128" s="267" t="s">
        <v>2598</v>
      </c>
      <c r="AO128" s="507"/>
      <c r="AP128" s="729"/>
      <c r="AQ128" s="730">
        <v>153801000</v>
      </c>
      <c r="AR128" s="730"/>
      <c r="AS128" s="730"/>
      <c r="AT128" s="730"/>
      <c r="AU128" s="730"/>
      <c r="AV128" s="730"/>
      <c r="AW128" s="901">
        <f t="shared" si="41"/>
        <v>153801000</v>
      </c>
      <c r="AX128" s="525"/>
      <c r="AY128" s="310"/>
      <c r="AZ128" s="310"/>
      <c r="BA128" s="310"/>
      <c r="BB128" s="310"/>
      <c r="BC128" s="310"/>
      <c r="BD128" s="310"/>
      <c r="BE128" s="544">
        <f t="shared" si="46"/>
        <v>0</v>
      </c>
      <c r="BF128" s="525"/>
      <c r="BG128" s="310"/>
      <c r="BH128" s="310"/>
      <c r="BI128" s="310"/>
      <c r="BJ128" s="310"/>
      <c r="BK128" s="310"/>
      <c r="BL128" s="310"/>
      <c r="BM128" s="544">
        <f t="shared" si="47"/>
        <v>0</v>
      </c>
      <c r="BN128" s="525"/>
      <c r="BO128" s="310"/>
      <c r="BP128" s="310"/>
      <c r="BQ128" s="310"/>
      <c r="BR128" s="310"/>
      <c r="BS128" s="310"/>
      <c r="BT128" s="310"/>
      <c r="BU128" s="544">
        <f t="shared" si="48"/>
        <v>0</v>
      </c>
      <c r="BV128" s="556"/>
      <c r="BW128" s="663">
        <f t="shared" si="31"/>
        <v>1453</v>
      </c>
      <c r="BX128" s="674">
        <f t="shared" si="32"/>
        <v>1.1176923076923078</v>
      </c>
      <c r="BY128" s="674">
        <f t="shared" si="33"/>
        <v>3.4119999999999999</v>
      </c>
      <c r="BZ128" s="674">
        <f t="shared" si="34"/>
        <v>2.4</v>
      </c>
      <c r="CA128" s="675">
        <f t="shared" si="35"/>
        <v>0</v>
      </c>
      <c r="CB128" s="675">
        <f t="shared" si="36"/>
        <v>0</v>
      </c>
    </row>
    <row r="129" spans="1:80" ht="111" hidden="1" customHeight="1" x14ac:dyDescent="0.25">
      <c r="A129" s="298" t="s">
        <v>386</v>
      </c>
      <c r="B129" s="299" t="str">
        <f>'PLAN INDICATIVO'!B125</f>
        <v>APSB</v>
      </c>
      <c r="C129" s="1547"/>
      <c r="D129" s="1549"/>
      <c r="E129" s="1549"/>
      <c r="F129" s="1559"/>
      <c r="G129" s="1560"/>
      <c r="H129" s="1561"/>
      <c r="I129" s="300">
        <f>'PLAN INDICATIVO'!I125</f>
        <v>0</v>
      </c>
      <c r="J129" s="300">
        <f>'PLAN INDICATIVO'!J125</f>
        <v>0</v>
      </c>
      <c r="K129" s="1425" t="str">
        <f>'PLAN INDICATIVO'!K125</f>
        <v>A.3.1.6</v>
      </c>
      <c r="L129" s="1425" t="str">
        <f>'PLAN INDICATIVO'!L125</f>
        <v>6. Agua limplia y saneamiento</v>
      </c>
      <c r="M129" s="1425" t="str">
        <f>'PLAN INDICATIVO'!M125</f>
        <v>EMSERPLA</v>
      </c>
      <c r="N129" s="1425" t="str">
        <f>'PLAN INDICATIVO'!N125</f>
        <v>MARIO MONTILLA CABRERA</v>
      </c>
      <c r="O129" s="1425" t="str">
        <f>'PLAN INDICATIVO'!O125</f>
        <v>Mantenimiento</v>
      </c>
      <c r="P129" s="16" t="str">
        <f>'PLAN INDICATIVO'!P125</f>
        <v>Mantener el 100% de los subsidios de acueducto a la totalidad de usuarios  de estratos 1 y 2 durante el cuatrienio.</v>
      </c>
      <c r="Q129" s="302" t="str">
        <f>'PLAN INDICATIVO'!Q125</f>
        <v>Porcentaje de Subsidios entregados cada año</v>
      </c>
      <c r="R129" s="303">
        <f>'PLAN INDICATIVO'!R125</f>
        <v>2015</v>
      </c>
      <c r="S129" s="304">
        <v>100</v>
      </c>
      <c r="T129" s="677">
        <v>100</v>
      </c>
      <c r="U129" s="304">
        <v>100</v>
      </c>
      <c r="V129" s="687">
        <v>137550000</v>
      </c>
      <c r="W129" s="304">
        <v>100</v>
      </c>
      <c r="X129" s="687">
        <v>157320000</v>
      </c>
      <c r="Y129" s="304">
        <v>100</v>
      </c>
      <c r="Z129" s="687">
        <v>162830000</v>
      </c>
      <c r="AA129" s="305">
        <v>100</v>
      </c>
      <c r="AB129" s="687">
        <v>168520000</v>
      </c>
      <c r="AC129" s="665">
        <v>100</v>
      </c>
      <c r="AD129" s="665">
        <v>100</v>
      </c>
      <c r="AE129" s="665"/>
      <c r="AF129" s="665"/>
      <c r="AG129" s="306" t="s">
        <v>3567</v>
      </c>
      <c r="AH129" s="306">
        <v>2017413960028</v>
      </c>
      <c r="AI129" s="307" t="s">
        <v>3568</v>
      </c>
      <c r="AJ129" s="838">
        <v>42750</v>
      </c>
      <c r="AK129" s="838">
        <v>43100</v>
      </c>
      <c r="AL129" s="308"/>
      <c r="AM129" s="308"/>
      <c r="AN129" s="267" t="s">
        <v>2598</v>
      </c>
      <c r="AO129" s="507"/>
      <c r="AP129" s="729"/>
      <c r="AQ129" s="730">
        <v>102199428</v>
      </c>
      <c r="AR129" s="730"/>
      <c r="AS129" s="730"/>
      <c r="AT129" s="730"/>
      <c r="AU129" s="730"/>
      <c r="AV129" s="730"/>
      <c r="AW129" s="901">
        <f t="shared" si="41"/>
        <v>102199428</v>
      </c>
      <c r="AX129" s="525"/>
      <c r="AY129" s="310"/>
      <c r="AZ129" s="310"/>
      <c r="BA129" s="310"/>
      <c r="BB129" s="310"/>
      <c r="BC129" s="310"/>
      <c r="BD129" s="310"/>
      <c r="BE129" s="544">
        <f t="shared" si="46"/>
        <v>0</v>
      </c>
      <c r="BF129" s="525"/>
      <c r="BG129" s="310"/>
      <c r="BH129" s="310"/>
      <c r="BI129" s="310"/>
      <c r="BJ129" s="310"/>
      <c r="BK129" s="310"/>
      <c r="BL129" s="310"/>
      <c r="BM129" s="544">
        <f t="shared" si="47"/>
        <v>0</v>
      </c>
      <c r="BN129" s="525"/>
      <c r="BO129" s="310"/>
      <c r="BP129" s="310"/>
      <c r="BQ129" s="310"/>
      <c r="BR129" s="310"/>
      <c r="BS129" s="310"/>
      <c r="BT129" s="310"/>
      <c r="BU129" s="544">
        <f t="shared" si="48"/>
        <v>0</v>
      </c>
      <c r="BV129" s="556"/>
      <c r="BW129" s="663">
        <f t="shared" si="31"/>
        <v>200</v>
      </c>
      <c r="BX129" s="674">
        <f t="shared" si="32"/>
        <v>2</v>
      </c>
      <c r="BY129" s="674">
        <f t="shared" si="33"/>
        <v>1</v>
      </c>
      <c r="BZ129" s="674">
        <f t="shared" si="34"/>
        <v>1</v>
      </c>
      <c r="CA129" s="675">
        <f t="shared" si="35"/>
        <v>0</v>
      </c>
      <c r="CB129" s="675">
        <f t="shared" si="36"/>
        <v>0</v>
      </c>
    </row>
    <row r="130" spans="1:80" ht="107.25" hidden="1" customHeight="1" x14ac:dyDescent="0.25">
      <c r="A130" s="298" t="s">
        <v>386</v>
      </c>
      <c r="B130" s="299" t="str">
        <f>'PLAN INDICATIVO'!B126</f>
        <v>APSB</v>
      </c>
      <c r="C130" s="1547"/>
      <c r="D130" s="1549"/>
      <c r="E130" s="1549"/>
      <c r="F130" s="1559"/>
      <c r="G130" s="1560"/>
      <c r="H130" s="1561"/>
      <c r="I130" s="300">
        <f>'PLAN INDICATIVO'!I126</f>
        <v>0</v>
      </c>
      <c r="J130" s="300">
        <f>'PLAN INDICATIVO'!J126</f>
        <v>0</v>
      </c>
      <c r="K130" s="1425" t="str">
        <f>'PLAN INDICATIVO'!K126</f>
        <v>A.3.1.7</v>
      </c>
      <c r="L130" s="1425" t="str">
        <f>'PLAN INDICATIVO'!L126</f>
        <v>6. Agua limplia y saneamiento</v>
      </c>
      <c r="M130" s="1425" t="str">
        <f>'PLAN INDICATIVO'!M126</f>
        <v>EMSERPLA</v>
      </c>
      <c r="N130" s="1425" t="str">
        <f>'PLAN INDICATIVO'!N126</f>
        <v>MARIO MONTILLA CABRERA</v>
      </c>
      <c r="O130" s="1425" t="str">
        <f>'PLAN INDICATIVO'!O126</f>
        <v>Mantenimiento</v>
      </c>
      <c r="P130" s="16" t="str">
        <f>'PLAN INDICATIVO'!P126</f>
        <v>Realizar 2 campañas anuales  durante el cuatrienio para uso racional de agua</v>
      </c>
      <c r="Q130" s="302" t="str">
        <f>'PLAN INDICATIVO'!Q126</f>
        <v>No. De campañas realizadas por año</v>
      </c>
      <c r="R130" s="303">
        <f>'PLAN INDICATIVO'!R126</f>
        <v>2015</v>
      </c>
      <c r="S130" s="304">
        <v>1</v>
      </c>
      <c r="T130" s="677">
        <v>8</v>
      </c>
      <c r="U130" s="304">
        <v>2</v>
      </c>
      <c r="V130" s="687">
        <v>700000</v>
      </c>
      <c r="W130" s="304">
        <v>2</v>
      </c>
      <c r="X130" s="687">
        <v>10350000</v>
      </c>
      <c r="Y130" s="304">
        <v>2</v>
      </c>
      <c r="Z130" s="687">
        <v>10700000</v>
      </c>
      <c r="AA130" s="305">
        <v>2</v>
      </c>
      <c r="AB130" s="687">
        <v>11090000</v>
      </c>
      <c r="AC130" s="665">
        <v>2</v>
      </c>
      <c r="AD130" s="665">
        <v>2</v>
      </c>
      <c r="AE130" s="665"/>
      <c r="AF130" s="665"/>
      <c r="AG130" s="306" t="s">
        <v>3564</v>
      </c>
      <c r="AH130" s="306">
        <v>2017413960074</v>
      </c>
      <c r="AI130" s="340"/>
      <c r="AJ130" s="335">
        <v>42887</v>
      </c>
      <c r="AK130" s="335">
        <v>43100</v>
      </c>
      <c r="AL130" s="308"/>
      <c r="AM130" s="308"/>
      <c r="AN130" s="267" t="s">
        <v>2598</v>
      </c>
      <c r="AO130" s="507"/>
      <c r="AP130" s="729">
        <v>2358300</v>
      </c>
      <c r="AQ130" s="730">
        <v>700000</v>
      </c>
      <c r="AR130" s="730"/>
      <c r="AS130" s="730"/>
      <c r="AT130" s="730"/>
      <c r="AU130" s="730"/>
      <c r="AV130" s="730">
        <v>1325000</v>
      </c>
      <c r="AW130" s="901">
        <f t="shared" si="41"/>
        <v>4383300</v>
      </c>
      <c r="AX130" s="525"/>
      <c r="AY130" s="310"/>
      <c r="AZ130" s="310"/>
      <c r="BA130" s="310"/>
      <c r="BB130" s="310"/>
      <c r="BC130" s="310"/>
      <c r="BD130" s="310"/>
      <c r="BE130" s="544">
        <f t="shared" si="46"/>
        <v>0</v>
      </c>
      <c r="BF130" s="525"/>
      <c r="BG130" s="310"/>
      <c r="BH130" s="310"/>
      <c r="BI130" s="310"/>
      <c r="BJ130" s="310"/>
      <c r="BK130" s="310"/>
      <c r="BL130" s="310"/>
      <c r="BM130" s="544">
        <f t="shared" si="47"/>
        <v>0</v>
      </c>
      <c r="BN130" s="525"/>
      <c r="BO130" s="310"/>
      <c r="BP130" s="310"/>
      <c r="BQ130" s="310"/>
      <c r="BR130" s="310"/>
      <c r="BS130" s="310"/>
      <c r="BT130" s="310"/>
      <c r="BU130" s="544">
        <f t="shared" si="48"/>
        <v>0</v>
      </c>
      <c r="BV130" s="556"/>
      <c r="BW130" s="663">
        <f t="shared" si="31"/>
        <v>4</v>
      </c>
      <c r="BX130" s="674">
        <f t="shared" si="32"/>
        <v>0.5</v>
      </c>
      <c r="BY130" s="674">
        <f t="shared" si="33"/>
        <v>1</v>
      </c>
      <c r="BZ130" s="674">
        <f t="shared" si="34"/>
        <v>1</v>
      </c>
      <c r="CA130" s="675">
        <f t="shared" si="35"/>
        <v>0</v>
      </c>
      <c r="CB130" s="675">
        <f t="shared" si="36"/>
        <v>0</v>
      </c>
    </row>
    <row r="131" spans="1:80" ht="73.5" hidden="1" customHeight="1" x14ac:dyDescent="0.25">
      <c r="A131" s="298" t="s">
        <v>386</v>
      </c>
      <c r="B131" s="299" t="str">
        <f>'PLAN INDICATIVO'!B127</f>
        <v>APSB</v>
      </c>
      <c r="C131" s="1547"/>
      <c r="D131" s="1549"/>
      <c r="E131" s="1549"/>
      <c r="F131" s="1559"/>
      <c r="G131" s="1560"/>
      <c r="H131" s="1561"/>
      <c r="I131" s="300">
        <f>'PLAN INDICATIVO'!I127</f>
        <v>0</v>
      </c>
      <c r="J131" s="300">
        <f>'PLAN INDICATIVO'!J127</f>
        <v>0</v>
      </c>
      <c r="K131" s="1425" t="str">
        <f>'PLAN INDICATIVO'!K127</f>
        <v>A.3.1.8</v>
      </c>
      <c r="L131" s="1425" t="str">
        <f>'PLAN INDICATIVO'!L127</f>
        <v>6. Agua limplia y saneamiento</v>
      </c>
      <c r="M131" s="1425" t="str">
        <f>'PLAN INDICATIVO'!M127</f>
        <v>EMSERPLA</v>
      </c>
      <c r="N131" s="1425" t="str">
        <f>'PLAN INDICATIVO'!N127</f>
        <v>MARIO MONTILLA CABRERA</v>
      </c>
      <c r="O131" s="1425" t="str">
        <f>'PLAN INDICATIVO'!O127</f>
        <v>Incremento</v>
      </c>
      <c r="P131" s="16" t="str">
        <f>'PLAN INDICATIVO'!P127</f>
        <v>Incrementar  los servicios públicos  a 1.200 nuevos usuarios en servicio de acueducto, durante el cuatrienio</v>
      </c>
      <c r="Q131" s="302" t="str">
        <f>'PLAN INDICATIVO'!Q127</f>
        <v>No. De nuevos usuarios</v>
      </c>
      <c r="R131" s="303">
        <f>'PLAN INDICATIVO'!R127</f>
        <v>2015</v>
      </c>
      <c r="S131" s="304">
        <v>287</v>
      </c>
      <c r="T131" s="677">
        <v>1200</v>
      </c>
      <c r="U131" s="304">
        <v>300</v>
      </c>
      <c r="V131" s="687">
        <v>10650000</v>
      </c>
      <c r="W131" s="304">
        <v>300</v>
      </c>
      <c r="X131" s="687">
        <v>1000000</v>
      </c>
      <c r="Y131" s="304">
        <v>300</v>
      </c>
      <c r="Z131" s="687">
        <v>1000000</v>
      </c>
      <c r="AA131" s="305">
        <v>300</v>
      </c>
      <c r="AB131" s="687">
        <v>25000000</v>
      </c>
      <c r="AC131" s="665">
        <v>354</v>
      </c>
      <c r="AD131" s="667">
        <v>315</v>
      </c>
      <c r="AE131" s="665"/>
      <c r="AF131" s="665"/>
      <c r="AG131" s="306" t="s">
        <v>3564</v>
      </c>
      <c r="AH131" s="306">
        <v>2017413960074</v>
      </c>
      <c r="AI131" s="307"/>
      <c r="AJ131" s="335">
        <v>42750</v>
      </c>
      <c r="AK131" s="335">
        <v>39447</v>
      </c>
      <c r="AL131" s="308"/>
      <c r="AM131" s="308"/>
      <c r="AN131" s="267" t="s">
        <v>2598</v>
      </c>
      <c r="AO131" s="507"/>
      <c r="AP131" s="729">
        <f>11245500+3192000</f>
        <v>14437500</v>
      </c>
      <c r="AQ131" s="730"/>
      <c r="AR131" s="730"/>
      <c r="AS131" s="730"/>
      <c r="AT131" s="730"/>
      <c r="AU131" s="730"/>
      <c r="AV131" s="730"/>
      <c r="AW131" s="901">
        <f>AP131+AQ131+AR131+AS131+AT131+AU131+AV131</f>
        <v>14437500</v>
      </c>
      <c r="AX131" s="525"/>
      <c r="AY131" s="310"/>
      <c r="AZ131" s="310"/>
      <c r="BA131" s="310"/>
      <c r="BB131" s="310"/>
      <c r="BC131" s="310"/>
      <c r="BD131" s="310"/>
      <c r="BE131" s="544">
        <f t="shared" si="46"/>
        <v>0</v>
      </c>
      <c r="BF131" s="525"/>
      <c r="BG131" s="310"/>
      <c r="BH131" s="310"/>
      <c r="BI131" s="310"/>
      <c r="BJ131" s="310"/>
      <c r="BK131" s="310"/>
      <c r="BL131" s="310"/>
      <c r="BM131" s="544">
        <f t="shared" si="47"/>
        <v>0</v>
      </c>
      <c r="BN131" s="525"/>
      <c r="BO131" s="310"/>
      <c r="BP131" s="310"/>
      <c r="BQ131" s="310"/>
      <c r="BR131" s="310"/>
      <c r="BS131" s="310"/>
      <c r="BT131" s="310"/>
      <c r="BU131" s="544">
        <f t="shared" si="48"/>
        <v>0</v>
      </c>
      <c r="BV131" s="556"/>
      <c r="BW131" s="663">
        <f t="shared" si="31"/>
        <v>669</v>
      </c>
      <c r="BX131" s="674">
        <f t="shared" si="32"/>
        <v>0.5575</v>
      </c>
      <c r="BY131" s="674">
        <f t="shared" si="33"/>
        <v>1.18</v>
      </c>
      <c r="BZ131" s="674">
        <f t="shared" si="34"/>
        <v>1.05</v>
      </c>
      <c r="CA131" s="675">
        <f t="shared" si="35"/>
        <v>0</v>
      </c>
      <c r="CB131" s="675">
        <f t="shared" si="36"/>
        <v>0</v>
      </c>
    </row>
    <row r="132" spans="1:80" ht="48" hidden="1" customHeight="1" x14ac:dyDescent="0.25">
      <c r="A132" s="298" t="s">
        <v>386</v>
      </c>
      <c r="B132" s="299" t="str">
        <f>'PLAN INDICATIVO'!B128</f>
        <v>APSB</v>
      </c>
      <c r="C132" s="1547"/>
      <c r="D132" s="1549"/>
      <c r="E132" s="1549"/>
      <c r="F132" s="1559"/>
      <c r="G132" s="1560"/>
      <c r="H132" s="1561"/>
      <c r="I132" s="300">
        <f>'PLAN INDICATIVO'!I128</f>
        <v>0</v>
      </c>
      <c r="J132" s="300">
        <f>'PLAN INDICATIVO'!J128</f>
        <v>0</v>
      </c>
      <c r="K132" s="1425" t="str">
        <f>'PLAN INDICATIVO'!K128</f>
        <v>A.3.1.9</v>
      </c>
      <c r="L132" s="1425" t="str">
        <f>'PLAN INDICATIVO'!L128</f>
        <v>6. Agua limplia y saneamiento</v>
      </c>
      <c r="M132" s="1425" t="str">
        <f>'PLAN INDICATIVO'!M128</f>
        <v>EMSERPLA</v>
      </c>
      <c r="N132" s="1425" t="str">
        <f>'PLAN INDICATIVO'!N128</f>
        <v>MARIO MONTILLA CABRERA</v>
      </c>
      <c r="O132" s="1425" t="str">
        <f>'PLAN INDICATIVO'!O128</f>
        <v>Incremento</v>
      </c>
      <c r="P132" s="16" t="str">
        <f>'PLAN INDICATIVO'!P128</f>
        <v>Realizar 8 controles para disminuir las conexiones fraudulentas de domiciliarias de acueducto durante el cuatrienio</v>
      </c>
      <c r="Q132" s="302" t="str">
        <f>'PLAN INDICATIVO'!Q128</f>
        <v>No. De controles realizados</v>
      </c>
      <c r="R132" s="303">
        <f>'PLAN INDICATIVO'!R128</f>
        <v>2015</v>
      </c>
      <c r="S132" s="304">
        <v>0</v>
      </c>
      <c r="T132" s="677">
        <v>8</v>
      </c>
      <c r="U132" s="304">
        <v>2</v>
      </c>
      <c r="V132" s="687">
        <v>1000000</v>
      </c>
      <c r="W132" s="304">
        <v>2</v>
      </c>
      <c r="X132" s="687">
        <v>1000000</v>
      </c>
      <c r="Y132" s="304">
        <v>2</v>
      </c>
      <c r="Z132" s="687">
        <v>1000000</v>
      </c>
      <c r="AA132" s="305">
        <v>2</v>
      </c>
      <c r="AB132" s="687">
        <v>10000000</v>
      </c>
      <c r="AC132" s="665">
        <f>1+1</f>
        <v>2</v>
      </c>
      <c r="AD132" s="665">
        <v>3</v>
      </c>
      <c r="AE132" s="665"/>
      <c r="AF132" s="665"/>
      <c r="AG132" s="306" t="s">
        <v>3564</v>
      </c>
      <c r="AH132" s="306">
        <v>2017413960074</v>
      </c>
      <c r="AI132" s="307"/>
      <c r="AJ132" s="335">
        <v>42736</v>
      </c>
      <c r="AK132" s="335">
        <v>42824</v>
      </c>
      <c r="AL132" s="308"/>
      <c r="AM132" s="308"/>
      <c r="AN132" s="267" t="s">
        <v>2598</v>
      </c>
      <c r="AO132" s="507"/>
      <c r="AP132" s="729">
        <v>230000</v>
      </c>
      <c r="AQ132" s="730"/>
      <c r="AR132" s="730"/>
      <c r="AS132" s="730"/>
      <c r="AT132" s="730"/>
      <c r="AU132" s="730"/>
      <c r="AV132" s="730"/>
      <c r="AW132" s="901">
        <f>AP132+AQ132+AR132+AS132+AT132+AU132+AV132</f>
        <v>230000</v>
      </c>
      <c r="AX132" s="525"/>
      <c r="AY132" s="310"/>
      <c r="AZ132" s="310"/>
      <c r="BA132" s="310"/>
      <c r="BB132" s="310"/>
      <c r="BC132" s="310"/>
      <c r="BD132" s="310"/>
      <c r="BE132" s="544">
        <f t="shared" si="46"/>
        <v>0</v>
      </c>
      <c r="BF132" s="525"/>
      <c r="BG132" s="310"/>
      <c r="BH132" s="310"/>
      <c r="BI132" s="310"/>
      <c r="BJ132" s="310"/>
      <c r="BK132" s="310"/>
      <c r="BL132" s="310"/>
      <c r="BM132" s="544">
        <f t="shared" si="47"/>
        <v>0</v>
      </c>
      <c r="BN132" s="525"/>
      <c r="BO132" s="310"/>
      <c r="BP132" s="310"/>
      <c r="BQ132" s="310"/>
      <c r="BR132" s="310"/>
      <c r="BS132" s="310"/>
      <c r="BT132" s="310"/>
      <c r="BU132" s="544">
        <f t="shared" si="48"/>
        <v>0</v>
      </c>
      <c r="BV132" s="556"/>
      <c r="BW132" s="663">
        <f t="shared" si="31"/>
        <v>5</v>
      </c>
      <c r="BX132" s="674">
        <f t="shared" si="32"/>
        <v>0.625</v>
      </c>
      <c r="BY132" s="674">
        <f t="shared" si="33"/>
        <v>1</v>
      </c>
      <c r="BZ132" s="674">
        <f t="shared" si="34"/>
        <v>1.5</v>
      </c>
      <c r="CA132" s="675">
        <f t="shared" si="35"/>
        <v>0</v>
      </c>
      <c r="CB132" s="675">
        <f t="shared" si="36"/>
        <v>0</v>
      </c>
    </row>
    <row r="133" spans="1:80" ht="110.25" hidden="1" customHeight="1" x14ac:dyDescent="0.25">
      <c r="A133" s="298" t="s">
        <v>386</v>
      </c>
      <c r="B133" s="299" t="str">
        <f>'PLAN INDICATIVO'!B129</f>
        <v>APSB</v>
      </c>
      <c r="C133" s="1547"/>
      <c r="D133" s="1549"/>
      <c r="E133" s="1549"/>
      <c r="F133" s="1559"/>
      <c r="G133" s="1560"/>
      <c r="H133" s="1561"/>
      <c r="I133" s="1425" t="str">
        <f>'PLAN INDICATIVO'!I129</f>
        <v>SI</v>
      </c>
      <c r="J133" s="1425">
        <f>'PLAN INDICATIVO'!J129</f>
        <v>0</v>
      </c>
      <c r="K133" s="1425" t="str">
        <f>'PLAN INDICATIVO'!K129</f>
        <v>A.3.1.10</v>
      </c>
      <c r="L133" s="1425" t="str">
        <f>'PLAN INDICATIVO'!L129</f>
        <v>6. Agua limplia y saneamiento</v>
      </c>
      <c r="M133" s="1425" t="str">
        <f>'PLAN INDICATIVO'!M129</f>
        <v>EMSERPLA</v>
      </c>
      <c r="N133" s="1425" t="str">
        <f>'PLAN INDICATIVO'!N129</f>
        <v>MARIO MONTILLA CABRERA</v>
      </c>
      <c r="O133" s="1425" t="str">
        <f>'PLAN INDICATIVO'!O129</f>
        <v>Incremento</v>
      </c>
      <c r="P133" s="16" t="str">
        <f>'PLAN INDICATIVO'!P129</f>
        <v>Reposición de 2700 ML de redes de acueducto en el cuatrienio</v>
      </c>
      <c r="Q133" s="302" t="str">
        <f>'PLAN INDICATIVO'!Q129</f>
        <v xml:space="preserve">No. De metros lineales en reposición </v>
      </c>
      <c r="R133" s="303">
        <f>'PLAN INDICATIVO'!R129</f>
        <v>2015</v>
      </c>
      <c r="S133" s="304">
        <v>1145</v>
      </c>
      <c r="T133" s="677">
        <v>2400</v>
      </c>
      <c r="U133" s="304">
        <v>600</v>
      </c>
      <c r="V133" s="687">
        <v>267550000</v>
      </c>
      <c r="W133" s="304">
        <v>600</v>
      </c>
      <c r="X133" s="687">
        <v>326030000</v>
      </c>
      <c r="Y133" s="304">
        <v>600</v>
      </c>
      <c r="Z133" s="687">
        <v>337440000</v>
      </c>
      <c r="AA133" s="305">
        <v>600</v>
      </c>
      <c r="AB133" s="687">
        <v>349250000</v>
      </c>
      <c r="AC133" s="665">
        <v>1548</v>
      </c>
      <c r="AD133" s="665">
        <v>1089</v>
      </c>
      <c r="AE133" s="665"/>
      <c r="AF133" s="665"/>
      <c r="AG133" s="306" t="s">
        <v>3564</v>
      </c>
      <c r="AH133" s="306">
        <v>2017413960074</v>
      </c>
      <c r="AI133" s="307" t="s">
        <v>3569</v>
      </c>
      <c r="AJ133" s="335">
        <v>11324</v>
      </c>
      <c r="AK133" s="335">
        <v>11383</v>
      </c>
      <c r="AL133" s="308"/>
      <c r="AM133" s="308"/>
      <c r="AN133" s="267" t="s">
        <v>2598</v>
      </c>
      <c r="AO133" s="507"/>
      <c r="AP133" s="729">
        <f>21898750+1500000</f>
        <v>23398750</v>
      </c>
      <c r="AQ133" s="730">
        <v>8325000000</v>
      </c>
      <c r="AR133" s="730"/>
      <c r="AS133" s="730"/>
      <c r="AT133" s="730"/>
      <c r="AU133" s="730"/>
      <c r="AV133" s="730"/>
      <c r="AW133" s="901">
        <f t="shared" si="41"/>
        <v>8348398750</v>
      </c>
      <c r="AX133" s="525"/>
      <c r="AY133" s="310"/>
      <c r="AZ133" s="310"/>
      <c r="BA133" s="310"/>
      <c r="BB133" s="310"/>
      <c r="BC133" s="310"/>
      <c r="BD133" s="310"/>
      <c r="BE133" s="544">
        <f t="shared" si="46"/>
        <v>0</v>
      </c>
      <c r="BF133" s="525"/>
      <c r="BG133" s="310"/>
      <c r="BH133" s="310"/>
      <c r="BI133" s="310"/>
      <c r="BJ133" s="310"/>
      <c r="BK133" s="310"/>
      <c r="BL133" s="310"/>
      <c r="BM133" s="544">
        <f t="shared" si="47"/>
        <v>0</v>
      </c>
      <c r="BN133" s="525"/>
      <c r="BO133" s="310"/>
      <c r="BP133" s="310"/>
      <c r="BQ133" s="310"/>
      <c r="BR133" s="310"/>
      <c r="BS133" s="310"/>
      <c r="BT133" s="310"/>
      <c r="BU133" s="544">
        <f t="shared" si="48"/>
        <v>0</v>
      </c>
      <c r="BV133" s="556"/>
      <c r="BW133" s="663">
        <f t="shared" si="31"/>
        <v>2637</v>
      </c>
      <c r="BX133" s="674">
        <f t="shared" si="32"/>
        <v>1.0987499999999999</v>
      </c>
      <c r="BY133" s="674">
        <f t="shared" si="33"/>
        <v>2.58</v>
      </c>
      <c r="BZ133" s="674">
        <f t="shared" si="34"/>
        <v>1.8149999999999999</v>
      </c>
      <c r="CA133" s="675">
        <f t="shared" si="35"/>
        <v>0</v>
      </c>
      <c r="CB133" s="675">
        <f t="shared" si="36"/>
        <v>0</v>
      </c>
    </row>
    <row r="134" spans="1:80" ht="65.25" hidden="1" customHeight="1" x14ac:dyDescent="0.25">
      <c r="A134" s="298" t="s">
        <v>386</v>
      </c>
      <c r="B134" s="299" t="str">
        <f>'PLAN INDICATIVO'!B130</f>
        <v>APSB</v>
      </c>
      <c r="C134" s="1547"/>
      <c r="D134" s="1549"/>
      <c r="E134" s="1549"/>
      <c r="F134" s="1559"/>
      <c r="G134" s="1560"/>
      <c r="H134" s="1561"/>
      <c r="I134" s="300">
        <f>'PLAN INDICATIVO'!I130</f>
        <v>0</v>
      </c>
      <c r="J134" s="300">
        <f>'PLAN INDICATIVO'!J130</f>
        <v>0</v>
      </c>
      <c r="K134" s="1425" t="str">
        <f>'PLAN INDICATIVO'!K130</f>
        <v>A.3.1.11</v>
      </c>
      <c r="L134" s="1425" t="str">
        <f>'PLAN INDICATIVO'!L130</f>
        <v>6. Agua limplia y saneamiento</v>
      </c>
      <c r="M134" s="1425" t="str">
        <f>'PLAN INDICATIVO'!M130</f>
        <v>EMSERPLA</v>
      </c>
      <c r="N134" s="1425" t="str">
        <f>'PLAN INDICATIVO'!N130</f>
        <v>MARIO MONTILLA CABRERA</v>
      </c>
      <c r="O134" s="1425" t="str">
        <f>'PLAN INDICATIVO'!O130</f>
        <v>Incremento</v>
      </c>
      <c r="P134" s="25" t="str">
        <f>'PLAN INDICATIVO'!P130</f>
        <v>Implementar 1 programa durante el cuatrienio  para la disminución de agua no contabilizada en la zona urbana</v>
      </c>
      <c r="Q134" s="302" t="str">
        <f>'PLAN INDICATIVO'!Q130</f>
        <v>No. Programa implementado</v>
      </c>
      <c r="R134" s="303">
        <f>'PLAN INDICATIVO'!R130</f>
        <v>2015</v>
      </c>
      <c r="S134" s="304">
        <v>0</v>
      </c>
      <c r="T134" s="677">
        <v>1</v>
      </c>
      <c r="U134" s="844">
        <v>0</v>
      </c>
      <c r="V134" s="687">
        <v>0</v>
      </c>
      <c r="W134" s="304">
        <v>0</v>
      </c>
      <c r="X134" s="687"/>
      <c r="Y134" s="270">
        <v>1</v>
      </c>
      <c r="Z134" s="687"/>
      <c r="AA134" s="939">
        <v>0</v>
      </c>
      <c r="AB134" s="687">
        <v>10180000</v>
      </c>
      <c r="AC134" s="665"/>
      <c r="AD134" s="843"/>
      <c r="AE134" s="665"/>
      <c r="AF134" s="665"/>
      <c r="AG134" s="306" t="s">
        <v>3564</v>
      </c>
      <c r="AH134" s="306">
        <v>2017413960074</v>
      </c>
      <c r="AI134" s="307"/>
      <c r="AJ134" s="308"/>
      <c r="AK134" s="308"/>
      <c r="AL134" s="308"/>
      <c r="AM134" s="308"/>
      <c r="AN134" s="267" t="s">
        <v>2594</v>
      </c>
      <c r="AO134" s="507"/>
      <c r="AP134" s="729"/>
      <c r="AQ134" s="730"/>
      <c r="AR134" s="730"/>
      <c r="AS134" s="730"/>
      <c r="AT134" s="730"/>
      <c r="AU134" s="730"/>
      <c r="AV134" s="730"/>
      <c r="AW134" s="901">
        <f t="shared" ref="AW134:AW196" si="65">SUM(AP134:AV134)</f>
        <v>0</v>
      </c>
      <c r="AX134" s="525"/>
      <c r="AY134" s="310"/>
      <c r="AZ134" s="310"/>
      <c r="BA134" s="310"/>
      <c r="BB134" s="310"/>
      <c r="BC134" s="310"/>
      <c r="BD134" s="310"/>
      <c r="BE134" s="544">
        <f t="shared" si="46"/>
        <v>0</v>
      </c>
      <c r="BF134" s="525"/>
      <c r="BG134" s="310"/>
      <c r="BH134" s="310"/>
      <c r="BI134" s="310"/>
      <c r="BJ134" s="310"/>
      <c r="BK134" s="310"/>
      <c r="BL134" s="310"/>
      <c r="BM134" s="544">
        <f t="shared" si="47"/>
        <v>0</v>
      </c>
      <c r="BN134" s="525"/>
      <c r="BO134" s="310"/>
      <c r="BP134" s="310"/>
      <c r="BQ134" s="310"/>
      <c r="BR134" s="310"/>
      <c r="BS134" s="310"/>
      <c r="BT134" s="310"/>
      <c r="BU134" s="544">
        <f t="shared" si="48"/>
        <v>0</v>
      </c>
      <c r="BV134" s="556"/>
      <c r="BW134" s="663">
        <f t="shared" si="31"/>
        <v>0</v>
      </c>
      <c r="BX134" s="918">
        <f t="shared" si="32"/>
        <v>0</v>
      </c>
      <c r="BY134" s="674" t="e">
        <f t="shared" si="33"/>
        <v>#DIV/0!</v>
      </c>
      <c r="BZ134" s="674" t="e">
        <f t="shared" si="34"/>
        <v>#DIV/0!</v>
      </c>
      <c r="CA134" s="675">
        <f t="shared" si="35"/>
        <v>0</v>
      </c>
      <c r="CB134" s="675" t="e">
        <f t="shared" si="36"/>
        <v>#DIV/0!</v>
      </c>
    </row>
    <row r="135" spans="1:80" ht="148.5" hidden="1" customHeight="1" x14ac:dyDescent="0.25">
      <c r="A135" s="298" t="s">
        <v>386</v>
      </c>
      <c r="B135" s="299" t="str">
        <f>'PLAN INDICATIVO'!B131</f>
        <v>APSB</v>
      </c>
      <c r="C135" s="1547"/>
      <c r="D135" s="1549"/>
      <c r="E135" s="1549"/>
      <c r="F135" s="1559"/>
      <c r="G135" s="1560"/>
      <c r="H135" s="1561"/>
      <c r="I135" s="300">
        <f>'PLAN INDICATIVO'!I131</f>
        <v>0</v>
      </c>
      <c r="J135" s="300">
        <f>'PLAN INDICATIVO'!J131</f>
        <v>0</v>
      </c>
      <c r="K135" s="1425" t="str">
        <f>'PLAN INDICATIVO'!K131</f>
        <v>A.3.1.12</v>
      </c>
      <c r="L135" s="1425" t="str">
        <f>'PLAN INDICATIVO'!L131</f>
        <v>6. Agua limplia y saneamiento</v>
      </c>
      <c r="M135" s="1425" t="str">
        <f>'PLAN INDICATIVO'!M131</f>
        <v>EMSERPLA</v>
      </c>
      <c r="N135" s="1425" t="s">
        <v>3555</v>
      </c>
      <c r="O135" s="1425" t="str">
        <f>'PLAN INDICATIVO'!O131</f>
        <v>Incremento</v>
      </c>
      <c r="P135" s="25" t="str">
        <f>'PLAN INDICATIVO'!P131</f>
        <v>Beneficiar a 1200 familias con servicio de acueducto en la zona rural, durante el cuatrienio</v>
      </c>
      <c r="Q135" s="302" t="str">
        <f>'PLAN INDICATIVO'!Q131</f>
        <v>No. De familias beneficiadas.</v>
      </c>
      <c r="R135" s="303">
        <f>'PLAN INDICATIVO'!R131</f>
        <v>2015</v>
      </c>
      <c r="S135" s="304">
        <v>0</v>
      </c>
      <c r="T135" s="677">
        <v>1200</v>
      </c>
      <c r="U135" s="304">
        <v>400</v>
      </c>
      <c r="V135" s="687">
        <v>48000000</v>
      </c>
      <c r="W135" s="270">
        <v>226</v>
      </c>
      <c r="X135" s="687">
        <v>224200000</v>
      </c>
      <c r="Y135" s="304">
        <v>474</v>
      </c>
      <c r="Z135" s="687">
        <v>220010000</v>
      </c>
      <c r="AA135" s="305">
        <v>475</v>
      </c>
      <c r="AB135" s="687">
        <v>50000000</v>
      </c>
      <c r="AC135" s="667">
        <v>25</v>
      </c>
      <c r="AD135" s="667">
        <f>25+165+36</f>
        <v>226</v>
      </c>
      <c r="AE135" s="667"/>
      <c r="AF135" s="667"/>
      <c r="AG135" s="306" t="s">
        <v>3564</v>
      </c>
      <c r="AH135" s="306">
        <v>2017413960074</v>
      </c>
      <c r="AI135" s="336" t="s">
        <v>5058</v>
      </c>
      <c r="AJ135" s="339">
        <v>42781</v>
      </c>
      <c r="AK135" s="339">
        <v>42977</v>
      </c>
      <c r="AL135" s="337"/>
      <c r="AM135" s="337"/>
      <c r="AN135" s="267" t="s">
        <v>2598</v>
      </c>
      <c r="AO135" s="510"/>
      <c r="AP135" s="528"/>
      <c r="AQ135" s="472"/>
      <c r="AR135" s="472"/>
      <c r="AS135" s="472"/>
      <c r="AT135" s="472"/>
      <c r="AU135" s="472"/>
      <c r="AV135" s="472"/>
      <c r="AW135" s="901">
        <f t="shared" si="65"/>
        <v>0</v>
      </c>
      <c r="AX135" s="528"/>
      <c r="AY135" s="472"/>
      <c r="AZ135" s="472"/>
      <c r="BA135" s="472"/>
      <c r="BB135" s="472"/>
      <c r="BC135" s="472"/>
      <c r="BD135" s="472"/>
      <c r="BE135" s="544">
        <f t="shared" si="46"/>
        <v>0</v>
      </c>
      <c r="BF135" s="528"/>
      <c r="BG135" s="472"/>
      <c r="BH135" s="472"/>
      <c r="BI135" s="472"/>
      <c r="BJ135" s="472"/>
      <c r="BK135" s="472"/>
      <c r="BL135" s="472"/>
      <c r="BM135" s="544">
        <f t="shared" si="47"/>
        <v>0</v>
      </c>
      <c r="BN135" s="528"/>
      <c r="BO135" s="472"/>
      <c r="BP135" s="472"/>
      <c r="BQ135" s="472"/>
      <c r="BR135" s="472"/>
      <c r="BS135" s="472"/>
      <c r="BT135" s="472"/>
      <c r="BU135" s="544">
        <f t="shared" si="48"/>
        <v>0</v>
      </c>
      <c r="BV135" s="556"/>
      <c r="BW135" s="663">
        <f t="shared" si="31"/>
        <v>251</v>
      </c>
      <c r="BX135" s="918">
        <f t="shared" si="32"/>
        <v>0.20916666666666667</v>
      </c>
      <c r="BY135" s="674">
        <f t="shared" si="33"/>
        <v>6.25E-2</v>
      </c>
      <c r="BZ135" s="674">
        <f t="shared" si="34"/>
        <v>1</v>
      </c>
      <c r="CA135" s="675">
        <f t="shared" si="35"/>
        <v>0</v>
      </c>
      <c r="CB135" s="675">
        <f t="shared" si="36"/>
        <v>0</v>
      </c>
    </row>
    <row r="136" spans="1:80" ht="57.75" hidden="1" customHeight="1" x14ac:dyDescent="0.25">
      <c r="A136" s="298" t="s">
        <v>386</v>
      </c>
      <c r="B136" s="299" t="str">
        <f>'PLAN INDICATIVO'!B132</f>
        <v>APSB</v>
      </c>
      <c r="C136" s="1547"/>
      <c r="D136" s="1549"/>
      <c r="E136" s="1549"/>
      <c r="F136" s="1559"/>
      <c r="G136" s="1560"/>
      <c r="H136" s="1561"/>
      <c r="I136" s="300">
        <f>'PLAN INDICATIVO'!I132</f>
        <v>0</v>
      </c>
      <c r="J136" s="300">
        <f>'PLAN INDICATIVO'!J132</f>
        <v>0</v>
      </c>
      <c r="K136" s="1425" t="str">
        <f>'PLAN INDICATIVO'!K132</f>
        <v>A.3.1.13</v>
      </c>
      <c r="L136" s="1425" t="str">
        <f>'PLAN INDICATIVO'!L132</f>
        <v>6. Agua limplia y saneamiento</v>
      </c>
      <c r="M136" s="1425" t="str">
        <f>'PLAN INDICATIVO'!M132</f>
        <v>EMSERPLA</v>
      </c>
      <c r="N136" s="1425" t="s">
        <v>3555</v>
      </c>
      <c r="O136" s="1425" t="str">
        <f>'PLAN INDICATIVO'!O132</f>
        <v>Incremento</v>
      </c>
      <c r="P136" s="25" t="str">
        <f>'PLAN INDICATIVO'!P132</f>
        <v>Beneficiar 1000 familias con potabilización de agua en la zona rural, durante el cuatrienio</v>
      </c>
      <c r="Q136" s="302" t="str">
        <f>'PLAN INDICATIVO'!Q132</f>
        <v>No. De familias beneficiadas.</v>
      </c>
      <c r="R136" s="303">
        <f>'PLAN INDICATIVO'!R132</f>
        <v>2015</v>
      </c>
      <c r="S136" s="304">
        <v>0</v>
      </c>
      <c r="T136" s="677">
        <v>1000</v>
      </c>
      <c r="U136" s="304">
        <v>500</v>
      </c>
      <c r="V136" s="687">
        <v>224200000</v>
      </c>
      <c r="W136" s="270">
        <v>0</v>
      </c>
      <c r="X136" s="687">
        <v>224200000</v>
      </c>
      <c r="Y136" s="304">
        <v>500</v>
      </c>
      <c r="Z136" s="687">
        <v>220010000</v>
      </c>
      <c r="AA136" s="305">
        <v>500</v>
      </c>
      <c r="AB136" s="687">
        <v>50000000</v>
      </c>
      <c r="AC136" s="879"/>
      <c r="AD136" s="667"/>
      <c r="AE136" s="667"/>
      <c r="AF136" s="667"/>
      <c r="AG136" s="306" t="s">
        <v>3564</v>
      </c>
      <c r="AH136" s="306">
        <v>2017413960074</v>
      </c>
      <c r="AI136" s="336" t="s">
        <v>3570</v>
      </c>
      <c r="AJ136" s="339">
        <v>42781</v>
      </c>
      <c r="AK136" s="339">
        <v>42977</v>
      </c>
      <c r="AL136" s="337"/>
      <c r="AM136" s="337"/>
      <c r="AN136" s="267" t="s">
        <v>2600</v>
      </c>
      <c r="AO136" s="510"/>
      <c r="AP136" s="528"/>
      <c r="AQ136" s="472"/>
      <c r="AR136" s="472"/>
      <c r="AS136" s="472"/>
      <c r="AT136" s="472"/>
      <c r="AU136" s="472"/>
      <c r="AV136" s="472"/>
      <c r="AW136" s="901">
        <f t="shared" si="65"/>
        <v>0</v>
      </c>
      <c r="AX136" s="528"/>
      <c r="AY136" s="472"/>
      <c r="AZ136" s="472"/>
      <c r="BA136" s="472"/>
      <c r="BB136" s="472"/>
      <c r="BC136" s="472"/>
      <c r="BD136" s="472"/>
      <c r="BE136" s="544">
        <f t="shared" si="46"/>
        <v>0</v>
      </c>
      <c r="BF136" s="528"/>
      <c r="BG136" s="472"/>
      <c r="BH136" s="472"/>
      <c r="BI136" s="472"/>
      <c r="BJ136" s="472"/>
      <c r="BK136" s="472"/>
      <c r="BL136" s="472"/>
      <c r="BM136" s="544">
        <f t="shared" si="47"/>
        <v>0</v>
      </c>
      <c r="BN136" s="528"/>
      <c r="BO136" s="472"/>
      <c r="BP136" s="472"/>
      <c r="BQ136" s="472"/>
      <c r="BR136" s="472"/>
      <c r="BS136" s="472"/>
      <c r="BT136" s="472"/>
      <c r="BU136" s="544">
        <f t="shared" si="48"/>
        <v>0</v>
      </c>
      <c r="BV136" s="556"/>
      <c r="BW136" s="663">
        <f t="shared" si="31"/>
        <v>0</v>
      </c>
      <c r="BX136" s="918">
        <f t="shared" si="32"/>
        <v>0</v>
      </c>
      <c r="BY136" s="674">
        <f t="shared" si="33"/>
        <v>0</v>
      </c>
      <c r="BZ136" s="674" t="e">
        <f t="shared" si="34"/>
        <v>#DIV/0!</v>
      </c>
      <c r="CA136" s="675">
        <f t="shared" si="35"/>
        <v>0</v>
      </c>
      <c r="CB136" s="675">
        <f t="shared" si="36"/>
        <v>0</v>
      </c>
    </row>
    <row r="137" spans="1:80" ht="63.75" hidden="1" customHeight="1" x14ac:dyDescent="0.25">
      <c r="A137" s="298" t="s">
        <v>386</v>
      </c>
      <c r="B137" s="299" t="str">
        <f>'PLAN INDICATIVO'!B133</f>
        <v>APSB</v>
      </c>
      <c r="C137" s="1548"/>
      <c r="D137" s="1549"/>
      <c r="E137" s="1549"/>
      <c r="F137" s="1559"/>
      <c r="G137" s="1560"/>
      <c r="H137" s="1561"/>
      <c r="I137" s="300">
        <f>'PLAN INDICATIVO'!I133</f>
        <v>0</v>
      </c>
      <c r="J137" s="300">
        <f>'PLAN INDICATIVO'!J133</f>
        <v>0</v>
      </c>
      <c r="K137" s="1425" t="str">
        <f>'PLAN INDICATIVO'!K133</f>
        <v>A.3.1.14</v>
      </c>
      <c r="L137" s="1425" t="str">
        <f>'PLAN INDICATIVO'!L133</f>
        <v>6. Agua limplia y saneamiento</v>
      </c>
      <c r="M137" s="1425" t="str">
        <f>'PLAN INDICATIVO'!M133</f>
        <v>EMSERPLA</v>
      </c>
      <c r="N137" s="1425" t="s">
        <v>3555</v>
      </c>
      <c r="O137" s="1425" t="str">
        <f>'PLAN INDICATIVO'!O133</f>
        <v>Mantenimiento</v>
      </c>
      <c r="P137" s="16" t="str">
        <f>'PLAN INDICATIVO'!P133</f>
        <v>Apoyar anualmete 1 PDA con transferencia de recursos para Acueducto y alcantarillado municipal</v>
      </c>
      <c r="Q137" s="302" t="str">
        <f>'PLAN INDICATIVO'!Q133</f>
        <v>No. De apoyos realizados por año</v>
      </c>
      <c r="R137" s="303">
        <f>'PLAN INDICATIVO'!R133</f>
        <v>2015</v>
      </c>
      <c r="S137" s="304">
        <v>1</v>
      </c>
      <c r="T137" s="677">
        <v>1</v>
      </c>
      <c r="U137" s="304">
        <v>1</v>
      </c>
      <c r="V137" s="687">
        <v>141700000</v>
      </c>
      <c r="W137" s="304">
        <v>1</v>
      </c>
      <c r="X137" s="687">
        <v>200000000</v>
      </c>
      <c r="Y137" s="304">
        <v>1</v>
      </c>
      <c r="Z137" s="687">
        <v>271770000</v>
      </c>
      <c r="AA137" s="305">
        <v>1</v>
      </c>
      <c r="AB137" s="687">
        <v>281280000</v>
      </c>
      <c r="AC137" s="667">
        <v>1</v>
      </c>
      <c r="AD137" s="667">
        <v>1</v>
      </c>
      <c r="AE137" s="667"/>
      <c r="AF137" s="667"/>
      <c r="AG137" s="306" t="s">
        <v>3564</v>
      </c>
      <c r="AH137" s="306">
        <v>2017413960074</v>
      </c>
      <c r="AI137" s="336" t="s">
        <v>3571</v>
      </c>
      <c r="AJ137" s="339">
        <v>42781</v>
      </c>
      <c r="AK137" s="339">
        <v>42825</v>
      </c>
      <c r="AL137" s="337"/>
      <c r="AM137" s="337"/>
      <c r="AN137" s="267" t="s">
        <v>2598</v>
      </c>
      <c r="AO137" s="510"/>
      <c r="AP137" s="529"/>
      <c r="AQ137" s="729">
        <v>63946556</v>
      </c>
      <c r="AR137" s="473"/>
      <c r="AS137" s="473"/>
      <c r="AT137" s="473"/>
      <c r="AU137" s="473"/>
      <c r="AV137" s="473"/>
      <c r="AW137" s="901">
        <f>AP137+AQ137+AR137+AS137+AT137+AU137+AV137</f>
        <v>63946556</v>
      </c>
      <c r="AX137" s="529"/>
      <c r="AY137" s="473"/>
      <c r="AZ137" s="473"/>
      <c r="BA137" s="473"/>
      <c r="BB137" s="473"/>
      <c r="BC137" s="473"/>
      <c r="BD137" s="473"/>
      <c r="BE137" s="544">
        <f t="shared" si="46"/>
        <v>0</v>
      </c>
      <c r="BF137" s="529"/>
      <c r="BG137" s="473"/>
      <c r="BH137" s="473"/>
      <c r="BI137" s="473"/>
      <c r="BJ137" s="473"/>
      <c r="BK137" s="473"/>
      <c r="BL137" s="473"/>
      <c r="BM137" s="544">
        <f t="shared" si="47"/>
        <v>0</v>
      </c>
      <c r="BN137" s="529"/>
      <c r="BO137" s="473"/>
      <c r="BP137" s="473"/>
      <c r="BQ137" s="473"/>
      <c r="BR137" s="473"/>
      <c r="BS137" s="473"/>
      <c r="BT137" s="473"/>
      <c r="BU137" s="544">
        <f t="shared" si="48"/>
        <v>0</v>
      </c>
      <c r="BV137" s="556"/>
      <c r="BW137" s="663">
        <f t="shared" si="31"/>
        <v>2</v>
      </c>
      <c r="BX137" s="674">
        <f t="shared" si="32"/>
        <v>2</v>
      </c>
      <c r="BY137" s="674">
        <f t="shared" si="33"/>
        <v>1</v>
      </c>
      <c r="BZ137" s="674">
        <f t="shared" si="34"/>
        <v>1</v>
      </c>
      <c r="CA137" s="675">
        <f t="shared" si="35"/>
        <v>0</v>
      </c>
      <c r="CB137" s="675">
        <f t="shared" si="36"/>
        <v>0</v>
      </c>
    </row>
    <row r="138" spans="1:80" ht="47.25" hidden="1" customHeight="1" x14ac:dyDescent="0.25">
      <c r="A138" s="295" t="s">
        <v>386</v>
      </c>
      <c r="B138" s="24" t="str">
        <f>'PLAN INDICATIVO'!B134</f>
        <v>APSB</v>
      </c>
      <c r="C138" s="1574" t="s">
        <v>434</v>
      </c>
      <c r="D138" s="1575"/>
      <c r="E138" s="1575"/>
      <c r="F138" s="1575"/>
      <c r="G138" s="1575"/>
      <c r="H138" s="1575"/>
      <c r="I138" s="1575"/>
      <c r="J138" s="1575"/>
      <c r="K138" s="1575"/>
      <c r="L138" s="1575"/>
      <c r="M138" s="1575"/>
      <c r="N138" s="1575"/>
      <c r="O138" s="1576"/>
      <c r="P138" s="22"/>
      <c r="Q138" s="22"/>
      <c r="R138" s="1"/>
      <c r="S138" s="261"/>
      <c r="T138" s="681"/>
      <c r="U138" s="261"/>
      <c r="V138" s="693">
        <f>SUM(V139:V147)</f>
        <v>767840000</v>
      </c>
      <c r="W138" s="691"/>
      <c r="X138" s="693">
        <f>SUM(X139:X147)</f>
        <v>797620000</v>
      </c>
      <c r="Y138" s="691"/>
      <c r="Z138" s="693">
        <f>SUM(Z139:Z147)</f>
        <v>6866230000</v>
      </c>
      <c r="AA138" s="692"/>
      <c r="AB138" s="693">
        <f>SUM(AB139:AB147)</f>
        <v>977810000</v>
      </c>
      <c r="AC138" s="262"/>
      <c r="AD138" s="262"/>
      <c r="AE138" s="262"/>
      <c r="AF138" s="262"/>
      <c r="AG138" s="263"/>
      <c r="AH138" s="263"/>
      <c r="AI138" s="263"/>
      <c r="AJ138" s="262"/>
      <c r="AK138" s="262"/>
      <c r="AL138" s="262"/>
      <c r="AM138" s="262"/>
      <c r="AN138" s="262"/>
      <c r="AO138" s="612"/>
      <c r="AP138" s="616" t="e">
        <f>(AP139:AP147)</f>
        <v>#VALUE!</v>
      </c>
      <c r="AQ138" s="616" t="e">
        <f t="shared" ref="AQ138:AV138" si="66">(AQ139:AQ147)</f>
        <v>#VALUE!</v>
      </c>
      <c r="AR138" s="616" t="e">
        <f t="shared" si="66"/>
        <v>#VALUE!</v>
      </c>
      <c r="AS138" s="616" t="e">
        <f t="shared" si="66"/>
        <v>#VALUE!</v>
      </c>
      <c r="AT138" s="616" t="e">
        <f t="shared" si="66"/>
        <v>#VALUE!</v>
      </c>
      <c r="AU138" s="616" t="e">
        <f t="shared" si="66"/>
        <v>#VALUE!</v>
      </c>
      <c r="AV138" s="616" t="e">
        <f t="shared" si="66"/>
        <v>#VALUE!</v>
      </c>
      <c r="AW138" s="617" t="e">
        <f t="shared" si="65"/>
        <v>#VALUE!</v>
      </c>
      <c r="AX138" s="616" t="e">
        <f>(AX139:AX147)</f>
        <v>#VALUE!</v>
      </c>
      <c r="AY138" s="616" t="e">
        <f t="shared" ref="AY138:BD138" si="67">(AY139:AY147)</f>
        <v>#VALUE!</v>
      </c>
      <c r="AZ138" s="616" t="e">
        <f t="shared" si="67"/>
        <v>#VALUE!</v>
      </c>
      <c r="BA138" s="616" t="e">
        <f t="shared" si="67"/>
        <v>#VALUE!</v>
      </c>
      <c r="BB138" s="616" t="e">
        <f t="shared" si="67"/>
        <v>#VALUE!</v>
      </c>
      <c r="BC138" s="616" t="e">
        <f t="shared" si="67"/>
        <v>#VALUE!</v>
      </c>
      <c r="BD138" s="616" t="e">
        <f t="shared" si="67"/>
        <v>#VALUE!</v>
      </c>
      <c r="BE138" s="617" t="e">
        <f t="shared" si="46"/>
        <v>#VALUE!</v>
      </c>
      <c r="BF138" s="616" t="e">
        <f>(BF139:BF147)</f>
        <v>#VALUE!</v>
      </c>
      <c r="BG138" s="616" t="e">
        <f t="shared" ref="BG138:BL138" si="68">(BG139:BG147)</f>
        <v>#VALUE!</v>
      </c>
      <c r="BH138" s="616" t="e">
        <f t="shared" si="68"/>
        <v>#VALUE!</v>
      </c>
      <c r="BI138" s="616" t="e">
        <f t="shared" si="68"/>
        <v>#VALUE!</v>
      </c>
      <c r="BJ138" s="616" t="e">
        <f t="shared" si="68"/>
        <v>#VALUE!</v>
      </c>
      <c r="BK138" s="616" t="e">
        <f t="shared" si="68"/>
        <v>#VALUE!</v>
      </c>
      <c r="BL138" s="616" t="e">
        <f t="shared" si="68"/>
        <v>#VALUE!</v>
      </c>
      <c r="BM138" s="617" t="e">
        <f t="shared" si="47"/>
        <v>#VALUE!</v>
      </c>
      <c r="BN138" s="616" t="e">
        <f>(BN139:BN147)</f>
        <v>#VALUE!</v>
      </c>
      <c r="BO138" s="616" t="e">
        <f t="shared" ref="BO138:BT138" si="69">(BO139:BO147)</f>
        <v>#VALUE!</v>
      </c>
      <c r="BP138" s="616" t="e">
        <f t="shared" si="69"/>
        <v>#VALUE!</v>
      </c>
      <c r="BQ138" s="616" t="e">
        <f t="shared" si="69"/>
        <v>#VALUE!</v>
      </c>
      <c r="BR138" s="616" t="e">
        <f t="shared" si="69"/>
        <v>#VALUE!</v>
      </c>
      <c r="BS138" s="616" t="e">
        <f t="shared" si="69"/>
        <v>#VALUE!</v>
      </c>
      <c r="BT138" s="616" t="e">
        <f t="shared" si="69"/>
        <v>#VALUE!</v>
      </c>
      <c r="BU138" s="617" t="e">
        <f t="shared" si="48"/>
        <v>#VALUE!</v>
      </c>
      <c r="BV138" s="556"/>
      <c r="BW138" s="663">
        <f t="shared" ref="BW138:BW201" si="70">AC138+AD138+AE138+AF138</f>
        <v>0</v>
      </c>
      <c r="BX138" s="674" t="e">
        <f t="shared" ref="BX138:BX201" si="71">BW138/T138</f>
        <v>#DIV/0!</v>
      </c>
      <c r="BY138" s="674" t="e">
        <f t="shared" ref="BY138:BY201" si="72">AC138/U138</f>
        <v>#DIV/0!</v>
      </c>
      <c r="BZ138" s="674" t="e">
        <f t="shared" ref="BZ138:BZ201" si="73">AD138/W138</f>
        <v>#DIV/0!</v>
      </c>
      <c r="CA138" s="675" t="e">
        <f t="shared" ref="CA138:CA201" si="74">AE138/Y138</f>
        <v>#DIV/0!</v>
      </c>
      <c r="CB138" s="675" t="e">
        <f t="shared" ref="CB138:CB201" si="75">AF138/AA138</f>
        <v>#DIV/0!</v>
      </c>
    </row>
    <row r="139" spans="1:80" ht="91.5" hidden="1" customHeight="1" x14ac:dyDescent="0.25">
      <c r="A139" s="298" t="s">
        <v>386</v>
      </c>
      <c r="B139" s="299" t="str">
        <f>'PLAN INDICATIVO'!B135</f>
        <v>APSB</v>
      </c>
      <c r="C139" s="1546" t="s">
        <v>435</v>
      </c>
      <c r="D139" s="1549" t="s">
        <v>436</v>
      </c>
      <c r="E139" s="1549" t="s">
        <v>437</v>
      </c>
      <c r="F139" s="1549">
        <v>2005</v>
      </c>
      <c r="G139" s="1549">
        <v>53</v>
      </c>
      <c r="H139" s="1549">
        <v>55</v>
      </c>
      <c r="I139" s="300">
        <f>'PLAN INDICATIVO'!I135</f>
        <v>0</v>
      </c>
      <c r="J139" s="300">
        <f>'PLAN INDICATIVO'!J135</f>
        <v>0</v>
      </c>
      <c r="K139" s="1425" t="str">
        <f>'PLAN INDICATIVO'!K135</f>
        <v>A.3.2.1</v>
      </c>
      <c r="L139" s="1425" t="str">
        <f>'PLAN INDICATIVO'!L135</f>
        <v>6. Agua limplia y saneamiento</v>
      </c>
      <c r="M139" s="1425" t="str">
        <f>'PLAN INDICATIVO'!M135</f>
        <v>EMSERPLA</v>
      </c>
      <c r="N139" s="1425" t="str">
        <f>'PLAN INDICATIVO'!N135</f>
        <v>MARIO MONTILLA CABRERA</v>
      </c>
      <c r="O139" s="1425" t="str">
        <f>'PLAN INDICATIVO'!O135</f>
        <v>Incremento</v>
      </c>
      <c r="P139" s="25" t="str">
        <f>'PLAN INDICATIVO'!P135</f>
        <v>Inscribir 1 proyecto para gestionar recursos para la implementación de 1 plan maestro de alcantarillado durante el cuatrienio.</v>
      </c>
      <c r="Q139" s="302" t="str">
        <f>'PLAN INDICATIVO'!Q135</f>
        <v>No. De proyectos inscritos</v>
      </c>
      <c r="R139" s="303">
        <f>'PLAN INDICATIVO'!R135</f>
        <v>2015</v>
      </c>
      <c r="S139" s="304">
        <v>0</v>
      </c>
      <c r="T139" s="677">
        <v>1</v>
      </c>
      <c r="U139" s="304">
        <v>0</v>
      </c>
      <c r="V139" s="687">
        <v>25000000</v>
      </c>
      <c r="W139" s="270">
        <v>0</v>
      </c>
      <c r="X139" s="687">
        <v>100000000</v>
      </c>
      <c r="Y139" s="270">
        <v>1</v>
      </c>
      <c r="Z139" s="687"/>
      <c r="AA139" s="305">
        <v>0</v>
      </c>
      <c r="AB139" s="687"/>
      <c r="AC139" s="665" t="s">
        <v>2717</v>
      </c>
      <c r="AD139" s="665">
        <v>1</v>
      </c>
      <c r="AE139" s="665"/>
      <c r="AF139" s="665"/>
      <c r="AG139" s="306" t="s">
        <v>3572</v>
      </c>
      <c r="AH139" s="306">
        <v>2017413960084</v>
      </c>
      <c r="AI139" s="307" t="s">
        <v>3573</v>
      </c>
      <c r="AJ139" s="308"/>
      <c r="AK139" s="308"/>
      <c r="AL139" s="308"/>
      <c r="AM139" s="308"/>
      <c r="AN139" s="267" t="s">
        <v>2598</v>
      </c>
      <c r="AO139" s="507"/>
      <c r="AP139" s="734"/>
      <c r="AQ139" s="735"/>
      <c r="AR139" s="735"/>
      <c r="AS139" s="735"/>
      <c r="AT139" s="735"/>
      <c r="AU139" s="735"/>
      <c r="AV139" s="735"/>
      <c r="AW139" s="901">
        <f t="shared" si="65"/>
        <v>0</v>
      </c>
      <c r="AX139" s="526"/>
      <c r="AY139" s="470"/>
      <c r="AZ139" s="470"/>
      <c r="BA139" s="470"/>
      <c r="BB139" s="470"/>
      <c r="BC139" s="470"/>
      <c r="BD139" s="470"/>
      <c r="BE139" s="544">
        <f t="shared" si="46"/>
        <v>0</v>
      </c>
      <c r="BF139" s="526"/>
      <c r="BG139" s="470"/>
      <c r="BH139" s="470"/>
      <c r="BI139" s="470"/>
      <c r="BJ139" s="470"/>
      <c r="BK139" s="470"/>
      <c r="BL139" s="470"/>
      <c r="BM139" s="544">
        <f t="shared" si="47"/>
        <v>0</v>
      </c>
      <c r="BN139" s="526"/>
      <c r="BO139" s="470"/>
      <c r="BP139" s="470"/>
      <c r="BQ139" s="470"/>
      <c r="BR139" s="470"/>
      <c r="BS139" s="470"/>
      <c r="BT139" s="470"/>
      <c r="BU139" s="544">
        <f t="shared" si="48"/>
        <v>0</v>
      </c>
      <c r="BV139" s="556"/>
      <c r="BW139" s="663">
        <v>0.5</v>
      </c>
      <c r="BX139" s="674">
        <v>0.5</v>
      </c>
      <c r="BY139" s="674" t="e">
        <f t="shared" si="72"/>
        <v>#VALUE!</v>
      </c>
      <c r="BZ139" s="674" t="e">
        <f t="shared" si="73"/>
        <v>#DIV/0!</v>
      </c>
      <c r="CA139" s="675">
        <f t="shared" si="74"/>
        <v>0</v>
      </c>
      <c r="CB139" s="675" t="e">
        <f t="shared" si="75"/>
        <v>#DIV/0!</v>
      </c>
    </row>
    <row r="140" spans="1:80" ht="87" hidden="1" customHeight="1" x14ac:dyDescent="0.25">
      <c r="A140" s="298" t="s">
        <v>386</v>
      </c>
      <c r="B140" s="299" t="str">
        <f>'PLAN INDICATIVO'!B136</f>
        <v>APSB</v>
      </c>
      <c r="C140" s="1547"/>
      <c r="D140" s="1549"/>
      <c r="E140" s="1549"/>
      <c r="F140" s="1549"/>
      <c r="G140" s="1549"/>
      <c r="H140" s="1549"/>
      <c r="I140" s="1425" t="str">
        <f>'PLAN INDICATIVO'!I136</f>
        <v>SI</v>
      </c>
      <c r="J140" s="1425">
        <f>'PLAN INDICATIVO'!J136</f>
        <v>0</v>
      </c>
      <c r="K140" s="1425" t="str">
        <f>'PLAN INDICATIVO'!K136</f>
        <v>A.3.2.2</v>
      </c>
      <c r="L140" s="1425" t="str">
        <f>'PLAN INDICATIVO'!L136</f>
        <v>6. Agua limplia y saneamiento</v>
      </c>
      <c r="M140" s="1425" t="str">
        <f>'PLAN INDICATIVO'!M136</f>
        <v>EMSERPLA</v>
      </c>
      <c r="N140" s="1425" t="str">
        <f>'PLAN INDICATIVO'!N136</f>
        <v>MARIO MONTILLA CABRERA</v>
      </c>
      <c r="O140" s="1425" t="str">
        <f>'PLAN INDICATIVO'!O136</f>
        <v>Incremento</v>
      </c>
      <c r="P140" s="25" t="str">
        <f>'PLAN INDICATIVO'!P136</f>
        <v>Inscribir y gestionar 1 proyecto para la construcción de una (1) planta de tratamiento de aguas residuales (PTAR), durante el cuatrienio.</v>
      </c>
      <c r="Q140" s="302" t="str">
        <f>'PLAN INDICATIVO'!Q136</f>
        <v xml:space="preserve">No. De proyectos inscritos y gestionados </v>
      </c>
      <c r="R140" s="303">
        <f>'PLAN INDICATIVO'!R136</f>
        <v>2015</v>
      </c>
      <c r="S140" s="304">
        <v>0</v>
      </c>
      <c r="T140" s="677">
        <v>1</v>
      </c>
      <c r="U140" s="304">
        <v>0</v>
      </c>
      <c r="V140" s="687">
        <v>35000000</v>
      </c>
      <c r="W140" s="270">
        <v>0.5</v>
      </c>
      <c r="X140" s="687">
        <v>50000000</v>
      </c>
      <c r="Y140" s="270">
        <v>0.5</v>
      </c>
      <c r="Z140" s="687">
        <v>800000000</v>
      </c>
      <c r="AA140" s="271">
        <v>0</v>
      </c>
      <c r="AB140" s="687"/>
      <c r="AC140" s="665"/>
      <c r="AD140" s="665"/>
      <c r="AE140" s="665"/>
      <c r="AF140" s="665"/>
      <c r="AG140" s="306" t="s">
        <v>3572</v>
      </c>
      <c r="AH140" s="306">
        <v>2017413960084</v>
      </c>
      <c r="AI140" s="307" t="s">
        <v>3574</v>
      </c>
      <c r="AJ140" s="308"/>
      <c r="AK140" s="308"/>
      <c r="AL140" s="308"/>
      <c r="AM140" s="308"/>
      <c r="AN140" s="267" t="s">
        <v>2594</v>
      </c>
      <c r="AO140" s="507"/>
      <c r="AP140" s="729"/>
      <c r="AQ140" s="730">
        <v>20600000</v>
      </c>
      <c r="AR140" s="730"/>
      <c r="AS140" s="730"/>
      <c r="AT140" s="730"/>
      <c r="AU140" s="730"/>
      <c r="AV140" s="730"/>
      <c r="AW140" s="901">
        <f t="shared" si="65"/>
        <v>20600000</v>
      </c>
      <c r="AX140" s="525"/>
      <c r="AY140" s="310"/>
      <c r="AZ140" s="310"/>
      <c r="BA140" s="310"/>
      <c r="BB140" s="310"/>
      <c r="BC140" s="310"/>
      <c r="BD140" s="310"/>
      <c r="BE140" s="544">
        <f t="shared" si="46"/>
        <v>0</v>
      </c>
      <c r="BF140" s="525"/>
      <c r="BG140" s="310"/>
      <c r="BH140" s="310"/>
      <c r="BI140" s="310"/>
      <c r="BJ140" s="310"/>
      <c r="BK140" s="310"/>
      <c r="BL140" s="310"/>
      <c r="BM140" s="544">
        <f t="shared" si="47"/>
        <v>0</v>
      </c>
      <c r="BN140" s="525"/>
      <c r="BO140" s="310"/>
      <c r="BP140" s="310"/>
      <c r="BQ140" s="310"/>
      <c r="BR140" s="310"/>
      <c r="BS140" s="310"/>
      <c r="BT140" s="310"/>
      <c r="BU140" s="544">
        <f t="shared" si="48"/>
        <v>0</v>
      </c>
      <c r="BV140" s="556"/>
      <c r="BW140" s="663">
        <f t="shared" si="70"/>
        <v>0</v>
      </c>
      <c r="BX140" s="918">
        <f t="shared" si="71"/>
        <v>0</v>
      </c>
      <c r="BY140" s="674" t="e">
        <f t="shared" si="72"/>
        <v>#DIV/0!</v>
      </c>
      <c r="BZ140" s="674">
        <f t="shared" si="73"/>
        <v>0</v>
      </c>
      <c r="CA140" s="675">
        <f t="shared" si="74"/>
        <v>0</v>
      </c>
      <c r="CB140" s="675" t="e">
        <f t="shared" si="75"/>
        <v>#DIV/0!</v>
      </c>
    </row>
    <row r="141" spans="1:80" ht="74.25" hidden="1" customHeight="1" x14ac:dyDescent="0.25">
      <c r="A141" s="298" t="s">
        <v>386</v>
      </c>
      <c r="B141" s="299" t="str">
        <f>'PLAN INDICATIVO'!B137</f>
        <v>APSB</v>
      </c>
      <c r="C141" s="1547"/>
      <c r="D141" s="1549"/>
      <c r="E141" s="1549"/>
      <c r="F141" s="1549"/>
      <c r="G141" s="1549"/>
      <c r="H141" s="1549"/>
      <c r="I141" s="300">
        <f>'PLAN INDICATIVO'!I137</f>
        <v>0</v>
      </c>
      <c r="J141" s="300">
        <f>'PLAN INDICATIVO'!J137</f>
        <v>0</v>
      </c>
      <c r="K141" s="1425" t="str">
        <f>'PLAN INDICATIVO'!K137</f>
        <v>A.3.2.3</v>
      </c>
      <c r="L141" s="1425" t="str">
        <f>'PLAN INDICATIVO'!L137</f>
        <v>6. Agua limplia y saneamiento</v>
      </c>
      <c r="M141" s="1425" t="str">
        <f>'PLAN INDICATIVO'!M137</f>
        <v>EMSERPLA</v>
      </c>
      <c r="N141" s="1425" t="str">
        <f>'PLAN INDICATIVO'!N137</f>
        <v>MARIO MONTILLA CABRERA</v>
      </c>
      <c r="O141" s="1425" t="str">
        <f>'PLAN INDICATIVO'!O137</f>
        <v>Incremento</v>
      </c>
      <c r="P141" s="25" t="str">
        <f>'PLAN INDICATIVO'!P137</f>
        <v>Instalar y poner en marcha 1 planta de tratamiento de aguas residuales modular para el centro de operaciones de emergencias, durante el cuatrienio.</v>
      </c>
      <c r="Q141" s="302" t="str">
        <f>'PLAN INDICATIVO'!Q137</f>
        <v>No. PTAR instaladas y funcionando</v>
      </c>
      <c r="R141" s="303">
        <f>'PLAN INDICATIVO'!R137</f>
        <v>2015</v>
      </c>
      <c r="S141" s="304">
        <v>0</v>
      </c>
      <c r="T141" s="677">
        <v>1</v>
      </c>
      <c r="U141" s="304">
        <v>1</v>
      </c>
      <c r="V141" s="687">
        <v>152000000</v>
      </c>
      <c r="W141" s="304">
        <v>1</v>
      </c>
      <c r="X141" s="687">
        <v>52000000</v>
      </c>
      <c r="Y141" s="304">
        <v>0</v>
      </c>
      <c r="Z141" s="687">
        <v>100000000</v>
      </c>
      <c r="AA141" s="305">
        <v>0</v>
      </c>
      <c r="AB141" s="687">
        <v>2000000</v>
      </c>
      <c r="AC141" s="665">
        <v>1</v>
      </c>
      <c r="AD141" s="665">
        <v>1</v>
      </c>
      <c r="AE141" s="665"/>
      <c r="AF141" s="665"/>
      <c r="AG141" s="306" t="s">
        <v>3572</v>
      </c>
      <c r="AH141" s="306">
        <v>2017413960084</v>
      </c>
      <c r="AI141" s="307" t="s">
        <v>3575</v>
      </c>
      <c r="AJ141" s="335"/>
      <c r="AK141" s="335"/>
      <c r="AL141" s="308"/>
      <c r="AM141" s="308"/>
      <c r="AN141" s="267" t="s">
        <v>2598</v>
      </c>
      <c r="AO141" s="507"/>
      <c r="AP141" s="729"/>
      <c r="AQ141" s="730"/>
      <c r="AR141" s="730"/>
      <c r="AS141" s="730"/>
      <c r="AT141" s="730"/>
      <c r="AU141" s="730"/>
      <c r="AV141" s="730"/>
      <c r="AW141" s="901">
        <f t="shared" si="65"/>
        <v>0</v>
      </c>
      <c r="AX141" s="525"/>
      <c r="AY141" s="310"/>
      <c r="AZ141" s="310"/>
      <c r="BA141" s="310"/>
      <c r="BB141" s="310"/>
      <c r="BC141" s="310"/>
      <c r="BD141" s="310"/>
      <c r="BE141" s="544">
        <f t="shared" si="46"/>
        <v>0</v>
      </c>
      <c r="BF141" s="525"/>
      <c r="BG141" s="310"/>
      <c r="BH141" s="310"/>
      <c r="BI141" s="310"/>
      <c r="BJ141" s="310"/>
      <c r="BK141" s="310"/>
      <c r="BL141" s="310"/>
      <c r="BM141" s="544">
        <f t="shared" si="47"/>
        <v>0</v>
      </c>
      <c r="BN141" s="525"/>
      <c r="BO141" s="310"/>
      <c r="BP141" s="310"/>
      <c r="BQ141" s="310"/>
      <c r="BR141" s="310"/>
      <c r="BS141" s="310"/>
      <c r="BT141" s="310"/>
      <c r="BU141" s="544">
        <f t="shared" si="48"/>
        <v>0</v>
      </c>
      <c r="BV141" s="556"/>
      <c r="BW141" s="663">
        <f t="shared" si="70"/>
        <v>2</v>
      </c>
      <c r="BX141" s="674">
        <f t="shared" si="71"/>
        <v>2</v>
      </c>
      <c r="BY141" s="674">
        <f t="shared" si="72"/>
        <v>1</v>
      </c>
      <c r="BZ141" s="674">
        <f t="shared" si="73"/>
        <v>1</v>
      </c>
      <c r="CA141" s="675" t="e">
        <f t="shared" si="74"/>
        <v>#DIV/0!</v>
      </c>
      <c r="CB141" s="675" t="e">
        <f t="shared" si="75"/>
        <v>#DIV/0!</v>
      </c>
    </row>
    <row r="142" spans="1:80" ht="73.5" hidden="1" customHeight="1" x14ac:dyDescent="0.25">
      <c r="A142" s="298" t="s">
        <v>386</v>
      </c>
      <c r="B142" s="299" t="str">
        <f>'PLAN INDICATIVO'!B138</f>
        <v>APSB</v>
      </c>
      <c r="C142" s="1547"/>
      <c r="D142" s="1549"/>
      <c r="E142" s="1549"/>
      <c r="F142" s="1549"/>
      <c r="G142" s="1549"/>
      <c r="H142" s="1549"/>
      <c r="I142" s="300">
        <f>'PLAN INDICATIVO'!I138</f>
        <v>0</v>
      </c>
      <c r="J142" s="300">
        <f>'PLAN INDICATIVO'!J138</f>
        <v>0</v>
      </c>
      <c r="K142" s="1425" t="str">
        <f>'PLAN INDICATIVO'!K138</f>
        <v>A.3.2.4</v>
      </c>
      <c r="L142" s="1425" t="str">
        <f>'PLAN INDICATIVO'!L138</f>
        <v>6. Agua limplia y saneamiento</v>
      </c>
      <c r="M142" s="1425" t="str">
        <f>'PLAN INDICATIVO'!M138</f>
        <v>EMSERPLA</v>
      </c>
      <c r="N142" s="1425" t="str">
        <f>'PLAN INDICATIVO'!N138</f>
        <v>MARIO MONTILLA CABRERA</v>
      </c>
      <c r="O142" s="1425" t="str">
        <f>'PLAN INDICATIVO'!O138</f>
        <v>Incremento</v>
      </c>
      <c r="P142" s="16" t="str">
        <f>'PLAN INDICATIVO'!P138</f>
        <v>Actualizar 1 Plan de Saneamiento y Manejo de Vertimientos (PSMV), durante el cuatrienio.</v>
      </c>
      <c r="Q142" s="302" t="str">
        <f>'PLAN INDICATIVO'!Q138</f>
        <v>No. De PSMV Actualizados</v>
      </c>
      <c r="R142" s="303">
        <f>'PLAN INDICATIVO'!R138</f>
        <v>2015</v>
      </c>
      <c r="S142" s="304">
        <v>0</v>
      </c>
      <c r="T142" s="677">
        <v>1</v>
      </c>
      <c r="U142" s="844">
        <v>0</v>
      </c>
      <c r="V142" s="687">
        <v>0</v>
      </c>
      <c r="W142" s="304">
        <v>0</v>
      </c>
      <c r="X142" s="304"/>
      <c r="Y142" s="304">
        <v>0</v>
      </c>
      <c r="Z142" s="304"/>
      <c r="AA142" s="305">
        <v>0</v>
      </c>
      <c r="AB142" s="687"/>
      <c r="AC142" s="665">
        <v>1</v>
      </c>
      <c r="AD142" s="843"/>
      <c r="AE142" s="665"/>
      <c r="AF142" s="665"/>
      <c r="AG142" s="306" t="s">
        <v>3572</v>
      </c>
      <c r="AH142" s="306">
        <v>2017413960084</v>
      </c>
      <c r="AI142" s="307"/>
      <c r="AJ142" s="335"/>
      <c r="AK142" s="308"/>
      <c r="AL142" s="308"/>
      <c r="AM142" s="308"/>
      <c r="AN142" s="267" t="s">
        <v>2594</v>
      </c>
      <c r="AO142" s="507"/>
      <c r="AP142" s="729"/>
      <c r="AQ142" s="730"/>
      <c r="AR142" s="730"/>
      <c r="AS142" s="730"/>
      <c r="AT142" s="730"/>
      <c r="AU142" s="730"/>
      <c r="AV142" s="730"/>
      <c r="AW142" s="901">
        <f t="shared" si="65"/>
        <v>0</v>
      </c>
      <c r="AX142" s="525"/>
      <c r="AY142" s="310"/>
      <c r="AZ142" s="310"/>
      <c r="BA142" s="310"/>
      <c r="BB142" s="310"/>
      <c r="BC142" s="310"/>
      <c r="BD142" s="310"/>
      <c r="BE142" s="544">
        <f t="shared" si="46"/>
        <v>0</v>
      </c>
      <c r="BF142" s="525"/>
      <c r="BG142" s="310"/>
      <c r="BH142" s="310"/>
      <c r="BI142" s="310"/>
      <c r="BJ142" s="310"/>
      <c r="BK142" s="310"/>
      <c r="BL142" s="310"/>
      <c r="BM142" s="544">
        <f t="shared" si="47"/>
        <v>0</v>
      </c>
      <c r="BN142" s="525"/>
      <c r="BO142" s="310"/>
      <c r="BP142" s="310"/>
      <c r="BQ142" s="310"/>
      <c r="BR142" s="310"/>
      <c r="BS142" s="310"/>
      <c r="BT142" s="310"/>
      <c r="BU142" s="544">
        <f t="shared" si="48"/>
        <v>0</v>
      </c>
      <c r="BV142" s="556"/>
      <c r="BW142" s="663">
        <f t="shared" si="70"/>
        <v>1</v>
      </c>
      <c r="BX142" s="674">
        <f t="shared" si="71"/>
        <v>1</v>
      </c>
      <c r="BY142" s="674" t="e">
        <f t="shared" si="72"/>
        <v>#DIV/0!</v>
      </c>
      <c r="BZ142" s="674" t="e">
        <f t="shared" si="73"/>
        <v>#DIV/0!</v>
      </c>
      <c r="CA142" s="675" t="e">
        <f t="shared" si="74"/>
        <v>#DIV/0!</v>
      </c>
      <c r="CB142" s="675" t="e">
        <f t="shared" si="75"/>
        <v>#DIV/0!</v>
      </c>
    </row>
    <row r="143" spans="1:80" ht="92.25" hidden="1" customHeight="1" x14ac:dyDescent="0.25">
      <c r="A143" s="298" t="s">
        <v>386</v>
      </c>
      <c r="B143" s="299" t="str">
        <f>'PLAN INDICATIVO'!B139</f>
        <v>APSB</v>
      </c>
      <c r="C143" s="1547"/>
      <c r="D143" s="1549"/>
      <c r="E143" s="1549"/>
      <c r="F143" s="1549"/>
      <c r="G143" s="1549"/>
      <c r="H143" s="1549"/>
      <c r="I143" s="1425" t="str">
        <f>'PLAN INDICATIVO'!I139</f>
        <v>SI</v>
      </c>
      <c r="J143" s="1425">
        <f>'PLAN INDICATIVO'!J139</f>
        <v>0</v>
      </c>
      <c r="K143" s="1425" t="str">
        <f>'PLAN INDICATIVO'!K139</f>
        <v>A.3.2.5</v>
      </c>
      <c r="L143" s="1425" t="str">
        <f>'PLAN INDICATIVO'!L139</f>
        <v>6. Agua limplia y saneamiento</v>
      </c>
      <c r="M143" s="1425" t="str">
        <f>'PLAN INDICATIVO'!M139</f>
        <v>EMSERPLA</v>
      </c>
      <c r="N143" s="1425" t="str">
        <f>'PLAN INDICATIVO'!N139</f>
        <v>MARIO MONTILLA CABRERA</v>
      </c>
      <c r="O143" s="1425" t="str">
        <f>'PLAN INDICATIVO'!O139</f>
        <v>Incremento</v>
      </c>
      <c r="P143" s="16" t="str">
        <f>'PLAN INDICATIVO'!P139</f>
        <v>Construir y/o reponer 3,200 ml de alcantarillado durante el cuatrienio</v>
      </c>
      <c r="Q143" s="302" t="str">
        <f>'PLAN INDICATIVO'!Q139</f>
        <v>No. De metros lineales construidos</v>
      </c>
      <c r="R143" s="303">
        <f>'PLAN INDICATIVO'!R139</f>
        <v>2015</v>
      </c>
      <c r="S143" s="304">
        <v>738</v>
      </c>
      <c r="T143" s="677">
        <v>2800</v>
      </c>
      <c r="U143" s="304">
        <v>700</v>
      </c>
      <c r="V143" s="687">
        <v>389420000</v>
      </c>
      <c r="W143" s="304">
        <v>700</v>
      </c>
      <c r="X143" s="687">
        <v>389420000</v>
      </c>
      <c r="Y143" s="304">
        <v>700</v>
      </c>
      <c r="Z143" s="687">
        <v>626620000</v>
      </c>
      <c r="AA143" s="305">
        <v>2800</v>
      </c>
      <c r="AB143" s="687">
        <v>767550000</v>
      </c>
      <c r="AC143" s="665">
        <v>1045</v>
      </c>
      <c r="AD143" s="899">
        <v>2263</v>
      </c>
      <c r="AE143" s="665"/>
      <c r="AF143" s="665"/>
      <c r="AG143" s="306" t="s">
        <v>3572</v>
      </c>
      <c r="AH143" s="306">
        <v>2017413960084</v>
      </c>
      <c r="AI143" s="307" t="s">
        <v>3576</v>
      </c>
      <c r="AJ143" s="335">
        <v>42826</v>
      </c>
      <c r="AK143" s="335">
        <v>43100</v>
      </c>
      <c r="AL143" s="308"/>
      <c r="AM143" s="308"/>
      <c r="AN143" s="267" t="s">
        <v>2598</v>
      </c>
      <c r="AO143" s="507"/>
      <c r="AP143" s="729">
        <v>16265960</v>
      </c>
      <c r="AQ143" s="730">
        <v>480671000</v>
      </c>
      <c r="AR143" s="730"/>
      <c r="AS143" s="730"/>
      <c r="AT143" s="730"/>
      <c r="AU143" s="730"/>
      <c r="AV143" s="729">
        <v>1250000</v>
      </c>
      <c r="AW143" s="901">
        <f t="shared" si="65"/>
        <v>498186960</v>
      </c>
      <c r="AX143" s="525"/>
      <c r="AY143" s="310"/>
      <c r="AZ143" s="310"/>
      <c r="BA143" s="310"/>
      <c r="BB143" s="310"/>
      <c r="BC143" s="310"/>
      <c r="BD143" s="310"/>
      <c r="BE143" s="544">
        <f t="shared" si="46"/>
        <v>0</v>
      </c>
      <c r="BF143" s="525"/>
      <c r="BG143" s="310"/>
      <c r="BH143" s="310"/>
      <c r="BI143" s="310"/>
      <c r="BJ143" s="310"/>
      <c r="BK143" s="310"/>
      <c r="BL143" s="310"/>
      <c r="BM143" s="544">
        <f t="shared" si="47"/>
        <v>0</v>
      </c>
      <c r="BN143" s="525"/>
      <c r="BO143" s="310"/>
      <c r="BP143" s="310"/>
      <c r="BQ143" s="310"/>
      <c r="BR143" s="310"/>
      <c r="BS143" s="310"/>
      <c r="BT143" s="310"/>
      <c r="BU143" s="544">
        <f t="shared" si="48"/>
        <v>0</v>
      </c>
      <c r="BV143" s="556"/>
      <c r="BW143" s="663">
        <f t="shared" si="70"/>
        <v>3308</v>
      </c>
      <c r="BX143" s="674">
        <f t="shared" si="71"/>
        <v>1.1814285714285715</v>
      </c>
      <c r="BY143" s="674">
        <f t="shared" si="72"/>
        <v>1.4928571428571429</v>
      </c>
      <c r="BZ143" s="674">
        <f t="shared" si="73"/>
        <v>3.2328571428571427</v>
      </c>
      <c r="CA143" s="675">
        <f t="shared" si="74"/>
        <v>0</v>
      </c>
      <c r="CB143" s="675">
        <f t="shared" si="75"/>
        <v>0</v>
      </c>
    </row>
    <row r="144" spans="1:80" ht="77.25" hidden="1" customHeight="1" x14ac:dyDescent="0.25">
      <c r="A144" s="298" t="s">
        <v>386</v>
      </c>
      <c r="B144" s="299" t="str">
        <f>'PLAN INDICATIVO'!B140</f>
        <v>APSB</v>
      </c>
      <c r="C144" s="1547"/>
      <c r="D144" s="1549"/>
      <c r="E144" s="1549"/>
      <c r="F144" s="1549"/>
      <c r="G144" s="1549"/>
      <c r="H144" s="1549"/>
      <c r="I144" s="300">
        <f>'PLAN INDICATIVO'!I140</f>
        <v>0</v>
      </c>
      <c r="J144" s="300">
        <f>'PLAN INDICATIVO'!J140</f>
        <v>0</v>
      </c>
      <c r="K144" s="1425" t="str">
        <f>'PLAN INDICATIVO'!K140</f>
        <v>A.3.2.6</v>
      </c>
      <c r="L144" s="1425" t="str">
        <f>'PLAN INDICATIVO'!L140</f>
        <v>6. Agua limplia y saneamiento</v>
      </c>
      <c r="M144" s="1425" t="str">
        <f>'PLAN INDICATIVO'!M140</f>
        <v>EMSERPLA</v>
      </c>
      <c r="N144" s="1425" t="str">
        <f>'PLAN INDICATIVO'!N140</f>
        <v>MARIO MONTILLA CABRERA</v>
      </c>
      <c r="O144" s="1425" t="str">
        <f>'PLAN INDICATIVO'!O140</f>
        <v>Incremento</v>
      </c>
      <c r="P144" s="16" t="str">
        <f>'PLAN INDICATIVO'!P140</f>
        <v>Incrementar anualmente los servicios públicos  a 270 nuevos usuarios en servicio de alcantarillado durante el cuatrienio.</v>
      </c>
      <c r="Q144" s="302" t="str">
        <f>'PLAN INDICATIVO'!Q140</f>
        <v>No. De nuevos usuarios por año</v>
      </c>
      <c r="R144" s="303">
        <f>'PLAN INDICATIVO'!R140</f>
        <v>2015</v>
      </c>
      <c r="S144" s="304">
        <v>257</v>
      </c>
      <c r="T144" s="677">
        <v>1080</v>
      </c>
      <c r="U144" s="304">
        <v>270</v>
      </c>
      <c r="V144" s="687">
        <v>3000000</v>
      </c>
      <c r="W144" s="304">
        <v>270</v>
      </c>
      <c r="X144" s="687">
        <v>3000000</v>
      </c>
      <c r="Y144" s="304">
        <v>270</v>
      </c>
      <c r="Z144" s="687">
        <v>3000000</v>
      </c>
      <c r="AA144" s="305">
        <v>270</v>
      </c>
      <c r="AB144" s="687">
        <v>5000000</v>
      </c>
      <c r="AC144" s="665">
        <v>332</v>
      </c>
      <c r="AD144" s="899">
        <v>285</v>
      </c>
      <c r="AE144" s="665"/>
      <c r="AF144" s="665"/>
      <c r="AG144" s="306" t="s">
        <v>3572</v>
      </c>
      <c r="AH144" s="306">
        <v>2017413960084</v>
      </c>
      <c r="AI144" s="307"/>
      <c r="AJ144" s="335">
        <v>42750</v>
      </c>
      <c r="AK144" s="335">
        <v>43100</v>
      </c>
      <c r="AL144" s="308"/>
      <c r="AM144" s="308"/>
      <c r="AN144" s="267" t="s">
        <v>2598</v>
      </c>
      <c r="AO144" s="507"/>
      <c r="AP144" s="729">
        <v>13720860</v>
      </c>
      <c r="AQ144" s="730"/>
      <c r="AR144" s="730"/>
      <c r="AS144" s="730"/>
      <c r="AT144" s="730"/>
      <c r="AU144" s="730"/>
      <c r="AV144" s="730">
        <f>194900+1632000</f>
        <v>1826900</v>
      </c>
      <c r="AW144" s="901">
        <f t="shared" si="65"/>
        <v>15547760</v>
      </c>
      <c r="AX144" s="525"/>
      <c r="AY144" s="310"/>
      <c r="AZ144" s="310"/>
      <c r="BA144" s="310"/>
      <c r="BB144" s="310"/>
      <c r="BC144" s="310"/>
      <c r="BD144" s="310"/>
      <c r="BE144" s="544">
        <f t="shared" si="46"/>
        <v>0</v>
      </c>
      <c r="BF144" s="525"/>
      <c r="BG144" s="310"/>
      <c r="BH144" s="310"/>
      <c r="BI144" s="310"/>
      <c r="BJ144" s="310"/>
      <c r="BK144" s="310"/>
      <c r="BL144" s="310"/>
      <c r="BM144" s="544">
        <f t="shared" si="47"/>
        <v>0</v>
      </c>
      <c r="BN144" s="525"/>
      <c r="BO144" s="310"/>
      <c r="BP144" s="310"/>
      <c r="BQ144" s="310"/>
      <c r="BR144" s="310"/>
      <c r="BS144" s="310"/>
      <c r="BT144" s="310"/>
      <c r="BU144" s="544">
        <f t="shared" si="48"/>
        <v>0</v>
      </c>
      <c r="BV144" s="556"/>
      <c r="BW144" s="663">
        <f t="shared" si="70"/>
        <v>617</v>
      </c>
      <c r="BX144" s="674">
        <f t="shared" si="71"/>
        <v>0.5712962962962963</v>
      </c>
      <c r="BY144" s="674">
        <f t="shared" si="72"/>
        <v>1.2296296296296296</v>
      </c>
      <c r="BZ144" s="674">
        <f t="shared" si="73"/>
        <v>1.0555555555555556</v>
      </c>
      <c r="CA144" s="675">
        <f t="shared" si="74"/>
        <v>0</v>
      </c>
      <c r="CB144" s="675">
        <f t="shared" si="75"/>
        <v>0</v>
      </c>
    </row>
    <row r="145" spans="1:80" ht="57.75" hidden="1" customHeight="1" x14ac:dyDescent="0.25">
      <c r="A145" s="298" t="s">
        <v>386</v>
      </c>
      <c r="B145" s="299" t="str">
        <f>'PLAN INDICATIVO'!B141</f>
        <v>APSB</v>
      </c>
      <c r="C145" s="1547"/>
      <c r="D145" s="1549"/>
      <c r="E145" s="1549"/>
      <c r="F145" s="1549"/>
      <c r="G145" s="1549"/>
      <c r="H145" s="1549"/>
      <c r="I145" s="300">
        <f>'PLAN INDICATIVO'!I141</f>
        <v>0</v>
      </c>
      <c r="J145" s="300">
        <f>'PLAN INDICATIVO'!J141</f>
        <v>0</v>
      </c>
      <c r="K145" s="1425" t="str">
        <f>'PLAN INDICATIVO'!K141</f>
        <v>A.3.2.7</v>
      </c>
      <c r="L145" s="1425" t="str">
        <f>'PLAN INDICATIVO'!L141</f>
        <v>6. Agua limplia y saneamiento</v>
      </c>
      <c r="M145" s="1425" t="str">
        <f>'PLAN INDICATIVO'!M141</f>
        <v>EMSERPLA</v>
      </c>
      <c r="N145" s="1425" t="str">
        <f>'PLAN INDICATIVO'!N141</f>
        <v>MARIO MONTILLA CABRERA</v>
      </c>
      <c r="O145" s="1425" t="str">
        <f>'PLAN INDICATIVO'!O141</f>
        <v>Incremento</v>
      </c>
      <c r="P145" s="16" t="str">
        <f>'PLAN INDICATIVO'!P141</f>
        <v>Apoyar la construcción de un (1) colector de alcantarillado del barrio Transportadores, en la quebrada de Los Muertos, durante el cuatrienio</v>
      </c>
      <c r="Q145" s="302" t="str">
        <f>'PLAN INDICATIVO'!Q141</f>
        <v>No. De apoyos realizados para la construccion del colector</v>
      </c>
      <c r="R145" s="303">
        <f>'PLAN INDICATIVO'!R141</f>
        <v>2015</v>
      </c>
      <c r="S145" s="304">
        <v>0</v>
      </c>
      <c r="T145" s="677">
        <v>1</v>
      </c>
      <c r="U145" s="844">
        <v>0</v>
      </c>
      <c r="V145" s="687">
        <v>0</v>
      </c>
      <c r="W145" s="304">
        <v>0</v>
      </c>
      <c r="X145" s="304"/>
      <c r="Y145" s="304">
        <v>0.5</v>
      </c>
      <c r="Z145" s="687">
        <v>5050000000</v>
      </c>
      <c r="AA145" s="305">
        <v>0.5</v>
      </c>
      <c r="AB145" s="687">
        <v>5000000</v>
      </c>
      <c r="AC145" s="665"/>
      <c r="AD145" s="843"/>
      <c r="AE145" s="665"/>
      <c r="AF145" s="665"/>
      <c r="AG145" s="306" t="s">
        <v>3572</v>
      </c>
      <c r="AH145" s="306">
        <v>2017413960084</v>
      </c>
      <c r="AI145" s="307"/>
      <c r="AJ145" s="308"/>
      <c r="AK145" s="308"/>
      <c r="AL145" s="308"/>
      <c r="AM145" s="308"/>
      <c r="AN145" s="267" t="s">
        <v>2594</v>
      </c>
      <c r="AO145" s="507"/>
      <c r="AP145" s="729"/>
      <c r="AQ145" s="730"/>
      <c r="AR145" s="730"/>
      <c r="AS145" s="730"/>
      <c r="AT145" s="730"/>
      <c r="AU145" s="730"/>
      <c r="AV145" s="730"/>
      <c r="AW145" s="901">
        <f>SUM(AP145:AV145)</f>
        <v>0</v>
      </c>
      <c r="AX145" s="525"/>
      <c r="AY145" s="310"/>
      <c r="AZ145" s="310"/>
      <c r="BA145" s="310"/>
      <c r="BB145" s="310"/>
      <c r="BC145" s="310"/>
      <c r="BD145" s="310"/>
      <c r="BE145" s="544">
        <f t="shared" si="46"/>
        <v>0</v>
      </c>
      <c r="BF145" s="525"/>
      <c r="BG145" s="310"/>
      <c r="BH145" s="310"/>
      <c r="BI145" s="310"/>
      <c r="BJ145" s="310"/>
      <c r="BK145" s="310"/>
      <c r="BL145" s="310"/>
      <c r="BM145" s="544">
        <f t="shared" si="47"/>
        <v>0</v>
      </c>
      <c r="BN145" s="525"/>
      <c r="BO145" s="310"/>
      <c r="BP145" s="310"/>
      <c r="BQ145" s="310"/>
      <c r="BR145" s="310"/>
      <c r="BS145" s="310"/>
      <c r="BT145" s="310"/>
      <c r="BU145" s="544">
        <f t="shared" si="48"/>
        <v>0</v>
      </c>
      <c r="BV145" s="556"/>
      <c r="BW145" s="663">
        <f t="shared" si="70"/>
        <v>0</v>
      </c>
      <c r="BX145" s="918">
        <f t="shared" si="71"/>
        <v>0</v>
      </c>
      <c r="BY145" s="674" t="e">
        <f t="shared" si="72"/>
        <v>#DIV/0!</v>
      </c>
      <c r="BZ145" s="674" t="e">
        <f t="shared" si="73"/>
        <v>#DIV/0!</v>
      </c>
      <c r="CA145" s="675">
        <f t="shared" si="74"/>
        <v>0</v>
      </c>
      <c r="CB145" s="675">
        <f t="shared" si="75"/>
        <v>0</v>
      </c>
    </row>
    <row r="146" spans="1:80" ht="80.25" hidden="1" customHeight="1" x14ac:dyDescent="0.25">
      <c r="A146" s="298" t="s">
        <v>386</v>
      </c>
      <c r="B146" s="299" t="str">
        <f>'PLAN INDICATIVO'!B142</f>
        <v>APSB</v>
      </c>
      <c r="C146" s="1547"/>
      <c r="D146" s="1549"/>
      <c r="E146" s="1549"/>
      <c r="F146" s="1549"/>
      <c r="G146" s="1549"/>
      <c r="H146" s="1549"/>
      <c r="I146" s="300">
        <f>'PLAN INDICATIVO'!I142</f>
        <v>0</v>
      </c>
      <c r="J146" s="300">
        <f>'PLAN INDICATIVO'!J142</f>
        <v>0</v>
      </c>
      <c r="K146" s="1425" t="str">
        <f>'PLAN INDICATIVO'!K142</f>
        <v>A.3.2.8</v>
      </c>
      <c r="L146" s="1425" t="str">
        <f>'PLAN INDICATIVO'!L142</f>
        <v>6. Agua limplia y saneamiento</v>
      </c>
      <c r="M146" s="1425" t="str">
        <f>'PLAN INDICATIVO'!M142</f>
        <v>EMSERPLA</v>
      </c>
      <c r="N146" s="1425" t="str">
        <f>'PLAN INDICATIVO'!N142</f>
        <v>MARIO MONTILLA CABRERA</v>
      </c>
      <c r="O146" s="1425" t="str">
        <f>'PLAN INDICATIVO'!O142</f>
        <v>Mantenimiento</v>
      </c>
      <c r="P146" s="16" t="str">
        <f>'PLAN INDICATIVO'!P142</f>
        <v>Mantener 100% los subsidios de alcantarillado a la totalidad de usuarios  de estratos 1 y 2, durante el cuatrienio.</v>
      </c>
      <c r="Q146" s="302" t="str">
        <f>'PLAN INDICATIVO'!Q142</f>
        <v>Porcentaje de Subsidios entregados cada año</v>
      </c>
      <c r="R146" s="303">
        <f>'PLAN INDICATIVO'!R142</f>
        <v>2015</v>
      </c>
      <c r="S146" s="304">
        <v>100</v>
      </c>
      <c r="T146" s="677">
        <v>100</v>
      </c>
      <c r="U146" s="304">
        <v>100</v>
      </c>
      <c r="V146" s="687">
        <v>83420000</v>
      </c>
      <c r="W146" s="304">
        <v>100</v>
      </c>
      <c r="X146" s="687">
        <v>183200000</v>
      </c>
      <c r="Y146" s="304">
        <v>100</v>
      </c>
      <c r="Z146" s="687">
        <v>189610000</v>
      </c>
      <c r="AA146" s="305">
        <v>100</v>
      </c>
      <c r="AB146" s="687">
        <v>196240000</v>
      </c>
      <c r="AC146" s="665">
        <v>100</v>
      </c>
      <c r="AD146" s="902">
        <v>100</v>
      </c>
      <c r="AE146" s="665"/>
      <c r="AF146" s="665"/>
      <c r="AG146" s="306" t="s">
        <v>3572</v>
      </c>
      <c r="AH146" s="306">
        <v>2017413960084</v>
      </c>
      <c r="AI146" s="307"/>
      <c r="AJ146" s="335">
        <v>42750</v>
      </c>
      <c r="AK146" s="335">
        <v>43100</v>
      </c>
      <c r="AL146" s="308"/>
      <c r="AM146" s="308"/>
      <c r="AN146" s="267" t="s">
        <v>2598</v>
      </c>
      <c r="AO146" s="507"/>
      <c r="AP146" s="729"/>
      <c r="AQ146" s="730">
        <v>83429993</v>
      </c>
      <c r="AR146" s="730"/>
      <c r="AS146" s="730"/>
      <c r="AT146" s="730"/>
      <c r="AU146" s="730"/>
      <c r="AV146" s="730"/>
      <c r="AW146" s="901">
        <f t="shared" si="65"/>
        <v>83429993</v>
      </c>
      <c r="AX146" s="525"/>
      <c r="AY146" s="310"/>
      <c r="AZ146" s="310"/>
      <c r="BA146" s="310"/>
      <c r="BB146" s="310"/>
      <c r="BC146" s="310"/>
      <c r="BD146" s="310"/>
      <c r="BE146" s="544">
        <f t="shared" si="46"/>
        <v>0</v>
      </c>
      <c r="BF146" s="525"/>
      <c r="BG146" s="310"/>
      <c r="BH146" s="310"/>
      <c r="BI146" s="310"/>
      <c r="BJ146" s="310"/>
      <c r="BK146" s="310"/>
      <c r="BL146" s="310"/>
      <c r="BM146" s="544">
        <f t="shared" si="47"/>
        <v>0</v>
      </c>
      <c r="BN146" s="525"/>
      <c r="BO146" s="310"/>
      <c r="BP146" s="310"/>
      <c r="BQ146" s="310"/>
      <c r="BR146" s="310"/>
      <c r="BS146" s="310"/>
      <c r="BT146" s="310"/>
      <c r="BU146" s="544">
        <f t="shared" si="48"/>
        <v>0</v>
      </c>
      <c r="BV146" s="556"/>
      <c r="BW146" s="663">
        <f t="shared" si="70"/>
        <v>200</v>
      </c>
      <c r="BX146" s="674">
        <f t="shared" si="71"/>
        <v>2</v>
      </c>
      <c r="BY146" s="674">
        <f t="shared" si="72"/>
        <v>1</v>
      </c>
      <c r="BZ146" s="674">
        <f>AD146/U146</f>
        <v>1</v>
      </c>
      <c r="CA146" s="675">
        <f t="shared" si="74"/>
        <v>0</v>
      </c>
      <c r="CB146" s="675">
        <f t="shared" si="75"/>
        <v>0</v>
      </c>
    </row>
    <row r="147" spans="1:80" ht="54.75" hidden="1" customHeight="1" x14ac:dyDescent="0.25">
      <c r="A147" s="298" t="s">
        <v>386</v>
      </c>
      <c r="B147" s="299" t="str">
        <f>'PLAN INDICATIVO'!B143</f>
        <v>APSB</v>
      </c>
      <c r="C147" s="1548"/>
      <c r="D147" s="1549"/>
      <c r="E147" s="1549"/>
      <c r="F147" s="1549"/>
      <c r="G147" s="1549"/>
      <c r="H147" s="1549"/>
      <c r="I147" s="300">
        <f>'PLAN INDICATIVO'!I143</f>
        <v>0</v>
      </c>
      <c r="J147" s="300">
        <f>'PLAN INDICATIVO'!J143</f>
        <v>0</v>
      </c>
      <c r="K147" s="1425" t="str">
        <f>'PLAN INDICATIVO'!K143</f>
        <v>A.3.2.9</v>
      </c>
      <c r="L147" s="1425" t="str">
        <f>'PLAN INDICATIVO'!L143</f>
        <v>6. Agua limplia y saneamiento</v>
      </c>
      <c r="M147" s="1425" t="str">
        <f>'PLAN INDICATIVO'!M143</f>
        <v>EMSERPLA</v>
      </c>
      <c r="N147" s="1425" t="s">
        <v>3555</v>
      </c>
      <c r="O147" s="1425" t="str">
        <f>'PLAN INDICATIVO'!O143</f>
        <v>Incremento</v>
      </c>
      <c r="P147" s="25" t="str">
        <f>'PLAN INDICATIVO'!P143</f>
        <v>Construir 250 baterías sanitarias en el cuatrienio</v>
      </c>
      <c r="Q147" s="302" t="str">
        <f>'PLAN INDICATIVO'!Q143</f>
        <v>No. De baterías sanitarias construidas</v>
      </c>
      <c r="R147" s="303">
        <f>'PLAN INDICATIVO'!R143</f>
        <v>2015</v>
      </c>
      <c r="S147" s="304">
        <v>0</v>
      </c>
      <c r="T147" s="677">
        <v>250</v>
      </c>
      <c r="U147" s="304">
        <v>50</v>
      </c>
      <c r="V147" s="687">
        <v>80000000</v>
      </c>
      <c r="W147" s="270">
        <v>52</v>
      </c>
      <c r="X147" s="687">
        <v>20000000</v>
      </c>
      <c r="Y147" s="270">
        <v>96</v>
      </c>
      <c r="Z147" s="687">
        <v>97000000</v>
      </c>
      <c r="AA147" s="271">
        <v>96</v>
      </c>
      <c r="AB147" s="687">
        <v>2020000</v>
      </c>
      <c r="AC147" s="667">
        <v>6</v>
      </c>
      <c r="AD147" s="936">
        <v>147</v>
      </c>
      <c r="AE147" s="667"/>
      <c r="AF147" s="667"/>
      <c r="AG147" s="306" t="s">
        <v>3572</v>
      </c>
      <c r="AH147" s="306">
        <v>2017413960084</v>
      </c>
      <c r="AI147" s="897" t="s">
        <v>3577</v>
      </c>
      <c r="AJ147" s="335"/>
      <c r="AK147" s="335"/>
      <c r="AL147" s="308"/>
      <c r="AM147" s="308"/>
      <c r="AN147" s="267" t="s">
        <v>2604</v>
      </c>
      <c r="AO147" s="507"/>
      <c r="AP147" s="525"/>
      <c r="AQ147" s="310"/>
      <c r="AR147" s="310"/>
      <c r="AS147" s="310"/>
      <c r="AT147" s="310"/>
      <c r="AU147" s="380"/>
      <c r="AV147" s="310"/>
      <c r="AW147" s="901">
        <f t="shared" si="65"/>
        <v>0</v>
      </c>
      <c r="AX147" s="525"/>
      <c r="AY147" s="310"/>
      <c r="AZ147" s="310"/>
      <c r="BA147" s="310"/>
      <c r="BB147" s="310"/>
      <c r="BC147" s="380"/>
      <c r="BD147" s="310"/>
      <c r="BE147" s="544">
        <f t="shared" si="46"/>
        <v>0</v>
      </c>
      <c r="BF147" s="525"/>
      <c r="BG147" s="310"/>
      <c r="BH147" s="310"/>
      <c r="BI147" s="310"/>
      <c r="BJ147" s="310"/>
      <c r="BK147" s="380"/>
      <c r="BL147" s="310"/>
      <c r="BM147" s="544">
        <f t="shared" si="47"/>
        <v>0</v>
      </c>
      <c r="BN147" s="525"/>
      <c r="BO147" s="310"/>
      <c r="BP147" s="310"/>
      <c r="BQ147" s="310"/>
      <c r="BR147" s="310"/>
      <c r="BS147" s="380"/>
      <c r="BT147" s="310"/>
      <c r="BU147" s="544">
        <f t="shared" si="48"/>
        <v>0</v>
      </c>
      <c r="BV147" s="556"/>
      <c r="BW147" s="663">
        <f t="shared" si="70"/>
        <v>153</v>
      </c>
      <c r="BX147" s="918">
        <f t="shared" si="71"/>
        <v>0.61199999999999999</v>
      </c>
      <c r="BY147" s="674">
        <f t="shared" si="72"/>
        <v>0.12</v>
      </c>
      <c r="BZ147" s="674">
        <f t="shared" si="73"/>
        <v>2.8269230769230771</v>
      </c>
      <c r="CA147" s="675">
        <f t="shared" si="74"/>
        <v>0</v>
      </c>
      <c r="CB147" s="675">
        <f t="shared" si="75"/>
        <v>0</v>
      </c>
    </row>
    <row r="148" spans="1:80" ht="48.75" hidden="1" customHeight="1" x14ac:dyDescent="0.25">
      <c r="A148" s="295" t="s">
        <v>386</v>
      </c>
      <c r="B148" s="24" t="str">
        <f>'PLAN INDICATIVO'!B144</f>
        <v>APSB</v>
      </c>
      <c r="C148" s="1574" t="s">
        <v>464</v>
      </c>
      <c r="D148" s="1575"/>
      <c r="E148" s="1575"/>
      <c r="F148" s="1575"/>
      <c r="G148" s="1575"/>
      <c r="H148" s="1575"/>
      <c r="I148" s="1575"/>
      <c r="J148" s="1575"/>
      <c r="K148" s="1575"/>
      <c r="L148" s="1575"/>
      <c r="M148" s="1575"/>
      <c r="N148" s="1575"/>
      <c r="O148" s="1576"/>
      <c r="P148" s="22"/>
      <c r="Q148" s="22"/>
      <c r="R148" s="1"/>
      <c r="S148" s="261"/>
      <c r="T148" s="681"/>
      <c r="U148" s="261"/>
      <c r="V148" s="693">
        <f>SUM(V149:V155)</f>
        <v>499950000</v>
      </c>
      <c r="W148" s="691"/>
      <c r="X148" s="693">
        <f>SUM(X149:X155)</f>
        <v>347250000</v>
      </c>
      <c r="Y148" s="691"/>
      <c r="Z148" s="693">
        <f>SUM(Z149:Z155)</f>
        <v>461520000</v>
      </c>
      <c r="AA148" s="692"/>
      <c r="AB148" s="693">
        <f>SUM(AB149:AB155)</f>
        <v>481640000</v>
      </c>
      <c r="AC148" s="262"/>
      <c r="AD148" s="845"/>
      <c r="AE148" s="262"/>
      <c r="AF148" s="262"/>
      <c r="AG148" s="263"/>
      <c r="AH148" s="263"/>
      <c r="AI148" s="263"/>
      <c r="AJ148" s="262"/>
      <c r="AK148" s="262"/>
      <c r="AL148" s="262"/>
      <c r="AM148" s="262"/>
      <c r="AN148" s="262"/>
      <c r="AO148" s="612"/>
      <c r="AP148" s="616" t="e">
        <f>(AP149:AP155)</f>
        <v>#VALUE!</v>
      </c>
      <c r="AQ148" s="616" t="e">
        <f t="shared" ref="AQ148:AV148" si="76">(AQ149:AQ155)</f>
        <v>#VALUE!</v>
      </c>
      <c r="AR148" s="616" t="e">
        <f t="shared" si="76"/>
        <v>#VALUE!</v>
      </c>
      <c r="AS148" s="616" t="e">
        <f t="shared" si="76"/>
        <v>#VALUE!</v>
      </c>
      <c r="AT148" s="616" t="e">
        <f t="shared" si="76"/>
        <v>#VALUE!</v>
      </c>
      <c r="AU148" s="616" t="e">
        <f t="shared" si="76"/>
        <v>#VALUE!</v>
      </c>
      <c r="AV148" s="616" t="e">
        <f t="shared" si="76"/>
        <v>#VALUE!</v>
      </c>
      <c r="AW148" s="617" t="e">
        <f t="shared" si="65"/>
        <v>#VALUE!</v>
      </c>
      <c r="AX148" s="616" t="e">
        <f>(AX149:AX155)</f>
        <v>#VALUE!</v>
      </c>
      <c r="AY148" s="616" t="e">
        <f t="shared" ref="AY148:BD148" si="77">(AY149:AY155)</f>
        <v>#VALUE!</v>
      </c>
      <c r="AZ148" s="616" t="e">
        <f t="shared" si="77"/>
        <v>#VALUE!</v>
      </c>
      <c r="BA148" s="616" t="e">
        <f t="shared" si="77"/>
        <v>#VALUE!</v>
      </c>
      <c r="BB148" s="616" t="e">
        <f t="shared" si="77"/>
        <v>#VALUE!</v>
      </c>
      <c r="BC148" s="616" t="e">
        <f t="shared" si="77"/>
        <v>#VALUE!</v>
      </c>
      <c r="BD148" s="616" t="e">
        <f t="shared" si="77"/>
        <v>#VALUE!</v>
      </c>
      <c r="BE148" s="617" t="e">
        <f t="shared" si="46"/>
        <v>#VALUE!</v>
      </c>
      <c r="BF148" s="616" t="e">
        <f>(BF149:BF155)</f>
        <v>#VALUE!</v>
      </c>
      <c r="BG148" s="616" t="e">
        <f t="shared" ref="BG148:BL148" si="78">(BG149:BG155)</f>
        <v>#VALUE!</v>
      </c>
      <c r="BH148" s="616" t="e">
        <f t="shared" si="78"/>
        <v>#VALUE!</v>
      </c>
      <c r="BI148" s="616" t="e">
        <f t="shared" si="78"/>
        <v>#VALUE!</v>
      </c>
      <c r="BJ148" s="616" t="e">
        <f t="shared" si="78"/>
        <v>#VALUE!</v>
      </c>
      <c r="BK148" s="616" t="e">
        <f t="shared" si="78"/>
        <v>#VALUE!</v>
      </c>
      <c r="BL148" s="616" t="e">
        <f t="shared" si="78"/>
        <v>#VALUE!</v>
      </c>
      <c r="BM148" s="617" t="e">
        <f t="shared" si="47"/>
        <v>#VALUE!</v>
      </c>
      <c r="BN148" s="616" t="e">
        <f>(BN149:BN155)</f>
        <v>#VALUE!</v>
      </c>
      <c r="BO148" s="616" t="e">
        <f t="shared" ref="BO148:BT148" si="79">(BO149:BO155)</f>
        <v>#VALUE!</v>
      </c>
      <c r="BP148" s="616" t="e">
        <f t="shared" si="79"/>
        <v>#VALUE!</v>
      </c>
      <c r="BQ148" s="616" t="e">
        <f t="shared" si="79"/>
        <v>#VALUE!</v>
      </c>
      <c r="BR148" s="616" t="e">
        <f t="shared" si="79"/>
        <v>#VALUE!</v>
      </c>
      <c r="BS148" s="616" t="e">
        <f t="shared" si="79"/>
        <v>#VALUE!</v>
      </c>
      <c r="BT148" s="616" t="e">
        <f t="shared" si="79"/>
        <v>#VALUE!</v>
      </c>
      <c r="BU148" s="617" t="e">
        <f t="shared" si="48"/>
        <v>#VALUE!</v>
      </c>
      <c r="BV148" s="556"/>
      <c r="BW148" s="663">
        <f t="shared" si="70"/>
        <v>0</v>
      </c>
      <c r="BX148" s="674" t="e">
        <f t="shared" si="71"/>
        <v>#DIV/0!</v>
      </c>
      <c r="BY148" s="674" t="e">
        <f t="shared" si="72"/>
        <v>#DIV/0!</v>
      </c>
      <c r="BZ148" s="674" t="e">
        <f t="shared" si="73"/>
        <v>#DIV/0!</v>
      </c>
      <c r="CA148" s="675" t="e">
        <f t="shared" si="74"/>
        <v>#DIV/0!</v>
      </c>
      <c r="CB148" s="675" t="e">
        <f t="shared" si="75"/>
        <v>#DIV/0!</v>
      </c>
    </row>
    <row r="149" spans="1:80" ht="69.75" hidden="1" customHeight="1" x14ac:dyDescent="0.25">
      <c r="A149" s="298" t="s">
        <v>386</v>
      </c>
      <c r="B149" s="299" t="str">
        <f>'PLAN INDICATIVO'!B145</f>
        <v>APSB</v>
      </c>
      <c r="C149" s="1546" t="s">
        <v>465</v>
      </c>
      <c r="D149" s="1549" t="s">
        <v>466</v>
      </c>
      <c r="E149" s="1549" t="s">
        <v>467</v>
      </c>
      <c r="F149" s="1549">
        <v>2015</v>
      </c>
      <c r="G149" s="1549">
        <v>98</v>
      </c>
      <c r="H149" s="1549">
        <v>100</v>
      </c>
      <c r="I149" s="1425" t="str">
        <f>'PLAN INDICATIVO'!I145</f>
        <v>SI</v>
      </c>
      <c r="J149" s="1425">
        <f>'PLAN INDICATIVO'!J145</f>
        <v>0</v>
      </c>
      <c r="K149" s="1425" t="str">
        <f>'PLAN INDICATIVO'!K145</f>
        <v>A.3.3.1</v>
      </c>
      <c r="L149" s="1425" t="str">
        <f>'PLAN INDICATIVO'!L145</f>
        <v>6. Agua limplia y saneamiento</v>
      </c>
      <c r="M149" s="1425" t="str">
        <f>'PLAN INDICATIVO'!M145</f>
        <v>EMSERPLA</v>
      </c>
      <c r="N149" s="1425" t="s">
        <v>3555</v>
      </c>
      <c r="O149" s="1425" t="str">
        <f>'PLAN INDICATIVO'!O145</f>
        <v>Incremento</v>
      </c>
      <c r="P149" s="16" t="str">
        <f>'PLAN INDICATIVO'!P145</f>
        <v>Adquirir 1 vehículo compactador para mejorar la prestación del servicio de recolección de residuos sólidos en sector urbano y rural, durante el cuatrienio</v>
      </c>
      <c r="Q149" s="302" t="str">
        <f>'PLAN INDICATIVO'!Q145</f>
        <v xml:space="preserve">No. De vehículos adquiridos </v>
      </c>
      <c r="R149" s="303">
        <f>'PLAN INDICATIVO'!R145</f>
        <v>2015</v>
      </c>
      <c r="S149" s="304">
        <v>0</v>
      </c>
      <c r="T149" s="677">
        <v>1</v>
      </c>
      <c r="U149" s="844">
        <v>1</v>
      </c>
      <c r="V149" s="687">
        <v>0</v>
      </c>
      <c r="W149" s="304">
        <v>0</v>
      </c>
      <c r="X149" s="687"/>
      <c r="Y149" s="304">
        <v>0</v>
      </c>
      <c r="Z149" s="687"/>
      <c r="AA149" s="305">
        <v>0</v>
      </c>
      <c r="AB149" s="687"/>
      <c r="AC149" s="667">
        <v>1</v>
      </c>
      <c r="AD149" s="845"/>
      <c r="AE149" s="667"/>
      <c r="AF149" s="667"/>
      <c r="AG149" s="338"/>
      <c r="AH149" s="338"/>
      <c r="AI149" s="880"/>
      <c r="AJ149" s="339"/>
      <c r="AK149" s="339"/>
      <c r="AL149" s="337"/>
      <c r="AM149" s="337"/>
      <c r="AN149" s="267" t="s">
        <v>2594</v>
      </c>
      <c r="AO149" s="510"/>
      <c r="AP149" s="730"/>
      <c r="AQ149" s="730"/>
      <c r="AR149" s="730"/>
      <c r="AS149" s="730"/>
      <c r="AT149" s="730"/>
      <c r="AU149" s="730"/>
      <c r="AV149" s="730"/>
      <c r="AW149" s="730"/>
      <c r="AX149" s="529"/>
      <c r="AY149" s="473"/>
      <c r="AZ149" s="473"/>
      <c r="BA149" s="473"/>
      <c r="BB149" s="473"/>
      <c r="BC149" s="473"/>
      <c r="BD149" s="473"/>
      <c r="BE149" s="544">
        <f t="shared" si="46"/>
        <v>0</v>
      </c>
      <c r="BF149" s="529"/>
      <c r="BG149" s="473"/>
      <c r="BH149" s="473"/>
      <c r="BI149" s="473"/>
      <c r="BJ149" s="473"/>
      <c r="BK149" s="473"/>
      <c r="BL149" s="473"/>
      <c r="BM149" s="544">
        <f t="shared" si="47"/>
        <v>0</v>
      </c>
      <c r="BN149" s="529"/>
      <c r="BO149" s="473"/>
      <c r="BP149" s="473"/>
      <c r="BQ149" s="473"/>
      <c r="BR149" s="473"/>
      <c r="BS149" s="473"/>
      <c r="BT149" s="473"/>
      <c r="BU149" s="544">
        <f t="shared" si="48"/>
        <v>0</v>
      </c>
      <c r="BV149" s="556"/>
      <c r="BW149" s="663">
        <f t="shared" si="70"/>
        <v>1</v>
      </c>
      <c r="BX149" s="674">
        <f t="shared" si="71"/>
        <v>1</v>
      </c>
      <c r="BY149" s="674">
        <f t="shared" si="72"/>
        <v>1</v>
      </c>
      <c r="BZ149" s="674" t="e">
        <f t="shared" si="73"/>
        <v>#DIV/0!</v>
      </c>
      <c r="CA149" s="675" t="e">
        <f t="shared" si="74"/>
        <v>#DIV/0!</v>
      </c>
      <c r="CB149" s="675" t="e">
        <f t="shared" si="75"/>
        <v>#DIV/0!</v>
      </c>
    </row>
    <row r="150" spans="1:80" ht="87.75" hidden="1" customHeight="1" x14ac:dyDescent="0.25">
      <c r="A150" s="298" t="s">
        <v>386</v>
      </c>
      <c r="B150" s="299" t="str">
        <f>'PLAN INDICATIVO'!B146</f>
        <v>APSB</v>
      </c>
      <c r="C150" s="1547"/>
      <c r="D150" s="1549"/>
      <c r="E150" s="1549"/>
      <c r="F150" s="1549"/>
      <c r="G150" s="1549"/>
      <c r="H150" s="1549"/>
      <c r="I150" s="300">
        <f>'PLAN INDICATIVO'!I146</f>
        <v>0</v>
      </c>
      <c r="J150" s="300">
        <f>'PLAN INDICATIVO'!J146</f>
        <v>0</v>
      </c>
      <c r="K150" s="1425" t="str">
        <f>'PLAN INDICATIVO'!K146</f>
        <v>A.3.3.2</v>
      </c>
      <c r="L150" s="1425" t="str">
        <f>'PLAN INDICATIVO'!L146</f>
        <v>6. Agua limplia y saneamiento</v>
      </c>
      <c r="M150" s="1425" t="str">
        <f>'PLAN INDICATIVO'!M146</f>
        <v>EMSERPLA</v>
      </c>
      <c r="N150" s="1425" t="str">
        <f>'PLAN INDICATIVO'!N146</f>
        <v>MARIO MONTILLA CABRERA</v>
      </c>
      <c r="O150" s="1425" t="str">
        <f>'PLAN INDICATIVO'!O146</f>
        <v>Mantenimiento</v>
      </c>
      <c r="P150" s="16" t="str">
        <f>'PLAN INDICATIVO'!P146</f>
        <v xml:space="preserve">Ejecutar 1 programa "reciclamos para el cambio" cada año </v>
      </c>
      <c r="Q150" s="302" t="str">
        <f>'PLAN INDICATIVO'!Q146</f>
        <v>No. Programa ejecutados cada año</v>
      </c>
      <c r="R150" s="303">
        <f>'PLAN INDICATIVO'!R146</f>
        <v>2015</v>
      </c>
      <c r="S150" s="304">
        <v>0</v>
      </c>
      <c r="T150" s="677">
        <v>1</v>
      </c>
      <c r="U150" s="304">
        <v>1</v>
      </c>
      <c r="V150" s="687">
        <v>174920000</v>
      </c>
      <c r="W150" s="304">
        <v>1</v>
      </c>
      <c r="X150" s="687">
        <v>114760000</v>
      </c>
      <c r="Y150" s="304">
        <v>1</v>
      </c>
      <c r="Z150" s="687">
        <v>222280000</v>
      </c>
      <c r="AA150" s="305">
        <v>1</v>
      </c>
      <c r="AB150" s="687">
        <v>230060000</v>
      </c>
      <c r="AC150" s="665">
        <v>1</v>
      </c>
      <c r="AD150" s="665">
        <v>1</v>
      </c>
      <c r="AE150" s="665"/>
      <c r="AF150" s="665"/>
      <c r="AG150" s="306"/>
      <c r="AH150" s="306"/>
      <c r="AI150" s="900" t="s">
        <v>3578</v>
      </c>
      <c r="AJ150" s="335">
        <v>42840</v>
      </c>
      <c r="AK150" s="335">
        <v>42781</v>
      </c>
      <c r="AL150" s="308"/>
      <c r="AM150" s="308"/>
      <c r="AN150" s="267" t="s">
        <v>2598</v>
      </c>
      <c r="AO150" s="507"/>
      <c r="AP150" s="730"/>
      <c r="AQ150" s="730">
        <v>400000000</v>
      </c>
      <c r="AR150" s="730"/>
      <c r="AS150" s="730"/>
      <c r="AT150" s="730"/>
      <c r="AU150" s="730"/>
      <c r="AV150" s="730">
        <v>77544000</v>
      </c>
      <c r="AW150" s="730">
        <f t="shared" si="65"/>
        <v>477544000</v>
      </c>
      <c r="AX150" s="530"/>
      <c r="AY150" s="474"/>
      <c r="AZ150" s="474"/>
      <c r="BA150" s="474"/>
      <c r="BB150" s="474"/>
      <c r="BC150" s="474"/>
      <c r="BD150" s="474"/>
      <c r="BE150" s="544">
        <f t="shared" si="46"/>
        <v>0</v>
      </c>
      <c r="BF150" s="530"/>
      <c r="BG150" s="474"/>
      <c r="BH150" s="474"/>
      <c r="BI150" s="474"/>
      <c r="BJ150" s="474"/>
      <c r="BK150" s="474"/>
      <c r="BL150" s="474"/>
      <c r="BM150" s="544">
        <f t="shared" si="47"/>
        <v>0</v>
      </c>
      <c r="BN150" s="530"/>
      <c r="BO150" s="474"/>
      <c r="BP150" s="474"/>
      <c r="BQ150" s="474"/>
      <c r="BR150" s="474"/>
      <c r="BS150" s="474"/>
      <c r="BT150" s="474"/>
      <c r="BU150" s="544">
        <f t="shared" si="48"/>
        <v>0</v>
      </c>
      <c r="BV150" s="556"/>
      <c r="BW150" s="663">
        <f t="shared" si="70"/>
        <v>2</v>
      </c>
      <c r="BX150" s="674">
        <f t="shared" si="71"/>
        <v>2</v>
      </c>
      <c r="BY150" s="674">
        <f t="shared" si="72"/>
        <v>1</v>
      </c>
      <c r="BZ150" s="674">
        <f t="shared" si="73"/>
        <v>1</v>
      </c>
      <c r="CA150" s="675">
        <f t="shared" si="74"/>
        <v>0</v>
      </c>
      <c r="CB150" s="675">
        <f t="shared" si="75"/>
        <v>0</v>
      </c>
    </row>
    <row r="151" spans="1:80" ht="109.5" hidden="1" customHeight="1" x14ac:dyDescent="0.25">
      <c r="A151" s="298" t="s">
        <v>386</v>
      </c>
      <c r="B151" s="299" t="str">
        <f>'PLAN INDICATIVO'!B147</f>
        <v>APSB</v>
      </c>
      <c r="C151" s="1547"/>
      <c r="D151" s="1549"/>
      <c r="E151" s="1549"/>
      <c r="F151" s="1549"/>
      <c r="G151" s="1549"/>
      <c r="H151" s="1549"/>
      <c r="I151" s="300">
        <f>'PLAN INDICATIVO'!I147</f>
        <v>0</v>
      </c>
      <c r="J151" s="300">
        <f>'PLAN INDICATIVO'!J147</f>
        <v>0</v>
      </c>
      <c r="K151" s="1425" t="str">
        <f>'PLAN INDICATIVO'!K147</f>
        <v>A.3.3.3</v>
      </c>
      <c r="L151" s="1425" t="str">
        <f>'PLAN INDICATIVO'!L147</f>
        <v>6. Agua limplia y saneamiento</v>
      </c>
      <c r="M151" s="1425" t="str">
        <f>'PLAN INDICATIVO'!M147</f>
        <v>EMSERPLA</v>
      </c>
      <c r="N151" s="1425" t="s">
        <v>3555</v>
      </c>
      <c r="O151" s="1425" t="str">
        <f>'PLAN INDICATIVO'!O147</f>
        <v>Mantenimiento</v>
      </c>
      <c r="P151" s="16" t="str">
        <f>'PLAN INDICATIVO'!P147</f>
        <v>Mantener 1 programa de recolección de residuos sólidos en  centros poblados cada año</v>
      </c>
      <c r="Q151" s="302" t="str">
        <f>'PLAN INDICATIVO'!Q147</f>
        <v>No. De programas de recolección de residuos sólidos rurales por año</v>
      </c>
      <c r="R151" s="303">
        <f>'PLAN INDICATIVO'!R147</f>
        <v>2015</v>
      </c>
      <c r="S151" s="304">
        <v>1</v>
      </c>
      <c r="T151" s="677">
        <v>1</v>
      </c>
      <c r="U151" s="304">
        <v>1</v>
      </c>
      <c r="V151" s="687">
        <v>50030000</v>
      </c>
      <c r="W151" s="304">
        <v>1</v>
      </c>
      <c r="X151" s="687">
        <v>51750000</v>
      </c>
      <c r="Y151" s="304">
        <v>1</v>
      </c>
      <c r="Z151" s="687">
        <v>53560000</v>
      </c>
      <c r="AA151" s="305">
        <v>1</v>
      </c>
      <c r="AB151" s="687">
        <v>55430000</v>
      </c>
      <c r="AC151" s="665">
        <v>1</v>
      </c>
      <c r="AD151" s="665">
        <v>1</v>
      </c>
      <c r="AE151" s="665"/>
      <c r="AF151" s="665"/>
      <c r="AG151" s="306"/>
      <c r="AH151" s="306"/>
      <c r="AI151" s="307" t="s">
        <v>3579</v>
      </c>
      <c r="AJ151" s="335">
        <v>42750</v>
      </c>
      <c r="AK151" s="335">
        <v>43099</v>
      </c>
      <c r="AL151" s="308"/>
      <c r="AM151" s="308"/>
      <c r="AN151" s="267" t="s">
        <v>2598</v>
      </c>
      <c r="AO151" s="507"/>
      <c r="AP151" s="730"/>
      <c r="AQ151" s="730"/>
      <c r="AR151" s="730"/>
      <c r="AS151" s="730"/>
      <c r="AT151" s="730"/>
      <c r="AU151" s="730"/>
      <c r="AV151" s="730">
        <v>2060000</v>
      </c>
      <c r="AW151" s="730"/>
      <c r="AX151" s="530"/>
      <c r="AY151" s="474"/>
      <c r="AZ151" s="474"/>
      <c r="BA151" s="474"/>
      <c r="BB151" s="474"/>
      <c r="BC151" s="474"/>
      <c r="BD151" s="474"/>
      <c r="BE151" s="544">
        <f t="shared" si="46"/>
        <v>0</v>
      </c>
      <c r="BF151" s="530"/>
      <c r="BG151" s="474"/>
      <c r="BH151" s="474"/>
      <c r="BI151" s="474"/>
      <c r="BJ151" s="474"/>
      <c r="BK151" s="474"/>
      <c r="BL151" s="474"/>
      <c r="BM151" s="544">
        <f t="shared" si="47"/>
        <v>0</v>
      </c>
      <c r="BN151" s="530"/>
      <c r="BO151" s="474"/>
      <c r="BP151" s="474"/>
      <c r="BQ151" s="474"/>
      <c r="BR151" s="474"/>
      <c r="BS151" s="474"/>
      <c r="BT151" s="474"/>
      <c r="BU151" s="544">
        <f t="shared" si="48"/>
        <v>0</v>
      </c>
      <c r="BV151" s="556"/>
      <c r="BW151" s="663">
        <f t="shared" si="70"/>
        <v>2</v>
      </c>
      <c r="BX151" s="674">
        <f t="shared" si="71"/>
        <v>2</v>
      </c>
      <c r="BY151" s="674">
        <f t="shared" si="72"/>
        <v>1</v>
      </c>
      <c r="BZ151" s="674">
        <f t="shared" si="73"/>
        <v>1</v>
      </c>
      <c r="CA151" s="675">
        <f t="shared" si="74"/>
        <v>0</v>
      </c>
      <c r="CB151" s="675">
        <f t="shared" si="75"/>
        <v>0</v>
      </c>
    </row>
    <row r="152" spans="1:80" ht="81.75" hidden="1" customHeight="1" x14ac:dyDescent="0.25">
      <c r="A152" s="298" t="s">
        <v>386</v>
      </c>
      <c r="B152" s="299" t="str">
        <f>'PLAN INDICATIVO'!B148</f>
        <v>APSB</v>
      </c>
      <c r="C152" s="1547"/>
      <c r="D152" s="1549"/>
      <c r="E152" s="1549"/>
      <c r="F152" s="1549"/>
      <c r="G152" s="1549"/>
      <c r="H152" s="1549"/>
      <c r="I152" s="300">
        <f>'PLAN INDICATIVO'!I148</f>
        <v>0</v>
      </c>
      <c r="J152" s="300">
        <f>'PLAN INDICATIVO'!J148</f>
        <v>0</v>
      </c>
      <c r="K152" s="1425" t="str">
        <f>'PLAN INDICATIVO'!K148</f>
        <v>A.3.3.4</v>
      </c>
      <c r="L152" s="1425" t="str">
        <f>'PLAN INDICATIVO'!L148</f>
        <v>6. Agua limplia y saneamiento</v>
      </c>
      <c r="M152" s="1425" t="str">
        <f>'PLAN INDICATIVO'!M148</f>
        <v>EMSERPLA</v>
      </c>
      <c r="N152" s="1425" t="str">
        <f>'PLAN INDICATIVO'!N148</f>
        <v>MARIO MONTILLA CABRERA</v>
      </c>
      <c r="O152" s="1425" t="str">
        <f>'PLAN INDICATIVO'!O148</f>
        <v>Incremento</v>
      </c>
      <c r="P152" s="16" t="str">
        <f>'PLAN INDICATIVO'!P148</f>
        <v>Actualizar 1 Plan de Gestión Integral de Residuos sólidos (PGIRS)  durante el cuatrienio.</v>
      </c>
      <c r="Q152" s="302" t="str">
        <f>'PLAN INDICATIVO'!Q148</f>
        <v>No. De actualizaciones realizadas</v>
      </c>
      <c r="R152" s="303">
        <f>'PLAN INDICATIVO'!R148</f>
        <v>2015</v>
      </c>
      <c r="S152" s="304">
        <v>1</v>
      </c>
      <c r="T152" s="677">
        <v>1</v>
      </c>
      <c r="U152" s="304">
        <v>1</v>
      </c>
      <c r="V152" s="687">
        <v>0</v>
      </c>
      <c r="W152" s="304">
        <v>0</v>
      </c>
      <c r="X152" s="687"/>
      <c r="Y152" s="304">
        <v>0</v>
      </c>
      <c r="Z152" s="687"/>
      <c r="AA152" s="305">
        <v>0</v>
      </c>
      <c r="AB152" s="687"/>
      <c r="AC152" s="665">
        <v>1</v>
      </c>
      <c r="AD152" s="843"/>
      <c r="AE152" s="665"/>
      <c r="AF152" s="665"/>
      <c r="AG152" s="306"/>
      <c r="AH152" s="306"/>
      <c r="AI152" s="307"/>
      <c r="AJ152" s="335"/>
      <c r="AK152" s="335"/>
      <c r="AL152" s="308"/>
      <c r="AM152" s="308"/>
      <c r="AN152" s="267" t="s">
        <v>2594</v>
      </c>
      <c r="AO152" s="507"/>
      <c r="AP152" s="730"/>
      <c r="AQ152" s="730"/>
      <c r="AR152" s="730"/>
      <c r="AS152" s="730"/>
      <c r="AT152" s="730"/>
      <c r="AU152" s="730"/>
      <c r="AV152" s="730"/>
      <c r="AW152" s="730"/>
      <c r="AX152" s="530"/>
      <c r="AY152" s="474"/>
      <c r="AZ152" s="474"/>
      <c r="BA152" s="474"/>
      <c r="BB152" s="474"/>
      <c r="BC152" s="474"/>
      <c r="BD152" s="474"/>
      <c r="BE152" s="544">
        <f t="shared" si="46"/>
        <v>0</v>
      </c>
      <c r="BF152" s="530"/>
      <c r="BG152" s="474"/>
      <c r="BH152" s="474"/>
      <c r="BI152" s="474"/>
      <c r="BJ152" s="474"/>
      <c r="BK152" s="474"/>
      <c r="BL152" s="474"/>
      <c r="BM152" s="544">
        <f t="shared" si="47"/>
        <v>0</v>
      </c>
      <c r="BN152" s="530"/>
      <c r="BO152" s="474"/>
      <c r="BP152" s="474"/>
      <c r="BQ152" s="474"/>
      <c r="BR152" s="474"/>
      <c r="BS152" s="474"/>
      <c r="BT152" s="474"/>
      <c r="BU152" s="544">
        <f t="shared" si="48"/>
        <v>0</v>
      </c>
      <c r="BV152" s="556"/>
      <c r="BW152" s="663">
        <f t="shared" si="70"/>
        <v>1</v>
      </c>
      <c r="BX152" s="674">
        <f t="shared" si="71"/>
        <v>1</v>
      </c>
      <c r="BY152" s="674">
        <f t="shared" si="72"/>
        <v>1</v>
      </c>
      <c r="BZ152" s="674" t="e">
        <f t="shared" si="73"/>
        <v>#DIV/0!</v>
      </c>
      <c r="CA152" s="675" t="e">
        <f t="shared" si="74"/>
        <v>#DIV/0!</v>
      </c>
      <c r="CB152" s="675" t="e">
        <f t="shared" si="75"/>
        <v>#DIV/0!</v>
      </c>
    </row>
    <row r="153" spans="1:80" ht="89.25" hidden="1" customHeight="1" x14ac:dyDescent="0.25">
      <c r="A153" s="298" t="s">
        <v>386</v>
      </c>
      <c r="B153" s="299" t="str">
        <f>'PLAN INDICATIVO'!B149</f>
        <v>APSB</v>
      </c>
      <c r="C153" s="1547"/>
      <c r="D153" s="1549"/>
      <c r="E153" s="1549"/>
      <c r="F153" s="1549"/>
      <c r="G153" s="1549"/>
      <c r="H153" s="1549"/>
      <c r="I153" s="300">
        <f>'PLAN INDICATIVO'!I149</f>
        <v>0</v>
      </c>
      <c r="J153" s="300">
        <f>'PLAN INDICATIVO'!J149</f>
        <v>0</v>
      </c>
      <c r="K153" s="1425" t="str">
        <f>'PLAN INDICATIVO'!K149</f>
        <v>A.3.3.5</v>
      </c>
      <c r="L153" s="1425" t="str">
        <f>'PLAN INDICATIVO'!L149</f>
        <v>6. Agua limplia y saneamiento</v>
      </c>
      <c r="M153" s="1425" t="str">
        <f>'PLAN INDICATIVO'!M149</f>
        <v>EMSERPLA</v>
      </c>
      <c r="N153" s="1425" t="str">
        <f>'PLAN INDICATIVO'!N149</f>
        <v>MARIO MONTILLA CABRERA</v>
      </c>
      <c r="O153" s="1425" t="str">
        <f>'PLAN INDICATIVO'!O149</f>
        <v>Mantenimiento</v>
      </c>
      <c r="P153" s="16" t="str">
        <f>'PLAN INDICATIVO'!P149</f>
        <v>Mantener los subsidios de aseo a la totalidad de usuarios  de estratos 1 y 2, durante el cuatrienio.</v>
      </c>
      <c r="Q153" s="302" t="str">
        <f>'PLAN INDICATIVO'!Q149</f>
        <v>Porcentaje de usuarios con subsidio.</v>
      </c>
      <c r="R153" s="303">
        <f>'PLAN INDICATIVO'!R149</f>
        <v>2015</v>
      </c>
      <c r="S153" s="304">
        <v>100</v>
      </c>
      <c r="T153" s="677">
        <v>100</v>
      </c>
      <c r="U153" s="304">
        <v>100</v>
      </c>
      <c r="V153" s="687">
        <v>225000000</v>
      </c>
      <c r="W153" s="304">
        <v>100</v>
      </c>
      <c r="X153" s="687">
        <v>169740000</v>
      </c>
      <c r="Y153" s="304">
        <v>100</v>
      </c>
      <c r="Z153" s="687">
        <v>175680000</v>
      </c>
      <c r="AA153" s="305">
        <v>100</v>
      </c>
      <c r="AB153" s="687">
        <v>181830000</v>
      </c>
      <c r="AC153" s="665">
        <v>100</v>
      </c>
      <c r="AD153" s="665">
        <v>100</v>
      </c>
      <c r="AE153" s="665"/>
      <c r="AF153" s="665"/>
      <c r="AG153" s="306" t="s">
        <v>3567</v>
      </c>
      <c r="AH153" s="306">
        <v>2017413960030</v>
      </c>
      <c r="AI153" s="307"/>
      <c r="AJ153" s="335">
        <v>42750</v>
      </c>
      <c r="AK153" s="335">
        <v>43100</v>
      </c>
      <c r="AL153" s="308"/>
      <c r="AM153" s="308"/>
      <c r="AN153" s="267" t="s">
        <v>2598</v>
      </c>
      <c r="AO153" s="507"/>
      <c r="AP153" s="730"/>
      <c r="AQ153" s="730">
        <v>184849245</v>
      </c>
      <c r="AR153" s="730"/>
      <c r="AS153" s="730"/>
      <c r="AT153" s="730"/>
      <c r="AU153" s="730"/>
      <c r="AV153" s="730"/>
      <c r="AW153" s="730">
        <f>AP153+AQ153+AR153+AS153+AT153+AU153+AV153</f>
        <v>184849245</v>
      </c>
      <c r="AX153" s="530"/>
      <c r="AY153" s="474"/>
      <c r="AZ153" s="474"/>
      <c r="BA153" s="474"/>
      <c r="BB153" s="474"/>
      <c r="BC153" s="474"/>
      <c r="BD153" s="474"/>
      <c r="BE153" s="544">
        <f t="shared" ref="BE153:BE216" si="80">SUM(AX153:BD153)</f>
        <v>0</v>
      </c>
      <c r="BF153" s="530"/>
      <c r="BG153" s="474"/>
      <c r="BH153" s="474"/>
      <c r="BI153" s="474"/>
      <c r="BJ153" s="474"/>
      <c r="BK153" s="474"/>
      <c r="BL153" s="474"/>
      <c r="BM153" s="544">
        <f t="shared" ref="BM153:BM216" si="81">SUM(BF153:BL153)</f>
        <v>0</v>
      </c>
      <c r="BN153" s="530"/>
      <c r="BO153" s="474"/>
      <c r="BP153" s="474"/>
      <c r="BQ153" s="474"/>
      <c r="BR153" s="474"/>
      <c r="BS153" s="474"/>
      <c r="BT153" s="474"/>
      <c r="BU153" s="544">
        <f t="shared" ref="BU153:BU216" si="82">SUM(BN153:BT153)</f>
        <v>0</v>
      </c>
      <c r="BV153" s="556"/>
      <c r="BW153" s="663">
        <f t="shared" si="70"/>
        <v>200</v>
      </c>
      <c r="BX153" s="674">
        <f t="shared" si="71"/>
        <v>2</v>
      </c>
      <c r="BY153" s="674">
        <f t="shared" si="72"/>
        <v>1</v>
      </c>
      <c r="BZ153" s="674">
        <f t="shared" si="73"/>
        <v>1</v>
      </c>
      <c r="CA153" s="675">
        <f t="shared" si="74"/>
        <v>0</v>
      </c>
      <c r="CB153" s="675">
        <f t="shared" si="75"/>
        <v>0</v>
      </c>
    </row>
    <row r="154" spans="1:80" ht="81" hidden="1" customHeight="1" x14ac:dyDescent="0.25">
      <c r="A154" s="298" t="s">
        <v>386</v>
      </c>
      <c r="B154" s="299" t="str">
        <f>'PLAN INDICATIVO'!B150</f>
        <v>APSB</v>
      </c>
      <c r="C154" s="1547"/>
      <c r="D154" s="1549"/>
      <c r="E154" s="1549"/>
      <c r="F154" s="1549"/>
      <c r="G154" s="1549"/>
      <c r="H154" s="1549"/>
      <c r="I154" s="300">
        <f>'PLAN INDICATIVO'!I150</f>
        <v>0</v>
      </c>
      <c r="J154" s="300">
        <f>'PLAN INDICATIVO'!J150</f>
        <v>0</v>
      </c>
      <c r="K154" s="1425" t="str">
        <f>'PLAN INDICATIVO'!K150</f>
        <v>A.3.3.6</v>
      </c>
      <c r="L154" s="1425" t="str">
        <f>'PLAN INDICATIVO'!L150</f>
        <v>6. Agua limplia y saneamiento</v>
      </c>
      <c r="M154" s="1425" t="str">
        <f>'PLAN INDICATIVO'!M150</f>
        <v>EMSERPLA</v>
      </c>
      <c r="N154" s="1425" t="str">
        <f>'PLAN INDICATIVO'!N150</f>
        <v>MARIO MONTILLA CABRERA</v>
      </c>
      <c r="O154" s="1425" t="str">
        <f>'PLAN INDICATIVO'!O150</f>
        <v>Mantenimiento</v>
      </c>
      <c r="P154" s="16" t="str">
        <f>'PLAN INDICATIVO'!P150</f>
        <v>Incrementar  anualmente los servicios públicos  a 275 nuevos usuarios en el servicio de aseo, durante el cuatrienio.</v>
      </c>
      <c r="Q154" s="302" t="str">
        <f>'PLAN INDICATIVO'!Q150</f>
        <v>No. De nuevos usuarios con servicios públicos de aseo por año</v>
      </c>
      <c r="R154" s="303">
        <f>'PLAN INDICATIVO'!R150</f>
        <v>2015</v>
      </c>
      <c r="S154" s="304">
        <v>275</v>
      </c>
      <c r="T154" s="677">
        <v>1100</v>
      </c>
      <c r="U154" s="304">
        <v>275</v>
      </c>
      <c r="V154" s="687">
        <v>1000000</v>
      </c>
      <c r="W154" s="304">
        <v>275</v>
      </c>
      <c r="X154" s="687">
        <v>1000000</v>
      </c>
      <c r="Y154" s="304">
        <v>275</v>
      </c>
      <c r="Z154" s="687">
        <v>1000000</v>
      </c>
      <c r="AA154" s="305">
        <v>275</v>
      </c>
      <c r="AB154" s="687">
        <v>5000000</v>
      </c>
      <c r="AC154" s="665">
        <v>318</v>
      </c>
      <c r="AD154" s="899">
        <v>302</v>
      </c>
      <c r="AE154" s="665"/>
      <c r="AF154" s="665"/>
      <c r="AG154" s="306"/>
      <c r="AH154" s="306"/>
      <c r="AI154" s="307"/>
      <c r="AJ154" s="335">
        <v>42750</v>
      </c>
      <c r="AK154" s="335">
        <v>43100</v>
      </c>
      <c r="AL154" s="308"/>
      <c r="AM154" s="308"/>
      <c r="AN154" s="267" t="s">
        <v>2598</v>
      </c>
      <c r="AO154" s="507"/>
      <c r="AP154" s="730">
        <v>6930000</v>
      </c>
      <c r="AQ154" s="730"/>
      <c r="AR154" s="730"/>
      <c r="AS154" s="730"/>
      <c r="AT154" s="730"/>
      <c r="AU154" s="730"/>
      <c r="AV154" s="730">
        <f>400000+1322000</f>
        <v>1722000</v>
      </c>
      <c r="AW154" s="730">
        <f>AP154+AQ154+AR154+AS154+AT154+AU154+AV154</f>
        <v>8652000</v>
      </c>
      <c r="AX154" s="530"/>
      <c r="AY154" s="474"/>
      <c r="AZ154" s="474"/>
      <c r="BA154" s="474"/>
      <c r="BB154" s="474"/>
      <c r="BC154" s="474"/>
      <c r="BD154" s="474"/>
      <c r="BE154" s="544">
        <f t="shared" si="80"/>
        <v>0</v>
      </c>
      <c r="BF154" s="530"/>
      <c r="BG154" s="474"/>
      <c r="BH154" s="474"/>
      <c r="BI154" s="474"/>
      <c r="BJ154" s="474"/>
      <c r="BK154" s="474"/>
      <c r="BL154" s="474"/>
      <c r="BM154" s="544">
        <f t="shared" si="81"/>
        <v>0</v>
      </c>
      <c r="BN154" s="530"/>
      <c r="BO154" s="474"/>
      <c r="BP154" s="474"/>
      <c r="BQ154" s="474"/>
      <c r="BR154" s="474"/>
      <c r="BS154" s="474"/>
      <c r="BT154" s="474"/>
      <c r="BU154" s="544">
        <f t="shared" si="82"/>
        <v>0</v>
      </c>
      <c r="BV154" s="556"/>
      <c r="BW154" s="663">
        <f t="shared" si="70"/>
        <v>620</v>
      </c>
      <c r="BX154" s="674">
        <f t="shared" si="71"/>
        <v>0.5636363636363636</v>
      </c>
      <c r="BY154" s="674">
        <f t="shared" si="72"/>
        <v>1.1563636363636363</v>
      </c>
      <c r="BZ154" s="674">
        <f t="shared" si="73"/>
        <v>1.0981818181818181</v>
      </c>
      <c r="CA154" s="675">
        <f t="shared" si="74"/>
        <v>0</v>
      </c>
      <c r="CB154" s="675">
        <f t="shared" si="75"/>
        <v>0</v>
      </c>
    </row>
    <row r="155" spans="1:80" ht="101.25" hidden="1" customHeight="1" thickBot="1" x14ac:dyDescent="0.3">
      <c r="A155" s="393" t="s">
        <v>386</v>
      </c>
      <c r="B155" s="394" t="str">
        <f>'PLAN INDICATIVO'!B151</f>
        <v>APSB</v>
      </c>
      <c r="C155" s="1547"/>
      <c r="D155" s="1550"/>
      <c r="E155" s="1550"/>
      <c r="F155" s="1550"/>
      <c r="G155" s="1550"/>
      <c r="H155" s="1550"/>
      <c r="I155" s="395">
        <f>'PLAN INDICATIVO'!I151</f>
        <v>0</v>
      </c>
      <c r="J155" s="395">
        <f>'PLAN INDICATIVO'!J151</f>
        <v>0</v>
      </c>
      <c r="K155" s="1426" t="str">
        <f>'PLAN INDICATIVO'!K151</f>
        <v>A.3.3.7</v>
      </c>
      <c r="L155" s="1426" t="str">
        <f>'PLAN INDICATIVO'!L151</f>
        <v>6. Agua limplia y saneamiento</v>
      </c>
      <c r="M155" s="1426" t="str">
        <f>'PLAN INDICATIVO'!M151</f>
        <v>EMSERPLA</v>
      </c>
      <c r="N155" s="1426" t="str">
        <f>'PLAN INDICATIVO'!N151</f>
        <v>MARIO MONTILLA CABRERA</v>
      </c>
      <c r="O155" s="1426" t="str">
        <f>'PLAN INDICATIVO'!O151</f>
        <v>Incremento</v>
      </c>
      <c r="P155" s="70" t="str">
        <f>'PLAN INDICATIVO'!P151</f>
        <v>Gestionar  esfuerzos con entidades públicas o privadas para formulación de un proyecto de  1 relleno sanitario regional en el occidente del Huila, durante el cuatrienio</v>
      </c>
      <c r="Q155" s="350" t="str">
        <f>'PLAN INDICATIVO'!Q151</f>
        <v>No. De proyecto gestionado</v>
      </c>
      <c r="R155" s="397">
        <f>'PLAN INDICATIVO'!R151</f>
        <v>2015</v>
      </c>
      <c r="S155" s="1433">
        <v>0</v>
      </c>
      <c r="T155" s="682">
        <v>1</v>
      </c>
      <c r="U155" s="1433">
        <v>1</v>
      </c>
      <c r="V155" s="687">
        <v>49000000</v>
      </c>
      <c r="W155" s="1433">
        <v>1</v>
      </c>
      <c r="X155" s="687">
        <v>10000000</v>
      </c>
      <c r="Y155" s="1433">
        <v>1</v>
      </c>
      <c r="Z155" s="687">
        <v>9000000</v>
      </c>
      <c r="AA155" s="424">
        <v>1</v>
      </c>
      <c r="AB155" s="687">
        <v>9320000</v>
      </c>
      <c r="AC155" s="668"/>
      <c r="AD155" s="668">
        <v>0.4</v>
      </c>
      <c r="AE155" s="668"/>
      <c r="AF155" s="668"/>
      <c r="AG155" s="455"/>
      <c r="AH155" s="455"/>
      <c r="AI155" s="456" t="s">
        <v>3580</v>
      </c>
      <c r="AJ155" s="457"/>
      <c r="AK155" s="457"/>
      <c r="AL155" s="457"/>
      <c r="AM155" s="457"/>
      <c r="AN155" s="436" t="s">
        <v>2604</v>
      </c>
      <c r="AO155" s="636"/>
      <c r="AP155" s="730"/>
      <c r="AQ155" s="730">
        <v>7764984</v>
      </c>
      <c r="AR155" s="730"/>
      <c r="AS155" s="730"/>
      <c r="AT155" s="730"/>
      <c r="AU155" s="730"/>
      <c r="AV155" s="730"/>
      <c r="AW155" s="730"/>
      <c r="AX155" s="637"/>
      <c r="AY155" s="638"/>
      <c r="AZ155" s="638"/>
      <c r="BA155" s="638"/>
      <c r="BB155" s="638"/>
      <c r="BC155" s="638"/>
      <c r="BD155" s="638"/>
      <c r="BE155" s="625">
        <f t="shared" si="80"/>
        <v>0</v>
      </c>
      <c r="BF155" s="637"/>
      <c r="BG155" s="638"/>
      <c r="BH155" s="638"/>
      <c r="BI155" s="638"/>
      <c r="BJ155" s="638"/>
      <c r="BK155" s="638"/>
      <c r="BL155" s="638"/>
      <c r="BM155" s="625">
        <f t="shared" si="81"/>
        <v>0</v>
      </c>
      <c r="BN155" s="637"/>
      <c r="BO155" s="638"/>
      <c r="BP155" s="638"/>
      <c r="BQ155" s="638"/>
      <c r="BR155" s="638"/>
      <c r="BS155" s="638"/>
      <c r="BT155" s="638"/>
      <c r="BU155" s="625">
        <f t="shared" si="82"/>
        <v>0</v>
      </c>
      <c r="BV155" s="556"/>
      <c r="BW155" s="663">
        <f t="shared" si="70"/>
        <v>0.4</v>
      </c>
      <c r="BX155" s="918">
        <f t="shared" si="71"/>
        <v>0.4</v>
      </c>
      <c r="BY155" s="674">
        <f t="shared" si="72"/>
        <v>0</v>
      </c>
      <c r="BZ155" s="674">
        <f t="shared" si="73"/>
        <v>0.4</v>
      </c>
      <c r="CA155" s="675">
        <f t="shared" si="74"/>
        <v>0</v>
      </c>
      <c r="CB155" s="675">
        <f t="shared" si="75"/>
        <v>0</v>
      </c>
    </row>
    <row r="156" spans="1:80" ht="64.5" hidden="1" customHeight="1" thickBot="1" x14ac:dyDescent="0.3">
      <c r="A156" s="428"/>
      <c r="B156" s="439" t="str">
        <f>'PLAN INDICATIVO'!B152</f>
        <v>Atención a grupos vulnerables - promoción social</v>
      </c>
      <c r="C156" s="1635" t="s">
        <v>2733</v>
      </c>
      <c r="D156" s="1609"/>
      <c r="E156" s="1609"/>
      <c r="F156" s="1609"/>
      <c r="G156" s="1609"/>
      <c r="H156" s="1609"/>
      <c r="I156" s="1609"/>
      <c r="J156" s="1609"/>
      <c r="K156" s="1609"/>
      <c r="L156" s="1609"/>
      <c r="M156" s="1609"/>
      <c r="N156" s="1609"/>
      <c r="O156" s="1609"/>
      <c r="P156" s="1609"/>
      <c r="Q156" s="1609"/>
      <c r="R156" s="1609"/>
      <c r="S156" s="1609"/>
      <c r="T156" s="1609"/>
      <c r="U156" s="1609"/>
      <c r="V156" s="1609"/>
      <c r="W156" s="1609"/>
      <c r="X156" s="1609"/>
      <c r="Y156" s="1609"/>
      <c r="Z156" s="1609"/>
      <c r="AA156" s="1609"/>
      <c r="AB156" s="1609"/>
      <c r="AC156" s="1609"/>
      <c r="AD156" s="1609"/>
      <c r="AE156" s="1609"/>
      <c r="AF156" s="1609"/>
      <c r="AG156" s="1609"/>
      <c r="AH156" s="1609"/>
      <c r="AI156" s="1609"/>
      <c r="AJ156" s="1609"/>
      <c r="AK156" s="1609"/>
      <c r="AL156" s="1609"/>
      <c r="AM156" s="1610"/>
      <c r="AN156" s="640"/>
      <c r="AO156" s="626"/>
      <c r="AP156" s="627"/>
      <c r="AQ156" s="628"/>
      <c r="AR156" s="628"/>
      <c r="AS156" s="628"/>
      <c r="AT156" s="628"/>
      <c r="AU156" s="628"/>
      <c r="AV156" s="628"/>
      <c r="AW156" s="634">
        <f t="shared" si="65"/>
        <v>0</v>
      </c>
      <c r="AX156" s="627"/>
      <c r="AY156" s="628"/>
      <c r="AZ156" s="628"/>
      <c r="BA156" s="628"/>
      <c r="BB156" s="628"/>
      <c r="BC156" s="628"/>
      <c r="BD156" s="628"/>
      <c r="BE156" s="634">
        <f t="shared" si="80"/>
        <v>0</v>
      </c>
      <c r="BF156" s="627"/>
      <c r="BG156" s="628"/>
      <c r="BH156" s="628"/>
      <c r="BI156" s="628"/>
      <c r="BJ156" s="628"/>
      <c r="BK156" s="628"/>
      <c r="BL156" s="628"/>
      <c r="BM156" s="634">
        <f t="shared" si="81"/>
        <v>0</v>
      </c>
      <c r="BN156" s="627"/>
      <c r="BO156" s="628"/>
      <c r="BP156" s="628"/>
      <c r="BQ156" s="628"/>
      <c r="BR156" s="628"/>
      <c r="BS156" s="628"/>
      <c r="BT156" s="628"/>
      <c r="BU156" s="634">
        <f t="shared" si="82"/>
        <v>0</v>
      </c>
      <c r="BV156" s="652"/>
      <c r="BW156" s="663">
        <f t="shared" si="70"/>
        <v>0</v>
      </c>
      <c r="BX156" s="674" t="e">
        <f t="shared" si="71"/>
        <v>#DIV/0!</v>
      </c>
      <c r="BY156" s="674" t="e">
        <f t="shared" si="72"/>
        <v>#DIV/0!</v>
      </c>
      <c r="BZ156" s="674" t="e">
        <f t="shared" si="73"/>
        <v>#DIV/0!</v>
      </c>
      <c r="CA156" s="675" t="e">
        <f t="shared" si="74"/>
        <v>#DIV/0!</v>
      </c>
      <c r="CB156" s="675" t="e">
        <f t="shared" si="75"/>
        <v>#DIV/0!</v>
      </c>
    </row>
    <row r="157" spans="1:80" ht="63.75" hidden="1" customHeight="1" x14ac:dyDescent="0.25">
      <c r="A157" s="391"/>
      <c r="B157" s="331" t="str">
        <f>'PLAN INDICATIVO'!B153</f>
        <v>Atención a grupos vulnerables - promoción social</v>
      </c>
      <c r="C157" s="1611" t="s">
        <v>2734</v>
      </c>
      <c r="D157" s="1612"/>
      <c r="E157" s="1612"/>
      <c r="F157" s="1612"/>
      <c r="G157" s="1612"/>
      <c r="H157" s="1612"/>
      <c r="I157" s="1612"/>
      <c r="J157" s="1612"/>
      <c r="K157" s="1612"/>
      <c r="L157" s="1612"/>
      <c r="M157" s="1612"/>
      <c r="N157" s="1612"/>
      <c r="O157" s="1612"/>
      <c r="P157" s="1613"/>
      <c r="Q157" s="318"/>
      <c r="R157" s="317"/>
      <c r="S157" s="319"/>
      <c r="T157" s="676"/>
      <c r="U157" s="319"/>
      <c r="V157" s="695">
        <f>SUM(V158:V181)</f>
        <v>95200000</v>
      </c>
      <c r="W157" s="319"/>
      <c r="X157" s="695">
        <f>SUM(X158:X181)</f>
        <v>95570000</v>
      </c>
      <c r="Y157" s="319"/>
      <c r="Z157" s="695">
        <f>SUM(Z158:Z181)</f>
        <v>98840000</v>
      </c>
      <c r="AA157" s="319"/>
      <c r="AB157" s="695">
        <f>SUM(AB158:AB181)</f>
        <v>102300000</v>
      </c>
      <c r="AC157" s="319"/>
      <c r="AD157" s="319"/>
      <c r="AE157" s="319"/>
      <c r="AF157" s="319"/>
      <c r="AG157" s="458"/>
      <c r="AH157" s="458"/>
      <c r="AI157" s="458"/>
      <c r="AJ157" s="319"/>
      <c r="AK157" s="319"/>
      <c r="AL157" s="319"/>
      <c r="AM157" s="319"/>
      <c r="AN157" s="319"/>
      <c r="AO157" s="639"/>
      <c r="AP157" s="631">
        <f>SUM(AP158:AP181)</f>
        <v>14534061</v>
      </c>
      <c r="AQ157" s="631">
        <f>SUM(AQ158:AQ181)</f>
        <v>575861829</v>
      </c>
      <c r="AR157" s="631" t="e">
        <f>(AR158:AR181)</f>
        <v>#VALUE!</v>
      </c>
      <c r="AS157" s="631" t="e">
        <f>(AS158:AS181)</f>
        <v>#VALUE!</v>
      </c>
      <c r="AT157" s="631" t="e">
        <f>(AT158:AT181)</f>
        <v>#VALUE!</v>
      </c>
      <c r="AU157" s="631" t="e">
        <f>(AU158:AU181)</f>
        <v>#VALUE!</v>
      </c>
      <c r="AV157" s="631" t="e">
        <f>(AV158:AV181)</f>
        <v>#VALUE!</v>
      </c>
      <c r="AW157" s="617" t="e">
        <f t="shared" si="65"/>
        <v>#VALUE!</v>
      </c>
      <c r="AX157" s="631" t="e">
        <f>(AX158:AX181)</f>
        <v>#VALUE!</v>
      </c>
      <c r="AY157" s="631" t="e">
        <f t="shared" ref="AY157:BD157" si="83">(AY158:AY181)</f>
        <v>#VALUE!</v>
      </c>
      <c r="AZ157" s="631" t="e">
        <f t="shared" si="83"/>
        <v>#VALUE!</v>
      </c>
      <c r="BA157" s="631" t="e">
        <f t="shared" si="83"/>
        <v>#VALUE!</v>
      </c>
      <c r="BB157" s="631" t="e">
        <f t="shared" si="83"/>
        <v>#VALUE!</v>
      </c>
      <c r="BC157" s="631" t="e">
        <f t="shared" si="83"/>
        <v>#VALUE!</v>
      </c>
      <c r="BD157" s="631" t="e">
        <f t="shared" si="83"/>
        <v>#VALUE!</v>
      </c>
      <c r="BE157" s="617" t="e">
        <f t="shared" si="80"/>
        <v>#VALUE!</v>
      </c>
      <c r="BF157" s="631" t="e">
        <f>(BF158:BF181)</f>
        <v>#VALUE!</v>
      </c>
      <c r="BG157" s="631" t="e">
        <f t="shared" ref="BG157:BL157" si="84">(BG158:BG181)</f>
        <v>#VALUE!</v>
      </c>
      <c r="BH157" s="631" t="e">
        <f t="shared" si="84"/>
        <v>#VALUE!</v>
      </c>
      <c r="BI157" s="631" t="e">
        <f t="shared" si="84"/>
        <v>#VALUE!</v>
      </c>
      <c r="BJ157" s="631" t="e">
        <f t="shared" si="84"/>
        <v>#VALUE!</v>
      </c>
      <c r="BK157" s="631" t="e">
        <f t="shared" si="84"/>
        <v>#VALUE!</v>
      </c>
      <c r="BL157" s="631" t="e">
        <f t="shared" si="84"/>
        <v>#VALUE!</v>
      </c>
      <c r="BM157" s="617" t="e">
        <f t="shared" si="81"/>
        <v>#VALUE!</v>
      </c>
      <c r="BN157" s="631" t="e">
        <f>(BN158:BN181)</f>
        <v>#VALUE!</v>
      </c>
      <c r="BO157" s="631" t="e">
        <f t="shared" ref="BO157:BT157" si="85">(BO158:BO181)</f>
        <v>#VALUE!</v>
      </c>
      <c r="BP157" s="631" t="e">
        <f t="shared" si="85"/>
        <v>#VALUE!</v>
      </c>
      <c r="BQ157" s="631" t="e">
        <f t="shared" si="85"/>
        <v>#VALUE!</v>
      </c>
      <c r="BR157" s="631" t="e">
        <f t="shared" si="85"/>
        <v>#VALUE!</v>
      </c>
      <c r="BS157" s="631" t="e">
        <f t="shared" si="85"/>
        <v>#VALUE!</v>
      </c>
      <c r="BT157" s="631" t="e">
        <f t="shared" si="85"/>
        <v>#VALUE!</v>
      </c>
      <c r="BU157" s="617" t="e">
        <f t="shared" si="82"/>
        <v>#VALUE!</v>
      </c>
      <c r="BV157" s="556"/>
      <c r="BW157" s="863">
        <f t="shared" si="70"/>
        <v>0</v>
      </c>
      <c r="BX157" s="864" t="e">
        <f t="shared" si="71"/>
        <v>#DIV/0!</v>
      </c>
      <c r="BY157" s="864" t="e">
        <f t="shared" si="72"/>
        <v>#DIV/0!</v>
      </c>
      <c r="BZ157" s="864" t="e">
        <f t="shared" si="73"/>
        <v>#DIV/0!</v>
      </c>
      <c r="CA157" s="1450" t="e">
        <f t="shared" si="74"/>
        <v>#DIV/0!</v>
      </c>
      <c r="CB157" s="675" t="e">
        <f t="shared" si="75"/>
        <v>#DIV/0!</v>
      </c>
    </row>
    <row r="158" spans="1:80" ht="70.5" hidden="1" customHeight="1" x14ac:dyDescent="0.25">
      <c r="A158" s="298" t="s">
        <v>491</v>
      </c>
      <c r="B158" s="299" t="str">
        <f>'PLAN INDICATIVO'!B154</f>
        <v>Atención a grupos vulnerables - promoción social</v>
      </c>
      <c r="C158" s="1546" t="s">
        <v>492</v>
      </c>
      <c r="D158" s="1550" t="s">
        <v>493</v>
      </c>
      <c r="E158" s="1550" t="s">
        <v>494</v>
      </c>
      <c r="F158" s="1550">
        <v>2015</v>
      </c>
      <c r="G158" s="1550" t="s">
        <v>177</v>
      </c>
      <c r="H158" s="1550">
        <v>50</v>
      </c>
      <c r="I158" s="300">
        <f>'PLAN INDICATIVO'!I154</f>
        <v>0</v>
      </c>
      <c r="J158" s="300">
        <f>'PLAN INDICATIVO'!J154</f>
        <v>0</v>
      </c>
      <c r="K158" s="1425" t="str">
        <f>'PLAN INDICATIVO'!K154</f>
        <v>A.14.1.1</v>
      </c>
      <c r="L158" s="1425" t="str">
        <f>'PLAN INDICATIVO'!L154</f>
        <v>10. Reducción de las desigualdades</v>
      </c>
      <c r="M158" s="1425" t="s">
        <v>2735</v>
      </c>
      <c r="N158" s="1425" t="s">
        <v>2736</v>
      </c>
      <c r="O158" s="1425" t="str">
        <f>'PLAN INDICATIVO'!O154</f>
        <v>Mantenimiento</v>
      </c>
      <c r="P158" s="16" t="str">
        <f>'PLAN INDICATIVO'!P154</f>
        <v>Realizar 4 campañas anuales para incentivar la asistencia a controles de crecimiento y desarrollo de la población infantil.</v>
      </c>
      <c r="Q158" s="302" t="str">
        <f>'PLAN INDICATIVO'!Q154</f>
        <v>No. De Campañas implementadas por año</v>
      </c>
      <c r="R158" s="303">
        <f>'PLAN INDICATIVO'!R154</f>
        <v>2015</v>
      </c>
      <c r="S158" s="304">
        <v>0</v>
      </c>
      <c r="T158" s="677">
        <v>16</v>
      </c>
      <c r="U158" s="303">
        <v>4</v>
      </c>
      <c r="V158" s="687">
        <v>3000000</v>
      </c>
      <c r="W158" s="303">
        <v>4</v>
      </c>
      <c r="X158" s="687">
        <v>1000000</v>
      </c>
      <c r="Y158" s="303">
        <v>4</v>
      </c>
      <c r="Z158" s="687">
        <v>1000000</v>
      </c>
      <c r="AA158" s="303">
        <v>4</v>
      </c>
      <c r="AB158" s="687">
        <v>1000000</v>
      </c>
      <c r="AC158" s="669">
        <f>1+1+1+1</f>
        <v>4</v>
      </c>
      <c r="AD158" s="669">
        <v>4</v>
      </c>
      <c r="AE158" s="669"/>
      <c r="AF158" s="669"/>
      <c r="AG158" s="752" t="s">
        <v>3581</v>
      </c>
      <c r="AH158" s="1001">
        <v>2017413960012</v>
      </c>
      <c r="AI158" s="355" t="s">
        <v>3582</v>
      </c>
      <c r="AJ158" s="356">
        <v>42767</v>
      </c>
      <c r="AK158" s="356">
        <v>43084</v>
      </c>
      <c r="AL158" s="357"/>
      <c r="AM158" s="358"/>
      <c r="AN158" s="267" t="s">
        <v>2598</v>
      </c>
      <c r="AO158" s="512" t="s">
        <v>3583</v>
      </c>
      <c r="AP158" s="525"/>
      <c r="AQ158" s="721">
        <f>1235500+692308+622000</f>
        <v>2549808</v>
      </c>
      <c r="AR158" s="310"/>
      <c r="AS158" s="310"/>
      <c r="AT158" s="310"/>
      <c r="AU158" s="310"/>
      <c r="AV158" s="310"/>
      <c r="AW158" s="544">
        <f>AP158+AQ158+AR158+AS158+AT158+AU158+AV158</f>
        <v>2549808</v>
      </c>
      <c r="AX158" s="525"/>
      <c r="AY158" s="310"/>
      <c r="AZ158" s="310"/>
      <c r="BA158" s="310"/>
      <c r="BB158" s="310"/>
      <c r="BC158" s="310"/>
      <c r="BD158" s="310"/>
      <c r="BE158" s="544">
        <f t="shared" si="80"/>
        <v>0</v>
      </c>
      <c r="BF158" s="525"/>
      <c r="BG158" s="310"/>
      <c r="BH158" s="310"/>
      <c r="BI158" s="310"/>
      <c r="BJ158" s="310"/>
      <c r="BK158" s="310"/>
      <c r="BL158" s="310"/>
      <c r="BM158" s="544">
        <f t="shared" si="81"/>
        <v>0</v>
      </c>
      <c r="BN158" s="525"/>
      <c r="BO158" s="310"/>
      <c r="BP158" s="310"/>
      <c r="BQ158" s="310"/>
      <c r="BR158" s="310"/>
      <c r="BS158" s="310"/>
      <c r="BT158" s="310"/>
      <c r="BU158" s="544">
        <f t="shared" si="82"/>
        <v>0</v>
      </c>
      <c r="BV158" s="556"/>
      <c r="BW158" s="663">
        <f t="shared" si="70"/>
        <v>8</v>
      </c>
      <c r="BX158" s="674">
        <f t="shared" si="71"/>
        <v>0.5</v>
      </c>
      <c r="BY158" s="674">
        <f t="shared" si="72"/>
        <v>1</v>
      </c>
      <c r="BZ158" s="674">
        <f t="shared" si="73"/>
        <v>1</v>
      </c>
      <c r="CA158" s="675">
        <f t="shared" si="74"/>
        <v>0</v>
      </c>
      <c r="CB158" s="675">
        <f t="shared" si="75"/>
        <v>0</v>
      </c>
    </row>
    <row r="159" spans="1:80" ht="67.5" hidden="1" customHeight="1" x14ac:dyDescent="0.25">
      <c r="A159" s="298" t="s">
        <v>491</v>
      </c>
      <c r="B159" s="299" t="str">
        <f>'PLAN INDICATIVO'!B155</f>
        <v>Atención a grupos vulnerables - promoción social</v>
      </c>
      <c r="C159" s="1547"/>
      <c r="D159" s="1551"/>
      <c r="E159" s="1551"/>
      <c r="F159" s="1551"/>
      <c r="G159" s="1551"/>
      <c r="H159" s="1551"/>
      <c r="I159" s="300">
        <f>'PLAN INDICATIVO'!I155</f>
        <v>0</v>
      </c>
      <c r="J159" s="300">
        <f>'PLAN INDICATIVO'!J155</f>
        <v>0</v>
      </c>
      <c r="K159" s="1425" t="str">
        <f>'PLAN INDICATIVO'!K155</f>
        <v>A.14.1.2</v>
      </c>
      <c r="L159" s="1425" t="str">
        <f>'PLAN INDICATIVO'!L155</f>
        <v>10. Reducción de las desigualdades</v>
      </c>
      <c r="M159" s="1425" t="s">
        <v>2735</v>
      </c>
      <c r="N159" s="1425" t="s">
        <v>2736</v>
      </c>
      <c r="O159" s="1425" t="str">
        <f>'PLAN INDICATIVO'!O155</f>
        <v>Mantenimiento</v>
      </c>
      <c r="P159" s="16" t="str">
        <f>'PLAN INDICATIVO'!P155</f>
        <v>Implementar 1 política de infancia y adolescencia durante el cuatrienio</v>
      </c>
      <c r="Q159" s="302" t="str">
        <f>'PLAN INDICATIVO'!Q155</f>
        <v>No. De Política de infancia implementada</v>
      </c>
      <c r="R159" s="303">
        <f>'PLAN INDICATIVO'!R155</f>
        <v>2015</v>
      </c>
      <c r="S159" s="304">
        <v>0</v>
      </c>
      <c r="T159" s="677">
        <v>1</v>
      </c>
      <c r="U159" s="303">
        <v>0</v>
      </c>
      <c r="V159" s="687">
        <v>200000</v>
      </c>
      <c r="W159" s="303">
        <v>1</v>
      </c>
      <c r="X159" s="687">
        <v>500000</v>
      </c>
      <c r="Y159" s="303">
        <v>1</v>
      </c>
      <c r="Z159" s="687">
        <v>500000</v>
      </c>
      <c r="AA159" s="303">
        <v>1</v>
      </c>
      <c r="AB159" s="687">
        <v>20000000</v>
      </c>
      <c r="AC159" s="669"/>
      <c r="AD159" s="669">
        <v>0.4</v>
      </c>
      <c r="AE159" s="669"/>
      <c r="AF159" s="669"/>
      <c r="AG159" s="752" t="s">
        <v>3581</v>
      </c>
      <c r="AH159" s="1001">
        <v>2017413960012</v>
      </c>
      <c r="AI159" s="355" t="s">
        <v>3584</v>
      </c>
      <c r="AJ159" s="359">
        <v>42826</v>
      </c>
      <c r="AK159" s="359">
        <v>43099</v>
      </c>
      <c r="AL159" s="360"/>
      <c r="AM159" s="360"/>
      <c r="AN159" s="267" t="s">
        <v>2604</v>
      </c>
      <c r="AO159" s="469">
        <v>231807</v>
      </c>
      <c r="AP159" s="525">
        <v>1500000</v>
      </c>
      <c r="AQ159" s="310"/>
      <c r="AR159" s="310"/>
      <c r="AS159" s="310"/>
      <c r="AT159" s="310"/>
      <c r="AU159" s="310"/>
      <c r="AV159" s="310"/>
      <c r="AW159" s="544">
        <f t="shared" si="65"/>
        <v>1500000</v>
      </c>
      <c r="AX159" s="531"/>
      <c r="AY159" s="310"/>
      <c r="AZ159" s="310"/>
      <c r="BA159" s="310"/>
      <c r="BB159" s="310"/>
      <c r="BC159" s="310"/>
      <c r="BD159" s="310"/>
      <c r="BE159" s="544">
        <f t="shared" si="80"/>
        <v>0</v>
      </c>
      <c r="BF159" s="531"/>
      <c r="BG159" s="310"/>
      <c r="BH159" s="310"/>
      <c r="BI159" s="310"/>
      <c r="BJ159" s="310"/>
      <c r="BK159" s="310"/>
      <c r="BL159" s="310"/>
      <c r="BM159" s="544">
        <f t="shared" si="81"/>
        <v>0</v>
      </c>
      <c r="BN159" s="531"/>
      <c r="BO159" s="310"/>
      <c r="BP159" s="310"/>
      <c r="BQ159" s="310"/>
      <c r="BR159" s="310"/>
      <c r="BS159" s="310"/>
      <c r="BT159" s="310"/>
      <c r="BU159" s="544">
        <f t="shared" si="82"/>
        <v>0</v>
      </c>
      <c r="BV159" s="556"/>
      <c r="BW159" s="663">
        <f t="shared" si="70"/>
        <v>0.4</v>
      </c>
      <c r="BX159" s="917">
        <f t="shared" si="71"/>
        <v>0.4</v>
      </c>
      <c r="BY159" s="674" t="e">
        <f t="shared" si="72"/>
        <v>#DIV/0!</v>
      </c>
      <c r="BZ159" s="674">
        <f t="shared" si="73"/>
        <v>0.4</v>
      </c>
      <c r="CA159" s="675">
        <f t="shared" si="74"/>
        <v>0</v>
      </c>
      <c r="CB159" s="675">
        <f t="shared" si="75"/>
        <v>0</v>
      </c>
    </row>
    <row r="160" spans="1:80" ht="80.25" hidden="1" customHeight="1" thickBot="1" x14ac:dyDescent="0.3">
      <c r="A160" s="298" t="s">
        <v>491</v>
      </c>
      <c r="B160" s="299" t="str">
        <f>'PLAN INDICATIVO'!B156</f>
        <v>Atención a grupos vulnerables - promoción social</v>
      </c>
      <c r="C160" s="1547"/>
      <c r="D160" s="1551"/>
      <c r="E160" s="1551"/>
      <c r="F160" s="1551"/>
      <c r="G160" s="1551"/>
      <c r="H160" s="1551"/>
      <c r="I160" s="300">
        <f>'PLAN INDICATIVO'!I156</f>
        <v>0</v>
      </c>
      <c r="J160" s="300">
        <f>'PLAN INDICATIVO'!J156</f>
        <v>0</v>
      </c>
      <c r="K160" s="1425" t="str">
        <f>'PLAN INDICATIVO'!K156</f>
        <v>A.14.1.3</v>
      </c>
      <c r="L160" s="1425" t="str">
        <f>'PLAN INDICATIVO'!L156</f>
        <v>10. Reducción de las desigualdades</v>
      </c>
      <c r="M160" s="1425" t="s">
        <v>2735</v>
      </c>
      <c r="N160" s="1425" t="s">
        <v>2736</v>
      </c>
      <c r="O160" s="1425" t="str">
        <f>'PLAN INDICATIVO'!O156</f>
        <v>Mantenimiento</v>
      </c>
      <c r="P160" s="16" t="str">
        <f>'PLAN INDICATIVO'!P156</f>
        <v>Crear 1 mesa intersectorial de primera infancia, infancia y adolescencia del municipio y lograr su operativización cada año</v>
      </c>
      <c r="Q160" s="302" t="str">
        <f>'PLAN INDICATIVO'!Q156</f>
        <v>Mesa intersectorial creada y funcionando por año</v>
      </c>
      <c r="R160" s="303">
        <f>'PLAN INDICATIVO'!R156</f>
        <v>2015</v>
      </c>
      <c r="S160" s="304">
        <v>1</v>
      </c>
      <c r="T160" s="677">
        <v>4</v>
      </c>
      <c r="U160" s="303">
        <v>1</v>
      </c>
      <c r="V160" s="687">
        <v>100000</v>
      </c>
      <c r="W160" s="303">
        <v>1</v>
      </c>
      <c r="X160" s="687">
        <v>500000</v>
      </c>
      <c r="Y160" s="303">
        <v>1</v>
      </c>
      <c r="Z160" s="687">
        <v>500000</v>
      </c>
      <c r="AA160" s="303">
        <v>1</v>
      </c>
      <c r="AB160" s="687">
        <v>500000</v>
      </c>
      <c r="AC160" s="669">
        <v>1</v>
      </c>
      <c r="AD160" s="669">
        <v>1</v>
      </c>
      <c r="AE160" s="669"/>
      <c r="AF160" s="669"/>
      <c r="AG160" s="752" t="s">
        <v>3581</v>
      </c>
      <c r="AH160" s="1001">
        <v>2017413960012</v>
      </c>
      <c r="AI160" s="355" t="s">
        <v>3585</v>
      </c>
      <c r="AJ160" s="356">
        <v>36982</v>
      </c>
      <c r="AK160" s="356">
        <v>42339</v>
      </c>
      <c r="AL160" s="357"/>
      <c r="AM160" s="358"/>
      <c r="AN160" s="267" t="s">
        <v>2598</v>
      </c>
      <c r="AO160" s="512" t="s">
        <v>3586</v>
      </c>
      <c r="AP160" s="525"/>
      <c r="AQ160" s="721">
        <f>2647500+692308+1156250+500375</f>
        <v>4996433</v>
      </c>
      <c r="AR160" s="310"/>
      <c r="AS160" s="310"/>
      <c r="AT160" s="310"/>
      <c r="AU160" s="310"/>
      <c r="AV160" s="310"/>
      <c r="AW160" s="544">
        <f>AP160+AQ160+AR160+AS160+AT160+AU160+AV160</f>
        <v>4996433</v>
      </c>
      <c r="AX160" s="753"/>
      <c r="AY160" s="754"/>
      <c r="AZ160" s="754"/>
      <c r="BA160" s="754"/>
      <c r="BB160" s="754"/>
      <c r="BC160" s="754"/>
      <c r="BD160" s="754"/>
      <c r="BE160" s="755">
        <f t="shared" si="80"/>
        <v>0</v>
      </c>
      <c r="BF160" s="753"/>
      <c r="BG160" s="754"/>
      <c r="BH160" s="754"/>
      <c r="BI160" s="754"/>
      <c r="BJ160" s="754"/>
      <c r="BK160" s="754"/>
      <c r="BL160" s="754"/>
      <c r="BM160" s="755">
        <f t="shared" si="81"/>
        <v>0</v>
      </c>
      <c r="BN160" s="753"/>
      <c r="BO160" s="754"/>
      <c r="BP160" s="754"/>
      <c r="BQ160" s="754"/>
      <c r="BR160" s="754"/>
      <c r="BS160" s="754"/>
      <c r="BT160" s="754"/>
      <c r="BU160" s="544">
        <f t="shared" si="82"/>
        <v>0</v>
      </c>
      <c r="BV160" s="556"/>
      <c r="BW160" s="663">
        <f t="shared" si="70"/>
        <v>2</v>
      </c>
      <c r="BX160" s="674">
        <f t="shared" si="71"/>
        <v>0.5</v>
      </c>
      <c r="BY160" s="674">
        <f t="shared" si="72"/>
        <v>1</v>
      </c>
      <c r="BZ160" s="674">
        <f t="shared" si="73"/>
        <v>1</v>
      </c>
      <c r="CA160" s="675">
        <f t="shared" si="74"/>
        <v>0</v>
      </c>
      <c r="CB160" s="675">
        <f t="shared" si="75"/>
        <v>0</v>
      </c>
    </row>
    <row r="161" spans="1:80" ht="75" hidden="1" customHeight="1" thickBot="1" x14ac:dyDescent="0.3">
      <c r="A161" s="298" t="s">
        <v>491</v>
      </c>
      <c r="B161" s="299" t="str">
        <f>'PLAN INDICATIVO'!B157</f>
        <v>Atención a grupos vulnerables - promoción social</v>
      </c>
      <c r="C161" s="1547"/>
      <c r="D161" s="1551"/>
      <c r="E161" s="1551"/>
      <c r="F161" s="1551"/>
      <c r="G161" s="1551"/>
      <c r="H161" s="1551"/>
      <c r="I161" s="300">
        <f>'PLAN INDICATIVO'!I157</f>
        <v>0</v>
      </c>
      <c r="J161" s="300">
        <f>'PLAN INDICATIVO'!J157</f>
        <v>0</v>
      </c>
      <c r="K161" s="1425" t="str">
        <f>'PLAN INDICATIVO'!K157</f>
        <v>A.14.1.4</v>
      </c>
      <c r="L161" s="1425" t="str">
        <f>'PLAN INDICATIVO'!L157</f>
        <v>10. Reducción de las desigualdades</v>
      </c>
      <c r="M161" s="1425" t="s">
        <v>2735</v>
      </c>
      <c r="N161" s="1425" t="s">
        <v>2736</v>
      </c>
      <c r="O161" s="1425" t="str">
        <f>'PLAN INDICATIVO'!O157</f>
        <v>Mantenimiento</v>
      </c>
      <c r="P161" s="16" t="str">
        <f>'PLAN INDICATIVO'!P157</f>
        <v>Mantener en funcionamiento 1 hogar de paso modalidad familiar cada año</v>
      </c>
      <c r="Q161" s="302" t="str">
        <f>'PLAN INDICATIVO'!Q157</f>
        <v>No. De Hogar de paso en funcionamiento por año</v>
      </c>
      <c r="R161" s="303">
        <f>'PLAN INDICATIVO'!R157</f>
        <v>2015</v>
      </c>
      <c r="S161" s="304">
        <v>1</v>
      </c>
      <c r="T161" s="677">
        <v>1</v>
      </c>
      <c r="U161" s="303">
        <v>1</v>
      </c>
      <c r="V161" s="687">
        <v>21000000</v>
      </c>
      <c r="W161" s="303">
        <v>1</v>
      </c>
      <c r="X161" s="687">
        <v>10330000</v>
      </c>
      <c r="Y161" s="303">
        <v>1</v>
      </c>
      <c r="Z161" s="687">
        <v>10240000</v>
      </c>
      <c r="AA161" s="303">
        <v>1</v>
      </c>
      <c r="AB161" s="687">
        <v>8500000</v>
      </c>
      <c r="AC161" s="669">
        <v>1</v>
      </c>
      <c r="AD161" s="669">
        <v>1</v>
      </c>
      <c r="AE161" s="669"/>
      <c r="AF161" s="669"/>
      <c r="AG161" s="752" t="s">
        <v>3581</v>
      </c>
      <c r="AH161" s="1001">
        <v>2017413960012</v>
      </c>
      <c r="AI161" s="355" t="s">
        <v>3587</v>
      </c>
      <c r="AJ161" s="356">
        <v>42767</v>
      </c>
      <c r="AK161" s="356">
        <v>43070</v>
      </c>
      <c r="AL161" s="358"/>
      <c r="AM161" s="358"/>
      <c r="AN161" s="267" t="s">
        <v>2598</v>
      </c>
      <c r="AO161" s="512" t="s">
        <v>3588</v>
      </c>
      <c r="AP161" s="720">
        <v>10000000</v>
      </c>
      <c r="AQ161" s="721">
        <v>14000000</v>
      </c>
      <c r="AR161" s="310"/>
      <c r="AS161" s="310"/>
      <c r="AT161" s="310"/>
      <c r="AU161" s="310"/>
      <c r="AV161" s="310"/>
      <c r="AW161" s="1004">
        <f t="shared" si="65"/>
        <v>24000000</v>
      </c>
      <c r="AX161" s="525"/>
      <c r="AY161" s="310"/>
      <c r="AZ161" s="310"/>
      <c r="BA161" s="310"/>
      <c r="BB161" s="310"/>
      <c r="BC161" s="310"/>
      <c r="BD161" s="310"/>
      <c r="BE161" s="544">
        <f t="shared" si="80"/>
        <v>0</v>
      </c>
      <c r="BF161" s="525"/>
      <c r="BG161" s="310"/>
      <c r="BH161" s="310"/>
      <c r="BI161" s="310"/>
      <c r="BJ161" s="310"/>
      <c r="BK161" s="310"/>
      <c r="BL161" s="310"/>
      <c r="BM161" s="544">
        <f t="shared" si="81"/>
        <v>0</v>
      </c>
      <c r="BN161" s="525"/>
      <c r="BO161" s="310"/>
      <c r="BP161" s="310"/>
      <c r="BQ161" s="310"/>
      <c r="BR161" s="310"/>
      <c r="BS161" s="310"/>
      <c r="BT161" s="310"/>
      <c r="BU161" s="544">
        <f t="shared" si="82"/>
        <v>0</v>
      </c>
      <c r="BV161" s="556"/>
      <c r="BW161" s="963" t="s">
        <v>484</v>
      </c>
      <c r="BX161" s="674" t="e">
        <f t="shared" si="71"/>
        <v>#VALUE!</v>
      </c>
      <c r="BY161" s="674">
        <f t="shared" si="72"/>
        <v>1</v>
      </c>
      <c r="BZ161" s="674">
        <f t="shared" si="73"/>
        <v>1</v>
      </c>
      <c r="CA161" s="675">
        <f t="shared" si="74"/>
        <v>0</v>
      </c>
      <c r="CB161" s="675">
        <f t="shared" si="75"/>
        <v>0</v>
      </c>
    </row>
    <row r="162" spans="1:80" ht="94.5" hidden="1" customHeight="1" x14ac:dyDescent="0.25">
      <c r="A162" s="298" t="s">
        <v>491</v>
      </c>
      <c r="B162" s="299" t="str">
        <f>'PLAN INDICATIVO'!B158</f>
        <v>Atención a grupos vulnerables - promoción social</v>
      </c>
      <c r="C162" s="1547"/>
      <c r="D162" s="1551"/>
      <c r="E162" s="1551"/>
      <c r="F162" s="1551"/>
      <c r="G162" s="1551"/>
      <c r="H162" s="1551"/>
      <c r="I162" s="300">
        <f>'PLAN INDICATIVO'!I158</f>
        <v>0</v>
      </c>
      <c r="J162" s="300">
        <f>'PLAN INDICATIVO'!J158</f>
        <v>0</v>
      </c>
      <c r="K162" s="1425" t="str">
        <f>'PLAN INDICATIVO'!K158</f>
        <v>A.14.1.5</v>
      </c>
      <c r="L162" s="1425" t="str">
        <f>'PLAN INDICATIVO'!L158</f>
        <v>10. Reducción de las desigualdades</v>
      </c>
      <c r="M162" s="1425" t="s">
        <v>2735</v>
      </c>
      <c r="N162" s="1425" t="s">
        <v>2736</v>
      </c>
      <c r="O162" s="1425" t="str">
        <f>'PLAN INDICATIVO'!O158</f>
        <v>Mantenimiento</v>
      </c>
      <c r="P162" s="16" t="str">
        <f>'PLAN INDICATIVO'!P158</f>
        <v xml:space="preserve">Mantener cada año 1 centro transitorio para ubicación provisional para adolescentes infractores de la ley penal funcionando y dotado </v>
      </c>
      <c r="Q162" s="302" t="str">
        <f>'PLAN INDICATIVO'!Q158</f>
        <v>centro transitorio para ubicación provisional para adolescentes infractores de la ley penal  funcionando y dotado, por año</v>
      </c>
      <c r="R162" s="303">
        <f>'PLAN INDICATIVO'!R158</f>
        <v>2015</v>
      </c>
      <c r="S162" s="304">
        <v>1</v>
      </c>
      <c r="T162" s="677">
        <v>1</v>
      </c>
      <c r="U162" s="303">
        <v>1</v>
      </c>
      <c r="V162" s="687">
        <v>10000000</v>
      </c>
      <c r="W162" s="303">
        <v>1</v>
      </c>
      <c r="X162" s="687">
        <v>1000000</v>
      </c>
      <c r="Y162" s="303">
        <v>1</v>
      </c>
      <c r="Z162" s="687">
        <v>4600000</v>
      </c>
      <c r="AA162" s="303">
        <v>1</v>
      </c>
      <c r="AB162" s="687">
        <v>18910000</v>
      </c>
      <c r="AC162" s="669">
        <v>1</v>
      </c>
      <c r="AD162" s="669">
        <v>1</v>
      </c>
      <c r="AE162" s="669"/>
      <c r="AF162" s="669"/>
      <c r="AG162" s="752" t="s">
        <v>3581</v>
      </c>
      <c r="AH162" s="1001">
        <v>2017413960012</v>
      </c>
      <c r="AI162" s="355" t="s">
        <v>2747</v>
      </c>
      <c r="AJ162" s="356">
        <v>42767</v>
      </c>
      <c r="AK162" s="356">
        <v>43070</v>
      </c>
      <c r="AL162" s="358"/>
      <c r="AM162" s="358"/>
      <c r="AN162" s="267" t="s">
        <v>2598</v>
      </c>
      <c r="AO162" s="512" t="s">
        <v>3589</v>
      </c>
      <c r="AP162" s="525"/>
      <c r="AQ162" s="721">
        <v>18032000</v>
      </c>
      <c r="AR162" s="310"/>
      <c r="AS162" s="310"/>
      <c r="AT162" s="310"/>
      <c r="AU162" s="310"/>
      <c r="AV162" s="310"/>
      <c r="AW162" s="1004">
        <f t="shared" si="65"/>
        <v>18032000</v>
      </c>
      <c r="AX162" s="525"/>
      <c r="AY162" s="310"/>
      <c r="AZ162" s="310"/>
      <c r="BA162" s="310"/>
      <c r="BB162" s="310"/>
      <c r="BC162" s="310"/>
      <c r="BD162" s="310"/>
      <c r="BE162" s="544">
        <f t="shared" si="80"/>
        <v>0</v>
      </c>
      <c r="BF162" s="525"/>
      <c r="BG162" s="310"/>
      <c r="BH162" s="310"/>
      <c r="BI162" s="310"/>
      <c r="BJ162" s="310"/>
      <c r="BK162" s="310"/>
      <c r="BL162" s="310"/>
      <c r="BM162" s="544">
        <f t="shared" si="81"/>
        <v>0</v>
      </c>
      <c r="BN162" s="525"/>
      <c r="BO162" s="310"/>
      <c r="BP162" s="310"/>
      <c r="BQ162" s="310"/>
      <c r="BR162" s="310"/>
      <c r="BS162" s="310"/>
      <c r="BT162" s="310"/>
      <c r="BU162" s="544">
        <f t="shared" si="82"/>
        <v>0</v>
      </c>
      <c r="BV162" s="556"/>
      <c r="BW162" s="663">
        <f t="shared" si="70"/>
        <v>2</v>
      </c>
      <c r="BX162" s="674">
        <f t="shared" si="71"/>
        <v>2</v>
      </c>
      <c r="BY162" s="674">
        <f t="shared" si="72"/>
        <v>1</v>
      </c>
      <c r="BZ162" s="674">
        <f t="shared" si="73"/>
        <v>1</v>
      </c>
      <c r="CA162" s="675">
        <f t="shared" si="74"/>
        <v>0</v>
      </c>
      <c r="CB162" s="675">
        <f t="shared" si="75"/>
        <v>0</v>
      </c>
    </row>
    <row r="163" spans="1:80" ht="78" hidden="1" customHeight="1" x14ac:dyDescent="0.25">
      <c r="A163" s="298"/>
      <c r="B163" s="299" t="str">
        <f>'PLAN INDICATIVO'!B159</f>
        <v>Atención a grupos vulnerables - promoción social</v>
      </c>
      <c r="C163" s="1547"/>
      <c r="D163" s="1551"/>
      <c r="E163" s="1551"/>
      <c r="F163" s="1551"/>
      <c r="G163" s="1551"/>
      <c r="H163" s="1551"/>
      <c r="I163" s="300">
        <f>'PLAN INDICATIVO'!I159</f>
        <v>0</v>
      </c>
      <c r="J163" s="300">
        <f>'PLAN INDICATIVO'!J159</f>
        <v>0</v>
      </c>
      <c r="K163" s="1425" t="str">
        <f>'PLAN INDICATIVO'!K159</f>
        <v>A.14.1.6</v>
      </c>
      <c r="L163" s="1425" t="str">
        <f>'PLAN INDICATIVO'!L159</f>
        <v>10. Reducción de las desigualdades</v>
      </c>
      <c r="M163" s="1425" t="s">
        <v>2735</v>
      </c>
      <c r="N163" s="1425" t="s">
        <v>2736</v>
      </c>
      <c r="O163" s="1425" t="str">
        <f>'PLAN INDICATIVO'!O159</f>
        <v>Incremento</v>
      </c>
      <c r="P163" s="16" t="str">
        <f>'PLAN INDICATIVO'!P159</f>
        <v>Realizar 12 capacitaciones de sensibilización en pro de mejorar la calidad de vida de los NNA, durante el cuatrienio.</v>
      </c>
      <c r="Q163" s="302" t="str">
        <f>'PLAN INDICATIVO'!Q159</f>
        <v>No. De capacitaciones realizadas</v>
      </c>
      <c r="R163" s="303">
        <f>'PLAN INDICATIVO'!R159</f>
        <v>2015</v>
      </c>
      <c r="S163" s="304">
        <v>0</v>
      </c>
      <c r="T163" s="677">
        <v>12</v>
      </c>
      <c r="U163" s="303">
        <v>3</v>
      </c>
      <c r="V163" s="687">
        <v>11000000</v>
      </c>
      <c r="W163" s="303">
        <v>3</v>
      </c>
      <c r="X163" s="687">
        <v>500000</v>
      </c>
      <c r="Y163" s="303">
        <v>3</v>
      </c>
      <c r="Z163" s="687">
        <v>500000</v>
      </c>
      <c r="AA163" s="303">
        <v>3</v>
      </c>
      <c r="AB163" s="687">
        <v>500000</v>
      </c>
      <c r="AC163" s="665">
        <v>3</v>
      </c>
      <c r="AD163" s="665">
        <v>3</v>
      </c>
      <c r="AE163" s="665"/>
      <c r="AF163" s="665"/>
      <c r="AG163" s="752" t="s">
        <v>3581</v>
      </c>
      <c r="AH163" s="1001">
        <v>2017413960012</v>
      </c>
      <c r="AI163" s="355" t="s">
        <v>3590</v>
      </c>
      <c r="AJ163" s="356">
        <v>42917</v>
      </c>
      <c r="AK163" s="356">
        <v>43054</v>
      </c>
      <c r="AL163" s="358"/>
      <c r="AM163" s="358"/>
      <c r="AN163" s="267" t="s">
        <v>2598</v>
      </c>
      <c r="AO163" s="512">
        <v>231803</v>
      </c>
      <c r="AP163" s="525"/>
      <c r="AQ163" s="310">
        <v>692308</v>
      </c>
      <c r="AR163" s="310"/>
      <c r="AS163" s="310"/>
      <c r="AT163" s="310"/>
      <c r="AU163" s="310"/>
      <c r="AV163" s="310"/>
      <c r="AW163" s="544">
        <f t="shared" si="65"/>
        <v>692308</v>
      </c>
      <c r="AX163" s="525"/>
      <c r="AY163" s="310"/>
      <c r="AZ163" s="310"/>
      <c r="BA163" s="310"/>
      <c r="BB163" s="310"/>
      <c r="BC163" s="310"/>
      <c r="BD163" s="310"/>
      <c r="BE163" s="544">
        <f t="shared" si="80"/>
        <v>0</v>
      </c>
      <c r="BF163" s="525"/>
      <c r="BG163" s="310"/>
      <c r="BH163" s="310"/>
      <c r="BI163" s="310"/>
      <c r="BJ163" s="310"/>
      <c r="BK163" s="310"/>
      <c r="BL163" s="310"/>
      <c r="BM163" s="544">
        <f t="shared" si="81"/>
        <v>0</v>
      </c>
      <c r="BN163" s="525"/>
      <c r="BO163" s="310"/>
      <c r="BP163" s="310"/>
      <c r="BQ163" s="310"/>
      <c r="BR163" s="310"/>
      <c r="BS163" s="310"/>
      <c r="BT163" s="310"/>
      <c r="BU163" s="544">
        <f t="shared" si="82"/>
        <v>0</v>
      </c>
      <c r="BV163" s="556"/>
      <c r="BW163" s="663">
        <f t="shared" si="70"/>
        <v>6</v>
      </c>
      <c r="BX163" s="864">
        <f t="shared" si="71"/>
        <v>0.5</v>
      </c>
      <c r="BY163" s="674">
        <f t="shared" si="72"/>
        <v>1</v>
      </c>
      <c r="BZ163" s="864">
        <f t="shared" si="73"/>
        <v>1</v>
      </c>
      <c r="CA163" s="675">
        <f t="shared" si="74"/>
        <v>0</v>
      </c>
      <c r="CB163" s="675">
        <f t="shared" si="75"/>
        <v>0</v>
      </c>
    </row>
    <row r="164" spans="1:80" ht="107.25" hidden="1" customHeight="1" x14ac:dyDescent="0.25">
      <c r="A164" s="298" t="s">
        <v>491</v>
      </c>
      <c r="B164" s="299" t="str">
        <f>'PLAN INDICATIVO'!B160</f>
        <v>Atención a grupos vulnerables - promoción social</v>
      </c>
      <c r="C164" s="1547"/>
      <c r="D164" s="1551"/>
      <c r="E164" s="1551"/>
      <c r="F164" s="1551"/>
      <c r="G164" s="1551"/>
      <c r="H164" s="1551"/>
      <c r="I164" s="300">
        <f>'PLAN INDICATIVO'!I160</f>
        <v>0</v>
      </c>
      <c r="J164" s="300">
        <f>'PLAN INDICATIVO'!J160</f>
        <v>0</v>
      </c>
      <c r="K164" s="1425" t="str">
        <f>'PLAN INDICATIVO'!K160</f>
        <v>A.14.1.7</v>
      </c>
      <c r="L164" s="1425" t="str">
        <f>'PLAN INDICATIVO'!L160</f>
        <v>10. Reducción de las desigualdades</v>
      </c>
      <c r="M164" s="1425" t="s">
        <v>2735</v>
      </c>
      <c r="N164" s="1425" t="s">
        <v>2736</v>
      </c>
      <c r="O164" s="1425" t="str">
        <f>'PLAN INDICATIVO'!O160</f>
        <v>Incremento</v>
      </c>
      <c r="P164" s="16" t="str">
        <f>'PLAN INDICATIVO'!P160</f>
        <v xml:space="preserve">Realizar 12 acciones institucionales en pro de evitar el reclutamiento, lograr la desvinculación del conflicto armado y atender  a NNA afectados por conflicto armado, durante el cuatrienio. </v>
      </c>
      <c r="Q164" s="302" t="str">
        <f>'PLAN INDICATIVO'!Q160</f>
        <v>No. De acciones institucionales realizadas</v>
      </c>
      <c r="R164" s="303">
        <f>'PLAN INDICATIVO'!R160</f>
        <v>2015</v>
      </c>
      <c r="S164" s="304">
        <v>0</v>
      </c>
      <c r="T164" s="677">
        <v>12</v>
      </c>
      <c r="U164" s="303">
        <v>3</v>
      </c>
      <c r="V164" s="687">
        <v>500000</v>
      </c>
      <c r="W164" s="303">
        <v>3</v>
      </c>
      <c r="X164" s="687">
        <v>500000</v>
      </c>
      <c r="Y164" s="303">
        <v>3</v>
      </c>
      <c r="Z164" s="687">
        <v>500000</v>
      </c>
      <c r="AA164" s="303">
        <v>3</v>
      </c>
      <c r="AB164" s="687">
        <v>500000</v>
      </c>
      <c r="AC164" s="669">
        <v>3</v>
      </c>
      <c r="AD164" s="669">
        <v>3</v>
      </c>
      <c r="AE164" s="669"/>
      <c r="AF164" s="669"/>
      <c r="AG164" s="752" t="s">
        <v>3581</v>
      </c>
      <c r="AH164" s="1001">
        <v>2017413960012</v>
      </c>
      <c r="AI164" s="355" t="s">
        <v>3591</v>
      </c>
      <c r="AJ164" s="356">
        <v>42795</v>
      </c>
      <c r="AK164" s="356">
        <v>43054</v>
      </c>
      <c r="AL164" s="358"/>
      <c r="AM164" s="358"/>
      <c r="AN164" s="267" t="s">
        <v>2598</v>
      </c>
      <c r="AO164" s="512" t="s">
        <v>3583</v>
      </c>
      <c r="AP164" s="525"/>
      <c r="AQ164" s="310">
        <f>1235500+692308+500375</f>
        <v>2428183</v>
      </c>
      <c r="AR164" s="310"/>
      <c r="AS164" s="310"/>
      <c r="AT164" s="310"/>
      <c r="AU164" s="310"/>
      <c r="AV164" s="310"/>
      <c r="AW164" s="544">
        <f t="shared" si="65"/>
        <v>2428183</v>
      </c>
      <c r="AX164" s="525"/>
      <c r="AY164" s="310"/>
      <c r="AZ164" s="310"/>
      <c r="BA164" s="310"/>
      <c r="BB164" s="310"/>
      <c r="BC164" s="310"/>
      <c r="BD164" s="310"/>
      <c r="BE164" s="544">
        <f t="shared" si="80"/>
        <v>0</v>
      </c>
      <c r="BF164" s="525"/>
      <c r="BG164" s="310"/>
      <c r="BH164" s="310"/>
      <c r="BI164" s="310"/>
      <c r="BJ164" s="310"/>
      <c r="BK164" s="310"/>
      <c r="BL164" s="310"/>
      <c r="BM164" s="544">
        <f t="shared" si="81"/>
        <v>0</v>
      </c>
      <c r="BN164" s="525"/>
      <c r="BO164" s="310"/>
      <c r="BP164" s="310"/>
      <c r="BQ164" s="310"/>
      <c r="BR164" s="310"/>
      <c r="BS164" s="310"/>
      <c r="BT164" s="310"/>
      <c r="BU164" s="544">
        <f t="shared" si="82"/>
        <v>0</v>
      </c>
      <c r="BV164" s="556"/>
      <c r="BW164" s="663">
        <f t="shared" si="70"/>
        <v>6</v>
      </c>
      <c r="BX164" s="864">
        <f t="shared" si="71"/>
        <v>0.5</v>
      </c>
      <c r="BY164" s="674">
        <f t="shared" si="72"/>
        <v>1</v>
      </c>
      <c r="BZ164" s="864">
        <f t="shared" si="73"/>
        <v>1</v>
      </c>
      <c r="CA164" s="675">
        <f t="shared" si="74"/>
        <v>0</v>
      </c>
      <c r="CB164" s="675">
        <f t="shared" si="75"/>
        <v>0</v>
      </c>
    </row>
    <row r="165" spans="1:80" ht="86.25" hidden="1" customHeight="1" x14ac:dyDescent="0.25">
      <c r="A165" s="298" t="s">
        <v>491</v>
      </c>
      <c r="B165" s="299" t="str">
        <f>'PLAN INDICATIVO'!B161</f>
        <v>Atención a grupos vulnerables - promoción social</v>
      </c>
      <c r="C165" s="1547"/>
      <c r="D165" s="1551"/>
      <c r="E165" s="1551"/>
      <c r="F165" s="1551"/>
      <c r="G165" s="1551"/>
      <c r="H165" s="1551"/>
      <c r="I165" s="300">
        <f>'PLAN INDICATIVO'!I161</f>
        <v>0</v>
      </c>
      <c r="J165" s="300">
        <f>'PLAN INDICATIVO'!J161</f>
        <v>0</v>
      </c>
      <c r="K165" s="1425" t="str">
        <f>'PLAN INDICATIVO'!K161</f>
        <v>A.14.1.8</v>
      </c>
      <c r="L165" s="1425" t="str">
        <f>'PLAN INDICATIVO'!L161</f>
        <v>10. Reducción de las desigualdades</v>
      </c>
      <c r="M165" s="1425" t="s">
        <v>2735</v>
      </c>
      <c r="N165" s="1425" t="s">
        <v>2736</v>
      </c>
      <c r="O165" s="1425" t="str">
        <f>'PLAN INDICATIVO'!O161</f>
        <v>Incremento</v>
      </c>
      <c r="P165" s="16" t="str">
        <f>'PLAN INDICATIVO'!P161</f>
        <v>Realizar 12 campañas  para prevenir cualquier tipo de maltrato y abuso sexual en NNA, durante el cuatrienio</v>
      </c>
      <c r="Q165" s="302" t="str">
        <f>'PLAN INDICATIVO'!Q161</f>
        <v>No. De Campañas implementadas</v>
      </c>
      <c r="R165" s="303">
        <f>'PLAN INDICATIVO'!R161</f>
        <v>2015</v>
      </c>
      <c r="S165" s="304">
        <v>2</v>
      </c>
      <c r="T165" s="677">
        <v>12</v>
      </c>
      <c r="U165" s="303">
        <v>3</v>
      </c>
      <c r="V165" s="687">
        <v>15000000</v>
      </c>
      <c r="W165" s="303">
        <v>3</v>
      </c>
      <c r="X165" s="687">
        <v>4000000</v>
      </c>
      <c r="Y165" s="303">
        <v>3</v>
      </c>
      <c r="Z165" s="687">
        <v>4000000</v>
      </c>
      <c r="AA165" s="303">
        <v>3</v>
      </c>
      <c r="AB165" s="687">
        <v>4000000</v>
      </c>
      <c r="AC165" s="669">
        <v>3</v>
      </c>
      <c r="AD165" s="669">
        <v>3</v>
      </c>
      <c r="AE165" s="669"/>
      <c r="AF165" s="669"/>
      <c r="AG165" s="752" t="s">
        <v>3581</v>
      </c>
      <c r="AH165" s="1001">
        <v>2017413960012</v>
      </c>
      <c r="AI165" s="355" t="s">
        <v>3592</v>
      </c>
      <c r="AJ165" s="356">
        <v>42795</v>
      </c>
      <c r="AK165" s="356">
        <v>43084</v>
      </c>
      <c r="AL165" s="358"/>
      <c r="AM165" s="358"/>
      <c r="AN165" s="267" t="s">
        <v>2598</v>
      </c>
      <c r="AO165" s="512" t="s">
        <v>3583</v>
      </c>
      <c r="AP165" s="525"/>
      <c r="AQ165" s="310">
        <f>1235500+692308+500375</f>
        <v>2428183</v>
      </c>
      <c r="AR165" s="310"/>
      <c r="AS165" s="310"/>
      <c r="AT165" s="310"/>
      <c r="AU165" s="310"/>
      <c r="AV165" s="310"/>
      <c r="AW165" s="544">
        <f t="shared" si="65"/>
        <v>2428183</v>
      </c>
      <c r="AX165" s="525"/>
      <c r="AY165" s="310"/>
      <c r="AZ165" s="310"/>
      <c r="BA165" s="310"/>
      <c r="BB165" s="310"/>
      <c r="BC165" s="310"/>
      <c r="BD165" s="310"/>
      <c r="BE165" s="544">
        <f t="shared" si="80"/>
        <v>0</v>
      </c>
      <c r="BF165" s="525"/>
      <c r="BG165" s="310"/>
      <c r="BH165" s="310"/>
      <c r="BI165" s="310"/>
      <c r="BJ165" s="310"/>
      <c r="BK165" s="310"/>
      <c r="BL165" s="310"/>
      <c r="BM165" s="544">
        <f t="shared" si="81"/>
        <v>0</v>
      </c>
      <c r="BN165" s="525"/>
      <c r="BO165" s="310"/>
      <c r="BP165" s="310"/>
      <c r="BQ165" s="310"/>
      <c r="BR165" s="310"/>
      <c r="BS165" s="310"/>
      <c r="BT165" s="310"/>
      <c r="BU165" s="544">
        <f t="shared" si="82"/>
        <v>0</v>
      </c>
      <c r="BV165" s="556"/>
      <c r="BW165" s="663">
        <f t="shared" si="70"/>
        <v>6</v>
      </c>
      <c r="BX165" s="674">
        <f t="shared" si="71"/>
        <v>0.5</v>
      </c>
      <c r="BY165" s="674">
        <f t="shared" si="72"/>
        <v>1</v>
      </c>
      <c r="BZ165" s="674">
        <f t="shared" si="73"/>
        <v>1</v>
      </c>
      <c r="CA165" s="675">
        <f t="shared" si="74"/>
        <v>0</v>
      </c>
      <c r="CB165" s="675">
        <f t="shared" si="75"/>
        <v>0</v>
      </c>
    </row>
    <row r="166" spans="1:80" ht="93.75" hidden="1" customHeight="1" x14ac:dyDescent="0.25">
      <c r="A166" s="298" t="s">
        <v>491</v>
      </c>
      <c r="B166" s="299" t="str">
        <f>'PLAN INDICATIVO'!B162</f>
        <v>Atención a grupos vulnerables - promoción social</v>
      </c>
      <c r="C166" s="1547"/>
      <c r="D166" s="1551"/>
      <c r="E166" s="1551"/>
      <c r="F166" s="1551"/>
      <c r="G166" s="1551"/>
      <c r="H166" s="1551"/>
      <c r="I166" s="300">
        <f>'PLAN INDICATIVO'!I162</f>
        <v>0</v>
      </c>
      <c r="J166" s="300">
        <f>'PLAN INDICATIVO'!J162</f>
        <v>0</v>
      </c>
      <c r="K166" s="1425" t="str">
        <f>'PLAN INDICATIVO'!K162</f>
        <v>A.14.1.9</v>
      </c>
      <c r="L166" s="1425" t="str">
        <f>'PLAN INDICATIVO'!L162</f>
        <v>10. Reducción de las desigualdades</v>
      </c>
      <c r="M166" s="1425" t="s">
        <v>2735</v>
      </c>
      <c r="N166" s="1425" t="s">
        <v>2736</v>
      </c>
      <c r="O166" s="1425" t="str">
        <f>'PLAN INDICATIVO'!O162</f>
        <v>Mantenimiento</v>
      </c>
      <c r="P166" s="16" t="str">
        <f>'PLAN INDICATIVO'!P162</f>
        <v xml:space="preserve">Implementar 1 estrategia para buscar rehabilitación, resocialización y protección NNA, en articulación con el ICBF, en el cuatrienio </v>
      </c>
      <c r="Q166" s="302" t="str">
        <f>'PLAN INDICATIVO'!Q162</f>
        <v>No. De Estrategias implementadas</v>
      </c>
      <c r="R166" s="303">
        <f>'PLAN INDICATIVO'!R162</f>
        <v>2015</v>
      </c>
      <c r="S166" s="304">
        <v>0</v>
      </c>
      <c r="T166" s="677">
        <v>1</v>
      </c>
      <c r="U166" s="303">
        <v>1</v>
      </c>
      <c r="V166" s="687">
        <v>3000000</v>
      </c>
      <c r="W166" s="303">
        <v>1</v>
      </c>
      <c r="X166" s="687">
        <v>500000</v>
      </c>
      <c r="Y166" s="303">
        <v>1</v>
      </c>
      <c r="Z166" s="687">
        <v>500000</v>
      </c>
      <c r="AA166" s="303">
        <v>1</v>
      </c>
      <c r="AB166" s="687">
        <v>520000</v>
      </c>
      <c r="AC166" s="669">
        <v>1</v>
      </c>
      <c r="AD166" s="669"/>
      <c r="AE166" s="669"/>
      <c r="AF166" s="669"/>
      <c r="AG166" s="752" t="s">
        <v>3581</v>
      </c>
      <c r="AH166" s="1001">
        <v>2017413960012</v>
      </c>
      <c r="AI166" s="355" t="s">
        <v>3593</v>
      </c>
      <c r="AJ166" s="356">
        <v>42795</v>
      </c>
      <c r="AK166" s="356">
        <v>43084</v>
      </c>
      <c r="AL166" s="358"/>
      <c r="AM166" s="358"/>
      <c r="AN166" s="267" t="s">
        <v>2600</v>
      </c>
      <c r="AO166" s="512" t="s">
        <v>3586</v>
      </c>
      <c r="AP166" s="525"/>
      <c r="AQ166" s="310">
        <v>2647500</v>
      </c>
      <c r="AR166" s="310"/>
      <c r="AS166" s="310"/>
      <c r="AT166" s="310"/>
      <c r="AU166" s="310"/>
      <c r="AV166" s="310"/>
      <c r="AW166" s="544">
        <f t="shared" si="65"/>
        <v>2647500</v>
      </c>
      <c r="AX166" s="525"/>
      <c r="AY166" s="310"/>
      <c r="AZ166" s="310"/>
      <c r="BA166" s="310"/>
      <c r="BB166" s="310"/>
      <c r="BC166" s="310"/>
      <c r="BD166" s="310"/>
      <c r="BE166" s="544">
        <f t="shared" si="80"/>
        <v>0</v>
      </c>
      <c r="BF166" s="525"/>
      <c r="BG166" s="310"/>
      <c r="BH166" s="310"/>
      <c r="BI166" s="310"/>
      <c r="BJ166" s="310"/>
      <c r="BK166" s="310"/>
      <c r="BL166" s="310"/>
      <c r="BM166" s="544">
        <f t="shared" si="81"/>
        <v>0</v>
      </c>
      <c r="BN166" s="525"/>
      <c r="BO166" s="310"/>
      <c r="BP166" s="310"/>
      <c r="BQ166" s="310"/>
      <c r="BR166" s="310"/>
      <c r="BS166" s="310"/>
      <c r="BT166" s="310"/>
      <c r="BU166" s="544">
        <f t="shared" si="82"/>
        <v>0</v>
      </c>
      <c r="BV166" s="556"/>
      <c r="BW166" s="663">
        <f t="shared" si="70"/>
        <v>1</v>
      </c>
      <c r="BX166" s="674">
        <f t="shared" si="71"/>
        <v>1</v>
      </c>
      <c r="BY166" s="674">
        <f t="shared" si="72"/>
        <v>1</v>
      </c>
      <c r="BZ166" s="674">
        <f t="shared" si="73"/>
        <v>0</v>
      </c>
      <c r="CA166" s="675">
        <f t="shared" si="74"/>
        <v>0</v>
      </c>
      <c r="CB166" s="675">
        <f t="shared" si="75"/>
        <v>0</v>
      </c>
    </row>
    <row r="167" spans="1:80" ht="102.75" hidden="1" customHeight="1" x14ac:dyDescent="0.25">
      <c r="A167" s="298" t="s">
        <v>491</v>
      </c>
      <c r="B167" s="299" t="str">
        <f>'PLAN INDICATIVO'!B163</f>
        <v>Atención a grupos vulnerables - promoción social</v>
      </c>
      <c r="C167" s="1547"/>
      <c r="D167" s="1551"/>
      <c r="E167" s="1551"/>
      <c r="F167" s="1551"/>
      <c r="G167" s="1551"/>
      <c r="H167" s="1551"/>
      <c r="I167" s="300">
        <f>'PLAN INDICATIVO'!I163</f>
        <v>0</v>
      </c>
      <c r="J167" s="300">
        <f>'PLAN INDICATIVO'!J163</f>
        <v>0</v>
      </c>
      <c r="K167" s="1425" t="str">
        <f>'PLAN INDICATIVO'!K163</f>
        <v>A.14.1.10</v>
      </c>
      <c r="L167" s="1425" t="str">
        <f>'PLAN INDICATIVO'!L163</f>
        <v>10. Reducción de las desigualdades</v>
      </c>
      <c r="M167" s="1425" t="s">
        <v>2735</v>
      </c>
      <c r="N167" s="1425" t="s">
        <v>2736</v>
      </c>
      <c r="O167" s="1425" t="str">
        <f>'PLAN INDICATIVO'!O163</f>
        <v>Incremento</v>
      </c>
      <c r="P167" s="16" t="str">
        <f>'PLAN INDICATIVO'!P163</f>
        <v>Articular 2 estrategias con el ICBF y la gobernación del Huila, conducentes a lograr la inclusión al sistema educativo de NNA en situación de discapacidad y la Inclusión a programas de educación inicial, durante el cuatrienio</v>
      </c>
      <c r="Q167" s="302" t="str">
        <f>'PLAN INDICATIVO'!Q163</f>
        <v>No. De estrategias articuladas</v>
      </c>
      <c r="R167" s="303">
        <f>'PLAN INDICATIVO'!R163</f>
        <v>2015</v>
      </c>
      <c r="S167" s="304">
        <v>0</v>
      </c>
      <c r="T167" s="677">
        <v>2</v>
      </c>
      <c r="U167" s="846">
        <v>0</v>
      </c>
      <c r="V167" s="687">
        <v>500000</v>
      </c>
      <c r="W167" s="303">
        <v>0</v>
      </c>
      <c r="X167" s="687">
        <v>0</v>
      </c>
      <c r="Y167" s="303">
        <v>1</v>
      </c>
      <c r="Z167" s="687">
        <v>500000</v>
      </c>
      <c r="AA167" s="303">
        <v>0</v>
      </c>
      <c r="AB167" s="687">
        <v>0</v>
      </c>
      <c r="AC167" s="669">
        <v>1</v>
      </c>
      <c r="AD167" s="669"/>
      <c r="AE167" s="669"/>
      <c r="AF167" s="669"/>
      <c r="AG167" s="752" t="s">
        <v>3581</v>
      </c>
      <c r="AH167" s="1001">
        <v>2017413960012</v>
      </c>
      <c r="AI167" s="355"/>
      <c r="AJ167" s="356"/>
      <c r="AK167" s="356"/>
      <c r="AL167" s="358"/>
      <c r="AM167" s="358"/>
      <c r="AN167" s="267" t="s">
        <v>2594</v>
      </c>
      <c r="AO167" s="512"/>
      <c r="AP167" s="525"/>
      <c r="AQ167" s="759"/>
      <c r="AR167" s="310"/>
      <c r="AS167" s="310"/>
      <c r="AT167" s="310"/>
      <c r="AU167" s="310"/>
      <c r="AV167" s="310"/>
      <c r="AW167" s="544">
        <f t="shared" si="65"/>
        <v>0</v>
      </c>
      <c r="AX167" s="525"/>
      <c r="AY167" s="310"/>
      <c r="AZ167" s="310"/>
      <c r="BA167" s="310"/>
      <c r="BB167" s="310"/>
      <c r="BC167" s="310"/>
      <c r="BD167" s="310"/>
      <c r="BE167" s="544">
        <f t="shared" si="80"/>
        <v>0</v>
      </c>
      <c r="BF167" s="525"/>
      <c r="BG167" s="310"/>
      <c r="BH167" s="310"/>
      <c r="BI167" s="310"/>
      <c r="BJ167" s="310"/>
      <c r="BK167" s="310"/>
      <c r="BL167" s="310"/>
      <c r="BM167" s="544">
        <f t="shared" si="81"/>
        <v>0</v>
      </c>
      <c r="BN167" s="525"/>
      <c r="BO167" s="310"/>
      <c r="BP167" s="310"/>
      <c r="BQ167" s="310"/>
      <c r="BR167" s="310"/>
      <c r="BS167" s="310"/>
      <c r="BT167" s="310"/>
      <c r="BU167" s="544">
        <f t="shared" si="82"/>
        <v>0</v>
      </c>
      <c r="BV167" s="556"/>
      <c r="BW167" s="663">
        <f t="shared" si="70"/>
        <v>1</v>
      </c>
      <c r="BX167" s="674">
        <f t="shared" si="71"/>
        <v>0.5</v>
      </c>
      <c r="BY167" s="674" t="e">
        <f t="shared" si="72"/>
        <v>#DIV/0!</v>
      </c>
      <c r="BZ167" s="674" t="e">
        <f t="shared" si="73"/>
        <v>#DIV/0!</v>
      </c>
      <c r="CA167" s="675">
        <f t="shared" si="74"/>
        <v>0</v>
      </c>
      <c r="CB167" s="675" t="e">
        <f t="shared" si="75"/>
        <v>#DIV/0!</v>
      </c>
    </row>
    <row r="168" spans="1:80" ht="105.75" hidden="1" customHeight="1" x14ac:dyDescent="0.25">
      <c r="A168" s="298" t="s">
        <v>491</v>
      </c>
      <c r="B168" s="299" t="str">
        <f>'PLAN INDICATIVO'!B164</f>
        <v>Atención a grupos vulnerables - promoción social</v>
      </c>
      <c r="C168" s="1547"/>
      <c r="D168" s="1551"/>
      <c r="E168" s="1551"/>
      <c r="F168" s="1551"/>
      <c r="G168" s="1551"/>
      <c r="H168" s="1551"/>
      <c r="I168" s="300">
        <f>'PLAN INDICATIVO'!I164</f>
        <v>0</v>
      </c>
      <c r="J168" s="300">
        <f>'PLAN INDICATIVO'!J164</f>
        <v>0</v>
      </c>
      <c r="K168" s="1425" t="str">
        <f>'PLAN INDICATIVO'!K164</f>
        <v>A.14.1.11</v>
      </c>
      <c r="L168" s="1425" t="str">
        <f>'PLAN INDICATIVO'!L164</f>
        <v>10. Reducción de las desigualdades</v>
      </c>
      <c r="M168" s="1425" t="s">
        <v>2735</v>
      </c>
      <c r="N168" s="1425" t="s">
        <v>2736</v>
      </c>
      <c r="O168" s="1425" t="str">
        <f>'PLAN INDICATIVO'!O164</f>
        <v>Incremento</v>
      </c>
      <c r="P168" s="16" t="str">
        <f>'PLAN INDICATIVO'!P164</f>
        <v>Realizar 16  capacitaciones en IE durante el cuatrienio para fomentar los derechos de protección del los NNA.</v>
      </c>
      <c r="Q168" s="302" t="str">
        <f>'PLAN INDICATIVO'!Q164</f>
        <v>No. De capacitaciones realizadas</v>
      </c>
      <c r="R168" s="303">
        <f>'PLAN INDICATIVO'!R164</f>
        <v>2015</v>
      </c>
      <c r="S168" s="304">
        <v>0</v>
      </c>
      <c r="T168" s="677">
        <v>16</v>
      </c>
      <c r="U168" s="303">
        <v>4</v>
      </c>
      <c r="V168" s="687">
        <v>1000000</v>
      </c>
      <c r="W168" s="303">
        <v>4</v>
      </c>
      <c r="X168" s="687">
        <v>500000</v>
      </c>
      <c r="Y168" s="303">
        <v>4</v>
      </c>
      <c r="Z168" s="687">
        <v>500000</v>
      </c>
      <c r="AA168" s="303">
        <v>4</v>
      </c>
      <c r="AB168" s="687">
        <v>500000</v>
      </c>
      <c r="AC168" s="669">
        <v>4</v>
      </c>
      <c r="AD168" s="669">
        <v>4</v>
      </c>
      <c r="AE168" s="669"/>
      <c r="AF168" s="669"/>
      <c r="AG168" s="752" t="s">
        <v>3581</v>
      </c>
      <c r="AH168" s="1001">
        <v>2017413960012</v>
      </c>
      <c r="AI168" s="355" t="s">
        <v>3594</v>
      </c>
      <c r="AJ168" s="356">
        <v>42767</v>
      </c>
      <c r="AK168" s="356">
        <v>43038</v>
      </c>
      <c r="AL168" s="358"/>
      <c r="AM168" s="358"/>
      <c r="AN168" s="267" t="s">
        <v>2598</v>
      </c>
      <c r="AO168" s="512">
        <v>231803</v>
      </c>
      <c r="AP168" s="526"/>
      <c r="AQ168" s="760">
        <v>692308</v>
      </c>
      <c r="AR168" s="470"/>
      <c r="AS168" s="470"/>
      <c r="AT168" s="470"/>
      <c r="AU168" s="470"/>
      <c r="AV168" s="470"/>
      <c r="AW168" s="544">
        <f t="shared" si="65"/>
        <v>692308</v>
      </c>
      <c r="AX168" s="526"/>
      <c r="AY168" s="470"/>
      <c r="AZ168" s="470"/>
      <c r="BA168" s="470"/>
      <c r="BB168" s="470"/>
      <c r="BC168" s="470"/>
      <c r="BD168" s="470"/>
      <c r="BE168" s="544">
        <f t="shared" si="80"/>
        <v>0</v>
      </c>
      <c r="BF168" s="526"/>
      <c r="BG168" s="470"/>
      <c r="BH168" s="470"/>
      <c r="BI168" s="470"/>
      <c r="BJ168" s="470"/>
      <c r="BK168" s="470"/>
      <c r="BL168" s="470"/>
      <c r="BM168" s="544">
        <f t="shared" si="81"/>
        <v>0</v>
      </c>
      <c r="BN168" s="526"/>
      <c r="BO168" s="470"/>
      <c r="BP168" s="470"/>
      <c r="BQ168" s="470"/>
      <c r="BR168" s="470"/>
      <c r="BS168" s="470"/>
      <c r="BT168" s="470"/>
      <c r="BU168" s="544">
        <f t="shared" si="82"/>
        <v>0</v>
      </c>
      <c r="BV168" s="556"/>
      <c r="BW168" s="663">
        <f t="shared" si="70"/>
        <v>8</v>
      </c>
      <c r="BX168" s="864">
        <f t="shared" si="71"/>
        <v>0.5</v>
      </c>
      <c r="BY168" s="674">
        <f t="shared" si="72"/>
        <v>1</v>
      </c>
      <c r="BZ168" s="674">
        <f t="shared" si="73"/>
        <v>1</v>
      </c>
      <c r="CA168" s="675">
        <f t="shared" si="74"/>
        <v>0</v>
      </c>
      <c r="CB168" s="675">
        <f t="shared" si="75"/>
        <v>0</v>
      </c>
    </row>
    <row r="169" spans="1:80" ht="104.25" hidden="1" customHeight="1" x14ac:dyDescent="0.25">
      <c r="A169" s="298" t="s">
        <v>491</v>
      </c>
      <c r="B169" s="299" t="str">
        <f>'PLAN INDICATIVO'!B165</f>
        <v>Atención a grupos vulnerables - promoción social</v>
      </c>
      <c r="C169" s="1547"/>
      <c r="D169" s="1551"/>
      <c r="E169" s="1551"/>
      <c r="F169" s="1551"/>
      <c r="G169" s="1551"/>
      <c r="H169" s="1551"/>
      <c r="I169" s="300">
        <f>'PLAN INDICATIVO'!I165</f>
        <v>0</v>
      </c>
      <c r="J169" s="300">
        <f>'PLAN INDICATIVO'!J165</f>
        <v>0</v>
      </c>
      <c r="K169" s="1425" t="str">
        <f>'PLAN INDICATIVO'!K165</f>
        <v>A.14.1.12</v>
      </c>
      <c r="L169" s="1425" t="str">
        <f>'PLAN INDICATIVO'!L165</f>
        <v>10. Reducción de las desigualdades</v>
      </c>
      <c r="M169" s="1425" t="s">
        <v>2735</v>
      </c>
      <c r="N169" s="1425" t="s">
        <v>2736</v>
      </c>
      <c r="O169" s="1425" t="str">
        <f>'PLAN INDICATIVO'!O165</f>
        <v>Mantenimiento</v>
      </c>
      <c r="P169" s="16" t="str">
        <f>'PLAN INDICATIVO'!P165</f>
        <v xml:space="preserve">Realizar 1 seguimiento al programa nutricional desarrollado por la ESE municipal para NNA cada año. </v>
      </c>
      <c r="Q169" s="302" t="str">
        <f>'PLAN INDICATIVO'!Q165</f>
        <v>No. De seguimientos al programa nutricional realizados por año</v>
      </c>
      <c r="R169" s="303">
        <f>'PLAN INDICATIVO'!R165</f>
        <v>2015</v>
      </c>
      <c r="S169" s="304">
        <v>0</v>
      </c>
      <c r="T169" s="677">
        <v>4</v>
      </c>
      <c r="U169" s="303">
        <v>1</v>
      </c>
      <c r="V169" s="687">
        <v>500000</v>
      </c>
      <c r="W169" s="303">
        <v>1</v>
      </c>
      <c r="X169" s="687">
        <v>500000</v>
      </c>
      <c r="Y169" s="303">
        <v>1</v>
      </c>
      <c r="Z169" s="687">
        <v>500000</v>
      </c>
      <c r="AA169" s="303">
        <v>1</v>
      </c>
      <c r="AB169" s="687">
        <v>500000</v>
      </c>
      <c r="AC169" s="669">
        <v>1</v>
      </c>
      <c r="AD169" s="669"/>
      <c r="AE169" s="669"/>
      <c r="AF169" s="669"/>
      <c r="AG169" s="752" t="s">
        <v>3581</v>
      </c>
      <c r="AH169" s="1001">
        <v>2017413960012</v>
      </c>
      <c r="AI169" s="355" t="s">
        <v>3595</v>
      </c>
      <c r="AJ169" s="356">
        <v>42795</v>
      </c>
      <c r="AK169" s="356">
        <v>43038</v>
      </c>
      <c r="AL169" s="358"/>
      <c r="AM169" s="358"/>
      <c r="AN169" s="267" t="s">
        <v>2600</v>
      </c>
      <c r="AO169" s="512"/>
      <c r="AP169" s="525"/>
      <c r="AQ169" s="759"/>
      <c r="AR169" s="310"/>
      <c r="AS169" s="310"/>
      <c r="AT169" s="310"/>
      <c r="AU169" s="310"/>
      <c r="AV169" s="310"/>
      <c r="AW169" s="544">
        <f t="shared" si="65"/>
        <v>0</v>
      </c>
      <c r="AX169" s="525"/>
      <c r="AY169" s="310"/>
      <c r="AZ169" s="310"/>
      <c r="BA169" s="310"/>
      <c r="BB169" s="310"/>
      <c r="BC169" s="310"/>
      <c r="BD169" s="310"/>
      <c r="BE169" s="544">
        <f t="shared" si="80"/>
        <v>0</v>
      </c>
      <c r="BF169" s="525"/>
      <c r="BG169" s="310"/>
      <c r="BH169" s="310"/>
      <c r="BI169" s="310"/>
      <c r="BJ169" s="310"/>
      <c r="BK169" s="310"/>
      <c r="BL169" s="310"/>
      <c r="BM169" s="544">
        <f t="shared" si="81"/>
        <v>0</v>
      </c>
      <c r="BN169" s="525"/>
      <c r="BO169" s="310"/>
      <c r="BP169" s="310"/>
      <c r="BQ169" s="310"/>
      <c r="BR169" s="310"/>
      <c r="BS169" s="310"/>
      <c r="BT169" s="310"/>
      <c r="BU169" s="544">
        <f t="shared" si="82"/>
        <v>0</v>
      </c>
      <c r="BV169" s="556"/>
      <c r="BW169" s="663">
        <f t="shared" si="70"/>
        <v>1</v>
      </c>
      <c r="BX169" s="864">
        <f t="shared" si="71"/>
        <v>0.25</v>
      </c>
      <c r="BY169" s="674">
        <f t="shared" si="72"/>
        <v>1</v>
      </c>
      <c r="BZ169" s="674">
        <f t="shared" si="73"/>
        <v>0</v>
      </c>
      <c r="CA169" s="675">
        <f t="shared" si="74"/>
        <v>0</v>
      </c>
      <c r="CB169" s="675">
        <f t="shared" si="75"/>
        <v>0</v>
      </c>
    </row>
    <row r="170" spans="1:80" ht="100.5" hidden="1" customHeight="1" x14ac:dyDescent="0.25">
      <c r="A170" s="298" t="s">
        <v>491</v>
      </c>
      <c r="B170" s="299" t="str">
        <f>'PLAN INDICATIVO'!B166</f>
        <v>Atención a grupos vulnerables - promoción social</v>
      </c>
      <c r="C170" s="1547"/>
      <c r="D170" s="1551"/>
      <c r="E170" s="1551"/>
      <c r="F170" s="1551"/>
      <c r="G170" s="1551"/>
      <c r="H170" s="1551"/>
      <c r="I170" s="300">
        <f>'PLAN INDICATIVO'!I166</f>
        <v>0</v>
      </c>
      <c r="J170" s="300">
        <f>'PLAN INDICATIVO'!J166</f>
        <v>0</v>
      </c>
      <c r="K170" s="1425" t="str">
        <f>'PLAN INDICATIVO'!K166</f>
        <v>A.14.1.13</v>
      </c>
      <c r="L170" s="1425" t="str">
        <f>'PLAN INDICATIVO'!L166</f>
        <v>10. Reducción de las desigualdades</v>
      </c>
      <c r="M170" s="1425" t="s">
        <v>2735</v>
      </c>
      <c r="N170" s="1425" t="s">
        <v>2736</v>
      </c>
      <c r="O170" s="1425" t="str">
        <f>'PLAN INDICATIVO'!O166</f>
        <v>Incremento</v>
      </c>
      <c r="P170" s="16" t="str">
        <f>'PLAN INDICATIVO'!P166</f>
        <v>Realizar 2 jornadas de identificación de NNA, articulada con la Registraduría, durante el cuatrienio</v>
      </c>
      <c r="Q170" s="302" t="str">
        <f>'PLAN INDICATIVO'!Q166</f>
        <v>No. De jornadas de identificación realizadas</v>
      </c>
      <c r="R170" s="303">
        <f>'PLAN INDICATIVO'!R166</f>
        <v>2015</v>
      </c>
      <c r="S170" s="304">
        <v>0</v>
      </c>
      <c r="T170" s="677">
        <v>2</v>
      </c>
      <c r="U170" s="303">
        <v>1</v>
      </c>
      <c r="V170" s="687">
        <v>300000</v>
      </c>
      <c r="W170" s="303">
        <v>1</v>
      </c>
      <c r="X170" s="687">
        <v>500000</v>
      </c>
      <c r="Y170" s="303">
        <v>0</v>
      </c>
      <c r="Z170" s="687">
        <v>0</v>
      </c>
      <c r="AA170" s="303">
        <v>1</v>
      </c>
      <c r="AB170" s="687">
        <v>500000</v>
      </c>
      <c r="AC170" s="669"/>
      <c r="AD170" s="669">
        <v>1</v>
      </c>
      <c r="AE170" s="669"/>
      <c r="AF170" s="669"/>
      <c r="AG170" s="752" t="s">
        <v>3581</v>
      </c>
      <c r="AH170" s="1001">
        <v>2017413960012</v>
      </c>
      <c r="AI170" s="355" t="s">
        <v>3596</v>
      </c>
      <c r="AJ170" s="356">
        <v>42795</v>
      </c>
      <c r="AK170" s="356">
        <v>43038</v>
      </c>
      <c r="AL170" s="358"/>
      <c r="AM170" s="358"/>
      <c r="AN170" s="267" t="s">
        <v>2598</v>
      </c>
      <c r="AO170" s="512" t="s">
        <v>3597</v>
      </c>
      <c r="AP170" s="525"/>
      <c r="AQ170" s="310">
        <v>1412000</v>
      </c>
      <c r="AR170" s="310"/>
      <c r="AS170" s="310"/>
      <c r="AT170" s="310"/>
      <c r="AU170" s="310"/>
      <c r="AV170" s="310"/>
      <c r="AW170" s="544">
        <f t="shared" si="65"/>
        <v>1412000</v>
      </c>
      <c r="AX170" s="525"/>
      <c r="AY170" s="310"/>
      <c r="AZ170" s="310"/>
      <c r="BA170" s="310"/>
      <c r="BB170" s="310"/>
      <c r="BC170" s="310"/>
      <c r="BD170" s="310"/>
      <c r="BE170" s="544">
        <f t="shared" si="80"/>
        <v>0</v>
      </c>
      <c r="BF170" s="525"/>
      <c r="BG170" s="310"/>
      <c r="BH170" s="310"/>
      <c r="BI170" s="310"/>
      <c r="BJ170" s="310"/>
      <c r="BK170" s="310"/>
      <c r="BL170" s="310"/>
      <c r="BM170" s="544">
        <f t="shared" si="81"/>
        <v>0</v>
      </c>
      <c r="BN170" s="525"/>
      <c r="BO170" s="310"/>
      <c r="BP170" s="310"/>
      <c r="BQ170" s="310"/>
      <c r="BR170" s="310"/>
      <c r="BS170" s="310"/>
      <c r="BT170" s="310"/>
      <c r="BU170" s="544">
        <f t="shared" si="82"/>
        <v>0</v>
      </c>
      <c r="BV170" s="556"/>
      <c r="BW170" s="663">
        <f t="shared" si="70"/>
        <v>1</v>
      </c>
      <c r="BX170" s="674">
        <f t="shared" si="71"/>
        <v>0.5</v>
      </c>
      <c r="BY170" s="674">
        <f t="shared" si="72"/>
        <v>0</v>
      </c>
      <c r="BZ170" s="674">
        <f t="shared" si="73"/>
        <v>1</v>
      </c>
      <c r="CA170" s="675" t="e">
        <f t="shared" si="74"/>
        <v>#DIV/0!</v>
      </c>
      <c r="CB170" s="675">
        <f t="shared" si="75"/>
        <v>0</v>
      </c>
    </row>
    <row r="171" spans="1:80" ht="95.25" hidden="1" customHeight="1" x14ac:dyDescent="0.25">
      <c r="A171" s="298" t="s">
        <v>491</v>
      </c>
      <c r="B171" s="299" t="str">
        <f>'PLAN INDICATIVO'!B167</f>
        <v>Atención a grupos vulnerables - promoción social</v>
      </c>
      <c r="C171" s="1547"/>
      <c r="D171" s="1551"/>
      <c r="E171" s="1551"/>
      <c r="F171" s="1551"/>
      <c r="G171" s="1551"/>
      <c r="H171" s="1551"/>
      <c r="I171" s="300">
        <f>'PLAN INDICATIVO'!I167</f>
        <v>0</v>
      </c>
      <c r="J171" s="300">
        <f>'PLAN INDICATIVO'!J167</f>
        <v>0</v>
      </c>
      <c r="K171" s="1425" t="str">
        <f>'PLAN INDICATIVO'!K167</f>
        <v>A.14.1.14</v>
      </c>
      <c r="L171" s="1425" t="str">
        <f>'PLAN INDICATIVO'!L167</f>
        <v>10. Reducción de las desigualdades</v>
      </c>
      <c r="M171" s="1425" t="s">
        <v>2735</v>
      </c>
      <c r="N171" s="1425" t="s">
        <v>2736</v>
      </c>
      <c r="O171" s="1425" t="str">
        <f>'PLAN INDICATIVO'!O167</f>
        <v>Incremento</v>
      </c>
      <c r="P171" s="16" t="str">
        <f>'PLAN INDICATIVO'!P167</f>
        <v>Garantizar la participación de NNA en los 15 Consejos de Política Social, durante el cuatrienio</v>
      </c>
      <c r="Q171" s="302" t="str">
        <f>'PLAN INDICATIVO'!Q167</f>
        <v xml:space="preserve">No. de consejos de política social realizados en que participan los NNA. </v>
      </c>
      <c r="R171" s="303">
        <f>'PLAN INDICATIVO'!R167</f>
        <v>2015</v>
      </c>
      <c r="S171" s="304">
        <v>0</v>
      </c>
      <c r="T171" s="677">
        <v>15</v>
      </c>
      <c r="U171" s="303">
        <v>3</v>
      </c>
      <c r="V171" s="687">
        <v>200000</v>
      </c>
      <c r="W171" s="303">
        <v>4</v>
      </c>
      <c r="X171" s="687">
        <v>500000</v>
      </c>
      <c r="Y171" s="303">
        <v>4</v>
      </c>
      <c r="Z171" s="687">
        <v>500000</v>
      </c>
      <c r="AA171" s="303">
        <v>4</v>
      </c>
      <c r="AB171" s="687">
        <v>520000</v>
      </c>
      <c r="AC171" s="669">
        <v>3</v>
      </c>
      <c r="AD171" s="669">
        <v>4</v>
      </c>
      <c r="AE171" s="669"/>
      <c r="AF171" s="669"/>
      <c r="AG171" s="752" t="s">
        <v>3581</v>
      </c>
      <c r="AH171" s="1001">
        <v>2017413960012</v>
      </c>
      <c r="AI171" s="355" t="s">
        <v>3598</v>
      </c>
      <c r="AJ171" s="356">
        <v>42767</v>
      </c>
      <c r="AK171" s="356">
        <v>43084</v>
      </c>
      <c r="AL171" s="358"/>
      <c r="AM171" s="358"/>
      <c r="AN171" s="267" t="s">
        <v>2598</v>
      </c>
      <c r="AO171" s="512"/>
      <c r="AP171" s="525"/>
      <c r="AQ171" s="310"/>
      <c r="AR171" s="310"/>
      <c r="AS171" s="310"/>
      <c r="AT171" s="310"/>
      <c r="AU171" s="310"/>
      <c r="AV171" s="310"/>
      <c r="AW171" s="544">
        <f t="shared" si="65"/>
        <v>0</v>
      </c>
      <c r="AX171" s="525"/>
      <c r="AY171" s="310"/>
      <c r="AZ171" s="310"/>
      <c r="BA171" s="310"/>
      <c r="BB171" s="310"/>
      <c r="BC171" s="310"/>
      <c r="BD171" s="310"/>
      <c r="BE171" s="544">
        <f t="shared" si="80"/>
        <v>0</v>
      </c>
      <c r="BF171" s="525"/>
      <c r="BG171" s="310"/>
      <c r="BH171" s="310"/>
      <c r="BI171" s="310"/>
      <c r="BJ171" s="310"/>
      <c r="BK171" s="310"/>
      <c r="BL171" s="310"/>
      <c r="BM171" s="544">
        <f t="shared" si="81"/>
        <v>0</v>
      </c>
      <c r="BN171" s="525"/>
      <c r="BO171" s="310"/>
      <c r="BP171" s="310"/>
      <c r="BQ171" s="310"/>
      <c r="BR171" s="310"/>
      <c r="BS171" s="310"/>
      <c r="BT171" s="310"/>
      <c r="BU171" s="544">
        <f t="shared" si="82"/>
        <v>0</v>
      </c>
      <c r="BV171" s="556"/>
      <c r="BW171" s="663">
        <f t="shared" si="70"/>
        <v>7</v>
      </c>
      <c r="BX171" s="917">
        <f t="shared" si="71"/>
        <v>0.46666666666666667</v>
      </c>
      <c r="BY171" s="674">
        <f t="shared" si="72"/>
        <v>1</v>
      </c>
      <c r="BZ171" s="674">
        <f t="shared" si="73"/>
        <v>1</v>
      </c>
      <c r="CA171" s="675">
        <f t="shared" si="74"/>
        <v>0</v>
      </c>
      <c r="CB171" s="675">
        <f t="shared" si="75"/>
        <v>0</v>
      </c>
    </row>
    <row r="172" spans="1:80" s="231" customFormat="1" ht="82.5" hidden="1" customHeight="1" x14ac:dyDescent="0.25">
      <c r="A172" s="354" t="s">
        <v>491</v>
      </c>
      <c r="B172" s="299" t="str">
        <f>'PLAN INDICATIVO'!B168</f>
        <v>Atención a grupos vulnerables - promoción social</v>
      </c>
      <c r="C172" s="1599"/>
      <c r="D172" s="1599"/>
      <c r="E172" s="1599"/>
      <c r="F172" s="1599"/>
      <c r="G172" s="1599"/>
      <c r="H172" s="1599"/>
      <c r="I172" s="300">
        <f>'PLAN INDICATIVO'!I168</f>
        <v>0</v>
      </c>
      <c r="J172" s="300">
        <f>'PLAN INDICATIVO'!J168</f>
        <v>0</v>
      </c>
      <c r="K172" s="1425" t="str">
        <f>'PLAN INDICATIVO'!K168</f>
        <v>A.14.1.15</v>
      </c>
      <c r="L172" s="1425" t="str">
        <f>'PLAN INDICATIVO'!L168</f>
        <v>10. Reducción de las desigualdades</v>
      </c>
      <c r="M172" s="1425" t="s">
        <v>2735</v>
      </c>
      <c r="N172" s="1425" t="s">
        <v>2736</v>
      </c>
      <c r="O172" s="1425" t="str">
        <f>'PLAN INDICATIVO'!O168</f>
        <v>Mantenimiento</v>
      </c>
      <c r="P172" s="16" t="str">
        <f>'PLAN INDICATIVO'!P168</f>
        <v>Realizar 1 Celebración del día de la niñez cada año</v>
      </c>
      <c r="Q172" s="302" t="str">
        <f>'PLAN INDICATIVO'!Q168</f>
        <v>No. De celebraciones realizadas por año</v>
      </c>
      <c r="R172" s="303">
        <f>'PLAN INDICATIVO'!R168</f>
        <v>2015</v>
      </c>
      <c r="S172" s="304">
        <v>1</v>
      </c>
      <c r="T172" s="677">
        <v>4</v>
      </c>
      <c r="U172" s="303">
        <v>1</v>
      </c>
      <c r="V172" s="687">
        <v>5000000</v>
      </c>
      <c r="W172" s="303">
        <v>1</v>
      </c>
      <c r="X172" s="687">
        <v>9000000</v>
      </c>
      <c r="Y172" s="303">
        <v>1</v>
      </c>
      <c r="Z172" s="687">
        <v>9000000</v>
      </c>
      <c r="AA172" s="303">
        <v>1</v>
      </c>
      <c r="AB172" s="687">
        <v>10000000</v>
      </c>
      <c r="AC172" s="670">
        <v>1</v>
      </c>
      <c r="AD172" s="670">
        <v>1</v>
      </c>
      <c r="AE172" s="670"/>
      <c r="AF172" s="670"/>
      <c r="AG172" s="752" t="s">
        <v>3581</v>
      </c>
      <c r="AH172" s="1001">
        <v>2017413960012</v>
      </c>
      <c r="AI172" s="361" t="s">
        <v>3599</v>
      </c>
      <c r="AJ172" s="356">
        <v>42826</v>
      </c>
      <c r="AK172" s="356">
        <v>11049</v>
      </c>
      <c r="AL172" s="362"/>
      <c r="AM172" s="362"/>
      <c r="AN172" s="267" t="s">
        <v>2598</v>
      </c>
      <c r="AO172" s="512" t="s">
        <v>3586</v>
      </c>
      <c r="AP172" s="528"/>
      <c r="AQ172" s="472">
        <f>2647500+500375</f>
        <v>3147875</v>
      </c>
      <c r="AR172" s="472"/>
      <c r="AS172" s="472"/>
      <c r="AT172" s="472"/>
      <c r="AU172" s="472"/>
      <c r="AV172" s="472"/>
      <c r="AW172" s="544">
        <f t="shared" si="65"/>
        <v>3147875</v>
      </c>
      <c r="AX172" s="528"/>
      <c r="AY172" s="472"/>
      <c r="AZ172" s="472"/>
      <c r="BA172" s="472"/>
      <c r="BB172" s="472"/>
      <c r="BC172" s="472"/>
      <c r="BD172" s="472"/>
      <c r="BE172" s="544">
        <f t="shared" si="80"/>
        <v>0</v>
      </c>
      <c r="BF172" s="528"/>
      <c r="BG172" s="472"/>
      <c r="BH172" s="472"/>
      <c r="BI172" s="472"/>
      <c r="BJ172" s="472"/>
      <c r="BK172" s="472"/>
      <c r="BL172" s="472"/>
      <c r="BM172" s="544">
        <f t="shared" si="81"/>
        <v>0</v>
      </c>
      <c r="BN172" s="528"/>
      <c r="BO172" s="472"/>
      <c r="BP172" s="472"/>
      <c r="BQ172" s="472"/>
      <c r="BR172" s="472"/>
      <c r="BS172" s="472"/>
      <c r="BT172" s="472"/>
      <c r="BU172" s="544">
        <f t="shared" si="82"/>
        <v>0</v>
      </c>
      <c r="BV172" s="653"/>
      <c r="BW172" s="663">
        <f t="shared" si="70"/>
        <v>2</v>
      </c>
      <c r="BX172" s="674">
        <f t="shared" si="71"/>
        <v>0.5</v>
      </c>
      <c r="BY172" s="674">
        <f t="shared" si="72"/>
        <v>1</v>
      </c>
      <c r="BZ172" s="674">
        <f t="shared" si="73"/>
        <v>1</v>
      </c>
      <c r="CA172" s="675">
        <f t="shared" si="74"/>
        <v>0</v>
      </c>
      <c r="CB172" s="675">
        <f t="shared" si="75"/>
        <v>0</v>
      </c>
    </row>
    <row r="173" spans="1:80" ht="89.25" hidden="1" customHeight="1" x14ac:dyDescent="0.25">
      <c r="A173" s="298" t="s">
        <v>491</v>
      </c>
      <c r="B173" s="299" t="str">
        <f>'PLAN INDICATIVO'!B169</f>
        <v>Atención a grupos vulnerables - promoción social</v>
      </c>
      <c r="C173" s="1547"/>
      <c r="D173" s="1551"/>
      <c r="E173" s="1551"/>
      <c r="F173" s="1551"/>
      <c r="G173" s="1551"/>
      <c r="H173" s="1551"/>
      <c r="I173" s="300">
        <f>'PLAN INDICATIVO'!I169</f>
        <v>0</v>
      </c>
      <c r="J173" s="300">
        <f>'PLAN INDICATIVO'!J169</f>
        <v>0</v>
      </c>
      <c r="K173" s="1425" t="str">
        <f>'PLAN INDICATIVO'!K169</f>
        <v>A.14.1.16</v>
      </c>
      <c r="L173" s="1425" t="str">
        <f>'PLAN INDICATIVO'!L169</f>
        <v>10. Reducción de las desigualdades</v>
      </c>
      <c r="M173" s="1425" t="s">
        <v>2735</v>
      </c>
      <c r="N173" s="1425" t="s">
        <v>2736</v>
      </c>
      <c r="O173" s="1425" t="str">
        <f>'PLAN INDICATIVO'!O169</f>
        <v>Mantenimiento</v>
      </c>
      <c r="P173" s="16" t="str">
        <f>'PLAN INDICATIVO'!P169</f>
        <v xml:space="preserve">Realizar 1 Celebración de la navidad a niños y niñas "caravana navideña por la paz", cada año. </v>
      </c>
      <c r="Q173" s="302" t="str">
        <f>'PLAN INDICATIVO'!Q169</f>
        <v>No. de celebraciones realizadas por año</v>
      </c>
      <c r="R173" s="303">
        <f>'PLAN INDICATIVO'!R169</f>
        <v>2015</v>
      </c>
      <c r="S173" s="304">
        <v>0</v>
      </c>
      <c r="T173" s="677">
        <v>4</v>
      </c>
      <c r="U173" s="303">
        <v>1</v>
      </c>
      <c r="V173" s="687">
        <v>3000000</v>
      </c>
      <c r="W173" s="303">
        <v>1</v>
      </c>
      <c r="X173" s="687">
        <v>9240000</v>
      </c>
      <c r="Y173" s="303">
        <v>1</v>
      </c>
      <c r="Z173" s="687">
        <v>9000000</v>
      </c>
      <c r="AA173" s="303">
        <v>1</v>
      </c>
      <c r="AB173" s="687">
        <v>10350000</v>
      </c>
      <c r="AC173" s="669">
        <v>1</v>
      </c>
      <c r="AD173" s="669">
        <v>1</v>
      </c>
      <c r="AE173" s="669"/>
      <c r="AF173" s="669"/>
      <c r="AG173" s="752" t="s">
        <v>3581</v>
      </c>
      <c r="AH173" s="1001">
        <v>2017413960012</v>
      </c>
      <c r="AI173" s="355" t="s">
        <v>3600</v>
      </c>
      <c r="AJ173" s="356">
        <v>43054</v>
      </c>
      <c r="AK173" s="356">
        <v>43093</v>
      </c>
      <c r="AL173" s="358"/>
      <c r="AM173" s="358"/>
      <c r="AN173" s="267" t="s">
        <v>2598</v>
      </c>
      <c r="AO173" s="512">
        <v>231402042</v>
      </c>
      <c r="AP173" s="525">
        <f>2850711+183350</f>
        <v>3034061</v>
      </c>
      <c r="AQ173" s="310">
        <v>17565939</v>
      </c>
      <c r="AR173" s="310"/>
      <c r="AS173" s="310"/>
      <c r="AT173" s="310"/>
      <c r="AU173" s="310"/>
      <c r="AV173" s="310"/>
      <c r="AW173" s="1004">
        <f t="shared" si="65"/>
        <v>20600000</v>
      </c>
      <c r="AX173" s="525"/>
      <c r="AY173" s="310"/>
      <c r="AZ173" s="310"/>
      <c r="BA173" s="310"/>
      <c r="BB173" s="310"/>
      <c r="BC173" s="310"/>
      <c r="BD173" s="310"/>
      <c r="BE173" s="544">
        <f t="shared" si="80"/>
        <v>0</v>
      </c>
      <c r="BF173" s="525"/>
      <c r="BG173" s="310"/>
      <c r="BH173" s="310"/>
      <c r="BI173" s="310"/>
      <c r="BJ173" s="310"/>
      <c r="BK173" s="310"/>
      <c r="BL173" s="310"/>
      <c r="BM173" s="544">
        <f t="shared" si="81"/>
        <v>0</v>
      </c>
      <c r="BN173" s="525"/>
      <c r="BO173" s="310"/>
      <c r="BP173" s="310"/>
      <c r="BQ173" s="310"/>
      <c r="BR173" s="310"/>
      <c r="BS173" s="310"/>
      <c r="BT173" s="310"/>
      <c r="BU173" s="544">
        <f t="shared" si="82"/>
        <v>0</v>
      </c>
      <c r="BV173" s="556"/>
      <c r="BW173" s="663">
        <f t="shared" si="70"/>
        <v>2</v>
      </c>
      <c r="BX173" s="864">
        <f t="shared" si="71"/>
        <v>0.5</v>
      </c>
      <c r="BY173" s="674">
        <f t="shared" si="72"/>
        <v>1</v>
      </c>
      <c r="BZ173" s="674">
        <f t="shared" si="73"/>
        <v>1</v>
      </c>
      <c r="CA173" s="675">
        <f t="shared" si="74"/>
        <v>0</v>
      </c>
      <c r="CB173" s="675">
        <f t="shared" si="75"/>
        <v>0</v>
      </c>
    </row>
    <row r="174" spans="1:80" ht="93.75" hidden="1" customHeight="1" x14ac:dyDescent="0.25">
      <c r="A174" s="298" t="s">
        <v>491</v>
      </c>
      <c r="B174" s="299" t="str">
        <f>'PLAN INDICATIVO'!B170</f>
        <v>Atención a grupos vulnerables - promoción social</v>
      </c>
      <c r="C174" s="1547"/>
      <c r="D174" s="1551"/>
      <c r="E174" s="1551"/>
      <c r="F174" s="1551"/>
      <c r="G174" s="1551"/>
      <c r="H174" s="1551"/>
      <c r="I174" s="300">
        <f>'PLAN INDICATIVO'!I170</f>
        <v>0</v>
      </c>
      <c r="J174" s="300">
        <f>'PLAN INDICATIVO'!J170</f>
        <v>0</v>
      </c>
      <c r="K174" s="1425" t="str">
        <f>'PLAN INDICATIVO'!K170</f>
        <v>A.14.1.17</v>
      </c>
      <c r="L174" s="1425" t="str">
        <f>'PLAN INDICATIVO'!L170</f>
        <v>10. Reducción de las desigualdades</v>
      </c>
      <c r="M174" s="1425" t="s">
        <v>2735</v>
      </c>
      <c r="N174" s="1425" t="s">
        <v>2736</v>
      </c>
      <c r="O174" s="1425" t="str">
        <f>'PLAN INDICATIVO'!O170</f>
        <v>Incremento</v>
      </c>
      <c r="P174" s="16" t="str">
        <f>'PLAN INDICATIVO'!P170</f>
        <v>Realizar 12 programas  radiales de promoción de derechos y deberes en los NNA,  durante el cuatrienio</v>
      </c>
      <c r="Q174" s="302" t="str">
        <f>'PLAN INDICATIVO'!Q170</f>
        <v>No. De programas radiales realizados</v>
      </c>
      <c r="R174" s="303">
        <f>'PLAN INDICATIVO'!R170</f>
        <v>2015</v>
      </c>
      <c r="S174" s="304">
        <v>0</v>
      </c>
      <c r="T174" s="677">
        <v>12</v>
      </c>
      <c r="U174" s="303">
        <v>3</v>
      </c>
      <c r="V174" s="687">
        <v>500000</v>
      </c>
      <c r="W174" s="303">
        <v>3</v>
      </c>
      <c r="X174" s="687">
        <v>500000</v>
      </c>
      <c r="Y174" s="303">
        <v>3</v>
      </c>
      <c r="Z174" s="687">
        <v>500000</v>
      </c>
      <c r="AA174" s="303">
        <v>3</v>
      </c>
      <c r="AB174" s="687">
        <v>500000</v>
      </c>
      <c r="AC174" s="669">
        <v>3</v>
      </c>
      <c r="AD174" s="669">
        <v>3</v>
      </c>
      <c r="AE174" s="669"/>
      <c r="AF174" s="669"/>
      <c r="AG174" s="752" t="s">
        <v>3581</v>
      </c>
      <c r="AH174" s="1001">
        <v>2017413960012</v>
      </c>
      <c r="AI174" s="355" t="s">
        <v>3601</v>
      </c>
      <c r="AJ174" s="356">
        <v>42767</v>
      </c>
      <c r="AK174" s="356">
        <v>43070</v>
      </c>
      <c r="AL174" s="358"/>
      <c r="AM174" s="358"/>
      <c r="AN174" s="267" t="s">
        <v>2598</v>
      </c>
      <c r="AO174" s="512" t="s">
        <v>3583</v>
      </c>
      <c r="AP174" s="525"/>
      <c r="AQ174" s="310">
        <f>1235500+500375</f>
        <v>1735875</v>
      </c>
      <c r="AR174" s="310"/>
      <c r="AS174" s="310"/>
      <c r="AT174" s="310"/>
      <c r="AU174" s="310"/>
      <c r="AV174" s="310"/>
      <c r="AW174" s="544">
        <f t="shared" si="65"/>
        <v>1735875</v>
      </c>
      <c r="AX174" s="525"/>
      <c r="AY174" s="310"/>
      <c r="AZ174" s="310"/>
      <c r="BA174" s="310"/>
      <c r="BB174" s="310"/>
      <c r="BC174" s="310"/>
      <c r="BD174" s="310"/>
      <c r="BE174" s="544">
        <f t="shared" si="80"/>
        <v>0</v>
      </c>
      <c r="BF174" s="525"/>
      <c r="BG174" s="310"/>
      <c r="BH174" s="310"/>
      <c r="BI174" s="310"/>
      <c r="BJ174" s="310"/>
      <c r="BK174" s="310"/>
      <c r="BL174" s="310"/>
      <c r="BM174" s="544">
        <f t="shared" si="81"/>
        <v>0</v>
      </c>
      <c r="BN174" s="525"/>
      <c r="BO174" s="310"/>
      <c r="BP174" s="310"/>
      <c r="BQ174" s="310"/>
      <c r="BR174" s="310"/>
      <c r="BS174" s="310"/>
      <c r="BT174" s="310"/>
      <c r="BU174" s="544">
        <f t="shared" si="82"/>
        <v>0</v>
      </c>
      <c r="BV174" s="556"/>
      <c r="BW174" s="663">
        <f t="shared" si="70"/>
        <v>6</v>
      </c>
      <c r="BX174" s="674">
        <f t="shared" si="71"/>
        <v>0.5</v>
      </c>
      <c r="BY174" s="674">
        <f t="shared" si="72"/>
        <v>1</v>
      </c>
      <c r="BZ174" s="674">
        <f t="shared" si="73"/>
        <v>1</v>
      </c>
      <c r="CA174" s="675">
        <f t="shared" si="74"/>
        <v>0</v>
      </c>
      <c r="CB174" s="675">
        <f t="shared" si="75"/>
        <v>0</v>
      </c>
    </row>
    <row r="175" spans="1:80" ht="87" hidden="1" customHeight="1" x14ac:dyDescent="0.25">
      <c r="A175" s="298" t="s">
        <v>491</v>
      </c>
      <c r="B175" s="299" t="str">
        <f>'PLAN INDICATIVO'!B171</f>
        <v>Atención a grupos vulnerables - promoción social</v>
      </c>
      <c r="C175" s="1547"/>
      <c r="D175" s="1551"/>
      <c r="E175" s="1551"/>
      <c r="F175" s="1551"/>
      <c r="G175" s="1551"/>
      <c r="H175" s="1551"/>
      <c r="I175" s="300">
        <f>'PLAN INDICATIVO'!I171</f>
        <v>0</v>
      </c>
      <c r="J175" s="300">
        <f>'PLAN INDICATIVO'!J171</f>
        <v>0</v>
      </c>
      <c r="K175" s="1425" t="str">
        <f>'PLAN INDICATIVO'!K171</f>
        <v>A.14.1.18</v>
      </c>
      <c r="L175" s="1425" t="str">
        <f>'PLAN INDICATIVO'!L171</f>
        <v>10. Reducción de las desigualdades</v>
      </c>
      <c r="M175" s="1425" t="s">
        <v>2735</v>
      </c>
      <c r="N175" s="1425" t="s">
        <v>2736</v>
      </c>
      <c r="O175" s="1425" t="str">
        <f>'PLAN INDICATIVO'!O171</f>
        <v>Mantenimiento</v>
      </c>
      <c r="P175" s="16" t="str">
        <f>'PLAN INDICATIVO'!P171</f>
        <v>Ejecutar 1 programa "No te madures biche, los niños, niñas y adolescentes unidos por el cambio", encaminado a disminuir el delito, y prevenir el consumo de alcohol y de Sustancias Psicoactivas cada año</v>
      </c>
      <c r="Q175" s="302" t="str">
        <f>'PLAN INDICATIVO'!Q171</f>
        <v>No. de programa ejecutado por año</v>
      </c>
      <c r="R175" s="303">
        <f>'PLAN INDICATIVO'!R171</f>
        <v>2015</v>
      </c>
      <c r="S175" s="304">
        <v>0</v>
      </c>
      <c r="T175" s="677">
        <v>4</v>
      </c>
      <c r="U175" s="303">
        <v>1</v>
      </c>
      <c r="V175" s="687">
        <v>5000000</v>
      </c>
      <c r="W175" s="303">
        <v>1</v>
      </c>
      <c r="X175" s="687">
        <v>500000</v>
      </c>
      <c r="Y175" s="303">
        <v>1</v>
      </c>
      <c r="Z175" s="687">
        <v>500000</v>
      </c>
      <c r="AA175" s="303">
        <v>1</v>
      </c>
      <c r="AB175" s="687">
        <v>500000</v>
      </c>
      <c r="AC175" s="669">
        <v>1</v>
      </c>
      <c r="AD175" s="669">
        <v>1</v>
      </c>
      <c r="AE175" s="669"/>
      <c r="AF175" s="669"/>
      <c r="AG175" s="752" t="s">
        <v>3581</v>
      </c>
      <c r="AH175" s="1001">
        <v>2017413960012</v>
      </c>
      <c r="AI175" s="361" t="s">
        <v>3602</v>
      </c>
      <c r="AJ175" s="356">
        <v>42767</v>
      </c>
      <c r="AK175" s="356">
        <v>43070</v>
      </c>
      <c r="AL175" s="358"/>
      <c r="AM175" s="358"/>
      <c r="AN175" s="709" t="s">
        <v>2598</v>
      </c>
      <c r="AO175" s="512"/>
      <c r="AP175" s="525"/>
      <c r="AQ175" s="310"/>
      <c r="AR175" s="310"/>
      <c r="AS175" s="310"/>
      <c r="AT175" s="310"/>
      <c r="AU175" s="310"/>
      <c r="AV175" s="310"/>
      <c r="AW175" s="1004">
        <f t="shared" si="65"/>
        <v>0</v>
      </c>
      <c r="AX175" s="525"/>
      <c r="AY175" s="310"/>
      <c r="AZ175" s="310"/>
      <c r="BA175" s="310"/>
      <c r="BB175" s="310"/>
      <c r="BC175" s="310"/>
      <c r="BD175" s="310"/>
      <c r="BE175" s="544">
        <f t="shared" si="80"/>
        <v>0</v>
      </c>
      <c r="BF175" s="525"/>
      <c r="BG175" s="310"/>
      <c r="BH175" s="310"/>
      <c r="BI175" s="310"/>
      <c r="BJ175" s="310"/>
      <c r="BK175" s="310"/>
      <c r="BL175" s="310"/>
      <c r="BM175" s="544">
        <f t="shared" si="81"/>
        <v>0</v>
      </c>
      <c r="BN175" s="525"/>
      <c r="BO175" s="310"/>
      <c r="BP175" s="310"/>
      <c r="BQ175" s="310"/>
      <c r="BR175" s="310"/>
      <c r="BS175" s="310"/>
      <c r="BT175" s="310"/>
      <c r="BU175" s="544">
        <f t="shared" si="82"/>
        <v>0</v>
      </c>
      <c r="BV175" s="556"/>
      <c r="BW175" s="663">
        <f t="shared" si="70"/>
        <v>2</v>
      </c>
      <c r="BX175" s="864">
        <f t="shared" si="71"/>
        <v>0.5</v>
      </c>
      <c r="BY175" s="674">
        <f t="shared" si="72"/>
        <v>1</v>
      </c>
      <c r="BZ175" s="674">
        <f t="shared" si="73"/>
        <v>1</v>
      </c>
      <c r="CA175" s="675">
        <f t="shared" si="74"/>
        <v>0</v>
      </c>
      <c r="CB175" s="675">
        <f t="shared" si="75"/>
        <v>0</v>
      </c>
    </row>
    <row r="176" spans="1:80" ht="95.25" hidden="1" customHeight="1" x14ac:dyDescent="0.25">
      <c r="A176" s="298" t="s">
        <v>491</v>
      </c>
      <c r="B176" s="299" t="str">
        <f>'PLAN INDICATIVO'!B172</f>
        <v>Atención a grupos vulnerables - promoción social</v>
      </c>
      <c r="C176" s="1547"/>
      <c r="D176" s="1551"/>
      <c r="E176" s="1551"/>
      <c r="F176" s="1551"/>
      <c r="G176" s="1551"/>
      <c r="H176" s="1551"/>
      <c r="I176" s="300">
        <f>'PLAN INDICATIVO'!I172</f>
        <v>0</v>
      </c>
      <c r="J176" s="300">
        <f>'PLAN INDICATIVO'!J172</f>
        <v>0</v>
      </c>
      <c r="K176" s="1425" t="str">
        <f>'PLAN INDICATIVO'!K172</f>
        <v>A.14.1.19</v>
      </c>
      <c r="L176" s="1425" t="str">
        <f>'PLAN INDICATIVO'!L172</f>
        <v>10. Reducción de las desigualdades</v>
      </c>
      <c r="M176" s="1425" t="s">
        <v>2735</v>
      </c>
      <c r="N176" s="1425" t="s">
        <v>2736</v>
      </c>
      <c r="O176" s="1425" t="str">
        <f>'PLAN INDICATIVO'!O172</f>
        <v>Incremento</v>
      </c>
      <c r="P176" s="16" t="str">
        <f>'PLAN INDICATIVO'!P172</f>
        <v xml:space="preserve">Realizar 96 operativos de control de NNA en situación de calle o establecimientos de comercio, bares, discotecas, entre otros, que ofrezcan espectáculos para mayores de edad, en el cuatrienio. </v>
      </c>
      <c r="Q176" s="302" t="str">
        <f>'PLAN INDICATIVO'!Q172</f>
        <v xml:space="preserve">Número de operativos de control realizados a NNA en sitios para mayores de edad. </v>
      </c>
      <c r="R176" s="303">
        <f>'PLAN INDICATIVO'!R172</f>
        <v>2015</v>
      </c>
      <c r="S176" s="304">
        <v>48</v>
      </c>
      <c r="T176" s="677">
        <v>96</v>
      </c>
      <c r="U176" s="303">
        <v>24</v>
      </c>
      <c r="V176" s="687">
        <v>4500000</v>
      </c>
      <c r="W176" s="303">
        <v>24</v>
      </c>
      <c r="X176" s="687">
        <v>500000</v>
      </c>
      <c r="Y176" s="303">
        <v>24</v>
      </c>
      <c r="Z176" s="687">
        <v>500000</v>
      </c>
      <c r="AA176" s="303">
        <v>24</v>
      </c>
      <c r="AB176" s="687">
        <v>500000</v>
      </c>
      <c r="AC176" s="669">
        <f>16+6+2</f>
        <v>24</v>
      </c>
      <c r="AD176" s="669">
        <v>24</v>
      </c>
      <c r="AE176" s="669"/>
      <c r="AF176" s="669"/>
      <c r="AG176" s="752" t="s">
        <v>3581</v>
      </c>
      <c r="AH176" s="1001">
        <v>2017413960012</v>
      </c>
      <c r="AI176" s="355" t="s">
        <v>3603</v>
      </c>
      <c r="AJ176" s="356">
        <v>42767</v>
      </c>
      <c r="AK176" s="356">
        <v>43070</v>
      </c>
      <c r="AL176" s="358"/>
      <c r="AM176" s="358"/>
      <c r="AN176" s="267" t="s">
        <v>2598</v>
      </c>
      <c r="AO176" s="903" t="s">
        <v>3604</v>
      </c>
      <c r="AP176" s="525"/>
      <c r="AQ176" s="310">
        <f>7280000+1837500+500375+1512000+2647500+1273008+1156250</f>
        <v>16206633</v>
      </c>
      <c r="AR176" s="310"/>
      <c r="AS176" s="310"/>
      <c r="AT176" s="310"/>
      <c r="AU176" s="310"/>
      <c r="AV176" s="310"/>
      <c r="AW176" s="1004">
        <f t="shared" si="65"/>
        <v>16206633</v>
      </c>
      <c r="AX176" s="525"/>
      <c r="AY176" s="310"/>
      <c r="AZ176" s="310"/>
      <c r="BA176" s="310"/>
      <c r="BB176" s="310"/>
      <c r="BC176" s="310"/>
      <c r="BD176" s="310"/>
      <c r="BE176" s="544">
        <f t="shared" si="80"/>
        <v>0</v>
      </c>
      <c r="BF176" s="525"/>
      <c r="BG176" s="310"/>
      <c r="BH176" s="310"/>
      <c r="BI176" s="310"/>
      <c r="BJ176" s="310"/>
      <c r="BK176" s="310"/>
      <c r="BL176" s="310"/>
      <c r="BM176" s="544">
        <f t="shared" si="81"/>
        <v>0</v>
      </c>
      <c r="BN176" s="525"/>
      <c r="BO176" s="310"/>
      <c r="BP176" s="310"/>
      <c r="BQ176" s="310"/>
      <c r="BR176" s="310"/>
      <c r="BS176" s="310"/>
      <c r="BT176" s="310"/>
      <c r="BU176" s="544">
        <f t="shared" si="82"/>
        <v>0</v>
      </c>
      <c r="BV176" s="556"/>
      <c r="BW176" s="663">
        <f t="shared" si="70"/>
        <v>48</v>
      </c>
      <c r="BX176" s="864">
        <f t="shared" si="71"/>
        <v>0.5</v>
      </c>
      <c r="BY176" s="674">
        <f t="shared" si="72"/>
        <v>1</v>
      </c>
      <c r="BZ176" s="864">
        <f t="shared" si="73"/>
        <v>1</v>
      </c>
      <c r="CA176" s="675">
        <f t="shared" si="74"/>
        <v>0</v>
      </c>
      <c r="CB176" s="675">
        <f t="shared" si="75"/>
        <v>0</v>
      </c>
    </row>
    <row r="177" spans="1:80" ht="111.75" hidden="1" customHeight="1" x14ac:dyDescent="0.25">
      <c r="A177" s="298" t="s">
        <v>491</v>
      </c>
      <c r="B177" s="299" t="str">
        <f>'PLAN INDICATIVO'!B173</f>
        <v>Atención a grupos vulnerables - promoción social</v>
      </c>
      <c r="C177" s="1547"/>
      <c r="D177" s="1551"/>
      <c r="E177" s="1551"/>
      <c r="F177" s="1551"/>
      <c r="G177" s="1551"/>
      <c r="H177" s="1551"/>
      <c r="I177" s="300">
        <f>'PLAN INDICATIVO'!I173</f>
        <v>0</v>
      </c>
      <c r="J177" s="300">
        <f>'PLAN INDICATIVO'!J173</f>
        <v>0</v>
      </c>
      <c r="K177" s="1425" t="str">
        <f>'PLAN INDICATIVO'!K173</f>
        <v>A.14.1.20</v>
      </c>
      <c r="L177" s="1425" t="str">
        <f>'PLAN INDICATIVO'!L173</f>
        <v>10. Reducción de las desigualdades</v>
      </c>
      <c r="M177" s="1425" t="s">
        <v>2735</v>
      </c>
      <c r="N177" s="1425" t="s">
        <v>2736</v>
      </c>
      <c r="O177" s="1425" t="str">
        <f>'PLAN INDICATIVO'!O173</f>
        <v>Mantenimiento</v>
      </c>
      <c r="P177" s="16" t="str">
        <f>'PLAN INDICATIVO'!P173</f>
        <v>Realizar 3 jornadas al año, de prevención de la violencia y control del delito, en establecimientos educativos, a través de operativos institucionales.</v>
      </c>
      <c r="Q177" s="302" t="str">
        <f>'PLAN INDICATIVO'!Q173</f>
        <v>No. De jornadas realizadas por año</v>
      </c>
      <c r="R177" s="303">
        <f>'PLAN INDICATIVO'!R173</f>
        <v>2015</v>
      </c>
      <c r="S177" s="304">
        <v>3</v>
      </c>
      <c r="T177" s="677">
        <v>12</v>
      </c>
      <c r="U177" s="303">
        <v>3</v>
      </c>
      <c r="V177" s="687">
        <v>3000000</v>
      </c>
      <c r="W177" s="303">
        <v>3</v>
      </c>
      <c r="X177" s="687">
        <v>500000</v>
      </c>
      <c r="Y177" s="303">
        <v>3</v>
      </c>
      <c r="Z177" s="687">
        <v>500000</v>
      </c>
      <c r="AA177" s="303">
        <v>3</v>
      </c>
      <c r="AB177" s="687">
        <v>500000</v>
      </c>
      <c r="AC177" s="669">
        <v>3</v>
      </c>
      <c r="AD177" s="669">
        <v>3</v>
      </c>
      <c r="AE177" s="669"/>
      <c r="AF177" s="669"/>
      <c r="AG177" s="752" t="s">
        <v>3581</v>
      </c>
      <c r="AH177" s="1001">
        <v>2017413960012</v>
      </c>
      <c r="AI177" s="355" t="s">
        <v>3605</v>
      </c>
      <c r="AJ177" s="356">
        <v>42767</v>
      </c>
      <c r="AK177" s="356">
        <v>43054</v>
      </c>
      <c r="AL177" s="358"/>
      <c r="AM177" s="358"/>
      <c r="AN177" s="267" t="s">
        <v>2598</v>
      </c>
      <c r="AO177" s="512" t="s">
        <v>3597</v>
      </c>
      <c r="AP177" s="525"/>
      <c r="AQ177" s="310">
        <f>1412000+692308</f>
        <v>2104308</v>
      </c>
      <c r="AR177" s="310"/>
      <c r="AS177" s="310"/>
      <c r="AT177" s="310"/>
      <c r="AU177" s="310"/>
      <c r="AV177" s="310"/>
      <c r="AW177" s="544">
        <f t="shared" si="65"/>
        <v>2104308</v>
      </c>
      <c r="AX177" s="525"/>
      <c r="AY177" s="310"/>
      <c r="AZ177" s="310"/>
      <c r="BA177" s="310"/>
      <c r="BB177" s="310"/>
      <c r="BC177" s="310"/>
      <c r="BD177" s="310"/>
      <c r="BE177" s="544">
        <f t="shared" si="80"/>
        <v>0</v>
      </c>
      <c r="BF177" s="525"/>
      <c r="BG177" s="310"/>
      <c r="BH177" s="310"/>
      <c r="BI177" s="310"/>
      <c r="BJ177" s="310"/>
      <c r="BK177" s="310"/>
      <c r="BL177" s="310"/>
      <c r="BM177" s="544">
        <f t="shared" si="81"/>
        <v>0</v>
      </c>
      <c r="BN177" s="525"/>
      <c r="BO177" s="310"/>
      <c r="BP177" s="310"/>
      <c r="BQ177" s="310"/>
      <c r="BR177" s="310"/>
      <c r="BS177" s="310"/>
      <c r="BT177" s="310"/>
      <c r="BU177" s="544">
        <f t="shared" si="82"/>
        <v>0</v>
      </c>
      <c r="BV177" s="556"/>
      <c r="BW177" s="663">
        <f t="shared" si="70"/>
        <v>6</v>
      </c>
      <c r="BX177" s="864">
        <f t="shared" si="71"/>
        <v>0.5</v>
      </c>
      <c r="BY177" s="674">
        <f t="shared" si="72"/>
        <v>1</v>
      </c>
      <c r="BZ177" s="864">
        <f t="shared" si="73"/>
        <v>1</v>
      </c>
      <c r="CA177" s="675">
        <f t="shared" si="74"/>
        <v>0</v>
      </c>
      <c r="CB177" s="675">
        <f t="shared" si="75"/>
        <v>0</v>
      </c>
    </row>
    <row r="178" spans="1:80" ht="78.75" hidden="1" customHeight="1" x14ac:dyDescent="0.25">
      <c r="A178" s="298" t="s">
        <v>491</v>
      </c>
      <c r="B178" s="299" t="str">
        <f>'PLAN INDICATIVO'!B174</f>
        <v>Atención a grupos vulnerables - promoción social</v>
      </c>
      <c r="C178" s="1547"/>
      <c r="D178" s="1551"/>
      <c r="E178" s="1551"/>
      <c r="F178" s="1551"/>
      <c r="G178" s="1551"/>
      <c r="H178" s="1551"/>
      <c r="I178" s="300">
        <f>'PLAN INDICATIVO'!I174</f>
        <v>0</v>
      </c>
      <c r="J178" s="300">
        <f>'PLAN INDICATIVO'!J174</f>
        <v>0</v>
      </c>
      <c r="K178" s="1425" t="str">
        <f>'PLAN INDICATIVO'!K174</f>
        <v>A.14.1.21</v>
      </c>
      <c r="L178" s="1425" t="str">
        <f>'PLAN INDICATIVO'!L174</f>
        <v>10. Reducción de las desigualdades</v>
      </c>
      <c r="M178" s="1425" t="s">
        <v>2735</v>
      </c>
      <c r="N178" s="1425" t="s">
        <v>2736</v>
      </c>
      <c r="O178" s="1425" t="str">
        <f>'PLAN INDICATIVO'!O174</f>
        <v>Mantenimiento</v>
      </c>
      <c r="P178" s="16" t="str">
        <f>'PLAN INDICATIVO'!P174</f>
        <v>Implementar 1 campaña para prevenir las peores formas de trabajo infantil, cada año</v>
      </c>
      <c r="Q178" s="302" t="str">
        <f>'PLAN INDICATIVO'!Q174</f>
        <v>Número de campañas implementadas por año</v>
      </c>
      <c r="R178" s="303">
        <f>'PLAN INDICATIVO'!R174</f>
        <v>2015</v>
      </c>
      <c r="S178" s="304">
        <v>1</v>
      </c>
      <c r="T178" s="677">
        <v>4</v>
      </c>
      <c r="U178" s="303">
        <v>1</v>
      </c>
      <c r="V178" s="687">
        <v>2700000</v>
      </c>
      <c r="W178" s="303">
        <v>1</v>
      </c>
      <c r="X178" s="687">
        <v>500000</v>
      </c>
      <c r="Y178" s="303">
        <v>1</v>
      </c>
      <c r="Z178" s="687">
        <v>500000</v>
      </c>
      <c r="AA178" s="303">
        <v>1</v>
      </c>
      <c r="AB178" s="687">
        <v>500000</v>
      </c>
      <c r="AC178" s="669">
        <v>1</v>
      </c>
      <c r="AD178" s="669">
        <v>1</v>
      </c>
      <c r="AE178" s="669"/>
      <c r="AF178" s="669"/>
      <c r="AG178" s="752" t="s">
        <v>3581</v>
      </c>
      <c r="AH178" s="1001">
        <v>2017413960012</v>
      </c>
      <c r="AI178" s="355" t="s">
        <v>3606</v>
      </c>
      <c r="AJ178" s="356">
        <v>42767</v>
      </c>
      <c r="AK178" s="356">
        <v>43069</v>
      </c>
      <c r="AL178" s="358"/>
      <c r="AM178" s="358"/>
      <c r="AN178" s="267" t="s">
        <v>2598</v>
      </c>
      <c r="AO178" s="512" t="s">
        <v>3607</v>
      </c>
      <c r="AP178" s="525"/>
      <c r="AQ178" s="310">
        <f>10162000+1156250</f>
        <v>11318250</v>
      </c>
      <c r="AR178" s="310"/>
      <c r="AS178" s="310"/>
      <c r="AT178" s="310"/>
      <c r="AU178" s="310"/>
      <c r="AV178" s="310"/>
      <c r="AW178" s="544">
        <f t="shared" si="65"/>
        <v>11318250</v>
      </c>
      <c r="AX178" s="525"/>
      <c r="AY178" s="310"/>
      <c r="AZ178" s="310"/>
      <c r="BA178" s="310"/>
      <c r="BB178" s="310"/>
      <c r="BC178" s="310"/>
      <c r="BD178" s="310"/>
      <c r="BE178" s="544">
        <f t="shared" si="80"/>
        <v>0</v>
      </c>
      <c r="BF178" s="525"/>
      <c r="BG178" s="310"/>
      <c r="BH178" s="310"/>
      <c r="BI178" s="310"/>
      <c r="BJ178" s="310"/>
      <c r="BK178" s="310"/>
      <c r="BL178" s="310"/>
      <c r="BM178" s="544">
        <f t="shared" si="81"/>
        <v>0</v>
      </c>
      <c r="BN178" s="525"/>
      <c r="BO178" s="310"/>
      <c r="BP178" s="310"/>
      <c r="BQ178" s="310"/>
      <c r="BR178" s="310"/>
      <c r="BS178" s="310"/>
      <c r="BT178" s="310"/>
      <c r="BU178" s="544">
        <f t="shared" si="82"/>
        <v>0</v>
      </c>
      <c r="BV178" s="556"/>
      <c r="BW178" s="663">
        <f t="shared" si="70"/>
        <v>2</v>
      </c>
      <c r="BX178" s="674">
        <f t="shared" si="71"/>
        <v>0.5</v>
      </c>
      <c r="BY178" s="674">
        <f t="shared" si="72"/>
        <v>1</v>
      </c>
      <c r="BZ178" s="674">
        <f t="shared" si="73"/>
        <v>1</v>
      </c>
      <c r="CA178" s="675">
        <f t="shared" si="74"/>
        <v>0</v>
      </c>
      <c r="CB178" s="675">
        <f t="shared" si="75"/>
        <v>0</v>
      </c>
    </row>
    <row r="179" spans="1:80" ht="96.75" hidden="1" customHeight="1" x14ac:dyDescent="0.25">
      <c r="A179" s="298" t="s">
        <v>491</v>
      </c>
      <c r="B179" s="299" t="str">
        <f>'PLAN INDICATIVO'!B175</f>
        <v>Atención a grupos vulnerables - promoción social</v>
      </c>
      <c r="C179" s="1547"/>
      <c r="D179" s="1551"/>
      <c r="E179" s="1551"/>
      <c r="F179" s="1551"/>
      <c r="G179" s="1551"/>
      <c r="H179" s="1551"/>
      <c r="I179" s="300">
        <f>'PLAN INDICATIVO'!I175</f>
        <v>0</v>
      </c>
      <c r="J179" s="300">
        <f>'PLAN INDICATIVO'!J175</f>
        <v>0</v>
      </c>
      <c r="K179" s="1425" t="str">
        <f>'PLAN INDICATIVO'!K175</f>
        <v>A.14.1.22</v>
      </c>
      <c r="L179" s="1425" t="str">
        <f>'PLAN INDICATIVO'!L175</f>
        <v>10. Reducción de las desigualdades</v>
      </c>
      <c r="M179" s="1425" t="s">
        <v>2735</v>
      </c>
      <c r="N179" s="1425" t="s">
        <v>2736</v>
      </c>
      <c r="O179" s="1425" t="str">
        <f>'PLAN INDICATIVO'!O175</f>
        <v>Mantenimiento</v>
      </c>
      <c r="P179" s="16" t="str">
        <f>'PLAN INDICATIVO'!P175</f>
        <v>Realizar 1 celebración del día de la familia cada año, para el fomento y la consolidación de la unidad y convivencia pacifica familiar.</v>
      </c>
      <c r="Q179" s="302" t="str">
        <f>'PLAN INDICATIVO'!Q175</f>
        <v>No. De celebraciones anuales realizadas</v>
      </c>
      <c r="R179" s="303">
        <f>'PLAN INDICATIVO'!R175</f>
        <v>2015</v>
      </c>
      <c r="S179" s="304">
        <v>1</v>
      </c>
      <c r="T179" s="677">
        <v>4</v>
      </c>
      <c r="U179" s="303">
        <v>1</v>
      </c>
      <c r="V179" s="687">
        <v>3000000</v>
      </c>
      <c r="W179" s="303">
        <v>1</v>
      </c>
      <c r="X179" s="687">
        <v>4000000</v>
      </c>
      <c r="Y179" s="303">
        <v>1</v>
      </c>
      <c r="Z179" s="687">
        <v>4000000</v>
      </c>
      <c r="AA179" s="303">
        <v>1</v>
      </c>
      <c r="AB179" s="687">
        <v>4000000</v>
      </c>
      <c r="AC179" s="669">
        <v>1</v>
      </c>
      <c r="AD179" s="669">
        <v>1</v>
      </c>
      <c r="AE179" s="669"/>
      <c r="AF179" s="669"/>
      <c r="AG179" s="752" t="s">
        <v>3581</v>
      </c>
      <c r="AH179" s="1001">
        <v>2017413960012</v>
      </c>
      <c r="AI179" s="355" t="s">
        <v>3608</v>
      </c>
      <c r="AJ179" s="356">
        <v>42767</v>
      </c>
      <c r="AK179" s="356">
        <v>42856</v>
      </c>
      <c r="AL179" s="358"/>
      <c r="AM179" s="358"/>
      <c r="AN179" s="267" t="s">
        <v>2598</v>
      </c>
      <c r="AO179" s="512">
        <v>231803</v>
      </c>
      <c r="AP179" s="525"/>
      <c r="AQ179" s="310">
        <v>500375</v>
      </c>
      <c r="AR179" s="310"/>
      <c r="AS179" s="310"/>
      <c r="AT179" s="310"/>
      <c r="AU179" s="310"/>
      <c r="AV179" s="310"/>
      <c r="AW179" s="544">
        <f t="shared" si="65"/>
        <v>500375</v>
      </c>
      <c r="AX179" s="525"/>
      <c r="AY179" s="310"/>
      <c r="AZ179" s="310"/>
      <c r="BA179" s="310"/>
      <c r="BB179" s="310"/>
      <c r="BC179" s="310"/>
      <c r="BD179" s="310"/>
      <c r="BE179" s="544">
        <f t="shared" si="80"/>
        <v>0</v>
      </c>
      <c r="BF179" s="525"/>
      <c r="BG179" s="310"/>
      <c r="BH179" s="310"/>
      <c r="BI179" s="310"/>
      <c r="BJ179" s="310"/>
      <c r="BK179" s="310"/>
      <c r="BL179" s="310"/>
      <c r="BM179" s="544">
        <f t="shared" si="81"/>
        <v>0</v>
      </c>
      <c r="BN179" s="525"/>
      <c r="BO179" s="310"/>
      <c r="BP179" s="310"/>
      <c r="BQ179" s="310"/>
      <c r="BR179" s="310"/>
      <c r="BS179" s="310"/>
      <c r="BT179" s="310"/>
      <c r="BU179" s="544">
        <f t="shared" si="82"/>
        <v>0</v>
      </c>
      <c r="BV179" s="556"/>
      <c r="BW179" s="663">
        <f t="shared" si="70"/>
        <v>2</v>
      </c>
      <c r="BX179" s="864">
        <f t="shared" si="71"/>
        <v>0.5</v>
      </c>
      <c r="BY179" s="674">
        <f t="shared" si="72"/>
        <v>1</v>
      </c>
      <c r="BZ179" s="674">
        <f t="shared" si="73"/>
        <v>1</v>
      </c>
      <c r="CA179" s="675">
        <f t="shared" si="74"/>
        <v>0</v>
      </c>
      <c r="CB179" s="675">
        <f t="shared" si="75"/>
        <v>0</v>
      </c>
    </row>
    <row r="180" spans="1:80" ht="152.25" hidden="1" customHeight="1" x14ac:dyDescent="0.25">
      <c r="A180" s="298" t="s">
        <v>491</v>
      </c>
      <c r="B180" s="299" t="str">
        <f>'PLAN INDICATIVO'!B176</f>
        <v>Atención a grupos vulnerables - promoción social</v>
      </c>
      <c r="C180" s="1547"/>
      <c r="D180" s="1551"/>
      <c r="E180" s="1551"/>
      <c r="F180" s="1551"/>
      <c r="G180" s="1551"/>
      <c r="H180" s="1551"/>
      <c r="I180" s="300">
        <f>'PLAN INDICATIVO'!I176</f>
        <v>0</v>
      </c>
      <c r="J180" s="300">
        <f>'PLAN INDICATIVO'!J176</f>
        <v>0</v>
      </c>
      <c r="K180" s="1425" t="str">
        <f>'PLAN INDICATIVO'!K176</f>
        <v>A.14.1.23</v>
      </c>
      <c r="L180" s="1425" t="str">
        <f>'PLAN INDICATIVO'!L176</f>
        <v>10. Reducción de las desigualdades</v>
      </c>
      <c r="M180" s="1425" t="s">
        <v>2735</v>
      </c>
      <c r="N180" s="1425" t="s">
        <v>2736</v>
      </c>
      <c r="O180" s="1425" t="str">
        <f>'PLAN INDICATIVO'!O176</f>
        <v>Mantenimiento</v>
      </c>
      <c r="P180" s="16" t="str">
        <f>'PLAN INDICATIVO'!P176</f>
        <v>Ejecutar 1 plan de apoyo al personal que presta sus servicios en los programas de población vulnerable, como la infancia, adolescencia, juventud,  el adulto mayor, la población desplazada, los reintegrados, grupos étnicos, madres cabeza de hogar, víctimas del conflicto armado, entre otros.</v>
      </c>
      <c r="Q180" s="302" t="str">
        <f>'PLAN INDICATIVO'!Q176</f>
        <v>No. de planes de apoyo ejecutados por año</v>
      </c>
      <c r="R180" s="303">
        <f>'PLAN INDICATIVO'!R176</f>
        <v>2015</v>
      </c>
      <c r="S180" s="304">
        <v>1</v>
      </c>
      <c r="T180" s="677">
        <v>4</v>
      </c>
      <c r="U180" s="303">
        <v>1</v>
      </c>
      <c r="V180" s="687">
        <v>2000000</v>
      </c>
      <c r="W180" s="303">
        <v>1</v>
      </c>
      <c r="X180" s="687">
        <v>50000000</v>
      </c>
      <c r="Y180" s="303">
        <v>1</v>
      </c>
      <c r="Z180" s="687">
        <v>50000000</v>
      </c>
      <c r="AA180" s="303">
        <v>1</v>
      </c>
      <c r="AB180" s="687">
        <v>19000000</v>
      </c>
      <c r="AC180" s="669">
        <v>1</v>
      </c>
      <c r="AD180" s="669">
        <v>1</v>
      </c>
      <c r="AE180" s="669"/>
      <c r="AF180" s="669"/>
      <c r="AG180" s="752" t="s">
        <v>3581</v>
      </c>
      <c r="AH180" s="1001">
        <v>2017413960012</v>
      </c>
      <c r="AI180" s="355" t="s">
        <v>3609</v>
      </c>
      <c r="AJ180" s="356">
        <v>42767</v>
      </c>
      <c r="AK180" s="359">
        <v>43099</v>
      </c>
      <c r="AL180" s="358"/>
      <c r="AM180" s="358"/>
      <c r="AN180" s="267" t="s">
        <v>2598</v>
      </c>
      <c r="AO180" s="512">
        <v>231303</v>
      </c>
      <c r="AP180" s="525"/>
      <c r="AQ180" s="310">
        <v>692308</v>
      </c>
      <c r="AR180" s="310"/>
      <c r="AS180" s="310"/>
      <c r="AT180" s="310"/>
      <c r="AU180" s="310"/>
      <c r="AV180" s="310"/>
      <c r="AW180" s="544">
        <f t="shared" si="65"/>
        <v>692308</v>
      </c>
      <c r="AX180" s="525"/>
      <c r="AY180" s="310"/>
      <c r="AZ180" s="310"/>
      <c r="BA180" s="310"/>
      <c r="BB180" s="310"/>
      <c r="BC180" s="310"/>
      <c r="BD180" s="310"/>
      <c r="BE180" s="544">
        <f t="shared" si="80"/>
        <v>0</v>
      </c>
      <c r="BF180" s="525"/>
      <c r="BG180" s="310"/>
      <c r="BH180" s="310"/>
      <c r="BI180" s="310"/>
      <c r="BJ180" s="310"/>
      <c r="BK180" s="310"/>
      <c r="BL180" s="310"/>
      <c r="BM180" s="544">
        <f t="shared" si="81"/>
        <v>0</v>
      </c>
      <c r="BN180" s="525"/>
      <c r="BO180" s="310"/>
      <c r="BP180" s="310"/>
      <c r="BQ180" s="310"/>
      <c r="BR180" s="310"/>
      <c r="BS180" s="310"/>
      <c r="BT180" s="310"/>
      <c r="BU180" s="544">
        <f t="shared" si="82"/>
        <v>0</v>
      </c>
      <c r="BV180" s="556"/>
      <c r="BW180" s="663">
        <f t="shared" si="70"/>
        <v>2</v>
      </c>
      <c r="BX180" s="674">
        <f t="shared" si="71"/>
        <v>0.5</v>
      </c>
      <c r="BY180" s="674">
        <f t="shared" si="72"/>
        <v>1</v>
      </c>
      <c r="BZ180" s="674">
        <f t="shared" si="73"/>
        <v>1</v>
      </c>
      <c r="CA180" s="675">
        <f t="shared" si="74"/>
        <v>0</v>
      </c>
      <c r="CB180" s="675">
        <f t="shared" si="75"/>
        <v>0</v>
      </c>
    </row>
    <row r="181" spans="1:80" ht="74.25" hidden="1" customHeight="1" x14ac:dyDescent="0.25">
      <c r="A181" s="298" t="s">
        <v>491</v>
      </c>
      <c r="B181" s="299" t="str">
        <f>'PLAN INDICATIVO'!B177</f>
        <v>Atención a grupos vulnerables - promoción social</v>
      </c>
      <c r="C181" s="1548"/>
      <c r="D181" s="1552"/>
      <c r="E181" s="1552"/>
      <c r="F181" s="1552"/>
      <c r="G181" s="1552"/>
      <c r="H181" s="1552"/>
      <c r="I181" s="300">
        <f>'PLAN INDICATIVO'!I177</f>
        <v>0</v>
      </c>
      <c r="J181" s="300">
        <f>'PLAN INDICATIVO'!J177</f>
        <v>0</v>
      </c>
      <c r="K181" s="1425" t="str">
        <f>'PLAN INDICATIVO'!K177</f>
        <v>A.14.1.24</v>
      </c>
      <c r="L181" s="1425" t="str">
        <f>'PLAN INDICATIVO'!L177</f>
        <v>10. Reducción de las desigualdades</v>
      </c>
      <c r="M181" s="1425" t="s">
        <v>2735</v>
      </c>
      <c r="N181" s="1425" t="s">
        <v>2736</v>
      </c>
      <c r="O181" s="1425" t="str">
        <f>'PLAN INDICATIVO'!O177</f>
        <v>Incremento</v>
      </c>
      <c r="P181" s="16" t="str">
        <f>'PLAN INDICATIVO'!P177</f>
        <v xml:space="preserve">Construir 8 parques infantiles, durante el cuatrienio. </v>
      </c>
      <c r="Q181" s="302" t="str">
        <f>'PLAN INDICATIVO'!Q177</f>
        <v xml:space="preserve">No. de parques construidos </v>
      </c>
      <c r="R181" s="303">
        <f>'PLAN INDICATIVO'!R177</f>
        <v>2015</v>
      </c>
      <c r="S181" s="304" t="s">
        <v>177</v>
      </c>
      <c r="T181" s="677">
        <v>2</v>
      </c>
      <c r="U181" s="303">
        <v>0.7</v>
      </c>
      <c r="V181" s="687">
        <v>200000</v>
      </c>
      <c r="W181" s="303">
        <v>0.7</v>
      </c>
      <c r="X181" s="687">
        <v>0</v>
      </c>
      <c r="Y181" s="303">
        <v>1</v>
      </c>
      <c r="Z181" s="687">
        <v>0</v>
      </c>
      <c r="AA181" s="303">
        <v>0</v>
      </c>
      <c r="AB181" s="687">
        <v>0</v>
      </c>
      <c r="AC181" s="669">
        <v>0.3</v>
      </c>
      <c r="AD181" s="669">
        <v>1</v>
      </c>
      <c r="AE181" s="669"/>
      <c r="AF181" s="669"/>
      <c r="AG181" s="752" t="s">
        <v>3581</v>
      </c>
      <c r="AH181" s="1001">
        <v>2017413960012</v>
      </c>
      <c r="AI181" s="355" t="s">
        <v>3610</v>
      </c>
      <c r="AJ181" s="358"/>
      <c r="AK181" s="358"/>
      <c r="AL181" s="358"/>
      <c r="AM181" s="358"/>
      <c r="AN181" s="267" t="s">
        <v>2598</v>
      </c>
      <c r="AO181" s="512"/>
      <c r="AP181" s="525"/>
      <c r="AQ181" s="310">
        <v>472711543</v>
      </c>
      <c r="AR181" s="310"/>
      <c r="AS181" s="310"/>
      <c r="AT181" s="310"/>
      <c r="AU181" s="310"/>
      <c r="AV181" s="310"/>
      <c r="AW181" s="544">
        <f t="shared" si="65"/>
        <v>472711543</v>
      </c>
      <c r="AX181" s="525"/>
      <c r="AY181" s="310"/>
      <c r="AZ181" s="310"/>
      <c r="BA181" s="310"/>
      <c r="BB181" s="310"/>
      <c r="BC181" s="310"/>
      <c r="BD181" s="310"/>
      <c r="BE181" s="544">
        <f t="shared" si="80"/>
        <v>0</v>
      </c>
      <c r="BF181" s="525"/>
      <c r="BG181" s="310"/>
      <c r="BH181" s="310"/>
      <c r="BI181" s="310"/>
      <c r="BJ181" s="310"/>
      <c r="BK181" s="310"/>
      <c r="BL181" s="310"/>
      <c r="BM181" s="544">
        <f t="shared" si="81"/>
        <v>0</v>
      </c>
      <c r="BN181" s="525"/>
      <c r="BO181" s="310"/>
      <c r="BP181" s="310"/>
      <c r="BQ181" s="310"/>
      <c r="BR181" s="310"/>
      <c r="BS181" s="310"/>
      <c r="BT181" s="310"/>
      <c r="BU181" s="544">
        <f t="shared" si="82"/>
        <v>0</v>
      </c>
      <c r="BV181" s="556"/>
      <c r="BW181" s="663">
        <f t="shared" si="70"/>
        <v>1.3</v>
      </c>
      <c r="BX181" s="674">
        <f>BW181/T181</f>
        <v>0.65</v>
      </c>
      <c r="BY181" s="674">
        <f t="shared" si="72"/>
        <v>0.4285714285714286</v>
      </c>
      <c r="BZ181" s="674">
        <f t="shared" si="73"/>
        <v>1.4285714285714286</v>
      </c>
      <c r="CA181" s="675">
        <f t="shared" si="74"/>
        <v>0</v>
      </c>
      <c r="CB181" s="675" t="e">
        <f t="shared" si="75"/>
        <v>#DIV/0!</v>
      </c>
    </row>
    <row r="182" spans="1:80" ht="78.75" hidden="1" customHeight="1" x14ac:dyDescent="0.25">
      <c r="A182" s="295" t="s">
        <v>491</v>
      </c>
      <c r="B182" s="24" t="str">
        <f>'PLAN INDICATIVO'!B179</f>
        <v>Atención a grupos vulnerables - promoción social</v>
      </c>
      <c r="C182" s="154"/>
      <c r="D182" s="2" t="s">
        <v>567</v>
      </c>
      <c r="E182" s="1"/>
      <c r="F182" s="1"/>
      <c r="G182" s="1"/>
      <c r="H182" s="1"/>
      <c r="I182" s="1"/>
      <c r="J182" s="1"/>
      <c r="K182" s="1"/>
      <c r="L182" s="1"/>
      <c r="M182" s="1"/>
      <c r="N182" s="17"/>
      <c r="O182" s="1"/>
      <c r="P182" s="22" t="s">
        <v>568</v>
      </c>
      <c r="Q182" s="22"/>
      <c r="R182" s="1"/>
      <c r="S182" s="261"/>
      <c r="T182" s="681"/>
      <c r="U182" s="261"/>
      <c r="V182" s="702">
        <f>SUM(V183:V192)</f>
        <v>21500000</v>
      </c>
      <c r="W182" s="261"/>
      <c r="X182" s="689">
        <f>SUM(X183:X192)</f>
        <v>17000000</v>
      </c>
      <c r="Y182" s="261"/>
      <c r="Z182" s="689">
        <f>SUM(Z183:Z192)</f>
        <v>17000000</v>
      </c>
      <c r="AA182" s="261"/>
      <c r="AB182" s="698">
        <f>SUM(AB183:AB192)</f>
        <v>17000000</v>
      </c>
      <c r="AC182" s="261"/>
      <c r="AD182" s="261"/>
      <c r="AE182" s="261"/>
      <c r="AF182" s="261"/>
      <c r="AG182" s="273"/>
      <c r="AH182" s="273"/>
      <c r="AI182" s="273"/>
      <c r="AJ182" s="261"/>
      <c r="AK182" s="261"/>
      <c r="AL182" s="261"/>
      <c r="AM182" s="261"/>
      <c r="AN182" s="261"/>
      <c r="AO182" s="635"/>
      <c r="AP182" s="616" t="e">
        <f>(AP183:AP192)</f>
        <v>#VALUE!</v>
      </c>
      <c r="AQ182" s="616" t="e">
        <f t="shared" ref="AQ182:AV182" si="86">(AQ183:AQ192)</f>
        <v>#VALUE!</v>
      </c>
      <c r="AR182" s="616" t="e">
        <f t="shared" si="86"/>
        <v>#VALUE!</v>
      </c>
      <c r="AS182" s="616" t="e">
        <f t="shared" si="86"/>
        <v>#VALUE!</v>
      </c>
      <c r="AT182" s="616" t="e">
        <f t="shared" si="86"/>
        <v>#VALUE!</v>
      </c>
      <c r="AU182" s="616" t="e">
        <f t="shared" si="86"/>
        <v>#VALUE!</v>
      </c>
      <c r="AV182" s="616" t="e">
        <f t="shared" si="86"/>
        <v>#VALUE!</v>
      </c>
      <c r="AW182" s="617" t="e">
        <f t="shared" si="65"/>
        <v>#VALUE!</v>
      </c>
      <c r="AX182" s="616" t="e">
        <f>(AX183:AX192)</f>
        <v>#VALUE!</v>
      </c>
      <c r="AY182" s="616" t="e">
        <f t="shared" ref="AY182:BD182" si="87">(AY183:AY192)</f>
        <v>#VALUE!</v>
      </c>
      <c r="AZ182" s="616" t="e">
        <f t="shared" si="87"/>
        <v>#VALUE!</v>
      </c>
      <c r="BA182" s="616" t="e">
        <f t="shared" si="87"/>
        <v>#VALUE!</v>
      </c>
      <c r="BB182" s="616" t="e">
        <f t="shared" si="87"/>
        <v>#VALUE!</v>
      </c>
      <c r="BC182" s="616" t="e">
        <f t="shared" si="87"/>
        <v>#VALUE!</v>
      </c>
      <c r="BD182" s="616" t="e">
        <f t="shared" si="87"/>
        <v>#VALUE!</v>
      </c>
      <c r="BE182" s="617" t="e">
        <f t="shared" si="80"/>
        <v>#VALUE!</v>
      </c>
      <c r="BF182" s="616" t="e">
        <f>(BF183:BF192)</f>
        <v>#VALUE!</v>
      </c>
      <c r="BG182" s="616" t="e">
        <f t="shared" ref="BG182:BL182" si="88">(BG183:BG192)</f>
        <v>#VALUE!</v>
      </c>
      <c r="BH182" s="616" t="e">
        <f t="shared" si="88"/>
        <v>#VALUE!</v>
      </c>
      <c r="BI182" s="616" t="e">
        <f t="shared" si="88"/>
        <v>#VALUE!</v>
      </c>
      <c r="BJ182" s="616" t="e">
        <f t="shared" si="88"/>
        <v>#VALUE!</v>
      </c>
      <c r="BK182" s="616" t="e">
        <f t="shared" si="88"/>
        <v>#VALUE!</v>
      </c>
      <c r="BL182" s="616" t="e">
        <f t="shared" si="88"/>
        <v>#VALUE!</v>
      </c>
      <c r="BM182" s="617" t="e">
        <f t="shared" si="81"/>
        <v>#VALUE!</v>
      </c>
      <c r="BN182" s="616" t="e">
        <f>(BN183:BN192)</f>
        <v>#VALUE!</v>
      </c>
      <c r="BO182" s="616" t="e">
        <f t="shared" ref="BO182:BT182" si="89">(BO183:BO192)</f>
        <v>#VALUE!</v>
      </c>
      <c r="BP182" s="616" t="e">
        <f t="shared" si="89"/>
        <v>#VALUE!</v>
      </c>
      <c r="BQ182" s="616" t="e">
        <f t="shared" si="89"/>
        <v>#VALUE!</v>
      </c>
      <c r="BR182" s="616" t="e">
        <f t="shared" si="89"/>
        <v>#VALUE!</v>
      </c>
      <c r="BS182" s="616" t="e">
        <f t="shared" si="89"/>
        <v>#VALUE!</v>
      </c>
      <c r="BT182" s="616" t="e">
        <f t="shared" si="89"/>
        <v>#VALUE!</v>
      </c>
      <c r="BU182" s="617" t="e">
        <f t="shared" si="82"/>
        <v>#VALUE!</v>
      </c>
      <c r="BV182" s="556"/>
      <c r="BW182" s="863">
        <f t="shared" si="70"/>
        <v>0</v>
      </c>
      <c r="BX182" s="864" t="e">
        <f t="shared" si="71"/>
        <v>#DIV/0!</v>
      </c>
      <c r="BY182" s="864" t="e">
        <f t="shared" si="72"/>
        <v>#DIV/0!</v>
      </c>
      <c r="BZ182" s="864" t="e">
        <f t="shared" si="73"/>
        <v>#DIV/0!</v>
      </c>
      <c r="CA182" s="1450" t="e">
        <f t="shared" si="74"/>
        <v>#DIV/0!</v>
      </c>
      <c r="CB182" s="675" t="e">
        <f t="shared" si="75"/>
        <v>#DIV/0!</v>
      </c>
    </row>
    <row r="183" spans="1:80" ht="97.5" hidden="1" customHeight="1" x14ac:dyDescent="0.25">
      <c r="A183" s="298" t="s">
        <v>491</v>
      </c>
      <c r="B183" s="299" t="str">
        <f>'PLAN INDICATIVO'!B180</f>
        <v>Atención a grupos vulnerables - promoción social</v>
      </c>
      <c r="C183" s="1546" t="s">
        <v>569</v>
      </c>
      <c r="D183" s="1550" t="s">
        <v>570</v>
      </c>
      <c r="E183" s="1550" t="s">
        <v>571</v>
      </c>
      <c r="F183" s="1550">
        <v>2015</v>
      </c>
      <c r="G183" s="1550" t="s">
        <v>177</v>
      </c>
      <c r="H183" s="1550">
        <v>10</v>
      </c>
      <c r="I183" s="300">
        <f>'PLAN INDICATIVO'!I180</f>
        <v>0</v>
      </c>
      <c r="J183" s="300">
        <f>'PLAN INDICATIVO'!J180</f>
        <v>0</v>
      </c>
      <c r="K183" s="1425" t="str">
        <f>'PLAN INDICATIVO'!K180</f>
        <v>A.14.2.1</v>
      </c>
      <c r="L183" s="1425" t="str">
        <f>'PLAN INDICATIVO'!L180</f>
        <v>10. Reducción de las desigualdades</v>
      </c>
      <c r="M183" s="1425" t="str">
        <f>'PLAN INDICATIVO'!M180</f>
        <v>Secretaría de Gobierno</v>
      </c>
      <c r="N183" s="1425" t="s">
        <v>3611</v>
      </c>
      <c r="O183" s="1425" t="str">
        <f>'PLAN INDICATIVO'!O180</f>
        <v>Mantenimiento</v>
      </c>
      <c r="P183" s="16" t="str">
        <f>'PLAN INDICATIVO'!P180</f>
        <v>implementar 1 plataforma de juventudes conformada y funcionando cada año</v>
      </c>
      <c r="Q183" s="302" t="str">
        <f>'PLAN INDICATIVO'!Q180</f>
        <v>1 plataforma implementada por año</v>
      </c>
      <c r="R183" s="303">
        <f>'PLAN INDICATIVO'!R180</f>
        <v>2015</v>
      </c>
      <c r="S183" s="304">
        <v>0</v>
      </c>
      <c r="T183" s="699">
        <v>4</v>
      </c>
      <c r="U183" s="303">
        <v>1</v>
      </c>
      <c r="V183" s="687">
        <v>9000000</v>
      </c>
      <c r="W183" s="303">
        <v>1</v>
      </c>
      <c r="X183" s="687">
        <v>3000000</v>
      </c>
      <c r="Y183" s="303">
        <v>1</v>
      </c>
      <c r="Z183" s="687">
        <v>3000000</v>
      </c>
      <c r="AA183" s="303">
        <v>1</v>
      </c>
      <c r="AB183" s="687">
        <v>3000000</v>
      </c>
      <c r="AC183" s="669">
        <v>1</v>
      </c>
      <c r="AD183" s="669">
        <v>1</v>
      </c>
      <c r="AE183" s="669"/>
      <c r="AF183" s="669"/>
      <c r="AG183" s="996" t="s">
        <v>3612</v>
      </c>
      <c r="AH183" s="996">
        <v>2017413960024</v>
      </c>
      <c r="AI183" s="995" t="s">
        <v>3613</v>
      </c>
      <c r="AJ183" s="356"/>
      <c r="AK183" s="356"/>
      <c r="AL183" s="358"/>
      <c r="AM183" s="358"/>
      <c r="AN183" s="267" t="s">
        <v>2598</v>
      </c>
      <c r="AO183" s="512" t="s">
        <v>3614</v>
      </c>
      <c r="AP183" s="724">
        <v>5000000</v>
      </c>
      <c r="AQ183" s="725"/>
      <c r="AR183" s="725"/>
      <c r="AS183" s="725"/>
      <c r="AT183" s="725"/>
      <c r="AU183" s="725"/>
      <c r="AV183" s="725"/>
      <c r="AW183" s="726">
        <f t="shared" si="65"/>
        <v>5000000</v>
      </c>
      <c r="AX183" s="525"/>
      <c r="AY183" s="310"/>
      <c r="AZ183" s="310"/>
      <c r="BA183" s="310"/>
      <c r="BB183" s="310"/>
      <c r="BC183" s="310"/>
      <c r="BD183" s="310"/>
      <c r="BE183" s="544">
        <f t="shared" si="80"/>
        <v>0</v>
      </c>
      <c r="BF183" s="525"/>
      <c r="BG183" s="310"/>
      <c r="BH183" s="310"/>
      <c r="BI183" s="310"/>
      <c r="BJ183" s="310"/>
      <c r="BK183" s="310"/>
      <c r="BL183" s="310"/>
      <c r="BM183" s="544">
        <f t="shared" si="81"/>
        <v>0</v>
      </c>
      <c r="BN183" s="525"/>
      <c r="BO183" s="310"/>
      <c r="BP183" s="310"/>
      <c r="BQ183" s="310"/>
      <c r="BR183" s="310"/>
      <c r="BS183" s="310"/>
      <c r="BT183" s="310"/>
      <c r="BU183" s="544">
        <f t="shared" si="82"/>
        <v>0</v>
      </c>
      <c r="BV183" s="556"/>
      <c r="BW183" s="663">
        <f t="shared" si="70"/>
        <v>2</v>
      </c>
      <c r="BX183" s="674">
        <f t="shared" si="71"/>
        <v>0.5</v>
      </c>
      <c r="BY183" s="674">
        <f t="shared" si="72"/>
        <v>1</v>
      </c>
      <c r="BZ183" s="674">
        <f t="shared" si="73"/>
        <v>1</v>
      </c>
      <c r="CA183" s="675">
        <f t="shared" si="74"/>
        <v>0</v>
      </c>
      <c r="CB183" s="675">
        <f t="shared" si="75"/>
        <v>0</v>
      </c>
    </row>
    <row r="184" spans="1:80" ht="66" hidden="1" customHeight="1" x14ac:dyDescent="0.25">
      <c r="A184" s="298" t="s">
        <v>491</v>
      </c>
      <c r="B184" s="299" t="str">
        <f>'PLAN INDICATIVO'!B181</f>
        <v>Atención a grupos vulnerables - promoción social</v>
      </c>
      <c r="C184" s="1547"/>
      <c r="D184" s="1551"/>
      <c r="E184" s="1551"/>
      <c r="F184" s="1551"/>
      <c r="G184" s="1551"/>
      <c r="H184" s="1551"/>
      <c r="I184" s="300">
        <f>'PLAN INDICATIVO'!I181</f>
        <v>0</v>
      </c>
      <c r="J184" s="300">
        <f>'PLAN INDICATIVO'!J181</f>
        <v>0</v>
      </c>
      <c r="K184" s="1425" t="str">
        <f>'PLAN INDICATIVO'!K181</f>
        <v>A.14.2.2</v>
      </c>
      <c r="L184" s="1425" t="str">
        <f>'PLAN INDICATIVO'!L181</f>
        <v>10. Reducción de las desigualdades</v>
      </c>
      <c r="M184" s="1425" t="str">
        <f>'PLAN INDICATIVO'!M181</f>
        <v>Secretaría de Gobierno</v>
      </c>
      <c r="N184" s="1425" t="s">
        <v>3611</v>
      </c>
      <c r="O184" s="1425" t="str">
        <f>'PLAN INDICATIVO'!O181</f>
        <v>Incremento</v>
      </c>
      <c r="P184" s="16" t="str">
        <f>'PLAN INDICATIVO'!P181</f>
        <v xml:space="preserve">Realizar 8 asambleas de juventudes conforme a la Ley 1622/2013, durante el cuatrienio. </v>
      </c>
      <c r="Q184" s="302" t="str">
        <f>'PLAN INDICATIVO'!Q181</f>
        <v xml:space="preserve">No. de asambleas realizadas </v>
      </c>
      <c r="R184" s="303">
        <f>'PLAN INDICATIVO'!R181</f>
        <v>2015</v>
      </c>
      <c r="S184" s="304">
        <v>0</v>
      </c>
      <c r="T184" s="699">
        <v>8</v>
      </c>
      <c r="U184" s="303">
        <v>2</v>
      </c>
      <c r="V184" s="687">
        <v>1500000</v>
      </c>
      <c r="W184" s="303">
        <v>2</v>
      </c>
      <c r="X184" s="687">
        <v>500000</v>
      </c>
      <c r="Y184" s="303">
        <v>2</v>
      </c>
      <c r="Z184" s="687">
        <v>500000</v>
      </c>
      <c r="AA184" s="303">
        <v>2</v>
      </c>
      <c r="AB184" s="687">
        <v>500000</v>
      </c>
      <c r="AC184" s="669">
        <v>2</v>
      </c>
      <c r="AD184" s="669">
        <v>2</v>
      </c>
      <c r="AE184" s="669"/>
      <c r="AF184" s="669"/>
      <c r="AG184" s="996" t="s">
        <v>3612</v>
      </c>
      <c r="AH184" s="996">
        <v>2017413960024</v>
      </c>
      <c r="AI184" s="995" t="s">
        <v>3615</v>
      </c>
      <c r="AJ184" s="356"/>
      <c r="AK184" s="356"/>
      <c r="AL184" s="358"/>
      <c r="AM184" s="358"/>
      <c r="AN184" s="267" t="s">
        <v>2598</v>
      </c>
      <c r="AO184" s="512" t="s">
        <v>3614</v>
      </c>
      <c r="AP184" s="724">
        <v>5000000</v>
      </c>
      <c r="AQ184" s="725"/>
      <c r="AR184" s="725"/>
      <c r="AS184" s="725"/>
      <c r="AT184" s="725"/>
      <c r="AU184" s="725"/>
      <c r="AV184" s="725"/>
      <c r="AW184" s="726">
        <f t="shared" si="65"/>
        <v>5000000</v>
      </c>
      <c r="AX184" s="525"/>
      <c r="AY184" s="310"/>
      <c r="AZ184" s="310"/>
      <c r="BA184" s="310"/>
      <c r="BB184" s="310"/>
      <c r="BC184" s="310"/>
      <c r="BD184" s="310"/>
      <c r="BE184" s="544">
        <f t="shared" si="80"/>
        <v>0</v>
      </c>
      <c r="BF184" s="525"/>
      <c r="BG184" s="310"/>
      <c r="BH184" s="310"/>
      <c r="BI184" s="310"/>
      <c r="BJ184" s="310"/>
      <c r="BK184" s="310"/>
      <c r="BL184" s="310"/>
      <c r="BM184" s="544">
        <f t="shared" si="81"/>
        <v>0</v>
      </c>
      <c r="BN184" s="525"/>
      <c r="BO184" s="310"/>
      <c r="BP184" s="310"/>
      <c r="BQ184" s="310"/>
      <c r="BR184" s="310"/>
      <c r="BS184" s="310"/>
      <c r="BT184" s="310"/>
      <c r="BU184" s="544">
        <f t="shared" si="82"/>
        <v>0</v>
      </c>
      <c r="BV184" s="556"/>
      <c r="BW184" s="663">
        <f t="shared" si="70"/>
        <v>4</v>
      </c>
      <c r="BX184" s="674">
        <f t="shared" si="71"/>
        <v>0.5</v>
      </c>
      <c r="BY184" s="674">
        <f t="shared" si="72"/>
        <v>1</v>
      </c>
      <c r="BZ184" s="674">
        <f t="shared" si="73"/>
        <v>1</v>
      </c>
      <c r="CA184" s="675">
        <f t="shared" si="74"/>
        <v>0</v>
      </c>
      <c r="CB184" s="675">
        <f t="shared" si="75"/>
        <v>0</v>
      </c>
    </row>
    <row r="185" spans="1:80" ht="63.75" hidden="1" customHeight="1" x14ac:dyDescent="0.25">
      <c r="A185" s="298" t="s">
        <v>491</v>
      </c>
      <c r="B185" s="299" t="str">
        <f>'PLAN INDICATIVO'!B182</f>
        <v>Atención a grupos vulnerables - promoción social</v>
      </c>
      <c r="C185" s="1547"/>
      <c r="D185" s="1551"/>
      <c r="E185" s="1551"/>
      <c r="F185" s="1551"/>
      <c r="G185" s="1551"/>
      <c r="H185" s="1551"/>
      <c r="I185" s="300">
        <f>'PLAN INDICATIVO'!I182</f>
        <v>0</v>
      </c>
      <c r="J185" s="300">
        <f>'PLAN INDICATIVO'!J182</f>
        <v>0</v>
      </c>
      <c r="K185" s="1425" t="str">
        <f>'PLAN INDICATIVO'!K182</f>
        <v>A.14.2.3</v>
      </c>
      <c r="L185" s="1425" t="str">
        <f>'PLAN INDICATIVO'!L182</f>
        <v>10. Reducción de las desigualdades</v>
      </c>
      <c r="M185" s="1425" t="str">
        <f>'PLAN INDICATIVO'!M182</f>
        <v>Secretaría de Gobierno</v>
      </c>
      <c r="N185" s="1425" t="s">
        <v>3611</v>
      </c>
      <c r="O185" s="1425" t="str">
        <f>'PLAN INDICATIVO'!O182</f>
        <v>Incremento</v>
      </c>
      <c r="P185" s="25" t="str">
        <f>'PLAN INDICATIVO'!P182</f>
        <v xml:space="preserve">Realizar 4 reuniones de concertación entre el plataforma juvenil y el gabinete municipal, durante el cuatrienio. </v>
      </c>
      <c r="Q185" s="302" t="str">
        <f>'PLAN INDICATIVO'!Q182</f>
        <v>No. de reuniones de concertación realizadas.</v>
      </c>
      <c r="R185" s="303">
        <f>'PLAN INDICATIVO'!R182</f>
        <v>2015</v>
      </c>
      <c r="S185" s="304">
        <v>0</v>
      </c>
      <c r="T185" s="699">
        <v>4</v>
      </c>
      <c r="U185" s="303">
        <v>1</v>
      </c>
      <c r="V185" s="687">
        <v>1000000</v>
      </c>
      <c r="W185" s="17">
        <v>0</v>
      </c>
      <c r="X185" s="687">
        <v>500000</v>
      </c>
      <c r="Y185" s="17">
        <v>0</v>
      </c>
      <c r="Z185" s="687">
        <v>500000</v>
      </c>
      <c r="AA185" s="17">
        <v>3</v>
      </c>
      <c r="AB185" s="687">
        <v>500000</v>
      </c>
      <c r="AC185" s="669">
        <v>1</v>
      </c>
      <c r="AD185" s="669"/>
      <c r="AE185" s="669"/>
      <c r="AF185" s="669"/>
      <c r="AG185" s="996" t="s">
        <v>3612</v>
      </c>
      <c r="AH185" s="996">
        <v>2017413960024</v>
      </c>
      <c r="AI185" s="995" t="s">
        <v>3616</v>
      </c>
      <c r="AJ185" s="358"/>
      <c r="AK185" s="358"/>
      <c r="AL185" s="358"/>
      <c r="AM185" s="358"/>
      <c r="AN185" s="267" t="s">
        <v>2594</v>
      </c>
      <c r="AO185" s="512" t="s">
        <v>3614</v>
      </c>
      <c r="AP185" s="724">
        <v>5000000</v>
      </c>
      <c r="AQ185" s="725"/>
      <c r="AR185" s="725"/>
      <c r="AS185" s="725"/>
      <c r="AT185" s="725"/>
      <c r="AU185" s="725"/>
      <c r="AV185" s="725"/>
      <c r="AW185" s="726">
        <f t="shared" si="65"/>
        <v>5000000</v>
      </c>
      <c r="AX185" s="525"/>
      <c r="AY185" s="310"/>
      <c r="AZ185" s="310"/>
      <c r="BA185" s="310"/>
      <c r="BB185" s="310"/>
      <c r="BC185" s="310"/>
      <c r="BD185" s="310"/>
      <c r="BE185" s="544">
        <f t="shared" si="80"/>
        <v>0</v>
      </c>
      <c r="BF185" s="525"/>
      <c r="BG185" s="310"/>
      <c r="BH185" s="310"/>
      <c r="BI185" s="310"/>
      <c r="BJ185" s="310"/>
      <c r="BK185" s="310"/>
      <c r="BL185" s="310"/>
      <c r="BM185" s="544">
        <f t="shared" si="81"/>
        <v>0</v>
      </c>
      <c r="BN185" s="525"/>
      <c r="BO185" s="310"/>
      <c r="BP185" s="310"/>
      <c r="BQ185" s="310"/>
      <c r="BR185" s="310"/>
      <c r="BS185" s="310"/>
      <c r="BT185" s="310"/>
      <c r="BU185" s="544">
        <f t="shared" si="82"/>
        <v>0</v>
      </c>
      <c r="BV185" s="556"/>
      <c r="BW185" s="663">
        <f t="shared" si="70"/>
        <v>1</v>
      </c>
      <c r="BX185" s="674">
        <f t="shared" si="71"/>
        <v>0.25</v>
      </c>
      <c r="BY185" s="674">
        <f t="shared" si="72"/>
        <v>1</v>
      </c>
      <c r="BZ185" s="674" t="e">
        <f t="shared" si="73"/>
        <v>#DIV/0!</v>
      </c>
      <c r="CA185" s="675" t="e">
        <f t="shared" si="74"/>
        <v>#DIV/0!</v>
      </c>
      <c r="CB185" s="675">
        <f t="shared" si="75"/>
        <v>0</v>
      </c>
    </row>
    <row r="186" spans="1:80" ht="62.25" hidden="1" customHeight="1" x14ac:dyDescent="0.25">
      <c r="A186" s="298" t="s">
        <v>491</v>
      </c>
      <c r="B186" s="299" t="str">
        <f>'PLAN INDICATIVO'!B183</f>
        <v>Atención a grupos vulnerables - promoción social</v>
      </c>
      <c r="C186" s="1547"/>
      <c r="D186" s="1551"/>
      <c r="E186" s="1551"/>
      <c r="F186" s="1551"/>
      <c r="G186" s="1551"/>
      <c r="H186" s="1551"/>
      <c r="I186" s="300">
        <f>'PLAN INDICATIVO'!I183</f>
        <v>0</v>
      </c>
      <c r="J186" s="300">
        <f>'PLAN INDICATIVO'!J183</f>
        <v>0</v>
      </c>
      <c r="K186" s="1425" t="str">
        <f>'PLAN INDICATIVO'!K183</f>
        <v>A.14.2.4</v>
      </c>
      <c r="L186" s="1425" t="str">
        <f>'PLAN INDICATIVO'!L183</f>
        <v>10. Reducción de las desigualdades</v>
      </c>
      <c r="M186" s="1425" t="str">
        <f>'PLAN INDICATIVO'!M183</f>
        <v>Secretaría de Gobierno</v>
      </c>
      <c r="N186" s="1425" t="s">
        <v>3611</v>
      </c>
      <c r="O186" s="1425" t="str">
        <f>'PLAN INDICATIVO'!O183</f>
        <v>Incremento</v>
      </c>
      <c r="P186" s="16" t="str">
        <f>'PLAN INDICATIVO'!P183</f>
        <v xml:space="preserve">Realizar 4 festivales "Arte más conciencia por la dignidad y la paz", durante el cuatrienio. </v>
      </c>
      <c r="Q186" s="302" t="str">
        <f>'PLAN INDICATIVO'!Q183</f>
        <v>No. de festivales realizados</v>
      </c>
      <c r="R186" s="303">
        <f>'PLAN INDICATIVO'!R183</f>
        <v>2015</v>
      </c>
      <c r="S186" s="304">
        <v>0</v>
      </c>
      <c r="T186" s="699">
        <v>4</v>
      </c>
      <c r="U186" s="303">
        <v>1</v>
      </c>
      <c r="V186" s="687">
        <v>6000000</v>
      </c>
      <c r="W186" s="303">
        <v>1</v>
      </c>
      <c r="X186" s="687">
        <v>2000000</v>
      </c>
      <c r="Y186" s="303">
        <v>1</v>
      </c>
      <c r="Z186" s="687">
        <v>2000000</v>
      </c>
      <c r="AA186" s="303">
        <v>1</v>
      </c>
      <c r="AB186" s="687">
        <v>2000000</v>
      </c>
      <c r="AC186" s="669">
        <v>1</v>
      </c>
      <c r="AD186" s="669">
        <v>1</v>
      </c>
      <c r="AE186" s="669"/>
      <c r="AF186" s="669"/>
      <c r="AG186" s="996" t="s">
        <v>3612</v>
      </c>
      <c r="AH186" s="996">
        <v>2017413960024</v>
      </c>
      <c r="AI186" s="995" t="s">
        <v>3617</v>
      </c>
      <c r="AJ186" s="356"/>
      <c r="AK186" s="356"/>
      <c r="AL186" s="358"/>
      <c r="AM186" s="358"/>
      <c r="AN186" s="267" t="s">
        <v>2598</v>
      </c>
      <c r="AO186" s="512" t="s">
        <v>3614</v>
      </c>
      <c r="AP186" s="724">
        <v>5000000</v>
      </c>
      <c r="AQ186" s="725"/>
      <c r="AR186" s="725"/>
      <c r="AS186" s="725"/>
      <c r="AT186" s="725"/>
      <c r="AU186" s="725"/>
      <c r="AV186" s="725"/>
      <c r="AW186" s="726">
        <f t="shared" si="65"/>
        <v>5000000</v>
      </c>
      <c r="AX186" s="531"/>
      <c r="AY186" s="310"/>
      <c r="AZ186" s="310"/>
      <c r="BA186" s="310"/>
      <c r="BB186" s="310"/>
      <c r="BC186" s="310"/>
      <c r="BD186" s="310"/>
      <c r="BE186" s="544">
        <f t="shared" si="80"/>
        <v>0</v>
      </c>
      <c r="BF186" s="531"/>
      <c r="BG186" s="310"/>
      <c r="BH186" s="310"/>
      <c r="BI186" s="310"/>
      <c r="BJ186" s="310"/>
      <c r="BK186" s="310"/>
      <c r="BL186" s="310"/>
      <c r="BM186" s="544">
        <f t="shared" si="81"/>
        <v>0</v>
      </c>
      <c r="BN186" s="531"/>
      <c r="BO186" s="310"/>
      <c r="BP186" s="310"/>
      <c r="BQ186" s="310"/>
      <c r="BR186" s="310"/>
      <c r="BS186" s="310"/>
      <c r="BT186" s="310"/>
      <c r="BU186" s="544">
        <f t="shared" si="82"/>
        <v>0</v>
      </c>
      <c r="BV186" s="556"/>
      <c r="BW186" s="663">
        <f t="shared" si="70"/>
        <v>2</v>
      </c>
      <c r="BX186" s="674">
        <f t="shared" si="71"/>
        <v>0.5</v>
      </c>
      <c r="BY186" s="674">
        <f t="shared" si="72"/>
        <v>1</v>
      </c>
      <c r="BZ186" s="674">
        <f t="shared" si="73"/>
        <v>1</v>
      </c>
      <c r="CA186" s="675">
        <f t="shared" si="74"/>
        <v>0</v>
      </c>
      <c r="CB186" s="675">
        <f t="shared" si="75"/>
        <v>0</v>
      </c>
    </row>
    <row r="187" spans="1:80" ht="63" hidden="1" customHeight="1" x14ac:dyDescent="0.25">
      <c r="A187" s="298" t="s">
        <v>491</v>
      </c>
      <c r="B187" s="299" t="str">
        <f>'PLAN INDICATIVO'!B184</f>
        <v>Atención a grupos vulnerables - promoción social</v>
      </c>
      <c r="C187" s="1547"/>
      <c r="D187" s="1551"/>
      <c r="E187" s="1551"/>
      <c r="F187" s="1551"/>
      <c r="G187" s="1551"/>
      <c r="H187" s="1551"/>
      <c r="I187" s="300">
        <f>'PLAN INDICATIVO'!I184</f>
        <v>0</v>
      </c>
      <c r="J187" s="300">
        <f>'PLAN INDICATIVO'!J184</f>
        <v>0</v>
      </c>
      <c r="K187" s="1425" t="str">
        <f>'PLAN INDICATIVO'!K184</f>
        <v>A.14.2.5</v>
      </c>
      <c r="L187" s="1425" t="str">
        <f>'PLAN INDICATIVO'!L184</f>
        <v>10. Reducción de las desigualdades</v>
      </c>
      <c r="M187" s="1425" t="str">
        <f>'PLAN INDICATIVO'!M184</f>
        <v>Secretaría de Gobierno</v>
      </c>
      <c r="N187" s="1425" t="s">
        <v>3611</v>
      </c>
      <c r="O187" s="1425" t="str">
        <f>'PLAN INDICATIVO'!O184</f>
        <v>Mantenimiento</v>
      </c>
      <c r="P187" s="16" t="str">
        <f>'PLAN INDICATIVO'!P184</f>
        <v>implementar 1 Política municipal de juventud formulada durante el cuatrienio</v>
      </c>
      <c r="Q187" s="302" t="str">
        <f>'PLAN INDICATIVO'!Q184</f>
        <v>No. De políticas implementadas</v>
      </c>
      <c r="R187" s="303">
        <f>'PLAN INDICATIVO'!R184</f>
        <v>2015</v>
      </c>
      <c r="S187" s="304">
        <v>0</v>
      </c>
      <c r="T187" s="699">
        <v>1</v>
      </c>
      <c r="U187" s="303">
        <v>0</v>
      </c>
      <c r="V187" s="687">
        <v>1000000</v>
      </c>
      <c r="W187" s="303">
        <v>1</v>
      </c>
      <c r="X187" s="687">
        <v>5500000</v>
      </c>
      <c r="Y187" s="303">
        <v>0.5</v>
      </c>
      <c r="Z187" s="687">
        <v>5500000</v>
      </c>
      <c r="AA187" s="303">
        <v>0.3</v>
      </c>
      <c r="AB187" s="687">
        <v>6000000</v>
      </c>
      <c r="AC187" s="669"/>
      <c r="AD187" s="669">
        <v>0.2</v>
      </c>
      <c r="AE187" s="669"/>
      <c r="AF187" s="669"/>
      <c r="AG187" s="996" t="s">
        <v>3612</v>
      </c>
      <c r="AH187" s="996">
        <v>2017413960024</v>
      </c>
      <c r="AI187" s="995" t="s">
        <v>3616</v>
      </c>
      <c r="AJ187" s="358"/>
      <c r="AK187" s="358"/>
      <c r="AL187" s="358"/>
      <c r="AM187" s="358"/>
      <c r="AN187" s="267" t="s">
        <v>2604</v>
      </c>
      <c r="AO187" s="512" t="s">
        <v>3614</v>
      </c>
      <c r="AP187" s="724">
        <v>5000000</v>
      </c>
      <c r="AQ187" s="725"/>
      <c r="AR187" s="725"/>
      <c r="AS187" s="725"/>
      <c r="AT187" s="725"/>
      <c r="AU187" s="725"/>
      <c r="AV187" s="725"/>
      <c r="AW187" s="726">
        <f t="shared" si="65"/>
        <v>5000000</v>
      </c>
      <c r="AX187" s="525"/>
      <c r="AY187" s="310"/>
      <c r="AZ187" s="310"/>
      <c r="BA187" s="310"/>
      <c r="BB187" s="310"/>
      <c r="BC187" s="310"/>
      <c r="BD187" s="310"/>
      <c r="BE187" s="544">
        <f t="shared" si="80"/>
        <v>0</v>
      </c>
      <c r="BF187" s="525"/>
      <c r="BG187" s="310"/>
      <c r="BH187" s="310"/>
      <c r="BI187" s="310"/>
      <c r="BJ187" s="310"/>
      <c r="BK187" s="310"/>
      <c r="BL187" s="310"/>
      <c r="BM187" s="544">
        <f t="shared" si="81"/>
        <v>0</v>
      </c>
      <c r="BN187" s="525"/>
      <c r="BO187" s="310"/>
      <c r="BP187" s="310"/>
      <c r="BQ187" s="310"/>
      <c r="BR187" s="310"/>
      <c r="BS187" s="310"/>
      <c r="BT187" s="310"/>
      <c r="BU187" s="544">
        <f t="shared" si="82"/>
        <v>0</v>
      </c>
      <c r="BV187" s="556"/>
      <c r="BW187" s="663">
        <f t="shared" si="70"/>
        <v>0.2</v>
      </c>
      <c r="BX187" s="674">
        <f t="shared" si="71"/>
        <v>0.2</v>
      </c>
      <c r="BY187" s="674" t="e">
        <f t="shared" si="72"/>
        <v>#DIV/0!</v>
      </c>
      <c r="BZ187" s="674">
        <f t="shared" si="73"/>
        <v>0.2</v>
      </c>
      <c r="CA187" s="675">
        <f t="shared" si="74"/>
        <v>0</v>
      </c>
      <c r="CB187" s="675">
        <f t="shared" si="75"/>
        <v>0</v>
      </c>
    </row>
    <row r="188" spans="1:80" ht="72" hidden="1" customHeight="1" x14ac:dyDescent="0.25">
      <c r="A188" s="298" t="s">
        <v>491</v>
      </c>
      <c r="B188" s="299" t="str">
        <f>'PLAN INDICATIVO'!B185</f>
        <v>Atención a grupos vulnerables - promoción social</v>
      </c>
      <c r="C188" s="1547"/>
      <c r="D188" s="1551"/>
      <c r="E188" s="1551"/>
      <c r="F188" s="1551"/>
      <c r="G188" s="1551"/>
      <c r="H188" s="1551"/>
      <c r="I188" s="300">
        <f>'PLAN INDICATIVO'!I185</f>
        <v>0</v>
      </c>
      <c r="J188" s="300">
        <f>'PLAN INDICATIVO'!J185</f>
        <v>0</v>
      </c>
      <c r="K188" s="1425" t="str">
        <f>'PLAN INDICATIVO'!K185</f>
        <v>A.14.2.6</v>
      </c>
      <c r="L188" s="1425" t="str">
        <f>'PLAN INDICATIVO'!L185</f>
        <v>10. Reducción de las desigualdades</v>
      </c>
      <c r="M188" s="1425" t="str">
        <f>'PLAN INDICATIVO'!M185</f>
        <v>Secretaría de Gobierno</v>
      </c>
      <c r="N188" s="1425" t="s">
        <v>3611</v>
      </c>
      <c r="O188" s="1425" t="str">
        <f>'PLAN INDICATIVO'!O185</f>
        <v>Mantenimiento</v>
      </c>
      <c r="P188" s="25" t="str">
        <f>'PLAN INDICATIVO'!P185</f>
        <v>mantener 1 consejo municipal de juventud elegido, sesionando y gestionando, conforme a la Ley 1622/2013  durante el cuatrienio</v>
      </c>
      <c r="Q188" s="302" t="str">
        <f>'PLAN INDICATIVO'!Q185</f>
        <v xml:space="preserve">No. de consejos municipales sesionando y gestionando. </v>
      </c>
      <c r="R188" s="303">
        <f>'PLAN INDICATIVO'!R185</f>
        <v>2015</v>
      </c>
      <c r="S188" s="304">
        <v>0</v>
      </c>
      <c r="T188" s="699">
        <v>1</v>
      </c>
      <c r="U188" s="303">
        <v>0</v>
      </c>
      <c r="V188" s="687">
        <v>500000</v>
      </c>
      <c r="W188" s="303">
        <v>0</v>
      </c>
      <c r="X188" s="687">
        <v>500000</v>
      </c>
      <c r="Y188" s="303">
        <v>0</v>
      </c>
      <c r="Z188" s="687">
        <v>500000</v>
      </c>
      <c r="AA188" s="17">
        <v>1</v>
      </c>
      <c r="AB188" s="687">
        <v>500000</v>
      </c>
      <c r="AC188" s="669"/>
      <c r="AD188" s="669"/>
      <c r="AE188" s="669"/>
      <c r="AF188" s="669"/>
      <c r="AG188" s="996" t="s">
        <v>3612</v>
      </c>
      <c r="AH188" s="996">
        <v>2017413960024</v>
      </c>
      <c r="AI188" s="995"/>
      <c r="AJ188" s="358"/>
      <c r="AK188" s="358"/>
      <c r="AL188" s="358"/>
      <c r="AM188" s="358"/>
      <c r="AN188" s="267" t="s">
        <v>2594</v>
      </c>
      <c r="AO188" s="512" t="s">
        <v>3614</v>
      </c>
      <c r="AP188" s="724">
        <v>5000000</v>
      </c>
      <c r="AQ188" s="725"/>
      <c r="AR188" s="725"/>
      <c r="AS188" s="725"/>
      <c r="AT188" s="725"/>
      <c r="AU188" s="725"/>
      <c r="AV188" s="725"/>
      <c r="AW188" s="726">
        <f t="shared" si="65"/>
        <v>5000000</v>
      </c>
      <c r="AX188" s="525"/>
      <c r="AY188" s="310"/>
      <c r="AZ188" s="310"/>
      <c r="BA188" s="310"/>
      <c r="BB188" s="310"/>
      <c r="BC188" s="310"/>
      <c r="BD188" s="310"/>
      <c r="BE188" s="544">
        <f t="shared" si="80"/>
        <v>0</v>
      </c>
      <c r="BF188" s="525"/>
      <c r="BG188" s="310"/>
      <c r="BH188" s="310"/>
      <c r="BI188" s="310"/>
      <c r="BJ188" s="310"/>
      <c r="BK188" s="310"/>
      <c r="BL188" s="310"/>
      <c r="BM188" s="544">
        <f t="shared" si="81"/>
        <v>0</v>
      </c>
      <c r="BN188" s="525"/>
      <c r="BO188" s="310"/>
      <c r="BP188" s="310"/>
      <c r="BQ188" s="310"/>
      <c r="BR188" s="310"/>
      <c r="BS188" s="310"/>
      <c r="BT188" s="310"/>
      <c r="BU188" s="544">
        <f t="shared" si="82"/>
        <v>0</v>
      </c>
      <c r="BV188" s="556"/>
      <c r="BW188" s="663">
        <f t="shared" si="70"/>
        <v>0</v>
      </c>
      <c r="BX188" s="674">
        <f t="shared" si="71"/>
        <v>0</v>
      </c>
      <c r="BY188" s="674" t="e">
        <f t="shared" si="72"/>
        <v>#DIV/0!</v>
      </c>
      <c r="BZ188" s="674" t="e">
        <f t="shared" si="73"/>
        <v>#DIV/0!</v>
      </c>
      <c r="CA188" s="675" t="e">
        <f t="shared" si="74"/>
        <v>#DIV/0!</v>
      </c>
      <c r="CB188" s="675">
        <f t="shared" si="75"/>
        <v>0</v>
      </c>
    </row>
    <row r="189" spans="1:80" ht="90" hidden="1" customHeight="1" x14ac:dyDescent="0.25">
      <c r="A189" s="298" t="s">
        <v>491</v>
      </c>
      <c r="B189" s="299" t="str">
        <f>'PLAN INDICATIVO'!B186</f>
        <v>Atención a grupos vulnerables - promoción social</v>
      </c>
      <c r="C189" s="1547"/>
      <c r="D189" s="1551"/>
      <c r="E189" s="1551"/>
      <c r="F189" s="1551"/>
      <c r="G189" s="1551"/>
      <c r="H189" s="1551"/>
      <c r="I189" s="300">
        <f>'PLAN INDICATIVO'!I186</f>
        <v>0</v>
      </c>
      <c r="J189" s="300">
        <f>'PLAN INDICATIVO'!J186</f>
        <v>0</v>
      </c>
      <c r="K189" s="1425" t="str">
        <f>'PLAN INDICATIVO'!K186</f>
        <v>A.14.2.7</v>
      </c>
      <c r="L189" s="1425" t="str">
        <f>'PLAN INDICATIVO'!L186</f>
        <v>10. Reducción de las desigualdades</v>
      </c>
      <c r="M189" s="1425" t="str">
        <f>'PLAN INDICATIVO'!M186</f>
        <v>Secretaría de Gobierno</v>
      </c>
      <c r="N189" s="1425" t="s">
        <v>3611</v>
      </c>
      <c r="O189" s="1425" t="str">
        <f>'PLAN INDICATIVO'!O186</f>
        <v>Incremento</v>
      </c>
      <c r="P189" s="16" t="str">
        <f>'PLAN INDICATIVO'!P186</f>
        <v>Realizar 2 ofertas institucionales a población juvenil, para acceso a programas de desarrollo económico durante el cuatrienio</v>
      </c>
      <c r="Q189" s="302" t="str">
        <f>'PLAN INDICATIVO'!Q186</f>
        <v>Oferta realizada</v>
      </c>
      <c r="R189" s="303">
        <f>'PLAN INDICATIVO'!R186</f>
        <v>2015</v>
      </c>
      <c r="S189" s="304">
        <v>0</v>
      </c>
      <c r="T189" s="699">
        <v>2</v>
      </c>
      <c r="U189" s="303">
        <v>0</v>
      </c>
      <c r="V189" s="687">
        <v>500000</v>
      </c>
      <c r="W189" s="303">
        <v>1</v>
      </c>
      <c r="X189" s="687">
        <v>500000</v>
      </c>
      <c r="Y189" s="303">
        <v>1</v>
      </c>
      <c r="Z189" s="687">
        <v>500000</v>
      </c>
      <c r="AA189" s="303">
        <v>0</v>
      </c>
      <c r="AB189" s="687"/>
      <c r="AC189" s="669"/>
      <c r="AD189" s="669">
        <v>1</v>
      </c>
      <c r="AE189" s="669"/>
      <c r="AF189" s="669"/>
      <c r="AG189" s="996" t="s">
        <v>3612</v>
      </c>
      <c r="AH189" s="996">
        <v>2017413960024</v>
      </c>
      <c r="AI189" s="995" t="s">
        <v>3618</v>
      </c>
      <c r="AJ189" s="358"/>
      <c r="AK189" s="358"/>
      <c r="AL189" s="358"/>
      <c r="AM189" s="358"/>
      <c r="AN189" s="267" t="s">
        <v>2598</v>
      </c>
      <c r="AO189" s="512" t="s">
        <v>3614</v>
      </c>
      <c r="AP189" s="724">
        <v>5000000</v>
      </c>
      <c r="AQ189" s="725"/>
      <c r="AR189" s="725"/>
      <c r="AS189" s="725"/>
      <c r="AT189" s="725"/>
      <c r="AU189" s="725"/>
      <c r="AV189" s="725"/>
      <c r="AW189" s="726">
        <f t="shared" si="65"/>
        <v>5000000</v>
      </c>
      <c r="AX189" s="525"/>
      <c r="AY189" s="310"/>
      <c r="AZ189" s="310"/>
      <c r="BA189" s="310"/>
      <c r="BB189" s="310"/>
      <c r="BC189" s="310"/>
      <c r="BD189" s="310"/>
      <c r="BE189" s="544">
        <f t="shared" si="80"/>
        <v>0</v>
      </c>
      <c r="BF189" s="525"/>
      <c r="BG189" s="310"/>
      <c r="BH189" s="310"/>
      <c r="BI189" s="310"/>
      <c r="BJ189" s="310"/>
      <c r="BK189" s="310"/>
      <c r="BL189" s="310"/>
      <c r="BM189" s="544">
        <f t="shared" si="81"/>
        <v>0</v>
      </c>
      <c r="BN189" s="525"/>
      <c r="BO189" s="310"/>
      <c r="BP189" s="310"/>
      <c r="BQ189" s="310"/>
      <c r="BR189" s="310"/>
      <c r="BS189" s="310"/>
      <c r="BT189" s="310"/>
      <c r="BU189" s="544">
        <f t="shared" si="82"/>
        <v>0</v>
      </c>
      <c r="BV189" s="556"/>
      <c r="BW189" s="663">
        <f t="shared" si="70"/>
        <v>1</v>
      </c>
      <c r="BX189" s="674">
        <f t="shared" si="71"/>
        <v>0.5</v>
      </c>
      <c r="BY189" s="674" t="e">
        <f t="shared" si="72"/>
        <v>#DIV/0!</v>
      </c>
      <c r="BZ189" s="674">
        <f t="shared" si="73"/>
        <v>1</v>
      </c>
      <c r="CA189" s="675">
        <f t="shared" si="74"/>
        <v>0</v>
      </c>
      <c r="CB189" s="675" t="e">
        <f t="shared" si="75"/>
        <v>#DIV/0!</v>
      </c>
    </row>
    <row r="190" spans="1:80" ht="87.75" hidden="1" customHeight="1" x14ac:dyDescent="0.25">
      <c r="A190" s="298" t="s">
        <v>491</v>
      </c>
      <c r="B190" s="299" t="str">
        <f>'PLAN INDICATIVO'!B187</f>
        <v>Atención a grupos vulnerables - promoción social</v>
      </c>
      <c r="C190" s="1547"/>
      <c r="D190" s="1551"/>
      <c r="E190" s="1551"/>
      <c r="F190" s="1551"/>
      <c r="G190" s="1551"/>
      <c r="H190" s="1551"/>
      <c r="I190" s="300">
        <f>'PLAN INDICATIVO'!I187</f>
        <v>0</v>
      </c>
      <c r="J190" s="300">
        <f>'PLAN INDICATIVO'!J187</f>
        <v>0</v>
      </c>
      <c r="K190" s="1425" t="str">
        <f>'PLAN INDICATIVO'!K187</f>
        <v>A.14.2.8</v>
      </c>
      <c r="L190" s="1425" t="str">
        <f>'PLAN INDICATIVO'!L187</f>
        <v>10. Reducción de las desigualdades</v>
      </c>
      <c r="M190" s="1425" t="str">
        <f>'PLAN INDICATIVO'!M187</f>
        <v>Secretaría de Gobierno</v>
      </c>
      <c r="N190" s="1425" t="s">
        <v>3611</v>
      </c>
      <c r="O190" s="1425" t="str">
        <f>'PLAN INDICATIVO'!O187</f>
        <v>Incremento</v>
      </c>
      <c r="P190" s="16" t="str">
        <f>'PLAN INDICATIVO'!P187</f>
        <v>Realizar 4 encuentros municipales de juventudes, durante el cuatrienio.</v>
      </c>
      <c r="Q190" s="302" t="str">
        <f>'PLAN INDICATIVO'!Q187</f>
        <v>No. de encuentros realizados</v>
      </c>
      <c r="R190" s="303">
        <f>'PLAN INDICATIVO'!R187</f>
        <v>2015</v>
      </c>
      <c r="S190" s="304">
        <v>0</v>
      </c>
      <c r="T190" s="699">
        <v>4</v>
      </c>
      <c r="U190" s="303">
        <v>1</v>
      </c>
      <c r="V190" s="687">
        <v>1000000</v>
      </c>
      <c r="W190" s="303">
        <v>1</v>
      </c>
      <c r="X190" s="687">
        <v>1000000</v>
      </c>
      <c r="Y190" s="303">
        <v>1</v>
      </c>
      <c r="Z190" s="687">
        <v>1000000</v>
      </c>
      <c r="AA190" s="303">
        <v>1</v>
      </c>
      <c r="AB190" s="687">
        <v>1000000</v>
      </c>
      <c r="AC190" s="669">
        <v>1</v>
      </c>
      <c r="AD190" s="669">
        <v>1</v>
      </c>
      <c r="AE190" s="669"/>
      <c r="AF190" s="669"/>
      <c r="AG190" s="996" t="s">
        <v>3612</v>
      </c>
      <c r="AH190" s="996">
        <v>2017413960024</v>
      </c>
      <c r="AI190" s="150" t="s">
        <v>3619</v>
      </c>
      <c r="AJ190" s="356"/>
      <c r="AK190" s="356"/>
      <c r="AL190" s="358"/>
      <c r="AM190" s="358"/>
      <c r="AN190" s="267" t="s">
        <v>2598</v>
      </c>
      <c r="AO190" s="512" t="s">
        <v>3614</v>
      </c>
      <c r="AP190" s="724">
        <v>5000000</v>
      </c>
      <c r="AQ190" s="725"/>
      <c r="AR190" s="725"/>
      <c r="AS190" s="725"/>
      <c r="AT190" s="725"/>
      <c r="AU190" s="725"/>
      <c r="AV190" s="725"/>
      <c r="AW190" s="726">
        <f t="shared" si="65"/>
        <v>5000000</v>
      </c>
      <c r="AX190" s="525"/>
      <c r="AY190" s="310"/>
      <c r="AZ190" s="310"/>
      <c r="BA190" s="310"/>
      <c r="BB190" s="310"/>
      <c r="BC190" s="310"/>
      <c r="BD190" s="310"/>
      <c r="BE190" s="544">
        <f t="shared" si="80"/>
        <v>0</v>
      </c>
      <c r="BF190" s="525"/>
      <c r="BG190" s="310"/>
      <c r="BH190" s="310"/>
      <c r="BI190" s="310"/>
      <c r="BJ190" s="310"/>
      <c r="BK190" s="310"/>
      <c r="BL190" s="310"/>
      <c r="BM190" s="544">
        <f t="shared" si="81"/>
        <v>0</v>
      </c>
      <c r="BN190" s="525"/>
      <c r="BO190" s="310"/>
      <c r="BP190" s="310"/>
      <c r="BQ190" s="310"/>
      <c r="BR190" s="310"/>
      <c r="BS190" s="310"/>
      <c r="BT190" s="310"/>
      <c r="BU190" s="544">
        <f t="shared" si="82"/>
        <v>0</v>
      </c>
      <c r="BV190" s="556"/>
      <c r="BW190" s="663">
        <f t="shared" si="70"/>
        <v>2</v>
      </c>
      <c r="BX190" s="674">
        <f t="shared" si="71"/>
        <v>0.5</v>
      </c>
      <c r="BY190" s="674">
        <f t="shared" si="72"/>
        <v>1</v>
      </c>
      <c r="BZ190" s="674">
        <f t="shared" si="73"/>
        <v>1</v>
      </c>
      <c r="CA190" s="675">
        <f t="shared" si="74"/>
        <v>0</v>
      </c>
      <c r="CB190" s="675">
        <f t="shared" si="75"/>
        <v>0</v>
      </c>
    </row>
    <row r="191" spans="1:80" ht="61.5" hidden="1" customHeight="1" x14ac:dyDescent="0.25">
      <c r="A191" s="298" t="s">
        <v>491</v>
      </c>
      <c r="B191" s="299" t="str">
        <f>'PLAN INDICATIVO'!B188</f>
        <v>Atención a grupos vulnerables - promoción social</v>
      </c>
      <c r="C191" s="1547"/>
      <c r="D191" s="1551"/>
      <c r="E191" s="1551"/>
      <c r="F191" s="1551"/>
      <c r="G191" s="1551"/>
      <c r="H191" s="1551"/>
      <c r="I191" s="300">
        <f>'PLAN INDICATIVO'!I188</f>
        <v>0</v>
      </c>
      <c r="J191" s="300">
        <f>'PLAN INDICATIVO'!J188</f>
        <v>0</v>
      </c>
      <c r="K191" s="1425" t="str">
        <f>'PLAN INDICATIVO'!K188</f>
        <v>A.14.2.9</v>
      </c>
      <c r="L191" s="1425" t="str">
        <f>'PLAN INDICATIVO'!L188</f>
        <v>10. Reducción de las desigualdades</v>
      </c>
      <c r="M191" s="1425" t="str">
        <f>'PLAN INDICATIVO'!M188</f>
        <v>Secretaría de Gobierno</v>
      </c>
      <c r="N191" s="1425" t="s">
        <v>3611</v>
      </c>
      <c r="O191" s="1425" t="str">
        <f>'PLAN INDICATIVO'!O188</f>
        <v>Incremento</v>
      </c>
      <c r="P191" s="820" t="str">
        <f>'PLAN INDICATIVO'!P188</f>
        <v>Jóvenes participando en 15 consejos de política social en el cuatrienio</v>
      </c>
      <c r="Q191" s="302" t="str">
        <f>'PLAN INDICATIVO'!Q188</f>
        <v>Consejos de Política económica y social</v>
      </c>
      <c r="R191" s="303">
        <f>'PLAN INDICATIVO'!R188</f>
        <v>2015</v>
      </c>
      <c r="S191" s="304">
        <v>0</v>
      </c>
      <c r="T191" s="699">
        <v>15</v>
      </c>
      <c r="U191" s="303">
        <v>4</v>
      </c>
      <c r="V191" s="687">
        <v>500000</v>
      </c>
      <c r="W191" s="303">
        <v>4</v>
      </c>
      <c r="X191" s="687">
        <v>500000</v>
      </c>
      <c r="Y191" s="303">
        <v>4</v>
      </c>
      <c r="Z191" s="687">
        <v>500000</v>
      </c>
      <c r="AA191" s="303">
        <v>4</v>
      </c>
      <c r="AB191" s="687">
        <v>500000</v>
      </c>
      <c r="AC191" s="669">
        <f>1+1+1+1</f>
        <v>4</v>
      </c>
      <c r="AD191" s="669">
        <v>4</v>
      </c>
      <c r="AE191" s="669"/>
      <c r="AF191" s="669"/>
      <c r="AG191" s="996" t="s">
        <v>3612</v>
      </c>
      <c r="AH191" s="996">
        <v>2017413960024</v>
      </c>
      <c r="AI191" s="995" t="s">
        <v>3620</v>
      </c>
      <c r="AJ191" s="356"/>
      <c r="AK191" s="356"/>
      <c r="AL191" s="358"/>
      <c r="AM191" s="358"/>
      <c r="AN191" s="267" t="s">
        <v>2598</v>
      </c>
      <c r="AO191" s="512" t="s">
        <v>3614</v>
      </c>
      <c r="AP191" s="724">
        <v>5000000</v>
      </c>
      <c r="AQ191" s="725"/>
      <c r="AR191" s="725"/>
      <c r="AS191" s="725"/>
      <c r="AT191" s="725"/>
      <c r="AU191" s="725"/>
      <c r="AV191" s="725"/>
      <c r="AW191" s="726">
        <f t="shared" si="65"/>
        <v>5000000</v>
      </c>
      <c r="AX191" s="525"/>
      <c r="AY191" s="310"/>
      <c r="AZ191" s="310"/>
      <c r="BA191" s="310"/>
      <c r="BB191" s="310"/>
      <c r="BC191" s="310"/>
      <c r="BD191" s="310"/>
      <c r="BE191" s="544">
        <f t="shared" si="80"/>
        <v>0</v>
      </c>
      <c r="BF191" s="525"/>
      <c r="BG191" s="310"/>
      <c r="BH191" s="310"/>
      <c r="BI191" s="310"/>
      <c r="BJ191" s="310"/>
      <c r="BK191" s="310"/>
      <c r="BL191" s="310"/>
      <c r="BM191" s="544">
        <f t="shared" si="81"/>
        <v>0</v>
      </c>
      <c r="BN191" s="525"/>
      <c r="BO191" s="310"/>
      <c r="BP191" s="310"/>
      <c r="BQ191" s="310"/>
      <c r="BR191" s="310"/>
      <c r="BS191" s="310"/>
      <c r="BT191" s="310"/>
      <c r="BU191" s="544">
        <f t="shared" si="82"/>
        <v>0</v>
      </c>
      <c r="BV191" s="556"/>
      <c r="BW191" s="663">
        <f t="shared" si="70"/>
        <v>8</v>
      </c>
      <c r="BX191" s="674">
        <f t="shared" si="71"/>
        <v>0.53333333333333333</v>
      </c>
      <c r="BY191" s="674">
        <f t="shared" si="72"/>
        <v>1</v>
      </c>
      <c r="BZ191" s="674">
        <f t="shared" si="73"/>
        <v>1</v>
      </c>
      <c r="CA191" s="675">
        <f t="shared" si="74"/>
        <v>0</v>
      </c>
      <c r="CB191" s="675">
        <f t="shared" si="75"/>
        <v>0</v>
      </c>
    </row>
    <row r="192" spans="1:80" ht="53.25" hidden="1" customHeight="1" x14ac:dyDescent="0.25">
      <c r="A192" s="298" t="s">
        <v>491</v>
      </c>
      <c r="B192" s="299" t="str">
        <f>'PLAN INDICATIVO'!B189</f>
        <v>Atención a grupos vulnerables - promoción social</v>
      </c>
      <c r="C192" s="1548"/>
      <c r="D192" s="1552"/>
      <c r="E192" s="1552"/>
      <c r="F192" s="1552"/>
      <c r="G192" s="1552"/>
      <c r="H192" s="1552"/>
      <c r="I192" s="300">
        <f>'PLAN INDICATIVO'!I189</f>
        <v>0</v>
      </c>
      <c r="J192" s="300">
        <f>'PLAN INDICATIVO'!J189</f>
        <v>0</v>
      </c>
      <c r="K192" s="1425" t="str">
        <f>'PLAN INDICATIVO'!K189</f>
        <v>A.14.2.10</v>
      </c>
      <c r="L192" s="1425" t="str">
        <f>'PLAN INDICATIVO'!L189</f>
        <v>10. Reducción de las desigualdades</v>
      </c>
      <c r="M192" s="1425" t="str">
        <f>'PLAN INDICATIVO'!M189</f>
        <v>Secretaría de Gobierno</v>
      </c>
      <c r="N192" s="1425" t="s">
        <v>3611</v>
      </c>
      <c r="O192" s="1425" t="str">
        <f>'PLAN INDICATIVO'!O189</f>
        <v>Incremento</v>
      </c>
      <c r="P192" s="16" t="str">
        <f>'PLAN INDICATIVO'!P189</f>
        <v xml:space="preserve">Realizar 4 encuentros con personeros estudiantiles, durante el cuatrienio. </v>
      </c>
      <c r="Q192" s="302" t="str">
        <f>'PLAN INDICATIVO'!Q189</f>
        <v>No. de encuentros con personeros estudiantiles</v>
      </c>
      <c r="R192" s="303">
        <f>'PLAN INDICATIVO'!R189</f>
        <v>2015</v>
      </c>
      <c r="S192" s="304">
        <v>0</v>
      </c>
      <c r="T192" s="699">
        <v>4</v>
      </c>
      <c r="U192" s="303">
        <v>1</v>
      </c>
      <c r="V192" s="687">
        <v>500000</v>
      </c>
      <c r="W192" s="303">
        <v>1</v>
      </c>
      <c r="X192" s="687">
        <v>3000000</v>
      </c>
      <c r="Y192" s="303">
        <v>1</v>
      </c>
      <c r="Z192" s="687">
        <v>3000000</v>
      </c>
      <c r="AA192" s="303">
        <v>1</v>
      </c>
      <c r="AB192" s="687">
        <v>3000000</v>
      </c>
      <c r="AC192" s="669">
        <v>1</v>
      </c>
      <c r="AD192" s="669">
        <v>1</v>
      </c>
      <c r="AE192" s="669"/>
      <c r="AF192" s="669"/>
      <c r="AG192" s="996" t="s">
        <v>3612</v>
      </c>
      <c r="AH192" s="996">
        <v>2017413960024</v>
      </c>
      <c r="AI192" s="995" t="s">
        <v>3621</v>
      </c>
      <c r="AJ192" s="358"/>
      <c r="AK192" s="358"/>
      <c r="AL192" s="358"/>
      <c r="AM192" s="358"/>
      <c r="AN192" s="267" t="s">
        <v>2598</v>
      </c>
      <c r="AO192" s="512" t="s">
        <v>3614</v>
      </c>
      <c r="AP192" s="724">
        <v>5000000</v>
      </c>
      <c r="AQ192" s="725"/>
      <c r="AR192" s="725"/>
      <c r="AS192" s="725"/>
      <c r="AT192" s="725"/>
      <c r="AU192" s="727"/>
      <c r="AV192" s="725"/>
      <c r="AW192" s="726">
        <f t="shared" si="65"/>
        <v>5000000</v>
      </c>
      <c r="AX192" s="525"/>
      <c r="AY192" s="310"/>
      <c r="AZ192" s="310"/>
      <c r="BA192" s="310"/>
      <c r="BB192" s="310"/>
      <c r="BC192" s="380"/>
      <c r="BD192" s="310"/>
      <c r="BE192" s="544">
        <f t="shared" si="80"/>
        <v>0</v>
      </c>
      <c r="BF192" s="525"/>
      <c r="BG192" s="310"/>
      <c r="BH192" s="310"/>
      <c r="BI192" s="310"/>
      <c r="BJ192" s="310"/>
      <c r="BK192" s="380"/>
      <c r="BL192" s="310"/>
      <c r="BM192" s="544">
        <f t="shared" si="81"/>
        <v>0</v>
      </c>
      <c r="BN192" s="525"/>
      <c r="BO192" s="310"/>
      <c r="BP192" s="310"/>
      <c r="BQ192" s="310"/>
      <c r="BR192" s="310"/>
      <c r="BS192" s="380"/>
      <c r="BT192" s="310"/>
      <c r="BU192" s="544">
        <f t="shared" si="82"/>
        <v>0</v>
      </c>
      <c r="BV192" s="556"/>
      <c r="BW192" s="663">
        <f t="shared" si="70"/>
        <v>2</v>
      </c>
      <c r="BX192" s="674">
        <f t="shared" si="71"/>
        <v>0.5</v>
      </c>
      <c r="BY192" s="674">
        <f t="shared" si="72"/>
        <v>1</v>
      </c>
      <c r="BZ192" s="674">
        <f t="shared" si="73"/>
        <v>1</v>
      </c>
      <c r="CA192" s="675">
        <f t="shared" si="74"/>
        <v>0</v>
      </c>
      <c r="CB192" s="675">
        <f t="shared" si="75"/>
        <v>0</v>
      </c>
    </row>
    <row r="193" spans="1:80" ht="21.75" hidden="1" customHeight="1" x14ac:dyDescent="0.25">
      <c r="A193" s="295" t="s">
        <v>491</v>
      </c>
      <c r="B193" s="24" t="str">
        <f>'PLAN INDICATIVO'!B191</f>
        <v>Atención a grupos vulnerables - promoción social</v>
      </c>
      <c r="C193" s="1602" t="s">
        <v>602</v>
      </c>
      <c r="D193" s="1603"/>
      <c r="E193" s="1603"/>
      <c r="F193" s="1603"/>
      <c r="G193" s="1603"/>
      <c r="H193" s="1603"/>
      <c r="I193" s="1603"/>
      <c r="J193" s="1603"/>
      <c r="K193" s="1603"/>
      <c r="L193" s="1603"/>
      <c r="M193" s="1603"/>
      <c r="N193" s="1603"/>
      <c r="O193" s="1604"/>
      <c r="P193" s="365" t="s">
        <v>603</v>
      </c>
      <c r="Q193" s="62"/>
      <c r="R193" s="53"/>
      <c r="S193" s="275"/>
      <c r="T193" s="683"/>
      <c r="U193" s="275"/>
      <c r="V193" s="703">
        <f>SUM(V194:V200)</f>
        <v>10000000</v>
      </c>
      <c r="W193" s="275"/>
      <c r="X193" s="703">
        <f>SUM(X194:X200)</f>
        <v>14550000</v>
      </c>
      <c r="Y193" s="275"/>
      <c r="Z193" s="703">
        <f>SUM(Z194:Z200)</f>
        <v>19860000</v>
      </c>
      <c r="AA193" s="275"/>
      <c r="AB193" s="703">
        <f>SUM(AB194:AB200)</f>
        <v>10200000</v>
      </c>
      <c r="AC193" s="275"/>
      <c r="AD193" s="275"/>
      <c r="AE193" s="275"/>
      <c r="AF193" s="275"/>
      <c r="AG193" s="276"/>
      <c r="AH193" s="276"/>
      <c r="AI193" s="276"/>
      <c r="AJ193" s="275"/>
      <c r="AK193" s="275"/>
      <c r="AL193" s="275"/>
      <c r="AM193" s="275"/>
      <c r="AN193" s="275"/>
      <c r="AO193" s="642"/>
      <c r="AP193" s="643" t="e">
        <f>(AP194:AP200)</f>
        <v>#VALUE!</v>
      </c>
      <c r="AQ193" s="643" t="e">
        <f t="shared" ref="AQ193:AV193" si="90">(AQ194:AQ200)</f>
        <v>#VALUE!</v>
      </c>
      <c r="AR193" s="643" t="e">
        <f t="shared" si="90"/>
        <v>#VALUE!</v>
      </c>
      <c r="AS193" s="643" t="e">
        <f t="shared" si="90"/>
        <v>#VALUE!</v>
      </c>
      <c r="AT193" s="643" t="e">
        <f t="shared" si="90"/>
        <v>#VALUE!</v>
      </c>
      <c r="AU193" s="643" t="e">
        <f t="shared" si="90"/>
        <v>#VALUE!</v>
      </c>
      <c r="AV193" s="643" t="e">
        <f t="shared" si="90"/>
        <v>#VALUE!</v>
      </c>
      <c r="AW193" s="617" t="e">
        <f t="shared" si="65"/>
        <v>#VALUE!</v>
      </c>
      <c r="AX193" s="643" t="e">
        <f>(AX194:AX200)</f>
        <v>#VALUE!</v>
      </c>
      <c r="AY193" s="643" t="e">
        <f t="shared" ref="AY193:BD193" si="91">(AY194:AY200)</f>
        <v>#VALUE!</v>
      </c>
      <c r="AZ193" s="643" t="e">
        <f t="shared" si="91"/>
        <v>#VALUE!</v>
      </c>
      <c r="BA193" s="643" t="e">
        <f t="shared" si="91"/>
        <v>#VALUE!</v>
      </c>
      <c r="BB193" s="643" t="e">
        <f t="shared" si="91"/>
        <v>#VALUE!</v>
      </c>
      <c r="BC193" s="643" t="e">
        <f t="shared" si="91"/>
        <v>#VALUE!</v>
      </c>
      <c r="BD193" s="643" t="e">
        <f t="shared" si="91"/>
        <v>#VALUE!</v>
      </c>
      <c r="BE193" s="617" t="e">
        <f t="shared" si="80"/>
        <v>#VALUE!</v>
      </c>
      <c r="BF193" s="643" t="e">
        <f>(BF194:BF200)</f>
        <v>#VALUE!</v>
      </c>
      <c r="BG193" s="643" t="e">
        <f t="shared" ref="BG193:BL193" si="92">(BG194:BG200)</f>
        <v>#VALUE!</v>
      </c>
      <c r="BH193" s="643" t="e">
        <f t="shared" si="92"/>
        <v>#VALUE!</v>
      </c>
      <c r="BI193" s="643" t="e">
        <f t="shared" si="92"/>
        <v>#VALUE!</v>
      </c>
      <c r="BJ193" s="643" t="e">
        <f t="shared" si="92"/>
        <v>#VALUE!</v>
      </c>
      <c r="BK193" s="643" t="e">
        <f t="shared" si="92"/>
        <v>#VALUE!</v>
      </c>
      <c r="BL193" s="643" t="e">
        <f t="shared" si="92"/>
        <v>#VALUE!</v>
      </c>
      <c r="BM193" s="617" t="e">
        <f t="shared" si="81"/>
        <v>#VALUE!</v>
      </c>
      <c r="BN193" s="643" t="e">
        <f>(BN194:BN200)</f>
        <v>#VALUE!</v>
      </c>
      <c r="BO193" s="643" t="e">
        <f t="shared" ref="BO193:BT193" si="93">(BO194:BO200)</f>
        <v>#VALUE!</v>
      </c>
      <c r="BP193" s="643" t="e">
        <f t="shared" si="93"/>
        <v>#VALUE!</v>
      </c>
      <c r="BQ193" s="643" t="e">
        <f t="shared" si="93"/>
        <v>#VALUE!</v>
      </c>
      <c r="BR193" s="643" t="e">
        <f t="shared" si="93"/>
        <v>#VALUE!</v>
      </c>
      <c r="BS193" s="643" t="e">
        <f t="shared" si="93"/>
        <v>#VALUE!</v>
      </c>
      <c r="BT193" s="643" t="e">
        <f t="shared" si="93"/>
        <v>#VALUE!</v>
      </c>
      <c r="BU193" s="617" t="e">
        <f t="shared" si="82"/>
        <v>#VALUE!</v>
      </c>
      <c r="BV193" s="556"/>
      <c r="BW193" s="663">
        <f t="shared" si="70"/>
        <v>0</v>
      </c>
      <c r="BX193" s="674" t="e">
        <f t="shared" si="71"/>
        <v>#DIV/0!</v>
      </c>
      <c r="BY193" s="674" t="e">
        <f t="shared" si="72"/>
        <v>#DIV/0!</v>
      </c>
      <c r="BZ193" s="674" t="e">
        <f t="shared" si="73"/>
        <v>#DIV/0!</v>
      </c>
      <c r="CA193" s="675" t="e">
        <f t="shared" si="74"/>
        <v>#DIV/0!</v>
      </c>
      <c r="CB193" s="675" t="e">
        <f t="shared" si="75"/>
        <v>#DIV/0!</v>
      </c>
    </row>
    <row r="194" spans="1:80" ht="71.25" hidden="1" customHeight="1" x14ac:dyDescent="0.25">
      <c r="A194" s="298" t="s">
        <v>491</v>
      </c>
      <c r="B194" s="299" t="str">
        <f>'PLAN INDICATIVO'!B192</f>
        <v>Atención a grupos vulnerables - promoción social</v>
      </c>
      <c r="C194" s="1546" t="s">
        <v>604</v>
      </c>
      <c r="D194" s="1549" t="s">
        <v>605</v>
      </c>
      <c r="E194" s="1549" t="s">
        <v>606</v>
      </c>
      <c r="F194" s="1549">
        <v>2015</v>
      </c>
      <c r="G194" s="1549" t="s">
        <v>177</v>
      </c>
      <c r="H194" s="1549">
        <v>12</v>
      </c>
      <c r="I194" s="300">
        <f>'PLAN INDICATIVO'!I192</f>
        <v>0</v>
      </c>
      <c r="J194" s="300">
        <f>'PLAN INDICATIVO'!J192</f>
        <v>0</v>
      </c>
      <c r="K194" s="1425" t="str">
        <f>'PLAN INDICATIVO'!K192</f>
        <v>A.14.3.1</v>
      </c>
      <c r="L194" s="301" t="str">
        <f>'PLAN INDICATIVO'!L192</f>
        <v>5. Igualdad de Género</v>
      </c>
      <c r="M194" s="301" t="str">
        <f>'PLAN INDICATIVO'!M192</f>
        <v>Secretaría de Gobierno</v>
      </c>
      <c r="N194" s="1425" t="s">
        <v>3622</v>
      </c>
      <c r="O194" s="1425" t="str">
        <f>'PLAN INDICATIVO'!O192</f>
        <v>Incremento</v>
      </c>
      <c r="P194" s="820" t="str">
        <f>'PLAN INDICATIVO'!P192</f>
        <v>Crear e implementar 1 política municipal de equidad de género, durante el cuatrienio, para la mujer líder y emprendedora</v>
      </c>
      <c r="Q194" s="302" t="str">
        <f>'PLAN INDICATIVO'!Q192</f>
        <v>No. De políticas de equidad creadas</v>
      </c>
      <c r="R194" s="303">
        <f>'PLAN INDICATIVO'!R192</f>
        <v>2015</v>
      </c>
      <c r="S194" s="304">
        <v>0</v>
      </c>
      <c r="T194" s="699">
        <v>1</v>
      </c>
      <c r="U194" s="303">
        <v>1</v>
      </c>
      <c r="V194" s="548">
        <v>3000000</v>
      </c>
      <c r="W194" s="815">
        <v>0.5</v>
      </c>
      <c r="X194" s="687">
        <v>3000000</v>
      </c>
      <c r="Y194" s="815">
        <v>0.5</v>
      </c>
      <c r="Z194" s="687"/>
      <c r="AA194" s="303">
        <v>0</v>
      </c>
      <c r="AB194" s="687"/>
      <c r="AC194" s="669"/>
      <c r="AD194" s="669">
        <v>0.5</v>
      </c>
      <c r="AE194" s="669"/>
      <c r="AF194" s="669"/>
      <c r="AG194" s="341" t="s">
        <v>3623</v>
      </c>
      <c r="AH194" s="341">
        <v>2017413960058</v>
      </c>
      <c r="AI194" s="355" t="s">
        <v>3624</v>
      </c>
      <c r="AJ194" s="359">
        <v>42979</v>
      </c>
      <c r="AK194" s="359">
        <v>43100</v>
      </c>
      <c r="AL194" s="358"/>
      <c r="AM194" s="358"/>
      <c r="AN194" s="267" t="s">
        <v>2598</v>
      </c>
      <c r="AO194" s="512">
        <v>23141601</v>
      </c>
      <c r="AP194" s="525"/>
      <c r="AQ194" s="310">
        <v>5000000</v>
      </c>
      <c r="AR194" s="310"/>
      <c r="AS194" s="310"/>
      <c r="AT194" s="310"/>
      <c r="AU194" s="310"/>
      <c r="AV194" s="310"/>
      <c r="AW194" s="544">
        <v>1500000</v>
      </c>
      <c r="AX194" s="525"/>
      <c r="AY194" s="310"/>
      <c r="AZ194" s="310"/>
      <c r="BA194" s="310"/>
      <c r="BB194" s="310"/>
      <c r="BC194" s="310"/>
      <c r="BD194" s="310"/>
      <c r="BE194" s="544">
        <f t="shared" si="80"/>
        <v>0</v>
      </c>
      <c r="BF194" s="525"/>
      <c r="BG194" s="310"/>
      <c r="BH194" s="310"/>
      <c r="BI194" s="310"/>
      <c r="BJ194" s="310"/>
      <c r="BK194" s="310"/>
      <c r="BL194" s="310"/>
      <c r="BM194" s="544">
        <f t="shared" si="81"/>
        <v>0</v>
      </c>
      <c r="BN194" s="525"/>
      <c r="BO194" s="310"/>
      <c r="BP194" s="310"/>
      <c r="BQ194" s="310"/>
      <c r="BR194" s="310"/>
      <c r="BS194" s="310"/>
      <c r="BT194" s="310"/>
      <c r="BU194" s="544">
        <f t="shared" si="82"/>
        <v>0</v>
      </c>
      <c r="BV194" s="556"/>
      <c r="BW194" s="663">
        <f t="shared" si="70"/>
        <v>0.5</v>
      </c>
      <c r="BX194" s="674">
        <f t="shared" si="71"/>
        <v>0.5</v>
      </c>
      <c r="BY194" s="674">
        <f t="shared" si="72"/>
        <v>0</v>
      </c>
      <c r="BZ194" s="674">
        <f t="shared" si="73"/>
        <v>1</v>
      </c>
      <c r="CA194" s="675">
        <f t="shared" si="74"/>
        <v>0</v>
      </c>
      <c r="CB194" s="675" t="e">
        <f t="shared" si="75"/>
        <v>#DIV/0!</v>
      </c>
    </row>
    <row r="195" spans="1:80" ht="79.5" hidden="1" customHeight="1" x14ac:dyDescent="0.25">
      <c r="A195" s="298" t="s">
        <v>491</v>
      </c>
      <c r="B195" s="299" t="str">
        <f>'PLAN INDICATIVO'!B193</f>
        <v>Atención a grupos vulnerables - promoción social</v>
      </c>
      <c r="C195" s="1547"/>
      <c r="D195" s="1549"/>
      <c r="E195" s="1549"/>
      <c r="F195" s="1549"/>
      <c r="G195" s="1549"/>
      <c r="H195" s="1549"/>
      <c r="I195" s="300">
        <f>'PLAN INDICATIVO'!I193</f>
        <v>0</v>
      </c>
      <c r="J195" s="300">
        <f>'PLAN INDICATIVO'!J193</f>
        <v>0</v>
      </c>
      <c r="K195" s="1425" t="str">
        <f>'PLAN INDICATIVO'!K193</f>
        <v>A.14.3.2</v>
      </c>
      <c r="L195" s="301" t="str">
        <f>'PLAN INDICATIVO'!L193</f>
        <v>5. Igualdad de Género</v>
      </c>
      <c r="M195" s="301" t="str">
        <f>'PLAN INDICATIVO'!M193</f>
        <v>Secretaría de Gobierno</v>
      </c>
      <c r="N195" s="1425" t="s">
        <v>3622</v>
      </c>
      <c r="O195" s="1425" t="str">
        <f>'PLAN INDICATIVO'!O193</f>
        <v>Incremento</v>
      </c>
      <c r="P195" s="16" t="str">
        <f>'PLAN INDICATIVO'!P193</f>
        <v>Reaizar 4 ferias de la mujer microempresaria  durante el cuatrienio</v>
      </c>
      <c r="Q195" s="302" t="str">
        <f>'PLAN INDICATIVO'!Q193</f>
        <v>No. De ferias realizadas</v>
      </c>
      <c r="R195" s="303">
        <f>'PLAN INDICATIVO'!R193</f>
        <v>2015</v>
      </c>
      <c r="S195" s="304">
        <v>0</v>
      </c>
      <c r="T195" s="699">
        <v>4</v>
      </c>
      <c r="U195" s="303">
        <v>1</v>
      </c>
      <c r="V195" s="548">
        <v>3000000</v>
      </c>
      <c r="W195" s="303">
        <v>1</v>
      </c>
      <c r="X195" s="687">
        <v>5000000</v>
      </c>
      <c r="Y195" s="303">
        <v>1</v>
      </c>
      <c r="Z195" s="687">
        <v>5360000</v>
      </c>
      <c r="AA195" s="303">
        <v>1</v>
      </c>
      <c r="AB195" s="687">
        <v>5440000</v>
      </c>
      <c r="AC195" s="669">
        <v>1</v>
      </c>
      <c r="AD195" s="669">
        <v>1</v>
      </c>
      <c r="AE195" s="669"/>
      <c r="AF195" s="669"/>
      <c r="AG195" s="341" t="s">
        <v>3623</v>
      </c>
      <c r="AH195" s="341">
        <v>2017413960058</v>
      </c>
      <c r="AI195" s="750" t="s">
        <v>3625</v>
      </c>
      <c r="AJ195" s="363">
        <v>42931</v>
      </c>
      <c r="AK195" s="363">
        <v>42977</v>
      </c>
      <c r="AL195" s="358"/>
      <c r="AM195" s="358"/>
      <c r="AN195" s="267" t="s">
        <v>2598</v>
      </c>
      <c r="AO195" s="512">
        <v>23141601</v>
      </c>
      <c r="AP195" s="720"/>
      <c r="AQ195" s="310">
        <v>5000000</v>
      </c>
      <c r="AR195" s="310"/>
      <c r="AS195" s="310"/>
      <c r="AT195" s="310"/>
      <c r="AU195" s="310"/>
      <c r="AV195" s="310"/>
      <c r="AW195" s="544">
        <f t="shared" si="65"/>
        <v>5000000</v>
      </c>
      <c r="AX195" s="525"/>
      <c r="AY195" s="310"/>
      <c r="AZ195" s="310"/>
      <c r="BA195" s="310"/>
      <c r="BB195" s="310"/>
      <c r="BC195" s="310"/>
      <c r="BD195" s="310"/>
      <c r="BE195" s="544">
        <f t="shared" si="80"/>
        <v>0</v>
      </c>
      <c r="BF195" s="525"/>
      <c r="BG195" s="310"/>
      <c r="BH195" s="310"/>
      <c r="BI195" s="310"/>
      <c r="BJ195" s="310"/>
      <c r="BK195" s="310"/>
      <c r="BL195" s="310"/>
      <c r="BM195" s="544">
        <f t="shared" si="81"/>
        <v>0</v>
      </c>
      <c r="BN195" s="525"/>
      <c r="BO195" s="310"/>
      <c r="BP195" s="310"/>
      <c r="BQ195" s="310"/>
      <c r="BR195" s="310"/>
      <c r="BS195" s="310"/>
      <c r="BT195" s="310"/>
      <c r="BU195" s="544">
        <f t="shared" si="82"/>
        <v>0</v>
      </c>
      <c r="BV195" s="556"/>
      <c r="BW195" s="663">
        <f t="shared" si="70"/>
        <v>2</v>
      </c>
      <c r="BX195" s="877">
        <f t="shared" si="71"/>
        <v>0.5</v>
      </c>
      <c r="BY195" s="674">
        <f t="shared" si="72"/>
        <v>1</v>
      </c>
      <c r="BZ195" s="674">
        <f t="shared" si="73"/>
        <v>1</v>
      </c>
      <c r="CA195" s="675">
        <f t="shared" si="74"/>
        <v>0</v>
      </c>
      <c r="CB195" s="675">
        <f t="shared" si="75"/>
        <v>0</v>
      </c>
    </row>
    <row r="196" spans="1:80" ht="72" hidden="1" customHeight="1" x14ac:dyDescent="0.25">
      <c r="A196" s="298" t="s">
        <v>491</v>
      </c>
      <c r="B196" s="299" t="str">
        <f>'PLAN INDICATIVO'!B194</f>
        <v>Atención a grupos vulnerables - promoción social</v>
      </c>
      <c r="C196" s="1547"/>
      <c r="D196" s="1549"/>
      <c r="E196" s="1549"/>
      <c r="F196" s="1549"/>
      <c r="G196" s="1549"/>
      <c r="H196" s="1549"/>
      <c r="I196" s="300">
        <f>'PLAN INDICATIVO'!I194</f>
        <v>0</v>
      </c>
      <c r="J196" s="300">
        <f>'PLAN INDICATIVO'!J194</f>
        <v>0</v>
      </c>
      <c r="K196" s="1425" t="str">
        <f>'PLAN INDICATIVO'!K194</f>
        <v>A.14.3.3</v>
      </c>
      <c r="L196" s="301" t="str">
        <f>'PLAN INDICATIVO'!L194</f>
        <v>5. Igualdad de Género</v>
      </c>
      <c r="M196" s="301" t="str">
        <f>'PLAN INDICATIVO'!M194</f>
        <v>Secretaría de Gobierno</v>
      </c>
      <c r="N196" s="1425" t="s">
        <v>3622</v>
      </c>
      <c r="O196" s="1425" t="str">
        <f>'PLAN INDICATIVO'!O194</f>
        <v>Incremento</v>
      </c>
      <c r="P196" s="16" t="str">
        <f>'PLAN INDICATIVO'!P194</f>
        <v>Realizar 1 oferta mediante el programa capital semilla a la mujer Plateña, para acceso a proyectos de desarrollo económico, durante el cuatrienio</v>
      </c>
      <c r="Q196" s="302" t="str">
        <f>'PLAN INDICATIVO'!Q194</f>
        <v>No. De ofertas realizadas</v>
      </c>
      <c r="R196" s="303">
        <f>'PLAN INDICATIVO'!R194</f>
        <v>2015</v>
      </c>
      <c r="S196" s="304">
        <v>0</v>
      </c>
      <c r="T196" s="699">
        <v>1</v>
      </c>
      <c r="U196" s="303">
        <v>0</v>
      </c>
      <c r="V196" s="548"/>
      <c r="W196" s="303">
        <v>1</v>
      </c>
      <c r="X196" s="687"/>
      <c r="Y196" s="303">
        <v>0</v>
      </c>
      <c r="Z196" s="687">
        <v>10000000</v>
      </c>
      <c r="AA196" s="303">
        <v>0</v>
      </c>
      <c r="AB196" s="687"/>
      <c r="AC196" s="669"/>
      <c r="AD196" s="669">
        <v>1</v>
      </c>
      <c r="AE196" s="669"/>
      <c r="AF196" s="669"/>
      <c r="AG196" s="341" t="s">
        <v>3623</v>
      </c>
      <c r="AH196" s="341">
        <v>2017413960058</v>
      </c>
      <c r="AI196" s="355" t="s">
        <v>3626</v>
      </c>
      <c r="AJ196" s="358"/>
      <c r="AK196" s="358"/>
      <c r="AL196" s="358"/>
      <c r="AM196" s="358"/>
      <c r="AN196" s="267" t="s">
        <v>2598</v>
      </c>
      <c r="AO196" s="512">
        <v>23141601</v>
      </c>
      <c r="AP196" s="525"/>
      <c r="AQ196" s="310">
        <v>3000000</v>
      </c>
      <c r="AR196" s="310"/>
      <c r="AS196" s="310"/>
      <c r="AT196" s="310"/>
      <c r="AU196" s="310"/>
      <c r="AV196" s="310"/>
      <c r="AW196" s="544">
        <f t="shared" si="65"/>
        <v>3000000</v>
      </c>
      <c r="AX196" s="525"/>
      <c r="AY196" s="310"/>
      <c r="AZ196" s="310"/>
      <c r="BA196" s="310"/>
      <c r="BB196" s="310"/>
      <c r="BC196" s="310"/>
      <c r="BD196" s="310"/>
      <c r="BE196" s="544">
        <f t="shared" si="80"/>
        <v>0</v>
      </c>
      <c r="BF196" s="525"/>
      <c r="BG196" s="310"/>
      <c r="BH196" s="310"/>
      <c r="BI196" s="310"/>
      <c r="BJ196" s="310"/>
      <c r="BK196" s="310"/>
      <c r="BL196" s="310"/>
      <c r="BM196" s="544">
        <f t="shared" si="81"/>
        <v>0</v>
      </c>
      <c r="BN196" s="525"/>
      <c r="BO196" s="310"/>
      <c r="BP196" s="310"/>
      <c r="BQ196" s="310"/>
      <c r="BR196" s="310"/>
      <c r="BS196" s="310"/>
      <c r="BT196" s="310"/>
      <c r="BU196" s="544">
        <f t="shared" si="82"/>
        <v>0</v>
      </c>
      <c r="BV196" s="556"/>
      <c r="BW196" s="663">
        <f t="shared" si="70"/>
        <v>1</v>
      </c>
      <c r="BX196" s="674">
        <f t="shared" si="71"/>
        <v>1</v>
      </c>
      <c r="BY196" s="674" t="e">
        <f t="shared" si="72"/>
        <v>#DIV/0!</v>
      </c>
      <c r="BZ196" s="674">
        <f t="shared" si="73"/>
        <v>1</v>
      </c>
      <c r="CA196" s="675" t="e">
        <f t="shared" si="74"/>
        <v>#DIV/0!</v>
      </c>
      <c r="CB196" s="675" t="e">
        <f t="shared" si="75"/>
        <v>#DIV/0!</v>
      </c>
    </row>
    <row r="197" spans="1:80" ht="56.25" hidden="1" customHeight="1" x14ac:dyDescent="0.25">
      <c r="A197" s="298" t="s">
        <v>491</v>
      </c>
      <c r="B197" s="299" t="str">
        <f>'PLAN INDICATIVO'!B195</f>
        <v>Atención a grupos vulnerables - promoción social</v>
      </c>
      <c r="C197" s="1547"/>
      <c r="D197" s="1549"/>
      <c r="E197" s="1549"/>
      <c r="F197" s="1549"/>
      <c r="G197" s="1549"/>
      <c r="H197" s="1549"/>
      <c r="I197" s="300">
        <f>'PLAN INDICATIVO'!I195</f>
        <v>0</v>
      </c>
      <c r="J197" s="300">
        <f>'PLAN INDICATIVO'!J195</f>
        <v>0</v>
      </c>
      <c r="K197" s="1425" t="str">
        <f>'PLAN INDICATIVO'!K195</f>
        <v>A.14.3.4</v>
      </c>
      <c r="L197" s="301" t="str">
        <f>'PLAN INDICATIVO'!L195</f>
        <v>5. Igualdad de Género</v>
      </c>
      <c r="M197" s="301" t="str">
        <f>'PLAN INDICATIVO'!M195</f>
        <v>Secretaría de Gobierno</v>
      </c>
      <c r="N197" s="1425" t="s">
        <v>3622</v>
      </c>
      <c r="O197" s="1425" t="str">
        <f>'PLAN INDICATIVO'!O195</f>
        <v>Incremento</v>
      </c>
      <c r="P197" s="16" t="str">
        <f>'PLAN INDICATIVO'!P195</f>
        <v>Apoyo a un (1) programa para potencializar a la mujer plateña, como generadora de fuente de ingresos a partir de proyectos sociales y productivos.</v>
      </c>
      <c r="Q197" s="302" t="str">
        <f>'PLAN INDICATIVO'!Q195</f>
        <v>No. De apoyos realizados</v>
      </c>
      <c r="R197" s="303">
        <f>'PLAN INDICATIVO'!R195</f>
        <v>2015</v>
      </c>
      <c r="S197" s="304">
        <v>0</v>
      </c>
      <c r="T197" s="699">
        <v>1</v>
      </c>
      <c r="U197" s="303">
        <v>0</v>
      </c>
      <c r="V197" s="548">
        <v>1000000</v>
      </c>
      <c r="W197" s="303">
        <v>1</v>
      </c>
      <c r="X197" s="687">
        <v>1000000</v>
      </c>
      <c r="Y197" s="303">
        <v>0</v>
      </c>
      <c r="Z197" s="687"/>
      <c r="AA197" s="303">
        <v>0</v>
      </c>
      <c r="AB197" s="687"/>
      <c r="AC197" s="669"/>
      <c r="AD197" s="669">
        <v>1</v>
      </c>
      <c r="AE197" s="669"/>
      <c r="AF197" s="669"/>
      <c r="AG197" s="341" t="s">
        <v>3623</v>
      </c>
      <c r="AH197" s="341">
        <v>2017413960058</v>
      </c>
      <c r="AI197" s="355" t="s">
        <v>3627</v>
      </c>
      <c r="AJ197" s="359">
        <v>42781</v>
      </c>
      <c r="AK197" s="359">
        <v>43069</v>
      </c>
      <c r="AL197" s="358"/>
      <c r="AM197" s="358"/>
      <c r="AN197" s="267" t="s">
        <v>2598</v>
      </c>
      <c r="AO197" s="512" t="s">
        <v>3628</v>
      </c>
      <c r="AP197" s="525"/>
      <c r="AQ197" s="310">
        <v>1000000</v>
      </c>
      <c r="AR197" s="310"/>
      <c r="AS197" s="310"/>
      <c r="AT197" s="310"/>
      <c r="AU197" s="310"/>
      <c r="AV197" s="310"/>
      <c r="AW197" s="544">
        <f>AP197+AQ197+AR197+AS197+AT197+AU197+AV197</f>
        <v>1000000</v>
      </c>
      <c r="AX197" s="525"/>
      <c r="AY197" s="310"/>
      <c r="AZ197" s="310"/>
      <c r="BA197" s="310"/>
      <c r="BB197" s="310"/>
      <c r="BC197" s="310"/>
      <c r="BD197" s="310"/>
      <c r="BE197" s="544">
        <f t="shared" si="80"/>
        <v>0</v>
      </c>
      <c r="BF197" s="525"/>
      <c r="BG197" s="310"/>
      <c r="BH197" s="310"/>
      <c r="BI197" s="310"/>
      <c r="BJ197" s="310"/>
      <c r="BK197" s="310"/>
      <c r="BL197" s="310"/>
      <c r="BM197" s="544">
        <f t="shared" si="81"/>
        <v>0</v>
      </c>
      <c r="BN197" s="525"/>
      <c r="BO197" s="310"/>
      <c r="BP197" s="310"/>
      <c r="BQ197" s="310"/>
      <c r="BR197" s="310"/>
      <c r="BS197" s="310"/>
      <c r="BT197" s="310"/>
      <c r="BU197" s="544">
        <f t="shared" si="82"/>
        <v>0</v>
      </c>
      <c r="BV197" s="556"/>
      <c r="BW197" s="663">
        <f t="shared" si="70"/>
        <v>1</v>
      </c>
      <c r="BX197" s="674">
        <f t="shared" si="71"/>
        <v>1</v>
      </c>
      <c r="BY197" s="674" t="e">
        <f t="shared" si="72"/>
        <v>#DIV/0!</v>
      </c>
      <c r="BZ197" s="674">
        <f t="shared" si="73"/>
        <v>1</v>
      </c>
      <c r="CA197" s="675" t="e">
        <f t="shared" si="74"/>
        <v>#DIV/0!</v>
      </c>
      <c r="CB197" s="675" t="e">
        <f t="shared" si="75"/>
        <v>#DIV/0!</v>
      </c>
    </row>
    <row r="198" spans="1:80" ht="72" hidden="1" customHeight="1" x14ac:dyDescent="0.25">
      <c r="A198" s="298" t="s">
        <v>491</v>
      </c>
      <c r="B198" s="299" t="str">
        <f>'PLAN INDICATIVO'!B196</f>
        <v>Atención a grupos vulnerables - promoción social</v>
      </c>
      <c r="C198" s="1547"/>
      <c r="D198" s="1549"/>
      <c r="E198" s="1549"/>
      <c r="F198" s="1549"/>
      <c r="G198" s="1549"/>
      <c r="H198" s="1549"/>
      <c r="I198" s="300">
        <f>'PLAN INDICATIVO'!I196</f>
        <v>0</v>
      </c>
      <c r="J198" s="300">
        <f>'PLAN INDICATIVO'!J196</f>
        <v>0</v>
      </c>
      <c r="K198" s="1425" t="str">
        <f>'PLAN INDICATIVO'!K196</f>
        <v>A.14.3.5</v>
      </c>
      <c r="L198" s="301" t="str">
        <f>'PLAN INDICATIVO'!L196</f>
        <v>5. Igualdad de Género</v>
      </c>
      <c r="M198" s="301" t="str">
        <f>'PLAN INDICATIVO'!M196</f>
        <v>Secretaría de Gobierno</v>
      </c>
      <c r="N198" s="1425" t="s">
        <v>3622</v>
      </c>
      <c r="O198" s="1425" t="str">
        <f>'PLAN INDICATIVO'!O196</f>
        <v>Incremento</v>
      </c>
      <c r="P198" s="16" t="str">
        <f>'PLAN INDICATIVO'!P196</f>
        <v>Implementar 1 campaña cada año para prevenir violencia contra la mujer</v>
      </c>
      <c r="Q198" s="302" t="str">
        <f>'PLAN INDICATIVO'!Q196</f>
        <v>Campaña implementada</v>
      </c>
      <c r="R198" s="303">
        <f>'PLAN INDICATIVO'!R196</f>
        <v>2015</v>
      </c>
      <c r="S198" s="304">
        <v>1</v>
      </c>
      <c r="T198" s="699">
        <v>4</v>
      </c>
      <c r="U198" s="303">
        <v>1</v>
      </c>
      <c r="V198" s="548">
        <v>2000000</v>
      </c>
      <c r="W198" s="303">
        <v>1</v>
      </c>
      <c r="X198" s="687">
        <v>4550000</v>
      </c>
      <c r="Y198" s="303">
        <v>1</v>
      </c>
      <c r="Z198" s="687">
        <v>3500000</v>
      </c>
      <c r="AA198" s="303">
        <v>1</v>
      </c>
      <c r="AB198" s="687">
        <v>3760000</v>
      </c>
      <c r="AC198" s="669">
        <v>1</v>
      </c>
      <c r="AD198" s="669">
        <v>1</v>
      </c>
      <c r="AE198" s="669"/>
      <c r="AF198" s="669"/>
      <c r="AG198" s="341" t="s">
        <v>3623</v>
      </c>
      <c r="AH198" s="341">
        <v>2017413960058</v>
      </c>
      <c r="AI198" s="355" t="s">
        <v>3629</v>
      </c>
      <c r="AJ198" s="359">
        <v>42781</v>
      </c>
      <c r="AK198" s="359">
        <v>42825</v>
      </c>
      <c r="AL198" s="358"/>
      <c r="AM198" s="358"/>
      <c r="AN198" s="267" t="s">
        <v>2598</v>
      </c>
      <c r="AO198" s="512" t="s">
        <v>3628</v>
      </c>
      <c r="AP198" s="720"/>
      <c r="AQ198" s="310">
        <v>2000000</v>
      </c>
      <c r="AR198" s="310"/>
      <c r="AS198" s="310"/>
      <c r="AT198" s="310"/>
      <c r="AU198" s="310"/>
      <c r="AV198" s="310"/>
      <c r="AW198" s="544">
        <f>AP198+AQ198+AR198+AS198+AT198+AU198+AV198</f>
        <v>2000000</v>
      </c>
      <c r="AX198" s="525"/>
      <c r="AY198" s="310"/>
      <c r="AZ198" s="310"/>
      <c r="BA198" s="310"/>
      <c r="BB198" s="310"/>
      <c r="BC198" s="310"/>
      <c r="BD198" s="310"/>
      <c r="BE198" s="544">
        <f t="shared" si="80"/>
        <v>0</v>
      </c>
      <c r="BF198" s="525"/>
      <c r="BG198" s="310"/>
      <c r="BH198" s="310"/>
      <c r="BI198" s="310"/>
      <c r="BJ198" s="310"/>
      <c r="BK198" s="310"/>
      <c r="BL198" s="310"/>
      <c r="BM198" s="544">
        <f t="shared" si="81"/>
        <v>0</v>
      </c>
      <c r="BN198" s="525"/>
      <c r="BO198" s="310"/>
      <c r="BP198" s="310"/>
      <c r="BQ198" s="310"/>
      <c r="BR198" s="310"/>
      <c r="BS198" s="310"/>
      <c r="BT198" s="310"/>
      <c r="BU198" s="544">
        <f t="shared" si="82"/>
        <v>0</v>
      </c>
      <c r="BV198" s="556"/>
      <c r="BW198" s="663">
        <f t="shared" si="70"/>
        <v>2</v>
      </c>
      <c r="BX198" s="674">
        <f t="shared" si="71"/>
        <v>0.5</v>
      </c>
      <c r="BY198" s="674">
        <f t="shared" si="72"/>
        <v>1</v>
      </c>
      <c r="BZ198" s="674">
        <f t="shared" si="73"/>
        <v>1</v>
      </c>
      <c r="CA198" s="675">
        <f t="shared" si="74"/>
        <v>0</v>
      </c>
      <c r="CB198" s="675">
        <f t="shared" si="75"/>
        <v>0</v>
      </c>
    </row>
    <row r="199" spans="1:80" ht="47.25" hidden="1" customHeight="1" x14ac:dyDescent="0.25">
      <c r="A199" s="298" t="s">
        <v>491</v>
      </c>
      <c r="B199" s="299" t="str">
        <f>'PLAN INDICATIVO'!B197</f>
        <v>Atención a grupos vulnerables - promoción social</v>
      </c>
      <c r="C199" s="1547"/>
      <c r="D199" s="1549"/>
      <c r="E199" s="1549"/>
      <c r="F199" s="1549"/>
      <c r="G199" s="1549"/>
      <c r="H199" s="1549"/>
      <c r="I199" s="300">
        <f>'PLAN INDICATIVO'!I197</f>
        <v>0</v>
      </c>
      <c r="J199" s="300">
        <f>'PLAN INDICATIVO'!J197</f>
        <v>0</v>
      </c>
      <c r="K199" s="1425" t="str">
        <f>'PLAN INDICATIVO'!K197</f>
        <v>A.14.3.6</v>
      </c>
      <c r="L199" s="301" t="str">
        <f>'PLAN INDICATIVO'!L197</f>
        <v>5. Igualdad de Género</v>
      </c>
      <c r="M199" s="301" t="str">
        <f>'PLAN INDICATIVO'!M197</f>
        <v>Secretaría de Gobierno</v>
      </c>
      <c r="N199" s="1425" t="s">
        <v>3622</v>
      </c>
      <c r="O199" s="1425" t="str">
        <f>'PLAN INDICATIVO'!O197</f>
        <v>Mantenimiento</v>
      </c>
      <c r="P199" s="16" t="str">
        <f>'PLAN INDICATIVO'!P197</f>
        <v>Realizar 2 sesiones del Consejo Comunitario de Mujeres por año</v>
      </c>
      <c r="Q199" s="302" t="str">
        <f>'PLAN INDICATIVO'!Q197</f>
        <v>No. De sesiones del consejo Comunitario de mujeres por año</v>
      </c>
      <c r="R199" s="303">
        <f>'PLAN INDICATIVO'!R197</f>
        <v>2015</v>
      </c>
      <c r="S199" s="304">
        <v>2</v>
      </c>
      <c r="T199" s="699">
        <v>8</v>
      </c>
      <c r="U199" s="303">
        <v>2</v>
      </c>
      <c r="V199" s="548">
        <v>500000</v>
      </c>
      <c r="W199" s="303">
        <v>2</v>
      </c>
      <c r="X199" s="687">
        <v>500000</v>
      </c>
      <c r="Y199" s="303">
        <v>2</v>
      </c>
      <c r="Z199" s="687">
        <v>500000</v>
      </c>
      <c r="AA199" s="303">
        <v>2</v>
      </c>
      <c r="AB199" s="687">
        <v>500000</v>
      </c>
      <c r="AC199" s="669">
        <v>2</v>
      </c>
      <c r="AD199" s="669">
        <v>2</v>
      </c>
      <c r="AE199" s="669"/>
      <c r="AF199" s="669"/>
      <c r="AG199" s="341" t="s">
        <v>3623</v>
      </c>
      <c r="AH199" s="341">
        <v>2017413960058</v>
      </c>
      <c r="AI199" s="355" t="s">
        <v>3630</v>
      </c>
      <c r="AJ199" s="363">
        <v>42795</v>
      </c>
      <c r="AK199" s="363">
        <v>43038</v>
      </c>
      <c r="AL199" s="358"/>
      <c r="AM199" s="358"/>
      <c r="AN199" s="267" t="s">
        <v>2598</v>
      </c>
      <c r="AO199" s="512" t="s">
        <v>3628</v>
      </c>
      <c r="AP199" s="525"/>
      <c r="AQ199" s="721">
        <v>1000000</v>
      </c>
      <c r="AR199" s="310"/>
      <c r="AS199" s="310"/>
      <c r="AT199" s="310"/>
      <c r="AU199" s="310"/>
      <c r="AV199" s="310"/>
      <c r="AW199" s="544">
        <f>AP199+AQ199+AR199+AS199+AT199+AU199+AV199</f>
        <v>1000000</v>
      </c>
      <c r="AX199" s="525"/>
      <c r="AY199" s="310"/>
      <c r="AZ199" s="310"/>
      <c r="BA199" s="310"/>
      <c r="BB199" s="310"/>
      <c r="BC199" s="310"/>
      <c r="BD199" s="310"/>
      <c r="BE199" s="544">
        <f t="shared" si="80"/>
        <v>0</v>
      </c>
      <c r="BF199" s="525"/>
      <c r="BG199" s="310"/>
      <c r="BH199" s="310"/>
      <c r="BI199" s="310"/>
      <c r="BJ199" s="310"/>
      <c r="BK199" s="310"/>
      <c r="BL199" s="310"/>
      <c r="BM199" s="544">
        <f t="shared" si="81"/>
        <v>0</v>
      </c>
      <c r="BN199" s="525"/>
      <c r="BO199" s="310"/>
      <c r="BP199" s="310"/>
      <c r="BQ199" s="310"/>
      <c r="BR199" s="310"/>
      <c r="BS199" s="310"/>
      <c r="BT199" s="310"/>
      <c r="BU199" s="544">
        <f t="shared" si="82"/>
        <v>0</v>
      </c>
      <c r="BV199" s="556"/>
      <c r="BW199" s="663">
        <f t="shared" si="70"/>
        <v>4</v>
      </c>
      <c r="BX199" s="674">
        <f t="shared" si="71"/>
        <v>0.5</v>
      </c>
      <c r="BY199" s="674">
        <f t="shared" si="72"/>
        <v>1</v>
      </c>
      <c r="BZ199" s="674">
        <f t="shared" si="73"/>
        <v>1</v>
      </c>
      <c r="CA199" s="675">
        <f t="shared" si="74"/>
        <v>0</v>
      </c>
      <c r="CB199" s="675">
        <f t="shared" si="75"/>
        <v>0</v>
      </c>
    </row>
    <row r="200" spans="1:80" ht="64.5" hidden="1" customHeight="1" x14ac:dyDescent="0.25">
      <c r="A200" s="298" t="s">
        <v>491</v>
      </c>
      <c r="B200" s="299" t="str">
        <f>'PLAN INDICATIVO'!B198</f>
        <v>Atención a grupos vulnerables - promoción social</v>
      </c>
      <c r="C200" s="1548"/>
      <c r="D200" s="1549"/>
      <c r="E200" s="1549"/>
      <c r="F200" s="1549"/>
      <c r="G200" s="1549"/>
      <c r="H200" s="1549"/>
      <c r="I200" s="300">
        <f>'PLAN INDICATIVO'!I198</f>
        <v>0</v>
      </c>
      <c r="J200" s="300">
        <f>'PLAN INDICATIVO'!J198</f>
        <v>0</v>
      </c>
      <c r="K200" s="1425" t="str">
        <f>'PLAN INDICATIVO'!K198</f>
        <v>A.14.3.7</v>
      </c>
      <c r="L200" s="301" t="str">
        <f>'PLAN INDICATIVO'!L198</f>
        <v>5. Igualdad de Género</v>
      </c>
      <c r="M200" s="301" t="str">
        <f>'PLAN INDICATIVO'!M198</f>
        <v>Secretaría de Gobierno</v>
      </c>
      <c r="N200" s="1425" t="s">
        <v>2736</v>
      </c>
      <c r="O200" s="1425" t="str">
        <f>'PLAN INDICATIVO'!O198</f>
        <v>Mantenimiento</v>
      </c>
      <c r="P200" s="16" t="str">
        <f>'PLAN INDICATIVO'!P198</f>
        <v>Establecer 1 ruta de atención para el restablecimiento del derecho de las menores embarazadas y divulgarla</v>
      </c>
      <c r="Q200" s="302" t="str">
        <f>'PLAN INDICATIVO'!Q198</f>
        <v>No. De Ruta de atención establecida por año</v>
      </c>
      <c r="R200" s="303">
        <f>'PLAN INDICATIVO'!R198</f>
        <v>2015</v>
      </c>
      <c r="S200" s="304">
        <v>0</v>
      </c>
      <c r="T200" s="699">
        <v>1</v>
      </c>
      <c r="U200" s="303">
        <v>1</v>
      </c>
      <c r="V200" s="548">
        <v>500000</v>
      </c>
      <c r="W200" s="303">
        <v>1</v>
      </c>
      <c r="X200" s="687">
        <v>500000</v>
      </c>
      <c r="Y200" s="303">
        <v>1</v>
      </c>
      <c r="Z200" s="687">
        <v>500000</v>
      </c>
      <c r="AA200" s="303">
        <v>1</v>
      </c>
      <c r="AB200" s="687">
        <v>500000</v>
      </c>
      <c r="AC200" s="848">
        <v>0</v>
      </c>
      <c r="AD200" s="669">
        <v>0.5</v>
      </c>
      <c r="AE200" s="669"/>
      <c r="AF200" s="669"/>
      <c r="AG200" s="341" t="s">
        <v>3623</v>
      </c>
      <c r="AH200" s="341">
        <v>2017413960058</v>
      </c>
      <c r="AI200" s="355" t="s">
        <v>3631</v>
      </c>
      <c r="AJ200" s="363">
        <v>42795</v>
      </c>
      <c r="AK200" s="363">
        <v>42946</v>
      </c>
      <c r="AL200" s="358"/>
      <c r="AM200" s="358"/>
      <c r="AN200" s="267" t="s">
        <v>2604</v>
      </c>
      <c r="AO200" s="512">
        <v>231803</v>
      </c>
      <c r="AP200" s="525"/>
      <c r="AQ200" s="310">
        <v>692308</v>
      </c>
      <c r="AR200" s="310"/>
      <c r="AS200" s="310"/>
      <c r="AT200" s="310"/>
      <c r="AU200" s="310"/>
      <c r="AV200" s="310"/>
      <c r="AW200" s="544"/>
      <c r="AX200" s="525"/>
      <c r="AY200" s="310"/>
      <c r="AZ200" s="310"/>
      <c r="BA200" s="310"/>
      <c r="BB200" s="310"/>
      <c r="BC200" s="310"/>
      <c r="BD200" s="310"/>
      <c r="BE200" s="544">
        <f t="shared" si="80"/>
        <v>0</v>
      </c>
      <c r="BF200" s="525"/>
      <c r="BG200" s="310"/>
      <c r="BH200" s="310"/>
      <c r="BI200" s="310"/>
      <c r="BJ200" s="310"/>
      <c r="BK200" s="310"/>
      <c r="BL200" s="310"/>
      <c r="BM200" s="544">
        <f t="shared" si="81"/>
        <v>0</v>
      </c>
      <c r="BN200" s="525"/>
      <c r="BO200" s="310"/>
      <c r="BP200" s="310"/>
      <c r="BQ200" s="310"/>
      <c r="BR200" s="310"/>
      <c r="BS200" s="310"/>
      <c r="BT200" s="310"/>
      <c r="BU200" s="544">
        <f t="shared" si="82"/>
        <v>0</v>
      </c>
      <c r="BV200" s="556"/>
      <c r="BW200" s="663">
        <f t="shared" si="70"/>
        <v>0.5</v>
      </c>
      <c r="BX200" s="674">
        <f t="shared" si="71"/>
        <v>0.5</v>
      </c>
      <c r="BY200" s="674">
        <f t="shared" si="72"/>
        <v>0</v>
      </c>
      <c r="BZ200" s="674">
        <f t="shared" si="73"/>
        <v>0.5</v>
      </c>
      <c r="CA200" s="675">
        <f t="shared" si="74"/>
        <v>0</v>
      </c>
      <c r="CB200" s="675">
        <f t="shared" si="75"/>
        <v>0</v>
      </c>
    </row>
    <row r="201" spans="1:80" ht="30.75" hidden="1" customHeight="1" x14ac:dyDescent="0.25">
      <c r="A201" s="295" t="s">
        <v>491</v>
      </c>
      <c r="B201" s="24" t="str">
        <f>'PLAN INDICATIVO'!B199</f>
        <v>Atención a grupos vulnerables - promoción social</v>
      </c>
      <c r="C201" s="366"/>
      <c r="D201" s="367" t="s">
        <v>628</v>
      </c>
      <c r="E201" s="368"/>
      <c r="F201" s="368"/>
      <c r="G201" s="368"/>
      <c r="H201" s="368"/>
      <c r="I201" s="368"/>
      <c r="J201" s="368"/>
      <c r="K201" s="368"/>
      <c r="L201" s="368"/>
      <c r="M201" s="368"/>
      <c r="N201" s="364"/>
      <c r="O201" s="368"/>
      <c r="P201" s="365" t="s">
        <v>629</v>
      </c>
      <c r="Q201" s="22"/>
      <c r="R201" s="1"/>
      <c r="S201" s="261"/>
      <c r="T201" s="681"/>
      <c r="U201" s="261"/>
      <c r="V201" s="689">
        <f>SUM(V202:V211)</f>
        <v>56000000</v>
      </c>
      <c r="W201" s="261"/>
      <c r="X201" s="689">
        <f>SUM(X202:X211)</f>
        <v>56000000</v>
      </c>
      <c r="Y201" s="261"/>
      <c r="Z201" s="689">
        <f>SUM(Z202:Z211)</f>
        <v>56000000</v>
      </c>
      <c r="AA201" s="261"/>
      <c r="AB201" s="689">
        <f>SUM(AB202:AB211)</f>
        <v>56000000</v>
      </c>
      <c r="AC201" s="261"/>
      <c r="AD201" s="261"/>
      <c r="AE201" s="261"/>
      <c r="AF201" s="261"/>
      <c r="AG201" s="273"/>
      <c r="AH201" s="273"/>
      <c r="AI201" s="273"/>
      <c r="AJ201" s="261"/>
      <c r="AK201" s="261"/>
      <c r="AL201" s="261"/>
      <c r="AM201" s="261"/>
      <c r="AN201" s="261"/>
      <c r="AO201" s="635"/>
      <c r="AP201" s="758">
        <f>SUM(AP202:AP211)</f>
        <v>22937740</v>
      </c>
      <c r="AQ201" s="616">
        <f t="shared" ref="AQ201:AV201" si="94">SUM(AQ202:AQ211)</f>
        <v>0</v>
      </c>
      <c r="AR201" s="616">
        <f t="shared" si="94"/>
        <v>0</v>
      </c>
      <c r="AS201" s="616">
        <f t="shared" si="94"/>
        <v>0</v>
      </c>
      <c r="AT201" s="616">
        <f t="shared" si="94"/>
        <v>0</v>
      </c>
      <c r="AU201" s="616">
        <f t="shared" si="94"/>
        <v>0</v>
      </c>
      <c r="AV201" s="616">
        <f t="shared" si="94"/>
        <v>0</v>
      </c>
      <c r="AW201" s="757">
        <f t="shared" ref="AW201:AW261" si="95">SUM(AP201:AV201)</f>
        <v>22937740</v>
      </c>
      <c r="AX201" s="616" t="e">
        <f>(AX202:AX211)</f>
        <v>#VALUE!</v>
      </c>
      <c r="AY201" s="616" t="e">
        <f t="shared" ref="AY201:BD201" si="96">(AY202:AY211)</f>
        <v>#VALUE!</v>
      </c>
      <c r="AZ201" s="616" t="e">
        <f t="shared" si="96"/>
        <v>#VALUE!</v>
      </c>
      <c r="BA201" s="616" t="e">
        <f t="shared" si="96"/>
        <v>#VALUE!</v>
      </c>
      <c r="BB201" s="616" t="e">
        <f t="shared" si="96"/>
        <v>#VALUE!</v>
      </c>
      <c r="BC201" s="616" t="e">
        <f t="shared" si="96"/>
        <v>#VALUE!</v>
      </c>
      <c r="BD201" s="616" t="e">
        <f t="shared" si="96"/>
        <v>#VALUE!</v>
      </c>
      <c r="BE201" s="617" t="e">
        <f t="shared" si="80"/>
        <v>#VALUE!</v>
      </c>
      <c r="BF201" s="616" t="e">
        <f>(BF202:BF211)</f>
        <v>#VALUE!</v>
      </c>
      <c r="BG201" s="616" t="e">
        <f t="shared" ref="BG201:BL201" si="97">(BG202:BG211)</f>
        <v>#VALUE!</v>
      </c>
      <c r="BH201" s="616" t="e">
        <f t="shared" si="97"/>
        <v>#VALUE!</v>
      </c>
      <c r="BI201" s="616" t="e">
        <f t="shared" si="97"/>
        <v>#VALUE!</v>
      </c>
      <c r="BJ201" s="616" t="e">
        <f t="shared" si="97"/>
        <v>#VALUE!</v>
      </c>
      <c r="BK201" s="616" t="e">
        <f t="shared" si="97"/>
        <v>#VALUE!</v>
      </c>
      <c r="BL201" s="616" t="e">
        <f t="shared" si="97"/>
        <v>#VALUE!</v>
      </c>
      <c r="BM201" s="617" t="e">
        <f t="shared" si="81"/>
        <v>#VALUE!</v>
      </c>
      <c r="BN201" s="616" t="e">
        <f>(BN202:BN211)</f>
        <v>#VALUE!</v>
      </c>
      <c r="BO201" s="616" t="e">
        <f t="shared" ref="BO201:BT201" si="98">(BO202:BO211)</f>
        <v>#VALUE!</v>
      </c>
      <c r="BP201" s="616" t="e">
        <f t="shared" si="98"/>
        <v>#VALUE!</v>
      </c>
      <c r="BQ201" s="616" t="e">
        <f t="shared" si="98"/>
        <v>#VALUE!</v>
      </c>
      <c r="BR201" s="616" t="e">
        <f t="shared" si="98"/>
        <v>#VALUE!</v>
      </c>
      <c r="BS201" s="616" t="e">
        <f t="shared" si="98"/>
        <v>#VALUE!</v>
      </c>
      <c r="BT201" s="616" t="e">
        <f t="shared" si="98"/>
        <v>#VALUE!</v>
      </c>
      <c r="BU201" s="617" t="e">
        <f t="shared" si="82"/>
        <v>#VALUE!</v>
      </c>
      <c r="BV201" s="556"/>
      <c r="BW201" s="863">
        <f t="shared" si="70"/>
        <v>0</v>
      </c>
      <c r="BX201" s="864" t="e">
        <f t="shared" si="71"/>
        <v>#DIV/0!</v>
      </c>
      <c r="BY201" s="864" t="e">
        <f t="shared" si="72"/>
        <v>#DIV/0!</v>
      </c>
      <c r="BZ201" s="864" t="e">
        <f t="shared" si="73"/>
        <v>#DIV/0!</v>
      </c>
      <c r="CA201" s="1450" t="e">
        <f t="shared" si="74"/>
        <v>#DIV/0!</v>
      </c>
      <c r="CB201" s="675" t="e">
        <f t="shared" si="75"/>
        <v>#DIV/0!</v>
      </c>
    </row>
    <row r="202" spans="1:80" ht="104.25" hidden="1" customHeight="1" x14ac:dyDescent="0.25">
      <c r="A202" s="298" t="s">
        <v>491</v>
      </c>
      <c r="B202" s="299" t="str">
        <f>'PLAN INDICATIVO'!B200</f>
        <v>Atención a grupos vulnerables - promoción social</v>
      </c>
      <c r="C202" s="1546" t="s">
        <v>630</v>
      </c>
      <c r="D202" s="1549" t="s">
        <v>631</v>
      </c>
      <c r="E202" s="1549" t="s">
        <v>632</v>
      </c>
      <c r="F202" s="1549">
        <v>2015</v>
      </c>
      <c r="G202" s="1549" t="s">
        <v>177</v>
      </c>
      <c r="H202" s="1549">
        <v>35</v>
      </c>
      <c r="I202" s="300">
        <f>'PLAN INDICATIVO'!I200</f>
        <v>0</v>
      </c>
      <c r="J202" s="300">
        <f>'PLAN INDICATIVO'!J200</f>
        <v>0</v>
      </c>
      <c r="K202" s="1425" t="str">
        <f>'PLAN INDICATIVO'!K200</f>
        <v>A.14.4.1</v>
      </c>
      <c r="L202" s="301" t="str">
        <f>'PLAN INDICATIVO'!L200</f>
        <v>10. Reducción de las desigualdades</v>
      </c>
      <c r="M202" s="301" t="str">
        <f>'PLAN INDICATIVO'!M200</f>
        <v>Secretaría de Gobierno</v>
      </c>
      <c r="N202" s="1425" t="s">
        <v>3632</v>
      </c>
      <c r="O202" s="1425" t="str">
        <f>'PLAN INDICATIVO'!O200</f>
        <v>Incremento</v>
      </c>
      <c r="P202" s="16" t="str">
        <f>'PLAN INDICATIVO'!P200</f>
        <v xml:space="preserve">Realizar 8 jornadas de sensibilización para comunicar los derechos de las personas mayores, dirigidas a servidores públicos, instituciones educativas y comunidad en general del municipio, en el cuatrienio. </v>
      </c>
      <c r="Q202" s="302" t="str">
        <f>'PLAN INDICATIVO'!Q200</f>
        <v xml:space="preserve">No. de jornadas realizadas </v>
      </c>
      <c r="R202" s="303">
        <f>'PLAN INDICATIVO'!R200</f>
        <v>2015</v>
      </c>
      <c r="S202" s="304">
        <v>0</v>
      </c>
      <c r="T202" s="699">
        <v>8</v>
      </c>
      <c r="U202" s="303">
        <v>2</v>
      </c>
      <c r="V202" s="687">
        <v>3000000</v>
      </c>
      <c r="W202" s="303">
        <v>2</v>
      </c>
      <c r="X202" s="687">
        <v>3500000</v>
      </c>
      <c r="Y202" s="303">
        <v>2</v>
      </c>
      <c r="Z202" s="687">
        <v>2000000</v>
      </c>
      <c r="AA202" s="303">
        <v>2</v>
      </c>
      <c r="AB202" s="687">
        <v>3500000</v>
      </c>
      <c r="AC202" s="669">
        <v>2</v>
      </c>
      <c r="AD202" s="669">
        <v>2</v>
      </c>
      <c r="AE202" s="669"/>
      <c r="AF202" s="669"/>
      <c r="AG202" s="341" t="s">
        <v>3633</v>
      </c>
      <c r="AH202" s="341">
        <v>2017413960032</v>
      </c>
      <c r="AI202" s="355" t="s">
        <v>3634</v>
      </c>
      <c r="AJ202" s="363">
        <v>42795</v>
      </c>
      <c r="AK202" s="363">
        <v>42916</v>
      </c>
      <c r="AL202" s="358"/>
      <c r="AM202" s="358"/>
      <c r="AN202" s="756" t="s">
        <v>2598</v>
      </c>
      <c r="AO202" s="512" t="s">
        <v>3635</v>
      </c>
      <c r="AP202" s="525">
        <v>2000000</v>
      </c>
      <c r="AQ202" s="310"/>
      <c r="AR202" s="310"/>
      <c r="AS202" s="310"/>
      <c r="AT202" s="310"/>
      <c r="AU202" s="310"/>
      <c r="AV202" s="310"/>
      <c r="AW202" s="544">
        <v>2000000</v>
      </c>
      <c r="AX202" s="525"/>
      <c r="AY202" s="310"/>
      <c r="AZ202" s="310"/>
      <c r="BA202" s="310"/>
      <c r="BB202" s="310"/>
      <c r="BC202" s="310"/>
      <c r="BD202" s="310"/>
      <c r="BE202" s="544">
        <f t="shared" si="80"/>
        <v>0</v>
      </c>
      <c r="BF202" s="525"/>
      <c r="BG202" s="310"/>
      <c r="BH202" s="310"/>
      <c r="BI202" s="310"/>
      <c r="BJ202" s="310"/>
      <c r="BK202" s="310"/>
      <c r="BL202" s="310"/>
      <c r="BM202" s="544">
        <f t="shared" si="81"/>
        <v>0</v>
      </c>
      <c r="BN202" s="525"/>
      <c r="BO202" s="310"/>
      <c r="BP202" s="310"/>
      <c r="BQ202" s="310"/>
      <c r="BR202" s="310"/>
      <c r="BS202" s="310"/>
      <c r="BT202" s="310"/>
      <c r="BU202" s="544">
        <f t="shared" si="82"/>
        <v>0</v>
      </c>
      <c r="BV202" s="556"/>
      <c r="BW202" s="663">
        <f t="shared" ref="BW202:BW265" si="99">AC202+AD202+AE202+AF202</f>
        <v>4</v>
      </c>
      <c r="BX202" s="674">
        <f t="shared" ref="BX202:BX265" si="100">BW202/T202</f>
        <v>0.5</v>
      </c>
      <c r="BY202" s="674">
        <f t="shared" ref="BY202:BY265" si="101">AC202/U202</f>
        <v>1</v>
      </c>
      <c r="BZ202" s="674">
        <f t="shared" ref="BZ202:BZ265" si="102">AD202/W202</f>
        <v>1</v>
      </c>
      <c r="CA202" s="675">
        <f t="shared" ref="CA202:CA265" si="103">AE202/Y202</f>
        <v>0</v>
      </c>
      <c r="CB202" s="675">
        <f t="shared" ref="CB202:CB265" si="104">AF202/AA202</f>
        <v>0</v>
      </c>
    </row>
    <row r="203" spans="1:80" ht="65.25" hidden="1" customHeight="1" x14ac:dyDescent="0.25">
      <c r="A203" s="298" t="s">
        <v>491</v>
      </c>
      <c r="B203" s="299" t="str">
        <f>'PLAN INDICATIVO'!B201</f>
        <v>Atención a grupos vulnerables - promoción social</v>
      </c>
      <c r="C203" s="1547"/>
      <c r="D203" s="1549"/>
      <c r="E203" s="1549"/>
      <c r="F203" s="1549"/>
      <c r="G203" s="1549"/>
      <c r="H203" s="1549"/>
      <c r="I203" s="300">
        <f>'PLAN INDICATIVO'!I201</f>
        <v>0</v>
      </c>
      <c r="J203" s="300">
        <f>'PLAN INDICATIVO'!J201</f>
        <v>0</v>
      </c>
      <c r="K203" s="1425" t="str">
        <f>'PLAN INDICATIVO'!K201</f>
        <v>A.14.4.2</v>
      </c>
      <c r="L203" s="301" t="str">
        <f>'PLAN INDICATIVO'!L201</f>
        <v>10. Reducción de las desigualdades</v>
      </c>
      <c r="M203" s="301" t="str">
        <f>'PLAN INDICATIVO'!M201</f>
        <v>Secretaría de Gobierno</v>
      </c>
      <c r="N203" s="1425" t="s">
        <v>3632</v>
      </c>
      <c r="O203" s="1425" t="str">
        <f>'PLAN INDICATIVO'!O201</f>
        <v>Incremento</v>
      </c>
      <c r="P203" s="25" t="str">
        <f>'PLAN INDICATIVO'!P201</f>
        <v xml:space="preserve">Realizar 1 Mejoramiento de la infraestructura y dotación de la Casa Centro día durante cuatrienio.  </v>
      </c>
      <c r="Q203" s="302" t="str">
        <f>'PLAN INDICATIVO'!Q201</f>
        <v>No. de mejoramientos realizados</v>
      </c>
      <c r="R203" s="303">
        <f>'PLAN INDICATIVO'!R201</f>
        <v>2015</v>
      </c>
      <c r="S203" s="304">
        <v>0</v>
      </c>
      <c r="T203" s="699">
        <v>1</v>
      </c>
      <c r="U203" s="303">
        <v>0.5</v>
      </c>
      <c r="V203" s="687">
        <v>3000000</v>
      </c>
      <c r="W203" s="17">
        <v>0.5</v>
      </c>
      <c r="X203" s="687"/>
      <c r="Y203" s="303">
        <v>0.1</v>
      </c>
      <c r="Z203" s="687"/>
      <c r="AA203" s="303">
        <v>0</v>
      </c>
      <c r="AB203" s="687"/>
      <c r="AC203" s="669">
        <v>0.5</v>
      </c>
      <c r="AD203" s="669">
        <v>0.4</v>
      </c>
      <c r="AE203" s="669"/>
      <c r="AF203" s="669"/>
      <c r="AG203" s="341" t="s">
        <v>3633</v>
      </c>
      <c r="AH203" s="341">
        <v>2017413960032</v>
      </c>
      <c r="AI203" s="355" t="s">
        <v>3636</v>
      </c>
      <c r="AJ203" s="363">
        <v>43009</v>
      </c>
      <c r="AK203" s="363">
        <v>43070</v>
      </c>
      <c r="AL203" s="358"/>
      <c r="AM203" s="358"/>
      <c r="AN203" s="267" t="s">
        <v>2604</v>
      </c>
      <c r="AO203" s="728"/>
      <c r="AP203" s="525"/>
      <c r="AQ203" s="310"/>
      <c r="AR203" s="310"/>
      <c r="AS203" s="310"/>
      <c r="AT203" s="310"/>
      <c r="AU203" s="310"/>
      <c r="AV203" s="310"/>
      <c r="AW203" s="544"/>
      <c r="AX203" s="525"/>
      <c r="AY203" s="310"/>
      <c r="AZ203" s="310"/>
      <c r="BA203" s="310"/>
      <c r="BB203" s="310"/>
      <c r="BC203" s="310"/>
      <c r="BD203" s="310"/>
      <c r="BE203" s="544">
        <f t="shared" si="80"/>
        <v>0</v>
      </c>
      <c r="BF203" s="525"/>
      <c r="BG203" s="310"/>
      <c r="BH203" s="310"/>
      <c r="BI203" s="310"/>
      <c r="BJ203" s="310"/>
      <c r="BK203" s="310"/>
      <c r="BL203" s="310"/>
      <c r="BM203" s="544">
        <f t="shared" si="81"/>
        <v>0</v>
      </c>
      <c r="BN203" s="525"/>
      <c r="BO203" s="310"/>
      <c r="BP203" s="310"/>
      <c r="BQ203" s="310"/>
      <c r="BR203" s="310"/>
      <c r="BS203" s="310"/>
      <c r="BT203" s="310"/>
      <c r="BU203" s="544">
        <f t="shared" si="82"/>
        <v>0</v>
      </c>
      <c r="BV203" s="556"/>
      <c r="BW203" s="663">
        <f t="shared" si="99"/>
        <v>0.9</v>
      </c>
      <c r="BX203" s="674">
        <f t="shared" si="100"/>
        <v>0.9</v>
      </c>
      <c r="BY203" s="674">
        <f t="shared" si="101"/>
        <v>1</v>
      </c>
      <c r="BZ203" s="674">
        <f t="shared" si="102"/>
        <v>0.8</v>
      </c>
      <c r="CA203" s="675">
        <f t="shared" si="103"/>
        <v>0</v>
      </c>
      <c r="CB203" s="675" t="e">
        <f t="shared" si="104"/>
        <v>#DIV/0!</v>
      </c>
    </row>
    <row r="204" spans="1:80" ht="77.25" hidden="1" customHeight="1" x14ac:dyDescent="0.25">
      <c r="A204" s="298" t="s">
        <v>491</v>
      </c>
      <c r="B204" s="299" t="str">
        <f>'PLAN INDICATIVO'!B202</f>
        <v>Atención a grupos vulnerables - promoción social</v>
      </c>
      <c r="C204" s="1547"/>
      <c r="D204" s="1549"/>
      <c r="E204" s="1549"/>
      <c r="F204" s="1549"/>
      <c r="G204" s="1549"/>
      <c r="H204" s="1549"/>
      <c r="I204" s="300">
        <f>'PLAN INDICATIVO'!I202</f>
        <v>0</v>
      </c>
      <c r="J204" s="300">
        <f>'PLAN INDICATIVO'!J202</f>
        <v>0</v>
      </c>
      <c r="K204" s="1425" t="str">
        <f>'PLAN INDICATIVO'!K202</f>
        <v>A.14.4.3</v>
      </c>
      <c r="L204" s="301" t="str">
        <f>'PLAN INDICATIVO'!L202</f>
        <v>10. Reducción de las desigualdades</v>
      </c>
      <c r="M204" s="301" t="str">
        <f>'PLAN INDICATIVO'!M202</f>
        <v>Secretaría de Gobierno</v>
      </c>
      <c r="N204" s="1425" t="s">
        <v>3632</v>
      </c>
      <c r="O204" s="1425" t="str">
        <f>'PLAN INDICATIVO'!O202</f>
        <v>Incremento</v>
      </c>
      <c r="P204" s="16" t="str">
        <f>'PLAN INDICATIVO'!P202</f>
        <v xml:space="preserve">Realizar 2 jornadas de caracterización de adultos mayores por fuera del sistema de salud, para lograr su inclusión durante el cuatrienio. </v>
      </c>
      <c r="Q204" s="302" t="str">
        <f>'PLAN INDICATIVO'!Q202</f>
        <v xml:space="preserve">No. de jornadas de caracterización realizadas </v>
      </c>
      <c r="R204" s="303">
        <f>'PLAN INDICATIVO'!R202</f>
        <v>2015</v>
      </c>
      <c r="S204" s="304">
        <v>0</v>
      </c>
      <c r="T204" s="699">
        <v>2</v>
      </c>
      <c r="U204" s="303">
        <v>1</v>
      </c>
      <c r="V204" s="687">
        <v>1000000</v>
      </c>
      <c r="W204" s="303">
        <v>0</v>
      </c>
      <c r="X204" s="687"/>
      <c r="Y204" s="303">
        <v>1</v>
      </c>
      <c r="Z204" s="687">
        <v>1500000</v>
      </c>
      <c r="AA204" s="303">
        <v>0</v>
      </c>
      <c r="AB204" s="687"/>
      <c r="AC204" s="669">
        <v>1</v>
      </c>
      <c r="AD204" s="669">
        <v>1</v>
      </c>
      <c r="AE204" s="669"/>
      <c r="AF204" s="669"/>
      <c r="AG204" s="341" t="s">
        <v>3633</v>
      </c>
      <c r="AH204" s="341">
        <v>2017413960032</v>
      </c>
      <c r="AI204" s="355" t="s">
        <v>3637</v>
      </c>
      <c r="AJ204" s="363"/>
      <c r="AK204" s="363"/>
      <c r="AL204" s="358"/>
      <c r="AM204" s="358"/>
      <c r="AN204" s="267" t="s">
        <v>2598</v>
      </c>
      <c r="AO204" s="512"/>
      <c r="AP204" s="720"/>
      <c r="AQ204" s="310"/>
      <c r="AR204" s="310"/>
      <c r="AS204" s="310"/>
      <c r="AT204" s="310"/>
      <c r="AU204" s="310"/>
      <c r="AV204" s="310"/>
      <c r="AW204" s="544"/>
      <c r="AX204" s="525"/>
      <c r="AY204" s="310"/>
      <c r="AZ204" s="310"/>
      <c r="BA204" s="310"/>
      <c r="BB204" s="310"/>
      <c r="BC204" s="310"/>
      <c r="BD204" s="310"/>
      <c r="BE204" s="544">
        <f t="shared" si="80"/>
        <v>0</v>
      </c>
      <c r="BF204" s="525"/>
      <c r="BG204" s="310"/>
      <c r="BH204" s="310"/>
      <c r="BI204" s="310"/>
      <c r="BJ204" s="310"/>
      <c r="BK204" s="310"/>
      <c r="BL204" s="310"/>
      <c r="BM204" s="544">
        <f t="shared" si="81"/>
        <v>0</v>
      </c>
      <c r="BN204" s="525"/>
      <c r="BO204" s="310"/>
      <c r="BP204" s="310"/>
      <c r="BQ204" s="310"/>
      <c r="BR204" s="310"/>
      <c r="BS204" s="310"/>
      <c r="BT204" s="310"/>
      <c r="BU204" s="544">
        <f t="shared" si="82"/>
        <v>0</v>
      </c>
      <c r="BV204" s="556"/>
      <c r="BW204" s="663">
        <f t="shared" si="99"/>
        <v>2</v>
      </c>
      <c r="BX204" s="674">
        <f t="shared" si="100"/>
        <v>1</v>
      </c>
      <c r="BY204" s="674">
        <f t="shared" si="101"/>
        <v>1</v>
      </c>
      <c r="BZ204" s="674">
        <v>1</v>
      </c>
      <c r="CA204" s="675">
        <f t="shared" si="103"/>
        <v>0</v>
      </c>
      <c r="CB204" s="675" t="e">
        <f t="shared" si="104"/>
        <v>#DIV/0!</v>
      </c>
    </row>
    <row r="205" spans="1:80" ht="78.75" hidden="1" customHeight="1" x14ac:dyDescent="0.25">
      <c r="A205" s="298" t="s">
        <v>491</v>
      </c>
      <c r="B205" s="299" t="str">
        <f>'PLAN INDICATIVO'!B203</f>
        <v>Atención a grupos vulnerables - promoción social</v>
      </c>
      <c r="C205" s="1547"/>
      <c r="D205" s="1549"/>
      <c r="E205" s="1549"/>
      <c r="F205" s="1549"/>
      <c r="G205" s="1549"/>
      <c r="H205" s="1549"/>
      <c r="I205" s="300">
        <f>'PLAN INDICATIVO'!I203</f>
        <v>0</v>
      </c>
      <c r="J205" s="300">
        <f>'PLAN INDICATIVO'!J203</f>
        <v>0</v>
      </c>
      <c r="K205" s="1425" t="str">
        <f>'PLAN INDICATIVO'!K203</f>
        <v>A.14.4.4</v>
      </c>
      <c r="L205" s="301" t="str">
        <f>'PLAN INDICATIVO'!L203</f>
        <v>10. Reducción de las desigualdades</v>
      </c>
      <c r="M205" s="301" t="str">
        <f>'PLAN INDICATIVO'!M203</f>
        <v>Secretaría de Gobierno</v>
      </c>
      <c r="N205" s="1425" t="s">
        <v>3632</v>
      </c>
      <c r="O205" s="1425" t="str">
        <f>'PLAN INDICATIVO'!O203</f>
        <v>Incremento</v>
      </c>
      <c r="P205" s="16" t="str">
        <f>'PLAN INDICATIVO'!P203</f>
        <v xml:space="preserve">Realizar 4 actividades durante el cuatrienio, dirigidas a adultos mayores para lograr mejorar condiciones alimenticias. </v>
      </c>
      <c r="Q205" s="302" t="str">
        <f>'PLAN INDICATIVO'!Q203</f>
        <v xml:space="preserve">No. de actividades realizadas </v>
      </c>
      <c r="R205" s="303">
        <f>'PLAN INDICATIVO'!R203</f>
        <v>2015</v>
      </c>
      <c r="S205" s="304">
        <v>0</v>
      </c>
      <c r="T205" s="699">
        <v>4</v>
      </c>
      <c r="U205" s="303">
        <v>1</v>
      </c>
      <c r="V205" s="687">
        <v>1000000</v>
      </c>
      <c r="W205" s="303">
        <v>1</v>
      </c>
      <c r="X205" s="687">
        <v>5000000</v>
      </c>
      <c r="Y205" s="303">
        <v>1</v>
      </c>
      <c r="Z205" s="687">
        <v>5000000</v>
      </c>
      <c r="AA205" s="303">
        <v>1</v>
      </c>
      <c r="AB205" s="687">
        <v>5000000</v>
      </c>
      <c r="AC205" s="669">
        <v>1</v>
      </c>
      <c r="AD205" s="669">
        <v>1</v>
      </c>
      <c r="AE205" s="669"/>
      <c r="AF205" s="669"/>
      <c r="AG205" s="341" t="s">
        <v>3633</v>
      </c>
      <c r="AH205" s="341">
        <v>2017413960032</v>
      </c>
      <c r="AI205" s="355" t="s">
        <v>3638</v>
      </c>
      <c r="AJ205" s="363">
        <v>42795</v>
      </c>
      <c r="AK205" s="363">
        <v>43069</v>
      </c>
      <c r="AL205" s="358"/>
      <c r="AM205" s="358"/>
      <c r="AN205" s="267" t="s">
        <v>2598</v>
      </c>
      <c r="AO205" s="512"/>
      <c r="AP205" s="720">
        <v>6069000</v>
      </c>
      <c r="AQ205" s="310"/>
      <c r="AR205" s="310"/>
      <c r="AS205" s="310"/>
      <c r="AT205" s="310"/>
      <c r="AU205" s="310"/>
      <c r="AV205" s="310"/>
      <c r="AW205" s="720">
        <v>6069000</v>
      </c>
      <c r="AX205" s="525"/>
      <c r="AY205" s="310"/>
      <c r="AZ205" s="310"/>
      <c r="BA205" s="310"/>
      <c r="BB205" s="310"/>
      <c r="BC205" s="310"/>
      <c r="BD205" s="310"/>
      <c r="BE205" s="544">
        <f t="shared" si="80"/>
        <v>0</v>
      </c>
      <c r="BF205" s="525"/>
      <c r="BG205" s="310"/>
      <c r="BH205" s="310"/>
      <c r="BI205" s="310"/>
      <c r="BJ205" s="310"/>
      <c r="BK205" s="310"/>
      <c r="BL205" s="310"/>
      <c r="BM205" s="544">
        <f t="shared" si="81"/>
        <v>0</v>
      </c>
      <c r="BN205" s="525"/>
      <c r="BO205" s="310"/>
      <c r="BP205" s="310"/>
      <c r="BQ205" s="310"/>
      <c r="BR205" s="310"/>
      <c r="BS205" s="310"/>
      <c r="BT205" s="310"/>
      <c r="BU205" s="544">
        <f t="shared" si="82"/>
        <v>0</v>
      </c>
      <c r="BV205" s="556"/>
      <c r="BW205" s="663">
        <f t="shared" si="99"/>
        <v>2</v>
      </c>
      <c r="BX205" s="674">
        <f t="shared" si="100"/>
        <v>0.5</v>
      </c>
      <c r="BY205" s="674">
        <f t="shared" si="101"/>
        <v>1</v>
      </c>
      <c r="BZ205" s="674">
        <f t="shared" si="102"/>
        <v>1</v>
      </c>
      <c r="CA205" s="675">
        <f t="shared" si="103"/>
        <v>0</v>
      </c>
      <c r="CB205" s="675">
        <f t="shared" si="104"/>
        <v>0</v>
      </c>
    </row>
    <row r="206" spans="1:80" ht="85.5" hidden="1" customHeight="1" x14ac:dyDescent="0.25">
      <c r="A206" s="298" t="s">
        <v>491</v>
      </c>
      <c r="B206" s="299" t="str">
        <f>'PLAN INDICATIVO'!B204</f>
        <v>Atención a grupos vulnerables - promoción social</v>
      </c>
      <c r="C206" s="1547"/>
      <c r="D206" s="1549"/>
      <c r="E206" s="1549"/>
      <c r="F206" s="1549"/>
      <c r="G206" s="1549"/>
      <c r="H206" s="1549"/>
      <c r="I206" s="300">
        <f>'PLAN INDICATIVO'!I204</f>
        <v>0</v>
      </c>
      <c r="J206" s="300">
        <f>'PLAN INDICATIVO'!J204</f>
        <v>0</v>
      </c>
      <c r="K206" s="1425" t="str">
        <f>'PLAN INDICATIVO'!K204</f>
        <v>A.14.4.5</v>
      </c>
      <c r="L206" s="301" t="str">
        <f>'PLAN INDICATIVO'!L204</f>
        <v>10. Reducción de las desigualdades</v>
      </c>
      <c r="M206" s="301" t="str">
        <f>'PLAN INDICATIVO'!M204</f>
        <v>Secretaría de Gobierno</v>
      </c>
      <c r="N206" s="1425" t="s">
        <v>3632</v>
      </c>
      <c r="O206" s="1425" t="str">
        <f>'PLAN INDICATIVO'!O204</f>
        <v>Mantenimiento</v>
      </c>
      <c r="P206" s="16" t="str">
        <f>'PLAN INDICATIVO'!P204</f>
        <v xml:space="preserve">Realizar 4 jornadas al año, articuladas con secretaria de cultura y con deporte, para brindar espacios de recreación y entornos de hábitos saludables para adultos mayores. </v>
      </c>
      <c r="Q206" s="302" t="str">
        <f>'PLAN INDICATIVO'!Q204</f>
        <v>No. de jornadas realizadas por año</v>
      </c>
      <c r="R206" s="303">
        <f>'PLAN INDICATIVO'!R204</f>
        <v>2015</v>
      </c>
      <c r="S206" s="304">
        <v>0</v>
      </c>
      <c r="T206" s="699">
        <v>16</v>
      </c>
      <c r="U206" s="303">
        <v>4</v>
      </c>
      <c r="V206" s="687">
        <v>4000000</v>
      </c>
      <c r="W206" s="303">
        <v>4</v>
      </c>
      <c r="X206" s="687">
        <v>16000000</v>
      </c>
      <c r="Y206" s="303">
        <v>4</v>
      </c>
      <c r="Z206" s="687">
        <v>16000000</v>
      </c>
      <c r="AA206" s="303">
        <v>4</v>
      </c>
      <c r="AB206" s="687">
        <v>16000000</v>
      </c>
      <c r="AC206" s="669">
        <v>4</v>
      </c>
      <c r="AD206" s="669">
        <v>10</v>
      </c>
      <c r="AE206" s="669"/>
      <c r="AF206" s="669"/>
      <c r="AG206" s="341" t="s">
        <v>3633</v>
      </c>
      <c r="AH206" s="341">
        <v>2017413960032</v>
      </c>
      <c r="AI206" s="355" t="s">
        <v>3639</v>
      </c>
      <c r="AJ206" s="363">
        <v>42767</v>
      </c>
      <c r="AK206" s="363">
        <v>43069</v>
      </c>
      <c r="AL206" s="358"/>
      <c r="AM206" s="358"/>
      <c r="AN206" s="267" t="s">
        <v>2598</v>
      </c>
      <c r="AO206" s="512"/>
      <c r="AP206" s="720">
        <v>2000000</v>
      </c>
      <c r="AQ206" s="310"/>
      <c r="AR206" s="310"/>
      <c r="AS206" s="310"/>
      <c r="AT206" s="310"/>
      <c r="AU206" s="310"/>
      <c r="AV206" s="310"/>
      <c r="AW206" s="720">
        <v>2000000</v>
      </c>
      <c r="AX206" s="525"/>
      <c r="AY206" s="310"/>
      <c r="AZ206" s="310"/>
      <c r="BA206" s="310"/>
      <c r="BB206" s="310"/>
      <c r="BC206" s="310"/>
      <c r="BD206" s="310"/>
      <c r="BE206" s="544">
        <f t="shared" si="80"/>
        <v>0</v>
      </c>
      <c r="BF206" s="525"/>
      <c r="BG206" s="310"/>
      <c r="BH206" s="310"/>
      <c r="BI206" s="310"/>
      <c r="BJ206" s="310"/>
      <c r="BK206" s="310"/>
      <c r="BL206" s="310"/>
      <c r="BM206" s="544">
        <f t="shared" si="81"/>
        <v>0</v>
      </c>
      <c r="BN206" s="525"/>
      <c r="BO206" s="310"/>
      <c r="BP206" s="310"/>
      <c r="BQ206" s="310"/>
      <c r="BR206" s="310"/>
      <c r="BS206" s="310"/>
      <c r="BT206" s="310"/>
      <c r="BU206" s="544">
        <f t="shared" si="82"/>
        <v>0</v>
      </c>
      <c r="BV206" s="556"/>
      <c r="BW206" s="663">
        <f t="shared" si="99"/>
        <v>14</v>
      </c>
      <c r="BX206" s="674">
        <f t="shared" si="100"/>
        <v>0.875</v>
      </c>
      <c r="BY206" s="674">
        <f t="shared" si="101"/>
        <v>1</v>
      </c>
      <c r="BZ206" s="674">
        <v>1</v>
      </c>
      <c r="CA206" s="675">
        <f t="shared" si="103"/>
        <v>0</v>
      </c>
      <c r="CB206" s="675">
        <f t="shared" si="104"/>
        <v>0</v>
      </c>
    </row>
    <row r="207" spans="1:80" ht="82.5" hidden="1" customHeight="1" x14ac:dyDescent="0.25">
      <c r="A207" s="298" t="s">
        <v>491</v>
      </c>
      <c r="B207" s="299" t="str">
        <f>'PLAN INDICATIVO'!B205</f>
        <v>Atención a grupos vulnerables - promoción social</v>
      </c>
      <c r="C207" s="1547"/>
      <c r="D207" s="1549"/>
      <c r="E207" s="1549"/>
      <c r="F207" s="1549"/>
      <c r="G207" s="1549"/>
      <c r="H207" s="1549"/>
      <c r="I207" s="1425" t="str">
        <f>'PLAN INDICATIVO'!I205</f>
        <v>SI</v>
      </c>
      <c r="J207" s="1425">
        <f>'PLAN INDICATIVO'!J205</f>
        <v>0</v>
      </c>
      <c r="K207" s="1425" t="str">
        <f>'PLAN INDICATIVO'!K205</f>
        <v>A.14.4.6</v>
      </c>
      <c r="L207" s="301" t="str">
        <f>'PLAN INDICATIVO'!L205</f>
        <v>10. Reducción de las desigualdades</v>
      </c>
      <c r="M207" s="301" t="str">
        <f>'PLAN INDICATIVO'!M205</f>
        <v>Secretaría de Gobierno</v>
      </c>
      <c r="N207" s="1425" t="s">
        <v>3632</v>
      </c>
      <c r="O207" s="1425" t="str">
        <f>'PLAN INDICATIVO'!O205</f>
        <v>Incremento</v>
      </c>
      <c r="P207" s="25" t="str">
        <f>'PLAN INDICATIVO'!P205</f>
        <v>Inscribir 1 proyecto para la construir de centro de atención para el adulto mayor "Villa de la sabiduría" durante el cuatrienio.</v>
      </c>
      <c r="Q207" s="302" t="str">
        <f>'PLAN INDICATIVO'!Q205</f>
        <v>No. de proyectos inscritos</v>
      </c>
      <c r="R207" s="303">
        <f>'PLAN INDICATIVO'!R205</f>
        <v>2015</v>
      </c>
      <c r="S207" s="304">
        <v>0</v>
      </c>
      <c r="T207" s="699">
        <v>1</v>
      </c>
      <c r="U207" s="303">
        <v>0.5</v>
      </c>
      <c r="V207" s="687">
        <v>500000</v>
      </c>
      <c r="W207" s="17">
        <v>0</v>
      </c>
      <c r="X207" s="687"/>
      <c r="Y207" s="303">
        <v>0.5</v>
      </c>
      <c r="Z207" s="687"/>
      <c r="AA207" s="303">
        <v>0</v>
      </c>
      <c r="AB207" s="687"/>
      <c r="AC207" s="669">
        <v>0.5</v>
      </c>
      <c r="AD207" s="669"/>
      <c r="AE207" s="669"/>
      <c r="AF207" s="669"/>
      <c r="AG207" s="341" t="s">
        <v>3633</v>
      </c>
      <c r="AH207" s="341">
        <v>2017413960032</v>
      </c>
      <c r="AI207" s="355" t="s">
        <v>3640</v>
      </c>
      <c r="AJ207" s="363">
        <v>42767</v>
      </c>
      <c r="AK207" s="363">
        <v>43069</v>
      </c>
      <c r="AL207" s="358"/>
      <c r="AM207" s="358"/>
      <c r="AN207" s="267" t="s">
        <v>2594</v>
      </c>
      <c r="AO207" s="512"/>
      <c r="AP207" s="720"/>
      <c r="AQ207" s="310"/>
      <c r="AR207" s="310"/>
      <c r="AS207" s="310"/>
      <c r="AT207" s="310"/>
      <c r="AU207" s="310"/>
      <c r="AV207" s="310"/>
      <c r="AW207" s="544"/>
      <c r="AX207" s="525"/>
      <c r="AY207" s="310"/>
      <c r="AZ207" s="310"/>
      <c r="BA207" s="310"/>
      <c r="BB207" s="310"/>
      <c r="BC207" s="310"/>
      <c r="BD207" s="310"/>
      <c r="BE207" s="544">
        <f t="shared" si="80"/>
        <v>0</v>
      </c>
      <c r="BF207" s="525"/>
      <c r="BG207" s="310"/>
      <c r="BH207" s="310"/>
      <c r="BI207" s="310"/>
      <c r="BJ207" s="310"/>
      <c r="BK207" s="310"/>
      <c r="BL207" s="310"/>
      <c r="BM207" s="544">
        <f t="shared" si="81"/>
        <v>0</v>
      </c>
      <c r="BN207" s="525"/>
      <c r="BO207" s="310"/>
      <c r="BP207" s="310"/>
      <c r="BQ207" s="310"/>
      <c r="BR207" s="310"/>
      <c r="BS207" s="310"/>
      <c r="BT207" s="310"/>
      <c r="BU207" s="544">
        <f t="shared" si="82"/>
        <v>0</v>
      </c>
      <c r="BV207" s="556"/>
      <c r="BW207" s="663">
        <f t="shared" si="99"/>
        <v>0.5</v>
      </c>
      <c r="BX207" s="674">
        <f t="shared" si="100"/>
        <v>0.5</v>
      </c>
      <c r="BY207" s="674">
        <f t="shared" si="101"/>
        <v>1</v>
      </c>
      <c r="BZ207" s="674" t="e">
        <f t="shared" si="102"/>
        <v>#DIV/0!</v>
      </c>
      <c r="CA207" s="675">
        <f t="shared" si="103"/>
        <v>0</v>
      </c>
      <c r="CB207" s="675" t="e">
        <f t="shared" si="104"/>
        <v>#DIV/0!</v>
      </c>
    </row>
    <row r="208" spans="1:80" ht="83.25" hidden="1" customHeight="1" x14ac:dyDescent="0.25">
      <c r="A208" s="298" t="s">
        <v>491</v>
      </c>
      <c r="B208" s="299" t="str">
        <f>'PLAN INDICATIVO'!B206</f>
        <v>Atención a grupos vulnerables - promoción social</v>
      </c>
      <c r="C208" s="1547"/>
      <c r="D208" s="1549"/>
      <c r="E208" s="1549"/>
      <c r="F208" s="1549"/>
      <c r="G208" s="1549"/>
      <c r="H208" s="1549"/>
      <c r="I208" s="300">
        <f>'PLAN INDICATIVO'!I206</f>
        <v>0</v>
      </c>
      <c r="J208" s="300">
        <f>'PLAN INDICATIVO'!J206</f>
        <v>0</v>
      </c>
      <c r="K208" s="1425" t="str">
        <f>'PLAN INDICATIVO'!K206</f>
        <v>A.14.4.7</v>
      </c>
      <c r="L208" s="301" t="str">
        <f>'PLAN INDICATIVO'!L206</f>
        <v>10. Reducción de las desigualdades</v>
      </c>
      <c r="M208" s="301" t="str">
        <f>'PLAN INDICATIVO'!M206</f>
        <v>Secretaría de Gobierno</v>
      </c>
      <c r="N208" s="1425" t="s">
        <v>3632</v>
      </c>
      <c r="O208" s="1425" t="str">
        <f>'PLAN INDICATIVO'!O206</f>
        <v>Mantenimiento</v>
      </c>
      <c r="P208" s="71" t="str">
        <f>'PLAN INDICATIVO'!P206</f>
        <v>Implementar 1 programa de manualidades para el adulto mayor, cada año</v>
      </c>
      <c r="Q208" s="302" t="str">
        <f>'PLAN INDICATIVO'!Q206</f>
        <v>No. de programas implementados por año</v>
      </c>
      <c r="R208" s="303">
        <f>'PLAN INDICATIVO'!R206</f>
        <v>2015</v>
      </c>
      <c r="S208" s="304">
        <v>0</v>
      </c>
      <c r="T208" s="699">
        <v>4</v>
      </c>
      <c r="U208" s="303">
        <v>1</v>
      </c>
      <c r="V208" s="687">
        <v>8500000</v>
      </c>
      <c r="W208" s="303">
        <v>1</v>
      </c>
      <c r="X208" s="687">
        <v>1000000</v>
      </c>
      <c r="Y208" s="303">
        <v>1</v>
      </c>
      <c r="Z208" s="687">
        <v>1000000</v>
      </c>
      <c r="AA208" s="303">
        <v>1</v>
      </c>
      <c r="AB208" s="687">
        <v>1000000</v>
      </c>
      <c r="AC208" s="669">
        <v>1</v>
      </c>
      <c r="AD208" s="669">
        <v>1</v>
      </c>
      <c r="AE208" s="669"/>
      <c r="AF208" s="669"/>
      <c r="AG208" s="341" t="s">
        <v>3641</v>
      </c>
      <c r="AH208" s="341">
        <v>2017413960051</v>
      </c>
      <c r="AI208" s="355" t="s">
        <v>3642</v>
      </c>
      <c r="AJ208" s="363">
        <v>42767</v>
      </c>
      <c r="AK208" s="363">
        <v>43069</v>
      </c>
      <c r="AL208" s="358"/>
      <c r="AM208" s="358"/>
      <c r="AN208" s="267" t="s">
        <v>2598</v>
      </c>
      <c r="AO208" s="512"/>
      <c r="AP208" s="720">
        <v>543740</v>
      </c>
      <c r="AQ208" s="310"/>
      <c r="AR208" s="310"/>
      <c r="AS208" s="310"/>
      <c r="AT208" s="310"/>
      <c r="AU208" s="310"/>
      <c r="AV208" s="310"/>
      <c r="AW208" s="720">
        <v>543740</v>
      </c>
      <c r="AX208" s="525"/>
      <c r="AY208" s="310"/>
      <c r="AZ208" s="310"/>
      <c r="BA208" s="310"/>
      <c r="BB208" s="310"/>
      <c r="BC208" s="310"/>
      <c r="BD208" s="310"/>
      <c r="BE208" s="544">
        <f t="shared" si="80"/>
        <v>0</v>
      </c>
      <c r="BF208" s="525"/>
      <c r="BG208" s="310"/>
      <c r="BH208" s="310"/>
      <c r="BI208" s="310"/>
      <c r="BJ208" s="310"/>
      <c r="BK208" s="310"/>
      <c r="BL208" s="310"/>
      <c r="BM208" s="544">
        <f t="shared" si="81"/>
        <v>0</v>
      </c>
      <c r="BN208" s="525"/>
      <c r="BO208" s="310"/>
      <c r="BP208" s="310"/>
      <c r="BQ208" s="310"/>
      <c r="BR208" s="310"/>
      <c r="BS208" s="310"/>
      <c r="BT208" s="310"/>
      <c r="BU208" s="544">
        <f t="shared" si="82"/>
        <v>0</v>
      </c>
      <c r="BV208" s="556"/>
      <c r="BW208" s="663">
        <f t="shared" si="99"/>
        <v>2</v>
      </c>
      <c r="BX208" s="674">
        <f t="shared" si="100"/>
        <v>0.5</v>
      </c>
      <c r="BY208" s="674">
        <f t="shared" si="101"/>
        <v>1</v>
      </c>
      <c r="BZ208" s="674">
        <f t="shared" si="102"/>
        <v>1</v>
      </c>
      <c r="CA208" s="675">
        <f t="shared" si="103"/>
        <v>0</v>
      </c>
      <c r="CB208" s="675">
        <f t="shared" si="104"/>
        <v>0</v>
      </c>
    </row>
    <row r="209" spans="1:80" ht="93" hidden="1" customHeight="1" x14ac:dyDescent="0.25">
      <c r="A209" s="298" t="s">
        <v>491</v>
      </c>
      <c r="B209" s="299" t="str">
        <f>'PLAN INDICATIVO'!B207</f>
        <v>Atención a grupos vulnerables - promoción social</v>
      </c>
      <c r="C209" s="1547"/>
      <c r="D209" s="1549"/>
      <c r="E209" s="1549"/>
      <c r="F209" s="1549"/>
      <c r="G209" s="1549"/>
      <c r="H209" s="1549"/>
      <c r="I209" s="300">
        <f>'PLAN INDICATIVO'!I207</f>
        <v>0</v>
      </c>
      <c r="J209" s="300">
        <f>'PLAN INDICATIVO'!J207</f>
        <v>0</v>
      </c>
      <c r="K209" s="1425" t="str">
        <f>'PLAN INDICATIVO'!K207</f>
        <v>A.14.4.8</v>
      </c>
      <c r="L209" s="301" t="str">
        <f>'PLAN INDICATIVO'!L207</f>
        <v>10. Reducción de las desigualdades</v>
      </c>
      <c r="M209" s="301" t="str">
        <f>'PLAN INDICATIVO'!M207</f>
        <v>Secretaría de Gobierno</v>
      </c>
      <c r="N209" s="1425" t="s">
        <v>3632</v>
      </c>
      <c r="O209" s="1425" t="str">
        <f>'PLAN INDICATIVO'!O207</f>
        <v>Incremento</v>
      </c>
      <c r="P209" s="71" t="str">
        <f>'PLAN INDICATIVO'!P207</f>
        <v xml:space="preserve">Realizar 8 celebraciones al adulto mayor, durante el cuatrienio. (día del adulto mayor y navidad) </v>
      </c>
      <c r="Q209" s="302" t="str">
        <f>'PLAN INDICATIVO'!Q207</f>
        <v xml:space="preserve">No. de celebraciones realizadas </v>
      </c>
      <c r="R209" s="303">
        <f>'PLAN INDICATIVO'!R207</f>
        <v>2015</v>
      </c>
      <c r="S209" s="304">
        <v>0</v>
      </c>
      <c r="T209" s="699">
        <v>8</v>
      </c>
      <c r="U209" s="303">
        <v>2</v>
      </c>
      <c r="V209" s="687">
        <v>12000000</v>
      </c>
      <c r="W209" s="303">
        <v>2</v>
      </c>
      <c r="X209" s="687">
        <v>4000000</v>
      </c>
      <c r="Y209" s="303">
        <v>2</v>
      </c>
      <c r="Z209" s="687">
        <v>4000000</v>
      </c>
      <c r="AA209" s="303">
        <v>2</v>
      </c>
      <c r="AB209" s="687">
        <v>4000000</v>
      </c>
      <c r="AC209" s="669">
        <v>2</v>
      </c>
      <c r="AD209" s="669">
        <v>2</v>
      </c>
      <c r="AE209" s="669"/>
      <c r="AF209" s="669"/>
      <c r="AG209" s="341" t="s">
        <v>3633</v>
      </c>
      <c r="AH209" s="341">
        <v>2017413960032</v>
      </c>
      <c r="AI209" s="355" t="s">
        <v>3643</v>
      </c>
      <c r="AJ209" s="363">
        <v>42948</v>
      </c>
      <c r="AK209" s="363">
        <v>43084</v>
      </c>
      <c r="AL209" s="358"/>
      <c r="AM209" s="358"/>
      <c r="AN209" s="267" t="s">
        <v>2598</v>
      </c>
      <c r="AO209" s="512" t="s">
        <v>3644</v>
      </c>
      <c r="AP209" s="720">
        <v>10325000</v>
      </c>
      <c r="AQ209" s="310"/>
      <c r="AR209" s="310"/>
      <c r="AS209" s="310"/>
      <c r="AT209" s="310"/>
      <c r="AU209" s="310"/>
      <c r="AV209" s="310"/>
      <c r="AW209" s="720">
        <v>10325000</v>
      </c>
      <c r="AX209" s="525"/>
      <c r="AY209" s="310"/>
      <c r="AZ209" s="310"/>
      <c r="BA209" s="310"/>
      <c r="BB209" s="310"/>
      <c r="BC209" s="310"/>
      <c r="BD209" s="310"/>
      <c r="BE209" s="544">
        <f t="shared" si="80"/>
        <v>0</v>
      </c>
      <c r="BF209" s="525"/>
      <c r="BG209" s="310"/>
      <c r="BH209" s="310"/>
      <c r="BI209" s="310"/>
      <c r="BJ209" s="310"/>
      <c r="BK209" s="310"/>
      <c r="BL209" s="310"/>
      <c r="BM209" s="544">
        <f t="shared" si="81"/>
        <v>0</v>
      </c>
      <c r="BN209" s="525"/>
      <c r="BO209" s="310"/>
      <c r="BP209" s="310"/>
      <c r="BQ209" s="310"/>
      <c r="BR209" s="310"/>
      <c r="BS209" s="310"/>
      <c r="BT209" s="310"/>
      <c r="BU209" s="544">
        <f t="shared" si="82"/>
        <v>0</v>
      </c>
      <c r="BV209" s="556"/>
      <c r="BW209" s="663">
        <f t="shared" si="99"/>
        <v>4</v>
      </c>
      <c r="BX209" s="674">
        <f t="shared" si="100"/>
        <v>0.5</v>
      </c>
      <c r="BY209" s="674">
        <f t="shared" si="101"/>
        <v>1</v>
      </c>
      <c r="BZ209" s="674">
        <f t="shared" si="102"/>
        <v>1</v>
      </c>
      <c r="CA209" s="675">
        <f t="shared" si="103"/>
        <v>0</v>
      </c>
      <c r="CB209" s="675">
        <f t="shared" si="104"/>
        <v>0</v>
      </c>
    </row>
    <row r="210" spans="1:80" ht="81" hidden="1" customHeight="1" x14ac:dyDescent="0.25">
      <c r="A210" s="298" t="s">
        <v>491</v>
      </c>
      <c r="B210" s="299" t="str">
        <f>'PLAN INDICATIVO'!B208</f>
        <v>Atención a grupos vulnerables - promoción social</v>
      </c>
      <c r="C210" s="1547"/>
      <c r="D210" s="1549"/>
      <c r="E210" s="1549"/>
      <c r="F210" s="1549"/>
      <c r="G210" s="1549"/>
      <c r="H210" s="1549"/>
      <c r="I210" s="300">
        <f>'PLAN INDICATIVO'!I208</f>
        <v>0</v>
      </c>
      <c r="J210" s="300">
        <f>'PLAN INDICATIVO'!J208</f>
        <v>0</v>
      </c>
      <c r="K210" s="1425" t="str">
        <f>'PLAN INDICATIVO'!K208</f>
        <v>A.14.4.9</v>
      </c>
      <c r="L210" s="301" t="str">
        <f>'PLAN INDICATIVO'!L208</f>
        <v>10. Reducción de las desigualdades</v>
      </c>
      <c r="M210" s="301" t="str">
        <f>'PLAN INDICATIVO'!M208</f>
        <v>Secretaría de Gobierno</v>
      </c>
      <c r="N210" s="1425" t="s">
        <v>3632</v>
      </c>
      <c r="O210" s="1425" t="str">
        <f>'PLAN INDICATIVO'!O208</f>
        <v>Mantenimiento</v>
      </c>
      <c r="P210" s="71" t="str">
        <f>'PLAN INDICATIVO'!P208</f>
        <v>Ejecutar 1 plan de apoyo para al talento humano que desarrolla funciones de atención y apoyo al adulto mayor, cada año</v>
      </c>
      <c r="Q210" s="302" t="str">
        <f>'PLAN INDICATIVO'!Q208</f>
        <v>No. de apoyos realizados por año</v>
      </c>
      <c r="R210" s="303">
        <f>'PLAN INDICATIVO'!R208</f>
        <v>2015</v>
      </c>
      <c r="S210" s="304">
        <v>1</v>
      </c>
      <c r="T210" s="699">
        <v>4</v>
      </c>
      <c r="U210" s="303">
        <v>1</v>
      </c>
      <c r="V210" s="687">
        <v>4500000</v>
      </c>
      <c r="W210" s="303">
        <v>1</v>
      </c>
      <c r="X210" s="687">
        <v>12000000</v>
      </c>
      <c r="Y210" s="303">
        <v>1</v>
      </c>
      <c r="Z210" s="687">
        <v>12000000</v>
      </c>
      <c r="AA210" s="303">
        <v>1</v>
      </c>
      <c r="AB210" s="687">
        <v>12000000</v>
      </c>
      <c r="AC210" s="669">
        <v>1</v>
      </c>
      <c r="AD210" s="669">
        <v>1</v>
      </c>
      <c r="AE210" s="669"/>
      <c r="AF210" s="669"/>
      <c r="AG210" s="341" t="s">
        <v>3633</v>
      </c>
      <c r="AH210" s="341">
        <v>2017413960032</v>
      </c>
      <c r="AI210" s="355" t="s">
        <v>3645</v>
      </c>
      <c r="AJ210" s="363" t="s">
        <v>3646</v>
      </c>
      <c r="AK210" s="363">
        <v>43099</v>
      </c>
      <c r="AL210" s="358"/>
      <c r="AM210" s="358"/>
      <c r="AN210" s="267" t="s">
        <v>2598</v>
      </c>
      <c r="AO210" s="512" t="s">
        <v>3644</v>
      </c>
      <c r="AP210" s="720">
        <v>2000000</v>
      </c>
      <c r="AQ210" s="310"/>
      <c r="AR210" s="310"/>
      <c r="AS210" s="310"/>
      <c r="AT210" s="310"/>
      <c r="AU210" s="310"/>
      <c r="AV210" s="310"/>
      <c r="AW210" s="720">
        <v>2000000</v>
      </c>
      <c r="AX210" s="525"/>
      <c r="AY210" s="310"/>
      <c r="AZ210" s="310"/>
      <c r="BA210" s="310"/>
      <c r="BB210" s="310"/>
      <c r="BC210" s="310"/>
      <c r="BD210" s="310"/>
      <c r="BE210" s="544">
        <f t="shared" si="80"/>
        <v>0</v>
      </c>
      <c r="BF210" s="525"/>
      <c r="BG210" s="310"/>
      <c r="BH210" s="310"/>
      <c r="BI210" s="310"/>
      <c r="BJ210" s="310"/>
      <c r="BK210" s="310"/>
      <c r="BL210" s="310"/>
      <c r="BM210" s="544">
        <f t="shared" si="81"/>
        <v>0</v>
      </c>
      <c r="BN210" s="525"/>
      <c r="BO210" s="310"/>
      <c r="BP210" s="310"/>
      <c r="BQ210" s="310"/>
      <c r="BR210" s="310"/>
      <c r="BS210" s="310"/>
      <c r="BT210" s="310"/>
      <c r="BU210" s="544">
        <f t="shared" si="82"/>
        <v>0</v>
      </c>
      <c r="BV210" s="556"/>
      <c r="BW210" s="663">
        <f t="shared" si="99"/>
        <v>2</v>
      </c>
      <c r="BX210" s="674">
        <f t="shared" si="100"/>
        <v>0.5</v>
      </c>
      <c r="BY210" s="674">
        <f t="shared" si="101"/>
        <v>1</v>
      </c>
      <c r="BZ210" s="674">
        <f t="shared" si="102"/>
        <v>1</v>
      </c>
      <c r="CA210" s="675">
        <f t="shared" si="103"/>
        <v>0</v>
      </c>
      <c r="CB210" s="675">
        <f t="shared" si="104"/>
        <v>0</v>
      </c>
    </row>
    <row r="211" spans="1:80" ht="72" hidden="1" customHeight="1" x14ac:dyDescent="0.25">
      <c r="A211" s="298" t="s">
        <v>491</v>
      </c>
      <c r="B211" s="299" t="str">
        <f>'PLAN INDICATIVO'!B209</f>
        <v>Atención a grupos vulnerables - promoción social</v>
      </c>
      <c r="C211" s="1548"/>
      <c r="D211" s="1549"/>
      <c r="E211" s="1549"/>
      <c r="F211" s="1549"/>
      <c r="G211" s="1549"/>
      <c r="H211" s="1549"/>
      <c r="I211" s="300">
        <f>'PLAN INDICATIVO'!I209</f>
        <v>0</v>
      </c>
      <c r="J211" s="300">
        <f>'PLAN INDICATIVO'!J209</f>
        <v>0</v>
      </c>
      <c r="K211" s="1425" t="str">
        <f>'PLAN INDICATIVO'!K209</f>
        <v>A.14.4.10</v>
      </c>
      <c r="L211" s="301" t="str">
        <f>'PLAN INDICATIVO'!L209</f>
        <v>10. Reducción de las desigualdades</v>
      </c>
      <c r="M211" s="301" t="str">
        <f>'PLAN INDICATIVO'!M209</f>
        <v>Secretaría de Gobierno</v>
      </c>
      <c r="N211" s="1425" t="s">
        <v>3632</v>
      </c>
      <c r="O211" s="1425" t="str">
        <f>'PLAN INDICATIVO'!O209</f>
        <v>Mantenimiento</v>
      </c>
      <c r="P211" s="908" t="str">
        <f>'PLAN INDICATIVO'!P209</f>
        <v>Realizar 1 apoyo al hogar de paso del adulto mayor del municipio de la Plata Huila, cada año</v>
      </c>
      <c r="Q211" s="302" t="str">
        <f>'PLAN INDICATIVO'!Q209</f>
        <v>No. de apoyos realizados por año</v>
      </c>
      <c r="R211" s="303">
        <f>'PLAN INDICATIVO'!R209</f>
        <v>2015</v>
      </c>
      <c r="S211" s="304">
        <v>1</v>
      </c>
      <c r="T211" s="699">
        <v>1</v>
      </c>
      <c r="U211" s="303">
        <v>1</v>
      </c>
      <c r="V211" s="687">
        <v>18500000</v>
      </c>
      <c r="W211" s="303">
        <v>1</v>
      </c>
      <c r="X211" s="687">
        <v>14500000</v>
      </c>
      <c r="Y211" s="303">
        <v>1</v>
      </c>
      <c r="Z211" s="687">
        <v>14500000</v>
      </c>
      <c r="AA211" s="303">
        <v>1</v>
      </c>
      <c r="AB211" s="687">
        <v>14500000</v>
      </c>
      <c r="AC211" s="669">
        <v>0</v>
      </c>
      <c r="AD211" s="669"/>
      <c r="AE211" s="669"/>
      <c r="AF211" s="669"/>
      <c r="AG211" s="341" t="s">
        <v>3633</v>
      </c>
      <c r="AH211" s="341">
        <v>2017413960032</v>
      </c>
      <c r="AI211" s="832" t="s">
        <v>3647</v>
      </c>
      <c r="AJ211" s="363">
        <v>42767</v>
      </c>
      <c r="AK211" s="363">
        <v>43069</v>
      </c>
      <c r="AL211" s="358"/>
      <c r="AM211" s="358"/>
      <c r="AN211" s="267" t="s">
        <v>2600</v>
      </c>
      <c r="AO211" s="512"/>
      <c r="AP211" s="525"/>
      <c r="AQ211" s="310"/>
      <c r="AR211" s="310"/>
      <c r="AS211" s="310"/>
      <c r="AT211" s="310"/>
      <c r="AU211" s="310"/>
      <c r="AV211" s="310"/>
      <c r="AW211" s="544"/>
      <c r="AX211" s="525"/>
      <c r="AY211" s="310"/>
      <c r="AZ211" s="310"/>
      <c r="BA211" s="310"/>
      <c r="BB211" s="310"/>
      <c r="BC211" s="310"/>
      <c r="BD211" s="310"/>
      <c r="BE211" s="544">
        <f t="shared" si="80"/>
        <v>0</v>
      </c>
      <c r="BF211" s="525"/>
      <c r="BG211" s="310"/>
      <c r="BH211" s="310"/>
      <c r="BI211" s="310"/>
      <c r="BJ211" s="310"/>
      <c r="BK211" s="310"/>
      <c r="BL211" s="310"/>
      <c r="BM211" s="544">
        <f t="shared" si="81"/>
        <v>0</v>
      </c>
      <c r="BN211" s="525"/>
      <c r="BO211" s="310"/>
      <c r="BP211" s="310"/>
      <c r="BQ211" s="310"/>
      <c r="BR211" s="310"/>
      <c r="BS211" s="310"/>
      <c r="BT211" s="310"/>
      <c r="BU211" s="544">
        <f t="shared" si="82"/>
        <v>0</v>
      </c>
      <c r="BV211" s="556"/>
      <c r="BW211" s="663">
        <f t="shared" si="99"/>
        <v>0</v>
      </c>
      <c r="BX211" s="674">
        <f t="shared" si="100"/>
        <v>0</v>
      </c>
      <c r="BY211" s="674">
        <f t="shared" si="101"/>
        <v>0</v>
      </c>
      <c r="BZ211" s="674">
        <f t="shared" si="102"/>
        <v>0</v>
      </c>
      <c r="CA211" s="675">
        <f t="shared" si="103"/>
        <v>0</v>
      </c>
      <c r="CB211" s="675">
        <f t="shared" si="104"/>
        <v>0</v>
      </c>
    </row>
    <row r="212" spans="1:80" ht="20.25" hidden="1" customHeight="1" x14ac:dyDescent="0.25">
      <c r="A212" s="295" t="s">
        <v>491</v>
      </c>
      <c r="B212" s="24" t="str">
        <f>'PLAN INDICATIVO'!B210</f>
        <v>Atención a grupos vulnerables - promoción social</v>
      </c>
      <c r="C212" s="1574" t="s">
        <v>662</v>
      </c>
      <c r="D212" s="1575"/>
      <c r="E212" s="1575"/>
      <c r="F212" s="1575"/>
      <c r="G212" s="1575"/>
      <c r="H212" s="1575"/>
      <c r="I212" s="1575"/>
      <c r="J212" s="1575"/>
      <c r="K212" s="1575"/>
      <c r="L212" s="1575"/>
      <c r="M212" s="1575"/>
      <c r="N212" s="1575"/>
      <c r="O212" s="1576"/>
      <c r="P212" s="369" t="s">
        <v>663</v>
      </c>
      <c r="Q212" s="22"/>
      <c r="R212" s="1"/>
      <c r="S212" s="261"/>
      <c r="T212" s="681"/>
      <c r="U212" s="261"/>
      <c r="V212" s="689">
        <f>SUM(V213:V220)</f>
        <v>12000000</v>
      </c>
      <c r="W212" s="261"/>
      <c r="X212" s="689">
        <f>SUM(X213:X220)</f>
        <v>12660000</v>
      </c>
      <c r="Y212" s="261"/>
      <c r="Z212" s="689">
        <f>SUM(Z213:Z220)</f>
        <v>12660000</v>
      </c>
      <c r="AA212" s="261"/>
      <c r="AB212" s="689">
        <f>SUM(AB213:AB220)</f>
        <v>12660000</v>
      </c>
      <c r="AC212" s="261"/>
      <c r="AD212" s="261"/>
      <c r="AE212" s="261"/>
      <c r="AF212" s="261"/>
      <c r="AG212" s="273"/>
      <c r="AH212" s="273"/>
      <c r="AI212" s="273"/>
      <c r="AJ212" s="261"/>
      <c r="AK212" s="261"/>
      <c r="AL212" s="261"/>
      <c r="AM212" s="261"/>
      <c r="AN212" s="261"/>
      <c r="AO212" s="635"/>
      <c r="AP212" s="616" t="e">
        <f>(AP213:AP220)</f>
        <v>#VALUE!</v>
      </c>
      <c r="AQ212" s="616" t="e">
        <f t="shared" ref="AQ212:AV212" si="105">(AQ213:AQ220)</f>
        <v>#VALUE!</v>
      </c>
      <c r="AR212" s="616" t="e">
        <f t="shared" si="105"/>
        <v>#VALUE!</v>
      </c>
      <c r="AS212" s="616" t="e">
        <f t="shared" si="105"/>
        <v>#VALUE!</v>
      </c>
      <c r="AT212" s="616" t="e">
        <f t="shared" si="105"/>
        <v>#VALUE!</v>
      </c>
      <c r="AU212" s="616" t="e">
        <f t="shared" si="105"/>
        <v>#VALUE!</v>
      </c>
      <c r="AV212" s="616" t="e">
        <f t="shared" si="105"/>
        <v>#VALUE!</v>
      </c>
      <c r="AW212" s="617" t="e">
        <f t="shared" si="95"/>
        <v>#VALUE!</v>
      </c>
      <c r="AX212" s="616" t="e">
        <f>(AX213:AX220)</f>
        <v>#VALUE!</v>
      </c>
      <c r="AY212" s="616" t="e">
        <f t="shared" ref="AY212:BD212" si="106">(AY213:AY220)</f>
        <v>#VALUE!</v>
      </c>
      <c r="AZ212" s="616" t="e">
        <f t="shared" si="106"/>
        <v>#VALUE!</v>
      </c>
      <c r="BA212" s="616" t="e">
        <f t="shared" si="106"/>
        <v>#VALUE!</v>
      </c>
      <c r="BB212" s="616" t="e">
        <f t="shared" si="106"/>
        <v>#VALUE!</v>
      </c>
      <c r="BC212" s="616" t="e">
        <f t="shared" si="106"/>
        <v>#VALUE!</v>
      </c>
      <c r="BD212" s="616" t="e">
        <f t="shared" si="106"/>
        <v>#VALUE!</v>
      </c>
      <c r="BE212" s="617" t="e">
        <f t="shared" si="80"/>
        <v>#VALUE!</v>
      </c>
      <c r="BF212" s="616" t="e">
        <f>(BF213:BF220)</f>
        <v>#VALUE!</v>
      </c>
      <c r="BG212" s="616" t="e">
        <f t="shared" ref="BG212:BL212" si="107">(BG213:BG220)</f>
        <v>#VALUE!</v>
      </c>
      <c r="BH212" s="616" t="e">
        <f t="shared" si="107"/>
        <v>#VALUE!</v>
      </c>
      <c r="BI212" s="616" t="e">
        <f t="shared" si="107"/>
        <v>#VALUE!</v>
      </c>
      <c r="BJ212" s="616" t="e">
        <f t="shared" si="107"/>
        <v>#VALUE!</v>
      </c>
      <c r="BK212" s="616" t="e">
        <f t="shared" si="107"/>
        <v>#VALUE!</v>
      </c>
      <c r="BL212" s="616" t="e">
        <f t="shared" si="107"/>
        <v>#VALUE!</v>
      </c>
      <c r="BM212" s="617" t="e">
        <f t="shared" si="81"/>
        <v>#VALUE!</v>
      </c>
      <c r="BN212" s="616" t="e">
        <f>(BN213:BN220)</f>
        <v>#VALUE!</v>
      </c>
      <c r="BO212" s="616" t="e">
        <f t="shared" ref="BO212:BT212" si="108">(BO213:BO220)</f>
        <v>#VALUE!</v>
      </c>
      <c r="BP212" s="616" t="e">
        <f t="shared" si="108"/>
        <v>#VALUE!</v>
      </c>
      <c r="BQ212" s="616" t="e">
        <f t="shared" si="108"/>
        <v>#VALUE!</v>
      </c>
      <c r="BR212" s="616" t="e">
        <f t="shared" si="108"/>
        <v>#VALUE!</v>
      </c>
      <c r="BS212" s="616" t="e">
        <f t="shared" si="108"/>
        <v>#VALUE!</v>
      </c>
      <c r="BT212" s="616" t="e">
        <f t="shared" si="108"/>
        <v>#VALUE!</v>
      </c>
      <c r="BU212" s="617" t="e">
        <f t="shared" si="82"/>
        <v>#VALUE!</v>
      </c>
      <c r="BV212" s="556"/>
      <c r="BW212" s="663">
        <f t="shared" si="99"/>
        <v>0</v>
      </c>
      <c r="BX212" s="674" t="e">
        <f t="shared" si="100"/>
        <v>#DIV/0!</v>
      </c>
      <c r="BY212" s="674" t="e">
        <f t="shared" si="101"/>
        <v>#DIV/0!</v>
      </c>
      <c r="BZ212" s="674" t="e">
        <f t="shared" si="102"/>
        <v>#DIV/0!</v>
      </c>
      <c r="CA212" s="675" t="e">
        <f t="shared" si="103"/>
        <v>#DIV/0!</v>
      </c>
      <c r="CB212" s="675" t="e">
        <f t="shared" si="104"/>
        <v>#DIV/0!</v>
      </c>
    </row>
    <row r="213" spans="1:80" ht="68.25" hidden="1" customHeight="1" x14ac:dyDescent="0.25">
      <c r="A213" s="298" t="s">
        <v>491</v>
      </c>
      <c r="B213" s="299" t="str">
        <f>'PLAN INDICATIVO'!B211</f>
        <v>Atención a grupos vulnerables - promoción social</v>
      </c>
      <c r="C213" s="1546" t="s">
        <v>664</v>
      </c>
      <c r="D213" s="1549" t="s">
        <v>665</v>
      </c>
      <c r="E213" s="1549" t="s">
        <v>252</v>
      </c>
      <c r="F213" s="1549">
        <v>2015</v>
      </c>
      <c r="G213" s="1562">
        <v>11672</v>
      </c>
      <c r="H213" s="1562">
        <v>13500</v>
      </c>
      <c r="I213" s="300">
        <f>'PLAN INDICATIVO'!I211</f>
        <v>0</v>
      </c>
      <c r="J213" s="300">
        <f>'PLAN INDICATIVO'!J211</f>
        <v>0</v>
      </c>
      <c r="K213" s="1428" t="str">
        <f>'PLAN INDICATIVO'!K211</f>
        <v>A.14.5.1</v>
      </c>
      <c r="L213" s="301" t="str">
        <f>'PLAN INDICATIVO'!L211</f>
        <v>10. Reducción de las desigualdades</v>
      </c>
      <c r="M213" s="301" t="str">
        <f>'PLAN INDICATIVO'!M211</f>
        <v>Secretaría de Gobierno</v>
      </c>
      <c r="N213" s="1425" t="s">
        <v>3648</v>
      </c>
      <c r="O213" s="1425" t="str">
        <f>'PLAN INDICATIVO'!O211</f>
        <v>Mantenimiento</v>
      </c>
      <c r="P213" s="16" t="str">
        <f>'PLAN INDICATIVO'!P211</f>
        <v>Mantener actualizada 1 caracterización de la población indígena cada año</v>
      </c>
      <c r="Q213" s="302" t="str">
        <f>'PLAN INDICATIVO'!Q211</f>
        <v>No. De Caracterización realizada por año</v>
      </c>
      <c r="R213" s="303">
        <f>'PLAN INDICATIVO'!R211</f>
        <v>2015</v>
      </c>
      <c r="S213" s="304">
        <v>0</v>
      </c>
      <c r="T213" s="699">
        <v>1</v>
      </c>
      <c r="U213" s="934">
        <v>0.25</v>
      </c>
      <c r="V213" s="687">
        <v>7000000</v>
      </c>
      <c r="W213" s="934">
        <v>0.25</v>
      </c>
      <c r="X213" s="687">
        <v>2660000</v>
      </c>
      <c r="Y213" s="934">
        <v>0.25</v>
      </c>
      <c r="Z213" s="687">
        <v>2660000</v>
      </c>
      <c r="AA213" s="934">
        <v>0.25</v>
      </c>
      <c r="AB213" s="687">
        <v>2660000</v>
      </c>
      <c r="AC213" s="669">
        <v>0.25</v>
      </c>
      <c r="AD213" s="669">
        <v>0.25</v>
      </c>
      <c r="AE213" s="669"/>
      <c r="AF213" s="669"/>
      <c r="AG213" s="341" t="s">
        <v>3649</v>
      </c>
      <c r="AH213" s="341"/>
      <c r="AI213" s="355"/>
      <c r="AJ213" s="363" t="s">
        <v>3646</v>
      </c>
      <c r="AK213" s="363">
        <v>43099</v>
      </c>
      <c r="AL213" s="358"/>
      <c r="AM213" s="358"/>
      <c r="AN213" s="267" t="s">
        <v>2598</v>
      </c>
      <c r="AO213" s="512"/>
      <c r="AP213" s="525"/>
      <c r="AQ213" s="310"/>
      <c r="AR213" s="310"/>
      <c r="AS213" s="310"/>
      <c r="AT213" s="310"/>
      <c r="AU213" s="310"/>
      <c r="AV213" s="310"/>
      <c r="AW213" s="544">
        <f t="shared" si="95"/>
        <v>0</v>
      </c>
      <c r="AX213" s="525"/>
      <c r="AY213" s="310"/>
      <c r="AZ213" s="310"/>
      <c r="BA213" s="310"/>
      <c r="BB213" s="310"/>
      <c r="BC213" s="310"/>
      <c r="BD213" s="310"/>
      <c r="BE213" s="544">
        <f t="shared" si="80"/>
        <v>0</v>
      </c>
      <c r="BF213" s="525"/>
      <c r="BG213" s="310"/>
      <c r="BH213" s="310"/>
      <c r="BI213" s="310"/>
      <c r="BJ213" s="310"/>
      <c r="BK213" s="310"/>
      <c r="BL213" s="310"/>
      <c r="BM213" s="544">
        <f t="shared" si="81"/>
        <v>0</v>
      </c>
      <c r="BN213" s="525"/>
      <c r="BO213" s="310"/>
      <c r="BP213" s="310"/>
      <c r="BQ213" s="310"/>
      <c r="BR213" s="310"/>
      <c r="BS213" s="310"/>
      <c r="BT213" s="310"/>
      <c r="BU213" s="544">
        <f t="shared" si="82"/>
        <v>0</v>
      </c>
      <c r="BV213" s="556"/>
      <c r="BW213" s="663">
        <f t="shared" si="99"/>
        <v>0.5</v>
      </c>
      <c r="BX213" s="674">
        <f t="shared" si="100"/>
        <v>0.5</v>
      </c>
      <c r="BY213" s="674">
        <f t="shared" si="101"/>
        <v>1</v>
      </c>
      <c r="BZ213" s="674">
        <f t="shared" si="102"/>
        <v>1</v>
      </c>
      <c r="CA213" s="675">
        <f t="shared" si="103"/>
        <v>0</v>
      </c>
      <c r="CB213" s="675">
        <f t="shared" si="104"/>
        <v>0</v>
      </c>
    </row>
    <row r="214" spans="1:80" ht="63" hidden="1" customHeight="1" x14ac:dyDescent="0.25">
      <c r="A214" s="298" t="s">
        <v>491</v>
      </c>
      <c r="B214" s="299" t="str">
        <f>'PLAN INDICATIVO'!B212</f>
        <v>Atención a grupos vulnerables - promoción social</v>
      </c>
      <c r="C214" s="1547"/>
      <c r="D214" s="1549"/>
      <c r="E214" s="1549"/>
      <c r="F214" s="1549"/>
      <c r="G214" s="1549"/>
      <c r="H214" s="1549"/>
      <c r="I214" s="300">
        <f>'PLAN INDICATIVO'!I212</f>
        <v>0</v>
      </c>
      <c r="J214" s="300">
        <f>'PLAN INDICATIVO'!J212</f>
        <v>0</v>
      </c>
      <c r="K214" s="1428" t="str">
        <f>'PLAN INDICATIVO'!K212</f>
        <v>A.14.5.2</v>
      </c>
      <c r="L214" s="301" t="str">
        <f>'PLAN INDICATIVO'!L212</f>
        <v>10. Reducción de las desigualdades</v>
      </c>
      <c r="M214" s="301" t="str">
        <f>'PLAN INDICATIVO'!M212</f>
        <v>Secretaría de Gobierno</v>
      </c>
      <c r="N214" s="1425" t="s">
        <v>3648</v>
      </c>
      <c r="O214" s="1425" t="str">
        <f>'PLAN INDICATIVO'!O212</f>
        <v>Incremento</v>
      </c>
      <c r="P214" s="940" t="str">
        <f>'PLAN INDICATIVO'!P212</f>
        <v>Realizar 2 Capacitaciones dirigidas a funcionarios municipales sobre promoción de derechos étnicos durante el cuatrienio</v>
      </c>
      <c r="Q214" s="302" t="str">
        <f>'PLAN INDICATIVO'!Q212</f>
        <v>No. De capacitaciones realizadas</v>
      </c>
      <c r="R214" s="303">
        <f>'PLAN INDICATIVO'!R212</f>
        <v>2015</v>
      </c>
      <c r="S214" s="304">
        <v>0</v>
      </c>
      <c r="T214" s="699">
        <v>2</v>
      </c>
      <c r="U214" s="303">
        <v>0</v>
      </c>
      <c r="V214" s="687">
        <v>0</v>
      </c>
      <c r="W214" s="303">
        <v>0</v>
      </c>
      <c r="X214" s="687"/>
      <c r="Y214" s="303">
        <v>1</v>
      </c>
      <c r="Z214" s="687">
        <v>500000</v>
      </c>
      <c r="AA214" s="303">
        <v>0</v>
      </c>
      <c r="AB214" s="687"/>
      <c r="AC214" s="669">
        <v>1</v>
      </c>
      <c r="AD214" s="669"/>
      <c r="AE214" s="669"/>
      <c r="AF214" s="669"/>
      <c r="AG214" s="341" t="s">
        <v>3649</v>
      </c>
      <c r="AH214" s="341"/>
      <c r="AI214" s="355"/>
      <c r="AJ214" s="358"/>
      <c r="AK214" s="358"/>
      <c r="AL214" s="358"/>
      <c r="AM214" s="358"/>
      <c r="AN214" s="267" t="s">
        <v>2594</v>
      </c>
      <c r="AO214" s="512"/>
      <c r="AP214" s="525"/>
      <c r="AQ214" s="310"/>
      <c r="AR214" s="310"/>
      <c r="AS214" s="310"/>
      <c r="AT214" s="310"/>
      <c r="AU214" s="310"/>
      <c r="AV214" s="310"/>
      <c r="AW214" s="544">
        <f t="shared" si="95"/>
        <v>0</v>
      </c>
      <c r="AX214" s="525"/>
      <c r="AY214" s="310"/>
      <c r="AZ214" s="310"/>
      <c r="BA214" s="310"/>
      <c r="BB214" s="310"/>
      <c r="BC214" s="310"/>
      <c r="BD214" s="310"/>
      <c r="BE214" s="544">
        <f t="shared" si="80"/>
        <v>0</v>
      </c>
      <c r="BF214" s="525"/>
      <c r="BG214" s="310"/>
      <c r="BH214" s="310"/>
      <c r="BI214" s="310"/>
      <c r="BJ214" s="310"/>
      <c r="BK214" s="310"/>
      <c r="BL214" s="310"/>
      <c r="BM214" s="544">
        <f t="shared" si="81"/>
        <v>0</v>
      </c>
      <c r="BN214" s="525"/>
      <c r="BO214" s="310"/>
      <c r="BP214" s="310"/>
      <c r="BQ214" s="310"/>
      <c r="BR214" s="310"/>
      <c r="BS214" s="310"/>
      <c r="BT214" s="310"/>
      <c r="BU214" s="544">
        <f t="shared" si="82"/>
        <v>0</v>
      </c>
      <c r="BV214" s="556"/>
      <c r="BW214" s="663">
        <f t="shared" si="99"/>
        <v>1</v>
      </c>
      <c r="BX214" s="674">
        <f t="shared" si="100"/>
        <v>0.5</v>
      </c>
      <c r="BY214" s="674" t="e">
        <f t="shared" si="101"/>
        <v>#DIV/0!</v>
      </c>
      <c r="BZ214" s="674" t="e">
        <f t="shared" si="102"/>
        <v>#DIV/0!</v>
      </c>
      <c r="CA214" s="675">
        <f t="shared" si="103"/>
        <v>0</v>
      </c>
      <c r="CB214" s="675" t="e">
        <f t="shared" si="104"/>
        <v>#DIV/0!</v>
      </c>
    </row>
    <row r="215" spans="1:80" ht="89.25" hidden="1" customHeight="1" x14ac:dyDescent="0.25">
      <c r="A215" s="298" t="s">
        <v>491</v>
      </c>
      <c r="B215" s="299" t="str">
        <f>'PLAN INDICATIVO'!B213</f>
        <v>Atención a grupos vulnerables - promoción social</v>
      </c>
      <c r="C215" s="1547"/>
      <c r="D215" s="1549"/>
      <c r="E215" s="1549"/>
      <c r="F215" s="1549"/>
      <c r="G215" s="1549"/>
      <c r="H215" s="1549"/>
      <c r="I215" s="300">
        <f>'PLAN INDICATIVO'!I213</f>
        <v>0</v>
      </c>
      <c r="J215" s="300">
        <f>'PLAN INDICATIVO'!J213</f>
        <v>0</v>
      </c>
      <c r="K215" s="1428" t="str">
        <f>'PLAN INDICATIVO'!K213</f>
        <v>A.14.5.3</v>
      </c>
      <c r="L215" s="301" t="str">
        <f>'PLAN INDICATIVO'!L213</f>
        <v>10. Reducción de las desigualdades</v>
      </c>
      <c r="M215" s="301" t="str">
        <f>'PLAN INDICATIVO'!M213</f>
        <v>Secretaría de Gobierno</v>
      </c>
      <c r="N215" s="1425" t="s">
        <v>3648</v>
      </c>
      <c r="O215" s="1425" t="str">
        <f>'PLAN INDICATIVO'!O213</f>
        <v>Incremento</v>
      </c>
      <c r="P215" s="25" t="str">
        <f>'PLAN INDICATIVO'!P213</f>
        <v>Adelantar 2 procesos en el cuatrienio  para que la población Étnica obtengan recursos  para el fortalecimiento de los sectores</v>
      </c>
      <c r="Q215" s="302" t="str">
        <f>'PLAN INDICATIVO'!Q213</f>
        <v>No. De procesos ejecutados</v>
      </c>
      <c r="R215" s="303">
        <f>'PLAN INDICATIVO'!R213</f>
        <v>2015</v>
      </c>
      <c r="S215" s="304">
        <v>0</v>
      </c>
      <c r="T215" s="699">
        <v>2</v>
      </c>
      <c r="U215" s="303">
        <v>1</v>
      </c>
      <c r="V215" s="687">
        <v>1000000</v>
      </c>
      <c r="W215" s="303">
        <v>1</v>
      </c>
      <c r="X215" s="687">
        <v>1000000</v>
      </c>
      <c r="Y215" s="303">
        <v>1</v>
      </c>
      <c r="Z215" s="687">
        <v>500000</v>
      </c>
      <c r="AA215" s="303">
        <v>0</v>
      </c>
      <c r="AB215" s="687"/>
      <c r="AC215" s="669"/>
      <c r="AD215" s="669">
        <v>1</v>
      </c>
      <c r="AE215" s="669"/>
      <c r="AF215" s="669"/>
      <c r="AG215" s="341" t="s">
        <v>3649</v>
      </c>
      <c r="AH215" s="341"/>
      <c r="AI215" s="355" t="s">
        <v>3650</v>
      </c>
      <c r="AJ215" s="363" t="s">
        <v>3646</v>
      </c>
      <c r="AK215" s="363">
        <v>43099</v>
      </c>
      <c r="AL215" s="358"/>
      <c r="AM215" s="358"/>
      <c r="AN215" s="267" t="s">
        <v>2598</v>
      </c>
      <c r="AO215" s="512"/>
      <c r="AP215" s="525"/>
      <c r="AQ215" s="310"/>
      <c r="AR215" s="310"/>
      <c r="AS215" s="310"/>
      <c r="AT215" s="310"/>
      <c r="AU215" s="310"/>
      <c r="AV215" s="310"/>
      <c r="AW215" s="544">
        <f t="shared" si="95"/>
        <v>0</v>
      </c>
      <c r="AX215" s="525"/>
      <c r="AY215" s="310"/>
      <c r="AZ215" s="310"/>
      <c r="BA215" s="310"/>
      <c r="BB215" s="310"/>
      <c r="BC215" s="310"/>
      <c r="BD215" s="310"/>
      <c r="BE215" s="544">
        <f t="shared" si="80"/>
        <v>0</v>
      </c>
      <c r="BF215" s="525"/>
      <c r="BG215" s="310"/>
      <c r="BH215" s="310"/>
      <c r="BI215" s="310"/>
      <c r="BJ215" s="310"/>
      <c r="BK215" s="310"/>
      <c r="BL215" s="310"/>
      <c r="BM215" s="544">
        <f t="shared" si="81"/>
        <v>0</v>
      </c>
      <c r="BN215" s="525"/>
      <c r="BO215" s="310"/>
      <c r="BP215" s="310"/>
      <c r="BQ215" s="310"/>
      <c r="BR215" s="310"/>
      <c r="BS215" s="310"/>
      <c r="BT215" s="310"/>
      <c r="BU215" s="544">
        <f t="shared" si="82"/>
        <v>0</v>
      </c>
      <c r="BV215" s="556"/>
      <c r="BW215" s="663">
        <f t="shared" si="99"/>
        <v>1</v>
      </c>
      <c r="BX215" s="674">
        <f t="shared" si="100"/>
        <v>0.5</v>
      </c>
      <c r="BY215" s="674">
        <f t="shared" si="101"/>
        <v>0</v>
      </c>
      <c r="BZ215" s="674">
        <f t="shared" si="102"/>
        <v>1</v>
      </c>
      <c r="CA215" s="675">
        <f t="shared" si="103"/>
        <v>0</v>
      </c>
      <c r="CB215" s="675" t="e">
        <f t="shared" si="104"/>
        <v>#DIV/0!</v>
      </c>
    </row>
    <row r="216" spans="1:80" ht="71.25" hidden="1" customHeight="1" x14ac:dyDescent="0.25">
      <c r="A216" s="298" t="s">
        <v>491</v>
      </c>
      <c r="B216" s="299" t="str">
        <f>'PLAN INDICATIVO'!B214</f>
        <v>Atención a grupos vulnerables - promoción social</v>
      </c>
      <c r="C216" s="1547"/>
      <c r="D216" s="1549"/>
      <c r="E216" s="1549"/>
      <c r="F216" s="1549"/>
      <c r="G216" s="1549"/>
      <c r="H216" s="1549"/>
      <c r="I216" s="300">
        <f>'PLAN INDICATIVO'!I214</f>
        <v>0</v>
      </c>
      <c r="J216" s="300">
        <f>'PLAN INDICATIVO'!J214</f>
        <v>0</v>
      </c>
      <c r="K216" s="1428" t="str">
        <f>'PLAN INDICATIVO'!K214</f>
        <v>A.14.5.4</v>
      </c>
      <c r="L216" s="301" t="str">
        <f>'PLAN INDICATIVO'!L214</f>
        <v>10. Reducción de las desigualdades</v>
      </c>
      <c r="M216" s="301" t="str">
        <f>'PLAN INDICATIVO'!M214</f>
        <v>Secretaría de Gobierno</v>
      </c>
      <c r="N216" s="1425" t="s">
        <v>3648</v>
      </c>
      <c r="O216" s="1425" t="str">
        <f>'PLAN INDICATIVO'!O214</f>
        <v>Incremento</v>
      </c>
      <c r="P216" s="16" t="str">
        <f>'PLAN INDICATIVO'!P214</f>
        <v>implementar 2 estrategias durante el cuatrienio para fortalecer costumbres y vivencias de la población indígena y afro</v>
      </c>
      <c r="Q216" s="302" t="str">
        <f>'PLAN INDICATIVO'!Q214</f>
        <v>No. De Estrategia Implementada</v>
      </c>
      <c r="R216" s="303">
        <f>'PLAN INDICATIVO'!R214</f>
        <v>2015</v>
      </c>
      <c r="S216" s="304">
        <v>0</v>
      </c>
      <c r="T216" s="699">
        <v>2</v>
      </c>
      <c r="U216" s="303">
        <v>1</v>
      </c>
      <c r="V216" s="687">
        <v>0</v>
      </c>
      <c r="W216" s="303">
        <v>1</v>
      </c>
      <c r="X216" s="687"/>
      <c r="Y216" s="303">
        <v>0</v>
      </c>
      <c r="Z216" s="687">
        <v>500000</v>
      </c>
      <c r="AA216" s="303">
        <v>0</v>
      </c>
      <c r="AB216" s="687"/>
      <c r="AC216" s="669">
        <v>1</v>
      </c>
      <c r="AD216" s="669">
        <v>1</v>
      </c>
      <c r="AE216" s="669"/>
      <c r="AF216" s="669"/>
      <c r="AG216" s="341" t="s">
        <v>3649</v>
      </c>
      <c r="AH216" s="341"/>
      <c r="AI216" s="355"/>
      <c r="AJ216" s="363"/>
      <c r="AK216" s="363"/>
      <c r="AL216" s="358"/>
      <c r="AM216" s="358"/>
      <c r="AN216" s="267" t="s">
        <v>2598</v>
      </c>
      <c r="AO216" s="512"/>
      <c r="AP216" s="525"/>
      <c r="AQ216" s="310"/>
      <c r="AR216" s="310"/>
      <c r="AS216" s="310"/>
      <c r="AT216" s="310"/>
      <c r="AU216" s="310"/>
      <c r="AV216" s="310"/>
      <c r="AW216" s="544">
        <f t="shared" si="95"/>
        <v>0</v>
      </c>
      <c r="AX216" s="525"/>
      <c r="AY216" s="310"/>
      <c r="AZ216" s="310"/>
      <c r="BA216" s="310"/>
      <c r="BB216" s="310"/>
      <c r="BC216" s="310"/>
      <c r="BD216" s="310"/>
      <c r="BE216" s="544">
        <f t="shared" si="80"/>
        <v>0</v>
      </c>
      <c r="BF216" s="525"/>
      <c r="BG216" s="310"/>
      <c r="BH216" s="310"/>
      <c r="BI216" s="310"/>
      <c r="BJ216" s="310"/>
      <c r="BK216" s="310"/>
      <c r="BL216" s="310"/>
      <c r="BM216" s="544">
        <f t="shared" si="81"/>
        <v>0</v>
      </c>
      <c r="BN216" s="525"/>
      <c r="BO216" s="310"/>
      <c r="BP216" s="310"/>
      <c r="BQ216" s="310"/>
      <c r="BR216" s="310"/>
      <c r="BS216" s="310"/>
      <c r="BT216" s="310"/>
      <c r="BU216" s="544">
        <f t="shared" si="82"/>
        <v>0</v>
      </c>
      <c r="BV216" s="556"/>
      <c r="BW216" s="663">
        <f t="shared" si="99"/>
        <v>2</v>
      </c>
      <c r="BX216" s="674">
        <f t="shared" si="100"/>
        <v>1</v>
      </c>
      <c r="BY216" s="674">
        <f t="shared" si="101"/>
        <v>1</v>
      </c>
      <c r="BZ216" s="674">
        <f t="shared" si="102"/>
        <v>1</v>
      </c>
      <c r="CA216" s="675" t="e">
        <f t="shared" si="103"/>
        <v>#DIV/0!</v>
      </c>
      <c r="CB216" s="675" t="e">
        <f t="shared" si="104"/>
        <v>#DIV/0!</v>
      </c>
    </row>
    <row r="217" spans="1:80" ht="72" hidden="1" customHeight="1" x14ac:dyDescent="0.25">
      <c r="A217" s="298" t="s">
        <v>491</v>
      </c>
      <c r="B217" s="299" t="str">
        <f>'PLAN INDICATIVO'!B215</f>
        <v>Atención a grupos vulnerables - promoción social</v>
      </c>
      <c r="C217" s="1547"/>
      <c r="D217" s="1549"/>
      <c r="E217" s="1549"/>
      <c r="F217" s="1549"/>
      <c r="G217" s="1549"/>
      <c r="H217" s="1549"/>
      <c r="I217" s="300">
        <f>'PLAN INDICATIVO'!I215</f>
        <v>0</v>
      </c>
      <c r="J217" s="300">
        <f>'PLAN INDICATIVO'!J215</f>
        <v>0</v>
      </c>
      <c r="K217" s="1428" t="str">
        <f>'PLAN INDICATIVO'!K215</f>
        <v>A.14.5.5</v>
      </c>
      <c r="L217" s="301" t="str">
        <f>'PLAN INDICATIVO'!L215</f>
        <v>10. Reducción de las desigualdades</v>
      </c>
      <c r="M217" s="301" t="str">
        <f>'PLAN INDICATIVO'!M215</f>
        <v>Secretaría de Gobierno</v>
      </c>
      <c r="N217" s="1425" t="s">
        <v>3648</v>
      </c>
      <c r="O217" s="1425" t="str">
        <f>'PLAN INDICATIVO'!O215</f>
        <v>Incremento</v>
      </c>
      <c r="P217" s="25" t="str">
        <f>'PLAN INDICATIVO'!P215</f>
        <v>Realizar 2 planes de capacitación con enfoque diferencial étnico para cualificación del recurso humano durante el cuatrienio</v>
      </c>
      <c r="Q217" s="302" t="str">
        <f>'PLAN INDICATIVO'!Q215</f>
        <v>No. De planes de Capacitación realizadas</v>
      </c>
      <c r="R217" s="303">
        <f>'PLAN INDICATIVO'!R215</f>
        <v>2015</v>
      </c>
      <c r="S217" s="304">
        <v>0</v>
      </c>
      <c r="T217" s="699">
        <v>2</v>
      </c>
      <c r="U217" s="303">
        <v>1</v>
      </c>
      <c r="V217" s="687">
        <v>1000000</v>
      </c>
      <c r="W217" s="303">
        <v>0</v>
      </c>
      <c r="X217" s="687">
        <v>1000000</v>
      </c>
      <c r="Y217" s="303">
        <v>1</v>
      </c>
      <c r="Z217" s="687"/>
      <c r="AA217" s="303">
        <v>1</v>
      </c>
      <c r="AB217" s="687">
        <v>8000000</v>
      </c>
      <c r="AC217" s="669"/>
      <c r="AD217" s="669">
        <v>1</v>
      </c>
      <c r="AE217" s="669"/>
      <c r="AF217" s="669"/>
      <c r="AG217" s="341" t="s">
        <v>3649</v>
      </c>
      <c r="AH217" s="341"/>
      <c r="AI217" s="355" t="s">
        <v>3651</v>
      </c>
      <c r="AJ217" s="363" t="s">
        <v>3646</v>
      </c>
      <c r="AK217" s="363">
        <v>43099</v>
      </c>
      <c r="AL217" s="358"/>
      <c r="AM217" s="358"/>
      <c r="AN217" s="267" t="s">
        <v>2598</v>
      </c>
      <c r="AO217" s="512"/>
      <c r="AP217" s="525"/>
      <c r="AQ217" s="310"/>
      <c r="AR217" s="310"/>
      <c r="AS217" s="310"/>
      <c r="AT217" s="310"/>
      <c r="AU217" s="310"/>
      <c r="AV217" s="310"/>
      <c r="AW217" s="544">
        <f t="shared" si="95"/>
        <v>0</v>
      </c>
      <c r="AX217" s="525"/>
      <c r="AY217" s="310"/>
      <c r="AZ217" s="310"/>
      <c r="BA217" s="310"/>
      <c r="BB217" s="310"/>
      <c r="BC217" s="310"/>
      <c r="BD217" s="310"/>
      <c r="BE217" s="544">
        <f t="shared" ref="BE217:BE280" si="109">SUM(AX217:BD217)</f>
        <v>0</v>
      </c>
      <c r="BF217" s="525"/>
      <c r="BG217" s="310"/>
      <c r="BH217" s="310"/>
      <c r="BI217" s="310"/>
      <c r="BJ217" s="310"/>
      <c r="BK217" s="310"/>
      <c r="BL217" s="310"/>
      <c r="BM217" s="544">
        <f t="shared" ref="BM217:BM280" si="110">SUM(BF217:BL217)</f>
        <v>0</v>
      </c>
      <c r="BN217" s="525"/>
      <c r="BO217" s="310"/>
      <c r="BP217" s="310"/>
      <c r="BQ217" s="310"/>
      <c r="BR217" s="310"/>
      <c r="BS217" s="310"/>
      <c r="BT217" s="310"/>
      <c r="BU217" s="544">
        <f t="shared" ref="BU217:BU280" si="111">SUM(BN217:BT217)</f>
        <v>0</v>
      </c>
      <c r="BV217" s="556"/>
      <c r="BW217" s="663">
        <f t="shared" si="99"/>
        <v>1</v>
      </c>
      <c r="BX217" s="674">
        <f t="shared" si="100"/>
        <v>0.5</v>
      </c>
      <c r="BY217" s="674">
        <f t="shared" si="101"/>
        <v>0</v>
      </c>
      <c r="BZ217" s="674" t="e">
        <f t="shared" si="102"/>
        <v>#DIV/0!</v>
      </c>
      <c r="CA217" s="675">
        <f t="shared" si="103"/>
        <v>0</v>
      </c>
      <c r="CB217" s="675">
        <f t="shared" si="104"/>
        <v>0</v>
      </c>
    </row>
    <row r="218" spans="1:80" ht="55.5" hidden="1" customHeight="1" x14ac:dyDescent="0.25">
      <c r="A218" s="298" t="s">
        <v>491</v>
      </c>
      <c r="B218" s="299" t="str">
        <f>'PLAN INDICATIVO'!B216</f>
        <v>Atención a grupos vulnerables - promoción social</v>
      </c>
      <c r="C218" s="1547"/>
      <c r="D218" s="1549"/>
      <c r="E218" s="1549"/>
      <c r="F218" s="1549"/>
      <c r="G218" s="1549"/>
      <c r="H218" s="1549"/>
      <c r="I218" s="300">
        <f>'PLAN INDICATIVO'!I216</f>
        <v>0</v>
      </c>
      <c r="J218" s="300">
        <f>'PLAN INDICATIVO'!J216</f>
        <v>0</v>
      </c>
      <c r="K218" s="1428" t="str">
        <f>'PLAN INDICATIVO'!K216</f>
        <v>A.14.5.6</v>
      </c>
      <c r="L218" s="301" t="str">
        <f>'PLAN INDICATIVO'!L216</f>
        <v>10. Reducción de las desigualdades</v>
      </c>
      <c r="M218" s="301" t="str">
        <f>'PLAN INDICATIVO'!M216</f>
        <v>Secretaría de Gobierno</v>
      </c>
      <c r="N218" s="1425" t="s">
        <v>3648</v>
      </c>
      <c r="O218" s="1425" t="str">
        <f>'PLAN INDICATIVO'!O216</f>
        <v>Mantenimiento</v>
      </c>
      <c r="P218" s="16" t="str">
        <f>'PLAN INDICATIVO'!P216</f>
        <v>Realizar 1 actividad anual de enriquecimiento de la cultura ancestral</v>
      </c>
      <c r="Q218" s="302" t="str">
        <f>'PLAN INDICATIVO'!Q216</f>
        <v>No. De Actividad realizada por año</v>
      </c>
      <c r="R218" s="303">
        <f>'PLAN INDICATIVO'!R216</f>
        <v>2015</v>
      </c>
      <c r="S218" s="304">
        <v>0</v>
      </c>
      <c r="T218" s="699">
        <v>1</v>
      </c>
      <c r="U218" s="934">
        <v>0.25</v>
      </c>
      <c r="V218" s="687">
        <v>2000000</v>
      </c>
      <c r="W218" s="934">
        <v>0.25</v>
      </c>
      <c r="X218" s="687">
        <v>2000000</v>
      </c>
      <c r="Y218" s="934">
        <v>0.25</v>
      </c>
      <c r="Z218" s="687">
        <v>2000000</v>
      </c>
      <c r="AA218" s="934">
        <v>0.25</v>
      </c>
      <c r="AB218" s="687">
        <v>2000000</v>
      </c>
      <c r="AC218" s="669">
        <v>0.25</v>
      </c>
      <c r="AD218" s="669">
        <v>0.25</v>
      </c>
      <c r="AE218" s="669"/>
      <c r="AF218" s="669"/>
      <c r="AG218" s="341" t="s">
        <v>3649</v>
      </c>
      <c r="AH218" s="341"/>
      <c r="AI218" s="355" t="s">
        <v>3652</v>
      </c>
      <c r="AJ218" s="363" t="s">
        <v>3646</v>
      </c>
      <c r="AK218" s="363">
        <v>43099</v>
      </c>
      <c r="AL218" s="358"/>
      <c r="AM218" s="358"/>
      <c r="AN218" s="267" t="s">
        <v>2598</v>
      </c>
      <c r="AO218" s="512"/>
      <c r="AP218" s="525"/>
      <c r="AQ218" s="310"/>
      <c r="AR218" s="310"/>
      <c r="AS218" s="310"/>
      <c r="AT218" s="310"/>
      <c r="AU218" s="310"/>
      <c r="AV218" s="310"/>
      <c r="AW218" s="544">
        <f t="shared" si="95"/>
        <v>0</v>
      </c>
      <c r="AX218" s="525"/>
      <c r="AY218" s="310"/>
      <c r="AZ218" s="310"/>
      <c r="BA218" s="310"/>
      <c r="BB218" s="310"/>
      <c r="BC218" s="310"/>
      <c r="BD218" s="310"/>
      <c r="BE218" s="544">
        <f t="shared" si="109"/>
        <v>0</v>
      </c>
      <c r="BF218" s="525"/>
      <c r="BG218" s="310"/>
      <c r="BH218" s="310"/>
      <c r="BI218" s="310"/>
      <c r="BJ218" s="310"/>
      <c r="BK218" s="310"/>
      <c r="BL218" s="310"/>
      <c r="BM218" s="544">
        <f t="shared" si="110"/>
        <v>0</v>
      </c>
      <c r="BN218" s="525"/>
      <c r="BO218" s="310"/>
      <c r="BP218" s="310"/>
      <c r="BQ218" s="310"/>
      <c r="BR218" s="310"/>
      <c r="BS218" s="310"/>
      <c r="BT218" s="310"/>
      <c r="BU218" s="544">
        <f t="shared" si="111"/>
        <v>0</v>
      </c>
      <c r="BV218" s="556"/>
      <c r="BW218" s="663">
        <f t="shared" si="99"/>
        <v>0.5</v>
      </c>
      <c r="BX218" s="674">
        <f t="shared" si="100"/>
        <v>0.5</v>
      </c>
      <c r="BY218" s="674">
        <f t="shared" si="101"/>
        <v>1</v>
      </c>
      <c r="BZ218" s="674">
        <f t="shared" si="102"/>
        <v>1</v>
      </c>
      <c r="CA218" s="675">
        <f t="shared" si="103"/>
        <v>0</v>
      </c>
      <c r="CB218" s="675">
        <f t="shared" si="104"/>
        <v>0</v>
      </c>
    </row>
    <row r="219" spans="1:80" ht="75.75" hidden="1" customHeight="1" x14ac:dyDescent="0.25">
      <c r="A219" s="298" t="s">
        <v>491</v>
      </c>
      <c r="B219" s="299" t="str">
        <f>'PLAN INDICATIVO'!B217</f>
        <v>Atención a grupos vulnerables - promoción social</v>
      </c>
      <c r="C219" s="1547"/>
      <c r="D219" s="1549"/>
      <c r="E219" s="1549"/>
      <c r="F219" s="1549"/>
      <c r="G219" s="1549"/>
      <c r="H219" s="1549"/>
      <c r="I219" s="371">
        <f>'PLAN INDICATIVO'!I217</f>
        <v>0</v>
      </c>
      <c r="J219" s="371">
        <f>'PLAN INDICATIVO'!J217</f>
        <v>0</v>
      </c>
      <c r="K219" s="1428" t="str">
        <f>'PLAN INDICATIVO'!K217</f>
        <v>A.14.5.7</v>
      </c>
      <c r="L219" s="301" t="str">
        <f>'PLAN INDICATIVO'!L217</f>
        <v>10. Reducción de las desigualdades</v>
      </c>
      <c r="M219" s="301" t="str">
        <f>'PLAN INDICATIVO'!M217</f>
        <v>Secretaría de Gobierno</v>
      </c>
      <c r="N219" s="1425" t="s">
        <v>3648</v>
      </c>
      <c r="O219" s="1425" t="str">
        <f>'PLAN INDICATIVO'!O217</f>
        <v>Incremento</v>
      </c>
      <c r="P219" s="71" t="str">
        <f>'PLAN INDICATIVO'!P217</f>
        <v>Realizar 2 proyectos de infraestructura durante el cuatrienio con destino a la población indígena</v>
      </c>
      <c r="Q219" s="345" t="str">
        <f>'PLAN INDICATIVO'!Q217</f>
        <v>No. De proyectos realizados</v>
      </c>
      <c r="R219" s="346">
        <f>'PLAN INDICATIVO'!R217</f>
        <v>2015</v>
      </c>
      <c r="S219" s="342">
        <v>0</v>
      </c>
      <c r="T219" s="704">
        <v>2</v>
      </c>
      <c r="U219" s="346">
        <v>1</v>
      </c>
      <c r="V219" s="687">
        <v>1000000</v>
      </c>
      <c r="W219" s="346">
        <v>1</v>
      </c>
      <c r="X219" s="687">
        <v>6000000</v>
      </c>
      <c r="Y219" s="346">
        <v>1</v>
      </c>
      <c r="Z219" s="687">
        <v>6000000</v>
      </c>
      <c r="AA219" s="346">
        <v>0</v>
      </c>
      <c r="AB219" s="687"/>
      <c r="AC219" s="670"/>
      <c r="AD219" s="670">
        <v>1</v>
      </c>
      <c r="AE219" s="670"/>
      <c r="AF219" s="670"/>
      <c r="AG219" s="341" t="s">
        <v>3649</v>
      </c>
      <c r="AH219" s="341"/>
      <c r="AI219" s="361" t="s">
        <v>3653</v>
      </c>
      <c r="AJ219" s="363" t="s">
        <v>3646</v>
      </c>
      <c r="AK219" s="363">
        <v>43099</v>
      </c>
      <c r="AL219" s="362"/>
      <c r="AM219" s="362"/>
      <c r="AN219" s="267" t="s">
        <v>2598</v>
      </c>
      <c r="AO219" s="513"/>
      <c r="AP219" s="528"/>
      <c r="AQ219" s="472"/>
      <c r="AR219" s="472"/>
      <c r="AS219" s="472"/>
      <c r="AT219" s="472"/>
      <c r="AU219" s="472"/>
      <c r="AV219" s="472"/>
      <c r="AW219" s="544">
        <f t="shared" si="95"/>
        <v>0</v>
      </c>
      <c r="AX219" s="528"/>
      <c r="AY219" s="472"/>
      <c r="AZ219" s="472"/>
      <c r="BA219" s="472"/>
      <c r="BB219" s="472"/>
      <c r="BC219" s="472"/>
      <c r="BD219" s="472"/>
      <c r="BE219" s="544">
        <f t="shared" si="109"/>
        <v>0</v>
      </c>
      <c r="BF219" s="528"/>
      <c r="BG219" s="472"/>
      <c r="BH219" s="472"/>
      <c r="BI219" s="472"/>
      <c r="BJ219" s="472"/>
      <c r="BK219" s="472"/>
      <c r="BL219" s="472"/>
      <c r="BM219" s="544">
        <f t="shared" si="110"/>
        <v>0</v>
      </c>
      <c r="BN219" s="528"/>
      <c r="BO219" s="472"/>
      <c r="BP219" s="472"/>
      <c r="BQ219" s="472"/>
      <c r="BR219" s="472"/>
      <c r="BS219" s="472"/>
      <c r="BT219" s="472"/>
      <c r="BU219" s="544">
        <f t="shared" si="111"/>
        <v>0</v>
      </c>
      <c r="BV219" s="556"/>
      <c r="BW219" s="663">
        <f t="shared" si="99"/>
        <v>1</v>
      </c>
      <c r="BX219" s="674">
        <f t="shared" si="100"/>
        <v>0.5</v>
      </c>
      <c r="BY219" s="674">
        <f t="shared" si="101"/>
        <v>0</v>
      </c>
      <c r="BZ219" s="674">
        <f t="shared" si="102"/>
        <v>1</v>
      </c>
      <c r="CA219" s="675">
        <f t="shared" si="103"/>
        <v>0</v>
      </c>
      <c r="CB219" s="675" t="e">
        <f t="shared" si="104"/>
        <v>#DIV/0!</v>
      </c>
    </row>
    <row r="220" spans="1:80" ht="62.25" hidden="1" customHeight="1" x14ac:dyDescent="0.25">
      <c r="A220" s="298" t="s">
        <v>491</v>
      </c>
      <c r="B220" s="299" t="str">
        <f>'PLAN INDICATIVO'!B218</f>
        <v>Atención a grupos vulnerables - promoción social</v>
      </c>
      <c r="C220" s="1547"/>
      <c r="D220" s="1549"/>
      <c r="E220" s="1549"/>
      <c r="F220" s="1549"/>
      <c r="G220" s="1549"/>
      <c r="H220" s="1549"/>
      <c r="I220" s="300">
        <f>'PLAN INDICATIVO'!I218</f>
        <v>0</v>
      </c>
      <c r="J220" s="300">
        <f>'PLAN INDICATIVO'!J218</f>
        <v>0</v>
      </c>
      <c r="K220" s="1428" t="str">
        <f>'PLAN INDICATIVO'!K218</f>
        <v>A.14.5.8</v>
      </c>
      <c r="L220" s="301" t="str">
        <f>'PLAN INDICATIVO'!L218</f>
        <v>10. Reducción de las desigualdades</v>
      </c>
      <c r="M220" s="301" t="str">
        <f>'PLAN INDICATIVO'!M218</f>
        <v>Secretaría de Gobierno</v>
      </c>
      <c r="N220" s="1425" t="s">
        <v>3648</v>
      </c>
      <c r="O220" s="1425" t="str">
        <f>'PLAN INDICATIVO'!O218</f>
        <v>Incremento</v>
      </c>
      <c r="P220" s="16" t="str">
        <f>'PLAN INDICATIVO'!P218</f>
        <v>Realizar 1 foro educativo indígena durante el cuatrienio</v>
      </c>
      <c r="Q220" s="302" t="str">
        <f>'PLAN INDICATIVO'!Q218</f>
        <v>No. De foros realizados</v>
      </c>
      <c r="R220" s="303">
        <f>'PLAN INDICATIVO'!R218</f>
        <v>2015</v>
      </c>
      <c r="S220" s="304">
        <v>0</v>
      </c>
      <c r="T220" s="699">
        <v>1</v>
      </c>
      <c r="U220" s="303">
        <v>0</v>
      </c>
      <c r="V220" s="687">
        <v>0</v>
      </c>
      <c r="W220" s="303">
        <v>0</v>
      </c>
      <c r="X220" s="687"/>
      <c r="Y220" s="303">
        <v>1</v>
      </c>
      <c r="Z220" s="687">
        <v>500000</v>
      </c>
      <c r="AA220" s="303">
        <v>0</v>
      </c>
      <c r="AB220" s="687"/>
      <c r="AC220" s="669"/>
      <c r="AD220" s="669"/>
      <c r="AE220" s="669"/>
      <c r="AF220" s="669"/>
      <c r="AG220" s="341" t="s">
        <v>3649</v>
      </c>
      <c r="AH220" s="341"/>
      <c r="AI220" s="355"/>
      <c r="AJ220" s="358"/>
      <c r="AK220" s="358"/>
      <c r="AL220" s="358"/>
      <c r="AM220" s="358"/>
      <c r="AN220" s="267" t="s">
        <v>2594</v>
      </c>
      <c r="AO220" s="512"/>
      <c r="AP220" s="525"/>
      <c r="AQ220" s="310"/>
      <c r="AR220" s="310"/>
      <c r="AS220" s="310"/>
      <c r="AT220" s="310"/>
      <c r="AU220" s="310"/>
      <c r="AV220" s="310"/>
      <c r="AW220" s="544">
        <f t="shared" si="95"/>
        <v>0</v>
      </c>
      <c r="AX220" s="525"/>
      <c r="AY220" s="310"/>
      <c r="AZ220" s="310"/>
      <c r="BA220" s="310"/>
      <c r="BB220" s="310"/>
      <c r="BC220" s="310"/>
      <c r="BD220" s="310"/>
      <c r="BE220" s="544">
        <f t="shared" si="109"/>
        <v>0</v>
      </c>
      <c r="BF220" s="525"/>
      <c r="BG220" s="310"/>
      <c r="BH220" s="310"/>
      <c r="BI220" s="310"/>
      <c r="BJ220" s="310"/>
      <c r="BK220" s="310"/>
      <c r="BL220" s="310"/>
      <c r="BM220" s="544">
        <f t="shared" si="110"/>
        <v>0</v>
      </c>
      <c r="BN220" s="525"/>
      <c r="BO220" s="310"/>
      <c r="BP220" s="310"/>
      <c r="BQ220" s="310"/>
      <c r="BR220" s="310"/>
      <c r="BS220" s="310"/>
      <c r="BT220" s="310"/>
      <c r="BU220" s="544">
        <f t="shared" si="111"/>
        <v>0</v>
      </c>
      <c r="BV220" s="556"/>
      <c r="BW220" s="663">
        <f t="shared" si="99"/>
        <v>0</v>
      </c>
      <c r="BX220" s="674">
        <f t="shared" si="100"/>
        <v>0</v>
      </c>
      <c r="BY220" s="674" t="e">
        <f t="shared" si="101"/>
        <v>#DIV/0!</v>
      </c>
      <c r="BZ220" s="674" t="e">
        <f t="shared" si="102"/>
        <v>#DIV/0!</v>
      </c>
      <c r="CA220" s="675">
        <f t="shared" si="103"/>
        <v>0</v>
      </c>
      <c r="CB220" s="675" t="e">
        <f t="shared" si="104"/>
        <v>#DIV/0!</v>
      </c>
    </row>
    <row r="221" spans="1:80" ht="29.25" hidden="1" customHeight="1" x14ac:dyDescent="0.25">
      <c r="A221" s="298" t="s">
        <v>491</v>
      </c>
      <c r="B221" s="299" t="str">
        <f>'PLAN INDICATIVO'!B219</f>
        <v>Atención a grupos vulnerables - promoción social</v>
      </c>
      <c r="C221" s="1547"/>
      <c r="D221" s="1549"/>
      <c r="E221" s="1549"/>
      <c r="F221" s="1549"/>
      <c r="G221" s="1549"/>
      <c r="H221" s="1549"/>
      <c r="I221" s="1"/>
      <c r="J221" s="1"/>
      <c r="K221" s="370"/>
      <c r="L221" s="1"/>
      <c r="M221" s="1"/>
      <c r="N221" s="17"/>
      <c r="O221" s="1"/>
      <c r="P221" s="365" t="s">
        <v>689</v>
      </c>
      <c r="Q221" s="22"/>
      <c r="R221" s="1"/>
      <c r="S221" s="261"/>
      <c r="T221" s="681"/>
      <c r="U221" s="261"/>
      <c r="V221" s="689">
        <f>SUM(V222:V226)</f>
        <v>6000000</v>
      </c>
      <c r="W221" s="261"/>
      <c r="X221" s="689">
        <f>SUM(X222:X226)</f>
        <v>3000000</v>
      </c>
      <c r="Y221" s="261"/>
      <c r="Z221" s="689">
        <f>SUM(Z222:Z226)</f>
        <v>3000000</v>
      </c>
      <c r="AA221" s="261"/>
      <c r="AB221" s="689">
        <f>SUM(AB222:AB226)</f>
        <v>3000000</v>
      </c>
      <c r="AC221" s="261"/>
      <c r="AD221" s="261"/>
      <c r="AE221" s="261"/>
      <c r="AF221" s="261"/>
      <c r="AG221" s="273"/>
      <c r="AH221" s="273"/>
      <c r="AI221" s="273"/>
      <c r="AJ221" s="261"/>
      <c r="AK221" s="261"/>
      <c r="AL221" s="261"/>
      <c r="AM221" s="261"/>
      <c r="AN221" s="261"/>
      <c r="AO221" s="635"/>
      <c r="AP221" s="616" t="e">
        <f>(AP222:AP226)</f>
        <v>#VALUE!</v>
      </c>
      <c r="AQ221" s="616" t="e">
        <f t="shared" ref="AQ221:AV221" si="112">(AQ222:AQ226)</f>
        <v>#VALUE!</v>
      </c>
      <c r="AR221" s="616" t="e">
        <f t="shared" si="112"/>
        <v>#VALUE!</v>
      </c>
      <c r="AS221" s="616" t="e">
        <f t="shared" si="112"/>
        <v>#VALUE!</v>
      </c>
      <c r="AT221" s="616" t="e">
        <f t="shared" si="112"/>
        <v>#VALUE!</v>
      </c>
      <c r="AU221" s="616" t="e">
        <f t="shared" si="112"/>
        <v>#VALUE!</v>
      </c>
      <c r="AV221" s="616" t="e">
        <f t="shared" si="112"/>
        <v>#VALUE!</v>
      </c>
      <c r="AW221" s="617" t="e">
        <f t="shared" si="95"/>
        <v>#VALUE!</v>
      </c>
      <c r="AX221" s="616" t="e">
        <f>(AX222:AX226)</f>
        <v>#VALUE!</v>
      </c>
      <c r="AY221" s="616" t="e">
        <f t="shared" ref="AY221:BD221" si="113">(AY222:AY226)</f>
        <v>#VALUE!</v>
      </c>
      <c r="AZ221" s="616" t="e">
        <f t="shared" si="113"/>
        <v>#VALUE!</v>
      </c>
      <c r="BA221" s="616" t="e">
        <f t="shared" si="113"/>
        <v>#VALUE!</v>
      </c>
      <c r="BB221" s="616" t="e">
        <f t="shared" si="113"/>
        <v>#VALUE!</v>
      </c>
      <c r="BC221" s="616" t="e">
        <f t="shared" si="113"/>
        <v>#VALUE!</v>
      </c>
      <c r="BD221" s="616" t="e">
        <f t="shared" si="113"/>
        <v>#VALUE!</v>
      </c>
      <c r="BE221" s="617" t="e">
        <f t="shared" si="109"/>
        <v>#VALUE!</v>
      </c>
      <c r="BF221" s="616" t="e">
        <f>(BF222:BF226)</f>
        <v>#VALUE!</v>
      </c>
      <c r="BG221" s="616" t="e">
        <f t="shared" ref="BG221:BL221" si="114">(BG222:BG226)</f>
        <v>#VALUE!</v>
      </c>
      <c r="BH221" s="616" t="e">
        <f t="shared" si="114"/>
        <v>#VALUE!</v>
      </c>
      <c r="BI221" s="616" t="e">
        <f t="shared" si="114"/>
        <v>#VALUE!</v>
      </c>
      <c r="BJ221" s="616" t="e">
        <f t="shared" si="114"/>
        <v>#VALUE!</v>
      </c>
      <c r="BK221" s="616" t="e">
        <f t="shared" si="114"/>
        <v>#VALUE!</v>
      </c>
      <c r="BL221" s="616" t="e">
        <f t="shared" si="114"/>
        <v>#VALUE!</v>
      </c>
      <c r="BM221" s="617" t="e">
        <f t="shared" si="110"/>
        <v>#VALUE!</v>
      </c>
      <c r="BN221" s="616" t="e">
        <f>(BN222:BN226)</f>
        <v>#VALUE!</v>
      </c>
      <c r="BO221" s="616" t="e">
        <f t="shared" ref="BO221:BT221" si="115">(BO222:BO226)</f>
        <v>#VALUE!</v>
      </c>
      <c r="BP221" s="616" t="e">
        <f t="shared" si="115"/>
        <v>#VALUE!</v>
      </c>
      <c r="BQ221" s="616" t="e">
        <f t="shared" si="115"/>
        <v>#VALUE!</v>
      </c>
      <c r="BR221" s="616" t="e">
        <f t="shared" si="115"/>
        <v>#VALUE!</v>
      </c>
      <c r="BS221" s="616" t="e">
        <f t="shared" si="115"/>
        <v>#VALUE!</v>
      </c>
      <c r="BT221" s="616" t="e">
        <f t="shared" si="115"/>
        <v>#VALUE!</v>
      </c>
      <c r="BU221" s="617" t="e">
        <f t="shared" si="111"/>
        <v>#VALUE!</v>
      </c>
      <c r="BV221" s="556"/>
      <c r="BW221" s="663">
        <f t="shared" si="99"/>
        <v>0</v>
      </c>
      <c r="BX221" s="674" t="e">
        <f t="shared" si="100"/>
        <v>#DIV/0!</v>
      </c>
      <c r="BY221" s="674" t="e">
        <f t="shared" si="101"/>
        <v>#DIV/0!</v>
      </c>
      <c r="BZ221" s="674" t="e">
        <f t="shared" si="102"/>
        <v>#DIV/0!</v>
      </c>
      <c r="CA221" s="675" t="e">
        <f t="shared" si="103"/>
        <v>#DIV/0!</v>
      </c>
      <c r="CB221" s="675" t="e">
        <f t="shared" si="104"/>
        <v>#DIV/0!</v>
      </c>
    </row>
    <row r="222" spans="1:80" ht="64.5" hidden="1" customHeight="1" x14ac:dyDescent="0.25">
      <c r="A222" s="298" t="s">
        <v>491</v>
      </c>
      <c r="B222" s="299" t="str">
        <f>'PLAN INDICATIVO'!B220</f>
        <v>Atención a grupos vulnerables - promoción social</v>
      </c>
      <c r="C222" s="1547"/>
      <c r="D222" s="1549"/>
      <c r="E222" s="1549"/>
      <c r="F222" s="1549"/>
      <c r="G222" s="1549"/>
      <c r="H222" s="1549"/>
      <c r="I222" s="300">
        <f>'PLAN INDICATIVO'!I220</f>
        <v>0</v>
      </c>
      <c r="J222" s="300">
        <f>'PLAN INDICATIVO'!J220</f>
        <v>0</v>
      </c>
      <c r="K222" s="1428" t="str">
        <f>'PLAN INDICATIVO'!K220</f>
        <v>A.14.5.9</v>
      </c>
      <c r="L222" s="301" t="str">
        <f>'PLAN INDICATIVO'!L220</f>
        <v>10. Reducción de las desigualdades</v>
      </c>
      <c r="M222" s="301" t="str">
        <f>'PLAN INDICATIVO'!M220</f>
        <v>Secretaría de Gobierno</v>
      </c>
      <c r="N222" s="1425" t="s">
        <v>3654</v>
      </c>
      <c r="O222" s="1425" t="str">
        <f>'PLAN INDICATIVO'!O220</f>
        <v>Incremento</v>
      </c>
      <c r="P222" s="16" t="str">
        <f>'PLAN INDICATIVO'!P220</f>
        <v>Realizar 4 capacitaciones durante el cuatrienio para mejorar cultura sobre derechos de población LGTBI</v>
      </c>
      <c r="Q222" s="302" t="str">
        <f>'PLAN INDICATIVO'!Q220</f>
        <v>No. De capacitaciones realizadas</v>
      </c>
      <c r="R222" s="303">
        <f>'PLAN INDICATIVO'!R220</f>
        <v>2015</v>
      </c>
      <c r="S222" s="304">
        <v>0</v>
      </c>
      <c r="T222" s="699">
        <v>4</v>
      </c>
      <c r="U222" s="303">
        <v>1</v>
      </c>
      <c r="V222" s="687">
        <v>600000</v>
      </c>
      <c r="W222" s="303">
        <v>1</v>
      </c>
      <c r="X222" s="687">
        <v>600000</v>
      </c>
      <c r="Y222" s="303">
        <v>1</v>
      </c>
      <c r="Z222" s="687">
        <v>1000000</v>
      </c>
      <c r="AA222" s="303">
        <v>1</v>
      </c>
      <c r="AB222" s="687">
        <v>1000000</v>
      </c>
      <c r="AC222" s="669">
        <v>1</v>
      </c>
      <c r="AD222" s="669">
        <v>1</v>
      </c>
      <c r="AE222" s="669"/>
      <c r="AF222" s="669"/>
      <c r="AG222" s="341" t="s">
        <v>3649</v>
      </c>
      <c r="AH222" s="341"/>
      <c r="AI222" s="355" t="s">
        <v>3655</v>
      </c>
      <c r="AJ222" s="359">
        <v>42767</v>
      </c>
      <c r="AK222" s="359">
        <v>42784</v>
      </c>
      <c r="AL222" s="358"/>
      <c r="AM222" s="358"/>
      <c r="AN222" s="267" t="s">
        <v>2598</v>
      </c>
      <c r="AO222" s="512">
        <v>231416</v>
      </c>
      <c r="AP222" s="310"/>
      <c r="AQ222" s="310">
        <v>1000000</v>
      </c>
      <c r="AR222" s="310"/>
      <c r="AS222" s="310"/>
      <c r="AT222" s="310"/>
      <c r="AU222" s="310"/>
      <c r="AV222" s="310"/>
      <c r="AW222" s="310">
        <f t="shared" si="95"/>
        <v>1000000</v>
      </c>
      <c r="AX222" s="525"/>
      <c r="AY222" s="310"/>
      <c r="AZ222" s="310"/>
      <c r="BA222" s="310"/>
      <c r="BB222" s="310"/>
      <c r="BC222" s="310"/>
      <c r="BD222" s="310"/>
      <c r="BE222" s="544">
        <f t="shared" si="109"/>
        <v>0</v>
      </c>
      <c r="BF222" s="525"/>
      <c r="BG222" s="310"/>
      <c r="BH222" s="310"/>
      <c r="BI222" s="310"/>
      <c r="BJ222" s="310"/>
      <c r="BK222" s="310"/>
      <c r="BL222" s="310"/>
      <c r="BM222" s="544">
        <f t="shared" si="110"/>
        <v>0</v>
      </c>
      <c r="BN222" s="525"/>
      <c r="BO222" s="310"/>
      <c r="BP222" s="310"/>
      <c r="BQ222" s="310"/>
      <c r="BR222" s="310"/>
      <c r="BS222" s="310"/>
      <c r="BT222" s="310"/>
      <c r="BU222" s="544">
        <f t="shared" si="111"/>
        <v>0</v>
      </c>
      <c r="BV222" s="556"/>
      <c r="BW222" s="663">
        <f t="shared" si="99"/>
        <v>2</v>
      </c>
      <c r="BX222" s="674">
        <f t="shared" si="100"/>
        <v>0.5</v>
      </c>
      <c r="BY222" s="674">
        <f t="shared" si="101"/>
        <v>1</v>
      </c>
      <c r="BZ222" s="674">
        <f t="shared" si="102"/>
        <v>1</v>
      </c>
      <c r="CA222" s="675">
        <f t="shared" si="103"/>
        <v>0</v>
      </c>
      <c r="CB222" s="675">
        <f t="shared" si="104"/>
        <v>0</v>
      </c>
    </row>
    <row r="223" spans="1:80" ht="60" hidden="1" customHeight="1" x14ac:dyDescent="0.25">
      <c r="A223" s="298" t="s">
        <v>491</v>
      </c>
      <c r="B223" s="299" t="str">
        <f>'PLAN INDICATIVO'!B221</f>
        <v>Atención a grupos vulnerables - promoción social</v>
      </c>
      <c r="C223" s="1547"/>
      <c r="D223" s="1549"/>
      <c r="E223" s="1549"/>
      <c r="F223" s="1549"/>
      <c r="G223" s="1549"/>
      <c r="H223" s="1549"/>
      <c r="I223" s="300">
        <f>'PLAN INDICATIVO'!I221</f>
        <v>0</v>
      </c>
      <c r="J223" s="300">
        <f>'PLAN INDICATIVO'!J221</f>
        <v>0</v>
      </c>
      <c r="K223" s="1428" t="str">
        <f>'PLAN INDICATIVO'!K221</f>
        <v>A.14.5.10</v>
      </c>
      <c r="L223" s="301" t="str">
        <f>'PLAN INDICATIVO'!L221</f>
        <v>10. Reducción de las desigualdades</v>
      </c>
      <c r="M223" s="301" t="str">
        <f>'PLAN INDICATIVO'!M221</f>
        <v>Secretaría de Gobierno</v>
      </c>
      <c r="N223" s="1425" t="s">
        <v>3654</v>
      </c>
      <c r="O223" s="1425" t="str">
        <f>'PLAN INDICATIVO'!O221</f>
        <v>Incremento</v>
      </c>
      <c r="P223" s="16" t="str">
        <f>'PLAN INDICATIVO'!P221</f>
        <v>Realizar 4 Capacitaciones dirigidas a funcionarios municipales sobre promoción de derechos de población LGTBI durante el cuatrienio</v>
      </c>
      <c r="Q223" s="302" t="str">
        <f>'PLAN INDICATIVO'!Q221</f>
        <v>No. De capacitaciones realizadas</v>
      </c>
      <c r="R223" s="303">
        <f>'PLAN INDICATIVO'!R221</f>
        <v>2015</v>
      </c>
      <c r="S223" s="304">
        <v>0</v>
      </c>
      <c r="T223" s="699">
        <v>4</v>
      </c>
      <c r="U223" s="303">
        <v>1</v>
      </c>
      <c r="V223" s="687">
        <v>1000000</v>
      </c>
      <c r="W223" s="303">
        <v>1</v>
      </c>
      <c r="X223" s="687">
        <v>600000</v>
      </c>
      <c r="Y223" s="303">
        <v>1</v>
      </c>
      <c r="Z223" s="687">
        <v>1000000</v>
      </c>
      <c r="AA223" s="303">
        <v>1</v>
      </c>
      <c r="AB223" s="687">
        <v>1000000</v>
      </c>
      <c r="AC223" s="669">
        <v>1</v>
      </c>
      <c r="AD223" s="669">
        <v>1</v>
      </c>
      <c r="AE223" s="669"/>
      <c r="AF223" s="669"/>
      <c r="AG223" s="341" t="s">
        <v>3649</v>
      </c>
      <c r="AH223" s="341"/>
      <c r="AI223" s="355" t="s">
        <v>3656</v>
      </c>
      <c r="AJ223" s="363" t="s">
        <v>3657</v>
      </c>
      <c r="AK223" s="359">
        <v>42977</v>
      </c>
      <c r="AL223" s="358"/>
      <c r="AM223" s="358"/>
      <c r="AN223" s="267" t="s">
        <v>2598</v>
      </c>
      <c r="AO223" s="512">
        <v>231416</v>
      </c>
      <c r="AP223" s="310"/>
      <c r="AQ223" s="310">
        <v>1000000</v>
      </c>
      <c r="AR223" s="544"/>
      <c r="AS223" s="544"/>
      <c r="AT223" s="544"/>
      <c r="AU223" s="544"/>
      <c r="AV223" s="544"/>
      <c r="AW223" s="544">
        <f t="shared" si="95"/>
        <v>1000000</v>
      </c>
      <c r="AX223" s="525"/>
      <c r="AY223" s="310"/>
      <c r="AZ223" s="310"/>
      <c r="BA223" s="310"/>
      <c r="BB223" s="310"/>
      <c r="BC223" s="310"/>
      <c r="BD223" s="310"/>
      <c r="BE223" s="544">
        <f t="shared" si="109"/>
        <v>0</v>
      </c>
      <c r="BF223" s="525"/>
      <c r="BG223" s="310"/>
      <c r="BH223" s="310"/>
      <c r="BI223" s="310"/>
      <c r="BJ223" s="310"/>
      <c r="BK223" s="310"/>
      <c r="BL223" s="310"/>
      <c r="BM223" s="544">
        <f t="shared" si="110"/>
        <v>0</v>
      </c>
      <c r="BN223" s="525"/>
      <c r="BO223" s="310"/>
      <c r="BP223" s="310"/>
      <c r="BQ223" s="310"/>
      <c r="BR223" s="310"/>
      <c r="BS223" s="310"/>
      <c r="BT223" s="310"/>
      <c r="BU223" s="544">
        <f t="shared" si="111"/>
        <v>0</v>
      </c>
      <c r="BV223" s="556"/>
      <c r="BW223" s="663">
        <f t="shared" si="99"/>
        <v>2</v>
      </c>
      <c r="BX223" s="674">
        <f t="shared" si="100"/>
        <v>0.5</v>
      </c>
      <c r="BY223" s="674">
        <f t="shared" si="101"/>
        <v>1</v>
      </c>
      <c r="BZ223" s="674">
        <f t="shared" si="102"/>
        <v>1</v>
      </c>
      <c r="CA223" s="675">
        <f t="shared" si="103"/>
        <v>0</v>
      </c>
      <c r="CB223" s="675">
        <f t="shared" si="104"/>
        <v>0</v>
      </c>
    </row>
    <row r="224" spans="1:80" ht="60.75" hidden="1" customHeight="1" x14ac:dyDescent="0.25">
      <c r="A224" s="298" t="s">
        <v>491</v>
      </c>
      <c r="B224" s="299" t="str">
        <f>'PLAN INDICATIVO'!B222</f>
        <v>Atención a grupos vulnerables - promoción social</v>
      </c>
      <c r="C224" s="1547"/>
      <c r="D224" s="1549"/>
      <c r="E224" s="1549"/>
      <c r="F224" s="1549"/>
      <c r="G224" s="1549"/>
      <c r="H224" s="1549"/>
      <c r="I224" s="300">
        <f>'PLAN INDICATIVO'!I222</f>
        <v>0</v>
      </c>
      <c r="J224" s="300">
        <f>'PLAN INDICATIVO'!J222</f>
        <v>0</v>
      </c>
      <c r="K224" s="1428" t="str">
        <f>'PLAN INDICATIVO'!K222</f>
        <v>A.14.5.11</v>
      </c>
      <c r="L224" s="301" t="str">
        <f>'PLAN INDICATIVO'!L222</f>
        <v>10. Reducción de las desigualdades</v>
      </c>
      <c r="M224" s="301" t="str">
        <f>'PLAN INDICATIVO'!M222</f>
        <v>Secretaría de Gobierno</v>
      </c>
      <c r="N224" s="1425" t="s">
        <v>3654</v>
      </c>
      <c r="O224" s="1425" t="str">
        <f>'PLAN INDICATIVO'!O222</f>
        <v>Incremento</v>
      </c>
      <c r="P224" s="25" t="str">
        <f>'PLAN INDICATIVO'!P222</f>
        <v>Establecer 1 protocolo de atención a población LGTBI y con divulgación durante el cuatrienio</v>
      </c>
      <c r="Q224" s="302" t="str">
        <f>'PLAN INDICATIVO'!Q222</f>
        <v>No. De Protocolos de atención establecidos</v>
      </c>
      <c r="R224" s="303">
        <f>'PLAN INDICATIVO'!R222</f>
        <v>2015</v>
      </c>
      <c r="S224" s="304">
        <v>0</v>
      </c>
      <c r="T224" s="699">
        <v>1</v>
      </c>
      <c r="U224" s="303">
        <v>1</v>
      </c>
      <c r="V224" s="687">
        <v>1600000</v>
      </c>
      <c r="W224" s="17">
        <v>0</v>
      </c>
      <c r="X224" s="687">
        <v>600000</v>
      </c>
      <c r="Y224" s="17">
        <v>1</v>
      </c>
      <c r="Z224" s="687"/>
      <c r="AA224" s="303">
        <v>0</v>
      </c>
      <c r="AB224" s="687"/>
      <c r="AC224" s="669"/>
      <c r="AD224" s="669"/>
      <c r="AE224" s="669"/>
      <c r="AF224" s="669"/>
      <c r="AG224" s="341" t="s">
        <v>3649</v>
      </c>
      <c r="AH224" s="341"/>
      <c r="AI224" s="355" t="s">
        <v>3658</v>
      </c>
      <c r="AJ224" s="363" t="s">
        <v>3657</v>
      </c>
      <c r="AK224" s="359">
        <v>42977</v>
      </c>
      <c r="AL224" s="358"/>
      <c r="AM224" s="358"/>
      <c r="AN224" s="267" t="s">
        <v>2594</v>
      </c>
      <c r="AO224" s="512"/>
      <c r="AP224" s="544"/>
      <c r="AQ224" s="544"/>
      <c r="AR224" s="544"/>
      <c r="AS224" s="544"/>
      <c r="AT224" s="544"/>
      <c r="AU224" s="544"/>
      <c r="AV224" s="544"/>
      <c r="AW224" s="544">
        <f t="shared" si="95"/>
        <v>0</v>
      </c>
      <c r="AX224" s="525"/>
      <c r="AY224" s="310"/>
      <c r="AZ224" s="310"/>
      <c r="BA224" s="310"/>
      <c r="BB224" s="310"/>
      <c r="BC224" s="310"/>
      <c r="BD224" s="310"/>
      <c r="BE224" s="544">
        <f t="shared" si="109"/>
        <v>0</v>
      </c>
      <c r="BF224" s="525"/>
      <c r="BG224" s="310"/>
      <c r="BH224" s="310"/>
      <c r="BI224" s="310"/>
      <c r="BJ224" s="310"/>
      <c r="BK224" s="310"/>
      <c r="BL224" s="310"/>
      <c r="BM224" s="544">
        <f t="shared" si="110"/>
        <v>0</v>
      </c>
      <c r="BN224" s="525"/>
      <c r="BO224" s="310"/>
      <c r="BP224" s="310"/>
      <c r="BQ224" s="310"/>
      <c r="BR224" s="310"/>
      <c r="BS224" s="310"/>
      <c r="BT224" s="310"/>
      <c r="BU224" s="544">
        <f t="shared" si="111"/>
        <v>0</v>
      </c>
      <c r="BV224" s="556"/>
      <c r="BW224" s="663">
        <f t="shared" si="99"/>
        <v>0</v>
      </c>
      <c r="BX224" s="674">
        <f t="shared" si="100"/>
        <v>0</v>
      </c>
      <c r="BY224" s="674">
        <f t="shared" si="101"/>
        <v>0</v>
      </c>
      <c r="BZ224" s="674" t="e">
        <f t="shared" si="102"/>
        <v>#DIV/0!</v>
      </c>
      <c r="CA224" s="675">
        <f t="shared" si="103"/>
        <v>0</v>
      </c>
      <c r="CB224" s="675" t="e">
        <f t="shared" si="104"/>
        <v>#DIV/0!</v>
      </c>
    </row>
    <row r="225" spans="1:80" ht="60.75" hidden="1" customHeight="1" x14ac:dyDescent="0.25">
      <c r="A225" s="298" t="s">
        <v>491</v>
      </c>
      <c r="B225" s="299" t="str">
        <f>'PLAN INDICATIVO'!B223</f>
        <v>Atención a grupos vulnerables - promoción social</v>
      </c>
      <c r="C225" s="1547"/>
      <c r="D225" s="1549"/>
      <c r="E225" s="1549"/>
      <c r="F225" s="1549"/>
      <c r="G225" s="1549"/>
      <c r="H225" s="1549"/>
      <c r="I225" s="300">
        <f>'PLAN INDICATIVO'!I223</f>
        <v>0</v>
      </c>
      <c r="J225" s="300">
        <f>'PLAN INDICATIVO'!J223</f>
        <v>0</v>
      </c>
      <c r="K225" s="1428" t="str">
        <f>'PLAN INDICATIVO'!K223</f>
        <v>A.14.5.12</v>
      </c>
      <c r="L225" s="301" t="str">
        <f>'PLAN INDICATIVO'!L223</f>
        <v>10. Reducción de las desigualdades</v>
      </c>
      <c r="M225" s="301" t="str">
        <f>'PLAN INDICATIVO'!M223</f>
        <v>Secretaría de Gobierno</v>
      </c>
      <c r="N225" s="1425" t="s">
        <v>3654</v>
      </c>
      <c r="O225" s="1425" t="str">
        <f>'PLAN INDICATIVO'!O223</f>
        <v>Incremento</v>
      </c>
      <c r="P225" s="820" t="str">
        <f>'PLAN INDICATIVO'!P223</f>
        <v>Realizar 1 oferta mediante el programa capital semilla a población LGTBI, para acceso a programas de desarrollo económico durante el cuatrienio</v>
      </c>
      <c r="Q225" s="302" t="str">
        <f>'PLAN INDICATIVO'!Q223</f>
        <v xml:space="preserve">No. de ofertas realizadas </v>
      </c>
      <c r="R225" s="303">
        <f>'PLAN INDICATIVO'!R223</f>
        <v>2015</v>
      </c>
      <c r="S225" s="304">
        <v>0</v>
      </c>
      <c r="T225" s="699">
        <v>1</v>
      </c>
      <c r="U225" s="303">
        <v>1</v>
      </c>
      <c r="V225" s="687">
        <v>2200000</v>
      </c>
      <c r="W225" s="303">
        <v>0</v>
      </c>
      <c r="X225" s="687">
        <v>600000</v>
      </c>
      <c r="Y225" s="303">
        <v>1</v>
      </c>
      <c r="Z225" s="687"/>
      <c r="AA225" s="303">
        <v>0</v>
      </c>
      <c r="AB225" s="687"/>
      <c r="AC225" s="669"/>
      <c r="AD225" s="669">
        <v>0.3</v>
      </c>
      <c r="AE225" s="669"/>
      <c r="AF225" s="669"/>
      <c r="AG225" s="341" t="s">
        <v>3649</v>
      </c>
      <c r="AH225" s="341"/>
      <c r="AI225" s="355"/>
      <c r="AJ225" s="359">
        <v>42948</v>
      </c>
      <c r="AK225" s="359">
        <v>43099</v>
      </c>
      <c r="AL225" s="358"/>
      <c r="AM225" s="358"/>
      <c r="AN225" s="267" t="s">
        <v>2594</v>
      </c>
      <c r="AO225" s="512"/>
      <c r="AP225" s="544"/>
      <c r="AQ225" s="544"/>
      <c r="AR225" s="544"/>
      <c r="AS225" s="544"/>
      <c r="AT225" s="544"/>
      <c r="AU225" s="544"/>
      <c r="AV225" s="544"/>
      <c r="AW225" s="544">
        <f t="shared" si="95"/>
        <v>0</v>
      </c>
      <c r="AX225" s="525"/>
      <c r="AY225" s="310"/>
      <c r="AZ225" s="310"/>
      <c r="BA225" s="310"/>
      <c r="BB225" s="310"/>
      <c r="BC225" s="310"/>
      <c r="BD225" s="310"/>
      <c r="BE225" s="544">
        <f t="shared" si="109"/>
        <v>0</v>
      </c>
      <c r="BF225" s="525"/>
      <c r="BG225" s="310"/>
      <c r="BH225" s="310"/>
      <c r="BI225" s="310"/>
      <c r="BJ225" s="310"/>
      <c r="BK225" s="310"/>
      <c r="BL225" s="310"/>
      <c r="BM225" s="544">
        <f t="shared" si="110"/>
        <v>0</v>
      </c>
      <c r="BN225" s="525"/>
      <c r="BO225" s="310"/>
      <c r="BP225" s="310"/>
      <c r="BQ225" s="310"/>
      <c r="BR225" s="310"/>
      <c r="BS225" s="310"/>
      <c r="BT225" s="310"/>
      <c r="BU225" s="544">
        <f t="shared" si="111"/>
        <v>0</v>
      </c>
      <c r="BV225" s="556"/>
      <c r="BW225" s="663">
        <f t="shared" si="99"/>
        <v>0.3</v>
      </c>
      <c r="BX225" s="674">
        <f t="shared" si="100"/>
        <v>0.3</v>
      </c>
      <c r="BY225" s="674">
        <f t="shared" si="101"/>
        <v>0</v>
      </c>
      <c r="BZ225" s="674" t="e">
        <f t="shared" si="102"/>
        <v>#DIV/0!</v>
      </c>
      <c r="CA225" s="675">
        <f t="shared" si="103"/>
        <v>0</v>
      </c>
      <c r="CB225" s="675" t="e">
        <f t="shared" si="104"/>
        <v>#DIV/0!</v>
      </c>
    </row>
    <row r="226" spans="1:80" ht="81" hidden="1" customHeight="1" x14ac:dyDescent="0.25">
      <c r="A226" s="298" t="s">
        <v>491</v>
      </c>
      <c r="B226" s="299" t="str">
        <f>'PLAN INDICATIVO'!B224</f>
        <v>Atención a grupos vulnerables - promoción social</v>
      </c>
      <c r="C226" s="1547"/>
      <c r="D226" s="1549"/>
      <c r="E226" s="1549"/>
      <c r="F226" s="1549"/>
      <c r="G226" s="1549"/>
      <c r="H226" s="1549"/>
      <c r="I226" s="300">
        <f>'PLAN INDICATIVO'!I224</f>
        <v>0</v>
      </c>
      <c r="J226" s="300">
        <f>'PLAN INDICATIVO'!J224</f>
        <v>0</v>
      </c>
      <c r="K226" s="1428" t="str">
        <f>'PLAN INDICATIVO'!K224</f>
        <v>A.14.5.13</v>
      </c>
      <c r="L226" s="301" t="str">
        <f>'PLAN INDICATIVO'!L224</f>
        <v>10. Reducción de las desigualdades</v>
      </c>
      <c r="M226" s="301" t="str">
        <f>'PLAN INDICATIVO'!M224</f>
        <v>Secretaría de Gobierno</v>
      </c>
      <c r="N226" s="1425" t="s">
        <v>3654</v>
      </c>
      <c r="O226" s="1425" t="str">
        <f>'PLAN INDICATIVO'!O224</f>
        <v>Incremento</v>
      </c>
      <c r="P226" s="820" t="str">
        <f>'PLAN INDICATIVO'!P224</f>
        <v>Realizar 8 socializaciones en Articulación con la secretaria de salud sobre la realidades de la población LGTBI    durante  el cuatrienio</v>
      </c>
      <c r="Q226" s="302" t="str">
        <f>'PLAN INDICATIVO'!Q224</f>
        <v>No.  De socializaciones realizadas</v>
      </c>
      <c r="R226" s="303">
        <f>'PLAN INDICATIVO'!R224</f>
        <v>2015</v>
      </c>
      <c r="S226" s="304">
        <v>0</v>
      </c>
      <c r="T226" s="699">
        <v>8</v>
      </c>
      <c r="U226" s="303">
        <v>2</v>
      </c>
      <c r="V226" s="687">
        <v>600000</v>
      </c>
      <c r="W226" s="815">
        <v>2</v>
      </c>
      <c r="X226" s="687">
        <v>600000</v>
      </c>
      <c r="Y226" s="303">
        <v>2</v>
      </c>
      <c r="Z226" s="687">
        <v>1000000</v>
      </c>
      <c r="AA226" s="303">
        <v>2</v>
      </c>
      <c r="AB226" s="687">
        <v>1000000</v>
      </c>
      <c r="AC226" s="669">
        <v>2</v>
      </c>
      <c r="AD226" s="669">
        <v>2</v>
      </c>
      <c r="AE226" s="669"/>
      <c r="AF226" s="669"/>
      <c r="AG226" s="341" t="s">
        <v>3649</v>
      </c>
      <c r="AH226" s="341"/>
      <c r="AI226" s="355" t="s">
        <v>3659</v>
      </c>
      <c r="AJ226" s="359">
        <v>42767</v>
      </c>
      <c r="AK226" s="359">
        <v>43069</v>
      </c>
      <c r="AL226" s="358"/>
      <c r="AM226" s="358"/>
      <c r="AN226" s="267" t="s">
        <v>2598</v>
      </c>
      <c r="AO226" s="512">
        <v>231416</v>
      </c>
      <c r="AP226" s="544"/>
      <c r="AQ226" s="544">
        <v>5000000</v>
      </c>
      <c r="AR226" s="544"/>
      <c r="AS226" s="544"/>
      <c r="AT226" s="544"/>
      <c r="AU226" s="544"/>
      <c r="AV226" s="544"/>
      <c r="AW226" s="544">
        <f t="shared" si="95"/>
        <v>5000000</v>
      </c>
      <c r="AX226" s="525"/>
      <c r="AY226" s="310"/>
      <c r="AZ226" s="310"/>
      <c r="BA226" s="310"/>
      <c r="BB226" s="310"/>
      <c r="BC226" s="310"/>
      <c r="BD226" s="310"/>
      <c r="BE226" s="544">
        <f t="shared" si="109"/>
        <v>0</v>
      </c>
      <c r="BF226" s="525"/>
      <c r="BG226" s="310"/>
      <c r="BH226" s="310"/>
      <c r="BI226" s="310"/>
      <c r="BJ226" s="310"/>
      <c r="BK226" s="310"/>
      <c r="BL226" s="310"/>
      <c r="BM226" s="544">
        <f t="shared" si="110"/>
        <v>0</v>
      </c>
      <c r="BN226" s="525"/>
      <c r="BO226" s="310"/>
      <c r="BP226" s="310"/>
      <c r="BQ226" s="310"/>
      <c r="BR226" s="310"/>
      <c r="BS226" s="310"/>
      <c r="BT226" s="310"/>
      <c r="BU226" s="544">
        <f t="shared" si="111"/>
        <v>0</v>
      </c>
      <c r="BV226" s="556"/>
      <c r="BW226" s="663">
        <f t="shared" si="99"/>
        <v>4</v>
      </c>
      <c r="BX226" s="674">
        <f t="shared" si="100"/>
        <v>0.5</v>
      </c>
      <c r="BY226" s="674">
        <f t="shared" si="101"/>
        <v>1</v>
      </c>
      <c r="BZ226" s="674">
        <f t="shared" si="102"/>
        <v>1</v>
      </c>
      <c r="CA226" s="675">
        <f t="shared" si="103"/>
        <v>0</v>
      </c>
      <c r="CB226" s="675">
        <f t="shared" si="104"/>
        <v>0</v>
      </c>
    </row>
    <row r="227" spans="1:80" ht="38.25" hidden="1" customHeight="1" x14ac:dyDescent="0.25">
      <c r="A227" s="298" t="s">
        <v>491</v>
      </c>
      <c r="B227" s="299" t="str">
        <f>'PLAN INDICATIVO'!B225</f>
        <v>Atención a grupos vulnerables - promoción social</v>
      </c>
      <c r="C227" s="1547"/>
      <c r="D227" s="1549"/>
      <c r="E227" s="1549"/>
      <c r="F227" s="1549"/>
      <c r="G227" s="1549"/>
      <c r="H227" s="1549"/>
      <c r="I227" s="17"/>
      <c r="J227" s="17"/>
      <c r="K227" s="370"/>
      <c r="L227" s="17"/>
      <c r="M227" s="17"/>
      <c r="N227" s="17"/>
      <c r="O227" s="17"/>
      <c r="P227" s="369" t="s">
        <v>703</v>
      </c>
      <c r="Q227" s="25"/>
      <c r="R227" s="17"/>
      <c r="S227" s="270"/>
      <c r="T227" s="677"/>
      <c r="U227" s="270"/>
      <c r="V227" s="705">
        <f>SUM(V228:V234)</f>
        <v>25</v>
      </c>
      <c r="W227" s="270"/>
      <c r="X227" s="705">
        <f>SUM(X228:X234)</f>
        <v>40000000</v>
      </c>
      <c r="Y227" s="270"/>
      <c r="Z227" s="705">
        <f>SUM(Z228:Z234)</f>
        <v>40000000</v>
      </c>
      <c r="AA227" s="270"/>
      <c r="AB227" s="705">
        <f>SUM(AB228:AB234)</f>
        <v>40000000</v>
      </c>
      <c r="AC227" s="270"/>
      <c r="AD227" s="270"/>
      <c r="AE227" s="270"/>
      <c r="AF227" s="270"/>
      <c r="AG227" s="279"/>
      <c r="AH227" s="279"/>
      <c r="AI227" s="279"/>
      <c r="AJ227" s="270"/>
      <c r="AK227" s="270"/>
      <c r="AL227" s="270"/>
      <c r="AM227" s="270"/>
      <c r="AN227" s="270"/>
      <c r="AO227" s="644"/>
      <c r="AP227" s="616" t="e">
        <f>(AP228:AP234)</f>
        <v>#VALUE!</v>
      </c>
      <c r="AQ227" s="616" t="e">
        <f t="shared" ref="AQ227:AV227" si="116">(AQ228:AQ234)</f>
        <v>#VALUE!</v>
      </c>
      <c r="AR227" s="616" t="e">
        <f t="shared" si="116"/>
        <v>#VALUE!</v>
      </c>
      <c r="AS227" s="616" t="e">
        <f t="shared" si="116"/>
        <v>#VALUE!</v>
      </c>
      <c r="AT227" s="616" t="e">
        <f t="shared" si="116"/>
        <v>#VALUE!</v>
      </c>
      <c r="AU227" s="616" t="e">
        <f t="shared" si="116"/>
        <v>#VALUE!</v>
      </c>
      <c r="AV227" s="616" t="e">
        <f t="shared" si="116"/>
        <v>#VALUE!</v>
      </c>
      <c r="AW227" s="617" t="e">
        <f t="shared" si="95"/>
        <v>#VALUE!</v>
      </c>
      <c r="AX227" s="616" t="e">
        <f>(AX228:AX234)</f>
        <v>#VALUE!</v>
      </c>
      <c r="AY227" s="616" t="e">
        <f t="shared" ref="AY227:BD227" si="117">(AY228:AY234)</f>
        <v>#VALUE!</v>
      </c>
      <c r="AZ227" s="616" t="e">
        <f t="shared" si="117"/>
        <v>#VALUE!</v>
      </c>
      <c r="BA227" s="616" t="e">
        <f t="shared" si="117"/>
        <v>#VALUE!</v>
      </c>
      <c r="BB227" s="616" t="e">
        <f t="shared" si="117"/>
        <v>#VALUE!</v>
      </c>
      <c r="BC227" s="616" t="e">
        <f t="shared" si="117"/>
        <v>#VALUE!</v>
      </c>
      <c r="BD227" s="616" t="e">
        <f t="shared" si="117"/>
        <v>#VALUE!</v>
      </c>
      <c r="BE227" s="617" t="e">
        <f t="shared" si="109"/>
        <v>#VALUE!</v>
      </c>
      <c r="BF227" s="616" t="e">
        <f>(BF228:BF234)</f>
        <v>#VALUE!</v>
      </c>
      <c r="BG227" s="616" t="e">
        <f t="shared" ref="BG227:BL227" si="118">(BG228:BG234)</f>
        <v>#VALUE!</v>
      </c>
      <c r="BH227" s="616" t="e">
        <f t="shared" si="118"/>
        <v>#VALUE!</v>
      </c>
      <c r="BI227" s="616" t="e">
        <f t="shared" si="118"/>
        <v>#VALUE!</v>
      </c>
      <c r="BJ227" s="616" t="e">
        <f t="shared" si="118"/>
        <v>#VALUE!</v>
      </c>
      <c r="BK227" s="616" t="e">
        <f t="shared" si="118"/>
        <v>#VALUE!</v>
      </c>
      <c r="BL227" s="616" t="e">
        <f t="shared" si="118"/>
        <v>#VALUE!</v>
      </c>
      <c r="BM227" s="617" t="e">
        <f t="shared" si="110"/>
        <v>#VALUE!</v>
      </c>
      <c r="BN227" s="616" t="e">
        <f>(BN228:BN234)</f>
        <v>#VALUE!</v>
      </c>
      <c r="BO227" s="616" t="e">
        <f t="shared" ref="BO227:BT227" si="119">(BO228:BO234)</f>
        <v>#VALUE!</v>
      </c>
      <c r="BP227" s="616" t="e">
        <f t="shared" si="119"/>
        <v>#VALUE!</v>
      </c>
      <c r="BQ227" s="616" t="e">
        <f t="shared" si="119"/>
        <v>#VALUE!</v>
      </c>
      <c r="BR227" s="616" t="e">
        <f t="shared" si="119"/>
        <v>#VALUE!</v>
      </c>
      <c r="BS227" s="616" t="e">
        <f t="shared" si="119"/>
        <v>#VALUE!</v>
      </c>
      <c r="BT227" s="616" t="e">
        <f t="shared" si="119"/>
        <v>#VALUE!</v>
      </c>
      <c r="BU227" s="617" t="e">
        <f t="shared" si="111"/>
        <v>#VALUE!</v>
      </c>
      <c r="BV227" s="556"/>
      <c r="BW227" s="663">
        <f t="shared" si="99"/>
        <v>0</v>
      </c>
      <c r="BX227" s="674" t="e">
        <f t="shared" si="100"/>
        <v>#DIV/0!</v>
      </c>
      <c r="BY227" s="674" t="e">
        <f t="shared" si="101"/>
        <v>#DIV/0!</v>
      </c>
      <c r="BZ227" s="674" t="e">
        <f t="shared" si="102"/>
        <v>#DIV/0!</v>
      </c>
      <c r="CA227" s="675" t="e">
        <f t="shared" si="103"/>
        <v>#DIV/0!</v>
      </c>
      <c r="CB227" s="675" t="e">
        <f t="shared" si="104"/>
        <v>#DIV/0!</v>
      </c>
    </row>
    <row r="228" spans="1:80" ht="87" hidden="1" customHeight="1" x14ac:dyDescent="0.25">
      <c r="A228" s="298" t="s">
        <v>491</v>
      </c>
      <c r="B228" s="299" t="str">
        <f>'PLAN INDICATIVO'!B226</f>
        <v>Atención a grupos vulnerables - promoción social</v>
      </c>
      <c r="C228" s="1547"/>
      <c r="D228" s="1549"/>
      <c r="E228" s="1549"/>
      <c r="F228" s="1549"/>
      <c r="G228" s="1549"/>
      <c r="H228" s="1549"/>
      <c r="I228" s="300">
        <f>'PLAN INDICATIVO'!I226</f>
        <v>0</v>
      </c>
      <c r="J228" s="300">
        <f>'PLAN INDICATIVO'!J226</f>
        <v>0</v>
      </c>
      <c r="K228" s="1428" t="str">
        <f>'PLAN INDICATIVO'!K226</f>
        <v>A.14.5.14</v>
      </c>
      <c r="L228" s="301" t="str">
        <f>'PLAN INDICATIVO'!L226</f>
        <v>10. Reducción de las desigualdades</v>
      </c>
      <c r="M228" s="301" t="str">
        <f>'PLAN INDICATIVO'!M226</f>
        <v>Secretaría de Gobierno</v>
      </c>
      <c r="N228" s="1425" t="s">
        <v>3660</v>
      </c>
      <c r="O228" s="1425" t="str">
        <f>'PLAN INDICATIVO'!O226</f>
        <v>Incremento</v>
      </c>
      <c r="P228" s="16" t="str">
        <f>'PLAN INDICATIVO'!P226</f>
        <v xml:space="preserve">Realizar 4 seguimientos y evaluación de la política pública para personas con discapacidad, durante el cuatrienio </v>
      </c>
      <c r="Q228" s="302" t="str">
        <f>'PLAN INDICATIVO'!Q226</f>
        <v xml:space="preserve">No. de seguimientos realizados </v>
      </c>
      <c r="R228" s="303">
        <f>'PLAN INDICATIVO'!R226</f>
        <v>2015</v>
      </c>
      <c r="S228" s="304">
        <v>0</v>
      </c>
      <c r="T228" s="699">
        <v>4</v>
      </c>
      <c r="U228" s="303">
        <v>1</v>
      </c>
      <c r="V228" s="833">
        <v>10</v>
      </c>
      <c r="W228" s="303">
        <v>1</v>
      </c>
      <c r="X228" s="687">
        <v>20000000</v>
      </c>
      <c r="Y228" s="303">
        <v>1</v>
      </c>
      <c r="Z228" s="687">
        <v>20000000</v>
      </c>
      <c r="AA228" s="303">
        <v>1</v>
      </c>
      <c r="AB228" s="687">
        <v>20000000</v>
      </c>
      <c r="AC228" s="669">
        <v>1</v>
      </c>
      <c r="AD228" s="669">
        <v>1</v>
      </c>
      <c r="AE228" s="669"/>
      <c r="AF228" s="669"/>
      <c r="AG228" s="341" t="s">
        <v>3661</v>
      </c>
      <c r="AH228" s="341">
        <v>2017413960033</v>
      </c>
      <c r="AI228" s="355" t="s">
        <v>3662</v>
      </c>
      <c r="AJ228" s="363">
        <v>43040</v>
      </c>
      <c r="AK228" s="363">
        <v>43069</v>
      </c>
      <c r="AL228" s="358"/>
      <c r="AM228" s="358"/>
      <c r="AN228" s="267" t="s">
        <v>2598</v>
      </c>
      <c r="AO228" s="512"/>
      <c r="AP228" s="720"/>
      <c r="AQ228" s="310"/>
      <c r="AR228" s="310"/>
      <c r="AS228" s="310"/>
      <c r="AT228" s="310"/>
      <c r="AU228" s="310"/>
      <c r="AV228" s="310"/>
      <c r="AW228" s="544"/>
      <c r="AX228" s="525"/>
      <c r="AY228" s="310"/>
      <c r="AZ228" s="310"/>
      <c r="BA228" s="310"/>
      <c r="BB228" s="310"/>
      <c r="BC228" s="310"/>
      <c r="BD228" s="310"/>
      <c r="BE228" s="544">
        <f t="shared" si="109"/>
        <v>0</v>
      </c>
      <c r="BF228" s="525"/>
      <c r="BG228" s="310"/>
      <c r="BH228" s="310"/>
      <c r="BI228" s="310"/>
      <c r="BJ228" s="310"/>
      <c r="BK228" s="310"/>
      <c r="BL228" s="310"/>
      <c r="BM228" s="544">
        <f t="shared" si="110"/>
        <v>0</v>
      </c>
      <c r="BN228" s="525"/>
      <c r="BO228" s="310"/>
      <c r="BP228" s="310"/>
      <c r="BQ228" s="310"/>
      <c r="BR228" s="310"/>
      <c r="BS228" s="310"/>
      <c r="BT228" s="310"/>
      <c r="BU228" s="544">
        <f t="shared" si="111"/>
        <v>0</v>
      </c>
      <c r="BV228" s="556"/>
      <c r="BW228" s="663">
        <f t="shared" si="99"/>
        <v>2</v>
      </c>
      <c r="BX228" s="877">
        <f t="shared" si="100"/>
        <v>0.5</v>
      </c>
      <c r="BY228" s="674">
        <f t="shared" si="101"/>
        <v>1</v>
      </c>
      <c r="BZ228" s="674">
        <f t="shared" si="102"/>
        <v>1</v>
      </c>
      <c r="CA228" s="675">
        <f t="shared" si="103"/>
        <v>0</v>
      </c>
      <c r="CB228" s="675">
        <f t="shared" si="104"/>
        <v>0</v>
      </c>
    </row>
    <row r="229" spans="1:80" ht="79.5" hidden="1" customHeight="1" x14ac:dyDescent="0.25">
      <c r="A229" s="298" t="s">
        <v>491</v>
      </c>
      <c r="B229" s="299" t="str">
        <f>'PLAN INDICATIVO'!B227</f>
        <v>Atención a grupos vulnerables - promoción social</v>
      </c>
      <c r="C229" s="1547"/>
      <c r="D229" s="1549"/>
      <c r="E229" s="1549"/>
      <c r="F229" s="1549"/>
      <c r="G229" s="1549"/>
      <c r="H229" s="1549"/>
      <c r="I229" s="300">
        <f>'PLAN INDICATIVO'!I227</f>
        <v>0</v>
      </c>
      <c r="J229" s="300">
        <f>'PLAN INDICATIVO'!J227</f>
        <v>0</v>
      </c>
      <c r="K229" s="1428" t="str">
        <f>'PLAN INDICATIVO'!K227</f>
        <v>A.14.5.15</v>
      </c>
      <c r="L229" s="301" t="str">
        <f>'PLAN INDICATIVO'!L227</f>
        <v>10. Reducción de las desigualdades</v>
      </c>
      <c r="M229" s="301" t="str">
        <f>'PLAN INDICATIVO'!M227</f>
        <v>Secretaría de Gobierno</v>
      </c>
      <c r="N229" s="1425" t="s">
        <v>3660</v>
      </c>
      <c r="O229" s="1425" t="str">
        <f>'PLAN INDICATIVO'!O227</f>
        <v>Incremento</v>
      </c>
      <c r="P229" s="16" t="str">
        <f>'PLAN INDICATIVO'!P227</f>
        <v>Desarrollar 2 campañas durante el cuatrienio dirigido a promoción de la participación de la población con discapacidad en oferta institucional con enfoque diferencial</v>
      </c>
      <c r="Q229" s="302" t="str">
        <f>'PLAN INDICATIVO'!Q227</f>
        <v xml:space="preserve">No. de campañas realizadas </v>
      </c>
      <c r="R229" s="303">
        <f>'PLAN INDICATIVO'!R227</f>
        <v>2015</v>
      </c>
      <c r="S229" s="304">
        <v>0</v>
      </c>
      <c r="T229" s="699">
        <v>2</v>
      </c>
      <c r="U229" s="303">
        <v>0</v>
      </c>
      <c r="V229" s="833">
        <v>5</v>
      </c>
      <c r="W229" s="303">
        <v>1</v>
      </c>
      <c r="X229" s="687"/>
      <c r="Y229" s="303">
        <v>0</v>
      </c>
      <c r="Z229" s="687"/>
      <c r="AA229" s="303">
        <v>1</v>
      </c>
      <c r="AB229" s="687">
        <v>10000000</v>
      </c>
      <c r="AC229" s="669">
        <v>2</v>
      </c>
      <c r="AD229" s="669">
        <v>3</v>
      </c>
      <c r="AE229" s="669"/>
      <c r="AF229" s="669"/>
      <c r="AG229" s="341" t="s">
        <v>3661</v>
      </c>
      <c r="AH229" s="341">
        <v>2017413960033</v>
      </c>
      <c r="AI229" s="361" t="s">
        <v>3663</v>
      </c>
      <c r="AJ229" s="359">
        <v>42767</v>
      </c>
      <c r="AK229" s="359">
        <v>43069</v>
      </c>
      <c r="AL229" s="358"/>
      <c r="AM229" s="358"/>
      <c r="AN229" s="267" t="s">
        <v>2598</v>
      </c>
      <c r="AO229" s="512" t="s">
        <v>3664</v>
      </c>
      <c r="AP229" s="525"/>
      <c r="AQ229" s="310">
        <v>9758000</v>
      </c>
      <c r="AR229" s="310"/>
      <c r="AS229" s="310"/>
      <c r="AT229" s="310"/>
      <c r="AU229" s="310"/>
      <c r="AV229" s="310"/>
      <c r="AW229" s="544">
        <f t="shared" si="95"/>
        <v>9758000</v>
      </c>
      <c r="AX229" s="525"/>
      <c r="AY229" s="310"/>
      <c r="AZ229" s="310"/>
      <c r="BA229" s="310"/>
      <c r="BB229" s="310"/>
      <c r="BC229" s="310"/>
      <c r="BD229" s="310"/>
      <c r="BE229" s="544">
        <f t="shared" si="109"/>
        <v>0</v>
      </c>
      <c r="BF229" s="525"/>
      <c r="BG229" s="310"/>
      <c r="BH229" s="310"/>
      <c r="BI229" s="310"/>
      <c r="BJ229" s="310"/>
      <c r="BK229" s="310"/>
      <c r="BL229" s="310"/>
      <c r="BM229" s="544">
        <f t="shared" si="110"/>
        <v>0</v>
      </c>
      <c r="BN229" s="525"/>
      <c r="BO229" s="310"/>
      <c r="BP229" s="310"/>
      <c r="BQ229" s="310"/>
      <c r="BR229" s="310"/>
      <c r="BS229" s="310"/>
      <c r="BT229" s="310"/>
      <c r="BU229" s="544">
        <f t="shared" si="111"/>
        <v>0</v>
      </c>
      <c r="BV229" s="556"/>
      <c r="BW229" s="663">
        <f t="shared" si="99"/>
        <v>5</v>
      </c>
      <c r="BX229" s="674">
        <f t="shared" si="100"/>
        <v>2.5</v>
      </c>
      <c r="BY229" s="674" t="e">
        <f t="shared" si="101"/>
        <v>#DIV/0!</v>
      </c>
      <c r="BZ229" s="674">
        <f t="shared" si="102"/>
        <v>3</v>
      </c>
      <c r="CA229" s="675" t="e">
        <f t="shared" si="103"/>
        <v>#DIV/0!</v>
      </c>
      <c r="CB229" s="675">
        <f t="shared" si="104"/>
        <v>0</v>
      </c>
    </row>
    <row r="230" spans="1:80" ht="58.5" hidden="1" customHeight="1" x14ac:dyDescent="0.25">
      <c r="A230" s="298" t="s">
        <v>491</v>
      </c>
      <c r="B230" s="299" t="str">
        <f>'PLAN INDICATIVO'!B228</f>
        <v>Atención a grupos vulnerables - promoción social</v>
      </c>
      <c r="C230" s="1547"/>
      <c r="D230" s="1549"/>
      <c r="E230" s="1549"/>
      <c r="F230" s="1549"/>
      <c r="G230" s="1549"/>
      <c r="H230" s="1549"/>
      <c r="I230" s="300">
        <f>'PLAN INDICATIVO'!I228</f>
        <v>0</v>
      </c>
      <c r="J230" s="300">
        <f>'PLAN INDICATIVO'!J228</f>
        <v>0</v>
      </c>
      <c r="K230" s="1428" t="str">
        <f>'PLAN INDICATIVO'!K228</f>
        <v>A.14.5.16</v>
      </c>
      <c r="L230" s="301" t="str">
        <f>'PLAN INDICATIVO'!L228</f>
        <v>10. Reducción de las desigualdades</v>
      </c>
      <c r="M230" s="301" t="str">
        <f>'PLAN INDICATIVO'!M228</f>
        <v>Secretaría de Gobierno</v>
      </c>
      <c r="N230" s="1425" t="s">
        <v>3660</v>
      </c>
      <c r="O230" s="1425" t="str">
        <f>'PLAN INDICATIVO'!O228</f>
        <v>Incremento</v>
      </c>
      <c r="P230" s="941" t="str">
        <f>'PLAN INDICATIVO'!P228</f>
        <v>Realizar 1 proyecto para ayudas técnicas durante el cuatrienio para fortalecer la atención a la población en situación de discapacidad</v>
      </c>
      <c r="Q230" s="302" t="str">
        <f>'PLAN INDICATIVO'!Q228</f>
        <v xml:space="preserve">No. de proyectos realizados </v>
      </c>
      <c r="R230" s="303">
        <f>'PLAN INDICATIVO'!R228</f>
        <v>2015</v>
      </c>
      <c r="S230" s="304">
        <v>0</v>
      </c>
      <c r="T230" s="699">
        <v>1</v>
      </c>
      <c r="U230" s="303">
        <v>0</v>
      </c>
      <c r="V230" s="833">
        <v>0</v>
      </c>
      <c r="W230" s="303">
        <v>0</v>
      </c>
      <c r="X230" s="687"/>
      <c r="Y230" s="303">
        <v>1</v>
      </c>
      <c r="Z230" s="687">
        <v>10000000</v>
      </c>
      <c r="AA230" s="303">
        <v>0</v>
      </c>
      <c r="AB230" s="687"/>
      <c r="AC230" s="669"/>
      <c r="AD230" s="669"/>
      <c r="AE230" s="669"/>
      <c r="AF230" s="669"/>
      <c r="AG230" s="341" t="s">
        <v>3661</v>
      </c>
      <c r="AH230" s="341">
        <v>2017413960033</v>
      </c>
      <c r="AI230" s="355"/>
      <c r="AJ230" s="358"/>
      <c r="AK230" s="358"/>
      <c r="AL230" s="358"/>
      <c r="AM230" s="358"/>
      <c r="AN230" s="267" t="s">
        <v>2594</v>
      </c>
      <c r="AO230" s="512"/>
      <c r="AP230" s="525"/>
      <c r="AQ230" s="310"/>
      <c r="AR230" s="310"/>
      <c r="AS230" s="310"/>
      <c r="AT230" s="310"/>
      <c r="AU230" s="310"/>
      <c r="AV230" s="310"/>
      <c r="AW230" s="544">
        <f t="shared" si="95"/>
        <v>0</v>
      </c>
      <c r="AX230" s="525"/>
      <c r="AY230" s="310"/>
      <c r="AZ230" s="310"/>
      <c r="BA230" s="310"/>
      <c r="BB230" s="310"/>
      <c r="BC230" s="310"/>
      <c r="BD230" s="310"/>
      <c r="BE230" s="544">
        <f t="shared" si="109"/>
        <v>0</v>
      </c>
      <c r="BF230" s="525"/>
      <c r="BG230" s="310"/>
      <c r="BH230" s="310"/>
      <c r="BI230" s="310"/>
      <c r="BJ230" s="310"/>
      <c r="BK230" s="310"/>
      <c r="BL230" s="310"/>
      <c r="BM230" s="544">
        <f t="shared" si="110"/>
        <v>0</v>
      </c>
      <c r="BN230" s="525"/>
      <c r="BO230" s="310"/>
      <c r="BP230" s="310"/>
      <c r="BQ230" s="310"/>
      <c r="BR230" s="310"/>
      <c r="BS230" s="310"/>
      <c r="BT230" s="310"/>
      <c r="BU230" s="544">
        <f t="shared" si="111"/>
        <v>0</v>
      </c>
      <c r="BV230" s="556"/>
      <c r="BW230" s="663">
        <f t="shared" si="99"/>
        <v>0</v>
      </c>
      <c r="BX230" s="674">
        <f t="shared" si="100"/>
        <v>0</v>
      </c>
      <c r="BY230" s="674" t="e">
        <f t="shared" si="101"/>
        <v>#DIV/0!</v>
      </c>
      <c r="BZ230" s="674" t="e">
        <f t="shared" si="102"/>
        <v>#DIV/0!</v>
      </c>
      <c r="CA230" s="675">
        <f t="shared" si="103"/>
        <v>0</v>
      </c>
      <c r="CB230" s="675" t="e">
        <f t="shared" si="104"/>
        <v>#DIV/0!</v>
      </c>
    </row>
    <row r="231" spans="1:80" ht="56.25" hidden="1" customHeight="1" x14ac:dyDescent="0.25">
      <c r="A231" s="298" t="s">
        <v>491</v>
      </c>
      <c r="B231" s="299" t="str">
        <f>'PLAN INDICATIVO'!B229</f>
        <v>Atención a grupos vulnerables - promoción social</v>
      </c>
      <c r="C231" s="1547"/>
      <c r="D231" s="1549"/>
      <c r="E231" s="1549"/>
      <c r="F231" s="1549"/>
      <c r="G231" s="1549"/>
      <c r="H231" s="1549"/>
      <c r="I231" s="300">
        <f>'PLAN INDICATIVO'!I229</f>
        <v>0</v>
      </c>
      <c r="J231" s="300">
        <f>'PLAN INDICATIVO'!J229</f>
        <v>0</v>
      </c>
      <c r="K231" s="1428" t="str">
        <f>'PLAN INDICATIVO'!K229</f>
        <v>A.14.5.17</v>
      </c>
      <c r="L231" s="301" t="str">
        <f>'PLAN INDICATIVO'!L229</f>
        <v>10. Reducción de las desigualdades</v>
      </c>
      <c r="M231" s="301" t="str">
        <f>'PLAN INDICATIVO'!M229</f>
        <v>Secretaría de Gobierno</v>
      </c>
      <c r="N231" s="1425" t="s">
        <v>3660</v>
      </c>
      <c r="O231" s="1425" t="str">
        <f>'PLAN INDICATIVO'!O229</f>
        <v>Incremento</v>
      </c>
      <c r="P231" s="938" t="str">
        <f>'PLAN INDICATIVO'!P229</f>
        <v xml:space="preserve">Realizar 4 celebraciones del día de la discapacidad, 2 de las fiestas tradicionales sampedrinas durante el cuatrienio. </v>
      </c>
      <c r="Q231" s="302" t="str">
        <f>'PLAN INDICATIVO'!Q229</f>
        <v xml:space="preserve">No. de celebraciones realizadas </v>
      </c>
      <c r="R231" s="303">
        <f>'PLAN INDICATIVO'!R229</f>
        <v>2015</v>
      </c>
      <c r="S231" s="304">
        <v>0</v>
      </c>
      <c r="T231" s="699">
        <v>4</v>
      </c>
      <c r="U231" s="303">
        <v>1</v>
      </c>
      <c r="V231" s="833">
        <v>8</v>
      </c>
      <c r="W231" s="303">
        <v>1</v>
      </c>
      <c r="X231" s="687">
        <v>20000000</v>
      </c>
      <c r="Y231" s="303">
        <v>1</v>
      </c>
      <c r="Z231" s="687">
        <v>10000000</v>
      </c>
      <c r="AA231" s="303">
        <v>1</v>
      </c>
      <c r="AB231" s="687">
        <v>5000000</v>
      </c>
      <c r="AC231" s="669">
        <v>0</v>
      </c>
      <c r="AD231" s="669">
        <v>1</v>
      </c>
      <c r="AE231" s="669"/>
      <c r="AF231" s="669"/>
      <c r="AG231" s="341" t="s">
        <v>3661</v>
      </c>
      <c r="AH231" s="341">
        <v>2017413960033</v>
      </c>
      <c r="AI231" s="355" t="s">
        <v>3665</v>
      </c>
      <c r="AJ231" s="363">
        <v>43070</v>
      </c>
      <c r="AK231" s="363">
        <v>43084</v>
      </c>
      <c r="AL231" s="358"/>
      <c r="AM231" s="358"/>
      <c r="AN231" s="267" t="s">
        <v>2598</v>
      </c>
      <c r="AO231" s="512" t="s">
        <v>3666</v>
      </c>
      <c r="AP231" s="525"/>
      <c r="AQ231" s="310">
        <v>1800000</v>
      </c>
      <c r="AR231" s="310"/>
      <c r="AS231" s="310"/>
      <c r="AT231" s="310"/>
      <c r="AU231" s="310"/>
      <c r="AV231" s="310"/>
      <c r="AW231" s="544">
        <v>1800000</v>
      </c>
      <c r="AX231" s="525"/>
      <c r="AY231" s="310"/>
      <c r="AZ231" s="310"/>
      <c r="BA231" s="310"/>
      <c r="BB231" s="310"/>
      <c r="BC231" s="310"/>
      <c r="BD231" s="310"/>
      <c r="BE231" s="544">
        <f t="shared" si="109"/>
        <v>0</v>
      </c>
      <c r="BF231" s="525"/>
      <c r="BG231" s="310"/>
      <c r="BH231" s="310"/>
      <c r="BI231" s="310"/>
      <c r="BJ231" s="310"/>
      <c r="BK231" s="310"/>
      <c r="BL231" s="310"/>
      <c r="BM231" s="544">
        <f t="shared" si="110"/>
        <v>0</v>
      </c>
      <c r="BN231" s="525"/>
      <c r="BO231" s="310"/>
      <c r="BP231" s="310"/>
      <c r="BQ231" s="310"/>
      <c r="BR231" s="310"/>
      <c r="BS231" s="310"/>
      <c r="BT231" s="310"/>
      <c r="BU231" s="544">
        <f t="shared" si="111"/>
        <v>0</v>
      </c>
      <c r="BV231" s="556"/>
      <c r="BW231" s="663">
        <f t="shared" si="99"/>
        <v>1</v>
      </c>
      <c r="BX231" s="674">
        <f t="shared" si="100"/>
        <v>0.25</v>
      </c>
      <c r="BY231" s="674">
        <f t="shared" si="101"/>
        <v>0</v>
      </c>
      <c r="BZ231" s="674">
        <f t="shared" si="102"/>
        <v>1</v>
      </c>
      <c r="CA231" s="675">
        <f t="shared" si="103"/>
        <v>0</v>
      </c>
      <c r="CB231" s="675">
        <f t="shared" si="104"/>
        <v>0</v>
      </c>
    </row>
    <row r="232" spans="1:80" ht="68.25" hidden="1" customHeight="1" x14ac:dyDescent="0.25">
      <c r="A232" s="298" t="s">
        <v>491</v>
      </c>
      <c r="B232" s="299" t="str">
        <f>'PLAN INDICATIVO'!B230</f>
        <v>Atención a grupos vulnerables - promoción social</v>
      </c>
      <c r="C232" s="1547"/>
      <c r="D232" s="1549"/>
      <c r="E232" s="1549"/>
      <c r="F232" s="1549"/>
      <c r="G232" s="1549"/>
      <c r="H232" s="1549"/>
      <c r="I232" s="300">
        <f>'PLAN INDICATIVO'!I230</f>
        <v>0</v>
      </c>
      <c r="J232" s="300">
        <f>'PLAN INDICATIVO'!J230</f>
        <v>0</v>
      </c>
      <c r="K232" s="1428" t="str">
        <f>'PLAN INDICATIVO'!K230</f>
        <v>A.14.5.18</v>
      </c>
      <c r="L232" s="301" t="str">
        <f>'PLAN INDICATIVO'!L230</f>
        <v>10. Reducción de las desigualdades</v>
      </c>
      <c r="M232" s="301" t="str">
        <f>'PLAN INDICATIVO'!M230</f>
        <v>Secretaría de Gobierno</v>
      </c>
      <c r="N232" s="1425" t="s">
        <v>3660</v>
      </c>
      <c r="O232" s="1425" t="str">
        <f>'PLAN INDICATIVO'!O230</f>
        <v>Incremento</v>
      </c>
      <c r="P232" s="71" t="str">
        <f>'PLAN INDICATIVO'!P230</f>
        <v xml:space="preserve">Realizar 1 estudio para la reubicación de la unidad de atención integral UAI, durante el cuatrienio. </v>
      </c>
      <c r="Q232" s="302" t="str">
        <f>'PLAN INDICATIVO'!Q230</f>
        <v xml:space="preserve">No. de estudios realizados </v>
      </c>
      <c r="R232" s="303">
        <f>'PLAN INDICATIVO'!R230</f>
        <v>2015</v>
      </c>
      <c r="S232" s="304">
        <v>0</v>
      </c>
      <c r="T232" s="699">
        <v>1</v>
      </c>
      <c r="U232" s="303">
        <v>0</v>
      </c>
      <c r="V232" s="833">
        <v>0</v>
      </c>
      <c r="W232" s="303">
        <v>0</v>
      </c>
      <c r="X232" s="687"/>
      <c r="Y232" s="303">
        <v>1</v>
      </c>
      <c r="Z232" s="687"/>
      <c r="AA232" s="303">
        <v>0</v>
      </c>
      <c r="AB232" s="687"/>
      <c r="AC232" s="669"/>
      <c r="AD232" s="669"/>
      <c r="AE232" s="669"/>
      <c r="AF232" s="669"/>
      <c r="AG232" s="341" t="s">
        <v>3661</v>
      </c>
      <c r="AH232" s="341">
        <v>2017413960033</v>
      </c>
      <c r="AI232" s="355"/>
      <c r="AJ232" s="358"/>
      <c r="AK232" s="358"/>
      <c r="AL232" s="358"/>
      <c r="AM232" s="358"/>
      <c r="AN232" s="267" t="s">
        <v>2594</v>
      </c>
      <c r="AO232" s="512"/>
      <c r="AP232" s="525"/>
      <c r="AQ232" s="310"/>
      <c r="AR232" s="310"/>
      <c r="AS232" s="310"/>
      <c r="AT232" s="310"/>
      <c r="AU232" s="310"/>
      <c r="AV232" s="310"/>
      <c r="AW232" s="544">
        <f t="shared" si="95"/>
        <v>0</v>
      </c>
      <c r="AX232" s="525"/>
      <c r="AY232" s="310"/>
      <c r="AZ232" s="310"/>
      <c r="BA232" s="310"/>
      <c r="BB232" s="310"/>
      <c r="BC232" s="310"/>
      <c r="BD232" s="310"/>
      <c r="BE232" s="544">
        <f t="shared" si="109"/>
        <v>0</v>
      </c>
      <c r="BF232" s="525"/>
      <c r="BG232" s="310"/>
      <c r="BH232" s="310"/>
      <c r="BI232" s="310"/>
      <c r="BJ232" s="310"/>
      <c r="BK232" s="310"/>
      <c r="BL232" s="310"/>
      <c r="BM232" s="544">
        <f t="shared" si="110"/>
        <v>0</v>
      </c>
      <c r="BN232" s="525"/>
      <c r="BO232" s="310"/>
      <c r="BP232" s="310"/>
      <c r="BQ232" s="310"/>
      <c r="BR232" s="310"/>
      <c r="BS232" s="310"/>
      <c r="BT232" s="310"/>
      <c r="BU232" s="544">
        <f t="shared" si="111"/>
        <v>0</v>
      </c>
      <c r="BV232" s="556"/>
      <c r="BW232" s="663">
        <f t="shared" si="99"/>
        <v>0</v>
      </c>
      <c r="BX232" s="674">
        <f t="shared" si="100"/>
        <v>0</v>
      </c>
      <c r="BY232" s="674" t="e">
        <f t="shared" si="101"/>
        <v>#DIV/0!</v>
      </c>
      <c r="BZ232" s="674" t="e">
        <f t="shared" si="102"/>
        <v>#DIV/0!</v>
      </c>
      <c r="CA232" s="675">
        <f t="shared" si="103"/>
        <v>0</v>
      </c>
      <c r="CB232" s="675" t="e">
        <f t="shared" si="104"/>
        <v>#DIV/0!</v>
      </c>
    </row>
    <row r="233" spans="1:80" ht="69.75" hidden="1" customHeight="1" x14ac:dyDescent="0.25">
      <c r="A233" s="298" t="s">
        <v>491</v>
      </c>
      <c r="B233" s="299" t="str">
        <f>'PLAN INDICATIVO'!B231</f>
        <v>Atención a grupos vulnerables - promoción social</v>
      </c>
      <c r="C233" s="1547"/>
      <c r="D233" s="1549"/>
      <c r="E233" s="1549"/>
      <c r="F233" s="1549"/>
      <c r="G233" s="1549"/>
      <c r="H233" s="1549"/>
      <c r="I233" s="300">
        <f>'PLAN INDICATIVO'!I231</f>
        <v>0</v>
      </c>
      <c r="J233" s="300">
        <f>'PLAN INDICATIVO'!J231</f>
        <v>0</v>
      </c>
      <c r="K233" s="1428" t="str">
        <f>'PLAN INDICATIVO'!K231</f>
        <v>A.14.5.19</v>
      </c>
      <c r="L233" s="301" t="str">
        <f>'PLAN INDICATIVO'!L231</f>
        <v>10. Reducción de las desigualdades</v>
      </c>
      <c r="M233" s="301" t="str">
        <f>'PLAN INDICATIVO'!M231</f>
        <v>Secretaría de Gobierno</v>
      </c>
      <c r="N233" s="1425" t="s">
        <v>3660</v>
      </c>
      <c r="O233" s="1425" t="str">
        <f>'PLAN INDICATIVO'!O231</f>
        <v>Incremento</v>
      </c>
      <c r="P233" s="71" t="str">
        <f>'PLAN INDICATIVO'!P231</f>
        <v>Realizar 1 caracterización de la población con discapacidad, durante el cuatrienio.</v>
      </c>
      <c r="Q233" s="302" t="str">
        <f>'PLAN INDICATIVO'!Q231</f>
        <v xml:space="preserve">No. de caracterizaciones realizadas </v>
      </c>
      <c r="R233" s="303">
        <f>'PLAN INDICATIVO'!R231</f>
        <v>2015</v>
      </c>
      <c r="S233" s="304">
        <v>0</v>
      </c>
      <c r="T233" s="699">
        <v>1</v>
      </c>
      <c r="U233" s="303">
        <v>0</v>
      </c>
      <c r="V233" s="833">
        <v>1</v>
      </c>
      <c r="W233" s="303">
        <v>1</v>
      </c>
      <c r="X233" s="687"/>
      <c r="Y233" s="303">
        <v>0</v>
      </c>
      <c r="Z233" s="687"/>
      <c r="AA233" s="303">
        <v>0</v>
      </c>
      <c r="AB233" s="687"/>
      <c r="AC233" s="669"/>
      <c r="AD233" s="669">
        <v>1</v>
      </c>
      <c r="AE233" s="669"/>
      <c r="AF233" s="669"/>
      <c r="AG233" s="341" t="s">
        <v>3661</v>
      </c>
      <c r="AH233" s="341">
        <v>2017413960033</v>
      </c>
      <c r="AI233" s="355" t="s">
        <v>3667</v>
      </c>
      <c r="AJ233" s="359">
        <v>42795</v>
      </c>
      <c r="AK233" s="359">
        <v>42916</v>
      </c>
      <c r="AL233" s="358"/>
      <c r="AM233" s="358"/>
      <c r="AN233" s="834" t="s">
        <v>2598</v>
      </c>
      <c r="AO233" s="512"/>
      <c r="AP233" s="525"/>
      <c r="AQ233" s="310"/>
      <c r="AR233" s="310"/>
      <c r="AS233" s="310"/>
      <c r="AT233" s="310"/>
      <c r="AU233" s="310"/>
      <c r="AV233" s="310"/>
      <c r="AW233" s="544">
        <f t="shared" si="95"/>
        <v>0</v>
      </c>
      <c r="AX233" s="525"/>
      <c r="AY233" s="310"/>
      <c r="AZ233" s="310"/>
      <c r="BA233" s="310"/>
      <c r="BB233" s="310"/>
      <c r="BC233" s="310"/>
      <c r="BD233" s="310"/>
      <c r="BE233" s="544">
        <f t="shared" si="109"/>
        <v>0</v>
      </c>
      <c r="BF233" s="525"/>
      <c r="BG233" s="310"/>
      <c r="BH233" s="310"/>
      <c r="BI233" s="310"/>
      <c r="BJ233" s="310"/>
      <c r="BK233" s="310"/>
      <c r="BL233" s="310"/>
      <c r="BM233" s="544">
        <f t="shared" si="110"/>
        <v>0</v>
      </c>
      <c r="BN233" s="525"/>
      <c r="BO233" s="310"/>
      <c r="BP233" s="310"/>
      <c r="BQ233" s="310"/>
      <c r="BR233" s="310"/>
      <c r="BS233" s="310"/>
      <c r="BT233" s="310"/>
      <c r="BU233" s="544">
        <f t="shared" si="111"/>
        <v>0</v>
      </c>
      <c r="BV233" s="556"/>
      <c r="BW233" s="663">
        <f t="shared" si="99"/>
        <v>1</v>
      </c>
      <c r="BX233" s="674">
        <f t="shared" si="100"/>
        <v>1</v>
      </c>
      <c r="BY233" s="674" t="e">
        <f t="shared" si="101"/>
        <v>#DIV/0!</v>
      </c>
      <c r="BZ233" s="674">
        <f t="shared" si="102"/>
        <v>1</v>
      </c>
      <c r="CA233" s="675" t="e">
        <f t="shared" si="103"/>
        <v>#DIV/0!</v>
      </c>
      <c r="CB233" s="675" t="e">
        <f t="shared" si="104"/>
        <v>#DIV/0!</v>
      </c>
    </row>
    <row r="234" spans="1:80" ht="113.25" hidden="1" customHeight="1" x14ac:dyDescent="0.25">
      <c r="A234" s="298" t="s">
        <v>491</v>
      </c>
      <c r="B234" s="299" t="str">
        <f>'PLAN INDICATIVO'!B232</f>
        <v>Atención a grupos vulnerables - promoción social</v>
      </c>
      <c r="C234" s="1547"/>
      <c r="D234" s="1549"/>
      <c r="E234" s="1549"/>
      <c r="F234" s="1549"/>
      <c r="G234" s="1549"/>
      <c r="H234" s="1549"/>
      <c r="I234" s="300">
        <f>'PLAN INDICATIVO'!I232</f>
        <v>0</v>
      </c>
      <c r="J234" s="300">
        <f>'PLAN INDICATIVO'!J232</f>
        <v>0</v>
      </c>
      <c r="K234" s="1428" t="str">
        <f>'PLAN INDICATIVO'!K232</f>
        <v>A.14.5.20</v>
      </c>
      <c r="L234" s="301" t="str">
        <f>'PLAN INDICATIVO'!L232</f>
        <v>10. Reducción de las desigualdades</v>
      </c>
      <c r="M234" s="301" t="str">
        <f>'PLAN INDICATIVO'!M232</f>
        <v>Secretaría de Gobierno</v>
      </c>
      <c r="N234" s="1425" t="s">
        <v>3660</v>
      </c>
      <c r="O234" s="1425" t="str">
        <f>'PLAN INDICATIVO'!O232</f>
        <v>Incremento</v>
      </c>
      <c r="P234" s="16" t="str">
        <f>'PLAN INDICATIVO'!P232</f>
        <v>Realizar 2 ofertas institucionales  a población con discapacidad, para acceso a programas de desarrollo económico durante el cuatrienio</v>
      </c>
      <c r="Q234" s="302" t="str">
        <f>'PLAN INDICATIVO'!Q232</f>
        <v xml:space="preserve">No. de ofertas realizadas </v>
      </c>
      <c r="R234" s="303">
        <f>'PLAN INDICATIVO'!R232</f>
        <v>2015</v>
      </c>
      <c r="S234" s="304">
        <v>0</v>
      </c>
      <c r="T234" s="699">
        <v>2</v>
      </c>
      <c r="U234" s="303">
        <v>0</v>
      </c>
      <c r="V234" s="833">
        <v>1</v>
      </c>
      <c r="W234" s="303">
        <v>1</v>
      </c>
      <c r="X234" s="687"/>
      <c r="Y234" s="303">
        <v>0</v>
      </c>
      <c r="Z234" s="687"/>
      <c r="AA234" s="303">
        <v>1</v>
      </c>
      <c r="AB234" s="687">
        <v>5000000</v>
      </c>
      <c r="AC234" s="669"/>
      <c r="AD234" s="669">
        <v>0.5</v>
      </c>
      <c r="AE234" s="669"/>
      <c r="AF234" s="669"/>
      <c r="AG234" s="341" t="s">
        <v>3661</v>
      </c>
      <c r="AH234" s="341">
        <v>2017413960033</v>
      </c>
      <c r="AI234" s="355" t="s">
        <v>3668</v>
      </c>
      <c r="AJ234" s="359">
        <v>42768</v>
      </c>
      <c r="AK234" s="359">
        <v>43069</v>
      </c>
      <c r="AL234" s="358"/>
      <c r="AM234" s="358"/>
      <c r="AN234" s="267" t="s">
        <v>2604</v>
      </c>
      <c r="AO234" s="512" t="s">
        <v>3669</v>
      </c>
      <c r="AP234" s="525">
        <v>2301500</v>
      </c>
      <c r="AQ234" s="310">
        <v>3974000</v>
      </c>
      <c r="AR234" s="310"/>
      <c r="AS234" s="310"/>
      <c r="AT234" s="310"/>
      <c r="AU234" s="310"/>
      <c r="AV234" s="310"/>
      <c r="AW234" s="544">
        <f t="shared" si="95"/>
        <v>6275500</v>
      </c>
      <c r="AX234" s="525"/>
      <c r="AY234" s="310"/>
      <c r="AZ234" s="310"/>
      <c r="BA234" s="310"/>
      <c r="BB234" s="310"/>
      <c r="BC234" s="310"/>
      <c r="BD234" s="310"/>
      <c r="BE234" s="544">
        <f t="shared" si="109"/>
        <v>0</v>
      </c>
      <c r="BF234" s="525"/>
      <c r="BG234" s="310"/>
      <c r="BH234" s="310"/>
      <c r="BI234" s="310"/>
      <c r="BJ234" s="310"/>
      <c r="BK234" s="310"/>
      <c r="BL234" s="310"/>
      <c r="BM234" s="544">
        <f t="shared" si="110"/>
        <v>0</v>
      </c>
      <c r="BN234" s="525"/>
      <c r="BO234" s="310"/>
      <c r="BP234" s="310"/>
      <c r="BQ234" s="310"/>
      <c r="BR234" s="310"/>
      <c r="BS234" s="310"/>
      <c r="BT234" s="310"/>
      <c r="BU234" s="544">
        <f t="shared" si="111"/>
        <v>0</v>
      </c>
      <c r="BV234" s="556"/>
      <c r="BW234" s="663">
        <f t="shared" si="99"/>
        <v>0.5</v>
      </c>
      <c r="BX234" s="877">
        <f t="shared" si="100"/>
        <v>0.25</v>
      </c>
      <c r="BY234" s="674" t="e">
        <f t="shared" si="101"/>
        <v>#DIV/0!</v>
      </c>
      <c r="BZ234" s="674">
        <f t="shared" si="102"/>
        <v>0.5</v>
      </c>
      <c r="CA234" s="675" t="e">
        <f t="shared" si="103"/>
        <v>#DIV/0!</v>
      </c>
      <c r="CB234" s="675">
        <f t="shared" si="104"/>
        <v>0</v>
      </c>
    </row>
    <row r="235" spans="1:80" ht="19.5" hidden="1" customHeight="1" x14ac:dyDescent="0.25">
      <c r="A235" s="298" t="s">
        <v>491</v>
      </c>
      <c r="B235" s="299" t="str">
        <f>'PLAN INDICATIVO'!B233</f>
        <v>Atención a grupos vulnerables - promoción social</v>
      </c>
      <c r="C235" s="1547"/>
      <c r="D235" s="1549"/>
      <c r="E235" s="1549"/>
      <c r="F235" s="1549"/>
      <c r="G235" s="1549"/>
      <c r="H235" s="1549"/>
      <c r="I235" s="17"/>
      <c r="J235" s="17"/>
      <c r="K235" s="370"/>
      <c r="L235" s="17"/>
      <c r="M235" s="17"/>
      <c r="N235" s="17"/>
      <c r="O235" s="17"/>
      <c r="P235" s="62" t="s">
        <v>723</v>
      </c>
      <c r="Q235" s="25"/>
      <c r="R235" s="17"/>
      <c r="S235" s="270"/>
      <c r="T235" s="677"/>
      <c r="U235" s="270"/>
      <c r="V235" s="705">
        <f>SUM(V236:V241)</f>
        <v>66500000</v>
      </c>
      <c r="W235" s="270"/>
      <c r="X235" s="705">
        <f>SUM(X236:X241)</f>
        <v>52000000</v>
      </c>
      <c r="Y235" s="270"/>
      <c r="Z235" s="705">
        <f>SUM(Z236:Z241)</f>
        <v>52000000</v>
      </c>
      <c r="AA235" s="270"/>
      <c r="AB235" s="705">
        <f>SUM(AB236:AB241)</f>
        <v>52000000</v>
      </c>
      <c r="AC235" s="270"/>
      <c r="AD235" s="270"/>
      <c r="AE235" s="270"/>
      <c r="AF235" s="270"/>
      <c r="AG235" s="279"/>
      <c r="AH235" s="279"/>
      <c r="AI235" s="279"/>
      <c r="AJ235" s="270"/>
      <c r="AK235" s="270"/>
      <c r="AL235" s="270"/>
      <c r="AM235" s="270"/>
      <c r="AN235" s="270"/>
      <c r="AO235" s="644"/>
      <c r="AP235" s="619" t="e">
        <f>(AP236:AP241)</f>
        <v>#VALUE!</v>
      </c>
      <c r="AQ235" s="619" t="e">
        <f t="shared" ref="AQ235:AV235" si="120">(AQ236:AQ241)</f>
        <v>#VALUE!</v>
      </c>
      <c r="AR235" s="619" t="e">
        <f t="shared" si="120"/>
        <v>#VALUE!</v>
      </c>
      <c r="AS235" s="619" t="e">
        <f t="shared" si="120"/>
        <v>#VALUE!</v>
      </c>
      <c r="AT235" s="619" t="e">
        <f t="shared" si="120"/>
        <v>#VALUE!</v>
      </c>
      <c r="AU235" s="619" t="e">
        <f t="shared" si="120"/>
        <v>#VALUE!</v>
      </c>
      <c r="AV235" s="619" t="e">
        <f t="shared" si="120"/>
        <v>#VALUE!</v>
      </c>
      <c r="AW235" s="617" t="e">
        <f t="shared" si="95"/>
        <v>#VALUE!</v>
      </c>
      <c r="AX235" s="619" t="e">
        <f>(AX236:AX241)</f>
        <v>#VALUE!</v>
      </c>
      <c r="AY235" s="619" t="e">
        <f t="shared" ref="AY235:BD235" si="121">(AY236:AY241)</f>
        <v>#VALUE!</v>
      </c>
      <c r="AZ235" s="619" t="e">
        <f t="shared" si="121"/>
        <v>#VALUE!</v>
      </c>
      <c r="BA235" s="619" t="e">
        <f t="shared" si="121"/>
        <v>#VALUE!</v>
      </c>
      <c r="BB235" s="619" t="e">
        <f t="shared" si="121"/>
        <v>#VALUE!</v>
      </c>
      <c r="BC235" s="619" t="e">
        <f t="shared" si="121"/>
        <v>#VALUE!</v>
      </c>
      <c r="BD235" s="619" t="e">
        <f t="shared" si="121"/>
        <v>#VALUE!</v>
      </c>
      <c r="BE235" s="617" t="e">
        <f t="shared" si="109"/>
        <v>#VALUE!</v>
      </c>
      <c r="BF235" s="619" t="e">
        <f>(BF236:BF241)</f>
        <v>#VALUE!</v>
      </c>
      <c r="BG235" s="619" t="e">
        <f t="shared" ref="BG235:BL235" si="122">(BG236:BG241)</f>
        <v>#VALUE!</v>
      </c>
      <c r="BH235" s="619" t="e">
        <f t="shared" si="122"/>
        <v>#VALUE!</v>
      </c>
      <c r="BI235" s="619" t="e">
        <f t="shared" si="122"/>
        <v>#VALUE!</v>
      </c>
      <c r="BJ235" s="619" t="e">
        <f t="shared" si="122"/>
        <v>#VALUE!</v>
      </c>
      <c r="BK235" s="619" t="e">
        <f t="shared" si="122"/>
        <v>#VALUE!</v>
      </c>
      <c r="BL235" s="619" t="e">
        <f t="shared" si="122"/>
        <v>#VALUE!</v>
      </c>
      <c r="BM235" s="617" t="e">
        <f t="shared" si="110"/>
        <v>#VALUE!</v>
      </c>
      <c r="BN235" s="619" t="e">
        <f>(BN236:BN241)</f>
        <v>#VALUE!</v>
      </c>
      <c r="BO235" s="619" t="e">
        <f t="shared" ref="BO235:BT235" si="123">(BO236:BO241)</f>
        <v>#VALUE!</v>
      </c>
      <c r="BP235" s="619" t="e">
        <f t="shared" si="123"/>
        <v>#VALUE!</v>
      </c>
      <c r="BQ235" s="619" t="e">
        <f t="shared" si="123"/>
        <v>#VALUE!</v>
      </c>
      <c r="BR235" s="619" t="e">
        <f t="shared" si="123"/>
        <v>#VALUE!</v>
      </c>
      <c r="BS235" s="619" t="e">
        <f t="shared" si="123"/>
        <v>#VALUE!</v>
      </c>
      <c r="BT235" s="619" t="e">
        <f t="shared" si="123"/>
        <v>#VALUE!</v>
      </c>
      <c r="BU235" s="617" t="e">
        <f t="shared" si="111"/>
        <v>#VALUE!</v>
      </c>
      <c r="BV235" s="556"/>
      <c r="BW235" s="663">
        <f t="shared" si="99"/>
        <v>0</v>
      </c>
      <c r="BX235" s="674" t="e">
        <f t="shared" si="100"/>
        <v>#DIV/0!</v>
      </c>
      <c r="BY235" s="674" t="e">
        <f t="shared" si="101"/>
        <v>#DIV/0!</v>
      </c>
      <c r="BZ235" s="674" t="e">
        <f t="shared" si="102"/>
        <v>#DIV/0!</v>
      </c>
      <c r="CA235" s="675" t="e">
        <f t="shared" si="103"/>
        <v>#DIV/0!</v>
      </c>
      <c r="CB235" s="675" t="e">
        <f t="shared" si="104"/>
        <v>#DIV/0!</v>
      </c>
    </row>
    <row r="236" spans="1:80" ht="60.75" hidden="1" customHeight="1" x14ac:dyDescent="0.25">
      <c r="A236" s="298" t="s">
        <v>491</v>
      </c>
      <c r="B236" s="299" t="str">
        <f>'PLAN INDICATIVO'!B234</f>
        <v>Atención a grupos vulnerables - promoción social</v>
      </c>
      <c r="C236" s="1547"/>
      <c r="D236" s="1549"/>
      <c r="E236" s="1549"/>
      <c r="F236" s="1549"/>
      <c r="G236" s="1549"/>
      <c r="H236" s="1549"/>
      <c r="I236" s="300">
        <f>'PLAN INDICATIVO'!I234</f>
        <v>0</v>
      </c>
      <c r="J236" s="300">
        <f>'PLAN INDICATIVO'!J234</f>
        <v>0</v>
      </c>
      <c r="K236" s="1428" t="str">
        <f>'PLAN INDICATIVO'!K234</f>
        <v>A.14.5.21</v>
      </c>
      <c r="L236" s="301" t="str">
        <f>'PLAN INDICATIVO'!L234</f>
        <v>10. Reducción de las desigualdades</v>
      </c>
      <c r="M236" s="301" t="str">
        <f>'PLAN INDICATIVO'!M234</f>
        <v>Secretaría de Gobierno</v>
      </c>
      <c r="N236" s="1425" t="s">
        <v>3670</v>
      </c>
      <c r="O236" s="1425" t="str">
        <f>'PLAN INDICATIVO'!O234</f>
        <v>Incremento</v>
      </c>
      <c r="P236" s="16" t="str">
        <f>'PLAN INDICATIVO'!P234</f>
        <v>Realizar 8 capacitaciones en el cuatrienio para la promoción de derechos de los afro descendiente</v>
      </c>
      <c r="Q236" s="302" t="str">
        <f>'PLAN INDICATIVO'!Q234</f>
        <v>No. De Capacitaciones realizadas</v>
      </c>
      <c r="R236" s="303">
        <f>'PLAN INDICATIVO'!R234</f>
        <v>2015</v>
      </c>
      <c r="S236" s="304">
        <v>0</v>
      </c>
      <c r="T236" s="699">
        <v>8</v>
      </c>
      <c r="U236" s="303">
        <v>2</v>
      </c>
      <c r="V236" s="687">
        <v>8000000</v>
      </c>
      <c r="W236" s="303">
        <v>2</v>
      </c>
      <c r="X236" s="687">
        <v>5000000</v>
      </c>
      <c r="Y236" s="303">
        <v>2</v>
      </c>
      <c r="Z236" s="687">
        <v>5000000</v>
      </c>
      <c r="AA236" s="303">
        <v>2</v>
      </c>
      <c r="AB236" s="687">
        <v>10000000</v>
      </c>
      <c r="AC236" s="669">
        <f>1+1</f>
        <v>2</v>
      </c>
      <c r="AD236" s="669">
        <v>2</v>
      </c>
      <c r="AE236" s="669"/>
      <c r="AF236" s="669"/>
      <c r="AG236" s="341" t="s">
        <v>3671</v>
      </c>
      <c r="AH236" s="341">
        <v>2017413960011</v>
      </c>
      <c r="AI236" s="355" t="s">
        <v>3672</v>
      </c>
      <c r="AJ236" s="363">
        <v>42795</v>
      </c>
      <c r="AK236" s="363">
        <v>42993</v>
      </c>
      <c r="AL236" s="358"/>
      <c r="AM236" s="358"/>
      <c r="AN236" s="267" t="s">
        <v>2598</v>
      </c>
      <c r="AO236" s="512" t="s">
        <v>3673</v>
      </c>
      <c r="AP236" s="724"/>
      <c r="AQ236" s="721">
        <v>2000000</v>
      </c>
      <c r="AR236" s="721"/>
      <c r="AS236" s="721"/>
      <c r="AT236" s="721"/>
      <c r="AU236" s="721"/>
      <c r="AV236" s="721"/>
      <c r="AW236" s="544">
        <f t="shared" si="95"/>
        <v>2000000</v>
      </c>
      <c r="AX236" s="525"/>
      <c r="AY236" s="310"/>
      <c r="AZ236" s="310"/>
      <c r="BA236" s="310"/>
      <c r="BB236" s="310"/>
      <c r="BC236" s="310"/>
      <c r="BD236" s="310"/>
      <c r="BE236" s="544">
        <f t="shared" si="109"/>
        <v>0</v>
      </c>
      <c r="BF236" s="525"/>
      <c r="BG236" s="310"/>
      <c r="BH236" s="310"/>
      <c r="BI236" s="310"/>
      <c r="BJ236" s="310"/>
      <c r="BK236" s="310"/>
      <c r="BL236" s="310"/>
      <c r="BM236" s="544">
        <f t="shared" si="110"/>
        <v>0</v>
      </c>
      <c r="BN236" s="525"/>
      <c r="BO236" s="310"/>
      <c r="BP236" s="310"/>
      <c r="BQ236" s="310"/>
      <c r="BR236" s="310"/>
      <c r="BS236" s="310"/>
      <c r="BT236" s="310"/>
      <c r="BU236" s="544">
        <f t="shared" si="111"/>
        <v>0</v>
      </c>
      <c r="BV236" s="556"/>
      <c r="BW236" s="663">
        <f t="shared" si="99"/>
        <v>4</v>
      </c>
      <c r="BX236" s="674">
        <f t="shared" si="100"/>
        <v>0.5</v>
      </c>
      <c r="BY236" s="674">
        <f t="shared" si="101"/>
        <v>1</v>
      </c>
      <c r="BZ236" s="674">
        <f t="shared" si="102"/>
        <v>1</v>
      </c>
      <c r="CA236" s="675">
        <f t="shared" si="103"/>
        <v>0</v>
      </c>
      <c r="CB236" s="675">
        <f t="shared" si="104"/>
        <v>0</v>
      </c>
    </row>
    <row r="237" spans="1:80" ht="61.5" hidden="1" customHeight="1" x14ac:dyDescent="0.25">
      <c r="A237" s="298" t="s">
        <v>491</v>
      </c>
      <c r="B237" s="299">
        <f>'PLAN INDICATIVO'!B235</f>
        <v>0</v>
      </c>
      <c r="C237" s="1547"/>
      <c r="D237" s="1549"/>
      <c r="E237" s="1549"/>
      <c r="F237" s="1549"/>
      <c r="G237" s="1549"/>
      <c r="H237" s="1549"/>
      <c r="I237" s="300">
        <f>'PLAN INDICATIVO'!I235</f>
        <v>0</v>
      </c>
      <c r="J237" s="300">
        <f>'PLAN INDICATIVO'!J235</f>
        <v>0</v>
      </c>
      <c r="K237" s="1428" t="str">
        <f>'PLAN INDICATIVO'!K235</f>
        <v>A.14.5.22</v>
      </c>
      <c r="L237" s="301" t="str">
        <f>'PLAN INDICATIVO'!L235</f>
        <v>10. Reducción de las desigualdades</v>
      </c>
      <c r="M237" s="301" t="str">
        <f>'PLAN INDICATIVO'!M235</f>
        <v>Secretaría de Gobierno</v>
      </c>
      <c r="N237" s="1425" t="s">
        <v>3670</v>
      </c>
      <c r="O237" s="1425" t="str">
        <f>'PLAN INDICATIVO'!O235</f>
        <v>Incremento</v>
      </c>
      <c r="P237" s="16" t="str">
        <f>'PLAN INDICATIVO'!P235</f>
        <v xml:space="preserve">Realizar la Construcción, Adecuación y/o mantenimiento  de 3 espacios públicos, zonas verdes, parques, plazoletas o plazas de mercado, durante el cuatrienio </v>
      </c>
      <c r="Q237" s="302" t="str">
        <f>'PLAN INDICATIVO'!Q235</f>
        <v>No. De Planes Integrales afro implementados</v>
      </c>
      <c r="R237" s="303">
        <f>'PLAN INDICATIVO'!R235</f>
        <v>2015</v>
      </c>
      <c r="S237" s="304">
        <v>0</v>
      </c>
      <c r="T237" s="699">
        <v>1</v>
      </c>
      <c r="U237" s="303">
        <v>0</v>
      </c>
      <c r="V237" s="687">
        <v>5000000</v>
      </c>
      <c r="W237" s="303">
        <v>1</v>
      </c>
      <c r="X237" s="687">
        <v>5000000</v>
      </c>
      <c r="Y237" s="303">
        <v>0.5</v>
      </c>
      <c r="Z237" s="687"/>
      <c r="AA237" s="303">
        <v>0</v>
      </c>
      <c r="AB237" s="687"/>
      <c r="AC237" s="669"/>
      <c r="AD237" s="669">
        <v>0.5</v>
      </c>
      <c r="AE237" s="669"/>
      <c r="AF237" s="669"/>
      <c r="AG237" s="341" t="s">
        <v>3671</v>
      </c>
      <c r="AH237" s="341">
        <v>2017413960011</v>
      </c>
      <c r="AI237" s="355" t="s">
        <v>3674</v>
      </c>
      <c r="AJ237" s="359">
        <v>42979</v>
      </c>
      <c r="AK237" s="359">
        <v>43069</v>
      </c>
      <c r="AL237" s="358"/>
      <c r="AM237" s="358"/>
      <c r="AN237" s="267" t="s">
        <v>2604</v>
      </c>
      <c r="AO237" s="512"/>
      <c r="AP237" s="720"/>
      <c r="AQ237" s="721"/>
      <c r="AR237" s="721"/>
      <c r="AS237" s="721"/>
      <c r="AT237" s="721"/>
      <c r="AU237" s="721"/>
      <c r="AV237" s="721"/>
      <c r="AW237" s="544">
        <f t="shared" si="95"/>
        <v>0</v>
      </c>
      <c r="AX237" s="525"/>
      <c r="AY237" s="310"/>
      <c r="AZ237" s="310"/>
      <c r="BA237" s="310"/>
      <c r="BB237" s="310"/>
      <c r="BC237" s="310"/>
      <c r="BD237" s="310"/>
      <c r="BE237" s="544">
        <f t="shared" si="109"/>
        <v>0</v>
      </c>
      <c r="BF237" s="525"/>
      <c r="BG237" s="310"/>
      <c r="BH237" s="310"/>
      <c r="BI237" s="310"/>
      <c r="BJ237" s="310"/>
      <c r="BK237" s="310"/>
      <c r="BL237" s="310"/>
      <c r="BM237" s="544">
        <f t="shared" si="110"/>
        <v>0</v>
      </c>
      <c r="BN237" s="525"/>
      <c r="BO237" s="310"/>
      <c r="BP237" s="310"/>
      <c r="BQ237" s="310"/>
      <c r="BR237" s="310"/>
      <c r="BS237" s="310"/>
      <c r="BT237" s="310"/>
      <c r="BU237" s="544">
        <f t="shared" si="111"/>
        <v>0</v>
      </c>
      <c r="BV237" s="556"/>
      <c r="BW237" s="663">
        <f t="shared" si="99"/>
        <v>0.5</v>
      </c>
      <c r="BX237" s="674">
        <f t="shared" si="100"/>
        <v>0.5</v>
      </c>
      <c r="BY237" s="674" t="e">
        <f t="shared" si="101"/>
        <v>#DIV/0!</v>
      </c>
      <c r="BZ237" s="674">
        <f t="shared" si="102"/>
        <v>0.5</v>
      </c>
      <c r="CA237" s="675">
        <f t="shared" si="103"/>
        <v>0</v>
      </c>
      <c r="CB237" s="675" t="e">
        <f t="shared" si="104"/>
        <v>#DIV/0!</v>
      </c>
    </row>
    <row r="238" spans="1:80" ht="72" hidden="1" customHeight="1" x14ac:dyDescent="0.25">
      <c r="A238" s="298" t="s">
        <v>491</v>
      </c>
      <c r="B238" s="299" t="str">
        <f>'PLAN INDICATIVO'!B236</f>
        <v>Atención a grupos vulnerables - promoción social</v>
      </c>
      <c r="C238" s="1547"/>
      <c r="D238" s="1549"/>
      <c r="E238" s="1549"/>
      <c r="F238" s="1549"/>
      <c r="G238" s="1549"/>
      <c r="H238" s="1549"/>
      <c r="I238" s="300">
        <f>'PLAN INDICATIVO'!I236</f>
        <v>0</v>
      </c>
      <c r="J238" s="300">
        <f>'PLAN INDICATIVO'!J236</f>
        <v>0</v>
      </c>
      <c r="K238" s="1428" t="str">
        <f>'PLAN INDICATIVO'!K236</f>
        <v>A.14.5.23</v>
      </c>
      <c r="L238" s="301" t="str">
        <f>'PLAN INDICATIVO'!L236</f>
        <v>10. Reducción de las desigualdades</v>
      </c>
      <c r="M238" s="301" t="str">
        <f>'PLAN INDICATIVO'!M236</f>
        <v>Secretaría de Gobierno</v>
      </c>
      <c r="N238" s="1425" t="s">
        <v>3670</v>
      </c>
      <c r="O238" s="1425" t="str">
        <f>'PLAN INDICATIVO'!O236</f>
        <v>Incremento</v>
      </c>
      <c r="P238" s="16" t="str">
        <f>'PLAN INDICATIVO'!P236</f>
        <v>Fortalecer 1 escuela artística con enfoque diferencial afro  durante el cuatrienio.</v>
      </c>
      <c r="Q238" s="302" t="str">
        <f>'PLAN INDICATIVO'!Q236</f>
        <v>No. De escuelas artísticas fortalecidas</v>
      </c>
      <c r="R238" s="303">
        <f>'PLAN INDICATIVO'!R236</f>
        <v>2015</v>
      </c>
      <c r="S238" s="304">
        <v>0</v>
      </c>
      <c r="T238" s="699">
        <v>1</v>
      </c>
      <c r="U238" s="303">
        <v>0</v>
      </c>
      <c r="V238" s="687">
        <v>0</v>
      </c>
      <c r="W238" s="303">
        <v>0</v>
      </c>
      <c r="X238" s="687"/>
      <c r="Y238" s="303">
        <v>1</v>
      </c>
      <c r="Z238" s="687">
        <v>5000000</v>
      </c>
      <c r="AA238" s="303">
        <v>0</v>
      </c>
      <c r="AB238" s="687"/>
      <c r="AC238" s="669"/>
      <c r="AD238" s="669"/>
      <c r="AE238" s="669"/>
      <c r="AF238" s="669"/>
      <c r="AG238" s="341" t="s">
        <v>3671</v>
      </c>
      <c r="AH238" s="341">
        <v>2017413960011</v>
      </c>
      <c r="AI238" s="355" t="s">
        <v>3675</v>
      </c>
      <c r="AJ238" s="358"/>
      <c r="AK238" s="358"/>
      <c r="AL238" s="358"/>
      <c r="AM238" s="358"/>
      <c r="AN238" s="267" t="s">
        <v>2594</v>
      </c>
      <c r="AO238" s="512"/>
      <c r="AP238" s="720"/>
      <c r="AQ238" s="721"/>
      <c r="AR238" s="721"/>
      <c r="AS238" s="721"/>
      <c r="AT238" s="721"/>
      <c r="AU238" s="721"/>
      <c r="AV238" s="721"/>
      <c r="AW238" s="544">
        <f t="shared" si="95"/>
        <v>0</v>
      </c>
      <c r="AX238" s="525"/>
      <c r="AY238" s="310"/>
      <c r="AZ238" s="310"/>
      <c r="BA238" s="310"/>
      <c r="BB238" s="310"/>
      <c r="BC238" s="310"/>
      <c r="BD238" s="310"/>
      <c r="BE238" s="544">
        <f t="shared" si="109"/>
        <v>0</v>
      </c>
      <c r="BF238" s="525"/>
      <c r="BG238" s="310"/>
      <c r="BH238" s="310"/>
      <c r="BI238" s="310"/>
      <c r="BJ238" s="310"/>
      <c r="BK238" s="310"/>
      <c r="BL238" s="310"/>
      <c r="BM238" s="544">
        <f t="shared" si="110"/>
        <v>0</v>
      </c>
      <c r="BN238" s="525"/>
      <c r="BO238" s="310"/>
      <c r="BP238" s="310"/>
      <c r="BQ238" s="310"/>
      <c r="BR238" s="310"/>
      <c r="BS238" s="310"/>
      <c r="BT238" s="310"/>
      <c r="BU238" s="544">
        <f t="shared" si="111"/>
        <v>0</v>
      </c>
      <c r="BV238" s="556"/>
      <c r="BW238" s="663">
        <f t="shared" si="99"/>
        <v>0</v>
      </c>
      <c r="BX238" s="674">
        <f t="shared" si="100"/>
        <v>0</v>
      </c>
      <c r="BY238" s="674" t="e">
        <f t="shared" si="101"/>
        <v>#DIV/0!</v>
      </c>
      <c r="BZ238" s="674" t="e">
        <f t="shared" si="102"/>
        <v>#DIV/0!</v>
      </c>
      <c r="CA238" s="675">
        <f t="shared" si="103"/>
        <v>0</v>
      </c>
      <c r="CB238" s="675" t="e">
        <f t="shared" si="104"/>
        <v>#DIV/0!</v>
      </c>
    </row>
    <row r="239" spans="1:80" ht="60" hidden="1" customHeight="1" x14ac:dyDescent="0.25">
      <c r="A239" s="298" t="s">
        <v>491</v>
      </c>
      <c r="B239" s="299" t="str">
        <f>'PLAN INDICATIVO'!B237</f>
        <v>Atención a grupos vulnerables - promoción social</v>
      </c>
      <c r="C239" s="1547"/>
      <c r="D239" s="1549"/>
      <c r="E239" s="1549"/>
      <c r="F239" s="1549"/>
      <c r="G239" s="1549"/>
      <c r="H239" s="1549"/>
      <c r="I239" s="300">
        <f>'PLAN INDICATIVO'!I237</f>
        <v>0</v>
      </c>
      <c r="J239" s="300">
        <f>'PLAN INDICATIVO'!J237</f>
        <v>0</v>
      </c>
      <c r="K239" s="1428" t="str">
        <f>'PLAN INDICATIVO'!K237</f>
        <v>A.14.5.24</v>
      </c>
      <c r="L239" s="301" t="str">
        <f>'PLAN INDICATIVO'!L237</f>
        <v>10. Reducción de las desigualdades</v>
      </c>
      <c r="M239" s="301" t="str">
        <f>'PLAN INDICATIVO'!M237</f>
        <v>Secretaría de Gobierno</v>
      </c>
      <c r="N239" s="1425" t="s">
        <v>3670</v>
      </c>
      <c r="O239" s="1425" t="str">
        <f>'PLAN INDICATIVO'!O237</f>
        <v>Incremento</v>
      </c>
      <c r="P239" s="25" t="str">
        <f>'PLAN INDICATIVO'!P237</f>
        <v>Crear 1 política municipal para la población afro, durante el cuatrienio</v>
      </c>
      <c r="Q239" s="302" t="str">
        <f>'PLAN INDICATIVO'!Q237</f>
        <v>No. De Políticas municipales creadas</v>
      </c>
      <c r="R239" s="303">
        <f>'PLAN INDICATIVO'!R237</f>
        <v>2015</v>
      </c>
      <c r="S239" s="304">
        <v>0</v>
      </c>
      <c r="T239" s="699">
        <v>1</v>
      </c>
      <c r="U239" s="303">
        <v>0.5</v>
      </c>
      <c r="V239" s="687">
        <v>500000</v>
      </c>
      <c r="W239" s="17">
        <v>0.5</v>
      </c>
      <c r="X239" s="687"/>
      <c r="Y239" s="303">
        <v>0.2</v>
      </c>
      <c r="Z239" s="687"/>
      <c r="AA239" s="303">
        <v>0</v>
      </c>
      <c r="AB239" s="687"/>
      <c r="AC239" s="669">
        <v>0.25</v>
      </c>
      <c r="AD239" s="669">
        <v>0.55000000000000004</v>
      </c>
      <c r="AE239" s="669"/>
      <c r="AF239" s="669"/>
      <c r="AG239" s="341" t="s">
        <v>3671</v>
      </c>
      <c r="AH239" s="341">
        <v>2017413960011</v>
      </c>
      <c r="AI239" s="355" t="s">
        <v>3676</v>
      </c>
      <c r="AJ239" s="363">
        <v>42768</v>
      </c>
      <c r="AK239" s="363">
        <v>42916</v>
      </c>
      <c r="AL239" s="358"/>
      <c r="AM239" s="358"/>
      <c r="AN239" s="267" t="s">
        <v>2598</v>
      </c>
      <c r="AO239" s="512" t="s">
        <v>3673</v>
      </c>
      <c r="AP239" s="720"/>
      <c r="AQ239" s="721">
        <v>1693900</v>
      </c>
      <c r="AR239" s="721"/>
      <c r="AS239" s="721"/>
      <c r="AT239" s="721"/>
      <c r="AU239" s="721"/>
      <c r="AV239" s="721"/>
      <c r="AW239" s="544"/>
      <c r="AX239" s="525"/>
      <c r="AY239" s="310"/>
      <c r="AZ239" s="310"/>
      <c r="BA239" s="310"/>
      <c r="BB239" s="310"/>
      <c r="BC239" s="310"/>
      <c r="BD239" s="310"/>
      <c r="BE239" s="544">
        <f t="shared" si="109"/>
        <v>0</v>
      </c>
      <c r="BF239" s="525"/>
      <c r="BG239" s="310"/>
      <c r="BH239" s="310"/>
      <c r="BI239" s="310"/>
      <c r="BJ239" s="310"/>
      <c r="BK239" s="310"/>
      <c r="BL239" s="310"/>
      <c r="BM239" s="544">
        <f t="shared" si="110"/>
        <v>0</v>
      </c>
      <c r="BN239" s="525"/>
      <c r="BO239" s="310"/>
      <c r="BP239" s="310"/>
      <c r="BQ239" s="310"/>
      <c r="BR239" s="310"/>
      <c r="BS239" s="310"/>
      <c r="BT239" s="310"/>
      <c r="BU239" s="544">
        <f t="shared" si="111"/>
        <v>0</v>
      </c>
      <c r="BV239" s="556"/>
      <c r="BW239" s="663">
        <f t="shared" si="99"/>
        <v>0.8</v>
      </c>
      <c r="BX239" s="674">
        <f t="shared" si="100"/>
        <v>0.8</v>
      </c>
      <c r="BY239" s="674">
        <f t="shared" si="101"/>
        <v>0.5</v>
      </c>
      <c r="BZ239" s="674">
        <f t="shared" si="102"/>
        <v>1.1000000000000001</v>
      </c>
      <c r="CA239" s="675">
        <f t="shared" si="103"/>
        <v>0</v>
      </c>
      <c r="CB239" s="675" t="e">
        <f t="shared" si="104"/>
        <v>#DIV/0!</v>
      </c>
    </row>
    <row r="240" spans="1:80" ht="65.25" hidden="1" customHeight="1" x14ac:dyDescent="0.25">
      <c r="A240" s="298" t="s">
        <v>491</v>
      </c>
      <c r="B240" s="299" t="str">
        <f>'PLAN INDICATIVO'!B238</f>
        <v>Atención a grupos vulnerables - promoción social</v>
      </c>
      <c r="C240" s="1547"/>
      <c r="D240" s="1549"/>
      <c r="E240" s="1549"/>
      <c r="F240" s="1549"/>
      <c r="G240" s="1549"/>
      <c r="H240" s="1549"/>
      <c r="I240" s="300">
        <f>'PLAN INDICATIVO'!I238</f>
        <v>0</v>
      </c>
      <c r="J240" s="300">
        <f>'PLAN INDICATIVO'!J238</f>
        <v>0</v>
      </c>
      <c r="K240" s="1428" t="str">
        <f>'PLAN INDICATIVO'!K238</f>
        <v>A.14.5.25</v>
      </c>
      <c r="L240" s="301" t="str">
        <f>'PLAN INDICATIVO'!L238</f>
        <v>10. Reducción de las desigualdades</v>
      </c>
      <c r="M240" s="301" t="str">
        <f>'PLAN INDICATIVO'!M238</f>
        <v>Secretaría de Gobierno</v>
      </c>
      <c r="N240" s="1425" t="s">
        <v>3670</v>
      </c>
      <c r="O240" s="1425" t="str">
        <f>'PLAN INDICATIVO'!O238</f>
        <v>Mantenimiento</v>
      </c>
      <c r="P240" s="74" t="str">
        <f>'PLAN INDICATIVO'!P238</f>
        <v>Implementar 1 programa de apoyo a otros grupos de población vulnerable, cada año</v>
      </c>
      <c r="Q240" s="302" t="str">
        <f>'PLAN INDICATIVO'!Q238</f>
        <v>No. de programas de aopoyo implementados por año</v>
      </c>
      <c r="R240" s="303">
        <f>'PLAN INDICATIVO'!R238</f>
        <v>2015</v>
      </c>
      <c r="S240" s="304">
        <v>1</v>
      </c>
      <c r="T240" s="699">
        <v>1</v>
      </c>
      <c r="U240" s="934">
        <v>0.25</v>
      </c>
      <c r="V240" s="687">
        <v>18000000</v>
      </c>
      <c r="W240" s="934">
        <v>0.25</v>
      </c>
      <c r="X240" s="687">
        <v>1000000</v>
      </c>
      <c r="Y240" s="934">
        <v>0.25</v>
      </c>
      <c r="Z240" s="687">
        <v>1000000</v>
      </c>
      <c r="AA240" s="934">
        <v>0.25</v>
      </c>
      <c r="AB240" s="687">
        <v>1000000</v>
      </c>
      <c r="AC240" s="669">
        <v>0.25</v>
      </c>
      <c r="AD240" s="669">
        <v>0.14000000000000001</v>
      </c>
      <c r="AE240" s="669"/>
      <c r="AF240" s="669"/>
      <c r="AG240" s="341" t="s">
        <v>3671</v>
      </c>
      <c r="AH240" s="341">
        <v>2017413960011</v>
      </c>
      <c r="AI240" s="150" t="s">
        <v>3677</v>
      </c>
      <c r="AJ240" s="363">
        <v>42768</v>
      </c>
      <c r="AK240" s="363">
        <v>42916</v>
      </c>
      <c r="AL240" s="358"/>
      <c r="AM240" s="358"/>
      <c r="AN240" s="267" t="s">
        <v>2604</v>
      </c>
      <c r="AO240" s="512" t="s">
        <v>3678</v>
      </c>
      <c r="AP240" s="720"/>
      <c r="AQ240" s="721">
        <f>6825000+4095000</f>
        <v>10920000</v>
      </c>
      <c r="AR240" s="721"/>
      <c r="AS240" s="721"/>
      <c r="AT240" s="721"/>
      <c r="AU240" s="721"/>
      <c r="AV240" s="721"/>
      <c r="AW240" s="544"/>
      <c r="AX240" s="525"/>
      <c r="AY240" s="310"/>
      <c r="AZ240" s="310"/>
      <c r="BA240" s="310"/>
      <c r="BB240" s="310"/>
      <c r="BC240" s="310"/>
      <c r="BD240" s="310"/>
      <c r="BE240" s="544">
        <f t="shared" si="109"/>
        <v>0</v>
      </c>
      <c r="BF240" s="525"/>
      <c r="BG240" s="310"/>
      <c r="BH240" s="310"/>
      <c r="BI240" s="310"/>
      <c r="BJ240" s="310"/>
      <c r="BK240" s="310"/>
      <c r="BL240" s="310"/>
      <c r="BM240" s="544">
        <f t="shared" si="110"/>
        <v>0</v>
      </c>
      <c r="BN240" s="525"/>
      <c r="BO240" s="310"/>
      <c r="BP240" s="310"/>
      <c r="BQ240" s="310"/>
      <c r="BR240" s="310"/>
      <c r="BS240" s="310"/>
      <c r="BT240" s="310"/>
      <c r="BU240" s="544">
        <f t="shared" si="111"/>
        <v>0</v>
      </c>
      <c r="BV240" s="556"/>
      <c r="BW240" s="663">
        <f t="shared" si="99"/>
        <v>0.39</v>
      </c>
      <c r="BX240" s="674">
        <f t="shared" si="100"/>
        <v>0.39</v>
      </c>
      <c r="BY240" s="674">
        <f t="shared" si="101"/>
        <v>1</v>
      </c>
      <c r="BZ240" s="674">
        <f t="shared" si="102"/>
        <v>0.56000000000000005</v>
      </c>
      <c r="CA240" s="675">
        <f t="shared" si="103"/>
        <v>0</v>
      </c>
      <c r="CB240" s="675">
        <f t="shared" si="104"/>
        <v>0</v>
      </c>
    </row>
    <row r="241" spans="1:80" ht="79.5" hidden="1" customHeight="1" x14ac:dyDescent="0.25">
      <c r="A241" s="298" t="s">
        <v>491</v>
      </c>
      <c r="B241" s="299" t="str">
        <f>'PLAN INDICATIVO'!B239</f>
        <v>Atención a grupos vulnerables - promoción social</v>
      </c>
      <c r="C241" s="1548"/>
      <c r="D241" s="1549"/>
      <c r="E241" s="1549"/>
      <c r="F241" s="1549"/>
      <c r="G241" s="1549"/>
      <c r="H241" s="1549"/>
      <c r="I241" s="300">
        <f>'PLAN INDICATIVO'!I239</f>
        <v>0</v>
      </c>
      <c r="J241" s="300">
        <f>'PLAN INDICATIVO'!J239</f>
        <v>0</v>
      </c>
      <c r="K241" s="1428" t="str">
        <f>'PLAN INDICATIVO'!K239</f>
        <v>A.14.5.26</v>
      </c>
      <c r="L241" s="301" t="str">
        <f>'PLAN INDICATIVO'!L239</f>
        <v>1. Fin de la Pobreza</v>
      </c>
      <c r="M241" s="301" t="str">
        <f>'PLAN INDICATIVO'!M239</f>
        <v>Secretaría de Gobierno</v>
      </c>
      <c r="N241" s="1425" t="s">
        <v>3670</v>
      </c>
      <c r="O241" s="1425" t="str">
        <f>'PLAN INDICATIVO'!O239</f>
        <v>Mantenimiento</v>
      </c>
      <c r="P241" s="74" t="str">
        <f>'PLAN INDICATIVO'!P239</f>
        <v>Implementar 1 programa  para la superación de la pobreza  extrema en el marco de la red unidos y más familias en acción, entre otros, cada año</v>
      </c>
      <c r="Q241" s="302" t="str">
        <f>'PLAN INDICATIVO'!Q239</f>
        <v>No. de programas implementados</v>
      </c>
      <c r="R241" s="303">
        <f>'PLAN INDICATIVO'!R239</f>
        <v>2015</v>
      </c>
      <c r="S241" s="304">
        <v>1</v>
      </c>
      <c r="T241" s="699">
        <v>1</v>
      </c>
      <c r="U241" s="934">
        <v>0.25</v>
      </c>
      <c r="V241" s="687">
        <v>35000000</v>
      </c>
      <c r="W241" s="934">
        <v>0.25</v>
      </c>
      <c r="X241" s="687">
        <v>41000000</v>
      </c>
      <c r="Y241" s="934">
        <v>0.25</v>
      </c>
      <c r="Z241" s="687">
        <v>41000000</v>
      </c>
      <c r="AA241" s="934">
        <v>0.25</v>
      </c>
      <c r="AB241" s="687">
        <v>41000000</v>
      </c>
      <c r="AC241" s="669">
        <v>0.25</v>
      </c>
      <c r="AD241" s="669">
        <v>0.14000000000000001</v>
      </c>
      <c r="AE241" s="669"/>
      <c r="AF241" s="669"/>
      <c r="AG241" s="341" t="s">
        <v>3671</v>
      </c>
      <c r="AH241" s="341">
        <v>2017413960011</v>
      </c>
      <c r="AI241" s="355" t="s">
        <v>3679</v>
      </c>
      <c r="AJ241" s="363">
        <v>42750</v>
      </c>
      <c r="AK241" s="363">
        <v>43099</v>
      </c>
      <c r="AL241" s="358"/>
      <c r="AM241" s="358"/>
      <c r="AN241" s="267" t="s">
        <v>2604</v>
      </c>
      <c r="AO241" s="512" t="s">
        <v>3678</v>
      </c>
      <c r="AP241" s="720"/>
      <c r="AQ241" s="721">
        <v>3680000</v>
      </c>
      <c r="AR241" s="721"/>
      <c r="AS241" s="721"/>
      <c r="AT241" s="721"/>
      <c r="AU241" s="721"/>
      <c r="AV241" s="721"/>
      <c r="AW241" s="544"/>
      <c r="AX241" s="525"/>
      <c r="AY241" s="310"/>
      <c r="AZ241" s="310"/>
      <c r="BA241" s="310"/>
      <c r="BB241" s="310"/>
      <c r="BC241" s="310"/>
      <c r="BD241" s="310"/>
      <c r="BE241" s="544">
        <f t="shared" si="109"/>
        <v>0</v>
      </c>
      <c r="BF241" s="525"/>
      <c r="BG241" s="310"/>
      <c r="BH241" s="310"/>
      <c r="BI241" s="310"/>
      <c r="BJ241" s="310"/>
      <c r="BK241" s="310"/>
      <c r="BL241" s="310"/>
      <c r="BM241" s="544">
        <f t="shared" si="110"/>
        <v>0</v>
      </c>
      <c r="BN241" s="525"/>
      <c r="BO241" s="310"/>
      <c r="BP241" s="310"/>
      <c r="BQ241" s="310"/>
      <c r="BR241" s="310"/>
      <c r="BS241" s="310"/>
      <c r="BT241" s="310"/>
      <c r="BU241" s="544">
        <f t="shared" si="111"/>
        <v>0</v>
      </c>
      <c r="BV241" s="556"/>
      <c r="BW241" s="663">
        <f t="shared" si="99"/>
        <v>0.39</v>
      </c>
      <c r="BX241" s="674">
        <f t="shared" si="100"/>
        <v>0.39</v>
      </c>
      <c r="BY241" s="674">
        <f t="shared" si="101"/>
        <v>1</v>
      </c>
      <c r="BZ241" s="674">
        <f t="shared" si="102"/>
        <v>0.56000000000000005</v>
      </c>
      <c r="CA241" s="675">
        <f t="shared" si="103"/>
        <v>0</v>
      </c>
      <c r="CB241" s="675">
        <f t="shared" si="104"/>
        <v>0</v>
      </c>
    </row>
    <row r="242" spans="1:80" ht="11.25" hidden="1" customHeight="1" x14ac:dyDescent="0.25">
      <c r="A242" s="153" t="s">
        <v>491</v>
      </c>
      <c r="B242" s="19" t="e">
        <f>'PLAN INDICATIVO'!#REF!</f>
        <v>#REF!</v>
      </c>
      <c r="C242" s="7"/>
      <c r="D242" s="1442"/>
      <c r="E242" s="1442"/>
      <c r="F242" s="1442"/>
      <c r="G242" s="1442"/>
      <c r="H242" s="1442"/>
      <c r="I242" s="1442"/>
      <c r="J242" s="1442"/>
      <c r="K242" s="1442"/>
      <c r="L242" s="1442"/>
      <c r="M242" s="1442"/>
      <c r="N242" s="1442"/>
      <c r="O242" s="1442"/>
      <c r="P242" s="1440"/>
      <c r="Q242" s="1440"/>
      <c r="R242" s="1442"/>
      <c r="S242" s="265"/>
      <c r="T242" s="699"/>
      <c r="U242" s="303"/>
      <c r="V242" s="265"/>
      <c r="W242" s="303">
        <v>0</v>
      </c>
      <c r="X242" s="265"/>
      <c r="Y242" s="303">
        <v>0</v>
      </c>
      <c r="Z242" s="265"/>
      <c r="AA242" s="303">
        <v>1</v>
      </c>
      <c r="AB242" s="265"/>
      <c r="AC242" s="265"/>
      <c r="AD242" s="265"/>
      <c r="AE242" s="265"/>
      <c r="AF242" s="265"/>
      <c r="AG242" s="274"/>
      <c r="AH242" s="274"/>
      <c r="AI242" s="274"/>
      <c r="AJ242" s="265"/>
      <c r="AK242" s="265"/>
      <c r="AL242" s="265"/>
      <c r="AM242" s="265"/>
      <c r="AN242" s="265"/>
      <c r="AO242" s="512"/>
      <c r="AP242" s="525"/>
      <c r="AQ242" s="310"/>
      <c r="AR242" s="310"/>
      <c r="AS242" s="310"/>
      <c r="AT242" s="310"/>
      <c r="AU242" s="310"/>
      <c r="AV242" s="310"/>
      <c r="AW242" s="544">
        <f t="shared" si="95"/>
        <v>0</v>
      </c>
      <c r="AX242" s="525"/>
      <c r="AY242" s="310"/>
      <c r="AZ242" s="310"/>
      <c r="BA242" s="310"/>
      <c r="BB242" s="310"/>
      <c r="BC242" s="310"/>
      <c r="BD242" s="310"/>
      <c r="BE242" s="544">
        <f t="shared" si="109"/>
        <v>0</v>
      </c>
      <c r="BF242" s="525"/>
      <c r="BG242" s="310"/>
      <c r="BH242" s="310"/>
      <c r="BI242" s="310"/>
      <c r="BJ242" s="310"/>
      <c r="BK242" s="310"/>
      <c r="BL242" s="310"/>
      <c r="BM242" s="544">
        <f t="shared" si="110"/>
        <v>0</v>
      </c>
      <c r="BN242" s="525"/>
      <c r="BO242" s="310"/>
      <c r="BP242" s="310"/>
      <c r="BQ242" s="310"/>
      <c r="BR242" s="310"/>
      <c r="BS242" s="310"/>
      <c r="BT242" s="310"/>
      <c r="BU242" s="544">
        <f t="shared" si="111"/>
        <v>0</v>
      </c>
      <c r="BV242" s="556"/>
      <c r="BW242" s="663">
        <f t="shared" si="99"/>
        <v>0</v>
      </c>
      <c r="BX242" s="674" t="e">
        <f t="shared" si="100"/>
        <v>#DIV/0!</v>
      </c>
      <c r="BY242" s="674" t="e">
        <f t="shared" si="101"/>
        <v>#DIV/0!</v>
      </c>
      <c r="BZ242" s="674" t="e">
        <f t="shared" si="102"/>
        <v>#DIV/0!</v>
      </c>
      <c r="CA242" s="675" t="e">
        <f t="shared" si="103"/>
        <v>#DIV/0!</v>
      </c>
      <c r="CB242" s="675">
        <f t="shared" si="104"/>
        <v>0</v>
      </c>
    </row>
    <row r="243" spans="1:80" ht="18" hidden="1" customHeight="1" x14ac:dyDescent="0.25">
      <c r="A243" s="295" t="s">
        <v>491</v>
      </c>
      <c r="B243" s="24" t="str">
        <f>'PLAN INDICATIVO'!B241</f>
        <v>Atención a grupos vulnerables - promoción social</v>
      </c>
      <c r="C243" s="1574" t="s">
        <v>743</v>
      </c>
      <c r="D243" s="1575"/>
      <c r="E243" s="1575"/>
      <c r="F243" s="1575"/>
      <c r="G243" s="1575"/>
      <c r="H243" s="1575"/>
      <c r="I243" s="1575"/>
      <c r="J243" s="1575"/>
      <c r="K243" s="1575"/>
      <c r="L243" s="1575"/>
      <c r="M243" s="1575"/>
      <c r="N243" s="1575"/>
      <c r="O243" s="1576"/>
      <c r="P243" s="369" t="s">
        <v>744</v>
      </c>
      <c r="Q243" s="22"/>
      <c r="R243" s="1"/>
      <c r="S243" s="261"/>
      <c r="T243" s="681"/>
      <c r="U243" s="261"/>
      <c r="V243" s="689">
        <f>SUM(V244:V260)</f>
        <v>47400000</v>
      </c>
      <c r="W243" s="261"/>
      <c r="X243" s="689">
        <f>SUM(X244:X260)</f>
        <v>49030000</v>
      </c>
      <c r="Y243" s="261"/>
      <c r="Z243" s="689">
        <f>SUM(Z244:Z260)</f>
        <v>50700000</v>
      </c>
      <c r="AA243" s="261"/>
      <c r="AB243" s="689">
        <f>SUM(AB244:AB260)</f>
        <v>51600000</v>
      </c>
      <c r="AC243" s="261"/>
      <c r="AD243" s="261"/>
      <c r="AE243" s="261"/>
      <c r="AF243" s="261"/>
      <c r="AG243" s="273"/>
      <c r="AH243" s="273"/>
      <c r="AI243" s="273"/>
      <c r="AJ243" s="261"/>
      <c r="AK243" s="261"/>
      <c r="AL243" s="261"/>
      <c r="AM243" s="261"/>
      <c r="AN243" s="261"/>
      <c r="AO243" s="635"/>
      <c r="AP243" s="616" t="e">
        <f>(AP244:AP260)</f>
        <v>#VALUE!</v>
      </c>
      <c r="AQ243" s="616" t="e">
        <f t="shared" ref="AQ243:AV243" si="124">(AQ244:AQ260)</f>
        <v>#VALUE!</v>
      </c>
      <c r="AR243" s="616" t="e">
        <f t="shared" si="124"/>
        <v>#VALUE!</v>
      </c>
      <c r="AS243" s="616" t="e">
        <f t="shared" si="124"/>
        <v>#VALUE!</v>
      </c>
      <c r="AT243" s="616" t="e">
        <f t="shared" si="124"/>
        <v>#VALUE!</v>
      </c>
      <c r="AU243" s="616" t="e">
        <f t="shared" si="124"/>
        <v>#VALUE!</v>
      </c>
      <c r="AV243" s="616" t="e">
        <f t="shared" si="124"/>
        <v>#VALUE!</v>
      </c>
      <c r="AW243" s="617" t="e">
        <f t="shared" si="95"/>
        <v>#VALUE!</v>
      </c>
      <c r="AX243" s="616" t="e">
        <f>(AX244:AX260)</f>
        <v>#VALUE!</v>
      </c>
      <c r="AY243" s="616" t="e">
        <f t="shared" ref="AY243:BD243" si="125">(AY244:AY260)</f>
        <v>#VALUE!</v>
      </c>
      <c r="AZ243" s="616" t="e">
        <f t="shared" si="125"/>
        <v>#VALUE!</v>
      </c>
      <c r="BA243" s="616" t="e">
        <f t="shared" si="125"/>
        <v>#VALUE!</v>
      </c>
      <c r="BB243" s="616" t="e">
        <f t="shared" si="125"/>
        <v>#VALUE!</v>
      </c>
      <c r="BC243" s="616" t="e">
        <f t="shared" si="125"/>
        <v>#VALUE!</v>
      </c>
      <c r="BD243" s="616" t="e">
        <f t="shared" si="125"/>
        <v>#VALUE!</v>
      </c>
      <c r="BE243" s="617" t="e">
        <f t="shared" si="109"/>
        <v>#VALUE!</v>
      </c>
      <c r="BF243" s="616" t="e">
        <f>(BF244:BF260)</f>
        <v>#VALUE!</v>
      </c>
      <c r="BG243" s="616" t="e">
        <f t="shared" ref="BG243:BL243" si="126">(BG244:BG260)</f>
        <v>#VALUE!</v>
      </c>
      <c r="BH243" s="616" t="e">
        <f t="shared" si="126"/>
        <v>#VALUE!</v>
      </c>
      <c r="BI243" s="616" t="e">
        <f t="shared" si="126"/>
        <v>#VALUE!</v>
      </c>
      <c r="BJ243" s="616" t="e">
        <f t="shared" si="126"/>
        <v>#VALUE!</v>
      </c>
      <c r="BK243" s="616" t="e">
        <f t="shared" si="126"/>
        <v>#VALUE!</v>
      </c>
      <c r="BL243" s="616" t="e">
        <f t="shared" si="126"/>
        <v>#VALUE!</v>
      </c>
      <c r="BM243" s="617" t="e">
        <f t="shared" si="110"/>
        <v>#VALUE!</v>
      </c>
      <c r="BN243" s="616" t="e">
        <f>(BN244:BN260)</f>
        <v>#VALUE!</v>
      </c>
      <c r="BO243" s="616" t="e">
        <f t="shared" ref="BO243:BT243" si="127">(BO244:BO260)</f>
        <v>#VALUE!</v>
      </c>
      <c r="BP243" s="616" t="e">
        <f t="shared" si="127"/>
        <v>#VALUE!</v>
      </c>
      <c r="BQ243" s="616" t="e">
        <f t="shared" si="127"/>
        <v>#VALUE!</v>
      </c>
      <c r="BR243" s="616" t="e">
        <f t="shared" si="127"/>
        <v>#VALUE!</v>
      </c>
      <c r="BS243" s="616" t="e">
        <f t="shared" si="127"/>
        <v>#VALUE!</v>
      </c>
      <c r="BT243" s="616" t="e">
        <f t="shared" si="127"/>
        <v>#VALUE!</v>
      </c>
      <c r="BU243" s="617" t="e">
        <f t="shared" si="111"/>
        <v>#VALUE!</v>
      </c>
      <c r="BV243" s="556"/>
      <c r="BW243" s="663">
        <f t="shared" si="99"/>
        <v>0</v>
      </c>
      <c r="BX243" s="674" t="e">
        <f t="shared" si="100"/>
        <v>#DIV/0!</v>
      </c>
      <c r="BY243" s="674" t="e">
        <f t="shared" si="101"/>
        <v>#DIV/0!</v>
      </c>
      <c r="BZ243" s="674" t="e">
        <f t="shared" si="102"/>
        <v>#DIV/0!</v>
      </c>
      <c r="CA243" s="675" t="e">
        <f t="shared" si="103"/>
        <v>#DIV/0!</v>
      </c>
      <c r="CB243" s="675" t="e">
        <f t="shared" si="104"/>
        <v>#DIV/0!</v>
      </c>
    </row>
    <row r="244" spans="1:80" ht="97.5" hidden="1" customHeight="1" x14ac:dyDescent="0.25">
      <c r="A244" s="298" t="s">
        <v>491</v>
      </c>
      <c r="B244" s="299" t="str">
        <f>'PLAN INDICATIVO'!B242</f>
        <v>Atención a grupos vulnerables - promoción social</v>
      </c>
      <c r="C244" s="1546" t="s">
        <v>745</v>
      </c>
      <c r="D244" s="1550" t="s">
        <v>746</v>
      </c>
      <c r="E244" s="1550" t="s">
        <v>747</v>
      </c>
      <c r="F244" s="1550">
        <v>2015</v>
      </c>
      <c r="G244" s="1550">
        <v>1</v>
      </c>
      <c r="H244" s="1550">
        <v>1</v>
      </c>
      <c r="I244" s="300">
        <f>'PLAN INDICATIVO'!I242</f>
        <v>0</v>
      </c>
      <c r="J244" s="300">
        <f>'PLAN INDICATIVO'!J242</f>
        <v>0</v>
      </c>
      <c r="K244" s="1425" t="str">
        <f>'PLAN INDICATIVO'!K242</f>
        <v>A.14.6.1</v>
      </c>
      <c r="L244" s="301" t="str">
        <f>'PLAN INDICATIVO'!L242</f>
        <v>10. Reducción de las desigualdades</v>
      </c>
      <c r="M244" s="301" t="str">
        <f>'PLAN INDICATIVO'!M242</f>
        <v>Secretaría de Gobierno</v>
      </c>
      <c r="N244" s="1425" t="s">
        <v>3680</v>
      </c>
      <c r="O244" s="1425" t="str">
        <f>'PLAN INDICATIVO'!O242</f>
        <v>Incremento</v>
      </c>
      <c r="P244" s="16" t="str">
        <f>'PLAN INDICATIVO'!P242</f>
        <v>Realizar 16  plenarias de mesa de trabajo para garantizar la participación de la construcción política de victimas durante el cuatrienio</v>
      </c>
      <c r="Q244" s="302" t="str">
        <f>'PLAN INDICATIVO'!Q242</f>
        <v>No. De mesa de trabajo realizadas</v>
      </c>
      <c r="R244" s="303">
        <f>'PLAN INDICATIVO'!R242</f>
        <v>2015</v>
      </c>
      <c r="S244" s="304">
        <v>4</v>
      </c>
      <c r="T244" s="699">
        <v>16</v>
      </c>
      <c r="U244" s="303">
        <v>4</v>
      </c>
      <c r="V244" s="687">
        <v>6500000</v>
      </c>
      <c r="W244" s="303">
        <v>4</v>
      </c>
      <c r="X244" s="687">
        <v>2500000</v>
      </c>
      <c r="Y244" s="303">
        <v>4</v>
      </c>
      <c r="Z244" s="687">
        <v>4000000</v>
      </c>
      <c r="AA244" s="303">
        <v>4</v>
      </c>
      <c r="AB244" s="687">
        <v>4500000</v>
      </c>
      <c r="AC244" s="669">
        <v>4</v>
      </c>
      <c r="AD244" s="669">
        <v>4</v>
      </c>
      <c r="AE244" s="669"/>
      <c r="AF244" s="669"/>
      <c r="AG244" s="992" t="s">
        <v>3681</v>
      </c>
      <c r="AH244" s="1433">
        <v>2017413960043</v>
      </c>
      <c r="AI244" s="355"/>
      <c r="AJ244" s="363">
        <v>42917</v>
      </c>
      <c r="AK244" s="363">
        <v>42947</v>
      </c>
      <c r="AL244" s="358"/>
      <c r="AM244" s="358"/>
      <c r="AN244" s="267" t="s">
        <v>2598</v>
      </c>
      <c r="AO244" s="512" t="s">
        <v>3682</v>
      </c>
      <c r="AP244" s="528"/>
      <c r="AQ244" s="472">
        <v>4711100</v>
      </c>
      <c r="AR244" s="472"/>
      <c r="AS244" s="472"/>
      <c r="AT244" s="472"/>
      <c r="AU244" s="472"/>
      <c r="AV244" s="472"/>
      <c r="AW244" s="544">
        <f t="shared" si="95"/>
        <v>4711100</v>
      </c>
      <c r="AX244" s="528"/>
      <c r="AY244" s="472"/>
      <c r="AZ244" s="472"/>
      <c r="BA244" s="472"/>
      <c r="BB244" s="472"/>
      <c r="BC244" s="472"/>
      <c r="BD244" s="472"/>
      <c r="BE244" s="544">
        <f t="shared" si="109"/>
        <v>0</v>
      </c>
      <c r="BF244" s="528"/>
      <c r="BG244" s="472"/>
      <c r="BH244" s="472"/>
      <c r="BI244" s="472"/>
      <c r="BJ244" s="472"/>
      <c r="BK244" s="472"/>
      <c r="BL244" s="472"/>
      <c r="BM244" s="544">
        <f t="shared" si="110"/>
        <v>0</v>
      </c>
      <c r="BN244" s="528"/>
      <c r="BO244" s="472"/>
      <c r="BP244" s="472"/>
      <c r="BQ244" s="472"/>
      <c r="BR244" s="472"/>
      <c r="BS244" s="472"/>
      <c r="BT244" s="472"/>
      <c r="BU244" s="544">
        <f t="shared" si="111"/>
        <v>0</v>
      </c>
      <c r="BV244" s="556"/>
      <c r="BW244" s="663">
        <f t="shared" si="99"/>
        <v>8</v>
      </c>
      <c r="BX244" s="674">
        <f t="shared" si="100"/>
        <v>0.5</v>
      </c>
      <c r="BY244" s="674">
        <f t="shared" si="101"/>
        <v>1</v>
      </c>
      <c r="BZ244" s="674">
        <f t="shared" si="102"/>
        <v>1</v>
      </c>
      <c r="CA244" s="675">
        <f t="shared" si="103"/>
        <v>0</v>
      </c>
      <c r="CB244" s="675">
        <f t="shared" si="104"/>
        <v>0</v>
      </c>
    </row>
    <row r="245" spans="1:80" ht="74.25" hidden="1" customHeight="1" x14ac:dyDescent="0.25">
      <c r="A245" s="298" t="s">
        <v>491</v>
      </c>
      <c r="B245" s="299" t="str">
        <f>'PLAN INDICATIVO'!B243</f>
        <v>Atención a grupos vulnerables - promoción social</v>
      </c>
      <c r="C245" s="1547"/>
      <c r="D245" s="1551"/>
      <c r="E245" s="1551"/>
      <c r="F245" s="1551"/>
      <c r="G245" s="1551"/>
      <c r="H245" s="1551"/>
      <c r="I245" s="300">
        <f>'PLAN INDICATIVO'!I243</f>
        <v>0</v>
      </c>
      <c r="J245" s="300">
        <f>'PLAN INDICATIVO'!J243</f>
        <v>0</v>
      </c>
      <c r="K245" s="1425" t="str">
        <f>'PLAN INDICATIVO'!K243</f>
        <v>A.14.6.2</v>
      </c>
      <c r="L245" s="301" t="str">
        <f>'PLAN INDICATIVO'!L243</f>
        <v>10. Reducción de las desigualdades</v>
      </c>
      <c r="M245" s="301" t="str">
        <f>'PLAN INDICATIVO'!M243</f>
        <v>Secretaría de Gobierno</v>
      </c>
      <c r="N245" s="1425" t="s">
        <v>3680</v>
      </c>
      <c r="O245" s="1425" t="str">
        <f>'PLAN INDICATIVO'!O243</f>
        <v>Mantenimiento</v>
      </c>
      <c r="P245" s="16" t="str">
        <f>'PLAN INDICATIVO'!P243</f>
        <v>1 estrategia implementada cada año mediante los enlaces municipales, para atención integral de la población víctima</v>
      </c>
      <c r="Q245" s="302" t="str">
        <f>'PLAN INDICATIVO'!Q243</f>
        <v>No. De estrategias implementadas por año</v>
      </c>
      <c r="R245" s="303">
        <f>'PLAN INDICATIVO'!R243</f>
        <v>2015</v>
      </c>
      <c r="S245" s="304">
        <v>1</v>
      </c>
      <c r="T245" s="699">
        <v>1</v>
      </c>
      <c r="U245" s="303">
        <v>1</v>
      </c>
      <c r="V245" s="687">
        <v>11600000</v>
      </c>
      <c r="W245" s="303">
        <v>1</v>
      </c>
      <c r="X245" s="687">
        <v>12500000</v>
      </c>
      <c r="Y245" s="303">
        <v>1</v>
      </c>
      <c r="Z245" s="687">
        <v>12500000</v>
      </c>
      <c r="AA245" s="303">
        <v>1</v>
      </c>
      <c r="AB245" s="687">
        <v>13000000</v>
      </c>
      <c r="AC245" s="669">
        <v>1</v>
      </c>
      <c r="AD245" s="669">
        <v>1</v>
      </c>
      <c r="AE245" s="669"/>
      <c r="AF245" s="669"/>
      <c r="AG245" s="1000" t="s">
        <v>3681</v>
      </c>
      <c r="AH245" s="304">
        <v>2017413960043</v>
      </c>
      <c r="AI245" s="355"/>
      <c r="AJ245" s="363">
        <v>42752</v>
      </c>
      <c r="AK245" s="363">
        <v>43100</v>
      </c>
      <c r="AL245" s="358"/>
      <c r="AM245" s="358"/>
      <c r="AN245" s="267" t="s">
        <v>2598</v>
      </c>
      <c r="AO245" s="512" t="s">
        <v>3683</v>
      </c>
      <c r="AP245" s="472">
        <v>10316040</v>
      </c>
      <c r="AQ245" s="472">
        <v>8280770</v>
      </c>
      <c r="AR245" s="472"/>
      <c r="AS245" s="472"/>
      <c r="AT245" s="472"/>
      <c r="AU245" s="472"/>
      <c r="AV245" s="472"/>
      <c r="AW245" s="544">
        <f>SUM(AP245:AV245)</f>
        <v>18596810</v>
      </c>
      <c r="AX245" s="528"/>
      <c r="AY245" s="472"/>
      <c r="AZ245" s="472"/>
      <c r="BA245" s="472"/>
      <c r="BB245" s="472"/>
      <c r="BC245" s="472"/>
      <c r="BD245" s="472"/>
      <c r="BE245" s="544">
        <f t="shared" si="109"/>
        <v>0</v>
      </c>
      <c r="BF245" s="528"/>
      <c r="BG245" s="472"/>
      <c r="BH245" s="472"/>
      <c r="BI245" s="472"/>
      <c r="BJ245" s="472"/>
      <c r="BK245" s="472"/>
      <c r="BL245" s="472"/>
      <c r="BM245" s="544">
        <f t="shared" si="110"/>
        <v>0</v>
      </c>
      <c r="BN245" s="528"/>
      <c r="BO245" s="472"/>
      <c r="BP245" s="472"/>
      <c r="BQ245" s="472"/>
      <c r="BR245" s="472"/>
      <c r="BS245" s="472"/>
      <c r="BT245" s="472"/>
      <c r="BU245" s="544">
        <f t="shared" si="111"/>
        <v>0</v>
      </c>
      <c r="BV245" s="556"/>
      <c r="BW245" s="663">
        <f t="shared" si="99"/>
        <v>2</v>
      </c>
      <c r="BX245" s="674">
        <f t="shared" si="100"/>
        <v>2</v>
      </c>
      <c r="BY245" s="674">
        <f t="shared" si="101"/>
        <v>1</v>
      </c>
      <c r="BZ245" s="674">
        <f t="shared" si="102"/>
        <v>1</v>
      </c>
      <c r="CA245" s="675">
        <f t="shared" si="103"/>
        <v>0</v>
      </c>
      <c r="CB245" s="675">
        <f t="shared" si="104"/>
        <v>0</v>
      </c>
    </row>
    <row r="246" spans="1:80" ht="72.75" hidden="1" customHeight="1" x14ac:dyDescent="0.25">
      <c r="A246" s="298" t="s">
        <v>491</v>
      </c>
      <c r="B246" s="299" t="str">
        <f>'PLAN INDICATIVO'!B244</f>
        <v>Atención a grupos vulnerables - promoción social</v>
      </c>
      <c r="C246" s="1547"/>
      <c r="D246" s="1551"/>
      <c r="E246" s="1551"/>
      <c r="F246" s="1551"/>
      <c r="G246" s="1551"/>
      <c r="H246" s="1551"/>
      <c r="I246" s="300">
        <f>'PLAN INDICATIVO'!I244</f>
        <v>0</v>
      </c>
      <c r="J246" s="300">
        <f>'PLAN INDICATIVO'!J244</f>
        <v>0</v>
      </c>
      <c r="K246" s="1425" t="str">
        <f>'PLAN INDICATIVO'!K244</f>
        <v>A.14.6.3</v>
      </c>
      <c r="L246" s="301" t="str">
        <f>'PLAN INDICATIVO'!L244</f>
        <v>10. Reducción de las desigualdades</v>
      </c>
      <c r="M246" s="301" t="str">
        <f>'PLAN INDICATIVO'!M244</f>
        <v>Secretaría de Gobierno</v>
      </c>
      <c r="N246" s="1425" t="s">
        <v>3680</v>
      </c>
      <c r="O246" s="1425" t="str">
        <f>'PLAN INDICATIVO'!O244</f>
        <v>Mantenimiento</v>
      </c>
      <c r="P246" s="16" t="str">
        <f>'PLAN INDICATIVO'!P244</f>
        <v>Implementar 2 jornadas al año para brindar servicios de salud y vacunación infantil a la población victima</v>
      </c>
      <c r="Q246" s="302" t="str">
        <f>'PLAN INDICATIVO'!Q244</f>
        <v>No. De Jornadas de vacunación realizadas por año</v>
      </c>
      <c r="R246" s="303">
        <f>'PLAN INDICATIVO'!R244</f>
        <v>2015</v>
      </c>
      <c r="S246" s="304">
        <v>0</v>
      </c>
      <c r="T246" s="699">
        <v>2</v>
      </c>
      <c r="U246" s="303">
        <v>2</v>
      </c>
      <c r="V246" s="687">
        <v>8000000</v>
      </c>
      <c r="W246" s="303">
        <v>2</v>
      </c>
      <c r="X246" s="687">
        <v>500000</v>
      </c>
      <c r="Y246" s="303">
        <v>2</v>
      </c>
      <c r="Z246" s="687">
        <v>500000</v>
      </c>
      <c r="AA246" s="303">
        <v>2</v>
      </c>
      <c r="AB246" s="687">
        <v>500000</v>
      </c>
      <c r="AC246" s="669">
        <v>2</v>
      </c>
      <c r="AD246" s="669">
        <v>2</v>
      </c>
      <c r="AE246" s="669"/>
      <c r="AF246" s="669"/>
      <c r="AG246" s="1000" t="s">
        <v>3681</v>
      </c>
      <c r="AH246" s="304">
        <v>2017413960043</v>
      </c>
      <c r="AI246" s="355" t="s">
        <v>3684</v>
      </c>
      <c r="AJ246" s="363">
        <v>42795</v>
      </c>
      <c r="AK246" s="363">
        <v>43069</v>
      </c>
      <c r="AL246" s="358"/>
      <c r="AM246" s="358"/>
      <c r="AN246" s="267" t="s">
        <v>2598</v>
      </c>
      <c r="AO246" s="512" t="s">
        <v>3685</v>
      </c>
      <c r="AP246" s="528"/>
      <c r="AQ246" s="472">
        <v>1000000</v>
      </c>
      <c r="AR246" s="472"/>
      <c r="AS246" s="472"/>
      <c r="AT246" s="472"/>
      <c r="AU246" s="472"/>
      <c r="AV246" s="472"/>
      <c r="AW246" s="1005">
        <f t="shared" si="95"/>
        <v>1000000</v>
      </c>
      <c r="AX246" s="528"/>
      <c r="AY246" s="472"/>
      <c r="AZ246" s="472"/>
      <c r="BA246" s="472"/>
      <c r="BB246" s="472"/>
      <c r="BC246" s="472"/>
      <c r="BD246" s="472"/>
      <c r="BE246" s="544">
        <f t="shared" si="109"/>
        <v>0</v>
      </c>
      <c r="BF246" s="528"/>
      <c r="BG246" s="472"/>
      <c r="BH246" s="472"/>
      <c r="BI246" s="472"/>
      <c r="BJ246" s="472"/>
      <c r="BK246" s="472"/>
      <c r="BL246" s="472"/>
      <c r="BM246" s="544">
        <f t="shared" si="110"/>
        <v>0</v>
      </c>
      <c r="BN246" s="528"/>
      <c r="BO246" s="472"/>
      <c r="BP246" s="472"/>
      <c r="BQ246" s="472"/>
      <c r="BR246" s="472"/>
      <c r="BS246" s="472"/>
      <c r="BT246" s="472"/>
      <c r="BU246" s="544">
        <f t="shared" si="111"/>
        <v>0</v>
      </c>
      <c r="BV246" s="556"/>
      <c r="BW246" s="663">
        <f t="shared" si="99"/>
        <v>4</v>
      </c>
      <c r="BX246" s="674">
        <f t="shared" si="100"/>
        <v>2</v>
      </c>
      <c r="BY246" s="674">
        <f t="shared" si="101"/>
        <v>1</v>
      </c>
      <c r="BZ246" s="674">
        <f t="shared" si="102"/>
        <v>1</v>
      </c>
      <c r="CA246" s="675">
        <f t="shared" si="103"/>
        <v>0</v>
      </c>
      <c r="CB246" s="675">
        <f t="shared" si="104"/>
        <v>0</v>
      </c>
    </row>
    <row r="247" spans="1:80" ht="69" hidden="1" customHeight="1" x14ac:dyDescent="0.25">
      <c r="A247" s="298" t="s">
        <v>491</v>
      </c>
      <c r="B247" s="299" t="str">
        <f>'PLAN INDICATIVO'!B245</f>
        <v>Atención a grupos vulnerables - promoción social</v>
      </c>
      <c r="C247" s="1547"/>
      <c r="D247" s="1551"/>
      <c r="E247" s="1551"/>
      <c r="F247" s="1551"/>
      <c r="G247" s="1551"/>
      <c r="H247" s="1551"/>
      <c r="I247" s="300">
        <f>'PLAN INDICATIVO'!I245</f>
        <v>0</v>
      </c>
      <c r="J247" s="300">
        <f>'PLAN INDICATIVO'!J245</f>
        <v>0</v>
      </c>
      <c r="K247" s="1425" t="str">
        <f>'PLAN INDICATIVO'!K245</f>
        <v>A.14.6.4</v>
      </c>
      <c r="L247" s="301" t="str">
        <f>'PLAN INDICATIVO'!L245</f>
        <v>10. Reducción de las desigualdades</v>
      </c>
      <c r="M247" s="301" t="str">
        <f>'PLAN INDICATIVO'!M245</f>
        <v>Secretaría de Gobierno</v>
      </c>
      <c r="N247" s="1425" t="s">
        <v>3680</v>
      </c>
      <c r="O247" s="1425" t="str">
        <f>'PLAN INDICATIVO'!O245</f>
        <v>Mantenimiento</v>
      </c>
      <c r="P247" s="16" t="str">
        <f>'PLAN INDICATIVO'!P245</f>
        <v>Participar en 2 consejos educativos en el año para proteger y fiscalizar que se brinden los servicios educativos a las víctimas</v>
      </c>
      <c r="Q247" s="302" t="str">
        <f>'PLAN INDICATIVO'!Q245</f>
        <v>No. de consejo educativos realizados por año</v>
      </c>
      <c r="R247" s="303">
        <f>'PLAN INDICATIVO'!R245</f>
        <v>2015</v>
      </c>
      <c r="S247" s="304">
        <v>0</v>
      </c>
      <c r="T247" s="699">
        <v>2</v>
      </c>
      <c r="U247" s="303">
        <v>2</v>
      </c>
      <c r="V247" s="687">
        <v>2800000</v>
      </c>
      <c r="W247" s="303">
        <v>2</v>
      </c>
      <c r="X247" s="687">
        <v>500000</v>
      </c>
      <c r="Y247" s="303">
        <v>2</v>
      </c>
      <c r="Z247" s="687">
        <v>500000</v>
      </c>
      <c r="AA247" s="303">
        <v>2</v>
      </c>
      <c r="AB247" s="687">
        <v>500000</v>
      </c>
      <c r="AC247" s="669">
        <v>2</v>
      </c>
      <c r="AD247" s="669">
        <v>2</v>
      </c>
      <c r="AE247" s="669"/>
      <c r="AF247" s="669"/>
      <c r="AG247" s="1000" t="s">
        <v>3681</v>
      </c>
      <c r="AH247" s="304">
        <v>2017413960043</v>
      </c>
      <c r="AI247" s="355" t="s">
        <v>3686</v>
      </c>
      <c r="AJ247" s="363">
        <v>42795</v>
      </c>
      <c r="AK247" s="363">
        <v>43069</v>
      </c>
      <c r="AL247" s="358"/>
      <c r="AM247" s="358"/>
      <c r="AN247" s="267" t="s">
        <v>2598</v>
      </c>
      <c r="AO247" s="512"/>
      <c r="AP247" s="528"/>
      <c r="AQ247" s="472">
        <v>2778540</v>
      </c>
      <c r="AR247" s="472"/>
      <c r="AS247" s="472"/>
      <c r="AT247" s="472"/>
      <c r="AU247" s="472"/>
      <c r="AV247" s="472"/>
      <c r="AW247" s="544">
        <f t="shared" si="95"/>
        <v>2778540</v>
      </c>
      <c r="AX247" s="528"/>
      <c r="AY247" s="472"/>
      <c r="AZ247" s="472"/>
      <c r="BA247" s="472"/>
      <c r="BB247" s="472"/>
      <c r="BC247" s="472"/>
      <c r="BD247" s="472"/>
      <c r="BE247" s="544">
        <f t="shared" si="109"/>
        <v>0</v>
      </c>
      <c r="BF247" s="528"/>
      <c r="BG247" s="472"/>
      <c r="BH247" s="472"/>
      <c r="BI247" s="472"/>
      <c r="BJ247" s="472"/>
      <c r="BK247" s="472"/>
      <c r="BL247" s="472"/>
      <c r="BM247" s="544">
        <f t="shared" si="110"/>
        <v>0</v>
      </c>
      <c r="BN247" s="528"/>
      <c r="BO247" s="472"/>
      <c r="BP247" s="472"/>
      <c r="BQ247" s="472"/>
      <c r="BR247" s="472"/>
      <c r="BS247" s="472"/>
      <c r="BT247" s="472"/>
      <c r="BU247" s="544">
        <f t="shared" si="111"/>
        <v>0</v>
      </c>
      <c r="BV247" s="556"/>
      <c r="BW247" s="663">
        <f t="shared" si="99"/>
        <v>4</v>
      </c>
      <c r="BX247" s="674">
        <f t="shared" si="100"/>
        <v>2</v>
      </c>
      <c r="BY247" s="674">
        <f t="shared" si="101"/>
        <v>1</v>
      </c>
      <c r="BZ247" s="674">
        <f t="shared" si="102"/>
        <v>1</v>
      </c>
      <c r="CA247" s="675">
        <f t="shared" si="103"/>
        <v>0</v>
      </c>
      <c r="CB247" s="675">
        <f t="shared" si="104"/>
        <v>0</v>
      </c>
    </row>
    <row r="248" spans="1:80" ht="90" hidden="1" customHeight="1" x14ac:dyDescent="0.25">
      <c r="A248" s="298" t="s">
        <v>491</v>
      </c>
      <c r="B248" s="299" t="str">
        <f>'PLAN INDICATIVO'!B246</f>
        <v>Atención a grupos vulnerables - promoción social</v>
      </c>
      <c r="C248" s="1547"/>
      <c r="D248" s="1551"/>
      <c r="E248" s="1551"/>
      <c r="F248" s="1551"/>
      <c r="G248" s="1551"/>
      <c r="H248" s="1551"/>
      <c r="I248" s="300">
        <f>'PLAN INDICATIVO'!I246</f>
        <v>0</v>
      </c>
      <c r="J248" s="300">
        <f>'PLAN INDICATIVO'!J246</f>
        <v>0</v>
      </c>
      <c r="K248" s="1425" t="str">
        <f>'PLAN INDICATIVO'!K246</f>
        <v>A.14.6.5</v>
      </c>
      <c r="L248" s="301" t="str">
        <f>'PLAN INDICATIVO'!L246</f>
        <v>10. Reducción de las desigualdades</v>
      </c>
      <c r="M248" s="301" t="str">
        <f>'PLAN INDICATIVO'!M246</f>
        <v>Secretaría de Gobierno</v>
      </c>
      <c r="N248" s="1425" t="s">
        <v>3680</v>
      </c>
      <c r="O248" s="1425" t="str">
        <f>'PLAN INDICATIVO'!O246</f>
        <v>Incremento</v>
      </c>
      <c r="P248" s="16" t="str">
        <f>'PLAN INDICATIVO'!P246</f>
        <v>Realizar 2 campañas de  sensibilización y fortalecimiento a las iniciativas del gobierno nacional con las víctimas del conflicto donde se busque el retorno y la reunificación familiar durante el cuatrienio</v>
      </c>
      <c r="Q248" s="302" t="str">
        <f>'PLAN INDICATIVO'!Q246</f>
        <v>No. De Campañas realizadas</v>
      </c>
      <c r="R248" s="303">
        <f>'PLAN INDICATIVO'!R246</f>
        <v>2015</v>
      </c>
      <c r="S248" s="304">
        <v>0</v>
      </c>
      <c r="T248" s="699">
        <v>2</v>
      </c>
      <c r="U248" s="303">
        <v>0</v>
      </c>
      <c r="V248" s="687"/>
      <c r="W248" s="303">
        <v>1</v>
      </c>
      <c r="X248" s="687">
        <v>500000</v>
      </c>
      <c r="Y248" s="303">
        <v>1</v>
      </c>
      <c r="Z248" s="687">
        <v>500000</v>
      </c>
      <c r="AA248" s="303">
        <v>0</v>
      </c>
      <c r="AB248" s="687"/>
      <c r="AC248" s="669"/>
      <c r="AD248" s="669">
        <v>1</v>
      </c>
      <c r="AE248" s="669"/>
      <c r="AF248" s="669"/>
      <c r="AG248" s="1000" t="s">
        <v>3681</v>
      </c>
      <c r="AH248" s="304">
        <v>2017413960043</v>
      </c>
      <c r="AI248" s="355" t="s">
        <v>3687</v>
      </c>
      <c r="AJ248" s="363">
        <v>42795</v>
      </c>
      <c r="AK248" s="363">
        <v>43069</v>
      </c>
      <c r="AL248" s="358"/>
      <c r="AM248" s="358"/>
      <c r="AN248" s="267" t="s">
        <v>2598</v>
      </c>
      <c r="AO248" s="512" t="s">
        <v>3688</v>
      </c>
      <c r="AP248" s="528"/>
      <c r="AQ248" s="472">
        <v>1800000</v>
      </c>
      <c r="AR248" s="472"/>
      <c r="AS248" s="472"/>
      <c r="AT248" s="472"/>
      <c r="AU248" s="472"/>
      <c r="AV248" s="472"/>
      <c r="AW248" s="544">
        <f t="shared" si="95"/>
        <v>1800000</v>
      </c>
      <c r="AX248" s="528"/>
      <c r="AY248" s="472"/>
      <c r="AZ248" s="472"/>
      <c r="BA248" s="472"/>
      <c r="BB248" s="472"/>
      <c r="BC248" s="472"/>
      <c r="BD248" s="472"/>
      <c r="BE248" s="544">
        <f t="shared" si="109"/>
        <v>0</v>
      </c>
      <c r="BF248" s="528"/>
      <c r="BG248" s="472"/>
      <c r="BH248" s="472"/>
      <c r="BI248" s="472"/>
      <c r="BJ248" s="472"/>
      <c r="BK248" s="472"/>
      <c r="BL248" s="472"/>
      <c r="BM248" s="544">
        <f t="shared" si="110"/>
        <v>0</v>
      </c>
      <c r="BN248" s="528"/>
      <c r="BO248" s="472"/>
      <c r="BP248" s="472"/>
      <c r="BQ248" s="472"/>
      <c r="BR248" s="472"/>
      <c r="BS248" s="472"/>
      <c r="BT248" s="472"/>
      <c r="BU248" s="544">
        <f t="shared" si="111"/>
        <v>0</v>
      </c>
      <c r="BV248" s="556"/>
      <c r="BW248" s="663">
        <f t="shared" si="99"/>
        <v>1</v>
      </c>
      <c r="BX248" s="918">
        <f t="shared" si="100"/>
        <v>0.5</v>
      </c>
      <c r="BY248" s="674" t="e">
        <f t="shared" si="101"/>
        <v>#DIV/0!</v>
      </c>
      <c r="BZ248" s="674">
        <f t="shared" si="102"/>
        <v>1</v>
      </c>
      <c r="CA248" s="675">
        <f t="shared" si="103"/>
        <v>0</v>
      </c>
      <c r="CB248" s="675" t="e">
        <f t="shared" si="104"/>
        <v>#DIV/0!</v>
      </c>
    </row>
    <row r="249" spans="1:80" ht="88.5" hidden="1" customHeight="1" x14ac:dyDescent="0.25">
      <c r="A249" s="298" t="s">
        <v>491</v>
      </c>
      <c r="B249" s="299" t="str">
        <f>'PLAN INDICATIVO'!B247</f>
        <v>Atención a grupos vulnerables - promoción social</v>
      </c>
      <c r="C249" s="1547"/>
      <c r="D249" s="1551"/>
      <c r="E249" s="1551"/>
      <c r="F249" s="1551"/>
      <c r="G249" s="1551"/>
      <c r="H249" s="1551"/>
      <c r="I249" s="300">
        <f>'PLAN INDICATIVO'!I247</f>
        <v>0</v>
      </c>
      <c r="J249" s="300">
        <f>'PLAN INDICATIVO'!J247</f>
        <v>0</v>
      </c>
      <c r="K249" s="1425" t="str">
        <f>'PLAN INDICATIVO'!K247</f>
        <v>A.14.6.6</v>
      </c>
      <c r="L249" s="301" t="str">
        <f>'PLAN INDICATIVO'!L247</f>
        <v>10. Reducción de las desigualdades</v>
      </c>
      <c r="M249" s="301" t="str">
        <f>'PLAN INDICATIVO'!M247</f>
        <v>Secretaría de Gobierno</v>
      </c>
      <c r="N249" s="1425" t="s">
        <v>3680</v>
      </c>
      <c r="O249" s="1425" t="str">
        <f>'PLAN INDICATIVO'!O247</f>
        <v>Incremento</v>
      </c>
      <c r="P249" s="16" t="str">
        <f>'PLAN INDICATIVO'!P247</f>
        <v xml:space="preserve">Realizar 3 jornadas de articulación institucional  entre la Registraduría, ejército nacional y funcionarios del SISBEN para lograr identidad de población víctima del conflicto armado, durante el cuatrienio. </v>
      </c>
      <c r="Q249" s="302" t="str">
        <f>'PLAN INDICATIVO'!Q247</f>
        <v>No. De Jornadas de oferta realizadas</v>
      </c>
      <c r="R249" s="303">
        <f>'PLAN INDICATIVO'!R247</f>
        <v>2015</v>
      </c>
      <c r="S249" s="304">
        <v>0</v>
      </c>
      <c r="T249" s="699">
        <v>3</v>
      </c>
      <c r="U249" s="303">
        <v>1</v>
      </c>
      <c r="V249" s="687"/>
      <c r="W249" s="303">
        <v>1</v>
      </c>
      <c r="X249" s="687">
        <v>500000</v>
      </c>
      <c r="Y249" s="303">
        <v>1</v>
      </c>
      <c r="Z249" s="687">
        <v>500000</v>
      </c>
      <c r="AA249" s="303">
        <v>0</v>
      </c>
      <c r="AB249" s="687">
        <v>500000</v>
      </c>
      <c r="AC249" s="669">
        <v>2</v>
      </c>
      <c r="AD249" s="669"/>
      <c r="AE249" s="669"/>
      <c r="AF249" s="669"/>
      <c r="AG249" s="1000" t="s">
        <v>3681</v>
      </c>
      <c r="AH249" s="304">
        <v>2017413960043</v>
      </c>
      <c r="AI249" s="355" t="s">
        <v>3689</v>
      </c>
      <c r="AJ249" s="363">
        <v>42795</v>
      </c>
      <c r="AK249" s="363">
        <v>43069</v>
      </c>
      <c r="AL249" s="358"/>
      <c r="AM249" s="358"/>
      <c r="AN249" s="267" t="s">
        <v>2600</v>
      </c>
      <c r="AO249" s="512"/>
      <c r="AP249" s="528"/>
      <c r="AQ249" s="472"/>
      <c r="AR249" s="472"/>
      <c r="AS249" s="472"/>
      <c r="AT249" s="472"/>
      <c r="AU249" s="472"/>
      <c r="AV249" s="472"/>
      <c r="AW249" s="544">
        <f t="shared" si="95"/>
        <v>0</v>
      </c>
      <c r="AX249" s="528"/>
      <c r="AY249" s="472"/>
      <c r="AZ249" s="472"/>
      <c r="BA249" s="472"/>
      <c r="BB249" s="472"/>
      <c r="BC249" s="472"/>
      <c r="BD249" s="472"/>
      <c r="BE249" s="544">
        <f t="shared" si="109"/>
        <v>0</v>
      </c>
      <c r="BF249" s="528"/>
      <c r="BG249" s="472"/>
      <c r="BH249" s="472"/>
      <c r="BI249" s="472"/>
      <c r="BJ249" s="472"/>
      <c r="BK249" s="472"/>
      <c r="BL249" s="472"/>
      <c r="BM249" s="544">
        <f t="shared" si="110"/>
        <v>0</v>
      </c>
      <c r="BN249" s="528"/>
      <c r="BO249" s="472"/>
      <c r="BP249" s="472"/>
      <c r="BQ249" s="472"/>
      <c r="BR249" s="472"/>
      <c r="BS249" s="472"/>
      <c r="BT249" s="472"/>
      <c r="BU249" s="544">
        <f t="shared" si="111"/>
        <v>0</v>
      </c>
      <c r="BV249" s="556"/>
      <c r="BW249" s="663">
        <f t="shared" si="99"/>
        <v>2</v>
      </c>
      <c r="BX249" s="674">
        <f t="shared" si="100"/>
        <v>0.66666666666666663</v>
      </c>
      <c r="BY249" s="674">
        <f t="shared" si="101"/>
        <v>2</v>
      </c>
      <c r="BZ249" s="674">
        <f t="shared" si="102"/>
        <v>0</v>
      </c>
      <c r="CA249" s="675">
        <f t="shared" si="103"/>
        <v>0</v>
      </c>
      <c r="CB249" s="675" t="e">
        <f t="shared" si="104"/>
        <v>#DIV/0!</v>
      </c>
    </row>
    <row r="250" spans="1:80" ht="112.5" hidden="1" customHeight="1" x14ac:dyDescent="0.25">
      <c r="A250" s="298" t="s">
        <v>491</v>
      </c>
      <c r="B250" s="299" t="str">
        <f>'PLAN INDICATIVO'!B248</f>
        <v>Atención a grupos vulnerables - promoción social</v>
      </c>
      <c r="C250" s="1547"/>
      <c r="D250" s="1551"/>
      <c r="E250" s="1551"/>
      <c r="F250" s="1551"/>
      <c r="G250" s="1551"/>
      <c r="H250" s="1551"/>
      <c r="I250" s="300">
        <f>'PLAN INDICATIVO'!I248</f>
        <v>0</v>
      </c>
      <c r="J250" s="300">
        <f>'PLAN INDICATIVO'!J248</f>
        <v>0</v>
      </c>
      <c r="K250" s="1425" t="str">
        <f>'PLAN INDICATIVO'!K248</f>
        <v>A.14.6.7</v>
      </c>
      <c r="L250" s="301" t="str">
        <f>'PLAN INDICATIVO'!L248</f>
        <v>10. Reducción de las desigualdades</v>
      </c>
      <c r="M250" s="301" t="str">
        <f>'PLAN INDICATIVO'!M248</f>
        <v>Secretaría de Gobierno</v>
      </c>
      <c r="N250" s="1425" t="s">
        <v>3680</v>
      </c>
      <c r="O250" s="1425" t="str">
        <f>'PLAN INDICATIVO'!O248</f>
        <v>Incremento</v>
      </c>
      <c r="P250" s="820" t="str">
        <f>'PLAN INDICATIVO'!P248</f>
        <v>Desarrollar 3 proyectos productivos articulados con el programa  capital semilla para generar unidades productivas y mejorar ingresos de población víctima del conflicto armado,  durante el cuatrienio</v>
      </c>
      <c r="Q250" s="302" t="str">
        <f>'PLAN INDICATIVO'!Q248</f>
        <v>No. De Proyectos productivos articulados</v>
      </c>
      <c r="R250" s="303">
        <f>'PLAN INDICATIVO'!R248</f>
        <v>2015</v>
      </c>
      <c r="S250" s="304">
        <v>0</v>
      </c>
      <c r="T250" s="699">
        <v>3</v>
      </c>
      <c r="U250" s="303">
        <v>1</v>
      </c>
      <c r="V250" s="687"/>
      <c r="W250" s="815">
        <v>0</v>
      </c>
      <c r="X250" s="687">
        <v>16330000</v>
      </c>
      <c r="Y250" s="303">
        <v>1</v>
      </c>
      <c r="Z250" s="687">
        <v>16700000</v>
      </c>
      <c r="AA250" s="303">
        <v>1</v>
      </c>
      <c r="AB250" s="687">
        <v>17100000</v>
      </c>
      <c r="AC250" s="669">
        <v>1</v>
      </c>
      <c r="AD250" s="669"/>
      <c r="AE250" s="669"/>
      <c r="AF250" s="669"/>
      <c r="AG250" s="1000" t="s">
        <v>3681</v>
      </c>
      <c r="AH250" s="304">
        <v>2017413960043</v>
      </c>
      <c r="AI250" s="355"/>
      <c r="AJ250" s="363">
        <v>42795</v>
      </c>
      <c r="AK250" s="363">
        <v>43069</v>
      </c>
      <c r="AL250" s="358"/>
      <c r="AM250" s="358"/>
      <c r="AN250" s="267" t="s">
        <v>2600</v>
      </c>
      <c r="AO250" s="512"/>
      <c r="AP250" s="528"/>
      <c r="AQ250" s="472"/>
      <c r="AR250" s="472"/>
      <c r="AS250" s="472"/>
      <c r="AT250" s="472"/>
      <c r="AU250" s="472"/>
      <c r="AV250" s="472"/>
      <c r="AW250" s="544">
        <f t="shared" si="95"/>
        <v>0</v>
      </c>
      <c r="AX250" s="528"/>
      <c r="AY250" s="472"/>
      <c r="AZ250" s="472"/>
      <c r="BA250" s="472"/>
      <c r="BB250" s="472"/>
      <c r="BC250" s="472"/>
      <c r="BD250" s="472"/>
      <c r="BE250" s="544">
        <f t="shared" si="109"/>
        <v>0</v>
      </c>
      <c r="BF250" s="528"/>
      <c r="BG250" s="472"/>
      <c r="BH250" s="472"/>
      <c r="BI250" s="472"/>
      <c r="BJ250" s="472"/>
      <c r="BK250" s="472"/>
      <c r="BL250" s="472"/>
      <c r="BM250" s="544">
        <f t="shared" si="110"/>
        <v>0</v>
      </c>
      <c r="BN250" s="528"/>
      <c r="BO250" s="472"/>
      <c r="BP250" s="472"/>
      <c r="BQ250" s="472"/>
      <c r="BR250" s="472"/>
      <c r="BS250" s="472"/>
      <c r="BT250" s="472"/>
      <c r="BU250" s="544">
        <f t="shared" si="111"/>
        <v>0</v>
      </c>
      <c r="BV250" s="556"/>
      <c r="BW250" s="663">
        <f t="shared" si="99"/>
        <v>1</v>
      </c>
      <c r="BX250" s="918">
        <f t="shared" si="100"/>
        <v>0.33333333333333331</v>
      </c>
      <c r="BY250" s="674">
        <f t="shared" si="101"/>
        <v>1</v>
      </c>
      <c r="BZ250" s="674" t="e">
        <f t="shared" si="102"/>
        <v>#DIV/0!</v>
      </c>
      <c r="CA250" s="675">
        <f t="shared" si="103"/>
        <v>0</v>
      </c>
      <c r="CB250" s="675">
        <f t="shared" si="104"/>
        <v>0</v>
      </c>
    </row>
    <row r="251" spans="1:80" ht="93.75" hidden="1" customHeight="1" x14ac:dyDescent="0.25">
      <c r="A251" s="298" t="s">
        <v>491</v>
      </c>
      <c r="B251" s="299" t="str">
        <f>'PLAN INDICATIVO'!B249</f>
        <v>Atención a grupos vulnerables - promoción social</v>
      </c>
      <c r="C251" s="1547"/>
      <c r="D251" s="1551"/>
      <c r="E251" s="1551"/>
      <c r="F251" s="1551"/>
      <c r="G251" s="1551"/>
      <c r="H251" s="1551"/>
      <c r="I251" s="300">
        <f>'PLAN INDICATIVO'!I249</f>
        <v>0</v>
      </c>
      <c r="J251" s="300">
        <f>'PLAN INDICATIVO'!J249</f>
        <v>0</v>
      </c>
      <c r="K251" s="1425" t="str">
        <f>'PLAN INDICATIVO'!K249</f>
        <v>A.14.6.8</v>
      </c>
      <c r="L251" s="301" t="str">
        <f>'PLAN INDICATIVO'!L249</f>
        <v>10. Reducción de las desigualdades</v>
      </c>
      <c r="M251" s="301" t="str">
        <f>'PLAN INDICATIVO'!M249</f>
        <v>Secretaría de Gobierno</v>
      </c>
      <c r="N251" s="1425" t="s">
        <v>3680</v>
      </c>
      <c r="O251" s="1425" t="str">
        <f>'PLAN INDICATIVO'!O249</f>
        <v>Incremento</v>
      </c>
      <c r="P251" s="25" t="str">
        <f>'PLAN INDICATIVO'!P249</f>
        <v>Apoyar 3 unidades de negocio establecidas por las personas en proceso de reintegración, a través del beneficio de inserción económica brindado por la Agencia Colombiana Para La Reintegración, durante el cuatrienio</v>
      </c>
      <c r="Q251" s="302" t="str">
        <f>'PLAN INDICATIVO'!Q249</f>
        <v>No. De Unidades de negocio apoyadas</v>
      </c>
      <c r="R251" s="303">
        <f>'PLAN INDICATIVO'!R249</f>
        <v>2015</v>
      </c>
      <c r="S251" s="304">
        <v>0</v>
      </c>
      <c r="T251" s="699">
        <v>3</v>
      </c>
      <c r="U251" s="303">
        <v>1</v>
      </c>
      <c r="V251" s="687"/>
      <c r="W251" s="303">
        <v>0</v>
      </c>
      <c r="X251" s="687">
        <v>3200000</v>
      </c>
      <c r="Y251" s="303">
        <v>1</v>
      </c>
      <c r="Z251" s="687">
        <v>3500000</v>
      </c>
      <c r="AA251" s="303">
        <v>2</v>
      </c>
      <c r="AB251" s="687">
        <v>3500000</v>
      </c>
      <c r="AC251" s="669"/>
      <c r="AD251" s="669"/>
      <c r="AE251" s="669"/>
      <c r="AF251" s="669"/>
      <c r="AG251" s="1000" t="s">
        <v>3681</v>
      </c>
      <c r="AH251" s="304">
        <v>2017413960043</v>
      </c>
      <c r="AI251" s="355"/>
      <c r="AJ251" s="363">
        <v>42795</v>
      </c>
      <c r="AK251" s="363">
        <v>43069</v>
      </c>
      <c r="AL251" s="358"/>
      <c r="AM251" s="358"/>
      <c r="AN251" s="267" t="s">
        <v>2594</v>
      </c>
      <c r="AO251" s="512"/>
      <c r="AP251" s="528"/>
      <c r="AQ251" s="472"/>
      <c r="AR251" s="472"/>
      <c r="AS251" s="472"/>
      <c r="AT251" s="472"/>
      <c r="AU251" s="472"/>
      <c r="AV251" s="472"/>
      <c r="AW251" s="544">
        <f t="shared" si="95"/>
        <v>0</v>
      </c>
      <c r="AX251" s="528"/>
      <c r="AY251" s="472"/>
      <c r="AZ251" s="472"/>
      <c r="BA251" s="472"/>
      <c r="BB251" s="472"/>
      <c r="BC251" s="472"/>
      <c r="BD251" s="472"/>
      <c r="BE251" s="544">
        <f t="shared" si="109"/>
        <v>0</v>
      </c>
      <c r="BF251" s="528"/>
      <c r="BG251" s="472"/>
      <c r="BH251" s="472"/>
      <c r="BI251" s="472"/>
      <c r="BJ251" s="472"/>
      <c r="BK251" s="472"/>
      <c r="BL251" s="472"/>
      <c r="BM251" s="544">
        <f t="shared" si="110"/>
        <v>0</v>
      </c>
      <c r="BN251" s="528"/>
      <c r="BO251" s="472"/>
      <c r="BP251" s="472"/>
      <c r="BQ251" s="472"/>
      <c r="BR251" s="472"/>
      <c r="BS251" s="472"/>
      <c r="BT251" s="472"/>
      <c r="BU251" s="544">
        <f t="shared" si="111"/>
        <v>0</v>
      </c>
      <c r="BV251" s="556"/>
      <c r="BW251" s="663">
        <f t="shared" si="99"/>
        <v>0</v>
      </c>
      <c r="BX251" s="918">
        <f t="shared" si="100"/>
        <v>0</v>
      </c>
      <c r="BY251" s="674">
        <f t="shared" si="101"/>
        <v>0</v>
      </c>
      <c r="BZ251" s="674" t="e">
        <f t="shared" si="102"/>
        <v>#DIV/0!</v>
      </c>
      <c r="CA251" s="675">
        <f t="shared" si="103"/>
        <v>0</v>
      </c>
      <c r="CB251" s="675">
        <f t="shared" si="104"/>
        <v>0</v>
      </c>
    </row>
    <row r="252" spans="1:80" ht="114.75" hidden="1" customHeight="1" x14ac:dyDescent="0.25">
      <c r="A252" s="298" t="s">
        <v>491</v>
      </c>
      <c r="B252" s="299" t="str">
        <f>'PLAN INDICATIVO'!B250</f>
        <v>Atención a grupos vulnerables - promoción social</v>
      </c>
      <c r="C252" s="1547"/>
      <c r="D252" s="1551"/>
      <c r="E252" s="1551"/>
      <c r="F252" s="1551"/>
      <c r="G252" s="1551"/>
      <c r="H252" s="1551"/>
      <c r="I252" s="300">
        <f>'PLAN INDICATIVO'!I250</f>
        <v>0</v>
      </c>
      <c r="J252" s="300">
        <f>'PLAN INDICATIVO'!J250</f>
        <v>0</v>
      </c>
      <c r="K252" s="1425" t="str">
        <f>'PLAN INDICATIVO'!K250</f>
        <v>A.14.6.9</v>
      </c>
      <c r="L252" s="301" t="str">
        <f>'PLAN INDICATIVO'!L250</f>
        <v>10. Reducción de las desigualdades</v>
      </c>
      <c r="M252" s="301" t="str">
        <f>'PLAN INDICATIVO'!M250</f>
        <v>Secretaría de Gobierno</v>
      </c>
      <c r="N252" s="1425" t="s">
        <v>3680</v>
      </c>
      <c r="O252" s="1425" t="str">
        <f>'PLAN INDICATIVO'!O250</f>
        <v>Incremento</v>
      </c>
      <c r="P252" s="25" t="str">
        <f>'PLAN INDICATIVO'!P250</f>
        <v xml:space="preserve">Realizar 1 oferta institucional a la población víctima del conflicto armado  para acceso a programas de vivienda nueva o mejoramiento de las mismas, durante el cuatrienio. </v>
      </c>
      <c r="Q252" s="302" t="str">
        <f>'PLAN INDICATIVO'!Q250</f>
        <v xml:space="preserve">No. de ofertas realizadas </v>
      </c>
      <c r="R252" s="303">
        <f>'PLAN INDICATIVO'!R250</f>
        <v>2015</v>
      </c>
      <c r="S252" s="304">
        <v>0</v>
      </c>
      <c r="T252" s="699">
        <v>1</v>
      </c>
      <c r="U252" s="303">
        <v>1</v>
      </c>
      <c r="V252" s="687"/>
      <c r="W252" s="17">
        <v>0.3</v>
      </c>
      <c r="X252" s="687">
        <v>500000</v>
      </c>
      <c r="Y252" s="303">
        <v>0.7</v>
      </c>
      <c r="Z252" s="687"/>
      <c r="AA252" s="303">
        <v>0</v>
      </c>
      <c r="AB252" s="687"/>
      <c r="AC252" s="669"/>
      <c r="AD252" s="669">
        <v>0.3</v>
      </c>
      <c r="AE252" s="669"/>
      <c r="AF252" s="669"/>
      <c r="AG252" s="1000" t="s">
        <v>3681</v>
      </c>
      <c r="AH252" s="304">
        <v>2017413960043</v>
      </c>
      <c r="AI252" s="355"/>
      <c r="AJ252" s="363">
        <v>42795</v>
      </c>
      <c r="AK252" s="363">
        <v>43069</v>
      </c>
      <c r="AL252" s="358"/>
      <c r="AM252" s="358"/>
      <c r="AN252" s="267" t="s">
        <v>2598</v>
      </c>
      <c r="AO252" s="512"/>
      <c r="AP252" s="528"/>
      <c r="AQ252" s="472">
        <v>1000000</v>
      </c>
      <c r="AR252" s="472"/>
      <c r="AS252" s="472"/>
      <c r="AT252" s="472"/>
      <c r="AU252" s="472"/>
      <c r="AV252" s="472"/>
      <c r="AW252" s="544">
        <f t="shared" si="95"/>
        <v>1000000</v>
      </c>
      <c r="AX252" s="528"/>
      <c r="AY252" s="472"/>
      <c r="AZ252" s="472"/>
      <c r="BA252" s="472"/>
      <c r="BB252" s="472"/>
      <c r="BC252" s="472"/>
      <c r="BD252" s="472"/>
      <c r="BE252" s="544">
        <f t="shared" si="109"/>
        <v>0</v>
      </c>
      <c r="BF252" s="528"/>
      <c r="BG252" s="472"/>
      <c r="BH252" s="472"/>
      <c r="BI252" s="472"/>
      <c r="BJ252" s="472"/>
      <c r="BK252" s="472"/>
      <c r="BL252" s="472"/>
      <c r="BM252" s="544">
        <f t="shared" si="110"/>
        <v>0</v>
      </c>
      <c r="BN252" s="528"/>
      <c r="BO252" s="472"/>
      <c r="BP252" s="472"/>
      <c r="BQ252" s="472"/>
      <c r="BR252" s="472"/>
      <c r="BS252" s="472"/>
      <c r="BT252" s="472"/>
      <c r="BU252" s="544">
        <f t="shared" si="111"/>
        <v>0</v>
      </c>
      <c r="BV252" s="556"/>
      <c r="BW252" s="663">
        <f t="shared" si="99"/>
        <v>0.3</v>
      </c>
      <c r="BX252" s="877">
        <f t="shared" si="100"/>
        <v>0.3</v>
      </c>
      <c r="BY252" s="674">
        <f t="shared" si="101"/>
        <v>0</v>
      </c>
      <c r="BZ252" s="674">
        <f t="shared" si="102"/>
        <v>1</v>
      </c>
      <c r="CA252" s="675">
        <f t="shared" si="103"/>
        <v>0</v>
      </c>
      <c r="CB252" s="675" t="e">
        <f t="shared" si="104"/>
        <v>#DIV/0!</v>
      </c>
    </row>
    <row r="253" spans="1:80" ht="66" hidden="1" customHeight="1" x14ac:dyDescent="0.25">
      <c r="A253" s="298" t="s">
        <v>491</v>
      </c>
      <c r="B253" s="299" t="str">
        <f>'PLAN INDICATIVO'!B251</f>
        <v>Atención a grupos vulnerables - promoción social</v>
      </c>
      <c r="C253" s="1547"/>
      <c r="D253" s="1551"/>
      <c r="E253" s="1551"/>
      <c r="F253" s="1551"/>
      <c r="G253" s="1551"/>
      <c r="H253" s="1551"/>
      <c r="I253" s="300">
        <f>'PLAN INDICATIVO'!I251</f>
        <v>0</v>
      </c>
      <c r="J253" s="300">
        <f>'PLAN INDICATIVO'!J251</f>
        <v>0</v>
      </c>
      <c r="K253" s="1425" t="str">
        <f>'PLAN INDICATIVO'!K251</f>
        <v>A.14.6.10</v>
      </c>
      <c r="L253" s="301" t="str">
        <f>'PLAN INDICATIVO'!L251</f>
        <v>10. Reducción de las desigualdades</v>
      </c>
      <c r="M253" s="301" t="str">
        <f>'PLAN INDICATIVO'!M251</f>
        <v>Secretaría de Gobierno</v>
      </c>
      <c r="N253" s="1425" t="s">
        <v>3680</v>
      </c>
      <c r="O253" s="1425" t="str">
        <f>'PLAN INDICATIVO'!O251</f>
        <v>Incremento</v>
      </c>
      <c r="P253" s="16" t="str">
        <f>'PLAN INDICATIVO'!P251</f>
        <v xml:space="preserve">Realizar 4 conmemoraciones del día de las víctimas, durante el cuatrienio. </v>
      </c>
      <c r="Q253" s="302" t="str">
        <f>'PLAN INDICATIVO'!Q251</f>
        <v xml:space="preserve">No. De Conmemoraciones realizadas </v>
      </c>
      <c r="R253" s="303">
        <f>'PLAN INDICATIVO'!R251</f>
        <v>2015</v>
      </c>
      <c r="S253" s="304">
        <v>1</v>
      </c>
      <c r="T253" s="699">
        <v>4</v>
      </c>
      <c r="U253" s="303">
        <v>1</v>
      </c>
      <c r="V253" s="687">
        <v>1500000</v>
      </c>
      <c r="W253" s="303">
        <v>1</v>
      </c>
      <c r="X253" s="687">
        <v>1500000</v>
      </c>
      <c r="Y253" s="303">
        <v>1</v>
      </c>
      <c r="Z253" s="687">
        <v>1500000</v>
      </c>
      <c r="AA253" s="303">
        <v>1</v>
      </c>
      <c r="AB253" s="687">
        <v>1500000</v>
      </c>
      <c r="AC253" s="669">
        <v>1</v>
      </c>
      <c r="AD253" s="669">
        <v>1</v>
      </c>
      <c r="AE253" s="669"/>
      <c r="AF253" s="669"/>
      <c r="AG253" s="1000" t="s">
        <v>3681</v>
      </c>
      <c r="AH253" s="304">
        <v>2017413960043</v>
      </c>
      <c r="AI253" s="355" t="s">
        <v>3690</v>
      </c>
      <c r="AJ253" s="363">
        <v>42795</v>
      </c>
      <c r="AK253" s="363">
        <v>43069</v>
      </c>
      <c r="AL253" s="358"/>
      <c r="AM253" s="358"/>
      <c r="AN253" s="267" t="s">
        <v>2598</v>
      </c>
      <c r="AO253" s="512" t="s">
        <v>3682</v>
      </c>
      <c r="AP253" s="528"/>
      <c r="AQ253" s="472">
        <v>6000000</v>
      </c>
      <c r="AR253" s="472"/>
      <c r="AS253" s="472"/>
      <c r="AT253" s="472"/>
      <c r="AU253" s="472"/>
      <c r="AV253" s="472"/>
      <c r="AW253" s="544">
        <f t="shared" si="95"/>
        <v>6000000</v>
      </c>
      <c r="AX253" s="528"/>
      <c r="AY253" s="472"/>
      <c r="AZ253" s="472"/>
      <c r="BA253" s="472"/>
      <c r="BB253" s="472"/>
      <c r="BC253" s="472"/>
      <c r="BD253" s="472"/>
      <c r="BE253" s="544">
        <f t="shared" si="109"/>
        <v>0</v>
      </c>
      <c r="BF253" s="528"/>
      <c r="BG253" s="472"/>
      <c r="BH253" s="472"/>
      <c r="BI253" s="472"/>
      <c r="BJ253" s="472"/>
      <c r="BK253" s="472"/>
      <c r="BL253" s="472"/>
      <c r="BM253" s="544">
        <f t="shared" si="110"/>
        <v>0</v>
      </c>
      <c r="BN253" s="528"/>
      <c r="BO253" s="472"/>
      <c r="BP253" s="472"/>
      <c r="BQ253" s="472"/>
      <c r="BR253" s="472"/>
      <c r="BS253" s="472"/>
      <c r="BT253" s="472"/>
      <c r="BU253" s="544">
        <f t="shared" si="111"/>
        <v>0</v>
      </c>
      <c r="BV253" s="556"/>
      <c r="BW253" s="663">
        <f t="shared" si="99"/>
        <v>2</v>
      </c>
      <c r="BX253" s="674">
        <f t="shared" si="100"/>
        <v>0.5</v>
      </c>
      <c r="BY253" s="674">
        <f t="shared" si="101"/>
        <v>1</v>
      </c>
      <c r="BZ253" s="674">
        <f t="shared" si="102"/>
        <v>1</v>
      </c>
      <c r="CA253" s="675">
        <f t="shared" si="103"/>
        <v>0</v>
      </c>
      <c r="CB253" s="675">
        <f t="shared" si="104"/>
        <v>0</v>
      </c>
    </row>
    <row r="254" spans="1:80" ht="84" hidden="1" customHeight="1" x14ac:dyDescent="0.25">
      <c r="A254" s="298" t="s">
        <v>491</v>
      </c>
      <c r="B254" s="299" t="str">
        <f>'PLAN INDICATIVO'!B252</f>
        <v>Atención a grupos vulnerables - promoción social</v>
      </c>
      <c r="C254" s="1547"/>
      <c r="D254" s="1551"/>
      <c r="E254" s="1551"/>
      <c r="F254" s="1551"/>
      <c r="G254" s="1551"/>
      <c r="H254" s="1551"/>
      <c r="I254" s="300">
        <f>'PLAN INDICATIVO'!I252</f>
        <v>0</v>
      </c>
      <c r="J254" s="300">
        <f>'PLAN INDICATIVO'!J252</f>
        <v>0</v>
      </c>
      <c r="K254" s="1425" t="str">
        <f>'PLAN INDICATIVO'!K252</f>
        <v>A.14.6.11</v>
      </c>
      <c r="L254" s="301" t="str">
        <f>'PLAN INDICATIVO'!L252</f>
        <v>10. Reducción de las desigualdades</v>
      </c>
      <c r="M254" s="301" t="str">
        <f>'PLAN INDICATIVO'!M252</f>
        <v>Secretaría de Gobierno</v>
      </c>
      <c r="N254" s="1425" t="s">
        <v>3680</v>
      </c>
      <c r="O254" s="1425" t="str">
        <f>'PLAN INDICATIVO'!O252</f>
        <v>Mantenimiento</v>
      </c>
      <c r="P254" s="16" t="str">
        <f>'PLAN INDICATIVO'!P252</f>
        <v>Realizar cada año 1 apoyo a las diferentes instituciones del gobierno departamental y nacional donde se coadyuve en los procesos de reparación integral de las victimas del conflicto armado.</v>
      </c>
      <c r="Q254" s="302" t="str">
        <f>'PLAN INDICATIVO'!Q252</f>
        <v>No. De Jornadas Realizadas por año</v>
      </c>
      <c r="R254" s="303">
        <f>'PLAN INDICATIVO'!R252</f>
        <v>2015</v>
      </c>
      <c r="S254" s="304">
        <v>0</v>
      </c>
      <c r="T254" s="699">
        <v>4</v>
      </c>
      <c r="U254" s="303">
        <v>1</v>
      </c>
      <c r="V254" s="687">
        <v>2630000</v>
      </c>
      <c r="W254" s="303">
        <v>1</v>
      </c>
      <c r="X254" s="687">
        <v>500000</v>
      </c>
      <c r="Y254" s="303">
        <v>1</v>
      </c>
      <c r="Z254" s="687">
        <v>500000</v>
      </c>
      <c r="AA254" s="303">
        <v>1</v>
      </c>
      <c r="AB254" s="687">
        <v>500000</v>
      </c>
      <c r="AC254" s="669">
        <v>1</v>
      </c>
      <c r="AD254" s="669">
        <v>1</v>
      </c>
      <c r="AE254" s="669"/>
      <c r="AF254" s="669"/>
      <c r="AG254" s="1000" t="s">
        <v>3681</v>
      </c>
      <c r="AH254" s="304">
        <v>2017413960043</v>
      </c>
      <c r="AI254" s="355" t="s">
        <v>3691</v>
      </c>
      <c r="AJ254" s="363">
        <v>42795</v>
      </c>
      <c r="AK254" s="363">
        <v>43069</v>
      </c>
      <c r="AL254" s="358"/>
      <c r="AM254" s="358"/>
      <c r="AN254" s="267" t="s">
        <v>2598</v>
      </c>
      <c r="AO254" s="512" t="s">
        <v>3692</v>
      </c>
      <c r="AP254" s="528">
        <v>3200000</v>
      </c>
      <c r="AQ254" s="472"/>
      <c r="AR254" s="472"/>
      <c r="AS254" s="472"/>
      <c r="AT254" s="472"/>
      <c r="AU254" s="472"/>
      <c r="AV254" s="472"/>
      <c r="AW254" s="544">
        <f t="shared" si="95"/>
        <v>3200000</v>
      </c>
      <c r="AX254" s="528"/>
      <c r="AY254" s="472"/>
      <c r="AZ254" s="472"/>
      <c r="BA254" s="472"/>
      <c r="BB254" s="472"/>
      <c r="BC254" s="472"/>
      <c r="BD254" s="472"/>
      <c r="BE254" s="544">
        <f t="shared" si="109"/>
        <v>0</v>
      </c>
      <c r="BF254" s="528"/>
      <c r="BG254" s="472"/>
      <c r="BH254" s="472"/>
      <c r="BI254" s="472"/>
      <c r="BJ254" s="472"/>
      <c r="BK254" s="472"/>
      <c r="BL254" s="472"/>
      <c r="BM254" s="544">
        <f t="shared" si="110"/>
        <v>0</v>
      </c>
      <c r="BN254" s="528"/>
      <c r="BO254" s="472"/>
      <c r="BP254" s="472"/>
      <c r="BQ254" s="472"/>
      <c r="BR254" s="472"/>
      <c r="BS254" s="472"/>
      <c r="BT254" s="472"/>
      <c r="BU254" s="544">
        <f t="shared" si="111"/>
        <v>0</v>
      </c>
      <c r="BV254" s="556"/>
      <c r="BW254" s="663">
        <f t="shared" si="99"/>
        <v>2</v>
      </c>
      <c r="BX254" s="877">
        <f t="shared" si="100"/>
        <v>0.5</v>
      </c>
      <c r="BY254" s="674">
        <f t="shared" si="101"/>
        <v>1</v>
      </c>
      <c r="BZ254" s="674">
        <f t="shared" si="102"/>
        <v>1</v>
      </c>
      <c r="CA254" s="675">
        <f t="shared" si="103"/>
        <v>0</v>
      </c>
      <c r="CB254" s="675">
        <f t="shared" si="104"/>
        <v>0</v>
      </c>
    </row>
    <row r="255" spans="1:80" ht="75" hidden="1" customHeight="1" x14ac:dyDescent="0.25">
      <c r="A255" s="298" t="s">
        <v>491</v>
      </c>
      <c r="B255" s="299" t="str">
        <f>'PLAN INDICATIVO'!B253</f>
        <v>Atención a grupos vulnerables - promoción social</v>
      </c>
      <c r="C255" s="1547"/>
      <c r="D255" s="1551"/>
      <c r="E255" s="1551"/>
      <c r="F255" s="1551"/>
      <c r="G255" s="1551"/>
      <c r="H255" s="1551"/>
      <c r="I255" s="300">
        <f>'PLAN INDICATIVO'!I253</f>
        <v>0</v>
      </c>
      <c r="J255" s="300">
        <f>'PLAN INDICATIVO'!J253</f>
        <v>0</v>
      </c>
      <c r="K255" s="1425" t="str">
        <f>'PLAN INDICATIVO'!K253</f>
        <v>A.14.6.12</v>
      </c>
      <c r="L255" s="301" t="str">
        <f>'PLAN INDICATIVO'!L253</f>
        <v>10. Reducción de las desigualdades</v>
      </c>
      <c r="M255" s="301" t="str">
        <f>'PLAN INDICATIVO'!M253</f>
        <v>Secretaría de Gobierno</v>
      </c>
      <c r="N255" s="1425" t="s">
        <v>3680</v>
      </c>
      <c r="O255" s="1425" t="str">
        <f>'PLAN INDICATIVO'!O253</f>
        <v>Mantenimiento</v>
      </c>
      <c r="P255" s="16" t="str">
        <f>'PLAN INDICATIVO'!P253</f>
        <v>Realizar 1 plan de apoyo a las mujeres victimas residentes en el municipio, cada año</v>
      </c>
      <c r="Q255" s="302" t="str">
        <f>'PLAN INDICATIVO'!Q253</f>
        <v>No. de apoyos otorgados por año</v>
      </c>
      <c r="R255" s="303">
        <f>'PLAN INDICATIVO'!R253</f>
        <v>2015</v>
      </c>
      <c r="S255" s="304">
        <v>1</v>
      </c>
      <c r="T255" s="699">
        <v>1</v>
      </c>
      <c r="U255" s="303">
        <v>1</v>
      </c>
      <c r="V255" s="687">
        <v>1370000</v>
      </c>
      <c r="W255" s="303">
        <v>1</v>
      </c>
      <c r="X255" s="687">
        <v>1000000</v>
      </c>
      <c r="Y255" s="303">
        <v>1</v>
      </c>
      <c r="Z255" s="687">
        <v>1500000</v>
      </c>
      <c r="AA255" s="303">
        <v>1</v>
      </c>
      <c r="AB255" s="687">
        <v>1500000</v>
      </c>
      <c r="AC255" s="669">
        <v>1</v>
      </c>
      <c r="AD255" s="669">
        <v>1</v>
      </c>
      <c r="AE255" s="669"/>
      <c r="AF255" s="669"/>
      <c r="AG255" s="1000" t="s">
        <v>3681</v>
      </c>
      <c r="AH255" s="304">
        <v>2017413960043</v>
      </c>
      <c r="AI255" s="355"/>
      <c r="AJ255" s="363">
        <v>42795</v>
      </c>
      <c r="AK255" s="363">
        <v>43069</v>
      </c>
      <c r="AL255" s="358"/>
      <c r="AM255" s="358"/>
      <c r="AN255" s="267" t="s">
        <v>2598</v>
      </c>
      <c r="AO255" s="512" t="s">
        <v>3685</v>
      </c>
      <c r="AP255" s="528"/>
      <c r="AQ255" s="472">
        <v>148700</v>
      </c>
      <c r="AR255" s="472"/>
      <c r="AS255" s="472"/>
      <c r="AT255" s="472"/>
      <c r="AU255" s="472"/>
      <c r="AV255" s="472"/>
      <c r="AW255" s="544">
        <f t="shared" si="95"/>
        <v>148700</v>
      </c>
      <c r="AX255" s="528"/>
      <c r="AY255" s="472"/>
      <c r="AZ255" s="472"/>
      <c r="BA255" s="472"/>
      <c r="BB255" s="472"/>
      <c r="BC255" s="472"/>
      <c r="BD255" s="472"/>
      <c r="BE255" s="544">
        <f t="shared" si="109"/>
        <v>0</v>
      </c>
      <c r="BF255" s="528"/>
      <c r="BG255" s="472"/>
      <c r="BH255" s="472"/>
      <c r="BI255" s="472"/>
      <c r="BJ255" s="472"/>
      <c r="BK255" s="472"/>
      <c r="BL255" s="472"/>
      <c r="BM255" s="544">
        <f t="shared" si="110"/>
        <v>0</v>
      </c>
      <c r="BN255" s="528"/>
      <c r="BO255" s="472"/>
      <c r="BP255" s="472"/>
      <c r="BQ255" s="472"/>
      <c r="BR255" s="472"/>
      <c r="BS255" s="472"/>
      <c r="BT255" s="472"/>
      <c r="BU255" s="544">
        <f t="shared" si="111"/>
        <v>0</v>
      </c>
      <c r="BV255" s="556"/>
      <c r="BW255" s="663">
        <f t="shared" si="99"/>
        <v>2</v>
      </c>
      <c r="BX255" s="674">
        <f t="shared" si="100"/>
        <v>2</v>
      </c>
      <c r="BY255" s="674">
        <f t="shared" si="101"/>
        <v>1</v>
      </c>
      <c r="BZ255" s="674">
        <f t="shared" si="102"/>
        <v>1</v>
      </c>
      <c r="CA255" s="675">
        <f t="shared" si="103"/>
        <v>0</v>
      </c>
      <c r="CB255" s="675">
        <f t="shared" si="104"/>
        <v>0</v>
      </c>
    </row>
    <row r="256" spans="1:80" ht="83.25" hidden="1" customHeight="1" x14ac:dyDescent="0.25">
      <c r="A256" s="298" t="s">
        <v>491</v>
      </c>
      <c r="B256" s="299" t="str">
        <f>'PLAN INDICATIVO'!B254</f>
        <v>Atención a grupos vulnerables - promoción social</v>
      </c>
      <c r="C256" s="1547"/>
      <c r="D256" s="1551"/>
      <c r="E256" s="1551"/>
      <c r="F256" s="1551"/>
      <c r="G256" s="1551"/>
      <c r="H256" s="1551"/>
      <c r="I256" s="300">
        <f>'PLAN INDICATIVO'!I254</f>
        <v>0</v>
      </c>
      <c r="J256" s="300">
        <f>'PLAN INDICATIVO'!J254</f>
        <v>0</v>
      </c>
      <c r="K256" s="1425" t="str">
        <f>'PLAN INDICATIVO'!K254</f>
        <v>A.14.6.13</v>
      </c>
      <c r="L256" s="301" t="str">
        <f>'PLAN INDICATIVO'!L254</f>
        <v>10. Reducción de las desigualdades</v>
      </c>
      <c r="M256" s="301" t="str">
        <f>'PLAN INDICATIVO'!M254</f>
        <v>Secretaría de Gobierno</v>
      </c>
      <c r="N256" s="1425" t="s">
        <v>3680</v>
      </c>
      <c r="O256" s="1425" t="str">
        <f>'PLAN INDICATIVO'!O254</f>
        <v>Incremento</v>
      </c>
      <c r="P256" s="16" t="str">
        <f>'PLAN INDICATIVO'!P254</f>
        <v xml:space="preserve">Realizar 1 caracterización de la población víctima del conflicto armado, durante el cuatrienio. </v>
      </c>
      <c r="Q256" s="302" t="str">
        <f>'PLAN INDICATIVO'!Q254</f>
        <v xml:space="preserve">No. de caracterizaciones realizadas </v>
      </c>
      <c r="R256" s="303">
        <f>'PLAN INDICATIVO'!R254</f>
        <v>2015</v>
      </c>
      <c r="S256" s="304">
        <v>0</v>
      </c>
      <c r="T256" s="699">
        <v>1</v>
      </c>
      <c r="U256" s="303">
        <v>1</v>
      </c>
      <c r="V256" s="687"/>
      <c r="W256" s="303">
        <v>0.5</v>
      </c>
      <c r="X256" s="687">
        <v>500000</v>
      </c>
      <c r="Y256" s="303">
        <v>0.5</v>
      </c>
      <c r="Z256" s="687"/>
      <c r="AA256" s="303">
        <v>0</v>
      </c>
      <c r="AB256" s="687"/>
      <c r="AC256" s="669"/>
      <c r="AD256" s="669">
        <v>0.5</v>
      </c>
      <c r="AE256" s="669"/>
      <c r="AF256" s="669"/>
      <c r="AG256" s="1000" t="s">
        <v>3681</v>
      </c>
      <c r="AH256" s="304">
        <v>2017413960043</v>
      </c>
      <c r="AI256" s="355" t="s">
        <v>3693</v>
      </c>
      <c r="AJ256" s="363">
        <v>42795</v>
      </c>
      <c r="AK256" s="363">
        <v>43069</v>
      </c>
      <c r="AL256" s="358"/>
      <c r="AM256" s="358"/>
      <c r="AN256" s="267" t="s">
        <v>2598</v>
      </c>
      <c r="AO256" s="512" t="s">
        <v>3694</v>
      </c>
      <c r="AP256" s="528"/>
      <c r="AQ256" s="472">
        <f>1500000+3500000</f>
        <v>5000000</v>
      </c>
      <c r="AR256" s="472"/>
      <c r="AS256" s="472"/>
      <c r="AT256" s="472"/>
      <c r="AU256" s="472"/>
      <c r="AV256" s="472"/>
      <c r="AW256" s="544">
        <f t="shared" si="95"/>
        <v>5000000</v>
      </c>
      <c r="AX256" s="528"/>
      <c r="AY256" s="472"/>
      <c r="AZ256" s="472"/>
      <c r="BA256" s="472"/>
      <c r="BB256" s="472"/>
      <c r="BC256" s="472"/>
      <c r="BD256" s="472"/>
      <c r="BE256" s="544">
        <f t="shared" si="109"/>
        <v>0</v>
      </c>
      <c r="BF256" s="528"/>
      <c r="BG256" s="472"/>
      <c r="BH256" s="472"/>
      <c r="BI256" s="472"/>
      <c r="BJ256" s="472"/>
      <c r="BK256" s="472"/>
      <c r="BL256" s="472"/>
      <c r="BM256" s="544">
        <f t="shared" si="110"/>
        <v>0</v>
      </c>
      <c r="BN256" s="528"/>
      <c r="BO256" s="472"/>
      <c r="BP256" s="472"/>
      <c r="BQ256" s="472"/>
      <c r="BR256" s="472"/>
      <c r="BS256" s="472"/>
      <c r="BT256" s="472"/>
      <c r="BU256" s="544">
        <f t="shared" si="111"/>
        <v>0</v>
      </c>
      <c r="BV256" s="556"/>
      <c r="BW256" s="663">
        <f t="shared" si="99"/>
        <v>0.5</v>
      </c>
      <c r="BX256" s="918">
        <f t="shared" si="100"/>
        <v>0.5</v>
      </c>
      <c r="BY256" s="674">
        <f t="shared" si="101"/>
        <v>0</v>
      </c>
      <c r="BZ256" s="674">
        <f t="shared" si="102"/>
        <v>1</v>
      </c>
      <c r="CA256" s="675">
        <f t="shared" si="103"/>
        <v>0</v>
      </c>
      <c r="CB256" s="675" t="e">
        <f t="shared" si="104"/>
        <v>#DIV/0!</v>
      </c>
    </row>
    <row r="257" spans="1:80" ht="51.75" hidden="1" customHeight="1" x14ac:dyDescent="0.25">
      <c r="A257" s="298" t="s">
        <v>491</v>
      </c>
      <c r="B257" s="299" t="str">
        <f>'PLAN INDICATIVO'!B255</f>
        <v>Atención a grupos vulnerables - promoción social</v>
      </c>
      <c r="C257" s="1547"/>
      <c r="D257" s="1551"/>
      <c r="E257" s="1551"/>
      <c r="F257" s="1551"/>
      <c r="G257" s="1551"/>
      <c r="H257" s="1551"/>
      <c r="I257" s="300">
        <f>'PLAN INDICATIVO'!I255</f>
        <v>0</v>
      </c>
      <c r="J257" s="300">
        <f>'PLAN INDICATIVO'!J255</f>
        <v>0</v>
      </c>
      <c r="K257" s="1425" t="str">
        <f>'PLAN INDICATIVO'!K255</f>
        <v>A.14.6.14</v>
      </c>
      <c r="L257" s="301" t="str">
        <f>'PLAN INDICATIVO'!L255</f>
        <v>10. Reducción de las desigualdades</v>
      </c>
      <c r="M257" s="301" t="str">
        <f>'PLAN INDICATIVO'!M255</f>
        <v>Secretaría de Gobierno</v>
      </c>
      <c r="N257" s="1425" t="s">
        <v>3680</v>
      </c>
      <c r="O257" s="1425" t="str">
        <f>'PLAN INDICATIVO'!O255</f>
        <v>Mantenimiento</v>
      </c>
      <c r="P257" s="16" t="str">
        <f>'PLAN INDICATIVO'!P255</f>
        <v xml:space="preserve">Ejecutar 1 plan de auxilio funerario a la población víctima del conflicto armado cada año </v>
      </c>
      <c r="Q257" s="302" t="str">
        <f>'PLAN INDICATIVO'!Q255</f>
        <v>No. de planes implementados por año</v>
      </c>
      <c r="R257" s="303">
        <f>'PLAN INDICATIVO'!R255</f>
        <v>2015</v>
      </c>
      <c r="S257" s="304">
        <v>1</v>
      </c>
      <c r="T257" s="699">
        <v>1</v>
      </c>
      <c r="U257" s="303">
        <v>1</v>
      </c>
      <c r="V257" s="687">
        <v>2000000</v>
      </c>
      <c r="W257" s="303">
        <v>1</v>
      </c>
      <c r="X257" s="687">
        <v>2000000</v>
      </c>
      <c r="Y257" s="303">
        <v>1</v>
      </c>
      <c r="Z257" s="687">
        <v>2000000</v>
      </c>
      <c r="AA257" s="303">
        <v>1</v>
      </c>
      <c r="AB257" s="687">
        <v>2000000</v>
      </c>
      <c r="AC257" s="669">
        <v>1</v>
      </c>
      <c r="AD257" s="669">
        <v>6</v>
      </c>
      <c r="AE257" s="669"/>
      <c r="AF257" s="669"/>
      <c r="AG257" s="1000" t="s">
        <v>3681</v>
      </c>
      <c r="AH257" s="304">
        <v>2017413960043</v>
      </c>
      <c r="AI257" s="355" t="s">
        <v>3695</v>
      </c>
      <c r="AJ257" s="363">
        <v>42795</v>
      </c>
      <c r="AK257" s="363">
        <v>43069</v>
      </c>
      <c r="AL257" s="358"/>
      <c r="AM257" s="358"/>
      <c r="AN257" s="267" t="s">
        <v>2598</v>
      </c>
      <c r="AO257" s="512"/>
      <c r="AP257" s="528"/>
      <c r="AQ257" s="472">
        <v>3000000</v>
      </c>
      <c r="AR257" s="472"/>
      <c r="AS257" s="472"/>
      <c r="AT257" s="472"/>
      <c r="AU257" s="472"/>
      <c r="AV257" s="472"/>
      <c r="AW257" s="544">
        <f t="shared" si="95"/>
        <v>3000000</v>
      </c>
      <c r="AX257" s="528"/>
      <c r="AY257" s="472"/>
      <c r="AZ257" s="472"/>
      <c r="BA257" s="472"/>
      <c r="BB257" s="472"/>
      <c r="BC257" s="472"/>
      <c r="BD257" s="472"/>
      <c r="BE257" s="544">
        <f t="shared" si="109"/>
        <v>0</v>
      </c>
      <c r="BF257" s="528"/>
      <c r="BG257" s="472"/>
      <c r="BH257" s="472"/>
      <c r="BI257" s="472"/>
      <c r="BJ257" s="472"/>
      <c r="BK257" s="472"/>
      <c r="BL257" s="472"/>
      <c r="BM257" s="544">
        <f t="shared" si="110"/>
        <v>0</v>
      </c>
      <c r="BN257" s="528"/>
      <c r="BO257" s="472"/>
      <c r="BP257" s="472"/>
      <c r="BQ257" s="472"/>
      <c r="BR257" s="472"/>
      <c r="BS257" s="472"/>
      <c r="BT257" s="472"/>
      <c r="BU257" s="544">
        <f t="shared" si="111"/>
        <v>0</v>
      </c>
      <c r="BV257" s="556"/>
      <c r="BW257" s="663">
        <f t="shared" si="99"/>
        <v>7</v>
      </c>
      <c r="BX257" s="674">
        <f t="shared" si="100"/>
        <v>7</v>
      </c>
      <c r="BY257" s="674">
        <f t="shared" si="101"/>
        <v>1</v>
      </c>
      <c r="BZ257" s="674">
        <f t="shared" si="102"/>
        <v>6</v>
      </c>
      <c r="CA257" s="675">
        <f t="shared" si="103"/>
        <v>0</v>
      </c>
      <c r="CB257" s="675">
        <f t="shared" si="104"/>
        <v>0</v>
      </c>
    </row>
    <row r="258" spans="1:80" ht="63.75" hidden="1" customHeight="1" x14ac:dyDescent="0.25">
      <c r="A258" s="298" t="s">
        <v>491</v>
      </c>
      <c r="B258" s="299" t="str">
        <f>'PLAN INDICATIVO'!B256</f>
        <v>Atención a grupos vulnerables - promoción social</v>
      </c>
      <c r="C258" s="1547"/>
      <c r="D258" s="1551"/>
      <c r="E258" s="1551"/>
      <c r="F258" s="1551"/>
      <c r="G258" s="1551"/>
      <c r="H258" s="1551"/>
      <c r="I258" s="300">
        <f>'PLAN INDICATIVO'!I256</f>
        <v>0</v>
      </c>
      <c r="J258" s="300">
        <f>'PLAN INDICATIVO'!J256</f>
        <v>0</v>
      </c>
      <c r="K258" s="1425" t="str">
        <f>'PLAN INDICATIVO'!K256</f>
        <v>A.14.6.15</v>
      </c>
      <c r="L258" s="301" t="str">
        <f>'PLAN INDICATIVO'!L256</f>
        <v>10. Reducción de las desigualdades</v>
      </c>
      <c r="M258" s="301" t="str">
        <f>'PLAN INDICATIVO'!M256</f>
        <v>Secretaría de Gobierno</v>
      </c>
      <c r="N258" s="1425" t="s">
        <v>3680</v>
      </c>
      <c r="O258" s="1425" t="str">
        <f>'PLAN INDICATIVO'!O256</f>
        <v>Mantenimiento</v>
      </c>
      <c r="P258" s="16" t="str">
        <f>'PLAN INDICATIVO'!P256</f>
        <v>Ejecutar 1 programa de atención en ayuda humanitaria de inmediatez a la población víctima del conflicto armado cada año</v>
      </c>
      <c r="Q258" s="302" t="str">
        <f>'PLAN INDICATIVO'!Q256</f>
        <v>No. de programas implementados  por año</v>
      </c>
      <c r="R258" s="303">
        <f>'PLAN INDICATIVO'!R256</f>
        <v>2015</v>
      </c>
      <c r="S258" s="304">
        <v>1</v>
      </c>
      <c r="T258" s="699">
        <v>1</v>
      </c>
      <c r="U258" s="934">
        <v>0.25</v>
      </c>
      <c r="V258" s="687">
        <v>5000000</v>
      </c>
      <c r="W258" s="934">
        <v>0.25</v>
      </c>
      <c r="X258" s="687">
        <v>5000000</v>
      </c>
      <c r="Y258" s="934">
        <v>0.25</v>
      </c>
      <c r="Z258" s="687">
        <v>5000000</v>
      </c>
      <c r="AA258" s="934">
        <v>0.25</v>
      </c>
      <c r="AB258" s="687">
        <v>5000000</v>
      </c>
      <c r="AC258" s="669">
        <v>0.25</v>
      </c>
      <c r="AD258" s="669">
        <v>0.25</v>
      </c>
      <c r="AE258" s="669"/>
      <c r="AF258" s="669"/>
      <c r="AG258" s="1000" t="s">
        <v>3681</v>
      </c>
      <c r="AH258" s="304">
        <v>2017413960043</v>
      </c>
      <c r="AI258" s="355" t="s">
        <v>3696</v>
      </c>
      <c r="AJ258" s="363">
        <v>42795</v>
      </c>
      <c r="AK258" s="363">
        <v>43069</v>
      </c>
      <c r="AL258" s="358"/>
      <c r="AM258" s="358"/>
      <c r="AN258" s="267" t="s">
        <v>2598</v>
      </c>
      <c r="AO258" s="512" t="s">
        <v>3697</v>
      </c>
      <c r="AP258" s="528"/>
      <c r="AQ258" s="472">
        <v>5000000</v>
      </c>
      <c r="AR258" s="472"/>
      <c r="AS258" s="472"/>
      <c r="AT258" s="472"/>
      <c r="AU258" s="472"/>
      <c r="AV258" s="472"/>
      <c r="AW258" s="544">
        <f t="shared" si="95"/>
        <v>5000000</v>
      </c>
      <c r="AX258" s="528"/>
      <c r="AY258" s="472"/>
      <c r="AZ258" s="472"/>
      <c r="BA258" s="472"/>
      <c r="BB258" s="472"/>
      <c r="BC258" s="472"/>
      <c r="BD258" s="472"/>
      <c r="BE258" s="544">
        <f t="shared" si="109"/>
        <v>0</v>
      </c>
      <c r="BF258" s="528"/>
      <c r="BG258" s="472"/>
      <c r="BH258" s="472"/>
      <c r="BI258" s="472"/>
      <c r="BJ258" s="472"/>
      <c r="BK258" s="472"/>
      <c r="BL258" s="472"/>
      <c r="BM258" s="544">
        <f t="shared" si="110"/>
        <v>0</v>
      </c>
      <c r="BN258" s="528"/>
      <c r="BO258" s="472"/>
      <c r="BP258" s="472"/>
      <c r="BQ258" s="472"/>
      <c r="BR258" s="472"/>
      <c r="BS258" s="472"/>
      <c r="BT258" s="472"/>
      <c r="BU258" s="544">
        <f t="shared" si="111"/>
        <v>0</v>
      </c>
      <c r="BV258" s="556"/>
      <c r="BW258" s="663">
        <f t="shared" si="99"/>
        <v>0.5</v>
      </c>
      <c r="BX258" s="877">
        <f t="shared" si="100"/>
        <v>0.5</v>
      </c>
      <c r="BY258" s="674">
        <f t="shared" si="101"/>
        <v>1</v>
      </c>
      <c r="BZ258" s="674">
        <f t="shared" si="102"/>
        <v>1</v>
      </c>
      <c r="CA258" s="675">
        <f t="shared" si="103"/>
        <v>0</v>
      </c>
      <c r="CB258" s="675">
        <f t="shared" si="104"/>
        <v>0</v>
      </c>
    </row>
    <row r="259" spans="1:80" ht="86.25" hidden="1" customHeight="1" x14ac:dyDescent="0.25">
      <c r="A259" s="298" t="s">
        <v>491</v>
      </c>
      <c r="B259" s="299" t="str">
        <f>'PLAN INDICATIVO'!B257</f>
        <v>Atención a grupos vulnerables - promoción social</v>
      </c>
      <c r="C259" s="1547"/>
      <c r="D259" s="1551"/>
      <c r="E259" s="1551"/>
      <c r="F259" s="1551"/>
      <c r="G259" s="1551"/>
      <c r="H259" s="1551"/>
      <c r="I259" s="300">
        <f>'PLAN INDICATIVO'!I257</f>
        <v>0</v>
      </c>
      <c r="J259" s="300">
        <f>'PLAN INDICATIVO'!J257</f>
        <v>0</v>
      </c>
      <c r="K259" s="1425" t="str">
        <f>'PLAN INDICATIVO'!K257</f>
        <v>A.14.6.16</v>
      </c>
      <c r="L259" s="301" t="str">
        <f>'PLAN INDICATIVO'!L257</f>
        <v>10. Reducción de las desigualdades</v>
      </c>
      <c r="M259" s="301" t="str">
        <f>'PLAN INDICATIVO'!M257</f>
        <v>Secretaría de Gobierno</v>
      </c>
      <c r="N259" s="1425" t="s">
        <v>3680</v>
      </c>
      <c r="O259" s="1425" t="str">
        <f>'PLAN INDICATIVO'!O257</f>
        <v>Incremento</v>
      </c>
      <c r="P259" s="16" t="str">
        <f>'PLAN INDICATIVO'!P257</f>
        <v xml:space="preserve">Realizar 4 jornadas de sensibilización para comunicar los derechos de la población víctima del conflicto armado, dirigidas a servidores públicos, instituciones educativas y comunidad en general del municipio, en el cuatrienio. </v>
      </c>
      <c r="Q259" s="302" t="str">
        <f>'PLAN INDICATIVO'!Q257</f>
        <v>No. de jornadas de sensibilización realizadas</v>
      </c>
      <c r="R259" s="303">
        <f>'PLAN INDICATIVO'!R257</f>
        <v>2015</v>
      </c>
      <c r="S259" s="304">
        <v>1</v>
      </c>
      <c r="T259" s="699">
        <v>4</v>
      </c>
      <c r="U259" s="303">
        <v>1</v>
      </c>
      <c r="V259" s="687">
        <v>5000000</v>
      </c>
      <c r="W259" s="303">
        <v>1</v>
      </c>
      <c r="X259" s="687">
        <v>500000</v>
      </c>
      <c r="Y259" s="303">
        <v>1</v>
      </c>
      <c r="Z259" s="687">
        <v>500000</v>
      </c>
      <c r="AA259" s="303">
        <v>1</v>
      </c>
      <c r="AB259" s="687">
        <v>1500000</v>
      </c>
      <c r="AC259" s="669">
        <v>1</v>
      </c>
      <c r="AD259" s="669">
        <v>3</v>
      </c>
      <c r="AE259" s="669"/>
      <c r="AF259" s="669"/>
      <c r="AG259" s="1000" t="s">
        <v>3681</v>
      </c>
      <c r="AH259" s="304">
        <v>2017413960043</v>
      </c>
      <c r="AI259" s="355" t="s">
        <v>3698</v>
      </c>
      <c r="AJ259" s="363">
        <v>42795</v>
      </c>
      <c r="AK259" s="363">
        <v>43069</v>
      </c>
      <c r="AL259" s="358"/>
      <c r="AM259" s="358"/>
      <c r="AN259" s="267" t="s">
        <v>2598</v>
      </c>
      <c r="AO259" s="512" t="s">
        <v>3699</v>
      </c>
      <c r="AP259" s="528"/>
      <c r="AQ259" s="472">
        <v>800000</v>
      </c>
      <c r="AR259" s="472"/>
      <c r="AS259" s="472"/>
      <c r="AT259" s="472"/>
      <c r="AU259" s="472"/>
      <c r="AV259" s="472"/>
      <c r="AW259" s="544">
        <f t="shared" si="95"/>
        <v>800000</v>
      </c>
      <c r="AX259" s="528"/>
      <c r="AY259" s="472"/>
      <c r="AZ259" s="472"/>
      <c r="BA259" s="472"/>
      <c r="BB259" s="472"/>
      <c r="BC259" s="472"/>
      <c r="BD259" s="472"/>
      <c r="BE259" s="544">
        <f t="shared" si="109"/>
        <v>0</v>
      </c>
      <c r="BF259" s="528"/>
      <c r="BG259" s="472"/>
      <c r="BH259" s="472"/>
      <c r="BI259" s="472"/>
      <c r="BJ259" s="472"/>
      <c r="BK259" s="472"/>
      <c r="BL259" s="472"/>
      <c r="BM259" s="544">
        <f t="shared" si="110"/>
        <v>0</v>
      </c>
      <c r="BN259" s="528"/>
      <c r="BO259" s="472"/>
      <c r="BP259" s="472"/>
      <c r="BQ259" s="472"/>
      <c r="BR259" s="472"/>
      <c r="BS259" s="472"/>
      <c r="BT259" s="472"/>
      <c r="BU259" s="544">
        <f t="shared" si="111"/>
        <v>0</v>
      </c>
      <c r="BV259" s="556"/>
      <c r="BW259" s="663">
        <f t="shared" si="99"/>
        <v>4</v>
      </c>
      <c r="BX259" s="674">
        <f t="shared" si="100"/>
        <v>1</v>
      </c>
      <c r="BY259" s="674">
        <f t="shared" si="101"/>
        <v>1</v>
      </c>
      <c r="BZ259" s="674">
        <f t="shared" si="102"/>
        <v>3</v>
      </c>
      <c r="CA259" s="675">
        <f t="shared" si="103"/>
        <v>0</v>
      </c>
      <c r="CB259" s="675">
        <f t="shared" si="104"/>
        <v>0</v>
      </c>
    </row>
    <row r="260" spans="1:80" ht="103.5" hidden="1" customHeight="1" thickBot="1" x14ac:dyDescent="0.3">
      <c r="A260" s="393" t="s">
        <v>491</v>
      </c>
      <c r="B260" s="394" t="str">
        <f>'PLAN INDICATIVO'!B258</f>
        <v>Atención a grupos vulnerables - promoción social</v>
      </c>
      <c r="C260" s="1547"/>
      <c r="D260" s="1551"/>
      <c r="E260" s="1551"/>
      <c r="F260" s="1551"/>
      <c r="G260" s="1551"/>
      <c r="H260" s="1551"/>
      <c r="I260" s="395">
        <f>'PLAN INDICATIVO'!I258</f>
        <v>0</v>
      </c>
      <c r="J260" s="395">
        <f>'PLAN INDICATIVO'!J258</f>
        <v>0</v>
      </c>
      <c r="K260" s="1426" t="str">
        <f>'PLAN INDICATIVO'!K258</f>
        <v>A.14.6.17</v>
      </c>
      <c r="L260" s="396" t="str">
        <f>'PLAN INDICATIVO'!L258</f>
        <v>10. Reducción de las desigualdades</v>
      </c>
      <c r="M260" s="396" t="str">
        <f>'PLAN INDICATIVO'!M258</f>
        <v>Secretaría de Gobierno</v>
      </c>
      <c r="N260" s="1425" t="s">
        <v>3680</v>
      </c>
      <c r="O260" s="1426" t="str">
        <f>'PLAN INDICATIVO'!O258</f>
        <v>Incremento</v>
      </c>
      <c r="P260" s="70" t="str">
        <f>'PLAN INDICATIVO'!P258</f>
        <v>Apoyar 1 proceso de reintegración comunitaria (MAMBRÚ) en el municipio de la Plata, liderado por la Agencia Colombiana Para La Reintegración, durante el cuatrienio</v>
      </c>
      <c r="Q260" s="350" t="str">
        <f>'PLAN INDICATIVO'!Q258</f>
        <v>No. de apoyos a procesos de reintegración realizados</v>
      </c>
      <c r="R260" s="397">
        <f>'PLAN INDICATIVO'!R258</f>
        <v>2015</v>
      </c>
      <c r="S260" s="1433">
        <v>0</v>
      </c>
      <c r="T260" s="699">
        <v>1</v>
      </c>
      <c r="U260" s="67">
        <v>0</v>
      </c>
      <c r="V260" s="687">
        <v>1000000</v>
      </c>
      <c r="W260" s="303">
        <v>0</v>
      </c>
      <c r="X260" s="687">
        <v>1000000</v>
      </c>
      <c r="Y260" s="303">
        <v>0</v>
      </c>
      <c r="Z260" s="687">
        <v>1000000</v>
      </c>
      <c r="AA260" s="303">
        <v>0</v>
      </c>
      <c r="AB260" s="687"/>
      <c r="AC260" s="671">
        <v>1</v>
      </c>
      <c r="AD260" s="671"/>
      <c r="AE260" s="671"/>
      <c r="AF260" s="671"/>
      <c r="AG260" s="1000" t="s">
        <v>3681</v>
      </c>
      <c r="AH260" s="304">
        <v>2017413960043</v>
      </c>
      <c r="AI260" s="399"/>
      <c r="AJ260" s="363">
        <v>42795</v>
      </c>
      <c r="AK260" s="363">
        <v>43069</v>
      </c>
      <c r="AL260" s="358"/>
      <c r="AM260" s="358"/>
      <c r="AN260" s="267" t="s">
        <v>2594</v>
      </c>
      <c r="AO260" s="512"/>
      <c r="AP260" s="525"/>
      <c r="AQ260" s="310"/>
      <c r="AR260" s="310"/>
      <c r="AS260" s="310"/>
      <c r="AT260" s="310"/>
      <c r="AU260" s="310"/>
      <c r="AV260" s="310"/>
      <c r="AW260" s="544">
        <f t="shared" si="95"/>
        <v>0</v>
      </c>
      <c r="AX260" s="525"/>
      <c r="AY260" s="310"/>
      <c r="AZ260" s="310"/>
      <c r="BA260" s="310"/>
      <c r="BB260" s="310"/>
      <c r="BC260" s="310"/>
      <c r="BD260" s="310"/>
      <c r="BE260" s="544">
        <f t="shared" si="109"/>
        <v>0</v>
      </c>
      <c r="BF260" s="525"/>
      <c r="BG260" s="310"/>
      <c r="BH260" s="310"/>
      <c r="BI260" s="310"/>
      <c r="BJ260" s="310"/>
      <c r="BK260" s="310"/>
      <c r="BL260" s="310"/>
      <c r="BM260" s="544">
        <f t="shared" si="110"/>
        <v>0</v>
      </c>
      <c r="BN260" s="525"/>
      <c r="BO260" s="310"/>
      <c r="BP260" s="310"/>
      <c r="BQ260" s="310"/>
      <c r="BR260" s="310"/>
      <c r="BS260" s="310"/>
      <c r="BT260" s="310"/>
      <c r="BU260" s="544">
        <f t="shared" si="111"/>
        <v>0</v>
      </c>
      <c r="BV260" s="556"/>
      <c r="BW260" s="663">
        <f t="shared" si="99"/>
        <v>1</v>
      </c>
      <c r="BX260" s="674">
        <f t="shared" si="100"/>
        <v>1</v>
      </c>
      <c r="BY260" s="674" t="e">
        <f t="shared" si="101"/>
        <v>#DIV/0!</v>
      </c>
      <c r="BZ260" s="674" t="e">
        <f t="shared" si="102"/>
        <v>#DIV/0!</v>
      </c>
      <c r="CA260" s="675" t="e">
        <f t="shared" si="103"/>
        <v>#DIV/0!</v>
      </c>
      <c r="CB260" s="675" t="e">
        <f t="shared" si="104"/>
        <v>#DIV/0!</v>
      </c>
    </row>
    <row r="261" spans="1:80" ht="38.25" hidden="1" customHeight="1" thickBot="1" x14ac:dyDescent="0.3">
      <c r="A261" s="401"/>
      <c r="B261" s="402"/>
      <c r="C261" s="687" t="s">
        <v>2862</v>
      </c>
      <c r="D261" s="687"/>
      <c r="E261" s="687"/>
      <c r="F261" s="687"/>
      <c r="G261" s="687"/>
      <c r="H261" s="687"/>
      <c r="I261" s="687"/>
      <c r="J261" s="687"/>
      <c r="K261" s="687"/>
      <c r="L261" s="687"/>
      <c r="M261" s="687"/>
      <c r="N261" s="687"/>
      <c r="O261" s="762"/>
      <c r="P261" s="762"/>
      <c r="Q261" s="762"/>
      <c r="R261" s="762"/>
      <c r="S261" s="762"/>
      <c r="T261" s="762"/>
      <c r="U261" s="762"/>
      <c r="V261" s="762"/>
      <c r="W261" s="762"/>
      <c r="X261" s="762"/>
      <c r="Y261" s="762"/>
      <c r="Z261" s="762"/>
      <c r="AA261" s="762"/>
      <c r="AB261" s="762"/>
      <c r="AC261" s="762"/>
      <c r="AD261" s="762"/>
      <c r="AE261" s="762"/>
      <c r="AF261" s="762"/>
      <c r="AG261" s="999"/>
      <c r="AH261" s="984"/>
      <c r="AI261" s="454"/>
      <c r="AJ261" s="322"/>
      <c r="AK261" s="292"/>
      <c r="AL261" s="292"/>
      <c r="AM261" s="292"/>
      <c r="AN261" s="292"/>
      <c r="AO261" s="504"/>
      <c r="AP261" s="632"/>
      <c r="AQ261" s="633"/>
      <c r="AR261" s="633"/>
      <c r="AS261" s="633"/>
      <c r="AT261" s="633"/>
      <c r="AU261" s="633"/>
      <c r="AV261" s="633"/>
      <c r="AW261" s="555">
        <f t="shared" si="95"/>
        <v>0</v>
      </c>
      <c r="AX261" s="632"/>
      <c r="AY261" s="633"/>
      <c r="AZ261" s="633"/>
      <c r="BA261" s="633"/>
      <c r="BB261" s="633"/>
      <c r="BC261" s="633"/>
      <c r="BD261" s="633"/>
      <c r="BE261" s="555">
        <f t="shared" si="109"/>
        <v>0</v>
      </c>
      <c r="BF261" s="632"/>
      <c r="BG261" s="633"/>
      <c r="BH261" s="633"/>
      <c r="BI261" s="633"/>
      <c r="BJ261" s="633"/>
      <c r="BK261" s="633"/>
      <c r="BL261" s="633"/>
      <c r="BM261" s="555">
        <f t="shared" si="110"/>
        <v>0</v>
      </c>
      <c r="BN261" s="632"/>
      <c r="BO261" s="633"/>
      <c r="BP261" s="633"/>
      <c r="BQ261" s="633"/>
      <c r="BR261" s="633"/>
      <c r="BS261" s="633"/>
      <c r="BT261" s="633"/>
      <c r="BU261" s="555">
        <f t="shared" si="111"/>
        <v>0</v>
      </c>
      <c r="BV261" s="556"/>
      <c r="BW261" s="663">
        <f t="shared" si="99"/>
        <v>0</v>
      </c>
      <c r="BX261" s="674" t="e">
        <f t="shared" si="100"/>
        <v>#DIV/0!</v>
      </c>
      <c r="BY261" s="674" t="e">
        <f t="shared" si="101"/>
        <v>#DIV/0!</v>
      </c>
      <c r="BZ261" s="674" t="e">
        <f t="shared" si="102"/>
        <v>#DIV/0!</v>
      </c>
      <c r="CA261" s="675" t="e">
        <f t="shared" si="103"/>
        <v>#DIV/0!</v>
      </c>
      <c r="CB261" s="675" t="e">
        <f t="shared" si="104"/>
        <v>#DIV/0!</v>
      </c>
    </row>
    <row r="262" spans="1:80" ht="15" hidden="1" customHeight="1" x14ac:dyDescent="0.25">
      <c r="A262" s="423"/>
      <c r="B262" s="446" t="e">
        <f>'PLAN INDICATIVO'!#REF!</f>
        <v>#REF!</v>
      </c>
      <c r="C262" s="447"/>
      <c r="D262" s="448"/>
      <c r="E262" s="448"/>
      <c r="F262" s="448"/>
      <c r="G262" s="448"/>
      <c r="H262" s="448"/>
      <c r="I262" s="448"/>
      <c r="J262" s="448"/>
      <c r="K262" s="448"/>
      <c r="L262" s="448"/>
      <c r="M262" s="448"/>
      <c r="N262" s="449"/>
      <c r="O262" s="448"/>
      <c r="P262" s="450"/>
      <c r="Q262" s="450"/>
      <c r="R262" s="448"/>
      <c r="S262" s="451"/>
      <c r="T262" s="676"/>
      <c r="U262" s="451"/>
      <c r="V262" s="451"/>
      <c r="W262" s="451"/>
      <c r="X262" s="451"/>
      <c r="Y262" s="451"/>
      <c r="Z262" s="451"/>
      <c r="AA262" s="452"/>
      <c r="AB262" s="452"/>
      <c r="AC262" s="452"/>
      <c r="AD262" s="452"/>
      <c r="AE262" s="452"/>
      <c r="AF262" s="452"/>
      <c r="AG262" s="453"/>
      <c r="AH262" s="453"/>
      <c r="AI262" s="453"/>
      <c r="AJ262" s="294"/>
      <c r="AK262" s="294"/>
      <c r="AL262" s="294"/>
      <c r="AM262" s="294"/>
      <c r="AN262" s="294"/>
      <c r="AO262" s="506"/>
      <c r="AP262" s="524"/>
      <c r="AQ262" s="374"/>
      <c r="AR262" s="374"/>
      <c r="AS262" s="374"/>
      <c r="AT262" s="374"/>
      <c r="AU262" s="374"/>
      <c r="AV262" s="374"/>
      <c r="AW262" s="544">
        <f t="shared" ref="AW262:AW325" si="128">SUM(AP262:AV262)</f>
        <v>0</v>
      </c>
      <c r="AX262" s="524"/>
      <c r="AY262" s="374"/>
      <c r="AZ262" s="374"/>
      <c r="BA262" s="374"/>
      <c r="BB262" s="374"/>
      <c r="BC262" s="374"/>
      <c r="BD262" s="374"/>
      <c r="BE262" s="544">
        <f t="shared" si="109"/>
        <v>0</v>
      </c>
      <c r="BF262" s="524"/>
      <c r="BG262" s="374"/>
      <c r="BH262" s="374"/>
      <c r="BI262" s="374"/>
      <c r="BJ262" s="374"/>
      <c r="BK262" s="374"/>
      <c r="BL262" s="374"/>
      <c r="BM262" s="544">
        <f t="shared" si="110"/>
        <v>0</v>
      </c>
      <c r="BN262" s="524"/>
      <c r="BO262" s="374"/>
      <c r="BP262" s="374"/>
      <c r="BQ262" s="374"/>
      <c r="BR262" s="374"/>
      <c r="BS262" s="374"/>
      <c r="BT262" s="374"/>
      <c r="BU262" s="544">
        <f t="shared" si="111"/>
        <v>0</v>
      </c>
      <c r="BV262" s="556"/>
      <c r="BW262" s="663">
        <f t="shared" si="99"/>
        <v>0</v>
      </c>
      <c r="BX262" s="674" t="e">
        <f t="shared" si="100"/>
        <v>#DIV/0!</v>
      </c>
      <c r="BY262" s="674" t="e">
        <f t="shared" si="101"/>
        <v>#DIV/0!</v>
      </c>
      <c r="BZ262" s="674" t="e">
        <f t="shared" si="102"/>
        <v>#DIV/0!</v>
      </c>
      <c r="CA262" s="675" t="e">
        <f t="shared" si="103"/>
        <v>#DIV/0!</v>
      </c>
      <c r="CB262" s="675" t="e">
        <f t="shared" si="104"/>
        <v>#DIV/0!</v>
      </c>
    </row>
    <row r="263" spans="1:80" ht="17.25" hidden="1" customHeight="1" x14ac:dyDescent="0.25">
      <c r="A263" s="423"/>
      <c r="B263" s="293" t="str">
        <f>'PLAN INDICATIVO'!B260</f>
        <v>Promoción del desarrollo</v>
      </c>
      <c r="C263" s="1595" t="s">
        <v>2863</v>
      </c>
      <c r="D263" s="1596"/>
      <c r="E263" s="1596"/>
      <c r="F263" s="1596"/>
      <c r="G263" s="1596"/>
      <c r="H263" s="1596"/>
      <c r="I263" s="1596"/>
      <c r="J263" s="1596"/>
      <c r="K263" s="1596"/>
      <c r="L263" s="1596"/>
      <c r="M263" s="1596"/>
      <c r="N263" s="1596"/>
      <c r="O263" s="1596"/>
      <c r="P263" s="1596"/>
      <c r="Q263" s="1596"/>
      <c r="R263" s="1596"/>
      <c r="S263" s="1596"/>
      <c r="T263" s="1596"/>
      <c r="U263" s="1596"/>
      <c r="V263" s="1596"/>
      <c r="W263" s="1596"/>
      <c r="X263" s="1596"/>
      <c r="Y263" s="1596"/>
      <c r="Z263" s="1596"/>
      <c r="AA263" s="1596"/>
      <c r="AB263" s="1596"/>
      <c r="AC263" s="1596"/>
      <c r="AD263" s="1596"/>
      <c r="AE263" s="1596"/>
      <c r="AF263" s="1596"/>
      <c r="AG263" s="1596"/>
      <c r="AH263" s="1596"/>
      <c r="AI263" s="1596"/>
      <c r="AJ263" s="1596"/>
      <c r="AK263" s="1596"/>
      <c r="AL263" s="1596"/>
      <c r="AM263" s="1597"/>
      <c r="AN263" s="294"/>
      <c r="AO263" s="506"/>
      <c r="AP263" s="524"/>
      <c r="AQ263" s="374"/>
      <c r="AR263" s="374"/>
      <c r="AS263" s="374"/>
      <c r="AT263" s="374"/>
      <c r="AU263" s="374"/>
      <c r="AV263" s="374"/>
      <c r="AW263" s="544">
        <f t="shared" si="128"/>
        <v>0</v>
      </c>
      <c r="AX263" s="524"/>
      <c r="AY263" s="374"/>
      <c r="AZ263" s="374"/>
      <c r="BA263" s="374"/>
      <c r="BB263" s="374"/>
      <c r="BC263" s="374"/>
      <c r="BD263" s="374"/>
      <c r="BE263" s="544">
        <f t="shared" si="109"/>
        <v>0</v>
      </c>
      <c r="BF263" s="524"/>
      <c r="BG263" s="374"/>
      <c r="BH263" s="374"/>
      <c r="BI263" s="374"/>
      <c r="BJ263" s="374"/>
      <c r="BK263" s="374"/>
      <c r="BL263" s="374"/>
      <c r="BM263" s="544">
        <f t="shared" si="110"/>
        <v>0</v>
      </c>
      <c r="BN263" s="524"/>
      <c r="BO263" s="374"/>
      <c r="BP263" s="374"/>
      <c r="BQ263" s="374"/>
      <c r="BR263" s="374"/>
      <c r="BS263" s="374"/>
      <c r="BT263" s="374"/>
      <c r="BU263" s="544">
        <f t="shared" si="111"/>
        <v>0</v>
      </c>
      <c r="BV263" s="556"/>
      <c r="BW263" s="663">
        <f t="shared" si="99"/>
        <v>0</v>
      </c>
      <c r="BX263" s="674" t="e">
        <f t="shared" si="100"/>
        <v>#DIV/0!</v>
      </c>
      <c r="BY263" s="674" t="e">
        <f t="shared" si="101"/>
        <v>#DIV/0!</v>
      </c>
      <c r="BZ263" s="674" t="e">
        <f t="shared" si="102"/>
        <v>#DIV/0!</v>
      </c>
      <c r="CA263" s="675" t="e">
        <f t="shared" si="103"/>
        <v>#DIV/0!</v>
      </c>
      <c r="CB263" s="675" t="e">
        <f t="shared" si="104"/>
        <v>#DIV/0!</v>
      </c>
    </row>
    <row r="264" spans="1:80" ht="15.75" hidden="1" customHeight="1" x14ac:dyDescent="0.25">
      <c r="A264" s="296"/>
      <c r="B264" s="24" t="str">
        <f>'PLAN INDICATIVO'!B261</f>
        <v>Promoción del desarrollo</v>
      </c>
      <c r="C264" s="1574" t="s">
        <v>799</v>
      </c>
      <c r="D264" s="1575"/>
      <c r="E264" s="1575"/>
      <c r="F264" s="1575"/>
      <c r="G264" s="1575"/>
      <c r="H264" s="1575"/>
      <c r="I264" s="1575"/>
      <c r="J264" s="1575"/>
      <c r="K264" s="1575"/>
      <c r="L264" s="1575"/>
      <c r="M264" s="1575"/>
      <c r="N264" s="1575"/>
      <c r="O264" s="1576"/>
      <c r="P264" s="22"/>
      <c r="Q264" s="22"/>
      <c r="R264" s="1"/>
      <c r="S264" s="261"/>
      <c r="T264" s="681"/>
      <c r="U264" s="261"/>
      <c r="V264" s="689">
        <f>SUM(V265:V275)</f>
        <v>45000000</v>
      </c>
      <c r="W264" s="261"/>
      <c r="X264" s="689">
        <f>SUM(X265:X275)</f>
        <v>59000000</v>
      </c>
      <c r="Y264" s="261"/>
      <c r="Z264" s="689">
        <f>SUM(Z265:Z275)</f>
        <v>40000000</v>
      </c>
      <c r="AA264" s="262"/>
      <c r="AB264" s="690">
        <f>SUM(AB265:AB275)</f>
        <v>40000000</v>
      </c>
      <c r="AC264" s="262"/>
      <c r="AD264" s="262"/>
      <c r="AE264" s="262"/>
      <c r="AF264" s="262"/>
      <c r="AG264" s="263"/>
      <c r="AH264" s="263"/>
      <c r="AI264" s="263"/>
      <c r="AJ264" s="262"/>
      <c r="AK264" s="262"/>
      <c r="AL264" s="262"/>
      <c r="AM264" s="262"/>
      <c r="AN264" s="262"/>
      <c r="AO264" s="612"/>
      <c r="AP264" s="616" t="e">
        <f>(AP265:AP275)</f>
        <v>#VALUE!</v>
      </c>
      <c r="AQ264" s="616" t="e">
        <f t="shared" ref="AQ264:AV264" si="129">(AQ265:AQ275)</f>
        <v>#VALUE!</v>
      </c>
      <c r="AR264" s="616" t="e">
        <f t="shared" si="129"/>
        <v>#VALUE!</v>
      </c>
      <c r="AS264" s="616" t="e">
        <f t="shared" si="129"/>
        <v>#VALUE!</v>
      </c>
      <c r="AT264" s="616" t="e">
        <f t="shared" si="129"/>
        <v>#VALUE!</v>
      </c>
      <c r="AU264" s="616" t="e">
        <f t="shared" si="129"/>
        <v>#VALUE!</v>
      </c>
      <c r="AV264" s="616" t="e">
        <f t="shared" si="129"/>
        <v>#VALUE!</v>
      </c>
      <c r="AW264" s="617" t="e">
        <f t="shared" si="128"/>
        <v>#VALUE!</v>
      </c>
      <c r="AX264" s="616" t="e">
        <f>(AX265:AX275)</f>
        <v>#VALUE!</v>
      </c>
      <c r="AY264" s="616" t="e">
        <f t="shared" ref="AY264:BD264" si="130">(AY265:AY275)</f>
        <v>#VALUE!</v>
      </c>
      <c r="AZ264" s="616" t="e">
        <f t="shared" si="130"/>
        <v>#VALUE!</v>
      </c>
      <c r="BA264" s="616" t="e">
        <f t="shared" si="130"/>
        <v>#VALUE!</v>
      </c>
      <c r="BB264" s="616" t="e">
        <f t="shared" si="130"/>
        <v>#VALUE!</v>
      </c>
      <c r="BC264" s="616" t="e">
        <f t="shared" si="130"/>
        <v>#VALUE!</v>
      </c>
      <c r="BD264" s="616" t="e">
        <f t="shared" si="130"/>
        <v>#VALUE!</v>
      </c>
      <c r="BE264" s="617" t="e">
        <f t="shared" si="109"/>
        <v>#VALUE!</v>
      </c>
      <c r="BF264" s="616" t="e">
        <f>(BF265:BF275)</f>
        <v>#VALUE!</v>
      </c>
      <c r="BG264" s="616" t="e">
        <f t="shared" ref="BG264:BL264" si="131">(BG265:BG275)</f>
        <v>#VALUE!</v>
      </c>
      <c r="BH264" s="616" t="e">
        <f t="shared" si="131"/>
        <v>#VALUE!</v>
      </c>
      <c r="BI264" s="616" t="e">
        <f t="shared" si="131"/>
        <v>#VALUE!</v>
      </c>
      <c r="BJ264" s="616" t="e">
        <f t="shared" si="131"/>
        <v>#VALUE!</v>
      </c>
      <c r="BK264" s="616" t="e">
        <f t="shared" si="131"/>
        <v>#VALUE!</v>
      </c>
      <c r="BL264" s="616" t="e">
        <f t="shared" si="131"/>
        <v>#VALUE!</v>
      </c>
      <c r="BM264" s="617" t="e">
        <f t="shared" si="110"/>
        <v>#VALUE!</v>
      </c>
      <c r="BN264" s="616" t="e">
        <f>(BN265:BN275)</f>
        <v>#VALUE!</v>
      </c>
      <c r="BO264" s="616" t="e">
        <f t="shared" ref="BO264:BT264" si="132">(BO265:BO275)</f>
        <v>#VALUE!</v>
      </c>
      <c r="BP264" s="616" t="e">
        <f t="shared" si="132"/>
        <v>#VALUE!</v>
      </c>
      <c r="BQ264" s="616" t="e">
        <f t="shared" si="132"/>
        <v>#VALUE!</v>
      </c>
      <c r="BR264" s="616" t="e">
        <f t="shared" si="132"/>
        <v>#VALUE!</v>
      </c>
      <c r="BS264" s="616" t="e">
        <f t="shared" si="132"/>
        <v>#VALUE!</v>
      </c>
      <c r="BT264" s="616" t="e">
        <f t="shared" si="132"/>
        <v>#VALUE!</v>
      </c>
      <c r="BU264" s="617" t="e">
        <f t="shared" si="111"/>
        <v>#VALUE!</v>
      </c>
      <c r="BV264" s="556"/>
      <c r="BW264" s="663">
        <f t="shared" si="99"/>
        <v>0</v>
      </c>
      <c r="BX264" s="674" t="e">
        <f t="shared" si="100"/>
        <v>#DIV/0!</v>
      </c>
      <c r="BY264" s="674" t="e">
        <f t="shared" si="101"/>
        <v>#DIV/0!</v>
      </c>
      <c r="BZ264" s="674" t="e">
        <f t="shared" si="102"/>
        <v>#DIV/0!</v>
      </c>
      <c r="CA264" s="675" t="e">
        <f t="shared" si="103"/>
        <v>#DIV/0!</v>
      </c>
      <c r="CB264" s="675" t="e">
        <f t="shared" si="104"/>
        <v>#DIV/0!</v>
      </c>
    </row>
    <row r="265" spans="1:80" ht="70.5" hidden="1" customHeight="1" x14ac:dyDescent="0.25">
      <c r="A265" s="298" t="s">
        <v>800</v>
      </c>
      <c r="B265" s="299" t="str">
        <f>'PLAN INDICATIVO'!B262</f>
        <v>Desarrollo Económico/Promoción del desarrollo</v>
      </c>
      <c r="C265" s="1546" t="s">
        <v>802</v>
      </c>
      <c r="D265" s="1549" t="s">
        <v>803</v>
      </c>
      <c r="E265" s="1549" t="s">
        <v>804</v>
      </c>
      <c r="F265" s="1549">
        <v>2015</v>
      </c>
      <c r="G265" s="1549">
        <v>696</v>
      </c>
      <c r="H265" s="1549">
        <v>800</v>
      </c>
      <c r="I265" s="300">
        <f>'PLAN INDICATIVO'!I262</f>
        <v>0</v>
      </c>
      <c r="J265" s="300">
        <f>'PLAN INDICATIVO'!J262</f>
        <v>0</v>
      </c>
      <c r="K265" s="1425" t="str">
        <f>'PLAN INDICATIVO'!K262</f>
        <v>A.13.1.1</v>
      </c>
      <c r="L265" s="301" t="str">
        <f>'PLAN INDICATIVO'!L262</f>
        <v>8. Trabajo decente y crecimiento económico</v>
      </c>
      <c r="M265" s="301" t="str">
        <f>'PLAN INDICATIVO'!M262</f>
        <v>Secretaría de Gobierno</v>
      </c>
      <c r="N265" s="1425" t="s">
        <v>2791</v>
      </c>
      <c r="O265" s="1425" t="str">
        <f>'PLAN INDICATIVO'!O262</f>
        <v>Incremento</v>
      </c>
      <c r="P265" s="16" t="str">
        <f>'PLAN INDICATIVO'!P262</f>
        <v>Implementar 1 Plan local de productividad y competitividad durante el cuatrienio</v>
      </c>
      <c r="Q265" s="302" t="str">
        <f>'PLAN INDICATIVO'!Q262</f>
        <v>No. De Planes implementados</v>
      </c>
      <c r="R265" s="303">
        <f>'PLAN INDICATIVO'!R262</f>
        <v>2015</v>
      </c>
      <c r="S265" s="304">
        <v>0</v>
      </c>
      <c r="T265" s="498">
        <v>1</v>
      </c>
      <c r="U265" s="303">
        <v>0</v>
      </c>
      <c r="V265" s="687">
        <v>5000000</v>
      </c>
      <c r="W265" s="572">
        <v>1</v>
      </c>
      <c r="X265" s="687">
        <v>16000000</v>
      </c>
      <c r="Y265" s="572">
        <v>0</v>
      </c>
      <c r="Z265" s="687"/>
      <c r="AA265" s="572">
        <v>0</v>
      </c>
      <c r="AB265" s="687"/>
      <c r="AC265" s="665"/>
      <c r="AD265" s="665">
        <v>0.4</v>
      </c>
      <c r="AE265" s="665"/>
      <c r="AF265" s="665"/>
      <c r="AG265" s="306" t="s">
        <v>3700</v>
      </c>
      <c r="AH265" s="306"/>
      <c r="AI265" s="307" t="s">
        <v>3701</v>
      </c>
      <c r="AJ265" s="308"/>
      <c r="AK265" s="308"/>
      <c r="AL265" s="308"/>
      <c r="AM265" s="308"/>
      <c r="AN265" s="267" t="s">
        <v>2604</v>
      </c>
      <c r="AO265" s="507"/>
      <c r="AP265" s="525"/>
      <c r="AQ265" s="310"/>
      <c r="AR265" s="310"/>
      <c r="AS265" s="310"/>
      <c r="AT265" s="310"/>
      <c r="AU265" s="310"/>
      <c r="AV265" s="310"/>
      <c r="AW265" s="544">
        <f t="shared" si="128"/>
        <v>0</v>
      </c>
      <c r="AX265" s="525"/>
      <c r="AY265" s="310"/>
      <c r="AZ265" s="310"/>
      <c r="BA265" s="310"/>
      <c r="BB265" s="310"/>
      <c r="BC265" s="310"/>
      <c r="BD265" s="310"/>
      <c r="BE265" s="544">
        <f t="shared" si="109"/>
        <v>0</v>
      </c>
      <c r="BF265" s="525"/>
      <c r="BG265" s="310"/>
      <c r="BH265" s="310"/>
      <c r="BI265" s="310"/>
      <c r="BJ265" s="310"/>
      <c r="BK265" s="310"/>
      <c r="BL265" s="310"/>
      <c r="BM265" s="544">
        <f t="shared" si="110"/>
        <v>0</v>
      </c>
      <c r="BN265" s="525"/>
      <c r="BO265" s="310"/>
      <c r="BP265" s="310"/>
      <c r="BQ265" s="310"/>
      <c r="BR265" s="310"/>
      <c r="BS265" s="310"/>
      <c r="BT265" s="310"/>
      <c r="BU265" s="544">
        <f t="shared" si="111"/>
        <v>0</v>
      </c>
      <c r="BV265" s="556"/>
      <c r="BW265" s="663">
        <f t="shared" si="99"/>
        <v>0.4</v>
      </c>
      <c r="BX265" s="674">
        <f t="shared" si="100"/>
        <v>0.4</v>
      </c>
      <c r="BY265" s="674" t="e">
        <f t="shared" si="101"/>
        <v>#DIV/0!</v>
      </c>
      <c r="BZ265" s="674">
        <f t="shared" si="102"/>
        <v>0.4</v>
      </c>
      <c r="CA265" s="675" t="e">
        <f t="shared" si="103"/>
        <v>#DIV/0!</v>
      </c>
      <c r="CB265" s="675" t="e">
        <f t="shared" si="104"/>
        <v>#DIV/0!</v>
      </c>
    </row>
    <row r="266" spans="1:80" ht="87" hidden="1" customHeight="1" x14ac:dyDescent="0.25">
      <c r="A266" s="298" t="s">
        <v>800</v>
      </c>
      <c r="B266" s="299" t="str">
        <f>'PLAN INDICATIVO'!B263</f>
        <v>Desarrollo Económico/Promoción del desarrollo</v>
      </c>
      <c r="C266" s="1547"/>
      <c r="D266" s="1549"/>
      <c r="E266" s="1549"/>
      <c r="F266" s="1549"/>
      <c r="G266" s="1549"/>
      <c r="H266" s="1549"/>
      <c r="I266" s="300">
        <f>'PLAN INDICATIVO'!I263</f>
        <v>0</v>
      </c>
      <c r="J266" s="300">
        <f>'PLAN INDICATIVO'!J263</f>
        <v>0</v>
      </c>
      <c r="K266" s="1425" t="str">
        <f>'PLAN INDICATIVO'!K263</f>
        <v>A.13.1.2</v>
      </c>
      <c r="L266" s="301" t="str">
        <f>'PLAN INDICATIVO'!L263</f>
        <v>8. Trabajo decente y crecimiento económico</v>
      </c>
      <c r="M266" s="301" t="str">
        <f>'PLAN INDICATIVO'!M263</f>
        <v>Secretaría de Gobierno</v>
      </c>
      <c r="N266" s="1425" t="s">
        <v>2791</v>
      </c>
      <c r="O266" s="1425" t="str">
        <f>'PLAN INDICATIVO'!O263</f>
        <v>Incremento</v>
      </c>
      <c r="P266" s="25" t="str">
        <f>'PLAN INDICATIVO'!P263</f>
        <v xml:space="preserve">Lograr 1 proyecto de acuerdo aprobado para otorgar incentivos tributarios para la instalación de nuevas empresas durante el cuatrienio </v>
      </c>
      <c r="Q266" s="302" t="str">
        <f>'PLAN INDICATIVO'!Q263</f>
        <v xml:space="preserve">No. De Proyecto Logrados </v>
      </c>
      <c r="R266" s="303">
        <f>'PLAN INDICATIVO'!R263</f>
        <v>2015</v>
      </c>
      <c r="S266" s="304">
        <v>0</v>
      </c>
      <c r="T266" s="498">
        <v>1</v>
      </c>
      <c r="U266" s="303">
        <v>1</v>
      </c>
      <c r="V266" s="687">
        <v>500000</v>
      </c>
      <c r="W266" s="66">
        <v>0</v>
      </c>
      <c r="X266" s="687">
        <v>500000</v>
      </c>
      <c r="Y266" s="66">
        <v>1</v>
      </c>
      <c r="Z266" s="687"/>
      <c r="AA266" s="572">
        <v>0</v>
      </c>
      <c r="AB266" s="687"/>
      <c r="AC266" s="665"/>
      <c r="AD266" s="665"/>
      <c r="AE266" s="665"/>
      <c r="AF266" s="665"/>
      <c r="AG266" s="306" t="s">
        <v>3700</v>
      </c>
      <c r="AH266" s="306"/>
      <c r="AI266" s="307"/>
      <c r="AJ266" s="308"/>
      <c r="AK266" s="308"/>
      <c r="AL266" s="308"/>
      <c r="AM266" s="308"/>
      <c r="AN266" s="267" t="s">
        <v>2594</v>
      </c>
      <c r="AO266" s="507"/>
      <c r="AP266" s="525"/>
      <c r="AQ266" s="310"/>
      <c r="AR266" s="310"/>
      <c r="AS266" s="310"/>
      <c r="AT266" s="310"/>
      <c r="AU266" s="310"/>
      <c r="AV266" s="310"/>
      <c r="AW266" s="544">
        <f t="shared" si="128"/>
        <v>0</v>
      </c>
      <c r="AX266" s="525"/>
      <c r="AY266" s="310"/>
      <c r="AZ266" s="310"/>
      <c r="BA266" s="310"/>
      <c r="BB266" s="310"/>
      <c r="BC266" s="310"/>
      <c r="BD266" s="310"/>
      <c r="BE266" s="544">
        <f t="shared" si="109"/>
        <v>0</v>
      </c>
      <c r="BF266" s="525"/>
      <c r="BG266" s="310"/>
      <c r="BH266" s="310"/>
      <c r="BI266" s="310"/>
      <c r="BJ266" s="310"/>
      <c r="BK266" s="310"/>
      <c r="BL266" s="310"/>
      <c r="BM266" s="544">
        <f t="shared" si="110"/>
        <v>0</v>
      </c>
      <c r="BN266" s="525"/>
      <c r="BO266" s="310"/>
      <c r="BP266" s="310"/>
      <c r="BQ266" s="310"/>
      <c r="BR266" s="310"/>
      <c r="BS266" s="310"/>
      <c r="BT266" s="310"/>
      <c r="BU266" s="544">
        <f t="shared" si="111"/>
        <v>0</v>
      </c>
      <c r="BV266" s="556"/>
      <c r="BW266" s="663">
        <f t="shared" ref="BW266:BW329" si="133">AC266+AD266+AE266+AF266</f>
        <v>0</v>
      </c>
      <c r="BX266" s="674">
        <f t="shared" ref="BX266:BX329" si="134">BW266/T266</f>
        <v>0</v>
      </c>
      <c r="BY266" s="674">
        <f t="shared" ref="BY266:BY329" si="135">AC266/U266</f>
        <v>0</v>
      </c>
      <c r="BZ266" s="674" t="e">
        <f t="shared" ref="BZ266:BZ329" si="136">AD266/W266</f>
        <v>#DIV/0!</v>
      </c>
      <c r="CA266" s="675">
        <f t="shared" ref="CA266:CA329" si="137">AE266/Y266</f>
        <v>0</v>
      </c>
      <c r="CB266" s="675" t="e">
        <f t="shared" ref="CB266:CB329" si="138">AF266/AA266</f>
        <v>#DIV/0!</v>
      </c>
    </row>
    <row r="267" spans="1:80" ht="59.25" hidden="1" customHeight="1" x14ac:dyDescent="0.25">
      <c r="A267" s="298" t="s">
        <v>800</v>
      </c>
      <c r="B267" s="299" t="str">
        <f>'PLAN INDICATIVO'!B264</f>
        <v>Desarrollo Económico/Promoción del desarrollo</v>
      </c>
      <c r="C267" s="1547"/>
      <c r="D267" s="1549"/>
      <c r="E267" s="1549"/>
      <c r="F267" s="1549"/>
      <c r="G267" s="1549"/>
      <c r="H267" s="1549"/>
      <c r="I267" s="300">
        <f>'PLAN INDICATIVO'!I264</f>
        <v>0</v>
      </c>
      <c r="J267" s="300">
        <f>'PLAN INDICATIVO'!J264</f>
        <v>0</v>
      </c>
      <c r="K267" s="1425" t="str">
        <f>'PLAN INDICATIVO'!K264</f>
        <v>A.13.1.3</v>
      </c>
      <c r="L267" s="301" t="str">
        <f>'PLAN INDICATIVO'!L264</f>
        <v>8. Trabajo decente y crecimiento económico</v>
      </c>
      <c r="M267" s="301" t="str">
        <f>'PLAN INDICATIVO'!M264</f>
        <v>Secretaría de Gobierno</v>
      </c>
      <c r="N267" s="1425" t="s">
        <v>2791</v>
      </c>
      <c r="O267" s="1425" t="str">
        <f>'PLAN INDICATIVO'!O264</f>
        <v>Incremento</v>
      </c>
      <c r="P267" s="25" t="str">
        <f>'PLAN INDICATIVO'!P264</f>
        <v>Implementar 1 estrategia para el manejo de vendedores ambulantes durante  del cuatrienio</v>
      </c>
      <c r="Q267" s="302" t="str">
        <f>'PLAN INDICATIVO'!Q264</f>
        <v xml:space="preserve">No. De Estrategias implementada </v>
      </c>
      <c r="R267" s="303">
        <f>'PLAN INDICATIVO'!R264</f>
        <v>2015</v>
      </c>
      <c r="S267" s="304">
        <v>0</v>
      </c>
      <c r="T267" s="498">
        <v>1</v>
      </c>
      <c r="U267" s="303">
        <v>1</v>
      </c>
      <c r="V267" s="687">
        <v>10000000</v>
      </c>
      <c r="W267" s="964">
        <v>0</v>
      </c>
      <c r="X267" s="687">
        <v>10000000</v>
      </c>
      <c r="Y267" s="66">
        <v>1</v>
      </c>
      <c r="Z267" s="687"/>
      <c r="AA267" s="572">
        <v>0</v>
      </c>
      <c r="AB267" s="687"/>
      <c r="AC267" s="665"/>
      <c r="AD267" s="665"/>
      <c r="AE267" s="665"/>
      <c r="AF267" s="665"/>
      <c r="AG267" s="306"/>
      <c r="AH267" s="306"/>
      <c r="AI267" s="307"/>
      <c r="AJ267" s="308"/>
      <c r="AK267" s="308"/>
      <c r="AL267" s="308"/>
      <c r="AM267" s="308"/>
      <c r="AN267" s="267" t="s">
        <v>2594</v>
      </c>
      <c r="AO267" s="507"/>
      <c r="AP267" s="525"/>
      <c r="AQ267" s="310"/>
      <c r="AR267" s="310"/>
      <c r="AS267" s="310"/>
      <c r="AT267" s="310"/>
      <c r="AU267" s="310"/>
      <c r="AV267" s="310"/>
      <c r="AW267" s="544">
        <f t="shared" si="128"/>
        <v>0</v>
      </c>
      <c r="AX267" s="525"/>
      <c r="AY267" s="310"/>
      <c r="AZ267" s="310"/>
      <c r="BA267" s="310"/>
      <c r="BB267" s="310"/>
      <c r="BC267" s="310"/>
      <c r="BD267" s="310"/>
      <c r="BE267" s="544">
        <f t="shared" si="109"/>
        <v>0</v>
      </c>
      <c r="BF267" s="525"/>
      <c r="BG267" s="310"/>
      <c r="BH267" s="310"/>
      <c r="BI267" s="310"/>
      <c r="BJ267" s="310"/>
      <c r="BK267" s="310"/>
      <c r="BL267" s="310"/>
      <c r="BM267" s="544">
        <f t="shared" si="110"/>
        <v>0</v>
      </c>
      <c r="BN267" s="525"/>
      <c r="BO267" s="310"/>
      <c r="BP267" s="310"/>
      <c r="BQ267" s="310"/>
      <c r="BR267" s="310"/>
      <c r="BS267" s="310"/>
      <c r="BT267" s="310"/>
      <c r="BU267" s="544">
        <f t="shared" si="111"/>
        <v>0</v>
      </c>
      <c r="BV267" s="556"/>
      <c r="BW267" s="663">
        <f t="shared" si="133"/>
        <v>0</v>
      </c>
      <c r="BX267" s="674">
        <f t="shared" si="134"/>
        <v>0</v>
      </c>
      <c r="BY267" s="674">
        <f t="shared" si="135"/>
        <v>0</v>
      </c>
      <c r="BZ267" s="674" t="e">
        <f t="shared" si="136"/>
        <v>#DIV/0!</v>
      </c>
      <c r="CA267" s="675">
        <f t="shared" si="137"/>
        <v>0</v>
      </c>
      <c r="CB267" s="675" t="e">
        <f t="shared" si="138"/>
        <v>#DIV/0!</v>
      </c>
    </row>
    <row r="268" spans="1:80" ht="81.75" hidden="1" customHeight="1" x14ac:dyDescent="0.25">
      <c r="A268" s="298" t="s">
        <v>800</v>
      </c>
      <c r="B268" s="299" t="str">
        <f>'PLAN INDICATIVO'!B265</f>
        <v>Desarrollo Económico/Promoción del desarrollo</v>
      </c>
      <c r="C268" s="1547"/>
      <c r="D268" s="1549"/>
      <c r="E268" s="1549"/>
      <c r="F268" s="1549"/>
      <c r="G268" s="1549"/>
      <c r="H268" s="1549"/>
      <c r="I268" s="300">
        <f>'PLAN INDICATIVO'!I265</f>
        <v>0</v>
      </c>
      <c r="J268" s="300">
        <f>'PLAN INDICATIVO'!J265</f>
        <v>0</v>
      </c>
      <c r="K268" s="1425" t="str">
        <f>'PLAN INDICATIVO'!K265</f>
        <v>A.13.1.4</v>
      </c>
      <c r="L268" s="301" t="str">
        <f>'PLAN INDICATIVO'!L265</f>
        <v>8. Trabajo decente y crecimiento económico</v>
      </c>
      <c r="M268" s="301" t="str">
        <f>'PLAN INDICATIVO'!M265</f>
        <v>Secretaría de Gobierno</v>
      </c>
      <c r="N268" s="1425" t="s">
        <v>2791</v>
      </c>
      <c r="O268" s="1425" t="str">
        <f>'PLAN INDICATIVO'!O265</f>
        <v>Incremento</v>
      </c>
      <c r="P268" s="25" t="str">
        <f>'PLAN INDICATIVO'!P265</f>
        <v>Realizar 2 convenios interadministrativos dirigidos a disminuir la informalidad durante el cuatrienio</v>
      </c>
      <c r="Q268" s="302" t="str">
        <f>'PLAN INDICATIVO'!Q265</f>
        <v>No. De convenios interadministrativos suscritos</v>
      </c>
      <c r="R268" s="303">
        <f>'PLAN INDICATIVO'!R265</f>
        <v>2015</v>
      </c>
      <c r="S268" s="304">
        <v>0</v>
      </c>
      <c r="T268" s="498">
        <v>2</v>
      </c>
      <c r="U268" s="303">
        <v>1</v>
      </c>
      <c r="V268" s="687">
        <v>500000</v>
      </c>
      <c r="W268" s="66">
        <v>0</v>
      </c>
      <c r="X268" s="687">
        <v>500000</v>
      </c>
      <c r="Y268" s="66">
        <v>1</v>
      </c>
      <c r="Z268" s="687">
        <v>5000000</v>
      </c>
      <c r="AA268" s="66">
        <v>1</v>
      </c>
      <c r="AB268" s="687"/>
      <c r="AC268" s="665"/>
      <c r="AD268" s="665"/>
      <c r="AE268" s="665"/>
      <c r="AF268" s="665"/>
      <c r="AG268" s="306" t="s">
        <v>3700</v>
      </c>
      <c r="AH268" s="306"/>
      <c r="AI268" s="307" t="s">
        <v>3702</v>
      </c>
      <c r="AJ268" s="308"/>
      <c r="AK268" s="308"/>
      <c r="AL268" s="308"/>
      <c r="AM268" s="308"/>
      <c r="AN268" s="267" t="s">
        <v>2594</v>
      </c>
      <c r="AO268" s="507"/>
      <c r="AP268" s="525"/>
      <c r="AQ268" s="310"/>
      <c r="AR268" s="310"/>
      <c r="AS268" s="310"/>
      <c r="AT268" s="310"/>
      <c r="AU268" s="310"/>
      <c r="AV268" s="310"/>
      <c r="AW268" s="544">
        <f t="shared" si="128"/>
        <v>0</v>
      </c>
      <c r="AX268" s="525"/>
      <c r="AY268" s="310"/>
      <c r="AZ268" s="310"/>
      <c r="BA268" s="310"/>
      <c r="BB268" s="310"/>
      <c r="BC268" s="310"/>
      <c r="BD268" s="310"/>
      <c r="BE268" s="544">
        <f t="shared" si="109"/>
        <v>0</v>
      </c>
      <c r="BF268" s="525"/>
      <c r="BG268" s="310"/>
      <c r="BH268" s="310"/>
      <c r="BI268" s="310"/>
      <c r="BJ268" s="310"/>
      <c r="BK268" s="310"/>
      <c r="BL268" s="310"/>
      <c r="BM268" s="544">
        <f t="shared" si="110"/>
        <v>0</v>
      </c>
      <c r="BN268" s="525"/>
      <c r="BO268" s="310"/>
      <c r="BP268" s="310"/>
      <c r="BQ268" s="310"/>
      <c r="BR268" s="310"/>
      <c r="BS268" s="310"/>
      <c r="BT268" s="310"/>
      <c r="BU268" s="544">
        <f t="shared" si="111"/>
        <v>0</v>
      </c>
      <c r="BV268" s="556"/>
      <c r="BW268" s="663">
        <f t="shared" si="133"/>
        <v>0</v>
      </c>
      <c r="BX268" s="674">
        <f t="shared" si="134"/>
        <v>0</v>
      </c>
      <c r="BY268" s="674">
        <f t="shared" si="135"/>
        <v>0</v>
      </c>
      <c r="BZ268" s="674" t="e">
        <f t="shared" si="136"/>
        <v>#DIV/0!</v>
      </c>
      <c r="CA268" s="675">
        <f t="shared" si="137"/>
        <v>0</v>
      </c>
      <c r="CB268" s="675">
        <f t="shared" si="138"/>
        <v>0</v>
      </c>
    </row>
    <row r="269" spans="1:80" ht="58.5" hidden="1" customHeight="1" x14ac:dyDescent="0.25">
      <c r="A269" s="298" t="s">
        <v>800</v>
      </c>
      <c r="B269" s="299" t="str">
        <f>'PLAN INDICATIVO'!B266</f>
        <v>Desarrollo Económico/Promoción del desarrollo</v>
      </c>
      <c r="C269" s="1547"/>
      <c r="D269" s="1549"/>
      <c r="E269" s="1549"/>
      <c r="F269" s="1549"/>
      <c r="G269" s="1549"/>
      <c r="H269" s="1549"/>
      <c r="I269" s="300">
        <f>'PLAN INDICATIVO'!I266</f>
        <v>0</v>
      </c>
      <c r="J269" s="300">
        <f>'PLAN INDICATIVO'!J266</f>
        <v>0</v>
      </c>
      <c r="K269" s="1425" t="str">
        <f>'PLAN INDICATIVO'!K266</f>
        <v>A.13.1.5</v>
      </c>
      <c r="L269" s="301" t="str">
        <f>'PLAN INDICATIVO'!L266</f>
        <v>8. Trabajo decente y crecimiento económico</v>
      </c>
      <c r="M269" s="301" t="str">
        <f>'PLAN INDICATIVO'!M266</f>
        <v>Secretaría de Gobierno</v>
      </c>
      <c r="N269" s="1425" t="s">
        <v>2791</v>
      </c>
      <c r="O269" s="1425" t="str">
        <f>'PLAN INDICATIVO'!O266</f>
        <v>Incremento</v>
      </c>
      <c r="P269" s="16" t="str">
        <f>'PLAN INDICATIVO'!P266</f>
        <v>Apoyar 20 empresas  para su formalización durante el cuatrienio</v>
      </c>
      <c r="Q269" s="302" t="str">
        <f>'PLAN INDICATIVO'!Q266</f>
        <v>No. De empresas apoyadas</v>
      </c>
      <c r="R269" s="303">
        <f>'PLAN INDICATIVO'!R266</f>
        <v>2015</v>
      </c>
      <c r="S269" s="304">
        <v>0</v>
      </c>
      <c r="T269" s="498">
        <v>20</v>
      </c>
      <c r="U269" s="303">
        <v>5</v>
      </c>
      <c r="V269" s="687">
        <v>9500000</v>
      </c>
      <c r="W269" s="572">
        <v>5</v>
      </c>
      <c r="X269" s="687">
        <v>10000000</v>
      </c>
      <c r="Y269" s="572">
        <v>5</v>
      </c>
      <c r="Z269" s="687">
        <v>7000000</v>
      </c>
      <c r="AA269" s="572">
        <v>10</v>
      </c>
      <c r="AB269" s="687">
        <v>10000000</v>
      </c>
      <c r="AC269" s="665"/>
      <c r="AD269" s="665">
        <v>212</v>
      </c>
      <c r="AE269" s="665"/>
      <c r="AF269" s="665"/>
      <c r="AG269" s="306" t="s">
        <v>3700</v>
      </c>
      <c r="AH269" s="306"/>
      <c r="AI269" s="308"/>
      <c r="AJ269" s="308"/>
      <c r="AK269" s="308"/>
      <c r="AL269" s="308"/>
      <c r="AM269" s="308"/>
      <c r="AN269" s="267" t="s">
        <v>2598</v>
      </c>
      <c r="AO269" s="507" t="s">
        <v>3703</v>
      </c>
      <c r="AP269" s="310">
        <v>7735000</v>
      </c>
      <c r="AQ269" s="310"/>
      <c r="AR269" s="310"/>
      <c r="AS269" s="310"/>
      <c r="AT269" s="310"/>
      <c r="AU269" s="310"/>
      <c r="AV269" s="310"/>
      <c r="AW269" s="544">
        <f t="shared" si="128"/>
        <v>7735000</v>
      </c>
      <c r="AX269" s="525"/>
      <c r="AY269" s="310"/>
      <c r="AZ269" s="310"/>
      <c r="BA269" s="310"/>
      <c r="BB269" s="310"/>
      <c r="BC269" s="310"/>
      <c r="BD269" s="310"/>
      <c r="BE269" s="544">
        <f t="shared" si="109"/>
        <v>0</v>
      </c>
      <c r="BF269" s="525"/>
      <c r="BG269" s="310"/>
      <c r="BH269" s="310"/>
      <c r="BI269" s="310"/>
      <c r="BJ269" s="310"/>
      <c r="BK269" s="310"/>
      <c r="BL269" s="310"/>
      <c r="BM269" s="544">
        <f t="shared" si="110"/>
        <v>0</v>
      </c>
      <c r="BN269" s="525"/>
      <c r="BO269" s="310"/>
      <c r="BP269" s="310"/>
      <c r="BQ269" s="310"/>
      <c r="BR269" s="310"/>
      <c r="BS269" s="310"/>
      <c r="BT269" s="310"/>
      <c r="BU269" s="544">
        <f t="shared" si="111"/>
        <v>0</v>
      </c>
      <c r="BV269" s="556"/>
      <c r="BW269" s="663">
        <f t="shared" si="133"/>
        <v>212</v>
      </c>
      <c r="BX269" s="674">
        <f t="shared" si="134"/>
        <v>10.6</v>
      </c>
      <c r="BY269" s="674">
        <f t="shared" si="135"/>
        <v>0</v>
      </c>
      <c r="BZ269" s="674">
        <v>1.5</v>
      </c>
      <c r="CA269" s="675">
        <f t="shared" si="137"/>
        <v>0</v>
      </c>
      <c r="CB269" s="675">
        <f t="shared" si="138"/>
        <v>0</v>
      </c>
    </row>
    <row r="270" spans="1:80" s="231" customFormat="1" ht="81" hidden="1" customHeight="1" x14ac:dyDescent="0.25">
      <c r="A270" s="354" t="s">
        <v>800</v>
      </c>
      <c r="B270" s="299" t="str">
        <f>'PLAN INDICATIVO'!B267</f>
        <v>Desarrollo Económico/Promoción del desarrollo</v>
      </c>
      <c r="C270" s="1599"/>
      <c r="D270" s="1601"/>
      <c r="E270" s="1601"/>
      <c r="F270" s="1601"/>
      <c r="G270" s="1601"/>
      <c r="H270" s="1601"/>
      <c r="I270" s="371">
        <f>'PLAN INDICATIVO'!I267</f>
        <v>0</v>
      </c>
      <c r="J270" s="371">
        <f>'PLAN INDICATIVO'!J267</f>
        <v>0</v>
      </c>
      <c r="K270" s="1432" t="str">
        <f>'PLAN INDICATIVO'!K267</f>
        <v>A.13.1.6</v>
      </c>
      <c r="L270" s="372" t="str">
        <f>'PLAN INDICATIVO'!L267</f>
        <v>8. Trabajo decente y crecimiento económico</v>
      </c>
      <c r="M270" s="372" t="str">
        <f>'PLAN INDICATIVO'!M267</f>
        <v>Secretaría de Gobierno</v>
      </c>
      <c r="N270" s="1425" t="s">
        <v>2791</v>
      </c>
      <c r="O270" s="1432" t="str">
        <f>'PLAN INDICATIVO'!O267</f>
        <v>Incremento</v>
      </c>
      <c r="P270" s="938" t="str">
        <f>'PLAN INDICATIVO'!P267</f>
        <v>Capacitar 2.000 jóvenes  para desarrollar actividades laborales durante el cuatrienio</v>
      </c>
      <c r="Q270" s="302" t="str">
        <f>'PLAN INDICATIVO'!Q267</f>
        <v>No. De jóvenes capacitados</v>
      </c>
      <c r="R270" s="303">
        <f>'PLAN INDICATIVO'!R267</f>
        <v>2015</v>
      </c>
      <c r="S270" s="304" t="s">
        <v>177</v>
      </c>
      <c r="T270" s="498">
        <v>2000</v>
      </c>
      <c r="U270" s="303">
        <v>500</v>
      </c>
      <c r="V270" s="687">
        <v>9000000</v>
      </c>
      <c r="W270" s="572">
        <v>500</v>
      </c>
      <c r="X270" s="687">
        <v>10000000</v>
      </c>
      <c r="Y270" s="572">
        <v>500</v>
      </c>
      <c r="Z270" s="687">
        <v>10000000</v>
      </c>
      <c r="AA270" s="572">
        <v>500</v>
      </c>
      <c r="AB270" s="687">
        <v>10000000</v>
      </c>
      <c r="AC270" s="667">
        <v>0</v>
      </c>
      <c r="AD270" s="667">
        <v>86</v>
      </c>
      <c r="AE270" s="667"/>
      <c r="AF270" s="667"/>
      <c r="AG270" s="306" t="s">
        <v>3700</v>
      </c>
      <c r="AH270" s="306"/>
      <c r="AI270" s="336"/>
      <c r="AJ270" s="339">
        <v>42767</v>
      </c>
      <c r="AK270" s="339">
        <v>43038</v>
      </c>
      <c r="AL270" s="337"/>
      <c r="AM270" s="337"/>
      <c r="AN270" s="267" t="s">
        <v>2600</v>
      </c>
      <c r="AO270" s="510"/>
      <c r="AP270" s="528"/>
      <c r="AQ270" s="472"/>
      <c r="AR270" s="472"/>
      <c r="AS270" s="472"/>
      <c r="AT270" s="472"/>
      <c r="AU270" s="472"/>
      <c r="AV270" s="472"/>
      <c r="AW270" s="544">
        <f t="shared" si="128"/>
        <v>0</v>
      </c>
      <c r="AX270" s="528"/>
      <c r="AY270" s="472"/>
      <c r="AZ270" s="472"/>
      <c r="BA270" s="472"/>
      <c r="BB270" s="472"/>
      <c r="BC270" s="472"/>
      <c r="BD270" s="472"/>
      <c r="BE270" s="544">
        <f t="shared" si="109"/>
        <v>0</v>
      </c>
      <c r="BF270" s="528"/>
      <c r="BG270" s="472"/>
      <c r="BH270" s="472"/>
      <c r="BI270" s="472"/>
      <c r="BJ270" s="472"/>
      <c r="BK270" s="472"/>
      <c r="BL270" s="472"/>
      <c r="BM270" s="544">
        <f t="shared" si="110"/>
        <v>0</v>
      </c>
      <c r="BN270" s="528"/>
      <c r="BO270" s="472"/>
      <c r="BP270" s="472"/>
      <c r="BQ270" s="472"/>
      <c r="BR270" s="472"/>
      <c r="BS270" s="472"/>
      <c r="BT270" s="472"/>
      <c r="BU270" s="544">
        <f t="shared" si="111"/>
        <v>0</v>
      </c>
      <c r="BV270" s="653"/>
      <c r="BW270" s="663">
        <f t="shared" si="133"/>
        <v>86</v>
      </c>
      <c r="BX270" s="674">
        <f t="shared" si="134"/>
        <v>4.2999999999999997E-2</v>
      </c>
      <c r="BY270" s="674">
        <f t="shared" si="135"/>
        <v>0</v>
      </c>
      <c r="BZ270" s="674">
        <f t="shared" si="136"/>
        <v>0.17199999999999999</v>
      </c>
      <c r="CA270" s="675">
        <f t="shared" si="137"/>
        <v>0</v>
      </c>
      <c r="CB270" s="675">
        <f t="shared" si="138"/>
        <v>0</v>
      </c>
    </row>
    <row r="271" spans="1:80" ht="54.75" hidden="1" customHeight="1" x14ac:dyDescent="0.25">
      <c r="A271" s="298" t="s">
        <v>800</v>
      </c>
      <c r="B271" s="299" t="str">
        <f>'PLAN INDICATIVO'!B268</f>
        <v>Desarrollo Económico/Promoción del desarrollo</v>
      </c>
      <c r="C271" s="1547"/>
      <c r="D271" s="1549"/>
      <c r="E271" s="1549"/>
      <c r="F271" s="1549"/>
      <c r="G271" s="1549"/>
      <c r="H271" s="1549"/>
      <c r="I271" s="300">
        <f>'PLAN INDICATIVO'!I268</f>
        <v>0</v>
      </c>
      <c r="J271" s="300">
        <f>'PLAN INDICATIVO'!J268</f>
        <v>0</v>
      </c>
      <c r="K271" s="1425" t="str">
        <f>'PLAN INDICATIVO'!K268</f>
        <v>A.13.1.7</v>
      </c>
      <c r="L271" s="301" t="str">
        <f>'PLAN INDICATIVO'!L268</f>
        <v>8. Trabajo decente y crecimiento económico</v>
      </c>
      <c r="M271" s="301" t="str">
        <f>'PLAN INDICATIVO'!M268</f>
        <v>Secretaría de Gobierno</v>
      </c>
      <c r="N271" s="1425" t="s">
        <v>2791</v>
      </c>
      <c r="O271" s="1425" t="str">
        <f>'PLAN INDICATIVO'!O268</f>
        <v>Incremento</v>
      </c>
      <c r="P271" s="25" t="str">
        <f>'PLAN INDICATIVO'!P268</f>
        <v>Suscribir 4 convenios para apoyo a MIPYMES durante el cuatrienio</v>
      </c>
      <c r="Q271" s="302" t="str">
        <f>'PLAN INDICATIVO'!Q268</f>
        <v>No. De convenios  suscritos</v>
      </c>
      <c r="R271" s="303">
        <f>'PLAN INDICATIVO'!R268</f>
        <v>2015</v>
      </c>
      <c r="S271" s="304">
        <v>0</v>
      </c>
      <c r="T271" s="498">
        <v>4</v>
      </c>
      <c r="U271" s="303">
        <v>1</v>
      </c>
      <c r="V271" s="687">
        <v>1000000</v>
      </c>
      <c r="W271" s="572">
        <v>0</v>
      </c>
      <c r="X271" s="687">
        <v>500000</v>
      </c>
      <c r="Y271" s="572">
        <v>1</v>
      </c>
      <c r="Z271" s="687">
        <v>1000000</v>
      </c>
      <c r="AA271" s="66">
        <v>0</v>
      </c>
      <c r="AB271" s="687">
        <v>5000000</v>
      </c>
      <c r="AC271" s="665">
        <v>3</v>
      </c>
      <c r="AD271" s="665">
        <v>0</v>
      </c>
      <c r="AE271" s="665"/>
      <c r="AF271" s="665"/>
      <c r="AG271" s="306"/>
      <c r="AH271" s="306"/>
      <c r="AI271" s="307" t="s">
        <v>3704</v>
      </c>
      <c r="AJ271" s="339">
        <v>42767</v>
      </c>
      <c r="AK271" s="339">
        <v>43038</v>
      </c>
      <c r="AL271" s="308"/>
      <c r="AM271" s="308"/>
      <c r="AN271" s="267" t="s">
        <v>2594</v>
      </c>
      <c r="AO271" s="507"/>
      <c r="AP271" s="525"/>
      <c r="AQ271" s="310"/>
      <c r="AR271" s="310"/>
      <c r="AS271" s="310"/>
      <c r="AT271" s="310"/>
      <c r="AU271" s="310"/>
      <c r="AV271" s="310"/>
      <c r="AW271" s="544">
        <f t="shared" si="128"/>
        <v>0</v>
      </c>
      <c r="AX271" s="525"/>
      <c r="AY271" s="310"/>
      <c r="AZ271" s="310"/>
      <c r="BA271" s="310"/>
      <c r="BB271" s="310"/>
      <c r="BC271" s="310"/>
      <c r="BD271" s="310"/>
      <c r="BE271" s="544">
        <f t="shared" si="109"/>
        <v>0</v>
      </c>
      <c r="BF271" s="525"/>
      <c r="BG271" s="310"/>
      <c r="BH271" s="310"/>
      <c r="BI271" s="310"/>
      <c r="BJ271" s="310"/>
      <c r="BK271" s="310"/>
      <c r="BL271" s="310"/>
      <c r="BM271" s="544">
        <f t="shared" si="110"/>
        <v>0</v>
      </c>
      <c r="BN271" s="525"/>
      <c r="BO271" s="310"/>
      <c r="BP271" s="310"/>
      <c r="BQ271" s="310"/>
      <c r="BR271" s="310"/>
      <c r="BS271" s="310"/>
      <c r="BT271" s="310"/>
      <c r="BU271" s="544">
        <f t="shared" si="111"/>
        <v>0</v>
      </c>
      <c r="BV271" s="556"/>
      <c r="BW271" s="663">
        <f t="shared" si="133"/>
        <v>3</v>
      </c>
      <c r="BX271" s="674">
        <f t="shared" si="134"/>
        <v>0.75</v>
      </c>
      <c r="BY271" s="674">
        <f t="shared" si="135"/>
        <v>3</v>
      </c>
      <c r="BZ271" s="674" t="e">
        <f t="shared" si="136"/>
        <v>#DIV/0!</v>
      </c>
      <c r="CA271" s="675">
        <f t="shared" si="137"/>
        <v>0</v>
      </c>
      <c r="CB271" s="675" t="e">
        <f t="shared" si="138"/>
        <v>#DIV/0!</v>
      </c>
    </row>
    <row r="272" spans="1:80" ht="60.75" hidden="1" customHeight="1" x14ac:dyDescent="0.25">
      <c r="A272" s="298" t="s">
        <v>800</v>
      </c>
      <c r="B272" s="299" t="str">
        <f>'PLAN INDICATIVO'!B269</f>
        <v>Desarrollo Económico/Promoción del desarrollo</v>
      </c>
      <c r="C272" s="1547"/>
      <c r="D272" s="1549"/>
      <c r="E272" s="1549"/>
      <c r="F272" s="1549"/>
      <c r="G272" s="1549"/>
      <c r="H272" s="1549"/>
      <c r="I272" s="300">
        <f>'PLAN INDICATIVO'!I269</f>
        <v>0</v>
      </c>
      <c r="J272" s="300">
        <f>'PLAN INDICATIVO'!J269</f>
        <v>0</v>
      </c>
      <c r="K272" s="1425" t="str">
        <f>'PLAN INDICATIVO'!K269</f>
        <v>A.13.1.8</v>
      </c>
      <c r="L272" s="301" t="str">
        <f>'PLAN INDICATIVO'!L269</f>
        <v>8. Trabajo decente y crecimiento económico</v>
      </c>
      <c r="M272" s="301" t="str">
        <f>'PLAN INDICATIVO'!M269</f>
        <v>Secretaría de Gobierno</v>
      </c>
      <c r="N272" s="1425" t="s">
        <v>2791</v>
      </c>
      <c r="O272" s="1425" t="str">
        <f>'PLAN INDICATIVO'!O269</f>
        <v>Incremento</v>
      </c>
      <c r="P272" s="16" t="str">
        <f>'PLAN INDICATIVO'!P269</f>
        <v>Realizar 4 ruedas de negocio para mejorar comercialización de producción local, durante el cuatrienio</v>
      </c>
      <c r="Q272" s="302" t="str">
        <f>'PLAN INDICATIVO'!Q269</f>
        <v>No. De ruedas de negocios realizadas</v>
      </c>
      <c r="R272" s="303">
        <f>'PLAN INDICATIVO'!R269</f>
        <v>2015</v>
      </c>
      <c r="S272" s="304">
        <v>0</v>
      </c>
      <c r="T272" s="498">
        <v>4</v>
      </c>
      <c r="U272" s="303">
        <v>1</v>
      </c>
      <c r="V272" s="687">
        <v>500000</v>
      </c>
      <c r="W272" s="572">
        <v>1</v>
      </c>
      <c r="X272" s="687">
        <v>500000</v>
      </c>
      <c r="Y272" s="572">
        <v>1</v>
      </c>
      <c r="Z272" s="687">
        <v>1000000</v>
      </c>
      <c r="AA272" s="572">
        <v>1</v>
      </c>
      <c r="AB272" s="687">
        <v>1000000</v>
      </c>
      <c r="AC272" s="665">
        <v>1</v>
      </c>
      <c r="AD272" s="665">
        <v>0</v>
      </c>
      <c r="AE272" s="665"/>
      <c r="AF272" s="665"/>
      <c r="AG272" s="306"/>
      <c r="AH272" s="306"/>
      <c r="AI272" s="307"/>
      <c r="AJ272" s="339">
        <v>42767</v>
      </c>
      <c r="AK272" s="339">
        <v>43038</v>
      </c>
      <c r="AL272" s="308"/>
      <c r="AM272" s="308"/>
      <c r="AN272" s="267" t="s">
        <v>2600</v>
      </c>
      <c r="AO272" s="507"/>
      <c r="AP272" s="525"/>
      <c r="AQ272" s="310"/>
      <c r="AR272" s="310"/>
      <c r="AS272" s="310"/>
      <c r="AT272" s="310"/>
      <c r="AU272" s="310"/>
      <c r="AV272" s="310"/>
      <c r="AW272" s="544">
        <f t="shared" si="128"/>
        <v>0</v>
      </c>
      <c r="AX272" s="525"/>
      <c r="AY272" s="310"/>
      <c r="AZ272" s="310"/>
      <c r="BA272" s="310"/>
      <c r="BB272" s="310"/>
      <c r="BC272" s="310"/>
      <c r="BD272" s="310"/>
      <c r="BE272" s="544">
        <f t="shared" si="109"/>
        <v>0</v>
      </c>
      <c r="BF272" s="525"/>
      <c r="BG272" s="310"/>
      <c r="BH272" s="310"/>
      <c r="BI272" s="310"/>
      <c r="BJ272" s="310"/>
      <c r="BK272" s="310"/>
      <c r="BL272" s="310"/>
      <c r="BM272" s="544">
        <f t="shared" si="110"/>
        <v>0</v>
      </c>
      <c r="BN272" s="525"/>
      <c r="BO272" s="310"/>
      <c r="BP272" s="310"/>
      <c r="BQ272" s="310"/>
      <c r="BR272" s="310"/>
      <c r="BS272" s="310"/>
      <c r="BT272" s="310"/>
      <c r="BU272" s="544">
        <f t="shared" si="111"/>
        <v>0</v>
      </c>
      <c r="BV272" s="556"/>
      <c r="BW272" s="663">
        <f t="shared" si="133"/>
        <v>1</v>
      </c>
      <c r="BX272" s="674">
        <f t="shared" si="134"/>
        <v>0.25</v>
      </c>
      <c r="BY272" s="674">
        <f t="shared" si="135"/>
        <v>1</v>
      </c>
      <c r="BZ272" s="674">
        <f t="shared" si="136"/>
        <v>0</v>
      </c>
      <c r="CA272" s="675">
        <f t="shared" si="137"/>
        <v>0</v>
      </c>
      <c r="CB272" s="675">
        <f t="shared" si="138"/>
        <v>0</v>
      </c>
    </row>
    <row r="273" spans="1:80" s="231" customFormat="1" ht="69" hidden="1" customHeight="1" x14ac:dyDescent="0.25">
      <c r="A273" s="354" t="s">
        <v>800</v>
      </c>
      <c r="B273" s="299" t="str">
        <f>'PLAN INDICATIVO'!B270</f>
        <v>Desarrollo Económico/Promoción del desarrollo</v>
      </c>
      <c r="C273" s="1599"/>
      <c r="D273" s="1601"/>
      <c r="E273" s="1601"/>
      <c r="F273" s="1601"/>
      <c r="G273" s="1601"/>
      <c r="H273" s="1601"/>
      <c r="I273" s="371">
        <f>'PLAN INDICATIVO'!I270</f>
        <v>0</v>
      </c>
      <c r="J273" s="371">
        <f>'PLAN INDICATIVO'!J270</f>
        <v>0</v>
      </c>
      <c r="K273" s="1432" t="str">
        <f>'PLAN INDICATIVO'!K270</f>
        <v>A.13.1.9</v>
      </c>
      <c r="L273" s="372" t="str">
        <f>'PLAN INDICATIVO'!L270</f>
        <v>8. Trabajo decente y crecimiento económico</v>
      </c>
      <c r="M273" s="372" t="str">
        <f>'PLAN INDICATIVO'!M270</f>
        <v>Secretaría de Gobierno</v>
      </c>
      <c r="N273" s="1425" t="s">
        <v>2791</v>
      </c>
      <c r="O273" s="1432" t="str">
        <f>'PLAN INDICATIVO'!O270</f>
        <v>Mantenimiento</v>
      </c>
      <c r="P273" s="71" t="str">
        <f>'PLAN INDICATIVO'!P270</f>
        <v>Realizar 3 eventos cada año para promoción y fomento empresarial</v>
      </c>
      <c r="Q273" s="302" t="str">
        <f>'PLAN INDICATIVO'!Q270</f>
        <v>No. De eventos realizados por año</v>
      </c>
      <c r="R273" s="303">
        <f>'PLAN INDICATIVO'!R270</f>
        <v>2015</v>
      </c>
      <c r="S273" s="304">
        <v>2</v>
      </c>
      <c r="T273" s="498">
        <v>3</v>
      </c>
      <c r="U273" s="303">
        <v>3</v>
      </c>
      <c r="V273" s="687">
        <v>1000000</v>
      </c>
      <c r="W273" s="572">
        <v>3</v>
      </c>
      <c r="X273" s="687">
        <v>10000000</v>
      </c>
      <c r="Y273" s="572">
        <v>3</v>
      </c>
      <c r="Z273" s="687">
        <v>10000000</v>
      </c>
      <c r="AA273" s="572">
        <v>3</v>
      </c>
      <c r="AB273" s="687">
        <v>10000000</v>
      </c>
      <c r="AC273" s="667">
        <v>1</v>
      </c>
      <c r="AD273" s="667">
        <v>0</v>
      </c>
      <c r="AE273" s="667"/>
      <c r="AF273" s="667"/>
      <c r="AG273" s="338"/>
      <c r="AH273" s="338"/>
      <c r="AI273" s="336"/>
      <c r="AJ273" s="339">
        <v>42767</v>
      </c>
      <c r="AK273" s="339">
        <v>43038</v>
      </c>
      <c r="AL273" s="337"/>
      <c r="AM273" s="337"/>
      <c r="AN273" s="280" t="s">
        <v>2600</v>
      </c>
      <c r="AO273" s="507"/>
      <c r="AP273" s="528"/>
      <c r="AQ273" s="472"/>
      <c r="AR273" s="472"/>
      <c r="AS273" s="472"/>
      <c r="AT273" s="472"/>
      <c r="AU273" s="472"/>
      <c r="AV273" s="472"/>
      <c r="AW273" s="544">
        <f t="shared" si="128"/>
        <v>0</v>
      </c>
      <c r="AX273" s="528"/>
      <c r="AY273" s="472"/>
      <c r="AZ273" s="472"/>
      <c r="BA273" s="472"/>
      <c r="BB273" s="472"/>
      <c r="BC273" s="472"/>
      <c r="BD273" s="472"/>
      <c r="BE273" s="544">
        <f t="shared" si="109"/>
        <v>0</v>
      </c>
      <c r="BF273" s="528"/>
      <c r="BG273" s="472"/>
      <c r="BH273" s="472"/>
      <c r="BI273" s="472"/>
      <c r="BJ273" s="472"/>
      <c r="BK273" s="472"/>
      <c r="BL273" s="472"/>
      <c r="BM273" s="544">
        <f t="shared" si="110"/>
        <v>0</v>
      </c>
      <c r="BN273" s="528"/>
      <c r="BO273" s="472"/>
      <c r="BP273" s="472"/>
      <c r="BQ273" s="472"/>
      <c r="BR273" s="472"/>
      <c r="BS273" s="472"/>
      <c r="BT273" s="472"/>
      <c r="BU273" s="544">
        <f t="shared" si="111"/>
        <v>0</v>
      </c>
      <c r="BV273" s="653"/>
      <c r="BW273" s="663">
        <f t="shared" si="133"/>
        <v>1</v>
      </c>
      <c r="BX273" s="674">
        <f t="shared" si="134"/>
        <v>0.33333333333333331</v>
      </c>
      <c r="BY273" s="674">
        <f t="shared" si="135"/>
        <v>0.33333333333333331</v>
      </c>
      <c r="BZ273" s="674">
        <f t="shared" si="136"/>
        <v>0</v>
      </c>
      <c r="CA273" s="675">
        <f t="shared" si="137"/>
        <v>0</v>
      </c>
      <c r="CB273" s="675">
        <f t="shared" si="138"/>
        <v>0</v>
      </c>
    </row>
    <row r="274" spans="1:80" s="231" customFormat="1" ht="63.75" hidden="1" customHeight="1" x14ac:dyDescent="0.25">
      <c r="A274" s="354" t="s">
        <v>800</v>
      </c>
      <c r="B274" s="299" t="str">
        <f>'PLAN INDICATIVO'!B271</f>
        <v>Desarrollo Económico/Promoción del desarrollo</v>
      </c>
      <c r="C274" s="1599"/>
      <c r="D274" s="1601"/>
      <c r="E274" s="1601"/>
      <c r="F274" s="1601"/>
      <c r="G274" s="1601"/>
      <c r="H274" s="1601"/>
      <c r="I274" s="371">
        <f>'PLAN INDICATIVO'!I271</f>
        <v>0</v>
      </c>
      <c r="J274" s="371">
        <f>'PLAN INDICATIVO'!J271</f>
        <v>0</v>
      </c>
      <c r="K274" s="1432" t="str">
        <f>'PLAN INDICATIVO'!K271</f>
        <v>A.13.1.10</v>
      </c>
      <c r="L274" s="372" t="str">
        <f>'PLAN INDICATIVO'!L271</f>
        <v>8. Trabajo decente y crecimiento económico</v>
      </c>
      <c r="M274" s="372" t="str">
        <f>'PLAN INDICATIVO'!M271</f>
        <v>Secretaría de Gobierno</v>
      </c>
      <c r="N274" s="1425" t="s">
        <v>2791</v>
      </c>
      <c r="O274" s="1432" t="str">
        <f>'PLAN INDICATIVO'!O271</f>
        <v>Incremento</v>
      </c>
      <c r="P274" s="941" t="str">
        <f>'PLAN INDICATIVO'!P271</f>
        <v>Implementar 1 programa de formación para el empleo cada año</v>
      </c>
      <c r="Q274" s="302" t="str">
        <f>'PLAN INDICATIVO'!Q271</f>
        <v>No. De Programa implementado por año</v>
      </c>
      <c r="R274" s="303">
        <f>'PLAN INDICATIVO'!R271</f>
        <v>2015</v>
      </c>
      <c r="S274" s="304">
        <v>1</v>
      </c>
      <c r="T274" s="498">
        <v>4</v>
      </c>
      <c r="U274" s="303">
        <v>1</v>
      </c>
      <c r="V274" s="687">
        <v>6000000</v>
      </c>
      <c r="W274" s="572">
        <v>1</v>
      </c>
      <c r="X274" s="687">
        <v>500000</v>
      </c>
      <c r="Y274" s="572">
        <v>1</v>
      </c>
      <c r="Z274" s="687">
        <v>1000000</v>
      </c>
      <c r="AA274" s="572">
        <v>1</v>
      </c>
      <c r="AB274" s="687">
        <v>1000000</v>
      </c>
      <c r="AC274" s="667">
        <v>0</v>
      </c>
      <c r="AD274" s="667">
        <v>0</v>
      </c>
      <c r="AE274" s="667"/>
      <c r="AF274" s="667"/>
      <c r="AG274" s="338"/>
      <c r="AH274" s="338"/>
      <c r="AI274" s="336"/>
      <c r="AJ274" s="339">
        <v>42767</v>
      </c>
      <c r="AK274" s="339">
        <v>43038</v>
      </c>
      <c r="AL274" s="337"/>
      <c r="AM274" s="337"/>
      <c r="AN274" s="280" t="s">
        <v>2600</v>
      </c>
      <c r="AO274" s="510"/>
      <c r="AP274" s="528"/>
      <c r="AQ274" s="472"/>
      <c r="AR274" s="472"/>
      <c r="AS274" s="472"/>
      <c r="AT274" s="472"/>
      <c r="AU274" s="472"/>
      <c r="AV274" s="472"/>
      <c r="AW274" s="544">
        <f t="shared" si="128"/>
        <v>0</v>
      </c>
      <c r="AX274" s="528"/>
      <c r="AY274" s="472"/>
      <c r="AZ274" s="472"/>
      <c r="BA274" s="472"/>
      <c r="BB274" s="472"/>
      <c r="BC274" s="472"/>
      <c r="BD274" s="472"/>
      <c r="BE274" s="544">
        <f t="shared" si="109"/>
        <v>0</v>
      </c>
      <c r="BF274" s="528"/>
      <c r="BG274" s="472"/>
      <c r="BH274" s="472"/>
      <c r="BI274" s="472"/>
      <c r="BJ274" s="472"/>
      <c r="BK274" s="472"/>
      <c r="BL274" s="472"/>
      <c r="BM274" s="544">
        <f t="shared" si="110"/>
        <v>0</v>
      </c>
      <c r="BN274" s="528"/>
      <c r="BO274" s="472"/>
      <c r="BP274" s="472"/>
      <c r="BQ274" s="472"/>
      <c r="BR274" s="472"/>
      <c r="BS274" s="472"/>
      <c r="BT274" s="472"/>
      <c r="BU274" s="544">
        <f t="shared" si="111"/>
        <v>0</v>
      </c>
      <c r="BV274" s="653"/>
      <c r="BW274" s="663">
        <f t="shared" si="133"/>
        <v>0</v>
      </c>
      <c r="BX274" s="674">
        <f t="shared" si="134"/>
        <v>0</v>
      </c>
      <c r="BY274" s="674">
        <f t="shared" si="135"/>
        <v>0</v>
      </c>
      <c r="BZ274" s="674">
        <f t="shared" si="136"/>
        <v>0</v>
      </c>
      <c r="CA274" s="675">
        <f t="shared" si="137"/>
        <v>0</v>
      </c>
      <c r="CB274" s="675">
        <f t="shared" si="138"/>
        <v>0</v>
      </c>
    </row>
    <row r="275" spans="1:80" ht="63.75" hidden="1" customHeight="1" x14ac:dyDescent="0.25">
      <c r="A275" s="298" t="s">
        <v>800</v>
      </c>
      <c r="B275" s="299" t="str">
        <f>'PLAN INDICATIVO'!B272</f>
        <v>Desarrollo Económico/Promoción del desarrollo</v>
      </c>
      <c r="C275" s="1548"/>
      <c r="D275" s="1549"/>
      <c r="E275" s="1549"/>
      <c r="F275" s="1549"/>
      <c r="G275" s="1549"/>
      <c r="H275" s="1549"/>
      <c r="I275" s="300">
        <f>'PLAN INDICATIVO'!I272</f>
        <v>0</v>
      </c>
      <c r="J275" s="300">
        <f>'PLAN INDICATIVO'!J272</f>
        <v>0</v>
      </c>
      <c r="K275" s="1425" t="str">
        <f>'PLAN INDICATIVO'!K272</f>
        <v>A.13.1.11</v>
      </c>
      <c r="L275" s="301" t="str">
        <f>'PLAN INDICATIVO'!L272</f>
        <v>8. Trabajo decente y crecimiento económico</v>
      </c>
      <c r="M275" s="301" t="str">
        <f>'PLAN INDICATIVO'!M272</f>
        <v>Secretaría de Gobierno</v>
      </c>
      <c r="N275" s="1425" t="s">
        <v>2791</v>
      </c>
      <c r="O275" s="1425" t="str">
        <f>'PLAN INDICATIVO'!O272</f>
        <v>Mantenimiento</v>
      </c>
      <c r="P275" s="16" t="str">
        <f>'PLAN INDICATIVO'!P272</f>
        <v>Implementar 1 programa para generación de empleo cada año</v>
      </c>
      <c r="Q275" s="302" t="str">
        <f>'PLAN INDICATIVO'!Q272</f>
        <v>Programa implementado por año</v>
      </c>
      <c r="R275" s="303">
        <f>'PLAN INDICATIVO'!R272</f>
        <v>2015</v>
      </c>
      <c r="S275" s="304">
        <v>1</v>
      </c>
      <c r="T275" s="498">
        <v>1</v>
      </c>
      <c r="U275" s="303">
        <v>1</v>
      </c>
      <c r="V275" s="687">
        <v>2000000</v>
      </c>
      <c r="W275" s="572">
        <v>1</v>
      </c>
      <c r="X275" s="687">
        <v>500000</v>
      </c>
      <c r="Y275" s="572">
        <v>1</v>
      </c>
      <c r="Z275" s="687">
        <v>5000000</v>
      </c>
      <c r="AA275" s="572">
        <v>1</v>
      </c>
      <c r="AB275" s="687">
        <v>3000000</v>
      </c>
      <c r="AC275" s="665"/>
      <c r="AD275" s="665">
        <v>1</v>
      </c>
      <c r="AE275" s="665"/>
      <c r="AF275" s="665"/>
      <c r="AG275" s="306"/>
      <c r="AH275" s="306"/>
      <c r="AI275" s="307"/>
      <c r="AJ275" s="339">
        <v>42767</v>
      </c>
      <c r="AK275" s="339">
        <v>43038</v>
      </c>
      <c r="AL275" s="308"/>
      <c r="AM275" s="308"/>
      <c r="AN275" s="281" t="s">
        <v>2598</v>
      </c>
      <c r="AO275" s="510" t="s">
        <v>3705</v>
      </c>
      <c r="AP275" s="528"/>
      <c r="AQ275" s="472">
        <v>113490782.48999999</v>
      </c>
      <c r="AR275" s="472"/>
      <c r="AS275" s="472"/>
      <c r="AT275" s="472"/>
      <c r="AU275" s="472"/>
      <c r="AV275" s="472">
        <v>22500000</v>
      </c>
      <c r="AW275" s="472">
        <f t="shared" si="128"/>
        <v>135990782.49000001</v>
      </c>
      <c r="AX275" s="988"/>
      <c r="AY275" s="989"/>
      <c r="AZ275" s="989"/>
      <c r="BA275" s="989"/>
      <c r="BB275" s="989"/>
      <c r="BC275" s="989"/>
      <c r="BD275" s="989"/>
      <c r="BE275" s="842">
        <f t="shared" si="109"/>
        <v>0</v>
      </c>
      <c r="BF275" s="988"/>
      <c r="BG275" s="989"/>
      <c r="BH275" s="989"/>
      <c r="BI275" s="989"/>
      <c r="BJ275" s="989"/>
      <c r="BK275" s="989"/>
      <c r="BL275" s="989"/>
      <c r="BM275" s="842">
        <f t="shared" si="110"/>
        <v>0</v>
      </c>
      <c r="BN275" s="988"/>
      <c r="BO275" s="989"/>
      <c r="BP275" s="989"/>
      <c r="BQ275" s="989"/>
      <c r="BR275" s="989"/>
      <c r="BS275" s="989"/>
      <c r="BT275" s="989"/>
      <c r="BU275" s="842">
        <f t="shared" si="111"/>
        <v>0</v>
      </c>
      <c r="BV275" s="556"/>
      <c r="BW275" s="663">
        <f t="shared" si="133"/>
        <v>1</v>
      </c>
      <c r="BX275" s="674">
        <f t="shared" si="134"/>
        <v>1</v>
      </c>
      <c r="BY275" s="674">
        <f t="shared" si="135"/>
        <v>0</v>
      </c>
      <c r="BZ275" s="674">
        <f t="shared" si="136"/>
        <v>1</v>
      </c>
      <c r="CA275" s="675">
        <f t="shared" si="137"/>
        <v>0</v>
      </c>
      <c r="CB275" s="675">
        <f t="shared" si="138"/>
        <v>0</v>
      </c>
    </row>
    <row r="276" spans="1:80" ht="19.5" hidden="1" customHeight="1" x14ac:dyDescent="0.25">
      <c r="A276" s="295" t="s">
        <v>800</v>
      </c>
      <c r="B276" s="24" t="str">
        <f>'PLAN INDICATIVO'!B273</f>
        <v>Promoción del desarrollo</v>
      </c>
      <c r="C276" s="1574" t="s">
        <v>839</v>
      </c>
      <c r="D276" s="1575"/>
      <c r="E276" s="1575"/>
      <c r="F276" s="1575"/>
      <c r="G276" s="1575"/>
      <c r="H276" s="1575"/>
      <c r="I276" s="1575"/>
      <c r="J276" s="1575"/>
      <c r="K276" s="1575"/>
      <c r="L276" s="1575"/>
      <c r="M276" s="1575"/>
      <c r="N276" s="1575"/>
      <c r="O276" s="1576"/>
      <c r="P276" s="22"/>
      <c r="Q276" s="22"/>
      <c r="R276" s="1"/>
      <c r="S276" s="261"/>
      <c r="T276" s="681"/>
      <c r="U276" s="261"/>
      <c r="V276" s="689">
        <f>SUM(V277:V288)</f>
        <v>3500000</v>
      </c>
      <c r="W276" s="261"/>
      <c r="X276" s="689">
        <f>SUM(X277:X288)</f>
        <v>10000000</v>
      </c>
      <c r="Y276" s="261"/>
      <c r="Z276" s="689">
        <f>SUM(Z277:Z288)</f>
        <v>14500000</v>
      </c>
      <c r="AA276" s="262"/>
      <c r="AB276" s="690">
        <f>SUM(AB277:AB288)</f>
        <v>15000000</v>
      </c>
      <c r="AC276" s="262"/>
      <c r="AD276" s="262"/>
      <c r="AE276" s="262"/>
      <c r="AF276" s="262"/>
      <c r="AG276" s="263"/>
      <c r="AH276" s="263"/>
      <c r="AI276" s="263"/>
      <c r="AJ276" s="262"/>
      <c r="AK276" s="262"/>
      <c r="AL276" s="262"/>
      <c r="AM276" s="262"/>
      <c r="AN276" s="262"/>
      <c r="AO276" s="612"/>
      <c r="AP276" s="616" t="e">
        <f>(AP277:AP288)</f>
        <v>#VALUE!</v>
      </c>
      <c r="AQ276" s="616" t="e">
        <f t="shared" ref="AQ276:AV276" si="139">(AQ277:AQ288)</f>
        <v>#VALUE!</v>
      </c>
      <c r="AR276" s="616" t="e">
        <f t="shared" si="139"/>
        <v>#VALUE!</v>
      </c>
      <c r="AS276" s="616" t="e">
        <f t="shared" si="139"/>
        <v>#VALUE!</v>
      </c>
      <c r="AT276" s="616" t="e">
        <f t="shared" si="139"/>
        <v>#VALUE!</v>
      </c>
      <c r="AU276" s="616" t="e">
        <f t="shared" si="139"/>
        <v>#VALUE!</v>
      </c>
      <c r="AV276" s="616" t="e">
        <f t="shared" si="139"/>
        <v>#VALUE!</v>
      </c>
      <c r="AW276" s="617" t="e">
        <f t="shared" si="128"/>
        <v>#VALUE!</v>
      </c>
      <c r="AX276" s="616" t="e">
        <f>(AX277:AX288)</f>
        <v>#VALUE!</v>
      </c>
      <c r="AY276" s="616" t="e">
        <f t="shared" ref="AY276:BD276" si="140">(AY277:AY288)</f>
        <v>#VALUE!</v>
      </c>
      <c r="AZ276" s="616" t="e">
        <f t="shared" si="140"/>
        <v>#VALUE!</v>
      </c>
      <c r="BA276" s="616" t="e">
        <f t="shared" si="140"/>
        <v>#VALUE!</v>
      </c>
      <c r="BB276" s="616" t="e">
        <f t="shared" si="140"/>
        <v>#VALUE!</v>
      </c>
      <c r="BC276" s="616" t="e">
        <f t="shared" si="140"/>
        <v>#VALUE!</v>
      </c>
      <c r="BD276" s="616" t="e">
        <f t="shared" si="140"/>
        <v>#VALUE!</v>
      </c>
      <c r="BE276" s="617" t="e">
        <f t="shared" si="109"/>
        <v>#VALUE!</v>
      </c>
      <c r="BF276" s="616" t="e">
        <f>(BF277:BF288)</f>
        <v>#VALUE!</v>
      </c>
      <c r="BG276" s="616" t="e">
        <f t="shared" ref="BG276:BL276" si="141">(BG277:BG288)</f>
        <v>#VALUE!</v>
      </c>
      <c r="BH276" s="616" t="e">
        <f t="shared" si="141"/>
        <v>#VALUE!</v>
      </c>
      <c r="BI276" s="616" t="e">
        <f t="shared" si="141"/>
        <v>#VALUE!</v>
      </c>
      <c r="BJ276" s="616" t="e">
        <f t="shared" si="141"/>
        <v>#VALUE!</v>
      </c>
      <c r="BK276" s="616" t="e">
        <f t="shared" si="141"/>
        <v>#VALUE!</v>
      </c>
      <c r="BL276" s="616" t="e">
        <f t="shared" si="141"/>
        <v>#VALUE!</v>
      </c>
      <c r="BM276" s="617" t="e">
        <f t="shared" si="110"/>
        <v>#VALUE!</v>
      </c>
      <c r="BN276" s="616" t="e">
        <f>(BN277:BN288)</f>
        <v>#VALUE!</v>
      </c>
      <c r="BO276" s="616" t="e">
        <f t="shared" ref="BO276:BT276" si="142">(BO277:BO288)</f>
        <v>#VALUE!</v>
      </c>
      <c r="BP276" s="616" t="e">
        <f t="shared" si="142"/>
        <v>#VALUE!</v>
      </c>
      <c r="BQ276" s="616" t="e">
        <f t="shared" si="142"/>
        <v>#VALUE!</v>
      </c>
      <c r="BR276" s="616" t="e">
        <f t="shared" si="142"/>
        <v>#VALUE!</v>
      </c>
      <c r="BS276" s="616" t="e">
        <f t="shared" si="142"/>
        <v>#VALUE!</v>
      </c>
      <c r="BT276" s="616" t="e">
        <f t="shared" si="142"/>
        <v>#VALUE!</v>
      </c>
      <c r="BU276" s="617" t="e">
        <f t="shared" si="111"/>
        <v>#VALUE!</v>
      </c>
      <c r="BV276" s="556"/>
      <c r="BW276" s="863">
        <f t="shared" si="133"/>
        <v>0</v>
      </c>
      <c r="BX276" s="864" t="e">
        <f t="shared" si="134"/>
        <v>#DIV/0!</v>
      </c>
      <c r="BY276" s="864" t="e">
        <f t="shared" si="135"/>
        <v>#DIV/0!</v>
      </c>
      <c r="BZ276" s="864" t="e">
        <f t="shared" si="136"/>
        <v>#DIV/0!</v>
      </c>
      <c r="CA276" s="1450" t="e">
        <f t="shared" si="137"/>
        <v>#DIV/0!</v>
      </c>
      <c r="CB276" s="675" t="e">
        <f t="shared" si="138"/>
        <v>#DIV/0!</v>
      </c>
    </row>
    <row r="277" spans="1:80" ht="48.75" hidden="1" customHeight="1" x14ac:dyDescent="0.25">
      <c r="A277" s="298" t="s">
        <v>800</v>
      </c>
      <c r="B277" s="299" t="str">
        <f>'PLAN INDICATIVO'!B274</f>
        <v>Desarrollo Económico/Promoción del desarrollo</v>
      </c>
      <c r="C277" s="1546" t="s">
        <v>840</v>
      </c>
      <c r="D277" s="1549" t="s">
        <v>841</v>
      </c>
      <c r="E277" s="1549" t="s">
        <v>842</v>
      </c>
      <c r="F277" s="1549">
        <v>2015</v>
      </c>
      <c r="G277" s="1562">
        <v>20000</v>
      </c>
      <c r="H277" s="1562">
        <v>22000</v>
      </c>
      <c r="I277" s="300">
        <f>'PLAN INDICATIVO'!I274</f>
        <v>0</v>
      </c>
      <c r="J277" s="300">
        <f>'PLAN INDICATIVO'!J274</f>
        <v>0</v>
      </c>
      <c r="K277" s="1428" t="str">
        <f>'PLAN INDICATIVO'!K274</f>
        <v>A.13.2.1</v>
      </c>
      <c r="L277" s="301" t="str">
        <f>'PLAN INDICATIVO'!L274</f>
        <v>8. Trabajo decente y crecimiento económico</v>
      </c>
      <c r="M277" s="301" t="str">
        <f>'PLAN INDICATIVO'!M274</f>
        <v>Secretaría de Educación, Cultura, deporte y Turismo</v>
      </c>
      <c r="N277" s="1425" t="str">
        <f>'PLAN INDICATIVO'!N274</f>
        <v>YIMI FERNANDO LOSADA PAYA</v>
      </c>
      <c r="O277" s="1425" t="str">
        <f>'PLAN INDICATIVO'!O274</f>
        <v>Incremento</v>
      </c>
      <c r="P277" s="16" t="str">
        <f>'PLAN INDICATIVO'!P274</f>
        <v>Crear 1 plan estratégico de  turismo para el Municipio de la Plata, durante el cuatrienio</v>
      </c>
      <c r="Q277" s="302" t="str">
        <f>'PLAN INDICATIVO'!Q274</f>
        <v>No. De planes estratégicos creados</v>
      </c>
      <c r="R277" s="303">
        <f>'PLAN INDICATIVO'!R274</f>
        <v>2015</v>
      </c>
      <c r="S277" s="304">
        <v>0</v>
      </c>
      <c r="T277" s="498">
        <v>1</v>
      </c>
      <c r="U277" s="303">
        <v>0</v>
      </c>
      <c r="V277" s="687"/>
      <c r="W277" s="572">
        <v>0</v>
      </c>
      <c r="X277" s="687"/>
      <c r="Y277" s="572">
        <v>1</v>
      </c>
      <c r="Z277" s="687">
        <v>500000</v>
      </c>
      <c r="AA277" s="572">
        <v>1</v>
      </c>
      <c r="AB277" s="687">
        <v>500000</v>
      </c>
      <c r="AC277" s="665"/>
      <c r="AD277" s="665"/>
      <c r="AE277" s="665"/>
      <c r="AF277" s="665"/>
      <c r="AG277" s="266"/>
      <c r="AH277" s="266"/>
      <c r="AI277" s="307"/>
      <c r="AJ277" s="308"/>
      <c r="AK277" s="308"/>
      <c r="AL277" s="308"/>
      <c r="AM277" s="308"/>
      <c r="AN277" s="267" t="s">
        <v>2594</v>
      </c>
      <c r="AO277" s="507"/>
      <c r="AP277" s="525"/>
      <c r="AQ277" s="310"/>
      <c r="AR277" s="310"/>
      <c r="AS277" s="310"/>
      <c r="AT277" s="310"/>
      <c r="AU277" s="310"/>
      <c r="AV277" s="310"/>
      <c r="AW277" s="544">
        <f t="shared" si="128"/>
        <v>0</v>
      </c>
      <c r="AX277" s="525"/>
      <c r="AY277" s="310"/>
      <c r="AZ277" s="310"/>
      <c r="BA277" s="310"/>
      <c r="BB277" s="310"/>
      <c r="BC277" s="310"/>
      <c r="BD277" s="310"/>
      <c r="BE277" s="544">
        <f t="shared" si="109"/>
        <v>0</v>
      </c>
      <c r="BF277" s="525"/>
      <c r="BG277" s="310"/>
      <c r="BH277" s="310"/>
      <c r="BI277" s="310"/>
      <c r="BJ277" s="310"/>
      <c r="BK277" s="310"/>
      <c r="BL277" s="310"/>
      <c r="BM277" s="544">
        <f t="shared" si="110"/>
        <v>0</v>
      </c>
      <c r="BN277" s="525"/>
      <c r="BO277" s="310"/>
      <c r="BP277" s="310"/>
      <c r="BQ277" s="310"/>
      <c r="BR277" s="310"/>
      <c r="BS277" s="310"/>
      <c r="BT277" s="310"/>
      <c r="BU277" s="544">
        <f t="shared" si="111"/>
        <v>0</v>
      </c>
      <c r="BV277" s="556"/>
      <c r="BW277" s="663">
        <f t="shared" si="133"/>
        <v>0</v>
      </c>
      <c r="BX277" s="674">
        <f t="shared" si="134"/>
        <v>0</v>
      </c>
      <c r="BY277" s="674" t="e">
        <f t="shared" si="135"/>
        <v>#DIV/0!</v>
      </c>
      <c r="BZ277" s="674" t="e">
        <f t="shared" si="136"/>
        <v>#DIV/0!</v>
      </c>
      <c r="CA277" s="675">
        <f t="shared" si="137"/>
        <v>0</v>
      </c>
      <c r="CB277" s="675">
        <f t="shared" si="138"/>
        <v>0</v>
      </c>
    </row>
    <row r="278" spans="1:80" ht="75.75" hidden="1" customHeight="1" x14ac:dyDescent="0.25">
      <c r="A278" s="298" t="s">
        <v>800</v>
      </c>
      <c r="B278" s="299" t="str">
        <f>'PLAN INDICATIVO'!B275</f>
        <v>Desarrollo Económico/Promoción del desarrollo</v>
      </c>
      <c r="C278" s="1547"/>
      <c r="D278" s="1549"/>
      <c r="E278" s="1549"/>
      <c r="F278" s="1549"/>
      <c r="G278" s="1549"/>
      <c r="H278" s="1549"/>
      <c r="I278" s="300">
        <f>'PLAN INDICATIVO'!I275</f>
        <v>0</v>
      </c>
      <c r="J278" s="300">
        <f>'PLAN INDICATIVO'!J275</f>
        <v>0</v>
      </c>
      <c r="K278" s="1428" t="str">
        <f>'PLAN INDICATIVO'!K275</f>
        <v>A.13.2.2</v>
      </c>
      <c r="L278" s="301" t="str">
        <f>'PLAN INDICATIVO'!L275</f>
        <v>8. Trabajo decente y crecimiento económico</v>
      </c>
      <c r="M278" s="301" t="str">
        <f>'PLAN INDICATIVO'!M275</f>
        <v>Secretaría de Educación, Cultura, deporte y Turismo</v>
      </c>
      <c r="N278" s="1425" t="str">
        <f>'PLAN INDICATIVO'!N275</f>
        <v>YIMI FERNANDO LOSADA PAYA</v>
      </c>
      <c r="O278" s="1425" t="str">
        <f>'PLAN INDICATIVO'!O275</f>
        <v>Incremento</v>
      </c>
      <c r="P278" s="16" t="str">
        <f>'PLAN INDICATIVO'!P275</f>
        <v>Realizar 8 capacitaciones durante el cuatrienio, en temas de interés para el fortalecimiento del sector del turismo</v>
      </c>
      <c r="Q278" s="302" t="str">
        <f>'PLAN INDICATIVO'!Q275</f>
        <v>No. De capacitaciones realizadas</v>
      </c>
      <c r="R278" s="303">
        <f>'PLAN INDICATIVO'!R275</f>
        <v>2015</v>
      </c>
      <c r="S278" s="304">
        <v>0</v>
      </c>
      <c r="T278" s="498">
        <v>8</v>
      </c>
      <c r="U278" s="303">
        <v>1</v>
      </c>
      <c r="V278" s="687"/>
      <c r="W278" s="572">
        <v>2</v>
      </c>
      <c r="X278" s="687">
        <v>5000000</v>
      </c>
      <c r="Y278" s="572">
        <v>3</v>
      </c>
      <c r="Z278" s="687">
        <v>5000000</v>
      </c>
      <c r="AA278" s="572">
        <v>2</v>
      </c>
      <c r="AB278" s="687">
        <v>5000000</v>
      </c>
      <c r="AC278" s="665">
        <v>1</v>
      </c>
      <c r="AD278" s="665">
        <v>2</v>
      </c>
      <c r="AE278" s="665"/>
      <c r="AF278" s="665"/>
      <c r="AG278" s="306" t="s">
        <v>3700</v>
      </c>
      <c r="AH278" s="306"/>
      <c r="AI278" s="307" t="s">
        <v>3706</v>
      </c>
      <c r="AJ278" s="339">
        <v>42795</v>
      </c>
      <c r="AK278" s="339">
        <v>43038</v>
      </c>
      <c r="AL278" s="308"/>
      <c r="AM278" s="308"/>
      <c r="AN278" s="267" t="s">
        <v>2598</v>
      </c>
      <c r="AO278" s="507" t="s">
        <v>3707</v>
      </c>
      <c r="AP278" s="525"/>
      <c r="AQ278" s="310"/>
      <c r="AR278" s="310"/>
      <c r="AS278" s="310"/>
      <c r="AT278" s="310"/>
      <c r="AU278" s="310"/>
      <c r="AV278" s="310">
        <v>500000</v>
      </c>
      <c r="AW278" s="544">
        <f>AP278+AQ278+AR278+AS278+AT278+AU278+AV278</f>
        <v>500000</v>
      </c>
      <c r="AX278" s="525"/>
      <c r="AY278" s="310"/>
      <c r="AZ278" s="310"/>
      <c r="BA278" s="310"/>
      <c r="BB278" s="310"/>
      <c r="BC278" s="310"/>
      <c r="BD278" s="310"/>
      <c r="BE278" s="544">
        <f t="shared" si="109"/>
        <v>0</v>
      </c>
      <c r="BF278" s="525"/>
      <c r="BG278" s="310"/>
      <c r="BH278" s="310"/>
      <c r="BI278" s="310"/>
      <c r="BJ278" s="310"/>
      <c r="BK278" s="310"/>
      <c r="BL278" s="310"/>
      <c r="BM278" s="544">
        <f t="shared" si="110"/>
        <v>0</v>
      </c>
      <c r="BN278" s="525"/>
      <c r="BO278" s="310"/>
      <c r="BP278" s="310"/>
      <c r="BQ278" s="310"/>
      <c r="BR278" s="310"/>
      <c r="BS278" s="310"/>
      <c r="BT278" s="310"/>
      <c r="BU278" s="544">
        <f t="shared" si="111"/>
        <v>0</v>
      </c>
      <c r="BV278" s="556"/>
      <c r="BW278" s="663">
        <f t="shared" si="133"/>
        <v>3</v>
      </c>
      <c r="BX278" s="674">
        <f t="shared" si="134"/>
        <v>0.375</v>
      </c>
      <c r="BY278" s="674">
        <f t="shared" si="135"/>
        <v>1</v>
      </c>
      <c r="BZ278" s="674">
        <f t="shared" si="136"/>
        <v>1</v>
      </c>
      <c r="CA278" s="675">
        <f t="shared" si="137"/>
        <v>0</v>
      </c>
      <c r="CB278" s="675">
        <f t="shared" si="138"/>
        <v>0</v>
      </c>
    </row>
    <row r="279" spans="1:80" ht="88.5" hidden="1" customHeight="1" x14ac:dyDescent="0.25">
      <c r="A279" s="298" t="s">
        <v>800</v>
      </c>
      <c r="B279" s="299" t="str">
        <f>'PLAN INDICATIVO'!B276</f>
        <v>Desarrollo Económico/Promoción del desarrollo</v>
      </c>
      <c r="C279" s="1547"/>
      <c r="D279" s="1549"/>
      <c r="E279" s="1549"/>
      <c r="F279" s="1549"/>
      <c r="G279" s="1549"/>
      <c r="H279" s="1549"/>
      <c r="I279" s="300">
        <f>'PLAN INDICATIVO'!I276</f>
        <v>0</v>
      </c>
      <c r="J279" s="300">
        <f>'PLAN INDICATIVO'!J276</f>
        <v>0</v>
      </c>
      <c r="K279" s="1428" t="str">
        <f>'PLAN INDICATIVO'!K276</f>
        <v>A.13.2.3</v>
      </c>
      <c r="L279" s="301" t="str">
        <f>'PLAN INDICATIVO'!L276</f>
        <v>8. Trabajo decente y crecimiento económico</v>
      </c>
      <c r="M279" s="301" t="str">
        <f>'PLAN INDICATIVO'!M276</f>
        <v>Secretaría de Educación, Cultura, deporte y Turismo</v>
      </c>
      <c r="N279" s="1425" t="str">
        <f>'PLAN INDICATIVO'!N276</f>
        <v>YIMI FERNANDO LOSADA PAYA</v>
      </c>
      <c r="O279" s="1425" t="str">
        <f>'PLAN INDICATIVO'!O276</f>
        <v>Incremento</v>
      </c>
      <c r="P279" s="942" t="str">
        <f>'PLAN INDICATIVO'!P276</f>
        <v>Buscar una alternativa para ofertar líneas de crédito blando con bajas tasas de interés dirigidas al mejoramiento de la planta turística, durante el cuatrienio.</v>
      </c>
      <c r="Q279" s="302" t="str">
        <f>'PLAN INDICATIVO'!Q276</f>
        <v>No. De alternativas para líneas de crédito gestionadas</v>
      </c>
      <c r="R279" s="303">
        <f>'PLAN INDICATIVO'!R276</f>
        <v>2015</v>
      </c>
      <c r="S279" s="304">
        <v>0</v>
      </c>
      <c r="T279" s="498">
        <v>2</v>
      </c>
      <c r="U279" s="303">
        <v>0</v>
      </c>
      <c r="V279" s="687"/>
      <c r="W279" s="572">
        <v>0</v>
      </c>
      <c r="X279" s="687"/>
      <c r="Y279" s="572">
        <v>1</v>
      </c>
      <c r="Z279" s="687">
        <v>500000</v>
      </c>
      <c r="AA279" s="572">
        <v>1</v>
      </c>
      <c r="AB279" s="687">
        <v>500000</v>
      </c>
      <c r="AC279" s="665"/>
      <c r="AD279" s="665"/>
      <c r="AE279" s="665"/>
      <c r="AF279" s="665"/>
      <c r="AG279" s="266"/>
      <c r="AH279" s="266"/>
      <c r="AI279" s="307"/>
      <c r="AJ279" s="308"/>
      <c r="AK279" s="308"/>
      <c r="AL279" s="308"/>
      <c r="AM279" s="308"/>
      <c r="AN279" s="267" t="s">
        <v>2594</v>
      </c>
      <c r="AO279" s="507"/>
      <c r="AP279" s="525"/>
      <c r="AQ279" s="310"/>
      <c r="AR279" s="310"/>
      <c r="AS279" s="310"/>
      <c r="AT279" s="310"/>
      <c r="AU279" s="310"/>
      <c r="AV279" s="310"/>
      <c r="AW279" s="544">
        <f t="shared" si="128"/>
        <v>0</v>
      </c>
      <c r="AX279" s="525"/>
      <c r="AY279" s="310"/>
      <c r="AZ279" s="310"/>
      <c r="BA279" s="310"/>
      <c r="BB279" s="310"/>
      <c r="BC279" s="310"/>
      <c r="BD279" s="310"/>
      <c r="BE279" s="544">
        <f t="shared" si="109"/>
        <v>0</v>
      </c>
      <c r="BF279" s="525"/>
      <c r="BG279" s="310"/>
      <c r="BH279" s="310"/>
      <c r="BI279" s="310"/>
      <c r="BJ279" s="310"/>
      <c r="BK279" s="310"/>
      <c r="BL279" s="310"/>
      <c r="BM279" s="544">
        <f t="shared" si="110"/>
        <v>0</v>
      </c>
      <c r="BN279" s="525"/>
      <c r="BO279" s="310"/>
      <c r="BP279" s="310"/>
      <c r="BQ279" s="310"/>
      <c r="BR279" s="310"/>
      <c r="BS279" s="310"/>
      <c r="BT279" s="310"/>
      <c r="BU279" s="544">
        <f t="shared" si="111"/>
        <v>0</v>
      </c>
      <c r="BV279" s="556"/>
      <c r="BW279" s="663">
        <f t="shared" si="133"/>
        <v>0</v>
      </c>
      <c r="BX279" s="674">
        <f t="shared" si="134"/>
        <v>0</v>
      </c>
      <c r="BY279" s="674" t="e">
        <f t="shared" si="135"/>
        <v>#DIV/0!</v>
      </c>
      <c r="BZ279" s="674" t="e">
        <f t="shared" si="136"/>
        <v>#DIV/0!</v>
      </c>
      <c r="CA279" s="675">
        <f t="shared" si="137"/>
        <v>0</v>
      </c>
      <c r="CB279" s="675">
        <f t="shared" si="138"/>
        <v>0</v>
      </c>
    </row>
    <row r="280" spans="1:80" ht="84" hidden="1" customHeight="1" x14ac:dyDescent="0.25">
      <c r="A280" s="298" t="s">
        <v>800</v>
      </c>
      <c r="B280" s="299" t="str">
        <f>'PLAN INDICATIVO'!B277</f>
        <v>Desarrollo Económico/Promoción del desarrollo</v>
      </c>
      <c r="C280" s="1547"/>
      <c r="D280" s="1549"/>
      <c r="E280" s="1549"/>
      <c r="F280" s="1549"/>
      <c r="G280" s="1549"/>
      <c r="H280" s="1549"/>
      <c r="I280" s="300">
        <f>'PLAN INDICATIVO'!I277</f>
        <v>0</v>
      </c>
      <c r="J280" s="300">
        <f>'PLAN INDICATIVO'!J277</f>
        <v>0</v>
      </c>
      <c r="K280" s="1428" t="str">
        <f>'PLAN INDICATIVO'!K277</f>
        <v>A.13.2.4</v>
      </c>
      <c r="L280" s="301" t="str">
        <f>'PLAN INDICATIVO'!L277</f>
        <v>8. Trabajo decente y crecimiento económico</v>
      </c>
      <c r="M280" s="301" t="str">
        <f>'PLAN INDICATIVO'!M277</f>
        <v>Secretaría de Educación, Cultura, deporte y Turismo</v>
      </c>
      <c r="N280" s="1425" t="str">
        <f>'PLAN INDICATIVO'!N277</f>
        <v>YIMI FERNANDO LOSADA PAYA</v>
      </c>
      <c r="O280" s="1425" t="str">
        <f>'PLAN INDICATIVO'!O277</f>
        <v>Incremento</v>
      </c>
      <c r="P280" s="16" t="str">
        <f>'PLAN INDICATIVO'!P277</f>
        <v>Apoyar 2 proyectos de desarrollo económico que permitan el crecimiento acelerado de las empresas turísticas.</v>
      </c>
      <c r="Q280" s="302" t="str">
        <f>'PLAN INDICATIVO'!Q277</f>
        <v>No. De Proyectos apoyados</v>
      </c>
      <c r="R280" s="303">
        <f>'PLAN INDICATIVO'!R277</f>
        <v>2015</v>
      </c>
      <c r="S280" s="304">
        <v>0</v>
      </c>
      <c r="T280" s="498">
        <v>4</v>
      </c>
      <c r="U280" s="303">
        <v>0</v>
      </c>
      <c r="V280" s="687"/>
      <c r="W280" s="572">
        <v>0</v>
      </c>
      <c r="X280" s="687"/>
      <c r="Y280" s="572">
        <v>2</v>
      </c>
      <c r="Z280" s="687">
        <v>500000</v>
      </c>
      <c r="AA280" s="572">
        <v>2</v>
      </c>
      <c r="AB280" s="687">
        <v>500000</v>
      </c>
      <c r="AC280" s="665"/>
      <c r="AD280" s="665"/>
      <c r="AE280" s="665"/>
      <c r="AF280" s="665"/>
      <c r="AG280" s="266"/>
      <c r="AH280" s="266"/>
      <c r="AI280" s="307"/>
      <c r="AJ280" s="308"/>
      <c r="AK280" s="308"/>
      <c r="AL280" s="308"/>
      <c r="AM280" s="308"/>
      <c r="AN280" s="267" t="s">
        <v>2594</v>
      </c>
      <c r="AO280" s="507"/>
      <c r="AP280" s="525"/>
      <c r="AQ280" s="310"/>
      <c r="AR280" s="310"/>
      <c r="AS280" s="310"/>
      <c r="AT280" s="310"/>
      <c r="AU280" s="310"/>
      <c r="AV280" s="310"/>
      <c r="AW280" s="544">
        <f t="shared" si="128"/>
        <v>0</v>
      </c>
      <c r="AX280" s="525"/>
      <c r="AY280" s="310"/>
      <c r="AZ280" s="310"/>
      <c r="BA280" s="310"/>
      <c r="BB280" s="310"/>
      <c r="BC280" s="310"/>
      <c r="BD280" s="310"/>
      <c r="BE280" s="544">
        <f t="shared" si="109"/>
        <v>0</v>
      </c>
      <c r="BF280" s="525"/>
      <c r="BG280" s="310"/>
      <c r="BH280" s="310"/>
      <c r="BI280" s="310"/>
      <c r="BJ280" s="310"/>
      <c r="BK280" s="310"/>
      <c r="BL280" s="310"/>
      <c r="BM280" s="544">
        <f t="shared" si="110"/>
        <v>0</v>
      </c>
      <c r="BN280" s="525"/>
      <c r="BO280" s="310"/>
      <c r="BP280" s="310"/>
      <c r="BQ280" s="310"/>
      <c r="BR280" s="310"/>
      <c r="BS280" s="310"/>
      <c r="BT280" s="310"/>
      <c r="BU280" s="544">
        <f t="shared" si="111"/>
        <v>0</v>
      </c>
      <c r="BV280" s="556"/>
      <c r="BW280" s="663">
        <f t="shared" si="133"/>
        <v>0</v>
      </c>
      <c r="BX280" s="674">
        <f t="shared" si="134"/>
        <v>0</v>
      </c>
      <c r="BY280" s="674" t="e">
        <f t="shared" si="135"/>
        <v>#DIV/0!</v>
      </c>
      <c r="BZ280" s="674" t="e">
        <f t="shared" si="136"/>
        <v>#DIV/0!</v>
      </c>
      <c r="CA280" s="675">
        <f t="shared" si="137"/>
        <v>0</v>
      </c>
      <c r="CB280" s="675">
        <f t="shared" si="138"/>
        <v>0</v>
      </c>
    </row>
    <row r="281" spans="1:80" ht="94.5" hidden="1" customHeight="1" x14ac:dyDescent="0.25">
      <c r="A281" s="298" t="s">
        <v>800</v>
      </c>
      <c r="B281" s="299" t="str">
        <f>'PLAN INDICATIVO'!B278</f>
        <v>Desarrollo Económico/Promoción del desarrollo</v>
      </c>
      <c r="C281" s="1547"/>
      <c r="D281" s="1549"/>
      <c r="E281" s="1549"/>
      <c r="F281" s="1549"/>
      <c r="G281" s="1549"/>
      <c r="H281" s="1549"/>
      <c r="I281" s="300">
        <f>'PLAN INDICATIVO'!I278</f>
        <v>0</v>
      </c>
      <c r="J281" s="300">
        <f>'PLAN INDICATIVO'!J278</f>
        <v>0</v>
      </c>
      <c r="K281" s="1428" t="str">
        <f>'PLAN INDICATIVO'!K278</f>
        <v>A.13.2.5</v>
      </c>
      <c r="L281" s="301" t="str">
        <f>'PLAN INDICATIVO'!L278</f>
        <v>8. Trabajo decente y crecimiento económico</v>
      </c>
      <c r="M281" s="301" t="str">
        <f>'PLAN INDICATIVO'!M278</f>
        <v>Secretaría de Educación, Cultura, deporte y Turismo</v>
      </c>
      <c r="N281" s="1425" t="str">
        <f>'PLAN INDICATIVO'!N278</f>
        <v>YIMI FERNANDO LOSADA PAYA</v>
      </c>
      <c r="O281" s="1425" t="str">
        <f>'PLAN INDICATIVO'!O278</f>
        <v>Incremento</v>
      </c>
      <c r="P281" s="16" t="str">
        <f>'PLAN INDICATIVO'!P278</f>
        <v>Implementar 4 proyectos para identificación de los atractivos que requieren intervención y Ejecutar obras para la recuperación y adecuación que permita la atención de público.</v>
      </c>
      <c r="Q281" s="302" t="str">
        <f>'PLAN INDICATIVO'!Q278</f>
        <v>No. De Proyectos implementados</v>
      </c>
      <c r="R281" s="303">
        <f>'PLAN INDICATIVO'!R278</f>
        <v>2015</v>
      </c>
      <c r="S281" s="304">
        <v>0</v>
      </c>
      <c r="T281" s="498">
        <v>4</v>
      </c>
      <c r="U281" s="303">
        <v>0</v>
      </c>
      <c r="V281" s="687">
        <v>500000</v>
      </c>
      <c r="W281" s="572">
        <v>2</v>
      </c>
      <c r="X281" s="687">
        <v>1000000</v>
      </c>
      <c r="Y281" s="572">
        <v>1</v>
      </c>
      <c r="Z281" s="687">
        <v>500000</v>
      </c>
      <c r="AA281" s="572">
        <v>1</v>
      </c>
      <c r="AB281" s="687">
        <v>500000</v>
      </c>
      <c r="AC281" s="665"/>
      <c r="AD281" s="665">
        <v>2</v>
      </c>
      <c r="AE281" s="665"/>
      <c r="AF281" s="665"/>
      <c r="AG281" s="306" t="s">
        <v>3700</v>
      </c>
      <c r="AH281" s="306"/>
      <c r="AI281" s="307" t="s">
        <v>3708</v>
      </c>
      <c r="AJ281" s="308"/>
      <c r="AK281" s="308"/>
      <c r="AL281" s="308"/>
      <c r="AM281" s="308"/>
      <c r="AN281" s="267" t="s">
        <v>2598</v>
      </c>
      <c r="AO281" s="507" t="s">
        <v>3707</v>
      </c>
      <c r="AP281" s="525"/>
      <c r="AQ281" s="310"/>
      <c r="AR281" s="310"/>
      <c r="AS281" s="310"/>
      <c r="AT281" s="310"/>
      <c r="AU281" s="310"/>
      <c r="AV281" s="310">
        <v>500000</v>
      </c>
      <c r="AW281" s="544">
        <f t="shared" si="128"/>
        <v>500000</v>
      </c>
      <c r="AX281" s="525"/>
      <c r="AY281" s="310"/>
      <c r="AZ281" s="310"/>
      <c r="BA281" s="310"/>
      <c r="BB281" s="310"/>
      <c r="BC281" s="310"/>
      <c r="BD281" s="310"/>
      <c r="BE281" s="544">
        <f t="shared" ref="BE281:BE345" si="143">SUM(AX281:BD281)</f>
        <v>0</v>
      </c>
      <c r="BF281" s="525"/>
      <c r="BG281" s="310"/>
      <c r="BH281" s="310"/>
      <c r="BI281" s="310"/>
      <c r="BJ281" s="310"/>
      <c r="BK281" s="310"/>
      <c r="BL281" s="310"/>
      <c r="BM281" s="544">
        <f t="shared" ref="BM281:BM345" si="144">SUM(BF281:BL281)</f>
        <v>0</v>
      </c>
      <c r="BN281" s="525"/>
      <c r="BO281" s="310"/>
      <c r="BP281" s="310"/>
      <c r="BQ281" s="310"/>
      <c r="BR281" s="310"/>
      <c r="BS281" s="310"/>
      <c r="BT281" s="310"/>
      <c r="BU281" s="544">
        <f t="shared" ref="BU281:BU345" si="145">SUM(BN281:BT281)</f>
        <v>0</v>
      </c>
      <c r="BV281" s="556"/>
      <c r="BW281" s="663">
        <f t="shared" si="133"/>
        <v>2</v>
      </c>
      <c r="BX281" s="674">
        <f t="shared" si="134"/>
        <v>0.5</v>
      </c>
      <c r="BY281" s="674" t="e">
        <f t="shared" si="135"/>
        <v>#DIV/0!</v>
      </c>
      <c r="BZ281" s="674">
        <f t="shared" si="136"/>
        <v>1</v>
      </c>
      <c r="CA281" s="675">
        <f t="shared" si="137"/>
        <v>0</v>
      </c>
      <c r="CB281" s="675">
        <f t="shared" si="138"/>
        <v>0</v>
      </c>
    </row>
    <row r="282" spans="1:80" ht="50.25" hidden="1" customHeight="1" x14ac:dyDescent="0.25">
      <c r="A282" s="298" t="s">
        <v>800</v>
      </c>
      <c r="B282" s="299" t="str">
        <f>'PLAN INDICATIVO'!B279</f>
        <v>Desarrollo Económico/Promoción del desarrollo</v>
      </c>
      <c r="C282" s="1547"/>
      <c r="D282" s="1549"/>
      <c r="E282" s="1549"/>
      <c r="F282" s="1549"/>
      <c r="G282" s="1549"/>
      <c r="H282" s="1549"/>
      <c r="I282" s="300">
        <f>'PLAN INDICATIVO'!I279</f>
        <v>0</v>
      </c>
      <c r="J282" s="300">
        <f>'PLAN INDICATIVO'!J279</f>
        <v>0</v>
      </c>
      <c r="K282" s="1428" t="str">
        <f>'PLAN INDICATIVO'!K279</f>
        <v>A.13.2.6</v>
      </c>
      <c r="L282" s="301" t="str">
        <f>'PLAN INDICATIVO'!L279</f>
        <v>8. Trabajo decente y crecimiento económico</v>
      </c>
      <c r="M282" s="301" t="str">
        <f>'PLAN INDICATIVO'!M279</f>
        <v>Secretaría de Educación, Cultura, deporte y Turismo</v>
      </c>
      <c r="N282" s="1425" t="str">
        <f>'PLAN INDICATIVO'!N279</f>
        <v>YIMI FERNANDO LOSADA PAYA</v>
      </c>
      <c r="O282" s="1425" t="str">
        <f>'PLAN INDICATIVO'!O279</f>
        <v>Incremento</v>
      </c>
      <c r="P282" s="25" t="str">
        <f>'PLAN INDICATIVO'!P279</f>
        <v>Realizar la instalación de material informativo de los principales atractivos  y culturales del municipio.</v>
      </c>
      <c r="Q282" s="302" t="str">
        <f>'PLAN INDICATIVO'!Q279</f>
        <v>No. Material informativo instalado</v>
      </c>
      <c r="R282" s="303">
        <f>'PLAN INDICATIVO'!R279</f>
        <v>2015</v>
      </c>
      <c r="S282" s="304">
        <v>0</v>
      </c>
      <c r="T282" s="498">
        <v>1</v>
      </c>
      <c r="U282" s="303">
        <v>0</v>
      </c>
      <c r="V282" s="687"/>
      <c r="W282" s="572">
        <v>0</v>
      </c>
      <c r="X282" s="687"/>
      <c r="Y282" s="66">
        <v>1</v>
      </c>
      <c r="Z282" s="687">
        <v>500000</v>
      </c>
      <c r="AA282" s="572">
        <v>0</v>
      </c>
      <c r="AB282" s="687">
        <v>500000</v>
      </c>
      <c r="AC282" s="665"/>
      <c r="AD282" s="665"/>
      <c r="AE282" s="665"/>
      <c r="AF282" s="665"/>
      <c r="AG282" s="266"/>
      <c r="AH282" s="266"/>
      <c r="AI282" s="307"/>
      <c r="AJ282" s="308"/>
      <c r="AK282" s="308"/>
      <c r="AL282" s="308"/>
      <c r="AM282" s="308"/>
      <c r="AN282" s="267" t="s">
        <v>2594</v>
      </c>
      <c r="AO282" s="507"/>
      <c r="AP282" s="525"/>
      <c r="AQ282" s="310"/>
      <c r="AR282" s="310"/>
      <c r="AS282" s="310"/>
      <c r="AT282" s="310"/>
      <c r="AU282" s="310"/>
      <c r="AV282" s="310"/>
      <c r="AW282" s="544">
        <f t="shared" si="128"/>
        <v>0</v>
      </c>
      <c r="AX282" s="525"/>
      <c r="AY282" s="310"/>
      <c r="AZ282" s="310"/>
      <c r="BA282" s="310"/>
      <c r="BB282" s="310"/>
      <c r="BC282" s="310"/>
      <c r="BD282" s="310"/>
      <c r="BE282" s="544">
        <f t="shared" si="143"/>
        <v>0</v>
      </c>
      <c r="BF282" s="525"/>
      <c r="BG282" s="310"/>
      <c r="BH282" s="310"/>
      <c r="BI282" s="310"/>
      <c r="BJ282" s="310"/>
      <c r="BK282" s="310"/>
      <c r="BL282" s="310"/>
      <c r="BM282" s="544">
        <f t="shared" si="144"/>
        <v>0</v>
      </c>
      <c r="BN282" s="525"/>
      <c r="BO282" s="310"/>
      <c r="BP282" s="310"/>
      <c r="BQ282" s="310"/>
      <c r="BR282" s="310"/>
      <c r="BS282" s="310"/>
      <c r="BT282" s="310"/>
      <c r="BU282" s="544">
        <f t="shared" si="145"/>
        <v>0</v>
      </c>
      <c r="BV282" s="556"/>
      <c r="BW282" s="663">
        <f t="shared" si="133"/>
        <v>0</v>
      </c>
      <c r="BX282" s="674">
        <f t="shared" si="134"/>
        <v>0</v>
      </c>
      <c r="BY282" s="674" t="e">
        <f t="shared" si="135"/>
        <v>#DIV/0!</v>
      </c>
      <c r="BZ282" s="674" t="e">
        <f t="shared" si="136"/>
        <v>#DIV/0!</v>
      </c>
      <c r="CA282" s="675">
        <f t="shared" si="137"/>
        <v>0</v>
      </c>
      <c r="CB282" s="675" t="e">
        <f t="shared" si="138"/>
        <v>#DIV/0!</v>
      </c>
    </row>
    <row r="283" spans="1:80" ht="51" hidden="1" customHeight="1" x14ac:dyDescent="0.25">
      <c r="A283" s="298" t="s">
        <v>800</v>
      </c>
      <c r="B283" s="299" t="str">
        <f>'PLAN INDICATIVO'!B280</f>
        <v>Desarrollo Económico/Promoción del desarrollo</v>
      </c>
      <c r="C283" s="1547"/>
      <c r="D283" s="1549"/>
      <c r="E283" s="1549"/>
      <c r="F283" s="1549"/>
      <c r="G283" s="1549"/>
      <c r="H283" s="1549"/>
      <c r="I283" s="300">
        <f>'PLAN INDICATIVO'!I280</f>
        <v>0</v>
      </c>
      <c r="J283" s="300">
        <f>'PLAN INDICATIVO'!J280</f>
        <v>0</v>
      </c>
      <c r="K283" s="1428" t="str">
        <f>'PLAN INDICATIVO'!K280</f>
        <v>A.13.2.7</v>
      </c>
      <c r="L283" s="301" t="str">
        <f>'PLAN INDICATIVO'!L280</f>
        <v>8. Trabajo decente y crecimiento económico</v>
      </c>
      <c r="M283" s="301" t="str">
        <f>'PLAN INDICATIVO'!M280</f>
        <v>Secretaría de Educación, Cultura, deporte y Turismo</v>
      </c>
      <c r="N283" s="1425" t="str">
        <f>'PLAN INDICATIVO'!N280</f>
        <v>YIMI FERNANDO LOSADA PAYA</v>
      </c>
      <c r="O283" s="1425" t="str">
        <f>'PLAN INDICATIVO'!O280</f>
        <v>Incremento</v>
      </c>
      <c r="P283" s="942" t="str">
        <f>'PLAN INDICATIVO'!P280</f>
        <v>Apoyar 2 proyectos de desarrollo turístico con capital semilla a nuevas empresas que por su nivel de innovación sean merecedoras de tal beneficio, durante el cuatrienio</v>
      </c>
      <c r="Q283" s="302" t="str">
        <f>'PLAN INDICATIVO'!Q280</f>
        <v>No. Proyectos apoyados</v>
      </c>
      <c r="R283" s="303">
        <f>'PLAN INDICATIVO'!R280</f>
        <v>2015</v>
      </c>
      <c r="S283" s="304">
        <v>0</v>
      </c>
      <c r="T283" s="498">
        <v>2</v>
      </c>
      <c r="U283" s="303">
        <v>0</v>
      </c>
      <c r="V283" s="687"/>
      <c r="W283" s="572">
        <v>0</v>
      </c>
      <c r="X283" s="687"/>
      <c r="Y283" s="572">
        <v>1</v>
      </c>
      <c r="Z283" s="687">
        <v>500000</v>
      </c>
      <c r="AA283" s="572">
        <v>1</v>
      </c>
      <c r="AB283" s="687">
        <v>500000</v>
      </c>
      <c r="AC283" s="665"/>
      <c r="AD283" s="665"/>
      <c r="AE283" s="665"/>
      <c r="AF283" s="665"/>
      <c r="AG283" s="266"/>
      <c r="AH283" s="266"/>
      <c r="AI283" s="307"/>
      <c r="AJ283" s="308"/>
      <c r="AK283" s="308"/>
      <c r="AL283" s="308"/>
      <c r="AM283" s="308"/>
      <c r="AN283" s="267" t="s">
        <v>2594</v>
      </c>
      <c r="AO283" s="507"/>
      <c r="AP283" s="525"/>
      <c r="AQ283" s="310"/>
      <c r="AR283" s="310"/>
      <c r="AS283" s="310"/>
      <c r="AT283" s="310"/>
      <c r="AU283" s="310"/>
      <c r="AV283" s="310"/>
      <c r="AW283" s="544">
        <f t="shared" si="128"/>
        <v>0</v>
      </c>
      <c r="AX283" s="525"/>
      <c r="AY283" s="310"/>
      <c r="AZ283" s="310"/>
      <c r="BA283" s="310"/>
      <c r="BB283" s="310"/>
      <c r="BC283" s="310"/>
      <c r="BD283" s="310"/>
      <c r="BE283" s="544">
        <f t="shared" si="143"/>
        <v>0</v>
      </c>
      <c r="BF283" s="525"/>
      <c r="BG283" s="310"/>
      <c r="BH283" s="310"/>
      <c r="BI283" s="310"/>
      <c r="BJ283" s="310"/>
      <c r="BK283" s="310"/>
      <c r="BL283" s="310"/>
      <c r="BM283" s="544">
        <f t="shared" si="144"/>
        <v>0</v>
      </c>
      <c r="BN283" s="525"/>
      <c r="BO283" s="310"/>
      <c r="BP283" s="310"/>
      <c r="BQ283" s="310"/>
      <c r="BR283" s="310"/>
      <c r="BS283" s="310"/>
      <c r="BT283" s="310"/>
      <c r="BU283" s="544">
        <f t="shared" si="145"/>
        <v>0</v>
      </c>
      <c r="BV283" s="556"/>
      <c r="BW283" s="663">
        <f t="shared" si="133"/>
        <v>0</v>
      </c>
      <c r="BX283" s="674">
        <f t="shared" si="134"/>
        <v>0</v>
      </c>
      <c r="BY283" s="674" t="e">
        <f t="shared" si="135"/>
        <v>#DIV/0!</v>
      </c>
      <c r="BZ283" s="674" t="e">
        <f t="shared" si="136"/>
        <v>#DIV/0!</v>
      </c>
      <c r="CA283" s="675">
        <f t="shared" si="137"/>
        <v>0</v>
      </c>
      <c r="CB283" s="675">
        <f t="shared" si="138"/>
        <v>0</v>
      </c>
    </row>
    <row r="284" spans="1:80" ht="75.75" hidden="1" customHeight="1" x14ac:dyDescent="0.25">
      <c r="A284" s="298" t="s">
        <v>800</v>
      </c>
      <c r="B284" s="299" t="str">
        <f>'PLAN INDICATIVO'!B281</f>
        <v>Desarrollo Económico/Promoción del desarrollo</v>
      </c>
      <c r="C284" s="1547"/>
      <c r="D284" s="1549"/>
      <c r="E284" s="1549"/>
      <c r="F284" s="1549"/>
      <c r="G284" s="1549"/>
      <c r="H284" s="1549"/>
      <c r="I284" s="300">
        <f>'PLAN INDICATIVO'!I281</f>
        <v>0</v>
      </c>
      <c r="J284" s="300">
        <f>'PLAN INDICATIVO'!J281</f>
        <v>0</v>
      </c>
      <c r="K284" s="1428" t="str">
        <f>'PLAN INDICATIVO'!K281</f>
        <v>A.13.2.8</v>
      </c>
      <c r="L284" s="301" t="str">
        <f>'PLAN INDICATIVO'!L281</f>
        <v>8. Trabajo decente y crecimiento económico</v>
      </c>
      <c r="M284" s="301" t="str">
        <f>'PLAN INDICATIVO'!M281</f>
        <v>Secretaría de Educación, Cultura, deporte y Turismo</v>
      </c>
      <c r="N284" s="1425" t="str">
        <f>'PLAN INDICATIVO'!N281</f>
        <v>YIMI FERNANDO LOSADA PAYA</v>
      </c>
      <c r="O284" s="1425" t="str">
        <f>'PLAN INDICATIVO'!O281</f>
        <v>Incremento</v>
      </c>
      <c r="P284" s="16" t="str">
        <f>'PLAN INDICATIVO'!P281</f>
        <v>Formular 2 proyectos durante el cuatrienio para buscar apoyo económico que permitan la creación de nuevas empresas.</v>
      </c>
      <c r="Q284" s="302" t="str">
        <f>'PLAN INDICATIVO'!Q281</f>
        <v>No. Proyectos formulados</v>
      </c>
      <c r="R284" s="303">
        <f>'PLAN INDICATIVO'!R281</f>
        <v>2015</v>
      </c>
      <c r="S284" s="304">
        <v>0</v>
      </c>
      <c r="T284" s="498">
        <v>2</v>
      </c>
      <c r="U284" s="303">
        <v>0</v>
      </c>
      <c r="V284" s="687"/>
      <c r="W284" s="572">
        <v>0</v>
      </c>
      <c r="X284" s="687"/>
      <c r="Y284" s="572">
        <v>1</v>
      </c>
      <c r="Z284" s="687">
        <v>500000</v>
      </c>
      <c r="AA284" s="572">
        <v>1</v>
      </c>
      <c r="AB284" s="687">
        <v>500000</v>
      </c>
      <c r="AC284" s="665"/>
      <c r="AD284" s="665"/>
      <c r="AE284" s="665"/>
      <c r="AF284" s="665"/>
      <c r="AG284" s="266"/>
      <c r="AH284" s="266"/>
      <c r="AI284" s="307"/>
      <c r="AJ284" s="308"/>
      <c r="AK284" s="308"/>
      <c r="AL284" s="308"/>
      <c r="AM284" s="308"/>
      <c r="AN284" s="267" t="s">
        <v>2594</v>
      </c>
      <c r="AO284" s="507"/>
      <c r="AP284" s="525"/>
      <c r="AQ284" s="310"/>
      <c r="AR284" s="310"/>
      <c r="AS284" s="310"/>
      <c r="AT284" s="310"/>
      <c r="AU284" s="310"/>
      <c r="AV284" s="310"/>
      <c r="AW284" s="544">
        <f t="shared" si="128"/>
        <v>0</v>
      </c>
      <c r="AX284" s="525"/>
      <c r="AY284" s="310"/>
      <c r="AZ284" s="310"/>
      <c r="BA284" s="310"/>
      <c r="BB284" s="310"/>
      <c r="BC284" s="310"/>
      <c r="BD284" s="310"/>
      <c r="BE284" s="544">
        <f t="shared" si="143"/>
        <v>0</v>
      </c>
      <c r="BF284" s="525"/>
      <c r="BG284" s="310"/>
      <c r="BH284" s="310"/>
      <c r="BI284" s="310"/>
      <c r="BJ284" s="310"/>
      <c r="BK284" s="310"/>
      <c r="BL284" s="310"/>
      <c r="BM284" s="544">
        <f t="shared" si="144"/>
        <v>0</v>
      </c>
      <c r="BN284" s="525"/>
      <c r="BO284" s="310"/>
      <c r="BP284" s="310"/>
      <c r="BQ284" s="310"/>
      <c r="BR284" s="310"/>
      <c r="BS284" s="310"/>
      <c r="BT284" s="310"/>
      <c r="BU284" s="544">
        <f t="shared" si="145"/>
        <v>0</v>
      </c>
      <c r="BV284" s="556"/>
      <c r="BW284" s="663">
        <f t="shared" si="133"/>
        <v>0</v>
      </c>
      <c r="BX284" s="674">
        <f t="shared" si="134"/>
        <v>0</v>
      </c>
      <c r="BY284" s="674" t="e">
        <f t="shared" si="135"/>
        <v>#DIV/0!</v>
      </c>
      <c r="BZ284" s="674" t="e">
        <f t="shared" si="136"/>
        <v>#DIV/0!</v>
      </c>
      <c r="CA284" s="675">
        <f t="shared" si="137"/>
        <v>0</v>
      </c>
      <c r="CB284" s="675">
        <f t="shared" si="138"/>
        <v>0</v>
      </c>
    </row>
    <row r="285" spans="1:80" ht="84" hidden="1" customHeight="1" x14ac:dyDescent="0.25">
      <c r="A285" s="298" t="s">
        <v>800</v>
      </c>
      <c r="B285" s="299" t="str">
        <f>'PLAN INDICATIVO'!B282</f>
        <v>Desarrollo Económico/Promoción del desarrollo</v>
      </c>
      <c r="C285" s="1547"/>
      <c r="D285" s="1549"/>
      <c r="E285" s="1549"/>
      <c r="F285" s="1549"/>
      <c r="G285" s="1549"/>
      <c r="H285" s="1549"/>
      <c r="I285" s="300">
        <f>'PLAN INDICATIVO'!I282</f>
        <v>0</v>
      </c>
      <c r="J285" s="300">
        <f>'PLAN INDICATIVO'!J282</f>
        <v>0</v>
      </c>
      <c r="K285" s="1428" t="str">
        <f>'PLAN INDICATIVO'!K282</f>
        <v>A.13.2.9</v>
      </c>
      <c r="L285" s="301" t="str">
        <f>'PLAN INDICATIVO'!L282</f>
        <v>8. Trabajo decente y crecimiento económico</v>
      </c>
      <c r="M285" s="301" t="str">
        <f>'PLAN INDICATIVO'!M282</f>
        <v>Secretaría de Educación, Cultura, deporte y Turismo</v>
      </c>
      <c r="N285" s="1425" t="str">
        <f>'PLAN INDICATIVO'!N282</f>
        <v>YIMI FERNANDO LOSADA PAYA</v>
      </c>
      <c r="O285" s="1425" t="str">
        <f>'PLAN INDICATIVO'!O282</f>
        <v>Incremento</v>
      </c>
      <c r="P285" s="16" t="str">
        <f>'PLAN INDICATIVO'!P282</f>
        <v>Crear 1 documento de cátedra plateña durante el cuatrienio, que permita a los pobladores conocer sobre los recursos, atractivos y actividades turísticas y culturales del Municipio.</v>
      </c>
      <c r="Q285" s="302" t="str">
        <f>'PLAN INDICATIVO'!Q282</f>
        <v>No. Documento creado</v>
      </c>
      <c r="R285" s="303">
        <f>'PLAN INDICATIVO'!R282</f>
        <v>2015</v>
      </c>
      <c r="S285" s="304">
        <v>0</v>
      </c>
      <c r="T285" s="498">
        <v>1</v>
      </c>
      <c r="U285" s="303">
        <v>0</v>
      </c>
      <c r="V285" s="687">
        <v>1500000</v>
      </c>
      <c r="W285" s="572">
        <v>0.33</v>
      </c>
      <c r="X285" s="687">
        <v>1000000</v>
      </c>
      <c r="Y285" s="572">
        <v>0.33</v>
      </c>
      <c r="Z285" s="687">
        <v>500000</v>
      </c>
      <c r="AA285" s="572">
        <v>0.34</v>
      </c>
      <c r="AB285" s="687">
        <v>500000</v>
      </c>
      <c r="AC285" s="665"/>
      <c r="AD285" s="665">
        <v>0.33</v>
      </c>
      <c r="AE285" s="665"/>
      <c r="AF285" s="665"/>
      <c r="AG285" s="306" t="s">
        <v>3700</v>
      </c>
      <c r="AH285" s="306"/>
      <c r="AI285" s="307" t="s">
        <v>3709</v>
      </c>
      <c r="AJ285" s="309">
        <v>42795</v>
      </c>
      <c r="AK285" s="309">
        <v>43100</v>
      </c>
      <c r="AL285" s="308"/>
      <c r="AM285" s="308"/>
      <c r="AN285" s="267" t="s">
        <v>2598</v>
      </c>
      <c r="AO285" s="507" t="s">
        <v>3707</v>
      </c>
      <c r="AP285" s="525"/>
      <c r="AQ285" s="310"/>
      <c r="AR285" s="310"/>
      <c r="AS285" s="310"/>
      <c r="AT285" s="310"/>
      <c r="AU285" s="310"/>
      <c r="AV285" s="310">
        <v>1500000</v>
      </c>
      <c r="AW285" s="544">
        <f t="shared" si="128"/>
        <v>1500000</v>
      </c>
      <c r="AX285" s="525"/>
      <c r="AY285" s="310"/>
      <c r="AZ285" s="310"/>
      <c r="BA285" s="310"/>
      <c r="BB285" s="310"/>
      <c r="BC285" s="310"/>
      <c r="BD285" s="310"/>
      <c r="BE285" s="544">
        <f t="shared" si="143"/>
        <v>0</v>
      </c>
      <c r="BF285" s="525"/>
      <c r="BG285" s="310"/>
      <c r="BH285" s="310"/>
      <c r="BI285" s="310"/>
      <c r="BJ285" s="310"/>
      <c r="BK285" s="310"/>
      <c r="BL285" s="310"/>
      <c r="BM285" s="544">
        <f t="shared" si="144"/>
        <v>0</v>
      </c>
      <c r="BN285" s="525"/>
      <c r="BO285" s="310"/>
      <c r="BP285" s="310"/>
      <c r="BQ285" s="310"/>
      <c r="BR285" s="310"/>
      <c r="BS285" s="310"/>
      <c r="BT285" s="310"/>
      <c r="BU285" s="544">
        <f t="shared" si="145"/>
        <v>0</v>
      </c>
      <c r="BV285" s="556"/>
      <c r="BW285" s="663">
        <f t="shared" si="133"/>
        <v>0.33</v>
      </c>
      <c r="BX285" s="674">
        <f t="shared" si="134"/>
        <v>0.33</v>
      </c>
      <c r="BY285" s="674" t="e">
        <f t="shared" si="135"/>
        <v>#DIV/0!</v>
      </c>
      <c r="BZ285" s="674">
        <f t="shared" si="136"/>
        <v>1</v>
      </c>
      <c r="CA285" s="675">
        <f t="shared" si="137"/>
        <v>0</v>
      </c>
      <c r="CB285" s="675">
        <f t="shared" si="138"/>
        <v>0</v>
      </c>
    </row>
    <row r="286" spans="1:80" ht="77.25" hidden="1" customHeight="1" x14ac:dyDescent="0.25">
      <c r="A286" s="298" t="s">
        <v>800</v>
      </c>
      <c r="B286" s="299" t="str">
        <f>'PLAN INDICATIVO'!B283</f>
        <v>Desarrollo Económico/Promoción del desarrollo</v>
      </c>
      <c r="C286" s="1547"/>
      <c r="D286" s="1549"/>
      <c r="E286" s="1549"/>
      <c r="F286" s="1549"/>
      <c r="G286" s="1549"/>
      <c r="H286" s="1549"/>
      <c r="I286" s="300">
        <f>'PLAN INDICATIVO'!I283</f>
        <v>0</v>
      </c>
      <c r="J286" s="300">
        <f>'PLAN INDICATIVO'!J283</f>
        <v>0</v>
      </c>
      <c r="K286" s="1428" t="str">
        <f>'PLAN INDICATIVO'!K283</f>
        <v>A.13.2.10</v>
      </c>
      <c r="L286" s="301" t="str">
        <f>'PLAN INDICATIVO'!L283</f>
        <v>8. Trabajo decente y crecimiento económico</v>
      </c>
      <c r="M286" s="301" t="str">
        <f>'PLAN INDICATIVO'!M283</f>
        <v>Secretaría de Educación, Cultura, deporte y Turismo</v>
      </c>
      <c r="N286" s="1425" t="str">
        <f>'PLAN INDICATIVO'!N283</f>
        <v>YIMI FERNANDO LOSADA PAYA</v>
      </c>
      <c r="O286" s="1425" t="str">
        <f>'PLAN INDICATIVO'!O283</f>
        <v>Incremento</v>
      </c>
      <c r="P286" s="16" t="str">
        <f>'PLAN INDICATIVO'!P283</f>
        <v>Realizar 4 mingas comunitarias destinadas a la protección y conservación del patrimonio turístico del municipio</v>
      </c>
      <c r="Q286" s="302" t="str">
        <f>'PLAN INDICATIVO'!Q283</f>
        <v>No. de mingas realizadas</v>
      </c>
      <c r="R286" s="303">
        <f>'PLAN INDICATIVO'!R283</f>
        <v>2015</v>
      </c>
      <c r="S286" s="304">
        <v>0</v>
      </c>
      <c r="T286" s="498">
        <v>4</v>
      </c>
      <c r="U286" s="303">
        <v>1</v>
      </c>
      <c r="V286" s="687">
        <v>500000</v>
      </c>
      <c r="W286" s="572">
        <v>1</v>
      </c>
      <c r="X286" s="687">
        <v>1000000</v>
      </c>
      <c r="Y286" s="572">
        <v>1</v>
      </c>
      <c r="Z286" s="687">
        <v>500000</v>
      </c>
      <c r="AA286" s="572">
        <v>1</v>
      </c>
      <c r="AB286" s="687">
        <v>500000</v>
      </c>
      <c r="AC286" s="665">
        <v>1</v>
      </c>
      <c r="AD286" s="665">
        <v>2</v>
      </c>
      <c r="AE286" s="665"/>
      <c r="AF286" s="665"/>
      <c r="AG286" s="306" t="s">
        <v>3700</v>
      </c>
      <c r="AH286" s="306"/>
      <c r="AI286" s="307" t="s">
        <v>3710</v>
      </c>
      <c r="AJ286" s="309">
        <v>42795</v>
      </c>
      <c r="AK286" s="309">
        <v>43100</v>
      </c>
      <c r="AL286" s="308"/>
      <c r="AM286" s="308"/>
      <c r="AN286" s="267" t="s">
        <v>2598</v>
      </c>
      <c r="AO286" s="507" t="s">
        <v>3711</v>
      </c>
      <c r="AP286" s="310"/>
      <c r="AQ286" s="310"/>
      <c r="AR286" s="310"/>
      <c r="AS286" s="310"/>
      <c r="AT286" s="310"/>
      <c r="AU286" s="310"/>
      <c r="AV286" s="310"/>
      <c r="AW286" s="544"/>
      <c r="AX286" s="525"/>
      <c r="AY286" s="310"/>
      <c r="AZ286" s="310"/>
      <c r="BA286" s="310"/>
      <c r="BB286" s="310"/>
      <c r="BC286" s="310"/>
      <c r="BD286" s="310"/>
      <c r="BE286" s="544">
        <f t="shared" si="143"/>
        <v>0</v>
      </c>
      <c r="BF286" s="525"/>
      <c r="BG286" s="310"/>
      <c r="BH286" s="310"/>
      <c r="BI286" s="310"/>
      <c r="BJ286" s="310"/>
      <c r="BK286" s="310"/>
      <c r="BL286" s="310"/>
      <c r="BM286" s="544">
        <f t="shared" si="144"/>
        <v>0</v>
      </c>
      <c r="BN286" s="525"/>
      <c r="BO286" s="310"/>
      <c r="BP286" s="310"/>
      <c r="BQ286" s="310"/>
      <c r="BR286" s="310"/>
      <c r="BS286" s="310"/>
      <c r="BT286" s="310"/>
      <c r="BU286" s="544">
        <f t="shared" si="145"/>
        <v>0</v>
      </c>
      <c r="BV286" s="556"/>
      <c r="BW286" s="663">
        <f t="shared" si="133"/>
        <v>3</v>
      </c>
      <c r="BX286" s="674">
        <f t="shared" si="134"/>
        <v>0.75</v>
      </c>
      <c r="BY286" s="674">
        <f t="shared" si="135"/>
        <v>1</v>
      </c>
      <c r="BZ286" s="674">
        <f t="shared" si="136"/>
        <v>2</v>
      </c>
      <c r="CA286" s="675">
        <f t="shared" si="137"/>
        <v>0</v>
      </c>
      <c r="CB286" s="675">
        <f t="shared" si="138"/>
        <v>0</v>
      </c>
    </row>
    <row r="287" spans="1:80" ht="77.25" hidden="1" customHeight="1" x14ac:dyDescent="0.25">
      <c r="A287" s="298" t="s">
        <v>800</v>
      </c>
      <c r="B287" s="299" t="str">
        <f>'PLAN INDICATIVO'!B284</f>
        <v>Desarrollo Económico/Promoción del desarrollo</v>
      </c>
      <c r="C287" s="1547"/>
      <c r="D287" s="1549"/>
      <c r="E287" s="1549"/>
      <c r="F287" s="1549"/>
      <c r="G287" s="1549"/>
      <c r="H287" s="1549"/>
      <c r="I287" s="300">
        <f>'PLAN INDICATIVO'!I284</f>
        <v>0</v>
      </c>
      <c r="J287" s="300">
        <f>'PLAN INDICATIVO'!J284</f>
        <v>0</v>
      </c>
      <c r="K287" s="1428" t="str">
        <f>'PLAN INDICATIVO'!K284</f>
        <v>A.13.2.11</v>
      </c>
      <c r="L287" s="301" t="str">
        <f>'PLAN INDICATIVO'!L284</f>
        <v>8. Trabajo decente y crecimiento económico</v>
      </c>
      <c r="M287" s="301" t="str">
        <f>'PLAN INDICATIVO'!M284</f>
        <v>Secretaría de Educación, Cultura, deporte y Turismo</v>
      </c>
      <c r="N287" s="1425" t="str">
        <f>'PLAN INDICATIVO'!N284</f>
        <v>YIMI FERNANDO LOSADA PAYA</v>
      </c>
      <c r="O287" s="1425" t="str">
        <f>'PLAN INDICATIVO'!O284</f>
        <v>Incremento</v>
      </c>
      <c r="P287" s="16" t="str">
        <f>'PLAN INDICATIVO'!P284</f>
        <v>Capacitar a 60  actores del sector turístico, en  estrategias de marketing relacional, social marketing y branding, durante el cuatrienio</v>
      </c>
      <c r="Q287" s="302" t="str">
        <f>'PLAN INDICATIVO'!Q284</f>
        <v>No. de  actores capacitados</v>
      </c>
      <c r="R287" s="303">
        <f>'PLAN INDICATIVO'!R284</f>
        <v>2015</v>
      </c>
      <c r="S287" s="304">
        <v>0</v>
      </c>
      <c r="T287" s="498">
        <v>60</v>
      </c>
      <c r="U287" s="303">
        <v>0</v>
      </c>
      <c r="V287" s="687">
        <v>500000</v>
      </c>
      <c r="W287" s="572">
        <v>30</v>
      </c>
      <c r="X287" s="687">
        <v>1000000</v>
      </c>
      <c r="Y287" s="572">
        <v>30</v>
      </c>
      <c r="Z287" s="687">
        <v>4500000</v>
      </c>
      <c r="AA287" s="572">
        <v>0</v>
      </c>
      <c r="AB287" s="687">
        <v>5000000</v>
      </c>
      <c r="AC287" s="665"/>
      <c r="AD287" s="665">
        <v>60</v>
      </c>
      <c r="AE287" s="665"/>
      <c r="AF287" s="665"/>
      <c r="AG287" s="306" t="s">
        <v>3700</v>
      </c>
      <c r="AH287" s="306"/>
      <c r="AI287" s="307" t="s">
        <v>3712</v>
      </c>
      <c r="AJ287" s="309">
        <v>42795</v>
      </c>
      <c r="AK287" s="309">
        <v>43100</v>
      </c>
      <c r="AL287" s="308"/>
      <c r="AM287" s="308"/>
      <c r="AN287" s="267" t="s">
        <v>2598</v>
      </c>
      <c r="AO287" s="507" t="s">
        <v>3707</v>
      </c>
      <c r="AP287" s="525"/>
      <c r="AQ287" s="310"/>
      <c r="AR287" s="310"/>
      <c r="AS287" s="310"/>
      <c r="AT287" s="310"/>
      <c r="AU287" s="310"/>
      <c r="AV287" s="310">
        <v>500000</v>
      </c>
      <c r="AW287" s="544">
        <f t="shared" si="128"/>
        <v>500000</v>
      </c>
      <c r="AX287" s="525"/>
      <c r="AY287" s="310"/>
      <c r="AZ287" s="310"/>
      <c r="BA287" s="310"/>
      <c r="BB287" s="310"/>
      <c r="BC287" s="310"/>
      <c r="BD287" s="310"/>
      <c r="BE287" s="544">
        <f t="shared" si="143"/>
        <v>0</v>
      </c>
      <c r="BF287" s="525"/>
      <c r="BG287" s="310"/>
      <c r="BH287" s="310"/>
      <c r="BI287" s="310"/>
      <c r="BJ287" s="310"/>
      <c r="BK287" s="310"/>
      <c r="BL287" s="310"/>
      <c r="BM287" s="544">
        <f t="shared" si="144"/>
        <v>0</v>
      </c>
      <c r="BN287" s="525"/>
      <c r="BO287" s="310"/>
      <c r="BP287" s="310"/>
      <c r="BQ287" s="310"/>
      <c r="BR287" s="310"/>
      <c r="BS287" s="310"/>
      <c r="BT287" s="310"/>
      <c r="BU287" s="544">
        <f t="shared" si="145"/>
        <v>0</v>
      </c>
      <c r="BV287" s="556"/>
      <c r="BW287" s="663">
        <f t="shared" si="133"/>
        <v>60</v>
      </c>
      <c r="BX287" s="674">
        <f t="shared" si="134"/>
        <v>1</v>
      </c>
      <c r="BY287" s="674" t="e">
        <f t="shared" si="135"/>
        <v>#DIV/0!</v>
      </c>
      <c r="BZ287" s="674">
        <f t="shared" si="136"/>
        <v>2</v>
      </c>
      <c r="CA287" s="675">
        <f t="shared" si="137"/>
        <v>0</v>
      </c>
      <c r="CB287" s="675" t="e">
        <f t="shared" si="138"/>
        <v>#DIV/0!</v>
      </c>
    </row>
    <row r="288" spans="1:80" ht="114.75" hidden="1" customHeight="1" x14ac:dyDescent="0.25">
      <c r="A288" s="298" t="s">
        <v>800</v>
      </c>
      <c r="B288" s="299" t="str">
        <f>'PLAN INDICATIVO'!B285</f>
        <v>Desarrollo Económico/Promoción del desarrollo</v>
      </c>
      <c r="C288" s="1548"/>
      <c r="D288" s="1549"/>
      <c r="E288" s="1549"/>
      <c r="F288" s="1549"/>
      <c r="G288" s="1549"/>
      <c r="H288" s="1549"/>
      <c r="I288" s="300">
        <f>'PLAN INDICATIVO'!I285</f>
        <v>0</v>
      </c>
      <c r="J288" s="300">
        <f>'PLAN INDICATIVO'!J285</f>
        <v>0</v>
      </c>
      <c r="K288" s="1428" t="str">
        <f>'PLAN INDICATIVO'!K285</f>
        <v>A.13.2.12</v>
      </c>
      <c r="L288" s="301" t="str">
        <f>'PLAN INDICATIVO'!L285</f>
        <v>8. Trabajo decente y crecimiento económico</v>
      </c>
      <c r="M288" s="301" t="str">
        <f>'PLAN INDICATIVO'!M285</f>
        <v>Secretaría de Educación, Cultura, deporte y Turismo</v>
      </c>
      <c r="N288" s="1425" t="str">
        <f>'PLAN INDICATIVO'!N285</f>
        <v>YIMI FERNANDO LOSADA PAYA</v>
      </c>
      <c r="O288" s="1425" t="str">
        <f>'PLAN INDICATIVO'!O285</f>
        <v>Mantenimiento</v>
      </c>
      <c r="P288" s="16" t="str">
        <f>'PLAN INDICATIVO'!P285</f>
        <v>Realizar 1 Diseño de formas tradicionales de promoción, tales como revistas, página WEB, participación en ferias y eventos, ruedas de negocios y misiones o fam trips, entre otros</v>
      </c>
      <c r="Q288" s="302" t="str">
        <f>'PLAN INDICATIVO'!Q285</f>
        <v>No. De Diseño de promoción creado</v>
      </c>
      <c r="R288" s="303">
        <f>'PLAN INDICATIVO'!R285</f>
        <v>2015</v>
      </c>
      <c r="S288" s="304">
        <v>0</v>
      </c>
      <c r="T288" s="498">
        <v>1</v>
      </c>
      <c r="U288" s="303">
        <v>0</v>
      </c>
      <c r="V288" s="687">
        <v>500000</v>
      </c>
      <c r="W288" s="572">
        <v>0.33</v>
      </c>
      <c r="X288" s="687">
        <v>1000000</v>
      </c>
      <c r="Y288" s="572">
        <v>0.33</v>
      </c>
      <c r="Z288" s="687">
        <v>500000</v>
      </c>
      <c r="AA288" s="572">
        <v>0.34</v>
      </c>
      <c r="AB288" s="687">
        <v>500000</v>
      </c>
      <c r="AC288" s="665"/>
      <c r="AD288" s="665">
        <v>0.33</v>
      </c>
      <c r="AE288" s="665"/>
      <c r="AF288" s="665"/>
      <c r="AG288" s="306" t="s">
        <v>3700</v>
      </c>
      <c r="AH288" s="306"/>
      <c r="AI288" s="307" t="s">
        <v>3713</v>
      </c>
      <c r="AJ288" s="309">
        <v>42795</v>
      </c>
      <c r="AK288" s="309">
        <v>43100</v>
      </c>
      <c r="AL288" s="308"/>
      <c r="AM288" s="308"/>
      <c r="AN288" s="267" t="s">
        <v>2598</v>
      </c>
      <c r="AO288" s="507" t="s">
        <v>3707</v>
      </c>
      <c r="AP288" s="525"/>
      <c r="AQ288" s="310"/>
      <c r="AR288" s="310"/>
      <c r="AS288" s="310"/>
      <c r="AT288" s="310"/>
      <c r="AU288" s="310"/>
      <c r="AV288" s="310">
        <v>500000</v>
      </c>
      <c r="AW288" s="544">
        <f t="shared" si="128"/>
        <v>500000</v>
      </c>
      <c r="AX288" s="525"/>
      <c r="AY288" s="310"/>
      <c r="AZ288" s="310"/>
      <c r="BA288" s="310"/>
      <c r="BB288" s="310"/>
      <c r="BC288" s="310"/>
      <c r="BD288" s="310"/>
      <c r="BE288" s="544">
        <f t="shared" si="143"/>
        <v>0</v>
      </c>
      <c r="BF288" s="525"/>
      <c r="BG288" s="310"/>
      <c r="BH288" s="310"/>
      <c r="BI288" s="310"/>
      <c r="BJ288" s="310"/>
      <c r="BK288" s="310"/>
      <c r="BL288" s="310"/>
      <c r="BM288" s="544">
        <f t="shared" si="144"/>
        <v>0</v>
      </c>
      <c r="BN288" s="525"/>
      <c r="BO288" s="310"/>
      <c r="BP288" s="310"/>
      <c r="BQ288" s="310"/>
      <c r="BR288" s="310"/>
      <c r="BS288" s="310"/>
      <c r="BT288" s="310"/>
      <c r="BU288" s="544">
        <f t="shared" si="145"/>
        <v>0</v>
      </c>
      <c r="BV288" s="556"/>
      <c r="BW288" s="663">
        <f t="shared" si="133"/>
        <v>0.33</v>
      </c>
      <c r="BX288" s="674">
        <f t="shared" si="134"/>
        <v>0.33</v>
      </c>
      <c r="BY288" s="674" t="e">
        <f t="shared" si="135"/>
        <v>#DIV/0!</v>
      </c>
      <c r="BZ288" s="674">
        <f t="shared" si="136"/>
        <v>1</v>
      </c>
      <c r="CA288" s="675">
        <f t="shared" si="137"/>
        <v>0</v>
      </c>
      <c r="CB288" s="675">
        <f t="shared" si="138"/>
        <v>0</v>
      </c>
    </row>
    <row r="289" spans="1:101" s="3" customFormat="1" ht="30" hidden="1" customHeight="1" x14ac:dyDescent="0.25">
      <c r="A289" s="295" t="s">
        <v>800</v>
      </c>
      <c r="B289" s="24" t="str">
        <f>'PLAN INDICATIVO'!B286</f>
        <v>Promoción del desarrollo</v>
      </c>
      <c r="C289" s="6"/>
      <c r="D289" s="2" t="s">
        <v>878</v>
      </c>
      <c r="E289" s="1"/>
      <c r="F289" s="1"/>
      <c r="G289" s="1"/>
      <c r="H289" s="1"/>
      <c r="I289" s="1"/>
      <c r="J289" s="1"/>
      <c r="K289" s="1"/>
      <c r="L289" s="1"/>
      <c r="M289" s="1"/>
      <c r="N289" s="17"/>
      <c r="O289" s="1"/>
      <c r="P289" s="22"/>
      <c r="Q289" s="22"/>
      <c r="R289" s="1"/>
      <c r="S289" s="261"/>
      <c r="T289" s="681"/>
      <c r="U289" s="261"/>
      <c r="V289" s="261"/>
      <c r="W289" s="261"/>
      <c r="X289" s="689">
        <f>SUM(X290:X293)</f>
        <v>1000000</v>
      </c>
      <c r="Y289" s="261"/>
      <c r="Z289" s="689">
        <f>SUM(Z292:Z293)</f>
        <v>1000000</v>
      </c>
      <c r="AA289" s="262"/>
      <c r="AB289" s="689">
        <f>SUM(AB290:AB293)</f>
        <v>500000</v>
      </c>
      <c r="AC289" s="262"/>
      <c r="AD289" s="262"/>
      <c r="AE289" s="262"/>
      <c r="AF289" s="262"/>
      <c r="AG289" s="263"/>
      <c r="AH289" s="263"/>
      <c r="AI289" s="263"/>
      <c r="AJ289" s="264">
        <f t="shared" ref="AJ289:AO289" si="146">SUM(AJ294:AJ305)</f>
        <v>342546</v>
      </c>
      <c r="AK289" s="264">
        <f t="shared" si="146"/>
        <v>344794</v>
      </c>
      <c r="AL289" s="264">
        <f t="shared" si="146"/>
        <v>0</v>
      </c>
      <c r="AM289" s="264">
        <f t="shared" si="146"/>
        <v>0</v>
      </c>
      <c r="AN289" s="264">
        <f t="shared" si="146"/>
        <v>0</v>
      </c>
      <c r="AO289" s="645">
        <f t="shared" si="146"/>
        <v>0</v>
      </c>
      <c r="AP289" s="616" t="e">
        <f>(AP290:AP293)</f>
        <v>#VALUE!</v>
      </c>
      <c r="AQ289" s="616" t="e">
        <f t="shared" ref="AQ289:AV289" si="147">(AQ290:AQ293)</f>
        <v>#VALUE!</v>
      </c>
      <c r="AR289" s="616" t="e">
        <f t="shared" si="147"/>
        <v>#VALUE!</v>
      </c>
      <c r="AS289" s="616" t="e">
        <f t="shared" si="147"/>
        <v>#VALUE!</v>
      </c>
      <c r="AT289" s="616" t="e">
        <f t="shared" si="147"/>
        <v>#VALUE!</v>
      </c>
      <c r="AU289" s="616" t="e">
        <f t="shared" si="147"/>
        <v>#VALUE!</v>
      </c>
      <c r="AV289" s="616" t="e">
        <f t="shared" si="147"/>
        <v>#VALUE!</v>
      </c>
      <c r="AW289" s="617" t="e">
        <f t="shared" si="128"/>
        <v>#VALUE!</v>
      </c>
      <c r="AX289" s="616" t="e">
        <f>(AX290:AX293)</f>
        <v>#VALUE!</v>
      </c>
      <c r="AY289" s="616" t="e">
        <f t="shared" ref="AY289:BD289" si="148">(AY290:AY293)</f>
        <v>#VALUE!</v>
      </c>
      <c r="AZ289" s="616" t="e">
        <f t="shared" si="148"/>
        <v>#VALUE!</v>
      </c>
      <c r="BA289" s="616" t="e">
        <f t="shared" si="148"/>
        <v>#VALUE!</v>
      </c>
      <c r="BB289" s="616" t="e">
        <f t="shared" si="148"/>
        <v>#VALUE!</v>
      </c>
      <c r="BC289" s="616" t="e">
        <f t="shared" si="148"/>
        <v>#VALUE!</v>
      </c>
      <c r="BD289" s="616" t="e">
        <f t="shared" si="148"/>
        <v>#VALUE!</v>
      </c>
      <c r="BE289" s="617" t="e">
        <f t="shared" si="143"/>
        <v>#VALUE!</v>
      </c>
      <c r="BF289" s="616" t="e">
        <f>(BF290:BF293)</f>
        <v>#VALUE!</v>
      </c>
      <c r="BG289" s="616" t="e">
        <f t="shared" ref="BG289:BL289" si="149">(BG290:BG293)</f>
        <v>#VALUE!</v>
      </c>
      <c r="BH289" s="616" t="e">
        <f t="shared" si="149"/>
        <v>#VALUE!</v>
      </c>
      <c r="BI289" s="616" t="e">
        <f t="shared" si="149"/>
        <v>#VALUE!</v>
      </c>
      <c r="BJ289" s="616" t="e">
        <f t="shared" si="149"/>
        <v>#VALUE!</v>
      </c>
      <c r="BK289" s="616" t="e">
        <f t="shared" si="149"/>
        <v>#VALUE!</v>
      </c>
      <c r="BL289" s="616" t="e">
        <f t="shared" si="149"/>
        <v>#VALUE!</v>
      </c>
      <c r="BM289" s="617" t="e">
        <f t="shared" si="144"/>
        <v>#VALUE!</v>
      </c>
      <c r="BN289" s="616" t="e">
        <f>(BN290:BN293)</f>
        <v>#VALUE!</v>
      </c>
      <c r="BO289" s="616" t="e">
        <f t="shared" ref="BO289:BT289" si="150">(BO290:BO293)</f>
        <v>#VALUE!</v>
      </c>
      <c r="BP289" s="616" t="e">
        <f t="shared" si="150"/>
        <v>#VALUE!</v>
      </c>
      <c r="BQ289" s="616" t="e">
        <f t="shared" si="150"/>
        <v>#VALUE!</v>
      </c>
      <c r="BR289" s="616" t="e">
        <f t="shared" si="150"/>
        <v>#VALUE!</v>
      </c>
      <c r="BS289" s="616" t="e">
        <f t="shared" si="150"/>
        <v>#VALUE!</v>
      </c>
      <c r="BT289" s="616" t="e">
        <f t="shared" si="150"/>
        <v>#VALUE!</v>
      </c>
      <c r="BU289" s="617" t="e">
        <f t="shared" si="145"/>
        <v>#VALUE!</v>
      </c>
      <c r="BV289" s="600"/>
      <c r="BW289" s="663">
        <f t="shared" si="133"/>
        <v>0</v>
      </c>
      <c r="BX289" s="674" t="e">
        <f t="shared" si="134"/>
        <v>#DIV/0!</v>
      </c>
      <c r="BY289" s="674" t="e">
        <f t="shared" si="135"/>
        <v>#DIV/0!</v>
      </c>
      <c r="BZ289" s="674" t="e">
        <f t="shared" si="136"/>
        <v>#DIV/0!</v>
      </c>
      <c r="CA289" s="675" t="e">
        <f t="shared" si="137"/>
        <v>#DIV/0!</v>
      </c>
      <c r="CB289" s="675" t="e">
        <f t="shared" si="138"/>
        <v>#DIV/0!</v>
      </c>
      <c r="CC289"/>
      <c r="CD289"/>
      <c r="CE289"/>
      <c r="CF289"/>
      <c r="CG289"/>
      <c r="CH289"/>
      <c r="CI289"/>
      <c r="CJ289" s="539">
        <f>SUM(CJ294:CJ305)</f>
        <v>0</v>
      </c>
      <c r="CK289" s="539">
        <f>SUM(CK294:CK305)</f>
        <v>0</v>
      </c>
      <c r="CL289" s="539">
        <f>SUM(CL294:CL305)</f>
        <v>0</v>
      </c>
      <c r="CM289" s="539">
        <f>SUM(CM294:CM305)</f>
        <v>0</v>
      </c>
      <c r="CN289" s="539">
        <f>SUM(CG289:CM289)</f>
        <v>0</v>
      </c>
      <c r="CO289" s="539" t="e">
        <f>+CG289+BY289+AR289+AJ289</f>
        <v>#DIV/0!</v>
      </c>
      <c r="CP289" s="522" t="e">
        <f>+CH289+BZ289+AS289+AK289</f>
        <v>#DIV/0!</v>
      </c>
      <c r="CQ289" s="34" t="e">
        <f>+CI289+CA289+AT289+AL289</f>
        <v>#DIV/0!</v>
      </c>
      <c r="CR289" s="34" t="e">
        <f>+CJ289+CB289+AU289+AM289</f>
        <v>#DIV/0!</v>
      </c>
      <c r="CS289" s="34" t="e">
        <f>+CK289+CC289+AV289+AN289</f>
        <v>#VALUE!</v>
      </c>
      <c r="CT289" s="34">
        <f>+AO289+CD289+CL289</f>
        <v>0</v>
      </c>
      <c r="CU289" s="34" t="e">
        <f>+CM289+CE289+AW289+AP289</f>
        <v>#VALUE!</v>
      </c>
      <c r="CV289" s="34" t="e">
        <f>+CN289+CF289+BV289+AQ289</f>
        <v>#VALUE!</v>
      </c>
      <c r="CW289" s="40"/>
    </row>
    <row r="290" spans="1:101" s="3" customFormat="1" ht="69" hidden="1" customHeight="1" x14ac:dyDescent="0.2">
      <c r="A290" s="373" t="s">
        <v>800</v>
      </c>
      <c r="B290" s="299" t="str">
        <f>'PLAN INDICATIVO'!B287</f>
        <v>Desarrollo Económico/Promoción del desarrollo</v>
      </c>
      <c r="C290" s="1546" t="s">
        <v>879</v>
      </c>
      <c r="D290" s="1550" t="s">
        <v>880</v>
      </c>
      <c r="E290" s="1550" t="s">
        <v>881</v>
      </c>
      <c r="F290" s="1550">
        <v>2015</v>
      </c>
      <c r="G290" s="1550">
        <v>0</v>
      </c>
      <c r="H290" s="1550">
        <v>1</v>
      </c>
      <c r="I290" s="300">
        <f>'PLAN INDICATIVO'!I287</f>
        <v>0</v>
      </c>
      <c r="J290" s="300">
        <f>'PLAN INDICATIVO'!J287</f>
        <v>0</v>
      </c>
      <c r="K290" s="1428" t="str">
        <f>'PLAN INDICATIVO'!K287</f>
        <v>A.13.3.1</v>
      </c>
      <c r="L290" s="301" t="str">
        <f>'PLAN INDICATIVO'!L287</f>
        <v>9. Industria, innovación e infraestructura</v>
      </c>
      <c r="M290" s="301" t="s">
        <v>497</v>
      </c>
      <c r="N290" s="1425" t="s">
        <v>2791</v>
      </c>
      <c r="O290" s="1425" t="str">
        <f>'PLAN INDICATIVO'!O287</f>
        <v>Incremento</v>
      </c>
      <c r="P290" s="16" t="str">
        <f>'PLAN INDICATIVO'!P287</f>
        <v>Apoyar para la creación de un centro de investigación o desarrollo tecnológico</v>
      </c>
      <c r="Q290" s="302" t="str">
        <f>'PLAN INDICATIVO'!Q287</f>
        <v>No. De apoyos gestionados en el cuatrenio.</v>
      </c>
      <c r="R290" s="303">
        <f>'PLAN INDICATIVO'!R287</f>
        <v>2015</v>
      </c>
      <c r="S290" s="304">
        <v>0</v>
      </c>
      <c r="T290" s="498">
        <v>1</v>
      </c>
      <c r="U290" s="855">
        <v>0</v>
      </c>
      <c r="V290" s="687"/>
      <c r="W290" s="303">
        <v>0.5</v>
      </c>
      <c r="X290" s="687"/>
      <c r="Y290" s="303">
        <v>1</v>
      </c>
      <c r="Z290" s="304"/>
      <c r="AA290" s="303">
        <v>0</v>
      </c>
      <c r="AB290" s="305"/>
      <c r="AC290" s="665">
        <v>0.5</v>
      </c>
      <c r="AD290" s="665">
        <v>0.5</v>
      </c>
      <c r="AE290" s="665"/>
      <c r="AF290" s="665"/>
      <c r="AG290" s="306" t="s">
        <v>3700</v>
      </c>
      <c r="AH290" s="307"/>
      <c r="AI290" s="310" t="s">
        <v>3714</v>
      </c>
      <c r="AJ290" s="310"/>
      <c r="AK290" s="374"/>
      <c r="AL290" s="374"/>
      <c r="AM290" s="374"/>
      <c r="AN290" s="267" t="s">
        <v>2598</v>
      </c>
      <c r="AO290" s="509"/>
      <c r="AP290" s="524"/>
      <c r="AQ290" s="310"/>
      <c r="AR290" s="374"/>
      <c r="AS290" s="374"/>
      <c r="AT290" s="374"/>
      <c r="AU290" s="374"/>
      <c r="AV290" s="374"/>
      <c r="AW290" s="544">
        <f t="shared" si="128"/>
        <v>0</v>
      </c>
      <c r="AX290" s="524"/>
      <c r="AY290" s="374"/>
      <c r="AZ290" s="374"/>
      <c r="BA290" s="374"/>
      <c r="BB290" s="374"/>
      <c r="BC290" s="374"/>
      <c r="BD290" s="374"/>
      <c r="BE290" s="544">
        <f t="shared" si="143"/>
        <v>0</v>
      </c>
      <c r="BF290" s="524"/>
      <c r="BG290" s="374"/>
      <c r="BH290" s="374"/>
      <c r="BI290" s="374"/>
      <c r="BJ290" s="374"/>
      <c r="BK290" s="374"/>
      <c r="BL290" s="374"/>
      <c r="BM290" s="544">
        <f t="shared" si="144"/>
        <v>0</v>
      </c>
      <c r="BN290" s="524"/>
      <c r="BO290" s="374"/>
      <c r="BP290" s="374"/>
      <c r="BQ290" s="374"/>
      <c r="BR290" s="374"/>
      <c r="BS290" s="374"/>
      <c r="BT290" s="374"/>
      <c r="BU290" s="544">
        <f t="shared" si="145"/>
        <v>0</v>
      </c>
      <c r="BV290" s="600"/>
      <c r="BW290" s="663">
        <f t="shared" si="133"/>
        <v>1</v>
      </c>
      <c r="BX290" s="674">
        <f t="shared" si="134"/>
        <v>1</v>
      </c>
      <c r="BY290" s="674" t="e">
        <f t="shared" si="135"/>
        <v>#DIV/0!</v>
      </c>
      <c r="BZ290" s="674">
        <f t="shared" si="136"/>
        <v>1</v>
      </c>
      <c r="CA290" s="675">
        <f t="shared" si="137"/>
        <v>0</v>
      </c>
      <c r="CB290" s="675" t="e">
        <f t="shared" si="138"/>
        <v>#DIV/0!</v>
      </c>
      <c r="CC290" s="540"/>
      <c r="CD290" s="540"/>
      <c r="CE290" s="540"/>
      <c r="CF290" s="540"/>
      <c r="CG290" s="540"/>
      <c r="CH290" s="540"/>
      <c r="CI290" s="540"/>
      <c r="CJ290" s="540"/>
      <c r="CK290" s="540"/>
      <c r="CL290" s="540"/>
      <c r="CM290" s="540"/>
      <c r="CN290" s="540"/>
      <c r="CO290" s="540"/>
      <c r="CP290" s="523"/>
      <c r="CQ290" s="32"/>
      <c r="CR290" s="32"/>
      <c r="CS290" s="32"/>
      <c r="CT290" s="32"/>
      <c r="CU290" s="32"/>
      <c r="CV290" s="32"/>
      <c r="CW290" s="40"/>
    </row>
    <row r="291" spans="1:101" s="3" customFormat="1" ht="72" hidden="1" customHeight="1" x14ac:dyDescent="0.2">
      <c r="A291" s="373" t="s">
        <v>800</v>
      </c>
      <c r="B291" s="299" t="str">
        <f>'PLAN INDICATIVO'!B288</f>
        <v>Desarrollo Económico/Promoción del desarrollo</v>
      </c>
      <c r="C291" s="1547"/>
      <c r="D291" s="1551"/>
      <c r="E291" s="1551"/>
      <c r="F291" s="1551"/>
      <c r="G291" s="1551"/>
      <c r="H291" s="1551"/>
      <c r="I291" s="300">
        <f>'PLAN INDICATIVO'!I288</f>
        <v>0</v>
      </c>
      <c r="J291" s="300">
        <f>'PLAN INDICATIVO'!J288</f>
        <v>0</v>
      </c>
      <c r="K291" s="1428" t="str">
        <f>'PLAN INDICATIVO'!K288</f>
        <v>A.13.3.2</v>
      </c>
      <c r="L291" s="301" t="str">
        <f>'PLAN INDICATIVO'!L288</f>
        <v>9. Industria, innovación e infraestructura</v>
      </c>
      <c r="M291" s="301" t="s">
        <v>497</v>
      </c>
      <c r="N291" s="1425" t="s">
        <v>2791</v>
      </c>
      <c r="O291" s="1425" t="str">
        <f>'PLAN INDICATIVO'!O288</f>
        <v>Incremento</v>
      </c>
      <c r="P291" s="16" t="str">
        <f>'PLAN INDICATIVO'!P288</f>
        <v>Apoyo para la creación de grupos de investigación categorizados por Colciencias.</v>
      </c>
      <c r="Q291" s="302" t="str">
        <f>'PLAN INDICATIVO'!Q288</f>
        <v>No. De apoyos gestionados en el cuatrienio.</v>
      </c>
      <c r="R291" s="303">
        <f>'PLAN INDICATIVO'!R288</f>
        <v>2015</v>
      </c>
      <c r="S291" s="304">
        <v>0</v>
      </c>
      <c r="T291" s="498">
        <v>1</v>
      </c>
      <c r="U291" s="304">
        <v>1</v>
      </c>
      <c r="V291" s="687">
        <v>1000000</v>
      </c>
      <c r="W291" s="303">
        <v>1</v>
      </c>
      <c r="X291" s="687">
        <v>500000</v>
      </c>
      <c r="Y291" s="303">
        <v>0</v>
      </c>
      <c r="Z291" s="304"/>
      <c r="AA291" s="303">
        <v>0</v>
      </c>
      <c r="AB291" s="305"/>
      <c r="AC291" s="665">
        <v>0</v>
      </c>
      <c r="AD291" s="665">
        <v>1</v>
      </c>
      <c r="AE291" s="665"/>
      <c r="AF291" s="665"/>
      <c r="AG291" s="306" t="s">
        <v>3700</v>
      </c>
      <c r="AH291" s="307"/>
      <c r="AI291" s="307" t="s">
        <v>3715</v>
      </c>
      <c r="AJ291" s="374">
        <v>42767</v>
      </c>
      <c r="AK291" s="374" t="s">
        <v>3716</v>
      </c>
      <c r="AL291" s="374"/>
      <c r="AM291" s="374"/>
      <c r="AN291" s="267" t="s">
        <v>2598</v>
      </c>
      <c r="AO291" s="514"/>
      <c r="AP291" s="524"/>
      <c r="AQ291" s="374"/>
      <c r="AR291" s="374"/>
      <c r="AS291" s="374"/>
      <c r="AT291" s="374"/>
      <c r="AU291" s="374"/>
      <c r="AV291" s="374"/>
      <c r="AW291" s="544">
        <f t="shared" si="128"/>
        <v>0</v>
      </c>
      <c r="AX291" s="524"/>
      <c r="AY291" s="374"/>
      <c r="AZ291" s="374"/>
      <c r="BA291" s="374"/>
      <c r="BB291" s="374"/>
      <c r="BC291" s="374"/>
      <c r="BD291" s="374"/>
      <c r="BE291" s="544">
        <f t="shared" si="143"/>
        <v>0</v>
      </c>
      <c r="BF291" s="524"/>
      <c r="BG291" s="374"/>
      <c r="BH291" s="374"/>
      <c r="BI291" s="374"/>
      <c r="BJ291" s="374"/>
      <c r="BK291" s="374"/>
      <c r="BL291" s="374"/>
      <c r="BM291" s="544">
        <f t="shared" si="144"/>
        <v>0</v>
      </c>
      <c r="BN291" s="524"/>
      <c r="BO291" s="374"/>
      <c r="BP291" s="374"/>
      <c r="BQ291" s="374"/>
      <c r="BR291" s="374"/>
      <c r="BS291" s="374"/>
      <c r="BT291" s="374"/>
      <c r="BU291" s="544">
        <f t="shared" si="145"/>
        <v>0</v>
      </c>
      <c r="BV291" s="600"/>
      <c r="BW291" s="663">
        <f t="shared" si="133"/>
        <v>1</v>
      </c>
      <c r="BX291" s="674">
        <f t="shared" si="134"/>
        <v>1</v>
      </c>
      <c r="BY291" s="674">
        <f t="shared" si="135"/>
        <v>0</v>
      </c>
      <c r="BZ291" s="674">
        <f t="shared" si="136"/>
        <v>1</v>
      </c>
      <c r="CA291" s="675" t="e">
        <f t="shared" si="137"/>
        <v>#DIV/0!</v>
      </c>
      <c r="CB291" s="675" t="e">
        <f t="shared" si="138"/>
        <v>#DIV/0!</v>
      </c>
      <c r="CC291" s="540"/>
      <c r="CD291" s="540"/>
      <c r="CE291" s="540"/>
      <c r="CF291" s="540"/>
      <c r="CG291" s="540"/>
      <c r="CH291" s="540"/>
      <c r="CI291" s="540"/>
      <c r="CJ291" s="540"/>
      <c r="CK291" s="540"/>
      <c r="CL291" s="540"/>
      <c r="CM291" s="540"/>
      <c r="CN291" s="540"/>
      <c r="CO291" s="540"/>
      <c r="CP291" s="523"/>
      <c r="CQ291" s="32"/>
      <c r="CR291" s="32"/>
      <c r="CS291" s="32"/>
      <c r="CT291" s="32"/>
      <c r="CU291" s="32"/>
      <c r="CV291" s="32"/>
      <c r="CW291" s="40"/>
    </row>
    <row r="292" spans="1:101" s="3" customFormat="1" ht="52.5" hidden="1" customHeight="1" x14ac:dyDescent="0.2">
      <c r="A292" s="298" t="s">
        <v>800</v>
      </c>
      <c r="B292" s="299" t="str">
        <f>'PLAN INDICATIVO'!B289</f>
        <v>Desarrollo Económico/Promoción del desarrollo</v>
      </c>
      <c r="C292" s="1547"/>
      <c r="D292" s="1551"/>
      <c r="E292" s="1551"/>
      <c r="F292" s="1551"/>
      <c r="G292" s="1551"/>
      <c r="H292" s="1551"/>
      <c r="I292" s="300">
        <f>'PLAN INDICATIVO'!I289</f>
        <v>0</v>
      </c>
      <c r="J292" s="300">
        <f>'PLAN INDICATIVO'!J289</f>
        <v>0</v>
      </c>
      <c r="K292" s="1428" t="str">
        <f>'PLAN INDICATIVO'!K289</f>
        <v>A.13.3.3</v>
      </c>
      <c r="L292" s="301" t="str">
        <f>'PLAN INDICATIVO'!L289</f>
        <v>9. Industria, innovación e infraestructura</v>
      </c>
      <c r="M292" s="301" t="s">
        <v>497</v>
      </c>
      <c r="N292" s="1425" t="s">
        <v>2791</v>
      </c>
      <c r="O292" s="1425" t="str">
        <f>'PLAN INDICATIVO'!O289</f>
        <v>Incremento</v>
      </c>
      <c r="P292" s="16" t="str">
        <f>'PLAN INDICATIVO'!P289</f>
        <v>Implementar 1 punto vive digital para mejorar acceso a competitividad local</v>
      </c>
      <c r="Q292" s="302" t="str">
        <f>'PLAN INDICATIVO'!Q289</f>
        <v>Punto vive digital implementado</v>
      </c>
      <c r="R292" s="303">
        <f>'PLAN INDICATIVO'!R289</f>
        <v>2015</v>
      </c>
      <c r="S292" s="304">
        <v>0</v>
      </c>
      <c r="T292" s="498">
        <v>1</v>
      </c>
      <c r="U292" s="855">
        <v>0</v>
      </c>
      <c r="V292" s="687"/>
      <c r="W292" s="303">
        <v>1</v>
      </c>
      <c r="X292" s="687"/>
      <c r="Y292" s="303">
        <v>1</v>
      </c>
      <c r="Z292" s="687">
        <v>500000</v>
      </c>
      <c r="AA292" s="303">
        <v>0</v>
      </c>
      <c r="AB292" s="305"/>
      <c r="AC292" s="665">
        <v>4</v>
      </c>
      <c r="AD292" s="665">
        <v>1</v>
      </c>
      <c r="AE292" s="665"/>
      <c r="AF292" s="665"/>
      <c r="AG292" s="306" t="s">
        <v>3700</v>
      </c>
      <c r="AH292" s="306"/>
      <c r="AI292" s="307" t="s">
        <v>3717</v>
      </c>
      <c r="AJ292" s="310"/>
      <c r="AK292" s="310"/>
      <c r="AL292" s="310"/>
      <c r="AM292" s="310"/>
      <c r="AN292" s="267" t="s">
        <v>2598</v>
      </c>
      <c r="AO292" s="509"/>
      <c r="AP292" s="525"/>
      <c r="AQ292" s="310"/>
      <c r="AR292" s="310"/>
      <c r="AS292" s="310"/>
      <c r="AT292" s="310"/>
      <c r="AU292" s="310"/>
      <c r="AV292" s="310"/>
      <c r="AW292" s="544">
        <f t="shared" si="128"/>
        <v>0</v>
      </c>
      <c r="AX292" s="525"/>
      <c r="AY292" s="310"/>
      <c r="AZ292" s="310"/>
      <c r="BA292" s="310"/>
      <c r="BB292" s="310"/>
      <c r="BC292" s="310"/>
      <c r="BD292" s="310"/>
      <c r="BE292" s="544">
        <f t="shared" si="143"/>
        <v>0</v>
      </c>
      <c r="BF292" s="525"/>
      <c r="BG292" s="310"/>
      <c r="BH292" s="310"/>
      <c r="BI292" s="310"/>
      <c r="BJ292" s="310"/>
      <c r="BK292" s="310"/>
      <c r="BL292" s="310"/>
      <c r="BM292" s="544">
        <f t="shared" si="144"/>
        <v>0</v>
      </c>
      <c r="BN292" s="525"/>
      <c r="BO292" s="310"/>
      <c r="BP292" s="310"/>
      <c r="BQ292" s="310"/>
      <c r="BR292" s="310"/>
      <c r="BS292" s="310"/>
      <c r="BT292" s="310"/>
      <c r="BU292" s="544">
        <f t="shared" si="145"/>
        <v>0</v>
      </c>
      <c r="BV292" s="648">
        <f>SUM(AR292:AW292)</f>
        <v>0</v>
      </c>
      <c r="BW292" s="663">
        <f t="shared" si="133"/>
        <v>5</v>
      </c>
      <c r="BX292" s="674">
        <f t="shared" si="134"/>
        <v>5</v>
      </c>
      <c r="BY292" s="674" t="e">
        <f t="shared" si="135"/>
        <v>#DIV/0!</v>
      </c>
      <c r="BZ292" s="674">
        <f t="shared" si="136"/>
        <v>1</v>
      </c>
      <c r="CA292" s="675">
        <f t="shared" si="137"/>
        <v>0</v>
      </c>
      <c r="CB292" s="675" t="e">
        <f t="shared" si="138"/>
        <v>#DIV/0!</v>
      </c>
      <c r="CC292" s="75"/>
      <c r="CD292" s="75"/>
      <c r="CE292" s="75"/>
      <c r="CF292" s="75"/>
      <c r="CG292" s="75"/>
      <c r="CH292" s="75"/>
      <c r="CI292" s="75"/>
      <c r="CJ292" s="75"/>
      <c r="CK292" s="75"/>
      <c r="CL292" s="75"/>
      <c r="CM292" s="75"/>
      <c r="CN292" s="75">
        <f>SUM(CG292:CM292)</f>
        <v>0</v>
      </c>
      <c r="CO292" s="75" t="e">
        <f>+CG292+BY292+AR292+AJ292</f>
        <v>#DIV/0!</v>
      </c>
      <c r="CP292" s="521">
        <f>+CH292+BZ292+AS292+AK292</f>
        <v>1</v>
      </c>
      <c r="CQ292" s="42">
        <f>+CI292+CA292+AT292+AL292</f>
        <v>0</v>
      </c>
      <c r="CR292" s="42" t="e">
        <f>+CJ292+CB292+AU292+AM292</f>
        <v>#DIV/0!</v>
      </c>
      <c r="CS292" s="42" t="e">
        <f>+CK292+CC292+AV292+AN292</f>
        <v>#VALUE!</v>
      </c>
      <c r="CT292" s="42">
        <f>+AO292+CD292+CL292</f>
        <v>0</v>
      </c>
      <c r="CU292" s="42">
        <f>+CM292+CE292+AW292+AP292</f>
        <v>0</v>
      </c>
      <c r="CV292" s="42">
        <f>+CN292+CF292+BV292+AQ292</f>
        <v>0</v>
      </c>
      <c r="CW292" s="40"/>
    </row>
    <row r="293" spans="1:101" s="3" customFormat="1" ht="87.75" hidden="1" customHeight="1" x14ac:dyDescent="0.2">
      <c r="A293" s="373" t="s">
        <v>800</v>
      </c>
      <c r="B293" s="299" t="str">
        <f>'PLAN INDICATIVO'!B290</f>
        <v>Desarrollo Económico/Promoción del desarrollo</v>
      </c>
      <c r="C293" s="1547"/>
      <c r="D293" s="1552"/>
      <c r="E293" s="1552"/>
      <c r="F293" s="1552"/>
      <c r="G293" s="1552"/>
      <c r="H293" s="1552"/>
      <c r="I293" s="300">
        <f>'PLAN INDICATIVO'!I290</f>
        <v>0</v>
      </c>
      <c r="J293" s="300">
        <f>'PLAN INDICATIVO'!J290</f>
        <v>0</v>
      </c>
      <c r="K293" s="1428" t="str">
        <f>'PLAN INDICATIVO'!K290</f>
        <v>A.13.3.4</v>
      </c>
      <c r="L293" s="301" t="str">
        <f>'PLAN INDICATIVO'!L290</f>
        <v>9. Industria, innovación e infraestructura</v>
      </c>
      <c r="M293" s="301" t="s">
        <v>497</v>
      </c>
      <c r="N293" s="1425" t="s">
        <v>2791</v>
      </c>
      <c r="O293" s="1425" t="str">
        <f>'PLAN INDICATIVO'!O290</f>
        <v>Incremento</v>
      </c>
      <c r="P293" s="820" t="str">
        <f>'PLAN INDICATIVO'!P290</f>
        <v>Formular 4 proyectos de ciencia, tecnología e imnovacion durante el cuatrienio, ante entidades del orden departamental, nacional e internacional</v>
      </c>
      <c r="Q293" s="302" t="str">
        <f>'PLAN INDICATIVO'!Q290</f>
        <v>No. De proyectos apoyados y/o gestionados en el cuatrenio.</v>
      </c>
      <c r="R293" s="303">
        <f>'PLAN INDICATIVO'!R290</f>
        <v>2015</v>
      </c>
      <c r="S293" s="304">
        <v>0</v>
      </c>
      <c r="T293" s="498">
        <v>4</v>
      </c>
      <c r="U293" s="304">
        <v>1</v>
      </c>
      <c r="V293" s="687">
        <v>1000000</v>
      </c>
      <c r="W293" s="303">
        <v>1</v>
      </c>
      <c r="X293" s="687">
        <v>500000</v>
      </c>
      <c r="Y293" s="303">
        <v>1</v>
      </c>
      <c r="Z293" s="687">
        <v>500000</v>
      </c>
      <c r="AA293" s="303">
        <v>2</v>
      </c>
      <c r="AB293" s="687">
        <v>500000</v>
      </c>
      <c r="AC293" s="665">
        <v>0</v>
      </c>
      <c r="AD293" s="665">
        <v>0</v>
      </c>
      <c r="AE293" s="665"/>
      <c r="AF293" s="665"/>
      <c r="AG293" s="306" t="s">
        <v>3700</v>
      </c>
      <c r="AH293" s="307"/>
      <c r="AI293" s="307"/>
      <c r="AJ293" s="374"/>
      <c r="AK293" s="374"/>
      <c r="AL293" s="374"/>
      <c r="AM293" s="374"/>
      <c r="AN293" s="267" t="s">
        <v>2600</v>
      </c>
      <c r="AO293" s="514"/>
      <c r="AP293" s="524"/>
      <c r="AQ293" s="374"/>
      <c r="AR293" s="374"/>
      <c r="AS293" s="374"/>
      <c r="AT293" s="374"/>
      <c r="AU293" s="374"/>
      <c r="AV293" s="374"/>
      <c r="AW293" s="544">
        <f t="shared" si="128"/>
        <v>0</v>
      </c>
      <c r="AX293" s="524"/>
      <c r="AY293" s="374"/>
      <c r="AZ293" s="374"/>
      <c r="BA293" s="374"/>
      <c r="BB293" s="374"/>
      <c r="BC293" s="374"/>
      <c r="BD293" s="374"/>
      <c r="BE293" s="544">
        <f t="shared" si="143"/>
        <v>0</v>
      </c>
      <c r="BF293" s="524"/>
      <c r="BG293" s="374"/>
      <c r="BH293" s="374"/>
      <c r="BI293" s="374"/>
      <c r="BJ293" s="374"/>
      <c r="BK293" s="374"/>
      <c r="BL293" s="374"/>
      <c r="BM293" s="544">
        <f t="shared" si="144"/>
        <v>0</v>
      </c>
      <c r="BN293" s="524"/>
      <c r="BO293" s="374"/>
      <c r="BP293" s="374"/>
      <c r="BQ293" s="374"/>
      <c r="BR293" s="374"/>
      <c r="BS293" s="374"/>
      <c r="BT293" s="374"/>
      <c r="BU293" s="544">
        <f t="shared" si="145"/>
        <v>0</v>
      </c>
      <c r="BV293" s="600"/>
      <c r="BW293" s="663">
        <f t="shared" si="133"/>
        <v>0</v>
      </c>
      <c r="BX293" s="674">
        <f t="shared" si="134"/>
        <v>0</v>
      </c>
      <c r="BY293" s="674">
        <f t="shared" si="135"/>
        <v>0</v>
      </c>
      <c r="BZ293" s="674">
        <f t="shared" si="136"/>
        <v>0</v>
      </c>
      <c r="CA293" s="675">
        <f t="shared" si="137"/>
        <v>0</v>
      </c>
      <c r="CB293" s="675">
        <f t="shared" si="138"/>
        <v>0</v>
      </c>
      <c r="CC293" s="540"/>
      <c r="CD293" s="540"/>
      <c r="CE293" s="540"/>
      <c r="CF293" s="540"/>
      <c r="CG293" s="540"/>
      <c r="CH293" s="540"/>
      <c r="CI293" s="540"/>
      <c r="CJ293" s="540"/>
      <c r="CK293" s="540"/>
      <c r="CL293" s="540"/>
      <c r="CM293" s="540"/>
      <c r="CN293" s="540"/>
      <c r="CO293" s="540"/>
      <c r="CP293" s="523"/>
      <c r="CQ293" s="32"/>
      <c r="CR293" s="32"/>
      <c r="CS293" s="32"/>
      <c r="CT293" s="32"/>
      <c r="CU293" s="32"/>
      <c r="CV293" s="32"/>
      <c r="CW293" s="40"/>
    </row>
    <row r="294" spans="1:101" ht="5.25" hidden="1" customHeight="1" x14ac:dyDescent="0.25">
      <c r="A294" s="420"/>
      <c r="B294" s="297" t="e">
        <f>'PLAN INDICATIVO'!#REF!</f>
        <v>#REF!</v>
      </c>
      <c r="C294" s="297"/>
      <c r="D294" s="291"/>
      <c r="E294" s="291"/>
      <c r="F294" s="291"/>
      <c r="G294" s="291"/>
      <c r="H294" s="291"/>
      <c r="I294" s="291"/>
      <c r="J294" s="291"/>
      <c r="K294" s="291"/>
      <c r="L294" s="291"/>
      <c r="M294" s="291"/>
      <c r="N294" s="291"/>
      <c r="O294" s="291"/>
      <c r="P294" s="408"/>
      <c r="Q294" s="408"/>
      <c r="R294" s="291"/>
      <c r="S294" s="409"/>
      <c r="T294" s="677"/>
      <c r="U294" s="409">
        <v>0</v>
      </c>
      <c r="V294" s="409"/>
      <c r="W294" s="409"/>
      <c r="X294" s="409"/>
      <c r="Y294" s="409"/>
      <c r="Z294" s="409"/>
      <c r="AA294" s="410"/>
      <c r="AB294" s="410"/>
      <c r="AC294" s="410"/>
      <c r="AD294" s="410"/>
      <c r="AE294" s="410"/>
      <c r="AF294" s="410"/>
      <c r="AG294" s="411"/>
      <c r="AH294" s="411"/>
      <c r="AI294" s="411"/>
      <c r="AJ294" s="410"/>
      <c r="AK294" s="410"/>
      <c r="AL294" s="410"/>
      <c r="AM294" s="410"/>
      <c r="AN294" s="410"/>
      <c r="AO294" s="507"/>
      <c r="AP294" s="525"/>
      <c r="AQ294" s="310"/>
      <c r="AR294" s="310"/>
      <c r="AS294" s="310"/>
      <c r="AT294" s="310"/>
      <c r="AU294" s="310"/>
      <c r="AV294" s="310"/>
      <c r="AW294" s="544">
        <f t="shared" si="128"/>
        <v>0</v>
      </c>
      <c r="AX294" s="525"/>
      <c r="AY294" s="310"/>
      <c r="AZ294" s="310"/>
      <c r="BA294" s="310"/>
      <c r="BB294" s="310"/>
      <c r="BC294" s="310"/>
      <c r="BD294" s="310"/>
      <c r="BE294" s="544">
        <f t="shared" si="143"/>
        <v>0</v>
      </c>
      <c r="BF294" s="525"/>
      <c r="BG294" s="310"/>
      <c r="BH294" s="310"/>
      <c r="BI294" s="310"/>
      <c r="BJ294" s="310"/>
      <c r="BK294" s="310"/>
      <c r="BL294" s="310"/>
      <c r="BM294" s="544">
        <f t="shared" si="144"/>
        <v>0</v>
      </c>
      <c r="BN294" s="525"/>
      <c r="BO294" s="310"/>
      <c r="BP294" s="310"/>
      <c r="BQ294" s="310"/>
      <c r="BR294" s="310"/>
      <c r="BS294" s="310"/>
      <c r="BT294" s="310"/>
      <c r="BU294" s="544">
        <f t="shared" si="145"/>
        <v>0</v>
      </c>
      <c r="BV294" s="556"/>
      <c r="BW294" s="663">
        <f t="shared" si="133"/>
        <v>0</v>
      </c>
      <c r="BX294" s="674" t="e">
        <f t="shared" si="134"/>
        <v>#DIV/0!</v>
      </c>
      <c r="BY294" s="674" t="e">
        <f t="shared" si="135"/>
        <v>#DIV/0!</v>
      </c>
      <c r="BZ294" s="674" t="e">
        <f t="shared" si="136"/>
        <v>#DIV/0!</v>
      </c>
      <c r="CA294" s="675" t="e">
        <f t="shared" si="137"/>
        <v>#DIV/0!</v>
      </c>
      <c r="CB294" s="675" t="e">
        <f t="shared" si="138"/>
        <v>#DIV/0!</v>
      </c>
    </row>
    <row r="295" spans="1:101" ht="38.25" hidden="1" customHeight="1" x14ac:dyDescent="0.25">
      <c r="A295" s="423"/>
      <c r="B295" s="293" t="str">
        <f>'PLAN INDICATIVO'!B291</f>
        <v>Agropecuario</v>
      </c>
      <c r="C295" s="1629" t="s">
        <v>2876</v>
      </c>
      <c r="D295" s="1630"/>
      <c r="E295" s="1630"/>
      <c r="F295" s="1630"/>
      <c r="G295" s="1630"/>
      <c r="H295" s="1630"/>
      <c r="I295" s="1630"/>
      <c r="J295" s="1630"/>
      <c r="K295" s="1630"/>
      <c r="L295" s="1630"/>
      <c r="M295" s="1630"/>
      <c r="N295" s="1630"/>
      <c r="O295" s="1630"/>
      <c r="P295" s="1630"/>
      <c r="Q295" s="1630"/>
      <c r="R295" s="1630"/>
      <c r="S295" s="1630"/>
      <c r="T295" s="1630"/>
      <c r="U295" s="1630"/>
      <c r="V295" s="1630"/>
      <c r="W295" s="1630"/>
      <c r="X295" s="1630"/>
      <c r="Y295" s="1630"/>
      <c r="Z295" s="1630"/>
      <c r="AA295" s="1630"/>
      <c r="AB295" s="1630"/>
      <c r="AC295" s="1630"/>
      <c r="AD295" s="1630"/>
      <c r="AE295" s="1630"/>
      <c r="AF295" s="1630"/>
      <c r="AG295" s="1630"/>
      <c r="AH295" s="1630"/>
      <c r="AI295" s="1630"/>
      <c r="AJ295" s="1630"/>
      <c r="AK295" s="1630"/>
      <c r="AL295" s="1630"/>
      <c r="AM295" s="1631"/>
      <c r="AN295" s="294"/>
      <c r="AO295" s="506"/>
      <c r="AP295" s="524"/>
      <c r="AQ295" s="374"/>
      <c r="AR295" s="374"/>
      <c r="AS295" s="374"/>
      <c r="AT295" s="374"/>
      <c r="AU295" s="374"/>
      <c r="AV295" s="374"/>
      <c r="AW295" s="544">
        <f t="shared" si="128"/>
        <v>0</v>
      </c>
      <c r="AX295" s="524"/>
      <c r="AY295" s="374"/>
      <c r="AZ295" s="374"/>
      <c r="BA295" s="374"/>
      <c r="BB295" s="374"/>
      <c r="BC295" s="374"/>
      <c r="BD295" s="374"/>
      <c r="BE295" s="544">
        <f t="shared" si="143"/>
        <v>0</v>
      </c>
      <c r="BF295" s="524"/>
      <c r="BG295" s="374"/>
      <c r="BH295" s="374"/>
      <c r="BI295" s="374"/>
      <c r="BJ295" s="374"/>
      <c r="BK295" s="374"/>
      <c r="BL295" s="374"/>
      <c r="BM295" s="544">
        <f t="shared" si="144"/>
        <v>0</v>
      </c>
      <c r="BN295" s="524"/>
      <c r="BO295" s="374"/>
      <c r="BP295" s="374"/>
      <c r="BQ295" s="374"/>
      <c r="BR295" s="374"/>
      <c r="BS295" s="374"/>
      <c r="BT295" s="374"/>
      <c r="BU295" s="544">
        <f t="shared" si="145"/>
        <v>0</v>
      </c>
      <c r="BV295" s="556"/>
      <c r="BW295" s="663">
        <f t="shared" si="133"/>
        <v>0</v>
      </c>
      <c r="BX295" s="674" t="e">
        <f t="shared" si="134"/>
        <v>#DIV/0!</v>
      </c>
      <c r="BY295" s="674" t="e">
        <f t="shared" si="135"/>
        <v>#DIV/0!</v>
      </c>
      <c r="BZ295" s="674" t="e">
        <f t="shared" si="136"/>
        <v>#DIV/0!</v>
      </c>
      <c r="CA295" s="675" t="e">
        <f t="shared" si="137"/>
        <v>#DIV/0!</v>
      </c>
      <c r="CB295" s="675" t="e">
        <f t="shared" si="138"/>
        <v>#DIV/0!</v>
      </c>
    </row>
    <row r="296" spans="1:101" ht="18" hidden="1" customHeight="1" x14ac:dyDescent="0.25">
      <c r="A296" s="296"/>
      <c r="B296" s="24" t="str">
        <f>'PLAN INDICATIVO'!B292</f>
        <v>Agropecuario</v>
      </c>
      <c r="C296" s="1574" t="s">
        <v>895</v>
      </c>
      <c r="D296" s="1575"/>
      <c r="E296" s="1575"/>
      <c r="F296" s="1575"/>
      <c r="G296" s="1575"/>
      <c r="H296" s="1575"/>
      <c r="I296" s="1575"/>
      <c r="J296" s="1575"/>
      <c r="K296" s="1575"/>
      <c r="L296" s="1575"/>
      <c r="M296" s="1575"/>
      <c r="N296" s="1575"/>
      <c r="O296" s="1576"/>
      <c r="P296" s="22"/>
      <c r="Q296" s="22"/>
      <c r="R296" s="1"/>
      <c r="S296" s="261"/>
      <c r="T296" s="681"/>
      <c r="U296" s="261"/>
      <c r="V296" s="689">
        <f>SUM(V297:V329)</f>
        <v>495000005</v>
      </c>
      <c r="W296" s="261"/>
      <c r="X296" s="689">
        <f>SUM(X297:X329)</f>
        <v>273000000</v>
      </c>
      <c r="Y296" s="261"/>
      <c r="Z296" s="689">
        <f>SUM(Z297:Z329)</f>
        <v>401000000</v>
      </c>
      <c r="AA296" s="262"/>
      <c r="AB296" s="690">
        <f>SUM(AB297:AB329)</f>
        <v>237000000</v>
      </c>
      <c r="AC296" s="262"/>
      <c r="AD296" s="262"/>
      <c r="AE296" s="262"/>
      <c r="AF296" s="262"/>
      <c r="AG296" s="263"/>
      <c r="AH296" s="263"/>
      <c r="AI296" s="263"/>
      <c r="AJ296" s="262"/>
      <c r="AK296" s="262"/>
      <c r="AL296" s="262"/>
      <c r="AM296" s="262"/>
      <c r="AN296" s="262"/>
      <c r="AO296" s="612"/>
      <c r="AP296" s="616" t="e">
        <f>(AP297:AP329)</f>
        <v>#VALUE!</v>
      </c>
      <c r="AQ296" s="616" t="e">
        <f t="shared" ref="AQ296:AV296" si="151">(AQ297:AQ329)</f>
        <v>#VALUE!</v>
      </c>
      <c r="AR296" s="616" t="e">
        <f t="shared" si="151"/>
        <v>#VALUE!</v>
      </c>
      <c r="AS296" s="616" t="e">
        <f t="shared" si="151"/>
        <v>#VALUE!</v>
      </c>
      <c r="AT296" s="616" t="e">
        <f t="shared" si="151"/>
        <v>#VALUE!</v>
      </c>
      <c r="AU296" s="616" t="e">
        <f t="shared" si="151"/>
        <v>#VALUE!</v>
      </c>
      <c r="AV296" s="616" t="e">
        <f t="shared" si="151"/>
        <v>#VALUE!</v>
      </c>
      <c r="AW296" s="617" t="e">
        <f t="shared" si="128"/>
        <v>#VALUE!</v>
      </c>
      <c r="AX296" s="616" t="e">
        <f>(AX297:AX329)</f>
        <v>#VALUE!</v>
      </c>
      <c r="AY296" s="616" t="e">
        <f t="shared" ref="AY296:BD296" si="152">(AY297:AY329)</f>
        <v>#VALUE!</v>
      </c>
      <c r="AZ296" s="616" t="e">
        <f t="shared" si="152"/>
        <v>#VALUE!</v>
      </c>
      <c r="BA296" s="616" t="e">
        <f t="shared" si="152"/>
        <v>#VALUE!</v>
      </c>
      <c r="BB296" s="616" t="e">
        <f t="shared" si="152"/>
        <v>#VALUE!</v>
      </c>
      <c r="BC296" s="616" t="e">
        <f t="shared" si="152"/>
        <v>#VALUE!</v>
      </c>
      <c r="BD296" s="616" t="e">
        <f t="shared" si="152"/>
        <v>#VALUE!</v>
      </c>
      <c r="BE296" s="617" t="e">
        <f t="shared" si="143"/>
        <v>#VALUE!</v>
      </c>
      <c r="BF296" s="616" t="e">
        <f>(BF297:BF329)</f>
        <v>#VALUE!</v>
      </c>
      <c r="BG296" s="616" t="e">
        <f t="shared" ref="BG296:BL296" si="153">(BG297:BG329)</f>
        <v>#VALUE!</v>
      </c>
      <c r="BH296" s="616" t="e">
        <f t="shared" si="153"/>
        <v>#VALUE!</v>
      </c>
      <c r="BI296" s="616" t="e">
        <f t="shared" si="153"/>
        <v>#VALUE!</v>
      </c>
      <c r="BJ296" s="616" t="e">
        <f t="shared" si="153"/>
        <v>#VALUE!</v>
      </c>
      <c r="BK296" s="616" t="e">
        <f t="shared" si="153"/>
        <v>#VALUE!</v>
      </c>
      <c r="BL296" s="616" t="e">
        <f t="shared" si="153"/>
        <v>#VALUE!</v>
      </c>
      <c r="BM296" s="617" t="e">
        <f t="shared" si="144"/>
        <v>#VALUE!</v>
      </c>
      <c r="BN296" s="616" t="e">
        <f>(BN297:BN329)</f>
        <v>#VALUE!</v>
      </c>
      <c r="BO296" s="616" t="e">
        <f t="shared" ref="BO296:BT296" si="154">(BO297:BO329)</f>
        <v>#VALUE!</v>
      </c>
      <c r="BP296" s="616" t="e">
        <f t="shared" si="154"/>
        <v>#VALUE!</v>
      </c>
      <c r="BQ296" s="616" t="e">
        <f t="shared" si="154"/>
        <v>#VALUE!</v>
      </c>
      <c r="BR296" s="616" t="e">
        <f t="shared" si="154"/>
        <v>#VALUE!</v>
      </c>
      <c r="BS296" s="616" t="e">
        <f t="shared" si="154"/>
        <v>#VALUE!</v>
      </c>
      <c r="BT296" s="616" t="e">
        <f t="shared" si="154"/>
        <v>#VALUE!</v>
      </c>
      <c r="BU296" s="617" t="e">
        <f t="shared" si="145"/>
        <v>#VALUE!</v>
      </c>
      <c r="BV296" s="556"/>
      <c r="BW296" s="663">
        <f t="shared" si="133"/>
        <v>0</v>
      </c>
      <c r="BX296" s="674" t="e">
        <f t="shared" si="134"/>
        <v>#DIV/0!</v>
      </c>
      <c r="BY296" s="674" t="e">
        <f t="shared" si="135"/>
        <v>#DIV/0!</v>
      </c>
      <c r="BZ296" s="674" t="e">
        <f t="shared" si="136"/>
        <v>#DIV/0!</v>
      </c>
      <c r="CA296" s="675" t="e">
        <f t="shared" si="137"/>
        <v>#DIV/0!</v>
      </c>
      <c r="CB296" s="675" t="e">
        <f t="shared" si="138"/>
        <v>#DIV/0!</v>
      </c>
    </row>
    <row r="297" spans="1:101" ht="45" hidden="1" customHeight="1" x14ac:dyDescent="0.25">
      <c r="A297" s="298" t="s">
        <v>896</v>
      </c>
      <c r="B297" s="299" t="str">
        <f>'PLAN INDICATIVO'!B293</f>
        <v>Agropecuario</v>
      </c>
      <c r="C297" s="1546" t="s">
        <v>897</v>
      </c>
      <c r="D297" s="1549" t="s">
        <v>898</v>
      </c>
      <c r="E297" s="1549" t="s">
        <v>899</v>
      </c>
      <c r="F297" s="1549">
        <v>2015</v>
      </c>
      <c r="G297" s="1562">
        <v>3803</v>
      </c>
      <c r="H297" s="1562">
        <v>4200</v>
      </c>
      <c r="I297" s="1425" t="str">
        <f>'PLAN INDICATIVO'!I293</f>
        <v>SI</v>
      </c>
      <c r="J297" s="1425">
        <f>'PLAN INDICATIVO'!J293</f>
        <v>0</v>
      </c>
      <c r="K297" s="1428" t="str">
        <f>'PLAN INDICATIVO'!K293</f>
        <v>A.8.1.1</v>
      </c>
      <c r="L297" s="301" t="str">
        <f>'PLAN INDICATIVO'!L293</f>
        <v>12. Producción y consumo responsables</v>
      </c>
      <c r="M297" s="301" t="str">
        <f>'PLAN INDICATIVO'!M293</f>
        <v>Unidad de Desarrollo Rural</v>
      </c>
      <c r="N297" s="1425" t="str">
        <f>'PLAN INDICATIVO'!N293</f>
        <v>GABRIEL ERNESTO CAMPOS ALVIRA</v>
      </c>
      <c r="O297" s="1425" t="str">
        <f>'PLAN INDICATIVO'!O293</f>
        <v>Mantenimiento</v>
      </c>
      <c r="P297" s="16" t="str">
        <f>'PLAN INDICATIVO'!P293</f>
        <v>Adecuar una planta de sacrificio con el objetivo de cumplir las políticas públicas nacionales, durante el cuatrienio</v>
      </c>
      <c r="Q297" s="302" t="str">
        <f>'PLAN INDICATIVO'!Q293</f>
        <v>No. De planta de sacrificio adecuadas</v>
      </c>
      <c r="R297" s="303">
        <f>'PLAN INDICATIVO'!R293</f>
        <v>2015</v>
      </c>
      <c r="S297" s="304">
        <v>0</v>
      </c>
      <c r="T297" s="498">
        <v>1</v>
      </c>
      <c r="U297" s="303">
        <v>0</v>
      </c>
      <c r="V297" s="687">
        <v>0</v>
      </c>
      <c r="W297" s="572">
        <v>0</v>
      </c>
      <c r="X297" s="687"/>
      <c r="Y297" s="572">
        <v>1</v>
      </c>
      <c r="Z297" s="687">
        <v>200000000</v>
      </c>
      <c r="AA297" s="572">
        <v>1</v>
      </c>
      <c r="AB297" s="687">
        <v>3000000</v>
      </c>
      <c r="AC297" s="665">
        <v>0</v>
      </c>
      <c r="AD297" s="665">
        <v>0</v>
      </c>
      <c r="AE297" s="665"/>
      <c r="AF297" s="665"/>
      <c r="AG297" s="266"/>
      <c r="AH297" s="266"/>
      <c r="AI297" s="307"/>
      <c r="AJ297" s="308"/>
      <c r="AK297" s="308"/>
      <c r="AL297" s="308"/>
      <c r="AM297" s="308"/>
      <c r="AN297" s="267" t="s">
        <v>2594</v>
      </c>
      <c r="AO297" s="507"/>
      <c r="AP297" s="729"/>
      <c r="AQ297" s="730"/>
      <c r="AR297" s="730"/>
      <c r="AS297" s="730"/>
      <c r="AT297" s="730"/>
      <c r="AU297" s="730"/>
      <c r="AV297" s="730"/>
      <c r="AW297" s="544">
        <f t="shared" si="128"/>
        <v>0</v>
      </c>
      <c r="AX297" s="525"/>
      <c r="AY297" s="310"/>
      <c r="AZ297" s="310"/>
      <c r="BA297" s="310"/>
      <c r="BB297" s="310"/>
      <c r="BC297" s="310"/>
      <c r="BD297" s="310"/>
      <c r="BE297" s="544">
        <f t="shared" si="143"/>
        <v>0</v>
      </c>
      <c r="BF297" s="525"/>
      <c r="BG297" s="310"/>
      <c r="BH297" s="310"/>
      <c r="BI297" s="310"/>
      <c r="BJ297" s="310"/>
      <c r="BK297" s="310"/>
      <c r="BL297" s="310"/>
      <c r="BM297" s="544">
        <f t="shared" si="144"/>
        <v>0</v>
      </c>
      <c r="BN297" s="525"/>
      <c r="BO297" s="310"/>
      <c r="BP297" s="310"/>
      <c r="BQ297" s="310"/>
      <c r="BR297" s="310"/>
      <c r="BS297" s="310"/>
      <c r="BT297" s="310"/>
      <c r="BU297" s="544">
        <f t="shared" si="145"/>
        <v>0</v>
      </c>
      <c r="BV297" s="556"/>
      <c r="BW297" s="663">
        <f t="shared" si="133"/>
        <v>0</v>
      </c>
      <c r="BX297" s="674">
        <f t="shared" si="134"/>
        <v>0</v>
      </c>
      <c r="BY297" s="674" t="e">
        <f t="shared" si="135"/>
        <v>#DIV/0!</v>
      </c>
      <c r="BZ297" s="674" t="e">
        <f t="shared" si="136"/>
        <v>#DIV/0!</v>
      </c>
      <c r="CA297" s="675">
        <f t="shared" si="137"/>
        <v>0</v>
      </c>
      <c r="CB297" s="675">
        <f t="shared" si="138"/>
        <v>0</v>
      </c>
    </row>
    <row r="298" spans="1:101" ht="75" hidden="1" customHeight="1" x14ac:dyDescent="0.25">
      <c r="A298" s="298" t="s">
        <v>896</v>
      </c>
      <c r="B298" s="299" t="str">
        <f>'PLAN INDICATIVO'!B294</f>
        <v>Agropecuario</v>
      </c>
      <c r="C298" s="1547"/>
      <c r="D298" s="1549"/>
      <c r="E298" s="1549"/>
      <c r="F298" s="1549"/>
      <c r="G298" s="1549"/>
      <c r="H298" s="1549"/>
      <c r="I298" s="300">
        <f>'PLAN INDICATIVO'!I294</f>
        <v>0</v>
      </c>
      <c r="J298" s="300">
        <f>'PLAN INDICATIVO'!J294</f>
        <v>0</v>
      </c>
      <c r="K298" s="1428" t="str">
        <f>'PLAN INDICATIVO'!K294</f>
        <v>A.8.1.2</v>
      </c>
      <c r="L298" s="301" t="str">
        <f>'PLAN INDICATIVO'!L294</f>
        <v>12. Producción y consumo responsables</v>
      </c>
      <c r="M298" s="301" t="str">
        <f>'PLAN INDICATIVO'!M294</f>
        <v>Unidad de Desarrollo Rural</v>
      </c>
      <c r="N298" s="1425" t="str">
        <f>'PLAN INDICATIVO'!N294</f>
        <v>GABRIEL ERNESTO CAMPOS ALVIRA</v>
      </c>
      <c r="O298" s="1425" t="str">
        <f>'PLAN INDICATIVO'!O294</f>
        <v>Incremento</v>
      </c>
      <c r="P298" s="16" t="str">
        <f>'PLAN INDICATIVO'!P294</f>
        <v>Presentar 14 proyectos productivos por grupos asociativos de mujer rural que permitan incorporarla a la equidad de género, con acompañamiento técnico y social, durante el cuatrienio</v>
      </c>
      <c r="Q298" s="302" t="str">
        <f>'PLAN INDICATIVO'!Q294</f>
        <v>No. De proyectos presentados</v>
      </c>
      <c r="R298" s="303">
        <f>'PLAN INDICATIVO'!R294</f>
        <v>2015</v>
      </c>
      <c r="S298" s="304">
        <v>0</v>
      </c>
      <c r="T298" s="498">
        <v>14</v>
      </c>
      <c r="U298" s="303">
        <v>5</v>
      </c>
      <c r="V298" s="687">
        <v>32000000</v>
      </c>
      <c r="W298" s="572">
        <v>5</v>
      </c>
      <c r="X298" s="687">
        <v>12000000</v>
      </c>
      <c r="Y298" s="572">
        <v>5</v>
      </c>
      <c r="Z298" s="687">
        <v>2000000</v>
      </c>
      <c r="AA298" s="572">
        <v>4</v>
      </c>
      <c r="AB298" s="687">
        <v>3000000</v>
      </c>
      <c r="AC298" s="665">
        <v>5</v>
      </c>
      <c r="AD298" s="665">
        <v>5</v>
      </c>
      <c r="AE298" s="665"/>
      <c r="AF298" s="665"/>
      <c r="AG298" s="919" t="s">
        <v>3718</v>
      </c>
      <c r="AH298" s="994">
        <v>2017413960038</v>
      </c>
      <c r="AI298" s="336" t="s">
        <v>3719</v>
      </c>
      <c r="AJ298" s="309">
        <v>42795</v>
      </c>
      <c r="AK298" s="309">
        <v>43099</v>
      </c>
      <c r="AL298" s="308"/>
      <c r="AM298" s="308"/>
      <c r="AN298" s="267" t="s">
        <v>2598</v>
      </c>
      <c r="AO298" s="507" t="s">
        <v>3720</v>
      </c>
      <c r="AP298" s="965"/>
      <c r="AQ298" s="966">
        <v>1500000</v>
      </c>
      <c r="AR298" s="966"/>
      <c r="AS298" s="966"/>
      <c r="AT298" s="966"/>
      <c r="AU298" s="966"/>
      <c r="AV298" s="966"/>
      <c r="AW298" s="544">
        <f t="shared" si="128"/>
        <v>1500000</v>
      </c>
      <c r="AX298" s="525"/>
      <c r="AY298" s="310"/>
      <c r="AZ298" s="310"/>
      <c r="BA298" s="310"/>
      <c r="BB298" s="310"/>
      <c r="BC298" s="310"/>
      <c r="BD298" s="310"/>
      <c r="BE298" s="544">
        <f t="shared" si="143"/>
        <v>0</v>
      </c>
      <c r="BF298" s="525"/>
      <c r="BG298" s="310"/>
      <c r="BH298" s="310"/>
      <c r="BI298" s="310"/>
      <c r="BJ298" s="310"/>
      <c r="BK298" s="310"/>
      <c r="BL298" s="310"/>
      <c r="BM298" s="544">
        <f t="shared" si="144"/>
        <v>0</v>
      </c>
      <c r="BN298" s="525"/>
      <c r="BO298" s="310"/>
      <c r="BP298" s="310"/>
      <c r="BQ298" s="310"/>
      <c r="BR298" s="310"/>
      <c r="BS298" s="310"/>
      <c r="BT298" s="310"/>
      <c r="BU298" s="544">
        <f t="shared" si="145"/>
        <v>0</v>
      </c>
      <c r="BV298" s="556"/>
      <c r="BW298" s="663">
        <f t="shared" si="133"/>
        <v>10</v>
      </c>
      <c r="BX298" s="877">
        <f t="shared" si="134"/>
        <v>0.7142857142857143</v>
      </c>
      <c r="BY298" s="674">
        <f t="shared" si="135"/>
        <v>1</v>
      </c>
      <c r="BZ298" s="674">
        <f t="shared" si="136"/>
        <v>1</v>
      </c>
      <c r="CA298" s="675">
        <f t="shared" si="137"/>
        <v>0</v>
      </c>
      <c r="CB298" s="675">
        <f t="shared" si="138"/>
        <v>0</v>
      </c>
    </row>
    <row r="299" spans="1:101" ht="70.5" hidden="1" customHeight="1" x14ac:dyDescent="0.25">
      <c r="A299" s="298" t="s">
        <v>896</v>
      </c>
      <c r="B299" s="299" t="str">
        <f>'PLAN INDICATIVO'!B295</f>
        <v>Agropecuario</v>
      </c>
      <c r="C299" s="1547"/>
      <c r="D299" s="1549"/>
      <c r="E299" s="1549"/>
      <c r="F299" s="1549"/>
      <c r="G299" s="1549"/>
      <c r="H299" s="1549"/>
      <c r="I299" s="300">
        <f>'PLAN INDICATIVO'!I295</f>
        <v>0</v>
      </c>
      <c r="J299" s="300">
        <f>'PLAN INDICATIVO'!J295</f>
        <v>0</v>
      </c>
      <c r="K299" s="1428" t="str">
        <f>'PLAN INDICATIVO'!K295</f>
        <v>A.8.1.3</v>
      </c>
      <c r="L299" s="301" t="str">
        <f>'PLAN INDICATIVO'!L295</f>
        <v>12. Producción y consumo responsables</v>
      </c>
      <c r="M299" s="301" t="str">
        <f>'PLAN INDICATIVO'!M295</f>
        <v>Unidad de Desarrollo Rural</v>
      </c>
      <c r="N299" s="1425" t="str">
        <f>'PLAN INDICATIVO'!N295</f>
        <v>GABRIEL ERNESTO CAMPOS ALVIRA</v>
      </c>
      <c r="O299" s="1425" t="str">
        <f>'PLAN INDICATIVO'!O295</f>
        <v>Incremento</v>
      </c>
      <c r="P299" s="16" t="str">
        <f>'PLAN INDICATIVO'!P295</f>
        <v>Apoyar 3 proyectos de comercialización de productos agropecuarios con acompañamiento técnico y social durante el cuatrienio.</v>
      </c>
      <c r="Q299" s="302" t="str">
        <f>'PLAN INDICATIVO'!Q295</f>
        <v xml:space="preserve">No. De proyectos apoyados </v>
      </c>
      <c r="R299" s="303">
        <f>'PLAN INDICATIVO'!R295</f>
        <v>2015</v>
      </c>
      <c r="S299" s="304">
        <v>0</v>
      </c>
      <c r="T299" s="498">
        <v>3</v>
      </c>
      <c r="U299" s="303">
        <v>0</v>
      </c>
      <c r="V299" s="687">
        <v>2000000</v>
      </c>
      <c r="W299" s="572">
        <v>1</v>
      </c>
      <c r="X299" s="687">
        <v>2000000</v>
      </c>
      <c r="Y299" s="572">
        <v>1</v>
      </c>
      <c r="Z299" s="687">
        <v>2000000</v>
      </c>
      <c r="AA299" s="572">
        <v>1</v>
      </c>
      <c r="AB299" s="687">
        <v>3000000</v>
      </c>
      <c r="AC299" s="665">
        <v>1</v>
      </c>
      <c r="AD299" s="665">
        <v>1</v>
      </c>
      <c r="AE299" s="665"/>
      <c r="AF299" s="665"/>
      <c r="AG299" s="891" t="s">
        <v>3721</v>
      </c>
      <c r="AH299" s="994">
        <v>2017413960038</v>
      </c>
      <c r="AI299" s="336" t="s">
        <v>3719</v>
      </c>
      <c r="AJ299" s="309">
        <v>42826</v>
      </c>
      <c r="AK299" s="309">
        <v>43099</v>
      </c>
      <c r="AL299" s="308"/>
      <c r="AM299" s="308"/>
      <c r="AN299" s="267" t="s">
        <v>2598</v>
      </c>
      <c r="AO299" s="507" t="s">
        <v>3720</v>
      </c>
      <c r="AP299" s="965"/>
      <c r="AQ299" s="966">
        <v>1500000</v>
      </c>
      <c r="AR299" s="966"/>
      <c r="AS299" s="966"/>
      <c r="AT299" s="966"/>
      <c r="AU299" s="966"/>
      <c r="AV299" s="981"/>
      <c r="AW299" s="544">
        <f t="shared" si="128"/>
        <v>1500000</v>
      </c>
      <c r="AX299" s="525"/>
      <c r="AY299" s="310"/>
      <c r="AZ299" s="310"/>
      <c r="BA299" s="310"/>
      <c r="BB299" s="310"/>
      <c r="BC299" s="310"/>
      <c r="BD299" s="310"/>
      <c r="BE299" s="544">
        <f t="shared" si="143"/>
        <v>0</v>
      </c>
      <c r="BF299" s="525"/>
      <c r="BG299" s="310"/>
      <c r="BH299" s="310"/>
      <c r="BI299" s="310"/>
      <c r="BJ299" s="310"/>
      <c r="BK299" s="310"/>
      <c r="BL299" s="310"/>
      <c r="BM299" s="544">
        <f t="shared" si="144"/>
        <v>0</v>
      </c>
      <c r="BN299" s="525"/>
      <c r="BO299" s="310"/>
      <c r="BP299" s="310"/>
      <c r="BQ299" s="310"/>
      <c r="BR299" s="310"/>
      <c r="BS299" s="310"/>
      <c r="BT299" s="310"/>
      <c r="BU299" s="544">
        <f t="shared" si="145"/>
        <v>0</v>
      </c>
      <c r="BV299" s="556"/>
      <c r="BW299" s="663">
        <f t="shared" si="133"/>
        <v>2</v>
      </c>
      <c r="BX299" s="674">
        <f t="shared" si="134"/>
        <v>0.66666666666666663</v>
      </c>
      <c r="BY299" s="674" t="e">
        <f t="shared" si="135"/>
        <v>#DIV/0!</v>
      </c>
      <c r="BZ299" s="674">
        <f t="shared" si="136"/>
        <v>1</v>
      </c>
      <c r="CA299" s="675">
        <f t="shared" si="137"/>
        <v>0</v>
      </c>
      <c r="CB299" s="675">
        <f t="shared" si="138"/>
        <v>0</v>
      </c>
    </row>
    <row r="300" spans="1:101" ht="97.5" hidden="1" customHeight="1" x14ac:dyDescent="0.25">
      <c r="A300" s="298" t="s">
        <v>896</v>
      </c>
      <c r="B300" s="299" t="str">
        <f>'PLAN INDICATIVO'!B296</f>
        <v>Agropecuario</v>
      </c>
      <c r="C300" s="1547"/>
      <c r="D300" s="1549"/>
      <c r="E300" s="1549"/>
      <c r="F300" s="1549"/>
      <c r="G300" s="1549"/>
      <c r="H300" s="1549"/>
      <c r="I300" s="300">
        <f>'PLAN INDICATIVO'!I296</f>
        <v>0</v>
      </c>
      <c r="J300" s="300">
        <f>'PLAN INDICATIVO'!J296</f>
        <v>0</v>
      </c>
      <c r="K300" s="1428" t="str">
        <f>'PLAN INDICATIVO'!K296</f>
        <v>A.8.1.4</v>
      </c>
      <c r="L300" s="301" t="str">
        <f>'PLAN INDICATIVO'!L296</f>
        <v>12. Producción y consumo responsables</v>
      </c>
      <c r="M300" s="301" t="str">
        <f>'PLAN INDICATIVO'!M296</f>
        <v>Unidad de Desarrollo Rural</v>
      </c>
      <c r="N300" s="1425" t="str">
        <f>'PLAN INDICATIVO'!N296</f>
        <v>GABRIEL ERNESTO CAMPOS ALVIRA</v>
      </c>
      <c r="O300" s="1425" t="str">
        <f>'PLAN INDICATIVO'!O296</f>
        <v>Incremento</v>
      </c>
      <c r="P300" s="16" t="str">
        <f>'PLAN INDICATIVO'!P296</f>
        <v>Realizar 4 campañas donde permita la sanidad agropecuaria e inocuidad de los alimentos en el Municipio durante el cuatrienio</v>
      </c>
      <c r="Q300" s="302" t="str">
        <f>'PLAN INDICATIVO'!Q296</f>
        <v>No. De campañas realizadas</v>
      </c>
      <c r="R300" s="303">
        <f>'PLAN INDICATIVO'!R296</f>
        <v>2015</v>
      </c>
      <c r="S300" s="304">
        <v>0</v>
      </c>
      <c r="T300" s="498">
        <v>4</v>
      </c>
      <c r="U300" s="303">
        <v>1</v>
      </c>
      <c r="V300" s="687">
        <v>2000000</v>
      </c>
      <c r="W300" s="572">
        <v>1</v>
      </c>
      <c r="X300" s="687">
        <v>1000000</v>
      </c>
      <c r="Y300" s="572">
        <v>1</v>
      </c>
      <c r="Z300" s="687">
        <v>1000000</v>
      </c>
      <c r="AA300" s="572">
        <v>1</v>
      </c>
      <c r="AB300" s="687">
        <v>1000000</v>
      </c>
      <c r="AC300" s="665">
        <v>1</v>
      </c>
      <c r="AD300" s="665">
        <v>2</v>
      </c>
      <c r="AE300" s="665"/>
      <c r="AF300" s="665"/>
      <c r="AG300" s="892" t="s">
        <v>3722</v>
      </c>
      <c r="AH300" s="994">
        <v>2017413960038</v>
      </c>
      <c r="AI300" s="307" t="s">
        <v>3723</v>
      </c>
      <c r="AJ300" s="335">
        <v>42856</v>
      </c>
      <c r="AK300" s="335">
        <v>43099</v>
      </c>
      <c r="AL300" s="308"/>
      <c r="AM300" s="308"/>
      <c r="AN300" s="267" t="s">
        <v>2598</v>
      </c>
      <c r="AO300" s="507" t="s">
        <v>3724</v>
      </c>
      <c r="AP300" s="965">
        <v>1000000</v>
      </c>
      <c r="AQ300" s="966"/>
      <c r="AR300" s="966"/>
      <c r="AS300" s="966"/>
      <c r="AT300" s="966"/>
      <c r="AU300" s="966"/>
      <c r="AV300" s="966"/>
      <c r="AW300" s="544">
        <f t="shared" si="128"/>
        <v>1000000</v>
      </c>
      <c r="AX300" s="525"/>
      <c r="AY300" s="310"/>
      <c r="AZ300" s="310"/>
      <c r="BA300" s="310"/>
      <c r="BB300" s="310"/>
      <c r="BC300" s="310"/>
      <c r="BD300" s="310"/>
      <c r="BE300" s="544">
        <f t="shared" si="143"/>
        <v>0</v>
      </c>
      <c r="BF300" s="525"/>
      <c r="BG300" s="310"/>
      <c r="BH300" s="310"/>
      <c r="BI300" s="310"/>
      <c r="BJ300" s="310"/>
      <c r="BK300" s="310"/>
      <c r="BL300" s="310"/>
      <c r="BM300" s="544">
        <f t="shared" si="144"/>
        <v>0</v>
      </c>
      <c r="BN300" s="525"/>
      <c r="BO300" s="310"/>
      <c r="BP300" s="310"/>
      <c r="BQ300" s="310"/>
      <c r="BR300" s="310"/>
      <c r="BS300" s="310"/>
      <c r="BT300" s="310"/>
      <c r="BU300" s="544">
        <f t="shared" si="145"/>
        <v>0</v>
      </c>
      <c r="BV300" s="556"/>
      <c r="BW300" s="663">
        <f t="shared" si="133"/>
        <v>3</v>
      </c>
      <c r="BX300" s="674">
        <f t="shared" si="134"/>
        <v>0.75</v>
      </c>
      <c r="BY300" s="674">
        <f t="shared" si="135"/>
        <v>1</v>
      </c>
      <c r="BZ300" s="674">
        <f t="shared" si="136"/>
        <v>2</v>
      </c>
      <c r="CA300" s="675">
        <f t="shared" si="137"/>
        <v>0</v>
      </c>
      <c r="CB300" s="675">
        <f t="shared" si="138"/>
        <v>0</v>
      </c>
    </row>
    <row r="301" spans="1:101" ht="63" hidden="1" customHeight="1" x14ac:dyDescent="0.25">
      <c r="A301" s="298" t="s">
        <v>896</v>
      </c>
      <c r="B301" s="299" t="str">
        <f>'PLAN INDICATIVO'!B297</f>
        <v>Agropecuario</v>
      </c>
      <c r="C301" s="1547"/>
      <c r="D301" s="1549"/>
      <c r="E301" s="1549"/>
      <c r="F301" s="1549"/>
      <c r="G301" s="1549"/>
      <c r="H301" s="1549"/>
      <c r="I301" s="300">
        <f>'PLAN INDICATIVO'!I297</f>
        <v>0</v>
      </c>
      <c r="J301" s="300">
        <f>'PLAN INDICATIVO'!J297</f>
        <v>0</v>
      </c>
      <c r="K301" s="1428" t="str">
        <f>'PLAN INDICATIVO'!K297</f>
        <v>A.8.1.5</v>
      </c>
      <c r="L301" s="301" t="str">
        <f>'PLAN INDICATIVO'!L297</f>
        <v>12. Producción y consumo responsables</v>
      </c>
      <c r="M301" s="301" t="str">
        <f>'PLAN INDICATIVO'!M297</f>
        <v>Unidad de Desarrollo Rural</v>
      </c>
      <c r="N301" s="1425" t="str">
        <f>'PLAN INDICATIVO'!N297</f>
        <v>GABRIEL ERNESTO CAMPOS ALVIRA</v>
      </c>
      <c r="O301" s="1425" t="str">
        <f>'PLAN INDICATIVO'!O297</f>
        <v>Incremento</v>
      </c>
      <c r="P301" s="16" t="str">
        <f>'PLAN INDICATIVO'!P297</f>
        <v xml:space="preserve">Mantener la frontera agrícola a 100 has de cultivos estacionarios y no estacionarios, durante el cuatrienio </v>
      </c>
      <c r="Q301" s="302" t="str">
        <f>'PLAN INDICATIVO'!Q297</f>
        <v>No. De hectáreas diversificadas con cultivos estacionarios y no estacionarios</v>
      </c>
      <c r="R301" s="303">
        <f>'PLAN INDICATIVO'!R297</f>
        <v>2015</v>
      </c>
      <c r="S301" s="304">
        <v>0</v>
      </c>
      <c r="T301" s="498">
        <v>100</v>
      </c>
      <c r="U301" s="303">
        <v>0</v>
      </c>
      <c r="V301" s="687">
        <v>5000000</v>
      </c>
      <c r="W301" s="572">
        <v>33</v>
      </c>
      <c r="X301" s="687">
        <v>5000000</v>
      </c>
      <c r="Y301" s="572">
        <v>33</v>
      </c>
      <c r="Z301" s="687">
        <v>5000000</v>
      </c>
      <c r="AA301" s="572">
        <v>34</v>
      </c>
      <c r="AB301" s="687">
        <v>7000000</v>
      </c>
      <c r="AC301" s="665"/>
      <c r="AD301" s="665">
        <v>33</v>
      </c>
      <c r="AE301" s="665"/>
      <c r="AF301" s="665"/>
      <c r="AG301" s="886" t="s">
        <v>3718</v>
      </c>
      <c r="AH301" s="994">
        <v>2017413960038</v>
      </c>
      <c r="AI301" s="307" t="s">
        <v>3725</v>
      </c>
      <c r="AJ301" s="309">
        <v>42795</v>
      </c>
      <c r="AK301" s="309">
        <v>43099</v>
      </c>
      <c r="AL301" s="308"/>
      <c r="AM301" s="308"/>
      <c r="AN301" s="267" t="s">
        <v>2598</v>
      </c>
      <c r="AO301" s="507" t="s">
        <v>3726</v>
      </c>
      <c r="AP301" s="965"/>
      <c r="AQ301" s="966">
        <v>3733300</v>
      </c>
      <c r="AR301" s="966"/>
      <c r="AS301" s="966"/>
      <c r="AT301" s="966"/>
      <c r="AU301" s="966"/>
      <c r="AV301" s="966"/>
      <c r="AW301" s="544">
        <f t="shared" si="128"/>
        <v>3733300</v>
      </c>
      <c r="AX301" s="525"/>
      <c r="AY301" s="310"/>
      <c r="AZ301" s="310"/>
      <c r="BA301" s="310"/>
      <c r="BB301" s="310"/>
      <c r="BC301" s="310"/>
      <c r="BD301" s="310"/>
      <c r="BE301" s="544">
        <f t="shared" si="143"/>
        <v>0</v>
      </c>
      <c r="BF301" s="525"/>
      <c r="BG301" s="310"/>
      <c r="BH301" s="310"/>
      <c r="BI301" s="310"/>
      <c r="BJ301" s="310"/>
      <c r="BK301" s="310"/>
      <c r="BL301" s="310"/>
      <c r="BM301" s="544">
        <f t="shared" si="144"/>
        <v>0</v>
      </c>
      <c r="BN301" s="525"/>
      <c r="BO301" s="310"/>
      <c r="BP301" s="310"/>
      <c r="BQ301" s="310"/>
      <c r="BR301" s="310"/>
      <c r="BS301" s="310"/>
      <c r="BT301" s="310"/>
      <c r="BU301" s="544">
        <f t="shared" si="145"/>
        <v>0</v>
      </c>
      <c r="BV301" s="556"/>
      <c r="BW301" s="663">
        <f t="shared" si="133"/>
        <v>33</v>
      </c>
      <c r="BX301" s="674">
        <f t="shared" si="134"/>
        <v>0.33</v>
      </c>
      <c r="BY301" s="674" t="e">
        <f t="shared" si="135"/>
        <v>#DIV/0!</v>
      </c>
      <c r="BZ301" s="674">
        <f t="shared" si="136"/>
        <v>1</v>
      </c>
      <c r="CA301" s="675">
        <f t="shared" si="137"/>
        <v>0</v>
      </c>
      <c r="CB301" s="675">
        <f t="shared" si="138"/>
        <v>0</v>
      </c>
    </row>
    <row r="302" spans="1:101" ht="83.25" hidden="1" customHeight="1" x14ac:dyDescent="0.25">
      <c r="A302" s="298" t="s">
        <v>896</v>
      </c>
      <c r="B302" s="299" t="str">
        <f>'PLAN INDICATIVO'!B298</f>
        <v>Agropecuario</v>
      </c>
      <c r="C302" s="1547"/>
      <c r="D302" s="1549"/>
      <c r="E302" s="1549"/>
      <c r="F302" s="1549"/>
      <c r="G302" s="1549"/>
      <c r="H302" s="1549"/>
      <c r="I302" s="300">
        <f>'PLAN INDICATIVO'!I298</f>
        <v>0</v>
      </c>
      <c r="J302" s="300">
        <f>'PLAN INDICATIVO'!J298</f>
        <v>0</v>
      </c>
      <c r="K302" s="1428" t="str">
        <f>'PLAN INDICATIVO'!K298</f>
        <v>A.8.1.6</v>
      </c>
      <c r="L302" s="301" t="str">
        <f>'PLAN INDICATIVO'!L298</f>
        <v>12. Producción y consumo responsables</v>
      </c>
      <c r="M302" s="301" t="str">
        <f>'PLAN INDICATIVO'!M298</f>
        <v>Unidad de Desarrollo Rural</v>
      </c>
      <c r="N302" s="1425" t="str">
        <f>'PLAN INDICATIVO'!N298</f>
        <v>GABRIEL ERNESTO CAMPOS ALVIRA</v>
      </c>
      <c r="O302" s="1425" t="str">
        <f>'PLAN INDICATIVO'!O298</f>
        <v>Mantenimiento</v>
      </c>
      <c r="P302" s="16" t="str">
        <f>'PLAN INDICATIVO'!P298</f>
        <v xml:space="preserve">Mantener 1 convenio suscritos con el comité de cafeteros para el mejoramiento del sector cada año, durante el cuatrienio </v>
      </c>
      <c r="Q302" s="302" t="str">
        <f>'PLAN INDICATIVO'!Q298</f>
        <v>No. De convenios suscritos por año</v>
      </c>
      <c r="R302" s="303">
        <f>'PLAN INDICATIVO'!R298</f>
        <v>2015</v>
      </c>
      <c r="S302" s="304">
        <v>0</v>
      </c>
      <c r="T302" s="498">
        <v>1</v>
      </c>
      <c r="U302" s="303">
        <v>0.25</v>
      </c>
      <c r="V302" s="687">
        <v>10000000</v>
      </c>
      <c r="W302" s="572">
        <v>0.25</v>
      </c>
      <c r="X302" s="687">
        <v>35000000</v>
      </c>
      <c r="Y302" s="572">
        <v>0.25</v>
      </c>
      <c r="Z302" s="687">
        <v>35000000</v>
      </c>
      <c r="AA302" s="572">
        <v>0.25</v>
      </c>
      <c r="AB302" s="687">
        <v>40000000</v>
      </c>
      <c r="AC302" s="665">
        <v>0</v>
      </c>
      <c r="AD302" s="665">
        <v>0.25</v>
      </c>
      <c r="AE302" s="665"/>
      <c r="AF302" s="665"/>
      <c r="AG302" s="888" t="s">
        <v>3727</v>
      </c>
      <c r="AH302" s="994">
        <v>2017413960038</v>
      </c>
      <c r="AI302" s="307" t="s">
        <v>3728</v>
      </c>
      <c r="AJ302" s="335">
        <v>42826</v>
      </c>
      <c r="AK302" s="335">
        <v>43099</v>
      </c>
      <c r="AL302" s="308"/>
      <c r="AM302" s="308"/>
      <c r="AN302" s="267" t="s">
        <v>2598</v>
      </c>
      <c r="AO302" s="510" t="s">
        <v>3729</v>
      </c>
      <c r="AP302" s="969">
        <v>20953300</v>
      </c>
      <c r="AQ302" s="966"/>
      <c r="AR302" s="966"/>
      <c r="AS302" s="966"/>
      <c r="AT302" s="966"/>
      <c r="AU302" s="966"/>
      <c r="AV302" s="966">
        <v>9046700</v>
      </c>
      <c r="AW302" s="544">
        <f t="shared" si="128"/>
        <v>30000000</v>
      </c>
      <c r="AX302" s="525"/>
      <c r="AY302" s="310"/>
      <c r="AZ302" s="310"/>
      <c r="BA302" s="310"/>
      <c r="BB302" s="310"/>
      <c r="BC302" s="310"/>
      <c r="BD302" s="310"/>
      <c r="BE302" s="544">
        <f t="shared" si="143"/>
        <v>0</v>
      </c>
      <c r="BF302" s="525"/>
      <c r="BG302" s="310"/>
      <c r="BH302" s="310"/>
      <c r="BI302" s="310"/>
      <c r="BJ302" s="310"/>
      <c r="BK302" s="310"/>
      <c r="BL302" s="310"/>
      <c r="BM302" s="544">
        <f t="shared" si="144"/>
        <v>0</v>
      </c>
      <c r="BN302" s="525"/>
      <c r="BO302" s="310"/>
      <c r="BP302" s="310"/>
      <c r="BQ302" s="310"/>
      <c r="BR302" s="310"/>
      <c r="BS302" s="310"/>
      <c r="BT302" s="310"/>
      <c r="BU302" s="544">
        <f t="shared" si="145"/>
        <v>0</v>
      </c>
      <c r="BV302" s="556"/>
      <c r="BW302" s="663">
        <f t="shared" si="133"/>
        <v>0.25</v>
      </c>
      <c r="BX302" s="877">
        <f t="shared" si="134"/>
        <v>0.25</v>
      </c>
      <c r="BY302" s="674">
        <f t="shared" si="135"/>
        <v>0</v>
      </c>
      <c r="BZ302" s="674">
        <f t="shared" si="136"/>
        <v>1</v>
      </c>
      <c r="CA302" s="675">
        <f t="shared" si="137"/>
        <v>0</v>
      </c>
      <c r="CB302" s="675">
        <f t="shared" si="138"/>
        <v>0</v>
      </c>
    </row>
    <row r="303" spans="1:101" ht="82.5" hidden="1" customHeight="1" x14ac:dyDescent="0.25">
      <c r="A303" s="298" t="s">
        <v>896</v>
      </c>
      <c r="B303" s="299" t="str">
        <f>'PLAN INDICATIVO'!B299</f>
        <v>Agropecuario</v>
      </c>
      <c r="C303" s="1547"/>
      <c r="D303" s="1549"/>
      <c r="E303" s="1549"/>
      <c r="F303" s="1549"/>
      <c r="G303" s="1549"/>
      <c r="H303" s="1549"/>
      <c r="I303" s="300">
        <f>'PLAN INDICATIVO'!I299</f>
        <v>0</v>
      </c>
      <c r="J303" s="300">
        <f>'PLAN INDICATIVO'!J299</f>
        <v>0</v>
      </c>
      <c r="K303" s="1428" t="str">
        <f>'PLAN INDICATIVO'!K299</f>
        <v>A.8.1.7</v>
      </c>
      <c r="L303" s="301" t="str">
        <f>'PLAN INDICATIVO'!L299</f>
        <v>12. Producción y consumo responsables</v>
      </c>
      <c r="M303" s="301" t="str">
        <f>'PLAN INDICATIVO'!M299</f>
        <v>Unidad de Desarrollo Rural</v>
      </c>
      <c r="N303" s="1425" t="str">
        <f>'PLAN INDICATIVO'!N299</f>
        <v>GABRIEL ERNESTO CAMPOS ALVIRA</v>
      </c>
      <c r="O303" s="1425" t="str">
        <f>'PLAN INDICATIVO'!O299</f>
        <v>Incremento</v>
      </c>
      <c r="P303" s="16" t="str">
        <f>'PLAN INDICATIVO'!P299</f>
        <v>Otorgar 25 apoyos   a  las asociaciones o Empresarios del Campo del municipio de la Plata, durante el cuatrienio.</v>
      </c>
      <c r="Q303" s="302" t="str">
        <f>'PLAN INDICATIVO'!Q299</f>
        <v>No. De apoyos otorgados</v>
      </c>
      <c r="R303" s="303">
        <f>'PLAN INDICATIVO'!R299</f>
        <v>2015</v>
      </c>
      <c r="S303" s="304">
        <v>0</v>
      </c>
      <c r="T303" s="498">
        <v>25</v>
      </c>
      <c r="U303" s="303">
        <v>6</v>
      </c>
      <c r="V303" s="687">
        <v>3000000</v>
      </c>
      <c r="W303" s="572">
        <v>6</v>
      </c>
      <c r="X303" s="687">
        <v>2000000</v>
      </c>
      <c r="Y303" s="572">
        <v>6</v>
      </c>
      <c r="Z303" s="687">
        <v>5000000</v>
      </c>
      <c r="AA303" s="572">
        <v>7</v>
      </c>
      <c r="AB303" s="687">
        <v>5000000</v>
      </c>
      <c r="AC303" s="665">
        <v>6</v>
      </c>
      <c r="AD303" s="899">
        <v>6</v>
      </c>
      <c r="AE303" s="665"/>
      <c r="AF303" s="665"/>
      <c r="AG303" s="888" t="s">
        <v>3727</v>
      </c>
      <c r="AH303" s="994">
        <v>2017413960038</v>
      </c>
      <c r="AI303" s="336" t="s">
        <v>3730</v>
      </c>
      <c r="AJ303" s="309">
        <v>42795</v>
      </c>
      <c r="AK303" s="309">
        <v>43099</v>
      </c>
      <c r="AL303" s="308"/>
      <c r="AM303" s="308"/>
      <c r="AN303" s="267" t="s">
        <v>2598</v>
      </c>
      <c r="AO303" s="924" t="s">
        <v>3731</v>
      </c>
      <c r="AP303" s="965">
        <v>3000000</v>
      </c>
      <c r="AQ303" s="966">
        <v>3000000</v>
      </c>
      <c r="AR303" s="966"/>
      <c r="AS303" s="966"/>
      <c r="AT303" s="966"/>
      <c r="AU303" s="966"/>
      <c r="AV303" s="966"/>
      <c r="AW303" s="544">
        <f t="shared" si="128"/>
        <v>6000000</v>
      </c>
      <c r="AX303" s="525"/>
      <c r="AY303" s="310"/>
      <c r="AZ303" s="310"/>
      <c r="BA303" s="310"/>
      <c r="BB303" s="310"/>
      <c r="BC303" s="310"/>
      <c r="BD303" s="310"/>
      <c r="BE303" s="544">
        <f t="shared" si="143"/>
        <v>0</v>
      </c>
      <c r="BF303" s="525"/>
      <c r="BG303" s="310"/>
      <c r="BH303" s="310"/>
      <c r="BI303" s="310"/>
      <c r="BJ303" s="310"/>
      <c r="BK303" s="310"/>
      <c r="BL303" s="310"/>
      <c r="BM303" s="544">
        <f t="shared" si="144"/>
        <v>0</v>
      </c>
      <c r="BN303" s="525"/>
      <c r="BO303" s="310"/>
      <c r="BP303" s="310"/>
      <c r="BQ303" s="310"/>
      <c r="BR303" s="310"/>
      <c r="BS303" s="310"/>
      <c r="BT303" s="310"/>
      <c r="BU303" s="544">
        <f t="shared" si="145"/>
        <v>0</v>
      </c>
      <c r="BV303" s="556"/>
      <c r="BW303" s="663">
        <f t="shared" si="133"/>
        <v>12</v>
      </c>
      <c r="BX303" s="674">
        <f t="shared" si="134"/>
        <v>0.48</v>
      </c>
      <c r="BY303" s="674">
        <f t="shared" si="135"/>
        <v>1</v>
      </c>
      <c r="BZ303" s="674">
        <f t="shared" si="136"/>
        <v>1</v>
      </c>
      <c r="CA303" s="675">
        <f t="shared" si="137"/>
        <v>0</v>
      </c>
      <c r="CB303" s="675">
        <f t="shared" si="138"/>
        <v>0</v>
      </c>
    </row>
    <row r="304" spans="1:101" ht="101.25" hidden="1" customHeight="1" x14ac:dyDescent="0.25">
      <c r="A304" s="298" t="s">
        <v>896</v>
      </c>
      <c r="B304" s="299" t="str">
        <f>'PLAN INDICATIVO'!B300</f>
        <v>Agropecuario</v>
      </c>
      <c r="C304" s="1547"/>
      <c r="D304" s="1549"/>
      <c r="E304" s="1549"/>
      <c r="F304" s="1549"/>
      <c r="G304" s="1549"/>
      <c r="H304" s="1549"/>
      <c r="I304" s="300">
        <f>'PLAN INDICATIVO'!I300</f>
        <v>0</v>
      </c>
      <c r="J304" s="300">
        <f>'PLAN INDICATIVO'!J300</f>
        <v>0</v>
      </c>
      <c r="K304" s="1428" t="str">
        <f>'PLAN INDICATIVO'!K300</f>
        <v>A.8.1.8</v>
      </c>
      <c r="L304" s="301" t="str">
        <f>'PLAN INDICATIVO'!L300</f>
        <v>12. Producción y consumo responsables</v>
      </c>
      <c r="M304" s="301" t="str">
        <f>'PLAN INDICATIVO'!M300</f>
        <v>Unidad de Desarrollo Rural</v>
      </c>
      <c r="N304" s="1425" t="str">
        <f>'PLAN INDICATIVO'!N300</f>
        <v>GABRIEL ERNESTO CAMPOS ALVIRA</v>
      </c>
      <c r="O304" s="1425" t="str">
        <f>'PLAN INDICATIVO'!O300</f>
        <v>Incremento</v>
      </c>
      <c r="P304" s="16" t="str">
        <f>'PLAN INDICATIVO'!P300</f>
        <v>Brindar a 800 productores agropecuarios asistencia técnica para mejorar producción agropecuaria durante el cuatrienio</v>
      </c>
      <c r="Q304" s="302" t="str">
        <f>'PLAN INDICATIVO'!Q300</f>
        <v>No. De productores agropecuarios con asistencia técnica</v>
      </c>
      <c r="R304" s="303">
        <f>'PLAN INDICATIVO'!R300</f>
        <v>2015</v>
      </c>
      <c r="S304" s="304">
        <v>400</v>
      </c>
      <c r="T304" s="498">
        <v>800</v>
      </c>
      <c r="U304" s="303">
        <v>200</v>
      </c>
      <c r="V304" s="687">
        <v>10000000</v>
      </c>
      <c r="W304" s="572">
        <v>200</v>
      </c>
      <c r="X304" s="687">
        <v>5000000</v>
      </c>
      <c r="Y304" s="572">
        <v>200</v>
      </c>
      <c r="Z304" s="687">
        <v>5000000</v>
      </c>
      <c r="AA304" s="572">
        <v>200</v>
      </c>
      <c r="AB304" s="687">
        <v>12000000</v>
      </c>
      <c r="AC304" s="665">
        <v>200</v>
      </c>
      <c r="AD304" s="665">
        <v>250</v>
      </c>
      <c r="AE304" s="665"/>
      <c r="AF304" s="665"/>
      <c r="AG304" s="887" t="s">
        <v>3732</v>
      </c>
      <c r="AH304" s="994">
        <v>2017413960038</v>
      </c>
      <c r="AI304" s="336" t="s">
        <v>3733</v>
      </c>
      <c r="AJ304" s="309">
        <v>42736</v>
      </c>
      <c r="AK304" s="309">
        <v>43100</v>
      </c>
      <c r="AL304" s="308"/>
      <c r="AM304" s="308"/>
      <c r="AN304" s="267" t="s">
        <v>2598</v>
      </c>
      <c r="AO304" s="508" t="s">
        <v>3734</v>
      </c>
      <c r="AP304" s="965"/>
      <c r="AQ304" s="966">
        <v>10000000</v>
      </c>
      <c r="AR304" s="966"/>
      <c r="AS304" s="966"/>
      <c r="AT304" s="966"/>
      <c r="AU304" s="966"/>
      <c r="AV304" s="966"/>
      <c r="AW304" s="544">
        <f t="shared" si="128"/>
        <v>10000000</v>
      </c>
      <c r="AX304" s="525"/>
      <c r="AY304" s="310"/>
      <c r="AZ304" s="310"/>
      <c r="BA304" s="310"/>
      <c r="BB304" s="310"/>
      <c r="BC304" s="310"/>
      <c r="BD304" s="310"/>
      <c r="BE304" s="544">
        <f t="shared" si="143"/>
        <v>0</v>
      </c>
      <c r="BF304" s="525"/>
      <c r="BG304" s="310"/>
      <c r="BH304" s="310"/>
      <c r="BI304" s="310"/>
      <c r="BJ304" s="310"/>
      <c r="BK304" s="310"/>
      <c r="BL304" s="310"/>
      <c r="BM304" s="544">
        <f t="shared" si="144"/>
        <v>0</v>
      </c>
      <c r="BN304" s="525"/>
      <c r="BO304" s="310"/>
      <c r="BP304" s="310"/>
      <c r="BQ304" s="310"/>
      <c r="BR304" s="310"/>
      <c r="BS304" s="310"/>
      <c r="BT304" s="310"/>
      <c r="BU304" s="544">
        <f t="shared" si="145"/>
        <v>0</v>
      </c>
      <c r="BV304" s="556"/>
      <c r="BW304" s="663">
        <f t="shared" si="133"/>
        <v>450</v>
      </c>
      <c r="BX304" s="674">
        <f t="shared" si="134"/>
        <v>0.5625</v>
      </c>
      <c r="BY304" s="674">
        <f t="shared" si="135"/>
        <v>1</v>
      </c>
      <c r="BZ304" s="674">
        <f t="shared" si="136"/>
        <v>1.25</v>
      </c>
      <c r="CA304" s="675">
        <f t="shared" si="137"/>
        <v>0</v>
      </c>
      <c r="CB304" s="675">
        <f t="shared" si="138"/>
        <v>0</v>
      </c>
    </row>
    <row r="305" spans="1:80" ht="75" hidden="1" customHeight="1" x14ac:dyDescent="0.25">
      <c r="A305" s="298" t="s">
        <v>896</v>
      </c>
      <c r="B305" s="299" t="str">
        <f>'PLAN INDICATIVO'!B301</f>
        <v>Agropecuario</v>
      </c>
      <c r="C305" s="1547"/>
      <c r="D305" s="1549"/>
      <c r="E305" s="1549"/>
      <c r="F305" s="1549"/>
      <c r="G305" s="1549"/>
      <c r="H305" s="1549"/>
      <c r="I305" s="300">
        <f>'PLAN INDICATIVO'!I301</f>
        <v>0</v>
      </c>
      <c r="J305" s="300">
        <f>'PLAN INDICATIVO'!J301</f>
        <v>0</v>
      </c>
      <c r="K305" s="1428" t="str">
        <f>'PLAN INDICATIVO'!K301</f>
        <v>A.8.1.9</v>
      </c>
      <c r="L305" s="301" t="str">
        <f>'PLAN INDICATIVO'!L301</f>
        <v>12. Producción y consumo responsables</v>
      </c>
      <c r="M305" s="301" t="str">
        <f>'PLAN INDICATIVO'!M301</f>
        <v>Unidad de Desarrollo Rural</v>
      </c>
      <c r="N305" s="1425" t="str">
        <f>'PLAN INDICATIVO'!N301</f>
        <v>GABRIEL ERNESTO CAMPOS ALVIRA</v>
      </c>
      <c r="O305" s="1425" t="str">
        <f>'PLAN INDICATIVO'!O301</f>
        <v>Incremento</v>
      </c>
      <c r="P305" s="16" t="str">
        <f>'PLAN INDICATIVO'!P301</f>
        <v>Realizar acompañamiento técnico y social a 2.000  familias vulnerables   en la implementación de agricultura rural durante el cuatrienio.</v>
      </c>
      <c r="Q305" s="302" t="str">
        <f>'PLAN INDICATIVO'!Q301</f>
        <v>No. De familias con acompañamiento técnico</v>
      </c>
      <c r="R305" s="303">
        <f>'PLAN INDICATIVO'!R301</f>
        <v>2015</v>
      </c>
      <c r="S305" s="304" t="s">
        <v>177</v>
      </c>
      <c r="T305" s="498">
        <v>2000</v>
      </c>
      <c r="U305" s="303">
        <v>500</v>
      </c>
      <c r="V305" s="687">
        <v>5000000</v>
      </c>
      <c r="W305" s="572">
        <v>500</v>
      </c>
      <c r="X305" s="687">
        <v>5000000</v>
      </c>
      <c r="Y305" s="572">
        <v>500</v>
      </c>
      <c r="Z305" s="687">
        <v>14000000</v>
      </c>
      <c r="AA305" s="572">
        <v>500</v>
      </c>
      <c r="AB305" s="687">
        <v>16000000</v>
      </c>
      <c r="AC305" s="665">
        <f>300+300</f>
        <v>600</v>
      </c>
      <c r="AD305" s="667">
        <v>500</v>
      </c>
      <c r="AE305" s="665"/>
      <c r="AF305" s="665"/>
      <c r="AG305" s="887" t="s">
        <v>3732</v>
      </c>
      <c r="AH305" s="994">
        <v>2017413960038</v>
      </c>
      <c r="AI305" s="336" t="s">
        <v>3735</v>
      </c>
      <c r="AJ305" s="309">
        <v>42917</v>
      </c>
      <c r="AK305" s="309">
        <v>43100</v>
      </c>
      <c r="AL305" s="308"/>
      <c r="AM305" s="308"/>
      <c r="AN305" s="267" t="s">
        <v>2598</v>
      </c>
      <c r="AO305" s="507" t="s">
        <v>3736</v>
      </c>
      <c r="AP305" s="965"/>
      <c r="AQ305" s="966">
        <v>14000000</v>
      </c>
      <c r="AR305" s="966"/>
      <c r="AS305" s="966"/>
      <c r="AT305" s="966"/>
      <c r="AU305" s="966"/>
      <c r="AV305" s="966"/>
      <c r="AW305" s="544">
        <f t="shared" si="128"/>
        <v>14000000</v>
      </c>
      <c r="AX305" s="525"/>
      <c r="AY305" s="310"/>
      <c r="AZ305" s="310"/>
      <c r="BA305" s="310"/>
      <c r="BB305" s="310"/>
      <c r="BC305" s="310"/>
      <c r="BD305" s="310"/>
      <c r="BE305" s="544">
        <f t="shared" si="143"/>
        <v>0</v>
      </c>
      <c r="BF305" s="525"/>
      <c r="BG305" s="310"/>
      <c r="BH305" s="310"/>
      <c r="BI305" s="310"/>
      <c r="BJ305" s="310"/>
      <c r="BK305" s="310"/>
      <c r="BL305" s="310"/>
      <c r="BM305" s="544">
        <f t="shared" si="144"/>
        <v>0</v>
      </c>
      <c r="BN305" s="525"/>
      <c r="BO305" s="310"/>
      <c r="BP305" s="310"/>
      <c r="BQ305" s="310"/>
      <c r="BR305" s="310"/>
      <c r="BS305" s="310"/>
      <c r="BT305" s="310"/>
      <c r="BU305" s="544">
        <f t="shared" si="145"/>
        <v>0</v>
      </c>
      <c r="BV305" s="556"/>
      <c r="BW305" s="663">
        <f t="shared" si="133"/>
        <v>1100</v>
      </c>
      <c r="BX305" s="877">
        <f t="shared" si="134"/>
        <v>0.55000000000000004</v>
      </c>
      <c r="BY305" s="674">
        <f t="shared" si="135"/>
        <v>1.2</v>
      </c>
      <c r="BZ305" s="674">
        <f t="shared" si="136"/>
        <v>1</v>
      </c>
      <c r="CA305" s="675">
        <f t="shared" si="137"/>
        <v>0</v>
      </c>
      <c r="CB305" s="675">
        <f t="shared" si="138"/>
        <v>0</v>
      </c>
    </row>
    <row r="306" spans="1:80" ht="72" hidden="1" customHeight="1" x14ac:dyDescent="0.25">
      <c r="A306" s="298" t="s">
        <v>896</v>
      </c>
      <c r="B306" s="299" t="str">
        <f>'PLAN INDICATIVO'!B302</f>
        <v>Agropecuario</v>
      </c>
      <c r="C306" s="1547"/>
      <c r="D306" s="1549"/>
      <c r="E306" s="1549"/>
      <c r="F306" s="1549"/>
      <c r="G306" s="1549"/>
      <c r="H306" s="1549"/>
      <c r="I306" s="300">
        <f>'PLAN INDICATIVO'!I302</f>
        <v>0</v>
      </c>
      <c r="J306" s="300">
        <f>'PLAN INDICATIVO'!J302</f>
        <v>0</v>
      </c>
      <c r="K306" s="1428" t="str">
        <f>'PLAN INDICATIVO'!K302</f>
        <v>A.8.1.10</v>
      </c>
      <c r="L306" s="301" t="str">
        <f>'PLAN INDICATIVO'!L302</f>
        <v>12. Producción y consumo responsables</v>
      </c>
      <c r="M306" s="301" t="str">
        <f>'PLAN INDICATIVO'!M302</f>
        <v>Unidad de Desarrollo Rural</v>
      </c>
      <c r="N306" s="1425" t="str">
        <f>'PLAN INDICATIVO'!N302</f>
        <v>GABRIEL ERNESTO CAMPOS ALVIRA</v>
      </c>
      <c r="O306" s="1425" t="str">
        <f>'PLAN INDICATIVO'!O302</f>
        <v>Incremento</v>
      </c>
      <c r="P306" s="16" t="str">
        <f>'PLAN INDICATIVO'!P302</f>
        <v>Realizar acompañamiento técnico y social a 1.000  familias en la implementación de agricultura en la zona urbana durante el cuatrienio.</v>
      </c>
      <c r="Q306" s="302" t="str">
        <f>'PLAN INDICATIVO'!Q302</f>
        <v>No. De familias beneficiadas</v>
      </c>
      <c r="R306" s="303">
        <f>'PLAN INDICATIVO'!R302</f>
        <v>2015</v>
      </c>
      <c r="S306" s="304" t="s">
        <v>177</v>
      </c>
      <c r="T306" s="498">
        <v>1000</v>
      </c>
      <c r="U306" s="303">
        <v>250</v>
      </c>
      <c r="V306" s="687">
        <v>4000000</v>
      </c>
      <c r="W306" s="572">
        <v>250</v>
      </c>
      <c r="X306" s="687">
        <v>3000000</v>
      </c>
      <c r="Y306" s="572">
        <v>250</v>
      </c>
      <c r="Z306" s="687">
        <v>14000000</v>
      </c>
      <c r="AA306" s="572">
        <v>250</v>
      </c>
      <c r="AB306" s="687">
        <v>15000000</v>
      </c>
      <c r="AC306" s="665">
        <f>100+400</f>
        <v>500</v>
      </c>
      <c r="AD306" s="667">
        <v>250</v>
      </c>
      <c r="AE306" s="665"/>
      <c r="AF306" s="667"/>
      <c r="AG306" s="892" t="s">
        <v>3718</v>
      </c>
      <c r="AH306" s="994">
        <v>2017413960038</v>
      </c>
      <c r="AI306" s="336" t="s">
        <v>3735</v>
      </c>
      <c r="AJ306" s="890">
        <v>42917</v>
      </c>
      <c r="AK306" s="309">
        <v>43100</v>
      </c>
      <c r="AL306" s="337"/>
      <c r="AM306" s="337"/>
      <c r="AN306" s="267" t="s">
        <v>2598</v>
      </c>
      <c r="AO306" s="510" t="s">
        <v>3726</v>
      </c>
      <c r="AP306" s="969">
        <v>11530000</v>
      </c>
      <c r="AQ306" s="970"/>
      <c r="AR306" s="970"/>
      <c r="AS306" s="970"/>
      <c r="AT306" s="970"/>
      <c r="AU306" s="970"/>
      <c r="AV306" s="970"/>
      <c r="AW306" s="544">
        <f t="shared" si="128"/>
        <v>11530000</v>
      </c>
      <c r="AX306" s="525"/>
      <c r="AY306" s="310"/>
      <c r="AZ306" s="310"/>
      <c r="BA306" s="310"/>
      <c r="BB306" s="310"/>
      <c r="BC306" s="310"/>
      <c r="BD306" s="310"/>
      <c r="BE306" s="544">
        <f t="shared" si="143"/>
        <v>0</v>
      </c>
      <c r="BF306" s="525"/>
      <c r="BG306" s="310"/>
      <c r="BH306" s="310"/>
      <c r="BI306" s="310"/>
      <c r="BJ306" s="310"/>
      <c r="BK306" s="310"/>
      <c r="BL306" s="310"/>
      <c r="BM306" s="544">
        <f t="shared" si="144"/>
        <v>0</v>
      </c>
      <c r="BN306" s="525"/>
      <c r="BO306" s="310"/>
      <c r="BP306" s="310"/>
      <c r="BQ306" s="310"/>
      <c r="BR306" s="310"/>
      <c r="BS306" s="310"/>
      <c r="BT306" s="310"/>
      <c r="BU306" s="544">
        <f t="shared" si="145"/>
        <v>0</v>
      </c>
      <c r="BV306" s="556"/>
      <c r="BW306" s="663">
        <f t="shared" si="133"/>
        <v>750</v>
      </c>
      <c r="BX306" s="674">
        <f t="shared" si="134"/>
        <v>0.75</v>
      </c>
      <c r="BY306" s="674">
        <f t="shared" si="135"/>
        <v>2</v>
      </c>
      <c r="BZ306" s="674">
        <f t="shared" si="136"/>
        <v>1</v>
      </c>
      <c r="CA306" s="675">
        <f t="shared" si="137"/>
        <v>0</v>
      </c>
      <c r="CB306" s="675">
        <f t="shared" si="138"/>
        <v>0</v>
      </c>
    </row>
    <row r="307" spans="1:80" ht="78" hidden="1" customHeight="1" x14ac:dyDescent="0.25">
      <c r="A307" s="298" t="s">
        <v>896</v>
      </c>
      <c r="B307" s="299" t="str">
        <f>'PLAN INDICATIVO'!B303</f>
        <v>Agropecuario</v>
      </c>
      <c r="C307" s="1547"/>
      <c r="D307" s="1549"/>
      <c r="E307" s="1549"/>
      <c r="F307" s="1549"/>
      <c r="G307" s="1549"/>
      <c r="H307" s="1549"/>
      <c r="I307" s="300">
        <f>'PLAN INDICATIVO'!I303</f>
        <v>0</v>
      </c>
      <c r="J307" s="300">
        <f>'PLAN INDICATIVO'!J303</f>
        <v>0</v>
      </c>
      <c r="K307" s="1428" t="str">
        <f>'PLAN INDICATIVO'!K303</f>
        <v>A.8.1.11</v>
      </c>
      <c r="L307" s="301" t="str">
        <f>'PLAN INDICATIVO'!L303</f>
        <v>12. Producción y consumo responsables</v>
      </c>
      <c r="M307" s="301" t="str">
        <f>'PLAN INDICATIVO'!M303</f>
        <v>Unidad de Desarrollo Rural</v>
      </c>
      <c r="N307" s="1425" t="str">
        <f>'PLAN INDICATIVO'!N303</f>
        <v>GABRIEL ERNESTO CAMPOS ALVIRA</v>
      </c>
      <c r="O307" s="1425" t="str">
        <f>'PLAN INDICATIVO'!O303</f>
        <v>Incremento</v>
      </c>
      <c r="P307" s="16" t="str">
        <f>'PLAN INDICATIVO'!P303</f>
        <v>Realizar 6 actividades cada año, para fortalecimiento de mercados campesinos "María Helena Cortes"</v>
      </c>
      <c r="Q307" s="302" t="str">
        <f>'PLAN INDICATIVO'!Q303</f>
        <v>No. De actividades realizadas por año</v>
      </c>
      <c r="R307" s="303">
        <f>'PLAN INDICATIVO'!R303</f>
        <v>2015</v>
      </c>
      <c r="S307" s="304">
        <v>0</v>
      </c>
      <c r="T307" s="498">
        <v>24</v>
      </c>
      <c r="U307" s="572">
        <v>6</v>
      </c>
      <c r="V307" s="687">
        <v>2000000</v>
      </c>
      <c r="W307" s="572">
        <v>6</v>
      </c>
      <c r="X307" s="687">
        <v>2000000</v>
      </c>
      <c r="Y307" s="572">
        <v>6</v>
      </c>
      <c r="Z307" s="687">
        <v>9000000</v>
      </c>
      <c r="AA307" s="572">
        <v>6</v>
      </c>
      <c r="AB307" s="687">
        <v>10000000</v>
      </c>
      <c r="AC307" s="665">
        <v>1</v>
      </c>
      <c r="AD307" s="665">
        <v>6</v>
      </c>
      <c r="AE307" s="665"/>
      <c r="AF307" s="665"/>
      <c r="AG307" s="892" t="s">
        <v>3722</v>
      </c>
      <c r="AH307" s="994">
        <v>2017413960038</v>
      </c>
      <c r="AI307" s="307" t="s">
        <v>3737</v>
      </c>
      <c r="AJ307" s="890">
        <v>42917</v>
      </c>
      <c r="AK307" s="309">
        <v>43100</v>
      </c>
      <c r="AL307" s="308"/>
      <c r="AM307" s="308"/>
      <c r="AN307" s="267" t="s">
        <v>2598</v>
      </c>
      <c r="AO307" s="507" t="s">
        <v>3738</v>
      </c>
      <c r="AP307" s="965">
        <v>5000000</v>
      </c>
      <c r="AQ307" s="966"/>
      <c r="AR307" s="966"/>
      <c r="AS307" s="966"/>
      <c r="AT307" s="966"/>
      <c r="AU307" s="966"/>
      <c r="AV307" s="966"/>
      <c r="AW307" s="544">
        <f>AP307+AQ307+AR307+AS307+AT307+AU307+AV307</f>
        <v>5000000</v>
      </c>
      <c r="AX307" s="525"/>
      <c r="AY307" s="310"/>
      <c r="AZ307" s="310"/>
      <c r="BA307" s="310"/>
      <c r="BB307" s="310"/>
      <c r="BC307" s="310"/>
      <c r="BD307" s="310"/>
      <c r="BE307" s="544">
        <f t="shared" si="143"/>
        <v>0</v>
      </c>
      <c r="BF307" s="525"/>
      <c r="BG307" s="310"/>
      <c r="BH307" s="310"/>
      <c r="BI307" s="310"/>
      <c r="BJ307" s="310"/>
      <c r="BK307" s="310"/>
      <c r="BL307" s="310"/>
      <c r="BM307" s="544">
        <f t="shared" si="144"/>
        <v>0</v>
      </c>
      <c r="BN307" s="525"/>
      <c r="BO307" s="310"/>
      <c r="BP307" s="310"/>
      <c r="BQ307" s="310"/>
      <c r="BR307" s="310"/>
      <c r="BS307" s="310"/>
      <c r="BT307" s="310"/>
      <c r="BU307" s="544">
        <f t="shared" si="145"/>
        <v>0</v>
      </c>
      <c r="BV307" s="556"/>
      <c r="BW307" s="663">
        <f t="shared" si="133"/>
        <v>7</v>
      </c>
      <c r="BX307" s="877">
        <f t="shared" si="134"/>
        <v>0.29166666666666669</v>
      </c>
      <c r="BY307" s="674">
        <f t="shared" si="135"/>
        <v>0.16666666666666666</v>
      </c>
      <c r="BZ307" s="674">
        <f t="shared" si="136"/>
        <v>1</v>
      </c>
      <c r="CA307" s="675">
        <f t="shared" si="137"/>
        <v>0</v>
      </c>
      <c r="CB307" s="675">
        <f t="shared" si="138"/>
        <v>0</v>
      </c>
    </row>
    <row r="308" spans="1:80" ht="72" hidden="1" customHeight="1" x14ac:dyDescent="0.25">
      <c r="A308" s="298" t="s">
        <v>896</v>
      </c>
      <c r="B308" s="299" t="str">
        <f>'PLAN INDICATIVO'!B304</f>
        <v>Agropecuario</v>
      </c>
      <c r="C308" s="1547"/>
      <c r="D308" s="1549"/>
      <c r="E308" s="1549"/>
      <c r="F308" s="1549"/>
      <c r="G308" s="1549"/>
      <c r="H308" s="1549"/>
      <c r="I308" s="300">
        <f>'PLAN INDICATIVO'!I304</f>
        <v>0</v>
      </c>
      <c r="J308" s="300">
        <f>'PLAN INDICATIVO'!J304</f>
        <v>0</v>
      </c>
      <c r="K308" s="1428" t="str">
        <f>'PLAN INDICATIVO'!K304</f>
        <v>A.8.1.12</v>
      </c>
      <c r="L308" s="301" t="str">
        <f>'PLAN INDICATIVO'!L304</f>
        <v>12. Producción y consumo responsables</v>
      </c>
      <c r="M308" s="301" t="str">
        <f>'PLAN INDICATIVO'!M304</f>
        <v>Unidad de Desarrollo Rural</v>
      </c>
      <c r="N308" s="1425" t="str">
        <f>'PLAN INDICATIVO'!N304</f>
        <v>GABRIEL ERNESTO CAMPOS ALVIRA</v>
      </c>
      <c r="O308" s="1425" t="str">
        <f>'PLAN INDICATIVO'!O304</f>
        <v>Incremento</v>
      </c>
      <c r="P308" s="16" t="str">
        <f>'PLAN INDICATIVO'!P304</f>
        <v>Realizar 10 capacitaciones en busca del fortalecimiento en la agricultura, cada año</v>
      </c>
      <c r="Q308" s="302" t="str">
        <f>'PLAN INDICATIVO'!Q304</f>
        <v>No. De capacitaciones realizadas por año</v>
      </c>
      <c r="R308" s="303">
        <f>'PLAN INDICATIVO'!R304</f>
        <v>2015</v>
      </c>
      <c r="S308" s="304">
        <v>0</v>
      </c>
      <c r="T308" s="498">
        <v>40</v>
      </c>
      <c r="U308" s="572">
        <v>10</v>
      </c>
      <c r="V308" s="687">
        <v>1000000</v>
      </c>
      <c r="W308" s="572">
        <v>10</v>
      </c>
      <c r="X308" s="687">
        <v>1500000</v>
      </c>
      <c r="Y308" s="572">
        <v>10</v>
      </c>
      <c r="Z308" s="687">
        <v>4000000</v>
      </c>
      <c r="AA308" s="572">
        <v>10</v>
      </c>
      <c r="AB308" s="687">
        <v>4000000</v>
      </c>
      <c r="AC308" s="665">
        <f>3+7</f>
        <v>10</v>
      </c>
      <c r="AD308" s="665">
        <v>10</v>
      </c>
      <c r="AE308" s="665"/>
      <c r="AF308" s="665"/>
      <c r="AG308" s="892" t="s">
        <v>3722</v>
      </c>
      <c r="AH308" s="994">
        <v>2017413960038</v>
      </c>
      <c r="AI308" s="307" t="s">
        <v>3739</v>
      </c>
      <c r="AJ308" s="309">
        <v>42826</v>
      </c>
      <c r="AK308" s="309">
        <v>43100</v>
      </c>
      <c r="AL308" s="308"/>
      <c r="AM308" s="308"/>
      <c r="AN308" s="267" t="s">
        <v>2598</v>
      </c>
      <c r="AO308" s="507" t="s">
        <v>3738</v>
      </c>
      <c r="AP308" s="965">
        <v>1000000</v>
      </c>
      <c r="AQ308" s="966"/>
      <c r="AR308" s="966"/>
      <c r="AS308" s="966"/>
      <c r="AT308" s="966"/>
      <c r="AU308" s="966"/>
      <c r="AV308" s="966"/>
      <c r="AW308" s="544">
        <f>AP308+AQ308+AR308+AS308+AT308+AU308+AV308</f>
        <v>1000000</v>
      </c>
      <c r="AX308" s="525"/>
      <c r="AY308" s="310"/>
      <c r="AZ308" s="310"/>
      <c r="BA308" s="310"/>
      <c r="BB308" s="310"/>
      <c r="BC308" s="310"/>
      <c r="BD308" s="310"/>
      <c r="BE308" s="544">
        <f t="shared" si="143"/>
        <v>0</v>
      </c>
      <c r="BF308" s="525"/>
      <c r="BG308" s="310"/>
      <c r="BH308" s="310"/>
      <c r="BI308" s="310"/>
      <c r="BJ308" s="310"/>
      <c r="BK308" s="310"/>
      <c r="BL308" s="310"/>
      <c r="BM308" s="544">
        <f t="shared" si="144"/>
        <v>0</v>
      </c>
      <c r="BN308" s="525"/>
      <c r="BO308" s="310"/>
      <c r="BP308" s="310"/>
      <c r="BQ308" s="310"/>
      <c r="BR308" s="310"/>
      <c r="BS308" s="310"/>
      <c r="BT308" s="310"/>
      <c r="BU308" s="544">
        <f t="shared" si="145"/>
        <v>0</v>
      </c>
      <c r="BV308" s="556"/>
      <c r="BW308" s="663">
        <f t="shared" si="133"/>
        <v>20</v>
      </c>
      <c r="BX308" s="674">
        <f t="shared" si="134"/>
        <v>0.5</v>
      </c>
      <c r="BY308" s="674">
        <f t="shared" si="135"/>
        <v>1</v>
      </c>
      <c r="BZ308" s="674">
        <f t="shared" si="136"/>
        <v>1</v>
      </c>
      <c r="CA308" s="675">
        <f t="shared" si="137"/>
        <v>0</v>
      </c>
      <c r="CB308" s="675">
        <f t="shared" si="138"/>
        <v>0</v>
      </c>
    </row>
    <row r="309" spans="1:80" ht="124.5" hidden="1" customHeight="1" x14ac:dyDescent="0.25">
      <c r="A309" s="298" t="s">
        <v>896</v>
      </c>
      <c r="B309" s="299" t="str">
        <f>'PLAN INDICATIVO'!B305</f>
        <v>Agropecuario</v>
      </c>
      <c r="C309" s="1547"/>
      <c r="D309" s="1549"/>
      <c r="E309" s="1549"/>
      <c r="F309" s="1549"/>
      <c r="G309" s="1549"/>
      <c r="H309" s="1549"/>
      <c r="I309" s="300">
        <f>'PLAN INDICATIVO'!I305</f>
        <v>0</v>
      </c>
      <c r="J309" s="300">
        <f>'PLAN INDICATIVO'!J305</f>
        <v>0</v>
      </c>
      <c r="K309" s="1428" t="str">
        <f>'PLAN INDICATIVO'!K305</f>
        <v>A.8.1.13</v>
      </c>
      <c r="L309" s="301" t="str">
        <f>'PLAN INDICATIVO'!L305</f>
        <v>12. Producción y consumo responsables</v>
      </c>
      <c r="M309" s="301" t="str">
        <f>'PLAN INDICATIVO'!M305</f>
        <v>Unidad de Desarrollo Rural</v>
      </c>
      <c r="N309" s="1425" t="str">
        <f>'PLAN INDICATIVO'!N305</f>
        <v>GABRIEL ERNESTO CAMPOS ALVIRA</v>
      </c>
      <c r="O309" s="1425" t="str">
        <f>'PLAN INDICATIVO'!O305</f>
        <v>Incremento</v>
      </c>
      <c r="P309" s="16" t="str">
        <f>'PLAN INDICATIVO'!P305</f>
        <v>Asegurar 100 has cultivadas con frutales y cultivos permanentes con garantía de sostenibilidad técnica y comercial en el municipio de La Plata, durante el cuatrienio</v>
      </c>
      <c r="Q309" s="302" t="str">
        <f>'PLAN INDICATIVO'!Q305</f>
        <v>No. De hectáreas cultivadas</v>
      </c>
      <c r="R309" s="303">
        <f>'PLAN INDICATIVO'!R305</f>
        <v>2015</v>
      </c>
      <c r="S309" s="304">
        <v>0</v>
      </c>
      <c r="T309" s="498">
        <v>100</v>
      </c>
      <c r="U309" s="572">
        <v>25</v>
      </c>
      <c r="V309" s="687">
        <v>3000000</v>
      </c>
      <c r="W309" s="572">
        <v>25</v>
      </c>
      <c r="X309" s="687">
        <v>3000000</v>
      </c>
      <c r="Y309" s="572">
        <v>25</v>
      </c>
      <c r="Z309" s="687">
        <v>12000000</v>
      </c>
      <c r="AA309" s="572">
        <v>25</v>
      </c>
      <c r="AB309" s="687">
        <v>15000000</v>
      </c>
      <c r="AC309" s="665">
        <v>30</v>
      </c>
      <c r="AD309" s="665">
        <v>25</v>
      </c>
      <c r="AE309" s="665"/>
      <c r="AF309" s="665"/>
      <c r="AG309" s="891" t="s">
        <v>3718</v>
      </c>
      <c r="AH309" s="994">
        <v>2017413960038</v>
      </c>
      <c r="AI309" s="336" t="s">
        <v>3740</v>
      </c>
      <c r="AJ309" s="309">
        <v>42767</v>
      </c>
      <c r="AK309" s="309">
        <v>43100</v>
      </c>
      <c r="AL309" s="308"/>
      <c r="AM309" s="308"/>
      <c r="AN309" s="267" t="s">
        <v>2598</v>
      </c>
      <c r="AO309" s="507" t="s">
        <v>3734</v>
      </c>
      <c r="AP309" s="965"/>
      <c r="AQ309" s="966">
        <v>10000000</v>
      </c>
      <c r="AR309" s="966"/>
      <c r="AS309" s="966"/>
      <c r="AT309" s="966"/>
      <c r="AU309" s="966"/>
      <c r="AV309" s="966"/>
      <c r="AW309" s="544">
        <f>AP309+AQ309+AR309+AS309+AT309+AU309+AV309</f>
        <v>10000000</v>
      </c>
      <c r="AX309" s="525"/>
      <c r="AY309" s="310"/>
      <c r="AZ309" s="310"/>
      <c r="BA309" s="310"/>
      <c r="BB309" s="310"/>
      <c r="BC309" s="310"/>
      <c r="BD309" s="310"/>
      <c r="BE309" s="544">
        <f t="shared" si="143"/>
        <v>0</v>
      </c>
      <c r="BF309" s="525"/>
      <c r="BG309" s="310"/>
      <c r="BH309" s="310"/>
      <c r="BI309" s="310"/>
      <c r="BJ309" s="310"/>
      <c r="BK309" s="310"/>
      <c r="BL309" s="310"/>
      <c r="BM309" s="544">
        <f t="shared" si="144"/>
        <v>0</v>
      </c>
      <c r="BN309" s="525"/>
      <c r="BO309" s="310"/>
      <c r="BP309" s="310"/>
      <c r="BQ309" s="310"/>
      <c r="BR309" s="310"/>
      <c r="BS309" s="310"/>
      <c r="BT309" s="310"/>
      <c r="BU309" s="544">
        <f t="shared" si="145"/>
        <v>0</v>
      </c>
      <c r="BV309" s="556"/>
      <c r="BW309" s="663">
        <f t="shared" si="133"/>
        <v>55</v>
      </c>
      <c r="BX309" s="674">
        <f t="shared" si="134"/>
        <v>0.55000000000000004</v>
      </c>
      <c r="BY309" s="674">
        <f t="shared" si="135"/>
        <v>1.2</v>
      </c>
      <c r="BZ309" s="674">
        <f t="shared" si="136"/>
        <v>1</v>
      </c>
      <c r="CA309" s="675">
        <f t="shared" si="137"/>
        <v>0</v>
      </c>
      <c r="CB309" s="675">
        <f t="shared" si="138"/>
        <v>0</v>
      </c>
    </row>
    <row r="310" spans="1:80" ht="92.25" hidden="1" customHeight="1" x14ac:dyDescent="0.25">
      <c r="A310" s="298" t="s">
        <v>896</v>
      </c>
      <c r="B310" s="299" t="str">
        <f>'PLAN INDICATIVO'!B306</f>
        <v>Agropecuario</v>
      </c>
      <c r="C310" s="1547"/>
      <c r="D310" s="1549"/>
      <c r="E310" s="1549"/>
      <c r="F310" s="1549"/>
      <c r="G310" s="1549"/>
      <c r="H310" s="1549"/>
      <c r="I310" s="300">
        <f>'PLAN INDICATIVO'!I306</f>
        <v>0</v>
      </c>
      <c r="J310" s="300">
        <f>'PLAN INDICATIVO'!J306</f>
        <v>0</v>
      </c>
      <c r="K310" s="1428" t="str">
        <f>'PLAN INDICATIVO'!K306</f>
        <v>A.8.1.14</v>
      </c>
      <c r="L310" s="301" t="str">
        <f>'PLAN INDICATIVO'!L306</f>
        <v>12. Producción y consumo responsables</v>
      </c>
      <c r="M310" s="301" t="str">
        <f>'PLAN INDICATIVO'!M306</f>
        <v>Unidad de Desarrollo Rural</v>
      </c>
      <c r="N310" s="1425" t="str">
        <f>'PLAN INDICATIVO'!N306</f>
        <v>GABRIEL ERNESTO CAMPOS ALVIRA</v>
      </c>
      <c r="O310" s="1425" t="str">
        <f>'PLAN INDICATIVO'!O306</f>
        <v>Incremento</v>
      </c>
      <c r="P310" s="16" t="str">
        <f>'PLAN INDICATIVO'!P306</f>
        <v xml:space="preserve">Capacitar 200 grupos productores de cafés  en compañía con Sena y cámara de comercio, con objetivo de garantizar su calidad, durante el cuatrienio </v>
      </c>
      <c r="Q310" s="302" t="str">
        <f>'PLAN INDICATIVO'!Q306</f>
        <v>No. De grupos capacitados</v>
      </c>
      <c r="R310" s="303">
        <f>'PLAN INDICATIVO'!R306</f>
        <v>2015</v>
      </c>
      <c r="S310" s="304">
        <v>0</v>
      </c>
      <c r="T310" s="498">
        <v>200</v>
      </c>
      <c r="U310" s="572">
        <v>50</v>
      </c>
      <c r="V310" s="687">
        <v>5000000</v>
      </c>
      <c r="W310" s="572">
        <v>50</v>
      </c>
      <c r="X310" s="687">
        <v>5000000</v>
      </c>
      <c r="Y310" s="572">
        <v>50</v>
      </c>
      <c r="Z310" s="687">
        <v>9000000</v>
      </c>
      <c r="AA310" s="572">
        <v>50</v>
      </c>
      <c r="AB310" s="687">
        <v>10000000</v>
      </c>
      <c r="AC310" s="665">
        <v>50</v>
      </c>
      <c r="AD310" s="665">
        <v>50</v>
      </c>
      <c r="AE310" s="665"/>
      <c r="AF310" s="665"/>
      <c r="AG310" s="920" t="s">
        <v>3718</v>
      </c>
      <c r="AH310" s="994">
        <v>2017413960038</v>
      </c>
      <c r="AI310" s="307" t="s">
        <v>3741</v>
      </c>
      <c r="AJ310" s="838">
        <v>42887</v>
      </c>
      <c r="AK310" s="838">
        <v>43099</v>
      </c>
      <c r="AL310" s="308"/>
      <c r="AM310" s="308"/>
      <c r="AN310" s="267" t="s">
        <v>2598</v>
      </c>
      <c r="AO310" s="507" t="s">
        <v>3742</v>
      </c>
      <c r="AP310" s="967">
        <v>2500000</v>
      </c>
      <c r="AQ310" s="966"/>
      <c r="AR310" s="966"/>
      <c r="AS310" s="966"/>
      <c r="AT310" s="966"/>
      <c r="AU310" s="966"/>
      <c r="AV310" s="966"/>
      <c r="AW310" s="544">
        <f>AP310+AQ310+AR310+AS310+AT310+AU310+AV310</f>
        <v>2500000</v>
      </c>
      <c r="AX310" s="531"/>
      <c r="AY310" s="310"/>
      <c r="AZ310" s="310"/>
      <c r="BA310" s="310"/>
      <c r="BB310" s="310"/>
      <c r="BC310" s="310"/>
      <c r="BD310" s="310"/>
      <c r="BE310" s="544">
        <f t="shared" si="143"/>
        <v>0</v>
      </c>
      <c r="BF310" s="531"/>
      <c r="BG310" s="310"/>
      <c r="BH310" s="310"/>
      <c r="BI310" s="310"/>
      <c r="BJ310" s="310"/>
      <c r="BK310" s="310"/>
      <c r="BL310" s="310"/>
      <c r="BM310" s="544">
        <f t="shared" si="144"/>
        <v>0</v>
      </c>
      <c r="BN310" s="531"/>
      <c r="BO310" s="310"/>
      <c r="BP310" s="310"/>
      <c r="BQ310" s="310"/>
      <c r="BR310" s="310"/>
      <c r="BS310" s="310"/>
      <c r="BT310" s="310"/>
      <c r="BU310" s="544">
        <f t="shared" si="145"/>
        <v>0</v>
      </c>
      <c r="BV310" s="556"/>
      <c r="BW310" s="663">
        <f t="shared" si="133"/>
        <v>100</v>
      </c>
      <c r="BX310" s="674">
        <f t="shared" si="134"/>
        <v>0.5</v>
      </c>
      <c r="BY310" s="674">
        <f t="shared" si="135"/>
        <v>1</v>
      </c>
      <c r="BZ310" s="674">
        <f t="shared" si="136"/>
        <v>1</v>
      </c>
      <c r="CA310" s="675">
        <f t="shared" si="137"/>
        <v>0</v>
      </c>
      <c r="CB310" s="675">
        <f t="shared" si="138"/>
        <v>0</v>
      </c>
    </row>
    <row r="311" spans="1:80" ht="87.75" hidden="1" customHeight="1" x14ac:dyDescent="0.25">
      <c r="A311" s="298" t="s">
        <v>896</v>
      </c>
      <c r="B311" s="299" t="str">
        <f>'PLAN INDICATIVO'!B307</f>
        <v>Agropecuario</v>
      </c>
      <c r="C311" s="1547"/>
      <c r="D311" s="1549"/>
      <c r="E311" s="1549"/>
      <c r="F311" s="1549"/>
      <c r="G311" s="1549"/>
      <c r="H311" s="1549"/>
      <c r="I311" s="300">
        <f>'PLAN INDICATIVO'!I307</f>
        <v>0</v>
      </c>
      <c r="J311" s="300">
        <f>'PLAN INDICATIVO'!J307</f>
        <v>0</v>
      </c>
      <c r="K311" s="1428" t="str">
        <f>'PLAN INDICATIVO'!K307</f>
        <v>A.8.1.15</v>
      </c>
      <c r="L311" s="301" t="str">
        <f>'PLAN INDICATIVO'!L307</f>
        <v>12. Producción y consumo responsables</v>
      </c>
      <c r="M311" s="301" t="str">
        <f>'PLAN INDICATIVO'!M307</f>
        <v>Unidad de Desarrollo Rural</v>
      </c>
      <c r="N311" s="1425" t="str">
        <f>'PLAN INDICATIVO'!N307</f>
        <v>GABRIEL ERNESTO CAMPOS ALVIRA</v>
      </c>
      <c r="O311" s="1425" t="str">
        <f>'PLAN INDICATIVO'!O307</f>
        <v>Incremento</v>
      </c>
      <c r="P311" s="820" t="str">
        <f>'PLAN INDICATIVO'!P307</f>
        <v>Realizar 1  certámenes anuales  feriales de apoyo al desarrollo agropecuario</v>
      </c>
      <c r="Q311" s="302" t="str">
        <f>'PLAN INDICATIVO'!Q307</f>
        <v>No. De certámenes realizados por año</v>
      </c>
      <c r="R311" s="303">
        <f>'PLAN INDICATIVO'!R307</f>
        <v>2015</v>
      </c>
      <c r="S311" s="304">
        <v>1</v>
      </c>
      <c r="T311" s="498">
        <v>2</v>
      </c>
      <c r="U311" s="572">
        <v>2</v>
      </c>
      <c r="V311" s="687">
        <v>12000000</v>
      </c>
      <c r="W311" s="572">
        <v>1</v>
      </c>
      <c r="X311" s="687">
        <v>15000000</v>
      </c>
      <c r="Y311" s="572">
        <v>1</v>
      </c>
      <c r="Z311" s="687">
        <v>20000000</v>
      </c>
      <c r="AA311" s="572">
        <v>1</v>
      </c>
      <c r="AB311" s="687">
        <v>20000000</v>
      </c>
      <c r="AC311" s="665">
        <f>1+1</f>
        <v>2</v>
      </c>
      <c r="AD311" s="665">
        <v>1</v>
      </c>
      <c r="AE311" s="665"/>
      <c r="AF311" s="665"/>
      <c r="AG311" s="921" t="s">
        <v>3727</v>
      </c>
      <c r="AH311" s="994">
        <v>2017413960038</v>
      </c>
      <c r="AI311" s="307" t="s">
        <v>3743</v>
      </c>
      <c r="AJ311" s="838">
        <v>42795</v>
      </c>
      <c r="AK311" s="838">
        <v>42977</v>
      </c>
      <c r="AL311" s="308"/>
      <c r="AM311" s="308"/>
      <c r="AN311" s="267" t="s">
        <v>2604</v>
      </c>
      <c r="AO311" s="507" t="s">
        <v>3744</v>
      </c>
      <c r="AP311" s="967">
        <v>14060266</v>
      </c>
      <c r="AQ311" s="966"/>
      <c r="AR311" s="966"/>
      <c r="AS311" s="966"/>
      <c r="AT311" s="966"/>
      <c r="AU311" s="966"/>
      <c r="AV311" s="966"/>
      <c r="AW311" s="544">
        <f t="shared" si="128"/>
        <v>14060266</v>
      </c>
      <c r="AX311" s="531"/>
      <c r="AY311" s="310"/>
      <c r="AZ311" s="310"/>
      <c r="BA311" s="310"/>
      <c r="BB311" s="310"/>
      <c r="BC311" s="310"/>
      <c r="BD311" s="310"/>
      <c r="BE311" s="544">
        <f t="shared" si="143"/>
        <v>0</v>
      </c>
      <c r="BF311" s="531"/>
      <c r="BG311" s="310"/>
      <c r="BH311" s="310"/>
      <c r="BI311" s="310"/>
      <c r="BJ311" s="310"/>
      <c r="BK311" s="310"/>
      <c r="BL311" s="310"/>
      <c r="BM311" s="544">
        <f t="shared" si="144"/>
        <v>0</v>
      </c>
      <c r="BN311" s="531"/>
      <c r="BO311" s="310"/>
      <c r="BP311" s="310"/>
      <c r="BQ311" s="310"/>
      <c r="BR311" s="310"/>
      <c r="BS311" s="310"/>
      <c r="BT311" s="310"/>
      <c r="BU311" s="544">
        <f t="shared" si="145"/>
        <v>0</v>
      </c>
      <c r="BV311" s="556"/>
      <c r="BW311" s="663">
        <f t="shared" si="133"/>
        <v>3</v>
      </c>
      <c r="BX311" s="674">
        <f t="shared" si="134"/>
        <v>1.5</v>
      </c>
      <c r="BY311" s="674">
        <f t="shared" si="135"/>
        <v>1</v>
      </c>
      <c r="BZ311" s="674">
        <f t="shared" si="136"/>
        <v>1</v>
      </c>
      <c r="CA311" s="675">
        <f t="shared" si="137"/>
        <v>0</v>
      </c>
      <c r="CB311" s="675">
        <f t="shared" si="138"/>
        <v>0</v>
      </c>
    </row>
    <row r="312" spans="1:80" ht="45.75" hidden="1" customHeight="1" x14ac:dyDescent="0.25">
      <c r="A312" s="298" t="s">
        <v>896</v>
      </c>
      <c r="B312" s="299" t="str">
        <f>'PLAN INDICATIVO'!B308</f>
        <v>Agropecuario</v>
      </c>
      <c r="C312" s="1547"/>
      <c r="D312" s="1549"/>
      <c r="E312" s="1549"/>
      <c r="F312" s="1549"/>
      <c r="G312" s="1549"/>
      <c r="H312" s="1549"/>
      <c r="I312" s="300">
        <f>'PLAN INDICATIVO'!I308</f>
        <v>0</v>
      </c>
      <c r="J312" s="300">
        <f>'PLAN INDICATIVO'!J308</f>
        <v>0</v>
      </c>
      <c r="K312" s="1428" t="str">
        <f>'PLAN INDICATIVO'!K308</f>
        <v>A.8.1.16</v>
      </c>
      <c r="L312" s="301" t="str">
        <f>'PLAN INDICATIVO'!L308</f>
        <v>12. Producción y consumo responsables</v>
      </c>
      <c r="M312" s="301" t="str">
        <f>'PLAN INDICATIVO'!M308</f>
        <v>Unidad de Desarrollo Rural</v>
      </c>
      <c r="N312" s="1425" t="str">
        <f>'PLAN INDICATIVO'!N308</f>
        <v>GABRIEL ERNESTO CAMPOS ALVIRA</v>
      </c>
      <c r="O312" s="1425" t="str">
        <f>'PLAN INDICATIVO'!O308</f>
        <v>Incremento</v>
      </c>
      <c r="P312" s="16" t="str">
        <f>'PLAN INDICATIVO'!P308</f>
        <v>Realizar  2 actividades que permita  mejorar producción agropecuaria</v>
      </c>
      <c r="Q312" s="302" t="str">
        <f>'PLAN INDICATIVO'!Q308</f>
        <v>No. Actividades realizadas</v>
      </c>
      <c r="R312" s="303">
        <f>'PLAN INDICATIVO'!R308</f>
        <v>2015</v>
      </c>
      <c r="S312" s="304">
        <v>0</v>
      </c>
      <c r="T312" s="498">
        <v>2</v>
      </c>
      <c r="U312" s="572">
        <v>0</v>
      </c>
      <c r="V312" s="687">
        <v>0</v>
      </c>
      <c r="W312" s="572">
        <v>0</v>
      </c>
      <c r="X312" s="687"/>
      <c r="Y312" s="572">
        <v>1</v>
      </c>
      <c r="Z312" s="687">
        <v>3000000</v>
      </c>
      <c r="AA312" s="572">
        <v>1</v>
      </c>
      <c r="AB312" s="687">
        <v>3000000</v>
      </c>
      <c r="AC312" s="665"/>
      <c r="AD312" s="665">
        <v>0</v>
      </c>
      <c r="AE312" s="665"/>
      <c r="AF312" s="665"/>
      <c r="AG312" s="978"/>
      <c r="AH312" s="994">
        <v>2017413960038</v>
      </c>
      <c r="AI312" s="307" t="s">
        <v>3745</v>
      </c>
      <c r="AJ312" s="308"/>
      <c r="AK312" s="308"/>
      <c r="AL312" s="308"/>
      <c r="AM312" s="308"/>
      <c r="AN312" s="267" t="s">
        <v>2594</v>
      </c>
      <c r="AO312" s="507"/>
      <c r="AP312" s="729"/>
      <c r="AQ312" s="730"/>
      <c r="AR312" s="730"/>
      <c r="AS312" s="730"/>
      <c r="AT312" s="730"/>
      <c r="AU312" s="730"/>
      <c r="AV312" s="730"/>
      <c r="AW312" s="544">
        <f t="shared" si="128"/>
        <v>0</v>
      </c>
      <c r="AX312" s="525"/>
      <c r="AY312" s="310"/>
      <c r="AZ312" s="310"/>
      <c r="BA312" s="310"/>
      <c r="BB312" s="310"/>
      <c r="BC312" s="310"/>
      <c r="BD312" s="310"/>
      <c r="BE312" s="544">
        <f t="shared" si="143"/>
        <v>0</v>
      </c>
      <c r="BF312" s="525"/>
      <c r="BG312" s="310"/>
      <c r="BH312" s="310"/>
      <c r="BI312" s="310"/>
      <c r="BJ312" s="310"/>
      <c r="BK312" s="310"/>
      <c r="BL312" s="310"/>
      <c r="BM312" s="544">
        <f t="shared" si="144"/>
        <v>0</v>
      </c>
      <c r="BN312" s="525"/>
      <c r="BO312" s="310"/>
      <c r="BP312" s="310"/>
      <c r="BQ312" s="310"/>
      <c r="BR312" s="310"/>
      <c r="BS312" s="310"/>
      <c r="BT312" s="310"/>
      <c r="BU312" s="544">
        <f t="shared" si="145"/>
        <v>0</v>
      </c>
      <c r="BV312" s="556"/>
      <c r="BW312" s="663">
        <f t="shared" si="133"/>
        <v>0</v>
      </c>
      <c r="BX312" s="674">
        <f t="shared" si="134"/>
        <v>0</v>
      </c>
      <c r="BY312" s="674" t="e">
        <f t="shared" si="135"/>
        <v>#DIV/0!</v>
      </c>
      <c r="BZ312" s="674" t="e">
        <f t="shared" si="136"/>
        <v>#DIV/0!</v>
      </c>
      <c r="CA312" s="675">
        <f t="shared" si="137"/>
        <v>0</v>
      </c>
      <c r="CB312" s="675">
        <f t="shared" si="138"/>
        <v>0</v>
      </c>
    </row>
    <row r="313" spans="1:80" ht="76.5" hidden="1" customHeight="1" x14ac:dyDescent="0.25">
      <c r="A313" s="298" t="s">
        <v>896</v>
      </c>
      <c r="B313" s="299" t="str">
        <f>'PLAN INDICATIVO'!B309</f>
        <v>Agropecuario</v>
      </c>
      <c r="C313" s="1547"/>
      <c r="D313" s="1549"/>
      <c r="E313" s="1549"/>
      <c r="F313" s="1549"/>
      <c r="G313" s="1549"/>
      <c r="H313" s="1549"/>
      <c r="I313" s="300">
        <f>'PLAN INDICATIVO'!I309</f>
        <v>0</v>
      </c>
      <c r="J313" s="300">
        <f>'PLAN INDICATIVO'!J309</f>
        <v>0</v>
      </c>
      <c r="K313" s="1428" t="str">
        <f>'PLAN INDICATIVO'!K309</f>
        <v>A.8.1.17</v>
      </c>
      <c r="L313" s="301" t="str">
        <f>'PLAN INDICATIVO'!L309</f>
        <v>12. Producción y consumo responsables</v>
      </c>
      <c r="M313" s="301" t="str">
        <f>'PLAN INDICATIVO'!M309</f>
        <v>Unidad de Desarrollo Rural</v>
      </c>
      <c r="N313" s="1425" t="str">
        <f>'PLAN INDICATIVO'!N309</f>
        <v>GABRIEL ERNESTO CAMPOS ALVIRA</v>
      </c>
      <c r="O313" s="1425" t="str">
        <f>'PLAN INDICATIVO'!O309</f>
        <v>Incremento</v>
      </c>
      <c r="P313" s="25" t="str">
        <f>'PLAN INDICATIVO'!P309</f>
        <v>Apoyar 1 proyecto para implementar la infraestructura de secado y beneficio de café, durante cuatrienio</v>
      </c>
      <c r="Q313" s="302" t="str">
        <f>'PLAN INDICATIVO'!Q309</f>
        <v>No. De proyectos elaborados</v>
      </c>
      <c r="R313" s="303">
        <f>'PLAN INDICATIVO'!R309</f>
        <v>2015</v>
      </c>
      <c r="S313" s="304">
        <v>0</v>
      </c>
      <c r="T313" s="498">
        <v>1</v>
      </c>
      <c r="U313" s="572">
        <v>0</v>
      </c>
      <c r="V313" s="687">
        <v>5000000</v>
      </c>
      <c r="W313" s="66">
        <v>0.33</v>
      </c>
      <c r="X313" s="687">
        <v>5000000</v>
      </c>
      <c r="Y313" s="66">
        <v>0.33</v>
      </c>
      <c r="Z313" s="687">
        <v>2000000</v>
      </c>
      <c r="AA313" s="66">
        <v>0.34</v>
      </c>
      <c r="AB313" s="687">
        <v>7000000</v>
      </c>
      <c r="AC313" s="665"/>
      <c r="AD313" s="665">
        <v>0.33</v>
      </c>
      <c r="AE313" s="665"/>
      <c r="AF313" s="665"/>
      <c r="AG313" s="921" t="s">
        <v>3746</v>
      </c>
      <c r="AH313" s="994">
        <v>2017413960038</v>
      </c>
      <c r="AI313" s="336" t="s">
        <v>3747</v>
      </c>
      <c r="AJ313" s="838">
        <v>42795</v>
      </c>
      <c r="AK313" s="838">
        <v>43099</v>
      </c>
      <c r="AL313" s="308"/>
      <c r="AM313" s="308"/>
      <c r="AN313" s="267" t="s">
        <v>2598</v>
      </c>
      <c r="AO313" s="507" t="s">
        <v>3742</v>
      </c>
      <c r="AP313" s="965" t="s">
        <v>2717</v>
      </c>
      <c r="AQ313" s="966">
        <v>1500000</v>
      </c>
      <c r="AR313" s="966"/>
      <c r="AS313" s="966"/>
      <c r="AT313" s="966"/>
      <c r="AU313" s="966"/>
      <c r="AV313" s="966"/>
      <c r="AW313" s="544">
        <f t="shared" si="128"/>
        <v>1500000</v>
      </c>
      <c r="AX313" s="525"/>
      <c r="AY313" s="310"/>
      <c r="AZ313" s="310"/>
      <c r="BA313" s="310"/>
      <c r="BB313" s="310"/>
      <c r="BC313" s="310"/>
      <c r="BD313" s="310"/>
      <c r="BE313" s="544">
        <f t="shared" si="143"/>
        <v>0</v>
      </c>
      <c r="BF313" s="525"/>
      <c r="BG313" s="310"/>
      <c r="BH313" s="310"/>
      <c r="BI313" s="310"/>
      <c r="BJ313" s="310"/>
      <c r="BK313" s="310"/>
      <c r="BL313" s="310"/>
      <c r="BM313" s="544">
        <f t="shared" si="144"/>
        <v>0</v>
      </c>
      <c r="BN313" s="525"/>
      <c r="BO313" s="310"/>
      <c r="BP313" s="310"/>
      <c r="BQ313" s="310"/>
      <c r="BR313" s="310"/>
      <c r="BS313" s="310"/>
      <c r="BT313" s="310"/>
      <c r="BU313" s="544">
        <f t="shared" si="145"/>
        <v>0</v>
      </c>
      <c r="BV313" s="556"/>
      <c r="BW313" s="663">
        <f t="shared" si="133"/>
        <v>0.33</v>
      </c>
      <c r="BX313" s="674">
        <f t="shared" si="134"/>
        <v>0.33</v>
      </c>
      <c r="BY313" s="674" t="e">
        <f t="shared" si="135"/>
        <v>#DIV/0!</v>
      </c>
      <c r="BZ313" s="674">
        <f t="shared" si="136"/>
        <v>1</v>
      </c>
      <c r="CA313" s="675">
        <f t="shared" si="137"/>
        <v>0</v>
      </c>
      <c r="CB313" s="675">
        <f t="shared" si="138"/>
        <v>0</v>
      </c>
    </row>
    <row r="314" spans="1:80" ht="88.5" hidden="1" customHeight="1" x14ac:dyDescent="0.25">
      <c r="A314" s="298" t="s">
        <v>896</v>
      </c>
      <c r="B314" s="299" t="str">
        <f>'PLAN INDICATIVO'!B310</f>
        <v>Agropecuario</v>
      </c>
      <c r="C314" s="1547"/>
      <c r="D314" s="1549"/>
      <c r="E314" s="1549"/>
      <c r="F314" s="1549"/>
      <c r="G314" s="1549"/>
      <c r="H314" s="1549"/>
      <c r="I314" s="300">
        <f>'PLAN INDICATIVO'!I310</f>
        <v>0</v>
      </c>
      <c r="J314" s="300">
        <f>'PLAN INDICATIVO'!J310</f>
        <v>0</v>
      </c>
      <c r="K314" s="1428" t="str">
        <f>'PLAN INDICATIVO'!K310</f>
        <v>A.8.1.18</v>
      </c>
      <c r="L314" s="301" t="str">
        <f>'PLAN INDICATIVO'!L310</f>
        <v>12. Producción y consumo responsables</v>
      </c>
      <c r="M314" s="301" t="str">
        <f>'PLAN INDICATIVO'!M310</f>
        <v>Unidad de Desarrollo Rural</v>
      </c>
      <c r="N314" s="1425" t="str">
        <f>'PLAN INDICATIVO'!N310</f>
        <v>GABRIEL ERNESTO CAMPOS ALVIRA</v>
      </c>
      <c r="O314" s="1425" t="str">
        <f>'PLAN INDICATIVO'!O310</f>
        <v>Incremento</v>
      </c>
      <c r="P314" s="16" t="str">
        <f>'PLAN INDICATIVO'!P310</f>
        <v>Apoyar 3 alianzas productivas, para el sector agroindustrial, durante el cuatrenio</v>
      </c>
      <c r="Q314" s="302" t="str">
        <f>'PLAN INDICATIVO'!Q310</f>
        <v>No. De alianzas productivas apoyadas</v>
      </c>
      <c r="R314" s="303">
        <f>'PLAN INDICATIVO'!R310</f>
        <v>2015</v>
      </c>
      <c r="S314" s="304">
        <v>0</v>
      </c>
      <c r="T314" s="498">
        <v>3</v>
      </c>
      <c r="U314" s="572">
        <v>0</v>
      </c>
      <c r="V314" s="687">
        <v>5000000</v>
      </c>
      <c r="W314" s="572">
        <v>1</v>
      </c>
      <c r="X314" s="687">
        <v>5000000</v>
      </c>
      <c r="Y314" s="572">
        <v>1</v>
      </c>
      <c r="Z314" s="687">
        <v>8000000</v>
      </c>
      <c r="AA314" s="572">
        <v>1</v>
      </c>
      <c r="AB314" s="687">
        <v>10000000</v>
      </c>
      <c r="AC314" s="665"/>
      <c r="AD314" s="665">
        <v>1</v>
      </c>
      <c r="AE314" s="665"/>
      <c r="AF314" s="665"/>
      <c r="AG314" s="922" t="s">
        <v>3746</v>
      </c>
      <c r="AH314" s="994">
        <v>2017413960038</v>
      </c>
      <c r="AI314" s="336" t="s">
        <v>3748</v>
      </c>
      <c r="AJ314" s="309">
        <v>42826</v>
      </c>
      <c r="AK314" s="335">
        <v>43099</v>
      </c>
      <c r="AL314" s="308"/>
      <c r="AM314" s="308"/>
      <c r="AN314" s="267" t="s">
        <v>2598</v>
      </c>
      <c r="AO314" s="507" t="s">
        <v>3749</v>
      </c>
      <c r="AP314" s="965">
        <v>1000000</v>
      </c>
      <c r="AQ314" s="966"/>
      <c r="AR314" s="966"/>
      <c r="AS314" s="966"/>
      <c r="AT314" s="966"/>
      <c r="AU314" s="966"/>
      <c r="AV314" s="966"/>
      <c r="AW314" s="544">
        <f t="shared" si="128"/>
        <v>1000000</v>
      </c>
      <c r="AX314" s="525"/>
      <c r="AY314" s="310"/>
      <c r="AZ314" s="310"/>
      <c r="BA314" s="310"/>
      <c r="BB314" s="310"/>
      <c r="BC314" s="310"/>
      <c r="BD314" s="310"/>
      <c r="BE314" s="544">
        <f t="shared" si="143"/>
        <v>0</v>
      </c>
      <c r="BF314" s="525"/>
      <c r="BG314" s="310"/>
      <c r="BH314" s="310"/>
      <c r="BI314" s="310"/>
      <c r="BJ314" s="310"/>
      <c r="BK314" s="310"/>
      <c r="BL314" s="310"/>
      <c r="BM314" s="544">
        <f t="shared" si="144"/>
        <v>0</v>
      </c>
      <c r="BN314" s="525"/>
      <c r="BO314" s="310"/>
      <c r="BP314" s="310"/>
      <c r="BQ314" s="310"/>
      <c r="BR314" s="310"/>
      <c r="BS314" s="310"/>
      <c r="BT314" s="310"/>
      <c r="BU314" s="544">
        <f t="shared" si="145"/>
        <v>0</v>
      </c>
      <c r="BV314" s="556"/>
      <c r="BW314" s="663">
        <f t="shared" si="133"/>
        <v>1</v>
      </c>
      <c r="BX314" s="674">
        <f t="shared" si="134"/>
        <v>0.33333333333333331</v>
      </c>
      <c r="BY314" s="674" t="e">
        <f t="shared" si="135"/>
        <v>#DIV/0!</v>
      </c>
      <c r="BZ314" s="674">
        <f t="shared" si="136"/>
        <v>1</v>
      </c>
      <c r="CA314" s="675">
        <f t="shared" si="137"/>
        <v>0</v>
      </c>
      <c r="CB314" s="675">
        <f t="shared" si="138"/>
        <v>0</v>
      </c>
    </row>
    <row r="315" spans="1:80" ht="62.25" hidden="1" customHeight="1" x14ac:dyDescent="0.25">
      <c r="A315" s="298" t="s">
        <v>896</v>
      </c>
      <c r="B315" s="299" t="str">
        <f>'PLAN INDICATIVO'!B311</f>
        <v>Agropecuario</v>
      </c>
      <c r="C315" s="1547"/>
      <c r="D315" s="1549"/>
      <c r="E315" s="1549"/>
      <c r="F315" s="1549"/>
      <c r="G315" s="1549"/>
      <c r="H315" s="1549"/>
      <c r="I315" s="300">
        <f>'PLAN INDICATIVO'!I311</f>
        <v>0</v>
      </c>
      <c r="J315" s="300">
        <f>'PLAN INDICATIVO'!J311</f>
        <v>0</v>
      </c>
      <c r="K315" s="1428" t="str">
        <f>'PLAN INDICATIVO'!K311</f>
        <v>A.8.1.19</v>
      </c>
      <c r="L315" s="301" t="str">
        <f>'PLAN INDICATIVO'!L311</f>
        <v>12. Producción y consumo responsables</v>
      </c>
      <c r="M315" s="301" t="str">
        <f>'PLAN INDICATIVO'!M311</f>
        <v>Unidad de Desarrollo Rural</v>
      </c>
      <c r="N315" s="1425" t="str">
        <f>'PLAN INDICATIVO'!N311</f>
        <v>GABRIEL ERNESTO CAMPOS ALVIRA</v>
      </c>
      <c r="O315" s="1425" t="str">
        <f>'PLAN INDICATIVO'!O311</f>
        <v>Incremento</v>
      </c>
      <c r="P315" s="16" t="str">
        <f>'PLAN INDICATIVO'!P311</f>
        <v>Realizar 4 jornadas, para la divulgación de oferta institucional para la  financiación en proyectos productivos.</v>
      </c>
      <c r="Q315" s="302" t="str">
        <f>'PLAN INDICATIVO'!Q311</f>
        <v>No. De jornadas realizadas</v>
      </c>
      <c r="R315" s="303">
        <f>'PLAN INDICATIVO'!R311</f>
        <v>2015</v>
      </c>
      <c r="S315" s="304">
        <v>0</v>
      </c>
      <c r="T315" s="498">
        <v>4</v>
      </c>
      <c r="U315" s="572">
        <v>1</v>
      </c>
      <c r="V315" s="687">
        <v>500000</v>
      </c>
      <c r="W315" s="572">
        <v>1</v>
      </c>
      <c r="X315" s="687">
        <v>500000</v>
      </c>
      <c r="Y315" s="572">
        <v>1</v>
      </c>
      <c r="Z315" s="687">
        <v>500000</v>
      </c>
      <c r="AA315" s="572">
        <v>1</v>
      </c>
      <c r="AB315" s="687">
        <v>1000000</v>
      </c>
      <c r="AC315" s="665">
        <v>1</v>
      </c>
      <c r="AD315" s="665">
        <v>6</v>
      </c>
      <c r="AE315" s="665"/>
      <c r="AF315" s="665"/>
      <c r="AG315" s="923" t="s">
        <v>3746</v>
      </c>
      <c r="AH315" s="994">
        <v>2017413960038</v>
      </c>
      <c r="AI315" s="307" t="s">
        <v>3750</v>
      </c>
      <c r="AJ315" s="309">
        <v>42795</v>
      </c>
      <c r="AK315" s="309">
        <v>43099</v>
      </c>
      <c r="AL315" s="308"/>
      <c r="AM315" s="308"/>
      <c r="AN315" s="267" t="s">
        <v>2598</v>
      </c>
      <c r="AO315" s="507" t="s">
        <v>3751</v>
      </c>
      <c r="AP315" s="965"/>
      <c r="AQ315" s="966">
        <v>2266700</v>
      </c>
      <c r="AR315" s="966"/>
      <c r="AS315" s="966"/>
      <c r="AT315" s="966"/>
      <c r="AU315" s="966"/>
      <c r="AV315" s="966"/>
      <c r="AW315" s="544">
        <f t="shared" si="128"/>
        <v>2266700</v>
      </c>
      <c r="AX315" s="525"/>
      <c r="AY315" s="310"/>
      <c r="AZ315" s="310"/>
      <c r="BA315" s="310"/>
      <c r="BB315" s="310"/>
      <c r="BC315" s="310"/>
      <c r="BD315" s="310"/>
      <c r="BE315" s="544">
        <f t="shared" si="143"/>
        <v>0</v>
      </c>
      <c r="BF315" s="525"/>
      <c r="BG315" s="310"/>
      <c r="BH315" s="310"/>
      <c r="BI315" s="310"/>
      <c r="BJ315" s="310"/>
      <c r="BK315" s="310"/>
      <c r="BL315" s="310"/>
      <c r="BM315" s="544">
        <f t="shared" si="144"/>
        <v>0</v>
      </c>
      <c r="BN315" s="525"/>
      <c r="BO315" s="310"/>
      <c r="BP315" s="310"/>
      <c r="BQ315" s="310"/>
      <c r="BR315" s="310"/>
      <c r="BS315" s="310"/>
      <c r="BT315" s="310"/>
      <c r="BU315" s="544">
        <f t="shared" si="145"/>
        <v>0</v>
      </c>
      <c r="BV315" s="556"/>
      <c r="BW315" s="663">
        <f t="shared" si="133"/>
        <v>7</v>
      </c>
      <c r="BX315" s="674">
        <f t="shared" si="134"/>
        <v>1.75</v>
      </c>
      <c r="BY315" s="674">
        <f t="shared" si="135"/>
        <v>1</v>
      </c>
      <c r="BZ315" s="674">
        <f t="shared" si="136"/>
        <v>6</v>
      </c>
      <c r="CA315" s="675">
        <f t="shared" si="137"/>
        <v>0</v>
      </c>
      <c r="CB315" s="675">
        <f t="shared" si="138"/>
        <v>0</v>
      </c>
    </row>
    <row r="316" spans="1:80" ht="69" hidden="1" customHeight="1" x14ac:dyDescent="0.25">
      <c r="A316" s="298" t="s">
        <v>896</v>
      </c>
      <c r="B316" s="299" t="str">
        <f>'PLAN INDICATIVO'!B312</f>
        <v>Agropecuario</v>
      </c>
      <c r="C316" s="1547"/>
      <c r="D316" s="1549"/>
      <c r="E316" s="1549"/>
      <c r="F316" s="1549"/>
      <c r="G316" s="1549"/>
      <c r="H316" s="1549"/>
      <c r="I316" s="1425" t="str">
        <f>'PLAN INDICATIVO'!I312</f>
        <v>SI</v>
      </c>
      <c r="J316" s="1425">
        <f>'PLAN INDICATIVO'!J312</f>
        <v>0</v>
      </c>
      <c r="K316" s="1428" t="str">
        <f>'PLAN INDICATIVO'!K312</f>
        <v>A.8.1.20</v>
      </c>
      <c r="L316" s="301" t="str">
        <f>'PLAN INDICATIVO'!L312</f>
        <v>12. Producción y consumo responsables</v>
      </c>
      <c r="M316" s="301" t="str">
        <f>'PLAN INDICATIVO'!M312</f>
        <v>Unidad de Desarrollo Rural</v>
      </c>
      <c r="N316" s="1425" t="str">
        <f>'PLAN INDICATIVO'!N312</f>
        <v>GABRIEL ERNESTO CAMPOS ALVIRA</v>
      </c>
      <c r="O316" s="1425" t="str">
        <f>'PLAN INDICATIVO'!O312</f>
        <v>Incremento</v>
      </c>
      <c r="P316" s="16" t="str">
        <f>'PLAN INDICATIVO'!P312</f>
        <v>Apoyar la construcción de 1 instalación para el fortalecimiento de los moreros de Santa Martha, en el cuatrienio</v>
      </c>
      <c r="Q316" s="302" t="str">
        <f>'PLAN INDICATIVO'!Q312</f>
        <v>No. De instalaciones apoyadas</v>
      </c>
      <c r="R316" s="303">
        <f>'PLAN INDICATIVO'!R312</f>
        <v>2015</v>
      </c>
      <c r="S316" s="304">
        <v>0</v>
      </c>
      <c r="T316" s="498">
        <v>1</v>
      </c>
      <c r="U316" s="572">
        <v>0</v>
      </c>
      <c r="V316" s="687">
        <v>123000000</v>
      </c>
      <c r="W316" s="572">
        <v>0.5</v>
      </c>
      <c r="X316" s="687">
        <v>100000000</v>
      </c>
      <c r="Y316" s="572">
        <v>0.4</v>
      </c>
      <c r="Z316" s="687">
        <v>500000</v>
      </c>
      <c r="AA316" s="572">
        <v>0.1</v>
      </c>
      <c r="AB316" s="687">
        <v>1000000</v>
      </c>
      <c r="AC316" s="665"/>
      <c r="AD316" s="665">
        <v>0.3</v>
      </c>
      <c r="AE316" s="665"/>
      <c r="AF316" s="665"/>
      <c r="AG316" s="923" t="s">
        <v>3746</v>
      </c>
      <c r="AH316" s="994">
        <v>2017413960038</v>
      </c>
      <c r="AI316" s="336" t="s">
        <v>3748</v>
      </c>
      <c r="AJ316" s="838">
        <v>42917</v>
      </c>
      <c r="AK316" s="838">
        <v>43099</v>
      </c>
      <c r="AL316" s="308"/>
      <c r="AM316" s="308"/>
      <c r="AN316" s="267" t="s">
        <v>2604</v>
      </c>
      <c r="AO316" s="507"/>
      <c r="AP316" s="965"/>
      <c r="AQ316" s="966"/>
      <c r="AR316" s="966"/>
      <c r="AS316" s="966"/>
      <c r="AT316" s="966"/>
      <c r="AU316" s="966"/>
      <c r="AV316" s="966"/>
      <c r="AW316" s="544">
        <f>AP316+AQ316+AR316+AS316+AT316+AU316+AV316</f>
        <v>0</v>
      </c>
      <c r="AX316" s="525"/>
      <c r="AY316" s="310"/>
      <c r="AZ316" s="310"/>
      <c r="BA316" s="310"/>
      <c r="BB316" s="310"/>
      <c r="BC316" s="310"/>
      <c r="BD316" s="310"/>
      <c r="BE316" s="544">
        <f t="shared" si="143"/>
        <v>0</v>
      </c>
      <c r="BF316" s="525"/>
      <c r="BG316" s="310"/>
      <c r="BH316" s="310"/>
      <c r="BI316" s="310"/>
      <c r="BJ316" s="310"/>
      <c r="BK316" s="310"/>
      <c r="BL316" s="310"/>
      <c r="BM316" s="544">
        <f t="shared" si="144"/>
        <v>0</v>
      </c>
      <c r="BN316" s="525"/>
      <c r="BO316" s="310"/>
      <c r="BP316" s="310"/>
      <c r="BQ316" s="310"/>
      <c r="BR316" s="310"/>
      <c r="BS316" s="310"/>
      <c r="BT316" s="310"/>
      <c r="BU316" s="544">
        <f t="shared" si="145"/>
        <v>0</v>
      </c>
      <c r="BV316" s="556"/>
      <c r="BW316" s="663">
        <f t="shared" si="133"/>
        <v>0.3</v>
      </c>
      <c r="BX316" s="674">
        <f t="shared" si="134"/>
        <v>0.3</v>
      </c>
      <c r="BY316" s="674" t="e">
        <f t="shared" si="135"/>
        <v>#DIV/0!</v>
      </c>
      <c r="BZ316" s="674">
        <f t="shared" si="136"/>
        <v>0.6</v>
      </c>
      <c r="CA316" s="675">
        <f t="shared" si="137"/>
        <v>0</v>
      </c>
      <c r="CB316" s="675">
        <f t="shared" si="138"/>
        <v>0</v>
      </c>
    </row>
    <row r="317" spans="1:80" ht="93" hidden="1" customHeight="1" x14ac:dyDescent="0.25">
      <c r="A317" s="298" t="s">
        <v>896</v>
      </c>
      <c r="B317" s="299" t="str">
        <f>'PLAN INDICATIVO'!B313</f>
        <v>Agropecuario</v>
      </c>
      <c r="C317" s="1547"/>
      <c r="D317" s="1549"/>
      <c r="E317" s="1549"/>
      <c r="F317" s="1549"/>
      <c r="G317" s="1549"/>
      <c r="H317" s="1549"/>
      <c r="I317" s="1425" t="str">
        <f>'PLAN INDICATIVO'!I313</f>
        <v>SI</v>
      </c>
      <c r="J317" s="1425">
        <f>'PLAN INDICATIVO'!J313</f>
        <v>0</v>
      </c>
      <c r="K317" s="1428" t="str">
        <f>'PLAN INDICATIVO'!K313</f>
        <v>A.8.1.21</v>
      </c>
      <c r="L317" s="301" t="str">
        <f>'PLAN INDICATIVO'!L313</f>
        <v>12. Producción y consumo responsables</v>
      </c>
      <c r="M317" s="301" t="str">
        <f>'PLAN INDICATIVO'!M313</f>
        <v>Unidad de Desarrollo Rural</v>
      </c>
      <c r="N317" s="1425" t="str">
        <f>'PLAN INDICATIVO'!N313</f>
        <v>GABRIEL ERNESTO CAMPOS ALVIRA</v>
      </c>
      <c r="O317" s="1425" t="str">
        <f>'PLAN INDICATIVO'!O313</f>
        <v>Incremento</v>
      </c>
      <c r="P317" s="820" t="str">
        <f>'PLAN INDICATIVO'!P313</f>
        <v>Apoyar la construcción de 1 centro de acopio agrícola en el sector urbano, durante el cuatrienio</v>
      </c>
      <c r="Q317" s="302" t="str">
        <f>'PLAN INDICATIVO'!Q313</f>
        <v>No. De centros de acopio construidos</v>
      </c>
      <c r="R317" s="303">
        <f>'PLAN INDICATIVO'!R313</f>
        <v>2015</v>
      </c>
      <c r="S317" s="304">
        <v>0</v>
      </c>
      <c r="T317" s="498">
        <v>1</v>
      </c>
      <c r="U317" s="572">
        <v>0.25</v>
      </c>
      <c r="V317" s="687">
        <v>500000</v>
      </c>
      <c r="W317" s="572">
        <v>0.75</v>
      </c>
      <c r="X317" s="687">
        <v>500000</v>
      </c>
      <c r="Y317" s="572">
        <v>0</v>
      </c>
      <c r="Z317" s="687">
        <v>500000</v>
      </c>
      <c r="AA317" s="572">
        <v>0</v>
      </c>
      <c r="AB317" s="687">
        <v>1000000</v>
      </c>
      <c r="AC317" s="665">
        <v>0.25</v>
      </c>
      <c r="AD317" s="665">
        <v>0.75</v>
      </c>
      <c r="AE317" s="665"/>
      <c r="AF317" s="665"/>
      <c r="AG317" s="150" t="s">
        <v>3752</v>
      </c>
      <c r="AH317" s="994">
        <v>2017413960038</v>
      </c>
      <c r="AI317" s="336" t="s">
        <v>3753</v>
      </c>
      <c r="AJ317" s="309">
        <v>42736</v>
      </c>
      <c r="AK317" s="309">
        <v>43099</v>
      </c>
      <c r="AL317" s="308"/>
      <c r="AM317" s="308"/>
      <c r="AN317" s="267" t="s">
        <v>2598</v>
      </c>
      <c r="AO317" s="507" t="s">
        <v>3754</v>
      </c>
      <c r="AP317" s="965">
        <v>102156074.77</v>
      </c>
      <c r="AQ317" s="966"/>
      <c r="AR317" s="966"/>
      <c r="AS317" s="966"/>
      <c r="AT317" s="966"/>
      <c r="AU317" s="966"/>
      <c r="AV317" s="966"/>
      <c r="AW317" s="544">
        <f>AP317+AQ317+AR317+AS317+AT317+AU317+AV317</f>
        <v>102156074.77</v>
      </c>
      <c r="AX317" s="525"/>
      <c r="AY317" s="310"/>
      <c r="AZ317" s="310"/>
      <c r="BA317" s="310"/>
      <c r="BB317" s="310"/>
      <c r="BC317" s="310"/>
      <c r="BD317" s="310"/>
      <c r="BE317" s="544">
        <f t="shared" si="143"/>
        <v>0</v>
      </c>
      <c r="BF317" s="525"/>
      <c r="BG317" s="310"/>
      <c r="BH317" s="310"/>
      <c r="BI317" s="310"/>
      <c r="BJ317" s="310"/>
      <c r="BK317" s="310"/>
      <c r="BL317" s="310"/>
      <c r="BM317" s="544">
        <f t="shared" si="144"/>
        <v>0</v>
      </c>
      <c r="BN317" s="525"/>
      <c r="BO317" s="310"/>
      <c r="BP317" s="310"/>
      <c r="BQ317" s="310"/>
      <c r="BR317" s="310"/>
      <c r="BS317" s="310"/>
      <c r="BT317" s="310"/>
      <c r="BU317" s="544">
        <f t="shared" si="145"/>
        <v>0</v>
      </c>
      <c r="BV317" s="556"/>
      <c r="BW317" s="663">
        <f t="shared" si="133"/>
        <v>1</v>
      </c>
      <c r="BX317" s="674">
        <f t="shared" si="134"/>
        <v>1</v>
      </c>
      <c r="BY317" s="674">
        <f t="shared" si="135"/>
        <v>1</v>
      </c>
      <c r="BZ317" s="674">
        <f t="shared" si="136"/>
        <v>1</v>
      </c>
      <c r="CA317" s="675" t="e">
        <f t="shared" si="137"/>
        <v>#DIV/0!</v>
      </c>
      <c r="CB317" s="675" t="e">
        <f t="shared" si="138"/>
        <v>#DIV/0!</v>
      </c>
    </row>
    <row r="318" spans="1:80" ht="58.5" hidden="1" customHeight="1" x14ac:dyDescent="0.25">
      <c r="A318" s="298" t="s">
        <v>896</v>
      </c>
      <c r="B318" s="299" t="str">
        <f>'PLAN INDICATIVO'!B314</f>
        <v>Agropecuario</v>
      </c>
      <c r="C318" s="1547"/>
      <c r="D318" s="1549"/>
      <c r="E318" s="1549"/>
      <c r="F318" s="1549"/>
      <c r="G318" s="1549"/>
      <c r="H318" s="1549"/>
      <c r="I318" s="300">
        <f>'PLAN INDICATIVO'!I314</f>
        <v>0</v>
      </c>
      <c r="J318" s="300">
        <f>'PLAN INDICATIVO'!J314</f>
        <v>0</v>
      </c>
      <c r="K318" s="1428" t="str">
        <f>'PLAN INDICATIVO'!K314</f>
        <v>A.8.1.22</v>
      </c>
      <c r="L318" s="301" t="str">
        <f>'PLAN INDICATIVO'!L314</f>
        <v>12. Producción y consumo responsables</v>
      </c>
      <c r="M318" s="301" t="str">
        <f>'PLAN INDICATIVO'!M314</f>
        <v>Unidad de Desarrollo Rural</v>
      </c>
      <c r="N318" s="1425" t="str">
        <f>'PLAN INDICATIVO'!N314</f>
        <v>GABRIEL ERNESTO CAMPOS ALVIRA</v>
      </c>
      <c r="O318" s="1425" t="str">
        <f>'PLAN INDICATIVO'!O314</f>
        <v>Incremento</v>
      </c>
      <c r="P318" s="16" t="str">
        <f>'PLAN INDICATIVO'!P314</f>
        <v>Apoyar 2 proyectos para Fincas Demostrativas, durante el cuatrienio</v>
      </c>
      <c r="Q318" s="302" t="str">
        <f>'PLAN INDICATIVO'!Q314</f>
        <v>No. De proyectos apoyados</v>
      </c>
      <c r="R318" s="303">
        <f>'PLAN INDICATIVO'!R314</f>
        <v>2015</v>
      </c>
      <c r="S318" s="304">
        <v>0</v>
      </c>
      <c r="T318" s="498">
        <v>2</v>
      </c>
      <c r="U318" s="572">
        <v>0.5</v>
      </c>
      <c r="V318" s="687">
        <v>2500000</v>
      </c>
      <c r="W318" s="572">
        <v>0.5</v>
      </c>
      <c r="X318" s="687">
        <v>2500000</v>
      </c>
      <c r="Y318" s="572">
        <v>0.5</v>
      </c>
      <c r="Z318" s="687">
        <v>1000000</v>
      </c>
      <c r="AA318" s="572">
        <v>0.5</v>
      </c>
      <c r="AB318" s="687">
        <v>2000000</v>
      </c>
      <c r="AC318" s="665">
        <v>0.5</v>
      </c>
      <c r="AD318" s="665">
        <v>0.5</v>
      </c>
      <c r="AE318" s="665"/>
      <c r="AF318" s="665"/>
      <c r="AG318" s="923" t="s">
        <v>3746</v>
      </c>
      <c r="AH318" s="994">
        <v>2017413960038</v>
      </c>
      <c r="AI318" s="307" t="s">
        <v>3755</v>
      </c>
      <c r="AJ318" s="309">
        <v>42887</v>
      </c>
      <c r="AK318" s="309">
        <v>43099</v>
      </c>
      <c r="AL318" s="308"/>
      <c r="AM318" s="308"/>
      <c r="AN318" s="267" t="s">
        <v>2598</v>
      </c>
      <c r="AO318" s="507" t="s">
        <v>3756</v>
      </c>
      <c r="AP318" s="967">
        <v>2500000</v>
      </c>
      <c r="AQ318" s="966"/>
      <c r="AR318" s="966"/>
      <c r="AS318" s="966"/>
      <c r="AT318" s="966"/>
      <c r="AU318" s="966"/>
      <c r="AV318" s="968"/>
      <c r="AW318" s="544">
        <f>AP318+AQ318+AR318+AS318+AT318+AU318+AV318</f>
        <v>2500000</v>
      </c>
      <c r="AX318" s="531"/>
      <c r="AY318" s="310"/>
      <c r="AZ318" s="310"/>
      <c r="BA318" s="310"/>
      <c r="BB318" s="310"/>
      <c r="BC318" s="310"/>
      <c r="BD318" s="380"/>
      <c r="BE318" s="544">
        <f t="shared" si="143"/>
        <v>0</v>
      </c>
      <c r="BF318" s="531"/>
      <c r="BG318" s="310"/>
      <c r="BH318" s="310"/>
      <c r="BI318" s="310"/>
      <c r="BJ318" s="310"/>
      <c r="BK318" s="310"/>
      <c r="BL318" s="380"/>
      <c r="BM318" s="544">
        <f t="shared" si="144"/>
        <v>0</v>
      </c>
      <c r="BN318" s="531"/>
      <c r="BO318" s="310"/>
      <c r="BP318" s="310"/>
      <c r="BQ318" s="310"/>
      <c r="BR318" s="310"/>
      <c r="BS318" s="310"/>
      <c r="BT318" s="380"/>
      <c r="BU318" s="544">
        <f t="shared" si="145"/>
        <v>0</v>
      </c>
      <c r="BV318" s="556"/>
      <c r="BW318" s="663">
        <f t="shared" si="133"/>
        <v>1</v>
      </c>
      <c r="BX318" s="877">
        <f t="shared" si="134"/>
        <v>0.5</v>
      </c>
      <c r="BY318" s="674">
        <f t="shared" si="135"/>
        <v>1</v>
      </c>
      <c r="BZ318" s="674">
        <f t="shared" si="136"/>
        <v>1</v>
      </c>
      <c r="CA318" s="675">
        <f t="shared" si="137"/>
        <v>0</v>
      </c>
      <c r="CB318" s="675">
        <f t="shared" si="138"/>
        <v>0</v>
      </c>
    </row>
    <row r="319" spans="1:80" ht="69" hidden="1" customHeight="1" x14ac:dyDescent="0.25">
      <c r="A319" s="298" t="s">
        <v>896</v>
      </c>
      <c r="B319" s="299" t="str">
        <f>'PLAN INDICATIVO'!B315</f>
        <v>Agropecuario</v>
      </c>
      <c r="C319" s="1547"/>
      <c r="D319" s="1549"/>
      <c r="E319" s="1549"/>
      <c r="F319" s="1549"/>
      <c r="G319" s="1549"/>
      <c r="H319" s="1549"/>
      <c r="I319" s="300">
        <f>'PLAN INDICATIVO'!I315</f>
        <v>0</v>
      </c>
      <c r="J319" s="375">
        <f>'PLAN INDICATIVO'!J315</f>
        <v>0</v>
      </c>
      <c r="K319" s="1428" t="str">
        <f>'PLAN INDICATIVO'!K315</f>
        <v>A.8.1.23</v>
      </c>
      <c r="L319" s="301" t="str">
        <f>'PLAN INDICATIVO'!L315</f>
        <v>12. Producción y consumo responsables</v>
      </c>
      <c r="M319" s="301" t="str">
        <f>'PLAN INDICATIVO'!M315</f>
        <v>Unidad de Desarrollo Rural</v>
      </c>
      <c r="N319" s="1425" t="str">
        <f>'PLAN INDICATIVO'!N315</f>
        <v>GABRIEL ERNESTO CAMPOS ALVIRA</v>
      </c>
      <c r="O319" s="1425" t="str">
        <f>'PLAN INDICATIVO'!O315</f>
        <v>Incremento</v>
      </c>
      <c r="P319" s="16" t="str">
        <f>'PLAN INDICATIVO'!P315</f>
        <v>Apoyar 1 proyecto para la implantación de una planta pasteurizadora en el municipio durante el cuatrienio</v>
      </c>
      <c r="Q319" s="348" t="str">
        <f>'PLAN INDICATIVO'!Q315</f>
        <v>No. De proyectos apoyados</v>
      </c>
      <c r="R319" s="303">
        <f>'PLAN INDICATIVO'!R315</f>
        <v>2015</v>
      </c>
      <c r="S319" s="304">
        <v>0</v>
      </c>
      <c r="T319" s="498">
        <v>1</v>
      </c>
      <c r="U319" s="895">
        <v>0</v>
      </c>
      <c r="V319" s="687">
        <v>500000</v>
      </c>
      <c r="W319" s="572">
        <v>1</v>
      </c>
      <c r="X319" s="687">
        <v>500000</v>
      </c>
      <c r="Y319" s="572">
        <v>0</v>
      </c>
      <c r="Z319" s="687"/>
      <c r="AA319" s="572">
        <v>0</v>
      </c>
      <c r="AB319" s="687"/>
      <c r="AC319" s="665">
        <v>1</v>
      </c>
      <c r="AD319" s="665">
        <v>1</v>
      </c>
      <c r="AE319" s="665"/>
      <c r="AF319" s="665"/>
      <c r="AG319" s="306"/>
      <c r="AH319" s="994">
        <v>2017413960038</v>
      </c>
      <c r="AI319" s="336" t="s">
        <v>3757</v>
      </c>
      <c r="AJ319" s="881">
        <v>42795</v>
      </c>
      <c r="AK319" s="881">
        <v>43099</v>
      </c>
      <c r="AL319" s="308"/>
      <c r="AM319" s="308"/>
      <c r="AN319" s="267" t="s">
        <v>2598</v>
      </c>
      <c r="AO319" s="507" t="s">
        <v>3758</v>
      </c>
      <c r="AP319" s="965"/>
      <c r="AQ319" s="966"/>
      <c r="AR319" s="966"/>
      <c r="AS319" s="966"/>
      <c r="AT319" s="966"/>
      <c r="AU319" s="966"/>
      <c r="AV319" s="966"/>
      <c r="AW319" s="544">
        <f>AP319+AQ319+AR319+AS319+AT319+AU319+AV319</f>
        <v>0</v>
      </c>
      <c r="AX319" s="525"/>
      <c r="AY319" s="310"/>
      <c r="AZ319" s="310"/>
      <c r="BA319" s="310"/>
      <c r="BB319" s="310"/>
      <c r="BC319" s="310"/>
      <c r="BD319" s="310"/>
      <c r="BE319" s="544">
        <f t="shared" si="143"/>
        <v>0</v>
      </c>
      <c r="BF319" s="525"/>
      <c r="BG319" s="310"/>
      <c r="BH319" s="310"/>
      <c r="BI319" s="310"/>
      <c r="BJ319" s="310"/>
      <c r="BK319" s="310"/>
      <c r="BL319" s="310"/>
      <c r="BM319" s="544">
        <f t="shared" si="144"/>
        <v>0</v>
      </c>
      <c r="BN319" s="525"/>
      <c r="BO319" s="310"/>
      <c r="BP319" s="310"/>
      <c r="BQ319" s="310"/>
      <c r="BR319" s="310"/>
      <c r="BS319" s="310"/>
      <c r="BT319" s="310"/>
      <c r="BU319" s="544">
        <f t="shared" si="145"/>
        <v>0</v>
      </c>
      <c r="BV319" s="556"/>
      <c r="BW319" s="663">
        <f t="shared" si="133"/>
        <v>2</v>
      </c>
      <c r="BX319" s="674">
        <f t="shared" si="134"/>
        <v>2</v>
      </c>
      <c r="BY319" s="674" t="e">
        <f t="shared" si="135"/>
        <v>#DIV/0!</v>
      </c>
      <c r="BZ319" s="674">
        <f t="shared" si="136"/>
        <v>1</v>
      </c>
      <c r="CA319" s="675" t="e">
        <f t="shared" si="137"/>
        <v>#DIV/0!</v>
      </c>
      <c r="CB319" s="675" t="e">
        <f t="shared" si="138"/>
        <v>#DIV/0!</v>
      </c>
    </row>
    <row r="320" spans="1:80" ht="82.5" hidden="1" customHeight="1" x14ac:dyDescent="0.25">
      <c r="A320" s="298" t="s">
        <v>896</v>
      </c>
      <c r="B320" s="299" t="str">
        <f>'PLAN INDICATIVO'!B316</f>
        <v>Agropecuario</v>
      </c>
      <c r="C320" s="1547"/>
      <c r="D320" s="1549"/>
      <c r="E320" s="1549"/>
      <c r="F320" s="1549"/>
      <c r="G320" s="1549"/>
      <c r="H320" s="1549"/>
      <c r="I320" s="300">
        <f>'PLAN INDICATIVO'!I316</f>
        <v>0</v>
      </c>
      <c r="J320" s="375">
        <f>'PLAN INDICATIVO'!J316</f>
        <v>0</v>
      </c>
      <c r="K320" s="1428" t="str">
        <f>'PLAN INDICATIVO'!K316</f>
        <v>A.8.1.24</v>
      </c>
      <c r="L320" s="301" t="str">
        <f>'PLAN INDICATIVO'!L316</f>
        <v>2. Hambre cero</v>
      </c>
      <c r="M320" s="301" t="str">
        <f>'PLAN INDICATIVO'!M316</f>
        <v>Unidad de Desarrollo Rural</v>
      </c>
      <c r="N320" s="1425" t="str">
        <f>'PLAN INDICATIVO'!N316</f>
        <v>GABRIEL ERNESTO CAMPOS ALVIRA</v>
      </c>
      <c r="O320" s="1425" t="str">
        <f>'PLAN INDICATIVO'!O316</f>
        <v>Incremento</v>
      </c>
      <c r="P320" s="71" t="str">
        <f>'PLAN INDICATIVO'!P316</f>
        <v>Apoyar a 600  familias en seguridad alimentaria durante el cuatrienio.</v>
      </c>
      <c r="Q320" s="348" t="str">
        <f>'PLAN INDICATIVO'!Q316</f>
        <v xml:space="preserve">No. De familias apoyadas </v>
      </c>
      <c r="R320" s="303" t="str">
        <f>'PLAN INDICATIVO'!R316</f>
        <v>2012 -2015</v>
      </c>
      <c r="S320" s="304">
        <v>750</v>
      </c>
      <c r="T320" s="498">
        <v>600</v>
      </c>
      <c r="U320" s="303">
        <v>0</v>
      </c>
      <c r="V320" s="687">
        <v>206000000</v>
      </c>
      <c r="W320" s="572">
        <v>600</v>
      </c>
      <c r="X320" s="687">
        <v>4500000</v>
      </c>
      <c r="Y320" s="572">
        <v>0</v>
      </c>
      <c r="Z320" s="687">
        <v>2000000</v>
      </c>
      <c r="AA320" s="572">
        <v>0</v>
      </c>
      <c r="AB320" s="687">
        <v>1000000</v>
      </c>
      <c r="AC320" s="665"/>
      <c r="AD320" s="665">
        <v>200</v>
      </c>
      <c r="AE320" s="665"/>
      <c r="AF320" s="665"/>
      <c r="AG320" s="923" t="s">
        <v>3746</v>
      </c>
      <c r="AH320" s="994">
        <v>2017413960038</v>
      </c>
      <c r="AI320" s="336" t="s">
        <v>3759</v>
      </c>
      <c r="AJ320" s="890">
        <v>42750</v>
      </c>
      <c r="AK320" s="890">
        <v>43099</v>
      </c>
      <c r="AL320" s="308"/>
      <c r="AM320" s="308"/>
      <c r="AN320" s="267" t="s">
        <v>2604</v>
      </c>
      <c r="AO320" s="507" t="s">
        <v>3760</v>
      </c>
      <c r="AP320" s="969">
        <f>16000000+3398393</f>
        <v>19398393</v>
      </c>
      <c r="AQ320" s="970">
        <f>2997532+2534000</f>
        <v>5531532</v>
      </c>
      <c r="AR320" s="971"/>
      <c r="AS320" s="971"/>
      <c r="AT320" s="971"/>
      <c r="AU320" s="971"/>
      <c r="AV320" s="971"/>
      <c r="AW320" s="544">
        <f>AP320+AQ320+AR320+AS320+AT320+AU320+AV320</f>
        <v>24929925</v>
      </c>
      <c r="AX320" s="525"/>
      <c r="AY320" s="310"/>
      <c r="AZ320" s="310"/>
      <c r="BA320" s="310"/>
      <c r="BB320" s="310"/>
      <c r="BC320" s="310"/>
      <c r="BD320" s="310"/>
      <c r="BE320" s="544">
        <f t="shared" si="143"/>
        <v>0</v>
      </c>
      <c r="BF320" s="525"/>
      <c r="BG320" s="310"/>
      <c r="BH320" s="310"/>
      <c r="BI320" s="310"/>
      <c r="BJ320" s="310"/>
      <c r="BK320" s="310"/>
      <c r="BL320" s="310"/>
      <c r="BM320" s="544">
        <f t="shared" si="144"/>
        <v>0</v>
      </c>
      <c r="BN320" s="525"/>
      <c r="BO320" s="310"/>
      <c r="BP320" s="310"/>
      <c r="BQ320" s="310"/>
      <c r="BR320" s="310"/>
      <c r="BS320" s="310"/>
      <c r="BT320" s="310"/>
      <c r="BU320" s="544">
        <f t="shared" si="145"/>
        <v>0</v>
      </c>
      <c r="BV320" s="556"/>
      <c r="BW320" s="663">
        <f t="shared" si="133"/>
        <v>200</v>
      </c>
      <c r="BX320" s="674">
        <f t="shared" si="134"/>
        <v>0.33333333333333331</v>
      </c>
      <c r="BY320" s="674" t="e">
        <f t="shared" si="135"/>
        <v>#DIV/0!</v>
      </c>
      <c r="BZ320" s="674">
        <f t="shared" si="136"/>
        <v>0.33333333333333331</v>
      </c>
      <c r="CA320" s="675" t="e">
        <f t="shared" si="137"/>
        <v>#DIV/0!</v>
      </c>
      <c r="CB320" s="675" t="e">
        <f t="shared" si="138"/>
        <v>#DIV/0!</v>
      </c>
    </row>
    <row r="321" spans="1:80" ht="102" hidden="1" customHeight="1" x14ac:dyDescent="0.25">
      <c r="A321" s="298" t="s">
        <v>896</v>
      </c>
      <c r="B321" s="299" t="str">
        <f>'PLAN INDICATIVO'!B317</f>
        <v>Agropecuario</v>
      </c>
      <c r="C321" s="1547"/>
      <c r="D321" s="1549"/>
      <c r="E321" s="1549"/>
      <c r="F321" s="1549"/>
      <c r="G321" s="1549"/>
      <c r="H321" s="1549"/>
      <c r="I321" s="300">
        <f>'PLAN INDICATIVO'!I317</f>
        <v>0</v>
      </c>
      <c r="J321" s="375">
        <f>'PLAN INDICATIVO'!J317</f>
        <v>0</v>
      </c>
      <c r="K321" s="1428" t="str">
        <f>'PLAN INDICATIVO'!K317</f>
        <v>A.8.1.25</v>
      </c>
      <c r="L321" s="301" t="str">
        <f>'PLAN INDICATIVO'!L317</f>
        <v>12. Producción y consumo responsables</v>
      </c>
      <c r="M321" s="301" t="str">
        <f>'PLAN INDICATIVO'!M317</f>
        <v>Unidad de Desarrollo Rural</v>
      </c>
      <c r="N321" s="1425" t="str">
        <f>'PLAN INDICATIVO'!N317</f>
        <v>GABRIEL ERNESTO CAMPOS ALVIRA</v>
      </c>
      <c r="O321" s="1425" t="str">
        <f>'PLAN INDICATIVO'!O317</f>
        <v>Incremento</v>
      </c>
      <c r="P321" s="25" t="str">
        <f>'PLAN INDICATIVO'!P317</f>
        <v>Realizar 100 Mejoramientos genéticos bovinos en el Municipio de La Plata durante el cuatrienio.</v>
      </c>
      <c r="Q321" s="348" t="str">
        <f>'PLAN INDICATIVO'!Q317</f>
        <v>No. De mejoramientos genéticos realizados.</v>
      </c>
      <c r="R321" s="303" t="str">
        <f>'PLAN INDICATIVO'!R317</f>
        <v>2012 -2015</v>
      </c>
      <c r="S321" s="304">
        <v>450</v>
      </c>
      <c r="T321" s="498">
        <v>100</v>
      </c>
      <c r="U321" s="572">
        <v>0</v>
      </c>
      <c r="V321" s="687">
        <v>0</v>
      </c>
      <c r="W321" s="572">
        <v>0</v>
      </c>
      <c r="X321" s="687"/>
      <c r="Y321" s="572">
        <v>100</v>
      </c>
      <c r="Z321" s="687">
        <v>4000000</v>
      </c>
      <c r="AA321" s="572">
        <v>0</v>
      </c>
      <c r="AB321" s="687">
        <v>6000000</v>
      </c>
      <c r="AC321" s="665"/>
      <c r="AD321" s="665">
        <v>0</v>
      </c>
      <c r="AE321" s="665"/>
      <c r="AF321" s="665"/>
      <c r="AG321" s="266"/>
      <c r="AH321" s="994">
        <v>2017413960038</v>
      </c>
      <c r="AI321" s="307" t="s">
        <v>3761</v>
      </c>
      <c r="AJ321" s="308"/>
      <c r="AK321" s="308"/>
      <c r="AL321" s="308"/>
      <c r="AM321" s="308"/>
      <c r="AN321" s="267" t="s">
        <v>2594</v>
      </c>
      <c r="AO321" s="507"/>
      <c r="AP321" s="732"/>
      <c r="AQ321" s="730"/>
      <c r="AR321" s="730"/>
      <c r="AS321" s="730"/>
      <c r="AT321" s="730"/>
      <c r="AU321" s="730"/>
      <c r="AV321" s="730"/>
      <c r="AW321" s="544">
        <f t="shared" si="128"/>
        <v>0</v>
      </c>
      <c r="AX321" s="525"/>
      <c r="AY321" s="310"/>
      <c r="AZ321" s="310"/>
      <c r="BA321" s="310"/>
      <c r="BB321" s="310"/>
      <c r="BC321" s="310"/>
      <c r="BD321" s="310"/>
      <c r="BE321" s="544">
        <f t="shared" si="143"/>
        <v>0</v>
      </c>
      <c r="BF321" s="525"/>
      <c r="BG321" s="310"/>
      <c r="BH321" s="310"/>
      <c r="BI321" s="310"/>
      <c r="BJ321" s="310"/>
      <c r="BK321" s="310"/>
      <c r="BL321" s="310"/>
      <c r="BM321" s="544">
        <f t="shared" si="144"/>
        <v>0</v>
      </c>
      <c r="BN321" s="525"/>
      <c r="BO321" s="310"/>
      <c r="BP321" s="310"/>
      <c r="BQ321" s="310"/>
      <c r="BR321" s="310"/>
      <c r="BS321" s="310"/>
      <c r="BT321" s="310"/>
      <c r="BU321" s="544">
        <f t="shared" si="145"/>
        <v>0</v>
      </c>
      <c r="BV321" s="556"/>
      <c r="BW321" s="663">
        <f t="shared" si="133"/>
        <v>0</v>
      </c>
      <c r="BX321" s="674">
        <f t="shared" si="134"/>
        <v>0</v>
      </c>
      <c r="BY321" s="674" t="e">
        <f t="shared" si="135"/>
        <v>#DIV/0!</v>
      </c>
      <c r="BZ321" s="674" t="e">
        <f t="shared" si="136"/>
        <v>#DIV/0!</v>
      </c>
      <c r="CA321" s="675">
        <f t="shared" si="137"/>
        <v>0</v>
      </c>
      <c r="CB321" s="675" t="e">
        <f t="shared" si="138"/>
        <v>#DIV/0!</v>
      </c>
    </row>
    <row r="322" spans="1:80" ht="82.5" hidden="1" customHeight="1" x14ac:dyDescent="0.25">
      <c r="A322" s="298" t="s">
        <v>896</v>
      </c>
      <c r="B322" s="299" t="str">
        <f>'PLAN INDICATIVO'!B318</f>
        <v>Agropecuario</v>
      </c>
      <c r="C322" s="1547"/>
      <c r="D322" s="1549"/>
      <c r="E322" s="1549"/>
      <c r="F322" s="1549"/>
      <c r="G322" s="1549"/>
      <c r="H322" s="1549"/>
      <c r="I322" s="300">
        <f>'PLAN INDICATIVO'!I318</f>
        <v>0</v>
      </c>
      <c r="J322" s="375">
        <f>'PLAN INDICATIVO'!J318</f>
        <v>0</v>
      </c>
      <c r="K322" s="1428" t="str">
        <f>'PLAN INDICATIVO'!K318</f>
        <v>A.8.1.26</v>
      </c>
      <c r="L322" s="301" t="str">
        <f>'PLAN INDICATIVO'!L318</f>
        <v>12. Producción y consumo responsables</v>
      </c>
      <c r="M322" s="301" t="str">
        <f>'PLAN INDICATIVO'!M318</f>
        <v>Unidad de Desarrollo Rural</v>
      </c>
      <c r="N322" s="1425" t="str">
        <f>'PLAN INDICATIVO'!N318</f>
        <v>GABRIEL ERNESTO CAMPOS ALVIRA</v>
      </c>
      <c r="O322" s="1425" t="str">
        <f>'PLAN INDICATIVO'!O318</f>
        <v>Incremento</v>
      </c>
      <c r="P322" s="25" t="str">
        <f>'PLAN INDICATIVO'!P318</f>
        <v>Instalar 10 secaderos de café tipo invernadero durante el cuatrienio</v>
      </c>
      <c r="Q322" s="348" t="str">
        <f>'PLAN INDICATIVO'!Q318</f>
        <v xml:space="preserve">No. De Secaderos instalados </v>
      </c>
      <c r="R322" s="303">
        <f>'PLAN INDICATIVO'!R318</f>
        <v>2015</v>
      </c>
      <c r="S322" s="304">
        <v>0</v>
      </c>
      <c r="T322" s="498">
        <v>10</v>
      </c>
      <c r="U322" s="572">
        <v>0</v>
      </c>
      <c r="V322" s="687">
        <v>3000000</v>
      </c>
      <c r="W322" s="572">
        <v>0</v>
      </c>
      <c r="X322" s="687">
        <v>5000000</v>
      </c>
      <c r="Y322" s="572">
        <v>0</v>
      </c>
      <c r="Z322" s="687">
        <v>5000000</v>
      </c>
      <c r="AA322" s="572">
        <v>10</v>
      </c>
      <c r="AB322" s="687">
        <v>1000000</v>
      </c>
      <c r="AC322" s="665"/>
      <c r="AD322" s="665">
        <v>0</v>
      </c>
      <c r="AE322" s="665"/>
      <c r="AF322" s="665"/>
      <c r="AG322" s="978"/>
      <c r="AH322" s="994">
        <v>2017413960038</v>
      </c>
      <c r="AI322" s="307" t="s">
        <v>3762</v>
      </c>
      <c r="AJ322" s="838"/>
      <c r="AK322" s="838"/>
      <c r="AL322" s="308"/>
      <c r="AM322" s="308"/>
      <c r="AN322" s="267" t="s">
        <v>2594</v>
      </c>
      <c r="AO322" s="507"/>
      <c r="AP322" s="965"/>
      <c r="AQ322" s="966"/>
      <c r="AR322" s="966"/>
      <c r="AS322" s="966"/>
      <c r="AT322" s="966"/>
      <c r="AU322" s="966"/>
      <c r="AV322" s="966"/>
      <c r="AW322" s="544">
        <f t="shared" si="128"/>
        <v>0</v>
      </c>
      <c r="AX322" s="525"/>
      <c r="AY322" s="310"/>
      <c r="AZ322" s="310"/>
      <c r="BA322" s="310"/>
      <c r="BB322" s="310"/>
      <c r="BC322" s="310"/>
      <c r="BD322" s="310"/>
      <c r="BE322" s="544">
        <f t="shared" si="143"/>
        <v>0</v>
      </c>
      <c r="BF322" s="525"/>
      <c r="BG322" s="310"/>
      <c r="BH322" s="310"/>
      <c r="BI322" s="310"/>
      <c r="BJ322" s="310"/>
      <c r="BK322" s="310"/>
      <c r="BL322" s="310"/>
      <c r="BM322" s="544">
        <f t="shared" si="144"/>
        <v>0</v>
      </c>
      <c r="BN322" s="525"/>
      <c r="BO322" s="310"/>
      <c r="BP322" s="310"/>
      <c r="BQ322" s="310"/>
      <c r="BR322" s="310"/>
      <c r="BS322" s="310"/>
      <c r="BT322" s="310"/>
      <c r="BU322" s="544">
        <f t="shared" si="145"/>
        <v>0</v>
      </c>
      <c r="BV322" s="556"/>
      <c r="BW322" s="663">
        <f t="shared" si="133"/>
        <v>0</v>
      </c>
      <c r="BX322" s="674">
        <f t="shared" si="134"/>
        <v>0</v>
      </c>
      <c r="BY322" s="674" t="e">
        <f t="shared" si="135"/>
        <v>#DIV/0!</v>
      </c>
      <c r="BZ322" s="674" t="e">
        <f t="shared" si="136"/>
        <v>#DIV/0!</v>
      </c>
      <c r="CA322" s="675" t="e">
        <f t="shared" si="137"/>
        <v>#DIV/0!</v>
      </c>
      <c r="CB322" s="675">
        <f t="shared" si="138"/>
        <v>0</v>
      </c>
    </row>
    <row r="323" spans="1:80" ht="74.25" hidden="1" customHeight="1" x14ac:dyDescent="0.25">
      <c r="A323" s="298" t="s">
        <v>896</v>
      </c>
      <c r="B323" s="299" t="str">
        <f>'PLAN INDICATIVO'!B319</f>
        <v>Agropecuario</v>
      </c>
      <c r="C323" s="1547"/>
      <c r="D323" s="1549"/>
      <c r="E323" s="1549"/>
      <c r="F323" s="1549"/>
      <c r="G323" s="1549"/>
      <c r="H323" s="1549"/>
      <c r="I323" s="300">
        <f>'PLAN INDICATIVO'!I319</f>
        <v>0</v>
      </c>
      <c r="J323" s="375">
        <f>'PLAN INDICATIVO'!J319</f>
        <v>0</v>
      </c>
      <c r="K323" s="1428" t="str">
        <f>'PLAN INDICATIVO'!K319</f>
        <v>A.8.1.27</v>
      </c>
      <c r="L323" s="301" t="str">
        <f>'PLAN INDICATIVO'!L319</f>
        <v>12. Producción y consumo responsables</v>
      </c>
      <c r="M323" s="301" t="str">
        <f>'PLAN INDICATIVO'!M319</f>
        <v>Unidad de Desarrollo Rural</v>
      </c>
      <c r="N323" s="1425" t="str">
        <f>'PLAN INDICATIVO'!N319</f>
        <v>GABRIEL ERNESTO CAMPOS ALVIRA</v>
      </c>
      <c r="O323" s="1425" t="str">
        <f>'PLAN INDICATIVO'!O319</f>
        <v>Incremento</v>
      </c>
      <c r="P323" s="16" t="str">
        <f>'PLAN INDICATIVO'!P319</f>
        <v>Apoyar la Implementación de una (1)  microcentral de beneficio para productores de café en el Municipio durante el cuatrenio.</v>
      </c>
      <c r="Q323" s="348" t="str">
        <f>'PLAN INDICATIVO'!Q319</f>
        <v>No. De apoyos ofrecidos microcentral implementada</v>
      </c>
      <c r="R323" s="303">
        <f>'PLAN INDICATIVO'!R319</f>
        <v>2015</v>
      </c>
      <c r="S323" s="304">
        <v>0</v>
      </c>
      <c r="T323" s="498">
        <v>1</v>
      </c>
      <c r="U323" s="572">
        <v>0</v>
      </c>
      <c r="V323" s="687">
        <v>7000000</v>
      </c>
      <c r="W323" s="572">
        <v>0.33</v>
      </c>
      <c r="X323" s="687">
        <v>3000000</v>
      </c>
      <c r="Y323" s="572">
        <v>0.33</v>
      </c>
      <c r="Z323" s="687">
        <v>500000</v>
      </c>
      <c r="AA323" s="572">
        <v>0.34</v>
      </c>
      <c r="AB323" s="687">
        <v>1000000</v>
      </c>
      <c r="AC323" s="665"/>
      <c r="AD323" s="665">
        <v>0.33</v>
      </c>
      <c r="AE323" s="665"/>
      <c r="AF323" s="665"/>
      <c r="AG323" s="923" t="s">
        <v>3746</v>
      </c>
      <c r="AH323" s="994">
        <v>2017413960038</v>
      </c>
      <c r="AI323" s="336" t="s">
        <v>3763</v>
      </c>
      <c r="AJ323" s="838">
        <v>42917</v>
      </c>
      <c r="AK323" s="838">
        <v>43099</v>
      </c>
      <c r="AL323" s="308"/>
      <c r="AM323" s="308"/>
      <c r="AN323" s="267" t="s">
        <v>2598</v>
      </c>
      <c r="AO323" s="507" t="s">
        <v>3764</v>
      </c>
      <c r="AP323" s="965"/>
      <c r="AQ323" s="966"/>
      <c r="AR323" s="966"/>
      <c r="AS323" s="966"/>
      <c r="AT323" s="966"/>
      <c r="AU323" s="966"/>
      <c r="AV323" s="966"/>
      <c r="AW323" s="544">
        <f t="shared" si="128"/>
        <v>0</v>
      </c>
      <c r="AX323" s="525"/>
      <c r="AY323" s="310"/>
      <c r="AZ323" s="310"/>
      <c r="BA323" s="310"/>
      <c r="BB323" s="310"/>
      <c r="BC323" s="310"/>
      <c r="BD323" s="310"/>
      <c r="BE323" s="544">
        <f t="shared" si="143"/>
        <v>0</v>
      </c>
      <c r="BF323" s="525"/>
      <c r="BG323" s="310"/>
      <c r="BH323" s="310"/>
      <c r="BI323" s="310"/>
      <c r="BJ323" s="310"/>
      <c r="BK323" s="310"/>
      <c r="BL323" s="310"/>
      <c r="BM323" s="544">
        <f t="shared" si="144"/>
        <v>0</v>
      </c>
      <c r="BN323" s="525"/>
      <c r="BO323" s="310"/>
      <c r="BP323" s="310"/>
      <c r="BQ323" s="310"/>
      <c r="BR323" s="310"/>
      <c r="BS323" s="310"/>
      <c r="BT323" s="310"/>
      <c r="BU323" s="544">
        <f t="shared" si="145"/>
        <v>0</v>
      </c>
      <c r="BV323" s="556"/>
      <c r="BW323" s="663">
        <f t="shared" si="133"/>
        <v>0.33</v>
      </c>
      <c r="BX323" s="674">
        <f t="shared" si="134"/>
        <v>0.33</v>
      </c>
      <c r="BY323" s="674" t="e">
        <f t="shared" si="135"/>
        <v>#DIV/0!</v>
      </c>
      <c r="BZ323" s="674">
        <f t="shared" si="136"/>
        <v>1</v>
      </c>
      <c r="CA323" s="675">
        <f t="shared" si="137"/>
        <v>0</v>
      </c>
      <c r="CB323" s="675">
        <f t="shared" si="138"/>
        <v>0</v>
      </c>
    </row>
    <row r="324" spans="1:80" ht="60" hidden="1" customHeight="1" x14ac:dyDescent="0.25">
      <c r="A324" s="298" t="s">
        <v>896</v>
      </c>
      <c r="B324" s="299" t="str">
        <f>'PLAN INDICATIVO'!B320</f>
        <v>Agropecuario</v>
      </c>
      <c r="C324" s="1547"/>
      <c r="D324" s="1549"/>
      <c r="E324" s="1549"/>
      <c r="F324" s="1549"/>
      <c r="G324" s="1549"/>
      <c r="H324" s="1549"/>
      <c r="I324" s="300">
        <f>'PLAN INDICATIVO'!I320</f>
        <v>0</v>
      </c>
      <c r="J324" s="375">
        <f>'PLAN INDICATIVO'!J320</f>
        <v>0</v>
      </c>
      <c r="K324" s="1428" t="str">
        <f>'PLAN INDICATIVO'!K320</f>
        <v>A.8.1.28</v>
      </c>
      <c r="L324" s="301" t="str">
        <f>'PLAN INDICATIVO'!L320</f>
        <v>12. Producción y consumo responsables</v>
      </c>
      <c r="M324" s="301" t="str">
        <f>'PLAN INDICATIVO'!M320</f>
        <v>Unidad de Desarrollo Rural</v>
      </c>
      <c r="N324" s="1425" t="str">
        <f>'PLAN INDICATIVO'!N320</f>
        <v>GABRIEL ERNESTO CAMPOS ALVIRA</v>
      </c>
      <c r="O324" s="1425" t="str">
        <f>'PLAN INDICATIVO'!O320</f>
        <v>Incremento</v>
      </c>
      <c r="P324" s="16" t="str">
        <f>'PLAN INDICATIVO'!P320</f>
        <v>Implementar 1 Proyecto de cofinanciación agropecuario en convenio con entidades financiera durante el cuatrienio</v>
      </c>
      <c r="Q324" s="348" t="str">
        <f>'PLAN INDICATIVO'!Q320</f>
        <v xml:space="preserve">No. De Proyectos implementados </v>
      </c>
      <c r="R324" s="303">
        <f>'PLAN INDICATIVO'!R320</f>
        <v>2015</v>
      </c>
      <c r="S324" s="304">
        <v>1</v>
      </c>
      <c r="T324" s="498">
        <v>1</v>
      </c>
      <c r="U324" s="572">
        <v>0</v>
      </c>
      <c r="V324" s="687">
        <v>0</v>
      </c>
      <c r="W324" s="572">
        <v>0</v>
      </c>
      <c r="X324" s="687"/>
      <c r="Y324" s="572">
        <v>1</v>
      </c>
      <c r="Z324" s="687">
        <v>4000000</v>
      </c>
      <c r="AA324" s="572">
        <v>0</v>
      </c>
      <c r="AB324" s="687"/>
      <c r="AC324" s="665"/>
      <c r="AD324" s="665">
        <v>1</v>
      </c>
      <c r="AE324" s="665"/>
      <c r="AF324" s="665"/>
      <c r="AG324" s="979" t="s">
        <v>3765</v>
      </c>
      <c r="AH324" s="994">
        <v>2017413960038</v>
      </c>
      <c r="AI324" s="336" t="s">
        <v>3766</v>
      </c>
      <c r="AJ324" s="881">
        <v>42826</v>
      </c>
      <c r="AK324" s="881">
        <v>43099</v>
      </c>
      <c r="AL324" s="308"/>
      <c r="AM324" s="308"/>
      <c r="AN324" s="267" t="s">
        <v>2598</v>
      </c>
      <c r="AO324" s="507" t="s">
        <v>3767</v>
      </c>
      <c r="AP324" s="729">
        <v>3000000</v>
      </c>
      <c r="AQ324" s="730">
        <f>12000000</f>
        <v>12000000</v>
      </c>
      <c r="AR324" s="730"/>
      <c r="AS324" s="730"/>
      <c r="AT324" s="730"/>
      <c r="AU324" s="730"/>
      <c r="AV324" s="730"/>
      <c r="AW324" s="555">
        <f t="shared" si="128"/>
        <v>15000000</v>
      </c>
      <c r="AX324" s="525"/>
      <c r="AY324" s="310"/>
      <c r="AZ324" s="310"/>
      <c r="BA324" s="310"/>
      <c r="BB324" s="310"/>
      <c r="BC324" s="310"/>
      <c r="BD324" s="310"/>
      <c r="BE324" s="544">
        <f t="shared" si="143"/>
        <v>0</v>
      </c>
      <c r="BF324" s="525"/>
      <c r="BG324" s="310"/>
      <c r="BH324" s="310"/>
      <c r="BI324" s="310"/>
      <c r="BJ324" s="310"/>
      <c r="BK324" s="310"/>
      <c r="BL324" s="310"/>
      <c r="BM324" s="544">
        <f t="shared" si="144"/>
        <v>0</v>
      </c>
      <c r="BN324" s="525"/>
      <c r="BO324" s="310"/>
      <c r="BP324" s="310"/>
      <c r="BQ324" s="310"/>
      <c r="BR324" s="310"/>
      <c r="BS324" s="310"/>
      <c r="BT324" s="310"/>
      <c r="BU324" s="544">
        <f t="shared" si="145"/>
        <v>0</v>
      </c>
      <c r="BV324" s="556"/>
      <c r="BW324" s="663">
        <f t="shared" si="133"/>
        <v>1</v>
      </c>
      <c r="BX324" s="674">
        <f t="shared" si="134"/>
        <v>1</v>
      </c>
      <c r="BY324" s="674" t="e">
        <f t="shared" si="135"/>
        <v>#DIV/0!</v>
      </c>
      <c r="BZ324" s="674" t="e">
        <f t="shared" si="136"/>
        <v>#DIV/0!</v>
      </c>
      <c r="CA324" s="675">
        <f t="shared" si="137"/>
        <v>0</v>
      </c>
      <c r="CB324" s="675" t="e">
        <f t="shared" si="138"/>
        <v>#DIV/0!</v>
      </c>
    </row>
    <row r="325" spans="1:80" ht="95.25" hidden="1" customHeight="1" x14ac:dyDescent="0.25">
      <c r="A325" s="298" t="s">
        <v>896</v>
      </c>
      <c r="B325" s="299" t="str">
        <f>'PLAN INDICATIVO'!B321</f>
        <v>Agropecuario</v>
      </c>
      <c r="C325" s="1547"/>
      <c r="D325" s="1549"/>
      <c r="E325" s="1549"/>
      <c r="F325" s="1549"/>
      <c r="G325" s="1549"/>
      <c r="H325" s="1549"/>
      <c r="I325" s="300">
        <f>'PLAN INDICATIVO'!I321</f>
        <v>0</v>
      </c>
      <c r="J325" s="375">
        <f>'PLAN INDICATIVO'!J321</f>
        <v>0</v>
      </c>
      <c r="K325" s="1428" t="str">
        <f>'PLAN INDICATIVO'!K321</f>
        <v>A.8.1.29</v>
      </c>
      <c r="L325" s="301" t="str">
        <f>'PLAN INDICATIVO'!L321</f>
        <v>12. Producción y consumo responsables</v>
      </c>
      <c r="M325" s="301" t="str">
        <f>'PLAN INDICATIVO'!M321</f>
        <v>Unidad de Desarrollo Rural</v>
      </c>
      <c r="N325" s="1425" t="str">
        <f>'PLAN INDICATIVO'!N321</f>
        <v>GABRIEL ERNESTO CAMPOS ALVIRA</v>
      </c>
      <c r="O325" s="1425" t="str">
        <f>'PLAN INDICATIVO'!O321</f>
        <v>Mantenimiento</v>
      </c>
      <c r="P325" s="25" t="str">
        <f>'PLAN INDICATIVO'!P321</f>
        <v>Realizar 1 Celebración anual del día del campesino  durante el cuatrienio.</v>
      </c>
      <c r="Q325" s="348" t="str">
        <f>'PLAN INDICATIVO'!Q321</f>
        <v>No. De celebraciones realizadas por año</v>
      </c>
      <c r="R325" s="303">
        <f>'PLAN INDICATIVO'!R321</f>
        <v>2015</v>
      </c>
      <c r="S325" s="304">
        <v>1</v>
      </c>
      <c r="T325" s="498">
        <v>1</v>
      </c>
      <c r="U325" s="572">
        <v>0.25</v>
      </c>
      <c r="V325" s="687">
        <v>8000000</v>
      </c>
      <c r="W325" s="572">
        <v>0.25</v>
      </c>
      <c r="X325" s="687">
        <v>2000000</v>
      </c>
      <c r="Y325" s="572">
        <v>0.25</v>
      </c>
      <c r="Z325" s="687">
        <v>500000</v>
      </c>
      <c r="AA325" s="572">
        <v>0.25</v>
      </c>
      <c r="AB325" s="687">
        <v>1000000</v>
      </c>
      <c r="AC325" s="665">
        <v>0.25</v>
      </c>
      <c r="AD325" s="665">
        <v>0.25</v>
      </c>
      <c r="AE325" s="665"/>
      <c r="AF325" s="665"/>
      <c r="AG325" s="892" t="s">
        <v>3722</v>
      </c>
      <c r="AH325" s="994">
        <v>2017413960038</v>
      </c>
      <c r="AI325" s="307" t="s">
        <v>3768</v>
      </c>
      <c r="AJ325" s="881">
        <v>42826</v>
      </c>
      <c r="AK325" s="881">
        <v>43099</v>
      </c>
      <c r="AL325" s="308"/>
      <c r="AM325" s="308"/>
      <c r="AN325" s="267" t="s">
        <v>2598</v>
      </c>
      <c r="AO325" s="507" t="s">
        <v>3769</v>
      </c>
      <c r="AP325" s="965">
        <v>15000000</v>
      </c>
      <c r="AQ325" s="966"/>
      <c r="AR325" s="966"/>
      <c r="AS325" s="966"/>
      <c r="AT325" s="966"/>
      <c r="AU325" s="966"/>
      <c r="AV325" s="966"/>
      <c r="AW325" s="544">
        <f t="shared" si="128"/>
        <v>15000000</v>
      </c>
      <c r="AX325" s="525"/>
      <c r="AY325" s="310"/>
      <c r="AZ325" s="310"/>
      <c r="BA325" s="310"/>
      <c r="BB325" s="310"/>
      <c r="BC325" s="310"/>
      <c r="BD325" s="310"/>
      <c r="BE325" s="544">
        <f t="shared" si="143"/>
        <v>0</v>
      </c>
      <c r="BF325" s="525"/>
      <c r="BG325" s="310"/>
      <c r="BH325" s="310"/>
      <c r="BI325" s="310"/>
      <c r="BJ325" s="310"/>
      <c r="BK325" s="310"/>
      <c r="BL325" s="310"/>
      <c r="BM325" s="544">
        <f t="shared" si="144"/>
        <v>0</v>
      </c>
      <c r="BN325" s="525"/>
      <c r="BO325" s="310"/>
      <c r="BP325" s="310"/>
      <c r="BQ325" s="310"/>
      <c r="BR325" s="310"/>
      <c r="BS325" s="310"/>
      <c r="BT325" s="310"/>
      <c r="BU325" s="544">
        <f t="shared" si="145"/>
        <v>0</v>
      </c>
      <c r="BV325" s="556"/>
      <c r="BW325" s="663">
        <f t="shared" si="133"/>
        <v>0.5</v>
      </c>
      <c r="BX325" s="674">
        <f t="shared" si="134"/>
        <v>0.5</v>
      </c>
      <c r="BY325" s="674">
        <f t="shared" si="135"/>
        <v>1</v>
      </c>
      <c r="BZ325" s="674">
        <f t="shared" si="136"/>
        <v>1</v>
      </c>
      <c r="CA325" s="675">
        <f t="shared" si="137"/>
        <v>0</v>
      </c>
      <c r="CB325" s="675">
        <f t="shared" si="138"/>
        <v>0</v>
      </c>
    </row>
    <row r="326" spans="1:80" ht="79.5" hidden="1" customHeight="1" x14ac:dyDescent="0.25">
      <c r="A326" s="298" t="s">
        <v>896</v>
      </c>
      <c r="B326" s="299" t="str">
        <f>'PLAN INDICATIVO'!B322</f>
        <v>Agropecuario</v>
      </c>
      <c r="C326" s="1547"/>
      <c r="D326" s="1549"/>
      <c r="E326" s="1549"/>
      <c r="F326" s="1549"/>
      <c r="G326" s="1549"/>
      <c r="H326" s="1549"/>
      <c r="I326" s="300">
        <f>'PLAN INDICATIVO'!I322</f>
        <v>0</v>
      </c>
      <c r="J326" s="375">
        <f>'PLAN INDICATIVO'!J322</f>
        <v>0</v>
      </c>
      <c r="K326" s="1428" t="str">
        <f>'PLAN INDICATIVO'!K322</f>
        <v>A.8.1.30</v>
      </c>
      <c r="L326" s="301" t="str">
        <f>'PLAN INDICATIVO'!L322</f>
        <v>12. Producción y consumo responsables</v>
      </c>
      <c r="M326" s="301" t="str">
        <f>'PLAN INDICATIVO'!M322</f>
        <v>Unidad de Desarrollo Rural</v>
      </c>
      <c r="N326" s="1425" t="str">
        <f>'PLAN INDICATIVO'!N322</f>
        <v>GABRIEL ERNESTO CAMPOS ALVIRA</v>
      </c>
      <c r="O326" s="1425" t="str">
        <f>'PLAN INDICATIVO'!O322</f>
        <v>Incremento</v>
      </c>
      <c r="P326" s="25" t="str">
        <f>'PLAN INDICATIVO'!P322</f>
        <v>Apoyar la construcción y/o mejoramiento de 1 distrito de riego, durante el cuatrienio</v>
      </c>
      <c r="Q326" s="348" t="str">
        <f>'PLAN INDICATIVO'!Q322</f>
        <v>No. distrito de riego apoyado
para su construcción y/o
mejoramiento</v>
      </c>
      <c r="R326" s="303">
        <f>'PLAN INDICATIVO'!R322</f>
        <v>2015</v>
      </c>
      <c r="S326" s="304">
        <v>0</v>
      </c>
      <c r="T326" s="498">
        <v>1</v>
      </c>
      <c r="U326" s="572">
        <v>0</v>
      </c>
      <c r="V326" s="687">
        <v>19000000</v>
      </c>
      <c r="W326" s="572">
        <v>0</v>
      </c>
      <c r="X326" s="687">
        <v>19000000</v>
      </c>
      <c r="Y326" s="572">
        <v>0</v>
      </c>
      <c r="Z326" s="687">
        <v>500000</v>
      </c>
      <c r="AA326" s="66">
        <v>1</v>
      </c>
      <c r="AB326" s="687">
        <v>5000000</v>
      </c>
      <c r="AC326" s="665"/>
      <c r="AD326" s="665">
        <v>0.3</v>
      </c>
      <c r="AE326" s="665"/>
      <c r="AF326" s="665"/>
      <c r="AG326" s="921" t="s">
        <v>3770</v>
      </c>
      <c r="AH326" s="994">
        <v>2017413960038</v>
      </c>
      <c r="AI326" s="307" t="s">
        <v>3771</v>
      </c>
      <c r="AJ326" s="881">
        <v>42917</v>
      </c>
      <c r="AK326" s="881">
        <v>43099</v>
      </c>
      <c r="AL326" s="308"/>
      <c r="AM326" s="308"/>
      <c r="AN326" s="267" t="s">
        <v>2594</v>
      </c>
      <c r="AO326" s="507"/>
      <c r="AP326" s="965">
        <v>3000000</v>
      </c>
      <c r="AQ326" s="966"/>
      <c r="AR326" s="966"/>
      <c r="AS326" s="966"/>
      <c r="AT326" s="966"/>
      <c r="AU326" s="966"/>
      <c r="AV326" s="966"/>
      <c r="AW326" s="544">
        <f t="shared" ref="AW326:AW390" si="155">SUM(AP326:AV326)</f>
        <v>3000000</v>
      </c>
      <c r="AX326" s="525"/>
      <c r="AY326" s="310"/>
      <c r="AZ326" s="310"/>
      <c r="BA326" s="310"/>
      <c r="BB326" s="310"/>
      <c r="BC326" s="310"/>
      <c r="BD326" s="310"/>
      <c r="BE326" s="544">
        <f t="shared" si="143"/>
        <v>0</v>
      </c>
      <c r="BF326" s="525"/>
      <c r="BG326" s="310"/>
      <c r="BH326" s="310"/>
      <c r="BI326" s="310"/>
      <c r="BJ326" s="310"/>
      <c r="BK326" s="310"/>
      <c r="BL326" s="310"/>
      <c r="BM326" s="544">
        <f t="shared" si="144"/>
        <v>0</v>
      </c>
      <c r="BN326" s="525"/>
      <c r="BO326" s="310"/>
      <c r="BP326" s="310"/>
      <c r="BQ326" s="310"/>
      <c r="BR326" s="310"/>
      <c r="BS326" s="310"/>
      <c r="BT326" s="310"/>
      <c r="BU326" s="544">
        <f t="shared" si="145"/>
        <v>0</v>
      </c>
      <c r="BV326" s="556"/>
      <c r="BW326" s="663">
        <f t="shared" si="133"/>
        <v>0.3</v>
      </c>
      <c r="BX326" s="917">
        <f t="shared" si="134"/>
        <v>0.3</v>
      </c>
      <c r="BY326" s="674" t="e">
        <f t="shared" si="135"/>
        <v>#DIV/0!</v>
      </c>
      <c r="BZ326" s="674" t="e">
        <f t="shared" si="136"/>
        <v>#DIV/0!</v>
      </c>
      <c r="CA326" s="675" t="e">
        <f t="shared" si="137"/>
        <v>#DIV/0!</v>
      </c>
      <c r="CB326" s="675">
        <f t="shared" si="138"/>
        <v>0</v>
      </c>
    </row>
    <row r="327" spans="1:80" ht="75" hidden="1" customHeight="1" x14ac:dyDescent="0.25">
      <c r="A327" s="298" t="s">
        <v>896</v>
      </c>
      <c r="B327" s="299" t="str">
        <f>'PLAN INDICATIVO'!B323</f>
        <v>Agropecuario</v>
      </c>
      <c r="C327" s="1547"/>
      <c r="D327" s="1549"/>
      <c r="E327" s="1549"/>
      <c r="F327" s="1549"/>
      <c r="G327" s="1549"/>
      <c r="H327" s="1549"/>
      <c r="I327" s="300">
        <f>'PLAN INDICATIVO'!I323</f>
        <v>0</v>
      </c>
      <c r="J327" s="375">
        <f>'PLAN INDICATIVO'!J323</f>
        <v>0</v>
      </c>
      <c r="K327" s="1428" t="str">
        <f>'PLAN INDICATIVO'!K323</f>
        <v>A.8.1.31</v>
      </c>
      <c r="L327" s="301" t="str">
        <f>'PLAN INDICATIVO'!L323</f>
        <v>12. Producción y consumo responsables</v>
      </c>
      <c r="M327" s="301" t="str">
        <f>'PLAN INDICATIVO'!M323</f>
        <v>Unidad de Desarrollo Rural</v>
      </c>
      <c r="N327" s="1425" t="str">
        <f>'PLAN INDICATIVO'!N323</f>
        <v>GABRIEL ERNESTO CAMPOS ALVIRA</v>
      </c>
      <c r="O327" s="1425" t="str">
        <f>'PLAN INDICATIVO'!O323</f>
        <v>Incremento</v>
      </c>
      <c r="P327" s="25" t="str">
        <f>'PLAN INDICATIVO'!P323</f>
        <v>Apoyar lo construcción de 20 reservorios de agua para mejorar producción agropecuario, durante el cuatrienio</v>
      </c>
      <c r="Q327" s="348" t="str">
        <f>'PLAN INDICATIVO'!Q323</f>
        <v>No. De reservorios apoyados</v>
      </c>
      <c r="R327" s="303">
        <f>'PLAN INDICATIVO'!R323</f>
        <v>2015</v>
      </c>
      <c r="S327" s="304">
        <v>0</v>
      </c>
      <c r="T327" s="498">
        <v>20</v>
      </c>
      <c r="U327" s="572">
        <v>5</v>
      </c>
      <c r="V327" s="687">
        <v>5</v>
      </c>
      <c r="W327" s="572">
        <v>0</v>
      </c>
      <c r="X327" s="687">
        <v>3000000</v>
      </c>
      <c r="Y327" s="66">
        <v>0</v>
      </c>
      <c r="Z327" s="687">
        <v>3000000</v>
      </c>
      <c r="AA327" s="66">
        <v>7</v>
      </c>
      <c r="AB327" s="687">
        <v>3000000</v>
      </c>
      <c r="AC327" s="665">
        <v>13</v>
      </c>
      <c r="AD327" s="665">
        <v>0</v>
      </c>
      <c r="AE327" s="665"/>
      <c r="AF327" s="665"/>
      <c r="AG327" s="306" t="s">
        <v>3770</v>
      </c>
      <c r="AH327" s="994">
        <v>2017413960038</v>
      </c>
      <c r="AI327" s="307" t="s">
        <v>3772</v>
      </c>
      <c r="AJ327" s="309"/>
      <c r="AK327" s="309"/>
      <c r="AL327" s="308"/>
      <c r="AM327" s="308"/>
      <c r="AN327" s="267" t="s">
        <v>2594</v>
      </c>
      <c r="AO327" s="507"/>
      <c r="AP327" s="965"/>
      <c r="AQ327" s="966"/>
      <c r="AR327" s="966"/>
      <c r="AS327" s="966"/>
      <c r="AT327" s="966"/>
      <c r="AU327" s="966"/>
      <c r="AV327" s="966"/>
      <c r="AW327" s="544">
        <f t="shared" si="155"/>
        <v>0</v>
      </c>
      <c r="AX327" s="525"/>
      <c r="AY327" s="310"/>
      <c r="AZ327" s="310"/>
      <c r="BA327" s="310"/>
      <c r="BB327" s="310"/>
      <c r="BC327" s="310"/>
      <c r="BD327" s="310"/>
      <c r="BE327" s="544">
        <f t="shared" si="143"/>
        <v>0</v>
      </c>
      <c r="BF327" s="525"/>
      <c r="BG327" s="310"/>
      <c r="BH327" s="310"/>
      <c r="BI327" s="310"/>
      <c r="BJ327" s="310"/>
      <c r="BK327" s="310"/>
      <c r="BL327" s="310"/>
      <c r="BM327" s="544">
        <f t="shared" si="144"/>
        <v>0</v>
      </c>
      <c r="BN327" s="525"/>
      <c r="BO327" s="310"/>
      <c r="BP327" s="310"/>
      <c r="BQ327" s="310"/>
      <c r="BR327" s="310"/>
      <c r="BS327" s="310"/>
      <c r="BT327" s="310"/>
      <c r="BU327" s="544">
        <f t="shared" si="145"/>
        <v>0</v>
      </c>
      <c r="BV327" s="556"/>
      <c r="BW327" s="663">
        <f t="shared" si="133"/>
        <v>13</v>
      </c>
      <c r="BX327" s="674">
        <f t="shared" si="134"/>
        <v>0.65</v>
      </c>
      <c r="BY327" s="674">
        <f t="shared" si="135"/>
        <v>2.6</v>
      </c>
      <c r="BZ327" s="674" t="e">
        <f t="shared" si="136"/>
        <v>#DIV/0!</v>
      </c>
      <c r="CA327" s="675" t="e">
        <f t="shared" si="137"/>
        <v>#DIV/0!</v>
      </c>
      <c r="CB327" s="675">
        <f t="shared" si="138"/>
        <v>0</v>
      </c>
    </row>
    <row r="328" spans="1:80" ht="90" hidden="1" customHeight="1" x14ac:dyDescent="0.25">
      <c r="A328" s="298" t="s">
        <v>896</v>
      </c>
      <c r="B328" s="299" t="str">
        <f>'PLAN INDICATIVO'!B324</f>
        <v>Agropecuario</v>
      </c>
      <c r="C328" s="1547"/>
      <c r="D328" s="1549"/>
      <c r="E328" s="1549"/>
      <c r="F328" s="1549"/>
      <c r="G328" s="1549"/>
      <c r="H328" s="1549"/>
      <c r="I328" s="300">
        <f>'PLAN INDICATIVO'!I324</f>
        <v>0</v>
      </c>
      <c r="J328" s="375">
        <f>'PLAN INDICATIVO'!J324</f>
        <v>0</v>
      </c>
      <c r="K328" s="1428" t="str">
        <f>'PLAN INDICATIVO'!K324</f>
        <v>A.8.1.32</v>
      </c>
      <c r="L328" s="301" t="str">
        <f>'PLAN INDICATIVO'!L324</f>
        <v>12. Producción y consumo responsables</v>
      </c>
      <c r="M328" s="301" t="str">
        <f>'PLAN INDICATIVO'!M324</f>
        <v>Unidad de Desarrollo Rural</v>
      </c>
      <c r="N328" s="1425" t="str">
        <f>'PLAN INDICATIVO'!N324</f>
        <v>GABRIEL ERNESTO CAMPOS ALVIRA</v>
      </c>
      <c r="O328" s="1425" t="str">
        <f>'PLAN INDICATIVO'!O324</f>
        <v>Incremento</v>
      </c>
      <c r="P328" s="16" t="str">
        <f>'PLAN INDICATIVO'!P324</f>
        <v>Otorgar 30 incentivos de capital semilla para pequeños empresarios rurales, durante el cuatrienio</v>
      </c>
      <c r="Q328" s="348" t="str">
        <f>'PLAN INDICATIVO'!Q324</f>
        <v xml:space="preserve">No. De incentivos otorgados </v>
      </c>
      <c r="R328" s="303">
        <f>'PLAN INDICATIVO'!R324</f>
        <v>2015</v>
      </c>
      <c r="S328" s="304">
        <v>0</v>
      </c>
      <c r="T328" s="498">
        <v>30</v>
      </c>
      <c r="U328" s="572">
        <v>0</v>
      </c>
      <c r="V328" s="687">
        <v>9000000</v>
      </c>
      <c r="W328" s="572">
        <v>10</v>
      </c>
      <c r="X328" s="687">
        <v>18000000</v>
      </c>
      <c r="Y328" s="572">
        <v>10</v>
      </c>
      <c r="Z328" s="687">
        <v>19000000</v>
      </c>
      <c r="AA328" s="572">
        <v>10</v>
      </c>
      <c r="AB328" s="687">
        <v>20000000</v>
      </c>
      <c r="AC328" s="665"/>
      <c r="AD328" s="665">
        <v>10</v>
      </c>
      <c r="AE328" s="665"/>
      <c r="AF328" s="665"/>
      <c r="AG328" s="922" t="s">
        <v>3746</v>
      </c>
      <c r="AH328" s="994">
        <v>2017413960038</v>
      </c>
      <c r="AI328" s="307" t="s">
        <v>3773</v>
      </c>
      <c r="AJ328" s="881">
        <v>42795</v>
      </c>
      <c r="AK328" s="881">
        <v>43099</v>
      </c>
      <c r="AL328" s="308"/>
      <c r="AM328" s="308"/>
      <c r="AN328" s="267" t="s">
        <v>2598</v>
      </c>
      <c r="AO328" s="507" t="s">
        <v>3744</v>
      </c>
      <c r="AP328" s="965">
        <v>1500000</v>
      </c>
      <c r="AQ328" s="965"/>
      <c r="AR328" s="966"/>
      <c r="AS328" s="966"/>
      <c r="AT328" s="966"/>
      <c r="AU328" s="966"/>
      <c r="AV328" s="966"/>
      <c r="AW328" s="544">
        <f t="shared" si="155"/>
        <v>1500000</v>
      </c>
      <c r="AX328" s="525"/>
      <c r="AY328" s="310"/>
      <c r="AZ328" s="310"/>
      <c r="BA328" s="310"/>
      <c r="BB328" s="310"/>
      <c r="BC328" s="310"/>
      <c r="BD328" s="310"/>
      <c r="BE328" s="544">
        <f t="shared" si="143"/>
        <v>0</v>
      </c>
      <c r="BF328" s="525"/>
      <c r="BG328" s="310"/>
      <c r="BH328" s="310"/>
      <c r="BI328" s="310"/>
      <c r="BJ328" s="310"/>
      <c r="BK328" s="310"/>
      <c r="BL328" s="310"/>
      <c r="BM328" s="544">
        <f t="shared" si="144"/>
        <v>0</v>
      </c>
      <c r="BN328" s="525"/>
      <c r="BO328" s="310"/>
      <c r="BP328" s="310"/>
      <c r="BQ328" s="310"/>
      <c r="BR328" s="310"/>
      <c r="BS328" s="310"/>
      <c r="BT328" s="310"/>
      <c r="BU328" s="544">
        <f t="shared" si="145"/>
        <v>0</v>
      </c>
      <c r="BV328" s="556"/>
      <c r="BW328" s="663">
        <f t="shared" si="133"/>
        <v>10</v>
      </c>
      <c r="BX328" s="917">
        <f t="shared" si="134"/>
        <v>0.33333333333333331</v>
      </c>
      <c r="BY328" s="674" t="e">
        <f t="shared" si="135"/>
        <v>#DIV/0!</v>
      </c>
      <c r="BZ328" s="674">
        <f t="shared" si="136"/>
        <v>1</v>
      </c>
      <c r="CA328" s="675">
        <f t="shared" si="137"/>
        <v>0</v>
      </c>
      <c r="CB328" s="675">
        <f t="shared" si="138"/>
        <v>0</v>
      </c>
    </row>
    <row r="329" spans="1:80" ht="69.75" hidden="1" customHeight="1" x14ac:dyDescent="0.25">
      <c r="A329" s="298" t="s">
        <v>896</v>
      </c>
      <c r="B329" s="299" t="str">
        <f>'PLAN INDICATIVO'!B325</f>
        <v>Agropecuario</v>
      </c>
      <c r="C329" s="1548"/>
      <c r="D329" s="1549"/>
      <c r="E329" s="1549"/>
      <c r="F329" s="1549"/>
      <c r="G329" s="1549"/>
      <c r="H329" s="1549"/>
      <c r="I329" s="300">
        <f>'PLAN INDICATIVO'!I325</f>
        <v>0</v>
      </c>
      <c r="J329" s="300">
        <f>'PLAN INDICATIVO'!J325</f>
        <v>0</v>
      </c>
      <c r="K329" s="1428" t="str">
        <f>'PLAN INDICATIVO'!K325</f>
        <v>A.8.1.33</v>
      </c>
      <c r="L329" s="301" t="str">
        <f>'PLAN INDICATIVO'!L325</f>
        <v>12. Producción y consumo responsables</v>
      </c>
      <c r="M329" s="301" t="str">
        <f>'PLAN INDICATIVO'!M325</f>
        <v>Unidad de Desarrollo Rural</v>
      </c>
      <c r="N329" s="1425" t="str">
        <f>'PLAN INDICATIVO'!N325</f>
        <v>GABRIEL ERNESTO CAMPOS ALVIRA</v>
      </c>
      <c r="O329" s="1425" t="str">
        <f>'PLAN INDICATIVO'!O325</f>
        <v>Incremento</v>
      </c>
      <c r="P329" s="16" t="str">
        <f>'PLAN INDICATIVO'!P325</f>
        <v>Otorgar 40 incentivos de capital semilla para personas  víctimas del conflicto, con acompañamiento técnico y social, durante el cuatrienio</v>
      </c>
      <c r="Q329" s="348" t="str">
        <f>'PLAN INDICATIVO'!Q325</f>
        <v xml:space="preserve">No. De incentivos otorgados </v>
      </c>
      <c r="R329" s="303">
        <f>'PLAN INDICATIVO'!R325</f>
        <v>2015</v>
      </c>
      <c r="S329" s="304">
        <v>19</v>
      </c>
      <c r="T329" s="498">
        <v>40</v>
      </c>
      <c r="U329" s="572">
        <v>10</v>
      </c>
      <c r="V329" s="687">
        <v>10000000</v>
      </c>
      <c r="W329" s="572">
        <v>10</v>
      </c>
      <c r="X329" s="687">
        <v>8000000</v>
      </c>
      <c r="Y329" s="572">
        <v>10</v>
      </c>
      <c r="Z329" s="687">
        <v>10000000</v>
      </c>
      <c r="AA329" s="572">
        <v>10</v>
      </c>
      <c r="AB329" s="687">
        <v>10000000</v>
      </c>
      <c r="AC329" s="665">
        <v>10</v>
      </c>
      <c r="AD329" s="665">
        <v>10</v>
      </c>
      <c r="AE329" s="665"/>
      <c r="AF329" s="665"/>
      <c r="AG329" s="980" t="s">
        <v>3727</v>
      </c>
      <c r="AH329" s="994">
        <v>2017413960038</v>
      </c>
      <c r="AI329" s="307" t="s">
        <v>3774</v>
      </c>
      <c r="AJ329" s="881">
        <v>42795</v>
      </c>
      <c r="AK329" s="881">
        <v>43099</v>
      </c>
      <c r="AL329" s="308"/>
      <c r="AM329" s="308"/>
      <c r="AN329" s="267" t="s">
        <v>2598</v>
      </c>
      <c r="AO329" s="507" t="s">
        <v>3744</v>
      </c>
      <c r="AP329" s="965">
        <v>1500000</v>
      </c>
      <c r="AQ329" s="966"/>
      <c r="AR329" s="966"/>
      <c r="AS329" s="966"/>
      <c r="AT329" s="966"/>
      <c r="AU329" s="966"/>
      <c r="AV329" s="966"/>
      <c r="AW329" s="544">
        <f t="shared" si="155"/>
        <v>1500000</v>
      </c>
      <c r="AX329" s="525"/>
      <c r="AY329" s="310"/>
      <c r="AZ329" s="310"/>
      <c r="BA329" s="310"/>
      <c r="BB329" s="310"/>
      <c r="BC329" s="310"/>
      <c r="BD329" s="310"/>
      <c r="BE329" s="544">
        <f t="shared" si="143"/>
        <v>0</v>
      </c>
      <c r="BF329" s="525"/>
      <c r="BG329" s="310"/>
      <c r="BH329" s="310"/>
      <c r="BI329" s="310"/>
      <c r="BJ329" s="310"/>
      <c r="BK329" s="310"/>
      <c r="BL329" s="310"/>
      <c r="BM329" s="544">
        <f t="shared" si="144"/>
        <v>0</v>
      </c>
      <c r="BN329" s="525"/>
      <c r="BO329" s="310"/>
      <c r="BP329" s="310"/>
      <c r="BQ329" s="310"/>
      <c r="BR329" s="310"/>
      <c r="BS329" s="310"/>
      <c r="BT329" s="310"/>
      <c r="BU329" s="544">
        <f t="shared" si="145"/>
        <v>0</v>
      </c>
      <c r="BV329" s="556"/>
      <c r="BW329" s="663">
        <f t="shared" si="133"/>
        <v>20</v>
      </c>
      <c r="BX329" s="877">
        <f t="shared" si="134"/>
        <v>0.5</v>
      </c>
      <c r="BY329" s="674">
        <f t="shared" si="135"/>
        <v>1</v>
      </c>
      <c r="BZ329" s="674">
        <f t="shared" si="136"/>
        <v>1</v>
      </c>
      <c r="CA329" s="675">
        <f t="shared" si="137"/>
        <v>0</v>
      </c>
      <c r="CB329" s="675">
        <f t="shared" si="138"/>
        <v>0</v>
      </c>
    </row>
    <row r="330" spans="1:80" ht="24" hidden="1" customHeight="1" thickBot="1" x14ac:dyDescent="0.3">
      <c r="A330" s="406"/>
      <c r="B330" s="412" t="e">
        <f>'PLAN INDICATIVO'!#REF!</f>
        <v>#REF!</v>
      </c>
      <c r="C330" s="297"/>
      <c r="D330" s="291"/>
      <c r="E330" s="291"/>
      <c r="F330" s="291"/>
      <c r="G330" s="291"/>
      <c r="H330" s="291"/>
      <c r="I330" s="291"/>
      <c r="J330" s="291"/>
      <c r="K330" s="421"/>
      <c r="L330" s="421"/>
      <c r="M330" s="421"/>
      <c r="N330" s="291"/>
      <c r="O330" s="421"/>
      <c r="P330" s="422"/>
      <c r="Q330" s="408"/>
      <c r="R330" s="291"/>
      <c r="S330" s="409"/>
      <c r="T330" s="677"/>
      <c r="U330" s="409"/>
      <c r="V330" s="409"/>
      <c r="W330" s="409"/>
      <c r="X330" s="409"/>
      <c r="Y330" s="409"/>
      <c r="Z330" s="409"/>
      <c r="AA330" s="410"/>
      <c r="AB330" s="410"/>
      <c r="AC330" s="410"/>
      <c r="AD330" s="410"/>
      <c r="AE330" s="410"/>
      <c r="AF330" s="410"/>
      <c r="AG330" s="411"/>
      <c r="AH330" s="411"/>
      <c r="AI330" s="411"/>
      <c r="AJ330" s="410"/>
      <c r="AK330" s="410"/>
      <c r="AL330" s="410"/>
      <c r="AM330" s="410"/>
      <c r="AN330" s="410"/>
      <c r="AO330" s="410"/>
      <c r="AP330" s="410"/>
      <c r="AQ330" s="410"/>
      <c r="AR330" s="410"/>
      <c r="AS330" s="410"/>
      <c r="AT330" s="410"/>
      <c r="AU330" s="410"/>
      <c r="AV330" s="410"/>
      <c r="AW330" s="410">
        <f t="shared" si="155"/>
        <v>0</v>
      </c>
      <c r="AX330" s="410"/>
      <c r="AY330" s="410"/>
      <c r="AZ330" s="410"/>
      <c r="BA330" s="410"/>
      <c r="BB330" s="410"/>
      <c r="BC330" s="410"/>
      <c r="BD330" s="410"/>
      <c r="BE330" s="410">
        <f t="shared" si="143"/>
        <v>0</v>
      </c>
      <c r="BF330" s="410"/>
      <c r="BG330" s="410"/>
      <c r="BH330" s="410"/>
      <c r="BI330" s="410"/>
      <c r="BJ330" s="410"/>
      <c r="BK330" s="410"/>
      <c r="BL330" s="410"/>
      <c r="BM330" s="410">
        <f t="shared" si="144"/>
        <v>0</v>
      </c>
      <c r="BN330" s="410"/>
      <c r="BO330" s="410"/>
      <c r="BP330" s="410"/>
      <c r="BQ330" s="410"/>
      <c r="BR330" s="410"/>
      <c r="BS330" s="410"/>
      <c r="BT330" s="410"/>
      <c r="BU330" s="410">
        <f t="shared" si="145"/>
        <v>0</v>
      </c>
      <c r="BV330" s="410"/>
      <c r="BW330" s="663">
        <f t="shared" ref="BW330:BW394" si="156">AC330+AD330+AE330+AF330</f>
        <v>0</v>
      </c>
      <c r="BX330" s="674" t="e">
        <f t="shared" ref="BX330:BX394" si="157">BW330/T330</f>
        <v>#DIV/0!</v>
      </c>
      <c r="BY330" s="674" t="e">
        <f t="shared" ref="BY330:BY394" si="158">AC330/U330</f>
        <v>#DIV/0!</v>
      </c>
      <c r="BZ330" s="674" t="e">
        <f t="shared" ref="BZ330:BZ394" si="159">AD330/W330</f>
        <v>#DIV/0!</v>
      </c>
      <c r="CA330" s="675" t="e">
        <f t="shared" ref="CA330:CA394" si="160">AE330/Y330</f>
        <v>#DIV/0!</v>
      </c>
      <c r="CB330" s="675" t="e">
        <f t="shared" ref="CB330:CB394" si="161">AF330/AA330</f>
        <v>#DIV/0!</v>
      </c>
    </row>
    <row r="331" spans="1:80" ht="35.25" hidden="1" customHeight="1" thickBot="1" x14ac:dyDescent="0.3">
      <c r="A331" s="428"/>
      <c r="B331" s="429" t="str">
        <f>'PLAN INDICATIVO'!B326</f>
        <v>TRANSPORTE</v>
      </c>
      <c r="C331" s="1627" t="s">
        <v>2918</v>
      </c>
      <c r="D331" s="1627"/>
      <c r="E331" s="1627"/>
      <c r="F331" s="1627"/>
      <c r="G331" s="1627"/>
      <c r="H331" s="1627"/>
      <c r="I331" s="1627"/>
      <c r="J331" s="1627"/>
      <c r="K331" s="1627"/>
      <c r="L331" s="1627"/>
      <c r="M331" s="1627"/>
      <c r="N331" s="1627"/>
      <c r="O331" s="1627"/>
      <c r="P331" s="1627"/>
      <c r="Q331" s="1627"/>
      <c r="R331" s="1627"/>
      <c r="S331" s="1627"/>
      <c r="T331" s="1627"/>
      <c r="U331" s="1627"/>
      <c r="V331" s="1627"/>
      <c r="W331" s="1627"/>
      <c r="X331" s="1627"/>
      <c r="Y331" s="1627"/>
      <c r="Z331" s="1627"/>
      <c r="AA331" s="1627"/>
      <c r="AB331" s="1627"/>
      <c r="AC331" s="1627"/>
      <c r="AD331" s="1627"/>
      <c r="AE331" s="1627"/>
      <c r="AF331" s="1627"/>
      <c r="AG331" s="1627"/>
      <c r="AH331" s="1627"/>
      <c r="AI331" s="1627"/>
      <c r="AJ331" s="1627"/>
      <c r="AK331" s="1627"/>
      <c r="AL331" s="1627"/>
      <c r="AM331" s="1628"/>
      <c r="AN331" s="294"/>
      <c r="AO331" s="506"/>
      <c r="AP331" s="741"/>
      <c r="AQ331" s="742"/>
      <c r="AR331" s="742"/>
      <c r="AS331" s="742"/>
      <c r="AT331" s="742"/>
      <c r="AU331" s="742"/>
      <c r="AV331" s="742"/>
      <c r="AW331" s="731">
        <f t="shared" si="155"/>
        <v>0</v>
      </c>
      <c r="AX331" s="524"/>
      <c r="AY331" s="374"/>
      <c r="AZ331" s="374"/>
      <c r="BA331" s="374"/>
      <c r="BB331" s="374"/>
      <c r="BC331" s="374"/>
      <c r="BD331" s="374"/>
      <c r="BE331" s="544">
        <f t="shared" si="143"/>
        <v>0</v>
      </c>
      <c r="BF331" s="524"/>
      <c r="BG331" s="374"/>
      <c r="BH331" s="374"/>
      <c r="BI331" s="374"/>
      <c r="BJ331" s="374"/>
      <c r="BK331" s="374"/>
      <c r="BL331" s="374"/>
      <c r="BM331" s="544">
        <f t="shared" si="144"/>
        <v>0</v>
      </c>
      <c r="BN331" s="524"/>
      <c r="BO331" s="374"/>
      <c r="BP331" s="374"/>
      <c r="BQ331" s="374"/>
      <c r="BR331" s="374"/>
      <c r="BS331" s="374"/>
      <c r="BT331" s="374"/>
      <c r="BU331" s="544">
        <f t="shared" si="145"/>
        <v>0</v>
      </c>
      <c r="BV331" s="556"/>
      <c r="BW331" s="663">
        <f t="shared" si="156"/>
        <v>0</v>
      </c>
      <c r="BX331" s="674" t="e">
        <f t="shared" si="157"/>
        <v>#DIV/0!</v>
      </c>
      <c r="BY331" s="674" t="e">
        <f t="shared" si="158"/>
        <v>#DIV/0!</v>
      </c>
      <c r="BZ331" s="674" t="e">
        <f t="shared" si="159"/>
        <v>#DIV/0!</v>
      </c>
      <c r="CA331" s="675" t="e">
        <f t="shared" si="160"/>
        <v>#DIV/0!</v>
      </c>
      <c r="CB331" s="675" t="e">
        <f t="shared" si="161"/>
        <v>#DIV/0!</v>
      </c>
    </row>
    <row r="332" spans="1:80" ht="18" hidden="1" customHeight="1" x14ac:dyDescent="0.25">
      <c r="A332" s="296"/>
      <c r="B332" s="331" t="str">
        <f>'PLAN INDICATIVO'!B327</f>
        <v>Transporte</v>
      </c>
      <c r="C332" s="1574" t="s">
        <v>1001</v>
      </c>
      <c r="D332" s="1575"/>
      <c r="E332" s="1575"/>
      <c r="F332" s="1575"/>
      <c r="G332" s="1575"/>
      <c r="H332" s="1575"/>
      <c r="I332" s="1575"/>
      <c r="J332" s="1575"/>
      <c r="K332" s="1575"/>
      <c r="L332" s="1575"/>
      <c r="M332" s="1575"/>
      <c r="N332" s="1575"/>
      <c r="O332" s="1576"/>
      <c r="P332" s="22"/>
      <c r="Q332" s="22"/>
      <c r="R332" s="1"/>
      <c r="S332" s="261"/>
      <c r="T332" s="681"/>
      <c r="U332" s="261"/>
      <c r="V332" s="707">
        <f>SUM(V333:V354)</f>
        <v>3064000000</v>
      </c>
      <c r="W332" s="261"/>
      <c r="X332" s="689">
        <f>SUM(X333:X354)</f>
        <v>3074000000</v>
      </c>
      <c r="Y332" s="261"/>
      <c r="Z332" s="689">
        <f>SUM(Z333:Z354)</f>
        <v>1901000000</v>
      </c>
      <c r="AA332" s="262"/>
      <c r="AB332" s="690">
        <f>SUM(AB333:AB354)</f>
        <v>716000000</v>
      </c>
      <c r="AC332" s="262"/>
      <c r="AD332" s="262"/>
      <c r="AE332" s="262"/>
      <c r="AF332" s="262"/>
      <c r="AG332" s="263"/>
      <c r="AH332" s="263"/>
      <c r="AI332" s="263"/>
      <c r="AJ332" s="262"/>
      <c r="AK332" s="262"/>
      <c r="AL332" s="262"/>
      <c r="AM332" s="262"/>
      <c r="AN332" s="262"/>
      <c r="AO332" s="612"/>
      <c r="AP332" s="616" t="e">
        <f>(AP333:AP354)</f>
        <v>#VALUE!</v>
      </c>
      <c r="AQ332" s="616" t="e">
        <f t="shared" ref="AQ332:AV332" si="162">(AQ333:AQ354)</f>
        <v>#VALUE!</v>
      </c>
      <c r="AR332" s="616" t="e">
        <f t="shared" si="162"/>
        <v>#VALUE!</v>
      </c>
      <c r="AS332" s="616" t="e">
        <f t="shared" si="162"/>
        <v>#VALUE!</v>
      </c>
      <c r="AT332" s="616" t="e">
        <f t="shared" si="162"/>
        <v>#VALUE!</v>
      </c>
      <c r="AU332" s="616" t="e">
        <f t="shared" si="162"/>
        <v>#VALUE!</v>
      </c>
      <c r="AV332" s="616" t="e">
        <f t="shared" si="162"/>
        <v>#VALUE!</v>
      </c>
      <c r="AW332" s="617" t="e">
        <f t="shared" si="155"/>
        <v>#VALUE!</v>
      </c>
      <c r="AX332" s="616" t="e">
        <f>(AX333:AX354)</f>
        <v>#VALUE!</v>
      </c>
      <c r="AY332" s="616" t="e">
        <f t="shared" ref="AY332:BD332" si="163">(AY333:AY354)</f>
        <v>#VALUE!</v>
      </c>
      <c r="AZ332" s="616" t="e">
        <f t="shared" si="163"/>
        <v>#VALUE!</v>
      </c>
      <c r="BA332" s="616" t="e">
        <f t="shared" si="163"/>
        <v>#VALUE!</v>
      </c>
      <c r="BB332" s="616" t="e">
        <f t="shared" si="163"/>
        <v>#VALUE!</v>
      </c>
      <c r="BC332" s="616" t="e">
        <f t="shared" si="163"/>
        <v>#VALUE!</v>
      </c>
      <c r="BD332" s="616" t="e">
        <f t="shared" si="163"/>
        <v>#VALUE!</v>
      </c>
      <c r="BE332" s="617" t="e">
        <f t="shared" si="143"/>
        <v>#VALUE!</v>
      </c>
      <c r="BF332" s="616" t="e">
        <f>(BF333:BF354)</f>
        <v>#VALUE!</v>
      </c>
      <c r="BG332" s="616" t="e">
        <f t="shared" ref="BG332:BL332" si="164">(BG333:BG354)</f>
        <v>#VALUE!</v>
      </c>
      <c r="BH332" s="616" t="e">
        <f t="shared" si="164"/>
        <v>#VALUE!</v>
      </c>
      <c r="BI332" s="616" t="e">
        <f t="shared" si="164"/>
        <v>#VALUE!</v>
      </c>
      <c r="BJ332" s="616" t="e">
        <f t="shared" si="164"/>
        <v>#VALUE!</v>
      </c>
      <c r="BK332" s="616" t="e">
        <f t="shared" si="164"/>
        <v>#VALUE!</v>
      </c>
      <c r="BL332" s="616" t="e">
        <f t="shared" si="164"/>
        <v>#VALUE!</v>
      </c>
      <c r="BM332" s="617" t="e">
        <f t="shared" si="144"/>
        <v>#VALUE!</v>
      </c>
      <c r="BN332" s="616" t="e">
        <f>(BN333:BN354)</f>
        <v>#VALUE!</v>
      </c>
      <c r="BO332" s="616" t="e">
        <f t="shared" ref="BO332:BT332" si="165">(BO333:BO354)</f>
        <v>#VALUE!</v>
      </c>
      <c r="BP332" s="616" t="e">
        <f t="shared" si="165"/>
        <v>#VALUE!</v>
      </c>
      <c r="BQ332" s="616" t="e">
        <f t="shared" si="165"/>
        <v>#VALUE!</v>
      </c>
      <c r="BR332" s="616" t="e">
        <f t="shared" si="165"/>
        <v>#VALUE!</v>
      </c>
      <c r="BS332" s="616" t="e">
        <f t="shared" si="165"/>
        <v>#VALUE!</v>
      </c>
      <c r="BT332" s="616" t="e">
        <f t="shared" si="165"/>
        <v>#VALUE!</v>
      </c>
      <c r="BU332" s="617" t="e">
        <f t="shared" si="145"/>
        <v>#VALUE!</v>
      </c>
      <c r="BV332" s="556"/>
      <c r="BW332" s="663">
        <f t="shared" si="156"/>
        <v>0</v>
      </c>
      <c r="BX332" s="674" t="e">
        <f t="shared" si="157"/>
        <v>#DIV/0!</v>
      </c>
      <c r="BY332" s="674" t="e">
        <f t="shared" si="158"/>
        <v>#DIV/0!</v>
      </c>
      <c r="BZ332" s="674" t="e">
        <f t="shared" si="159"/>
        <v>#DIV/0!</v>
      </c>
      <c r="CA332" s="675" t="e">
        <f t="shared" si="160"/>
        <v>#DIV/0!</v>
      </c>
      <c r="CB332" s="675" t="e">
        <f t="shared" si="161"/>
        <v>#DIV/0!</v>
      </c>
    </row>
    <row r="333" spans="1:80" ht="86.25" hidden="1" customHeight="1" x14ac:dyDescent="0.25">
      <c r="A333" s="298" t="s">
        <v>1002</v>
      </c>
      <c r="B333" s="299" t="str">
        <f>'PLAN INDICATIVO'!B328</f>
        <v>Transporte</v>
      </c>
      <c r="C333" s="1546" t="s">
        <v>1003</v>
      </c>
      <c r="D333" s="1550" t="s">
        <v>1004</v>
      </c>
      <c r="E333" s="1550" t="s">
        <v>1005</v>
      </c>
      <c r="F333" s="1550">
        <v>2015</v>
      </c>
      <c r="G333" s="1550">
        <v>98</v>
      </c>
      <c r="H333" s="1550">
        <v>98</v>
      </c>
      <c r="I333" s="300">
        <f>'PLAN INDICATIVO'!I328</f>
        <v>0</v>
      </c>
      <c r="J333" s="300">
        <f>'PLAN INDICATIVO'!J328</f>
        <v>0</v>
      </c>
      <c r="K333" s="1425" t="str">
        <f>'PLAN INDICATIVO'!K328</f>
        <v>A.9.1.1</v>
      </c>
      <c r="L333" s="301" t="str">
        <f>'PLAN INDICATIVO'!L328</f>
        <v>11. Ciudades y comunidades sostenibles</v>
      </c>
      <c r="M333" s="301" t="str">
        <f>'PLAN INDICATIVO'!M328</f>
        <v xml:space="preserve">Secretaría de Tránsito </v>
      </c>
      <c r="N333" s="1425" t="str">
        <f>'PLAN INDICATIVO'!N328</f>
        <v>LUIS ALFREDO GOMEZ CLAVIJO</v>
      </c>
      <c r="O333" s="1425" t="str">
        <f>'PLAN INDICATIVO'!O328</f>
        <v>Mantenimiento</v>
      </c>
      <c r="P333" s="16" t="str">
        <f>'PLAN INDICATIVO'!P328</f>
        <v>Implementar 1 observatorio de accidentalidad durante el cuatrienio</v>
      </c>
      <c r="Q333" s="302" t="str">
        <f>'PLAN INDICATIVO'!Q328</f>
        <v>No. Observatorio de accidental implementado</v>
      </c>
      <c r="R333" s="303">
        <f>'PLAN INDICATIVO'!R328</f>
        <v>2015</v>
      </c>
      <c r="S333" s="304">
        <v>0</v>
      </c>
      <c r="T333" s="498">
        <v>1</v>
      </c>
      <c r="U333" s="303">
        <v>1</v>
      </c>
      <c r="V333" s="687">
        <v>15000000</v>
      </c>
      <c r="W333" s="572">
        <v>1</v>
      </c>
      <c r="X333" s="687">
        <v>5000000</v>
      </c>
      <c r="Y333" s="572">
        <v>1</v>
      </c>
      <c r="Z333" s="687">
        <v>10000000</v>
      </c>
      <c r="AA333" s="572">
        <v>1</v>
      </c>
      <c r="AB333" s="687">
        <v>10000000</v>
      </c>
      <c r="AC333" s="665"/>
      <c r="AD333" s="665">
        <v>0.7</v>
      </c>
      <c r="AE333" s="665"/>
      <c r="AF333" s="665"/>
      <c r="AG333" s="306" t="s">
        <v>3775</v>
      </c>
      <c r="AH333" s="306">
        <v>2017413960020</v>
      </c>
      <c r="AI333" s="307" t="s">
        <v>3776</v>
      </c>
      <c r="AJ333" s="838">
        <v>42767</v>
      </c>
      <c r="AK333" s="838">
        <v>43008</v>
      </c>
      <c r="AL333" s="838"/>
      <c r="AM333" s="308"/>
      <c r="AN333" s="267" t="s">
        <v>2604</v>
      </c>
      <c r="AO333" s="507"/>
      <c r="AP333" s="525"/>
      <c r="AQ333" s="310"/>
      <c r="AR333" s="310"/>
      <c r="AS333" s="310"/>
      <c r="AT333" s="310"/>
      <c r="AU333" s="310"/>
      <c r="AV333" s="310"/>
      <c r="AW333" s="544">
        <f t="shared" si="155"/>
        <v>0</v>
      </c>
      <c r="AX333" s="525"/>
      <c r="AY333" s="310"/>
      <c r="AZ333" s="310"/>
      <c r="BA333" s="310"/>
      <c r="BB333" s="310"/>
      <c r="BC333" s="310"/>
      <c r="BD333" s="310"/>
      <c r="BE333" s="544">
        <f t="shared" si="143"/>
        <v>0</v>
      </c>
      <c r="BF333" s="525"/>
      <c r="BG333" s="310"/>
      <c r="BH333" s="310"/>
      <c r="BI333" s="310"/>
      <c r="BJ333" s="310"/>
      <c r="BK333" s="310"/>
      <c r="BL333" s="310"/>
      <c r="BM333" s="544">
        <f t="shared" si="144"/>
        <v>0</v>
      </c>
      <c r="BN333" s="525"/>
      <c r="BO333" s="310"/>
      <c r="BP333" s="310"/>
      <c r="BQ333" s="310"/>
      <c r="BR333" s="310"/>
      <c r="BS333" s="310"/>
      <c r="BT333" s="310"/>
      <c r="BU333" s="544">
        <f t="shared" si="145"/>
        <v>0</v>
      </c>
      <c r="BV333" s="556"/>
      <c r="BW333" s="663">
        <f t="shared" si="156"/>
        <v>0.7</v>
      </c>
      <c r="BX333" s="918">
        <f t="shared" si="157"/>
        <v>0.7</v>
      </c>
      <c r="BY333" s="674">
        <f t="shared" si="158"/>
        <v>0</v>
      </c>
      <c r="BZ333" s="674">
        <f t="shared" si="159"/>
        <v>0.7</v>
      </c>
      <c r="CA333" s="675">
        <f t="shared" si="160"/>
        <v>0</v>
      </c>
      <c r="CB333" s="675">
        <f t="shared" si="161"/>
        <v>0</v>
      </c>
    </row>
    <row r="334" spans="1:80" ht="79.5" hidden="1" customHeight="1" x14ac:dyDescent="0.25">
      <c r="A334" s="298" t="s">
        <v>1002</v>
      </c>
      <c r="B334" s="299" t="str">
        <f>'PLAN INDICATIVO'!B329</f>
        <v>Transporte</v>
      </c>
      <c r="C334" s="1547"/>
      <c r="D334" s="1551"/>
      <c r="E334" s="1551"/>
      <c r="F334" s="1551"/>
      <c r="G334" s="1551"/>
      <c r="H334" s="1551"/>
      <c r="I334" s="300">
        <f>'PLAN INDICATIVO'!I329</f>
        <v>0</v>
      </c>
      <c r="J334" s="300">
        <f>'PLAN INDICATIVO'!J329</f>
        <v>0</v>
      </c>
      <c r="K334" s="1425" t="str">
        <f>'PLAN INDICATIVO'!K329</f>
        <v>A.9.1.2</v>
      </c>
      <c r="L334" s="301" t="str">
        <f>'PLAN INDICATIVO'!L329</f>
        <v>11. Ciudades y comunidades sostenibles</v>
      </c>
      <c r="M334" s="301" t="str">
        <f>'PLAN INDICATIVO'!M329</f>
        <v xml:space="preserve">Secretaría de Tránsito </v>
      </c>
      <c r="N334" s="1425" t="str">
        <f>'PLAN INDICATIVO'!N329</f>
        <v>LUIS ALFREDO GOMEZ CLAVIJO</v>
      </c>
      <c r="O334" s="1425" t="str">
        <f>'PLAN INDICATIVO'!O329</f>
        <v>Incremento</v>
      </c>
      <c r="P334" s="16" t="str">
        <f>'PLAN INDICATIVO'!P329</f>
        <v>Realizar 4 campañas de sensibilización sobre la importancia de utilizar garajes y así evitar el hurto de los vehículos en el cuatrienio</v>
      </c>
      <c r="Q334" s="302" t="str">
        <f>'PLAN INDICATIVO'!Q329</f>
        <v>No. Campañas realizadas</v>
      </c>
      <c r="R334" s="303">
        <f>'PLAN INDICATIVO'!R329</f>
        <v>2015</v>
      </c>
      <c r="S334" s="304">
        <v>0</v>
      </c>
      <c r="T334" s="498">
        <v>4</v>
      </c>
      <c r="U334" s="303">
        <v>1</v>
      </c>
      <c r="V334" s="687">
        <v>15000000</v>
      </c>
      <c r="W334" s="572">
        <v>1</v>
      </c>
      <c r="X334" s="687">
        <v>10000000</v>
      </c>
      <c r="Y334" s="572">
        <v>1</v>
      </c>
      <c r="Z334" s="687">
        <v>10000000</v>
      </c>
      <c r="AA334" s="572">
        <v>1</v>
      </c>
      <c r="AB334" s="687">
        <v>15000000</v>
      </c>
      <c r="AC334" s="665">
        <v>4</v>
      </c>
      <c r="AD334" s="665">
        <v>1</v>
      </c>
      <c r="AE334" s="665"/>
      <c r="AF334" s="665"/>
      <c r="AG334" s="306" t="s">
        <v>3775</v>
      </c>
      <c r="AH334" s="306">
        <v>2017413960020</v>
      </c>
      <c r="AI334" s="307" t="s">
        <v>3777</v>
      </c>
      <c r="AJ334" s="335">
        <v>42856</v>
      </c>
      <c r="AK334" s="335">
        <v>43008</v>
      </c>
      <c r="AL334" s="308"/>
      <c r="AM334" s="308"/>
      <c r="AN334" s="267" t="s">
        <v>2598</v>
      </c>
      <c r="AO334" s="507"/>
      <c r="AP334" s="525">
        <v>3000000</v>
      </c>
      <c r="AQ334" s="310"/>
      <c r="AR334" s="380"/>
      <c r="AS334" s="310"/>
      <c r="AT334" s="310"/>
      <c r="AU334" s="310"/>
      <c r="AV334" s="310"/>
      <c r="AW334" s="544">
        <f t="shared" si="155"/>
        <v>3000000</v>
      </c>
      <c r="AX334" s="525"/>
      <c r="AY334" s="310"/>
      <c r="AZ334" s="380"/>
      <c r="BA334" s="310"/>
      <c r="BB334" s="310"/>
      <c r="BC334" s="310"/>
      <c r="BD334" s="310"/>
      <c r="BE334" s="544">
        <f t="shared" si="143"/>
        <v>0</v>
      </c>
      <c r="BF334" s="525"/>
      <c r="BG334" s="310"/>
      <c r="BH334" s="380"/>
      <c r="BI334" s="310"/>
      <c r="BJ334" s="310"/>
      <c r="BK334" s="310"/>
      <c r="BL334" s="310"/>
      <c r="BM334" s="544">
        <f t="shared" si="144"/>
        <v>0</v>
      </c>
      <c r="BN334" s="525"/>
      <c r="BO334" s="310"/>
      <c r="BP334" s="380"/>
      <c r="BQ334" s="310"/>
      <c r="BR334" s="310"/>
      <c r="BS334" s="310"/>
      <c r="BT334" s="310"/>
      <c r="BU334" s="544">
        <f t="shared" si="145"/>
        <v>0</v>
      </c>
      <c r="BV334" s="556"/>
      <c r="BW334" s="663">
        <f t="shared" si="156"/>
        <v>5</v>
      </c>
      <c r="BX334" s="674">
        <f t="shared" si="157"/>
        <v>1.25</v>
      </c>
      <c r="BY334" s="674">
        <f t="shared" si="158"/>
        <v>4</v>
      </c>
      <c r="BZ334" s="674">
        <f t="shared" si="159"/>
        <v>1</v>
      </c>
      <c r="CA334" s="675">
        <f t="shared" si="160"/>
        <v>0</v>
      </c>
      <c r="CB334" s="675">
        <f t="shared" si="161"/>
        <v>0</v>
      </c>
    </row>
    <row r="335" spans="1:80" ht="93.75" hidden="1" customHeight="1" x14ac:dyDescent="0.25">
      <c r="A335" s="298" t="s">
        <v>1002</v>
      </c>
      <c r="B335" s="299" t="str">
        <f>'PLAN INDICATIVO'!B330</f>
        <v>Transporte</v>
      </c>
      <c r="C335" s="1547"/>
      <c r="D335" s="1551"/>
      <c r="E335" s="1551"/>
      <c r="F335" s="1551"/>
      <c r="G335" s="1551"/>
      <c r="H335" s="1551"/>
      <c r="I335" s="300">
        <f>'PLAN INDICATIVO'!I330</f>
        <v>0</v>
      </c>
      <c r="J335" s="300">
        <f>'PLAN INDICATIVO'!J330</f>
        <v>0</v>
      </c>
      <c r="K335" s="1425" t="str">
        <f>'PLAN INDICATIVO'!K330</f>
        <v>A.9.1.3</v>
      </c>
      <c r="L335" s="301" t="str">
        <f>'PLAN INDICATIVO'!L330</f>
        <v>11. Ciudades y comunidades sostenibles</v>
      </c>
      <c r="M335" s="301" t="str">
        <f>'PLAN INDICATIVO'!M330</f>
        <v xml:space="preserve">Secretaría de Tránsito </v>
      </c>
      <c r="N335" s="1425" t="str">
        <f>'PLAN INDICATIVO'!N330</f>
        <v>LUIS ALFREDO GOMEZ CLAVIJO</v>
      </c>
      <c r="O335" s="1425" t="str">
        <f>'PLAN INDICATIVO'!O330</f>
        <v>Incremento</v>
      </c>
      <c r="P335" s="16" t="str">
        <f>'PLAN INDICATIVO'!P330</f>
        <v xml:space="preserve">Implementar 1 estrategia para la ubicación de zonas azules en el municipio de La Plata, en el cuatrienio </v>
      </c>
      <c r="Q335" s="302" t="str">
        <f>'PLAN INDICATIVO'!Q330</f>
        <v>No. De estrategias implementadas</v>
      </c>
      <c r="R335" s="303">
        <f>'PLAN INDICATIVO'!R330</f>
        <v>2015</v>
      </c>
      <c r="S335" s="304">
        <v>0</v>
      </c>
      <c r="T335" s="498">
        <v>1</v>
      </c>
      <c r="U335" s="303">
        <v>0.5</v>
      </c>
      <c r="V335" s="687">
        <v>20000000</v>
      </c>
      <c r="W335" s="572">
        <v>1</v>
      </c>
      <c r="X335" s="687">
        <v>5000000</v>
      </c>
      <c r="Y335" s="572">
        <v>0</v>
      </c>
      <c r="Z335" s="687"/>
      <c r="AA335" s="572">
        <v>0</v>
      </c>
      <c r="AB335" s="687"/>
      <c r="AC335" s="894">
        <v>0.5</v>
      </c>
      <c r="AD335" s="665">
        <v>0.9</v>
      </c>
      <c r="AE335" s="665"/>
      <c r="AF335" s="665"/>
      <c r="AG335" s="306" t="s">
        <v>3775</v>
      </c>
      <c r="AH335" s="306">
        <v>2017413960020</v>
      </c>
      <c r="AI335" s="307" t="s">
        <v>3778</v>
      </c>
      <c r="AJ335" s="838">
        <v>42768</v>
      </c>
      <c r="AK335" s="838">
        <v>43099</v>
      </c>
      <c r="AL335" s="308"/>
      <c r="AM335" s="308"/>
      <c r="AN335" s="267" t="s">
        <v>2598</v>
      </c>
      <c r="AO335" s="507"/>
      <c r="AP335" s="525"/>
      <c r="AQ335" s="310"/>
      <c r="AR335" s="380"/>
      <c r="AS335" s="310"/>
      <c r="AT335" s="310"/>
      <c r="AU335" s="310"/>
      <c r="AV335" s="310"/>
      <c r="AW335" s="544">
        <f t="shared" si="155"/>
        <v>0</v>
      </c>
      <c r="AX335" s="525"/>
      <c r="AY335" s="310"/>
      <c r="AZ335" s="380"/>
      <c r="BA335" s="310"/>
      <c r="BB335" s="310"/>
      <c r="BC335" s="310"/>
      <c r="BD335" s="310"/>
      <c r="BE335" s="544">
        <f t="shared" si="143"/>
        <v>0</v>
      </c>
      <c r="BF335" s="525"/>
      <c r="BG335" s="310"/>
      <c r="BH335" s="380"/>
      <c r="BI335" s="310"/>
      <c r="BJ335" s="310"/>
      <c r="BK335" s="310"/>
      <c r="BL335" s="310"/>
      <c r="BM335" s="544">
        <f t="shared" si="144"/>
        <v>0</v>
      </c>
      <c r="BN335" s="525"/>
      <c r="BO335" s="310"/>
      <c r="BP335" s="380"/>
      <c r="BQ335" s="310"/>
      <c r="BR335" s="310"/>
      <c r="BS335" s="310"/>
      <c r="BT335" s="310"/>
      <c r="BU335" s="544">
        <f t="shared" si="145"/>
        <v>0</v>
      </c>
      <c r="BV335" s="556"/>
      <c r="BW335" s="663">
        <f t="shared" si="156"/>
        <v>1.4</v>
      </c>
      <c r="BX335" s="674">
        <f t="shared" si="157"/>
        <v>1.4</v>
      </c>
      <c r="BY335" s="674">
        <f t="shared" si="158"/>
        <v>1</v>
      </c>
      <c r="BZ335" s="674">
        <f t="shared" si="159"/>
        <v>0.9</v>
      </c>
      <c r="CA335" s="675" t="e">
        <f t="shared" si="160"/>
        <v>#DIV/0!</v>
      </c>
      <c r="CB335" s="675" t="e">
        <f t="shared" si="161"/>
        <v>#DIV/0!</v>
      </c>
    </row>
    <row r="336" spans="1:80" ht="88.5" hidden="1" customHeight="1" x14ac:dyDescent="0.25">
      <c r="A336" s="298" t="s">
        <v>1002</v>
      </c>
      <c r="B336" s="299" t="str">
        <f>'PLAN INDICATIVO'!B331</f>
        <v>Transporte</v>
      </c>
      <c r="C336" s="1547"/>
      <c r="D336" s="1551"/>
      <c r="E336" s="1551"/>
      <c r="F336" s="1551"/>
      <c r="G336" s="1551"/>
      <c r="H336" s="1551"/>
      <c r="I336" s="1425" t="str">
        <f>'PLAN INDICATIVO'!I331</f>
        <v>SI</v>
      </c>
      <c r="J336" s="1425">
        <f>'PLAN INDICATIVO'!J331</f>
        <v>0</v>
      </c>
      <c r="K336" s="1425" t="str">
        <f>'PLAN INDICATIVO'!K331</f>
        <v>A.9.1.4</v>
      </c>
      <c r="L336" s="301" t="str">
        <f>'PLAN INDICATIVO'!L331</f>
        <v>11. Ciudades y comunidades sostenibles</v>
      </c>
      <c r="M336" s="301" t="str">
        <f>'PLAN INDICATIVO'!M331</f>
        <v xml:space="preserve">Secretaría de Tránsito </v>
      </c>
      <c r="N336" s="1425" t="str">
        <f>'PLAN INDICATIVO'!N331</f>
        <v>LUIS ALFREDO GOMEZ CLAVIJO</v>
      </c>
      <c r="O336" s="1425" t="str">
        <f>'PLAN INDICATIVO'!O331</f>
        <v>Mantenimiento</v>
      </c>
      <c r="P336" s="16" t="str">
        <f>'PLAN INDICATIVO'!P331</f>
        <v>Implementar cada año 1 programa de optimización tecnológica y de sistema de semaforización de la secretaría de tránsito municipal, durante el cuatrienio</v>
      </c>
      <c r="Q336" s="302" t="str">
        <f>'PLAN INDICATIVO'!Q331</f>
        <v>No. De Programa implementado por año</v>
      </c>
      <c r="R336" s="303">
        <f>'PLAN INDICATIVO'!R331</f>
        <v>2015</v>
      </c>
      <c r="S336" s="304">
        <v>0</v>
      </c>
      <c r="T336" s="498">
        <v>1</v>
      </c>
      <c r="U336" s="303">
        <v>0.25</v>
      </c>
      <c r="V336" s="687">
        <v>40000000</v>
      </c>
      <c r="W336" s="572">
        <v>0.25</v>
      </c>
      <c r="X336" s="687">
        <v>5000000</v>
      </c>
      <c r="Y336" s="572">
        <v>0.25</v>
      </c>
      <c r="Z336" s="687">
        <v>20000000</v>
      </c>
      <c r="AA336" s="572">
        <v>0.25</v>
      </c>
      <c r="AB336" s="687">
        <v>15000000</v>
      </c>
      <c r="AC336" s="665">
        <v>0</v>
      </c>
      <c r="AD336" s="665">
        <v>0.25</v>
      </c>
      <c r="AE336" s="665"/>
      <c r="AF336" s="665"/>
      <c r="AG336" s="306" t="s">
        <v>3775</v>
      </c>
      <c r="AH336" s="306">
        <v>2017413960020</v>
      </c>
      <c r="AI336" s="307" t="s">
        <v>3779</v>
      </c>
      <c r="AJ336" s="335" t="s">
        <v>3780</v>
      </c>
      <c r="AK336" s="335">
        <v>43084</v>
      </c>
      <c r="AL336" s="308"/>
      <c r="AM336" s="308"/>
      <c r="AN336" s="267" t="s">
        <v>2598</v>
      </c>
      <c r="AO336" s="507">
        <v>230916</v>
      </c>
      <c r="AP336" s="947" t="s">
        <v>3781</v>
      </c>
      <c r="AQ336" s="310"/>
      <c r="AR336" s="380"/>
      <c r="AS336" s="310"/>
      <c r="AT336" s="310"/>
      <c r="AU336" s="310"/>
      <c r="AV336" s="310"/>
      <c r="AW336" s="1003">
        <v>27471210</v>
      </c>
      <c r="AX336" s="525"/>
      <c r="AY336" s="310"/>
      <c r="AZ336" s="380"/>
      <c r="BA336" s="310"/>
      <c r="BB336" s="310"/>
      <c r="BC336" s="310"/>
      <c r="BD336" s="310"/>
      <c r="BE336" s="544">
        <f t="shared" si="143"/>
        <v>0</v>
      </c>
      <c r="BF336" s="525"/>
      <c r="BG336" s="310"/>
      <c r="BH336" s="380"/>
      <c r="BI336" s="310"/>
      <c r="BJ336" s="310"/>
      <c r="BK336" s="310"/>
      <c r="BL336" s="310"/>
      <c r="BM336" s="544">
        <f t="shared" si="144"/>
        <v>0</v>
      </c>
      <c r="BN336" s="525"/>
      <c r="BO336" s="310"/>
      <c r="BP336" s="380"/>
      <c r="BQ336" s="310"/>
      <c r="BR336" s="310"/>
      <c r="BS336" s="310"/>
      <c r="BT336" s="310"/>
      <c r="BU336" s="544">
        <f t="shared" si="145"/>
        <v>0</v>
      </c>
      <c r="BV336" s="556"/>
      <c r="BW336" s="663">
        <f t="shared" si="156"/>
        <v>0.25</v>
      </c>
      <c r="BX336" s="918">
        <f t="shared" si="157"/>
        <v>0.25</v>
      </c>
      <c r="BY336" s="674">
        <f t="shared" si="158"/>
        <v>0</v>
      </c>
      <c r="BZ336" s="674">
        <f t="shared" si="159"/>
        <v>1</v>
      </c>
      <c r="CA336" s="675">
        <f t="shared" si="160"/>
        <v>0</v>
      </c>
      <c r="CB336" s="675">
        <f t="shared" si="161"/>
        <v>0</v>
      </c>
    </row>
    <row r="337" spans="1:80" ht="71.25" hidden="1" customHeight="1" x14ac:dyDescent="0.25">
      <c r="A337" s="298" t="s">
        <v>1002</v>
      </c>
      <c r="B337" s="299" t="str">
        <f>'PLAN INDICATIVO'!B332</f>
        <v>Transporte</v>
      </c>
      <c r="C337" s="1547"/>
      <c r="D337" s="1551"/>
      <c r="E337" s="1551"/>
      <c r="F337" s="1551"/>
      <c r="G337" s="1551"/>
      <c r="H337" s="1551"/>
      <c r="I337" s="300">
        <f>'PLAN INDICATIVO'!I332</f>
        <v>0</v>
      </c>
      <c r="J337" s="300">
        <f>'PLAN INDICATIVO'!J332</f>
        <v>0</v>
      </c>
      <c r="K337" s="1425" t="str">
        <f>'PLAN INDICATIVO'!K332</f>
        <v>A.9.1.5</v>
      </c>
      <c r="L337" s="301" t="str">
        <f>'PLAN INDICATIVO'!L332</f>
        <v>11. Ciudades y comunidades sostenibles</v>
      </c>
      <c r="M337" s="301" t="str">
        <f>'PLAN INDICATIVO'!M332</f>
        <v xml:space="preserve">Secretaría de Tránsito </v>
      </c>
      <c r="N337" s="1425" t="str">
        <f>'PLAN INDICATIVO'!N332</f>
        <v>LUIS ALFREDO GOMEZ CLAVIJO</v>
      </c>
      <c r="O337" s="1425" t="str">
        <f>'PLAN INDICATIVO'!O332</f>
        <v>Mantenimiento</v>
      </c>
      <c r="P337" s="16" t="str">
        <f>'PLAN INDICATIVO'!P332</f>
        <v>Realizar 3 reuniones anuales con el consejo municipal de transporte</v>
      </c>
      <c r="Q337" s="302" t="str">
        <f>'PLAN INDICATIVO'!Q332</f>
        <v>No. de reuniones realizadas por año</v>
      </c>
      <c r="R337" s="303">
        <f>'PLAN INDICATIVO'!R332</f>
        <v>2015</v>
      </c>
      <c r="S337" s="304">
        <v>0</v>
      </c>
      <c r="T337" s="498">
        <v>12</v>
      </c>
      <c r="U337" s="303">
        <v>3</v>
      </c>
      <c r="V337" s="687">
        <v>5000000</v>
      </c>
      <c r="W337" s="572">
        <v>3</v>
      </c>
      <c r="X337" s="687">
        <v>5000000</v>
      </c>
      <c r="Y337" s="572">
        <v>3</v>
      </c>
      <c r="Z337" s="687">
        <v>10000000</v>
      </c>
      <c r="AA337" s="572">
        <v>3</v>
      </c>
      <c r="AB337" s="687">
        <v>5000000</v>
      </c>
      <c r="AC337" s="665">
        <v>3</v>
      </c>
      <c r="AD337" s="665">
        <v>3</v>
      </c>
      <c r="AE337" s="665"/>
      <c r="AF337" s="665"/>
      <c r="AG337" s="306" t="s">
        <v>3775</v>
      </c>
      <c r="AH337" s="306">
        <v>2017413960020</v>
      </c>
      <c r="AI337" s="307" t="s">
        <v>3782</v>
      </c>
      <c r="AJ337" s="335">
        <v>42767</v>
      </c>
      <c r="AK337" s="335">
        <v>43084</v>
      </c>
      <c r="AL337" s="308"/>
      <c r="AM337" s="308"/>
      <c r="AN337" s="267" t="s">
        <v>2598</v>
      </c>
      <c r="AO337" s="507"/>
      <c r="AP337" s="525"/>
      <c r="AQ337" s="310"/>
      <c r="AR337" s="310"/>
      <c r="AS337" s="310"/>
      <c r="AT337" s="310"/>
      <c r="AU337" s="310"/>
      <c r="AV337" s="310"/>
      <c r="AW337" s="544">
        <f t="shared" si="155"/>
        <v>0</v>
      </c>
      <c r="AX337" s="525"/>
      <c r="AY337" s="310"/>
      <c r="AZ337" s="310"/>
      <c r="BA337" s="310"/>
      <c r="BB337" s="310"/>
      <c r="BC337" s="310"/>
      <c r="BD337" s="310"/>
      <c r="BE337" s="544">
        <f t="shared" si="143"/>
        <v>0</v>
      </c>
      <c r="BF337" s="525"/>
      <c r="BG337" s="310"/>
      <c r="BH337" s="310"/>
      <c r="BI337" s="310"/>
      <c r="BJ337" s="310"/>
      <c r="BK337" s="310"/>
      <c r="BL337" s="310"/>
      <c r="BM337" s="544">
        <f t="shared" si="144"/>
        <v>0</v>
      </c>
      <c r="BN337" s="525"/>
      <c r="BO337" s="310"/>
      <c r="BP337" s="310"/>
      <c r="BQ337" s="310"/>
      <c r="BR337" s="310"/>
      <c r="BS337" s="310"/>
      <c r="BT337" s="310"/>
      <c r="BU337" s="544">
        <f t="shared" si="145"/>
        <v>0</v>
      </c>
      <c r="BV337" s="556"/>
      <c r="BW337" s="663">
        <f t="shared" si="156"/>
        <v>6</v>
      </c>
      <c r="BX337" s="864">
        <f t="shared" si="157"/>
        <v>0.5</v>
      </c>
      <c r="BY337" s="674">
        <f t="shared" si="158"/>
        <v>1</v>
      </c>
      <c r="BZ337" s="674">
        <f t="shared" si="159"/>
        <v>1</v>
      </c>
      <c r="CA337" s="675">
        <f t="shared" si="160"/>
        <v>0</v>
      </c>
      <c r="CB337" s="675">
        <f t="shared" si="161"/>
        <v>0</v>
      </c>
    </row>
    <row r="338" spans="1:80" ht="94.5" hidden="1" customHeight="1" x14ac:dyDescent="0.25">
      <c r="A338" s="298" t="s">
        <v>1002</v>
      </c>
      <c r="B338" s="299" t="str">
        <f>'PLAN INDICATIVO'!B333</f>
        <v>Transporte</v>
      </c>
      <c r="C338" s="1547"/>
      <c r="D338" s="1551"/>
      <c r="E338" s="1551"/>
      <c r="F338" s="1551"/>
      <c r="G338" s="1551"/>
      <c r="H338" s="1551"/>
      <c r="I338" s="300">
        <f>'PLAN INDICATIVO'!I333</f>
        <v>0</v>
      </c>
      <c r="J338" s="300">
        <f>'PLAN INDICATIVO'!J333</f>
        <v>0</v>
      </c>
      <c r="K338" s="1425" t="str">
        <f>'PLAN INDICATIVO'!K333</f>
        <v>A.9.1.6</v>
      </c>
      <c r="L338" s="301" t="str">
        <f>'PLAN INDICATIVO'!L333</f>
        <v>11. Ciudades y comunidades sostenibles</v>
      </c>
      <c r="M338" s="301" t="str">
        <f>'PLAN INDICATIVO'!M333</f>
        <v xml:space="preserve">Secretaría de Tránsito </v>
      </c>
      <c r="N338" s="1425" t="str">
        <f>'PLAN INDICATIVO'!N333</f>
        <v>LUIS ALFREDO GOMEZ CLAVIJO</v>
      </c>
      <c r="O338" s="1425" t="str">
        <f>'PLAN INDICATIVO'!O333</f>
        <v>Mantenimiento</v>
      </c>
      <c r="P338" s="16" t="str">
        <f>'PLAN INDICATIVO'!P333</f>
        <v>Crear 1 plan de medios orientados a informar sobre los avances en materia de transporte y movilidad, y promover la seguridad vial cada año</v>
      </c>
      <c r="Q338" s="302" t="str">
        <f>'PLAN INDICATIVO'!Q333</f>
        <v>No. De Planes creados</v>
      </c>
      <c r="R338" s="303">
        <f>'PLAN INDICATIVO'!R333</f>
        <v>2015</v>
      </c>
      <c r="S338" s="304">
        <v>0</v>
      </c>
      <c r="T338" s="498">
        <v>1</v>
      </c>
      <c r="U338" s="303">
        <v>0.25</v>
      </c>
      <c r="V338" s="687">
        <v>15000000</v>
      </c>
      <c r="W338" s="572">
        <v>0.25</v>
      </c>
      <c r="X338" s="687">
        <v>10000000</v>
      </c>
      <c r="Y338" s="572">
        <v>0.25</v>
      </c>
      <c r="Z338" s="687">
        <v>20000000</v>
      </c>
      <c r="AA338" s="572">
        <v>0.25</v>
      </c>
      <c r="AB338" s="687">
        <v>15000000</v>
      </c>
      <c r="AC338" s="665">
        <v>0.25</v>
      </c>
      <c r="AD338" s="665" t="s">
        <v>3783</v>
      </c>
      <c r="AE338" s="665"/>
      <c r="AF338" s="665"/>
      <c r="AG338" s="306" t="s">
        <v>3775</v>
      </c>
      <c r="AH338" s="306">
        <v>2017413960020</v>
      </c>
      <c r="AI338" s="307" t="s">
        <v>3784</v>
      </c>
      <c r="AJ338" s="335">
        <v>42767</v>
      </c>
      <c r="AK338" s="335">
        <v>43084</v>
      </c>
      <c r="AL338" s="308"/>
      <c r="AM338" s="308"/>
      <c r="AN338" s="267" t="s">
        <v>2598</v>
      </c>
      <c r="AO338" s="507"/>
      <c r="AP338" s="525"/>
      <c r="AQ338" s="310"/>
      <c r="AR338" s="310"/>
      <c r="AS338" s="310"/>
      <c r="AT338" s="310"/>
      <c r="AU338" s="310"/>
      <c r="AV338" s="310"/>
      <c r="AW338" s="544">
        <f t="shared" si="155"/>
        <v>0</v>
      </c>
      <c r="AX338" s="525"/>
      <c r="AY338" s="310"/>
      <c r="AZ338" s="310"/>
      <c r="BA338" s="310"/>
      <c r="BB338" s="310"/>
      <c r="BC338" s="310"/>
      <c r="BD338" s="310"/>
      <c r="BE338" s="544">
        <f t="shared" si="143"/>
        <v>0</v>
      </c>
      <c r="BF338" s="525"/>
      <c r="BG338" s="310"/>
      <c r="BH338" s="310"/>
      <c r="BI338" s="310"/>
      <c r="BJ338" s="310"/>
      <c r="BK338" s="310"/>
      <c r="BL338" s="310"/>
      <c r="BM338" s="544">
        <f t="shared" si="144"/>
        <v>0</v>
      </c>
      <c r="BN338" s="525"/>
      <c r="BO338" s="310"/>
      <c r="BP338" s="310"/>
      <c r="BQ338" s="310"/>
      <c r="BR338" s="310"/>
      <c r="BS338" s="310"/>
      <c r="BT338" s="310"/>
      <c r="BU338" s="544">
        <f t="shared" si="145"/>
        <v>0</v>
      </c>
      <c r="BV338" s="556"/>
      <c r="BW338" s="663">
        <f t="shared" si="156"/>
        <v>0.5</v>
      </c>
      <c r="BX338" s="864">
        <f t="shared" si="157"/>
        <v>0.5</v>
      </c>
      <c r="BY338" s="674">
        <f t="shared" si="158"/>
        <v>1</v>
      </c>
      <c r="BZ338" s="674">
        <f t="shared" si="159"/>
        <v>1</v>
      </c>
      <c r="CA338" s="675">
        <f t="shared" si="160"/>
        <v>0</v>
      </c>
      <c r="CB338" s="675">
        <f t="shared" si="161"/>
        <v>0</v>
      </c>
    </row>
    <row r="339" spans="1:80" ht="81" hidden="1" customHeight="1" x14ac:dyDescent="0.25">
      <c r="A339" s="298" t="s">
        <v>1002</v>
      </c>
      <c r="B339" s="299" t="str">
        <f>'PLAN INDICATIVO'!B334</f>
        <v>Transporte</v>
      </c>
      <c r="C339" s="1547"/>
      <c r="D339" s="1551"/>
      <c r="E339" s="1551"/>
      <c r="F339" s="1551"/>
      <c r="G339" s="1551"/>
      <c r="H339" s="1551"/>
      <c r="I339" s="300">
        <f>'PLAN INDICATIVO'!I334</f>
        <v>0</v>
      </c>
      <c r="J339" s="300">
        <f>'PLAN INDICATIVO'!J334</f>
        <v>0</v>
      </c>
      <c r="K339" s="1425" t="str">
        <f>'PLAN INDICATIVO'!K334</f>
        <v>A.9.1.7</v>
      </c>
      <c r="L339" s="301" t="str">
        <f>'PLAN INDICATIVO'!L334</f>
        <v>11. Ciudades y comunidades sostenibles</v>
      </c>
      <c r="M339" s="301" t="str">
        <f>'PLAN INDICATIVO'!M334</f>
        <v xml:space="preserve">Secretaría de Tránsito </v>
      </c>
      <c r="N339" s="1425" t="str">
        <f>'PLAN INDICATIVO'!N334</f>
        <v>LUIS ALFREDO GOMEZ CLAVIJO</v>
      </c>
      <c r="O339" s="1425" t="str">
        <f>'PLAN INDICATIVO'!O334</f>
        <v>Incremento</v>
      </c>
      <c r="P339" s="16" t="str">
        <f>'PLAN INDICATIVO'!P334</f>
        <v>Implementar 1 estrategia encaminada a aumentar la matrícula y traspasos de vehículos, la seguridad vial y la eficiencia administrativa en la secretaria de tránsito, durante el cuatrienio</v>
      </c>
      <c r="Q339" s="302" t="str">
        <f>'PLAN INDICATIVO'!Q334</f>
        <v>No. Estrategias implementadas.</v>
      </c>
      <c r="R339" s="303">
        <f>'PLAN INDICATIVO'!R334</f>
        <v>2015</v>
      </c>
      <c r="S339" s="304">
        <v>0</v>
      </c>
      <c r="T339" s="498">
        <v>1</v>
      </c>
      <c r="U339" s="303">
        <v>1</v>
      </c>
      <c r="V339" s="687">
        <v>15000000</v>
      </c>
      <c r="W339" s="572">
        <v>0.7</v>
      </c>
      <c r="X339" s="687"/>
      <c r="Y339" s="572">
        <v>0</v>
      </c>
      <c r="Z339" s="687"/>
      <c r="AA339" s="572">
        <v>0</v>
      </c>
      <c r="AB339" s="687"/>
      <c r="AC339" s="665">
        <v>0.1</v>
      </c>
      <c r="AD339" s="665">
        <v>0.7</v>
      </c>
      <c r="AE339" s="665"/>
      <c r="AF339" s="665"/>
      <c r="AG339" s="306" t="s">
        <v>3775</v>
      </c>
      <c r="AH339" s="306">
        <v>2017413960020</v>
      </c>
      <c r="AI339" s="307" t="s">
        <v>3785</v>
      </c>
      <c r="AJ339" s="335">
        <v>42767</v>
      </c>
      <c r="AK339" s="335">
        <v>42855</v>
      </c>
      <c r="AL339" s="308"/>
      <c r="AM339" s="308"/>
      <c r="AN339" s="267" t="s">
        <v>2598</v>
      </c>
      <c r="AO339" s="507"/>
      <c r="AP339" s="525"/>
      <c r="AQ339" s="310"/>
      <c r="AR339" s="310"/>
      <c r="AS339" s="310"/>
      <c r="AT339" s="310"/>
      <c r="AU339" s="310"/>
      <c r="AV339" s="310"/>
      <c r="AW339" s="544">
        <f t="shared" si="155"/>
        <v>0</v>
      </c>
      <c r="AX339" s="525"/>
      <c r="AY339" s="310"/>
      <c r="AZ339" s="310"/>
      <c r="BA339" s="310"/>
      <c r="BB339" s="310"/>
      <c r="BC339" s="310"/>
      <c r="BD339" s="310"/>
      <c r="BE339" s="544">
        <f t="shared" si="143"/>
        <v>0</v>
      </c>
      <c r="BF339" s="525"/>
      <c r="BG339" s="310"/>
      <c r="BH339" s="310"/>
      <c r="BI339" s="310"/>
      <c r="BJ339" s="310"/>
      <c r="BK339" s="310"/>
      <c r="BL339" s="310"/>
      <c r="BM339" s="544">
        <f t="shared" si="144"/>
        <v>0</v>
      </c>
      <c r="BN339" s="525"/>
      <c r="BO339" s="310"/>
      <c r="BP339" s="310"/>
      <c r="BQ339" s="310"/>
      <c r="BR339" s="310"/>
      <c r="BS339" s="310"/>
      <c r="BT339" s="310"/>
      <c r="BU339" s="544">
        <f t="shared" si="145"/>
        <v>0</v>
      </c>
      <c r="BV339" s="556"/>
      <c r="BW339" s="663">
        <f t="shared" si="156"/>
        <v>0.79999999999999993</v>
      </c>
      <c r="BX339" s="864">
        <f t="shared" si="157"/>
        <v>0.79999999999999993</v>
      </c>
      <c r="BY339" s="674">
        <f t="shared" si="158"/>
        <v>0.1</v>
      </c>
      <c r="BZ339" s="674">
        <f t="shared" si="159"/>
        <v>1</v>
      </c>
      <c r="CA339" s="675" t="e">
        <f t="shared" si="160"/>
        <v>#DIV/0!</v>
      </c>
      <c r="CB339" s="675" t="e">
        <f t="shared" si="161"/>
        <v>#DIV/0!</v>
      </c>
    </row>
    <row r="340" spans="1:80" ht="77.25" hidden="1" customHeight="1" x14ac:dyDescent="0.25">
      <c r="A340" s="298" t="s">
        <v>1002</v>
      </c>
      <c r="B340" s="299" t="str">
        <f>'PLAN INDICATIVO'!B335</f>
        <v>Transporte</v>
      </c>
      <c r="C340" s="1547"/>
      <c r="D340" s="1551"/>
      <c r="E340" s="1551"/>
      <c r="F340" s="1551"/>
      <c r="G340" s="1551"/>
      <c r="H340" s="1551"/>
      <c r="I340" s="300">
        <f>'PLAN INDICATIVO'!I335</f>
        <v>0</v>
      </c>
      <c r="J340" s="300">
        <f>'PLAN INDICATIVO'!J335</f>
        <v>0</v>
      </c>
      <c r="K340" s="1425" t="str">
        <f>'PLAN INDICATIVO'!K335</f>
        <v>A.9.1.8</v>
      </c>
      <c r="L340" s="301" t="str">
        <f>'PLAN INDICATIVO'!L335</f>
        <v>11. Ciudades y comunidades sostenibles</v>
      </c>
      <c r="M340" s="301" t="str">
        <f>'PLAN INDICATIVO'!M335</f>
        <v xml:space="preserve">Secretaría de Tránsito </v>
      </c>
      <c r="N340" s="1425" t="str">
        <f>'PLAN INDICATIVO'!N335</f>
        <v>LUIS ALFREDO GOMEZ CLAVIJO</v>
      </c>
      <c r="O340" s="1425" t="str">
        <f>'PLAN INDICATIVO'!O335</f>
        <v>Incremento</v>
      </c>
      <c r="P340" s="16" t="str">
        <f>'PLAN INDICATIVO'!P335</f>
        <v>Formulación e implementación de 2 programa de señalización y demarcación vial, durante el cuatrienio</v>
      </c>
      <c r="Q340" s="302" t="str">
        <f>'PLAN INDICATIVO'!Q335</f>
        <v xml:space="preserve">No. De programas formulados e implementados </v>
      </c>
      <c r="R340" s="303">
        <f>'PLAN INDICATIVO'!R335</f>
        <v>2015</v>
      </c>
      <c r="S340" s="304">
        <v>0</v>
      </c>
      <c r="T340" s="498">
        <v>2</v>
      </c>
      <c r="U340" s="303">
        <v>1</v>
      </c>
      <c r="V340" s="687">
        <v>70000000</v>
      </c>
      <c r="W340" s="572">
        <v>1</v>
      </c>
      <c r="X340" s="687">
        <v>10000000</v>
      </c>
      <c r="Y340" s="572">
        <v>0</v>
      </c>
      <c r="Z340" s="687"/>
      <c r="AA340" s="572">
        <v>1</v>
      </c>
      <c r="AB340" s="687">
        <v>50000000</v>
      </c>
      <c r="AC340" s="665"/>
      <c r="AD340" s="665">
        <v>1</v>
      </c>
      <c r="AE340" s="665"/>
      <c r="AF340" s="665"/>
      <c r="AG340" s="306" t="s">
        <v>3775</v>
      </c>
      <c r="AH340" s="306">
        <v>2017413960020</v>
      </c>
      <c r="AI340" s="307" t="s">
        <v>3786</v>
      </c>
      <c r="AJ340" s="335">
        <v>42767</v>
      </c>
      <c r="AK340" s="335">
        <v>43084</v>
      </c>
      <c r="AL340" s="308"/>
      <c r="AM340" s="308"/>
      <c r="AN340" s="267" t="s">
        <v>2598</v>
      </c>
      <c r="AO340" s="507">
        <v>230916</v>
      </c>
      <c r="AP340" s="525" t="s">
        <v>3787</v>
      </c>
      <c r="AQ340" s="310"/>
      <c r="AR340" s="310"/>
      <c r="AS340" s="310"/>
      <c r="AT340" s="310"/>
      <c r="AU340" s="310"/>
      <c r="AV340" s="310"/>
      <c r="AW340" s="544">
        <v>63117100</v>
      </c>
      <c r="AX340" s="525"/>
      <c r="AY340" s="310"/>
      <c r="AZ340" s="310"/>
      <c r="BA340" s="310"/>
      <c r="BB340" s="310"/>
      <c r="BC340" s="310"/>
      <c r="BD340" s="310"/>
      <c r="BE340" s="544">
        <f t="shared" si="143"/>
        <v>0</v>
      </c>
      <c r="BF340" s="525"/>
      <c r="BG340" s="310"/>
      <c r="BH340" s="310"/>
      <c r="BI340" s="310"/>
      <c r="BJ340" s="310"/>
      <c r="BK340" s="310"/>
      <c r="BL340" s="310"/>
      <c r="BM340" s="544">
        <f t="shared" si="144"/>
        <v>0</v>
      </c>
      <c r="BN340" s="525"/>
      <c r="BO340" s="310"/>
      <c r="BP340" s="310"/>
      <c r="BQ340" s="310"/>
      <c r="BR340" s="310"/>
      <c r="BS340" s="310"/>
      <c r="BT340" s="310"/>
      <c r="BU340" s="544">
        <f t="shared" si="145"/>
        <v>0</v>
      </c>
      <c r="BV340" s="556"/>
      <c r="BW340" s="663">
        <f t="shared" si="156"/>
        <v>1</v>
      </c>
      <c r="BX340" s="674">
        <f t="shared" si="157"/>
        <v>0.5</v>
      </c>
      <c r="BY340" s="674">
        <f t="shared" si="158"/>
        <v>0</v>
      </c>
      <c r="BZ340" s="674">
        <f t="shared" si="159"/>
        <v>1</v>
      </c>
      <c r="CA340" s="675" t="e">
        <f t="shared" si="160"/>
        <v>#DIV/0!</v>
      </c>
      <c r="CB340" s="675">
        <f t="shared" si="161"/>
        <v>0</v>
      </c>
    </row>
    <row r="341" spans="1:80" ht="37.5" hidden="1" customHeight="1" x14ac:dyDescent="0.25">
      <c r="A341" s="298" t="s">
        <v>1002</v>
      </c>
      <c r="B341" s="299" t="str">
        <f>'PLAN INDICATIVO'!B336</f>
        <v>Transporte</v>
      </c>
      <c r="C341" s="1547"/>
      <c r="D341" s="1551"/>
      <c r="E341" s="1551"/>
      <c r="F341" s="1551"/>
      <c r="G341" s="1551"/>
      <c r="H341" s="1551"/>
      <c r="I341" s="300">
        <f>'PLAN INDICATIVO'!I336</f>
        <v>0</v>
      </c>
      <c r="J341" s="300">
        <f>'PLAN INDICATIVO'!J336</f>
        <v>0</v>
      </c>
      <c r="K341" s="1425" t="str">
        <f>'PLAN INDICATIVO'!K336</f>
        <v>A.9.1.9</v>
      </c>
      <c r="L341" s="301" t="str">
        <f>'PLAN INDICATIVO'!L336</f>
        <v>11. Ciudades y comunidades sostenibles</v>
      </c>
      <c r="M341" s="301" t="str">
        <f>'PLAN INDICATIVO'!M336</f>
        <v xml:space="preserve">Secretaría de Tránsito </v>
      </c>
      <c r="N341" s="1425" t="str">
        <f>'PLAN INDICATIVO'!N336</f>
        <v>LUIS ALFREDO GOMEZ CLAVIJO</v>
      </c>
      <c r="O341" s="1425" t="str">
        <f>'PLAN INDICATIVO'!O336</f>
        <v>Incremento</v>
      </c>
      <c r="P341" s="16" t="str">
        <f>'PLAN INDICATIVO'!P336</f>
        <v>Realizar 700 operativos en el sector urbano y rural para el control del cumplimiento de las normas de tránsito en el cuatrienio</v>
      </c>
      <c r="Q341" s="302" t="str">
        <f>'PLAN INDICATIVO'!Q336</f>
        <v>No. Operativos realizado</v>
      </c>
      <c r="R341" s="303">
        <f>'PLAN INDICATIVO'!R336</f>
        <v>2015</v>
      </c>
      <c r="S341" s="304">
        <v>0</v>
      </c>
      <c r="T341" s="498">
        <v>700</v>
      </c>
      <c r="U341" s="303">
        <v>100</v>
      </c>
      <c r="V341" s="687">
        <v>20000000</v>
      </c>
      <c r="W341" s="572">
        <v>84</v>
      </c>
      <c r="X341" s="687">
        <v>10000000</v>
      </c>
      <c r="Y341" s="572">
        <v>84</v>
      </c>
      <c r="Z341" s="687">
        <v>50000000</v>
      </c>
      <c r="AA341" s="572">
        <v>84</v>
      </c>
      <c r="AB341" s="687">
        <v>20000000</v>
      </c>
      <c r="AC341" s="665">
        <v>448</v>
      </c>
      <c r="AD341" s="665">
        <v>670</v>
      </c>
      <c r="AE341" s="665"/>
      <c r="AF341" s="665"/>
      <c r="AG341" s="306" t="s">
        <v>3775</v>
      </c>
      <c r="AH341" s="306">
        <v>2017413960020</v>
      </c>
      <c r="AI341" s="307" t="s">
        <v>3788</v>
      </c>
      <c r="AJ341" s="335">
        <v>36923</v>
      </c>
      <c r="AK341" s="335">
        <v>11658</v>
      </c>
      <c r="AL341" s="308"/>
      <c r="AM341" s="308"/>
      <c r="AN341" s="267" t="s">
        <v>2598</v>
      </c>
      <c r="AO341" s="507" t="s">
        <v>3789</v>
      </c>
      <c r="AP341" s="525">
        <v>38580990</v>
      </c>
      <c r="AQ341" s="310"/>
      <c r="AR341" s="310"/>
      <c r="AS341" s="310"/>
      <c r="AT341" s="310"/>
      <c r="AU341" s="310"/>
      <c r="AV341" s="310"/>
      <c r="AW341" s="544">
        <f t="shared" si="155"/>
        <v>38580990</v>
      </c>
      <c r="AX341" s="525"/>
      <c r="AY341" s="310"/>
      <c r="AZ341" s="310"/>
      <c r="BA341" s="310"/>
      <c r="BB341" s="310"/>
      <c r="BC341" s="310"/>
      <c r="BD341" s="310"/>
      <c r="BE341" s="544">
        <f t="shared" si="143"/>
        <v>0</v>
      </c>
      <c r="BF341" s="525"/>
      <c r="BG341" s="310"/>
      <c r="BH341" s="310"/>
      <c r="BI341" s="310"/>
      <c r="BJ341" s="310"/>
      <c r="BK341" s="310"/>
      <c r="BL341" s="310"/>
      <c r="BM341" s="544">
        <f t="shared" si="144"/>
        <v>0</v>
      </c>
      <c r="BN341" s="525"/>
      <c r="BO341" s="310"/>
      <c r="BP341" s="310"/>
      <c r="BQ341" s="310"/>
      <c r="BR341" s="310"/>
      <c r="BS341" s="310"/>
      <c r="BT341" s="310"/>
      <c r="BU341" s="544">
        <f t="shared" si="145"/>
        <v>0</v>
      </c>
      <c r="BV341" s="556"/>
      <c r="BW341" s="663">
        <f t="shared" si="156"/>
        <v>1118</v>
      </c>
      <c r="BX341" s="674">
        <f t="shared" si="157"/>
        <v>1.5971428571428572</v>
      </c>
      <c r="BY341" s="674">
        <f t="shared" si="158"/>
        <v>4.4800000000000004</v>
      </c>
      <c r="BZ341" s="674">
        <f t="shared" si="159"/>
        <v>7.9761904761904763</v>
      </c>
      <c r="CA341" s="675">
        <f t="shared" si="160"/>
        <v>0</v>
      </c>
      <c r="CB341" s="675">
        <f t="shared" si="161"/>
        <v>0</v>
      </c>
    </row>
    <row r="342" spans="1:80" ht="39" hidden="1" customHeight="1" x14ac:dyDescent="0.25">
      <c r="A342" s="298" t="s">
        <v>1002</v>
      </c>
      <c r="B342" s="299" t="str">
        <f>'PLAN INDICATIVO'!B337</f>
        <v>Transporte</v>
      </c>
      <c r="C342" s="1547"/>
      <c r="D342" s="1551"/>
      <c r="E342" s="1551"/>
      <c r="F342" s="1551"/>
      <c r="G342" s="1551"/>
      <c r="H342" s="1551"/>
      <c r="I342" s="300">
        <f>'PLAN INDICATIVO'!I337</f>
        <v>0</v>
      </c>
      <c r="J342" s="300">
        <f>'PLAN INDICATIVO'!J337</f>
        <v>0</v>
      </c>
      <c r="K342" s="1425" t="str">
        <f>'PLAN INDICATIVO'!K337</f>
        <v>A.9.1.10</v>
      </c>
      <c r="L342" s="301" t="str">
        <f>'PLAN INDICATIVO'!L337</f>
        <v>11. Ciudades y comunidades sostenibles</v>
      </c>
      <c r="M342" s="301" t="str">
        <f>'PLAN INDICATIVO'!M337</f>
        <v xml:space="preserve">Secretaría de Tránsito </v>
      </c>
      <c r="N342" s="1425" t="str">
        <f>'PLAN INDICATIVO'!N337</f>
        <v>LUIS ALFREDO GOMEZ CLAVIJO</v>
      </c>
      <c r="O342" s="1425" t="str">
        <f>'PLAN INDICATIVO'!O337</f>
        <v>Mantenimiento</v>
      </c>
      <c r="P342" s="16" t="str">
        <f>'PLAN INDICATIVO'!P337</f>
        <v>Contratar 17 nuevos agentes de tránsito durante el cuatrienio</v>
      </c>
      <c r="Q342" s="302" t="str">
        <f>'PLAN INDICATIVO'!Q337</f>
        <v>No. de Agentes contratados</v>
      </c>
      <c r="R342" s="303">
        <f>'PLAN INDICATIVO'!R337</f>
        <v>2015</v>
      </c>
      <c r="S342" s="304">
        <v>0</v>
      </c>
      <c r="T342" s="498">
        <v>67</v>
      </c>
      <c r="U342" s="303">
        <v>17</v>
      </c>
      <c r="V342" s="687">
        <v>60000000</v>
      </c>
      <c r="W342" s="715">
        <v>17</v>
      </c>
      <c r="X342" s="687">
        <v>30000000</v>
      </c>
      <c r="Y342" s="715">
        <v>17</v>
      </c>
      <c r="Z342" s="687">
        <v>130000000</v>
      </c>
      <c r="AA342" s="715">
        <v>17</v>
      </c>
      <c r="AB342" s="687">
        <v>60000000</v>
      </c>
      <c r="AC342" s="665">
        <v>17</v>
      </c>
      <c r="AD342" s="665">
        <v>18</v>
      </c>
      <c r="AE342" s="665"/>
      <c r="AF342" s="665"/>
      <c r="AG342" s="306" t="s">
        <v>3775</v>
      </c>
      <c r="AH342" s="306">
        <v>2017413960020</v>
      </c>
      <c r="AI342" s="307" t="s">
        <v>3790</v>
      </c>
      <c r="AJ342" s="335">
        <v>36923</v>
      </c>
      <c r="AK342" s="335">
        <v>11658</v>
      </c>
      <c r="AL342" s="308"/>
      <c r="AM342" s="308"/>
      <c r="AN342" s="267" t="s">
        <v>2598</v>
      </c>
      <c r="AO342" s="507" t="s">
        <v>3789</v>
      </c>
      <c r="AP342" s="525">
        <v>38580990</v>
      </c>
      <c r="AQ342" s="310"/>
      <c r="AR342" s="310"/>
      <c r="AS342" s="310"/>
      <c r="AT342" s="310"/>
      <c r="AU342" s="310"/>
      <c r="AV342" s="310"/>
      <c r="AW342" s="544">
        <f t="shared" si="155"/>
        <v>38580990</v>
      </c>
      <c r="AX342" s="525"/>
      <c r="AY342" s="310"/>
      <c r="AZ342" s="310"/>
      <c r="BA342" s="310"/>
      <c r="BB342" s="310"/>
      <c r="BC342" s="310"/>
      <c r="BD342" s="310"/>
      <c r="BE342" s="544">
        <f t="shared" si="143"/>
        <v>0</v>
      </c>
      <c r="BF342" s="525"/>
      <c r="BG342" s="310"/>
      <c r="BH342" s="310"/>
      <c r="BI342" s="310"/>
      <c r="BJ342" s="310"/>
      <c r="BK342" s="310"/>
      <c r="BL342" s="310"/>
      <c r="BM342" s="544">
        <f t="shared" si="144"/>
        <v>0</v>
      </c>
      <c r="BN342" s="525"/>
      <c r="BO342" s="310"/>
      <c r="BP342" s="310"/>
      <c r="BQ342" s="310"/>
      <c r="BR342" s="310"/>
      <c r="BS342" s="310"/>
      <c r="BT342" s="310"/>
      <c r="BU342" s="544">
        <f t="shared" si="145"/>
        <v>0</v>
      </c>
      <c r="BV342" s="556"/>
      <c r="BW342" s="663">
        <f t="shared" si="156"/>
        <v>35</v>
      </c>
      <c r="BX342" s="674">
        <f t="shared" si="157"/>
        <v>0.52238805970149249</v>
      </c>
      <c r="BY342" s="674">
        <f t="shared" si="158"/>
        <v>1</v>
      </c>
      <c r="BZ342" s="674">
        <f t="shared" si="159"/>
        <v>1.0588235294117647</v>
      </c>
      <c r="CA342" s="675">
        <f t="shared" si="160"/>
        <v>0</v>
      </c>
      <c r="CB342" s="675">
        <f t="shared" si="161"/>
        <v>0</v>
      </c>
    </row>
    <row r="343" spans="1:80" ht="91.5" hidden="1" customHeight="1" x14ac:dyDescent="0.25">
      <c r="A343" s="298" t="s">
        <v>1002</v>
      </c>
      <c r="B343" s="299" t="str">
        <f>'PLAN INDICATIVO'!B338</f>
        <v>Transporte</v>
      </c>
      <c r="C343" s="1547"/>
      <c r="D343" s="1551"/>
      <c r="E343" s="1551"/>
      <c r="F343" s="1551"/>
      <c r="G343" s="1551"/>
      <c r="H343" s="1551"/>
      <c r="I343" s="300">
        <f>'PLAN INDICATIVO'!I338</f>
        <v>0</v>
      </c>
      <c r="J343" s="300">
        <f>'PLAN INDICATIVO'!J338</f>
        <v>0</v>
      </c>
      <c r="K343" s="1425" t="str">
        <f>'PLAN INDICATIVO'!K338</f>
        <v>A.9.1.11</v>
      </c>
      <c r="L343" s="301" t="str">
        <f>'PLAN INDICATIVO'!L338</f>
        <v>11. Ciudades y comunidades sostenibles</v>
      </c>
      <c r="M343" s="301" t="str">
        <f>'PLAN INDICATIVO'!M338</f>
        <v xml:space="preserve">Secretaría de Tránsito </v>
      </c>
      <c r="N343" s="1425" t="str">
        <f>'PLAN INDICATIVO'!N338</f>
        <v>LUIS ALFREDO GOMEZ CLAVIJO</v>
      </c>
      <c r="O343" s="1425" t="str">
        <f>'PLAN INDICATIVO'!O338</f>
        <v>Mantenimiento</v>
      </c>
      <c r="P343" s="16" t="str">
        <f>'PLAN INDICATIVO'!P338</f>
        <v>Implementar el plan maestro de movilidad y seguridad vial cada año</v>
      </c>
      <c r="Q343" s="302" t="str">
        <f>'PLAN INDICATIVO'!Q338</f>
        <v xml:space="preserve">Plan maestro de movilidad implementado por año. </v>
      </c>
      <c r="R343" s="303">
        <f>'PLAN INDICATIVO'!R338</f>
        <v>2015</v>
      </c>
      <c r="S343" s="304">
        <v>1</v>
      </c>
      <c r="T343" s="498">
        <v>1</v>
      </c>
      <c r="U343" s="303">
        <v>0.25</v>
      </c>
      <c r="V343" s="687">
        <v>25000000</v>
      </c>
      <c r="W343" s="572">
        <v>0.25</v>
      </c>
      <c r="X343" s="687">
        <v>10000000</v>
      </c>
      <c r="Y343" s="572">
        <v>0.25</v>
      </c>
      <c r="Z343" s="687">
        <v>10000000</v>
      </c>
      <c r="AA343" s="572">
        <v>0.25</v>
      </c>
      <c r="AB343" s="687">
        <v>10000000</v>
      </c>
      <c r="AC343" s="665">
        <v>0.25</v>
      </c>
      <c r="AD343" s="665">
        <v>0.15</v>
      </c>
      <c r="AE343" s="665"/>
      <c r="AF343" s="665"/>
      <c r="AG343" s="306" t="s">
        <v>3775</v>
      </c>
      <c r="AH343" s="306">
        <v>2017413960020</v>
      </c>
      <c r="AI343" s="307" t="s">
        <v>3791</v>
      </c>
      <c r="AJ343" s="335">
        <v>36923</v>
      </c>
      <c r="AK343" s="335">
        <v>11658</v>
      </c>
      <c r="AL343" s="308"/>
      <c r="AM343" s="308"/>
      <c r="AN343" s="267" t="s">
        <v>2604</v>
      </c>
      <c r="AO343" s="507"/>
      <c r="AP343" s="525"/>
      <c r="AQ343" s="310"/>
      <c r="AR343" s="310"/>
      <c r="AS343" s="310"/>
      <c r="AT343" s="310"/>
      <c r="AU343" s="310"/>
      <c r="AV343" s="310"/>
      <c r="AW343" s="544">
        <f t="shared" si="155"/>
        <v>0</v>
      </c>
      <c r="AX343" s="525"/>
      <c r="AY343" s="310"/>
      <c r="AZ343" s="310"/>
      <c r="BA343" s="310"/>
      <c r="BB343" s="310"/>
      <c r="BC343" s="310"/>
      <c r="BD343" s="310"/>
      <c r="BE343" s="544">
        <f t="shared" si="143"/>
        <v>0</v>
      </c>
      <c r="BF343" s="525"/>
      <c r="BG343" s="310"/>
      <c r="BH343" s="310"/>
      <c r="BI343" s="310"/>
      <c r="BJ343" s="310"/>
      <c r="BK343" s="310"/>
      <c r="BL343" s="310"/>
      <c r="BM343" s="544">
        <f t="shared" si="144"/>
        <v>0</v>
      </c>
      <c r="BN343" s="525"/>
      <c r="BO343" s="310"/>
      <c r="BP343" s="310"/>
      <c r="BQ343" s="310"/>
      <c r="BR343" s="310"/>
      <c r="BS343" s="310"/>
      <c r="BT343" s="310"/>
      <c r="BU343" s="544">
        <f t="shared" si="145"/>
        <v>0</v>
      </c>
      <c r="BV343" s="556"/>
      <c r="BW343" s="663">
        <f t="shared" si="156"/>
        <v>0.4</v>
      </c>
      <c r="BX343" s="674">
        <f t="shared" si="157"/>
        <v>0.4</v>
      </c>
      <c r="BY343" s="674">
        <f t="shared" si="158"/>
        <v>1</v>
      </c>
      <c r="BZ343" s="674">
        <f t="shared" si="159"/>
        <v>0.6</v>
      </c>
      <c r="CA343" s="675">
        <f t="shared" si="160"/>
        <v>0</v>
      </c>
      <c r="CB343" s="675">
        <f t="shared" si="161"/>
        <v>0</v>
      </c>
    </row>
    <row r="344" spans="1:80" s="865" customFormat="1" ht="43.5" hidden="1" customHeight="1" x14ac:dyDescent="0.25">
      <c r="A344" s="858"/>
      <c r="B344" s="24"/>
      <c r="C344" s="1547"/>
      <c r="D344" s="1551"/>
      <c r="E344" s="1551"/>
      <c r="F344" s="1551"/>
      <c r="G344" s="1551"/>
      <c r="H344" s="1551"/>
      <c r="I344" s="859"/>
      <c r="J344" s="859"/>
      <c r="K344" s="17"/>
      <c r="L344" s="57"/>
      <c r="M344" s="57"/>
      <c r="N344" s="17"/>
      <c r="O344" s="17"/>
      <c r="P344" s="25"/>
      <c r="Q344" s="25"/>
      <c r="R344" s="17"/>
      <c r="S344" s="270"/>
      <c r="T344" s="66"/>
      <c r="U344" s="17"/>
      <c r="V344" s="698"/>
      <c r="W344" s="66"/>
      <c r="X344" s="698"/>
      <c r="Y344" s="66"/>
      <c r="Z344" s="698"/>
      <c r="AA344" s="66"/>
      <c r="AB344" s="698"/>
      <c r="AC344" s="271"/>
      <c r="AD344" s="271"/>
      <c r="AE344" s="271"/>
      <c r="AF344" s="271"/>
      <c r="AG344" s="272"/>
      <c r="AH344" s="272"/>
      <c r="AI344" s="272"/>
      <c r="AJ344" s="860"/>
      <c r="AK344" s="860"/>
      <c r="AL344" s="271"/>
      <c r="AM344" s="271"/>
      <c r="AN344" s="267"/>
      <c r="AO344" s="861"/>
      <c r="AP344" s="619"/>
      <c r="AQ344" s="862"/>
      <c r="AR344" s="862"/>
      <c r="AS344" s="862"/>
      <c r="AT344" s="862"/>
      <c r="AU344" s="862"/>
      <c r="AV344" s="862"/>
      <c r="AW344" s="617"/>
      <c r="AX344" s="619"/>
      <c r="AY344" s="862"/>
      <c r="AZ344" s="862"/>
      <c r="BA344" s="862"/>
      <c r="BB344" s="862"/>
      <c r="BC344" s="862"/>
      <c r="BD344" s="862"/>
      <c r="BE344" s="617"/>
      <c r="BF344" s="619"/>
      <c r="BG344" s="862"/>
      <c r="BH344" s="862"/>
      <c r="BI344" s="862"/>
      <c r="BJ344" s="862"/>
      <c r="BK344" s="862"/>
      <c r="BL344" s="862"/>
      <c r="BM344" s="617"/>
      <c r="BN344" s="619"/>
      <c r="BO344" s="862"/>
      <c r="BP344" s="862"/>
      <c r="BQ344" s="862"/>
      <c r="BR344" s="862"/>
      <c r="BS344" s="862"/>
      <c r="BT344" s="862"/>
      <c r="BU344" s="617"/>
      <c r="BV344" s="226"/>
      <c r="BW344" s="863"/>
      <c r="BX344" s="864"/>
      <c r="BY344" s="864"/>
      <c r="BZ344" s="864"/>
      <c r="CA344" s="1450"/>
      <c r="CB344" s="1450"/>
    </row>
    <row r="345" spans="1:80" ht="92.25" customHeight="1" x14ac:dyDescent="0.3">
      <c r="A345" s="298" t="s">
        <v>1002</v>
      </c>
      <c r="B345" s="299" t="str">
        <f>'PLAN INDICATIVO'!B339</f>
        <v>Transporte</v>
      </c>
      <c r="C345" s="1547"/>
      <c r="D345" s="1551"/>
      <c r="E345" s="1551"/>
      <c r="F345" s="1551"/>
      <c r="G345" s="1551"/>
      <c r="H345" s="1551"/>
      <c r="I345" s="300">
        <f>'PLAN INDICATIVO'!I339</f>
        <v>0</v>
      </c>
      <c r="J345" s="300">
        <f>'PLAN INDICATIVO'!J339</f>
        <v>0</v>
      </c>
      <c r="K345" s="1425" t="str">
        <f>'PLAN INDICATIVO'!K339</f>
        <v>A.9.1.12</v>
      </c>
      <c r="L345" s="301" t="str">
        <f>'PLAN INDICATIVO'!L339</f>
        <v>11. Ciudades y comunidades sostenibles</v>
      </c>
      <c r="M345" s="301" t="str">
        <f>'PLAN INDICATIVO'!M339</f>
        <v>Secretaría de Obras Civiles</v>
      </c>
      <c r="N345" s="1425" t="s">
        <v>2933</v>
      </c>
      <c r="O345" s="1425" t="str">
        <f>'PLAN INDICATIVO'!O339</f>
        <v>Incremento</v>
      </c>
      <c r="P345" s="16" t="str">
        <f>'PLAN INDICATIVO'!P339</f>
        <v>Realizar 4 mantenimientos correctivos o preventivos a maquinaria pesada del municipio durante el cuatrienio.</v>
      </c>
      <c r="Q345" s="302" t="str">
        <f>'PLAN INDICATIVO'!Q339</f>
        <v xml:space="preserve">No. de mantenimientos realizados </v>
      </c>
      <c r="R345" s="303">
        <f>'PLAN INDICATIVO'!R339</f>
        <v>2015</v>
      </c>
      <c r="S345" s="304">
        <v>1</v>
      </c>
      <c r="T345" s="498">
        <v>4</v>
      </c>
      <c r="U345" s="303">
        <v>1</v>
      </c>
      <c r="V345" s="687">
        <v>55000000</v>
      </c>
      <c r="W345" s="572">
        <v>1</v>
      </c>
      <c r="X345" s="687">
        <v>60000000</v>
      </c>
      <c r="Y345" s="572">
        <v>1</v>
      </c>
      <c r="Z345" s="687">
        <v>30000000</v>
      </c>
      <c r="AA345" s="572">
        <v>1</v>
      </c>
      <c r="AB345" s="687">
        <v>30000000</v>
      </c>
      <c r="AC345" s="665">
        <v>1</v>
      </c>
      <c r="AD345" s="665">
        <v>1</v>
      </c>
      <c r="AE345" s="665"/>
      <c r="AF345" s="665"/>
      <c r="AG345" s="306" t="s">
        <v>3792</v>
      </c>
      <c r="AH345" s="306">
        <v>2017413960018</v>
      </c>
      <c r="AI345" s="307" t="s">
        <v>3793</v>
      </c>
      <c r="AJ345" s="335">
        <v>38108</v>
      </c>
      <c r="AK345" s="335">
        <v>42977</v>
      </c>
      <c r="AL345" s="308"/>
      <c r="AM345" s="308"/>
      <c r="AN345" s="267" t="s">
        <v>2598</v>
      </c>
      <c r="AO345" s="507">
        <v>230902</v>
      </c>
      <c r="AP345" s="525"/>
      <c r="AQ345" s="310">
        <v>17768910</v>
      </c>
      <c r="AR345" s="380"/>
      <c r="AS345" s="310"/>
      <c r="AT345" s="310"/>
      <c r="AU345" s="310"/>
      <c r="AV345" s="310"/>
      <c r="AW345" s="310">
        <v>17768910</v>
      </c>
      <c r="AX345" s="525"/>
      <c r="AY345" s="310"/>
      <c r="AZ345" s="380"/>
      <c r="BA345" s="310"/>
      <c r="BB345" s="310"/>
      <c r="BC345" s="310"/>
      <c r="BD345" s="310"/>
      <c r="BE345" s="544">
        <f t="shared" si="143"/>
        <v>0</v>
      </c>
      <c r="BF345" s="525"/>
      <c r="BG345" s="310"/>
      <c r="BH345" s="380"/>
      <c r="BI345" s="310"/>
      <c r="BJ345" s="310"/>
      <c r="BK345" s="310"/>
      <c r="BL345" s="310"/>
      <c r="BM345" s="544">
        <f t="shared" si="144"/>
        <v>0</v>
      </c>
      <c r="BN345" s="525"/>
      <c r="BO345" s="310"/>
      <c r="BP345" s="380"/>
      <c r="BQ345" s="310"/>
      <c r="BR345" s="310"/>
      <c r="BS345" s="310"/>
      <c r="BT345" s="310"/>
      <c r="BU345" s="544">
        <f t="shared" si="145"/>
        <v>0</v>
      </c>
      <c r="BV345" s="556"/>
      <c r="BW345" s="663">
        <f t="shared" si="156"/>
        <v>2</v>
      </c>
      <c r="BX345" s="674">
        <f t="shared" si="157"/>
        <v>0.5</v>
      </c>
      <c r="BY345" s="674">
        <f t="shared" si="158"/>
        <v>1</v>
      </c>
      <c r="BZ345" s="674">
        <f t="shared" si="159"/>
        <v>1</v>
      </c>
      <c r="CA345" s="675">
        <f t="shared" si="160"/>
        <v>0</v>
      </c>
      <c r="CB345" s="675">
        <f t="shared" si="161"/>
        <v>0</v>
      </c>
    </row>
    <row r="346" spans="1:80" ht="81" customHeight="1" x14ac:dyDescent="0.3">
      <c r="A346" s="298" t="s">
        <v>1002</v>
      </c>
      <c r="B346" s="299" t="str">
        <f>'PLAN INDICATIVO'!B340</f>
        <v>Transporte</v>
      </c>
      <c r="C346" s="1547"/>
      <c r="D346" s="1551"/>
      <c r="E346" s="1551"/>
      <c r="F346" s="1551"/>
      <c r="G346" s="1551"/>
      <c r="H346" s="1551"/>
      <c r="I346" s="1425" t="str">
        <f>'PLAN INDICATIVO'!I340</f>
        <v>SI</v>
      </c>
      <c r="J346" s="1425">
        <f>'PLAN INDICATIVO'!J340</f>
        <v>0</v>
      </c>
      <c r="K346" s="1425" t="str">
        <f>'PLAN INDICATIVO'!K340</f>
        <v>A.9.1.13</v>
      </c>
      <c r="L346" s="301" t="str">
        <f>'PLAN INDICATIVO'!L340</f>
        <v>11. Ciudades y comunidades sostenibles</v>
      </c>
      <c r="M346" s="301" t="str">
        <f>'PLAN INDICATIVO'!M340</f>
        <v>Secretaría de Obras Civiles</v>
      </c>
      <c r="N346" s="1425" t="s">
        <v>2933</v>
      </c>
      <c r="O346" s="1425" t="str">
        <f>'PLAN INDICATIVO'!O340</f>
        <v>Incremento</v>
      </c>
      <c r="P346" s="820" t="str">
        <f>'PLAN INDICATIVO'!P340</f>
        <v>Adquirir un kit de maquinaria para hacer el mantenimiento a la red vial, durante el cuatrienio.</v>
      </c>
      <c r="Q346" s="302" t="str">
        <f>'PLAN INDICATIVO'!Q340</f>
        <v>No. De Kit de maquinaria adquirido</v>
      </c>
      <c r="R346" s="303">
        <f>'PLAN INDICATIVO'!R340</f>
        <v>2015</v>
      </c>
      <c r="S346" s="304">
        <v>0</v>
      </c>
      <c r="T346" s="498">
        <v>1</v>
      </c>
      <c r="U346" s="303">
        <v>1</v>
      </c>
      <c r="V346" s="687">
        <v>1015000000</v>
      </c>
      <c r="W346" s="823">
        <v>0</v>
      </c>
      <c r="X346" s="687">
        <v>1000000000</v>
      </c>
      <c r="Y346" s="823">
        <v>1</v>
      </c>
      <c r="Z346" s="687"/>
      <c r="AA346" s="572">
        <v>0</v>
      </c>
      <c r="AB346" s="687"/>
      <c r="AC346" s="665"/>
      <c r="AD346" s="665">
        <v>0</v>
      </c>
      <c r="AE346" s="665"/>
      <c r="AF346" s="665"/>
      <c r="AG346" s="306" t="s">
        <v>3792</v>
      </c>
      <c r="AH346" s="306">
        <v>2017413960018</v>
      </c>
      <c r="AI346" s="307"/>
      <c r="AJ346" s="335"/>
      <c r="AK346" s="335"/>
      <c r="AL346" s="308"/>
      <c r="AM346" s="308"/>
      <c r="AN346" s="267" t="s">
        <v>2600</v>
      </c>
      <c r="AO346" s="507"/>
      <c r="AP346" s="525">
        <v>0</v>
      </c>
      <c r="AQ346" s="310"/>
      <c r="AR346" s="310"/>
      <c r="AS346" s="310"/>
      <c r="AT346" s="310"/>
      <c r="AU346" s="310"/>
      <c r="AV346" s="310"/>
      <c r="AW346" s="544">
        <f t="shared" si="155"/>
        <v>0</v>
      </c>
      <c r="AX346" s="525"/>
      <c r="AY346" s="310"/>
      <c r="AZ346" s="310"/>
      <c r="BA346" s="310"/>
      <c r="BB346" s="310"/>
      <c r="BC346" s="310"/>
      <c r="BD346" s="310"/>
      <c r="BE346" s="544">
        <f t="shared" ref="BE346:BE409" si="166">SUM(AX346:BD346)</f>
        <v>0</v>
      </c>
      <c r="BF346" s="525"/>
      <c r="BG346" s="310"/>
      <c r="BH346" s="310"/>
      <c r="BI346" s="310"/>
      <c r="BJ346" s="310"/>
      <c r="BK346" s="310"/>
      <c r="BL346" s="310"/>
      <c r="BM346" s="544">
        <f t="shared" ref="BM346:BM409" si="167">SUM(BF346:BL346)</f>
        <v>0</v>
      </c>
      <c r="BN346" s="525"/>
      <c r="BO346" s="310"/>
      <c r="BP346" s="310"/>
      <c r="BQ346" s="310"/>
      <c r="BR346" s="310"/>
      <c r="BS346" s="310"/>
      <c r="BT346" s="310"/>
      <c r="BU346" s="544">
        <f t="shared" ref="BU346:BU409" si="168">SUM(BN346:BT346)</f>
        <v>0</v>
      </c>
      <c r="BV346" s="556"/>
      <c r="BW346" s="663">
        <f t="shared" si="156"/>
        <v>0</v>
      </c>
      <c r="BX346" s="674">
        <f t="shared" si="157"/>
        <v>0</v>
      </c>
      <c r="BY346" s="674">
        <f t="shared" si="158"/>
        <v>0</v>
      </c>
      <c r="BZ346" s="674" t="e">
        <f t="shared" si="159"/>
        <v>#DIV/0!</v>
      </c>
      <c r="CA346" s="675">
        <f t="shared" si="160"/>
        <v>0</v>
      </c>
      <c r="CB346" s="675" t="e">
        <f t="shared" si="161"/>
        <v>#DIV/0!</v>
      </c>
    </row>
    <row r="347" spans="1:80" ht="66.75" customHeight="1" x14ac:dyDescent="0.3">
      <c r="A347" s="298" t="s">
        <v>1002</v>
      </c>
      <c r="B347" s="299" t="str">
        <f>'PLAN INDICATIVO'!B341</f>
        <v>Transporte</v>
      </c>
      <c r="C347" s="1547"/>
      <c r="D347" s="1551"/>
      <c r="E347" s="1551"/>
      <c r="F347" s="1551"/>
      <c r="G347" s="1551"/>
      <c r="H347" s="1551"/>
      <c r="I347" s="1425" t="str">
        <f>'PLAN INDICATIVO'!I341</f>
        <v>SI</v>
      </c>
      <c r="J347" s="1425">
        <f>'PLAN INDICATIVO'!J341</f>
        <v>0</v>
      </c>
      <c r="K347" s="1425" t="str">
        <f>'PLAN INDICATIVO'!K341</f>
        <v>A.9.1.14</v>
      </c>
      <c r="L347" s="301" t="str">
        <f>'PLAN INDICATIVO'!L341</f>
        <v>11. Ciudades y comunidades sostenibles</v>
      </c>
      <c r="M347" s="301" t="str">
        <f>'PLAN INDICATIVO'!M341</f>
        <v>Secretaría de Obras Civiles</v>
      </c>
      <c r="N347" s="1425" t="s">
        <v>2933</v>
      </c>
      <c r="O347" s="1425" t="str">
        <f>'PLAN INDICATIVO'!O341</f>
        <v>Incremento</v>
      </c>
      <c r="P347" s="25" t="str">
        <f>'PLAN INDICATIVO'!P341</f>
        <v>Formular  de 1 diseño e ingeniería de detalle para la construcción de la vía circunvalar.</v>
      </c>
      <c r="Q347" s="302" t="str">
        <f>'PLAN INDICATIVO'!Q341</f>
        <v xml:space="preserve">No. De Estudios y diseños formulados </v>
      </c>
      <c r="R347" s="303">
        <f>'PLAN INDICATIVO'!R341</f>
        <v>2015</v>
      </c>
      <c r="S347" s="304">
        <v>0</v>
      </c>
      <c r="T347" s="498">
        <v>1</v>
      </c>
      <c r="U347" s="303">
        <v>0.7</v>
      </c>
      <c r="V347" s="687">
        <v>414000000</v>
      </c>
      <c r="W347" s="572">
        <v>0.7</v>
      </c>
      <c r="X347" s="687">
        <v>400000000</v>
      </c>
      <c r="Y347" s="572">
        <v>0</v>
      </c>
      <c r="Z347" s="687"/>
      <c r="AA347" s="572">
        <v>0</v>
      </c>
      <c r="AB347" s="687"/>
      <c r="AC347" s="665">
        <v>0.3</v>
      </c>
      <c r="AD347" s="665">
        <v>1</v>
      </c>
      <c r="AE347" s="665"/>
      <c r="AF347" s="665"/>
      <c r="AG347" s="306" t="s">
        <v>3792</v>
      </c>
      <c r="AH347" s="306">
        <v>2017413960018</v>
      </c>
      <c r="AI347" s="307" t="s">
        <v>3794</v>
      </c>
      <c r="AJ347" s="335"/>
      <c r="AK347" s="335"/>
      <c r="AL347" s="308"/>
      <c r="AM347" s="308"/>
      <c r="AN347" s="267" t="s">
        <v>2598</v>
      </c>
      <c r="AO347" s="507"/>
      <c r="AP347" s="525"/>
      <c r="AQ347" s="310"/>
      <c r="AR347" s="310"/>
      <c r="AS347" s="310"/>
      <c r="AT347" s="310"/>
      <c r="AU347" s="310"/>
      <c r="AV347" s="310"/>
      <c r="AW347" s="544">
        <f t="shared" si="155"/>
        <v>0</v>
      </c>
      <c r="AX347" s="525"/>
      <c r="AY347" s="310"/>
      <c r="AZ347" s="310"/>
      <c r="BA347" s="310"/>
      <c r="BB347" s="310"/>
      <c r="BC347" s="310"/>
      <c r="BD347" s="310"/>
      <c r="BE347" s="544">
        <f t="shared" si="166"/>
        <v>0</v>
      </c>
      <c r="BF347" s="525"/>
      <c r="BG347" s="310"/>
      <c r="BH347" s="310"/>
      <c r="BI347" s="310"/>
      <c r="BJ347" s="310"/>
      <c r="BK347" s="310"/>
      <c r="BL347" s="310"/>
      <c r="BM347" s="544">
        <f t="shared" si="167"/>
        <v>0</v>
      </c>
      <c r="BN347" s="525"/>
      <c r="BO347" s="310"/>
      <c r="BP347" s="310"/>
      <c r="BQ347" s="310"/>
      <c r="BR347" s="310"/>
      <c r="BS347" s="310"/>
      <c r="BT347" s="310"/>
      <c r="BU347" s="544">
        <f t="shared" si="168"/>
        <v>0</v>
      </c>
      <c r="BV347" s="556"/>
      <c r="BW347" s="663">
        <f t="shared" si="156"/>
        <v>1.3</v>
      </c>
      <c r="BX347" s="675">
        <f t="shared" si="157"/>
        <v>1.3</v>
      </c>
      <c r="BY347" s="674">
        <f>AC347/U347</f>
        <v>0.4285714285714286</v>
      </c>
      <c r="BZ347" s="674">
        <f t="shared" si="159"/>
        <v>1.4285714285714286</v>
      </c>
      <c r="CA347" s="675" t="e">
        <f t="shared" si="160"/>
        <v>#DIV/0!</v>
      </c>
      <c r="CB347" s="675" t="e">
        <f t="shared" si="161"/>
        <v>#DIV/0!</v>
      </c>
    </row>
    <row r="348" spans="1:80" ht="91.5" customHeight="1" x14ac:dyDescent="0.3">
      <c r="A348" s="298" t="s">
        <v>1002</v>
      </c>
      <c r="B348" s="299" t="str">
        <f>'PLAN INDICATIVO'!B342</f>
        <v>Transporte</v>
      </c>
      <c r="C348" s="1547"/>
      <c r="D348" s="1551"/>
      <c r="E348" s="1551"/>
      <c r="F348" s="1551"/>
      <c r="G348" s="1551"/>
      <c r="H348" s="1551"/>
      <c r="I348" s="1425" t="str">
        <f>'PLAN INDICATIVO'!I342</f>
        <v>SI</v>
      </c>
      <c r="J348" s="1425">
        <f>'PLAN INDICATIVO'!J342</f>
        <v>0</v>
      </c>
      <c r="K348" s="1425" t="str">
        <f>'PLAN INDICATIVO'!K342</f>
        <v>A.9.1.15</v>
      </c>
      <c r="L348" s="301" t="str">
        <f>'PLAN INDICATIVO'!L342</f>
        <v>11. Ciudades y comunidades sostenibles</v>
      </c>
      <c r="M348" s="301" t="str">
        <f>'PLAN INDICATIVO'!M342</f>
        <v>Secretaría de Obras Civiles</v>
      </c>
      <c r="N348" s="1425" t="s">
        <v>2933</v>
      </c>
      <c r="O348" s="1425" t="str">
        <f>'PLAN INDICATIVO'!O342</f>
        <v>Incremento</v>
      </c>
      <c r="P348" s="16" t="str">
        <f>'PLAN INDICATIVO'!P342</f>
        <v>Pavimentar 34.000 m2 de vías en el sector urbano y/o centros poblados, durante el cuatrienio.</v>
      </c>
      <c r="Q348" s="302" t="str">
        <f>'PLAN INDICATIVO'!Q342</f>
        <v>No. de m2 de vías pavimentados</v>
      </c>
      <c r="R348" s="303">
        <f>'PLAN INDICATIVO'!R342</f>
        <v>2015</v>
      </c>
      <c r="S348" s="304">
        <v>0</v>
      </c>
      <c r="T348" s="498">
        <v>34000</v>
      </c>
      <c r="U348" s="303">
        <v>9000</v>
      </c>
      <c r="V348" s="687">
        <v>899000000</v>
      </c>
      <c r="W348" s="572">
        <v>9000</v>
      </c>
      <c r="X348" s="687">
        <v>1064000000</v>
      </c>
      <c r="Y348" s="572">
        <v>9000</v>
      </c>
      <c r="Z348" s="687">
        <v>1100000000</v>
      </c>
      <c r="AA348" s="572">
        <v>9000</v>
      </c>
      <c r="AB348" s="687">
        <v>150000000</v>
      </c>
      <c r="AC348" s="665">
        <f>6403+4542.3+1602.3+6553.02</f>
        <v>19100.62</v>
      </c>
      <c r="AD348" s="665">
        <f>854.55+10446.99</f>
        <v>11301.539999999999</v>
      </c>
      <c r="AE348" s="665"/>
      <c r="AF348" s="665"/>
      <c r="AG348" s="306" t="s">
        <v>3792</v>
      </c>
      <c r="AH348" s="306">
        <v>2017413960018</v>
      </c>
      <c r="AI348" s="307" t="s">
        <v>3795</v>
      </c>
      <c r="AJ348" s="335">
        <v>42767</v>
      </c>
      <c r="AK348" s="335">
        <v>43084</v>
      </c>
      <c r="AL348" s="308"/>
      <c r="AM348" s="308"/>
      <c r="AN348" s="267" t="s">
        <v>2604</v>
      </c>
      <c r="AO348" s="507" t="s">
        <v>3796</v>
      </c>
      <c r="AP348" s="525">
        <f>10000000+30000000</f>
        <v>40000000</v>
      </c>
      <c r="AQ348" s="310">
        <f>70200000+8000000+10483000</f>
        <v>88683000</v>
      </c>
      <c r="AR348" s="310"/>
      <c r="AS348" s="310"/>
      <c r="AT348" s="310"/>
      <c r="AU348" s="310"/>
      <c r="AV348" s="310"/>
      <c r="AW348" s="544">
        <f t="shared" si="155"/>
        <v>128683000</v>
      </c>
      <c r="AX348" s="525"/>
      <c r="AY348" s="310"/>
      <c r="AZ348" s="310"/>
      <c r="BA348" s="310"/>
      <c r="BB348" s="310"/>
      <c r="BC348" s="310"/>
      <c r="BD348" s="310"/>
      <c r="BE348" s="544">
        <f t="shared" si="166"/>
        <v>0</v>
      </c>
      <c r="BF348" s="525"/>
      <c r="BG348" s="310"/>
      <c r="BH348" s="310"/>
      <c r="BI348" s="310"/>
      <c r="BJ348" s="310"/>
      <c r="BK348" s="310"/>
      <c r="BL348" s="310"/>
      <c r="BM348" s="544">
        <f t="shared" si="167"/>
        <v>0</v>
      </c>
      <c r="BN348" s="525"/>
      <c r="BO348" s="310"/>
      <c r="BP348" s="310"/>
      <c r="BQ348" s="310"/>
      <c r="BR348" s="310"/>
      <c r="BS348" s="310"/>
      <c r="BT348" s="310"/>
      <c r="BU348" s="544">
        <f t="shared" si="168"/>
        <v>0</v>
      </c>
      <c r="BV348" s="556"/>
      <c r="BW348" s="663">
        <f t="shared" si="156"/>
        <v>30402.159999999996</v>
      </c>
      <c r="BX348" s="674">
        <f t="shared" si="157"/>
        <v>0.89418117647058815</v>
      </c>
      <c r="BY348" s="674">
        <v>2.73</v>
      </c>
      <c r="BZ348" s="674">
        <f t="shared" si="159"/>
        <v>1.2557266666666667</v>
      </c>
      <c r="CA348" s="675">
        <f t="shared" si="160"/>
        <v>0</v>
      </c>
      <c r="CB348" s="675">
        <f t="shared" si="161"/>
        <v>0</v>
      </c>
    </row>
    <row r="349" spans="1:80" ht="74.25" customHeight="1" x14ac:dyDescent="0.3">
      <c r="A349" s="298" t="s">
        <v>1002</v>
      </c>
      <c r="B349" s="299" t="str">
        <f>'PLAN INDICATIVO'!B343</f>
        <v>Transporte</v>
      </c>
      <c r="C349" s="1547"/>
      <c r="D349" s="1551"/>
      <c r="E349" s="1551"/>
      <c r="F349" s="1551"/>
      <c r="G349" s="1551"/>
      <c r="H349" s="1551"/>
      <c r="I349" s="1425" t="str">
        <f>'PLAN INDICATIVO'!I343</f>
        <v>SI</v>
      </c>
      <c r="J349" s="1425">
        <f>'PLAN INDICATIVO'!J343</f>
        <v>0</v>
      </c>
      <c r="K349" s="1425" t="str">
        <f>'PLAN INDICATIVO'!K343</f>
        <v>A.9.1.16</v>
      </c>
      <c r="L349" s="301" t="str">
        <f>'PLAN INDICATIVO'!L343</f>
        <v>11. Ciudades y comunidades sostenibles</v>
      </c>
      <c r="M349" s="301" t="str">
        <f>'PLAN INDICATIVO'!M343</f>
        <v>Secretaría de Obras Civiles</v>
      </c>
      <c r="N349" s="1425" t="s">
        <v>2933</v>
      </c>
      <c r="O349" s="1425" t="str">
        <f>'PLAN INDICATIVO'!O343</f>
        <v>Incremento</v>
      </c>
      <c r="P349" s="25" t="str">
        <f>'PLAN INDICATIVO'!P343</f>
        <v>Construir 1200 ml de andenes en el sector urbano y/o los centros poblados, durante el cuatrienio.</v>
      </c>
      <c r="Q349" s="302" t="str">
        <f>'PLAN INDICATIVO'!Q343</f>
        <v>No. de metros lineales de andenes construidos</v>
      </c>
      <c r="R349" s="303">
        <f>'PLAN INDICATIVO'!R343</f>
        <v>2015</v>
      </c>
      <c r="S349" s="304">
        <v>0</v>
      </c>
      <c r="T349" s="498">
        <v>1200</v>
      </c>
      <c r="U349" s="303">
        <v>400</v>
      </c>
      <c r="V349" s="687">
        <v>80000000</v>
      </c>
      <c r="W349" s="66">
        <v>0</v>
      </c>
      <c r="X349" s="687">
        <v>75000000</v>
      </c>
      <c r="Y349" s="66">
        <v>300</v>
      </c>
      <c r="Z349" s="687">
        <v>15000000</v>
      </c>
      <c r="AA349" s="66">
        <v>196</v>
      </c>
      <c r="AB349" s="687">
        <v>50000000</v>
      </c>
      <c r="AC349" s="665">
        <f>104+600</f>
        <v>704</v>
      </c>
      <c r="AD349" s="665">
        <v>0</v>
      </c>
      <c r="AE349" s="665"/>
      <c r="AF349" s="665"/>
      <c r="AG349" s="306" t="s">
        <v>3792</v>
      </c>
      <c r="AH349" s="306">
        <v>2017413960018</v>
      </c>
      <c r="AI349" s="307" t="s">
        <v>3797</v>
      </c>
      <c r="AJ349" s="335">
        <v>42767</v>
      </c>
      <c r="AK349" s="335">
        <v>43084</v>
      </c>
      <c r="AL349" s="308"/>
      <c r="AM349" s="308"/>
      <c r="AN349" s="267" t="s">
        <v>2594</v>
      </c>
      <c r="AO349" s="507"/>
      <c r="AP349" s="525"/>
      <c r="AQ349" s="310"/>
      <c r="AR349" s="310"/>
      <c r="AS349" s="310"/>
      <c r="AT349" s="310"/>
      <c r="AU349" s="310"/>
      <c r="AV349" s="310"/>
      <c r="AW349" s="544">
        <f t="shared" si="155"/>
        <v>0</v>
      </c>
      <c r="AX349" s="525"/>
      <c r="AY349" s="310"/>
      <c r="AZ349" s="310"/>
      <c r="BA349" s="310"/>
      <c r="BB349" s="310"/>
      <c r="BC349" s="310"/>
      <c r="BD349" s="310"/>
      <c r="BE349" s="544">
        <f t="shared" si="166"/>
        <v>0</v>
      </c>
      <c r="BF349" s="525"/>
      <c r="BG349" s="310"/>
      <c r="BH349" s="310"/>
      <c r="BI349" s="310"/>
      <c r="BJ349" s="310"/>
      <c r="BK349" s="310"/>
      <c r="BL349" s="310"/>
      <c r="BM349" s="544">
        <f t="shared" si="167"/>
        <v>0</v>
      </c>
      <c r="BN349" s="525"/>
      <c r="BO349" s="310"/>
      <c r="BP349" s="310"/>
      <c r="BQ349" s="310"/>
      <c r="BR349" s="310"/>
      <c r="BS349" s="310"/>
      <c r="BT349" s="310"/>
      <c r="BU349" s="544">
        <f t="shared" si="168"/>
        <v>0</v>
      </c>
      <c r="BV349" s="556"/>
      <c r="BW349" s="663">
        <f t="shared" si="156"/>
        <v>704</v>
      </c>
      <c r="BX349" s="674">
        <f t="shared" si="157"/>
        <v>0.58666666666666667</v>
      </c>
      <c r="BY349" s="674">
        <f t="shared" si="158"/>
        <v>1.76</v>
      </c>
      <c r="BZ349" s="674" t="e">
        <f t="shared" si="159"/>
        <v>#DIV/0!</v>
      </c>
      <c r="CA349" s="675">
        <f t="shared" si="160"/>
        <v>0</v>
      </c>
      <c r="CB349" s="675">
        <f t="shared" si="161"/>
        <v>0</v>
      </c>
    </row>
    <row r="350" spans="1:80" ht="58.5" customHeight="1" x14ac:dyDescent="0.3">
      <c r="A350" s="298" t="s">
        <v>1002</v>
      </c>
      <c r="B350" s="299" t="str">
        <f>'PLAN INDICATIVO'!B344</f>
        <v>Transporte</v>
      </c>
      <c r="C350" s="1547"/>
      <c r="D350" s="1551"/>
      <c r="E350" s="1551"/>
      <c r="F350" s="1551"/>
      <c r="G350" s="1551"/>
      <c r="H350" s="1551"/>
      <c r="I350" s="300">
        <f>'PLAN INDICATIVO'!I344</f>
        <v>0</v>
      </c>
      <c r="J350" s="300">
        <f>'PLAN INDICATIVO'!J344</f>
        <v>0</v>
      </c>
      <c r="K350" s="1425" t="str">
        <f>'PLAN INDICATIVO'!K344</f>
        <v>A.9.1.17</v>
      </c>
      <c r="L350" s="301" t="str">
        <f>'PLAN INDICATIVO'!L344</f>
        <v>11. Ciudades y comunidades sostenibles</v>
      </c>
      <c r="M350" s="301" t="str">
        <f>'PLAN INDICATIVO'!M344</f>
        <v>Secretaría de Obras Civiles</v>
      </c>
      <c r="N350" s="1425" t="s">
        <v>2933</v>
      </c>
      <c r="O350" s="1425" t="str">
        <f>'PLAN INDICATIVO'!O344</f>
        <v>Incremento</v>
      </c>
      <c r="P350" s="16" t="str">
        <f>'PLAN INDICATIVO'!P344</f>
        <v>Realizar mantenimiento rutinario de 500 km  de la red vial terciaria rural y centros poblados, durante el cuatrienio.</v>
      </c>
      <c r="Q350" s="302" t="str">
        <f>'PLAN INDICATIVO'!Q344</f>
        <v>No. de Km de red vial mantenida</v>
      </c>
      <c r="R350" s="303">
        <f>'PLAN INDICATIVO'!R344</f>
        <v>2015</v>
      </c>
      <c r="S350" s="304">
        <v>0</v>
      </c>
      <c r="T350" s="498">
        <v>500</v>
      </c>
      <c r="U350" s="303">
        <v>125</v>
      </c>
      <c r="V350" s="687">
        <v>50000000</v>
      </c>
      <c r="W350" s="572">
        <v>125</v>
      </c>
      <c r="X350" s="687">
        <v>120000000</v>
      </c>
      <c r="Y350" s="572">
        <v>125</v>
      </c>
      <c r="Z350" s="687">
        <v>185000000</v>
      </c>
      <c r="AA350" s="572">
        <v>120</v>
      </c>
      <c r="AB350" s="687">
        <v>150000000</v>
      </c>
      <c r="AC350" s="665">
        <v>130</v>
      </c>
      <c r="AD350" s="665">
        <v>144</v>
      </c>
      <c r="AE350" s="665"/>
      <c r="AF350" s="665"/>
      <c r="AG350" s="306" t="s">
        <v>3792</v>
      </c>
      <c r="AH350" s="306">
        <v>2017413960018</v>
      </c>
      <c r="AI350" s="307" t="s">
        <v>3798</v>
      </c>
      <c r="AJ350" s="335">
        <v>42750</v>
      </c>
      <c r="AK350" s="335">
        <v>43084</v>
      </c>
      <c r="AL350" s="308"/>
      <c r="AM350" s="308"/>
      <c r="AN350" s="267" t="s">
        <v>2598</v>
      </c>
      <c r="AO350" s="507">
        <v>230902</v>
      </c>
      <c r="AP350" s="525">
        <v>70000000</v>
      </c>
      <c r="AQ350" s="310"/>
      <c r="AR350" s="310"/>
      <c r="AS350" s="310"/>
      <c r="AT350" s="310"/>
      <c r="AU350" s="310"/>
      <c r="AV350" s="310"/>
      <c r="AW350" s="544">
        <f t="shared" si="155"/>
        <v>70000000</v>
      </c>
      <c r="AX350" s="525"/>
      <c r="AY350" s="310"/>
      <c r="AZ350" s="310"/>
      <c r="BA350" s="310"/>
      <c r="BB350" s="310"/>
      <c r="BC350" s="310"/>
      <c r="BD350" s="310"/>
      <c r="BE350" s="544">
        <f t="shared" si="166"/>
        <v>0</v>
      </c>
      <c r="BF350" s="525"/>
      <c r="BG350" s="310"/>
      <c r="BH350" s="310"/>
      <c r="BI350" s="310"/>
      <c r="BJ350" s="310"/>
      <c r="BK350" s="310"/>
      <c r="BL350" s="310"/>
      <c r="BM350" s="544">
        <f t="shared" si="167"/>
        <v>0</v>
      </c>
      <c r="BN350" s="525"/>
      <c r="BO350" s="310"/>
      <c r="BP350" s="310"/>
      <c r="BQ350" s="310"/>
      <c r="BR350" s="310"/>
      <c r="BS350" s="310"/>
      <c r="BT350" s="310"/>
      <c r="BU350" s="544">
        <f t="shared" si="168"/>
        <v>0</v>
      </c>
      <c r="BV350" s="556"/>
      <c r="BW350" s="663">
        <f t="shared" si="156"/>
        <v>274</v>
      </c>
      <c r="BX350" s="674">
        <f t="shared" si="157"/>
        <v>0.54800000000000004</v>
      </c>
      <c r="BY350" s="674">
        <f t="shared" si="158"/>
        <v>1.04</v>
      </c>
      <c r="BZ350" s="674">
        <f t="shared" si="159"/>
        <v>1.1519999999999999</v>
      </c>
      <c r="CA350" s="675">
        <f t="shared" si="160"/>
        <v>0</v>
      </c>
      <c r="CB350" s="675">
        <f t="shared" si="161"/>
        <v>0</v>
      </c>
    </row>
    <row r="351" spans="1:80" ht="53.25" customHeight="1" x14ac:dyDescent="0.3">
      <c r="A351" s="298" t="s">
        <v>1002</v>
      </c>
      <c r="B351" s="299" t="str">
        <f>'PLAN INDICATIVO'!B345</f>
        <v>Transporte</v>
      </c>
      <c r="C351" s="1547"/>
      <c r="D351" s="1551"/>
      <c r="E351" s="1551"/>
      <c r="F351" s="1551"/>
      <c r="G351" s="1551"/>
      <c r="H351" s="1551"/>
      <c r="I351" s="1425" t="str">
        <f>'PLAN INDICATIVO'!I345</f>
        <v>SI</v>
      </c>
      <c r="J351" s="1425">
        <f>'PLAN INDICATIVO'!J345</f>
        <v>0</v>
      </c>
      <c r="K351" s="1425" t="str">
        <f>'PLAN INDICATIVO'!K345</f>
        <v>A.9.1.18</v>
      </c>
      <c r="L351" s="301" t="str">
        <f>'PLAN INDICATIVO'!L345</f>
        <v>11. Ciudades y comunidades sostenibles</v>
      </c>
      <c r="M351" s="301" t="str">
        <f>'PLAN INDICATIVO'!M345</f>
        <v>Secretaría de Obras Civiles</v>
      </c>
      <c r="N351" s="1425" t="s">
        <v>2933</v>
      </c>
      <c r="O351" s="1425" t="str">
        <f>'PLAN INDICATIVO'!O345</f>
        <v>Incremento</v>
      </c>
      <c r="P351" s="16" t="str">
        <f>'PLAN INDICATIVO'!P345</f>
        <v>Construir  3.500 ml en placa huella</v>
      </c>
      <c r="Q351" s="302" t="str">
        <f>'PLAN INDICATIVO'!Q345</f>
        <v>No. de Metros lineales de placa huella construida</v>
      </c>
      <c r="R351" s="303">
        <f>'PLAN INDICATIVO'!R345</f>
        <v>2015</v>
      </c>
      <c r="S351" s="304">
        <v>0</v>
      </c>
      <c r="T351" s="498">
        <v>3000</v>
      </c>
      <c r="U351" s="303">
        <v>700</v>
      </c>
      <c r="V351" s="687">
        <v>111000000</v>
      </c>
      <c r="W351" s="572">
        <v>700</v>
      </c>
      <c r="X351" s="687">
        <v>130000000</v>
      </c>
      <c r="Y351" s="572">
        <v>1000</v>
      </c>
      <c r="Z351" s="687">
        <v>165000000</v>
      </c>
      <c r="AA351" s="572">
        <v>1000</v>
      </c>
      <c r="AB351" s="687">
        <v>35000000</v>
      </c>
      <c r="AC351" s="665">
        <v>493.5</v>
      </c>
      <c r="AD351" s="665">
        <v>1050</v>
      </c>
      <c r="AE351" s="665"/>
      <c r="AF351" s="665"/>
      <c r="AG351" s="306" t="s">
        <v>3792</v>
      </c>
      <c r="AH351" s="306">
        <v>2017413960018</v>
      </c>
      <c r="AI351" s="307" t="s">
        <v>3799</v>
      </c>
      <c r="AJ351" s="335">
        <v>38078</v>
      </c>
      <c r="AK351" s="335"/>
      <c r="AL351" s="308"/>
      <c r="AM351" s="308"/>
      <c r="AN351" s="267" t="s">
        <v>2598</v>
      </c>
      <c r="AO351" s="507" t="s">
        <v>3800</v>
      </c>
      <c r="AP351" s="525">
        <v>22954422</v>
      </c>
      <c r="AQ351" s="310">
        <f>6000000+74654018</f>
        <v>80654018</v>
      </c>
      <c r="AR351" s="310"/>
      <c r="AS351" s="310"/>
      <c r="AT351" s="310"/>
      <c r="AU351" s="310"/>
      <c r="AV351" s="310"/>
      <c r="AW351" s="544">
        <f t="shared" si="155"/>
        <v>103608440</v>
      </c>
      <c r="AX351" s="525"/>
      <c r="AY351" s="310"/>
      <c r="AZ351" s="310"/>
      <c r="BA351" s="310"/>
      <c r="BB351" s="310"/>
      <c r="BC351" s="310"/>
      <c r="BD351" s="310"/>
      <c r="BE351" s="544">
        <f t="shared" si="166"/>
        <v>0</v>
      </c>
      <c r="BF351" s="525"/>
      <c r="BG351" s="310"/>
      <c r="BH351" s="310"/>
      <c r="BI351" s="310"/>
      <c r="BJ351" s="310"/>
      <c r="BK351" s="310"/>
      <c r="BL351" s="310"/>
      <c r="BM351" s="544">
        <f t="shared" si="167"/>
        <v>0</v>
      </c>
      <c r="BN351" s="525"/>
      <c r="BO351" s="310"/>
      <c r="BP351" s="310"/>
      <c r="BQ351" s="310"/>
      <c r="BR351" s="310"/>
      <c r="BS351" s="310"/>
      <c r="BT351" s="310"/>
      <c r="BU351" s="544">
        <f t="shared" si="168"/>
        <v>0</v>
      </c>
      <c r="BV351" s="556"/>
      <c r="BW351" s="663">
        <f t="shared" si="156"/>
        <v>1543.5</v>
      </c>
      <c r="BX351" s="674">
        <f t="shared" si="157"/>
        <v>0.51449999999999996</v>
      </c>
      <c r="BY351" s="674">
        <v>1.65</v>
      </c>
      <c r="BZ351" s="674">
        <f t="shared" si="159"/>
        <v>1.5</v>
      </c>
      <c r="CA351" s="675">
        <f t="shared" si="160"/>
        <v>0</v>
      </c>
      <c r="CB351" s="675">
        <f t="shared" si="161"/>
        <v>0</v>
      </c>
    </row>
    <row r="352" spans="1:80" ht="45" customHeight="1" x14ac:dyDescent="0.3">
      <c r="A352" s="298" t="s">
        <v>1002</v>
      </c>
      <c r="B352" s="299" t="str">
        <f>'PLAN INDICATIVO'!B346</f>
        <v>Transporte</v>
      </c>
      <c r="C352" s="1547"/>
      <c r="D352" s="1551"/>
      <c r="E352" s="1551"/>
      <c r="F352" s="1551"/>
      <c r="G352" s="1551"/>
      <c r="H352" s="1551"/>
      <c r="I352" s="1425" t="str">
        <f>'PLAN INDICATIVO'!I346</f>
        <v>SI</v>
      </c>
      <c r="J352" s="1425">
        <f>'PLAN INDICATIVO'!J346</f>
        <v>0</v>
      </c>
      <c r="K352" s="1425" t="str">
        <f>'PLAN INDICATIVO'!K346</f>
        <v>A.9.1.19</v>
      </c>
      <c r="L352" s="301" t="str">
        <f>'PLAN INDICATIVO'!L346</f>
        <v>11. Ciudades y comunidades sostenibles</v>
      </c>
      <c r="M352" s="301" t="str">
        <f>'PLAN INDICATIVO'!M346</f>
        <v>Secretaría de Obras Civiles</v>
      </c>
      <c r="N352" s="1425" t="s">
        <v>2933</v>
      </c>
      <c r="O352" s="1425" t="str">
        <f>'PLAN INDICATIVO'!O346</f>
        <v>Incremento</v>
      </c>
      <c r="P352" s="25" t="str">
        <f>'PLAN INDICATIVO'!P346</f>
        <v>Realizar la construcción y/o mejoramiento de 85 obras de arte viales,  en el cuatrienio.</v>
      </c>
      <c r="Q352" s="302" t="str">
        <f>'PLAN INDICATIVO'!Q346</f>
        <v>No. de obras de arte construidas o mejoradas</v>
      </c>
      <c r="R352" s="303">
        <f>'PLAN INDICATIVO'!R346</f>
        <v>2015</v>
      </c>
      <c r="S352" s="304">
        <v>0</v>
      </c>
      <c r="T352" s="498">
        <v>120</v>
      </c>
      <c r="U352" s="303">
        <v>20</v>
      </c>
      <c r="V352" s="687">
        <v>29000000</v>
      </c>
      <c r="W352" s="823">
        <v>12</v>
      </c>
      <c r="X352" s="687">
        <v>20000000</v>
      </c>
      <c r="Y352" s="572">
        <v>39</v>
      </c>
      <c r="Z352" s="687">
        <v>36000000</v>
      </c>
      <c r="AA352" s="572">
        <v>39</v>
      </c>
      <c r="AB352" s="687">
        <v>21000000</v>
      </c>
      <c r="AC352" s="665">
        <v>30</v>
      </c>
      <c r="AD352" s="665">
        <v>13</v>
      </c>
      <c r="AE352" s="665"/>
      <c r="AF352" s="665"/>
      <c r="AG352" s="306" t="s">
        <v>3792</v>
      </c>
      <c r="AH352" s="306">
        <v>2017413960018</v>
      </c>
      <c r="AI352" s="307" t="s">
        <v>3801</v>
      </c>
      <c r="AJ352" s="335">
        <v>38078</v>
      </c>
      <c r="AK352" s="335"/>
      <c r="AL352" s="308"/>
      <c r="AM352" s="308"/>
      <c r="AN352" s="267" t="s">
        <v>2598</v>
      </c>
      <c r="AO352" s="507" t="s">
        <v>3802</v>
      </c>
      <c r="AP352" s="525">
        <v>16391560</v>
      </c>
      <c r="AQ352" s="310"/>
      <c r="AR352" s="310"/>
      <c r="AS352" s="310"/>
      <c r="AT352" s="310"/>
      <c r="AU352" s="310"/>
      <c r="AV352" s="310"/>
      <c r="AW352" s="544">
        <f t="shared" si="155"/>
        <v>16391560</v>
      </c>
      <c r="AX352" s="525"/>
      <c r="AY352" s="310"/>
      <c r="AZ352" s="310"/>
      <c r="BA352" s="310"/>
      <c r="BB352" s="310"/>
      <c r="BC352" s="310"/>
      <c r="BD352" s="310"/>
      <c r="BE352" s="544">
        <f t="shared" si="166"/>
        <v>0</v>
      </c>
      <c r="BF352" s="525"/>
      <c r="BG352" s="310"/>
      <c r="BH352" s="310"/>
      <c r="BI352" s="310"/>
      <c r="BJ352" s="310"/>
      <c r="BK352" s="310"/>
      <c r="BL352" s="310"/>
      <c r="BM352" s="544">
        <f t="shared" si="167"/>
        <v>0</v>
      </c>
      <c r="BN352" s="525"/>
      <c r="BO352" s="310"/>
      <c r="BP352" s="310"/>
      <c r="BQ352" s="310"/>
      <c r="BR352" s="310"/>
      <c r="BS352" s="310"/>
      <c r="BT352" s="310"/>
      <c r="BU352" s="544">
        <f t="shared" si="168"/>
        <v>0</v>
      </c>
      <c r="BV352" s="556"/>
      <c r="BW352" s="663">
        <f t="shared" si="156"/>
        <v>43</v>
      </c>
      <c r="BX352" s="674">
        <f t="shared" si="157"/>
        <v>0.35833333333333334</v>
      </c>
      <c r="BY352" s="674">
        <f t="shared" si="158"/>
        <v>1.5</v>
      </c>
      <c r="BZ352" s="674">
        <f t="shared" si="159"/>
        <v>1.0833333333333333</v>
      </c>
      <c r="CA352" s="675">
        <f t="shared" si="160"/>
        <v>0</v>
      </c>
      <c r="CB352" s="675">
        <f t="shared" si="161"/>
        <v>0</v>
      </c>
    </row>
    <row r="353" spans="1:80" ht="59.25" customHeight="1" x14ac:dyDescent="0.3">
      <c r="A353" s="298" t="s">
        <v>1002</v>
      </c>
      <c r="B353" s="299" t="str">
        <f>'PLAN INDICATIVO'!B347</f>
        <v>Transporte</v>
      </c>
      <c r="C353" s="1547"/>
      <c r="D353" s="1551"/>
      <c r="E353" s="1551"/>
      <c r="F353" s="1551"/>
      <c r="G353" s="1551"/>
      <c r="H353" s="1551"/>
      <c r="I353" s="1425" t="str">
        <f>'PLAN INDICATIVO'!I347</f>
        <v>SI</v>
      </c>
      <c r="J353" s="1425">
        <f>'PLAN INDICATIVO'!J347</f>
        <v>0</v>
      </c>
      <c r="K353" s="1425" t="str">
        <f>'PLAN INDICATIVO'!K347</f>
        <v>A.9.1.20</v>
      </c>
      <c r="L353" s="301" t="str">
        <f>'PLAN INDICATIVO'!L347</f>
        <v>11. Ciudades y comunidades sostenibles</v>
      </c>
      <c r="M353" s="301" t="str">
        <f>'PLAN INDICATIVO'!M347</f>
        <v>Secretaría de Obras Civiles</v>
      </c>
      <c r="N353" s="1425" t="s">
        <v>2933</v>
      </c>
      <c r="O353" s="1425" t="str">
        <f>'PLAN INDICATIVO'!O347</f>
        <v>Incremento</v>
      </c>
      <c r="P353" s="16" t="str">
        <f>'PLAN INDICATIVO'!P347</f>
        <v>Realizar la construcción y/o mejoramiento de  6  puentes vehiculares.</v>
      </c>
      <c r="Q353" s="302" t="str">
        <f>'PLAN INDICATIVO'!Q347</f>
        <v>No. de puentes vehiculares construidos</v>
      </c>
      <c r="R353" s="303">
        <f>'PLAN INDICATIVO'!R347</f>
        <v>2015</v>
      </c>
      <c r="S353" s="304">
        <v>0</v>
      </c>
      <c r="T353" s="498">
        <v>4</v>
      </c>
      <c r="U353" s="303">
        <v>2</v>
      </c>
      <c r="V353" s="687">
        <v>60000000</v>
      </c>
      <c r="W353" s="572">
        <v>1</v>
      </c>
      <c r="X353" s="687">
        <v>55000000</v>
      </c>
      <c r="Y353" s="572">
        <v>1</v>
      </c>
      <c r="Z353" s="687">
        <v>100000000</v>
      </c>
      <c r="AA353" s="572">
        <v>1</v>
      </c>
      <c r="AB353" s="687">
        <v>45000000</v>
      </c>
      <c r="AC353" s="665">
        <v>0</v>
      </c>
      <c r="AD353" s="665">
        <v>3</v>
      </c>
      <c r="AE353" s="665"/>
      <c r="AF353" s="665"/>
      <c r="AG353" s="306" t="s">
        <v>3792</v>
      </c>
      <c r="AH353" s="306">
        <v>2017413960018</v>
      </c>
      <c r="AI353" s="307" t="s">
        <v>3803</v>
      </c>
      <c r="AJ353" s="335">
        <v>39114</v>
      </c>
      <c r="AK353" s="335"/>
      <c r="AL353" s="308"/>
      <c r="AM353" s="308"/>
      <c r="AN353" s="267" t="s">
        <v>2598</v>
      </c>
      <c r="AO353" s="507" t="s">
        <v>3804</v>
      </c>
      <c r="AP353" s="525">
        <f>10537121+13406056+56558220+1288599+9703334+10146666+586825+802218</f>
        <v>103029039</v>
      </c>
      <c r="AQ353" s="310">
        <f>12797629+26209194+37050000+127000000+200000+130064886+15649252+18000000</f>
        <v>366970961</v>
      </c>
      <c r="AR353" s="310"/>
      <c r="AS353" s="310"/>
      <c r="AT353" s="310"/>
      <c r="AU353" s="310"/>
      <c r="AV353" s="310"/>
      <c r="AW353" s="544">
        <f t="shared" si="155"/>
        <v>470000000</v>
      </c>
      <c r="AX353" s="525"/>
      <c r="AY353" s="310"/>
      <c r="AZ353" s="310"/>
      <c r="BA353" s="310"/>
      <c r="BB353" s="310"/>
      <c r="BC353" s="310"/>
      <c r="BD353" s="310"/>
      <c r="BE353" s="544">
        <f t="shared" si="166"/>
        <v>0</v>
      </c>
      <c r="BF353" s="525"/>
      <c r="BG353" s="310"/>
      <c r="BH353" s="310"/>
      <c r="BI353" s="310"/>
      <c r="BJ353" s="310"/>
      <c r="BK353" s="310"/>
      <c r="BL353" s="310"/>
      <c r="BM353" s="544">
        <f t="shared" si="167"/>
        <v>0</v>
      </c>
      <c r="BN353" s="525"/>
      <c r="BO353" s="310"/>
      <c r="BP353" s="310"/>
      <c r="BQ353" s="310"/>
      <c r="BR353" s="310"/>
      <c r="BS353" s="310"/>
      <c r="BT353" s="310"/>
      <c r="BU353" s="544">
        <f t="shared" si="168"/>
        <v>0</v>
      </c>
      <c r="BV353" s="556"/>
      <c r="BW353" s="663">
        <f t="shared" si="156"/>
        <v>3</v>
      </c>
      <c r="BX353" s="674">
        <f t="shared" si="157"/>
        <v>0.75</v>
      </c>
      <c r="BY353" s="674">
        <f t="shared" si="158"/>
        <v>0</v>
      </c>
      <c r="BZ353" s="674">
        <f t="shared" si="159"/>
        <v>3</v>
      </c>
      <c r="CA353" s="675">
        <f t="shared" si="160"/>
        <v>0</v>
      </c>
      <c r="CB353" s="675">
        <f t="shared" si="161"/>
        <v>0</v>
      </c>
    </row>
    <row r="354" spans="1:80" ht="36.75" customHeight="1" x14ac:dyDescent="0.3">
      <c r="A354" s="298" t="s">
        <v>1002</v>
      </c>
      <c r="B354" s="299" t="str">
        <f>'PLAN INDICATIVO'!B348</f>
        <v>Transporte</v>
      </c>
      <c r="C354" s="1548"/>
      <c r="D354" s="1552"/>
      <c r="E354" s="1552"/>
      <c r="F354" s="1552"/>
      <c r="G354" s="1552"/>
      <c r="H354" s="1552"/>
      <c r="I354" s="1425" t="str">
        <f>'PLAN INDICATIVO'!I348</f>
        <v>SI</v>
      </c>
      <c r="J354" s="1425">
        <f>'PLAN INDICATIVO'!J348</f>
        <v>0</v>
      </c>
      <c r="K354" s="1425" t="str">
        <f>'PLAN INDICATIVO'!K348</f>
        <v>A.9.1.21</v>
      </c>
      <c r="L354" s="301" t="str">
        <f>'PLAN INDICATIVO'!L348</f>
        <v>11. Ciudades y comunidades sostenibles</v>
      </c>
      <c r="M354" s="301" t="str">
        <f>'PLAN INDICATIVO'!M348</f>
        <v>Secretaría de Obras Civiles</v>
      </c>
      <c r="N354" s="1425" t="s">
        <v>2933</v>
      </c>
      <c r="O354" s="1425" t="str">
        <f>'PLAN INDICATIVO'!O348</f>
        <v>Incremento</v>
      </c>
      <c r="P354" s="820" t="str">
        <f>'PLAN INDICATIVO'!P348</f>
        <v>Realizar apoyo institucional para la Construcción y/o ampliación  de  3.000 ml  de vías terciarias durante el cuatrienio.</v>
      </c>
      <c r="Q354" s="302" t="str">
        <f>'PLAN INDICATIVO'!Q348</f>
        <v>No. de metros lineales de vías terciarias construidas</v>
      </c>
      <c r="R354" s="303">
        <f>'PLAN INDICATIVO'!R348</f>
        <v>2015</v>
      </c>
      <c r="S354" s="304">
        <v>0</v>
      </c>
      <c r="T354" s="498">
        <v>1000</v>
      </c>
      <c r="U354" s="815">
        <v>0</v>
      </c>
      <c r="V354" s="687">
        <v>51000000</v>
      </c>
      <c r="W354" s="572">
        <v>250</v>
      </c>
      <c r="X354" s="687">
        <v>50000000</v>
      </c>
      <c r="Y354" s="572">
        <v>250</v>
      </c>
      <c r="Z354" s="687">
        <v>10000000</v>
      </c>
      <c r="AA354" s="572">
        <v>250</v>
      </c>
      <c r="AB354" s="687">
        <v>35000000</v>
      </c>
      <c r="AC354" s="665">
        <v>1000</v>
      </c>
      <c r="AD354" s="665"/>
      <c r="AE354" s="665"/>
      <c r="AF354" s="665"/>
      <c r="AG354" s="306" t="s">
        <v>3792</v>
      </c>
      <c r="AH354" s="306">
        <v>2017413960018</v>
      </c>
      <c r="AI354" s="266" t="s">
        <v>3805</v>
      </c>
      <c r="AJ354" s="335"/>
      <c r="AK354" s="335"/>
      <c r="AL354" s="308"/>
      <c r="AM354" s="308"/>
      <c r="AN354" s="267" t="s">
        <v>2594</v>
      </c>
      <c r="AO354" s="507"/>
      <c r="AP354" s="525"/>
      <c r="AQ354" s="310"/>
      <c r="AR354" s="310"/>
      <c r="AS354" s="310"/>
      <c r="AT354" s="310"/>
      <c r="AU354" s="310"/>
      <c r="AV354" s="310"/>
      <c r="AW354" s="544">
        <f t="shared" si="155"/>
        <v>0</v>
      </c>
      <c r="AX354" s="525"/>
      <c r="AY354" s="310"/>
      <c r="AZ354" s="310"/>
      <c r="BA354" s="310"/>
      <c r="BB354" s="310"/>
      <c r="BC354" s="310"/>
      <c r="BD354" s="310"/>
      <c r="BE354" s="544">
        <f t="shared" si="166"/>
        <v>0</v>
      </c>
      <c r="BF354" s="525"/>
      <c r="BG354" s="310"/>
      <c r="BH354" s="310"/>
      <c r="BI354" s="310"/>
      <c r="BJ354" s="310"/>
      <c r="BK354" s="310"/>
      <c r="BL354" s="310"/>
      <c r="BM354" s="544">
        <f t="shared" si="167"/>
        <v>0</v>
      </c>
      <c r="BN354" s="525"/>
      <c r="BO354" s="310"/>
      <c r="BP354" s="310"/>
      <c r="BQ354" s="310"/>
      <c r="BR354" s="310"/>
      <c r="BS354" s="310"/>
      <c r="BT354" s="310"/>
      <c r="BU354" s="544">
        <f t="shared" si="168"/>
        <v>0</v>
      </c>
      <c r="BV354" s="556"/>
      <c r="BW354" s="663">
        <f t="shared" si="156"/>
        <v>1000</v>
      </c>
      <c r="BX354" s="674">
        <f t="shared" si="157"/>
        <v>1</v>
      </c>
      <c r="BY354" s="674" t="e">
        <f t="shared" si="158"/>
        <v>#DIV/0!</v>
      </c>
      <c r="BZ354" s="674">
        <f t="shared" si="159"/>
        <v>0</v>
      </c>
      <c r="CA354" s="675">
        <f t="shared" si="160"/>
        <v>0</v>
      </c>
      <c r="CB354" s="675">
        <f t="shared" si="161"/>
        <v>0</v>
      </c>
    </row>
    <row r="355" spans="1:80" ht="9.75" hidden="1" customHeight="1" thickBot="1" x14ac:dyDescent="0.3">
      <c r="A355" s="406"/>
      <c r="B355" s="412" t="e">
        <f>'PLAN INDICATIVO'!#REF!</f>
        <v>#REF!</v>
      </c>
      <c r="C355" s="413"/>
      <c r="D355" s="414"/>
      <c r="E355" s="414"/>
      <c r="F355" s="414"/>
      <c r="G355" s="414"/>
      <c r="H355" s="414"/>
      <c r="I355" s="415"/>
      <c r="J355" s="415"/>
      <c r="K355" s="415"/>
      <c r="L355" s="415"/>
      <c r="M355" s="415"/>
      <c r="N355" s="415"/>
      <c r="O355" s="415"/>
      <c r="P355" s="416"/>
      <c r="Q355" s="416"/>
      <c r="R355" s="415"/>
      <c r="S355" s="417"/>
      <c r="T355" s="682"/>
      <c r="U355" s="417"/>
      <c r="V355" s="417"/>
      <c r="W355" s="417"/>
      <c r="X355" s="417"/>
      <c r="Y355" s="417"/>
      <c r="Z355" s="417"/>
      <c r="AA355" s="418"/>
      <c r="AB355" s="418"/>
      <c r="AC355" s="418"/>
      <c r="AD355" s="418"/>
      <c r="AE355" s="418"/>
      <c r="AF355" s="418"/>
      <c r="AG355" s="419"/>
      <c r="AH355" s="419"/>
      <c r="AI355" s="419"/>
      <c r="AJ355" s="418"/>
      <c r="AK355" s="418"/>
      <c r="AL355" s="418"/>
      <c r="AM355" s="418"/>
      <c r="AN355" s="410"/>
      <c r="AO355" s="870"/>
      <c r="AP355" s="871"/>
      <c r="AQ355" s="872"/>
      <c r="AR355" s="872"/>
      <c r="AS355" s="872"/>
      <c r="AT355" s="872"/>
      <c r="AU355" s="872"/>
      <c r="AV355" s="872"/>
      <c r="AW355" s="555">
        <f t="shared" si="155"/>
        <v>0</v>
      </c>
      <c r="AX355" s="871"/>
      <c r="AY355" s="872"/>
      <c r="AZ355" s="872"/>
      <c r="BA355" s="872"/>
      <c r="BB355" s="872"/>
      <c r="BC355" s="872"/>
      <c r="BD355" s="872"/>
      <c r="BE355" s="555">
        <f t="shared" si="166"/>
        <v>0</v>
      </c>
      <c r="BF355" s="871"/>
      <c r="BG355" s="872"/>
      <c r="BH355" s="872"/>
      <c r="BI355" s="872"/>
      <c r="BJ355" s="872"/>
      <c r="BK355" s="872"/>
      <c r="BL355" s="872"/>
      <c r="BM355" s="555">
        <f t="shared" si="167"/>
        <v>0</v>
      </c>
      <c r="BN355" s="871"/>
      <c r="BO355" s="872"/>
      <c r="BP355" s="872"/>
      <c r="BQ355" s="872"/>
      <c r="BR355" s="872"/>
      <c r="BS355" s="872"/>
      <c r="BT355" s="872"/>
      <c r="BU355" s="555">
        <f t="shared" si="168"/>
        <v>0</v>
      </c>
      <c r="BV355" s="556"/>
      <c r="BW355" s="873">
        <f t="shared" si="156"/>
        <v>0</v>
      </c>
      <c r="BX355" s="874" t="e">
        <f t="shared" si="157"/>
        <v>#DIV/0!</v>
      </c>
      <c r="BY355" s="874" t="e">
        <f t="shared" si="158"/>
        <v>#DIV/0!</v>
      </c>
      <c r="BZ355" s="874" t="e">
        <f t="shared" si="159"/>
        <v>#DIV/0!</v>
      </c>
      <c r="CA355" s="675" t="e">
        <f t="shared" si="160"/>
        <v>#DIV/0!</v>
      </c>
      <c r="CB355" s="675" t="e">
        <f t="shared" si="161"/>
        <v>#DIV/0!</v>
      </c>
    </row>
    <row r="356" spans="1:80" ht="36" hidden="1" customHeight="1" thickBot="1" x14ac:dyDescent="0.3">
      <c r="A356" s="428"/>
      <c r="B356" s="439" t="str">
        <f>'PLAN INDICATIVO'!B349</f>
        <v>Servicios Públicos</v>
      </c>
      <c r="C356" s="1636" t="s">
        <v>2948</v>
      </c>
      <c r="D356" s="1627"/>
      <c r="E356" s="1627"/>
      <c r="F356" s="1627"/>
      <c r="G356" s="1627"/>
      <c r="H356" s="1627"/>
      <c r="I356" s="1627"/>
      <c r="J356" s="1627"/>
      <c r="K356" s="1627"/>
      <c r="L356" s="1627"/>
      <c r="M356" s="1627"/>
      <c r="N356" s="1627"/>
      <c r="O356" s="1627"/>
      <c r="P356" s="1627"/>
      <c r="Q356" s="1627"/>
      <c r="R356" s="1627"/>
      <c r="S356" s="1627"/>
      <c r="T356" s="1627"/>
      <c r="U356" s="1627"/>
      <c r="V356" s="1627"/>
      <c r="W356" s="1627"/>
      <c r="X356" s="1627"/>
      <c r="Y356" s="1627"/>
      <c r="Z356" s="1627"/>
      <c r="AA356" s="1627"/>
      <c r="AB356" s="1627"/>
      <c r="AC356" s="1627"/>
      <c r="AD356" s="1627"/>
      <c r="AE356" s="1627"/>
      <c r="AF356" s="1627"/>
      <c r="AG356" s="1627"/>
      <c r="AH356" s="1627"/>
      <c r="AI356" s="1627"/>
      <c r="AJ356" s="1627"/>
      <c r="AK356" s="1627"/>
      <c r="AL356" s="1627"/>
      <c r="AM356" s="1628"/>
      <c r="AN356" s="435"/>
      <c r="AO356" s="505"/>
      <c r="AP356" s="541"/>
      <c r="AQ356" s="542"/>
      <c r="AR356" s="542"/>
      <c r="AS356" s="542"/>
      <c r="AT356" s="542"/>
      <c r="AU356" s="542"/>
      <c r="AV356" s="542"/>
      <c r="AW356" s="543">
        <f t="shared" si="155"/>
        <v>0</v>
      </c>
      <c r="AX356" s="524"/>
      <c r="AY356" s="374"/>
      <c r="AZ356" s="374"/>
      <c r="BA356" s="374"/>
      <c r="BB356" s="374"/>
      <c r="BC356" s="374"/>
      <c r="BD356" s="374"/>
      <c r="BE356" s="544">
        <f t="shared" si="166"/>
        <v>0</v>
      </c>
      <c r="BF356" s="524"/>
      <c r="BG356" s="374"/>
      <c r="BH356" s="374"/>
      <c r="BI356" s="374"/>
      <c r="BJ356" s="374"/>
      <c r="BK356" s="374"/>
      <c r="BL356" s="374"/>
      <c r="BM356" s="544">
        <f t="shared" si="167"/>
        <v>0</v>
      </c>
      <c r="BN356" s="524"/>
      <c r="BO356" s="374"/>
      <c r="BP356" s="374"/>
      <c r="BQ356" s="374"/>
      <c r="BR356" s="374"/>
      <c r="BS356" s="374"/>
      <c r="BT356" s="374"/>
      <c r="BU356" s="544">
        <f t="shared" si="168"/>
        <v>0</v>
      </c>
      <c r="BV356" s="556"/>
      <c r="BW356" s="663">
        <f t="shared" si="156"/>
        <v>0</v>
      </c>
      <c r="BX356" s="674" t="e">
        <f t="shared" si="157"/>
        <v>#DIV/0!</v>
      </c>
      <c r="BY356" s="674" t="e">
        <f t="shared" si="158"/>
        <v>#DIV/0!</v>
      </c>
      <c r="BZ356" s="674" t="e">
        <f t="shared" si="159"/>
        <v>#DIV/0!</v>
      </c>
      <c r="CA356" s="675" t="e">
        <f t="shared" si="160"/>
        <v>#DIV/0!</v>
      </c>
      <c r="CB356" s="675" t="e">
        <f t="shared" si="161"/>
        <v>#DIV/0!</v>
      </c>
    </row>
    <row r="357" spans="1:80" ht="15.75" hidden="1" customHeight="1" x14ac:dyDescent="0.25">
      <c r="A357" s="296"/>
      <c r="B357" s="331" t="str">
        <f>'PLAN INDICATIVO'!B350</f>
        <v>Otros Servicios Públicos</v>
      </c>
      <c r="C357" s="1605" t="s">
        <v>1072</v>
      </c>
      <c r="D357" s="1606"/>
      <c r="E357" s="1606"/>
      <c r="F357" s="1606"/>
      <c r="G357" s="1606"/>
      <c r="H357" s="1606"/>
      <c r="I357" s="1606"/>
      <c r="J357" s="1606"/>
      <c r="K357" s="1606"/>
      <c r="L357" s="1606"/>
      <c r="M357" s="1606"/>
      <c r="N357" s="1606"/>
      <c r="O357" s="1607"/>
      <c r="P357" s="318"/>
      <c r="Q357" s="318"/>
      <c r="R357" s="317"/>
      <c r="S357" s="319"/>
      <c r="T357" s="676"/>
      <c r="U357" s="319"/>
      <c r="V357" s="695">
        <f>SUM(V358:V359)</f>
        <v>1048500000</v>
      </c>
      <c r="W357" s="319"/>
      <c r="X357" s="695">
        <f>SUM(X358:X359)</f>
        <v>752000000</v>
      </c>
      <c r="Y357" s="319"/>
      <c r="Z357" s="695">
        <f>SUM(Z358:Z359)</f>
        <v>759540000</v>
      </c>
      <c r="AA357" s="320"/>
      <c r="AB357" s="708">
        <f>SUM(AB358:AB359)</f>
        <v>1297660000</v>
      </c>
      <c r="AC357" s="320"/>
      <c r="AD357" s="320"/>
      <c r="AE357" s="320"/>
      <c r="AF357" s="320"/>
      <c r="AG357" s="321"/>
      <c r="AH357" s="321"/>
      <c r="AI357" s="321"/>
      <c r="AJ357" s="320"/>
      <c r="AK357" s="320"/>
      <c r="AL357" s="320"/>
      <c r="AM357" s="320"/>
      <c r="AN357" s="262"/>
      <c r="AO357" s="612"/>
      <c r="AP357" s="616" t="e">
        <f>(AP358:AP359)</f>
        <v>#VALUE!</v>
      </c>
      <c r="AQ357" s="616" t="e">
        <f t="shared" ref="AQ357:AV357" si="169">(AQ358:AQ359)</f>
        <v>#VALUE!</v>
      </c>
      <c r="AR357" s="616" t="e">
        <f t="shared" si="169"/>
        <v>#VALUE!</v>
      </c>
      <c r="AS357" s="616" t="e">
        <f t="shared" si="169"/>
        <v>#VALUE!</v>
      </c>
      <c r="AT357" s="616" t="e">
        <f t="shared" si="169"/>
        <v>#VALUE!</v>
      </c>
      <c r="AU357" s="616" t="e">
        <f t="shared" si="169"/>
        <v>#VALUE!</v>
      </c>
      <c r="AV357" s="616" t="e">
        <f t="shared" si="169"/>
        <v>#VALUE!</v>
      </c>
      <c r="AW357" s="617" t="e">
        <f t="shared" si="155"/>
        <v>#VALUE!</v>
      </c>
      <c r="AX357" s="616" t="e">
        <f>(AX358:AX359)</f>
        <v>#VALUE!</v>
      </c>
      <c r="AY357" s="616" t="e">
        <f t="shared" ref="AY357:BD357" si="170">(AY358:AY359)</f>
        <v>#VALUE!</v>
      </c>
      <c r="AZ357" s="616" t="e">
        <f t="shared" si="170"/>
        <v>#VALUE!</v>
      </c>
      <c r="BA357" s="616" t="e">
        <f t="shared" si="170"/>
        <v>#VALUE!</v>
      </c>
      <c r="BB357" s="616" t="e">
        <f t="shared" si="170"/>
        <v>#VALUE!</v>
      </c>
      <c r="BC357" s="616" t="e">
        <f t="shared" si="170"/>
        <v>#VALUE!</v>
      </c>
      <c r="BD357" s="616" t="e">
        <f t="shared" si="170"/>
        <v>#VALUE!</v>
      </c>
      <c r="BE357" s="617" t="e">
        <f t="shared" si="166"/>
        <v>#VALUE!</v>
      </c>
      <c r="BF357" s="616" t="e">
        <f>(BF358:BF359)</f>
        <v>#VALUE!</v>
      </c>
      <c r="BG357" s="616" t="e">
        <f t="shared" ref="BG357:BL357" si="171">(BG358:BG359)</f>
        <v>#VALUE!</v>
      </c>
      <c r="BH357" s="616" t="e">
        <f t="shared" si="171"/>
        <v>#VALUE!</v>
      </c>
      <c r="BI357" s="616" t="e">
        <f t="shared" si="171"/>
        <v>#VALUE!</v>
      </c>
      <c r="BJ357" s="616" t="e">
        <f t="shared" si="171"/>
        <v>#VALUE!</v>
      </c>
      <c r="BK357" s="616" t="e">
        <f t="shared" si="171"/>
        <v>#VALUE!</v>
      </c>
      <c r="BL357" s="616" t="e">
        <f t="shared" si="171"/>
        <v>#VALUE!</v>
      </c>
      <c r="BM357" s="617" t="e">
        <f t="shared" si="167"/>
        <v>#VALUE!</v>
      </c>
      <c r="BN357" s="616" t="e">
        <f>(BN358:BN359)</f>
        <v>#VALUE!</v>
      </c>
      <c r="BO357" s="616" t="e">
        <f t="shared" ref="BO357:BT357" si="172">(BO358:BO359)</f>
        <v>#VALUE!</v>
      </c>
      <c r="BP357" s="616" t="e">
        <f t="shared" si="172"/>
        <v>#VALUE!</v>
      </c>
      <c r="BQ357" s="616" t="e">
        <f t="shared" si="172"/>
        <v>#VALUE!</v>
      </c>
      <c r="BR357" s="616" t="e">
        <f t="shared" si="172"/>
        <v>#VALUE!</v>
      </c>
      <c r="BS357" s="616" t="e">
        <f t="shared" si="172"/>
        <v>#VALUE!</v>
      </c>
      <c r="BT357" s="616" t="e">
        <f t="shared" si="172"/>
        <v>#VALUE!</v>
      </c>
      <c r="BU357" s="617" t="e">
        <f t="shared" si="168"/>
        <v>#VALUE!</v>
      </c>
      <c r="BV357" s="556"/>
      <c r="BW357" s="663">
        <f t="shared" si="156"/>
        <v>0</v>
      </c>
      <c r="BX357" s="674" t="e">
        <f t="shared" si="157"/>
        <v>#DIV/0!</v>
      </c>
      <c r="BY357" s="674" t="e">
        <f t="shared" si="158"/>
        <v>#DIV/0!</v>
      </c>
      <c r="BZ357" s="674" t="e">
        <f t="shared" si="159"/>
        <v>#DIV/0!</v>
      </c>
      <c r="CA357" s="675" t="e">
        <f t="shared" si="160"/>
        <v>#DIV/0!</v>
      </c>
      <c r="CB357" s="675" t="e">
        <f t="shared" si="161"/>
        <v>#DIV/0!</v>
      </c>
    </row>
    <row r="358" spans="1:80" ht="86.25" customHeight="1" x14ac:dyDescent="0.3">
      <c r="A358" s="298" t="s">
        <v>1073</v>
      </c>
      <c r="B358" s="299" t="str">
        <f>'PLAN INDICATIVO'!B351</f>
        <v>Otros Servicios Públicos</v>
      </c>
      <c r="C358" s="1429" t="s">
        <v>1074</v>
      </c>
      <c r="D358" s="1425" t="s">
        <v>1075</v>
      </c>
      <c r="E358" s="1425" t="s">
        <v>1076</v>
      </c>
      <c r="F358" s="1425">
        <v>2005</v>
      </c>
      <c r="G358" s="1425">
        <v>92.6</v>
      </c>
      <c r="H358" s="1425">
        <v>94</v>
      </c>
      <c r="I358" s="1425" t="str">
        <f>'PLAN INDICATIVO'!I351</f>
        <v>SI</v>
      </c>
      <c r="J358" s="1425">
        <f>'PLAN INDICATIVO'!J351</f>
        <v>0</v>
      </c>
      <c r="K358" s="1425" t="str">
        <f>'PLAN INDICATIVO'!K351</f>
        <v>A.6.1.1</v>
      </c>
      <c r="L358" s="301" t="str">
        <f>'PLAN INDICATIVO'!L351</f>
        <v>7. Energía Asequible y no contaminante</v>
      </c>
      <c r="M358" s="301" t="str">
        <f>'PLAN INDICATIVO'!M351</f>
        <v>Secretaría de Obras Civiles</v>
      </c>
      <c r="N358" s="1425" t="s">
        <v>2933</v>
      </c>
      <c r="O358" s="1425" t="str">
        <f>'PLAN INDICATIVO'!O351</f>
        <v>Incremento</v>
      </c>
      <c r="P358" s="25" t="str">
        <f>'PLAN INDICATIVO'!P351</f>
        <v>Aumentar la cobertura  en electrificación  a 300 nuevas familias, durante el cuatrienio.</v>
      </c>
      <c r="Q358" s="302" t="str">
        <f>'PLAN INDICATIVO'!Q351</f>
        <v>No. De familias beneficiadas con electrificación</v>
      </c>
      <c r="R358" s="303">
        <f>'PLAN INDICATIVO'!R351</f>
        <v>2015</v>
      </c>
      <c r="S358" s="304">
        <v>0</v>
      </c>
      <c r="T358" s="677">
        <v>300</v>
      </c>
      <c r="U358" s="303">
        <v>71</v>
      </c>
      <c r="V358" s="687">
        <v>398500000</v>
      </c>
      <c r="W358" s="66">
        <v>197</v>
      </c>
      <c r="X358" s="687">
        <v>46000000</v>
      </c>
      <c r="Y358" s="572">
        <v>57</v>
      </c>
      <c r="Z358" s="687">
        <v>56500000</v>
      </c>
      <c r="AA358" s="572">
        <v>57</v>
      </c>
      <c r="AB358" s="687">
        <v>566500000</v>
      </c>
      <c r="AC358" s="665">
        <v>79</v>
      </c>
      <c r="AD358" s="665">
        <f>48+59</f>
        <v>107</v>
      </c>
      <c r="AE358" s="665"/>
      <c r="AF358" s="665"/>
      <c r="AG358" s="306" t="s">
        <v>3806</v>
      </c>
      <c r="AH358" s="306">
        <v>2017413960073</v>
      </c>
      <c r="AI358" s="307" t="s">
        <v>3807</v>
      </c>
      <c r="AJ358" s="335"/>
      <c r="AK358" s="335"/>
      <c r="AL358" s="308"/>
      <c r="AM358" s="308"/>
      <c r="AN358" s="267" t="s">
        <v>2598</v>
      </c>
      <c r="AO358" s="507" t="s">
        <v>3808</v>
      </c>
      <c r="AP358" s="525"/>
      <c r="AQ358" s="310"/>
      <c r="AR358" s="310"/>
      <c r="AS358" s="310"/>
      <c r="AT358" s="310"/>
      <c r="AU358" s="310">
        <v>209311095</v>
      </c>
      <c r="AV358" s="310"/>
      <c r="AW358" s="544">
        <f t="shared" si="155"/>
        <v>209311095</v>
      </c>
      <c r="AX358" s="525"/>
      <c r="AY358" s="310"/>
      <c r="AZ358" s="310"/>
      <c r="BA358" s="310"/>
      <c r="BB358" s="310"/>
      <c r="BC358" s="310"/>
      <c r="BD358" s="310"/>
      <c r="BE358" s="544">
        <f t="shared" si="166"/>
        <v>0</v>
      </c>
      <c r="BF358" s="525"/>
      <c r="BG358" s="310"/>
      <c r="BH358" s="310"/>
      <c r="BI358" s="310"/>
      <c r="BJ358" s="310"/>
      <c r="BK358" s="310"/>
      <c r="BL358" s="310"/>
      <c r="BM358" s="544">
        <f t="shared" si="167"/>
        <v>0</v>
      </c>
      <c r="BN358" s="525"/>
      <c r="BO358" s="310"/>
      <c r="BP358" s="310"/>
      <c r="BQ358" s="310"/>
      <c r="BR358" s="310"/>
      <c r="BS358" s="310"/>
      <c r="BT358" s="310"/>
      <c r="BU358" s="544">
        <f t="shared" si="168"/>
        <v>0</v>
      </c>
      <c r="BV358" s="556"/>
      <c r="BW358" s="663">
        <f t="shared" si="156"/>
        <v>186</v>
      </c>
      <c r="BX358" s="674">
        <f t="shared" si="157"/>
        <v>0.62</v>
      </c>
      <c r="BY358" s="674">
        <f>AC358/U358</f>
        <v>1.1126760563380282</v>
      </c>
      <c r="BZ358" s="674">
        <f>AD358/W358</f>
        <v>0.54314720812182737</v>
      </c>
      <c r="CA358" s="675">
        <f t="shared" si="160"/>
        <v>0</v>
      </c>
      <c r="CB358" s="675">
        <f t="shared" si="161"/>
        <v>0</v>
      </c>
    </row>
    <row r="359" spans="1:80" ht="90.75" customHeight="1" x14ac:dyDescent="0.3">
      <c r="A359" s="298" t="s">
        <v>1073</v>
      </c>
      <c r="B359" s="299" t="str">
        <f>'PLAN INDICATIVO'!B352</f>
        <v>Otros Servicios Públicos</v>
      </c>
      <c r="C359" s="1429" t="s">
        <v>1081</v>
      </c>
      <c r="D359" s="1425" t="s">
        <v>1082</v>
      </c>
      <c r="E359" s="1425" t="s">
        <v>1083</v>
      </c>
      <c r="F359" s="1425">
        <v>2005</v>
      </c>
      <c r="G359" s="1425">
        <v>95</v>
      </c>
      <c r="H359" s="1425">
        <v>95</v>
      </c>
      <c r="I359" s="300">
        <f>'PLAN INDICATIVO'!I352</f>
        <v>0</v>
      </c>
      <c r="J359" s="300">
        <f>'PLAN INDICATIVO'!J352</f>
        <v>0</v>
      </c>
      <c r="K359" s="1425" t="str">
        <f>'PLAN INDICATIVO'!K352</f>
        <v>A.6.2.1</v>
      </c>
      <c r="L359" s="301" t="str">
        <f>'PLAN INDICATIVO'!L352</f>
        <v>7. Energía Asequible y no contaminante</v>
      </c>
      <c r="M359" s="301" t="str">
        <f>'PLAN INDICATIVO'!M352</f>
        <v>Secretaría de Obras Civiles</v>
      </c>
      <c r="N359" s="1425" t="s">
        <v>2933</v>
      </c>
      <c r="O359" s="1425" t="str">
        <f>'PLAN INDICATIVO'!O352</f>
        <v>Mantenimiento</v>
      </c>
      <c r="P359" s="16" t="str">
        <f>'PLAN INDICATIVO'!P352</f>
        <v>Implementar  1 programa de mantenimiento y/o ampliación anual al sistema de alumbrado público.</v>
      </c>
      <c r="Q359" s="302" t="str">
        <f>'PLAN INDICATIVO'!Q352</f>
        <v>No. de mantenimientos implementados por año</v>
      </c>
      <c r="R359" s="303">
        <f>'PLAN INDICATIVO'!R352</f>
        <v>2015</v>
      </c>
      <c r="S359" s="304">
        <v>0</v>
      </c>
      <c r="T359" s="677">
        <v>1</v>
      </c>
      <c r="U359" s="303">
        <v>0.25</v>
      </c>
      <c r="V359" s="687">
        <v>650000000</v>
      </c>
      <c r="W359" s="303">
        <v>0.25</v>
      </c>
      <c r="X359" s="687">
        <v>706000000</v>
      </c>
      <c r="Y359" s="303">
        <v>0.25</v>
      </c>
      <c r="Z359" s="687">
        <v>703040000</v>
      </c>
      <c r="AA359" s="303">
        <v>0.25</v>
      </c>
      <c r="AB359" s="687">
        <v>731160000</v>
      </c>
      <c r="AC359" s="665">
        <v>0.25</v>
      </c>
      <c r="AD359" s="665">
        <v>0.25</v>
      </c>
      <c r="AE359" s="665"/>
      <c r="AF359" s="665"/>
      <c r="AG359" s="306" t="s">
        <v>3809</v>
      </c>
      <c r="AH359" s="306">
        <v>2017413960034</v>
      </c>
      <c r="AI359" s="307" t="s">
        <v>3810</v>
      </c>
      <c r="AJ359" s="335">
        <v>36892</v>
      </c>
      <c r="AK359" s="309">
        <v>43100</v>
      </c>
      <c r="AL359" s="308"/>
      <c r="AM359" s="308"/>
      <c r="AN359" s="267" t="s">
        <v>2598</v>
      </c>
      <c r="AO359" s="515" t="s">
        <v>3811</v>
      </c>
      <c r="AP359" s="525">
        <v>139000000</v>
      </c>
      <c r="AQ359" s="310"/>
      <c r="AR359" s="310"/>
      <c r="AS359" s="310"/>
      <c r="AT359" s="310"/>
      <c r="AU359" s="310"/>
      <c r="AV359" s="310"/>
      <c r="AW359" s="544">
        <f t="shared" si="155"/>
        <v>139000000</v>
      </c>
      <c r="AX359" s="525"/>
      <c r="AY359" s="310"/>
      <c r="AZ359" s="310"/>
      <c r="BA359" s="310"/>
      <c r="BB359" s="310"/>
      <c r="BC359" s="310"/>
      <c r="BD359" s="310"/>
      <c r="BE359" s="544">
        <f t="shared" si="166"/>
        <v>0</v>
      </c>
      <c r="BF359" s="525"/>
      <c r="BG359" s="310"/>
      <c r="BH359" s="310"/>
      <c r="BI359" s="310"/>
      <c r="BJ359" s="310"/>
      <c r="BK359" s="310"/>
      <c r="BL359" s="310"/>
      <c r="BM359" s="544">
        <f t="shared" si="167"/>
        <v>0</v>
      </c>
      <c r="BN359" s="525"/>
      <c r="BO359" s="310"/>
      <c r="BP359" s="310"/>
      <c r="BQ359" s="310"/>
      <c r="BR359" s="310"/>
      <c r="BS359" s="310"/>
      <c r="BT359" s="310"/>
      <c r="BU359" s="544">
        <f t="shared" si="168"/>
        <v>0</v>
      </c>
      <c r="BV359" s="556"/>
      <c r="BW359" s="663">
        <f t="shared" si="156"/>
        <v>0.5</v>
      </c>
      <c r="BX359" s="674">
        <f t="shared" si="157"/>
        <v>0.5</v>
      </c>
      <c r="BY359" s="674">
        <f>AC359/U359</f>
        <v>1</v>
      </c>
      <c r="BZ359" s="674">
        <f t="shared" si="159"/>
        <v>1</v>
      </c>
      <c r="CA359" s="675">
        <f t="shared" si="160"/>
        <v>0</v>
      </c>
      <c r="CB359" s="675">
        <f t="shared" si="161"/>
        <v>0</v>
      </c>
    </row>
    <row r="360" spans="1:80" ht="18.75" hidden="1" customHeight="1" x14ac:dyDescent="0.25">
      <c r="A360" s="295" t="s">
        <v>1073</v>
      </c>
      <c r="B360" s="24" t="str">
        <f>'PLAN INDICATIVO'!B353</f>
        <v>Otros Servicios Públicos</v>
      </c>
      <c r="C360" s="1574" t="s">
        <v>1087</v>
      </c>
      <c r="D360" s="1575"/>
      <c r="E360" s="1575"/>
      <c r="F360" s="1575"/>
      <c r="G360" s="1575"/>
      <c r="H360" s="1575"/>
      <c r="I360" s="1575"/>
      <c r="J360" s="1575"/>
      <c r="K360" s="1575"/>
      <c r="L360" s="1575"/>
      <c r="M360" s="1575"/>
      <c r="N360" s="1575"/>
      <c r="O360" s="1576"/>
      <c r="P360" s="22"/>
      <c r="Q360" s="22"/>
      <c r="R360" s="1"/>
      <c r="S360" s="261"/>
      <c r="T360" s="681"/>
      <c r="U360" s="261"/>
      <c r="V360" s="261"/>
      <c r="W360" s="261"/>
      <c r="X360" s="707">
        <v>14900000000</v>
      </c>
      <c r="Y360" s="261"/>
      <c r="Z360" s="261"/>
      <c r="AA360" s="262"/>
      <c r="AB360" s="262"/>
      <c r="AC360" s="262"/>
      <c r="AD360" s="262"/>
      <c r="AE360" s="262"/>
      <c r="AF360" s="262"/>
      <c r="AG360" s="262"/>
      <c r="AH360" s="262"/>
      <c r="AI360" s="262"/>
      <c r="AJ360" s="262"/>
      <c r="AK360" s="262"/>
      <c r="AL360" s="262"/>
      <c r="AM360" s="262"/>
      <c r="AN360" s="262"/>
      <c r="AO360" s="262"/>
      <c r="AP360" s="262"/>
      <c r="AQ360" s="262"/>
      <c r="AR360" s="262"/>
      <c r="AS360" s="262"/>
      <c r="AT360" s="262"/>
      <c r="AU360" s="262"/>
      <c r="AV360" s="262"/>
      <c r="AW360" s="617">
        <f t="shared" si="155"/>
        <v>0</v>
      </c>
      <c r="AX360" s="616">
        <f>(AX361)</f>
        <v>0</v>
      </c>
      <c r="AY360" s="264"/>
      <c r="AZ360" s="264"/>
      <c r="BA360" s="264"/>
      <c r="BB360" s="264"/>
      <c r="BC360" s="264"/>
      <c r="BD360" s="264"/>
      <c r="BE360" s="617">
        <f t="shared" si="166"/>
        <v>0</v>
      </c>
      <c r="BF360" s="616">
        <f>(BF361)</f>
        <v>0</v>
      </c>
      <c r="BG360" s="264"/>
      <c r="BH360" s="264"/>
      <c r="BI360" s="264"/>
      <c r="BJ360" s="264"/>
      <c r="BK360" s="264"/>
      <c r="BL360" s="264"/>
      <c r="BM360" s="617">
        <f t="shared" si="167"/>
        <v>0</v>
      </c>
      <c r="BN360" s="616">
        <f>(BN361)</f>
        <v>0</v>
      </c>
      <c r="BO360" s="264"/>
      <c r="BP360" s="264"/>
      <c r="BQ360" s="264"/>
      <c r="BR360" s="264"/>
      <c r="BS360" s="264"/>
      <c r="BT360" s="264"/>
      <c r="BU360" s="617">
        <f t="shared" si="168"/>
        <v>0</v>
      </c>
      <c r="BV360" s="556"/>
      <c r="BW360" s="663">
        <f t="shared" si="156"/>
        <v>0</v>
      </c>
      <c r="BX360" s="674" t="e">
        <f t="shared" si="157"/>
        <v>#DIV/0!</v>
      </c>
      <c r="BY360" s="674" t="e">
        <f t="shared" si="158"/>
        <v>#DIV/0!</v>
      </c>
      <c r="BZ360" s="674" t="e">
        <f t="shared" si="159"/>
        <v>#DIV/0!</v>
      </c>
      <c r="CA360" s="675" t="e">
        <f t="shared" si="160"/>
        <v>#DIV/0!</v>
      </c>
      <c r="CB360" s="675" t="e">
        <f t="shared" si="161"/>
        <v>#DIV/0!</v>
      </c>
    </row>
    <row r="361" spans="1:80" ht="85.5" customHeight="1" x14ac:dyDescent="0.3">
      <c r="A361" s="393" t="s">
        <v>1073</v>
      </c>
      <c r="B361" s="394" t="str">
        <f>'PLAN INDICATIVO'!B354</f>
        <v>Otros Servicios Públicos</v>
      </c>
      <c r="C361" s="1423" t="s">
        <v>1088</v>
      </c>
      <c r="D361" s="1426" t="s">
        <v>1089</v>
      </c>
      <c r="E361" s="1426" t="s">
        <v>1090</v>
      </c>
      <c r="F361" s="1426">
        <v>2005</v>
      </c>
      <c r="G361" s="1426">
        <v>87.9</v>
      </c>
      <c r="H361" s="1426">
        <v>90</v>
      </c>
      <c r="I361" s="1426" t="str">
        <f>'PLAN INDICATIVO'!I354</f>
        <v>SI</v>
      </c>
      <c r="J361" s="1426">
        <f>'PLAN INDICATIVO'!J354</f>
        <v>0</v>
      </c>
      <c r="K361" s="1426" t="str">
        <f>'PLAN INDICATIVO'!K354</f>
        <v>A.6.3.1</v>
      </c>
      <c r="L361" s="396" t="str">
        <f>'PLAN INDICATIVO'!L354</f>
        <v>7. Energía Asequible y no contaminante</v>
      </c>
      <c r="M361" s="396" t="str">
        <f>'PLAN INDICATIVO'!M354</f>
        <v>Secretaría de Obras Civiles</v>
      </c>
      <c r="N361" s="1425" t="s">
        <v>2933</v>
      </c>
      <c r="O361" s="1426" t="str">
        <f>'PLAN INDICATIVO'!O354</f>
        <v>Incremento</v>
      </c>
      <c r="P361" s="866" t="str">
        <f>'PLAN INDICATIVO'!P354</f>
        <v>Aumentar la cobertura  en gasoducto a 500 nuevas familias del sector urbano y rural, durante el cuatrienio.</v>
      </c>
      <c r="Q361" s="350" t="str">
        <f>'PLAN INDICATIVO'!Q354</f>
        <v>No. De familias beneficiadas con Gasificación</v>
      </c>
      <c r="R361" s="397">
        <f>'PLAN INDICATIVO'!R354</f>
        <v>2015</v>
      </c>
      <c r="S361" s="1433">
        <v>0</v>
      </c>
      <c r="T361" s="682">
        <v>500</v>
      </c>
      <c r="U361" s="1433">
        <v>100</v>
      </c>
      <c r="V361" s="687"/>
      <c r="W361" s="1433">
        <v>100</v>
      </c>
      <c r="X361" s="687">
        <v>14900000</v>
      </c>
      <c r="Y361" s="1433">
        <v>200</v>
      </c>
      <c r="Z361" s="687">
        <v>6700000</v>
      </c>
      <c r="AA361" s="424">
        <v>200</v>
      </c>
      <c r="AB361" s="687">
        <v>800000000</v>
      </c>
      <c r="AC361" s="672">
        <v>0</v>
      </c>
      <c r="AD361" s="672">
        <v>0</v>
      </c>
      <c r="AE361" s="672"/>
      <c r="AF361" s="672"/>
      <c r="AG361" s="306"/>
      <c r="AH361" s="983"/>
      <c r="AI361" s="426"/>
      <c r="AJ361" s="427"/>
      <c r="AK361" s="427"/>
      <c r="AL361" s="427"/>
      <c r="AM361" s="427"/>
      <c r="AN361" s="436" t="s">
        <v>2600</v>
      </c>
      <c r="AO361" s="516"/>
      <c r="AP361" s="525"/>
      <c r="AQ361" s="310"/>
      <c r="AR361" s="310"/>
      <c r="AS361" s="310"/>
      <c r="AT361" s="310"/>
      <c r="AU361" s="310"/>
      <c r="AV361" s="310"/>
      <c r="AW361" s="544">
        <f t="shared" si="155"/>
        <v>0</v>
      </c>
      <c r="AX361" s="525"/>
      <c r="AY361" s="310"/>
      <c r="AZ361" s="310"/>
      <c r="BA361" s="310"/>
      <c r="BB361" s="310"/>
      <c r="BC361" s="310"/>
      <c r="BD361" s="310"/>
      <c r="BE361" s="544">
        <f t="shared" si="166"/>
        <v>0</v>
      </c>
      <c r="BF361" s="525"/>
      <c r="BG361" s="310"/>
      <c r="BH361" s="310"/>
      <c r="BI361" s="310"/>
      <c r="BJ361" s="310"/>
      <c r="BK361" s="310"/>
      <c r="BL361" s="310"/>
      <c r="BM361" s="544">
        <f t="shared" si="167"/>
        <v>0</v>
      </c>
      <c r="BN361" s="525"/>
      <c r="BO361" s="310"/>
      <c r="BP361" s="310"/>
      <c r="BQ361" s="310"/>
      <c r="BR361" s="310"/>
      <c r="BS361" s="310"/>
      <c r="BT361" s="310"/>
      <c r="BU361" s="544">
        <f t="shared" si="168"/>
        <v>0</v>
      </c>
      <c r="BV361" s="556"/>
      <c r="BW361" s="663">
        <f t="shared" si="156"/>
        <v>0</v>
      </c>
      <c r="BX361" s="674">
        <f t="shared" si="157"/>
        <v>0</v>
      </c>
      <c r="BY361" s="674">
        <f t="shared" si="158"/>
        <v>0</v>
      </c>
      <c r="BZ361" s="674">
        <f t="shared" si="159"/>
        <v>0</v>
      </c>
      <c r="CA361" s="675">
        <f t="shared" si="160"/>
        <v>0</v>
      </c>
      <c r="CB361" s="675">
        <f t="shared" si="161"/>
        <v>0</v>
      </c>
    </row>
    <row r="362" spans="1:80" ht="60.75" hidden="1" customHeight="1" thickBot="1" x14ac:dyDescent="0.3">
      <c r="A362" s="401"/>
      <c r="B362" s="405" t="str">
        <f>'PLAN INDICATIVO'!B355</f>
        <v>DIMENSIÓN INSTITUCIONAL</v>
      </c>
      <c r="C362" s="1632" t="s">
        <v>2952</v>
      </c>
      <c r="D362" s="1633"/>
      <c r="E362" s="1633"/>
      <c r="F362" s="1633"/>
      <c r="G362" s="1633"/>
      <c r="H362" s="1633"/>
      <c r="I362" s="1633"/>
      <c r="J362" s="1633"/>
      <c r="K362" s="1633"/>
      <c r="L362" s="1633"/>
      <c r="M362" s="1633"/>
      <c r="N362" s="1633"/>
      <c r="O362" s="1633"/>
      <c r="P362" s="1633"/>
      <c r="Q362" s="1633"/>
      <c r="R362" s="1633"/>
      <c r="S362" s="1633"/>
      <c r="T362" s="1633"/>
      <c r="U362" s="1633"/>
      <c r="V362" s="1633"/>
      <c r="W362" s="1633"/>
      <c r="X362" s="1633"/>
      <c r="Y362" s="1633"/>
      <c r="Z362" s="1633"/>
      <c r="AA362" s="1633"/>
      <c r="AB362" s="1633"/>
      <c r="AC362" s="1633"/>
      <c r="AD362" s="1633"/>
      <c r="AE362" s="1633"/>
      <c r="AF362" s="1633"/>
      <c r="AG362" s="1633"/>
      <c r="AH362" s="1633"/>
      <c r="AI362" s="1633"/>
      <c r="AJ362" s="1633"/>
      <c r="AK362" s="1633"/>
      <c r="AL362" s="1633"/>
      <c r="AM362" s="1634"/>
      <c r="AN362" s="662"/>
      <c r="AO362" s="641"/>
      <c r="AP362" s="632"/>
      <c r="AQ362" s="633"/>
      <c r="AR362" s="633"/>
      <c r="AS362" s="633"/>
      <c r="AT362" s="633"/>
      <c r="AU362" s="633"/>
      <c r="AV362" s="633"/>
      <c r="AW362" s="555">
        <f t="shared" si="155"/>
        <v>0</v>
      </c>
      <c r="AX362" s="632"/>
      <c r="AY362" s="633"/>
      <c r="AZ362" s="633"/>
      <c r="BA362" s="633"/>
      <c r="BB362" s="633"/>
      <c r="BC362" s="633"/>
      <c r="BD362" s="633"/>
      <c r="BE362" s="555">
        <f t="shared" si="166"/>
        <v>0</v>
      </c>
      <c r="BF362" s="632"/>
      <c r="BG362" s="633"/>
      <c r="BH362" s="633"/>
      <c r="BI362" s="633"/>
      <c r="BJ362" s="633"/>
      <c r="BK362" s="633"/>
      <c r="BL362" s="633"/>
      <c r="BM362" s="555">
        <f t="shared" si="167"/>
        <v>0</v>
      </c>
      <c r="BN362" s="632"/>
      <c r="BO362" s="633"/>
      <c r="BP362" s="633"/>
      <c r="BQ362" s="633"/>
      <c r="BR362" s="633"/>
      <c r="BS362" s="633"/>
      <c r="BT362" s="633"/>
      <c r="BU362" s="555">
        <f t="shared" si="168"/>
        <v>0</v>
      </c>
      <c r="BV362" s="556"/>
      <c r="BW362" s="663">
        <f t="shared" si="156"/>
        <v>0</v>
      </c>
      <c r="BX362" s="674" t="e">
        <f t="shared" si="157"/>
        <v>#DIV/0!</v>
      </c>
      <c r="BY362" s="674" t="e">
        <f t="shared" si="158"/>
        <v>#DIV/0!</v>
      </c>
      <c r="BZ362" s="674" t="e">
        <f t="shared" si="159"/>
        <v>#DIV/0!</v>
      </c>
      <c r="CA362" s="675" t="e">
        <f t="shared" si="160"/>
        <v>#DIV/0!</v>
      </c>
      <c r="CB362" s="675" t="e">
        <f t="shared" si="161"/>
        <v>#DIV/0!</v>
      </c>
    </row>
    <row r="363" spans="1:80" ht="6" hidden="1" customHeight="1" x14ac:dyDescent="0.25">
      <c r="A363" s="290"/>
      <c r="B363" s="430" t="e">
        <f>'PLAN INDICATIVO'!#REF!</f>
        <v>#REF!</v>
      </c>
      <c r="C363" s="431"/>
      <c r="D363" s="381"/>
      <c r="E363" s="381"/>
      <c r="F363" s="381"/>
      <c r="G363" s="381"/>
      <c r="H363" s="381"/>
      <c r="I363" s="381"/>
      <c r="J363" s="381"/>
      <c r="K363" s="381"/>
      <c r="L363" s="381"/>
      <c r="M363" s="381"/>
      <c r="N363" s="382"/>
      <c r="O363" s="381"/>
      <c r="P363" s="383"/>
      <c r="Q363" s="383"/>
      <c r="R363" s="381"/>
      <c r="S363" s="432"/>
      <c r="T363" s="676"/>
      <c r="U363" s="432"/>
      <c r="V363" s="432"/>
      <c r="W363" s="432"/>
      <c r="X363" s="432"/>
      <c r="Y363" s="432"/>
      <c r="Z363" s="432"/>
      <c r="AA363" s="433"/>
      <c r="AB363" s="433"/>
      <c r="AC363" s="433"/>
      <c r="AD363" s="433"/>
      <c r="AE363" s="433"/>
      <c r="AF363" s="433"/>
      <c r="AG363" s="434"/>
      <c r="AH363" s="434"/>
      <c r="AI363" s="434"/>
      <c r="AJ363" s="433"/>
      <c r="AK363" s="433"/>
      <c r="AL363" s="433"/>
      <c r="AM363" s="433"/>
      <c r="AN363" s="433"/>
      <c r="AO363" s="518"/>
      <c r="AP363" s="524"/>
      <c r="AQ363" s="374"/>
      <c r="AR363" s="374"/>
      <c r="AS363" s="374"/>
      <c r="AT363" s="374"/>
      <c r="AU363" s="374"/>
      <c r="AV363" s="374"/>
      <c r="AW363" s="544">
        <f t="shared" si="155"/>
        <v>0</v>
      </c>
      <c r="AX363" s="524"/>
      <c r="AY363" s="374"/>
      <c r="AZ363" s="374"/>
      <c r="BA363" s="374"/>
      <c r="BB363" s="374"/>
      <c r="BC363" s="374"/>
      <c r="BD363" s="374"/>
      <c r="BE363" s="544">
        <f t="shared" si="166"/>
        <v>0</v>
      </c>
      <c r="BF363" s="524"/>
      <c r="BG363" s="374"/>
      <c r="BH363" s="374"/>
      <c r="BI363" s="374"/>
      <c r="BJ363" s="374"/>
      <c r="BK363" s="374"/>
      <c r="BL363" s="374"/>
      <c r="BM363" s="544">
        <f t="shared" si="167"/>
        <v>0</v>
      </c>
      <c r="BN363" s="524"/>
      <c r="BO363" s="374"/>
      <c r="BP363" s="374"/>
      <c r="BQ363" s="374"/>
      <c r="BR363" s="374"/>
      <c r="BS363" s="374"/>
      <c r="BT363" s="374"/>
      <c r="BU363" s="544">
        <f t="shared" si="168"/>
        <v>0</v>
      </c>
      <c r="BV363" s="556"/>
      <c r="BW363" s="663">
        <f t="shared" si="156"/>
        <v>0</v>
      </c>
      <c r="BX363" s="674" t="e">
        <f t="shared" si="157"/>
        <v>#DIV/0!</v>
      </c>
      <c r="BY363" s="674" t="e">
        <f t="shared" si="158"/>
        <v>#DIV/0!</v>
      </c>
      <c r="BZ363" s="674" t="e">
        <f t="shared" si="159"/>
        <v>#DIV/0!</v>
      </c>
      <c r="CA363" s="675" t="e">
        <f t="shared" si="160"/>
        <v>#DIV/0!</v>
      </c>
      <c r="CB363" s="675" t="e">
        <f t="shared" si="161"/>
        <v>#DIV/0!</v>
      </c>
    </row>
    <row r="364" spans="1:80" ht="23.25" hidden="1" customHeight="1" x14ac:dyDescent="0.25">
      <c r="A364" s="423"/>
      <c r="B364" s="293" t="str">
        <f>'PLAN INDICATIVO'!B356</f>
        <v xml:space="preserve">Equipamiento </v>
      </c>
      <c r="C364" s="1595" t="s">
        <v>2953</v>
      </c>
      <c r="D364" s="1596"/>
      <c r="E364" s="1596"/>
      <c r="F364" s="1596"/>
      <c r="G364" s="1596"/>
      <c r="H364" s="1596"/>
      <c r="I364" s="1596"/>
      <c r="J364" s="1596"/>
      <c r="K364" s="1596"/>
      <c r="L364" s="1596"/>
      <c r="M364" s="1596"/>
      <c r="N364" s="1596"/>
      <c r="O364" s="1596"/>
      <c r="P364" s="1596"/>
      <c r="Q364" s="1596"/>
      <c r="R364" s="1596"/>
      <c r="S364" s="1596"/>
      <c r="T364" s="1596"/>
      <c r="U364" s="1596"/>
      <c r="V364" s="1596"/>
      <c r="W364" s="1596"/>
      <c r="X364" s="1596"/>
      <c r="Y364" s="1596"/>
      <c r="Z364" s="1596"/>
      <c r="AA364" s="1596"/>
      <c r="AB364" s="1596"/>
      <c r="AC364" s="1596"/>
      <c r="AD364" s="1596"/>
      <c r="AE364" s="1596"/>
      <c r="AF364" s="1596"/>
      <c r="AG364" s="1597"/>
      <c r="AH364" s="1431"/>
      <c r="AI364" s="646"/>
      <c r="AJ364" s="294"/>
      <c r="AK364" s="294"/>
      <c r="AL364" s="294"/>
      <c r="AM364" s="294"/>
      <c r="AN364" s="294"/>
      <c r="AO364" s="505"/>
      <c r="AP364" s="541"/>
      <c r="AQ364" s="542"/>
      <c r="AR364" s="542"/>
      <c r="AS364" s="542"/>
      <c r="AT364" s="542"/>
      <c r="AU364" s="542"/>
      <c r="AV364" s="542"/>
      <c r="AW364" s="543">
        <f t="shared" si="155"/>
        <v>0</v>
      </c>
      <c r="AX364" s="541"/>
      <c r="AY364" s="542"/>
      <c r="AZ364" s="542"/>
      <c r="BA364" s="542"/>
      <c r="BB364" s="542"/>
      <c r="BC364" s="542"/>
      <c r="BD364" s="542"/>
      <c r="BE364" s="543">
        <f t="shared" si="166"/>
        <v>0</v>
      </c>
      <c r="BF364" s="541"/>
      <c r="BG364" s="542"/>
      <c r="BH364" s="542"/>
      <c r="BI364" s="542"/>
      <c r="BJ364" s="542"/>
      <c r="BK364" s="542"/>
      <c r="BL364" s="542"/>
      <c r="BM364" s="543">
        <f t="shared" si="167"/>
        <v>0</v>
      </c>
      <c r="BN364" s="541"/>
      <c r="BO364" s="542"/>
      <c r="BP364" s="542"/>
      <c r="BQ364" s="542"/>
      <c r="BR364" s="542"/>
      <c r="BS364" s="542"/>
      <c r="BT364" s="542"/>
      <c r="BU364" s="543">
        <f t="shared" si="168"/>
        <v>0</v>
      </c>
      <c r="BV364" s="556"/>
      <c r="BW364" s="663">
        <f t="shared" si="156"/>
        <v>0</v>
      </c>
      <c r="BX364" s="674" t="e">
        <f t="shared" si="157"/>
        <v>#DIV/0!</v>
      </c>
      <c r="BY364" s="674" t="e">
        <f t="shared" si="158"/>
        <v>#DIV/0!</v>
      </c>
      <c r="BZ364" s="674" t="e">
        <f t="shared" si="159"/>
        <v>#DIV/0!</v>
      </c>
      <c r="CA364" s="675" t="e">
        <f t="shared" si="160"/>
        <v>#DIV/0!</v>
      </c>
      <c r="CB364" s="675" t="e">
        <f t="shared" si="161"/>
        <v>#DIV/0!</v>
      </c>
    </row>
    <row r="365" spans="1:80" ht="16.5" hidden="1" customHeight="1" x14ac:dyDescent="0.25">
      <c r="A365" s="296"/>
      <c r="B365" s="24" t="str">
        <f>'PLAN INDICATIVO'!B357</f>
        <v xml:space="preserve">Equipamiento </v>
      </c>
      <c r="C365" s="1574" t="s">
        <v>1096</v>
      </c>
      <c r="D365" s="1575"/>
      <c r="E365" s="1575"/>
      <c r="F365" s="1575"/>
      <c r="G365" s="1575"/>
      <c r="H365" s="1575"/>
      <c r="I365" s="1575"/>
      <c r="J365" s="1575"/>
      <c r="K365" s="1575"/>
      <c r="L365" s="1575"/>
      <c r="M365" s="1575"/>
      <c r="N365" s="1575"/>
      <c r="O365" s="1576"/>
      <c r="P365" s="22"/>
      <c r="Q365" s="22"/>
      <c r="R365" s="1"/>
      <c r="S365" s="261"/>
      <c r="T365" s="681"/>
      <c r="U365" s="261"/>
      <c r="V365" s="689">
        <f>SUM(V366:V374)</f>
        <v>1833000000</v>
      </c>
      <c r="W365" s="261"/>
      <c r="X365" s="689">
        <f>SUM(X366:X374)</f>
        <v>1613000000</v>
      </c>
      <c r="Y365" s="261"/>
      <c r="Z365" s="689">
        <f>SUM(Z366:Z374)</f>
        <v>106900000</v>
      </c>
      <c r="AA365" s="262"/>
      <c r="AB365" s="690">
        <f>SUM(AB366:AB374)</f>
        <v>111000000</v>
      </c>
      <c r="AC365" s="262"/>
      <c r="AD365" s="262"/>
      <c r="AE365" s="262"/>
      <c r="AF365" s="262"/>
      <c r="AG365" s="263"/>
      <c r="AH365" s="263"/>
      <c r="AI365" s="263"/>
      <c r="AJ365" s="262"/>
      <c r="AK365" s="262"/>
      <c r="AL365" s="262"/>
      <c r="AM365" s="262"/>
      <c r="AN365" s="262"/>
      <c r="AO365" s="612"/>
      <c r="AP365" s="616" t="e">
        <f>(AP366:AP374)</f>
        <v>#VALUE!</v>
      </c>
      <c r="AQ365" s="616" t="e">
        <f t="shared" ref="AQ365:AV365" si="173">(AQ366:AQ374)</f>
        <v>#VALUE!</v>
      </c>
      <c r="AR365" s="616" t="e">
        <f t="shared" si="173"/>
        <v>#VALUE!</v>
      </c>
      <c r="AS365" s="616" t="e">
        <f t="shared" si="173"/>
        <v>#VALUE!</v>
      </c>
      <c r="AT365" s="616" t="e">
        <f t="shared" si="173"/>
        <v>#VALUE!</v>
      </c>
      <c r="AU365" s="616" t="e">
        <f t="shared" si="173"/>
        <v>#VALUE!</v>
      </c>
      <c r="AV365" s="616" t="e">
        <f t="shared" si="173"/>
        <v>#VALUE!</v>
      </c>
      <c r="AW365" s="617" t="e">
        <f t="shared" si="155"/>
        <v>#VALUE!</v>
      </c>
      <c r="AX365" s="616" t="e">
        <f>(AX366:AX374)</f>
        <v>#VALUE!</v>
      </c>
      <c r="AY365" s="616" t="e">
        <f t="shared" ref="AY365:BD365" si="174">(AY366:AY374)</f>
        <v>#VALUE!</v>
      </c>
      <c r="AZ365" s="616" t="e">
        <f t="shared" si="174"/>
        <v>#VALUE!</v>
      </c>
      <c r="BA365" s="616" t="e">
        <f t="shared" si="174"/>
        <v>#VALUE!</v>
      </c>
      <c r="BB365" s="616" t="e">
        <f t="shared" si="174"/>
        <v>#VALUE!</v>
      </c>
      <c r="BC365" s="616" t="e">
        <f t="shared" si="174"/>
        <v>#VALUE!</v>
      </c>
      <c r="BD365" s="616" t="e">
        <f t="shared" si="174"/>
        <v>#VALUE!</v>
      </c>
      <c r="BE365" s="617" t="e">
        <f t="shared" si="166"/>
        <v>#VALUE!</v>
      </c>
      <c r="BF365" s="616" t="e">
        <f>(BF366:BF374)</f>
        <v>#VALUE!</v>
      </c>
      <c r="BG365" s="616" t="e">
        <f t="shared" ref="BG365:BL365" si="175">(BG366:BG374)</f>
        <v>#VALUE!</v>
      </c>
      <c r="BH365" s="616" t="e">
        <f t="shared" si="175"/>
        <v>#VALUE!</v>
      </c>
      <c r="BI365" s="616" t="e">
        <f t="shared" si="175"/>
        <v>#VALUE!</v>
      </c>
      <c r="BJ365" s="616" t="e">
        <f t="shared" si="175"/>
        <v>#VALUE!</v>
      </c>
      <c r="BK365" s="616" t="e">
        <f t="shared" si="175"/>
        <v>#VALUE!</v>
      </c>
      <c r="BL365" s="616" t="e">
        <f t="shared" si="175"/>
        <v>#VALUE!</v>
      </c>
      <c r="BM365" s="617" t="e">
        <f t="shared" si="167"/>
        <v>#VALUE!</v>
      </c>
      <c r="BN365" s="616" t="e">
        <f>(BN366:BN374)</f>
        <v>#VALUE!</v>
      </c>
      <c r="BO365" s="616" t="e">
        <f t="shared" ref="BO365:BT365" si="176">(BO366:BO374)</f>
        <v>#VALUE!</v>
      </c>
      <c r="BP365" s="616" t="e">
        <f t="shared" si="176"/>
        <v>#VALUE!</v>
      </c>
      <c r="BQ365" s="616" t="e">
        <f t="shared" si="176"/>
        <v>#VALUE!</v>
      </c>
      <c r="BR365" s="616" t="e">
        <f t="shared" si="176"/>
        <v>#VALUE!</v>
      </c>
      <c r="BS365" s="616" t="e">
        <f t="shared" si="176"/>
        <v>#VALUE!</v>
      </c>
      <c r="BT365" s="616" t="e">
        <f t="shared" si="176"/>
        <v>#VALUE!</v>
      </c>
      <c r="BU365" s="617" t="e">
        <f t="shared" si="168"/>
        <v>#VALUE!</v>
      </c>
      <c r="BV365" s="556"/>
      <c r="BW365" s="663">
        <f t="shared" si="156"/>
        <v>0</v>
      </c>
      <c r="BX365" s="674" t="e">
        <f t="shared" si="157"/>
        <v>#DIV/0!</v>
      </c>
      <c r="BY365" s="674" t="e">
        <f t="shared" si="158"/>
        <v>#DIV/0!</v>
      </c>
      <c r="BZ365" s="674" t="e">
        <f t="shared" si="159"/>
        <v>#DIV/0!</v>
      </c>
      <c r="CA365" s="675" t="e">
        <f t="shared" si="160"/>
        <v>#DIV/0!</v>
      </c>
      <c r="CB365" s="675" t="e">
        <f t="shared" si="161"/>
        <v>#DIV/0!</v>
      </c>
    </row>
    <row r="366" spans="1:80" ht="123.75" hidden="1" customHeight="1" x14ac:dyDescent="0.25">
      <c r="A366" s="298" t="s">
        <v>1097</v>
      </c>
      <c r="B366" s="299" t="str">
        <f>'PLAN INDICATIVO'!B358</f>
        <v xml:space="preserve">Equipamiento </v>
      </c>
      <c r="C366" s="1546" t="s">
        <v>1098</v>
      </c>
      <c r="D366" s="1549" t="s">
        <v>1099</v>
      </c>
      <c r="E366" s="1549" t="s">
        <v>1100</v>
      </c>
      <c r="F366" s="1549">
        <v>2015</v>
      </c>
      <c r="G366" s="1549" t="s">
        <v>177</v>
      </c>
      <c r="H366" s="1549">
        <v>80</v>
      </c>
      <c r="I366" s="1425" t="str">
        <f>'PLAN INDICATIVO'!I358</f>
        <v>SI</v>
      </c>
      <c r="J366" s="1425">
        <f>'PLAN INDICATIVO'!J358</f>
        <v>0</v>
      </c>
      <c r="K366" s="1425" t="str">
        <f>'PLAN INDICATIVO'!K358</f>
        <v>A.15.1.1</v>
      </c>
      <c r="L366" s="301" t="str">
        <f>'PLAN INDICATIVO'!L358</f>
        <v>11. Ciudades y comunidades sostenibles</v>
      </c>
      <c r="M366" s="301" t="str">
        <f>'PLAN INDICATIVO'!M358</f>
        <v>Departamento Municipal de Planeación</v>
      </c>
      <c r="N366" s="1425" t="s">
        <v>3555</v>
      </c>
      <c r="O366" s="1425" t="str">
        <f>'PLAN INDICATIVO'!O358</f>
        <v>Incremento</v>
      </c>
      <c r="P366" s="16" t="str">
        <f>'PLAN INDICATIVO'!P358</f>
        <v>Realizar la construcción, adecuación y/o mantenimiento de 4 instalaciones públicas,  durante el cuatrienio (palacio municipal, casa de la cultura, casa de la justicia, entre otros)</v>
      </c>
      <c r="Q366" s="302" t="str">
        <f>'PLAN INDICATIVO'!Q358</f>
        <v>No. De instalaciones administrativas construidas, adecuadas o con mantenimiento durante el cuatrienio</v>
      </c>
      <c r="R366" s="303">
        <f>'PLAN INDICATIVO'!R358</f>
        <v>2015</v>
      </c>
      <c r="S366" s="304">
        <v>0</v>
      </c>
      <c r="T366" s="498">
        <v>4</v>
      </c>
      <c r="U366" s="303">
        <v>1</v>
      </c>
      <c r="V366" s="687">
        <v>1200000000</v>
      </c>
      <c r="W366" s="572">
        <v>1</v>
      </c>
      <c r="X366" s="687">
        <v>1000000000</v>
      </c>
      <c r="Y366" s="572">
        <v>1</v>
      </c>
      <c r="Z366" s="687">
        <v>52400000</v>
      </c>
      <c r="AA366" s="572">
        <v>1</v>
      </c>
      <c r="AB366" s="687">
        <v>99000000</v>
      </c>
      <c r="AC366" s="665">
        <v>1</v>
      </c>
      <c r="AD366" s="665">
        <v>1</v>
      </c>
      <c r="AE366" s="665"/>
      <c r="AF366" s="665"/>
      <c r="AG366" s="306" t="s">
        <v>3812</v>
      </c>
      <c r="AH366" s="306">
        <v>2017413960078</v>
      </c>
      <c r="AI366" s="336" t="s">
        <v>3813</v>
      </c>
      <c r="AJ366" s="335"/>
      <c r="AK366" s="335"/>
      <c r="AL366" s="308"/>
      <c r="AM366" s="308"/>
      <c r="AN366" s="267" t="s">
        <v>2598</v>
      </c>
      <c r="AO366" s="507" t="s">
        <v>3814</v>
      </c>
      <c r="AP366" s="525"/>
      <c r="AQ366" s="310">
        <f>75800000+20821795</f>
        <v>96621795</v>
      </c>
      <c r="AR366" s="310"/>
      <c r="AS366" s="310"/>
      <c r="AT366" s="310"/>
      <c r="AU366" s="310"/>
      <c r="AV366" s="310"/>
      <c r="AW366" s="544">
        <f t="shared" si="155"/>
        <v>96621795</v>
      </c>
      <c r="AX366" s="525"/>
      <c r="AY366" s="310"/>
      <c r="AZ366" s="310"/>
      <c r="BA366" s="310"/>
      <c r="BB366" s="310"/>
      <c r="BC366" s="310"/>
      <c r="BD366" s="310"/>
      <c r="BE366" s="544">
        <f t="shared" si="166"/>
        <v>0</v>
      </c>
      <c r="BF366" s="525"/>
      <c r="BG366" s="310"/>
      <c r="BH366" s="310"/>
      <c r="BI366" s="310"/>
      <c r="BJ366" s="310"/>
      <c r="BK366" s="310"/>
      <c r="BL366" s="310"/>
      <c r="BM366" s="544">
        <f t="shared" si="167"/>
        <v>0</v>
      </c>
      <c r="BN366" s="525"/>
      <c r="BO366" s="310"/>
      <c r="BP366" s="310"/>
      <c r="BQ366" s="310"/>
      <c r="BR366" s="310"/>
      <c r="BS366" s="310"/>
      <c r="BT366" s="310"/>
      <c r="BU366" s="544">
        <f t="shared" si="168"/>
        <v>0</v>
      </c>
      <c r="BV366" s="556"/>
      <c r="BW366" s="663">
        <f t="shared" si="156"/>
        <v>2</v>
      </c>
      <c r="BX366" s="674">
        <f t="shared" si="157"/>
        <v>0.5</v>
      </c>
      <c r="BY366" s="674">
        <f t="shared" si="158"/>
        <v>1</v>
      </c>
      <c r="BZ366" s="674">
        <f t="shared" si="159"/>
        <v>1</v>
      </c>
      <c r="CA366" s="675">
        <f t="shared" si="160"/>
        <v>0</v>
      </c>
      <c r="CB366" s="675">
        <f t="shared" si="161"/>
        <v>0</v>
      </c>
    </row>
    <row r="367" spans="1:80" ht="103.5" hidden="1" customHeight="1" x14ac:dyDescent="0.25">
      <c r="A367" s="298" t="s">
        <v>1097</v>
      </c>
      <c r="B367" s="299" t="str">
        <f>'PLAN INDICATIVO'!B359</f>
        <v xml:space="preserve">Equipamiento </v>
      </c>
      <c r="C367" s="1547"/>
      <c r="D367" s="1549"/>
      <c r="E367" s="1549"/>
      <c r="F367" s="1549"/>
      <c r="G367" s="1549"/>
      <c r="H367" s="1549"/>
      <c r="I367" s="1425" t="str">
        <f>'PLAN INDICATIVO'!I359</f>
        <v>si</v>
      </c>
      <c r="J367" s="1425">
        <f>'PLAN INDICATIVO'!J359</f>
        <v>0</v>
      </c>
      <c r="K367" s="1425" t="str">
        <f>'PLAN INDICATIVO'!K359</f>
        <v>A.15.1.2</v>
      </c>
      <c r="L367" s="301" t="str">
        <f>'PLAN INDICATIVO'!L359</f>
        <v>11. Ciudades y comunidades sostenibles</v>
      </c>
      <c r="M367" s="301" t="str">
        <f>'PLAN INDICATIVO'!M359</f>
        <v>Departamento Municipal de Planeación</v>
      </c>
      <c r="N367" s="1425" t="s">
        <v>3555</v>
      </c>
      <c r="O367" s="1425" t="str">
        <f>'PLAN INDICATIVO'!O359</f>
        <v>Incremento</v>
      </c>
      <c r="P367" s="16" t="str">
        <f>'PLAN INDICATIVO'!P359</f>
        <v xml:space="preserve">Realizar la Construcción, Adecuación y/o mantenimiento  de 3 espacios públicos, zonas verdes, parques, plazoletas o plazas de mercado, durante el cuatrienio </v>
      </c>
      <c r="Q367" s="302" t="str">
        <f>'PLAN INDICATIVO'!Q359</f>
        <v>No. De espacios públicos con mejoramiento y/o mantenimiento durante el cuatrienio</v>
      </c>
      <c r="R367" s="303">
        <f>'PLAN INDICATIVO'!R359</f>
        <v>2015</v>
      </c>
      <c r="S367" s="304">
        <v>1</v>
      </c>
      <c r="T367" s="498">
        <v>3</v>
      </c>
      <c r="U367" s="303">
        <v>1</v>
      </c>
      <c r="V367" s="687">
        <v>80000000</v>
      </c>
      <c r="W367" s="572">
        <v>1.7</v>
      </c>
      <c r="X367" s="687">
        <v>52000000</v>
      </c>
      <c r="Y367" s="572">
        <v>1</v>
      </c>
      <c r="Z367" s="687">
        <v>40000000</v>
      </c>
      <c r="AA367" s="572">
        <v>0</v>
      </c>
      <c r="AB367" s="687"/>
      <c r="AC367" s="665">
        <v>0.3</v>
      </c>
      <c r="AD367" s="665">
        <v>1.7</v>
      </c>
      <c r="AE367" s="665"/>
      <c r="AF367" s="665"/>
      <c r="AG367" s="338" t="s">
        <v>3815</v>
      </c>
      <c r="AH367" s="338">
        <v>2017413960077</v>
      </c>
      <c r="AI367" s="336" t="s">
        <v>3816</v>
      </c>
      <c r="AJ367" s="339">
        <v>42781</v>
      </c>
      <c r="AK367" s="339"/>
      <c r="AL367" s="337"/>
      <c r="AM367" s="337"/>
      <c r="AN367" s="267" t="s">
        <v>2598</v>
      </c>
      <c r="AO367" s="510" t="s">
        <v>3817</v>
      </c>
      <c r="AP367" s="528">
        <v>101648342</v>
      </c>
      <c r="AQ367" s="472">
        <v>132800000</v>
      </c>
      <c r="AR367" s="472"/>
      <c r="AS367" s="472"/>
      <c r="AT367" s="472"/>
      <c r="AU367" s="472"/>
      <c r="AV367" s="472"/>
      <c r="AW367" s="544">
        <f t="shared" si="155"/>
        <v>234448342</v>
      </c>
      <c r="AX367" s="528"/>
      <c r="AY367" s="472"/>
      <c r="AZ367" s="472"/>
      <c r="BA367" s="472"/>
      <c r="BB367" s="472"/>
      <c r="BC367" s="472"/>
      <c r="BD367" s="472"/>
      <c r="BE367" s="544">
        <f t="shared" si="166"/>
        <v>0</v>
      </c>
      <c r="BF367" s="528"/>
      <c r="BG367" s="472"/>
      <c r="BH367" s="472"/>
      <c r="BI367" s="472"/>
      <c r="BJ367" s="472"/>
      <c r="BK367" s="472"/>
      <c r="BL367" s="472"/>
      <c r="BM367" s="544">
        <f t="shared" si="167"/>
        <v>0</v>
      </c>
      <c r="BN367" s="528"/>
      <c r="BO367" s="472"/>
      <c r="BP367" s="472"/>
      <c r="BQ367" s="472"/>
      <c r="BR367" s="472"/>
      <c r="BS367" s="472"/>
      <c r="BT367" s="472"/>
      <c r="BU367" s="544">
        <f t="shared" si="168"/>
        <v>0</v>
      </c>
      <c r="BV367" s="556"/>
      <c r="BW367" s="663">
        <f t="shared" si="156"/>
        <v>2</v>
      </c>
      <c r="BX367" s="674">
        <f t="shared" si="157"/>
        <v>0.66666666666666663</v>
      </c>
      <c r="BY367" s="674">
        <f t="shared" si="158"/>
        <v>0.3</v>
      </c>
      <c r="BZ367" s="674">
        <f t="shared" si="159"/>
        <v>1</v>
      </c>
      <c r="CA367" s="675">
        <f t="shared" si="160"/>
        <v>0</v>
      </c>
      <c r="CB367" s="675" t="e">
        <f t="shared" si="161"/>
        <v>#DIV/0!</v>
      </c>
    </row>
    <row r="368" spans="1:80" ht="69.75" hidden="1" customHeight="1" x14ac:dyDescent="0.25">
      <c r="A368" s="298" t="s">
        <v>1097</v>
      </c>
      <c r="B368" s="299" t="str">
        <f>'PLAN INDICATIVO'!B360</f>
        <v xml:space="preserve">Equipamiento </v>
      </c>
      <c r="C368" s="1547"/>
      <c r="D368" s="1549"/>
      <c r="E368" s="1549"/>
      <c r="F368" s="1549"/>
      <c r="G368" s="1549"/>
      <c r="H368" s="1549"/>
      <c r="I368" s="1425" t="str">
        <f>'PLAN INDICATIVO'!I360</f>
        <v>SI</v>
      </c>
      <c r="J368" s="1425">
        <f>'PLAN INDICATIVO'!J360</f>
        <v>0</v>
      </c>
      <c r="K368" s="1425" t="str">
        <f>'PLAN INDICATIVO'!K360</f>
        <v>A.15.1.3</v>
      </c>
      <c r="L368" s="301" t="str">
        <f>'PLAN INDICATIVO'!L360</f>
        <v>11. Ciudades y comunidades sostenibles</v>
      </c>
      <c r="M368" s="301" t="str">
        <f>'PLAN INDICATIVO'!M360</f>
        <v>Departamento Municipal de Planeación</v>
      </c>
      <c r="N368" s="1425" t="s">
        <v>3555</v>
      </c>
      <c r="O368" s="1425" t="str">
        <f>'PLAN INDICATIVO'!O360</f>
        <v>Incremento</v>
      </c>
      <c r="P368" s="820" t="str">
        <f>'PLAN INDICATIVO'!P360</f>
        <v>Inscribir 1 proyecto para gestionar recursos y/o reubicar la plaza de mercado durante el cuatrienio</v>
      </c>
      <c r="Q368" s="820" t="str">
        <f>'PLAN INDICATIVO'!Q360</f>
        <v>No. Proyectos inscritos</v>
      </c>
      <c r="R368" s="815">
        <f>'PLAN INDICATIVO'!R360</f>
        <v>2015</v>
      </c>
      <c r="S368" s="935">
        <v>0</v>
      </c>
      <c r="T368" s="823">
        <v>1</v>
      </c>
      <c r="U368" s="815">
        <v>0</v>
      </c>
      <c r="V368" s="937">
        <v>2000000</v>
      </c>
      <c r="W368" s="823">
        <v>1</v>
      </c>
      <c r="X368" s="937">
        <v>1000000</v>
      </c>
      <c r="Y368" s="823">
        <v>0</v>
      </c>
      <c r="Z368" s="937"/>
      <c r="AA368" s="823">
        <v>0</v>
      </c>
      <c r="AB368" s="687"/>
      <c r="AC368" s="665">
        <v>0</v>
      </c>
      <c r="AD368" s="665"/>
      <c r="AE368" s="665"/>
      <c r="AF368" s="665"/>
      <c r="AG368" s="306"/>
      <c r="AH368" s="306"/>
      <c r="AI368" s="307" t="s">
        <v>3818</v>
      </c>
      <c r="AJ368" s="308"/>
      <c r="AK368" s="308"/>
      <c r="AL368" s="308"/>
      <c r="AM368" s="308"/>
      <c r="AN368" s="267" t="s">
        <v>2594</v>
      </c>
      <c r="AO368" s="507"/>
      <c r="AP368" s="525"/>
      <c r="AQ368" s="310"/>
      <c r="AR368" s="310"/>
      <c r="AS368" s="310"/>
      <c r="AT368" s="310"/>
      <c r="AU368" s="310"/>
      <c r="AV368" s="310"/>
      <c r="AW368" s="544">
        <f t="shared" si="155"/>
        <v>0</v>
      </c>
      <c r="AX368" s="525"/>
      <c r="AY368" s="310"/>
      <c r="AZ368" s="310"/>
      <c r="BA368" s="310"/>
      <c r="BB368" s="310"/>
      <c r="BC368" s="310"/>
      <c r="BD368" s="310"/>
      <c r="BE368" s="544">
        <f t="shared" si="166"/>
        <v>0</v>
      </c>
      <c r="BF368" s="525"/>
      <c r="BG368" s="310"/>
      <c r="BH368" s="310"/>
      <c r="BI368" s="310"/>
      <c r="BJ368" s="310"/>
      <c r="BK368" s="310"/>
      <c r="BL368" s="310"/>
      <c r="BM368" s="544">
        <f t="shared" si="167"/>
        <v>0</v>
      </c>
      <c r="BN368" s="525"/>
      <c r="BO368" s="310"/>
      <c r="BP368" s="310"/>
      <c r="BQ368" s="310"/>
      <c r="BR368" s="310"/>
      <c r="BS368" s="310"/>
      <c r="BT368" s="310"/>
      <c r="BU368" s="544">
        <f t="shared" si="168"/>
        <v>0</v>
      </c>
      <c r="BV368" s="556"/>
      <c r="BW368" s="663">
        <f t="shared" si="156"/>
        <v>0</v>
      </c>
      <c r="BX368" s="918">
        <f t="shared" si="157"/>
        <v>0</v>
      </c>
      <c r="BY368" s="674" t="e">
        <f t="shared" si="158"/>
        <v>#DIV/0!</v>
      </c>
      <c r="BZ368" s="674">
        <f t="shared" si="159"/>
        <v>0</v>
      </c>
      <c r="CA368" s="675" t="e">
        <f t="shared" si="160"/>
        <v>#DIV/0!</v>
      </c>
      <c r="CB368" s="675" t="e">
        <f t="shared" si="161"/>
        <v>#DIV/0!</v>
      </c>
    </row>
    <row r="369" spans="1:80" ht="61.5" hidden="1" customHeight="1" x14ac:dyDescent="0.25">
      <c r="A369" s="298" t="s">
        <v>1097</v>
      </c>
      <c r="B369" s="299" t="str">
        <f>'PLAN INDICATIVO'!B361</f>
        <v xml:space="preserve">Equipamiento </v>
      </c>
      <c r="C369" s="1547"/>
      <c r="D369" s="1549"/>
      <c r="E369" s="1549"/>
      <c r="F369" s="1549"/>
      <c r="G369" s="1549"/>
      <c r="H369" s="1549"/>
      <c r="I369" s="1425" t="str">
        <f>'PLAN INDICATIVO'!I361</f>
        <v>SI</v>
      </c>
      <c r="J369" s="1425">
        <f>'PLAN INDICATIVO'!J361</f>
        <v>0</v>
      </c>
      <c r="K369" s="1425" t="str">
        <f>'PLAN INDICATIVO'!K361</f>
        <v>A.15.1.4</v>
      </c>
      <c r="L369" s="301" t="str">
        <f>'PLAN INDICATIVO'!L361</f>
        <v>11. Ciudades y comunidades sostenibles</v>
      </c>
      <c r="M369" s="301" t="str">
        <f>'PLAN INDICATIVO'!M361</f>
        <v>Departamento Municipal de Planeación</v>
      </c>
      <c r="N369" s="1425" t="s">
        <v>3555</v>
      </c>
      <c r="O369" s="1425" t="str">
        <f>'PLAN INDICATIVO'!O361</f>
        <v>Incremento</v>
      </c>
      <c r="P369" s="907" t="str">
        <f>'PLAN INDICATIVO'!P361</f>
        <v>Realizar 1 obra de adecuación, dotación y/o mantenimiento de  las instalaciones del honorable Concejo Municipal, durante el cuatrienio</v>
      </c>
      <c r="Q369" s="302" t="str">
        <f>'PLAN INDICATIVO'!Q361</f>
        <v>No. De Adecuaciones o mantenimientos realizados</v>
      </c>
      <c r="R369" s="303">
        <f>'PLAN INDICATIVO'!R361</f>
        <v>2015</v>
      </c>
      <c r="S369" s="304">
        <v>0</v>
      </c>
      <c r="T369" s="498">
        <v>1</v>
      </c>
      <c r="U369" s="303">
        <v>1</v>
      </c>
      <c r="V369" s="687">
        <v>0</v>
      </c>
      <c r="W369" s="572">
        <v>0</v>
      </c>
      <c r="X369" s="687"/>
      <c r="Y369" s="572">
        <v>0</v>
      </c>
      <c r="Z369" s="687"/>
      <c r="AA369" s="572">
        <v>0</v>
      </c>
      <c r="AB369" s="687"/>
      <c r="AC369" s="665">
        <v>1</v>
      </c>
      <c r="AD369" s="843">
        <v>0</v>
      </c>
      <c r="AE369" s="665"/>
      <c r="AF369" s="665"/>
      <c r="AG369" s="306"/>
      <c r="AH369" s="306"/>
      <c r="AI369" s="307"/>
      <c r="AJ369" s="335"/>
      <c r="AK369" s="335"/>
      <c r="AL369" s="308"/>
      <c r="AM369" s="308"/>
      <c r="AN369" s="267" t="s">
        <v>2594</v>
      </c>
      <c r="AO369" s="507"/>
      <c r="AP369" s="525"/>
      <c r="AQ369" s="310"/>
      <c r="AR369" s="310"/>
      <c r="AS369" s="310"/>
      <c r="AT369" s="310"/>
      <c r="AU369" s="310"/>
      <c r="AV369" s="310"/>
      <c r="AW369" s="544">
        <f t="shared" si="155"/>
        <v>0</v>
      </c>
      <c r="AX369" s="525"/>
      <c r="AY369" s="310"/>
      <c r="AZ369" s="310"/>
      <c r="BA369" s="310"/>
      <c r="BB369" s="310"/>
      <c r="BC369" s="310"/>
      <c r="BD369" s="310"/>
      <c r="BE369" s="544">
        <f t="shared" si="166"/>
        <v>0</v>
      </c>
      <c r="BF369" s="525"/>
      <c r="BG369" s="310"/>
      <c r="BH369" s="310"/>
      <c r="BI369" s="310"/>
      <c r="BJ369" s="310"/>
      <c r="BK369" s="310"/>
      <c r="BL369" s="310"/>
      <c r="BM369" s="544">
        <f t="shared" si="167"/>
        <v>0</v>
      </c>
      <c r="BN369" s="525"/>
      <c r="BO369" s="310"/>
      <c r="BP369" s="310"/>
      <c r="BQ369" s="310"/>
      <c r="BR369" s="310"/>
      <c r="BS369" s="310"/>
      <c r="BT369" s="310"/>
      <c r="BU369" s="544">
        <f t="shared" si="168"/>
        <v>0</v>
      </c>
      <c r="BV369" s="556"/>
      <c r="BW369" s="663">
        <f t="shared" si="156"/>
        <v>1</v>
      </c>
      <c r="BX369" s="674">
        <f t="shared" si="157"/>
        <v>1</v>
      </c>
      <c r="BY369" s="674">
        <f t="shared" si="158"/>
        <v>1</v>
      </c>
      <c r="BZ369" s="674" t="e">
        <f t="shared" si="159"/>
        <v>#DIV/0!</v>
      </c>
      <c r="CA369" s="675" t="e">
        <f t="shared" si="160"/>
        <v>#DIV/0!</v>
      </c>
      <c r="CB369" s="675" t="e">
        <f t="shared" si="161"/>
        <v>#DIV/0!</v>
      </c>
    </row>
    <row r="370" spans="1:80" ht="84" hidden="1" customHeight="1" x14ac:dyDescent="0.25">
      <c r="A370" s="298" t="s">
        <v>1097</v>
      </c>
      <c r="B370" s="299" t="str">
        <f>'PLAN INDICATIVO'!B362</f>
        <v xml:space="preserve">Equipamiento </v>
      </c>
      <c r="C370" s="1547"/>
      <c r="D370" s="1549"/>
      <c r="E370" s="1549"/>
      <c r="F370" s="1549"/>
      <c r="G370" s="1549"/>
      <c r="H370" s="1549"/>
      <c r="I370" s="1425" t="str">
        <f>'PLAN INDICATIVO'!I362</f>
        <v>SI</v>
      </c>
      <c r="J370" s="1425">
        <f>'PLAN INDICATIVO'!J362</f>
        <v>0</v>
      </c>
      <c r="K370" s="1425" t="str">
        <f>'PLAN INDICATIVO'!K362</f>
        <v>A.15.1.5</v>
      </c>
      <c r="L370" s="301" t="str">
        <f>'PLAN INDICATIVO'!L362</f>
        <v>11. Ciudades y comunidades sostenibles</v>
      </c>
      <c r="M370" s="301" t="str">
        <f>'PLAN INDICATIVO'!M362</f>
        <v>Departamento Municipal de Planeación</v>
      </c>
      <c r="N370" s="1425" t="s">
        <v>3555</v>
      </c>
      <c r="O370" s="1425" t="str">
        <f>'PLAN INDICATIVO'!O362</f>
        <v>Incremento</v>
      </c>
      <c r="P370" s="820" t="str">
        <f>'PLAN INDICATIVO'!P362</f>
        <v>Realizar 1 proyecto inscrito, con apoyo y gestión de recursos para la reubicación de la estación de policía del La Plata, durante el cuatrienio</v>
      </c>
      <c r="Q370" s="820" t="str">
        <f>'PLAN INDICATIVO'!Q362</f>
        <v>No. De proyectos realizados durante el cuatrienio</v>
      </c>
      <c r="R370" s="815">
        <f>'PLAN INDICATIVO'!R362</f>
        <v>2015</v>
      </c>
      <c r="S370" s="935">
        <v>0</v>
      </c>
      <c r="T370" s="823">
        <v>1</v>
      </c>
      <c r="U370" s="815">
        <v>0</v>
      </c>
      <c r="V370" s="937">
        <v>509000000</v>
      </c>
      <c r="W370" s="823">
        <v>1</v>
      </c>
      <c r="X370" s="937">
        <v>510000000</v>
      </c>
      <c r="Y370" s="823">
        <v>0</v>
      </c>
      <c r="Z370" s="937"/>
      <c r="AA370" s="823">
        <v>0</v>
      </c>
      <c r="AB370" s="687"/>
      <c r="AC370" s="665">
        <v>0</v>
      </c>
      <c r="AD370" s="665"/>
      <c r="AE370" s="665"/>
      <c r="AF370" s="665"/>
      <c r="AG370" s="306"/>
      <c r="AH370" s="306"/>
      <c r="AI370" s="355" t="s">
        <v>3819</v>
      </c>
      <c r="AJ370" s="335">
        <v>42856</v>
      </c>
      <c r="AK370" s="308"/>
      <c r="AL370" s="308"/>
      <c r="AM370" s="308"/>
      <c r="AN370" s="267" t="s">
        <v>2600</v>
      </c>
      <c r="AO370" s="507"/>
      <c r="AP370" s="525"/>
      <c r="AQ370" s="310"/>
      <c r="AR370" s="310"/>
      <c r="AS370" s="310"/>
      <c r="AT370" s="310"/>
      <c r="AU370" s="310"/>
      <c r="AV370" s="310"/>
      <c r="AW370" s="544">
        <f t="shared" si="155"/>
        <v>0</v>
      </c>
      <c r="AX370" s="525"/>
      <c r="AY370" s="310"/>
      <c r="AZ370" s="310"/>
      <c r="BA370" s="310"/>
      <c r="BB370" s="310"/>
      <c r="BC370" s="310"/>
      <c r="BD370" s="310"/>
      <c r="BE370" s="544">
        <f t="shared" si="166"/>
        <v>0</v>
      </c>
      <c r="BF370" s="525"/>
      <c r="BG370" s="310"/>
      <c r="BH370" s="310"/>
      <c r="BI370" s="310"/>
      <c r="BJ370" s="310"/>
      <c r="BK370" s="310"/>
      <c r="BL370" s="310"/>
      <c r="BM370" s="544">
        <f t="shared" si="167"/>
        <v>0</v>
      </c>
      <c r="BN370" s="525"/>
      <c r="BO370" s="310"/>
      <c r="BP370" s="310"/>
      <c r="BQ370" s="310"/>
      <c r="BR370" s="310"/>
      <c r="BS370" s="310"/>
      <c r="BT370" s="310"/>
      <c r="BU370" s="544">
        <f t="shared" si="168"/>
        <v>0</v>
      </c>
      <c r="BV370" s="556"/>
      <c r="BW370" s="663">
        <f t="shared" si="156"/>
        <v>0</v>
      </c>
      <c r="BX370" s="918">
        <f t="shared" si="157"/>
        <v>0</v>
      </c>
      <c r="BY370" s="674" t="e">
        <f t="shared" si="158"/>
        <v>#DIV/0!</v>
      </c>
      <c r="BZ370" s="674">
        <f t="shared" si="159"/>
        <v>0</v>
      </c>
      <c r="CA370" s="675" t="e">
        <f t="shared" si="160"/>
        <v>#DIV/0!</v>
      </c>
      <c r="CB370" s="675" t="e">
        <f t="shared" si="161"/>
        <v>#DIV/0!</v>
      </c>
    </row>
    <row r="371" spans="1:80" ht="51" hidden="1" customHeight="1" x14ac:dyDescent="0.25">
      <c r="A371" s="298" t="s">
        <v>1097</v>
      </c>
      <c r="B371" s="299" t="str">
        <f>'PLAN INDICATIVO'!B363</f>
        <v xml:space="preserve">Equipamiento </v>
      </c>
      <c r="C371" s="1547"/>
      <c r="D371" s="1549"/>
      <c r="E371" s="1549"/>
      <c r="F371" s="1549"/>
      <c r="G371" s="1549"/>
      <c r="H371" s="1549"/>
      <c r="I371" s="300">
        <f>'PLAN INDICATIVO'!I363</f>
        <v>0</v>
      </c>
      <c r="J371" s="300">
        <f>'PLAN INDICATIVO'!J363</f>
        <v>0</v>
      </c>
      <c r="K371" s="1425" t="str">
        <f>'PLAN INDICATIVO'!K363</f>
        <v>A.15.1.6</v>
      </c>
      <c r="L371" s="301" t="str">
        <f>'PLAN INDICATIVO'!L363</f>
        <v>11. Ciudades y comunidades sostenibles</v>
      </c>
      <c r="M371" s="301" t="str">
        <f>'PLAN INDICATIVO'!M363</f>
        <v>Departamento Municipal de Planeación</v>
      </c>
      <c r="N371" s="1425" t="s">
        <v>3555</v>
      </c>
      <c r="O371" s="1425" t="str">
        <f>'PLAN INDICATIVO'!O363</f>
        <v>Incremento</v>
      </c>
      <c r="P371" s="16" t="str">
        <f>'PLAN INDICATIVO'!P363</f>
        <v>Construir 1 centro de integración ciudadana durante el cuatrienio</v>
      </c>
      <c r="Q371" s="302" t="str">
        <f>'PLAN INDICATIVO'!Q363</f>
        <v>No. De centros de integración construidos</v>
      </c>
      <c r="R371" s="303">
        <f>'PLAN INDICATIVO'!R363</f>
        <v>2015</v>
      </c>
      <c r="S371" s="304">
        <v>0</v>
      </c>
      <c r="T371" s="498">
        <v>1</v>
      </c>
      <c r="U371" s="303">
        <v>0.5</v>
      </c>
      <c r="V371" s="687">
        <v>1000000</v>
      </c>
      <c r="W371" s="572">
        <v>1</v>
      </c>
      <c r="X371" s="687"/>
      <c r="Y371" s="572">
        <v>0</v>
      </c>
      <c r="Z371" s="687"/>
      <c r="AA371" s="572">
        <v>0</v>
      </c>
      <c r="AB371" s="687"/>
      <c r="AC371" s="665">
        <v>0</v>
      </c>
      <c r="AD371" s="665">
        <v>1</v>
      </c>
      <c r="AE371" s="665"/>
      <c r="AF371" s="665"/>
      <c r="AG371" s="338" t="s">
        <v>3820</v>
      </c>
      <c r="AH371" s="338">
        <v>2017413960059</v>
      </c>
      <c r="AI371" s="336" t="s">
        <v>3821</v>
      </c>
      <c r="AJ371" s="376"/>
      <c r="AK371" s="376"/>
      <c r="AL371" s="376"/>
      <c r="AM371" s="376"/>
      <c r="AN371" s="267" t="s">
        <v>2598</v>
      </c>
      <c r="AO371" s="519"/>
      <c r="AP371" s="528">
        <v>85600000</v>
      </c>
      <c r="AQ371" s="472"/>
      <c r="AR371" s="472"/>
      <c r="AS371" s="472">
        <v>860000000</v>
      </c>
      <c r="AT371" s="475"/>
      <c r="AU371" s="475"/>
      <c r="AV371" s="475"/>
      <c r="AW371" s="544">
        <f t="shared" si="155"/>
        <v>945600000</v>
      </c>
      <c r="AX371" s="532"/>
      <c r="AY371" s="475"/>
      <c r="AZ371" s="475"/>
      <c r="BA371" s="475"/>
      <c r="BB371" s="475"/>
      <c r="BC371" s="475"/>
      <c r="BD371" s="475"/>
      <c r="BE371" s="544">
        <f t="shared" si="166"/>
        <v>0</v>
      </c>
      <c r="BF371" s="532"/>
      <c r="BG371" s="475"/>
      <c r="BH371" s="475"/>
      <c r="BI371" s="475"/>
      <c r="BJ371" s="475"/>
      <c r="BK371" s="475"/>
      <c r="BL371" s="475"/>
      <c r="BM371" s="544">
        <f t="shared" si="167"/>
        <v>0</v>
      </c>
      <c r="BN371" s="532"/>
      <c r="BO371" s="475"/>
      <c r="BP371" s="475"/>
      <c r="BQ371" s="475"/>
      <c r="BR371" s="475"/>
      <c r="BS371" s="475"/>
      <c r="BT371" s="475"/>
      <c r="BU371" s="544">
        <f t="shared" si="168"/>
        <v>0</v>
      </c>
      <c r="BV371" s="556"/>
      <c r="BW371" s="663">
        <f t="shared" si="156"/>
        <v>1</v>
      </c>
      <c r="BX371" s="877">
        <f t="shared" si="157"/>
        <v>1</v>
      </c>
      <c r="BY371" s="674">
        <f t="shared" si="158"/>
        <v>0</v>
      </c>
      <c r="BZ371" s="674">
        <f t="shared" si="159"/>
        <v>1</v>
      </c>
      <c r="CA371" s="675" t="e">
        <f t="shared" si="160"/>
        <v>#DIV/0!</v>
      </c>
      <c r="CB371" s="675" t="e">
        <f t="shared" si="161"/>
        <v>#DIV/0!</v>
      </c>
    </row>
    <row r="372" spans="1:80" ht="95.25" hidden="1" customHeight="1" x14ac:dyDescent="0.25">
      <c r="A372" s="298" t="s">
        <v>1097</v>
      </c>
      <c r="B372" s="299" t="str">
        <f>'PLAN INDICATIVO'!B364</f>
        <v xml:space="preserve">Equipamiento </v>
      </c>
      <c r="C372" s="1547"/>
      <c r="D372" s="1549"/>
      <c r="E372" s="1549"/>
      <c r="F372" s="1549"/>
      <c r="G372" s="1549"/>
      <c r="H372" s="1549"/>
      <c r="I372" s="300">
        <f>'PLAN INDICATIVO'!I364</f>
        <v>0</v>
      </c>
      <c r="J372" s="300">
        <f>'PLAN INDICATIVO'!J364</f>
        <v>0</v>
      </c>
      <c r="K372" s="1425" t="str">
        <f>'PLAN INDICATIVO'!K364</f>
        <v>A.15.1.7</v>
      </c>
      <c r="L372" s="301" t="str">
        <f>'PLAN INDICATIVO'!L364</f>
        <v>11. Ciudades y comunidades sostenibles</v>
      </c>
      <c r="M372" s="301" t="str">
        <f>'PLAN INDICATIVO'!M364</f>
        <v>Departamento Municipal de Planeación</v>
      </c>
      <c r="N372" s="1425" t="s">
        <v>3822</v>
      </c>
      <c r="O372" s="1425" t="str">
        <f>'PLAN INDICATIVO'!O364</f>
        <v>Incremento</v>
      </c>
      <c r="P372" s="16" t="str">
        <f>'PLAN INDICATIVO'!P364</f>
        <v>Construir y/o mejorar en coordinación con la ESE San Sebastian, 6 puestos de Salud durante el cuatrienio.</v>
      </c>
      <c r="Q372" s="302" t="str">
        <f>'PLAN INDICATIVO'!Q364</f>
        <v>No. De centros de salud construidos y/o mejorados</v>
      </c>
      <c r="R372" s="303">
        <f>'PLAN INDICATIVO'!R364</f>
        <v>2015</v>
      </c>
      <c r="S372" s="304">
        <v>0</v>
      </c>
      <c r="T372" s="498">
        <v>6</v>
      </c>
      <c r="U372" s="303">
        <v>2</v>
      </c>
      <c r="V372" s="687">
        <v>10000000</v>
      </c>
      <c r="W372" s="572">
        <v>2</v>
      </c>
      <c r="X372" s="687">
        <v>10000000</v>
      </c>
      <c r="Y372" s="572">
        <v>2</v>
      </c>
      <c r="Z372" s="687">
        <v>14500000</v>
      </c>
      <c r="AA372" s="572">
        <v>2</v>
      </c>
      <c r="AB372" s="687">
        <v>12000000</v>
      </c>
      <c r="AC372" s="665">
        <v>0</v>
      </c>
      <c r="AD372" s="665">
        <v>0.1</v>
      </c>
      <c r="AE372" s="665"/>
      <c r="AF372" s="665"/>
      <c r="AG372" s="306"/>
      <c r="AH372" s="306"/>
      <c r="AI372" s="307" t="s">
        <v>3823</v>
      </c>
      <c r="AJ372" s="308"/>
      <c r="AK372" s="308"/>
      <c r="AL372" s="308"/>
      <c r="AM372" s="308"/>
      <c r="AN372" s="267" t="s">
        <v>2600</v>
      </c>
      <c r="AO372" s="507"/>
      <c r="AP372" s="525"/>
      <c r="AQ372" s="310"/>
      <c r="AR372" s="310"/>
      <c r="AS372" s="310"/>
      <c r="AT372" s="310"/>
      <c r="AU372" s="310"/>
      <c r="AV372" s="310"/>
      <c r="AW372" s="544">
        <f t="shared" si="155"/>
        <v>0</v>
      </c>
      <c r="AX372" s="525"/>
      <c r="AY372" s="310"/>
      <c r="AZ372" s="310"/>
      <c r="BA372" s="310"/>
      <c r="BB372" s="310"/>
      <c r="BC372" s="310"/>
      <c r="BD372" s="310"/>
      <c r="BE372" s="544">
        <f t="shared" si="166"/>
        <v>0</v>
      </c>
      <c r="BF372" s="525"/>
      <c r="BG372" s="310"/>
      <c r="BH372" s="310"/>
      <c r="BI372" s="310"/>
      <c r="BJ372" s="310"/>
      <c r="BK372" s="310"/>
      <c r="BL372" s="310"/>
      <c r="BM372" s="544">
        <f t="shared" si="167"/>
        <v>0</v>
      </c>
      <c r="BN372" s="525"/>
      <c r="BO372" s="310"/>
      <c r="BP372" s="310"/>
      <c r="BQ372" s="310"/>
      <c r="BR372" s="310"/>
      <c r="BS372" s="310"/>
      <c r="BT372" s="310"/>
      <c r="BU372" s="544">
        <f t="shared" si="168"/>
        <v>0</v>
      </c>
      <c r="BV372" s="556"/>
      <c r="BW372" s="663">
        <f t="shared" si="156"/>
        <v>0.1</v>
      </c>
      <c r="BX372" s="877">
        <f t="shared" si="157"/>
        <v>1.6666666666666666E-2</v>
      </c>
      <c r="BY372" s="674">
        <f t="shared" si="158"/>
        <v>0</v>
      </c>
      <c r="BZ372" s="674">
        <f t="shared" si="159"/>
        <v>0.05</v>
      </c>
      <c r="CA372" s="675">
        <f t="shared" si="160"/>
        <v>0</v>
      </c>
      <c r="CB372" s="675">
        <f t="shared" si="161"/>
        <v>0</v>
      </c>
    </row>
    <row r="373" spans="1:80" ht="82.5" hidden="1" customHeight="1" x14ac:dyDescent="0.25">
      <c r="A373" s="298" t="s">
        <v>1097</v>
      </c>
      <c r="B373" s="299" t="str">
        <f>'PLAN INDICATIVO'!B365</f>
        <v xml:space="preserve">Equipamiento </v>
      </c>
      <c r="C373" s="1547"/>
      <c r="D373" s="1549"/>
      <c r="E373" s="1549"/>
      <c r="F373" s="1549"/>
      <c r="G373" s="1549"/>
      <c r="H373" s="1549"/>
      <c r="I373" s="300">
        <f>'PLAN INDICATIVO'!I365</f>
        <v>0</v>
      </c>
      <c r="J373" s="300">
        <f>'PLAN INDICATIVO'!J365</f>
        <v>0</v>
      </c>
      <c r="K373" s="1425" t="str">
        <f>'PLAN INDICATIVO'!K365</f>
        <v>A.15.1.8</v>
      </c>
      <c r="L373" s="301" t="str">
        <f>'PLAN INDICATIVO'!L365</f>
        <v>11. Ciudades y comunidades sostenibles</v>
      </c>
      <c r="M373" s="301" t="str">
        <f>'PLAN INDICATIVO'!M365</f>
        <v>Departamento Municipal de Planeación</v>
      </c>
      <c r="N373" s="1425" t="s">
        <v>3555</v>
      </c>
      <c r="O373" s="1425" t="str">
        <f>'PLAN INDICATIVO'!O365</f>
        <v>Incremento</v>
      </c>
      <c r="P373" s="820" t="str">
        <f>'PLAN INDICATIVO'!P365</f>
        <v>Adquirir 1 lote y realizar obras de adecuación para alojamiento de maquinaria pesada, durante el cuatrienio, y/o para Obras de Infraestructura.</v>
      </c>
      <c r="Q373" s="820" t="str">
        <f>'PLAN INDICATIVO'!Q365</f>
        <v xml:space="preserve">No. De lotes adquiridos </v>
      </c>
      <c r="R373" s="815">
        <f>'PLAN INDICATIVO'!R365</f>
        <v>2015</v>
      </c>
      <c r="S373" s="935">
        <v>0</v>
      </c>
      <c r="T373" s="823">
        <v>1</v>
      </c>
      <c r="U373" s="815">
        <v>0</v>
      </c>
      <c r="V373" s="937">
        <v>30000000</v>
      </c>
      <c r="W373" s="823">
        <v>1</v>
      </c>
      <c r="X373" s="937">
        <v>30000000</v>
      </c>
      <c r="Y373" s="823">
        <v>0</v>
      </c>
      <c r="Z373" s="937"/>
      <c r="AA373" s="823">
        <v>0</v>
      </c>
      <c r="AB373" s="937"/>
      <c r="AC373" s="665">
        <v>0</v>
      </c>
      <c r="AD373" s="665">
        <v>0</v>
      </c>
      <c r="AE373" s="665"/>
      <c r="AF373" s="665"/>
      <c r="AG373" s="306"/>
      <c r="AH373" s="306"/>
      <c r="AI373" s="307" t="s">
        <v>3824</v>
      </c>
      <c r="AJ373" s="308"/>
      <c r="AK373" s="308"/>
      <c r="AL373" s="308"/>
      <c r="AM373" s="308"/>
      <c r="AN373" s="267" t="s">
        <v>2594</v>
      </c>
      <c r="AO373" s="507"/>
      <c r="AP373" s="525"/>
      <c r="AQ373" s="310"/>
      <c r="AR373" s="310"/>
      <c r="AS373" s="310"/>
      <c r="AT373" s="310"/>
      <c r="AU373" s="310"/>
      <c r="AV373" s="310"/>
      <c r="AW373" s="544">
        <f t="shared" si="155"/>
        <v>0</v>
      </c>
      <c r="AX373" s="525"/>
      <c r="AY373" s="310"/>
      <c r="AZ373" s="310"/>
      <c r="BA373" s="310"/>
      <c r="BB373" s="310"/>
      <c r="BC373" s="310"/>
      <c r="BD373" s="310"/>
      <c r="BE373" s="544">
        <f t="shared" si="166"/>
        <v>0</v>
      </c>
      <c r="BF373" s="525"/>
      <c r="BG373" s="310"/>
      <c r="BH373" s="310"/>
      <c r="BI373" s="310"/>
      <c r="BJ373" s="310"/>
      <c r="BK373" s="310"/>
      <c r="BL373" s="310"/>
      <c r="BM373" s="544">
        <f t="shared" si="167"/>
        <v>0</v>
      </c>
      <c r="BN373" s="525"/>
      <c r="BO373" s="310"/>
      <c r="BP373" s="310"/>
      <c r="BQ373" s="310"/>
      <c r="BR373" s="310"/>
      <c r="BS373" s="310"/>
      <c r="BT373" s="310"/>
      <c r="BU373" s="544">
        <f t="shared" si="168"/>
        <v>0</v>
      </c>
      <c r="BV373" s="556"/>
      <c r="BW373" s="663">
        <f t="shared" si="156"/>
        <v>0</v>
      </c>
      <c r="BX373" s="918">
        <f t="shared" si="157"/>
        <v>0</v>
      </c>
      <c r="BY373" s="674" t="e">
        <f t="shared" si="158"/>
        <v>#DIV/0!</v>
      </c>
      <c r="BZ373" s="674">
        <f t="shared" si="159"/>
        <v>0</v>
      </c>
      <c r="CA373" s="675" t="e">
        <f t="shared" si="160"/>
        <v>#DIV/0!</v>
      </c>
      <c r="CB373" s="675" t="e">
        <f t="shared" si="161"/>
        <v>#DIV/0!</v>
      </c>
    </row>
    <row r="374" spans="1:80" ht="96" hidden="1" customHeight="1" x14ac:dyDescent="0.25">
      <c r="A374" s="298" t="s">
        <v>1097</v>
      </c>
      <c r="B374" s="299" t="str">
        <f>'PLAN INDICATIVO'!B366</f>
        <v xml:space="preserve">Equipamiento </v>
      </c>
      <c r="C374" s="1548"/>
      <c r="D374" s="1549"/>
      <c r="E374" s="1549"/>
      <c r="F374" s="1549"/>
      <c r="G374" s="1549"/>
      <c r="H374" s="1549"/>
      <c r="I374" s="300">
        <f>'PLAN INDICATIVO'!I366</f>
        <v>0</v>
      </c>
      <c r="J374" s="300">
        <f>'PLAN INDICATIVO'!J366</f>
        <v>0</v>
      </c>
      <c r="K374" s="1425" t="str">
        <f>'PLAN INDICATIVO'!K366</f>
        <v>A.15.1.9</v>
      </c>
      <c r="L374" s="301" t="str">
        <f>'PLAN INDICATIVO'!L366</f>
        <v>11. Ciudades y comunidades sostenibles</v>
      </c>
      <c r="M374" s="301" t="str">
        <f>'PLAN INDICATIVO'!M366</f>
        <v>Departamento Municipal de Planeación</v>
      </c>
      <c r="N374" s="1425" t="s">
        <v>3555</v>
      </c>
      <c r="O374" s="1425" t="str">
        <f>'PLAN INDICATIVO'!O366</f>
        <v>Incremento</v>
      </c>
      <c r="P374" s="820" t="str">
        <f>'PLAN INDICATIVO'!P366</f>
        <v>Promover la donación de un (1) lote para la construcción del tecnoparque del Servicion Nacional de Aprendisaje SENA como apoyo a las investigaciones y prácticas agropecuarias.</v>
      </c>
      <c r="Q374" s="302" t="str">
        <f>'PLAN INDICATIVO'!Q366</f>
        <v>No. De acciones realizadas para la donación del lote durante el cuatrenio</v>
      </c>
      <c r="R374" s="303">
        <f>'PLAN INDICATIVO'!R366</f>
        <v>2015</v>
      </c>
      <c r="S374" s="304">
        <v>0</v>
      </c>
      <c r="T374" s="498">
        <v>1</v>
      </c>
      <c r="U374" s="303">
        <v>0</v>
      </c>
      <c r="V374" s="687">
        <v>1000000</v>
      </c>
      <c r="W374" s="823">
        <v>0</v>
      </c>
      <c r="X374" s="687">
        <v>10000000</v>
      </c>
      <c r="Y374" s="572">
        <v>1</v>
      </c>
      <c r="Z374" s="687"/>
      <c r="AA374" s="572">
        <v>0</v>
      </c>
      <c r="AB374" s="687"/>
      <c r="AC374" s="665">
        <v>0</v>
      </c>
      <c r="AD374" s="665"/>
      <c r="AE374" s="665"/>
      <c r="AF374" s="665"/>
      <c r="AG374" s="306"/>
      <c r="AH374" s="306"/>
      <c r="AI374" s="307" t="s">
        <v>3825</v>
      </c>
      <c r="AJ374" s="308"/>
      <c r="AK374" s="308"/>
      <c r="AL374" s="308"/>
      <c r="AM374" s="308"/>
      <c r="AN374" s="267" t="s">
        <v>2594</v>
      </c>
      <c r="AO374" s="507"/>
      <c r="AP374" s="525"/>
      <c r="AQ374" s="310"/>
      <c r="AR374" s="310"/>
      <c r="AS374" s="310"/>
      <c r="AT374" s="310"/>
      <c r="AU374" s="310"/>
      <c r="AV374" s="310"/>
      <c r="AW374" s="544">
        <f t="shared" si="155"/>
        <v>0</v>
      </c>
      <c r="AX374" s="525"/>
      <c r="AY374" s="310"/>
      <c r="AZ374" s="310"/>
      <c r="BA374" s="310"/>
      <c r="BB374" s="310"/>
      <c r="BC374" s="310"/>
      <c r="BD374" s="310"/>
      <c r="BE374" s="544">
        <f t="shared" si="166"/>
        <v>0</v>
      </c>
      <c r="BF374" s="525"/>
      <c r="BG374" s="310"/>
      <c r="BH374" s="310"/>
      <c r="BI374" s="310"/>
      <c r="BJ374" s="310"/>
      <c r="BK374" s="310"/>
      <c r="BL374" s="310"/>
      <c r="BM374" s="544">
        <f t="shared" si="167"/>
        <v>0</v>
      </c>
      <c r="BN374" s="525"/>
      <c r="BO374" s="310"/>
      <c r="BP374" s="310"/>
      <c r="BQ374" s="310"/>
      <c r="BR374" s="310"/>
      <c r="BS374" s="310"/>
      <c r="BT374" s="310"/>
      <c r="BU374" s="544">
        <f t="shared" si="168"/>
        <v>0</v>
      </c>
      <c r="BV374" s="556"/>
      <c r="BW374" s="663">
        <f t="shared" si="156"/>
        <v>0</v>
      </c>
      <c r="BX374" s="918">
        <f t="shared" si="157"/>
        <v>0</v>
      </c>
      <c r="BY374" s="674" t="e">
        <f t="shared" si="158"/>
        <v>#DIV/0!</v>
      </c>
      <c r="BZ374" s="674" t="e">
        <f t="shared" si="159"/>
        <v>#DIV/0!</v>
      </c>
      <c r="CA374" s="675">
        <f t="shared" si="160"/>
        <v>0</v>
      </c>
      <c r="CB374" s="675" t="e">
        <f t="shared" si="161"/>
        <v>#DIV/0!</v>
      </c>
    </row>
    <row r="375" spans="1:80" ht="6" hidden="1" customHeight="1" thickBot="1" x14ac:dyDescent="0.3">
      <c r="A375" s="406"/>
      <c r="B375" s="407" t="e">
        <f>'PLAN INDICATIVO'!#REF!</f>
        <v>#REF!</v>
      </c>
      <c r="C375" s="403"/>
      <c r="D375" s="291"/>
      <c r="E375" s="291"/>
      <c r="F375" s="291"/>
      <c r="G375" s="291"/>
      <c r="H375" s="291"/>
      <c r="I375" s="291"/>
      <c r="J375" s="291"/>
      <c r="K375" s="291"/>
      <c r="L375" s="291"/>
      <c r="M375" s="291"/>
      <c r="N375" s="291"/>
      <c r="O375" s="291"/>
      <c r="P375" s="408"/>
      <c r="Q375" s="408"/>
      <c r="R375" s="291"/>
      <c r="S375" s="409"/>
      <c r="T375" s="677"/>
      <c r="U375" s="409"/>
      <c r="V375" s="409"/>
      <c r="W375" s="409"/>
      <c r="X375" s="409"/>
      <c r="Y375" s="409"/>
      <c r="Z375" s="409"/>
      <c r="AA375" s="410"/>
      <c r="AB375" s="410"/>
      <c r="AC375" s="410"/>
      <c r="AD375" s="410"/>
      <c r="AE375" s="410"/>
      <c r="AF375" s="410"/>
      <c r="AG375" s="411"/>
      <c r="AH375" s="411"/>
      <c r="AI375" s="411"/>
      <c r="AJ375" s="410"/>
      <c r="AK375" s="410"/>
      <c r="AL375" s="410"/>
      <c r="AM375" s="410"/>
      <c r="AN375" s="410"/>
      <c r="AO375" s="507"/>
      <c r="AP375" s="525"/>
      <c r="AQ375" s="310"/>
      <c r="AR375" s="310"/>
      <c r="AS375" s="310"/>
      <c r="AT375" s="310"/>
      <c r="AU375" s="310"/>
      <c r="AV375" s="310"/>
      <c r="AW375" s="544">
        <f t="shared" si="155"/>
        <v>0</v>
      </c>
      <c r="AX375" s="525"/>
      <c r="AY375" s="310"/>
      <c r="AZ375" s="310"/>
      <c r="BA375" s="310"/>
      <c r="BB375" s="310"/>
      <c r="BC375" s="310"/>
      <c r="BD375" s="310"/>
      <c r="BE375" s="544">
        <f t="shared" si="166"/>
        <v>0</v>
      </c>
      <c r="BF375" s="525"/>
      <c r="BG375" s="310"/>
      <c r="BH375" s="310"/>
      <c r="BI375" s="310"/>
      <c r="BJ375" s="310"/>
      <c r="BK375" s="310"/>
      <c r="BL375" s="310"/>
      <c r="BM375" s="544">
        <f t="shared" si="167"/>
        <v>0</v>
      </c>
      <c r="BN375" s="525"/>
      <c r="BO375" s="310"/>
      <c r="BP375" s="310"/>
      <c r="BQ375" s="310"/>
      <c r="BR375" s="310"/>
      <c r="BS375" s="310"/>
      <c r="BT375" s="310"/>
      <c r="BU375" s="544">
        <f t="shared" si="168"/>
        <v>0</v>
      </c>
      <c r="BV375" s="556"/>
      <c r="BW375" s="663">
        <f t="shared" si="156"/>
        <v>0</v>
      </c>
      <c r="BX375" s="674" t="e">
        <f t="shared" si="157"/>
        <v>#DIV/0!</v>
      </c>
      <c r="BY375" s="674" t="e">
        <f t="shared" si="158"/>
        <v>#DIV/0!</v>
      </c>
      <c r="BZ375" s="674" t="e">
        <f t="shared" si="159"/>
        <v>#DIV/0!</v>
      </c>
      <c r="CA375" s="675" t="e">
        <f t="shared" si="160"/>
        <v>#DIV/0!</v>
      </c>
      <c r="CB375" s="675" t="e">
        <f t="shared" si="161"/>
        <v>#DIV/0!</v>
      </c>
    </row>
    <row r="376" spans="1:80" ht="51.75" hidden="1" customHeight="1" thickBot="1" x14ac:dyDescent="0.3">
      <c r="A376" s="428"/>
      <c r="B376" s="429" t="str">
        <f>'PLAN INDICATIVO'!B367</f>
        <v>FORTALECIMIENTO INSTITUCIONAL</v>
      </c>
      <c r="C376" s="1578" t="s">
        <v>1133</v>
      </c>
      <c r="D376" s="1578"/>
      <c r="E376" s="1578"/>
      <c r="F376" s="1578"/>
      <c r="G376" s="1578"/>
      <c r="H376" s="1578"/>
      <c r="I376" s="1578"/>
      <c r="J376" s="1578"/>
      <c r="K376" s="1578"/>
      <c r="L376" s="1578"/>
      <c r="M376" s="1578"/>
      <c r="N376" s="1578"/>
      <c r="O376" s="1578"/>
      <c r="P376" s="1578"/>
      <c r="Q376" s="1578"/>
      <c r="R376" s="1578"/>
      <c r="S376" s="1578"/>
      <c r="T376" s="1578"/>
      <c r="U376" s="1578"/>
      <c r="V376" s="1578"/>
      <c r="W376" s="1578"/>
      <c r="X376" s="1578"/>
      <c r="Y376" s="1578"/>
      <c r="Z376" s="1578"/>
      <c r="AA376" s="1578"/>
      <c r="AB376" s="1578"/>
      <c r="AC376" s="1578"/>
      <c r="AD376" s="1578"/>
      <c r="AE376" s="1578"/>
      <c r="AF376" s="1578"/>
      <c r="AG376" s="1578"/>
      <c r="AH376" s="1578"/>
      <c r="AI376" s="1578"/>
      <c r="AJ376" s="1578"/>
      <c r="AK376" s="1578"/>
      <c r="AL376" s="1578"/>
      <c r="AM376" s="1644"/>
      <c r="AN376" s="294"/>
      <c r="AO376" s="506"/>
      <c r="AP376" s="524"/>
      <c r="AQ376" s="374"/>
      <c r="AR376" s="374"/>
      <c r="AS376" s="374"/>
      <c r="AT376" s="374"/>
      <c r="AU376" s="374"/>
      <c r="AV376" s="374"/>
      <c r="AW376" s="544">
        <f t="shared" si="155"/>
        <v>0</v>
      </c>
      <c r="AX376" s="524"/>
      <c r="AY376" s="374"/>
      <c r="AZ376" s="374"/>
      <c r="BA376" s="374"/>
      <c r="BB376" s="374"/>
      <c r="BC376" s="374"/>
      <c r="BD376" s="374"/>
      <c r="BE376" s="544">
        <f t="shared" si="166"/>
        <v>0</v>
      </c>
      <c r="BF376" s="524"/>
      <c r="BG376" s="374"/>
      <c r="BH376" s="374"/>
      <c r="BI376" s="374"/>
      <c r="BJ376" s="374"/>
      <c r="BK376" s="374"/>
      <c r="BL376" s="374"/>
      <c r="BM376" s="544">
        <f t="shared" si="167"/>
        <v>0</v>
      </c>
      <c r="BN376" s="524"/>
      <c r="BO376" s="374"/>
      <c r="BP376" s="374"/>
      <c r="BQ376" s="374"/>
      <c r="BR376" s="374"/>
      <c r="BS376" s="374"/>
      <c r="BT376" s="374"/>
      <c r="BU376" s="544">
        <f t="shared" si="168"/>
        <v>0</v>
      </c>
      <c r="BV376" s="556"/>
      <c r="BW376" s="663">
        <f t="shared" si="156"/>
        <v>0</v>
      </c>
      <c r="BX376" s="674" t="e">
        <f t="shared" si="157"/>
        <v>#DIV/0!</v>
      </c>
      <c r="BY376" s="674" t="e">
        <f t="shared" si="158"/>
        <v>#DIV/0!</v>
      </c>
      <c r="BZ376" s="674" t="e">
        <f t="shared" si="159"/>
        <v>#DIV/0!</v>
      </c>
      <c r="CA376" s="675" t="e">
        <f t="shared" si="160"/>
        <v>#DIV/0!</v>
      </c>
      <c r="CB376" s="675" t="e">
        <f t="shared" si="161"/>
        <v>#DIV/0!</v>
      </c>
    </row>
    <row r="377" spans="1:80" ht="17.25" hidden="1" customHeight="1" x14ac:dyDescent="0.25">
      <c r="A377" s="296"/>
      <c r="B377" s="331" t="str">
        <f>'PLAN INDICATIVO'!B368</f>
        <v>Fortalecimiento institucional</v>
      </c>
      <c r="C377" s="1574" t="s">
        <v>1134</v>
      </c>
      <c r="D377" s="1575"/>
      <c r="E377" s="1575"/>
      <c r="F377" s="1575"/>
      <c r="G377" s="1575"/>
      <c r="H377" s="1575"/>
      <c r="I377" s="1575"/>
      <c r="J377" s="1575"/>
      <c r="K377" s="1575"/>
      <c r="L377" s="1575"/>
      <c r="M377" s="1575"/>
      <c r="N377" s="1575"/>
      <c r="O377" s="1576"/>
      <c r="P377" s="22"/>
      <c r="Q377" s="22"/>
      <c r="R377" s="1"/>
      <c r="S377" s="261"/>
      <c r="T377" s="681"/>
      <c r="U377" s="261"/>
      <c r="V377" s="689">
        <f>SUM(V378:V402)</f>
        <v>723150000</v>
      </c>
      <c r="W377" s="261"/>
      <c r="X377" s="689">
        <f>SUM(X378:X402)</f>
        <v>1070000000</v>
      </c>
      <c r="Y377" s="261"/>
      <c r="Z377" s="689">
        <f>SUM(Z378:Z402)</f>
        <v>754000000</v>
      </c>
      <c r="AA377" s="262"/>
      <c r="AB377" s="690">
        <f>SUM(AB378:AB402)</f>
        <v>773000000</v>
      </c>
      <c r="AC377" s="262"/>
      <c r="AD377" s="262"/>
      <c r="AE377" s="262"/>
      <c r="AF377" s="262"/>
      <c r="AG377" s="263"/>
      <c r="AH377" s="263"/>
      <c r="AI377" s="263"/>
      <c r="AJ377" s="262"/>
      <c r="AK377" s="262"/>
      <c r="AL377" s="262"/>
      <c r="AM377" s="262"/>
      <c r="AN377" s="262"/>
      <c r="AO377" s="612"/>
      <c r="AP377" s="616" t="e">
        <f t="shared" ref="AP377:AV377" si="177">(AP378:AP402)</f>
        <v>#VALUE!</v>
      </c>
      <c r="AQ377" s="616" t="e">
        <f t="shared" si="177"/>
        <v>#VALUE!</v>
      </c>
      <c r="AR377" s="616" t="e">
        <f t="shared" si="177"/>
        <v>#VALUE!</v>
      </c>
      <c r="AS377" s="616" t="e">
        <f t="shared" si="177"/>
        <v>#VALUE!</v>
      </c>
      <c r="AT377" s="616" t="e">
        <f t="shared" si="177"/>
        <v>#VALUE!</v>
      </c>
      <c r="AU377" s="616" t="e">
        <f t="shared" si="177"/>
        <v>#VALUE!</v>
      </c>
      <c r="AV377" s="616" t="e">
        <f t="shared" si="177"/>
        <v>#VALUE!</v>
      </c>
      <c r="AW377" s="617" t="e">
        <f t="shared" si="155"/>
        <v>#VALUE!</v>
      </c>
      <c r="AX377" s="616" t="e">
        <f>(AX378:AX402)</f>
        <v>#VALUE!</v>
      </c>
      <c r="AY377" s="616" t="e">
        <f t="shared" ref="AY377:BD377" si="178">(AY378:AY402)</f>
        <v>#VALUE!</v>
      </c>
      <c r="AZ377" s="616" t="e">
        <f t="shared" si="178"/>
        <v>#VALUE!</v>
      </c>
      <c r="BA377" s="616" t="e">
        <f t="shared" si="178"/>
        <v>#VALUE!</v>
      </c>
      <c r="BB377" s="616" t="e">
        <f t="shared" si="178"/>
        <v>#VALUE!</v>
      </c>
      <c r="BC377" s="616" t="e">
        <f t="shared" si="178"/>
        <v>#VALUE!</v>
      </c>
      <c r="BD377" s="616" t="e">
        <f t="shared" si="178"/>
        <v>#VALUE!</v>
      </c>
      <c r="BE377" s="617" t="e">
        <f t="shared" si="166"/>
        <v>#VALUE!</v>
      </c>
      <c r="BF377" s="616" t="e">
        <f>(BF378:BF402)</f>
        <v>#VALUE!</v>
      </c>
      <c r="BG377" s="616" t="e">
        <f t="shared" ref="BG377:BL377" si="179">(BG378:BG402)</f>
        <v>#VALUE!</v>
      </c>
      <c r="BH377" s="616" t="e">
        <f t="shared" si="179"/>
        <v>#VALUE!</v>
      </c>
      <c r="BI377" s="616" t="e">
        <f t="shared" si="179"/>
        <v>#VALUE!</v>
      </c>
      <c r="BJ377" s="616" t="e">
        <f t="shared" si="179"/>
        <v>#VALUE!</v>
      </c>
      <c r="BK377" s="616" t="e">
        <f t="shared" si="179"/>
        <v>#VALUE!</v>
      </c>
      <c r="BL377" s="616" t="e">
        <f t="shared" si="179"/>
        <v>#VALUE!</v>
      </c>
      <c r="BM377" s="617" t="e">
        <f t="shared" si="167"/>
        <v>#VALUE!</v>
      </c>
      <c r="BN377" s="616" t="e">
        <f>(BN378:BN402)</f>
        <v>#VALUE!</v>
      </c>
      <c r="BO377" s="616" t="e">
        <f t="shared" ref="BO377:BT377" si="180">(BO378:BO402)</f>
        <v>#VALUE!</v>
      </c>
      <c r="BP377" s="616" t="e">
        <f t="shared" si="180"/>
        <v>#VALUE!</v>
      </c>
      <c r="BQ377" s="616" t="e">
        <f t="shared" si="180"/>
        <v>#VALUE!</v>
      </c>
      <c r="BR377" s="616" t="e">
        <f t="shared" si="180"/>
        <v>#VALUE!</v>
      </c>
      <c r="BS377" s="616" t="e">
        <f t="shared" si="180"/>
        <v>#VALUE!</v>
      </c>
      <c r="BT377" s="616" t="e">
        <f t="shared" si="180"/>
        <v>#VALUE!</v>
      </c>
      <c r="BU377" s="617" t="e">
        <f t="shared" si="168"/>
        <v>#VALUE!</v>
      </c>
      <c r="BV377" s="556"/>
      <c r="BW377" s="663">
        <f t="shared" si="156"/>
        <v>0</v>
      </c>
      <c r="BX377" s="674" t="e">
        <f t="shared" si="157"/>
        <v>#DIV/0!</v>
      </c>
      <c r="BY377" s="674" t="e">
        <f t="shared" si="158"/>
        <v>#DIV/0!</v>
      </c>
      <c r="BZ377" s="674" t="e">
        <f t="shared" si="159"/>
        <v>#DIV/0!</v>
      </c>
      <c r="CA377" s="675" t="e">
        <f t="shared" si="160"/>
        <v>#DIV/0!</v>
      </c>
      <c r="CB377" s="675" t="e">
        <f t="shared" si="161"/>
        <v>#DIV/0!</v>
      </c>
    </row>
    <row r="378" spans="1:80" ht="96" hidden="1" customHeight="1" x14ac:dyDescent="0.25">
      <c r="A378" s="298" t="s">
        <v>1135</v>
      </c>
      <c r="B378" s="299" t="str">
        <f>'PLAN INDICATIVO'!B369</f>
        <v>Fortalecimiento institucional</v>
      </c>
      <c r="C378" s="1546" t="s">
        <v>1136</v>
      </c>
      <c r="D378" s="1549" t="s">
        <v>1137</v>
      </c>
      <c r="E378" s="1549" t="s">
        <v>1138</v>
      </c>
      <c r="F378" s="1549">
        <v>2015</v>
      </c>
      <c r="G378" s="1549">
        <v>75.61</v>
      </c>
      <c r="H378" s="1549">
        <v>78</v>
      </c>
      <c r="I378" s="300">
        <f>'PLAN INDICATIVO'!I369</f>
        <v>0</v>
      </c>
      <c r="J378" s="300">
        <f>'PLAN INDICATIVO'!J369</f>
        <v>0</v>
      </c>
      <c r="K378" s="1425" t="str">
        <f>'PLAN INDICATIVO'!K369</f>
        <v>A.17.1.1</v>
      </c>
      <c r="L378" s="301" t="str">
        <f>'PLAN INDICATIVO'!L369</f>
        <v>16. Paz, justicia e instituciones sólidas</v>
      </c>
      <c r="M378" s="301" t="str">
        <f>'PLAN INDICATIVO'!M369</f>
        <v>Secretaría de Hacienda</v>
      </c>
      <c r="N378" s="1425" t="s">
        <v>2530</v>
      </c>
      <c r="O378" s="1425" t="str">
        <f>'PLAN INDICATIVO'!O369</f>
        <v>Incremento</v>
      </c>
      <c r="P378" s="16" t="str">
        <f>'PLAN INDICATIVO'!P369</f>
        <v>Implementar 8 estrategias para aumento de ingresos propios del municipio durante el cuatrienio.</v>
      </c>
      <c r="Q378" s="302" t="str">
        <f>'PLAN INDICATIVO'!Q369</f>
        <v>No. De Estrategias implementadas</v>
      </c>
      <c r="R378" s="303">
        <f>'PLAN INDICATIVO'!R369</f>
        <v>2015</v>
      </c>
      <c r="S378" s="304">
        <v>2</v>
      </c>
      <c r="T378" s="498">
        <v>8</v>
      </c>
      <c r="U378" s="303">
        <v>2</v>
      </c>
      <c r="V378" s="687">
        <v>5500000</v>
      </c>
      <c r="W378" s="572">
        <v>2</v>
      </c>
      <c r="X378" s="687">
        <v>49000000</v>
      </c>
      <c r="Y378" s="572">
        <v>2</v>
      </c>
      <c r="Z378" s="687">
        <v>50000000</v>
      </c>
      <c r="AA378" s="572">
        <v>2</v>
      </c>
      <c r="AB378" s="687">
        <v>50000000</v>
      </c>
      <c r="AC378" s="665">
        <v>2</v>
      </c>
      <c r="AD378" s="665">
        <v>2</v>
      </c>
      <c r="AE378" s="665"/>
      <c r="AF378" s="665"/>
      <c r="AG378" s="306" t="s">
        <v>3826</v>
      </c>
      <c r="AH378" s="306">
        <v>2017413960014</v>
      </c>
      <c r="AI378" s="307"/>
      <c r="AJ378" s="335">
        <v>42795</v>
      </c>
      <c r="AK378" s="335">
        <v>43009</v>
      </c>
      <c r="AL378" s="308"/>
      <c r="AM378" s="308"/>
      <c r="AN378" s="267" t="s">
        <v>2598</v>
      </c>
      <c r="AO378" s="507" t="s">
        <v>3827</v>
      </c>
      <c r="AP378" s="525">
        <f>7735000+13666600+7735000+9576650+4095000+3276000</f>
        <v>46084250</v>
      </c>
      <c r="AQ378" s="310">
        <f>14416600+7600044</f>
        <v>22016644</v>
      </c>
      <c r="AR378" s="310"/>
      <c r="AS378" s="310"/>
      <c r="AT378" s="310"/>
      <c r="AU378" s="310"/>
      <c r="AV378" s="310"/>
      <c r="AW378" s="544">
        <f>AP378+AQ378+AR378+AS378+AT378+AU378+AV378</f>
        <v>68100894</v>
      </c>
      <c r="AX378" s="525"/>
      <c r="AY378" s="310"/>
      <c r="AZ378" s="310"/>
      <c r="BA378" s="310"/>
      <c r="BB378" s="310"/>
      <c r="BC378" s="310"/>
      <c r="BD378" s="310"/>
      <c r="BE378" s="544">
        <f t="shared" si="166"/>
        <v>0</v>
      </c>
      <c r="BF378" s="525"/>
      <c r="BG378" s="310"/>
      <c r="BH378" s="310"/>
      <c r="BI378" s="310"/>
      <c r="BJ378" s="310"/>
      <c r="BK378" s="310"/>
      <c r="BL378" s="310"/>
      <c r="BM378" s="544">
        <f t="shared" si="167"/>
        <v>0</v>
      </c>
      <c r="BN378" s="525"/>
      <c r="BO378" s="310"/>
      <c r="BP378" s="310"/>
      <c r="BQ378" s="310"/>
      <c r="BR378" s="310"/>
      <c r="BS378" s="310"/>
      <c r="BT378" s="310"/>
      <c r="BU378" s="544">
        <f t="shared" si="168"/>
        <v>0</v>
      </c>
      <c r="BV378" s="556"/>
      <c r="BW378" s="663">
        <f t="shared" si="156"/>
        <v>4</v>
      </c>
      <c r="BX378" s="674">
        <f t="shared" si="157"/>
        <v>0.5</v>
      </c>
      <c r="BY378" s="674">
        <f t="shared" si="158"/>
        <v>1</v>
      </c>
      <c r="BZ378" s="674">
        <f t="shared" si="159"/>
        <v>1</v>
      </c>
      <c r="CA378" s="675">
        <f t="shared" si="160"/>
        <v>0</v>
      </c>
      <c r="CB378" s="675">
        <f t="shared" si="161"/>
        <v>0</v>
      </c>
    </row>
    <row r="379" spans="1:80" ht="58.5" hidden="1" customHeight="1" x14ac:dyDescent="0.25">
      <c r="A379" s="298" t="s">
        <v>1135</v>
      </c>
      <c r="B379" s="299" t="str">
        <f>'PLAN INDICATIVO'!B370</f>
        <v>Fortalecimiento institucional</v>
      </c>
      <c r="C379" s="1547"/>
      <c r="D379" s="1549"/>
      <c r="E379" s="1549"/>
      <c r="F379" s="1549"/>
      <c r="G379" s="1549"/>
      <c r="H379" s="1549"/>
      <c r="I379" s="300">
        <f>'PLAN INDICATIVO'!I370</f>
        <v>0</v>
      </c>
      <c r="J379" s="300">
        <f>'PLAN INDICATIVO'!J370</f>
        <v>0</v>
      </c>
      <c r="K379" s="1425" t="str">
        <f>'PLAN INDICATIVO'!K370</f>
        <v>A.17.1.2</v>
      </c>
      <c r="L379" s="301" t="str">
        <f>'PLAN INDICATIVO'!L370</f>
        <v>16. Paz, justicia e instituciones sólidas</v>
      </c>
      <c r="M379" s="301" t="str">
        <f>'PLAN INDICATIVO'!M370</f>
        <v>Secretaría de Hacienda</v>
      </c>
      <c r="N379" s="1425" t="s">
        <v>2530</v>
      </c>
      <c r="O379" s="1425" t="str">
        <f>'PLAN INDICATIVO'!O370</f>
        <v>Incremento</v>
      </c>
      <c r="P379" s="16" t="str">
        <f>'PLAN INDICATIVO'!P370</f>
        <v>Realizar 2 revisiones  a la deuda pública para mejorar condiciones durante el cuatrienio</v>
      </c>
      <c r="Q379" s="302" t="str">
        <f>'PLAN INDICATIVO'!Q370</f>
        <v>No. De Revisiones realizadas</v>
      </c>
      <c r="R379" s="303">
        <f>'PLAN INDICATIVO'!R370</f>
        <v>2015</v>
      </c>
      <c r="S379" s="304">
        <v>2</v>
      </c>
      <c r="T379" s="498">
        <v>2</v>
      </c>
      <c r="U379" s="846">
        <v>0</v>
      </c>
      <c r="V379" s="687"/>
      <c r="W379" s="572">
        <v>1</v>
      </c>
      <c r="X379" s="687"/>
      <c r="Y379" s="572">
        <v>1</v>
      </c>
      <c r="Z379" s="687">
        <v>1000000</v>
      </c>
      <c r="AA379" s="572">
        <v>0</v>
      </c>
      <c r="AB379" s="687"/>
      <c r="AC379" s="665">
        <v>1</v>
      </c>
      <c r="AD379" s="665">
        <v>1</v>
      </c>
      <c r="AE379" s="665"/>
      <c r="AF379" s="665"/>
      <c r="AG379" s="306" t="s">
        <v>3826</v>
      </c>
      <c r="AH379" s="306">
        <v>2017413960014</v>
      </c>
      <c r="AI379" s="307"/>
      <c r="AJ379" s="335"/>
      <c r="AK379" s="335"/>
      <c r="AL379" s="308"/>
      <c r="AM379" s="308"/>
      <c r="AN379" s="267" t="s">
        <v>2598</v>
      </c>
      <c r="AO379" s="507" t="s">
        <v>3828</v>
      </c>
      <c r="AP379" s="525">
        <v>22100000</v>
      </c>
      <c r="AQ379" s="310"/>
      <c r="AR379" s="310"/>
      <c r="AS379" s="310"/>
      <c r="AT379" s="310"/>
      <c r="AU379" s="310"/>
      <c r="AV379" s="310"/>
      <c r="AW379" s="544">
        <f>AP379+AQ379+AR379+AS379+AT379+AU379+AV379</f>
        <v>22100000</v>
      </c>
      <c r="AX379" s="525"/>
      <c r="AY379" s="310"/>
      <c r="AZ379" s="310"/>
      <c r="BA379" s="310"/>
      <c r="BB379" s="310"/>
      <c r="BC379" s="310"/>
      <c r="BD379" s="310"/>
      <c r="BE379" s="544">
        <f t="shared" si="166"/>
        <v>0</v>
      </c>
      <c r="BF379" s="525"/>
      <c r="BG379" s="310"/>
      <c r="BH379" s="310"/>
      <c r="BI379" s="310"/>
      <c r="BJ379" s="310"/>
      <c r="BK379" s="310"/>
      <c r="BL379" s="310"/>
      <c r="BM379" s="544">
        <f t="shared" si="167"/>
        <v>0</v>
      </c>
      <c r="BN379" s="525"/>
      <c r="BO379" s="310"/>
      <c r="BP379" s="310"/>
      <c r="BQ379" s="310"/>
      <c r="BR379" s="310"/>
      <c r="BS379" s="310"/>
      <c r="BT379" s="310"/>
      <c r="BU379" s="544">
        <f t="shared" si="168"/>
        <v>0</v>
      </c>
      <c r="BV379" s="556"/>
      <c r="BW379" s="663">
        <f t="shared" si="156"/>
        <v>2</v>
      </c>
      <c r="BX379" s="674">
        <f t="shared" si="157"/>
        <v>1</v>
      </c>
      <c r="BY379" s="674" t="e">
        <f t="shared" si="158"/>
        <v>#DIV/0!</v>
      </c>
      <c r="BZ379" s="674">
        <f t="shared" si="159"/>
        <v>1</v>
      </c>
      <c r="CA379" s="675">
        <f t="shared" si="160"/>
        <v>0</v>
      </c>
      <c r="CB379" s="675" t="e">
        <f t="shared" si="161"/>
        <v>#DIV/0!</v>
      </c>
    </row>
    <row r="380" spans="1:80" ht="51" hidden="1" customHeight="1" x14ac:dyDescent="0.25">
      <c r="A380" s="298" t="s">
        <v>1135</v>
      </c>
      <c r="B380" s="299" t="str">
        <f>'PLAN INDICATIVO'!B371</f>
        <v>Fortalecimiento institucional</v>
      </c>
      <c r="C380" s="1547"/>
      <c r="D380" s="1549"/>
      <c r="E380" s="1549"/>
      <c r="F380" s="1549"/>
      <c r="G380" s="1549"/>
      <c r="H380" s="1549"/>
      <c r="I380" s="300">
        <f>'PLAN INDICATIVO'!I371</f>
        <v>0</v>
      </c>
      <c r="J380" s="300">
        <f>'PLAN INDICATIVO'!J371</f>
        <v>0</v>
      </c>
      <c r="K380" s="1425" t="str">
        <f>'PLAN INDICATIVO'!K371</f>
        <v>A.17.1.3</v>
      </c>
      <c r="L380" s="301" t="str">
        <f>'PLAN INDICATIVO'!L371</f>
        <v>16. Paz, justicia e instituciones sólidas</v>
      </c>
      <c r="M380" s="301" t="str">
        <f>'PLAN INDICATIVO'!M371</f>
        <v>Secretaría de Hacienda</v>
      </c>
      <c r="N380" s="1425" t="s">
        <v>2530</v>
      </c>
      <c r="O380" s="1425" t="str">
        <f>'PLAN INDICATIVO'!O371</f>
        <v>Incremento</v>
      </c>
      <c r="P380" s="16" t="str">
        <f>'PLAN INDICATIVO'!P371</f>
        <v>Realizar 2 capacitaciones referente a gestión fiscal dirigida a funcionarios durante el cuatrienio</v>
      </c>
      <c r="Q380" s="302" t="str">
        <f>'PLAN INDICATIVO'!Q371</f>
        <v>No. de capacitaciones realizadas</v>
      </c>
      <c r="R380" s="303">
        <f>'PLAN INDICATIVO'!R371</f>
        <v>2015</v>
      </c>
      <c r="S380" s="304">
        <v>0</v>
      </c>
      <c r="T380" s="498">
        <v>2</v>
      </c>
      <c r="U380" s="846">
        <v>0</v>
      </c>
      <c r="V380" s="687"/>
      <c r="W380" s="572">
        <v>1</v>
      </c>
      <c r="X380" s="687"/>
      <c r="Y380" s="572">
        <v>1</v>
      </c>
      <c r="Z380" s="687">
        <v>1000000</v>
      </c>
      <c r="AA380" s="572">
        <v>0</v>
      </c>
      <c r="AB380" s="687"/>
      <c r="AC380" s="665">
        <v>0</v>
      </c>
      <c r="AD380" s="665">
        <v>1</v>
      </c>
      <c r="AE380" s="665"/>
      <c r="AF380" s="665"/>
      <c r="AG380" s="306" t="s">
        <v>3826</v>
      </c>
      <c r="AH380" s="306">
        <v>2017413960014</v>
      </c>
      <c r="AI380" s="307"/>
      <c r="AJ380" s="335"/>
      <c r="AK380" s="335"/>
      <c r="AL380" s="308"/>
      <c r="AM380" s="308" t="s">
        <v>2717</v>
      </c>
      <c r="AN380" s="267" t="s">
        <v>2598</v>
      </c>
      <c r="AO380" s="507" t="s">
        <v>3829</v>
      </c>
      <c r="AP380" s="525"/>
      <c r="AQ380" s="310">
        <v>7826000</v>
      </c>
      <c r="AR380" s="310"/>
      <c r="AS380" s="310"/>
      <c r="AT380" s="310"/>
      <c r="AU380" s="310"/>
      <c r="AV380" s="310"/>
      <c r="AW380" s="544">
        <f>AP380+AQ380+AR380+AS380+AT380+AU380+AV380</f>
        <v>7826000</v>
      </c>
      <c r="AX380" s="525"/>
      <c r="AY380" s="310"/>
      <c r="AZ380" s="310"/>
      <c r="BA380" s="310"/>
      <c r="BB380" s="310"/>
      <c r="BC380" s="310"/>
      <c r="BD380" s="310"/>
      <c r="BE380" s="544">
        <f t="shared" si="166"/>
        <v>0</v>
      </c>
      <c r="BF380" s="525"/>
      <c r="BG380" s="310"/>
      <c r="BH380" s="310"/>
      <c r="BI380" s="310"/>
      <c r="BJ380" s="310"/>
      <c r="BK380" s="310"/>
      <c r="BL380" s="310"/>
      <c r="BM380" s="544">
        <f t="shared" si="167"/>
        <v>0</v>
      </c>
      <c r="BN380" s="525"/>
      <c r="BO380" s="310"/>
      <c r="BP380" s="310"/>
      <c r="BQ380" s="310"/>
      <c r="BR380" s="310"/>
      <c r="BS380" s="310"/>
      <c r="BT380" s="310"/>
      <c r="BU380" s="544">
        <f t="shared" si="168"/>
        <v>0</v>
      </c>
      <c r="BV380" s="556"/>
      <c r="BW380" s="663">
        <f t="shared" si="156"/>
        <v>1</v>
      </c>
      <c r="BX380" s="918">
        <f t="shared" si="157"/>
        <v>0.5</v>
      </c>
      <c r="BY380" s="674" t="e">
        <f t="shared" si="158"/>
        <v>#DIV/0!</v>
      </c>
      <c r="BZ380" s="674">
        <f t="shared" si="159"/>
        <v>1</v>
      </c>
      <c r="CA380" s="675">
        <f t="shared" si="160"/>
        <v>0</v>
      </c>
      <c r="CB380" s="675" t="e">
        <f t="shared" si="161"/>
        <v>#DIV/0!</v>
      </c>
    </row>
    <row r="381" spans="1:80" ht="45.75" hidden="1" customHeight="1" x14ac:dyDescent="0.25">
      <c r="A381" s="298" t="s">
        <v>1135</v>
      </c>
      <c r="B381" s="299" t="str">
        <f>'PLAN INDICATIVO'!B372</f>
        <v>Fortalecimiento institucional</v>
      </c>
      <c r="C381" s="1547"/>
      <c r="D381" s="1549"/>
      <c r="E381" s="1549"/>
      <c r="F381" s="1549"/>
      <c r="G381" s="1549"/>
      <c r="H381" s="1549"/>
      <c r="I381" s="300">
        <f>'PLAN INDICATIVO'!I372</f>
        <v>0</v>
      </c>
      <c r="J381" s="300">
        <f>'PLAN INDICATIVO'!J372</f>
        <v>0</v>
      </c>
      <c r="K381" s="1425" t="str">
        <f>'PLAN INDICATIVO'!K372</f>
        <v>A.17.1.4</v>
      </c>
      <c r="L381" s="301" t="str">
        <f>'PLAN INDICATIVO'!L372</f>
        <v>16. Paz, justicia e instituciones sólidas</v>
      </c>
      <c r="M381" s="301" t="str">
        <f>'PLAN INDICATIVO'!M372</f>
        <v>Secretaría de Hacienda</v>
      </c>
      <c r="N381" s="1425" t="s">
        <v>2530</v>
      </c>
      <c r="O381" s="1425" t="str">
        <f>'PLAN INDICATIVO'!O372</f>
        <v>Mantenimiento</v>
      </c>
      <c r="P381" s="16" t="str">
        <f>'PLAN INDICATIVO'!P372</f>
        <v>Realizar 3 actividades de fiscalización a gastos e ingresos cada año</v>
      </c>
      <c r="Q381" s="302" t="str">
        <f>'PLAN INDICATIVO'!Q372</f>
        <v>No. de actividades realizadas por año</v>
      </c>
      <c r="R381" s="303">
        <f>'PLAN INDICATIVO'!R372</f>
        <v>2015</v>
      </c>
      <c r="S381" s="304">
        <v>2</v>
      </c>
      <c r="T381" s="498">
        <v>12</v>
      </c>
      <c r="U381" s="303">
        <v>3</v>
      </c>
      <c r="V381" s="687">
        <v>1000000</v>
      </c>
      <c r="W381" s="572">
        <v>3</v>
      </c>
      <c r="X381" s="687">
        <v>1000000</v>
      </c>
      <c r="Y381" s="572">
        <v>3</v>
      </c>
      <c r="Z381" s="687">
        <v>1000000</v>
      </c>
      <c r="AA381" s="572">
        <v>3</v>
      </c>
      <c r="AB381" s="687">
        <v>1000000</v>
      </c>
      <c r="AC381" s="665">
        <v>1</v>
      </c>
      <c r="AD381" s="665">
        <v>3</v>
      </c>
      <c r="AE381" s="665"/>
      <c r="AF381" s="665"/>
      <c r="AG381" s="306" t="s">
        <v>3826</v>
      </c>
      <c r="AH381" s="306">
        <v>2017413960014</v>
      </c>
      <c r="AI381" s="307"/>
      <c r="AJ381" s="335">
        <v>42856</v>
      </c>
      <c r="AK381" s="335">
        <v>43009</v>
      </c>
      <c r="AL381" s="308"/>
      <c r="AM381" s="308"/>
      <c r="AN381" s="267" t="s">
        <v>2598</v>
      </c>
      <c r="AO381" s="507" t="s">
        <v>3828</v>
      </c>
      <c r="AP381" s="525">
        <v>22880000</v>
      </c>
      <c r="AQ381" s="310"/>
      <c r="AR381" s="310"/>
      <c r="AS381" s="310"/>
      <c r="AT381" s="310"/>
      <c r="AU381" s="310"/>
      <c r="AV381" s="310"/>
      <c r="AW381" s="544">
        <f>AP381+AQ381+AR381+AS381+AT381+AU381+AV381</f>
        <v>22880000</v>
      </c>
      <c r="AX381" s="525"/>
      <c r="AY381" s="310"/>
      <c r="AZ381" s="310"/>
      <c r="BA381" s="310"/>
      <c r="BB381" s="310"/>
      <c r="BC381" s="310"/>
      <c r="BD381" s="310"/>
      <c r="BE381" s="544">
        <f t="shared" si="166"/>
        <v>0</v>
      </c>
      <c r="BF381" s="525"/>
      <c r="BG381" s="310"/>
      <c r="BH381" s="310"/>
      <c r="BI381" s="310"/>
      <c r="BJ381" s="310"/>
      <c r="BK381" s="310"/>
      <c r="BL381" s="310"/>
      <c r="BM381" s="544">
        <f t="shared" si="167"/>
        <v>0</v>
      </c>
      <c r="BN381" s="525"/>
      <c r="BO381" s="310"/>
      <c r="BP381" s="310"/>
      <c r="BQ381" s="310"/>
      <c r="BR381" s="310"/>
      <c r="BS381" s="310"/>
      <c r="BT381" s="310"/>
      <c r="BU381" s="544">
        <f t="shared" si="168"/>
        <v>0</v>
      </c>
      <c r="BV381" s="556"/>
      <c r="BW381" s="663">
        <f t="shared" si="156"/>
        <v>4</v>
      </c>
      <c r="BX381" s="877">
        <f t="shared" si="157"/>
        <v>0.33333333333333331</v>
      </c>
      <c r="BY381" s="674">
        <f t="shared" si="158"/>
        <v>0.33333333333333331</v>
      </c>
      <c r="BZ381" s="674">
        <f t="shared" si="159"/>
        <v>1</v>
      </c>
      <c r="CA381" s="675">
        <f t="shared" si="160"/>
        <v>0</v>
      </c>
      <c r="CB381" s="675">
        <f t="shared" si="161"/>
        <v>0</v>
      </c>
    </row>
    <row r="382" spans="1:80" ht="46.5" hidden="1" customHeight="1" x14ac:dyDescent="0.25">
      <c r="A382" s="298" t="s">
        <v>1135</v>
      </c>
      <c r="B382" s="299" t="str">
        <f>'PLAN INDICATIVO'!B373</f>
        <v>Fortalecimiento institucional</v>
      </c>
      <c r="C382" s="1547"/>
      <c r="D382" s="1549"/>
      <c r="E382" s="1549"/>
      <c r="F382" s="1549"/>
      <c r="G382" s="1549"/>
      <c r="H382" s="1549"/>
      <c r="I382" s="1425" t="str">
        <f>'PLAN INDICATIVO'!I373</f>
        <v>si</v>
      </c>
      <c r="J382" s="1425">
        <f>'PLAN INDICATIVO'!J373</f>
        <v>0</v>
      </c>
      <c r="K382" s="1425" t="str">
        <f>'PLAN INDICATIVO'!K373</f>
        <v>A.17.1.5</v>
      </c>
      <c r="L382" s="301" t="str">
        <f>'PLAN INDICATIVO'!L373</f>
        <v>16. Paz, justicia e instituciones sólidas</v>
      </c>
      <c r="M382" s="301" t="str">
        <f>'PLAN INDICATIVO'!M373</f>
        <v>Departamento Municipal de Planeación</v>
      </c>
      <c r="N382" s="1425" t="s">
        <v>3555</v>
      </c>
      <c r="O382" s="1425" t="str">
        <f>'PLAN INDICATIVO'!O373</f>
        <v>Incremento</v>
      </c>
      <c r="P382" s="820" t="str">
        <f>'PLAN INDICATIVO'!P373</f>
        <v>Actualizar y aprobar 1 PBOT durante el cuatrienio</v>
      </c>
      <c r="Q382" s="302" t="str">
        <f>'PLAN INDICATIVO'!Q373</f>
        <v>No. De PBOT actualizado y aprobado</v>
      </c>
      <c r="R382" s="303">
        <f>'PLAN INDICATIVO'!R373</f>
        <v>2015</v>
      </c>
      <c r="S382" s="304">
        <v>0</v>
      </c>
      <c r="T382" s="498">
        <v>1</v>
      </c>
      <c r="U382" s="303">
        <v>0</v>
      </c>
      <c r="V382" s="687">
        <v>301000000</v>
      </c>
      <c r="W382" s="823">
        <v>0.3</v>
      </c>
      <c r="X382" s="687">
        <v>301000000</v>
      </c>
      <c r="Y382" s="572">
        <v>0.7</v>
      </c>
      <c r="Z382" s="687"/>
      <c r="AA382" s="572">
        <v>0</v>
      </c>
      <c r="AB382" s="687"/>
      <c r="AC382" s="665"/>
      <c r="AD382" s="665">
        <v>0.3</v>
      </c>
      <c r="AE382" s="665"/>
      <c r="AF382" s="665"/>
      <c r="AG382" s="306" t="s">
        <v>3826</v>
      </c>
      <c r="AH382" s="306">
        <v>2017413960014</v>
      </c>
      <c r="AI382" s="307" t="s">
        <v>3830</v>
      </c>
      <c r="AJ382" s="838">
        <v>42767</v>
      </c>
      <c r="AK382" s="838">
        <v>43100</v>
      </c>
      <c r="AL382" s="308"/>
      <c r="AM382" s="308"/>
      <c r="AN382" s="267" t="s">
        <v>2598</v>
      </c>
      <c r="AO382" s="507"/>
      <c r="AP382" s="525"/>
      <c r="AQ382" s="310"/>
      <c r="AR382" s="310"/>
      <c r="AS382" s="310"/>
      <c r="AT382" s="310"/>
      <c r="AU382" s="310"/>
      <c r="AV382" s="310"/>
      <c r="AW382" s="544">
        <f t="shared" si="155"/>
        <v>0</v>
      </c>
      <c r="AX382" s="525"/>
      <c r="AY382" s="310"/>
      <c r="AZ382" s="310"/>
      <c r="BA382" s="310"/>
      <c r="BB382" s="310"/>
      <c r="BC382" s="310"/>
      <c r="BD382" s="310"/>
      <c r="BE382" s="544">
        <f t="shared" si="166"/>
        <v>0</v>
      </c>
      <c r="BF382" s="525"/>
      <c r="BG382" s="310"/>
      <c r="BH382" s="310"/>
      <c r="BI382" s="310"/>
      <c r="BJ382" s="310"/>
      <c r="BK382" s="310"/>
      <c r="BL382" s="310"/>
      <c r="BM382" s="544">
        <f t="shared" si="167"/>
        <v>0</v>
      </c>
      <c r="BN382" s="525"/>
      <c r="BO382" s="310"/>
      <c r="BP382" s="310"/>
      <c r="BQ382" s="310"/>
      <c r="BR382" s="310"/>
      <c r="BS382" s="310"/>
      <c r="BT382" s="310"/>
      <c r="BU382" s="544">
        <f t="shared" si="168"/>
        <v>0</v>
      </c>
      <c r="BV382" s="556"/>
      <c r="BW382" s="663">
        <f t="shared" si="156"/>
        <v>0.3</v>
      </c>
      <c r="BX382" s="918">
        <f t="shared" si="157"/>
        <v>0.3</v>
      </c>
      <c r="BY382" s="674" t="e">
        <f t="shared" si="158"/>
        <v>#DIV/0!</v>
      </c>
      <c r="BZ382" s="674">
        <f t="shared" si="159"/>
        <v>1</v>
      </c>
      <c r="CA382" s="675">
        <f t="shared" si="160"/>
        <v>0</v>
      </c>
      <c r="CB382" s="675" t="e">
        <f t="shared" si="161"/>
        <v>#DIV/0!</v>
      </c>
    </row>
    <row r="383" spans="1:80" ht="72" hidden="1" customHeight="1" x14ac:dyDescent="0.25">
      <c r="A383" s="298" t="s">
        <v>1135</v>
      </c>
      <c r="B383" s="299" t="str">
        <f>'PLAN INDICATIVO'!B374</f>
        <v>Fortalecimiento institucional</v>
      </c>
      <c r="C383" s="1547"/>
      <c r="D383" s="1549"/>
      <c r="E383" s="1549"/>
      <c r="F383" s="1549"/>
      <c r="G383" s="1549"/>
      <c r="H383" s="1549"/>
      <c r="I383" s="300">
        <f>'PLAN INDICATIVO'!I374</f>
        <v>0</v>
      </c>
      <c r="J383" s="300">
        <f>'PLAN INDICATIVO'!J374</f>
        <v>0</v>
      </c>
      <c r="K383" s="1425" t="str">
        <f>'PLAN INDICATIVO'!K374</f>
        <v>A.17.1.6</v>
      </c>
      <c r="L383" s="301" t="str">
        <f>'PLAN INDICATIVO'!L374</f>
        <v>16. Paz, justicia e instituciones sólidas</v>
      </c>
      <c r="M383" s="301" t="str">
        <f>'PLAN INDICATIVO'!M374</f>
        <v>Secretaría de Gobierno</v>
      </c>
      <c r="N383" s="1425" t="s">
        <v>2791</v>
      </c>
      <c r="O383" s="1425" t="str">
        <f>'PLAN INDICATIVO'!O374</f>
        <v>Incremento</v>
      </c>
      <c r="P383" s="16" t="str">
        <f>'PLAN INDICATIVO'!P374</f>
        <v>Realizar 1 estudio para la reorganización funcional del municipio durante el cuatrienio (manuales de funciones y procedimientos)</v>
      </c>
      <c r="Q383" s="302" t="str">
        <f>'PLAN INDICATIVO'!Q374</f>
        <v>No. De Estudio de reorganización administrativa realizados</v>
      </c>
      <c r="R383" s="303">
        <f>'PLAN INDICATIVO'!R374</f>
        <v>2015</v>
      </c>
      <c r="S383" s="304">
        <v>0</v>
      </c>
      <c r="T383" s="498">
        <v>1</v>
      </c>
      <c r="U383" s="303">
        <v>0</v>
      </c>
      <c r="V383" s="687">
        <v>5000000</v>
      </c>
      <c r="W383" s="572">
        <v>0.3</v>
      </c>
      <c r="X383" s="687"/>
      <c r="Y383" s="572">
        <v>0.7</v>
      </c>
      <c r="Z383" s="687"/>
      <c r="AA383" s="572">
        <v>0</v>
      </c>
      <c r="AB383" s="687"/>
      <c r="AC383" s="665">
        <v>0</v>
      </c>
      <c r="AD383" s="665">
        <v>0.3</v>
      </c>
      <c r="AE383" s="665"/>
      <c r="AF383" s="665"/>
      <c r="AG383" s="306" t="s">
        <v>3826</v>
      </c>
      <c r="AH383" s="306">
        <v>2017413960014</v>
      </c>
      <c r="AI383" s="307" t="s">
        <v>3831</v>
      </c>
      <c r="AJ383" s="335">
        <v>42767</v>
      </c>
      <c r="AK383" s="335">
        <v>42977</v>
      </c>
      <c r="AL383" s="308"/>
      <c r="AM383" s="308" t="s">
        <v>2717</v>
      </c>
      <c r="AN383" s="281" t="s">
        <v>2598</v>
      </c>
      <c r="AO383" s="507"/>
      <c r="AP383" s="525"/>
      <c r="AQ383" s="310"/>
      <c r="AR383" s="310"/>
      <c r="AS383" s="310"/>
      <c r="AT383" s="310"/>
      <c r="AU383" s="310"/>
      <c r="AV383" s="310"/>
      <c r="AW383" s="544">
        <f t="shared" si="155"/>
        <v>0</v>
      </c>
      <c r="AX383" s="525"/>
      <c r="AY383" s="310"/>
      <c r="AZ383" s="310"/>
      <c r="BA383" s="310"/>
      <c r="BB383" s="310"/>
      <c r="BC383" s="310"/>
      <c r="BD383" s="310"/>
      <c r="BE383" s="544">
        <f t="shared" si="166"/>
        <v>0</v>
      </c>
      <c r="BF383" s="525"/>
      <c r="BG383" s="310"/>
      <c r="BH383" s="310"/>
      <c r="BI383" s="310"/>
      <c r="BJ383" s="310"/>
      <c r="BK383" s="310"/>
      <c r="BL383" s="310"/>
      <c r="BM383" s="544">
        <f t="shared" si="167"/>
        <v>0</v>
      </c>
      <c r="BN383" s="525"/>
      <c r="BO383" s="310"/>
      <c r="BP383" s="310"/>
      <c r="BQ383" s="310"/>
      <c r="BR383" s="310"/>
      <c r="BS383" s="310"/>
      <c r="BT383" s="310"/>
      <c r="BU383" s="544">
        <f t="shared" si="168"/>
        <v>0</v>
      </c>
      <c r="BV383" s="556"/>
      <c r="BW383" s="663">
        <f t="shared" si="156"/>
        <v>0.3</v>
      </c>
      <c r="BX383" s="918">
        <f t="shared" si="157"/>
        <v>0.3</v>
      </c>
      <c r="BY383" s="674" t="e">
        <f t="shared" si="158"/>
        <v>#DIV/0!</v>
      </c>
      <c r="BZ383" s="674">
        <f t="shared" si="159"/>
        <v>1</v>
      </c>
      <c r="CA383" s="675">
        <f t="shared" si="160"/>
        <v>0</v>
      </c>
      <c r="CB383" s="675" t="e">
        <f t="shared" si="161"/>
        <v>#DIV/0!</v>
      </c>
    </row>
    <row r="384" spans="1:80" ht="75.75" hidden="1" customHeight="1" x14ac:dyDescent="0.25">
      <c r="A384" s="298" t="s">
        <v>1135</v>
      </c>
      <c r="B384" s="299" t="str">
        <f>'PLAN INDICATIVO'!B375</f>
        <v>Fortalecimiento institucional</v>
      </c>
      <c r="C384" s="1547"/>
      <c r="D384" s="1549"/>
      <c r="E384" s="1549"/>
      <c r="F384" s="1549"/>
      <c r="G384" s="1549"/>
      <c r="H384" s="1549"/>
      <c r="I384" s="300">
        <f>'PLAN INDICATIVO'!I375</f>
        <v>0</v>
      </c>
      <c r="J384" s="300">
        <f>'PLAN INDICATIVO'!J375</f>
        <v>0</v>
      </c>
      <c r="K384" s="1425" t="str">
        <f>'PLAN INDICATIVO'!K375</f>
        <v>A.17.1.7</v>
      </c>
      <c r="L384" s="301" t="str">
        <f>'PLAN INDICATIVO'!L375</f>
        <v>16. Paz, justicia e instituciones sólidas</v>
      </c>
      <c r="M384" s="301" t="str">
        <f>'PLAN INDICATIVO'!M375</f>
        <v>Secretaría de Gobierno</v>
      </c>
      <c r="N384" s="1425" t="s">
        <v>2791</v>
      </c>
      <c r="O384" s="1425" t="str">
        <f>'PLAN INDICATIVO'!O375</f>
        <v>Mantenimiento</v>
      </c>
      <c r="P384" s="16" t="str">
        <f>'PLAN INDICATIVO'!P375</f>
        <v>Ejecutar 1 programa anual para el fortalecimiento administrativo, técnico, jurídico y/o profesional de la administración municipal.</v>
      </c>
      <c r="Q384" s="302" t="str">
        <f>'PLAN INDICATIVO'!Q375</f>
        <v>No. De programas ejecutados anualmente</v>
      </c>
      <c r="R384" s="303">
        <f>'PLAN INDICATIVO'!R375</f>
        <v>2015</v>
      </c>
      <c r="S384" s="304">
        <v>1</v>
      </c>
      <c r="T384" s="498">
        <v>1</v>
      </c>
      <c r="U384" s="934">
        <v>0.25</v>
      </c>
      <c r="V384" s="687">
        <v>157340000</v>
      </c>
      <c r="W384" s="934">
        <v>0.25</v>
      </c>
      <c r="X384" s="687">
        <v>270000000</v>
      </c>
      <c r="Y384" s="934">
        <v>0.25</v>
      </c>
      <c r="Z384" s="687">
        <v>280000000</v>
      </c>
      <c r="AA384" s="934">
        <v>0.25</v>
      </c>
      <c r="AB384" s="687">
        <v>290000000</v>
      </c>
      <c r="AC384" s="665">
        <v>0.25</v>
      </c>
      <c r="AD384" s="665">
        <v>0.25</v>
      </c>
      <c r="AE384" s="665"/>
      <c r="AF384" s="665"/>
      <c r="AG384" s="306" t="s">
        <v>3826</v>
      </c>
      <c r="AH384" s="306">
        <v>2017413960014</v>
      </c>
      <c r="AI384" s="769"/>
      <c r="AJ384" s="335">
        <v>42750</v>
      </c>
      <c r="AK384" s="335">
        <v>43099</v>
      </c>
      <c r="AL384" s="308"/>
      <c r="AM384" s="308"/>
      <c r="AN384" s="281" t="s">
        <v>2598</v>
      </c>
      <c r="AO384" s="507">
        <v>231701</v>
      </c>
      <c r="AP384" s="525"/>
      <c r="AQ384" s="310">
        <f>17000000+15866650+17566650+8333300+9933334+14933333+10000000+15900000+12296700</f>
        <v>121829967</v>
      </c>
      <c r="AR384" s="310"/>
      <c r="AS384" s="310"/>
      <c r="AT384" s="310"/>
      <c r="AU384" s="310"/>
      <c r="AV384" s="310"/>
      <c r="AW384" s="544">
        <f t="shared" si="155"/>
        <v>121829967</v>
      </c>
      <c r="AX384" s="525"/>
      <c r="AY384" s="310"/>
      <c r="AZ384" s="310"/>
      <c r="BA384" s="310"/>
      <c r="BB384" s="310"/>
      <c r="BC384" s="310"/>
      <c r="BD384" s="310"/>
      <c r="BE384" s="544">
        <f t="shared" si="166"/>
        <v>0</v>
      </c>
      <c r="BF384" s="525"/>
      <c r="BG384" s="310"/>
      <c r="BH384" s="310"/>
      <c r="BI384" s="310"/>
      <c r="BJ384" s="310"/>
      <c r="BK384" s="310"/>
      <c r="BL384" s="310"/>
      <c r="BM384" s="544">
        <f t="shared" si="167"/>
        <v>0</v>
      </c>
      <c r="BN384" s="525"/>
      <c r="BO384" s="310"/>
      <c r="BP384" s="310"/>
      <c r="BQ384" s="310"/>
      <c r="BR384" s="310"/>
      <c r="BS384" s="310"/>
      <c r="BT384" s="310"/>
      <c r="BU384" s="544">
        <f t="shared" si="168"/>
        <v>0</v>
      </c>
      <c r="BV384" s="556"/>
      <c r="BW384" s="663">
        <f t="shared" si="156"/>
        <v>0.5</v>
      </c>
      <c r="BX384" s="674">
        <f t="shared" si="157"/>
        <v>0.5</v>
      </c>
      <c r="BY384" s="674">
        <f t="shared" si="158"/>
        <v>1</v>
      </c>
      <c r="BZ384" s="674">
        <f t="shared" si="159"/>
        <v>1</v>
      </c>
      <c r="CA384" s="675">
        <f t="shared" si="160"/>
        <v>0</v>
      </c>
      <c r="CB384" s="675">
        <f t="shared" si="161"/>
        <v>0</v>
      </c>
    </row>
    <row r="385" spans="1:80" ht="57.75" hidden="1" customHeight="1" x14ac:dyDescent="0.25">
      <c r="A385" s="298" t="s">
        <v>1135</v>
      </c>
      <c r="B385" s="299" t="str">
        <f>'PLAN INDICATIVO'!B376</f>
        <v>Fortalecimiento institucional</v>
      </c>
      <c r="C385" s="1547"/>
      <c r="D385" s="1549"/>
      <c r="E385" s="1549"/>
      <c r="F385" s="1549"/>
      <c r="G385" s="1549"/>
      <c r="H385" s="1549"/>
      <c r="I385" s="300">
        <f>'PLAN INDICATIVO'!I376</f>
        <v>0</v>
      </c>
      <c r="J385" s="300">
        <f>'PLAN INDICATIVO'!J376</f>
        <v>0</v>
      </c>
      <c r="K385" s="1425" t="str">
        <f>'PLAN INDICATIVO'!K376</f>
        <v>A.17.1.8</v>
      </c>
      <c r="L385" s="301" t="str">
        <f>'PLAN INDICATIVO'!L376</f>
        <v>16. Paz, justicia e instituciones sólidas</v>
      </c>
      <c r="M385" s="301" t="str">
        <f>'PLAN INDICATIVO'!M376</f>
        <v>Secretaría de Gobierno</v>
      </c>
      <c r="N385" s="1425" t="s">
        <v>2791</v>
      </c>
      <c r="O385" s="1425" t="str">
        <f>'PLAN INDICATIVO'!O376</f>
        <v>Incremento</v>
      </c>
      <c r="P385" s="16" t="str">
        <f>'PLAN INDICATIVO'!P376</f>
        <v>Apoyar 4 veedurías públicas para vigilancia a la contratación pública durante el cuatrienio</v>
      </c>
      <c r="Q385" s="302" t="str">
        <f>'PLAN INDICATIVO'!Q376</f>
        <v>No. de veedurías apoyadas</v>
      </c>
      <c r="R385" s="303">
        <f>'PLAN INDICATIVO'!R376</f>
        <v>2015</v>
      </c>
      <c r="S385" s="304">
        <v>4</v>
      </c>
      <c r="T385" s="498">
        <v>4</v>
      </c>
      <c r="U385" s="303">
        <v>1</v>
      </c>
      <c r="V385" s="687">
        <v>1000000</v>
      </c>
      <c r="W385" s="572">
        <v>1</v>
      </c>
      <c r="X385" s="687">
        <v>1000000</v>
      </c>
      <c r="Y385" s="572">
        <v>1</v>
      </c>
      <c r="Z385" s="687">
        <v>1000000</v>
      </c>
      <c r="AA385" s="572">
        <v>1</v>
      </c>
      <c r="AB385" s="687">
        <v>1000000</v>
      </c>
      <c r="AC385" s="665">
        <v>1</v>
      </c>
      <c r="AD385" s="665">
        <v>1</v>
      </c>
      <c r="AE385" s="665"/>
      <c r="AF385" s="665"/>
      <c r="AG385" s="306" t="s">
        <v>3826</v>
      </c>
      <c r="AH385" s="306">
        <v>2017413960014</v>
      </c>
      <c r="AI385" s="307" t="s">
        <v>3832</v>
      </c>
      <c r="AJ385" s="308"/>
      <c r="AK385" s="308"/>
      <c r="AL385" s="308"/>
      <c r="AM385" s="308"/>
      <c r="AN385" s="281" t="s">
        <v>2598</v>
      </c>
      <c r="AO385" s="744"/>
      <c r="AP385" s="753"/>
      <c r="AQ385" s="310"/>
      <c r="AR385" s="310"/>
      <c r="AS385" s="310"/>
      <c r="AT385" s="310"/>
      <c r="AU385" s="310"/>
      <c r="AV385" s="310"/>
      <c r="AW385" s="544">
        <f t="shared" si="155"/>
        <v>0</v>
      </c>
      <c r="AX385" s="525"/>
      <c r="AY385" s="310"/>
      <c r="AZ385" s="310"/>
      <c r="BA385" s="310"/>
      <c r="BB385" s="310"/>
      <c r="BC385" s="310"/>
      <c r="BD385" s="310"/>
      <c r="BE385" s="544">
        <f t="shared" si="166"/>
        <v>0</v>
      </c>
      <c r="BF385" s="525"/>
      <c r="BG385" s="310"/>
      <c r="BH385" s="310"/>
      <c r="BI385" s="310"/>
      <c r="BJ385" s="310"/>
      <c r="BK385" s="310"/>
      <c r="BL385" s="310"/>
      <c r="BM385" s="544">
        <f t="shared" si="167"/>
        <v>0</v>
      </c>
      <c r="BN385" s="525"/>
      <c r="BO385" s="310"/>
      <c r="BP385" s="310"/>
      <c r="BQ385" s="310"/>
      <c r="BR385" s="310"/>
      <c r="BS385" s="310"/>
      <c r="BT385" s="310"/>
      <c r="BU385" s="544">
        <f t="shared" si="168"/>
        <v>0</v>
      </c>
      <c r="BV385" s="556"/>
      <c r="BW385" s="663">
        <f t="shared" si="156"/>
        <v>2</v>
      </c>
      <c r="BX385" s="674">
        <f t="shared" si="157"/>
        <v>0.5</v>
      </c>
      <c r="BY385" s="674">
        <f t="shared" si="158"/>
        <v>1</v>
      </c>
      <c r="BZ385" s="674">
        <f t="shared" si="159"/>
        <v>1</v>
      </c>
      <c r="CA385" s="675">
        <f t="shared" si="160"/>
        <v>0</v>
      </c>
      <c r="CB385" s="675">
        <f t="shared" si="161"/>
        <v>0</v>
      </c>
    </row>
    <row r="386" spans="1:80" ht="41.25" hidden="1" customHeight="1" x14ac:dyDescent="0.25">
      <c r="A386" s="298" t="s">
        <v>1135</v>
      </c>
      <c r="B386" s="299" t="str">
        <f>'PLAN INDICATIVO'!B377</f>
        <v>Fortalecimiento institucional</v>
      </c>
      <c r="C386" s="1547"/>
      <c r="D386" s="1549"/>
      <c r="E386" s="1549"/>
      <c r="F386" s="1549"/>
      <c r="G386" s="1549"/>
      <c r="H386" s="1549"/>
      <c r="I386" s="300">
        <f>'PLAN INDICATIVO'!I377</f>
        <v>0</v>
      </c>
      <c r="J386" s="300">
        <f>'PLAN INDICATIVO'!J377</f>
        <v>0</v>
      </c>
      <c r="K386" s="1425" t="str">
        <f>'PLAN INDICATIVO'!K377</f>
        <v>A.17.1.9</v>
      </c>
      <c r="L386" s="301" t="str">
        <f>'PLAN INDICATIVO'!L377</f>
        <v>16. Paz, justicia e instituciones sólidas</v>
      </c>
      <c r="M386" s="301" t="str">
        <f>'PLAN INDICATIVO'!M377</f>
        <v>Secretaría de Gobierno</v>
      </c>
      <c r="N386" s="1425" t="s">
        <v>2791</v>
      </c>
      <c r="O386" s="1425" t="str">
        <f>'PLAN INDICATIVO'!O377</f>
        <v>Mantenimiento</v>
      </c>
      <c r="P386" s="16" t="str">
        <f>'PLAN INDICATIVO'!P377</f>
        <v>100% de la contratación pública, presentada en el SECOP</v>
      </c>
      <c r="Q386" s="302" t="str">
        <f>'PLAN INDICATIVO'!Q377</f>
        <v>Porcentaje de la contratación   publicada en SECOP</v>
      </c>
      <c r="R386" s="303">
        <f>'PLAN INDICATIVO'!R377</f>
        <v>2015</v>
      </c>
      <c r="S386" s="304" t="s">
        <v>177</v>
      </c>
      <c r="T386" s="498">
        <v>100</v>
      </c>
      <c r="U386" s="303">
        <v>100</v>
      </c>
      <c r="V386" s="687">
        <v>15000000</v>
      </c>
      <c r="W386" s="572">
        <v>100</v>
      </c>
      <c r="X386" s="687">
        <v>16000000</v>
      </c>
      <c r="Y386" s="572">
        <v>100</v>
      </c>
      <c r="Z386" s="687">
        <v>1000000</v>
      </c>
      <c r="AA386" s="572">
        <v>100</v>
      </c>
      <c r="AB386" s="687">
        <v>1000000</v>
      </c>
      <c r="AC386" s="665">
        <v>100</v>
      </c>
      <c r="AD386" s="665">
        <v>100</v>
      </c>
      <c r="AE386" s="665"/>
      <c r="AF386" s="665"/>
      <c r="AG386" s="306" t="s">
        <v>3826</v>
      </c>
      <c r="AH386" s="306">
        <v>2017413960014</v>
      </c>
      <c r="AI386" s="307"/>
      <c r="AJ386" s="335">
        <v>42748</v>
      </c>
      <c r="AK386" s="335">
        <v>43099</v>
      </c>
      <c r="AL386" s="308"/>
      <c r="AM386" s="308"/>
      <c r="AN386" s="281" t="s">
        <v>2598</v>
      </c>
      <c r="AO386" s="507" t="s">
        <v>3833</v>
      </c>
      <c r="AP386" s="310">
        <v>7735000</v>
      </c>
      <c r="AQ386" s="310">
        <f>5460000+3600000+4800000</f>
        <v>13860000</v>
      </c>
      <c r="AR386" s="310"/>
      <c r="AS386" s="310"/>
      <c r="AT386" s="310"/>
      <c r="AU386" s="310"/>
      <c r="AV386" s="310"/>
      <c r="AW386" s="544">
        <f t="shared" si="155"/>
        <v>21595000</v>
      </c>
      <c r="AX386" s="525"/>
      <c r="AY386" s="310"/>
      <c r="AZ386" s="310"/>
      <c r="BA386" s="310"/>
      <c r="BB386" s="310"/>
      <c r="BC386" s="310"/>
      <c r="BD386" s="310"/>
      <c r="BE386" s="544">
        <f t="shared" si="166"/>
        <v>0</v>
      </c>
      <c r="BF386" s="525"/>
      <c r="BG386" s="310"/>
      <c r="BH386" s="310"/>
      <c r="BI386" s="310"/>
      <c r="BJ386" s="310"/>
      <c r="BK386" s="310"/>
      <c r="BL386" s="310"/>
      <c r="BM386" s="544">
        <f t="shared" si="167"/>
        <v>0</v>
      </c>
      <c r="BN386" s="525"/>
      <c r="BO386" s="310"/>
      <c r="BP386" s="310"/>
      <c r="BQ386" s="310"/>
      <c r="BR386" s="310"/>
      <c r="BS386" s="310"/>
      <c r="BT386" s="310"/>
      <c r="BU386" s="544">
        <f t="shared" si="168"/>
        <v>0</v>
      </c>
      <c r="BV386" s="556"/>
      <c r="BW386" s="663">
        <f t="shared" si="156"/>
        <v>200</v>
      </c>
      <c r="BX386" s="674">
        <f t="shared" si="157"/>
        <v>2</v>
      </c>
      <c r="BY386" s="674">
        <f t="shared" si="158"/>
        <v>1</v>
      </c>
      <c r="BZ386" s="674">
        <f t="shared" si="159"/>
        <v>1</v>
      </c>
      <c r="CA386" s="675">
        <f t="shared" si="160"/>
        <v>0</v>
      </c>
      <c r="CB386" s="675">
        <f t="shared" si="161"/>
        <v>0</v>
      </c>
    </row>
    <row r="387" spans="1:80" ht="48" hidden="1" customHeight="1" x14ac:dyDescent="0.25">
      <c r="A387" s="298" t="s">
        <v>1135</v>
      </c>
      <c r="B387" s="299" t="str">
        <f>'PLAN INDICATIVO'!B378</f>
        <v>Fortalecimiento institucional</v>
      </c>
      <c r="C387" s="1547"/>
      <c r="D387" s="1549"/>
      <c r="E387" s="1549"/>
      <c r="F387" s="1549"/>
      <c r="G387" s="1549"/>
      <c r="H387" s="1549"/>
      <c r="I387" s="300">
        <f>'PLAN INDICATIVO'!I378</f>
        <v>0</v>
      </c>
      <c r="J387" s="300">
        <f>'PLAN INDICATIVO'!J378</f>
        <v>0</v>
      </c>
      <c r="K387" s="1425" t="str">
        <f>'PLAN INDICATIVO'!K378</f>
        <v>A.17.1.10</v>
      </c>
      <c r="L387" s="301" t="str">
        <f>'PLAN INDICATIVO'!L378</f>
        <v>16. Paz, justicia e instituciones sólidas</v>
      </c>
      <c r="M387" s="301" t="str">
        <f>'PLAN INDICATIVO'!M378</f>
        <v>Secretaría de Gobierno</v>
      </c>
      <c r="N387" s="1425" t="s">
        <v>2791</v>
      </c>
      <c r="O387" s="1425" t="str">
        <f>'PLAN INDICATIVO'!O378</f>
        <v>Mantenimiento</v>
      </c>
      <c r="P387" s="16" t="str">
        <f>'PLAN INDICATIVO'!P378</f>
        <v>Implementar 1 plan de capacitación a funcionarios públicos cada año</v>
      </c>
      <c r="Q387" s="302" t="str">
        <f>'PLAN INDICATIVO'!Q378</f>
        <v>Plan de capacitación implementado por año</v>
      </c>
      <c r="R387" s="303">
        <f>'PLAN INDICATIVO'!R378</f>
        <v>2015</v>
      </c>
      <c r="S387" s="304">
        <v>1</v>
      </c>
      <c r="T387" s="498">
        <v>1</v>
      </c>
      <c r="U387" s="934">
        <v>0.25</v>
      </c>
      <c r="V387" s="687">
        <v>20000000</v>
      </c>
      <c r="W387" s="934">
        <v>0.25</v>
      </c>
      <c r="X387" s="687">
        <v>40000000</v>
      </c>
      <c r="Y387" s="934">
        <v>0.25</v>
      </c>
      <c r="Z387" s="687">
        <v>40000000</v>
      </c>
      <c r="AA387" s="934">
        <v>0.25</v>
      </c>
      <c r="AB387" s="687">
        <v>40000000</v>
      </c>
      <c r="AC387" s="665">
        <v>1</v>
      </c>
      <c r="AD387" s="665">
        <v>0.25</v>
      </c>
      <c r="AE387" s="665"/>
      <c r="AF387" s="665"/>
      <c r="AG387" s="306" t="s">
        <v>3826</v>
      </c>
      <c r="AH387" s="306">
        <v>2017413960014</v>
      </c>
      <c r="AI387" s="307"/>
      <c r="AJ387" s="335">
        <v>42736</v>
      </c>
      <c r="AK387" s="335">
        <v>43070</v>
      </c>
      <c r="AL387" s="308"/>
      <c r="AM387" s="308"/>
      <c r="AN387" s="281" t="s">
        <v>2598</v>
      </c>
      <c r="AO387" s="507"/>
      <c r="AP387" s="525"/>
      <c r="AQ387" s="310"/>
      <c r="AR387" s="310"/>
      <c r="AS387" s="310"/>
      <c r="AT387" s="310"/>
      <c r="AU387" s="310"/>
      <c r="AV387" s="310"/>
      <c r="AW387" s="544">
        <f t="shared" si="155"/>
        <v>0</v>
      </c>
      <c r="AX387" s="525"/>
      <c r="AY387" s="310"/>
      <c r="AZ387" s="310"/>
      <c r="BA387" s="310"/>
      <c r="BB387" s="310"/>
      <c r="BC387" s="310"/>
      <c r="BD387" s="310"/>
      <c r="BE387" s="544">
        <f t="shared" si="166"/>
        <v>0</v>
      </c>
      <c r="BF387" s="525"/>
      <c r="BG387" s="310"/>
      <c r="BH387" s="310"/>
      <c r="BI387" s="310"/>
      <c r="BJ387" s="310"/>
      <c r="BK387" s="310"/>
      <c r="BL387" s="310"/>
      <c r="BM387" s="544">
        <f t="shared" si="167"/>
        <v>0</v>
      </c>
      <c r="BN387" s="525"/>
      <c r="BO387" s="310"/>
      <c r="BP387" s="310"/>
      <c r="BQ387" s="310"/>
      <c r="BR387" s="310"/>
      <c r="BS387" s="310"/>
      <c r="BT387" s="310"/>
      <c r="BU387" s="544">
        <f t="shared" si="168"/>
        <v>0</v>
      </c>
      <c r="BV387" s="556"/>
      <c r="BW387" s="663">
        <f t="shared" si="156"/>
        <v>1.25</v>
      </c>
      <c r="BX387" s="674">
        <f t="shared" si="157"/>
        <v>1.25</v>
      </c>
      <c r="BY387" s="674">
        <f t="shared" si="158"/>
        <v>4</v>
      </c>
      <c r="BZ387" s="674">
        <f t="shared" si="159"/>
        <v>1</v>
      </c>
      <c r="CA387" s="675">
        <f t="shared" si="160"/>
        <v>0</v>
      </c>
      <c r="CB387" s="675">
        <f t="shared" si="161"/>
        <v>0</v>
      </c>
    </row>
    <row r="388" spans="1:80" ht="42" hidden="1" customHeight="1" x14ac:dyDescent="0.25">
      <c r="A388" s="298" t="s">
        <v>1135</v>
      </c>
      <c r="B388" s="299" t="str">
        <f>'PLAN INDICATIVO'!B379</f>
        <v>Fortalecimiento institucional</v>
      </c>
      <c r="C388" s="1547"/>
      <c r="D388" s="1549"/>
      <c r="E388" s="1549"/>
      <c r="F388" s="1549"/>
      <c r="G388" s="1549"/>
      <c r="H388" s="1549"/>
      <c r="I388" s="1425" t="str">
        <f>'PLAN INDICATIVO'!I379</f>
        <v>SI</v>
      </c>
      <c r="J388" s="1425">
        <f>'PLAN INDICATIVO'!J379</f>
        <v>0</v>
      </c>
      <c r="K388" s="1425" t="str">
        <f>'PLAN INDICATIVO'!K379</f>
        <v>A.17.1.11</v>
      </c>
      <c r="L388" s="301" t="str">
        <f>'PLAN INDICATIVO'!L379</f>
        <v>16. Paz, justicia e instituciones sólidas</v>
      </c>
      <c r="M388" s="301" t="str">
        <f>'PLAN INDICATIVO'!M379</f>
        <v>Departamento Municipal de Planeación</v>
      </c>
      <c r="N388" s="1425" t="s">
        <v>3555</v>
      </c>
      <c r="O388" s="1425" t="str">
        <f>'PLAN INDICATIVO'!O379</f>
        <v>Incremento</v>
      </c>
      <c r="P388" s="820" t="str">
        <f>'PLAN INDICATIVO'!P379</f>
        <v>Realizar 1 actualización catastral durante el cuatrienio</v>
      </c>
      <c r="Q388" s="302" t="str">
        <f>'PLAN INDICATIVO'!Q379</f>
        <v>No. De actualizaciones catastrales realizadas durante el cuatrienio</v>
      </c>
      <c r="R388" s="303">
        <f>'PLAN INDICATIVO'!R379</f>
        <v>2015</v>
      </c>
      <c r="S388" s="304">
        <v>0</v>
      </c>
      <c r="T388" s="498">
        <v>1</v>
      </c>
      <c r="U388" s="303">
        <v>0</v>
      </c>
      <c r="V388" s="687">
        <v>126000000</v>
      </c>
      <c r="W388" s="823">
        <v>0.3</v>
      </c>
      <c r="X388" s="687">
        <v>96000000</v>
      </c>
      <c r="Y388" s="572">
        <v>0.7</v>
      </c>
      <c r="Z388" s="687"/>
      <c r="AA388" s="572">
        <v>0</v>
      </c>
      <c r="AB388" s="687"/>
      <c r="AC388" s="665">
        <v>0</v>
      </c>
      <c r="AD388" s="665">
        <v>0.3</v>
      </c>
      <c r="AE388" s="665"/>
      <c r="AF388" s="665"/>
      <c r="AG388" s="306" t="s">
        <v>3826</v>
      </c>
      <c r="AH388" s="306">
        <v>2017413960014</v>
      </c>
      <c r="AI388" s="307" t="s">
        <v>3834</v>
      </c>
      <c r="AJ388" s="838">
        <v>42767</v>
      </c>
      <c r="AK388" s="838">
        <v>43099</v>
      </c>
      <c r="AL388" s="308"/>
      <c r="AM388" s="308"/>
      <c r="AN388" s="267" t="s">
        <v>2598</v>
      </c>
      <c r="AO388" s="507"/>
      <c r="AP388" s="525"/>
      <c r="AQ388" s="310"/>
      <c r="AR388" s="310"/>
      <c r="AS388" s="310"/>
      <c r="AT388" s="310"/>
      <c r="AU388" s="310"/>
      <c r="AV388" s="310"/>
      <c r="AW388" s="544">
        <f t="shared" si="155"/>
        <v>0</v>
      </c>
      <c r="AX388" s="525"/>
      <c r="AY388" s="310"/>
      <c r="AZ388" s="310"/>
      <c r="BA388" s="310"/>
      <c r="BB388" s="310"/>
      <c r="BC388" s="310"/>
      <c r="BD388" s="310"/>
      <c r="BE388" s="544">
        <f t="shared" si="166"/>
        <v>0</v>
      </c>
      <c r="BF388" s="525"/>
      <c r="BG388" s="310"/>
      <c r="BH388" s="310"/>
      <c r="BI388" s="310"/>
      <c r="BJ388" s="310"/>
      <c r="BK388" s="310"/>
      <c r="BL388" s="310"/>
      <c r="BM388" s="544">
        <f t="shared" si="167"/>
        <v>0</v>
      </c>
      <c r="BN388" s="525"/>
      <c r="BO388" s="310"/>
      <c r="BP388" s="310"/>
      <c r="BQ388" s="310"/>
      <c r="BR388" s="310"/>
      <c r="BS388" s="310"/>
      <c r="BT388" s="310"/>
      <c r="BU388" s="544">
        <f t="shared" si="168"/>
        <v>0</v>
      </c>
      <c r="BV388" s="556"/>
      <c r="BW388" s="663">
        <f t="shared" si="156"/>
        <v>0.3</v>
      </c>
      <c r="BX388" s="918">
        <f t="shared" si="157"/>
        <v>0.3</v>
      </c>
      <c r="BY388" s="674" t="e">
        <f t="shared" si="158"/>
        <v>#DIV/0!</v>
      </c>
      <c r="BZ388" s="674">
        <f t="shared" si="159"/>
        <v>1</v>
      </c>
      <c r="CA388" s="675">
        <f t="shared" si="160"/>
        <v>0</v>
      </c>
      <c r="CB388" s="675" t="e">
        <f t="shared" si="161"/>
        <v>#DIV/0!</v>
      </c>
    </row>
    <row r="389" spans="1:80" ht="46.5" hidden="1" customHeight="1" x14ac:dyDescent="0.25">
      <c r="A389" s="298" t="s">
        <v>1135</v>
      </c>
      <c r="B389" s="299" t="str">
        <f>'PLAN INDICATIVO'!B380</f>
        <v>Fortalecimiento institucional</v>
      </c>
      <c r="C389" s="1547"/>
      <c r="D389" s="1549"/>
      <c r="E389" s="1549"/>
      <c r="F389" s="1549"/>
      <c r="G389" s="1549"/>
      <c r="H389" s="1549"/>
      <c r="I389" s="300">
        <f>'PLAN INDICATIVO'!I380</f>
        <v>0</v>
      </c>
      <c r="J389" s="300">
        <f>'PLAN INDICATIVO'!J380</f>
        <v>0</v>
      </c>
      <c r="K389" s="1425" t="str">
        <f>'PLAN INDICATIVO'!K380</f>
        <v>A.17.1.12</v>
      </c>
      <c r="L389" s="301" t="str">
        <f>'PLAN INDICATIVO'!L380</f>
        <v>16. Paz, justicia e instituciones sólidas</v>
      </c>
      <c r="M389" s="301" t="str">
        <f>'PLAN INDICATIVO'!M380</f>
        <v>Departamento Municipal de Planeación</v>
      </c>
      <c r="N389" s="1425" t="s">
        <v>3555</v>
      </c>
      <c r="O389" s="1425" t="str">
        <f>'PLAN INDICATIVO'!O380</f>
        <v>Mantenimiento</v>
      </c>
      <c r="P389" s="16" t="str">
        <f>'PLAN INDICATIVO'!P380</f>
        <v>Realizar 1 seguimientos al año al  Plan de desarrollo</v>
      </c>
      <c r="Q389" s="302" t="str">
        <f>'PLAN INDICATIVO'!Q380</f>
        <v xml:space="preserve">No. de seguimientos  al PBOT y/o Plan de Desarrollo por año </v>
      </c>
      <c r="R389" s="303">
        <f>'PLAN INDICATIVO'!R380</f>
        <v>2015</v>
      </c>
      <c r="S389" s="304">
        <v>0</v>
      </c>
      <c r="T389" s="498">
        <v>2</v>
      </c>
      <c r="U389" s="303">
        <v>1</v>
      </c>
      <c r="V389" s="687">
        <v>20000000</v>
      </c>
      <c r="W389" s="572">
        <v>1</v>
      </c>
      <c r="X389" s="687">
        <v>40000000</v>
      </c>
      <c r="Y389" s="572">
        <v>1</v>
      </c>
      <c r="Z389" s="687">
        <v>40000000</v>
      </c>
      <c r="AA389" s="572">
        <v>1</v>
      </c>
      <c r="AB389" s="687">
        <v>40000000</v>
      </c>
      <c r="AC389" s="665">
        <v>1</v>
      </c>
      <c r="AD389" s="665">
        <v>1</v>
      </c>
      <c r="AE389" s="665"/>
      <c r="AF389" s="665"/>
      <c r="AG389" s="306" t="s">
        <v>3826</v>
      </c>
      <c r="AH389" s="306">
        <v>2017413960014</v>
      </c>
      <c r="AI389" s="307" t="s">
        <v>3835</v>
      </c>
      <c r="AJ389" s="838">
        <v>42767</v>
      </c>
      <c r="AK389" s="838">
        <v>43099</v>
      </c>
      <c r="AL389" s="308"/>
      <c r="AM389" s="308"/>
      <c r="AN389" s="267" t="s">
        <v>2598</v>
      </c>
      <c r="AO389" s="507" t="s">
        <v>3836</v>
      </c>
      <c r="AP389" s="525"/>
      <c r="AQ389" s="310"/>
      <c r="AR389" s="310"/>
      <c r="AS389" s="310"/>
      <c r="AT389" s="310"/>
      <c r="AU389" s="310"/>
      <c r="AV389" s="310"/>
      <c r="AW389" s="544">
        <f t="shared" si="155"/>
        <v>0</v>
      </c>
      <c r="AX389" s="525"/>
      <c r="AY389" s="310"/>
      <c r="AZ389" s="310"/>
      <c r="BA389" s="310"/>
      <c r="BB389" s="310"/>
      <c r="BC389" s="310"/>
      <c r="BD389" s="310"/>
      <c r="BE389" s="544">
        <f t="shared" si="166"/>
        <v>0</v>
      </c>
      <c r="BF389" s="525"/>
      <c r="BG389" s="310"/>
      <c r="BH389" s="310"/>
      <c r="BI389" s="310"/>
      <c r="BJ389" s="310"/>
      <c r="BK389" s="310"/>
      <c r="BL389" s="310"/>
      <c r="BM389" s="544">
        <f t="shared" si="167"/>
        <v>0</v>
      </c>
      <c r="BN389" s="525"/>
      <c r="BO389" s="310"/>
      <c r="BP389" s="310"/>
      <c r="BQ389" s="310"/>
      <c r="BR389" s="310"/>
      <c r="BS389" s="310"/>
      <c r="BT389" s="310"/>
      <c r="BU389" s="544">
        <f t="shared" si="168"/>
        <v>0</v>
      </c>
      <c r="BV389" s="556"/>
      <c r="BW389" s="663">
        <f t="shared" si="156"/>
        <v>2</v>
      </c>
      <c r="BX389" s="674">
        <f t="shared" si="157"/>
        <v>1</v>
      </c>
      <c r="BY389" s="674">
        <f t="shared" si="158"/>
        <v>1</v>
      </c>
      <c r="BZ389" s="674">
        <f t="shared" si="159"/>
        <v>1</v>
      </c>
      <c r="CA389" s="675">
        <f t="shared" si="160"/>
        <v>0</v>
      </c>
      <c r="CB389" s="675">
        <f t="shared" si="161"/>
        <v>0</v>
      </c>
    </row>
    <row r="390" spans="1:80" s="231" customFormat="1" ht="78.75" hidden="1" customHeight="1" x14ac:dyDescent="0.25">
      <c r="A390" s="354" t="s">
        <v>1135</v>
      </c>
      <c r="B390" s="299" t="str">
        <f>'PLAN INDICATIVO'!B381</f>
        <v>Fortalecimiento institucional</v>
      </c>
      <c r="C390" s="1598"/>
      <c r="D390" s="1600"/>
      <c r="E390" s="1600"/>
      <c r="F390" s="1600"/>
      <c r="G390" s="1600"/>
      <c r="H390" s="1600"/>
      <c r="I390" s="371">
        <f>'PLAN INDICATIVO'!I381</f>
        <v>0</v>
      </c>
      <c r="J390" s="371">
        <f>'PLAN INDICATIVO'!J381</f>
        <v>0</v>
      </c>
      <c r="K390" s="1432" t="str">
        <f>'PLAN INDICATIVO'!K381</f>
        <v>A.17.1.13</v>
      </c>
      <c r="L390" s="372" t="str">
        <f>'PLAN INDICATIVO'!L381</f>
        <v>16. Paz, justicia e instituciones sólidas</v>
      </c>
      <c r="M390" s="372" t="str">
        <f>'PLAN INDICATIVO'!M381</f>
        <v>Secretaría de Gobierno</v>
      </c>
      <c r="N390" s="1425" t="s">
        <v>2791</v>
      </c>
      <c r="O390" s="1432" t="str">
        <f>'PLAN INDICATIVO'!O381</f>
        <v>Incremento</v>
      </c>
      <c r="P390" s="941" t="str">
        <f>'PLAN INDICATIVO'!P381</f>
        <v>Lograr una calificacion de 70 puntos en la política de gobierno digital.</v>
      </c>
      <c r="Q390" s="345" t="str">
        <f>'PLAN INDICATIVO'!Q381</f>
        <v>Puntaje política gobierno digital (DAFP)</v>
      </c>
      <c r="R390" s="346">
        <f>'PLAN INDICATIVO'!R381</f>
        <v>2015</v>
      </c>
      <c r="S390" s="342">
        <v>64</v>
      </c>
      <c r="T390" s="498">
        <v>70</v>
      </c>
      <c r="U390" s="303">
        <v>67</v>
      </c>
      <c r="V390" s="687">
        <v>1000000</v>
      </c>
      <c r="W390" s="66">
        <v>0</v>
      </c>
      <c r="X390" s="687">
        <v>1000000</v>
      </c>
      <c r="Y390" s="572">
        <v>70</v>
      </c>
      <c r="Z390" s="687">
        <v>74000000</v>
      </c>
      <c r="AA390" s="572">
        <v>70</v>
      </c>
      <c r="AB390" s="687">
        <v>1000000</v>
      </c>
      <c r="AC390" s="667">
        <v>71.5</v>
      </c>
      <c r="AD390" s="667">
        <v>71.5</v>
      </c>
      <c r="AE390" s="667"/>
      <c r="AF390" s="667"/>
      <c r="AG390" s="306" t="s">
        <v>3826</v>
      </c>
      <c r="AH390" s="306">
        <v>2017413960014</v>
      </c>
      <c r="AI390" s="336"/>
      <c r="AJ390" s="838">
        <v>42767</v>
      </c>
      <c r="AK390" s="838">
        <v>43099</v>
      </c>
      <c r="AL390" s="337"/>
      <c r="AM390" s="337"/>
      <c r="AN390" s="267" t="s">
        <v>2598</v>
      </c>
      <c r="AO390" s="510"/>
      <c r="AP390" s="528"/>
      <c r="AQ390" s="472"/>
      <c r="AR390" s="472"/>
      <c r="AS390" s="472"/>
      <c r="AT390" s="472"/>
      <c r="AU390" s="472"/>
      <c r="AV390" s="472"/>
      <c r="AW390" s="544">
        <f t="shared" si="155"/>
        <v>0</v>
      </c>
      <c r="AX390" s="528"/>
      <c r="AY390" s="472"/>
      <c r="AZ390" s="472"/>
      <c r="BA390" s="472"/>
      <c r="BB390" s="472"/>
      <c r="BC390" s="472"/>
      <c r="BD390" s="472"/>
      <c r="BE390" s="544">
        <f t="shared" si="166"/>
        <v>0</v>
      </c>
      <c r="BF390" s="528"/>
      <c r="BG390" s="472"/>
      <c r="BH390" s="472"/>
      <c r="BI390" s="472"/>
      <c r="BJ390" s="472"/>
      <c r="BK390" s="472"/>
      <c r="BL390" s="472"/>
      <c r="BM390" s="544">
        <f t="shared" si="167"/>
        <v>0</v>
      </c>
      <c r="BN390" s="528"/>
      <c r="BO390" s="472"/>
      <c r="BP390" s="472"/>
      <c r="BQ390" s="472"/>
      <c r="BR390" s="472"/>
      <c r="BS390" s="472"/>
      <c r="BT390" s="472"/>
      <c r="BU390" s="544">
        <f t="shared" si="168"/>
        <v>0</v>
      </c>
      <c r="BV390" s="653"/>
      <c r="BW390" s="663">
        <f t="shared" si="156"/>
        <v>143</v>
      </c>
      <c r="BX390" s="918">
        <f t="shared" si="157"/>
        <v>2.0428571428571427</v>
      </c>
      <c r="BY390" s="674">
        <f t="shared" si="158"/>
        <v>1.0671641791044777</v>
      </c>
      <c r="BZ390" s="674" t="e">
        <f t="shared" si="159"/>
        <v>#DIV/0!</v>
      </c>
      <c r="CA390" s="675">
        <f t="shared" si="160"/>
        <v>0</v>
      </c>
      <c r="CB390" s="675">
        <f t="shared" si="161"/>
        <v>0</v>
      </c>
    </row>
    <row r="391" spans="1:80" ht="114" hidden="1" customHeight="1" x14ac:dyDescent="0.25">
      <c r="A391" s="298" t="s">
        <v>1135</v>
      </c>
      <c r="B391" s="299" t="str">
        <f>'PLAN INDICATIVO'!B382</f>
        <v>Fortalecimiento institucional</v>
      </c>
      <c r="C391" s="1547"/>
      <c r="D391" s="1549"/>
      <c r="E391" s="1549"/>
      <c r="F391" s="1549"/>
      <c r="G391" s="1549"/>
      <c r="H391" s="1549"/>
      <c r="I391" s="300">
        <f>'PLAN INDICATIVO'!I382</f>
        <v>0</v>
      </c>
      <c r="J391" s="300">
        <f>'PLAN INDICATIVO'!J382</f>
        <v>0</v>
      </c>
      <c r="K391" s="1425" t="str">
        <f>'PLAN INDICATIVO'!K382</f>
        <v>A.17.1.14</v>
      </c>
      <c r="L391" s="301" t="str">
        <f>'PLAN INDICATIVO'!L382</f>
        <v>16. Paz, justicia e instituciones sólidas</v>
      </c>
      <c r="M391" s="301" t="str">
        <f>'PLAN INDICATIVO'!M382</f>
        <v>Secretaría de Gobierno</v>
      </c>
      <c r="N391" s="1425" t="s">
        <v>2791</v>
      </c>
      <c r="O391" s="1425" t="str">
        <f>'PLAN INDICATIVO'!O382</f>
        <v>Incremento</v>
      </c>
      <c r="P391" s="16" t="str">
        <f>'PLAN INDICATIVO'!P382</f>
        <v>Implementar 4 programas durante el cuatrienio para mantenimiento, mejoramiento y dotaciones de software y equipos  para el fortalecimiento institucional municipal</v>
      </c>
      <c r="Q391" s="302" t="str">
        <f>'PLAN INDICATIVO'!Q382</f>
        <v xml:space="preserve">No. Programas implementados </v>
      </c>
      <c r="R391" s="303">
        <f>'PLAN INDICATIVO'!R382</f>
        <v>2015</v>
      </c>
      <c r="S391" s="304">
        <v>1</v>
      </c>
      <c r="T391" s="498">
        <v>4</v>
      </c>
      <c r="U391" s="303">
        <v>1</v>
      </c>
      <c r="V391" s="687">
        <v>27910000</v>
      </c>
      <c r="W391" s="572">
        <v>1</v>
      </c>
      <c r="X391" s="687">
        <v>187000000</v>
      </c>
      <c r="Y391" s="572">
        <v>1</v>
      </c>
      <c r="Z391" s="687">
        <v>210000000</v>
      </c>
      <c r="AA391" s="572">
        <v>1</v>
      </c>
      <c r="AB391" s="687">
        <v>214000000</v>
      </c>
      <c r="AC391" s="665">
        <v>1</v>
      </c>
      <c r="AD391" s="665">
        <v>1</v>
      </c>
      <c r="AE391" s="665"/>
      <c r="AF391" s="665"/>
      <c r="AG391" s="306" t="s">
        <v>3826</v>
      </c>
      <c r="AH391" s="306">
        <v>2017413960014</v>
      </c>
      <c r="AI391" s="307" t="s">
        <v>3837</v>
      </c>
      <c r="AJ391" s="838">
        <v>42767</v>
      </c>
      <c r="AK391" s="838">
        <v>43099</v>
      </c>
      <c r="AL391" s="308"/>
      <c r="AM391" s="308"/>
      <c r="AN391" s="281" t="s">
        <v>2598</v>
      </c>
      <c r="AO391" s="507" t="s">
        <v>3838</v>
      </c>
      <c r="AP391" s="525">
        <v>21780570</v>
      </c>
      <c r="AQ391" s="310"/>
      <c r="AR391" s="310"/>
      <c r="AS391" s="310"/>
      <c r="AT391" s="310"/>
      <c r="AU391" s="310"/>
      <c r="AV391" s="310"/>
      <c r="AW391" s="544">
        <f t="shared" ref="AW391:AW449" si="181">SUM(AP391:AV391)</f>
        <v>21780570</v>
      </c>
      <c r="AX391" s="525"/>
      <c r="AY391" s="310"/>
      <c r="AZ391" s="310"/>
      <c r="BA391" s="310"/>
      <c r="BB391" s="310"/>
      <c r="BC391" s="310"/>
      <c r="BD391" s="310"/>
      <c r="BE391" s="544">
        <f t="shared" si="166"/>
        <v>0</v>
      </c>
      <c r="BF391" s="525"/>
      <c r="BG391" s="310"/>
      <c r="BH391" s="310"/>
      <c r="BI391" s="310"/>
      <c r="BJ391" s="310"/>
      <c r="BK391" s="310"/>
      <c r="BL391" s="310"/>
      <c r="BM391" s="544">
        <f t="shared" si="167"/>
        <v>0</v>
      </c>
      <c r="BN391" s="525"/>
      <c r="BO391" s="310"/>
      <c r="BP391" s="310"/>
      <c r="BQ391" s="310"/>
      <c r="BR391" s="310"/>
      <c r="BS391" s="310"/>
      <c r="BT391" s="310"/>
      <c r="BU391" s="544">
        <f t="shared" si="168"/>
        <v>0</v>
      </c>
      <c r="BV391" s="556"/>
      <c r="BW391" s="663">
        <f t="shared" si="156"/>
        <v>2</v>
      </c>
      <c r="BX391" s="674">
        <f t="shared" si="157"/>
        <v>0.5</v>
      </c>
      <c r="BY391" s="674">
        <f t="shared" si="158"/>
        <v>1</v>
      </c>
      <c r="BZ391" s="674">
        <f t="shared" si="159"/>
        <v>1</v>
      </c>
      <c r="CA391" s="675">
        <f t="shared" si="160"/>
        <v>0</v>
      </c>
      <c r="CB391" s="675">
        <f t="shared" si="161"/>
        <v>0</v>
      </c>
    </row>
    <row r="392" spans="1:80" s="231" customFormat="1" ht="66.75" hidden="1" customHeight="1" x14ac:dyDescent="0.25">
      <c r="A392" s="354" t="s">
        <v>1135</v>
      </c>
      <c r="B392" s="299" t="str">
        <f>'PLAN INDICATIVO'!B383</f>
        <v>Fortalecimiento institucional</v>
      </c>
      <c r="C392" s="1599"/>
      <c r="D392" s="1601"/>
      <c r="E392" s="1601"/>
      <c r="F392" s="1601"/>
      <c r="G392" s="1601"/>
      <c r="H392" s="1601"/>
      <c r="I392" s="371">
        <f>'PLAN INDICATIVO'!I383</f>
        <v>0</v>
      </c>
      <c r="J392" s="371">
        <f>'PLAN INDICATIVO'!J383</f>
        <v>0</v>
      </c>
      <c r="K392" s="1432" t="str">
        <f>'PLAN INDICATIVO'!K383</f>
        <v>A.17.1.15</v>
      </c>
      <c r="L392" s="372" t="str">
        <f>'PLAN INDICATIVO'!L383</f>
        <v>16. Paz, justicia e instituciones sólidas</v>
      </c>
      <c r="M392" s="372" t="str">
        <f>'PLAN INDICATIVO'!M383</f>
        <v>Departamento Municipal de Planeación</v>
      </c>
      <c r="N392" s="1425" t="s">
        <v>2791</v>
      </c>
      <c r="O392" s="1432" t="str">
        <f>'PLAN INDICATIVO'!O383</f>
        <v>Mantenimiento</v>
      </c>
      <c r="P392" s="941" t="str">
        <f>'PLAN INDICATIVO'!P383</f>
        <v>Lograr una calificación de 80 puntos en la dimensión de control interno del MIPG</v>
      </c>
      <c r="Q392" s="302" t="str">
        <f>'PLAN INDICATIVO'!Q383</f>
        <v>Lograr una calificación de 80 puntos en la dimensión de control interno del MIPG</v>
      </c>
      <c r="R392" s="303">
        <f>'PLAN INDICATIVO'!R383</f>
        <v>2015</v>
      </c>
      <c r="S392" s="304">
        <v>97.65</v>
      </c>
      <c r="T392" s="498">
        <v>90</v>
      </c>
      <c r="U392" s="303">
        <v>90</v>
      </c>
      <c r="V392" s="687">
        <v>6000000</v>
      </c>
      <c r="W392" s="572">
        <v>90</v>
      </c>
      <c r="X392" s="687">
        <v>36000000</v>
      </c>
      <c r="Y392" s="572">
        <v>80</v>
      </c>
      <c r="Z392" s="687">
        <v>20000000</v>
      </c>
      <c r="AA392" s="572">
        <v>90</v>
      </c>
      <c r="AB392" s="687">
        <v>50000000</v>
      </c>
      <c r="AC392" s="667">
        <v>68.42</v>
      </c>
      <c r="AD392" s="667">
        <v>73.2</v>
      </c>
      <c r="AE392" s="667"/>
      <c r="AF392" s="667"/>
      <c r="AG392" s="306" t="s">
        <v>3826</v>
      </c>
      <c r="AH392" s="306">
        <v>2017413960014</v>
      </c>
      <c r="AI392" s="336"/>
      <c r="AJ392" s="838">
        <v>42767</v>
      </c>
      <c r="AK392" s="838">
        <v>43099</v>
      </c>
      <c r="AL392" s="337"/>
      <c r="AM392" s="337"/>
      <c r="AN392" s="281" t="s">
        <v>2604</v>
      </c>
      <c r="AO392" s="510"/>
      <c r="AP392" s="528"/>
      <c r="AQ392" s="472"/>
      <c r="AR392" s="472"/>
      <c r="AS392" s="472"/>
      <c r="AT392" s="472"/>
      <c r="AU392" s="472"/>
      <c r="AV392" s="472"/>
      <c r="AW392" s="544">
        <f t="shared" si="181"/>
        <v>0</v>
      </c>
      <c r="AX392" s="528"/>
      <c r="AY392" s="472"/>
      <c r="AZ392" s="472"/>
      <c r="BA392" s="472"/>
      <c r="BB392" s="472"/>
      <c r="BC392" s="472"/>
      <c r="BD392" s="472"/>
      <c r="BE392" s="544">
        <f t="shared" si="166"/>
        <v>0</v>
      </c>
      <c r="BF392" s="528"/>
      <c r="BG392" s="472"/>
      <c r="BH392" s="472"/>
      <c r="BI392" s="472"/>
      <c r="BJ392" s="472"/>
      <c r="BK392" s="472"/>
      <c r="BL392" s="472"/>
      <c r="BM392" s="544">
        <f t="shared" si="167"/>
        <v>0</v>
      </c>
      <c r="BN392" s="528"/>
      <c r="BO392" s="472"/>
      <c r="BP392" s="472"/>
      <c r="BQ392" s="472"/>
      <c r="BR392" s="472"/>
      <c r="BS392" s="472"/>
      <c r="BT392" s="472"/>
      <c r="BU392" s="544">
        <f t="shared" si="168"/>
        <v>0</v>
      </c>
      <c r="BV392" s="653"/>
      <c r="BW392" s="663">
        <f t="shared" si="156"/>
        <v>141.62</v>
      </c>
      <c r="BX392" s="674">
        <f t="shared" si="157"/>
        <v>1.5735555555555556</v>
      </c>
      <c r="BY392" s="674">
        <f t="shared" si="158"/>
        <v>0.76022222222222224</v>
      </c>
      <c r="BZ392" s="674">
        <f t="shared" si="159"/>
        <v>0.81333333333333335</v>
      </c>
      <c r="CA392" s="675">
        <f t="shared" si="160"/>
        <v>0</v>
      </c>
      <c r="CB392" s="675">
        <f t="shared" si="161"/>
        <v>0</v>
      </c>
    </row>
    <row r="393" spans="1:80" ht="52.5" hidden="1" customHeight="1" x14ac:dyDescent="0.25">
      <c r="A393" s="298" t="s">
        <v>1135</v>
      </c>
      <c r="B393" s="299" t="str">
        <f>'PLAN INDICATIVO'!B384</f>
        <v>Fortalecimiento institucional</v>
      </c>
      <c r="C393" s="1547"/>
      <c r="D393" s="1549"/>
      <c r="E393" s="1549"/>
      <c r="F393" s="1549"/>
      <c r="G393" s="1549"/>
      <c r="H393" s="1549"/>
      <c r="I393" s="300">
        <f>'PLAN INDICATIVO'!I384</f>
        <v>0</v>
      </c>
      <c r="J393" s="300">
        <f>'PLAN INDICATIVO'!J384</f>
        <v>0</v>
      </c>
      <c r="K393" s="1425" t="str">
        <f>'PLAN INDICATIVO'!K384</f>
        <v>A.17.1.16</v>
      </c>
      <c r="L393" s="301" t="str">
        <f>'PLAN INDICATIVO'!L384</f>
        <v>16. Paz, justicia e instituciones sólidas</v>
      </c>
      <c r="M393" s="301" t="str">
        <f>'PLAN INDICATIVO'!M384</f>
        <v>Departamento Municipal de Planeación</v>
      </c>
      <c r="N393" s="1425" t="s">
        <v>2791</v>
      </c>
      <c r="O393" s="1425" t="str">
        <f>'PLAN INDICATIVO'!O384</f>
        <v>Mantenimiento</v>
      </c>
      <c r="P393" s="16" t="str">
        <f>'PLAN INDICATIVO'!P384</f>
        <v>Lograr una calificación de 80 puntos en el índice de desempeño Institucional del MIPG</v>
      </c>
      <c r="Q393" s="302" t="str">
        <f>'PLAN INDICATIVO'!Q384</f>
        <v>Indice desempeño institucional (DAFP)</v>
      </c>
      <c r="R393" s="303">
        <f>'PLAN INDICATIVO'!R384</f>
        <v>2015</v>
      </c>
      <c r="S393" s="304">
        <v>0</v>
      </c>
      <c r="T393" s="498">
        <v>1</v>
      </c>
      <c r="U393" s="934">
        <v>0.25</v>
      </c>
      <c r="V393" s="687">
        <v>6000000</v>
      </c>
      <c r="W393" s="934">
        <v>0.25</v>
      </c>
      <c r="X393" s="687">
        <v>1000000</v>
      </c>
      <c r="Y393" s="934">
        <v>0.25</v>
      </c>
      <c r="Z393" s="687">
        <v>1000000</v>
      </c>
      <c r="AA393" s="934">
        <v>0.25</v>
      </c>
      <c r="AB393" s="687">
        <v>53000000</v>
      </c>
      <c r="AC393" s="665">
        <v>0.25</v>
      </c>
      <c r="AD393" s="665">
        <v>0.25</v>
      </c>
      <c r="AE393" s="665"/>
      <c r="AF393" s="665"/>
      <c r="AG393" s="306" t="s">
        <v>3826</v>
      </c>
      <c r="AH393" s="306">
        <v>2017413960014</v>
      </c>
      <c r="AI393" s="307" t="s">
        <v>3839</v>
      </c>
      <c r="AJ393" s="335" t="s">
        <v>3840</v>
      </c>
      <c r="AK393" s="335">
        <v>42993</v>
      </c>
      <c r="AL393" s="308"/>
      <c r="AM393" s="308"/>
      <c r="AN393" s="281" t="s">
        <v>2598</v>
      </c>
      <c r="AO393" s="507"/>
      <c r="AP393" s="525"/>
      <c r="AQ393" s="310"/>
      <c r="AR393" s="310"/>
      <c r="AS393" s="310"/>
      <c r="AT393" s="310"/>
      <c r="AU393" s="310"/>
      <c r="AV393" s="310"/>
      <c r="AW393" s="544">
        <f t="shared" si="181"/>
        <v>0</v>
      </c>
      <c r="AX393" s="525"/>
      <c r="AY393" s="310"/>
      <c r="AZ393" s="310"/>
      <c r="BA393" s="310"/>
      <c r="BB393" s="310"/>
      <c r="BC393" s="310"/>
      <c r="BD393" s="310"/>
      <c r="BE393" s="544">
        <f t="shared" si="166"/>
        <v>0</v>
      </c>
      <c r="BF393" s="525"/>
      <c r="BG393" s="310"/>
      <c r="BH393" s="310"/>
      <c r="BI393" s="310"/>
      <c r="BJ393" s="310"/>
      <c r="BK393" s="310"/>
      <c r="BL393" s="310"/>
      <c r="BM393" s="544">
        <f t="shared" si="167"/>
        <v>0</v>
      </c>
      <c r="BN393" s="525"/>
      <c r="BO393" s="310"/>
      <c r="BP393" s="310"/>
      <c r="BQ393" s="310"/>
      <c r="BR393" s="310"/>
      <c r="BS393" s="310"/>
      <c r="BT393" s="310"/>
      <c r="BU393" s="544">
        <f t="shared" si="168"/>
        <v>0</v>
      </c>
      <c r="BV393" s="556"/>
      <c r="BW393" s="663">
        <f t="shared" si="156"/>
        <v>0.5</v>
      </c>
      <c r="BX393" s="674">
        <f t="shared" si="157"/>
        <v>0.5</v>
      </c>
      <c r="BY393" s="674">
        <f t="shared" si="158"/>
        <v>1</v>
      </c>
      <c r="BZ393" s="674">
        <f t="shared" si="159"/>
        <v>1</v>
      </c>
      <c r="CA393" s="675">
        <f t="shared" si="160"/>
        <v>0</v>
      </c>
      <c r="CB393" s="675">
        <f t="shared" si="161"/>
        <v>0</v>
      </c>
    </row>
    <row r="394" spans="1:80" ht="81.75" hidden="1" customHeight="1" x14ac:dyDescent="0.25">
      <c r="A394" s="298" t="s">
        <v>1135</v>
      </c>
      <c r="B394" s="299" t="str">
        <f>'PLAN INDICATIVO'!B385</f>
        <v>Fortalecimiento institucional</v>
      </c>
      <c r="C394" s="1547"/>
      <c r="D394" s="1549"/>
      <c r="E394" s="1549"/>
      <c r="F394" s="1549"/>
      <c r="G394" s="1549"/>
      <c r="H394" s="1549"/>
      <c r="I394" s="300">
        <f>'PLAN INDICATIVO'!I385</f>
        <v>0</v>
      </c>
      <c r="J394" s="300">
        <f>'PLAN INDICATIVO'!J385</f>
        <v>0</v>
      </c>
      <c r="K394" s="1425" t="str">
        <f>'PLAN INDICATIVO'!K385</f>
        <v>A.17.1.17</v>
      </c>
      <c r="L394" s="301" t="str">
        <f>'PLAN INDICATIVO'!L385</f>
        <v>16. Paz, justicia e instituciones sólidas</v>
      </c>
      <c r="M394" s="301" t="str">
        <f>'PLAN INDICATIVO'!M385</f>
        <v>Secretaría de Gobierno</v>
      </c>
      <c r="N394" s="1425" t="s">
        <v>2791</v>
      </c>
      <c r="O394" s="1425" t="str">
        <f>'PLAN INDICATIVO'!O385</f>
        <v>Incremento</v>
      </c>
      <c r="P394" s="16" t="str">
        <f>'PLAN INDICATIVO'!P385</f>
        <v>Apoyar 2 proyectos durante el cuatrienio encaminados a fortalecer los semilleros de investigación</v>
      </c>
      <c r="Q394" s="302" t="str">
        <f>'PLAN INDICATIVO'!Q385</f>
        <v>No. De proyectos apoyados</v>
      </c>
      <c r="R394" s="303">
        <f>'PLAN INDICATIVO'!R385</f>
        <v>2015</v>
      </c>
      <c r="S394" s="304">
        <v>0</v>
      </c>
      <c r="T394" s="498">
        <v>2</v>
      </c>
      <c r="U394" s="846">
        <v>0</v>
      </c>
      <c r="V394" s="687"/>
      <c r="W394" s="572">
        <v>0</v>
      </c>
      <c r="X394" s="687"/>
      <c r="Y394" s="572">
        <v>1</v>
      </c>
      <c r="Z394" s="687">
        <v>1000000</v>
      </c>
      <c r="AA394" s="572">
        <v>1</v>
      </c>
      <c r="AB394" s="687">
        <v>1000000</v>
      </c>
      <c r="AC394" s="665"/>
      <c r="AD394" s="665"/>
      <c r="AE394" s="665"/>
      <c r="AF394" s="665"/>
      <c r="AG394" s="306" t="s">
        <v>3826</v>
      </c>
      <c r="AH394" s="306">
        <v>2017413960014</v>
      </c>
      <c r="AI394" s="307"/>
      <c r="AJ394" s="308"/>
      <c r="AK394" s="308"/>
      <c r="AL394" s="308"/>
      <c r="AM394" s="308"/>
      <c r="AN394" s="281" t="s">
        <v>2594</v>
      </c>
      <c r="AO394" s="507"/>
      <c r="AP394" s="525"/>
      <c r="AQ394" s="310"/>
      <c r="AR394" s="310"/>
      <c r="AS394" s="310"/>
      <c r="AT394" s="310"/>
      <c r="AU394" s="310"/>
      <c r="AV394" s="310"/>
      <c r="AW394" s="544">
        <f t="shared" si="181"/>
        <v>0</v>
      </c>
      <c r="AX394" s="525"/>
      <c r="AY394" s="310"/>
      <c r="AZ394" s="310"/>
      <c r="BA394" s="310"/>
      <c r="BB394" s="310"/>
      <c r="BC394" s="310"/>
      <c r="BD394" s="310"/>
      <c r="BE394" s="544">
        <f t="shared" si="166"/>
        <v>0</v>
      </c>
      <c r="BF394" s="525"/>
      <c r="BG394" s="310"/>
      <c r="BH394" s="310"/>
      <c r="BI394" s="310"/>
      <c r="BJ394" s="310"/>
      <c r="BK394" s="310"/>
      <c r="BL394" s="310"/>
      <c r="BM394" s="544">
        <f t="shared" si="167"/>
        <v>0</v>
      </c>
      <c r="BN394" s="525"/>
      <c r="BO394" s="310"/>
      <c r="BP394" s="310"/>
      <c r="BQ394" s="310"/>
      <c r="BR394" s="310"/>
      <c r="BS394" s="310"/>
      <c r="BT394" s="310"/>
      <c r="BU394" s="544">
        <f t="shared" si="168"/>
        <v>0</v>
      </c>
      <c r="BV394" s="556"/>
      <c r="BW394" s="663">
        <f t="shared" si="156"/>
        <v>0</v>
      </c>
      <c r="BX394" s="918">
        <f t="shared" si="157"/>
        <v>0</v>
      </c>
      <c r="BY394" s="674" t="e">
        <f t="shared" si="158"/>
        <v>#DIV/0!</v>
      </c>
      <c r="BZ394" s="674" t="e">
        <f t="shared" si="159"/>
        <v>#DIV/0!</v>
      </c>
      <c r="CA394" s="675">
        <f t="shared" si="160"/>
        <v>0</v>
      </c>
      <c r="CB394" s="675">
        <f t="shared" si="161"/>
        <v>0</v>
      </c>
    </row>
    <row r="395" spans="1:80" ht="76.5" hidden="1" customHeight="1" x14ac:dyDescent="0.25">
      <c r="A395" s="298" t="s">
        <v>1135</v>
      </c>
      <c r="B395" s="299" t="str">
        <f>'PLAN INDICATIVO'!B386</f>
        <v>Fortalecimiento institucional</v>
      </c>
      <c r="C395" s="1547"/>
      <c r="D395" s="1549"/>
      <c r="E395" s="1549"/>
      <c r="F395" s="1549"/>
      <c r="G395" s="1549"/>
      <c r="H395" s="1549"/>
      <c r="I395" s="300">
        <f>'PLAN INDICATIVO'!I386</f>
        <v>0</v>
      </c>
      <c r="J395" s="300">
        <f>'PLAN INDICATIVO'!J386</f>
        <v>0</v>
      </c>
      <c r="K395" s="1425" t="str">
        <f>'PLAN INDICATIVO'!K386</f>
        <v>A.17.1.18</v>
      </c>
      <c r="L395" s="301" t="str">
        <f>'PLAN INDICATIVO'!L386</f>
        <v>16. Paz, justicia e instituciones sólidas</v>
      </c>
      <c r="M395" s="301" t="str">
        <f>'PLAN INDICATIVO'!M386</f>
        <v>Secretaría de Gobierno</v>
      </c>
      <c r="N395" s="1425" t="s">
        <v>2791</v>
      </c>
      <c r="O395" s="1425" t="str">
        <f>'PLAN INDICATIVO'!O386</f>
        <v>Incremento</v>
      </c>
      <c r="P395" s="16" t="str">
        <f>'PLAN INDICATIVO'!P386</f>
        <v>Implementar 2 Campañas para mejorar el uso de material obsoleto y reciclaje de equipos de cómputo</v>
      </c>
      <c r="Q395" s="302" t="str">
        <f>'PLAN INDICATIVO'!Q386</f>
        <v>No. De campañas implementadas</v>
      </c>
      <c r="R395" s="303">
        <f>'PLAN INDICATIVO'!R386</f>
        <v>2015</v>
      </c>
      <c r="S395" s="304">
        <v>0</v>
      </c>
      <c r="T395" s="498">
        <v>2</v>
      </c>
      <c r="U395" s="303">
        <v>0</v>
      </c>
      <c r="V395" s="687"/>
      <c r="W395" s="572">
        <v>0</v>
      </c>
      <c r="X395" s="687"/>
      <c r="Y395" s="572">
        <v>1</v>
      </c>
      <c r="Z395" s="687">
        <v>1000000</v>
      </c>
      <c r="AA395" s="572">
        <v>0</v>
      </c>
      <c r="AB395" s="687"/>
      <c r="AC395" s="665">
        <v>1</v>
      </c>
      <c r="AD395" s="665">
        <v>0</v>
      </c>
      <c r="AE395" s="665"/>
      <c r="AF395" s="665"/>
      <c r="AG395" s="306" t="s">
        <v>3826</v>
      </c>
      <c r="AH395" s="306">
        <v>2017413960014</v>
      </c>
      <c r="AI395" s="307" t="s">
        <v>3841</v>
      </c>
      <c r="AJ395" s="335"/>
      <c r="AK395" s="335"/>
      <c r="AL395" s="308"/>
      <c r="AM395" s="308" t="s">
        <v>2717</v>
      </c>
      <c r="AN395" s="281" t="s">
        <v>2594</v>
      </c>
      <c r="AO395" s="507"/>
      <c r="AP395" s="525"/>
      <c r="AQ395" s="310"/>
      <c r="AR395" s="310"/>
      <c r="AS395" s="310"/>
      <c r="AT395" s="310"/>
      <c r="AU395" s="310"/>
      <c r="AV395" s="310"/>
      <c r="AW395" s="544">
        <f t="shared" si="181"/>
        <v>0</v>
      </c>
      <c r="AX395" s="525"/>
      <c r="AY395" s="310"/>
      <c r="AZ395" s="310"/>
      <c r="BA395" s="310"/>
      <c r="BB395" s="310"/>
      <c r="BC395" s="310"/>
      <c r="BD395" s="310"/>
      <c r="BE395" s="544">
        <f t="shared" si="166"/>
        <v>0</v>
      </c>
      <c r="BF395" s="525"/>
      <c r="BG395" s="310"/>
      <c r="BH395" s="310"/>
      <c r="BI395" s="310"/>
      <c r="BJ395" s="310"/>
      <c r="BK395" s="310"/>
      <c r="BL395" s="310"/>
      <c r="BM395" s="544">
        <f t="shared" si="167"/>
        <v>0</v>
      </c>
      <c r="BN395" s="525"/>
      <c r="BO395" s="310"/>
      <c r="BP395" s="310"/>
      <c r="BQ395" s="310"/>
      <c r="BR395" s="310"/>
      <c r="BS395" s="310"/>
      <c r="BT395" s="310"/>
      <c r="BU395" s="544">
        <f t="shared" si="168"/>
        <v>0</v>
      </c>
      <c r="BV395" s="556"/>
      <c r="BW395" s="663">
        <f t="shared" ref="BW395:BW458" si="182">AC395+AD395+AE395+AF395</f>
        <v>1</v>
      </c>
      <c r="BX395" s="674">
        <f t="shared" ref="BX395:BX458" si="183">BW395/T395</f>
        <v>0.5</v>
      </c>
      <c r="BY395" s="674" t="e">
        <f t="shared" ref="BY395:BY458" si="184">AC395/U395</f>
        <v>#DIV/0!</v>
      </c>
      <c r="BZ395" s="674" t="e">
        <f t="shared" ref="BZ395:BZ458" si="185">AD395/W395</f>
        <v>#DIV/0!</v>
      </c>
      <c r="CA395" s="675">
        <f t="shared" ref="CA395:CA458" si="186">AE395/Y395</f>
        <v>0</v>
      </c>
      <c r="CB395" s="675" t="e">
        <f t="shared" ref="CB395:CB458" si="187">AF395/AA395</f>
        <v>#DIV/0!</v>
      </c>
    </row>
    <row r="396" spans="1:80" ht="54.75" hidden="1" customHeight="1" x14ac:dyDescent="0.25">
      <c r="A396" s="298" t="s">
        <v>1135</v>
      </c>
      <c r="B396" s="299" t="str">
        <f>'PLAN INDICATIVO'!B387</f>
        <v>Fortalecimiento institucional</v>
      </c>
      <c r="C396" s="1547"/>
      <c r="D396" s="1549"/>
      <c r="E396" s="1549"/>
      <c r="F396" s="1549"/>
      <c r="G396" s="1549"/>
      <c r="H396" s="1549"/>
      <c r="I396" s="300">
        <f>'PLAN INDICATIVO'!I387</f>
        <v>0</v>
      </c>
      <c r="J396" s="300">
        <f>'PLAN INDICATIVO'!J387</f>
        <v>0</v>
      </c>
      <c r="K396" s="1425" t="str">
        <f>'PLAN INDICATIVO'!K387</f>
        <v>A.17.1.19</v>
      </c>
      <c r="L396" s="301" t="str">
        <f>'PLAN INDICATIVO'!L387</f>
        <v>16. Paz, justicia e instituciones sólidas</v>
      </c>
      <c r="M396" s="301" t="str">
        <f>'PLAN INDICATIVO'!M387</f>
        <v>Departamento Municipal de Planeación</v>
      </c>
      <c r="N396" s="1425" t="s">
        <v>3555</v>
      </c>
      <c r="O396" s="1425" t="str">
        <f>'PLAN INDICATIVO'!O387</f>
        <v>Incremento</v>
      </c>
      <c r="P396" s="16" t="str">
        <f>'PLAN INDICATIVO'!P387</f>
        <v>Realizar 4  audiencias de rendición de cuentas con uso de las TIC</v>
      </c>
      <c r="Q396" s="302" t="str">
        <f>'PLAN INDICATIVO'!Q387</f>
        <v>No, de informes de audiencias de rendición realizados</v>
      </c>
      <c r="R396" s="303">
        <f>'PLAN INDICATIVO'!R387</f>
        <v>2015</v>
      </c>
      <c r="S396" s="304">
        <v>1</v>
      </c>
      <c r="T396" s="498">
        <v>4</v>
      </c>
      <c r="U396" s="303">
        <v>1</v>
      </c>
      <c r="V396" s="687">
        <v>10000000</v>
      </c>
      <c r="W396" s="572">
        <v>1</v>
      </c>
      <c r="X396" s="687">
        <v>10000000</v>
      </c>
      <c r="Y396" s="572">
        <v>1</v>
      </c>
      <c r="Z396" s="687">
        <v>20000000</v>
      </c>
      <c r="AA396" s="572">
        <v>1</v>
      </c>
      <c r="AB396" s="687">
        <v>20000000</v>
      </c>
      <c r="AC396" s="665">
        <v>1</v>
      </c>
      <c r="AD396" s="665">
        <v>1</v>
      </c>
      <c r="AE396" s="665"/>
      <c r="AF396" s="665"/>
      <c r="AG396" s="306" t="s">
        <v>3826</v>
      </c>
      <c r="AH396" s="306">
        <v>2017413960014</v>
      </c>
      <c r="AI396" s="307" t="s">
        <v>3842</v>
      </c>
      <c r="AJ396" s="308"/>
      <c r="AK396" s="308"/>
      <c r="AL396" s="308"/>
      <c r="AM396" s="308"/>
      <c r="AN396" s="267" t="s">
        <v>2598</v>
      </c>
      <c r="AO396" s="507"/>
      <c r="AP396" s="525"/>
      <c r="AQ396" s="310"/>
      <c r="AR396" s="310"/>
      <c r="AS396" s="310"/>
      <c r="AT396" s="310"/>
      <c r="AU396" s="310"/>
      <c r="AV396" s="310"/>
      <c r="AW396" s="544">
        <f t="shared" si="181"/>
        <v>0</v>
      </c>
      <c r="AX396" s="525"/>
      <c r="AY396" s="310"/>
      <c r="AZ396" s="310"/>
      <c r="BA396" s="310"/>
      <c r="BB396" s="310"/>
      <c r="BC396" s="310"/>
      <c r="BD396" s="310"/>
      <c r="BE396" s="544">
        <f t="shared" si="166"/>
        <v>0</v>
      </c>
      <c r="BF396" s="525"/>
      <c r="BG396" s="310"/>
      <c r="BH396" s="310"/>
      <c r="BI396" s="310"/>
      <c r="BJ396" s="310"/>
      <c r="BK396" s="310"/>
      <c r="BL396" s="310"/>
      <c r="BM396" s="544">
        <f t="shared" si="167"/>
        <v>0</v>
      </c>
      <c r="BN396" s="525"/>
      <c r="BO396" s="310"/>
      <c r="BP396" s="310"/>
      <c r="BQ396" s="310"/>
      <c r="BR396" s="310"/>
      <c r="BS396" s="310"/>
      <c r="BT396" s="310"/>
      <c r="BU396" s="544">
        <f t="shared" si="168"/>
        <v>0</v>
      </c>
      <c r="BV396" s="556"/>
      <c r="BW396" s="663">
        <f t="shared" si="182"/>
        <v>2</v>
      </c>
      <c r="BX396" s="674">
        <f t="shared" si="183"/>
        <v>0.5</v>
      </c>
      <c r="BY396" s="674">
        <f t="shared" si="184"/>
        <v>1</v>
      </c>
      <c r="BZ396" s="674">
        <f t="shared" si="185"/>
        <v>1</v>
      </c>
      <c r="CA396" s="675">
        <f t="shared" si="186"/>
        <v>0</v>
      </c>
      <c r="CB396" s="675">
        <f t="shared" si="187"/>
        <v>0</v>
      </c>
    </row>
    <row r="397" spans="1:80" ht="48.75" hidden="1" customHeight="1" x14ac:dyDescent="0.25">
      <c r="A397" s="298" t="s">
        <v>1135</v>
      </c>
      <c r="B397" s="299" t="str">
        <f>'PLAN INDICATIVO'!B388</f>
        <v>Fortalecimiento institucional</v>
      </c>
      <c r="C397" s="1547"/>
      <c r="D397" s="1549"/>
      <c r="E397" s="1549"/>
      <c r="F397" s="1549"/>
      <c r="G397" s="1549"/>
      <c r="H397" s="1549"/>
      <c r="I397" s="300">
        <f>'PLAN INDICATIVO'!I388</f>
        <v>0</v>
      </c>
      <c r="J397" s="300">
        <f>'PLAN INDICATIVO'!J388</f>
        <v>0</v>
      </c>
      <c r="K397" s="1425" t="str">
        <f>'PLAN INDICATIVO'!K388</f>
        <v>A.17.1.20</v>
      </c>
      <c r="L397" s="301" t="str">
        <f>'PLAN INDICATIVO'!L388</f>
        <v>16. Paz, justicia e instituciones sólidas</v>
      </c>
      <c r="M397" s="301" t="str">
        <f>'PLAN INDICATIVO'!M388</f>
        <v>Secretaría de Gobierno</v>
      </c>
      <c r="N397" s="1425" t="s">
        <v>2791</v>
      </c>
      <c r="O397" s="1425" t="str">
        <f>'PLAN INDICATIVO'!O388</f>
        <v>Incremento</v>
      </c>
      <c r="P397" s="16" t="str">
        <f>'PLAN INDICATIVO'!P388</f>
        <v>Integrar 2 trámites o servicios a la plataforma NO mas filas</v>
      </c>
      <c r="Q397" s="302" t="str">
        <f>'PLAN INDICATIVO'!Q388</f>
        <v>No. De trámites o servicios integrados</v>
      </c>
      <c r="R397" s="303">
        <f>'PLAN INDICATIVO'!R388</f>
        <v>2015</v>
      </c>
      <c r="S397" s="304">
        <v>0</v>
      </c>
      <c r="T397" s="498">
        <v>2</v>
      </c>
      <c r="U397" s="303">
        <v>0</v>
      </c>
      <c r="V397" s="687"/>
      <c r="W397" s="572">
        <v>1</v>
      </c>
      <c r="X397" s="687">
        <v>1000000</v>
      </c>
      <c r="Y397" s="572">
        <v>1</v>
      </c>
      <c r="Z397" s="687">
        <v>10000000</v>
      </c>
      <c r="AA397" s="572">
        <v>0</v>
      </c>
      <c r="AB397" s="687"/>
      <c r="AC397" s="665">
        <v>0</v>
      </c>
      <c r="AD397" s="665">
        <v>0.2</v>
      </c>
      <c r="AE397" s="665"/>
      <c r="AF397" s="665"/>
      <c r="AG397" s="306" t="s">
        <v>3826</v>
      </c>
      <c r="AH397" s="306">
        <v>2017413960014</v>
      </c>
      <c r="AI397" s="307" t="s">
        <v>3843</v>
      </c>
      <c r="AJ397" s="838">
        <v>42795</v>
      </c>
      <c r="AK397" s="838">
        <v>43069</v>
      </c>
      <c r="AL397" s="308"/>
      <c r="AM397" s="308"/>
      <c r="AN397" s="281" t="s">
        <v>2604</v>
      </c>
      <c r="AO397" s="507"/>
      <c r="AP397" s="525"/>
      <c r="AQ397" s="310"/>
      <c r="AR397" s="310"/>
      <c r="AS397" s="310"/>
      <c r="AT397" s="310"/>
      <c r="AU397" s="310"/>
      <c r="AV397" s="310"/>
      <c r="AW397" s="544">
        <f t="shared" si="181"/>
        <v>0</v>
      </c>
      <c r="AX397" s="525"/>
      <c r="AY397" s="310"/>
      <c r="AZ397" s="310"/>
      <c r="BA397" s="310"/>
      <c r="BB397" s="310"/>
      <c r="BC397" s="310"/>
      <c r="BD397" s="310"/>
      <c r="BE397" s="544">
        <f t="shared" si="166"/>
        <v>0</v>
      </c>
      <c r="BF397" s="525"/>
      <c r="BG397" s="310"/>
      <c r="BH397" s="310"/>
      <c r="BI397" s="310"/>
      <c r="BJ397" s="310"/>
      <c r="BK397" s="310"/>
      <c r="BL397" s="310"/>
      <c r="BM397" s="544">
        <f t="shared" si="167"/>
        <v>0</v>
      </c>
      <c r="BN397" s="525"/>
      <c r="BO397" s="310"/>
      <c r="BP397" s="310"/>
      <c r="BQ397" s="310"/>
      <c r="BR397" s="310"/>
      <c r="BS397" s="310"/>
      <c r="BT397" s="310"/>
      <c r="BU397" s="544">
        <f t="shared" si="168"/>
        <v>0</v>
      </c>
      <c r="BV397" s="556"/>
      <c r="BW397" s="663">
        <f t="shared" si="182"/>
        <v>0.2</v>
      </c>
      <c r="BX397" s="918">
        <f t="shared" si="183"/>
        <v>0.1</v>
      </c>
      <c r="BY397" s="674" t="e">
        <f t="shared" si="184"/>
        <v>#DIV/0!</v>
      </c>
      <c r="BZ397" s="674">
        <f t="shared" si="185"/>
        <v>0.2</v>
      </c>
      <c r="CA397" s="675">
        <f t="shared" si="186"/>
        <v>0</v>
      </c>
      <c r="CB397" s="675" t="e">
        <f t="shared" si="187"/>
        <v>#DIV/0!</v>
      </c>
    </row>
    <row r="398" spans="1:80" ht="81.75" hidden="1" customHeight="1" x14ac:dyDescent="0.25">
      <c r="A398" s="298" t="s">
        <v>1135</v>
      </c>
      <c r="B398" s="299" t="str">
        <f>'PLAN INDICATIVO'!B389</f>
        <v>Fortalecimiento institucional</v>
      </c>
      <c r="C398" s="1547"/>
      <c r="D398" s="1549"/>
      <c r="E398" s="1549"/>
      <c r="F398" s="1549"/>
      <c r="G398" s="1549"/>
      <c r="H398" s="1549"/>
      <c r="I398" s="300">
        <f>'PLAN INDICATIVO'!I389</f>
        <v>0</v>
      </c>
      <c r="J398" s="300">
        <f>'PLAN INDICATIVO'!J389</f>
        <v>0</v>
      </c>
      <c r="K398" s="1425" t="str">
        <f>'PLAN INDICATIVO'!K389</f>
        <v>A.17.1.21</v>
      </c>
      <c r="L398" s="301" t="str">
        <f>'PLAN INDICATIVO'!L389</f>
        <v>16. Paz, justicia e instituciones sólidas</v>
      </c>
      <c r="M398" s="301" t="str">
        <f>'PLAN INDICATIVO'!M389</f>
        <v>Secretaría de Gobierno</v>
      </c>
      <c r="N398" s="1425" t="s">
        <v>2791</v>
      </c>
      <c r="O398" s="1425" t="str">
        <f>'PLAN INDICATIVO'!O389</f>
        <v>Incremento</v>
      </c>
      <c r="P398" s="16" t="str">
        <f>'PLAN INDICATIVO'!P389</f>
        <v>Ejecutar 4 capacitaciones durante el cuatrienio a funcionarios municipales para mejorar indicadores de Gobierno en línea</v>
      </c>
      <c r="Q398" s="302" t="str">
        <f>'PLAN INDICATIVO'!Q389</f>
        <v>No. de capacitaciones ejecutadas</v>
      </c>
      <c r="R398" s="303">
        <f>'PLAN INDICATIVO'!R389</f>
        <v>2015</v>
      </c>
      <c r="S398" s="304">
        <v>0</v>
      </c>
      <c r="T398" s="498">
        <v>4</v>
      </c>
      <c r="U398" s="303">
        <v>1</v>
      </c>
      <c r="V398" s="687">
        <v>2400000</v>
      </c>
      <c r="W398" s="572">
        <v>1</v>
      </c>
      <c r="X398" s="687">
        <v>1000000</v>
      </c>
      <c r="Y398" s="572">
        <v>1</v>
      </c>
      <c r="Z398" s="687">
        <v>1000000</v>
      </c>
      <c r="AA398" s="572">
        <v>1</v>
      </c>
      <c r="AB398" s="687">
        <v>10000000</v>
      </c>
      <c r="AC398" s="665">
        <v>0</v>
      </c>
      <c r="AD398" s="308">
        <v>1</v>
      </c>
      <c r="AE398" s="665"/>
      <c r="AF398" s="665"/>
      <c r="AG398" s="306" t="s">
        <v>3826</v>
      </c>
      <c r="AH398" s="306">
        <v>2017413960014</v>
      </c>
      <c r="AI398" s="307" t="s">
        <v>3844</v>
      </c>
      <c r="AJ398" s="838">
        <v>42795</v>
      </c>
      <c r="AK398" s="838">
        <v>43069</v>
      </c>
      <c r="AL398" s="308"/>
      <c r="AM398" s="308"/>
      <c r="AN398" s="281" t="s">
        <v>2598</v>
      </c>
      <c r="AO398" s="507"/>
      <c r="AP398" s="525"/>
      <c r="AQ398" s="310"/>
      <c r="AR398" s="310"/>
      <c r="AS398" s="310"/>
      <c r="AT398" s="310"/>
      <c r="AU398" s="310"/>
      <c r="AV398" s="310"/>
      <c r="AW398" s="544">
        <f t="shared" si="181"/>
        <v>0</v>
      </c>
      <c r="AX398" s="525"/>
      <c r="AY398" s="310"/>
      <c r="AZ398" s="310"/>
      <c r="BA398" s="310"/>
      <c r="BB398" s="310"/>
      <c r="BC398" s="310"/>
      <c r="BD398" s="310"/>
      <c r="BE398" s="544">
        <f t="shared" si="166"/>
        <v>0</v>
      </c>
      <c r="BF398" s="525"/>
      <c r="BG398" s="310"/>
      <c r="BH398" s="310"/>
      <c r="BI398" s="310"/>
      <c r="BJ398" s="310"/>
      <c r="BK398" s="310"/>
      <c r="BL398" s="310"/>
      <c r="BM398" s="544">
        <f t="shared" si="167"/>
        <v>0</v>
      </c>
      <c r="BN398" s="525"/>
      <c r="BO398" s="310"/>
      <c r="BP398" s="310"/>
      <c r="BQ398" s="310"/>
      <c r="BR398" s="310"/>
      <c r="BS398" s="310"/>
      <c r="BT398" s="310"/>
      <c r="BU398" s="544">
        <f t="shared" si="168"/>
        <v>0</v>
      </c>
      <c r="BV398" s="556"/>
      <c r="BW398" s="663">
        <f t="shared" si="182"/>
        <v>1</v>
      </c>
      <c r="BX398" s="877">
        <f t="shared" si="183"/>
        <v>0.25</v>
      </c>
      <c r="BY398" s="674">
        <f t="shared" si="184"/>
        <v>0</v>
      </c>
      <c r="BZ398" s="674">
        <f t="shared" si="185"/>
        <v>1</v>
      </c>
      <c r="CA398" s="675">
        <f t="shared" si="186"/>
        <v>0</v>
      </c>
      <c r="CB398" s="675">
        <f t="shared" si="187"/>
        <v>0</v>
      </c>
    </row>
    <row r="399" spans="1:80" ht="72" hidden="1" customHeight="1" x14ac:dyDescent="0.25">
      <c r="A399" s="298" t="s">
        <v>1135</v>
      </c>
      <c r="B399" s="299" t="str">
        <f>'PLAN INDICATIVO'!B390</f>
        <v>Fortalecimiento institucional</v>
      </c>
      <c r="C399" s="1547"/>
      <c r="D399" s="1549"/>
      <c r="E399" s="1549"/>
      <c r="F399" s="1549"/>
      <c r="G399" s="1549"/>
      <c r="H399" s="1549"/>
      <c r="I399" s="300">
        <f>'PLAN INDICATIVO'!I390</f>
        <v>0</v>
      </c>
      <c r="J399" s="300">
        <f>'PLAN INDICATIVO'!J390</f>
        <v>0</v>
      </c>
      <c r="K399" s="1425" t="str">
        <f>'PLAN INDICATIVO'!K390</f>
        <v>A.17.1.22</v>
      </c>
      <c r="L399" s="301" t="str">
        <f>'PLAN INDICATIVO'!L390</f>
        <v>16. Paz, justicia e instituciones sólidas</v>
      </c>
      <c r="M399" s="301" t="str">
        <f>'PLAN INDICATIVO'!M390</f>
        <v>Departamento Municipal de Planeación</v>
      </c>
      <c r="N399" s="1425" t="s">
        <v>2791</v>
      </c>
      <c r="O399" s="1425" t="str">
        <f>'PLAN INDICATIVO'!O390</f>
        <v>Incremento</v>
      </c>
      <c r="P399" s="16" t="str">
        <f>'PLAN INDICATIVO'!P390</f>
        <v>Realizar 2 revisiones y/o actualizaciones a la estratificación socioeconómica del municipio, durante el cuatrienio</v>
      </c>
      <c r="Q399" s="302" t="str">
        <f>'PLAN INDICATIVO'!Q390</f>
        <v>No. De revisiones o actualizaciones realizadas</v>
      </c>
      <c r="R399" s="303">
        <f>'PLAN INDICATIVO'!R390</f>
        <v>2015</v>
      </c>
      <c r="S399" s="304">
        <v>0</v>
      </c>
      <c r="T399" s="498">
        <v>2</v>
      </c>
      <c r="U399" s="303">
        <v>1</v>
      </c>
      <c r="V399" s="687">
        <v>15000000</v>
      </c>
      <c r="W399" s="572">
        <v>0.3</v>
      </c>
      <c r="X399" s="687">
        <v>16000000</v>
      </c>
      <c r="Y399" s="572">
        <v>0</v>
      </c>
      <c r="Z399" s="687"/>
      <c r="AA399" s="572">
        <v>1</v>
      </c>
      <c r="AB399" s="687">
        <v>1000000</v>
      </c>
      <c r="AC399" s="665">
        <v>1</v>
      </c>
      <c r="AD399" s="665">
        <v>0.3</v>
      </c>
      <c r="AE399" s="665"/>
      <c r="AF399" s="665"/>
      <c r="AG399" s="306" t="s">
        <v>3826</v>
      </c>
      <c r="AH399" s="306">
        <v>2017413960014</v>
      </c>
      <c r="AI399" s="307"/>
      <c r="AJ399" s="308"/>
      <c r="AK399" s="308"/>
      <c r="AL399" s="308"/>
      <c r="AM399" s="308"/>
      <c r="AN399" s="281" t="s">
        <v>2598</v>
      </c>
      <c r="AO399" s="507" t="s">
        <v>3845</v>
      </c>
      <c r="AP399" s="525"/>
      <c r="AQ399" s="310">
        <f>12922000+2229500</f>
        <v>15151500</v>
      </c>
      <c r="AR399" s="310"/>
      <c r="AS399" s="310"/>
      <c r="AT399" s="310"/>
      <c r="AU399" s="310"/>
      <c r="AV399" s="310"/>
      <c r="AW399" s="544">
        <f t="shared" si="181"/>
        <v>15151500</v>
      </c>
      <c r="AX399" s="525"/>
      <c r="AY399" s="310"/>
      <c r="AZ399" s="310"/>
      <c r="BA399" s="310"/>
      <c r="BB399" s="310"/>
      <c r="BC399" s="310"/>
      <c r="BD399" s="310"/>
      <c r="BE399" s="544">
        <f t="shared" si="166"/>
        <v>0</v>
      </c>
      <c r="BF399" s="525"/>
      <c r="BG399" s="310"/>
      <c r="BH399" s="310"/>
      <c r="BI399" s="310"/>
      <c r="BJ399" s="310"/>
      <c r="BK399" s="310"/>
      <c r="BL399" s="310"/>
      <c r="BM399" s="544">
        <f t="shared" si="167"/>
        <v>0</v>
      </c>
      <c r="BN399" s="525"/>
      <c r="BO399" s="310"/>
      <c r="BP399" s="310"/>
      <c r="BQ399" s="310"/>
      <c r="BR399" s="310"/>
      <c r="BS399" s="310"/>
      <c r="BT399" s="310"/>
      <c r="BU399" s="544">
        <f t="shared" si="168"/>
        <v>0</v>
      </c>
      <c r="BV399" s="556"/>
      <c r="BW399" s="663">
        <f t="shared" si="182"/>
        <v>1.3</v>
      </c>
      <c r="BX399" s="674">
        <f t="shared" si="183"/>
        <v>0.65</v>
      </c>
      <c r="BY399" s="674">
        <f t="shared" si="184"/>
        <v>1</v>
      </c>
      <c r="BZ399" s="674">
        <f t="shared" si="185"/>
        <v>1</v>
      </c>
      <c r="CA399" s="675" t="e">
        <f t="shared" si="186"/>
        <v>#DIV/0!</v>
      </c>
      <c r="CB399" s="675">
        <f t="shared" si="187"/>
        <v>0</v>
      </c>
    </row>
    <row r="400" spans="1:80" ht="66.75" hidden="1" customHeight="1" x14ac:dyDescent="0.25">
      <c r="A400" s="298" t="s">
        <v>1135</v>
      </c>
      <c r="B400" s="299" t="str">
        <f>'PLAN INDICATIVO'!B391</f>
        <v>Fortalecimiento institucional</v>
      </c>
      <c r="C400" s="1547"/>
      <c r="D400" s="1549"/>
      <c r="E400" s="1549"/>
      <c r="F400" s="1549"/>
      <c r="G400" s="1549"/>
      <c r="H400" s="1549"/>
      <c r="I400" s="300">
        <f>'PLAN INDICATIVO'!I391</f>
        <v>0</v>
      </c>
      <c r="J400" s="300">
        <f>'PLAN INDICATIVO'!J391</f>
        <v>0</v>
      </c>
      <c r="K400" s="1425" t="str">
        <f>'PLAN INDICATIVO'!K391</f>
        <v>A.17.1.23</v>
      </c>
      <c r="L400" s="301" t="str">
        <f>'PLAN INDICATIVO'!L391</f>
        <v>16. Paz, justicia e instituciones sólidas</v>
      </c>
      <c r="M400" s="301" t="str">
        <f>'PLAN INDICATIVO'!M391</f>
        <v>Secretaría de Gobierno</v>
      </c>
      <c r="N400" s="1425" t="s">
        <v>2791</v>
      </c>
      <c r="O400" s="1425" t="str">
        <f>'PLAN INDICATIVO'!O391</f>
        <v>Incremento</v>
      </c>
      <c r="P400" s="25" t="str">
        <f>'PLAN INDICATIVO'!P391</f>
        <v>Ejecutar 1 programa de articulación de Gobierno en Línea y MECI implementado cada año</v>
      </c>
      <c r="Q400" s="302" t="str">
        <f>'PLAN INDICATIVO'!Q391</f>
        <v>No. De programas Ejecutados</v>
      </c>
      <c r="R400" s="303">
        <f>'PLAN INDICATIVO'!R391</f>
        <v>2015</v>
      </c>
      <c r="S400" s="304">
        <v>0</v>
      </c>
      <c r="T400" s="498">
        <v>1</v>
      </c>
      <c r="U400" s="934">
        <v>0.25</v>
      </c>
      <c r="V400" s="687">
        <v>1000000</v>
      </c>
      <c r="W400" s="934">
        <v>0.25</v>
      </c>
      <c r="X400" s="687">
        <v>1000000</v>
      </c>
      <c r="Y400" s="934">
        <v>0</v>
      </c>
      <c r="Z400" s="687"/>
      <c r="AA400" s="934">
        <v>0</v>
      </c>
      <c r="AB400" s="687"/>
      <c r="AC400" s="665">
        <v>0.25</v>
      </c>
      <c r="AD400" s="665">
        <v>0.25</v>
      </c>
      <c r="AE400" s="665"/>
      <c r="AF400" s="665"/>
      <c r="AG400" s="306" t="s">
        <v>3826</v>
      </c>
      <c r="AH400" s="306">
        <v>2017413960014</v>
      </c>
      <c r="AI400" s="307" t="s">
        <v>3846</v>
      </c>
      <c r="AJ400" s="838">
        <v>42795</v>
      </c>
      <c r="AK400" s="838">
        <v>43069</v>
      </c>
      <c r="AL400" s="308"/>
      <c r="AM400" s="308"/>
      <c r="AN400" s="281" t="s">
        <v>2598</v>
      </c>
      <c r="AO400" s="507"/>
      <c r="AP400" s="525"/>
      <c r="AQ400" s="310"/>
      <c r="AR400" s="310"/>
      <c r="AS400" s="310"/>
      <c r="AT400" s="310"/>
      <c r="AU400" s="310"/>
      <c r="AV400" s="310"/>
      <c r="AW400" s="544">
        <f t="shared" si="181"/>
        <v>0</v>
      </c>
      <c r="AX400" s="525"/>
      <c r="AY400" s="310"/>
      <c r="AZ400" s="310"/>
      <c r="BA400" s="310"/>
      <c r="BB400" s="310"/>
      <c r="BC400" s="310"/>
      <c r="BD400" s="310"/>
      <c r="BE400" s="544">
        <f t="shared" si="166"/>
        <v>0</v>
      </c>
      <c r="BF400" s="525"/>
      <c r="BG400" s="310"/>
      <c r="BH400" s="310"/>
      <c r="BI400" s="310"/>
      <c r="BJ400" s="310"/>
      <c r="BK400" s="310"/>
      <c r="BL400" s="310"/>
      <c r="BM400" s="544">
        <f t="shared" si="167"/>
        <v>0</v>
      </c>
      <c r="BN400" s="525"/>
      <c r="BO400" s="310"/>
      <c r="BP400" s="310"/>
      <c r="BQ400" s="310"/>
      <c r="BR400" s="310"/>
      <c r="BS400" s="310"/>
      <c r="BT400" s="310"/>
      <c r="BU400" s="544">
        <f t="shared" si="168"/>
        <v>0</v>
      </c>
      <c r="BV400" s="556"/>
      <c r="BW400" s="663">
        <f t="shared" si="182"/>
        <v>0.5</v>
      </c>
      <c r="BX400" s="877">
        <f t="shared" si="183"/>
        <v>0.5</v>
      </c>
      <c r="BY400" s="674">
        <f t="shared" si="184"/>
        <v>1</v>
      </c>
      <c r="BZ400" s="674">
        <f t="shared" si="185"/>
        <v>1</v>
      </c>
      <c r="CA400" s="675" t="e">
        <f t="shared" si="186"/>
        <v>#DIV/0!</v>
      </c>
      <c r="CB400" s="675" t="e">
        <f t="shared" si="187"/>
        <v>#DIV/0!</v>
      </c>
    </row>
    <row r="401" spans="1:80" ht="55.5" hidden="1" customHeight="1" x14ac:dyDescent="0.25">
      <c r="A401" s="298" t="s">
        <v>1135</v>
      </c>
      <c r="B401" s="299" t="str">
        <f>'PLAN INDICATIVO'!B392</f>
        <v>Fortalecimiento institucional</v>
      </c>
      <c r="C401" s="1547"/>
      <c r="D401" s="1549"/>
      <c r="E401" s="1549"/>
      <c r="F401" s="1549"/>
      <c r="G401" s="1549"/>
      <c r="H401" s="1549"/>
      <c r="I401" s="300">
        <f>'PLAN INDICATIVO'!I392</f>
        <v>0</v>
      </c>
      <c r="J401" s="300">
        <f>'PLAN INDICATIVO'!J392</f>
        <v>0</v>
      </c>
      <c r="K401" s="1425" t="str">
        <f>'PLAN INDICATIVO'!K392</f>
        <v>A.17.1.24</v>
      </c>
      <c r="L401" s="301" t="str">
        <f>'PLAN INDICATIVO'!L392</f>
        <v>16. Paz, justicia e instituciones sólidas</v>
      </c>
      <c r="M401" s="301" t="str">
        <f>'PLAN INDICATIVO'!M392</f>
        <v>Secretaría de Gobierno</v>
      </c>
      <c r="N401" s="1425" t="s">
        <v>2791</v>
      </c>
      <c r="O401" s="1425" t="str">
        <f>'PLAN INDICATIVO'!O392</f>
        <v>Incremento</v>
      </c>
      <c r="P401" s="16" t="str">
        <f>'PLAN INDICATIVO'!P392</f>
        <v>Implementar 1 Estrategia de cero papel  durante el cuatrienio</v>
      </c>
      <c r="Q401" s="302" t="str">
        <f>'PLAN INDICATIVO'!Q392</f>
        <v>No. De estrategias implementadas</v>
      </c>
      <c r="R401" s="303">
        <f>'PLAN INDICATIVO'!R392</f>
        <v>2015</v>
      </c>
      <c r="S401" s="304">
        <v>0</v>
      </c>
      <c r="T401" s="498">
        <v>1</v>
      </c>
      <c r="U401" s="303">
        <v>1</v>
      </c>
      <c r="V401" s="687">
        <v>1000000</v>
      </c>
      <c r="W401" s="572">
        <v>0.5</v>
      </c>
      <c r="X401" s="687">
        <v>1000000</v>
      </c>
      <c r="Y401" s="572">
        <v>0.5</v>
      </c>
      <c r="Z401" s="687"/>
      <c r="AA401" s="572">
        <v>0</v>
      </c>
      <c r="AB401" s="687"/>
      <c r="AC401" s="665"/>
      <c r="AD401" s="665">
        <v>0.5</v>
      </c>
      <c r="AE401" s="665"/>
      <c r="AF401" s="665"/>
      <c r="AG401" s="306" t="s">
        <v>3826</v>
      </c>
      <c r="AH401" s="306">
        <v>2017413960014</v>
      </c>
      <c r="AI401" s="307" t="s">
        <v>3847</v>
      </c>
      <c r="AJ401" s="838">
        <v>42795</v>
      </c>
      <c r="AK401" s="838">
        <v>43069</v>
      </c>
      <c r="AL401" s="308"/>
      <c r="AM401" s="308"/>
      <c r="AN401" s="281" t="s">
        <v>2598</v>
      </c>
      <c r="AO401" s="507"/>
      <c r="AP401" s="525"/>
      <c r="AQ401" s="310"/>
      <c r="AR401" s="310"/>
      <c r="AS401" s="310"/>
      <c r="AT401" s="310"/>
      <c r="AU401" s="310"/>
      <c r="AV401" s="310"/>
      <c r="AW401" s="544">
        <f t="shared" si="181"/>
        <v>0</v>
      </c>
      <c r="AX401" s="525"/>
      <c r="AY401" s="310"/>
      <c r="AZ401" s="310"/>
      <c r="BA401" s="310"/>
      <c r="BB401" s="310"/>
      <c r="BC401" s="310"/>
      <c r="BD401" s="310"/>
      <c r="BE401" s="544">
        <f t="shared" si="166"/>
        <v>0</v>
      </c>
      <c r="BF401" s="525"/>
      <c r="BG401" s="310"/>
      <c r="BH401" s="310"/>
      <c r="BI401" s="310"/>
      <c r="BJ401" s="310"/>
      <c r="BK401" s="310"/>
      <c r="BL401" s="310"/>
      <c r="BM401" s="544">
        <f t="shared" si="167"/>
        <v>0</v>
      </c>
      <c r="BN401" s="525"/>
      <c r="BO401" s="310"/>
      <c r="BP401" s="310"/>
      <c r="BQ401" s="310"/>
      <c r="BR401" s="310"/>
      <c r="BS401" s="310"/>
      <c r="BT401" s="310"/>
      <c r="BU401" s="544">
        <f t="shared" si="168"/>
        <v>0</v>
      </c>
      <c r="BV401" s="556"/>
      <c r="BW401" s="663">
        <f t="shared" si="182"/>
        <v>0.5</v>
      </c>
      <c r="BX401" s="674">
        <f t="shared" si="183"/>
        <v>0.5</v>
      </c>
      <c r="BY401" s="674">
        <f t="shared" si="184"/>
        <v>0</v>
      </c>
      <c r="BZ401" s="674">
        <f t="shared" si="185"/>
        <v>1</v>
      </c>
      <c r="CA401" s="675">
        <f t="shared" si="186"/>
        <v>0</v>
      </c>
      <c r="CB401" s="675" t="e">
        <f t="shared" si="187"/>
        <v>#DIV/0!</v>
      </c>
    </row>
    <row r="402" spans="1:80" ht="81.75" hidden="1" customHeight="1" thickBot="1" x14ac:dyDescent="0.3">
      <c r="A402" s="393" t="s">
        <v>1135</v>
      </c>
      <c r="B402" s="394" t="str">
        <f>'PLAN INDICATIVO'!B393</f>
        <v>Fortalecimiento institucional</v>
      </c>
      <c r="C402" s="1548"/>
      <c r="D402" s="1549"/>
      <c r="E402" s="1549"/>
      <c r="F402" s="1549"/>
      <c r="G402" s="1549"/>
      <c r="H402" s="1549"/>
      <c r="I402" s="300">
        <f>'PLAN INDICATIVO'!I393</f>
        <v>0</v>
      </c>
      <c r="J402" s="300">
        <f>'PLAN INDICATIVO'!J393</f>
        <v>0</v>
      </c>
      <c r="K402" s="1425" t="str">
        <f>'PLAN INDICATIVO'!K393</f>
        <v>A.17.1.25</v>
      </c>
      <c r="L402" s="301" t="str">
        <f>'PLAN INDICATIVO'!L393</f>
        <v>16. Paz, justicia e instituciones sólidas</v>
      </c>
      <c r="M402" s="301" t="str">
        <f>'PLAN INDICATIVO'!M393</f>
        <v>Secretaría de Gobierno</v>
      </c>
      <c r="N402" s="1425" t="s">
        <v>2791</v>
      </c>
      <c r="O402" s="1425" t="str">
        <f>'PLAN INDICATIVO'!O393</f>
        <v>Incremento</v>
      </c>
      <c r="P402" s="16" t="str">
        <f>'PLAN INDICATIVO'!P393</f>
        <v>Adquisición de 2 ambulacias para fortalecer el parque automotor en servicios de salud, durante el cuatrienio</v>
      </c>
      <c r="Q402" s="302" t="str">
        <f>'PLAN INDICATIVO'!Q393</f>
        <v xml:space="preserve">No. De ambulancias adquiridas  </v>
      </c>
      <c r="R402" s="303">
        <f>'PLAN INDICATIVO'!R393</f>
        <v>2015</v>
      </c>
      <c r="S402" s="304">
        <v>0</v>
      </c>
      <c r="T402" s="498">
        <v>2</v>
      </c>
      <c r="U402" s="303">
        <v>1</v>
      </c>
      <c r="V402" s="687">
        <v>1000000</v>
      </c>
      <c r="W402" s="572">
        <v>1</v>
      </c>
      <c r="X402" s="687">
        <v>1000000</v>
      </c>
      <c r="Y402" s="572">
        <v>1</v>
      </c>
      <c r="Z402" s="687">
        <v>1000000</v>
      </c>
      <c r="AA402" s="572">
        <v>0</v>
      </c>
      <c r="AB402" s="687"/>
      <c r="AC402" s="665">
        <v>1</v>
      </c>
      <c r="AD402" s="665"/>
      <c r="AE402" s="665"/>
      <c r="AF402" s="665"/>
      <c r="AG402" s="306" t="s">
        <v>3826</v>
      </c>
      <c r="AH402" s="306">
        <v>2017413960014</v>
      </c>
      <c r="AI402" s="307" t="s">
        <v>3848</v>
      </c>
      <c r="AJ402" s="838">
        <v>42795</v>
      </c>
      <c r="AK402" s="838">
        <v>43069</v>
      </c>
      <c r="AL402" s="308"/>
      <c r="AM402" s="308"/>
      <c r="AN402" s="281" t="s">
        <v>2600</v>
      </c>
      <c r="AO402" s="507"/>
      <c r="AP402" s="525"/>
      <c r="AQ402" s="310"/>
      <c r="AR402" s="310"/>
      <c r="AS402" s="310"/>
      <c r="AT402" s="310"/>
      <c r="AU402" s="310"/>
      <c r="AV402" s="310"/>
      <c r="AW402" s="544">
        <f t="shared" si="181"/>
        <v>0</v>
      </c>
      <c r="AX402" s="525"/>
      <c r="AY402" s="310"/>
      <c r="AZ402" s="310"/>
      <c r="BA402" s="310"/>
      <c r="BB402" s="310"/>
      <c r="BC402" s="310"/>
      <c r="BD402" s="310"/>
      <c r="BE402" s="544">
        <f t="shared" si="166"/>
        <v>0</v>
      </c>
      <c r="BF402" s="525"/>
      <c r="BG402" s="310"/>
      <c r="BH402" s="310"/>
      <c r="BI402" s="310"/>
      <c r="BJ402" s="310"/>
      <c r="BK402" s="310"/>
      <c r="BL402" s="310"/>
      <c r="BM402" s="544">
        <f t="shared" si="167"/>
        <v>0</v>
      </c>
      <c r="BN402" s="525"/>
      <c r="BO402" s="310"/>
      <c r="BP402" s="310"/>
      <c r="BQ402" s="310"/>
      <c r="BR402" s="310"/>
      <c r="BS402" s="310"/>
      <c r="BT402" s="310"/>
      <c r="BU402" s="544">
        <f t="shared" si="168"/>
        <v>0</v>
      </c>
      <c r="BV402" s="556"/>
      <c r="BW402" s="663">
        <f t="shared" si="182"/>
        <v>1</v>
      </c>
      <c r="BX402" s="674">
        <f t="shared" si="183"/>
        <v>0.5</v>
      </c>
      <c r="BY402" s="674">
        <f t="shared" si="184"/>
        <v>1</v>
      </c>
      <c r="BZ402" s="674">
        <f t="shared" si="185"/>
        <v>0</v>
      </c>
      <c r="CA402" s="675">
        <f t="shared" si="186"/>
        <v>0</v>
      </c>
      <c r="CB402" s="675" t="e">
        <f t="shared" si="187"/>
        <v>#DIV/0!</v>
      </c>
    </row>
    <row r="403" spans="1:80" ht="27" hidden="1" customHeight="1" thickBot="1" x14ac:dyDescent="0.3">
      <c r="A403" s="428"/>
      <c r="B403" s="438" t="str">
        <f>'PLAN INDICATIVO'!B394</f>
        <v>DESARROLLO COMUNITARIO</v>
      </c>
      <c r="C403" s="1578" t="s">
        <v>1217</v>
      </c>
      <c r="D403" s="1578"/>
      <c r="E403" s="1578"/>
      <c r="F403" s="1578"/>
      <c r="G403" s="1578"/>
      <c r="H403" s="1578"/>
      <c r="I403" s="1578"/>
      <c r="J403" s="1578"/>
      <c r="K403" s="1578"/>
      <c r="L403" s="1578"/>
      <c r="M403" s="1578"/>
      <c r="N403" s="1578"/>
      <c r="O403" s="1578"/>
      <c r="P403" s="1578"/>
      <c r="Q403" s="1578"/>
      <c r="R403" s="1578"/>
      <c r="S403" s="1578"/>
      <c r="T403" s="1578"/>
      <c r="U403" s="1578"/>
      <c r="V403" s="1578"/>
      <c r="W403" s="1578"/>
      <c r="X403" s="1578"/>
      <c r="Y403" s="1578"/>
      <c r="Z403" s="1578"/>
      <c r="AA403" s="1578"/>
      <c r="AB403" s="1578"/>
      <c r="AC403" s="1578"/>
      <c r="AD403" s="1578"/>
      <c r="AE403" s="1578"/>
      <c r="AF403" s="1578"/>
      <c r="AG403" s="1578"/>
      <c r="AH403" s="1578"/>
      <c r="AI403" s="1578"/>
      <c r="AJ403" s="1578"/>
      <c r="AK403" s="1578"/>
      <c r="AL403" s="1578"/>
      <c r="AM403" s="1644"/>
      <c r="AN403" s="294"/>
      <c r="AO403" s="294"/>
      <c r="AP403" s="294"/>
      <c r="AQ403" s="294"/>
      <c r="AR403" s="294"/>
      <c r="AS403" s="294"/>
      <c r="AT403" s="294"/>
      <c r="AU403" s="294"/>
      <c r="AV403" s="294"/>
      <c r="AW403" s="294">
        <f t="shared" si="181"/>
        <v>0</v>
      </c>
      <c r="AX403" s="294"/>
      <c r="AY403" s="294"/>
      <c r="AZ403" s="294"/>
      <c r="BA403" s="294"/>
      <c r="BB403" s="294"/>
      <c r="BC403" s="294"/>
      <c r="BD403" s="294"/>
      <c r="BE403" s="294">
        <f t="shared" si="166"/>
        <v>0</v>
      </c>
      <c r="BF403" s="294"/>
      <c r="BG403" s="294"/>
      <c r="BH403" s="294"/>
      <c r="BI403" s="294"/>
      <c r="BJ403" s="294"/>
      <c r="BK403" s="294"/>
      <c r="BL403" s="294"/>
      <c r="BM403" s="294">
        <f t="shared" si="167"/>
        <v>0</v>
      </c>
      <c r="BN403" s="294"/>
      <c r="BO403" s="294"/>
      <c r="BP403" s="294"/>
      <c r="BQ403" s="294"/>
      <c r="BR403" s="294"/>
      <c r="BS403" s="294"/>
      <c r="BT403" s="294"/>
      <c r="BU403" s="294">
        <f t="shared" si="168"/>
        <v>0</v>
      </c>
      <c r="BV403" s="294"/>
      <c r="BW403" s="294">
        <f t="shared" si="182"/>
        <v>0</v>
      </c>
      <c r="BX403" s="294" t="e">
        <f t="shared" si="183"/>
        <v>#DIV/0!</v>
      </c>
      <c r="BY403" s="294" t="e">
        <f t="shared" si="184"/>
        <v>#DIV/0!</v>
      </c>
      <c r="BZ403" s="294" t="e">
        <f t="shared" si="185"/>
        <v>#DIV/0!</v>
      </c>
      <c r="CA403" s="294" t="e">
        <f t="shared" si="186"/>
        <v>#DIV/0!</v>
      </c>
      <c r="CB403" s="294" t="e">
        <f t="shared" si="187"/>
        <v>#DIV/0!</v>
      </c>
    </row>
    <row r="404" spans="1:80" ht="18" hidden="1" customHeight="1" x14ac:dyDescent="0.25">
      <c r="A404" s="296"/>
      <c r="B404" s="404" t="str">
        <f>'PLAN INDICATIVO'!B395</f>
        <v>Desarrollo comunitario</v>
      </c>
      <c r="C404" s="1574" t="s">
        <v>1219</v>
      </c>
      <c r="D404" s="1575"/>
      <c r="E404" s="1575"/>
      <c r="F404" s="1575"/>
      <c r="G404" s="1575"/>
      <c r="H404" s="1575"/>
      <c r="I404" s="1575"/>
      <c r="J404" s="1575"/>
      <c r="K404" s="1575"/>
      <c r="L404" s="1575"/>
      <c r="M404" s="1575"/>
      <c r="N404" s="1575"/>
      <c r="O404" s="1576"/>
      <c r="P404" s="22"/>
      <c r="Q404" s="22"/>
      <c r="R404" s="1"/>
      <c r="S404" s="261"/>
      <c r="T404" s="681"/>
      <c r="U404" s="261"/>
      <c r="V404" s="689">
        <f>SUM(V405:V415)</f>
        <v>27000000</v>
      </c>
      <c r="W404" s="261"/>
      <c r="X404" s="689">
        <f>SUM(X405:X415)</f>
        <v>59000000</v>
      </c>
      <c r="Y404" s="261"/>
      <c r="Z404" s="689">
        <f>SUM(Z405:Z415)</f>
        <v>50000000</v>
      </c>
      <c r="AA404" s="262"/>
      <c r="AB404" s="690">
        <f>SUM(AB405:AB415)</f>
        <v>50000000</v>
      </c>
      <c r="AC404" s="262"/>
      <c r="AD404" s="262"/>
      <c r="AE404" s="262"/>
      <c r="AF404" s="262"/>
      <c r="AG404" s="263"/>
      <c r="AH404" s="263"/>
      <c r="AI404" s="263"/>
      <c r="AJ404" s="262"/>
      <c r="AK404" s="262"/>
      <c r="AL404" s="262"/>
      <c r="AM404" s="262"/>
      <c r="AN404" s="262"/>
      <c r="AO404" s="612"/>
      <c r="AP404" s="616" t="e">
        <f>(AP405:AP415)</f>
        <v>#VALUE!</v>
      </c>
      <c r="AQ404" s="616" t="e">
        <f t="shared" ref="AQ404:AV404" si="188">(AQ405:AQ415)</f>
        <v>#VALUE!</v>
      </c>
      <c r="AR404" s="616" t="e">
        <f t="shared" si="188"/>
        <v>#VALUE!</v>
      </c>
      <c r="AS404" s="616" t="e">
        <f t="shared" si="188"/>
        <v>#VALUE!</v>
      </c>
      <c r="AT404" s="616" t="e">
        <f t="shared" si="188"/>
        <v>#VALUE!</v>
      </c>
      <c r="AU404" s="616" t="e">
        <f t="shared" si="188"/>
        <v>#VALUE!</v>
      </c>
      <c r="AV404" s="616" t="e">
        <f t="shared" si="188"/>
        <v>#VALUE!</v>
      </c>
      <c r="AW404" s="617" t="e">
        <f t="shared" si="181"/>
        <v>#VALUE!</v>
      </c>
      <c r="AX404" s="616" t="e">
        <f>(AX405:AX415)</f>
        <v>#VALUE!</v>
      </c>
      <c r="AY404" s="616" t="e">
        <f t="shared" ref="AY404:BD404" si="189">(AY405:AY415)</f>
        <v>#VALUE!</v>
      </c>
      <c r="AZ404" s="616" t="e">
        <f t="shared" si="189"/>
        <v>#VALUE!</v>
      </c>
      <c r="BA404" s="616" t="e">
        <f t="shared" si="189"/>
        <v>#VALUE!</v>
      </c>
      <c r="BB404" s="616" t="e">
        <f t="shared" si="189"/>
        <v>#VALUE!</v>
      </c>
      <c r="BC404" s="616" t="e">
        <f t="shared" si="189"/>
        <v>#VALUE!</v>
      </c>
      <c r="BD404" s="616" t="e">
        <f t="shared" si="189"/>
        <v>#VALUE!</v>
      </c>
      <c r="BE404" s="617" t="e">
        <f t="shared" si="166"/>
        <v>#VALUE!</v>
      </c>
      <c r="BF404" s="616" t="e">
        <f>(BF405:BF415)</f>
        <v>#VALUE!</v>
      </c>
      <c r="BG404" s="616" t="e">
        <f t="shared" ref="BG404:BL404" si="190">(BG405:BG415)</f>
        <v>#VALUE!</v>
      </c>
      <c r="BH404" s="616" t="e">
        <f t="shared" si="190"/>
        <v>#VALUE!</v>
      </c>
      <c r="BI404" s="616" t="e">
        <f t="shared" si="190"/>
        <v>#VALUE!</v>
      </c>
      <c r="BJ404" s="616" t="e">
        <f t="shared" si="190"/>
        <v>#VALUE!</v>
      </c>
      <c r="BK404" s="616" t="e">
        <f t="shared" si="190"/>
        <v>#VALUE!</v>
      </c>
      <c r="BL404" s="616" t="e">
        <f t="shared" si="190"/>
        <v>#VALUE!</v>
      </c>
      <c r="BM404" s="617" t="e">
        <f t="shared" si="167"/>
        <v>#VALUE!</v>
      </c>
      <c r="BN404" s="616" t="e">
        <f>(BN405:BN415)</f>
        <v>#VALUE!</v>
      </c>
      <c r="BO404" s="616" t="e">
        <f t="shared" ref="BO404:BT404" si="191">(BO405:BO415)</f>
        <v>#VALUE!</v>
      </c>
      <c r="BP404" s="616" t="e">
        <f t="shared" si="191"/>
        <v>#VALUE!</v>
      </c>
      <c r="BQ404" s="616" t="e">
        <f t="shared" si="191"/>
        <v>#VALUE!</v>
      </c>
      <c r="BR404" s="616" t="e">
        <f t="shared" si="191"/>
        <v>#VALUE!</v>
      </c>
      <c r="BS404" s="616" t="e">
        <f t="shared" si="191"/>
        <v>#VALUE!</v>
      </c>
      <c r="BT404" s="616" t="e">
        <f t="shared" si="191"/>
        <v>#VALUE!</v>
      </c>
      <c r="BU404" s="617" t="e">
        <f t="shared" si="168"/>
        <v>#VALUE!</v>
      </c>
      <c r="BV404" s="556"/>
      <c r="BW404" s="663">
        <f t="shared" si="182"/>
        <v>0</v>
      </c>
      <c r="BX404" s="674" t="e">
        <f t="shared" si="183"/>
        <v>#DIV/0!</v>
      </c>
      <c r="BY404" s="674" t="e">
        <f t="shared" si="184"/>
        <v>#DIV/0!</v>
      </c>
      <c r="BZ404" s="674" t="e">
        <f t="shared" si="185"/>
        <v>#DIV/0!</v>
      </c>
      <c r="CA404" s="675" t="e">
        <f t="shared" si="186"/>
        <v>#DIV/0!</v>
      </c>
      <c r="CB404" s="675" t="e">
        <f t="shared" si="187"/>
        <v>#DIV/0!</v>
      </c>
    </row>
    <row r="405" spans="1:80" ht="83.25" hidden="1" customHeight="1" x14ac:dyDescent="0.25">
      <c r="A405" s="298" t="s">
        <v>1220</v>
      </c>
      <c r="B405" s="299" t="str">
        <f>'PLAN INDICATIVO'!B396</f>
        <v>Desarrollo comunitario</v>
      </c>
      <c r="C405" s="1546" t="s">
        <v>1221</v>
      </c>
      <c r="D405" s="1549" t="s">
        <v>1222</v>
      </c>
      <c r="E405" s="1549" t="s">
        <v>1223</v>
      </c>
      <c r="F405" s="1549">
        <v>2015</v>
      </c>
      <c r="G405" s="1549" t="s">
        <v>177</v>
      </c>
      <c r="H405" s="1549">
        <v>70</v>
      </c>
      <c r="I405" s="300">
        <f>'PLAN INDICATIVO'!I396</f>
        <v>0</v>
      </c>
      <c r="J405" s="300">
        <f>'PLAN INDICATIVO'!J396</f>
        <v>0</v>
      </c>
      <c r="K405" s="1425" t="str">
        <f>'PLAN INDICATIVO'!K396</f>
        <v>A.16.1.1</v>
      </c>
      <c r="L405" s="301" t="str">
        <f>'PLAN INDICATIVO'!L396</f>
        <v>16. Paz, justicia e instituciones sólidas</v>
      </c>
      <c r="M405" s="301" t="str">
        <f>'PLAN INDICATIVO'!M396</f>
        <v>Secretaría de Desarrollo Social</v>
      </c>
      <c r="N405" s="1425" t="str">
        <f>'PLAN INDICATIVO'!N396</f>
        <v>HERNAN RODRIGUEZ FALLA</v>
      </c>
      <c r="O405" s="1425" t="str">
        <f>'PLAN INDICATIVO'!O396</f>
        <v>Incremento</v>
      </c>
      <c r="P405" s="16" t="str">
        <f>'PLAN INDICATIVO'!P396</f>
        <v>Realizar 4 celebraciones del día de la acción comunal durante el cuatrienio</v>
      </c>
      <c r="Q405" s="302" t="str">
        <f>'PLAN INDICATIVO'!Q396</f>
        <v>No. De celebraciones realizadas</v>
      </c>
      <c r="R405" s="303">
        <f>'PLAN INDICATIVO'!R396</f>
        <v>2015</v>
      </c>
      <c r="S405" s="304">
        <v>0</v>
      </c>
      <c r="T405" s="699">
        <v>4</v>
      </c>
      <c r="U405" s="303">
        <v>1</v>
      </c>
      <c r="V405" s="687">
        <v>5000000</v>
      </c>
      <c r="W405" s="303">
        <v>1</v>
      </c>
      <c r="X405" s="687">
        <v>7000000</v>
      </c>
      <c r="Y405" s="303">
        <v>1</v>
      </c>
      <c r="Z405" s="687">
        <v>7000000</v>
      </c>
      <c r="AA405" s="303">
        <v>1</v>
      </c>
      <c r="AB405" s="687">
        <v>7000000</v>
      </c>
      <c r="AC405" s="669">
        <v>1</v>
      </c>
      <c r="AD405" s="669">
        <v>1</v>
      </c>
      <c r="AE405" s="669"/>
      <c r="AF405" s="669"/>
      <c r="AG405" s="306" t="s">
        <v>3849</v>
      </c>
      <c r="AH405" s="341">
        <v>2017413960015</v>
      </c>
      <c r="AI405" s="355" t="s">
        <v>3850</v>
      </c>
      <c r="AJ405" s="359">
        <v>43023</v>
      </c>
      <c r="AK405" s="359">
        <v>43069</v>
      </c>
      <c r="AL405" s="358"/>
      <c r="AM405" s="358"/>
      <c r="AN405" s="267" t="s">
        <v>2598</v>
      </c>
      <c r="AO405" s="512"/>
      <c r="AP405" s="525"/>
      <c r="AQ405" s="310"/>
      <c r="AR405" s="380"/>
      <c r="AS405" s="310"/>
      <c r="AT405" s="310"/>
      <c r="AU405" s="310"/>
      <c r="AV405" s="310"/>
      <c r="AW405" s="544">
        <f t="shared" si="181"/>
        <v>0</v>
      </c>
      <c r="AX405" s="525"/>
      <c r="AY405" s="310"/>
      <c r="AZ405" s="380"/>
      <c r="BA405" s="310"/>
      <c r="BB405" s="310"/>
      <c r="BC405" s="310"/>
      <c r="BD405" s="310"/>
      <c r="BE405" s="544">
        <f t="shared" si="166"/>
        <v>0</v>
      </c>
      <c r="BF405" s="525"/>
      <c r="BG405" s="310"/>
      <c r="BH405" s="380"/>
      <c r="BI405" s="310"/>
      <c r="BJ405" s="310"/>
      <c r="BK405" s="310"/>
      <c r="BL405" s="310"/>
      <c r="BM405" s="544">
        <f t="shared" si="167"/>
        <v>0</v>
      </c>
      <c r="BN405" s="525"/>
      <c r="BO405" s="310"/>
      <c r="BP405" s="380"/>
      <c r="BQ405" s="310"/>
      <c r="BR405" s="310"/>
      <c r="BS405" s="310"/>
      <c r="BT405" s="310"/>
      <c r="BU405" s="544">
        <f t="shared" si="168"/>
        <v>0</v>
      </c>
      <c r="BV405" s="556"/>
      <c r="BW405" s="663">
        <f t="shared" si="182"/>
        <v>2</v>
      </c>
      <c r="BX405" s="877">
        <f t="shared" si="183"/>
        <v>0.5</v>
      </c>
      <c r="BY405" s="674">
        <f t="shared" si="184"/>
        <v>1</v>
      </c>
      <c r="BZ405" s="674">
        <f t="shared" si="185"/>
        <v>1</v>
      </c>
      <c r="CA405" s="675">
        <f t="shared" si="186"/>
        <v>0</v>
      </c>
      <c r="CB405" s="675">
        <f t="shared" si="187"/>
        <v>0</v>
      </c>
    </row>
    <row r="406" spans="1:80" ht="76.5" hidden="1" customHeight="1" x14ac:dyDescent="0.25">
      <c r="A406" s="298" t="s">
        <v>1220</v>
      </c>
      <c r="B406" s="299" t="str">
        <f>'PLAN INDICATIVO'!B397</f>
        <v>Desarrollo comunitario</v>
      </c>
      <c r="C406" s="1547"/>
      <c r="D406" s="1549"/>
      <c r="E406" s="1549"/>
      <c r="F406" s="1549"/>
      <c r="G406" s="1549"/>
      <c r="H406" s="1549"/>
      <c r="I406" s="300">
        <f>'PLAN INDICATIVO'!I397</f>
        <v>0</v>
      </c>
      <c r="J406" s="300">
        <f>'PLAN INDICATIVO'!J397</f>
        <v>0</v>
      </c>
      <c r="K406" s="1425" t="str">
        <f>'PLAN INDICATIVO'!K397</f>
        <v>A.16.1.2</v>
      </c>
      <c r="L406" s="301" t="str">
        <f>'PLAN INDICATIVO'!L397</f>
        <v>16. Paz, justicia e instituciones sólidas</v>
      </c>
      <c r="M406" s="301" t="str">
        <f>'PLAN INDICATIVO'!M397</f>
        <v>Secretaría de Desarrollo Social</v>
      </c>
      <c r="N406" s="1425" t="str">
        <f>'PLAN INDICATIVO'!N397</f>
        <v>HERNAN RODRIGUEZ FALLA</v>
      </c>
      <c r="O406" s="1425" t="str">
        <f>'PLAN INDICATIVO'!O397</f>
        <v>Incremento</v>
      </c>
      <c r="P406" s="820" t="str">
        <f>'PLAN INDICATIVO'!P397</f>
        <v>Ejecutar 35  proyectos de inversión durante el cuatrienio con vinculación de las juntas de acción comunal</v>
      </c>
      <c r="Q406" s="302" t="str">
        <f>'PLAN INDICATIVO'!Q397</f>
        <v>No. De proyectos Ejecutados</v>
      </c>
      <c r="R406" s="303">
        <f>'PLAN INDICATIVO'!R397</f>
        <v>2015</v>
      </c>
      <c r="S406" s="304">
        <v>0</v>
      </c>
      <c r="T406" s="699">
        <v>4</v>
      </c>
      <c r="U406" s="303">
        <v>1</v>
      </c>
      <c r="V406" s="687">
        <v>500000</v>
      </c>
      <c r="W406" s="303">
        <v>1</v>
      </c>
      <c r="X406" s="687">
        <v>1000000</v>
      </c>
      <c r="Y406" s="303">
        <v>1</v>
      </c>
      <c r="Z406" s="687">
        <v>1000000</v>
      </c>
      <c r="AA406" s="303">
        <v>1</v>
      </c>
      <c r="AB406" s="687">
        <v>1000000</v>
      </c>
      <c r="AC406" s="669">
        <v>17</v>
      </c>
      <c r="AD406" s="669">
        <v>30</v>
      </c>
      <c r="AE406" s="669"/>
      <c r="AF406" s="669"/>
      <c r="AG406" s="306" t="s">
        <v>3849</v>
      </c>
      <c r="AH406" s="341">
        <v>2017413960015</v>
      </c>
      <c r="AI406" s="355"/>
      <c r="AJ406" s="358" t="s">
        <v>3851</v>
      </c>
      <c r="AK406" s="359">
        <v>43069</v>
      </c>
      <c r="AL406" s="358"/>
      <c r="AM406" s="358"/>
      <c r="AN406" s="267" t="s">
        <v>2598</v>
      </c>
      <c r="AO406" s="512"/>
      <c r="AP406" s="720"/>
      <c r="AQ406" s="721"/>
      <c r="AR406" s="723"/>
      <c r="AS406" s="721"/>
      <c r="AT406" s="721"/>
      <c r="AU406" s="721"/>
      <c r="AV406" s="721"/>
      <c r="AW406" s="722">
        <f t="shared" si="181"/>
        <v>0</v>
      </c>
      <c r="AX406" s="525"/>
      <c r="AY406" s="310"/>
      <c r="AZ406" s="380"/>
      <c r="BA406" s="310"/>
      <c r="BB406" s="310"/>
      <c r="BC406" s="310"/>
      <c r="BD406" s="310"/>
      <c r="BE406" s="544">
        <f t="shared" si="166"/>
        <v>0</v>
      </c>
      <c r="BF406" s="525"/>
      <c r="BG406" s="310"/>
      <c r="BH406" s="380"/>
      <c r="BI406" s="310"/>
      <c r="BJ406" s="310"/>
      <c r="BK406" s="310"/>
      <c r="BL406" s="310"/>
      <c r="BM406" s="544">
        <f t="shared" si="167"/>
        <v>0</v>
      </c>
      <c r="BN406" s="525"/>
      <c r="BO406" s="310"/>
      <c r="BP406" s="380"/>
      <c r="BQ406" s="310"/>
      <c r="BR406" s="310"/>
      <c r="BS406" s="310"/>
      <c r="BT406" s="310"/>
      <c r="BU406" s="544">
        <f t="shared" si="168"/>
        <v>0</v>
      </c>
      <c r="BV406" s="556"/>
      <c r="BW406" s="663">
        <f t="shared" si="182"/>
        <v>47</v>
      </c>
      <c r="BX406" s="674">
        <f t="shared" si="183"/>
        <v>11.75</v>
      </c>
      <c r="BY406" s="674">
        <f t="shared" si="184"/>
        <v>17</v>
      </c>
      <c r="BZ406" s="674">
        <f t="shared" si="185"/>
        <v>30</v>
      </c>
      <c r="CA406" s="675">
        <f t="shared" si="186"/>
        <v>0</v>
      </c>
      <c r="CB406" s="675">
        <f t="shared" si="187"/>
        <v>0</v>
      </c>
    </row>
    <row r="407" spans="1:80" ht="64.5" hidden="1" customHeight="1" x14ac:dyDescent="0.25">
      <c r="A407" s="298" t="s">
        <v>1220</v>
      </c>
      <c r="B407" s="299" t="str">
        <f>'PLAN INDICATIVO'!B398</f>
        <v>Desarrollo comunitario</v>
      </c>
      <c r="C407" s="1547"/>
      <c r="D407" s="1549"/>
      <c r="E407" s="1549"/>
      <c r="F407" s="1549"/>
      <c r="G407" s="1549"/>
      <c r="H407" s="1549"/>
      <c r="I407" s="300">
        <f>'PLAN INDICATIVO'!I398</f>
        <v>0</v>
      </c>
      <c r="J407" s="300">
        <f>'PLAN INDICATIVO'!J398</f>
        <v>0</v>
      </c>
      <c r="K407" s="1425" t="str">
        <f>'PLAN INDICATIVO'!K398</f>
        <v>A.16.1.3</v>
      </c>
      <c r="L407" s="301" t="str">
        <f>'PLAN INDICATIVO'!L398</f>
        <v>16. Paz, justicia e instituciones sólidas</v>
      </c>
      <c r="M407" s="301" t="str">
        <f>'PLAN INDICATIVO'!M398</f>
        <v>Secretaría de Desarrollo Social</v>
      </c>
      <c r="N407" s="1425" t="str">
        <f>'PLAN INDICATIVO'!N398</f>
        <v>HERNAN RODRIGUEZ FALLA</v>
      </c>
      <c r="O407" s="1425" t="str">
        <f>'PLAN INDICATIVO'!O398</f>
        <v>Mantenimiento</v>
      </c>
      <c r="P407" s="16" t="str">
        <f>'PLAN INDICATIVO'!P398</f>
        <v>lograr que 1 Oficina de apoyo a las JAC este funcionando cada año</v>
      </c>
      <c r="Q407" s="302" t="str">
        <f>'PLAN INDICATIVO'!Q398</f>
        <v>No. De Oficina funcionando cada año</v>
      </c>
      <c r="R407" s="303">
        <f>'PLAN INDICATIVO'!R398</f>
        <v>2015</v>
      </c>
      <c r="S407" s="304">
        <v>1</v>
      </c>
      <c r="T407" s="699">
        <v>1</v>
      </c>
      <c r="U407" s="303">
        <v>0.25</v>
      </c>
      <c r="V407" s="687">
        <v>1500000</v>
      </c>
      <c r="W407" s="303">
        <v>0.25</v>
      </c>
      <c r="X407" s="687">
        <v>10000000</v>
      </c>
      <c r="Y407" s="303">
        <v>0.25</v>
      </c>
      <c r="Z407" s="687">
        <v>10000000</v>
      </c>
      <c r="AA407" s="303">
        <v>0.25</v>
      </c>
      <c r="AB407" s="687">
        <v>10000000</v>
      </c>
      <c r="AC407" s="669">
        <v>0.25</v>
      </c>
      <c r="AD407" s="669">
        <v>0.25</v>
      </c>
      <c r="AE407" s="669"/>
      <c r="AF407" s="669"/>
      <c r="AG407" s="306" t="s">
        <v>3849</v>
      </c>
      <c r="AH407" s="341">
        <v>2017413960015</v>
      </c>
      <c r="AI407" s="355"/>
      <c r="AJ407" s="359">
        <v>42767</v>
      </c>
      <c r="AK407" s="359">
        <v>42930</v>
      </c>
      <c r="AL407" s="358"/>
      <c r="AM407" s="358"/>
      <c r="AN407" s="281" t="s">
        <v>2598</v>
      </c>
      <c r="AO407" s="512" t="s">
        <v>3852</v>
      </c>
      <c r="AP407" s="310"/>
      <c r="AQ407" s="310">
        <v>6000000</v>
      </c>
      <c r="AR407" s="310"/>
      <c r="AS407" s="310"/>
      <c r="AT407" s="310"/>
      <c r="AU407" s="310"/>
      <c r="AV407" s="310"/>
      <c r="AW407" s="722">
        <f t="shared" si="181"/>
        <v>6000000</v>
      </c>
      <c r="AX407" s="525"/>
      <c r="AY407" s="310"/>
      <c r="AZ407" s="380"/>
      <c r="BA407" s="310"/>
      <c r="BB407" s="310"/>
      <c r="BC407" s="310"/>
      <c r="BD407" s="310"/>
      <c r="BE407" s="544">
        <f t="shared" si="166"/>
        <v>0</v>
      </c>
      <c r="BF407" s="525"/>
      <c r="BG407" s="310"/>
      <c r="BH407" s="380"/>
      <c r="BI407" s="310"/>
      <c r="BJ407" s="310"/>
      <c r="BK407" s="310"/>
      <c r="BL407" s="310"/>
      <c r="BM407" s="544">
        <f t="shared" si="167"/>
        <v>0</v>
      </c>
      <c r="BN407" s="525"/>
      <c r="BO407" s="310"/>
      <c r="BP407" s="380"/>
      <c r="BQ407" s="310"/>
      <c r="BR407" s="310"/>
      <c r="BS407" s="310"/>
      <c r="BT407" s="310"/>
      <c r="BU407" s="544">
        <f t="shared" si="168"/>
        <v>0</v>
      </c>
      <c r="BV407" s="556"/>
      <c r="BW407" s="663">
        <f t="shared" si="182"/>
        <v>0.5</v>
      </c>
      <c r="BX407" s="674">
        <f t="shared" si="183"/>
        <v>0.5</v>
      </c>
      <c r="BY407" s="674">
        <f t="shared" si="184"/>
        <v>1</v>
      </c>
      <c r="BZ407" s="674">
        <f t="shared" si="185"/>
        <v>1</v>
      </c>
      <c r="CA407" s="675">
        <f t="shared" si="186"/>
        <v>0</v>
      </c>
      <c r="CB407" s="675">
        <f t="shared" si="187"/>
        <v>0</v>
      </c>
    </row>
    <row r="408" spans="1:80" ht="79.5" hidden="1" customHeight="1" x14ac:dyDescent="0.25">
      <c r="A408" s="298" t="s">
        <v>1220</v>
      </c>
      <c r="B408" s="299" t="str">
        <f>'PLAN INDICATIVO'!B399</f>
        <v>Desarrollo comunitario</v>
      </c>
      <c r="C408" s="1547"/>
      <c r="D408" s="1549"/>
      <c r="E408" s="1549"/>
      <c r="F408" s="1549"/>
      <c r="G408" s="1549"/>
      <c r="H408" s="1549"/>
      <c r="I408" s="300">
        <f>'PLAN INDICATIVO'!I399</f>
        <v>0</v>
      </c>
      <c r="J408" s="300">
        <f>'PLAN INDICATIVO'!J399</f>
        <v>0</v>
      </c>
      <c r="K408" s="1425" t="str">
        <f>'PLAN INDICATIVO'!K399</f>
        <v>A.16.1.4</v>
      </c>
      <c r="L408" s="301" t="str">
        <f>'PLAN INDICATIVO'!L399</f>
        <v>16. Paz, justicia e instituciones sólidas</v>
      </c>
      <c r="M408" s="301" t="str">
        <f>'PLAN INDICATIVO'!M399</f>
        <v>Secretaría de Desarrollo Social</v>
      </c>
      <c r="N408" s="1425" t="str">
        <f>'PLAN INDICATIVO'!N399</f>
        <v>HERNAN RODRIGUEZ FALLA</v>
      </c>
      <c r="O408" s="1425" t="str">
        <f>'PLAN INDICATIVO'!O399</f>
        <v>Incremento</v>
      </c>
      <c r="P408" s="820" t="str">
        <f>'PLAN INDICATIVO'!P399</f>
        <v>Realizar 4 procesos de capacitación y asesoría en participación comunitaria, entre otras, que contribuyan con el fortalecimiento comunal para consolidar procesos de participación ciudadana y control social durante el cuatrenio.</v>
      </c>
      <c r="Q408" s="302" t="str">
        <f>'PLAN INDICATIVO'!Q399</f>
        <v>No.  capacitaciones y asesoría realizadas durante el cuatrenio</v>
      </c>
      <c r="R408" s="303">
        <f>'PLAN INDICATIVO'!R399</f>
        <v>2015</v>
      </c>
      <c r="S408" s="304">
        <v>1</v>
      </c>
      <c r="T408" s="699">
        <v>4</v>
      </c>
      <c r="U408" s="303">
        <v>1</v>
      </c>
      <c r="V408" s="687">
        <v>1000000</v>
      </c>
      <c r="W408" s="303">
        <v>1</v>
      </c>
      <c r="X408" s="687">
        <v>1000000</v>
      </c>
      <c r="Y408" s="303">
        <v>1</v>
      </c>
      <c r="Z408" s="687">
        <v>1000000</v>
      </c>
      <c r="AA408" s="303">
        <v>1</v>
      </c>
      <c r="AB408" s="687">
        <v>1000000</v>
      </c>
      <c r="AC408" s="669">
        <v>1</v>
      </c>
      <c r="AD408" s="669">
        <v>1</v>
      </c>
      <c r="AE408" s="669"/>
      <c r="AF408" s="669"/>
      <c r="AG408" s="306" t="s">
        <v>3849</v>
      </c>
      <c r="AH408" s="341">
        <v>2017413960015</v>
      </c>
      <c r="AI408" s="355" t="s">
        <v>3853</v>
      </c>
      <c r="AJ408" s="359">
        <v>42795</v>
      </c>
      <c r="AK408" s="359">
        <v>42916</v>
      </c>
      <c r="AL408" s="358"/>
      <c r="AM408" s="358"/>
      <c r="AN408" s="267" t="s">
        <v>2598</v>
      </c>
      <c r="AO408" s="512" t="s">
        <v>3852</v>
      </c>
      <c r="AP408" s="526"/>
      <c r="AQ408" s="470">
        <v>500000</v>
      </c>
      <c r="AR408" s="380"/>
      <c r="AS408" s="470"/>
      <c r="AT408" s="470"/>
      <c r="AU408" s="470"/>
      <c r="AV408" s="470"/>
      <c r="AW408" s="722">
        <f t="shared" si="181"/>
        <v>500000</v>
      </c>
      <c r="AX408" s="526"/>
      <c r="AY408" s="470"/>
      <c r="AZ408" s="380"/>
      <c r="BA408" s="470"/>
      <c r="BB408" s="470"/>
      <c r="BC408" s="470"/>
      <c r="BD408" s="470"/>
      <c r="BE408" s="544">
        <f t="shared" si="166"/>
        <v>0</v>
      </c>
      <c r="BF408" s="526"/>
      <c r="BG408" s="470"/>
      <c r="BH408" s="380"/>
      <c r="BI408" s="470"/>
      <c r="BJ408" s="470"/>
      <c r="BK408" s="470"/>
      <c r="BL408" s="470"/>
      <c r="BM408" s="544">
        <f t="shared" si="167"/>
        <v>0</v>
      </c>
      <c r="BN408" s="526"/>
      <c r="BO408" s="470"/>
      <c r="BP408" s="380"/>
      <c r="BQ408" s="470"/>
      <c r="BR408" s="470"/>
      <c r="BS408" s="470"/>
      <c r="BT408" s="470"/>
      <c r="BU408" s="544">
        <f t="shared" si="168"/>
        <v>0</v>
      </c>
      <c r="BV408" s="556"/>
      <c r="BW408" s="663">
        <f t="shared" si="182"/>
        <v>2</v>
      </c>
      <c r="BX408" s="674">
        <f t="shared" si="183"/>
        <v>0.5</v>
      </c>
      <c r="BY408" s="674">
        <f t="shared" si="184"/>
        <v>1</v>
      </c>
      <c r="BZ408" s="674">
        <f t="shared" si="185"/>
        <v>1</v>
      </c>
      <c r="CA408" s="675">
        <f t="shared" si="186"/>
        <v>0</v>
      </c>
      <c r="CB408" s="675">
        <f t="shared" si="187"/>
        <v>0</v>
      </c>
    </row>
    <row r="409" spans="1:80" ht="72.75" hidden="1" customHeight="1" x14ac:dyDescent="0.25">
      <c r="A409" s="298" t="s">
        <v>1220</v>
      </c>
      <c r="B409" s="299" t="str">
        <f>'PLAN INDICATIVO'!B400</f>
        <v>Desarrollo comunitario</v>
      </c>
      <c r="C409" s="1547"/>
      <c r="D409" s="1549"/>
      <c r="E409" s="1549"/>
      <c r="F409" s="1549"/>
      <c r="G409" s="1549"/>
      <c r="H409" s="1549"/>
      <c r="I409" s="300">
        <f>'PLAN INDICATIVO'!I400</f>
        <v>0</v>
      </c>
      <c r="J409" s="300">
        <f>'PLAN INDICATIVO'!J400</f>
        <v>0</v>
      </c>
      <c r="K409" s="1425" t="str">
        <f>'PLAN INDICATIVO'!K400</f>
        <v>A.16.1.5</v>
      </c>
      <c r="L409" s="301" t="str">
        <f>'PLAN INDICATIVO'!L400</f>
        <v>16. Paz, justicia e instituciones sólidas</v>
      </c>
      <c r="M409" s="301" t="str">
        <f>'PLAN INDICATIVO'!M400</f>
        <v>Secretaría de Desarrollo Social</v>
      </c>
      <c r="N409" s="1425" t="str">
        <f>'PLAN INDICATIVO'!N400</f>
        <v>HERNAN RODRIGUEZ FALLA</v>
      </c>
      <c r="O409" s="1425" t="str">
        <f>'PLAN INDICATIVO'!O400</f>
        <v>Incremento</v>
      </c>
      <c r="P409" s="16" t="str">
        <f>'PLAN INDICATIVO'!P400</f>
        <v>Realizar 4 consejos de convivencia y buen gobierno  para concertación de desarrollo local, durante el cuatrienio</v>
      </c>
      <c r="Q409" s="302" t="str">
        <f>'PLAN INDICATIVO'!Q400</f>
        <v>No. De consejos de convivencia realziados</v>
      </c>
      <c r="R409" s="303">
        <f>'PLAN INDICATIVO'!R400</f>
        <v>2015</v>
      </c>
      <c r="S409" s="304">
        <v>0</v>
      </c>
      <c r="T409" s="699">
        <v>4</v>
      </c>
      <c r="U409" s="303">
        <v>1</v>
      </c>
      <c r="V409" s="687">
        <v>500000</v>
      </c>
      <c r="W409" s="303">
        <v>1</v>
      </c>
      <c r="X409" s="687">
        <v>500000</v>
      </c>
      <c r="Y409" s="303">
        <v>1</v>
      </c>
      <c r="Z409" s="687">
        <v>1000000</v>
      </c>
      <c r="AA409" s="303">
        <v>1</v>
      </c>
      <c r="AB409" s="687">
        <v>1000000</v>
      </c>
      <c r="AC409" s="669">
        <v>1</v>
      </c>
      <c r="AD409" s="669">
        <v>1</v>
      </c>
      <c r="AE409" s="669"/>
      <c r="AF409" s="669"/>
      <c r="AG409" s="306" t="s">
        <v>3849</v>
      </c>
      <c r="AH409" s="341">
        <v>2017413960015</v>
      </c>
      <c r="AI409" s="355" t="s">
        <v>3854</v>
      </c>
      <c r="AJ409" s="359">
        <v>42767</v>
      </c>
      <c r="AK409" s="359">
        <v>42794</v>
      </c>
      <c r="AL409" s="358"/>
      <c r="AM409" s="358"/>
      <c r="AN409" s="267" t="s">
        <v>2598</v>
      </c>
      <c r="AO409" s="512" t="s">
        <v>3852</v>
      </c>
      <c r="AP409" s="525"/>
      <c r="AQ409" s="310">
        <v>325000</v>
      </c>
      <c r="AR409" s="380"/>
      <c r="AS409" s="310"/>
      <c r="AT409" s="310"/>
      <c r="AU409" s="310"/>
      <c r="AV409" s="310"/>
      <c r="AW409" s="722">
        <f t="shared" si="181"/>
        <v>325000</v>
      </c>
      <c r="AX409" s="525"/>
      <c r="AY409" s="310"/>
      <c r="AZ409" s="380"/>
      <c r="BA409" s="310"/>
      <c r="BB409" s="310"/>
      <c r="BC409" s="310"/>
      <c r="BD409" s="310"/>
      <c r="BE409" s="544">
        <f t="shared" si="166"/>
        <v>0</v>
      </c>
      <c r="BF409" s="525"/>
      <c r="BG409" s="310"/>
      <c r="BH409" s="380"/>
      <c r="BI409" s="310"/>
      <c r="BJ409" s="310"/>
      <c r="BK409" s="310"/>
      <c r="BL409" s="310"/>
      <c r="BM409" s="544">
        <f t="shared" si="167"/>
        <v>0</v>
      </c>
      <c r="BN409" s="525"/>
      <c r="BO409" s="310"/>
      <c r="BP409" s="380"/>
      <c r="BQ409" s="310"/>
      <c r="BR409" s="310"/>
      <c r="BS409" s="310"/>
      <c r="BT409" s="310"/>
      <c r="BU409" s="544">
        <f t="shared" si="168"/>
        <v>0</v>
      </c>
      <c r="BV409" s="556"/>
      <c r="BW409" s="663">
        <f t="shared" si="182"/>
        <v>2</v>
      </c>
      <c r="BX409" s="674">
        <f t="shared" si="183"/>
        <v>0.5</v>
      </c>
      <c r="BY409" s="674">
        <f t="shared" si="184"/>
        <v>1</v>
      </c>
      <c r="BZ409" s="674">
        <f t="shared" si="185"/>
        <v>1</v>
      </c>
      <c r="CA409" s="675">
        <f t="shared" si="186"/>
        <v>0</v>
      </c>
      <c r="CB409" s="675">
        <f t="shared" si="187"/>
        <v>0</v>
      </c>
    </row>
    <row r="410" spans="1:80" ht="90.75" hidden="1" customHeight="1" x14ac:dyDescent="0.25">
      <c r="A410" s="298" t="s">
        <v>1220</v>
      </c>
      <c r="B410" s="299" t="str">
        <f>'PLAN INDICATIVO'!B401</f>
        <v>Desarrollo comunitario</v>
      </c>
      <c r="C410" s="1547"/>
      <c r="D410" s="1549"/>
      <c r="E410" s="1549"/>
      <c r="F410" s="1549"/>
      <c r="G410" s="1549"/>
      <c r="H410" s="1549"/>
      <c r="I410" s="300">
        <f>'PLAN INDICATIVO'!I401</f>
        <v>0</v>
      </c>
      <c r="J410" s="300">
        <f>'PLAN INDICATIVO'!J401</f>
        <v>0</v>
      </c>
      <c r="K410" s="1425" t="str">
        <f>'PLAN INDICATIVO'!K401</f>
        <v>A.16.1.6</v>
      </c>
      <c r="L410" s="301" t="str">
        <f>'PLAN INDICATIVO'!L401</f>
        <v>16. Paz, justicia e instituciones sólidas</v>
      </c>
      <c r="M410" s="301" t="str">
        <f>'PLAN INDICATIVO'!M401</f>
        <v>Secretaría de Desarrollo Social</v>
      </c>
      <c r="N410" s="1425" t="str">
        <f>'PLAN INDICATIVO'!N401</f>
        <v>HERNAN RODRIGUEZ FALLA</v>
      </c>
      <c r="O410" s="1425" t="str">
        <f>'PLAN INDICATIVO'!O401</f>
        <v>Incremento</v>
      </c>
      <c r="P410" s="820" t="str">
        <f>'PLAN INDICATIVO'!P401</f>
        <v xml:space="preserve">Realizas cuatro (4) capacitaciones de Veedurías ciudadanas para control social en el cuatrienio. </v>
      </c>
      <c r="Q410" s="302" t="str">
        <f>'PLAN INDICATIVO'!Q401</f>
        <v xml:space="preserve">No. De veedurías capacitadas </v>
      </c>
      <c r="R410" s="303">
        <f>'PLAN INDICATIVO'!R401</f>
        <v>2015</v>
      </c>
      <c r="S410" s="304">
        <v>0</v>
      </c>
      <c r="T410" s="699">
        <v>4</v>
      </c>
      <c r="U410" s="303">
        <v>1</v>
      </c>
      <c r="V410" s="687">
        <v>1000000</v>
      </c>
      <c r="W410" s="303">
        <v>1</v>
      </c>
      <c r="X410" s="687">
        <v>1000000</v>
      </c>
      <c r="Y410" s="303">
        <v>1</v>
      </c>
      <c r="Z410" s="687">
        <v>1000000</v>
      </c>
      <c r="AA410" s="303">
        <v>1</v>
      </c>
      <c r="AB410" s="687">
        <v>1000000</v>
      </c>
      <c r="AC410" s="669">
        <v>1</v>
      </c>
      <c r="AD410" s="669">
        <v>1</v>
      </c>
      <c r="AE410" s="669"/>
      <c r="AF410" s="669"/>
      <c r="AG410" s="306" t="s">
        <v>3849</v>
      </c>
      <c r="AH410" s="341">
        <v>2017413960015</v>
      </c>
      <c r="AI410" s="355" t="s">
        <v>3855</v>
      </c>
      <c r="AJ410" s="359">
        <v>42931</v>
      </c>
      <c r="AK410" s="359">
        <v>43069</v>
      </c>
      <c r="AL410" s="358"/>
      <c r="AM410" s="358"/>
      <c r="AN410" s="267" t="s">
        <v>2598</v>
      </c>
      <c r="AO410" s="512" t="s">
        <v>3856</v>
      </c>
      <c r="AP410" s="525">
        <v>99500</v>
      </c>
      <c r="AQ410" s="310"/>
      <c r="AR410" s="380"/>
      <c r="AS410" s="310"/>
      <c r="AT410" s="310"/>
      <c r="AU410" s="310"/>
      <c r="AV410" s="310"/>
      <c r="AW410" s="722">
        <f t="shared" si="181"/>
        <v>99500</v>
      </c>
      <c r="AX410" s="525"/>
      <c r="AY410" s="310"/>
      <c r="AZ410" s="380"/>
      <c r="BA410" s="310"/>
      <c r="BB410" s="310"/>
      <c r="BC410" s="310"/>
      <c r="BD410" s="310"/>
      <c r="BE410" s="544">
        <f t="shared" ref="BE410:BE454" si="192">SUM(AX410:BD410)</f>
        <v>0</v>
      </c>
      <c r="BF410" s="525"/>
      <c r="BG410" s="310"/>
      <c r="BH410" s="380"/>
      <c r="BI410" s="310"/>
      <c r="BJ410" s="310"/>
      <c r="BK410" s="310"/>
      <c r="BL410" s="310"/>
      <c r="BM410" s="544">
        <f t="shared" ref="BM410:BM454" si="193">SUM(BF410:BL410)</f>
        <v>0</v>
      </c>
      <c r="BN410" s="525"/>
      <c r="BO410" s="310"/>
      <c r="BP410" s="380"/>
      <c r="BQ410" s="310"/>
      <c r="BR410" s="310"/>
      <c r="BS410" s="310"/>
      <c r="BT410" s="310"/>
      <c r="BU410" s="544">
        <f t="shared" ref="BU410:BU454" si="194">SUM(BN410:BT410)</f>
        <v>0</v>
      </c>
      <c r="BV410" s="556"/>
      <c r="BW410" s="663">
        <f t="shared" si="182"/>
        <v>2</v>
      </c>
      <c r="BX410" s="674">
        <f t="shared" si="183"/>
        <v>0.5</v>
      </c>
      <c r="BY410" s="674">
        <f t="shared" si="184"/>
        <v>1</v>
      </c>
      <c r="BZ410" s="674">
        <f t="shared" si="185"/>
        <v>1</v>
      </c>
      <c r="CA410" s="675">
        <f t="shared" si="186"/>
        <v>0</v>
      </c>
      <c r="CB410" s="675">
        <f t="shared" si="187"/>
        <v>0</v>
      </c>
    </row>
    <row r="411" spans="1:80" ht="55.5" hidden="1" customHeight="1" x14ac:dyDescent="0.25">
      <c r="A411" s="298" t="s">
        <v>1220</v>
      </c>
      <c r="B411" s="299" t="str">
        <f>'PLAN INDICATIVO'!B402</f>
        <v>Desarrollo comunitario</v>
      </c>
      <c r="C411" s="1547"/>
      <c r="D411" s="1549"/>
      <c r="E411" s="1549"/>
      <c r="F411" s="1549"/>
      <c r="G411" s="1549"/>
      <c r="H411" s="1549"/>
      <c r="I411" s="300">
        <f>'PLAN INDICATIVO'!I402</f>
        <v>0</v>
      </c>
      <c r="J411" s="300">
        <f>'PLAN INDICATIVO'!J402</f>
        <v>0</v>
      </c>
      <c r="K411" s="1425" t="str">
        <f>'PLAN INDICATIVO'!K402</f>
        <v>A.16.1.7</v>
      </c>
      <c r="L411" s="301" t="str">
        <f>'PLAN INDICATIVO'!L402</f>
        <v>16. Paz, justicia e instituciones sólidas</v>
      </c>
      <c r="M411" s="301" t="str">
        <f>'PLAN INDICATIVO'!M402</f>
        <v>Secretaría de Desarrollo Social</v>
      </c>
      <c r="N411" s="1425" t="str">
        <f>'PLAN INDICATIVO'!N402</f>
        <v>HERNAN RODRIGUEZ FALLA</v>
      </c>
      <c r="O411" s="1425" t="str">
        <f>'PLAN INDICATIVO'!O402</f>
        <v>Incremento</v>
      </c>
      <c r="P411" s="16" t="str">
        <f>'PLAN INDICATIVO'!P402</f>
        <v>Implementar 1 punto de acceso adicional para fortalecimiento de las TIC en desarrollo comunitario durante el cuatrienio</v>
      </c>
      <c r="Q411" s="302" t="str">
        <f>'PLAN INDICATIVO'!Q402</f>
        <v>No. De puntos de acceso creados</v>
      </c>
      <c r="R411" s="303">
        <f>'PLAN INDICATIVO'!R402</f>
        <v>2015</v>
      </c>
      <c r="S411" s="304">
        <v>0</v>
      </c>
      <c r="T411" s="699">
        <v>1</v>
      </c>
      <c r="U411" s="303">
        <v>0</v>
      </c>
      <c r="V411" s="687">
        <v>1000000</v>
      </c>
      <c r="W411" s="303">
        <v>1</v>
      </c>
      <c r="X411" s="687">
        <v>1000000</v>
      </c>
      <c r="Y411" s="303">
        <v>0</v>
      </c>
      <c r="Z411" s="687"/>
      <c r="AA411" s="303">
        <v>0</v>
      </c>
      <c r="AB411" s="687"/>
      <c r="AC411" s="669"/>
      <c r="AD411" s="669">
        <v>1</v>
      </c>
      <c r="AE411" s="669"/>
      <c r="AF411" s="669"/>
      <c r="AG411" s="306" t="s">
        <v>3849</v>
      </c>
      <c r="AH411" s="341">
        <v>2017413960015</v>
      </c>
      <c r="AI411" s="355" t="s">
        <v>3857</v>
      </c>
      <c r="AJ411" s="358"/>
      <c r="AK411" s="358"/>
      <c r="AL411" s="358"/>
      <c r="AM411" s="358"/>
      <c r="AN411" s="267" t="s">
        <v>2598</v>
      </c>
      <c r="AO411" s="512" t="s">
        <v>2627</v>
      </c>
      <c r="AP411" s="525"/>
      <c r="AQ411" s="310"/>
      <c r="AR411" s="380"/>
      <c r="AS411" s="310"/>
      <c r="AT411" s="310"/>
      <c r="AU411" s="310"/>
      <c r="AV411" s="310"/>
      <c r="AW411" s="544">
        <f t="shared" si="181"/>
        <v>0</v>
      </c>
      <c r="AX411" s="525"/>
      <c r="AY411" s="310"/>
      <c r="AZ411" s="380"/>
      <c r="BA411" s="310"/>
      <c r="BB411" s="310"/>
      <c r="BC411" s="310"/>
      <c r="BD411" s="310"/>
      <c r="BE411" s="544">
        <f t="shared" si="192"/>
        <v>0</v>
      </c>
      <c r="BF411" s="525"/>
      <c r="BG411" s="310"/>
      <c r="BH411" s="380"/>
      <c r="BI411" s="310"/>
      <c r="BJ411" s="310"/>
      <c r="BK411" s="310"/>
      <c r="BL411" s="310"/>
      <c r="BM411" s="544">
        <f t="shared" si="193"/>
        <v>0</v>
      </c>
      <c r="BN411" s="525"/>
      <c r="BO411" s="310"/>
      <c r="BP411" s="380"/>
      <c r="BQ411" s="310"/>
      <c r="BR411" s="310"/>
      <c r="BS411" s="310"/>
      <c r="BT411" s="310"/>
      <c r="BU411" s="544">
        <f t="shared" si="194"/>
        <v>0</v>
      </c>
      <c r="BV411" s="556"/>
      <c r="BW411" s="663">
        <f t="shared" si="182"/>
        <v>1</v>
      </c>
      <c r="BX411" s="674">
        <f t="shared" si="183"/>
        <v>1</v>
      </c>
      <c r="BY411" s="674" t="e">
        <f t="shared" si="184"/>
        <v>#DIV/0!</v>
      </c>
      <c r="BZ411" s="674">
        <f t="shared" si="185"/>
        <v>1</v>
      </c>
      <c r="CA411" s="675" t="e">
        <f t="shared" si="186"/>
        <v>#DIV/0!</v>
      </c>
      <c r="CB411" s="675" t="e">
        <f t="shared" si="187"/>
        <v>#DIV/0!</v>
      </c>
    </row>
    <row r="412" spans="1:80" ht="59.25" hidden="1" customHeight="1" x14ac:dyDescent="0.25">
      <c r="A412" s="298" t="s">
        <v>1220</v>
      </c>
      <c r="B412" s="299" t="str">
        <f>'PLAN INDICATIVO'!B403</f>
        <v>Desarrollo comunitario</v>
      </c>
      <c r="C412" s="1547"/>
      <c r="D412" s="1549"/>
      <c r="E412" s="1549"/>
      <c r="F412" s="1549"/>
      <c r="G412" s="1549"/>
      <c r="H412" s="1549"/>
      <c r="I412" s="300">
        <f>'PLAN INDICATIVO'!I403</f>
        <v>0</v>
      </c>
      <c r="J412" s="300">
        <f>'PLAN INDICATIVO'!J403</f>
        <v>0</v>
      </c>
      <c r="K412" s="1425" t="str">
        <f>'PLAN INDICATIVO'!K403</f>
        <v>A.16.1.8</v>
      </c>
      <c r="L412" s="301" t="str">
        <f>'PLAN INDICATIVO'!L403</f>
        <v>16. Paz, justicia e instituciones sólidas</v>
      </c>
      <c r="M412" s="301" t="str">
        <f>'PLAN INDICATIVO'!M403</f>
        <v>Secretaría de Desarrollo Social</v>
      </c>
      <c r="N412" s="1425" t="str">
        <f>'PLAN INDICATIVO'!N403</f>
        <v>HERNAN RODRIGUEZ FALLA</v>
      </c>
      <c r="O412" s="1425" t="str">
        <f>'PLAN INDICATIVO'!O403</f>
        <v>Incremento</v>
      </c>
      <c r="P412" s="16" t="str">
        <f>'PLAN INDICATIVO'!P403</f>
        <v>Capacitar 120 personas durante el cuatrienio en el programa formador de formadores para el fomento de la participación ciudadana   del sector urbano y rural</v>
      </c>
      <c r="Q412" s="302" t="str">
        <f>'PLAN INDICATIVO'!Q403</f>
        <v>No. Personas capacitadas</v>
      </c>
      <c r="R412" s="303">
        <f>'PLAN INDICATIVO'!R403</f>
        <v>2015</v>
      </c>
      <c r="S412" s="304">
        <v>0</v>
      </c>
      <c r="T412" s="699">
        <v>120</v>
      </c>
      <c r="U412" s="303">
        <v>0</v>
      </c>
      <c r="V412" s="687">
        <v>3000000</v>
      </c>
      <c r="W412" s="303">
        <v>40</v>
      </c>
      <c r="X412" s="687">
        <v>7000000</v>
      </c>
      <c r="Y412" s="303">
        <v>40</v>
      </c>
      <c r="Z412" s="687">
        <v>7000000</v>
      </c>
      <c r="AA412" s="303">
        <v>40</v>
      </c>
      <c r="AB412" s="687">
        <v>7000000</v>
      </c>
      <c r="AC412" s="669"/>
      <c r="AD412" s="669">
        <v>96</v>
      </c>
      <c r="AE412" s="669"/>
      <c r="AF412" s="669"/>
      <c r="AG412" s="306" t="s">
        <v>3849</v>
      </c>
      <c r="AH412" s="341">
        <v>2017413960015</v>
      </c>
      <c r="AI412" s="355" t="s">
        <v>3858</v>
      </c>
      <c r="AJ412" s="359">
        <v>42931</v>
      </c>
      <c r="AK412" s="359">
        <v>43071</v>
      </c>
      <c r="AL412" s="358"/>
      <c r="AM412" s="358"/>
      <c r="AN412" s="267" t="s">
        <v>2598</v>
      </c>
      <c r="AO412" s="512"/>
      <c r="AP412" s="525"/>
      <c r="AQ412" s="310"/>
      <c r="AR412" s="380"/>
      <c r="AS412" s="310"/>
      <c r="AT412" s="310"/>
      <c r="AU412" s="310"/>
      <c r="AV412" s="310"/>
      <c r="AW412" s="544">
        <f t="shared" si="181"/>
        <v>0</v>
      </c>
      <c r="AX412" s="525"/>
      <c r="AY412" s="310"/>
      <c r="AZ412" s="380"/>
      <c r="BA412" s="310"/>
      <c r="BB412" s="310"/>
      <c r="BC412" s="310"/>
      <c r="BD412" s="310"/>
      <c r="BE412" s="544">
        <f t="shared" si="192"/>
        <v>0</v>
      </c>
      <c r="BF412" s="525"/>
      <c r="BG412" s="310"/>
      <c r="BH412" s="380"/>
      <c r="BI412" s="310"/>
      <c r="BJ412" s="310"/>
      <c r="BK412" s="310"/>
      <c r="BL412" s="310"/>
      <c r="BM412" s="544">
        <f t="shared" si="193"/>
        <v>0</v>
      </c>
      <c r="BN412" s="525"/>
      <c r="BO412" s="310"/>
      <c r="BP412" s="380"/>
      <c r="BQ412" s="310"/>
      <c r="BR412" s="310"/>
      <c r="BS412" s="310"/>
      <c r="BT412" s="310"/>
      <c r="BU412" s="544">
        <f t="shared" si="194"/>
        <v>0</v>
      </c>
      <c r="BV412" s="556"/>
      <c r="BW412" s="663">
        <f t="shared" si="182"/>
        <v>96</v>
      </c>
      <c r="BX412" s="674">
        <f t="shared" si="183"/>
        <v>0.8</v>
      </c>
      <c r="BY412" s="674" t="e">
        <f t="shared" si="184"/>
        <v>#DIV/0!</v>
      </c>
      <c r="BZ412" s="674">
        <f t="shared" si="185"/>
        <v>2.4</v>
      </c>
      <c r="CA412" s="675">
        <f t="shared" si="186"/>
        <v>0</v>
      </c>
      <c r="CB412" s="675">
        <f t="shared" si="187"/>
        <v>0</v>
      </c>
    </row>
    <row r="413" spans="1:80" ht="94.5" hidden="1" customHeight="1" x14ac:dyDescent="0.25">
      <c r="A413" s="298" t="s">
        <v>1220</v>
      </c>
      <c r="B413" s="299" t="str">
        <f>'PLAN INDICATIVO'!B404</f>
        <v>Desarrollo comunitario</v>
      </c>
      <c r="C413" s="1547"/>
      <c r="D413" s="1549"/>
      <c r="E413" s="1549"/>
      <c r="F413" s="1549"/>
      <c r="G413" s="1549"/>
      <c r="H413" s="1549"/>
      <c r="I413" s="300">
        <f>'PLAN INDICATIVO'!I404</f>
        <v>0</v>
      </c>
      <c r="J413" s="300">
        <f>'PLAN INDICATIVO'!J404</f>
        <v>0</v>
      </c>
      <c r="K413" s="1425" t="str">
        <f>'PLAN INDICATIVO'!K404</f>
        <v>A.16.1.9</v>
      </c>
      <c r="L413" s="301" t="str">
        <f>'PLAN INDICATIVO'!L404</f>
        <v>16. Paz, justicia e instituciones sólidas</v>
      </c>
      <c r="M413" s="301" t="str">
        <f>'PLAN INDICATIVO'!M404</f>
        <v>Secretaría de Desarrollo Social</v>
      </c>
      <c r="N413" s="1425" t="str">
        <f>'PLAN INDICATIVO'!N404</f>
        <v>HERNAN RODRIGUEZ FALLA</v>
      </c>
      <c r="O413" s="1425" t="str">
        <f>'PLAN INDICATIVO'!O404</f>
        <v>Incremento</v>
      </c>
      <c r="P413" s="16" t="str">
        <f>'PLAN INDICATIVO'!P404</f>
        <v>Realizar 4 rendiciones de cuentas medibles y claras para la comunidad durante el cuatrienio</v>
      </c>
      <c r="Q413" s="302" t="str">
        <f>'PLAN INDICATIVO'!Q404</f>
        <v>No. De rendiciones de cuentas medibles</v>
      </c>
      <c r="R413" s="303">
        <f>'PLAN INDICATIVO'!R404</f>
        <v>2015</v>
      </c>
      <c r="S413" s="304">
        <v>1</v>
      </c>
      <c r="T413" s="699">
        <v>4</v>
      </c>
      <c r="U413" s="303">
        <v>1</v>
      </c>
      <c r="V413" s="687">
        <v>8000000</v>
      </c>
      <c r="W413" s="303">
        <v>1</v>
      </c>
      <c r="X413" s="687">
        <v>10000000</v>
      </c>
      <c r="Y413" s="303">
        <v>1</v>
      </c>
      <c r="Z413" s="687">
        <v>1000000</v>
      </c>
      <c r="AA413" s="303">
        <v>1</v>
      </c>
      <c r="AB413" s="687">
        <v>1000000</v>
      </c>
      <c r="AC413" s="669">
        <v>1</v>
      </c>
      <c r="AD413" s="669">
        <v>1</v>
      </c>
      <c r="AE413" s="669"/>
      <c r="AF413" s="669"/>
      <c r="AG413" s="306" t="s">
        <v>3849</v>
      </c>
      <c r="AH413" s="341">
        <v>2017413960015</v>
      </c>
      <c r="AI413" s="355"/>
      <c r="AJ413" s="358" t="s">
        <v>3007</v>
      </c>
      <c r="AK413" s="358" t="s">
        <v>3007</v>
      </c>
      <c r="AL413" s="358"/>
      <c r="AM413" s="358"/>
      <c r="AN413" s="267" t="s">
        <v>2598</v>
      </c>
      <c r="AO413" s="512"/>
      <c r="AP413" s="525"/>
      <c r="AQ413" s="310"/>
      <c r="AR413" s="380"/>
      <c r="AS413" s="310"/>
      <c r="AT413" s="310"/>
      <c r="AU413" s="310"/>
      <c r="AV413" s="310"/>
      <c r="AW413" s="544">
        <f t="shared" si="181"/>
        <v>0</v>
      </c>
      <c r="AX413" s="525"/>
      <c r="AY413" s="310"/>
      <c r="AZ413" s="380"/>
      <c r="BA413" s="310"/>
      <c r="BB413" s="310"/>
      <c r="BC413" s="310"/>
      <c r="BD413" s="310"/>
      <c r="BE413" s="544">
        <f t="shared" si="192"/>
        <v>0</v>
      </c>
      <c r="BF413" s="525"/>
      <c r="BG413" s="310"/>
      <c r="BH413" s="380"/>
      <c r="BI413" s="310"/>
      <c r="BJ413" s="310"/>
      <c r="BK413" s="310"/>
      <c r="BL413" s="310"/>
      <c r="BM413" s="544">
        <f t="shared" si="193"/>
        <v>0</v>
      </c>
      <c r="BN413" s="525"/>
      <c r="BO413" s="310"/>
      <c r="BP413" s="380"/>
      <c r="BQ413" s="310"/>
      <c r="BR413" s="310"/>
      <c r="BS413" s="310"/>
      <c r="BT413" s="310"/>
      <c r="BU413" s="544">
        <f t="shared" si="194"/>
        <v>0</v>
      </c>
      <c r="BV413" s="556"/>
      <c r="BW413" s="663">
        <f t="shared" si="182"/>
        <v>2</v>
      </c>
      <c r="BX413" s="877">
        <f t="shared" si="183"/>
        <v>0.5</v>
      </c>
      <c r="BY413" s="674">
        <f t="shared" si="184"/>
        <v>1</v>
      </c>
      <c r="BZ413" s="674">
        <f t="shared" si="185"/>
        <v>1</v>
      </c>
      <c r="CA413" s="675">
        <f t="shared" si="186"/>
        <v>0</v>
      </c>
      <c r="CB413" s="675">
        <f t="shared" si="187"/>
        <v>0</v>
      </c>
    </row>
    <row r="414" spans="1:80" ht="100.5" hidden="1" customHeight="1" x14ac:dyDescent="0.25">
      <c r="A414" s="298" t="s">
        <v>1220</v>
      </c>
      <c r="B414" s="299" t="str">
        <f>'PLAN INDICATIVO'!B405</f>
        <v>Desarrollo comunitario</v>
      </c>
      <c r="C414" s="1547"/>
      <c r="D414" s="1549"/>
      <c r="E414" s="1549"/>
      <c r="F414" s="1549"/>
      <c r="G414" s="1549"/>
      <c r="H414" s="1549"/>
      <c r="I414" s="300">
        <f>'PLAN INDICATIVO'!I405</f>
        <v>0</v>
      </c>
      <c r="J414" s="300">
        <f>'PLAN INDICATIVO'!J405</f>
        <v>0</v>
      </c>
      <c r="K414" s="1425" t="str">
        <f>'PLAN INDICATIVO'!K405</f>
        <v>A.16.1.10</v>
      </c>
      <c r="L414" s="301" t="str">
        <f>'PLAN INDICATIVO'!L405</f>
        <v>16. Paz, justicia e instituciones sólidas</v>
      </c>
      <c r="M414" s="301" t="str">
        <f>'PLAN INDICATIVO'!M405</f>
        <v>Secretaría de Desarrollo Social</v>
      </c>
      <c r="N414" s="1425" t="str">
        <f>'PLAN INDICATIVO'!N405</f>
        <v>HERNAN RODRIGUEZ FALLA</v>
      </c>
      <c r="O414" s="1425" t="str">
        <f>'PLAN INDICATIVO'!O405</f>
        <v>Mantenimiento</v>
      </c>
      <c r="P414" s="820" t="str">
        <f>'PLAN INDICATIVO'!P405</f>
        <v>Implementar 1 programa de capacitación, asesoría y asistencia técnica para consolidar procesos de participación ciudadana y control social, cada año</v>
      </c>
      <c r="Q414" s="302" t="str">
        <f>'PLAN INDICATIVO'!Q405</f>
        <v>No. de programas de capacitación, asesoría y asistencia técnica, implementados por año</v>
      </c>
      <c r="R414" s="303">
        <f>'PLAN INDICATIVO'!R405</f>
        <v>2015</v>
      </c>
      <c r="S414" s="304">
        <v>1</v>
      </c>
      <c r="T414" s="699">
        <v>1</v>
      </c>
      <c r="U414" s="303">
        <v>1</v>
      </c>
      <c r="V414" s="687">
        <v>2000000</v>
      </c>
      <c r="W414" s="303">
        <v>1</v>
      </c>
      <c r="X414" s="687">
        <v>20000000</v>
      </c>
      <c r="Y414" s="303">
        <v>1</v>
      </c>
      <c r="Z414" s="687">
        <v>20000000</v>
      </c>
      <c r="AA414" s="303">
        <v>1</v>
      </c>
      <c r="AB414" s="687">
        <v>20000000</v>
      </c>
      <c r="AC414" s="669">
        <v>1</v>
      </c>
      <c r="AD414" s="669">
        <v>1</v>
      </c>
      <c r="AE414" s="669"/>
      <c r="AF414" s="669"/>
      <c r="AG414" s="306" t="s">
        <v>3849</v>
      </c>
      <c r="AH414" s="341">
        <v>2017413960015</v>
      </c>
      <c r="AI414" s="355" t="s">
        <v>3855</v>
      </c>
      <c r="AJ414" s="358" t="s">
        <v>3009</v>
      </c>
      <c r="AK414" s="358" t="s">
        <v>3010</v>
      </c>
      <c r="AL414" s="358"/>
      <c r="AM414" s="358"/>
      <c r="AN414" s="281" t="s">
        <v>2598</v>
      </c>
      <c r="AO414" s="512" t="s">
        <v>3856</v>
      </c>
      <c r="AP414" s="525">
        <v>1000000</v>
      </c>
      <c r="AQ414" s="310"/>
      <c r="AR414" s="380"/>
      <c r="AS414" s="310"/>
      <c r="AT414" s="310"/>
      <c r="AU414" s="310"/>
      <c r="AV414" s="310"/>
      <c r="AW414" s="544">
        <f t="shared" si="181"/>
        <v>1000000</v>
      </c>
      <c r="AX414" s="525"/>
      <c r="AY414" s="310"/>
      <c r="AZ414" s="380"/>
      <c r="BA414" s="310"/>
      <c r="BB414" s="310"/>
      <c r="BC414" s="310"/>
      <c r="BD414" s="310"/>
      <c r="BE414" s="544">
        <f t="shared" si="192"/>
        <v>0</v>
      </c>
      <c r="BF414" s="525"/>
      <c r="BG414" s="310"/>
      <c r="BH414" s="380"/>
      <c r="BI414" s="310"/>
      <c r="BJ414" s="310"/>
      <c r="BK414" s="310"/>
      <c r="BL414" s="310"/>
      <c r="BM414" s="544">
        <f t="shared" si="193"/>
        <v>0</v>
      </c>
      <c r="BN414" s="525"/>
      <c r="BO414" s="310"/>
      <c r="BP414" s="380"/>
      <c r="BQ414" s="310"/>
      <c r="BR414" s="310"/>
      <c r="BS414" s="310"/>
      <c r="BT414" s="310"/>
      <c r="BU414" s="544">
        <f t="shared" si="194"/>
        <v>0</v>
      </c>
      <c r="BV414" s="556"/>
      <c r="BW414" s="663">
        <f t="shared" si="182"/>
        <v>2</v>
      </c>
      <c r="BX414" s="674">
        <f t="shared" si="183"/>
        <v>2</v>
      </c>
      <c r="BY414" s="674">
        <f t="shared" si="184"/>
        <v>1</v>
      </c>
      <c r="BZ414" s="674">
        <f t="shared" si="185"/>
        <v>1</v>
      </c>
      <c r="CA414" s="675">
        <f t="shared" si="186"/>
        <v>0</v>
      </c>
      <c r="CB414" s="675">
        <f t="shared" si="187"/>
        <v>0</v>
      </c>
    </row>
    <row r="415" spans="1:80" ht="65.25" hidden="1" customHeight="1" thickBot="1" x14ac:dyDescent="0.3">
      <c r="A415" s="393" t="s">
        <v>1220</v>
      </c>
      <c r="B415" s="394" t="str">
        <f>'PLAN INDICATIVO'!B406</f>
        <v>Desarrollo comunitario</v>
      </c>
      <c r="C415" s="1547"/>
      <c r="D415" s="1550"/>
      <c r="E415" s="1550"/>
      <c r="F415" s="1550"/>
      <c r="G415" s="1550"/>
      <c r="H415" s="1550"/>
      <c r="I415" s="395">
        <f>'PLAN INDICATIVO'!I406</f>
        <v>0</v>
      </c>
      <c r="J415" s="395">
        <f>'PLAN INDICATIVO'!J406</f>
        <v>0</v>
      </c>
      <c r="K415" s="1426" t="str">
        <f>'PLAN INDICATIVO'!K406</f>
        <v>A.16.1.11</v>
      </c>
      <c r="L415" s="396" t="str">
        <f>'PLAN INDICATIVO'!L406</f>
        <v>16. Paz, justicia e instituciones sólidas</v>
      </c>
      <c r="M415" s="396" t="str">
        <f>'PLAN INDICATIVO'!M406</f>
        <v>Secretaría de Desarrollo Social</v>
      </c>
      <c r="N415" s="1426" t="str">
        <f>'PLAN INDICATIVO'!N406</f>
        <v>HERNAN RODRIGUEZ FALLA</v>
      </c>
      <c r="O415" s="1426" t="str">
        <f>'PLAN INDICATIVO'!O406</f>
        <v>Incremento</v>
      </c>
      <c r="P415" s="70" t="str">
        <f>'PLAN INDICATIVO'!P406</f>
        <v>Presentar 4 informes impresos durante el cuatrienio para divulgación de rendición de cuentas</v>
      </c>
      <c r="Q415" s="350" t="str">
        <f>'PLAN INDICATIVO'!Q406</f>
        <v>Informes impresos de rendición de cuentas</v>
      </c>
      <c r="R415" s="397">
        <f>'PLAN INDICATIVO'!R406</f>
        <v>2015</v>
      </c>
      <c r="S415" s="1433">
        <v>0</v>
      </c>
      <c r="T415" s="699">
        <v>4</v>
      </c>
      <c r="U415" s="303">
        <v>1</v>
      </c>
      <c r="V415" s="687">
        <v>3500000</v>
      </c>
      <c r="W415" s="303">
        <v>1</v>
      </c>
      <c r="X415" s="687">
        <v>500000</v>
      </c>
      <c r="Y415" s="303">
        <v>1</v>
      </c>
      <c r="Z415" s="687">
        <v>1000000</v>
      </c>
      <c r="AA415" s="303">
        <v>1</v>
      </c>
      <c r="AB415" s="687">
        <v>1000000</v>
      </c>
      <c r="AC415" s="671">
        <v>1</v>
      </c>
      <c r="AD415" s="671">
        <v>1</v>
      </c>
      <c r="AE415" s="671"/>
      <c r="AF415" s="671"/>
      <c r="AG415" s="306" t="s">
        <v>3849</v>
      </c>
      <c r="AH415" s="341">
        <v>2017413960015</v>
      </c>
      <c r="AI415" s="946"/>
      <c r="AJ415" s="358" t="s">
        <v>3007</v>
      </c>
      <c r="AK415" s="358" t="s">
        <v>3007</v>
      </c>
      <c r="AL415" s="400"/>
      <c r="AM415" s="400"/>
      <c r="AN415" s="267" t="s">
        <v>2598</v>
      </c>
      <c r="AO415" s="512"/>
      <c r="AP415" s="525"/>
      <c r="AQ415" s="310"/>
      <c r="AR415" s="380"/>
      <c r="AS415" s="310"/>
      <c r="AT415" s="310"/>
      <c r="AU415" s="310"/>
      <c r="AV415" s="310"/>
      <c r="AW415" s="544">
        <f t="shared" si="181"/>
        <v>0</v>
      </c>
      <c r="AX415" s="525"/>
      <c r="AY415" s="310"/>
      <c r="AZ415" s="380"/>
      <c r="BA415" s="310"/>
      <c r="BB415" s="310"/>
      <c r="BC415" s="310"/>
      <c r="BD415" s="310"/>
      <c r="BE415" s="544">
        <f t="shared" si="192"/>
        <v>0</v>
      </c>
      <c r="BF415" s="525"/>
      <c r="BG415" s="310"/>
      <c r="BH415" s="380"/>
      <c r="BI415" s="310"/>
      <c r="BJ415" s="310"/>
      <c r="BK415" s="310"/>
      <c r="BL415" s="310"/>
      <c r="BM415" s="544">
        <f t="shared" si="193"/>
        <v>0</v>
      </c>
      <c r="BN415" s="525"/>
      <c r="BO415" s="310"/>
      <c r="BP415" s="380"/>
      <c r="BQ415" s="310"/>
      <c r="BR415" s="310"/>
      <c r="BS415" s="310"/>
      <c r="BT415" s="310"/>
      <c r="BU415" s="544">
        <f t="shared" si="194"/>
        <v>0</v>
      </c>
      <c r="BV415" s="556"/>
      <c r="BW415" s="663">
        <f t="shared" si="182"/>
        <v>2</v>
      </c>
      <c r="BX415" s="877">
        <f t="shared" si="183"/>
        <v>0.5</v>
      </c>
      <c r="BY415" s="674">
        <f t="shared" si="184"/>
        <v>1</v>
      </c>
      <c r="BZ415" s="674">
        <f t="shared" si="185"/>
        <v>1</v>
      </c>
      <c r="CA415" s="675">
        <f t="shared" si="186"/>
        <v>0</v>
      </c>
      <c r="CB415" s="675">
        <f t="shared" si="187"/>
        <v>0</v>
      </c>
    </row>
    <row r="416" spans="1:80" ht="15" hidden="1" customHeight="1" thickBot="1" x14ac:dyDescent="0.3">
      <c r="A416" s="428"/>
      <c r="B416" s="439"/>
      <c r="C416" s="1577" t="s">
        <v>1258</v>
      </c>
      <c r="D416" s="1578"/>
      <c r="E416" s="1578"/>
      <c r="F416" s="1578"/>
      <c r="G416" s="1578"/>
      <c r="H416" s="1578"/>
      <c r="I416" s="1578"/>
      <c r="J416" s="1578"/>
      <c r="K416" s="1578"/>
      <c r="L416" s="1578"/>
      <c r="M416" s="1578"/>
      <c r="N416" s="1578"/>
      <c r="O416" s="1578"/>
      <c r="P416" s="1578"/>
      <c r="Q416" s="1578"/>
      <c r="R416" s="1578"/>
      <c r="S416" s="1578"/>
      <c r="T416" s="1578"/>
      <c r="U416" s="1578"/>
      <c r="V416" s="1578"/>
      <c r="W416" s="1578"/>
      <c r="X416" s="1578"/>
      <c r="Y416" s="1578"/>
      <c r="Z416" s="1578"/>
      <c r="AA416" s="1578"/>
      <c r="AB416" s="1578"/>
      <c r="AC416" s="1578"/>
      <c r="AD416" s="1578"/>
      <c r="AE416" s="1578"/>
      <c r="AF416" s="1578"/>
      <c r="AG416" s="1578"/>
      <c r="AH416" s="1578"/>
      <c r="AI416" s="1578"/>
      <c r="AJ416" s="1578"/>
      <c r="AK416" s="1578"/>
      <c r="AL416" s="1578"/>
      <c r="AM416" s="1644"/>
      <c r="AN416" s="435"/>
      <c r="AO416" s="506"/>
      <c r="AP416" s="524"/>
      <c r="AQ416" s="374"/>
      <c r="AR416" s="374"/>
      <c r="AS416" s="374"/>
      <c r="AT416" s="374"/>
      <c r="AU416" s="374"/>
      <c r="AV416" s="374"/>
      <c r="AW416" s="544">
        <f t="shared" si="181"/>
        <v>0</v>
      </c>
      <c r="AX416" s="524"/>
      <c r="AY416" s="374"/>
      <c r="AZ416" s="374"/>
      <c r="BA416" s="374"/>
      <c r="BB416" s="374"/>
      <c r="BC416" s="374"/>
      <c r="BD416" s="374"/>
      <c r="BE416" s="544">
        <f t="shared" si="192"/>
        <v>0</v>
      </c>
      <c r="BF416" s="524"/>
      <c r="BG416" s="374"/>
      <c r="BH416" s="374"/>
      <c r="BI416" s="374"/>
      <c r="BJ416" s="374"/>
      <c r="BK416" s="374"/>
      <c r="BL416" s="374"/>
      <c r="BM416" s="544">
        <f t="shared" si="193"/>
        <v>0</v>
      </c>
      <c r="BN416" s="524"/>
      <c r="BO416" s="374"/>
      <c r="BP416" s="374"/>
      <c r="BQ416" s="374"/>
      <c r="BR416" s="374"/>
      <c r="BS416" s="374"/>
      <c r="BT416" s="374"/>
      <c r="BU416" s="544">
        <f t="shared" si="194"/>
        <v>0</v>
      </c>
      <c r="BV416" s="556"/>
      <c r="BW416" s="663">
        <f t="shared" si="182"/>
        <v>0</v>
      </c>
      <c r="BX416" s="674" t="e">
        <f t="shared" si="183"/>
        <v>#DIV/0!</v>
      </c>
      <c r="BY416" s="674" t="e">
        <f t="shared" si="184"/>
        <v>#DIV/0!</v>
      </c>
      <c r="BZ416" s="674" t="e">
        <f t="shared" si="185"/>
        <v>#DIV/0!</v>
      </c>
      <c r="CA416" s="675" t="e">
        <f t="shared" si="186"/>
        <v>#DIV/0!</v>
      </c>
      <c r="CB416" s="675" t="e">
        <f t="shared" si="187"/>
        <v>#DIV/0!</v>
      </c>
    </row>
    <row r="417" spans="1:80" ht="23.25" hidden="1" customHeight="1" x14ac:dyDescent="0.25">
      <c r="A417" s="296"/>
      <c r="B417" s="331" t="str">
        <f>'PLAN INDICATIVO'!B408</f>
        <v>Justicia y seguridad</v>
      </c>
      <c r="C417" s="1605" t="s">
        <v>1260</v>
      </c>
      <c r="D417" s="1606"/>
      <c r="E417" s="1606"/>
      <c r="F417" s="1606"/>
      <c r="G417" s="1606"/>
      <c r="H417" s="1606"/>
      <c r="I417" s="1606"/>
      <c r="J417" s="1606"/>
      <c r="K417" s="1606"/>
      <c r="L417" s="1606"/>
      <c r="M417" s="1606"/>
      <c r="N417" s="1606"/>
      <c r="O417" s="1607"/>
      <c r="P417" s="318"/>
      <c r="Q417" s="318"/>
      <c r="R417" s="317"/>
      <c r="S417" s="319"/>
      <c r="T417" s="676"/>
      <c r="U417" s="319"/>
      <c r="V417" s="695">
        <f>SUM(V418:V431)</f>
        <v>238290000</v>
      </c>
      <c r="W417" s="319"/>
      <c r="X417" s="695">
        <f>SUM(X418:X431)</f>
        <v>326000000</v>
      </c>
      <c r="Y417" s="319"/>
      <c r="Z417" s="695">
        <f>SUM(Z418:Z431)</f>
        <v>301000000</v>
      </c>
      <c r="AA417" s="320"/>
      <c r="AB417" s="708">
        <f>SUM(AB418:AB431)</f>
        <v>306000000</v>
      </c>
      <c r="AC417" s="320"/>
      <c r="AD417" s="320"/>
      <c r="AE417" s="320"/>
      <c r="AF417" s="320"/>
      <c r="AG417" s="321"/>
      <c r="AH417" s="321"/>
      <c r="AI417" s="321"/>
      <c r="AJ417" s="320"/>
      <c r="AK417" s="320"/>
      <c r="AL417" s="320"/>
      <c r="AM417" s="320"/>
      <c r="AN417" s="262"/>
      <c r="AO417" s="612"/>
      <c r="AP417" s="616" t="e">
        <f>(AP418:AP431)</f>
        <v>#VALUE!</v>
      </c>
      <c r="AQ417" s="616" t="e">
        <f t="shared" ref="AQ417:AV417" si="195">(AQ418:AQ431)</f>
        <v>#VALUE!</v>
      </c>
      <c r="AR417" s="616" t="e">
        <f t="shared" si="195"/>
        <v>#VALUE!</v>
      </c>
      <c r="AS417" s="616" t="e">
        <f t="shared" si="195"/>
        <v>#VALUE!</v>
      </c>
      <c r="AT417" s="616" t="e">
        <f t="shared" si="195"/>
        <v>#VALUE!</v>
      </c>
      <c r="AU417" s="616" t="e">
        <f t="shared" si="195"/>
        <v>#VALUE!</v>
      </c>
      <c r="AV417" s="616" t="e">
        <f t="shared" si="195"/>
        <v>#VALUE!</v>
      </c>
      <c r="AW417" s="617" t="e">
        <f t="shared" si="181"/>
        <v>#VALUE!</v>
      </c>
      <c r="AX417" s="616" t="e">
        <f>(AX418:AX431)</f>
        <v>#VALUE!</v>
      </c>
      <c r="AY417" s="616" t="e">
        <f t="shared" ref="AY417:BD417" si="196">(AY418:AY431)</f>
        <v>#VALUE!</v>
      </c>
      <c r="AZ417" s="616" t="e">
        <f t="shared" si="196"/>
        <v>#VALUE!</v>
      </c>
      <c r="BA417" s="616" t="e">
        <f t="shared" si="196"/>
        <v>#VALUE!</v>
      </c>
      <c r="BB417" s="616" t="e">
        <f t="shared" si="196"/>
        <v>#VALUE!</v>
      </c>
      <c r="BC417" s="616" t="e">
        <f t="shared" si="196"/>
        <v>#VALUE!</v>
      </c>
      <c r="BD417" s="616" t="e">
        <f t="shared" si="196"/>
        <v>#VALUE!</v>
      </c>
      <c r="BE417" s="617" t="e">
        <f t="shared" si="192"/>
        <v>#VALUE!</v>
      </c>
      <c r="BF417" s="616" t="e">
        <f>(BF418:BF431)</f>
        <v>#VALUE!</v>
      </c>
      <c r="BG417" s="616" t="e">
        <f t="shared" ref="BG417:BL417" si="197">(BG418:BG431)</f>
        <v>#VALUE!</v>
      </c>
      <c r="BH417" s="616" t="e">
        <f t="shared" si="197"/>
        <v>#VALUE!</v>
      </c>
      <c r="BI417" s="616" t="e">
        <f t="shared" si="197"/>
        <v>#VALUE!</v>
      </c>
      <c r="BJ417" s="616" t="e">
        <f t="shared" si="197"/>
        <v>#VALUE!</v>
      </c>
      <c r="BK417" s="616" t="e">
        <f t="shared" si="197"/>
        <v>#VALUE!</v>
      </c>
      <c r="BL417" s="616" t="e">
        <f t="shared" si="197"/>
        <v>#VALUE!</v>
      </c>
      <c r="BM417" s="617" t="e">
        <f t="shared" si="193"/>
        <v>#VALUE!</v>
      </c>
      <c r="BN417" s="616" t="e">
        <f>(BN418:BN431)</f>
        <v>#VALUE!</v>
      </c>
      <c r="BO417" s="616" t="e">
        <f t="shared" ref="BO417:BT417" si="198">(BO418:BO431)</f>
        <v>#VALUE!</v>
      </c>
      <c r="BP417" s="616" t="e">
        <f t="shared" si="198"/>
        <v>#VALUE!</v>
      </c>
      <c r="BQ417" s="616" t="e">
        <f t="shared" si="198"/>
        <v>#VALUE!</v>
      </c>
      <c r="BR417" s="616" t="e">
        <f t="shared" si="198"/>
        <v>#VALUE!</v>
      </c>
      <c r="BS417" s="616" t="e">
        <f t="shared" si="198"/>
        <v>#VALUE!</v>
      </c>
      <c r="BT417" s="616" t="e">
        <f t="shared" si="198"/>
        <v>#VALUE!</v>
      </c>
      <c r="BU417" s="617" t="e">
        <f t="shared" si="194"/>
        <v>#VALUE!</v>
      </c>
      <c r="BV417" s="556"/>
      <c r="BW417" s="663">
        <f t="shared" si="182"/>
        <v>0</v>
      </c>
      <c r="BX417" s="674" t="e">
        <f t="shared" si="183"/>
        <v>#DIV/0!</v>
      </c>
      <c r="BY417" s="674" t="e">
        <f t="shared" si="184"/>
        <v>#DIV/0!</v>
      </c>
      <c r="BZ417" s="674" t="e">
        <f t="shared" si="185"/>
        <v>#DIV/0!</v>
      </c>
      <c r="CA417" s="675" t="e">
        <f t="shared" si="186"/>
        <v>#DIV/0!</v>
      </c>
      <c r="CB417" s="675" t="e">
        <f t="shared" si="187"/>
        <v>#DIV/0!</v>
      </c>
    </row>
    <row r="418" spans="1:80" ht="57.75" hidden="1" customHeight="1" x14ac:dyDescent="0.25">
      <c r="A418" s="298" t="s">
        <v>1261</v>
      </c>
      <c r="B418" s="299" t="str">
        <f>'PLAN INDICATIVO'!B409</f>
        <v>Justicia y seguridad</v>
      </c>
      <c r="C418" s="1546" t="s">
        <v>1262</v>
      </c>
      <c r="D418" s="1550" t="s">
        <v>1263</v>
      </c>
      <c r="E418" s="1550" t="s">
        <v>1264</v>
      </c>
      <c r="F418" s="1550">
        <v>2015</v>
      </c>
      <c r="G418" s="1550">
        <v>6.49</v>
      </c>
      <c r="H418" s="1550" t="s">
        <v>1265</v>
      </c>
      <c r="I418" s="300">
        <f>'PLAN INDICATIVO'!I409</f>
        <v>0</v>
      </c>
      <c r="J418" s="300">
        <f>'PLAN INDICATIVO'!J409</f>
        <v>0</v>
      </c>
      <c r="K418" s="1425" t="str">
        <f>'PLAN INDICATIVO'!K409</f>
        <v>A.18.1.1</v>
      </c>
      <c r="L418" s="301" t="str">
        <f>'PLAN INDICATIVO'!L409</f>
        <v>16. Paz, justicia e instituciones sólidas</v>
      </c>
      <c r="M418" s="301" t="str">
        <f>'PLAN INDICATIVO'!M409</f>
        <v>Secretaría de Gobierno</v>
      </c>
      <c r="N418" s="1425" t="s">
        <v>2791</v>
      </c>
      <c r="O418" s="1425" t="str">
        <f>'PLAN INDICATIVO'!O409</f>
        <v>Mantenimiento</v>
      </c>
      <c r="P418" s="16" t="str">
        <f>'PLAN INDICATIVO'!P409</f>
        <v>Implementar 1 Plan Integral de Convivencia y Seguridad Ciudadanocada año</v>
      </c>
      <c r="Q418" s="302" t="str">
        <f>'PLAN INDICATIVO'!Q409</f>
        <v>No. De PICSC implementado cada año</v>
      </c>
      <c r="R418" s="303">
        <f>'PLAN INDICATIVO'!R409</f>
        <v>2015</v>
      </c>
      <c r="S418" s="304">
        <v>0</v>
      </c>
      <c r="T418" s="699">
        <v>1</v>
      </c>
      <c r="U418" s="934">
        <v>0.25</v>
      </c>
      <c r="V418" s="687">
        <v>94500000</v>
      </c>
      <c r="W418" s="303">
        <v>0.25</v>
      </c>
      <c r="X418" s="687">
        <v>250000000</v>
      </c>
      <c r="Y418" s="303">
        <v>0.25</v>
      </c>
      <c r="Z418" s="687">
        <v>255000000</v>
      </c>
      <c r="AA418" s="303">
        <v>0.25</v>
      </c>
      <c r="AB418" s="687">
        <v>260000000</v>
      </c>
      <c r="AC418" s="670">
        <v>0.25</v>
      </c>
      <c r="AD418" s="670">
        <v>0.25</v>
      </c>
      <c r="AE418" s="670"/>
      <c r="AF418" s="670"/>
      <c r="AG418" s="343" t="s">
        <v>3859</v>
      </c>
      <c r="AH418" s="343">
        <v>2017413960045</v>
      </c>
      <c r="AI418" s="361" t="s">
        <v>3860</v>
      </c>
      <c r="AJ418" s="850">
        <v>42768</v>
      </c>
      <c r="AK418" s="850">
        <v>43099</v>
      </c>
      <c r="AL418" s="362"/>
      <c r="AM418" s="362"/>
      <c r="AN418" s="281" t="s">
        <v>2598</v>
      </c>
      <c r="AO418" s="513">
        <v>231804</v>
      </c>
      <c r="AP418" s="528"/>
      <c r="AQ418" s="545"/>
      <c r="AR418" s="472"/>
      <c r="AS418" s="472"/>
      <c r="AT418" s="472"/>
      <c r="AU418" s="472"/>
      <c r="AV418" s="472">
        <f>122099000+30000000</f>
        <v>152099000</v>
      </c>
      <c r="AW418" s="544">
        <f t="shared" si="181"/>
        <v>152099000</v>
      </c>
      <c r="AX418" s="528"/>
      <c r="AY418" s="545"/>
      <c r="AZ418" s="472"/>
      <c r="BA418" s="472"/>
      <c r="BB418" s="472"/>
      <c r="BC418" s="472"/>
      <c r="BD418" s="472"/>
      <c r="BE418" s="544">
        <f t="shared" si="192"/>
        <v>0</v>
      </c>
      <c r="BF418" s="528"/>
      <c r="BG418" s="545"/>
      <c r="BH418" s="472"/>
      <c r="BI418" s="472"/>
      <c r="BJ418" s="472"/>
      <c r="BK418" s="472"/>
      <c r="BL418" s="472"/>
      <c r="BM418" s="544">
        <f t="shared" si="193"/>
        <v>0</v>
      </c>
      <c r="BN418" s="528"/>
      <c r="BO418" s="545"/>
      <c r="BP418" s="472"/>
      <c r="BQ418" s="472"/>
      <c r="BR418" s="472"/>
      <c r="BS418" s="472"/>
      <c r="BT418" s="472"/>
      <c r="BU418" s="544">
        <f t="shared" si="194"/>
        <v>0</v>
      </c>
      <c r="BV418" s="556"/>
      <c r="BW418" s="663">
        <f t="shared" si="182"/>
        <v>0.5</v>
      </c>
      <c r="BX418" s="674">
        <f t="shared" si="183"/>
        <v>0.5</v>
      </c>
      <c r="BY418" s="674">
        <f t="shared" si="184"/>
        <v>1</v>
      </c>
      <c r="BZ418" s="674">
        <f t="shared" si="185"/>
        <v>1</v>
      </c>
      <c r="CA418" s="675">
        <f t="shared" si="186"/>
        <v>0</v>
      </c>
      <c r="CB418" s="675">
        <f t="shared" si="187"/>
        <v>0</v>
      </c>
    </row>
    <row r="419" spans="1:80" ht="39.75" hidden="1" customHeight="1" x14ac:dyDescent="0.25">
      <c r="A419" s="298" t="s">
        <v>1261</v>
      </c>
      <c r="B419" s="299" t="str">
        <f>'PLAN INDICATIVO'!B410</f>
        <v>Justicia y seguridad</v>
      </c>
      <c r="C419" s="1547"/>
      <c r="D419" s="1551"/>
      <c r="E419" s="1551"/>
      <c r="F419" s="1551"/>
      <c r="G419" s="1551"/>
      <c r="H419" s="1551"/>
      <c r="I419" s="300">
        <f>'PLAN INDICATIVO'!I410</f>
        <v>0</v>
      </c>
      <c r="J419" s="300">
        <f>'PLAN INDICATIVO'!J410</f>
        <v>0</v>
      </c>
      <c r="K419" s="1425" t="str">
        <f>'PLAN INDICATIVO'!K410</f>
        <v>A.18.1.2</v>
      </c>
      <c r="L419" s="301" t="str">
        <f>'PLAN INDICATIVO'!L410</f>
        <v>16. Paz, justicia e instituciones sólidas</v>
      </c>
      <c r="M419" s="301" t="str">
        <f>'PLAN INDICATIVO'!M410</f>
        <v>Secretaría de Gobierno</v>
      </c>
      <c r="N419" s="1425" t="s">
        <v>2791</v>
      </c>
      <c r="O419" s="1425" t="str">
        <f>'PLAN INDICATIVO'!O410</f>
        <v>Mantenimiento</v>
      </c>
      <c r="P419" s="16" t="str">
        <f>'PLAN INDICATIVO'!P410</f>
        <v>Realizar 12 consejos de seguridad ordinarios  cada año</v>
      </c>
      <c r="Q419" s="302" t="str">
        <f>'PLAN INDICATIVO'!Q410</f>
        <v>No. Consejos de seguridad realizados por año</v>
      </c>
      <c r="R419" s="303">
        <f>'PLAN INDICATIVO'!R410</f>
        <v>2015</v>
      </c>
      <c r="S419" s="304">
        <v>0</v>
      </c>
      <c r="T419" s="699">
        <v>48</v>
      </c>
      <c r="U419" s="303">
        <v>12</v>
      </c>
      <c r="V419" s="687">
        <v>500000</v>
      </c>
      <c r="W419" s="303">
        <v>12</v>
      </c>
      <c r="X419" s="687">
        <v>500000</v>
      </c>
      <c r="Y419" s="303">
        <v>12</v>
      </c>
      <c r="Z419" s="687">
        <v>1000000</v>
      </c>
      <c r="AA419" s="303">
        <v>12</v>
      </c>
      <c r="AB419" s="687">
        <v>1000000</v>
      </c>
      <c r="AC419" s="669">
        <v>10</v>
      </c>
      <c r="AD419" s="669">
        <v>20</v>
      </c>
      <c r="AE419" s="669"/>
      <c r="AF419" s="669"/>
      <c r="AG419" s="343" t="s">
        <v>3859</v>
      </c>
      <c r="AH419" s="341">
        <v>2017413960045</v>
      </c>
      <c r="AI419" s="355"/>
      <c r="AJ419" s="359">
        <v>42745</v>
      </c>
      <c r="AK419" s="359">
        <v>43099</v>
      </c>
      <c r="AL419" s="358"/>
      <c r="AM419" s="358"/>
      <c r="AN419" s="281" t="s">
        <v>2598</v>
      </c>
      <c r="AO419" s="513"/>
      <c r="AP419" s="525"/>
      <c r="AQ419" s="310"/>
      <c r="AR419" s="310"/>
      <c r="AS419" s="310"/>
      <c r="AT419" s="310"/>
      <c r="AU419" s="310"/>
      <c r="AV419" s="310"/>
      <c r="AW419" s="544">
        <f t="shared" si="181"/>
        <v>0</v>
      </c>
      <c r="AX419" s="525"/>
      <c r="AY419" s="310"/>
      <c r="AZ419" s="310"/>
      <c r="BA419" s="310"/>
      <c r="BB419" s="310"/>
      <c r="BC419" s="310"/>
      <c r="BD419" s="310"/>
      <c r="BE419" s="544">
        <f t="shared" si="192"/>
        <v>0</v>
      </c>
      <c r="BF419" s="525"/>
      <c r="BG419" s="310"/>
      <c r="BH419" s="310"/>
      <c r="BI419" s="310"/>
      <c r="BJ419" s="310"/>
      <c r="BK419" s="310"/>
      <c r="BL419" s="310"/>
      <c r="BM419" s="544">
        <f t="shared" si="193"/>
        <v>0</v>
      </c>
      <c r="BN419" s="525"/>
      <c r="BO419" s="310"/>
      <c r="BP419" s="310"/>
      <c r="BQ419" s="310"/>
      <c r="BR419" s="310"/>
      <c r="BS419" s="310"/>
      <c r="BT419" s="310"/>
      <c r="BU419" s="544">
        <f t="shared" si="194"/>
        <v>0</v>
      </c>
      <c r="BV419" s="556"/>
      <c r="BW419" s="663">
        <f t="shared" si="182"/>
        <v>30</v>
      </c>
      <c r="BX419" s="674">
        <f t="shared" si="183"/>
        <v>0.625</v>
      </c>
      <c r="BY419" s="674">
        <f t="shared" si="184"/>
        <v>0.83333333333333337</v>
      </c>
      <c r="BZ419" s="674">
        <f t="shared" si="185"/>
        <v>1.6666666666666667</v>
      </c>
      <c r="CA419" s="675">
        <f t="shared" si="186"/>
        <v>0</v>
      </c>
      <c r="CB419" s="675">
        <f t="shared" si="187"/>
        <v>0</v>
      </c>
    </row>
    <row r="420" spans="1:80" ht="54.75" hidden="1" customHeight="1" x14ac:dyDescent="0.25">
      <c r="A420" s="298" t="s">
        <v>1261</v>
      </c>
      <c r="B420" s="299" t="str">
        <f>'PLAN INDICATIVO'!B411</f>
        <v>Justicia y seguridad</v>
      </c>
      <c r="C420" s="1547"/>
      <c r="D420" s="1551"/>
      <c r="E420" s="1551"/>
      <c r="F420" s="1551"/>
      <c r="G420" s="1551"/>
      <c r="H420" s="1551"/>
      <c r="I420" s="300">
        <f>'PLAN INDICATIVO'!I411</f>
        <v>0</v>
      </c>
      <c r="J420" s="300">
        <f>'PLAN INDICATIVO'!J411</f>
        <v>0</v>
      </c>
      <c r="K420" s="1425" t="str">
        <f>'PLAN INDICATIVO'!K411</f>
        <v>A.18.1.3</v>
      </c>
      <c r="L420" s="301" t="str">
        <f>'PLAN INDICATIVO'!L411</f>
        <v>16. Paz, justicia e instituciones sólidas</v>
      </c>
      <c r="M420" s="301" t="str">
        <f>'PLAN INDICATIVO'!M411</f>
        <v>Secretaría de Gobierno</v>
      </c>
      <c r="N420" s="1425" t="s">
        <v>2791</v>
      </c>
      <c r="O420" s="1425" t="str">
        <f>'PLAN INDICATIVO'!O411</f>
        <v>Incremento</v>
      </c>
      <c r="P420" s="16" t="str">
        <f>'PLAN INDICATIVO'!P411</f>
        <v>Celebrar 4 reuniones de Comité de Orden público en el Cuatrienio</v>
      </c>
      <c r="Q420" s="302" t="str">
        <f>'PLAN INDICATIVO'!Q411</f>
        <v>No. De comités de orden públicos realizado</v>
      </c>
      <c r="R420" s="303">
        <f>'PLAN INDICATIVO'!R411</f>
        <v>2015</v>
      </c>
      <c r="S420" s="304">
        <v>0</v>
      </c>
      <c r="T420" s="699">
        <v>4</v>
      </c>
      <c r="U420" s="303">
        <v>1</v>
      </c>
      <c r="V420" s="687">
        <v>500000</v>
      </c>
      <c r="W420" s="303">
        <v>1</v>
      </c>
      <c r="X420" s="687">
        <v>500000</v>
      </c>
      <c r="Y420" s="303">
        <v>1</v>
      </c>
      <c r="Z420" s="687">
        <v>1000000</v>
      </c>
      <c r="AA420" s="303">
        <v>1</v>
      </c>
      <c r="AB420" s="687">
        <v>1000000</v>
      </c>
      <c r="AC420" s="669">
        <v>4</v>
      </c>
      <c r="AD420" s="669">
        <v>4</v>
      </c>
      <c r="AE420" s="669"/>
      <c r="AF420" s="669"/>
      <c r="AG420" s="343" t="s">
        <v>3859</v>
      </c>
      <c r="AH420" s="341">
        <v>2017413960045</v>
      </c>
      <c r="AI420" s="355"/>
      <c r="AJ420" s="359">
        <v>42745</v>
      </c>
      <c r="AK420" s="359">
        <v>43099</v>
      </c>
      <c r="AL420" s="358"/>
      <c r="AM420" s="358"/>
      <c r="AN420" s="267" t="s">
        <v>2598</v>
      </c>
      <c r="AO420" s="513"/>
      <c r="AP420" s="525"/>
      <c r="AQ420" s="310"/>
      <c r="AR420" s="310"/>
      <c r="AS420" s="310"/>
      <c r="AT420" s="310"/>
      <c r="AU420" s="310"/>
      <c r="AV420" s="310"/>
      <c r="AW420" s="544">
        <f t="shared" si="181"/>
        <v>0</v>
      </c>
      <c r="AX420" s="525"/>
      <c r="AY420" s="310"/>
      <c r="AZ420" s="310"/>
      <c r="BA420" s="310"/>
      <c r="BB420" s="310"/>
      <c r="BC420" s="310"/>
      <c r="BD420" s="310"/>
      <c r="BE420" s="544">
        <f t="shared" si="192"/>
        <v>0</v>
      </c>
      <c r="BF420" s="525"/>
      <c r="BG420" s="310"/>
      <c r="BH420" s="310"/>
      <c r="BI420" s="310"/>
      <c r="BJ420" s="310"/>
      <c r="BK420" s="310"/>
      <c r="BL420" s="310"/>
      <c r="BM420" s="544">
        <f t="shared" si="193"/>
        <v>0</v>
      </c>
      <c r="BN420" s="525"/>
      <c r="BO420" s="310"/>
      <c r="BP420" s="310"/>
      <c r="BQ420" s="310"/>
      <c r="BR420" s="310"/>
      <c r="BS420" s="310"/>
      <c r="BT420" s="310"/>
      <c r="BU420" s="544">
        <f t="shared" si="194"/>
        <v>0</v>
      </c>
      <c r="BV420" s="556"/>
      <c r="BW420" s="663">
        <f t="shared" si="182"/>
        <v>8</v>
      </c>
      <c r="BX420" s="674">
        <f t="shared" si="183"/>
        <v>2</v>
      </c>
      <c r="BY420" s="674">
        <f t="shared" si="184"/>
        <v>4</v>
      </c>
      <c r="BZ420" s="674">
        <f t="shared" si="185"/>
        <v>4</v>
      </c>
      <c r="CA420" s="675">
        <f t="shared" si="186"/>
        <v>0</v>
      </c>
      <c r="CB420" s="675">
        <f t="shared" si="187"/>
        <v>0</v>
      </c>
    </row>
    <row r="421" spans="1:80" ht="48.75" hidden="1" customHeight="1" x14ac:dyDescent="0.25">
      <c r="A421" s="298" t="s">
        <v>1261</v>
      </c>
      <c r="B421" s="299" t="str">
        <f>'PLAN INDICATIVO'!B412</f>
        <v>Justicia y seguridad</v>
      </c>
      <c r="C421" s="1547"/>
      <c r="D421" s="1551"/>
      <c r="E421" s="1551"/>
      <c r="F421" s="1551"/>
      <c r="G421" s="1551"/>
      <c r="H421" s="1551"/>
      <c r="I421" s="300">
        <f>'PLAN INDICATIVO'!I412</f>
        <v>0</v>
      </c>
      <c r="J421" s="300">
        <f>'PLAN INDICATIVO'!J412</f>
        <v>0</v>
      </c>
      <c r="K421" s="1425" t="str">
        <f>'PLAN INDICATIVO'!K412</f>
        <v>A.18.1.4</v>
      </c>
      <c r="L421" s="301" t="str">
        <f>'PLAN INDICATIVO'!L412</f>
        <v>16. Paz, justicia e instituciones sólidas</v>
      </c>
      <c r="M421" s="301" t="str">
        <f>'PLAN INDICATIVO'!M412</f>
        <v>Secretaría de Gobierno</v>
      </c>
      <c r="N421" s="1425" t="s">
        <v>2791</v>
      </c>
      <c r="O421" s="1425" t="str">
        <f>'PLAN INDICATIVO'!O412</f>
        <v>Mantenimiento</v>
      </c>
      <c r="P421" s="16" t="str">
        <f>'PLAN INDICATIVO'!P412</f>
        <v>Presentar 2 informes del observatorio del delito por la fuerza pública cada año</v>
      </c>
      <c r="Q421" s="302" t="str">
        <f>'PLAN INDICATIVO'!Q412</f>
        <v>No. De informes presentados por año</v>
      </c>
      <c r="R421" s="303">
        <f>'PLAN INDICATIVO'!R412</f>
        <v>2015</v>
      </c>
      <c r="S421" s="304">
        <v>0</v>
      </c>
      <c r="T421" s="699">
        <v>8</v>
      </c>
      <c r="U421" s="303">
        <v>2</v>
      </c>
      <c r="V421" s="687">
        <v>500000</v>
      </c>
      <c r="W421" s="303">
        <v>2</v>
      </c>
      <c r="X421" s="687">
        <v>500000</v>
      </c>
      <c r="Y421" s="303">
        <v>2</v>
      </c>
      <c r="Z421" s="687">
        <v>1000000</v>
      </c>
      <c r="AA421" s="303">
        <v>2</v>
      </c>
      <c r="AB421" s="687">
        <v>1000000</v>
      </c>
      <c r="AC421" s="669">
        <v>1</v>
      </c>
      <c r="AD421" s="669">
        <v>2</v>
      </c>
      <c r="AE421" s="669"/>
      <c r="AF421" s="669"/>
      <c r="AG421" s="343" t="s">
        <v>3859</v>
      </c>
      <c r="AH421" s="341">
        <v>2017413960045</v>
      </c>
      <c r="AI421" s="355" t="s">
        <v>3861</v>
      </c>
      <c r="AJ421" s="850">
        <v>42768</v>
      </c>
      <c r="AK421" s="850">
        <v>43099</v>
      </c>
      <c r="AL421" s="358"/>
      <c r="AM421" s="358"/>
      <c r="AN421" s="281" t="s">
        <v>2598</v>
      </c>
      <c r="AO421" s="512">
        <v>2318</v>
      </c>
      <c r="AP421" s="753"/>
      <c r="AQ421" s="310"/>
      <c r="AR421" s="310"/>
      <c r="AS421" s="310"/>
      <c r="AT421" s="310"/>
      <c r="AU421" s="310"/>
      <c r="AV421" s="310">
        <v>18260000</v>
      </c>
      <c r="AW421" s="544">
        <f t="shared" si="181"/>
        <v>18260000</v>
      </c>
      <c r="AX421" s="525"/>
      <c r="AY421" s="310"/>
      <c r="AZ421" s="310"/>
      <c r="BA421" s="310"/>
      <c r="BB421" s="310"/>
      <c r="BC421" s="310"/>
      <c r="BD421" s="310"/>
      <c r="BE421" s="544">
        <f t="shared" si="192"/>
        <v>0</v>
      </c>
      <c r="BF421" s="525"/>
      <c r="BG421" s="310"/>
      <c r="BH421" s="310"/>
      <c r="BI421" s="310"/>
      <c r="BJ421" s="310"/>
      <c r="BK421" s="310"/>
      <c r="BL421" s="310"/>
      <c r="BM421" s="544">
        <f t="shared" si="193"/>
        <v>0</v>
      </c>
      <c r="BN421" s="525"/>
      <c r="BO421" s="310"/>
      <c r="BP421" s="310"/>
      <c r="BQ421" s="310"/>
      <c r="BR421" s="310"/>
      <c r="BS421" s="310"/>
      <c r="BT421" s="310"/>
      <c r="BU421" s="544">
        <f t="shared" si="194"/>
        <v>0</v>
      </c>
      <c r="BV421" s="556"/>
      <c r="BW421" s="663">
        <f t="shared" si="182"/>
        <v>3</v>
      </c>
      <c r="BX421" s="918">
        <f t="shared" si="183"/>
        <v>0.375</v>
      </c>
      <c r="BY421" s="674">
        <f t="shared" si="184"/>
        <v>0.5</v>
      </c>
      <c r="BZ421" s="674">
        <f t="shared" si="185"/>
        <v>1</v>
      </c>
      <c r="CA421" s="675">
        <f t="shared" si="186"/>
        <v>0</v>
      </c>
      <c r="CB421" s="675">
        <f t="shared" si="187"/>
        <v>0</v>
      </c>
    </row>
    <row r="422" spans="1:80" ht="58.5" hidden="1" customHeight="1" x14ac:dyDescent="0.25">
      <c r="A422" s="298" t="s">
        <v>1261</v>
      </c>
      <c r="B422" s="299" t="str">
        <f>'PLAN INDICATIVO'!B413</f>
        <v>Justicia y seguridad</v>
      </c>
      <c r="C422" s="1547"/>
      <c r="D422" s="1551"/>
      <c r="E422" s="1551"/>
      <c r="F422" s="1551"/>
      <c r="G422" s="1551"/>
      <c r="H422" s="1551"/>
      <c r="I422" s="300">
        <f>'PLAN INDICATIVO'!I413</f>
        <v>0</v>
      </c>
      <c r="J422" s="300">
        <f>'PLAN INDICATIVO'!J413</f>
        <v>0</v>
      </c>
      <c r="K422" s="1425" t="str">
        <f>'PLAN INDICATIVO'!K413</f>
        <v>A.18.1.5</v>
      </c>
      <c r="L422" s="301" t="str">
        <f>'PLAN INDICATIVO'!L413</f>
        <v>16. Paz, justicia e instituciones sólidas</v>
      </c>
      <c r="M422" s="301" t="str">
        <f>'PLAN INDICATIVO'!M413</f>
        <v>Secretaría de Gobierno</v>
      </c>
      <c r="N422" s="1425" t="s">
        <v>2543</v>
      </c>
      <c r="O422" s="1425" t="str">
        <f>'PLAN INDICATIVO'!O413</f>
        <v>Mantenimiento</v>
      </c>
      <c r="P422" s="16" t="str">
        <f>'PLAN INDICATIVO'!P413</f>
        <v>Realizar 6 controles a pesas y medidas en plazas de mercado y establecimientos de comercio cada año</v>
      </c>
      <c r="Q422" s="302" t="str">
        <f>'PLAN INDICATIVO'!Q413</f>
        <v>No. De controles realizados por año</v>
      </c>
      <c r="R422" s="303">
        <f>'PLAN INDICATIVO'!R413</f>
        <v>2015</v>
      </c>
      <c r="S422" s="304">
        <v>0</v>
      </c>
      <c r="T422" s="699">
        <v>6</v>
      </c>
      <c r="U422" s="303">
        <v>6</v>
      </c>
      <c r="V422" s="687">
        <v>5000000</v>
      </c>
      <c r="W422" s="303">
        <v>6</v>
      </c>
      <c r="X422" s="687">
        <v>10500000</v>
      </c>
      <c r="Y422" s="303">
        <v>6</v>
      </c>
      <c r="Z422" s="687">
        <v>1000000</v>
      </c>
      <c r="AA422" s="303">
        <v>6</v>
      </c>
      <c r="AB422" s="687">
        <v>1000000</v>
      </c>
      <c r="AC422" s="669">
        <v>6</v>
      </c>
      <c r="AD422" s="669">
        <v>6</v>
      </c>
      <c r="AE422" s="669"/>
      <c r="AF422" s="669"/>
      <c r="AG422" s="343" t="s">
        <v>3859</v>
      </c>
      <c r="AH422" s="341">
        <v>2017413960045</v>
      </c>
      <c r="AI422" s="355" t="s">
        <v>3862</v>
      </c>
      <c r="AJ422" s="849">
        <v>42767</v>
      </c>
      <c r="AK422" s="849">
        <v>43084</v>
      </c>
      <c r="AL422" s="358"/>
      <c r="AM422" s="358"/>
      <c r="AN422" s="267" t="s">
        <v>2598</v>
      </c>
      <c r="AO422" s="512" t="s">
        <v>3863</v>
      </c>
      <c r="AP422" s="525"/>
      <c r="AQ422" s="310">
        <f>2594667+1273008+2083333</f>
        <v>5951008</v>
      </c>
      <c r="AR422" s="310"/>
      <c r="AS422" s="310"/>
      <c r="AT422" s="310"/>
      <c r="AU422" s="310"/>
      <c r="AV422" s="310"/>
      <c r="AW422" s="544">
        <f t="shared" si="181"/>
        <v>5951008</v>
      </c>
      <c r="AX422" s="525"/>
      <c r="AY422" s="310"/>
      <c r="AZ422" s="310"/>
      <c r="BA422" s="310"/>
      <c r="BB422" s="310"/>
      <c r="BC422" s="310"/>
      <c r="BD422" s="310"/>
      <c r="BE422" s="544">
        <f t="shared" si="192"/>
        <v>0</v>
      </c>
      <c r="BF422" s="525"/>
      <c r="BG422" s="310"/>
      <c r="BH422" s="310"/>
      <c r="BI422" s="310"/>
      <c r="BJ422" s="310"/>
      <c r="BK422" s="310"/>
      <c r="BL422" s="310"/>
      <c r="BM422" s="544">
        <f t="shared" si="193"/>
        <v>0</v>
      </c>
      <c r="BN422" s="525"/>
      <c r="BO422" s="310"/>
      <c r="BP422" s="310"/>
      <c r="BQ422" s="310"/>
      <c r="BR422" s="310"/>
      <c r="BS422" s="310"/>
      <c r="BT422" s="310"/>
      <c r="BU422" s="544">
        <f t="shared" si="194"/>
        <v>0</v>
      </c>
      <c r="BV422" s="556"/>
      <c r="BW422" s="663">
        <f t="shared" si="182"/>
        <v>12</v>
      </c>
      <c r="BX422" s="674">
        <f t="shared" si="183"/>
        <v>2</v>
      </c>
      <c r="BY422" s="674">
        <f t="shared" si="184"/>
        <v>1</v>
      </c>
      <c r="BZ422" s="674">
        <f t="shared" si="185"/>
        <v>1</v>
      </c>
      <c r="CA422" s="675">
        <f t="shared" si="186"/>
        <v>0</v>
      </c>
      <c r="CB422" s="675">
        <f t="shared" si="187"/>
        <v>0</v>
      </c>
    </row>
    <row r="423" spans="1:80" ht="62.25" hidden="1" customHeight="1" x14ac:dyDescent="0.25">
      <c r="A423" s="298" t="s">
        <v>1261</v>
      </c>
      <c r="B423" s="299" t="str">
        <f>'PLAN INDICATIVO'!B414</f>
        <v>Justicia y seguridad</v>
      </c>
      <c r="C423" s="1547"/>
      <c r="D423" s="1551"/>
      <c r="E423" s="1551"/>
      <c r="F423" s="1551"/>
      <c r="G423" s="1551"/>
      <c r="H423" s="1551"/>
      <c r="I423" s="371">
        <f>'PLAN INDICATIVO'!I414</f>
        <v>0</v>
      </c>
      <c r="J423" s="371">
        <f>'PLAN INDICATIVO'!J414</f>
        <v>0</v>
      </c>
      <c r="K423" s="1425" t="str">
        <f>'PLAN INDICATIVO'!K414</f>
        <v>A.18.1.6</v>
      </c>
      <c r="L423" s="301" t="str">
        <f>'PLAN INDICATIVO'!L414</f>
        <v>16. Paz, justicia e instituciones sólidas</v>
      </c>
      <c r="M423" s="301" t="str">
        <f>'PLAN INDICATIVO'!M414</f>
        <v>Secretaría de Gobierno</v>
      </c>
      <c r="N423" s="1425" t="s">
        <v>2791</v>
      </c>
      <c r="O423" s="1425" t="str">
        <f>'PLAN INDICATIVO'!O414</f>
        <v>Mantenimiento</v>
      </c>
      <c r="P423" s="71" t="str">
        <f>'PLAN INDICATIVO'!P414</f>
        <v>Apoyar el sostenimiento 10 bachilleres auxiliares como apoyo a la seguridad y convivencia ciudadana cada año</v>
      </c>
      <c r="Q423" s="345" t="str">
        <f>'PLAN INDICATIVO'!Q414</f>
        <v>No. de bachilleres apoyados</v>
      </c>
      <c r="R423" s="346">
        <f>'PLAN INDICATIVO'!R414</f>
        <v>2015</v>
      </c>
      <c r="S423" s="342">
        <v>0</v>
      </c>
      <c r="T423" s="704">
        <v>10</v>
      </c>
      <c r="U423" s="346">
        <v>10</v>
      </c>
      <c r="V423" s="687">
        <v>10000000</v>
      </c>
      <c r="W423" s="346">
        <v>10</v>
      </c>
      <c r="X423" s="687">
        <v>8000000</v>
      </c>
      <c r="Y423" s="346">
        <v>10</v>
      </c>
      <c r="Z423" s="687">
        <v>8000000</v>
      </c>
      <c r="AA423" s="346">
        <v>10</v>
      </c>
      <c r="AB423" s="687">
        <v>8000000</v>
      </c>
      <c r="AC423" s="670">
        <v>10</v>
      </c>
      <c r="AD423" s="915">
        <v>0</v>
      </c>
      <c r="AE423" s="670"/>
      <c r="AF423" s="670"/>
      <c r="AG423" s="343" t="s">
        <v>3859</v>
      </c>
      <c r="AH423" s="341">
        <v>2017413960045</v>
      </c>
      <c r="AI423" s="932" t="s">
        <v>3864</v>
      </c>
      <c r="AJ423" s="850">
        <v>42768</v>
      </c>
      <c r="AK423" s="850">
        <v>43099</v>
      </c>
      <c r="AL423" s="362" t="s">
        <v>2717</v>
      </c>
      <c r="AM423" s="362"/>
      <c r="AN423" s="281" t="s">
        <v>2600</v>
      </c>
      <c r="AO423" s="512"/>
      <c r="AP423" s="525"/>
      <c r="AQ423" s="525"/>
      <c r="AR423" s="525"/>
      <c r="AS423" s="525"/>
      <c r="AT423" s="525"/>
      <c r="AU423" s="525"/>
      <c r="AV423" s="525"/>
      <c r="AW423" s="525">
        <f t="shared" si="181"/>
        <v>0</v>
      </c>
      <c r="AX423" s="528"/>
      <c r="AY423" s="472"/>
      <c r="AZ423" s="472"/>
      <c r="BA423" s="472"/>
      <c r="BB423" s="472"/>
      <c r="BC423" s="472"/>
      <c r="BD423" s="472"/>
      <c r="BE423" s="544">
        <f t="shared" si="192"/>
        <v>0</v>
      </c>
      <c r="BF423" s="528"/>
      <c r="BG423" s="472"/>
      <c r="BH423" s="472"/>
      <c r="BI423" s="472"/>
      <c r="BJ423" s="472"/>
      <c r="BK423" s="472"/>
      <c r="BL423" s="472"/>
      <c r="BM423" s="544">
        <f t="shared" si="193"/>
        <v>0</v>
      </c>
      <c r="BN423" s="528"/>
      <c r="BO423" s="472"/>
      <c r="BP423" s="472"/>
      <c r="BQ423" s="472"/>
      <c r="BR423" s="472"/>
      <c r="BS423" s="472"/>
      <c r="BT423" s="472"/>
      <c r="BU423" s="544">
        <f t="shared" si="194"/>
        <v>0</v>
      </c>
      <c r="BV423" s="556"/>
      <c r="BW423" s="663">
        <f t="shared" si="182"/>
        <v>10</v>
      </c>
      <c r="BX423" s="674">
        <f t="shared" si="183"/>
        <v>1</v>
      </c>
      <c r="BY423" s="674">
        <f t="shared" si="184"/>
        <v>1</v>
      </c>
      <c r="BZ423" s="674">
        <f t="shared" si="185"/>
        <v>0</v>
      </c>
      <c r="CA423" s="675">
        <f t="shared" si="186"/>
        <v>0</v>
      </c>
      <c r="CB423" s="675">
        <f t="shared" si="187"/>
        <v>0</v>
      </c>
    </row>
    <row r="424" spans="1:80" ht="58.5" hidden="1" customHeight="1" x14ac:dyDescent="0.25">
      <c r="A424" s="298" t="s">
        <v>1261</v>
      </c>
      <c r="B424" s="299" t="str">
        <f>'PLAN INDICATIVO'!B415</f>
        <v>Justicia y seguridad</v>
      </c>
      <c r="C424" s="1547"/>
      <c r="D424" s="1551"/>
      <c r="E424" s="1551"/>
      <c r="F424" s="1551"/>
      <c r="G424" s="1551"/>
      <c r="H424" s="1551"/>
      <c r="I424" s="300">
        <f>'PLAN INDICATIVO'!I415</f>
        <v>0</v>
      </c>
      <c r="J424" s="300">
        <f>'PLAN INDICATIVO'!J415</f>
        <v>0</v>
      </c>
      <c r="K424" s="1425" t="str">
        <f>'PLAN INDICATIVO'!K415</f>
        <v>A.18.1.7</v>
      </c>
      <c r="L424" s="301" t="str">
        <f>'PLAN INDICATIVO'!L415</f>
        <v>16. Paz, justicia e instituciones sólidas</v>
      </c>
      <c r="M424" s="301" t="str">
        <f>'PLAN INDICATIVO'!M415</f>
        <v>Secretaría de Gobierno</v>
      </c>
      <c r="N424" s="1425" t="s">
        <v>2791</v>
      </c>
      <c r="O424" s="1425" t="str">
        <f>'PLAN INDICATIVO'!O415</f>
        <v>Mantenimiento</v>
      </c>
      <c r="P424" s="16" t="str">
        <f>'PLAN INDICATIVO'!P415</f>
        <v>Implementar 1 estrategia de apoyo a la fuerza pública y organismos de seguridad cada año</v>
      </c>
      <c r="Q424" s="302" t="str">
        <f>'PLAN INDICATIVO'!Q415</f>
        <v>. De Estrategias implementadas por año</v>
      </c>
      <c r="R424" s="303">
        <f>'PLAN INDICATIVO'!R415</f>
        <v>2015</v>
      </c>
      <c r="S424" s="304">
        <v>1</v>
      </c>
      <c r="T424" s="699">
        <v>1</v>
      </c>
      <c r="U424" s="303">
        <v>0.25</v>
      </c>
      <c r="V424" s="687">
        <v>10000000</v>
      </c>
      <c r="W424" s="303">
        <v>0.25</v>
      </c>
      <c r="X424" s="687">
        <v>10000000</v>
      </c>
      <c r="Y424" s="303">
        <v>0.25</v>
      </c>
      <c r="Z424" s="687">
        <v>10000000</v>
      </c>
      <c r="AA424" s="303">
        <v>0.25</v>
      </c>
      <c r="AB424" s="687">
        <v>10000000</v>
      </c>
      <c r="AC424" s="669">
        <v>0.25</v>
      </c>
      <c r="AD424" s="669">
        <v>0.2</v>
      </c>
      <c r="AE424" s="669"/>
      <c r="AF424" s="669"/>
      <c r="AG424" s="343" t="s">
        <v>3859</v>
      </c>
      <c r="AH424" s="341">
        <v>2017413960045</v>
      </c>
      <c r="AI424" s="377" t="s">
        <v>3865</v>
      </c>
      <c r="AJ424" s="850">
        <v>42768</v>
      </c>
      <c r="AK424" s="850">
        <v>43099</v>
      </c>
      <c r="AL424" s="358"/>
      <c r="AM424" s="358"/>
      <c r="AN424" s="267" t="s">
        <v>2598</v>
      </c>
      <c r="AO424" s="513">
        <v>231804</v>
      </c>
      <c r="AP424" s="525"/>
      <c r="AQ424" s="310"/>
      <c r="AR424" s="310"/>
      <c r="AS424" s="310"/>
      <c r="AT424" s="310"/>
      <c r="AU424" s="310"/>
      <c r="AV424" s="310">
        <v>67940000</v>
      </c>
      <c r="AW424" s="544">
        <f t="shared" si="181"/>
        <v>67940000</v>
      </c>
      <c r="AX424" s="525"/>
      <c r="AY424" s="310"/>
      <c r="AZ424" s="310"/>
      <c r="BA424" s="310"/>
      <c r="BB424" s="310"/>
      <c r="BC424" s="310"/>
      <c r="BD424" s="310"/>
      <c r="BE424" s="544">
        <f t="shared" si="192"/>
        <v>0</v>
      </c>
      <c r="BF424" s="525"/>
      <c r="BG424" s="310"/>
      <c r="BH424" s="310"/>
      <c r="BI424" s="310"/>
      <c r="BJ424" s="310"/>
      <c r="BK424" s="310"/>
      <c r="BL424" s="310"/>
      <c r="BM424" s="544">
        <f t="shared" si="193"/>
        <v>0</v>
      </c>
      <c r="BN424" s="525"/>
      <c r="BO424" s="310"/>
      <c r="BP424" s="310"/>
      <c r="BQ424" s="310"/>
      <c r="BR424" s="310"/>
      <c r="BS424" s="310"/>
      <c r="BT424" s="310"/>
      <c r="BU424" s="544">
        <f t="shared" si="194"/>
        <v>0</v>
      </c>
      <c r="BV424" s="556"/>
      <c r="BW424" s="663">
        <f t="shared" si="182"/>
        <v>0.45</v>
      </c>
      <c r="BX424" s="674">
        <f t="shared" si="183"/>
        <v>0.45</v>
      </c>
      <c r="BY424" s="674">
        <f t="shared" si="184"/>
        <v>1</v>
      </c>
      <c r="BZ424" s="674">
        <f t="shared" si="185"/>
        <v>0.8</v>
      </c>
      <c r="CA424" s="675">
        <f t="shared" si="186"/>
        <v>0</v>
      </c>
      <c r="CB424" s="675">
        <f t="shared" si="187"/>
        <v>0</v>
      </c>
    </row>
    <row r="425" spans="1:80" ht="64.5" hidden="1" customHeight="1" x14ac:dyDescent="0.25">
      <c r="A425" s="298" t="s">
        <v>1261</v>
      </c>
      <c r="B425" s="299" t="str">
        <f>'PLAN INDICATIVO'!B416</f>
        <v>Justicia y seguridad</v>
      </c>
      <c r="C425" s="1547"/>
      <c r="D425" s="1551"/>
      <c r="E425" s="1551"/>
      <c r="F425" s="1551"/>
      <c r="G425" s="1551"/>
      <c r="H425" s="1551"/>
      <c r="I425" s="300">
        <f>'PLAN INDICATIVO'!I416</f>
        <v>0</v>
      </c>
      <c r="J425" s="300">
        <f>'PLAN INDICATIVO'!J416</f>
        <v>0</v>
      </c>
      <c r="K425" s="1425" t="str">
        <f>'PLAN INDICATIVO'!K416</f>
        <v>A.18.1.8</v>
      </c>
      <c r="L425" s="301" t="str">
        <f>'PLAN INDICATIVO'!L416</f>
        <v>16. Paz, justicia e instituciones sólidas</v>
      </c>
      <c r="M425" s="301" t="str">
        <f>'PLAN INDICATIVO'!M416</f>
        <v>Secretaría de Gobierno</v>
      </c>
      <c r="N425" s="1425" t="s">
        <v>2791</v>
      </c>
      <c r="O425" s="1425" t="str">
        <f>'PLAN INDICATIVO'!O416</f>
        <v>Incremento</v>
      </c>
      <c r="P425" s="820" t="str">
        <f>'PLAN INDICATIVO'!P416</f>
        <v>Suministrar 8 vehiculos automotores para mejorar dotación de fuerza publica en el cuatrienio</v>
      </c>
      <c r="Q425" s="302" t="str">
        <f>'PLAN INDICATIVO'!Q416</f>
        <v>No. de vehiculos automotores dotados</v>
      </c>
      <c r="R425" s="303">
        <f>'PLAN INDICATIVO'!R416</f>
        <v>2015</v>
      </c>
      <c r="S425" s="304">
        <v>0</v>
      </c>
      <c r="T425" s="815">
        <v>10</v>
      </c>
      <c r="U425" s="303">
        <v>4</v>
      </c>
      <c r="V425" s="687">
        <v>20000000</v>
      </c>
      <c r="W425" s="17">
        <v>2</v>
      </c>
      <c r="X425" s="687"/>
      <c r="Y425" s="17">
        <v>4</v>
      </c>
      <c r="Z425" s="687"/>
      <c r="AA425" s="17">
        <v>4</v>
      </c>
      <c r="AB425" s="687"/>
      <c r="AC425" s="669">
        <v>0</v>
      </c>
      <c r="AD425" s="669">
        <v>2</v>
      </c>
      <c r="AE425" s="669"/>
      <c r="AF425" s="669"/>
      <c r="AG425" s="343" t="s">
        <v>3859</v>
      </c>
      <c r="AH425" s="341">
        <v>2017413960045</v>
      </c>
      <c r="AI425" s="355" t="s">
        <v>3866</v>
      </c>
      <c r="AJ425" s="356">
        <v>42795</v>
      </c>
      <c r="AK425" s="356">
        <v>43069</v>
      </c>
      <c r="AL425" s="358"/>
      <c r="AM425" s="358"/>
      <c r="AN425" s="267" t="s">
        <v>2598</v>
      </c>
      <c r="AO425" s="512"/>
      <c r="AP425" s="525"/>
      <c r="AQ425" s="380"/>
      <c r="AR425" s="310"/>
      <c r="AS425" s="310"/>
      <c r="AT425" s="310"/>
      <c r="AU425" s="310"/>
      <c r="AV425" s="310">
        <v>41100000</v>
      </c>
      <c r="AW425" s="544">
        <v>41100000</v>
      </c>
      <c r="AX425" s="525"/>
      <c r="AY425" s="380"/>
      <c r="AZ425" s="310"/>
      <c r="BA425" s="310"/>
      <c r="BB425" s="310"/>
      <c r="BC425" s="310"/>
      <c r="BD425" s="310"/>
      <c r="BE425" s="544">
        <f t="shared" si="192"/>
        <v>0</v>
      </c>
      <c r="BF425" s="525"/>
      <c r="BG425" s="380"/>
      <c r="BH425" s="310"/>
      <c r="BI425" s="310"/>
      <c r="BJ425" s="310"/>
      <c r="BK425" s="310"/>
      <c r="BL425" s="310"/>
      <c r="BM425" s="544">
        <f t="shared" si="193"/>
        <v>0</v>
      </c>
      <c r="BN425" s="525"/>
      <c r="BO425" s="380"/>
      <c r="BP425" s="310"/>
      <c r="BQ425" s="310"/>
      <c r="BR425" s="310"/>
      <c r="BS425" s="310"/>
      <c r="BT425" s="310"/>
      <c r="BU425" s="544">
        <f t="shared" si="194"/>
        <v>0</v>
      </c>
      <c r="BV425" s="556"/>
      <c r="BW425" s="663">
        <f t="shared" si="182"/>
        <v>2</v>
      </c>
      <c r="BX425" s="918">
        <f t="shared" si="183"/>
        <v>0.2</v>
      </c>
      <c r="BY425" s="674">
        <f t="shared" si="184"/>
        <v>0</v>
      </c>
      <c r="BZ425" s="674">
        <f t="shared" si="185"/>
        <v>1</v>
      </c>
      <c r="CA425" s="675">
        <f t="shared" si="186"/>
        <v>0</v>
      </c>
      <c r="CB425" s="675">
        <f t="shared" si="187"/>
        <v>0</v>
      </c>
    </row>
    <row r="426" spans="1:80" ht="72" hidden="1" customHeight="1" x14ac:dyDescent="0.25">
      <c r="A426" s="298" t="s">
        <v>1261</v>
      </c>
      <c r="B426" s="299" t="str">
        <f>'PLAN INDICATIVO'!B417</f>
        <v>Justicia y seguridad</v>
      </c>
      <c r="C426" s="1547"/>
      <c r="D426" s="1551"/>
      <c r="E426" s="1551"/>
      <c r="F426" s="1551"/>
      <c r="G426" s="1551"/>
      <c r="H426" s="1551"/>
      <c r="I426" s="300">
        <f>'PLAN INDICATIVO'!I417</f>
        <v>0</v>
      </c>
      <c r="J426" s="300">
        <f>'PLAN INDICATIVO'!J417</f>
        <v>0</v>
      </c>
      <c r="K426" s="1425" t="str">
        <f>'PLAN INDICATIVO'!K417</f>
        <v>A.18.1.9</v>
      </c>
      <c r="L426" s="301" t="str">
        <f>'PLAN INDICATIVO'!L417</f>
        <v>16. Paz, justicia e instituciones sólidas</v>
      </c>
      <c r="M426" s="301" t="str">
        <f>'PLAN INDICATIVO'!M417</f>
        <v>Secretaría de Gobierno</v>
      </c>
      <c r="N426" s="1425" t="s">
        <v>2791</v>
      </c>
      <c r="O426" s="1425" t="str">
        <f>'PLAN INDICATIVO'!O417</f>
        <v>Incremento</v>
      </c>
      <c r="P426" s="16" t="str">
        <f>'PLAN INDICATIVO'!P417</f>
        <v>Realizar 1 gestión para la compra del terreno para estación de policía, durante el cuatrienio</v>
      </c>
      <c r="Q426" s="302" t="str">
        <f>'PLAN INDICATIVO'!Q417</f>
        <v>No. De Gestión de compra realizada</v>
      </c>
      <c r="R426" s="303">
        <f>'PLAN INDICATIVO'!R417</f>
        <v>2015</v>
      </c>
      <c r="S426" s="304">
        <v>0</v>
      </c>
      <c r="T426" s="699">
        <v>1</v>
      </c>
      <c r="U426" s="303">
        <v>0</v>
      </c>
      <c r="V426" s="687">
        <v>30000000</v>
      </c>
      <c r="W426" s="303">
        <v>1</v>
      </c>
      <c r="X426" s="687"/>
      <c r="Y426" s="303">
        <v>0</v>
      </c>
      <c r="Z426" s="687"/>
      <c r="AA426" s="303">
        <v>0</v>
      </c>
      <c r="AB426" s="687"/>
      <c r="AC426" s="669">
        <v>0</v>
      </c>
      <c r="AD426" s="669">
        <v>1</v>
      </c>
      <c r="AE426" s="669"/>
      <c r="AF426" s="669"/>
      <c r="AG426" s="343" t="s">
        <v>3859</v>
      </c>
      <c r="AH426" s="341">
        <v>2017413960045</v>
      </c>
      <c r="AI426" s="355" t="s">
        <v>3819</v>
      </c>
      <c r="AJ426" s="356">
        <v>42795</v>
      </c>
      <c r="AK426" s="356">
        <v>43069</v>
      </c>
      <c r="AL426" s="358"/>
      <c r="AM426" s="358"/>
      <c r="AN426" s="267" t="s">
        <v>2598</v>
      </c>
      <c r="AO426" s="512"/>
      <c r="AP426" s="525"/>
      <c r="AQ426" s="380"/>
      <c r="AR426" s="310"/>
      <c r="AS426" s="310"/>
      <c r="AT426" s="310"/>
      <c r="AU426" s="310"/>
      <c r="AV426" s="310"/>
      <c r="AW426" s="544">
        <f t="shared" si="181"/>
        <v>0</v>
      </c>
      <c r="AX426" s="525"/>
      <c r="AY426" s="380"/>
      <c r="AZ426" s="310"/>
      <c r="BA426" s="310"/>
      <c r="BB426" s="310"/>
      <c r="BC426" s="310"/>
      <c r="BD426" s="310"/>
      <c r="BE426" s="544">
        <f t="shared" si="192"/>
        <v>0</v>
      </c>
      <c r="BF426" s="525"/>
      <c r="BG426" s="380"/>
      <c r="BH426" s="310"/>
      <c r="BI426" s="310"/>
      <c r="BJ426" s="310"/>
      <c r="BK426" s="310"/>
      <c r="BL426" s="310"/>
      <c r="BM426" s="544">
        <f t="shared" si="193"/>
        <v>0</v>
      </c>
      <c r="BN426" s="525"/>
      <c r="BO426" s="380"/>
      <c r="BP426" s="310"/>
      <c r="BQ426" s="310"/>
      <c r="BR426" s="310"/>
      <c r="BS426" s="310"/>
      <c r="BT426" s="310"/>
      <c r="BU426" s="544">
        <f t="shared" si="194"/>
        <v>0</v>
      </c>
      <c r="BV426" s="556"/>
      <c r="BW426" s="663">
        <f t="shared" si="182"/>
        <v>1</v>
      </c>
      <c r="BX426" s="918">
        <f t="shared" si="183"/>
        <v>1</v>
      </c>
      <c r="BY426" s="674" t="e">
        <f t="shared" si="184"/>
        <v>#DIV/0!</v>
      </c>
      <c r="BZ426" s="674">
        <f t="shared" si="185"/>
        <v>1</v>
      </c>
      <c r="CA426" s="675" t="e">
        <f t="shared" si="186"/>
        <v>#DIV/0!</v>
      </c>
      <c r="CB426" s="675" t="e">
        <f t="shared" si="187"/>
        <v>#DIV/0!</v>
      </c>
    </row>
    <row r="427" spans="1:80" ht="69" hidden="1" customHeight="1" x14ac:dyDescent="0.25">
      <c r="A427" s="298" t="s">
        <v>1261</v>
      </c>
      <c r="B427" s="299" t="str">
        <f>'PLAN INDICATIVO'!B418</f>
        <v>Justicia y seguridad</v>
      </c>
      <c r="C427" s="1547"/>
      <c r="D427" s="1551"/>
      <c r="E427" s="1551"/>
      <c r="F427" s="1551"/>
      <c r="G427" s="1551"/>
      <c r="H427" s="1551"/>
      <c r="I427" s="300">
        <f>'PLAN INDICATIVO'!I418</f>
        <v>0</v>
      </c>
      <c r="J427" s="300">
        <f>'PLAN INDICATIVO'!J418</f>
        <v>0</v>
      </c>
      <c r="K427" s="1425" t="str">
        <f>'PLAN INDICATIVO'!K418</f>
        <v>A.18.1.10</v>
      </c>
      <c r="L427" s="301" t="str">
        <f>'PLAN INDICATIVO'!L418</f>
        <v>16. Paz, justicia e instituciones sólidas</v>
      </c>
      <c r="M427" s="301" t="str">
        <f>'PLAN INDICATIVO'!M418</f>
        <v>Secretaría de Gobierno</v>
      </c>
      <c r="N427" s="1425" t="s">
        <v>2791</v>
      </c>
      <c r="O427" s="1425" t="str">
        <f>'PLAN INDICATIVO'!O418</f>
        <v>Mantenimiento</v>
      </c>
      <c r="P427" s="16" t="str">
        <f>'PLAN INDICATIVO'!P418</f>
        <v>Implementar 1 Plan de atención para comunidades en riesgo de seguridad cada año</v>
      </c>
      <c r="Q427" s="302" t="str">
        <f>'PLAN INDICATIVO'!Q418</f>
        <v>No. De Plan de atención implementado por año</v>
      </c>
      <c r="R427" s="303">
        <f>'PLAN INDICATIVO'!R418</f>
        <v>2015</v>
      </c>
      <c r="S427" s="304">
        <v>0</v>
      </c>
      <c r="T427" s="699">
        <v>1</v>
      </c>
      <c r="U427" s="303">
        <v>0.25</v>
      </c>
      <c r="V427" s="687">
        <v>1000000</v>
      </c>
      <c r="W427" s="303">
        <v>0.25</v>
      </c>
      <c r="X427" s="687">
        <v>5000000</v>
      </c>
      <c r="Y427" s="303">
        <v>0.25</v>
      </c>
      <c r="Z427" s="687">
        <v>5000000</v>
      </c>
      <c r="AA427" s="303">
        <v>0.25</v>
      </c>
      <c r="AB427" s="687">
        <v>5000000</v>
      </c>
      <c r="AC427" s="669"/>
      <c r="AD427" s="669">
        <v>0.25</v>
      </c>
      <c r="AE427" s="669"/>
      <c r="AF427" s="669"/>
      <c r="AG427" s="343" t="s">
        <v>3859</v>
      </c>
      <c r="AH427" s="341">
        <v>2017413960045</v>
      </c>
      <c r="AI427" s="355" t="s">
        <v>3867</v>
      </c>
      <c r="AJ427" s="356">
        <v>42767</v>
      </c>
      <c r="AK427" s="356">
        <v>43069</v>
      </c>
      <c r="AL427" s="358"/>
      <c r="AM427" s="358"/>
      <c r="AN427" s="267" t="s">
        <v>2598</v>
      </c>
      <c r="AO427" s="512"/>
      <c r="AP427" s="525"/>
      <c r="AQ427" s="310"/>
      <c r="AR427" s="310"/>
      <c r="AS427" s="310"/>
      <c r="AT427" s="310"/>
      <c r="AU427" s="310"/>
      <c r="AV427" s="310">
        <v>326000000</v>
      </c>
      <c r="AW427" s="544">
        <f t="shared" si="181"/>
        <v>326000000</v>
      </c>
      <c r="AX427" s="525"/>
      <c r="AY427" s="310"/>
      <c r="AZ427" s="310"/>
      <c r="BA427" s="310"/>
      <c r="BB427" s="310"/>
      <c r="BC427" s="310"/>
      <c r="BD427" s="310"/>
      <c r="BE427" s="544">
        <f t="shared" si="192"/>
        <v>0</v>
      </c>
      <c r="BF427" s="525"/>
      <c r="BG427" s="310"/>
      <c r="BH427" s="310"/>
      <c r="BI427" s="310"/>
      <c r="BJ427" s="310"/>
      <c r="BK427" s="310"/>
      <c r="BL427" s="310"/>
      <c r="BM427" s="544">
        <f t="shared" si="193"/>
        <v>0</v>
      </c>
      <c r="BN427" s="525"/>
      <c r="BO427" s="310"/>
      <c r="BP427" s="310"/>
      <c r="BQ427" s="310"/>
      <c r="BR427" s="310"/>
      <c r="BS427" s="310"/>
      <c r="BT427" s="310"/>
      <c r="BU427" s="544">
        <f t="shared" si="194"/>
        <v>0</v>
      </c>
      <c r="BV427" s="556"/>
      <c r="BW427" s="663">
        <f t="shared" si="182"/>
        <v>0.25</v>
      </c>
      <c r="BX427" s="918">
        <f t="shared" si="183"/>
        <v>0.25</v>
      </c>
      <c r="BY427" s="674">
        <f t="shared" si="184"/>
        <v>0</v>
      </c>
      <c r="BZ427" s="674">
        <f t="shared" si="185"/>
        <v>1</v>
      </c>
      <c r="CA427" s="675">
        <f t="shared" si="186"/>
        <v>0</v>
      </c>
      <c r="CB427" s="675">
        <f t="shared" si="187"/>
        <v>0</v>
      </c>
    </row>
    <row r="428" spans="1:80" ht="64.5" hidden="1" customHeight="1" x14ac:dyDescent="0.25">
      <c r="A428" s="298" t="s">
        <v>1261</v>
      </c>
      <c r="B428" s="299" t="str">
        <f>'PLAN INDICATIVO'!B419</f>
        <v>Justicia y seguridad</v>
      </c>
      <c r="C428" s="1547"/>
      <c r="D428" s="1551"/>
      <c r="E428" s="1551"/>
      <c r="F428" s="1551"/>
      <c r="G428" s="1551"/>
      <c r="H428" s="1551"/>
      <c r="I428" s="300">
        <f>'PLAN INDICATIVO'!I419</f>
        <v>0</v>
      </c>
      <c r="J428" s="300">
        <f>'PLAN INDICATIVO'!J419</f>
        <v>0</v>
      </c>
      <c r="K428" s="1425" t="str">
        <f>'PLAN INDICATIVO'!K419</f>
        <v>A.18.1.11</v>
      </c>
      <c r="L428" s="301" t="str">
        <f>'PLAN INDICATIVO'!L419</f>
        <v>16. Paz, justicia e instituciones sólidas</v>
      </c>
      <c r="M428" s="301" t="str">
        <f>'PLAN INDICATIVO'!M419</f>
        <v>Secretaría de Gobierno</v>
      </c>
      <c r="N428" s="1425" t="s">
        <v>2791</v>
      </c>
      <c r="O428" s="1425" t="str">
        <f>'PLAN INDICATIVO'!O419</f>
        <v>Mantenimiento</v>
      </c>
      <c r="P428" s="16" t="str">
        <f>'PLAN INDICATIVO'!P419</f>
        <v>Realizar 4 reuniones de alcalde o secretario al barrio, para atender denuncias ciudadanas sobre inseguridad cada año</v>
      </c>
      <c r="Q428" s="302" t="str">
        <f>'PLAN INDICATIVO'!Q419</f>
        <v>No. de reuniones al barrio realizadas por año</v>
      </c>
      <c r="R428" s="303">
        <f>'PLAN INDICATIVO'!R419</f>
        <v>2015</v>
      </c>
      <c r="S428" s="304">
        <v>0</v>
      </c>
      <c r="T428" s="699">
        <v>16</v>
      </c>
      <c r="U428" s="303">
        <v>4</v>
      </c>
      <c r="V428" s="687">
        <v>500000</v>
      </c>
      <c r="W428" s="303">
        <v>4</v>
      </c>
      <c r="X428" s="687">
        <v>500000</v>
      </c>
      <c r="Y428" s="303">
        <v>4</v>
      </c>
      <c r="Z428" s="687">
        <v>1000000</v>
      </c>
      <c r="AA428" s="303">
        <v>4</v>
      </c>
      <c r="AB428" s="687">
        <v>1000000</v>
      </c>
      <c r="AC428" s="669">
        <v>5</v>
      </c>
      <c r="AD428" s="669">
        <v>8</v>
      </c>
      <c r="AE428" s="669"/>
      <c r="AF428" s="669"/>
      <c r="AG428" s="343" t="s">
        <v>3859</v>
      </c>
      <c r="AH428" s="341">
        <v>2017413960045</v>
      </c>
      <c r="AI428" s="355"/>
      <c r="AJ428" s="356">
        <v>42767</v>
      </c>
      <c r="AK428" s="356">
        <v>43069</v>
      </c>
      <c r="AL428" s="358"/>
      <c r="AM428" s="358"/>
      <c r="AN428" s="281" t="s">
        <v>2598</v>
      </c>
      <c r="AO428" s="513"/>
      <c r="AP428" s="525"/>
      <c r="AQ428" s="310"/>
      <c r="AR428" s="310"/>
      <c r="AS428" s="310"/>
      <c r="AT428" s="310"/>
      <c r="AU428" s="310"/>
      <c r="AV428" s="310"/>
      <c r="AW428" s="544">
        <f t="shared" si="181"/>
        <v>0</v>
      </c>
      <c r="AX428" s="525"/>
      <c r="AY428" s="310"/>
      <c r="AZ428" s="310"/>
      <c r="BA428" s="310"/>
      <c r="BB428" s="310"/>
      <c r="BC428" s="310"/>
      <c r="BD428" s="310"/>
      <c r="BE428" s="544">
        <f t="shared" si="192"/>
        <v>0</v>
      </c>
      <c r="BF428" s="525"/>
      <c r="BG428" s="310"/>
      <c r="BH428" s="310"/>
      <c r="BI428" s="310"/>
      <c r="BJ428" s="310"/>
      <c r="BK428" s="310"/>
      <c r="BL428" s="310"/>
      <c r="BM428" s="544">
        <f t="shared" si="193"/>
        <v>0</v>
      </c>
      <c r="BN428" s="525"/>
      <c r="BO428" s="310"/>
      <c r="BP428" s="310"/>
      <c r="BQ428" s="310"/>
      <c r="BR428" s="310"/>
      <c r="BS428" s="310"/>
      <c r="BT428" s="310"/>
      <c r="BU428" s="544">
        <f t="shared" si="194"/>
        <v>0</v>
      </c>
      <c r="BV428" s="556"/>
      <c r="BW428" s="663">
        <f t="shared" si="182"/>
        <v>13</v>
      </c>
      <c r="BX428" s="674">
        <f t="shared" si="183"/>
        <v>0.8125</v>
      </c>
      <c r="BY428" s="674">
        <f t="shared" si="184"/>
        <v>1.25</v>
      </c>
      <c r="BZ428" s="674">
        <f t="shared" si="185"/>
        <v>2</v>
      </c>
      <c r="CA428" s="675">
        <f t="shared" si="186"/>
        <v>0</v>
      </c>
      <c r="CB428" s="675">
        <f t="shared" si="187"/>
        <v>0</v>
      </c>
    </row>
    <row r="429" spans="1:80" ht="55.5" hidden="1" customHeight="1" x14ac:dyDescent="0.25">
      <c r="A429" s="298" t="s">
        <v>1261</v>
      </c>
      <c r="B429" s="299" t="str">
        <f>'PLAN INDICATIVO'!B420</f>
        <v>Justicia y seguridad</v>
      </c>
      <c r="C429" s="1547"/>
      <c r="D429" s="1551"/>
      <c r="E429" s="1551"/>
      <c r="F429" s="1551"/>
      <c r="G429" s="1551"/>
      <c r="H429" s="1551"/>
      <c r="I429" s="300">
        <f>'PLAN INDICATIVO'!I420</f>
        <v>0</v>
      </c>
      <c r="J429" s="300">
        <f>'PLAN INDICATIVO'!J420</f>
        <v>0</v>
      </c>
      <c r="K429" s="1425" t="str">
        <f>'PLAN INDICATIVO'!K420</f>
        <v>A.18.1.12</v>
      </c>
      <c r="L429" s="301" t="str">
        <f>'PLAN INDICATIVO'!L420</f>
        <v>16. Paz, justicia e instituciones sólidas</v>
      </c>
      <c r="M429" s="301" t="str">
        <f>'PLAN INDICATIVO'!M420</f>
        <v>Secretaría de Gobierno</v>
      </c>
      <c r="N429" s="1425" t="s">
        <v>2543</v>
      </c>
      <c r="O429" s="1425" t="str">
        <f>'PLAN INDICATIVO'!O420</f>
        <v>Incremento</v>
      </c>
      <c r="P429" s="16" t="str">
        <f>'PLAN INDICATIVO'!P420</f>
        <v>Implementar 8 planes desarme durante el cuatrienio</v>
      </c>
      <c r="Q429" s="302" t="str">
        <f>'PLAN INDICATIVO'!Q420</f>
        <v>No. De Planes de desarme implementados</v>
      </c>
      <c r="R429" s="303">
        <f>'PLAN INDICATIVO'!R420</f>
        <v>2015</v>
      </c>
      <c r="S429" s="304">
        <v>0</v>
      </c>
      <c r="T429" s="699">
        <v>8</v>
      </c>
      <c r="U429" s="303">
        <v>2</v>
      </c>
      <c r="V429" s="687">
        <v>5000000</v>
      </c>
      <c r="W429" s="303">
        <v>2</v>
      </c>
      <c r="X429" s="687">
        <v>5000000</v>
      </c>
      <c r="Y429" s="303">
        <v>2</v>
      </c>
      <c r="Z429" s="687">
        <v>8000000</v>
      </c>
      <c r="AA429" s="303">
        <v>2</v>
      </c>
      <c r="AB429" s="687">
        <v>8000000</v>
      </c>
      <c r="AC429" s="669">
        <v>2</v>
      </c>
      <c r="AD429" s="669">
        <v>2</v>
      </c>
      <c r="AE429" s="669"/>
      <c r="AF429" s="669"/>
      <c r="AG429" s="343" t="s">
        <v>3859</v>
      </c>
      <c r="AH429" s="341">
        <v>2017413960045</v>
      </c>
      <c r="AI429" s="355" t="s">
        <v>3868</v>
      </c>
      <c r="AJ429" s="356">
        <v>42767</v>
      </c>
      <c r="AK429" s="356">
        <v>43069</v>
      </c>
      <c r="AL429" s="358"/>
      <c r="AM429" s="358"/>
      <c r="AN429" s="281" t="s">
        <v>2598</v>
      </c>
      <c r="AO429" s="513"/>
      <c r="AP429" s="525"/>
      <c r="AQ429" s="310"/>
      <c r="AR429" s="310"/>
      <c r="AS429" s="310"/>
      <c r="AT429" s="310"/>
      <c r="AU429" s="310"/>
      <c r="AV429" s="310"/>
      <c r="AW429" s="544">
        <f t="shared" si="181"/>
        <v>0</v>
      </c>
      <c r="AX429" s="525"/>
      <c r="AY429" s="310"/>
      <c r="AZ429" s="310"/>
      <c r="BA429" s="310"/>
      <c r="BB429" s="310"/>
      <c r="BC429" s="310"/>
      <c r="BD429" s="310"/>
      <c r="BE429" s="544">
        <f t="shared" si="192"/>
        <v>0</v>
      </c>
      <c r="BF429" s="525"/>
      <c r="BG429" s="310"/>
      <c r="BH429" s="310"/>
      <c r="BI429" s="310"/>
      <c r="BJ429" s="310"/>
      <c r="BK429" s="310"/>
      <c r="BL429" s="310"/>
      <c r="BM429" s="544">
        <f t="shared" si="193"/>
        <v>0</v>
      </c>
      <c r="BN429" s="525"/>
      <c r="BO429" s="310"/>
      <c r="BP429" s="310"/>
      <c r="BQ429" s="310"/>
      <c r="BR429" s="310"/>
      <c r="BS429" s="310"/>
      <c r="BT429" s="310"/>
      <c r="BU429" s="544">
        <f t="shared" si="194"/>
        <v>0</v>
      </c>
      <c r="BV429" s="556"/>
      <c r="BW429" s="663">
        <f t="shared" si="182"/>
        <v>4</v>
      </c>
      <c r="BX429" s="674">
        <f t="shared" si="183"/>
        <v>0.5</v>
      </c>
      <c r="BY429" s="674">
        <f t="shared" si="184"/>
        <v>1</v>
      </c>
      <c r="BZ429" s="674">
        <f t="shared" si="185"/>
        <v>1</v>
      </c>
      <c r="CA429" s="675">
        <f t="shared" si="186"/>
        <v>0</v>
      </c>
      <c r="CB429" s="675">
        <f t="shared" si="187"/>
        <v>0</v>
      </c>
    </row>
    <row r="430" spans="1:80" ht="37.5" hidden="1" customHeight="1" x14ac:dyDescent="0.25">
      <c r="A430" s="298" t="s">
        <v>1261</v>
      </c>
      <c r="B430" s="299" t="str">
        <f>'PLAN INDICATIVO'!B421</f>
        <v>Justicia y seguridad</v>
      </c>
      <c r="C430" s="1547"/>
      <c r="D430" s="1551"/>
      <c r="E430" s="1551"/>
      <c r="F430" s="1551"/>
      <c r="G430" s="1551"/>
      <c r="H430" s="1551"/>
      <c r="I430" s="300">
        <f>'PLAN INDICATIVO'!I421</f>
        <v>0</v>
      </c>
      <c r="J430" s="300">
        <f>'PLAN INDICATIVO'!J421</f>
        <v>0</v>
      </c>
      <c r="K430" s="1425" t="str">
        <f>'PLAN INDICATIVO'!K421</f>
        <v>A.18.1.13</v>
      </c>
      <c r="L430" s="301" t="str">
        <f>'PLAN INDICATIVO'!L421</f>
        <v>16. Paz, justicia e instituciones sólidas</v>
      </c>
      <c r="M430" s="301" t="str">
        <f>'PLAN INDICATIVO'!M421</f>
        <v>Secretaría de Gobierno</v>
      </c>
      <c r="N430" s="1425" t="s">
        <v>2791</v>
      </c>
      <c r="O430" s="1425" t="str">
        <f>'PLAN INDICATIVO'!O421</f>
        <v>Incremento</v>
      </c>
      <c r="P430" s="16" t="str">
        <f>'PLAN INDICATIVO'!P421</f>
        <v>Fortalecer 1 línea 123 durante el cuatrienio</v>
      </c>
      <c r="Q430" s="302" t="str">
        <f>'PLAN INDICATIVO'!Q421</f>
        <v>No. De Línea 123 fortalecida</v>
      </c>
      <c r="R430" s="303">
        <f>'PLAN INDICATIVO'!R421</f>
        <v>2015</v>
      </c>
      <c r="S430" s="304">
        <v>0</v>
      </c>
      <c r="T430" s="699">
        <v>1</v>
      </c>
      <c r="U430" s="303">
        <v>1</v>
      </c>
      <c r="V430" s="687">
        <v>6500000</v>
      </c>
      <c r="W430" s="303">
        <v>1</v>
      </c>
      <c r="X430" s="687">
        <v>15000000</v>
      </c>
      <c r="Y430" s="303">
        <v>0</v>
      </c>
      <c r="Z430" s="687"/>
      <c r="AA430" s="303">
        <v>0</v>
      </c>
      <c r="AB430" s="687"/>
      <c r="AC430" s="669"/>
      <c r="AD430" s="669">
        <v>1</v>
      </c>
      <c r="AE430" s="669"/>
      <c r="AF430" s="669"/>
      <c r="AG430" s="343" t="s">
        <v>3859</v>
      </c>
      <c r="AH430" s="341">
        <v>2017413960045</v>
      </c>
      <c r="AI430" s="355" t="s">
        <v>3869</v>
      </c>
      <c r="AJ430" s="356">
        <v>42767</v>
      </c>
      <c r="AK430" s="356">
        <v>43069</v>
      </c>
      <c r="AL430" s="358"/>
      <c r="AM430" s="358"/>
      <c r="AN430" s="267" t="s">
        <v>2598</v>
      </c>
      <c r="AO430" s="512">
        <v>2318</v>
      </c>
      <c r="AP430" s="525"/>
      <c r="AQ430" s="310"/>
      <c r="AR430" s="310"/>
      <c r="AS430" s="310"/>
      <c r="AT430" s="310"/>
      <c r="AU430" s="310"/>
      <c r="AV430" s="310">
        <v>25347000</v>
      </c>
      <c r="AW430" s="544">
        <f t="shared" si="181"/>
        <v>25347000</v>
      </c>
      <c r="AX430" s="525"/>
      <c r="AY430" s="310"/>
      <c r="AZ430" s="310"/>
      <c r="BA430" s="310"/>
      <c r="BB430" s="310"/>
      <c r="BC430" s="310"/>
      <c r="BD430" s="310"/>
      <c r="BE430" s="544">
        <f t="shared" si="192"/>
        <v>0</v>
      </c>
      <c r="BF430" s="525"/>
      <c r="BG430" s="310"/>
      <c r="BH430" s="310"/>
      <c r="BI430" s="310"/>
      <c r="BJ430" s="310"/>
      <c r="BK430" s="310"/>
      <c r="BL430" s="310"/>
      <c r="BM430" s="544">
        <f t="shared" si="193"/>
        <v>0</v>
      </c>
      <c r="BN430" s="525"/>
      <c r="BO430" s="310"/>
      <c r="BP430" s="310"/>
      <c r="BQ430" s="310"/>
      <c r="BR430" s="310"/>
      <c r="BS430" s="310"/>
      <c r="BT430" s="310"/>
      <c r="BU430" s="544">
        <f t="shared" si="194"/>
        <v>0</v>
      </c>
      <c r="BV430" s="556"/>
      <c r="BW430" s="663">
        <f t="shared" si="182"/>
        <v>1</v>
      </c>
      <c r="BX430" s="918">
        <f t="shared" si="183"/>
        <v>1</v>
      </c>
      <c r="BY430" s="674">
        <f t="shared" si="184"/>
        <v>0</v>
      </c>
      <c r="BZ430" s="674">
        <f t="shared" si="185"/>
        <v>1</v>
      </c>
      <c r="CA430" s="675" t="e">
        <f t="shared" si="186"/>
        <v>#DIV/0!</v>
      </c>
      <c r="CB430" s="675" t="e">
        <f t="shared" si="187"/>
        <v>#DIV/0!</v>
      </c>
    </row>
    <row r="431" spans="1:80" ht="85.5" hidden="1" customHeight="1" x14ac:dyDescent="0.25">
      <c r="A431" s="298" t="s">
        <v>1261</v>
      </c>
      <c r="B431" s="299" t="str">
        <f>'PLAN INDICATIVO'!B422</f>
        <v>Justicia y seguridad</v>
      </c>
      <c r="C431" s="1548"/>
      <c r="D431" s="1552"/>
      <c r="E431" s="1552"/>
      <c r="F431" s="1552"/>
      <c r="G431" s="1552"/>
      <c r="H431" s="1552"/>
      <c r="I431" s="300">
        <f>'PLAN INDICATIVO'!I422</f>
        <v>0</v>
      </c>
      <c r="J431" s="300">
        <f>'PLAN INDICATIVO'!J422</f>
        <v>0</v>
      </c>
      <c r="K431" s="1425" t="str">
        <f>'PLAN INDICATIVO'!K422</f>
        <v>A.18.1.14</v>
      </c>
      <c r="L431" s="301" t="str">
        <f>'PLAN INDICATIVO'!L422</f>
        <v>16. Paz, justicia e instituciones sólidas</v>
      </c>
      <c r="M431" s="301" t="str">
        <f>'PLAN INDICATIVO'!M422</f>
        <v>Secretaría de Gobierno</v>
      </c>
      <c r="N431" s="1425" t="s">
        <v>2791</v>
      </c>
      <c r="O431" s="1425" t="str">
        <f>'PLAN INDICATIVO'!O422</f>
        <v>Mantenimiento</v>
      </c>
      <c r="P431" s="16" t="str">
        <f>'PLAN INDICATIVO'!P422</f>
        <v>Realizar 1 plan de apoyo para comisarios de familia, médicos, psicólogos y trabajadores sociales de las comisarías de familia, cada año</v>
      </c>
      <c r="Q431" s="302" t="str">
        <f>'PLAN INDICATIVO'!Q422</f>
        <v>No. de planes implementados por año</v>
      </c>
      <c r="R431" s="303">
        <f>'PLAN INDICATIVO'!R422</f>
        <v>2015</v>
      </c>
      <c r="S431" s="304">
        <v>0</v>
      </c>
      <c r="T431" s="699">
        <v>1</v>
      </c>
      <c r="U431" s="934">
        <v>0.25</v>
      </c>
      <c r="V431" s="687">
        <v>54290000</v>
      </c>
      <c r="W431" s="934">
        <v>0.25</v>
      </c>
      <c r="X431" s="687">
        <v>20500000</v>
      </c>
      <c r="Y431" s="934">
        <v>0.25</v>
      </c>
      <c r="Z431" s="687">
        <v>10000000</v>
      </c>
      <c r="AA431" s="934">
        <v>0.25</v>
      </c>
      <c r="AB431" s="687">
        <v>10000000</v>
      </c>
      <c r="AC431" s="669">
        <v>0.25</v>
      </c>
      <c r="AD431" s="669">
        <v>0.25</v>
      </c>
      <c r="AE431" s="669"/>
      <c r="AF431" s="669"/>
      <c r="AG431" s="343" t="s">
        <v>3859</v>
      </c>
      <c r="AH431" s="341">
        <v>2017413960045</v>
      </c>
      <c r="AI431" s="355" t="s">
        <v>3031</v>
      </c>
      <c r="AJ431" s="358"/>
      <c r="AK431" s="358"/>
      <c r="AL431" s="358" t="s">
        <v>3032</v>
      </c>
      <c r="AM431" s="358" t="s">
        <v>3033</v>
      </c>
      <c r="AN431" s="267" t="s">
        <v>2598</v>
      </c>
      <c r="AO431" s="512"/>
      <c r="AP431" s="525"/>
      <c r="AQ431" s="310"/>
      <c r="AR431" s="310"/>
      <c r="AS431" s="310"/>
      <c r="AT431" s="310"/>
      <c r="AU431" s="310"/>
      <c r="AV431" s="310"/>
      <c r="AW431" s="544">
        <f t="shared" si="181"/>
        <v>0</v>
      </c>
      <c r="AX431" s="525"/>
      <c r="AY431" s="310"/>
      <c r="AZ431" s="310"/>
      <c r="BA431" s="310"/>
      <c r="BB431" s="310"/>
      <c r="BC431" s="310"/>
      <c r="BD431" s="310"/>
      <c r="BE431" s="544">
        <f t="shared" si="192"/>
        <v>0</v>
      </c>
      <c r="BF431" s="525"/>
      <c r="BG431" s="310"/>
      <c r="BH431" s="310"/>
      <c r="BI431" s="310"/>
      <c r="BJ431" s="310"/>
      <c r="BK431" s="310"/>
      <c r="BL431" s="310"/>
      <c r="BM431" s="544">
        <f t="shared" si="193"/>
        <v>0</v>
      </c>
      <c r="BN431" s="525"/>
      <c r="BO431" s="310"/>
      <c r="BP431" s="310"/>
      <c r="BQ431" s="310"/>
      <c r="BR431" s="310"/>
      <c r="BS431" s="310"/>
      <c r="BT431" s="310"/>
      <c r="BU431" s="544">
        <f t="shared" si="194"/>
        <v>0</v>
      </c>
      <c r="BV431" s="556"/>
      <c r="BW431" s="663">
        <f t="shared" si="182"/>
        <v>0.5</v>
      </c>
      <c r="BX431" s="674">
        <f t="shared" si="183"/>
        <v>0.5</v>
      </c>
      <c r="BY431" s="674">
        <f t="shared" si="184"/>
        <v>1</v>
      </c>
      <c r="BZ431" s="674">
        <f t="shared" si="185"/>
        <v>1</v>
      </c>
      <c r="CA431" s="675">
        <f t="shared" si="186"/>
        <v>0</v>
      </c>
      <c r="CB431" s="675">
        <f t="shared" si="187"/>
        <v>0</v>
      </c>
    </row>
    <row r="432" spans="1:80" ht="17.25" hidden="1" customHeight="1" x14ac:dyDescent="0.25">
      <c r="A432" s="295" t="s">
        <v>1261</v>
      </c>
      <c r="B432" s="24" t="str">
        <f>'PLAN INDICATIVO'!B424</f>
        <v>Justicia y seguridad</v>
      </c>
      <c r="C432" s="1574" t="s">
        <v>1307</v>
      </c>
      <c r="D432" s="1575"/>
      <c r="E432" s="1575"/>
      <c r="F432" s="1575"/>
      <c r="G432" s="1575"/>
      <c r="H432" s="1575"/>
      <c r="I432" s="1575"/>
      <c r="J432" s="1575"/>
      <c r="K432" s="1575"/>
      <c r="L432" s="1575"/>
      <c r="M432" s="1575"/>
      <c r="N432" s="1575"/>
      <c r="O432" s="1576"/>
      <c r="P432" s="22"/>
      <c r="Q432" s="22"/>
      <c r="R432" s="1"/>
      <c r="S432" s="261"/>
      <c r="T432" s="681"/>
      <c r="U432" s="261"/>
      <c r="V432" s="689">
        <f>SUM(V433:V445)</f>
        <v>82500000</v>
      </c>
      <c r="W432" s="261"/>
      <c r="X432" s="689">
        <f>SUM(X433:X445)</f>
        <v>97000000</v>
      </c>
      <c r="Y432" s="261"/>
      <c r="Z432" s="689">
        <f>SUM(Z433:Z445)</f>
        <v>72000000</v>
      </c>
      <c r="AA432" s="261"/>
      <c r="AB432" s="689">
        <f>SUM(AB433:AB445)</f>
        <v>72000000</v>
      </c>
      <c r="AC432" s="261"/>
      <c r="AD432" s="261"/>
      <c r="AE432" s="261"/>
      <c r="AF432" s="261"/>
      <c r="AG432" s="273"/>
      <c r="AH432" s="273"/>
      <c r="AI432" s="273"/>
      <c r="AJ432" s="261"/>
      <c r="AK432" s="261"/>
      <c r="AL432" s="261"/>
      <c r="AM432" s="261"/>
      <c r="AN432" s="261"/>
      <c r="AO432" s="635"/>
      <c r="AP432" s="616" t="e">
        <f>(AP433:AP445)</f>
        <v>#VALUE!</v>
      </c>
      <c r="AQ432" s="616" t="e">
        <f t="shared" ref="AQ432:AV432" si="199">(AQ433:AQ445)</f>
        <v>#VALUE!</v>
      </c>
      <c r="AR432" s="616" t="e">
        <f t="shared" si="199"/>
        <v>#VALUE!</v>
      </c>
      <c r="AS432" s="616" t="e">
        <f t="shared" si="199"/>
        <v>#VALUE!</v>
      </c>
      <c r="AT432" s="616" t="e">
        <f t="shared" si="199"/>
        <v>#VALUE!</v>
      </c>
      <c r="AU432" s="616" t="e">
        <f t="shared" si="199"/>
        <v>#VALUE!</v>
      </c>
      <c r="AV432" s="616" t="e">
        <f t="shared" si="199"/>
        <v>#VALUE!</v>
      </c>
      <c r="AW432" s="617" t="e">
        <f t="shared" si="181"/>
        <v>#VALUE!</v>
      </c>
      <c r="AX432" s="616" t="e">
        <f>(AX433:AX445)</f>
        <v>#VALUE!</v>
      </c>
      <c r="AY432" s="616" t="e">
        <f t="shared" ref="AY432:BD432" si="200">(AY433:AY445)</f>
        <v>#VALUE!</v>
      </c>
      <c r="AZ432" s="616" t="e">
        <f t="shared" si="200"/>
        <v>#VALUE!</v>
      </c>
      <c r="BA432" s="616" t="e">
        <f t="shared" si="200"/>
        <v>#VALUE!</v>
      </c>
      <c r="BB432" s="616" t="e">
        <f t="shared" si="200"/>
        <v>#VALUE!</v>
      </c>
      <c r="BC432" s="616" t="e">
        <f t="shared" si="200"/>
        <v>#VALUE!</v>
      </c>
      <c r="BD432" s="616" t="e">
        <f t="shared" si="200"/>
        <v>#VALUE!</v>
      </c>
      <c r="BE432" s="617" t="e">
        <f t="shared" si="192"/>
        <v>#VALUE!</v>
      </c>
      <c r="BF432" s="616" t="e">
        <f>(BF433:BF445)</f>
        <v>#VALUE!</v>
      </c>
      <c r="BG432" s="616" t="e">
        <f t="shared" ref="BG432:BL432" si="201">(BG433:BG445)</f>
        <v>#VALUE!</v>
      </c>
      <c r="BH432" s="616" t="e">
        <f t="shared" si="201"/>
        <v>#VALUE!</v>
      </c>
      <c r="BI432" s="616" t="e">
        <f t="shared" si="201"/>
        <v>#VALUE!</v>
      </c>
      <c r="BJ432" s="616" t="e">
        <f t="shared" si="201"/>
        <v>#VALUE!</v>
      </c>
      <c r="BK432" s="616" t="e">
        <f t="shared" si="201"/>
        <v>#VALUE!</v>
      </c>
      <c r="BL432" s="616" t="e">
        <f t="shared" si="201"/>
        <v>#VALUE!</v>
      </c>
      <c r="BM432" s="617" t="e">
        <f t="shared" si="193"/>
        <v>#VALUE!</v>
      </c>
      <c r="BN432" s="616" t="e">
        <f>(BN433:BN445)</f>
        <v>#VALUE!</v>
      </c>
      <c r="BO432" s="616" t="e">
        <f t="shared" ref="BO432:BT432" si="202">(BO433:BO445)</f>
        <v>#VALUE!</v>
      </c>
      <c r="BP432" s="616" t="e">
        <f t="shared" si="202"/>
        <v>#VALUE!</v>
      </c>
      <c r="BQ432" s="616" t="e">
        <f t="shared" si="202"/>
        <v>#VALUE!</v>
      </c>
      <c r="BR432" s="616" t="e">
        <f t="shared" si="202"/>
        <v>#VALUE!</v>
      </c>
      <c r="BS432" s="616" t="e">
        <f t="shared" si="202"/>
        <v>#VALUE!</v>
      </c>
      <c r="BT432" s="616" t="e">
        <f t="shared" si="202"/>
        <v>#VALUE!</v>
      </c>
      <c r="BU432" s="617" t="e">
        <f t="shared" si="194"/>
        <v>#VALUE!</v>
      </c>
      <c r="BV432" s="556"/>
      <c r="BW432" s="663">
        <f t="shared" si="182"/>
        <v>0</v>
      </c>
      <c r="BX432" s="674" t="e">
        <f t="shared" si="183"/>
        <v>#DIV/0!</v>
      </c>
      <c r="BY432" s="674" t="e">
        <f t="shared" si="184"/>
        <v>#DIV/0!</v>
      </c>
      <c r="BZ432" s="674" t="e">
        <f t="shared" si="185"/>
        <v>#DIV/0!</v>
      </c>
      <c r="CA432" s="675" t="e">
        <f t="shared" si="186"/>
        <v>#DIV/0!</v>
      </c>
      <c r="CB432" s="675" t="e">
        <f t="shared" si="187"/>
        <v>#DIV/0!</v>
      </c>
    </row>
    <row r="433" spans="1:93" ht="69.75" hidden="1" customHeight="1" x14ac:dyDescent="0.25">
      <c r="A433" s="298" t="s">
        <v>1261</v>
      </c>
      <c r="B433" s="299" t="str">
        <f>'PLAN INDICATIVO'!B425</f>
        <v>Justicia y seguridad</v>
      </c>
      <c r="C433" s="1546" t="s">
        <v>1308</v>
      </c>
      <c r="D433" s="1549" t="s">
        <v>1309</v>
      </c>
      <c r="E433" s="1549" t="s">
        <v>1310</v>
      </c>
      <c r="F433" s="1549">
        <v>2015</v>
      </c>
      <c r="G433" s="1549" t="s">
        <v>1311</v>
      </c>
      <c r="H433" s="1549">
        <v>270</v>
      </c>
      <c r="I433" s="300">
        <f>'PLAN INDICATIVO'!I425</f>
        <v>0</v>
      </c>
      <c r="J433" s="300">
        <f>'PLAN INDICATIVO'!J425</f>
        <v>0</v>
      </c>
      <c r="K433" s="1425" t="str">
        <f>'PLAN INDICATIVO'!K425</f>
        <v>A.18.2.1</v>
      </c>
      <c r="L433" s="301" t="str">
        <f>'PLAN INDICATIVO'!L425</f>
        <v>16. Paz, justicia e instituciones sólidas</v>
      </c>
      <c r="M433" s="301" t="str">
        <f>'PLAN INDICATIVO'!M425</f>
        <v>Secretaría de Gobierno</v>
      </c>
      <c r="N433" s="1425" t="s">
        <v>2791</v>
      </c>
      <c r="O433" s="1425" t="str">
        <f>'PLAN INDICATIVO'!O425</f>
        <v>Incremento</v>
      </c>
      <c r="P433" s="25" t="str">
        <f>'PLAN INDICATIVO'!P425</f>
        <v>Instalar 10 nuevas cámaras de seguridad y lograr su funcionamiento durante el cuatrienio</v>
      </c>
      <c r="Q433" s="302" t="str">
        <f>'PLAN INDICATIVO'!Q425</f>
        <v>No. de cámaras instaladas</v>
      </c>
      <c r="R433" s="303">
        <f>'PLAN INDICATIVO'!R425</f>
        <v>2015</v>
      </c>
      <c r="S433" s="304">
        <v>0</v>
      </c>
      <c r="T433" s="699">
        <v>10</v>
      </c>
      <c r="U433" s="303">
        <v>6</v>
      </c>
      <c r="V433" s="687">
        <v>5000000</v>
      </c>
      <c r="W433" s="17">
        <v>0</v>
      </c>
      <c r="X433" s="687">
        <v>6000000</v>
      </c>
      <c r="Y433" s="17">
        <v>10</v>
      </c>
      <c r="Z433" s="687">
        <v>1000000</v>
      </c>
      <c r="AA433" s="303">
        <v>0</v>
      </c>
      <c r="AB433" s="687"/>
      <c r="AC433" s="669">
        <v>0</v>
      </c>
      <c r="AD433" s="669">
        <v>0</v>
      </c>
      <c r="AE433" s="669"/>
      <c r="AF433" s="669"/>
      <c r="AG433" s="343" t="s">
        <v>3859</v>
      </c>
      <c r="AH433" s="341">
        <v>2017413960045</v>
      </c>
      <c r="AI433" s="355" t="s">
        <v>3870</v>
      </c>
      <c r="AJ433" s="356">
        <v>42795</v>
      </c>
      <c r="AK433" s="356">
        <v>43070</v>
      </c>
      <c r="AL433" s="358"/>
      <c r="AM433" s="358"/>
      <c r="AN433" s="267" t="s">
        <v>2594</v>
      </c>
      <c r="AO433" s="512"/>
      <c r="AP433" s="525"/>
      <c r="AQ433" s="310"/>
      <c r="AR433" s="310"/>
      <c r="AS433" s="310"/>
      <c r="AT433" s="310"/>
      <c r="AU433" s="310"/>
      <c r="AV433" s="310"/>
      <c r="AW433" s="544">
        <f t="shared" si="181"/>
        <v>0</v>
      </c>
      <c r="AX433" s="525"/>
      <c r="AY433" s="310"/>
      <c r="AZ433" s="310"/>
      <c r="BA433" s="310"/>
      <c r="BB433" s="310"/>
      <c r="BC433" s="310"/>
      <c r="BD433" s="310"/>
      <c r="BE433" s="544">
        <f t="shared" si="192"/>
        <v>0</v>
      </c>
      <c r="BF433" s="525"/>
      <c r="BG433" s="310"/>
      <c r="BH433" s="310"/>
      <c r="BI433" s="310"/>
      <c r="BJ433" s="310"/>
      <c r="BK433" s="310"/>
      <c r="BL433" s="310"/>
      <c r="BM433" s="544">
        <f t="shared" si="193"/>
        <v>0</v>
      </c>
      <c r="BN433" s="525"/>
      <c r="BO433" s="310"/>
      <c r="BP433" s="310"/>
      <c r="BQ433" s="310"/>
      <c r="BR433" s="310"/>
      <c r="BS433" s="310"/>
      <c r="BT433" s="310"/>
      <c r="BU433" s="544">
        <f t="shared" si="194"/>
        <v>0</v>
      </c>
      <c r="BV433" s="556"/>
      <c r="BW433" s="663">
        <f t="shared" si="182"/>
        <v>0</v>
      </c>
      <c r="BX433" s="918">
        <f t="shared" si="183"/>
        <v>0</v>
      </c>
      <c r="BY433" s="674">
        <f t="shared" si="184"/>
        <v>0</v>
      </c>
      <c r="BZ433" s="674" t="e">
        <f t="shared" si="185"/>
        <v>#DIV/0!</v>
      </c>
      <c r="CA433" s="675">
        <f t="shared" si="186"/>
        <v>0</v>
      </c>
      <c r="CB433" s="675" t="e">
        <f t="shared" si="187"/>
        <v>#DIV/0!</v>
      </c>
    </row>
    <row r="434" spans="1:93" ht="76.5" hidden="1" customHeight="1" x14ac:dyDescent="0.25">
      <c r="A434" s="298" t="s">
        <v>1261</v>
      </c>
      <c r="B434" s="299" t="str">
        <f>'PLAN INDICATIVO'!B426</f>
        <v>Justicia y seguridad</v>
      </c>
      <c r="C434" s="1547"/>
      <c r="D434" s="1549"/>
      <c r="E434" s="1549"/>
      <c r="F434" s="1549"/>
      <c r="G434" s="1549"/>
      <c r="H434" s="1549"/>
      <c r="I434" s="300">
        <f>'PLAN INDICATIVO'!I426</f>
        <v>0</v>
      </c>
      <c r="J434" s="300">
        <f>'PLAN INDICATIVO'!J426</f>
        <v>0</v>
      </c>
      <c r="K434" s="1425" t="str">
        <f>'PLAN INDICATIVO'!K426</f>
        <v>A.18.2.2</v>
      </c>
      <c r="L434" s="301" t="str">
        <f>'PLAN INDICATIVO'!L426</f>
        <v>16. Paz, justicia e instituciones sólidas</v>
      </c>
      <c r="M434" s="301" t="str">
        <f>'PLAN INDICATIVO'!M426</f>
        <v>Secretaría de Gobierno</v>
      </c>
      <c r="N434" s="1425" t="s">
        <v>2791</v>
      </c>
      <c r="O434" s="1425" t="str">
        <f>'PLAN INDICATIVO'!O426</f>
        <v>Mantenimiento</v>
      </c>
      <c r="P434" s="25" t="str">
        <f>'PLAN INDICATIVO'!P426</f>
        <v xml:space="preserve">Implementar 1 plan de mantenimiento anual a las cámaras de seguridad existentes en el municipio, durante el cuatrienio. </v>
      </c>
      <c r="Q434" s="302" t="str">
        <f>'PLAN INDICATIVO'!Q426</f>
        <v>No. de planes de mantenimiento de cámaras de seguridad implementados</v>
      </c>
      <c r="R434" s="303">
        <f>'PLAN INDICATIVO'!R426</f>
        <v>2015</v>
      </c>
      <c r="S434" s="304">
        <v>1</v>
      </c>
      <c r="T434" s="699">
        <v>1</v>
      </c>
      <c r="U434" s="303">
        <v>0.25</v>
      </c>
      <c r="V434" s="687">
        <v>5000000</v>
      </c>
      <c r="W434" s="303">
        <v>0.05</v>
      </c>
      <c r="X434" s="687">
        <v>1000000</v>
      </c>
      <c r="Y434" s="303">
        <v>0.25</v>
      </c>
      <c r="Z434" s="687">
        <v>1000000</v>
      </c>
      <c r="AA434" s="303">
        <v>0.25</v>
      </c>
      <c r="AB434" s="687">
        <v>1000000</v>
      </c>
      <c r="AC434" s="669">
        <v>0.25</v>
      </c>
      <c r="AD434" s="669">
        <v>0.05</v>
      </c>
      <c r="AE434" s="669"/>
      <c r="AF434" s="669"/>
      <c r="AG434" s="343" t="s">
        <v>3859</v>
      </c>
      <c r="AH434" s="341">
        <v>2017413960045</v>
      </c>
      <c r="AI434" s="355" t="s">
        <v>3871</v>
      </c>
      <c r="AJ434" s="356">
        <v>42795</v>
      </c>
      <c r="AK434" s="356">
        <v>43099</v>
      </c>
      <c r="AL434" s="358"/>
      <c r="AM434" s="358"/>
      <c r="AN434" s="267" t="s">
        <v>2604</v>
      </c>
      <c r="AO434" s="512"/>
      <c r="AP434" s="525"/>
      <c r="AQ434" s="310"/>
      <c r="AR434" s="310"/>
      <c r="AS434" s="310"/>
      <c r="AT434" s="310"/>
      <c r="AU434" s="310"/>
      <c r="AV434" s="310"/>
      <c r="AW434" s="544">
        <f t="shared" si="181"/>
        <v>0</v>
      </c>
      <c r="AX434" s="525"/>
      <c r="AY434" s="310"/>
      <c r="AZ434" s="310"/>
      <c r="BA434" s="310"/>
      <c r="BB434" s="310"/>
      <c r="BC434" s="310"/>
      <c r="BD434" s="310"/>
      <c r="BE434" s="544">
        <f t="shared" si="192"/>
        <v>0</v>
      </c>
      <c r="BF434" s="525"/>
      <c r="BG434" s="310"/>
      <c r="BH434" s="310"/>
      <c r="BI434" s="310"/>
      <c r="BJ434" s="310"/>
      <c r="BK434" s="310"/>
      <c r="BL434" s="310"/>
      <c r="BM434" s="544">
        <f t="shared" si="193"/>
        <v>0</v>
      </c>
      <c r="BN434" s="525"/>
      <c r="BO434" s="310"/>
      <c r="BP434" s="310"/>
      <c r="BQ434" s="310"/>
      <c r="BR434" s="310"/>
      <c r="BS434" s="310"/>
      <c r="BT434" s="310"/>
      <c r="BU434" s="544">
        <f t="shared" si="194"/>
        <v>0</v>
      </c>
      <c r="BV434" s="556"/>
      <c r="BW434" s="663">
        <f t="shared" si="182"/>
        <v>0.3</v>
      </c>
      <c r="BX434" s="674">
        <f t="shared" si="183"/>
        <v>0.3</v>
      </c>
      <c r="BY434" s="674">
        <f t="shared" si="184"/>
        <v>1</v>
      </c>
      <c r="BZ434" s="674">
        <f t="shared" si="185"/>
        <v>1</v>
      </c>
      <c r="CA434" s="675">
        <f t="shared" si="186"/>
        <v>0</v>
      </c>
      <c r="CB434" s="675">
        <f t="shared" si="187"/>
        <v>0</v>
      </c>
    </row>
    <row r="435" spans="1:93" ht="75.75" hidden="1" customHeight="1" x14ac:dyDescent="0.25">
      <c r="A435" s="298" t="s">
        <v>1261</v>
      </c>
      <c r="B435" s="299" t="str">
        <f>'PLAN INDICATIVO'!B427</f>
        <v>Justicia y seguridad</v>
      </c>
      <c r="C435" s="1547"/>
      <c r="D435" s="1549"/>
      <c r="E435" s="1549"/>
      <c r="F435" s="1549"/>
      <c r="G435" s="1549"/>
      <c r="H435" s="1549"/>
      <c r="I435" s="300">
        <f>'PLAN INDICATIVO'!I427</f>
        <v>0</v>
      </c>
      <c r="J435" s="300">
        <f>'PLAN INDICATIVO'!J427</f>
        <v>0</v>
      </c>
      <c r="K435" s="1425" t="str">
        <f>'PLAN INDICATIVO'!K427</f>
        <v>A.18.2.3</v>
      </c>
      <c r="L435" s="301" t="str">
        <f>'PLAN INDICATIVO'!L427</f>
        <v>16. Paz, justicia e instituciones sólidas</v>
      </c>
      <c r="M435" s="301" t="str">
        <f>'PLAN INDICATIVO'!M427</f>
        <v>Secretaría de Gobierno</v>
      </c>
      <c r="N435" s="1425" t="s">
        <v>2543</v>
      </c>
      <c r="O435" s="1425" t="str">
        <f>'PLAN INDICATIVO'!O427</f>
        <v>Mantenimiento</v>
      </c>
      <c r="P435" s="16" t="str">
        <f>'PLAN INDICATIVO'!P427</f>
        <v>Implementar 1 programa al año que promueva la garantía de los derechos humanos</v>
      </c>
      <c r="Q435" s="302" t="str">
        <f>'PLAN INDICATIVO'!Q427</f>
        <v>No. De Programas implementados por año</v>
      </c>
      <c r="R435" s="303">
        <f>'PLAN INDICATIVO'!R427</f>
        <v>2015</v>
      </c>
      <c r="S435" s="304">
        <v>0</v>
      </c>
      <c r="T435" s="699">
        <v>1</v>
      </c>
      <c r="U435" s="303">
        <v>1</v>
      </c>
      <c r="V435" s="687">
        <v>15000000</v>
      </c>
      <c r="W435" s="303">
        <v>1</v>
      </c>
      <c r="X435" s="687">
        <v>4000000</v>
      </c>
      <c r="Y435" s="303">
        <v>1</v>
      </c>
      <c r="Z435" s="687">
        <v>4000000</v>
      </c>
      <c r="AA435" s="303">
        <v>1</v>
      </c>
      <c r="AB435" s="687">
        <v>4000000</v>
      </c>
      <c r="AC435" s="669">
        <v>1</v>
      </c>
      <c r="AD435" s="669">
        <v>1</v>
      </c>
      <c r="AE435" s="669"/>
      <c r="AF435" s="669"/>
      <c r="AG435" s="343" t="s">
        <v>3859</v>
      </c>
      <c r="AH435" s="341">
        <v>2017413960045</v>
      </c>
      <c r="AI435" s="355" t="s">
        <v>3872</v>
      </c>
      <c r="AJ435" s="356">
        <v>42856</v>
      </c>
      <c r="AK435" s="356">
        <v>43070</v>
      </c>
      <c r="AL435" s="358"/>
      <c r="AM435" s="358"/>
      <c r="AN435" s="281" t="s">
        <v>2598</v>
      </c>
      <c r="AO435" s="512">
        <v>231807</v>
      </c>
      <c r="AP435" s="525">
        <v>1500000</v>
      </c>
      <c r="AQ435" s="310"/>
      <c r="AR435" s="310"/>
      <c r="AS435" s="310"/>
      <c r="AT435" s="310"/>
      <c r="AU435" s="310"/>
      <c r="AV435" s="310"/>
      <c r="AW435" s="544">
        <f t="shared" si="181"/>
        <v>1500000</v>
      </c>
      <c r="AX435" s="525"/>
      <c r="AY435" s="310"/>
      <c r="AZ435" s="310"/>
      <c r="BA435" s="310"/>
      <c r="BB435" s="310"/>
      <c r="BC435" s="310"/>
      <c r="BD435" s="310"/>
      <c r="BE435" s="544">
        <f t="shared" si="192"/>
        <v>0</v>
      </c>
      <c r="BF435" s="525"/>
      <c r="BG435" s="310"/>
      <c r="BH435" s="310"/>
      <c r="BI435" s="310"/>
      <c r="BJ435" s="310"/>
      <c r="BK435" s="310"/>
      <c r="BL435" s="310"/>
      <c r="BM435" s="544">
        <f t="shared" si="193"/>
        <v>0</v>
      </c>
      <c r="BN435" s="525"/>
      <c r="BO435" s="310"/>
      <c r="BP435" s="310"/>
      <c r="BQ435" s="310"/>
      <c r="BR435" s="310"/>
      <c r="BS435" s="310"/>
      <c r="BT435" s="310"/>
      <c r="BU435" s="544">
        <f t="shared" si="194"/>
        <v>0</v>
      </c>
      <c r="BV435" s="556"/>
      <c r="BW435" s="663">
        <f t="shared" si="182"/>
        <v>2</v>
      </c>
      <c r="BX435" s="674">
        <f t="shared" si="183"/>
        <v>2</v>
      </c>
      <c r="BY435" s="674">
        <f t="shared" si="184"/>
        <v>1</v>
      </c>
      <c r="BZ435" s="674">
        <f t="shared" si="185"/>
        <v>1</v>
      </c>
      <c r="CA435" s="675">
        <f t="shared" si="186"/>
        <v>0</v>
      </c>
      <c r="CB435" s="675">
        <f t="shared" si="187"/>
        <v>0</v>
      </c>
    </row>
    <row r="436" spans="1:93" ht="78" hidden="1" customHeight="1" x14ac:dyDescent="0.25">
      <c r="A436" s="298" t="s">
        <v>1261</v>
      </c>
      <c r="B436" s="299" t="str">
        <f>'PLAN INDICATIVO'!B428</f>
        <v>Justicia y seguridad</v>
      </c>
      <c r="C436" s="1547"/>
      <c r="D436" s="1549"/>
      <c r="E436" s="1549"/>
      <c r="F436" s="1549"/>
      <c r="G436" s="1549"/>
      <c r="H436" s="1549"/>
      <c r="I436" s="300">
        <f>'PLAN INDICATIVO'!I428</f>
        <v>0</v>
      </c>
      <c r="J436" s="300">
        <f>'PLAN INDICATIVO'!J428</f>
        <v>0</v>
      </c>
      <c r="K436" s="1425" t="str">
        <f>'PLAN INDICATIVO'!K428</f>
        <v>A.18.2.4</v>
      </c>
      <c r="L436" s="301" t="str">
        <f>'PLAN INDICATIVO'!L428</f>
        <v>16. Paz, justicia e instituciones sólidas</v>
      </c>
      <c r="M436" s="301" t="str">
        <f>'PLAN INDICATIVO'!M428</f>
        <v>Secretaría de Gobierno</v>
      </c>
      <c r="N436" s="1425" t="s">
        <v>2736</v>
      </c>
      <c r="O436" s="1425" t="str">
        <f>'PLAN INDICATIVO'!O428</f>
        <v>Mantenimiento</v>
      </c>
      <c r="P436" s="16" t="str">
        <f>'PLAN INDICATIVO'!P428</f>
        <v>Realizar 1 campaña anual para prevención de violencia intrafamiliar, de género y maltrato infantil</v>
      </c>
      <c r="Q436" s="302" t="str">
        <f>'PLAN INDICATIVO'!Q428</f>
        <v>No. de Campaña implementada por año</v>
      </c>
      <c r="R436" s="303">
        <f>'PLAN INDICATIVO'!R428</f>
        <v>2015</v>
      </c>
      <c r="S436" s="304">
        <v>1</v>
      </c>
      <c r="T436" s="699">
        <v>1</v>
      </c>
      <c r="U436" s="303">
        <v>1</v>
      </c>
      <c r="V436" s="687">
        <v>15000000</v>
      </c>
      <c r="W436" s="303">
        <v>1</v>
      </c>
      <c r="X436" s="687">
        <v>6000000</v>
      </c>
      <c r="Y436" s="303">
        <v>1</v>
      </c>
      <c r="Z436" s="687">
        <v>6000000</v>
      </c>
      <c r="AA436" s="303">
        <v>1</v>
      </c>
      <c r="AB436" s="687">
        <v>6000000</v>
      </c>
      <c r="AC436" s="669">
        <v>1</v>
      </c>
      <c r="AD436" s="669">
        <v>1</v>
      </c>
      <c r="AE436" s="669"/>
      <c r="AF436" s="669"/>
      <c r="AG436" s="343" t="s">
        <v>3859</v>
      </c>
      <c r="AH436" s="341">
        <v>2017413960045</v>
      </c>
      <c r="AI436" s="355" t="s">
        <v>3873</v>
      </c>
      <c r="AJ436" s="356">
        <v>42767</v>
      </c>
      <c r="AK436" s="356">
        <v>43070</v>
      </c>
      <c r="AL436" s="358"/>
      <c r="AM436" s="358"/>
      <c r="AN436" s="267" t="s">
        <v>2598</v>
      </c>
      <c r="AO436" s="512">
        <v>231803</v>
      </c>
      <c r="AP436" s="525"/>
      <c r="AQ436" s="310">
        <v>692308</v>
      </c>
      <c r="AR436" s="310"/>
      <c r="AS436" s="310"/>
      <c r="AT436" s="310"/>
      <c r="AU436" s="310"/>
      <c r="AV436" s="310"/>
      <c r="AW436" s="544">
        <f t="shared" si="181"/>
        <v>692308</v>
      </c>
      <c r="AX436" s="525"/>
      <c r="AY436" s="310"/>
      <c r="AZ436" s="310"/>
      <c r="BA436" s="310"/>
      <c r="BB436" s="310"/>
      <c r="BC436" s="310"/>
      <c r="BD436" s="310"/>
      <c r="BE436" s="544">
        <f t="shared" si="192"/>
        <v>0</v>
      </c>
      <c r="BF436" s="525"/>
      <c r="BG436" s="310"/>
      <c r="BH436" s="310"/>
      <c r="BI436" s="310"/>
      <c r="BJ436" s="310"/>
      <c r="BK436" s="310"/>
      <c r="BL436" s="310"/>
      <c r="BM436" s="544">
        <f t="shared" si="193"/>
        <v>0</v>
      </c>
      <c r="BN436" s="525"/>
      <c r="BO436" s="310"/>
      <c r="BP436" s="310"/>
      <c r="BQ436" s="310"/>
      <c r="BR436" s="310"/>
      <c r="BS436" s="310"/>
      <c r="BT436" s="310"/>
      <c r="BU436" s="544">
        <f t="shared" si="194"/>
        <v>0</v>
      </c>
      <c r="BV436" s="556"/>
      <c r="BW436" s="663">
        <f t="shared" si="182"/>
        <v>2</v>
      </c>
      <c r="BX436" s="674">
        <f t="shared" si="183"/>
        <v>2</v>
      </c>
      <c r="BY436" s="674">
        <f t="shared" si="184"/>
        <v>1</v>
      </c>
      <c r="BZ436" s="674">
        <f t="shared" si="185"/>
        <v>1</v>
      </c>
      <c r="CA436" s="675">
        <f t="shared" si="186"/>
        <v>0</v>
      </c>
      <c r="CB436" s="675">
        <f t="shared" si="187"/>
        <v>0</v>
      </c>
    </row>
    <row r="437" spans="1:93" ht="72.75" hidden="1" customHeight="1" x14ac:dyDescent="0.25">
      <c r="A437" s="298" t="s">
        <v>1261</v>
      </c>
      <c r="B437" s="299" t="str">
        <f>'PLAN INDICATIVO'!B429</f>
        <v>Justicia y seguridad</v>
      </c>
      <c r="C437" s="1547"/>
      <c r="D437" s="1549"/>
      <c r="E437" s="1549"/>
      <c r="F437" s="1549"/>
      <c r="G437" s="1549"/>
      <c r="H437" s="1549"/>
      <c r="I437" s="300">
        <f>'PLAN INDICATIVO'!I429</f>
        <v>0</v>
      </c>
      <c r="J437" s="300">
        <f>'PLAN INDICATIVO'!J429</f>
        <v>0</v>
      </c>
      <c r="K437" s="1425" t="str">
        <f>'PLAN INDICATIVO'!K429</f>
        <v>A.18.2.5</v>
      </c>
      <c r="L437" s="301" t="str">
        <f>'PLAN INDICATIVO'!L429</f>
        <v>16. Paz, justicia e instituciones sólidas</v>
      </c>
      <c r="M437" s="301" t="str">
        <f>'PLAN INDICATIVO'!M429</f>
        <v>Secretaría de Gobierno</v>
      </c>
      <c r="N437" s="1425" t="s">
        <v>2736</v>
      </c>
      <c r="O437" s="1425" t="str">
        <f>'PLAN INDICATIVO'!O429</f>
        <v>Mantenimiento</v>
      </c>
      <c r="P437" s="71" t="str">
        <f>'PLAN INDICATIVO'!P429</f>
        <v>Realizar 1 dotación a la casa de la justicia para mejorar prestación de servicios cada año</v>
      </c>
      <c r="Q437" s="302" t="str">
        <f>'PLAN INDICATIVO'!Q429</f>
        <v>No. De Casa de la Justicia dotada por año</v>
      </c>
      <c r="R437" s="303">
        <f>'PLAN INDICATIVO'!R429</f>
        <v>2015</v>
      </c>
      <c r="S437" s="304">
        <v>0</v>
      </c>
      <c r="T437" s="699">
        <v>1</v>
      </c>
      <c r="U437" s="303">
        <v>1</v>
      </c>
      <c r="V437" s="687">
        <v>6000000</v>
      </c>
      <c r="W437" s="303">
        <v>1</v>
      </c>
      <c r="X437" s="687">
        <v>6000000</v>
      </c>
      <c r="Y437" s="303">
        <v>1</v>
      </c>
      <c r="Z437" s="687">
        <v>1000000</v>
      </c>
      <c r="AA437" s="303">
        <v>1</v>
      </c>
      <c r="AB437" s="687">
        <v>1000000</v>
      </c>
      <c r="AC437" s="669">
        <v>1</v>
      </c>
      <c r="AD437" s="669">
        <v>1</v>
      </c>
      <c r="AE437" s="669"/>
      <c r="AF437" s="669"/>
      <c r="AG437" s="343" t="s">
        <v>3859</v>
      </c>
      <c r="AH437" s="341">
        <v>2017413960045</v>
      </c>
      <c r="AI437" s="355" t="s">
        <v>3874</v>
      </c>
      <c r="AJ437" s="356">
        <v>42767</v>
      </c>
      <c r="AK437" s="356">
        <v>42855</v>
      </c>
      <c r="AL437" s="358"/>
      <c r="AM437" s="358"/>
      <c r="AN437" s="267" t="s">
        <v>2598</v>
      </c>
      <c r="AO437" s="512" t="s">
        <v>3875</v>
      </c>
      <c r="AP437" s="525">
        <v>6000000</v>
      </c>
      <c r="AQ437" s="310"/>
      <c r="AR437" s="310"/>
      <c r="AS437" s="310"/>
      <c r="AT437" s="310"/>
      <c r="AU437" s="310"/>
      <c r="AV437" s="310"/>
      <c r="AW437" s="544">
        <f t="shared" si="181"/>
        <v>6000000</v>
      </c>
      <c r="AX437" s="525"/>
      <c r="AY437" s="310"/>
      <c r="AZ437" s="310"/>
      <c r="BA437" s="310"/>
      <c r="BB437" s="310"/>
      <c r="BC437" s="310"/>
      <c r="BD437" s="310"/>
      <c r="BE437" s="544">
        <f t="shared" si="192"/>
        <v>0</v>
      </c>
      <c r="BF437" s="525"/>
      <c r="BG437" s="310"/>
      <c r="BH437" s="310"/>
      <c r="BI437" s="310"/>
      <c r="BJ437" s="310"/>
      <c r="BK437" s="310"/>
      <c r="BL437" s="310"/>
      <c r="BM437" s="544">
        <f t="shared" si="193"/>
        <v>0</v>
      </c>
      <c r="BN437" s="525"/>
      <c r="BO437" s="310"/>
      <c r="BP437" s="310"/>
      <c r="BQ437" s="310"/>
      <c r="BR437" s="310"/>
      <c r="BS437" s="310"/>
      <c r="BT437" s="310"/>
      <c r="BU437" s="544">
        <f t="shared" si="194"/>
        <v>0</v>
      </c>
      <c r="BV437" s="556"/>
      <c r="BW437" s="663">
        <f t="shared" si="182"/>
        <v>2</v>
      </c>
      <c r="BX437" s="674">
        <f t="shared" si="183"/>
        <v>2</v>
      </c>
      <c r="BY437" s="674">
        <f t="shared" si="184"/>
        <v>1</v>
      </c>
      <c r="BZ437" s="674">
        <f t="shared" si="185"/>
        <v>1</v>
      </c>
      <c r="CA437" s="675">
        <f t="shared" si="186"/>
        <v>0</v>
      </c>
      <c r="CB437" s="675">
        <f t="shared" si="187"/>
        <v>0</v>
      </c>
    </row>
    <row r="438" spans="1:93" ht="44.25" hidden="1" customHeight="1" x14ac:dyDescent="0.25">
      <c r="A438" s="298" t="s">
        <v>1261</v>
      </c>
      <c r="B438" s="299" t="str">
        <f>'PLAN INDICATIVO'!B430</f>
        <v>Justicia y seguridad</v>
      </c>
      <c r="C438" s="1547"/>
      <c r="D438" s="1549"/>
      <c r="E438" s="1549"/>
      <c r="F438" s="1549"/>
      <c r="G438" s="1549"/>
      <c r="H438" s="1549"/>
      <c r="I438" s="300">
        <f>'PLAN INDICATIVO'!I430</f>
        <v>0</v>
      </c>
      <c r="J438" s="300">
        <f>'PLAN INDICATIVO'!J430</f>
        <v>0</v>
      </c>
      <c r="K438" s="1425" t="str">
        <f>'PLAN INDICATIVO'!K430</f>
        <v>A.18.2.6</v>
      </c>
      <c r="L438" s="301" t="str">
        <f>'PLAN INDICATIVO'!L430</f>
        <v>16. Paz, justicia e instituciones sólidas</v>
      </c>
      <c r="M438" s="301" t="str">
        <f>'PLAN INDICATIVO'!M430</f>
        <v>Secretaría de Gobierno</v>
      </c>
      <c r="N438" s="1425" t="s">
        <v>2543</v>
      </c>
      <c r="O438" s="1425" t="str">
        <f>'PLAN INDICATIVO'!O430</f>
        <v>Mantenimiento</v>
      </c>
      <c r="P438" s="16" t="str">
        <f>'PLAN INDICATIVO'!P430</f>
        <v>Fortalecer 1 programa de conciliadores en equidad cada año</v>
      </c>
      <c r="Q438" s="302" t="str">
        <f>'PLAN INDICATIVO'!Q430</f>
        <v>No. De Programa fortalecido por año</v>
      </c>
      <c r="R438" s="303">
        <f>'PLAN INDICATIVO'!R430</f>
        <v>2015</v>
      </c>
      <c r="S438" s="304">
        <v>0</v>
      </c>
      <c r="T438" s="699">
        <v>1</v>
      </c>
      <c r="U438" s="303">
        <v>1</v>
      </c>
      <c r="V438" s="687">
        <v>1000000</v>
      </c>
      <c r="W438" s="303">
        <v>1</v>
      </c>
      <c r="X438" s="687">
        <v>2000000</v>
      </c>
      <c r="Y438" s="303">
        <v>1</v>
      </c>
      <c r="Z438" s="687">
        <v>2000000</v>
      </c>
      <c r="AA438" s="303">
        <v>1</v>
      </c>
      <c r="AB438" s="687">
        <v>2000000</v>
      </c>
      <c r="AC438" s="669">
        <v>1</v>
      </c>
      <c r="AD438" s="669">
        <v>1</v>
      </c>
      <c r="AE438" s="669"/>
      <c r="AF438" s="669"/>
      <c r="AG438" s="343" t="s">
        <v>3859</v>
      </c>
      <c r="AH438" s="341">
        <v>2017413960045</v>
      </c>
      <c r="AI438" s="355" t="s">
        <v>3876</v>
      </c>
      <c r="AJ438" s="356">
        <v>42767</v>
      </c>
      <c r="AK438" s="356">
        <v>43070</v>
      </c>
      <c r="AL438" s="358"/>
      <c r="AM438" s="358"/>
      <c r="AN438" s="267" t="s">
        <v>2598</v>
      </c>
      <c r="AO438" s="512" t="s">
        <v>3877</v>
      </c>
      <c r="AP438" s="525">
        <v>1500000</v>
      </c>
      <c r="AQ438" s="310">
        <v>2083333</v>
      </c>
      <c r="AR438" s="310"/>
      <c r="AS438" s="310"/>
      <c r="AT438" s="310"/>
      <c r="AU438" s="310"/>
      <c r="AV438" s="310"/>
      <c r="AW438" s="544">
        <f t="shared" si="181"/>
        <v>3583333</v>
      </c>
      <c r="AX438" s="525"/>
      <c r="AY438" s="310"/>
      <c r="AZ438" s="310"/>
      <c r="BA438" s="310"/>
      <c r="BB438" s="310"/>
      <c r="BC438" s="310"/>
      <c r="BD438" s="310"/>
      <c r="BE438" s="544">
        <f t="shared" si="192"/>
        <v>0</v>
      </c>
      <c r="BF438" s="525"/>
      <c r="BG438" s="310"/>
      <c r="BH438" s="310"/>
      <c r="BI438" s="310"/>
      <c r="BJ438" s="310"/>
      <c r="BK438" s="310"/>
      <c r="BL438" s="310"/>
      <c r="BM438" s="544">
        <f t="shared" si="193"/>
        <v>0</v>
      </c>
      <c r="BN438" s="525"/>
      <c r="BO438" s="310"/>
      <c r="BP438" s="310"/>
      <c r="BQ438" s="310"/>
      <c r="BR438" s="310"/>
      <c r="BS438" s="310"/>
      <c r="BT438" s="310"/>
      <c r="BU438" s="544">
        <f t="shared" si="194"/>
        <v>0</v>
      </c>
      <c r="BV438" s="556"/>
      <c r="BW438" s="663">
        <f t="shared" si="182"/>
        <v>2</v>
      </c>
      <c r="BX438" s="674">
        <f t="shared" si="183"/>
        <v>2</v>
      </c>
      <c r="BY438" s="674">
        <f t="shared" si="184"/>
        <v>1</v>
      </c>
      <c r="BZ438" s="674">
        <f t="shared" si="185"/>
        <v>1</v>
      </c>
      <c r="CA438" s="675">
        <f t="shared" si="186"/>
        <v>0</v>
      </c>
      <c r="CB438" s="675">
        <f t="shared" si="187"/>
        <v>0</v>
      </c>
    </row>
    <row r="439" spans="1:93" ht="65.25" hidden="1" customHeight="1" x14ac:dyDescent="0.25">
      <c r="A439" s="298" t="s">
        <v>1261</v>
      </c>
      <c r="B439" s="299" t="str">
        <f>'PLAN INDICATIVO'!B431</f>
        <v>Justicia y seguridad</v>
      </c>
      <c r="C439" s="1547"/>
      <c r="D439" s="1549"/>
      <c r="E439" s="1549"/>
      <c r="F439" s="1549"/>
      <c r="G439" s="1549"/>
      <c r="H439" s="1549"/>
      <c r="I439" s="300">
        <f>'PLAN INDICATIVO'!I431</f>
        <v>0</v>
      </c>
      <c r="J439" s="300">
        <f>'PLAN INDICATIVO'!J431</f>
        <v>0</v>
      </c>
      <c r="K439" s="1425" t="str">
        <f>'PLAN INDICATIVO'!K431</f>
        <v>A.18.2.7</v>
      </c>
      <c r="L439" s="301" t="str">
        <f>'PLAN INDICATIVO'!L431</f>
        <v>16. Paz, justicia e instituciones sólidas</v>
      </c>
      <c r="M439" s="301" t="str">
        <f>'PLAN INDICATIVO'!M431</f>
        <v>Secretaría de Gobierno</v>
      </c>
      <c r="N439" s="1425" t="s">
        <v>2543</v>
      </c>
      <c r="O439" s="1425" t="str">
        <f>'PLAN INDICATIVO'!O431</f>
        <v>Incremento</v>
      </c>
      <c r="P439" s="16" t="str">
        <f>'PLAN INDICATIVO'!P431</f>
        <v>Realizar 4 capacitaciones sobre mecanismos alternativos solución de conflictos durante el cuatrienio</v>
      </c>
      <c r="Q439" s="302" t="str">
        <f>'PLAN INDICATIVO'!Q431</f>
        <v>No. De capacitaciones realizadas</v>
      </c>
      <c r="R439" s="303">
        <f>'PLAN INDICATIVO'!R431</f>
        <v>2015</v>
      </c>
      <c r="S439" s="304">
        <v>0</v>
      </c>
      <c r="T439" s="699">
        <v>4</v>
      </c>
      <c r="U439" s="303">
        <v>1</v>
      </c>
      <c r="V439" s="687">
        <v>1000000</v>
      </c>
      <c r="W439" s="303">
        <v>1</v>
      </c>
      <c r="X439" s="687">
        <v>1000000</v>
      </c>
      <c r="Y439" s="303">
        <v>1</v>
      </c>
      <c r="Z439" s="687">
        <v>1000000</v>
      </c>
      <c r="AA439" s="303">
        <v>1</v>
      </c>
      <c r="AB439" s="687">
        <v>1000000</v>
      </c>
      <c r="AC439" s="669">
        <v>1</v>
      </c>
      <c r="AD439" s="669">
        <v>1</v>
      </c>
      <c r="AE439" s="669"/>
      <c r="AF439" s="669"/>
      <c r="AG439" s="343" t="s">
        <v>3859</v>
      </c>
      <c r="AH439" s="341">
        <v>2017413960045</v>
      </c>
      <c r="AI439" s="355" t="s">
        <v>3878</v>
      </c>
      <c r="AJ439" s="356">
        <v>42767</v>
      </c>
      <c r="AK439" s="356">
        <v>43070</v>
      </c>
      <c r="AL439" s="358"/>
      <c r="AM439" s="358"/>
      <c r="AN439" s="267" t="s">
        <v>2598</v>
      </c>
      <c r="AO439" s="512" t="s">
        <v>3877</v>
      </c>
      <c r="AP439" s="525">
        <v>1500000</v>
      </c>
      <c r="AQ439" s="310">
        <v>2083333</v>
      </c>
      <c r="AR439" s="310"/>
      <c r="AS439" s="310"/>
      <c r="AT439" s="310"/>
      <c r="AU439" s="310"/>
      <c r="AV439" s="310"/>
      <c r="AW439" s="544">
        <f t="shared" si="181"/>
        <v>3583333</v>
      </c>
      <c r="AX439" s="525"/>
      <c r="AY439" s="310"/>
      <c r="AZ439" s="310"/>
      <c r="BA439" s="310"/>
      <c r="BB439" s="310"/>
      <c r="BC439" s="310"/>
      <c r="BD439" s="310"/>
      <c r="BE439" s="544">
        <f t="shared" si="192"/>
        <v>0</v>
      </c>
      <c r="BF439" s="525"/>
      <c r="BG439" s="310"/>
      <c r="BH439" s="310"/>
      <c r="BI439" s="310"/>
      <c r="BJ439" s="310"/>
      <c r="BK439" s="310"/>
      <c r="BL439" s="310"/>
      <c r="BM439" s="544">
        <f t="shared" si="193"/>
        <v>0</v>
      </c>
      <c r="BN439" s="525"/>
      <c r="BO439" s="310"/>
      <c r="BP439" s="310"/>
      <c r="BQ439" s="310"/>
      <c r="BR439" s="310"/>
      <c r="BS439" s="310"/>
      <c r="BT439" s="310"/>
      <c r="BU439" s="544">
        <f t="shared" si="194"/>
        <v>0</v>
      </c>
      <c r="BV439" s="556"/>
      <c r="BW439" s="663">
        <f t="shared" si="182"/>
        <v>2</v>
      </c>
      <c r="BX439" s="674">
        <f t="shared" si="183"/>
        <v>0.5</v>
      </c>
      <c r="BY439" s="674">
        <f t="shared" si="184"/>
        <v>1</v>
      </c>
      <c r="BZ439" s="674">
        <f t="shared" si="185"/>
        <v>1</v>
      </c>
      <c r="CA439" s="675">
        <f t="shared" si="186"/>
        <v>0</v>
      </c>
      <c r="CB439" s="675">
        <f t="shared" si="187"/>
        <v>0</v>
      </c>
    </row>
    <row r="440" spans="1:93" ht="123" hidden="1" customHeight="1" x14ac:dyDescent="0.25">
      <c r="A440" s="298" t="s">
        <v>1261</v>
      </c>
      <c r="B440" s="299" t="str">
        <f>'PLAN INDICATIVO'!B432</f>
        <v>Justicia y seguridad</v>
      </c>
      <c r="C440" s="1547"/>
      <c r="D440" s="1549"/>
      <c r="E440" s="1549"/>
      <c r="F440" s="1549"/>
      <c r="G440" s="1549"/>
      <c r="H440" s="1549"/>
      <c r="I440" s="300">
        <f>'PLAN INDICATIVO'!I432</f>
        <v>0</v>
      </c>
      <c r="J440" s="300">
        <f>'PLAN INDICATIVO'!J432</f>
        <v>0</v>
      </c>
      <c r="K440" s="1425" t="str">
        <f>'PLAN INDICATIVO'!K432</f>
        <v>A.18.2.8</v>
      </c>
      <c r="L440" s="301" t="str">
        <f>'PLAN INDICATIVO'!L432</f>
        <v>16. Paz, justicia e instituciones sólidas</v>
      </c>
      <c r="M440" s="301" t="str">
        <f>'PLAN INDICATIVO'!M432</f>
        <v>Secretaría de Gobierno</v>
      </c>
      <c r="N440" s="1425" t="s">
        <v>2791</v>
      </c>
      <c r="O440" s="1425" t="str">
        <f>'PLAN INDICATIVO'!O432</f>
        <v>Mantenimiento</v>
      </c>
      <c r="P440" s="16" t="str">
        <f>'PLAN INDICATIVO'!P432</f>
        <v>Implementar 1 programa para la construcción de la paz, la convivencia ciudadana y la solución de conflictos, cada año</v>
      </c>
      <c r="Q440" s="302" t="str">
        <f>'PLAN INDICATIVO'!Q432</f>
        <v>No. De programas implementados por año</v>
      </c>
      <c r="R440" s="303">
        <f>'PLAN INDICATIVO'!R432</f>
        <v>2015</v>
      </c>
      <c r="S440" s="304">
        <v>0</v>
      </c>
      <c r="T440" s="699">
        <v>1</v>
      </c>
      <c r="U440" s="303">
        <v>0.25</v>
      </c>
      <c r="V440" s="687">
        <v>1000000</v>
      </c>
      <c r="W440" s="303">
        <v>0.25</v>
      </c>
      <c r="X440" s="687">
        <v>20000000</v>
      </c>
      <c r="Y440" s="303">
        <v>0.25</v>
      </c>
      <c r="Z440" s="687">
        <v>20000000</v>
      </c>
      <c r="AA440" s="303">
        <v>0.25</v>
      </c>
      <c r="AB440" s="687">
        <v>20000000</v>
      </c>
      <c r="AC440" s="669">
        <v>0.25</v>
      </c>
      <c r="AD440" s="933">
        <v>0.25</v>
      </c>
      <c r="AE440" s="669"/>
      <c r="AF440" s="669"/>
      <c r="AG440" s="343" t="s">
        <v>3859</v>
      </c>
      <c r="AH440" s="341">
        <v>2017413960045</v>
      </c>
      <c r="AI440" s="355" t="s">
        <v>3879</v>
      </c>
      <c r="AJ440" s="356">
        <v>42767</v>
      </c>
      <c r="AK440" s="356">
        <v>43070</v>
      </c>
      <c r="AL440" s="358"/>
      <c r="AM440" s="358"/>
      <c r="AN440" s="267" t="s">
        <v>2598</v>
      </c>
      <c r="AO440" s="512"/>
      <c r="AP440" s="310"/>
      <c r="AQ440" s="310"/>
      <c r="AR440" s="310"/>
      <c r="AS440" s="310"/>
      <c r="AT440" s="310"/>
      <c r="AU440" s="310"/>
      <c r="AV440" s="310"/>
      <c r="AW440" s="310">
        <f t="shared" si="181"/>
        <v>0</v>
      </c>
      <c r="AX440" s="525"/>
      <c r="AY440" s="310"/>
      <c r="AZ440" s="310"/>
      <c r="BA440" s="310"/>
      <c r="BB440" s="310"/>
      <c r="BC440" s="310"/>
      <c r="BD440" s="310"/>
      <c r="BE440" s="544">
        <f t="shared" si="192"/>
        <v>0</v>
      </c>
      <c r="BF440" s="525"/>
      <c r="BG440" s="310"/>
      <c r="BH440" s="310"/>
      <c r="BI440" s="310"/>
      <c r="BJ440" s="310"/>
      <c r="BK440" s="310"/>
      <c r="BL440" s="310"/>
      <c r="BM440" s="544">
        <f t="shared" si="193"/>
        <v>0</v>
      </c>
      <c r="BN440" s="525"/>
      <c r="BO440" s="310"/>
      <c r="BP440" s="310"/>
      <c r="BQ440" s="310"/>
      <c r="BR440" s="310"/>
      <c r="BS440" s="310"/>
      <c r="BT440" s="310"/>
      <c r="BU440" s="544">
        <f t="shared" si="194"/>
        <v>0</v>
      </c>
      <c r="BV440" s="556"/>
      <c r="BW440" s="663">
        <f t="shared" si="182"/>
        <v>0.5</v>
      </c>
      <c r="BX440" s="674">
        <f t="shared" si="183"/>
        <v>0.5</v>
      </c>
      <c r="BY440" s="674">
        <f t="shared" si="184"/>
        <v>1</v>
      </c>
      <c r="BZ440" s="674">
        <f t="shared" si="185"/>
        <v>1</v>
      </c>
      <c r="CA440" s="675">
        <f t="shared" si="186"/>
        <v>0</v>
      </c>
      <c r="CB440" s="675">
        <f t="shared" si="187"/>
        <v>0</v>
      </c>
    </row>
    <row r="441" spans="1:93" ht="84.75" hidden="1" customHeight="1" x14ac:dyDescent="0.25">
      <c r="A441" s="298" t="s">
        <v>1261</v>
      </c>
      <c r="B441" s="299" t="str">
        <f>'PLAN INDICATIVO'!B433</f>
        <v>Justicia y seguridad</v>
      </c>
      <c r="C441" s="1547"/>
      <c r="D441" s="1549"/>
      <c r="E441" s="1549"/>
      <c r="F441" s="1549"/>
      <c r="G441" s="1549"/>
      <c r="H441" s="1549"/>
      <c r="I441" s="300">
        <f>'PLAN INDICATIVO'!I433</f>
        <v>0</v>
      </c>
      <c r="J441" s="300">
        <f>'PLAN INDICATIVO'!J433</f>
        <v>0</v>
      </c>
      <c r="K441" s="1425" t="str">
        <f>'PLAN INDICATIVO'!K433</f>
        <v>A.18.2.9</v>
      </c>
      <c r="L441" s="301" t="str">
        <f>'PLAN INDICATIVO'!L433</f>
        <v>16. Paz, justicia e instituciones sólidas</v>
      </c>
      <c r="M441" s="301" t="str">
        <f>'PLAN INDICATIVO'!M433</f>
        <v>Secretaría de Gobierno</v>
      </c>
      <c r="N441" s="1425" t="s">
        <v>2791</v>
      </c>
      <c r="O441" s="1425" t="str">
        <f>'PLAN INDICATIVO'!O433</f>
        <v>Mantenimiento</v>
      </c>
      <c r="P441" s="25" t="str">
        <f>'PLAN INDICATIVO'!P433</f>
        <v>Garantizar 1 apoyo institucional al establecimiento penitenciario y carcelario de mediana seguridad (INPEC), del municipio de la Plata Huila, durante el cuatrienio.</v>
      </c>
      <c r="Q441" s="302" t="str">
        <f>'PLAN INDICATIVO'!Q433</f>
        <v>Apoyo a cárcel municipal por año</v>
      </c>
      <c r="R441" s="303">
        <f>'PLAN INDICATIVO'!R433</f>
        <v>2015</v>
      </c>
      <c r="S441" s="304">
        <v>0</v>
      </c>
      <c r="T441" s="699">
        <v>1</v>
      </c>
      <c r="U441" s="303">
        <v>0.25</v>
      </c>
      <c r="V441" s="687">
        <v>10000000</v>
      </c>
      <c r="W441" s="17">
        <v>0.5</v>
      </c>
      <c r="X441" s="687">
        <v>11000000</v>
      </c>
      <c r="Y441" s="17">
        <v>0.25</v>
      </c>
      <c r="Z441" s="687">
        <v>1000000</v>
      </c>
      <c r="AA441" s="17">
        <v>0.25</v>
      </c>
      <c r="AB441" s="687">
        <v>1000000</v>
      </c>
      <c r="AC441" s="669">
        <v>0</v>
      </c>
      <c r="AD441" s="669">
        <v>0.5</v>
      </c>
      <c r="AE441" s="669"/>
      <c r="AF441" s="669"/>
      <c r="AG441" s="343" t="s">
        <v>3859</v>
      </c>
      <c r="AH441" s="341">
        <v>2017413960045</v>
      </c>
      <c r="AI441" s="355" t="s">
        <v>3880</v>
      </c>
      <c r="AJ441" s="356">
        <v>42826</v>
      </c>
      <c r="AK441" s="356">
        <v>43038</v>
      </c>
      <c r="AL441" s="358"/>
      <c r="AM441" s="358"/>
      <c r="AN441" s="267" t="s">
        <v>2598</v>
      </c>
      <c r="AO441" s="512">
        <v>2311</v>
      </c>
      <c r="AP441" s="525"/>
      <c r="AQ441" s="310"/>
      <c r="AR441" s="310"/>
      <c r="AS441" s="310"/>
      <c r="AT441" s="310"/>
      <c r="AU441" s="310"/>
      <c r="AV441" s="310"/>
      <c r="AW441" s="544">
        <f t="shared" si="181"/>
        <v>0</v>
      </c>
      <c r="AX441" s="525"/>
      <c r="AY441" s="310"/>
      <c r="AZ441" s="310"/>
      <c r="BA441" s="310"/>
      <c r="BB441" s="310"/>
      <c r="BC441" s="310"/>
      <c r="BD441" s="310"/>
      <c r="BE441" s="544">
        <f t="shared" si="192"/>
        <v>0</v>
      </c>
      <c r="BF441" s="525"/>
      <c r="BG441" s="310"/>
      <c r="BH441" s="310"/>
      <c r="BI441" s="310"/>
      <c r="BJ441" s="310"/>
      <c r="BK441" s="310"/>
      <c r="BL441" s="310"/>
      <c r="BM441" s="544">
        <f t="shared" si="193"/>
        <v>0</v>
      </c>
      <c r="BN441" s="525"/>
      <c r="BO441" s="310"/>
      <c r="BP441" s="310"/>
      <c r="BQ441" s="310"/>
      <c r="BR441" s="310"/>
      <c r="BS441" s="310"/>
      <c r="BT441" s="310"/>
      <c r="BU441" s="544">
        <f t="shared" si="194"/>
        <v>0</v>
      </c>
      <c r="BV441" s="556"/>
      <c r="BW441" s="663">
        <f t="shared" si="182"/>
        <v>0.5</v>
      </c>
      <c r="BX441" s="918">
        <f t="shared" si="183"/>
        <v>0.5</v>
      </c>
      <c r="BY441" s="674">
        <f t="shared" si="184"/>
        <v>0</v>
      </c>
      <c r="BZ441" s="674">
        <f t="shared" si="185"/>
        <v>1</v>
      </c>
      <c r="CA441" s="675">
        <f t="shared" si="186"/>
        <v>0</v>
      </c>
      <c r="CB441" s="675">
        <f t="shared" si="187"/>
        <v>0</v>
      </c>
    </row>
    <row r="442" spans="1:93" ht="72" hidden="1" customHeight="1" x14ac:dyDescent="0.25">
      <c r="A442" s="298" t="s">
        <v>1261</v>
      </c>
      <c r="B442" s="299" t="str">
        <f>'PLAN INDICATIVO'!B434</f>
        <v>Justicia y seguridad</v>
      </c>
      <c r="C442" s="1547"/>
      <c r="D442" s="1549"/>
      <c r="E442" s="1549"/>
      <c r="F442" s="1549"/>
      <c r="G442" s="1549"/>
      <c r="H442" s="1549"/>
      <c r="I442" s="300">
        <f>'PLAN INDICATIVO'!I434</f>
        <v>0</v>
      </c>
      <c r="J442" s="300">
        <f>'PLAN INDICATIVO'!J434</f>
        <v>0</v>
      </c>
      <c r="K442" s="1425" t="str">
        <f>'PLAN INDICATIVO'!K434</f>
        <v>A.18.2.10</v>
      </c>
      <c r="L442" s="301" t="str">
        <f>'PLAN INDICATIVO'!L434</f>
        <v>16. Paz, justicia e instituciones sólidas</v>
      </c>
      <c r="M442" s="301" t="str">
        <f>'PLAN INDICATIVO'!M434</f>
        <v>Secretaría de Gobierno</v>
      </c>
      <c r="N442" s="1425" t="s">
        <v>2543</v>
      </c>
      <c r="O442" s="1425" t="str">
        <f>'PLAN INDICATIVO'!O434</f>
        <v>Mantenimiento</v>
      </c>
      <c r="P442" s="71" t="str">
        <f>'PLAN INDICATIVO'!P434</f>
        <v xml:space="preserve">Lograr el funcionamiento de 1 coso municipal cada año </v>
      </c>
      <c r="Q442" s="302" t="str">
        <f>'PLAN INDICATIVO'!Q434</f>
        <v>No. De Coso municipal funcionando por año</v>
      </c>
      <c r="R442" s="303">
        <f>'PLAN INDICATIVO'!R434</f>
        <v>2015</v>
      </c>
      <c r="S442" s="304">
        <v>1</v>
      </c>
      <c r="T442" s="699">
        <v>1</v>
      </c>
      <c r="U442" s="303">
        <v>1</v>
      </c>
      <c r="V442" s="687">
        <v>5500000</v>
      </c>
      <c r="W442" s="303">
        <v>1</v>
      </c>
      <c r="X442" s="687">
        <v>15000000</v>
      </c>
      <c r="Y442" s="303">
        <v>1</v>
      </c>
      <c r="Z442" s="687">
        <v>15000000</v>
      </c>
      <c r="AA442" s="303">
        <v>1</v>
      </c>
      <c r="AB442" s="687">
        <v>15000000</v>
      </c>
      <c r="AC442" s="670">
        <v>1</v>
      </c>
      <c r="AD442" s="670">
        <v>1</v>
      </c>
      <c r="AE442" s="670"/>
      <c r="AF442" s="670"/>
      <c r="AG442" s="343" t="s">
        <v>3859</v>
      </c>
      <c r="AH442" s="341">
        <v>2017413960045</v>
      </c>
      <c r="AI442" s="361" t="s">
        <v>3881</v>
      </c>
      <c r="AJ442" s="378">
        <v>42767</v>
      </c>
      <c r="AK442" s="378">
        <v>43084</v>
      </c>
      <c r="AL442" s="362"/>
      <c r="AM442" s="362"/>
      <c r="AN442" s="281" t="s">
        <v>2598</v>
      </c>
      <c r="AO442" s="513" t="s">
        <v>3882</v>
      </c>
      <c r="AP442" s="528">
        <v>10500000</v>
      </c>
      <c r="AQ442" s="472"/>
      <c r="AR442" s="472"/>
      <c r="AS442" s="472"/>
      <c r="AT442" s="472"/>
      <c r="AU442" s="472"/>
      <c r="AV442" s="472"/>
      <c r="AW442" s="544">
        <f t="shared" si="181"/>
        <v>10500000</v>
      </c>
      <c r="AX442" s="528"/>
      <c r="AY442" s="472"/>
      <c r="AZ442" s="472"/>
      <c r="BA442" s="472"/>
      <c r="BB442" s="472"/>
      <c r="BC442" s="472"/>
      <c r="BD442" s="472"/>
      <c r="BE442" s="544">
        <f t="shared" si="192"/>
        <v>0</v>
      </c>
      <c r="BF442" s="528"/>
      <c r="BG442" s="472"/>
      <c r="BH442" s="472"/>
      <c r="BI442" s="472"/>
      <c r="BJ442" s="472"/>
      <c r="BK442" s="472"/>
      <c r="BL442" s="472"/>
      <c r="BM442" s="544">
        <f t="shared" si="193"/>
        <v>0</v>
      </c>
      <c r="BN442" s="528"/>
      <c r="BO442" s="472"/>
      <c r="BP442" s="472"/>
      <c r="BQ442" s="472"/>
      <c r="BR442" s="472"/>
      <c r="BS442" s="472"/>
      <c r="BT442" s="472"/>
      <c r="BU442" s="544">
        <f t="shared" si="194"/>
        <v>0</v>
      </c>
      <c r="BV442" s="556"/>
      <c r="BW442" s="663">
        <f t="shared" si="182"/>
        <v>2</v>
      </c>
      <c r="BX442" s="674">
        <f t="shared" si="183"/>
        <v>2</v>
      </c>
      <c r="BY442" s="674">
        <f t="shared" si="184"/>
        <v>1</v>
      </c>
      <c r="BZ442" s="674">
        <f t="shared" si="185"/>
        <v>1</v>
      </c>
      <c r="CA442" s="675">
        <f t="shared" si="186"/>
        <v>0</v>
      </c>
      <c r="CB442" s="675">
        <f t="shared" si="187"/>
        <v>0</v>
      </c>
    </row>
    <row r="443" spans="1:93" ht="69.75" hidden="1" customHeight="1" x14ac:dyDescent="0.25">
      <c r="A443" s="298" t="s">
        <v>1261</v>
      </c>
      <c r="B443" s="299" t="str">
        <f>'PLAN INDICATIVO'!B435</f>
        <v>Justicia y seguridad</v>
      </c>
      <c r="C443" s="1547"/>
      <c r="D443" s="1549"/>
      <c r="E443" s="1549"/>
      <c r="F443" s="1549"/>
      <c r="G443" s="1549"/>
      <c r="H443" s="1549"/>
      <c r="I443" s="300">
        <f>'PLAN INDICATIVO'!I435</f>
        <v>0</v>
      </c>
      <c r="J443" s="300">
        <f>'PLAN INDICATIVO'!J435</f>
        <v>0</v>
      </c>
      <c r="K443" s="1425" t="str">
        <f>'PLAN INDICATIVO'!K435</f>
        <v>A.18.2.11</v>
      </c>
      <c r="L443" s="301" t="str">
        <f>'PLAN INDICATIVO'!L435</f>
        <v>16. Paz, justicia e instituciones sólidas</v>
      </c>
      <c r="M443" s="301" t="str">
        <f>'PLAN INDICATIVO'!M435</f>
        <v>Secretaría de Gobierno</v>
      </c>
      <c r="N443" s="1425" t="s">
        <v>2543</v>
      </c>
      <c r="O443" s="1425" t="str">
        <f>'PLAN INDICATIVO'!O435</f>
        <v>Incremento</v>
      </c>
      <c r="P443" s="16" t="str">
        <f>'PLAN INDICATIVO'!P435</f>
        <v>Implementar 8 Campañas de prevención social del delito durante el cuatrienio</v>
      </c>
      <c r="Q443" s="302" t="str">
        <f>'PLAN INDICATIVO'!Q435</f>
        <v>No. de campañas implementadas</v>
      </c>
      <c r="R443" s="303">
        <f>'PLAN INDICATIVO'!R435</f>
        <v>2015</v>
      </c>
      <c r="S443" s="304">
        <v>0</v>
      </c>
      <c r="T443" s="699">
        <v>8</v>
      </c>
      <c r="U443" s="303">
        <v>2</v>
      </c>
      <c r="V443" s="687">
        <v>11000000</v>
      </c>
      <c r="W443" s="303">
        <v>2</v>
      </c>
      <c r="X443" s="687">
        <v>18000000</v>
      </c>
      <c r="Y443" s="303">
        <v>2</v>
      </c>
      <c r="Z443" s="687">
        <v>19000000</v>
      </c>
      <c r="AA443" s="303">
        <v>2</v>
      </c>
      <c r="AB443" s="687">
        <v>20000000</v>
      </c>
      <c r="AC443" s="669">
        <v>2</v>
      </c>
      <c r="AD443" s="669">
        <v>2</v>
      </c>
      <c r="AE443" s="669"/>
      <c r="AF443" s="669"/>
      <c r="AG443" s="343" t="s">
        <v>3859</v>
      </c>
      <c r="AH443" s="341">
        <v>2017413960045</v>
      </c>
      <c r="AI443" s="355"/>
      <c r="AJ443" s="378">
        <v>42767</v>
      </c>
      <c r="AK443" s="378">
        <v>43084</v>
      </c>
      <c r="AL443" s="358"/>
      <c r="AM443" s="358"/>
      <c r="AN443" s="281" t="s">
        <v>2598</v>
      </c>
      <c r="AO443" s="512"/>
      <c r="AP443" s="525"/>
      <c r="AQ443" s="310"/>
      <c r="AR443" s="310"/>
      <c r="AS443" s="310"/>
      <c r="AT443" s="310"/>
      <c r="AU443" s="310"/>
      <c r="AV443" s="310"/>
      <c r="AW443" s="544">
        <f t="shared" si="181"/>
        <v>0</v>
      </c>
      <c r="AX443" s="525"/>
      <c r="AY443" s="310"/>
      <c r="AZ443" s="310"/>
      <c r="BA443" s="310"/>
      <c r="BB443" s="310"/>
      <c r="BC443" s="310"/>
      <c r="BD443" s="310"/>
      <c r="BE443" s="544">
        <f t="shared" si="192"/>
        <v>0</v>
      </c>
      <c r="BF443" s="525"/>
      <c r="BG443" s="310"/>
      <c r="BH443" s="310"/>
      <c r="BI443" s="310"/>
      <c r="BJ443" s="310"/>
      <c r="BK443" s="310"/>
      <c r="BL443" s="310"/>
      <c r="BM443" s="544">
        <f t="shared" si="193"/>
        <v>0</v>
      </c>
      <c r="BN443" s="525"/>
      <c r="BO443" s="310"/>
      <c r="BP443" s="310"/>
      <c r="BQ443" s="310"/>
      <c r="BR443" s="310"/>
      <c r="BS443" s="310"/>
      <c r="BT443" s="310"/>
      <c r="BU443" s="544">
        <f t="shared" si="194"/>
        <v>0</v>
      </c>
      <c r="BV443" s="556"/>
      <c r="BW443" s="663">
        <f t="shared" si="182"/>
        <v>4</v>
      </c>
      <c r="BX443" s="877">
        <f t="shared" si="183"/>
        <v>0.5</v>
      </c>
      <c r="BY443" s="674">
        <f t="shared" si="184"/>
        <v>1</v>
      </c>
      <c r="BZ443" s="674">
        <f t="shared" si="185"/>
        <v>1</v>
      </c>
      <c r="CA443" s="675">
        <f t="shared" si="186"/>
        <v>0</v>
      </c>
      <c r="CB443" s="675">
        <f t="shared" si="187"/>
        <v>0</v>
      </c>
    </row>
    <row r="444" spans="1:93" ht="80.25" hidden="1" customHeight="1" x14ac:dyDescent="0.25">
      <c r="A444" s="298" t="s">
        <v>1261</v>
      </c>
      <c r="B444" s="299" t="str">
        <f>'PLAN INDICATIVO'!B436</f>
        <v>Justicia y seguridad</v>
      </c>
      <c r="C444" s="1547"/>
      <c r="D444" s="1549"/>
      <c r="E444" s="1549"/>
      <c r="F444" s="1549"/>
      <c r="G444" s="1549"/>
      <c r="H444" s="1549"/>
      <c r="I444" s="300">
        <f>'PLAN INDICATIVO'!I436</f>
        <v>0</v>
      </c>
      <c r="J444" s="300">
        <f>'PLAN INDICATIVO'!J436</f>
        <v>0</v>
      </c>
      <c r="K444" s="1425" t="str">
        <f>'PLAN INDICATIVO'!K436</f>
        <v>A.18.2.12</v>
      </c>
      <c r="L444" s="301" t="str">
        <f>'PLAN INDICATIVO'!L436</f>
        <v>16. Paz, justicia e instituciones sólidas</v>
      </c>
      <c r="M444" s="301" t="str">
        <f>'PLAN INDICATIVO'!M436</f>
        <v>Secretaría de Gobierno</v>
      </c>
      <c r="N444" s="1425" t="s">
        <v>2543</v>
      </c>
      <c r="O444" s="1425" t="str">
        <f>'PLAN INDICATIVO'!O436</f>
        <v>Incremento</v>
      </c>
      <c r="P444" s="941" t="str">
        <f>'PLAN INDICATIVO'!P436</f>
        <v>Realizar 48 operativos de prevención a la contaminación auditiva y visual, durante el cuatrienio</v>
      </c>
      <c r="Q444" s="302" t="str">
        <f>'PLAN INDICATIVO'!Q436</f>
        <v>No. De operativos realizados</v>
      </c>
      <c r="R444" s="303">
        <f>'PLAN INDICATIVO'!R436</f>
        <v>2015</v>
      </c>
      <c r="S444" s="304" t="s">
        <v>177</v>
      </c>
      <c r="T444" s="699">
        <v>48</v>
      </c>
      <c r="U444" s="303">
        <v>21</v>
      </c>
      <c r="V444" s="687">
        <v>6000000</v>
      </c>
      <c r="W444" s="17">
        <v>15</v>
      </c>
      <c r="X444" s="687">
        <v>6000000</v>
      </c>
      <c r="Y444" s="17">
        <v>15</v>
      </c>
      <c r="Z444" s="687">
        <v>1000000</v>
      </c>
      <c r="AA444" s="17">
        <v>15</v>
      </c>
      <c r="AB444" s="687">
        <v>1000000</v>
      </c>
      <c r="AC444" s="795">
        <v>3</v>
      </c>
      <c r="AD444" s="669">
        <v>11</v>
      </c>
      <c r="AE444" s="669"/>
      <c r="AF444" s="669"/>
      <c r="AG444" s="343" t="s">
        <v>3859</v>
      </c>
      <c r="AH444" s="341">
        <v>2017413960045</v>
      </c>
      <c r="AI444" s="355" t="s">
        <v>3883</v>
      </c>
      <c r="AJ444" s="850">
        <v>42767</v>
      </c>
      <c r="AK444" s="850">
        <v>43084</v>
      </c>
      <c r="AL444" s="358"/>
      <c r="AM444" s="358"/>
      <c r="AN444" s="267" t="s">
        <v>2604</v>
      </c>
      <c r="AO444" s="512"/>
      <c r="AP444" s="525"/>
      <c r="AQ444" s="310"/>
      <c r="AR444" s="310"/>
      <c r="AS444" s="310"/>
      <c r="AT444" s="310"/>
      <c r="AU444" s="310"/>
      <c r="AV444" s="310"/>
      <c r="AW444" s="544">
        <f t="shared" si="181"/>
        <v>0</v>
      </c>
      <c r="AX444" s="525"/>
      <c r="AY444" s="310"/>
      <c r="AZ444" s="310"/>
      <c r="BA444" s="310"/>
      <c r="BB444" s="310"/>
      <c r="BC444" s="310"/>
      <c r="BD444" s="310"/>
      <c r="BE444" s="544">
        <f t="shared" si="192"/>
        <v>0</v>
      </c>
      <c r="BF444" s="525"/>
      <c r="BG444" s="310"/>
      <c r="BH444" s="310"/>
      <c r="BI444" s="310"/>
      <c r="BJ444" s="310"/>
      <c r="BK444" s="310"/>
      <c r="BL444" s="310"/>
      <c r="BM444" s="544">
        <f t="shared" si="193"/>
        <v>0</v>
      </c>
      <c r="BN444" s="525"/>
      <c r="BO444" s="310"/>
      <c r="BP444" s="310"/>
      <c r="BQ444" s="310"/>
      <c r="BR444" s="310"/>
      <c r="BS444" s="310"/>
      <c r="BT444" s="310"/>
      <c r="BU444" s="544">
        <f t="shared" si="194"/>
        <v>0</v>
      </c>
      <c r="BV444" s="556"/>
      <c r="BW444" s="663">
        <f t="shared" si="182"/>
        <v>14</v>
      </c>
      <c r="BX444" s="674">
        <f t="shared" si="183"/>
        <v>0.29166666666666669</v>
      </c>
      <c r="BY444" s="674">
        <f t="shared" si="184"/>
        <v>0.14285714285714285</v>
      </c>
      <c r="BZ444" s="674">
        <f t="shared" si="185"/>
        <v>0.73333333333333328</v>
      </c>
      <c r="CA444" s="675">
        <f t="shared" si="186"/>
        <v>0</v>
      </c>
      <c r="CB444" s="675">
        <f t="shared" si="187"/>
        <v>0</v>
      </c>
    </row>
    <row r="445" spans="1:93" ht="87.75" hidden="1" customHeight="1" x14ac:dyDescent="0.25">
      <c r="A445" s="298" t="s">
        <v>1261</v>
      </c>
      <c r="B445" s="299" t="str">
        <f>'PLAN INDICATIVO'!B437</f>
        <v>Justicia y seguridad</v>
      </c>
      <c r="C445" s="1548"/>
      <c r="D445" s="1549"/>
      <c r="E445" s="1549"/>
      <c r="F445" s="1549"/>
      <c r="G445" s="1549"/>
      <c r="H445" s="1549"/>
      <c r="I445" s="300">
        <f>'PLAN INDICATIVO'!I437</f>
        <v>0</v>
      </c>
      <c r="J445" s="300">
        <f>'PLAN INDICATIVO'!J437</f>
        <v>0</v>
      </c>
      <c r="K445" s="1425" t="str">
        <f>'PLAN INDICATIVO'!K437</f>
        <v>A.18.2.13</v>
      </c>
      <c r="L445" s="301" t="str">
        <f>'PLAN INDICATIVO'!L437</f>
        <v>16. Paz, justicia e instituciones sólidas</v>
      </c>
      <c r="M445" s="301" t="str">
        <f>'PLAN INDICATIVO'!M437</f>
        <v>Secretaría de Gobierno</v>
      </c>
      <c r="N445" s="1425" t="s">
        <v>2543</v>
      </c>
      <c r="O445" s="1425" t="str">
        <f>'PLAN INDICATIVO'!O437</f>
        <v>Incremento</v>
      </c>
      <c r="P445" s="16" t="str">
        <f>'PLAN INDICATIVO'!P437</f>
        <v>Realizar 1 plan para la aplicación del comparendo ambiental, durante el cuatrienio</v>
      </c>
      <c r="Q445" s="302" t="str">
        <f>'PLAN INDICATIVO'!Q437</f>
        <v>No. De planes realizados</v>
      </c>
      <c r="R445" s="303">
        <f>'PLAN INDICATIVO'!R437</f>
        <v>2015</v>
      </c>
      <c r="S445" s="304">
        <v>0</v>
      </c>
      <c r="T445" s="699">
        <v>1</v>
      </c>
      <c r="U445" s="303">
        <v>1</v>
      </c>
      <c r="V445" s="687">
        <v>1000000</v>
      </c>
      <c r="W445" s="303">
        <v>1</v>
      </c>
      <c r="X445" s="687">
        <v>1000000</v>
      </c>
      <c r="Y445" s="303">
        <v>0</v>
      </c>
      <c r="Z445" s="687"/>
      <c r="AA445" s="303">
        <v>0</v>
      </c>
      <c r="AB445" s="304"/>
      <c r="AC445" s="669"/>
      <c r="AD445" s="669">
        <v>1</v>
      </c>
      <c r="AE445" s="669"/>
      <c r="AF445" s="669"/>
      <c r="AG445" s="343" t="s">
        <v>3859</v>
      </c>
      <c r="AH445" s="341">
        <v>2017413960045</v>
      </c>
      <c r="AI445" s="355" t="s">
        <v>3884</v>
      </c>
      <c r="AJ445" s="850">
        <v>42767</v>
      </c>
      <c r="AK445" s="850">
        <v>43084</v>
      </c>
      <c r="AL445" s="358"/>
      <c r="AM445" s="358"/>
      <c r="AN445" s="267" t="s">
        <v>2598</v>
      </c>
      <c r="AO445" s="512"/>
      <c r="AP445" s="525"/>
      <c r="AQ445" s="310"/>
      <c r="AR445" s="310"/>
      <c r="AS445" s="310"/>
      <c r="AT445" s="310"/>
      <c r="AU445" s="310"/>
      <c r="AV445" s="310"/>
      <c r="AW445" s="544">
        <f t="shared" si="181"/>
        <v>0</v>
      </c>
      <c r="AX445" s="525"/>
      <c r="AY445" s="310"/>
      <c r="AZ445" s="310"/>
      <c r="BA445" s="310"/>
      <c r="BB445" s="310"/>
      <c r="BC445" s="310"/>
      <c r="BD445" s="310"/>
      <c r="BE445" s="544">
        <f t="shared" si="192"/>
        <v>0</v>
      </c>
      <c r="BF445" s="525"/>
      <c r="BG445" s="310"/>
      <c r="BH445" s="310"/>
      <c r="BI445" s="310"/>
      <c r="BJ445" s="310"/>
      <c r="BK445" s="310"/>
      <c r="BL445" s="310"/>
      <c r="BM445" s="544">
        <f t="shared" si="193"/>
        <v>0</v>
      </c>
      <c r="BN445" s="525"/>
      <c r="BO445" s="310"/>
      <c r="BP445" s="310"/>
      <c r="BQ445" s="310"/>
      <c r="BR445" s="310"/>
      <c r="BS445" s="310"/>
      <c r="BT445" s="310"/>
      <c r="BU445" s="544">
        <f t="shared" si="194"/>
        <v>0</v>
      </c>
      <c r="BV445" s="556"/>
      <c r="BW445" s="663">
        <f t="shared" si="182"/>
        <v>1</v>
      </c>
      <c r="BX445" s="674">
        <f t="shared" si="183"/>
        <v>1</v>
      </c>
      <c r="BY445" s="674">
        <f t="shared" si="184"/>
        <v>0</v>
      </c>
      <c r="BZ445" s="674">
        <f t="shared" si="185"/>
        <v>1</v>
      </c>
      <c r="CA445" s="675" t="e">
        <f t="shared" si="186"/>
        <v>#DIV/0!</v>
      </c>
      <c r="CB445" s="675" t="e">
        <f t="shared" si="187"/>
        <v>#DIV/0!</v>
      </c>
    </row>
    <row r="446" spans="1:93" ht="48.75" hidden="1" customHeight="1" x14ac:dyDescent="0.25">
      <c r="A446" s="440"/>
      <c r="B446" s="440"/>
      <c r="C446" s="440"/>
      <c r="D446" s="1642" t="s">
        <v>3053</v>
      </c>
      <c r="E446" s="1642"/>
      <c r="F446" s="1642"/>
      <c r="G446" s="1642"/>
      <c r="H446" s="1642"/>
      <c r="I446" s="1642"/>
      <c r="J446" s="1642"/>
      <c r="K446" s="1642"/>
      <c r="L446" s="1642"/>
      <c r="M446" s="1642"/>
      <c r="N446" s="1642"/>
      <c r="O446" s="1642"/>
      <c r="P446" s="1642"/>
      <c r="Q446" s="1642"/>
      <c r="R446" s="1642"/>
      <c r="S446" s="1642"/>
      <c r="T446" s="1642"/>
      <c r="U446" s="1642"/>
      <c r="V446" s="1642"/>
      <c r="W446" s="1642"/>
      <c r="X446" s="1642"/>
      <c r="Y446" s="1642"/>
      <c r="Z446" s="1642"/>
      <c r="AA446" s="1642"/>
      <c r="AB446" s="1642"/>
      <c r="AC446" s="1642"/>
      <c r="AD446" s="1642"/>
      <c r="AE446" s="1642"/>
      <c r="AF446" s="1642"/>
      <c r="AG446" s="1642"/>
      <c r="AH446" s="1642"/>
      <c r="AI446" s="1642"/>
      <c r="AJ446" s="1642"/>
      <c r="AK446" s="1642"/>
      <c r="AL446" s="1642"/>
      <c r="AM446" s="1643"/>
      <c r="AN446" s="292"/>
      <c r="AO446" s="504"/>
      <c r="AP446" s="632"/>
      <c r="AQ446" s="633"/>
      <c r="AR446" s="633"/>
      <c r="AS446" s="633"/>
      <c r="AT446" s="633"/>
      <c r="AU446" s="633"/>
      <c r="AV446" s="633"/>
      <c r="AW446" s="555">
        <f t="shared" si="181"/>
        <v>0</v>
      </c>
      <c r="AX446" s="632"/>
      <c r="AY446" s="633"/>
      <c r="AZ446" s="633"/>
      <c r="BA446" s="633"/>
      <c r="BB446" s="633"/>
      <c r="BC446" s="633"/>
      <c r="BD446" s="633"/>
      <c r="BE446" s="555">
        <f t="shared" si="192"/>
        <v>0</v>
      </c>
      <c r="BF446" s="632"/>
      <c r="BG446" s="633"/>
      <c r="BH446" s="633"/>
      <c r="BI446" s="633"/>
      <c r="BJ446" s="633"/>
      <c r="BK446" s="633"/>
      <c r="BL446" s="633"/>
      <c r="BM446" s="555">
        <f t="shared" si="193"/>
        <v>0</v>
      </c>
      <c r="BN446" s="632"/>
      <c r="BO446" s="633"/>
      <c r="BP446" s="633"/>
      <c r="BQ446" s="633"/>
      <c r="BR446" s="633"/>
      <c r="BS446" s="633"/>
      <c r="BT446" s="633"/>
      <c r="BU446" s="555">
        <f t="shared" si="194"/>
        <v>0</v>
      </c>
      <c r="BV446" s="556"/>
      <c r="BW446" s="663">
        <f t="shared" si="182"/>
        <v>0</v>
      </c>
      <c r="BX446" s="674" t="e">
        <f t="shared" si="183"/>
        <v>#DIV/0!</v>
      </c>
      <c r="BY446" s="674" t="e">
        <f t="shared" si="184"/>
        <v>#DIV/0!</v>
      </c>
      <c r="BZ446" s="674" t="e">
        <f t="shared" si="185"/>
        <v>#DIV/0!</v>
      </c>
      <c r="CA446" s="675" t="e">
        <f t="shared" si="186"/>
        <v>#DIV/0!</v>
      </c>
      <c r="CB446" s="675" t="e">
        <f t="shared" si="187"/>
        <v>#DIV/0!</v>
      </c>
    </row>
    <row r="447" spans="1:93" ht="6.75" hidden="1" customHeight="1" thickBot="1" x14ac:dyDescent="0.3">
      <c r="B447" s="312" t="e">
        <f>'PLAN INDICATIVO'!#REF!</f>
        <v>#REF!</v>
      </c>
      <c r="C447" s="384"/>
      <c r="D447" s="385"/>
      <c r="E447" s="385"/>
      <c r="F447" s="385"/>
      <c r="G447" s="385"/>
      <c r="H447" s="385"/>
      <c r="I447" s="385"/>
      <c r="J447" s="385"/>
      <c r="K447" s="385"/>
      <c r="L447" s="385"/>
      <c r="M447" s="385"/>
      <c r="N447" s="386"/>
      <c r="O447" s="385"/>
      <c r="P447" s="1437"/>
      <c r="Q447" s="387"/>
      <c r="R447" s="385"/>
      <c r="S447" s="388"/>
      <c r="T447" s="680"/>
      <c r="U447" s="388"/>
      <c r="V447" s="388"/>
      <c r="W447" s="388"/>
      <c r="X447" s="388"/>
      <c r="Y447" s="388"/>
      <c r="Z447" s="388"/>
      <c r="AA447" s="389"/>
      <c r="AB447" s="389"/>
      <c r="AC447" s="389"/>
      <c r="AD447" s="389"/>
      <c r="AE447" s="389"/>
      <c r="AF447" s="389"/>
      <c r="AG447" s="390"/>
      <c r="AH447" s="390"/>
      <c r="AI447" s="390"/>
      <c r="AJ447" s="389"/>
      <c r="AK447" s="389"/>
      <c r="AL447" s="389"/>
      <c r="AM447" s="389"/>
      <c r="AN447" s="389"/>
      <c r="AO447" s="520"/>
      <c r="AP447" s="524"/>
      <c r="AQ447" s="374"/>
      <c r="AR447" s="374"/>
      <c r="AS447" s="374"/>
      <c r="AT447" s="374"/>
      <c r="AU447" s="374"/>
      <c r="AV447" s="374"/>
      <c r="AW447" s="544">
        <f t="shared" si="181"/>
        <v>0</v>
      </c>
      <c r="AX447" s="524"/>
      <c r="AY447" s="374"/>
      <c r="AZ447" s="374"/>
      <c r="BA447" s="374"/>
      <c r="BB447" s="374"/>
      <c r="BC447" s="374"/>
      <c r="BD447" s="374"/>
      <c r="BE447" s="544">
        <f t="shared" si="192"/>
        <v>0</v>
      </c>
      <c r="BF447" s="524"/>
      <c r="BG447" s="374"/>
      <c r="BH447" s="374"/>
      <c r="BI447" s="374"/>
      <c r="BJ447" s="374"/>
      <c r="BK447" s="374"/>
      <c r="BL447" s="374"/>
      <c r="BM447" s="544">
        <f t="shared" si="193"/>
        <v>0</v>
      </c>
      <c r="BN447" s="524"/>
      <c r="BO447" s="374"/>
      <c r="BP447" s="374"/>
      <c r="BQ447" s="374"/>
      <c r="BR447" s="374"/>
      <c r="BS447" s="374"/>
      <c r="BT447" s="374"/>
      <c r="BU447" s="544">
        <f t="shared" si="194"/>
        <v>0</v>
      </c>
      <c r="BV447" s="556"/>
      <c r="BW447" s="663">
        <f t="shared" si="182"/>
        <v>0</v>
      </c>
      <c r="BX447" s="674" t="e">
        <f t="shared" si="183"/>
        <v>#DIV/0!</v>
      </c>
      <c r="BY447" s="674" t="e">
        <f t="shared" si="184"/>
        <v>#DIV/0!</v>
      </c>
      <c r="BZ447" s="674" t="e">
        <f t="shared" si="185"/>
        <v>#DIV/0!</v>
      </c>
      <c r="CA447" s="675" t="e">
        <f t="shared" si="186"/>
        <v>#DIV/0!</v>
      </c>
      <c r="CB447" s="675" t="e">
        <f t="shared" si="187"/>
        <v>#DIV/0!</v>
      </c>
    </row>
    <row r="448" spans="1:93" s="392" customFormat="1" ht="33" hidden="1" customHeight="1" thickBot="1" x14ac:dyDescent="0.3">
      <c r="A448" s="441"/>
      <c r="B448" s="442"/>
      <c r="C448" s="1590" t="s">
        <v>1350</v>
      </c>
      <c r="D448" s="1590"/>
      <c r="E448" s="1590"/>
      <c r="F448" s="1590"/>
      <c r="G448" s="1590"/>
      <c r="H448" s="1590"/>
      <c r="I448" s="1590"/>
      <c r="J448" s="1590"/>
      <c r="K448" s="1590"/>
      <c r="L448" s="1590"/>
      <c r="M448" s="1590"/>
      <c r="N448" s="1590"/>
      <c r="O448" s="1590"/>
      <c r="P448" s="1590"/>
      <c r="Q448" s="1590"/>
      <c r="R448" s="1590"/>
      <c r="S448" s="1590"/>
      <c r="T448" s="1590"/>
      <c r="U448" s="1590"/>
      <c r="V448" s="1590"/>
      <c r="W448" s="1590"/>
      <c r="X448" s="1590"/>
      <c r="Y448" s="1590"/>
      <c r="Z448" s="1590"/>
      <c r="AA448" s="1590"/>
      <c r="AB448" s="1590"/>
      <c r="AC448" s="1590"/>
      <c r="AD448" s="1590"/>
      <c r="AE448" s="1590"/>
      <c r="AF448" s="1590"/>
      <c r="AG448" s="1590"/>
      <c r="AH448" s="1590"/>
      <c r="AI448" s="1590"/>
      <c r="AJ448" s="1590"/>
      <c r="AK448" s="1590"/>
      <c r="AL448" s="1590"/>
      <c r="AM448" s="1641"/>
      <c r="AN448" s="437"/>
      <c r="AO448" s="517"/>
      <c r="AP448" s="524"/>
      <c r="AQ448" s="374"/>
      <c r="AR448" s="374"/>
      <c r="AS448" s="374"/>
      <c r="AT448" s="374"/>
      <c r="AU448" s="374"/>
      <c r="AV448" s="374"/>
      <c r="AW448" s="544">
        <f t="shared" si="181"/>
        <v>0</v>
      </c>
      <c r="AX448" s="524"/>
      <c r="AY448" s="374"/>
      <c r="AZ448" s="374"/>
      <c r="BA448" s="374"/>
      <c r="BB448" s="374"/>
      <c r="BC448" s="374"/>
      <c r="BD448" s="374"/>
      <c r="BE448" s="544">
        <f t="shared" si="192"/>
        <v>0</v>
      </c>
      <c r="BF448" s="524"/>
      <c r="BG448" s="374"/>
      <c r="BH448" s="374"/>
      <c r="BI448" s="374"/>
      <c r="BJ448" s="374"/>
      <c r="BK448" s="374"/>
      <c r="BL448" s="374"/>
      <c r="BM448" s="544">
        <f t="shared" si="193"/>
        <v>0</v>
      </c>
      <c r="BN448" s="524"/>
      <c r="BO448" s="374"/>
      <c r="BP448" s="374"/>
      <c r="BQ448" s="374"/>
      <c r="BR448" s="374"/>
      <c r="BS448" s="374"/>
      <c r="BT448" s="374"/>
      <c r="BU448" s="544">
        <f t="shared" si="194"/>
        <v>0</v>
      </c>
      <c r="BV448" s="556"/>
      <c r="BW448" s="663">
        <f t="shared" si="182"/>
        <v>0</v>
      </c>
      <c r="BX448" s="674" t="e">
        <f t="shared" si="183"/>
        <v>#DIV/0!</v>
      </c>
      <c r="BY448" s="674" t="e">
        <f t="shared" si="184"/>
        <v>#DIV/0!</v>
      </c>
      <c r="BZ448" s="674" t="e">
        <f t="shared" si="185"/>
        <v>#DIV/0!</v>
      </c>
      <c r="CA448" s="675" t="e">
        <f t="shared" si="186"/>
        <v>#DIV/0!</v>
      </c>
      <c r="CB448" s="675" t="e">
        <f t="shared" si="187"/>
        <v>#DIV/0!</v>
      </c>
      <c r="CC448"/>
      <c r="CD448"/>
      <c r="CE448"/>
      <c r="CF448"/>
      <c r="CG448"/>
      <c r="CH448"/>
      <c r="CI448"/>
      <c r="CJ448"/>
      <c r="CK448"/>
      <c r="CL448"/>
      <c r="CM448"/>
      <c r="CN448"/>
      <c r="CO448"/>
    </row>
    <row r="449" spans="1:80" ht="21.75" hidden="1" customHeight="1" x14ac:dyDescent="0.25">
      <c r="A449" s="391"/>
      <c r="B449" s="331" t="str">
        <f>'PLAN INDICATIVO'!B440</f>
        <v>Ambiental</v>
      </c>
      <c r="C449" s="1640" t="s">
        <v>1352</v>
      </c>
      <c r="D449" s="1640"/>
      <c r="E449" s="1640"/>
      <c r="F449" s="1640"/>
      <c r="G449" s="1640"/>
      <c r="H449" s="1640"/>
      <c r="I449" s="1640"/>
      <c r="J449" s="1640"/>
      <c r="K449" s="1640"/>
      <c r="L449" s="1640"/>
      <c r="M449" s="1640"/>
      <c r="N449" s="1640"/>
      <c r="O449" s="1640"/>
      <c r="P449" s="318"/>
      <c r="Q449" s="318"/>
      <c r="R449" s="317"/>
      <c r="S449" s="319"/>
      <c r="T449" s="676"/>
      <c r="U449" s="319"/>
      <c r="V449" s="695">
        <f>SUM(V450:V481)</f>
        <v>308220000</v>
      </c>
      <c r="W449" s="319"/>
      <c r="X449" s="695">
        <f>SUM(X450:X481)</f>
        <v>392900000</v>
      </c>
      <c r="Y449" s="319"/>
      <c r="Z449" s="695">
        <f>SUM(Z450:Z481)</f>
        <v>225000000</v>
      </c>
      <c r="AA449" s="320"/>
      <c r="AB449" s="708">
        <f>SUM(AB450:AB481)</f>
        <v>262000000</v>
      </c>
      <c r="AC449" s="320"/>
      <c r="AD449" s="320"/>
      <c r="AE449" s="320"/>
      <c r="AF449" s="320"/>
      <c r="AG449" s="321"/>
      <c r="AH449" s="321"/>
      <c r="AI449" s="321"/>
      <c r="AJ449" s="320"/>
      <c r="AK449" s="320"/>
      <c r="AL449" s="320"/>
      <c r="AM449" s="320"/>
      <c r="AN449" s="320"/>
      <c r="AO449" s="630"/>
      <c r="AP449" s="616" t="e">
        <f>(AP450:AP481)</f>
        <v>#VALUE!</v>
      </c>
      <c r="AQ449" s="616" t="e">
        <f t="shared" ref="AQ449:AV449" si="203">(AQ450:AQ481)</f>
        <v>#VALUE!</v>
      </c>
      <c r="AR449" s="616" t="e">
        <f t="shared" si="203"/>
        <v>#VALUE!</v>
      </c>
      <c r="AS449" s="616" t="e">
        <f t="shared" si="203"/>
        <v>#VALUE!</v>
      </c>
      <c r="AT449" s="616" t="e">
        <f t="shared" si="203"/>
        <v>#VALUE!</v>
      </c>
      <c r="AU449" s="616" t="e">
        <f t="shared" si="203"/>
        <v>#VALUE!</v>
      </c>
      <c r="AV449" s="616" t="e">
        <f t="shared" si="203"/>
        <v>#VALUE!</v>
      </c>
      <c r="AW449" s="617" t="e">
        <f t="shared" si="181"/>
        <v>#VALUE!</v>
      </c>
      <c r="AX449" s="616" t="e">
        <f>(AX450:AX481)</f>
        <v>#VALUE!</v>
      </c>
      <c r="AY449" s="616" t="e">
        <f t="shared" ref="AY449:BD449" si="204">(AY450:AY481)</f>
        <v>#VALUE!</v>
      </c>
      <c r="AZ449" s="616" t="e">
        <f t="shared" si="204"/>
        <v>#VALUE!</v>
      </c>
      <c r="BA449" s="616" t="e">
        <f t="shared" si="204"/>
        <v>#VALUE!</v>
      </c>
      <c r="BB449" s="616" t="e">
        <f t="shared" si="204"/>
        <v>#VALUE!</v>
      </c>
      <c r="BC449" s="616" t="e">
        <f t="shared" si="204"/>
        <v>#VALUE!</v>
      </c>
      <c r="BD449" s="616" t="e">
        <f t="shared" si="204"/>
        <v>#VALUE!</v>
      </c>
      <c r="BE449" s="617" t="e">
        <f t="shared" si="192"/>
        <v>#VALUE!</v>
      </c>
      <c r="BF449" s="616" t="e">
        <f>(BF450:BF481)</f>
        <v>#VALUE!</v>
      </c>
      <c r="BG449" s="616" t="e">
        <f t="shared" ref="BG449:BL449" si="205">(BG450:BG481)</f>
        <v>#VALUE!</v>
      </c>
      <c r="BH449" s="616" t="e">
        <f t="shared" si="205"/>
        <v>#VALUE!</v>
      </c>
      <c r="BI449" s="616" t="e">
        <f t="shared" si="205"/>
        <v>#VALUE!</v>
      </c>
      <c r="BJ449" s="616" t="e">
        <f t="shared" si="205"/>
        <v>#VALUE!</v>
      </c>
      <c r="BK449" s="616" t="e">
        <f t="shared" si="205"/>
        <v>#VALUE!</v>
      </c>
      <c r="BL449" s="616" t="e">
        <f t="shared" si="205"/>
        <v>#VALUE!</v>
      </c>
      <c r="BM449" s="617" t="e">
        <f t="shared" si="193"/>
        <v>#VALUE!</v>
      </c>
      <c r="BN449" s="616" t="e">
        <f>(BN450:BN481)</f>
        <v>#VALUE!</v>
      </c>
      <c r="BO449" s="616" t="e">
        <f t="shared" ref="BO449:BT449" si="206">(BO450:BO481)</f>
        <v>#VALUE!</v>
      </c>
      <c r="BP449" s="616" t="e">
        <f t="shared" si="206"/>
        <v>#VALUE!</v>
      </c>
      <c r="BQ449" s="616" t="e">
        <f t="shared" si="206"/>
        <v>#VALUE!</v>
      </c>
      <c r="BR449" s="616" t="e">
        <f t="shared" si="206"/>
        <v>#VALUE!</v>
      </c>
      <c r="BS449" s="616" t="e">
        <f t="shared" si="206"/>
        <v>#VALUE!</v>
      </c>
      <c r="BT449" s="616" t="e">
        <f t="shared" si="206"/>
        <v>#VALUE!</v>
      </c>
      <c r="BU449" s="617" t="e">
        <f t="shared" si="194"/>
        <v>#VALUE!</v>
      </c>
      <c r="BV449" s="556"/>
      <c r="BW449" s="863">
        <f t="shared" si="182"/>
        <v>0</v>
      </c>
      <c r="BX449" s="864" t="e">
        <f t="shared" si="183"/>
        <v>#DIV/0!</v>
      </c>
      <c r="BY449" s="864" t="e">
        <f t="shared" si="184"/>
        <v>#DIV/0!</v>
      </c>
      <c r="BZ449" s="864" t="e">
        <f t="shared" si="185"/>
        <v>#DIV/0!</v>
      </c>
      <c r="CA449" s="1450" t="e">
        <f t="shared" si="186"/>
        <v>#DIV/0!</v>
      </c>
      <c r="CB449" s="1450" t="e">
        <f t="shared" si="187"/>
        <v>#DIV/0!</v>
      </c>
    </row>
    <row r="450" spans="1:80" ht="109.5" hidden="1" customHeight="1" x14ac:dyDescent="0.25">
      <c r="A450" s="298" t="s">
        <v>1353</v>
      </c>
      <c r="B450" s="299" t="str">
        <f>'PLAN INDICATIVO'!B441</f>
        <v>Ambiental</v>
      </c>
      <c r="C450" s="1546" t="s">
        <v>1354</v>
      </c>
      <c r="D450" s="1550" t="s">
        <v>1355</v>
      </c>
      <c r="E450" s="1550" t="s">
        <v>1356</v>
      </c>
      <c r="F450" s="1550">
        <v>2015</v>
      </c>
      <c r="G450" s="1550">
        <v>12676</v>
      </c>
      <c r="H450" s="1550">
        <v>14000</v>
      </c>
      <c r="I450" s="300">
        <f>'PLAN INDICATIVO'!I441</f>
        <v>0</v>
      </c>
      <c r="J450" s="300">
        <f>'PLAN INDICATIVO'!J441</f>
        <v>0</v>
      </c>
      <c r="K450" s="1428" t="str">
        <f>'PLAN INDICATIVO'!K441</f>
        <v>A.10.1.1</v>
      </c>
      <c r="L450" s="301" t="str">
        <f>'PLAN INDICATIVO'!L441</f>
        <v>15. Vida de ecosistemas terrestres</v>
      </c>
      <c r="M450" s="301" t="str">
        <f>'PLAN INDICATIVO'!M441</f>
        <v>Unidad de Desarrollo Rural</v>
      </c>
      <c r="N450" s="1425" t="str">
        <f>'PLAN INDICATIVO'!N441</f>
        <v>GABRIEL ERNESTO CAMPOS ALVIRA</v>
      </c>
      <c r="O450" s="1425" t="str">
        <f>'PLAN INDICATIVO'!O441</f>
        <v>Incremento</v>
      </c>
      <c r="P450" s="16" t="str">
        <f>'PLAN INDICATIVO'!P441</f>
        <v>Destinar 44 Predios particulares para la conservación, restauración y protección de zonas de importancia estratégica ambiental incentivados en materia de impuesto predial, durante el cuatrienio</v>
      </c>
      <c r="Q450" s="302" t="str">
        <f>'PLAN INDICATIVO'!Q441</f>
        <v>No. De predios con incentivos</v>
      </c>
      <c r="R450" s="303">
        <f>'PLAN INDICATIVO'!R441</f>
        <v>2015</v>
      </c>
      <c r="S450" s="304">
        <v>195</v>
      </c>
      <c r="T450" s="498">
        <v>44</v>
      </c>
      <c r="U450" s="572">
        <v>10</v>
      </c>
      <c r="V450" s="687">
        <v>5000000</v>
      </c>
      <c r="W450" s="572">
        <v>10</v>
      </c>
      <c r="X450" s="687">
        <v>6000000</v>
      </c>
      <c r="Y450" s="572">
        <v>10</v>
      </c>
      <c r="Z450" s="687">
        <v>1000000</v>
      </c>
      <c r="AA450" s="572">
        <v>14</v>
      </c>
      <c r="AB450" s="687">
        <v>10000000</v>
      </c>
      <c r="AC450" s="665">
        <f>7+3</f>
        <v>10</v>
      </c>
      <c r="AD450" s="665">
        <v>10</v>
      </c>
      <c r="AE450" s="665"/>
      <c r="AF450" s="665"/>
      <c r="AG450" s="892" t="s">
        <v>3885</v>
      </c>
      <c r="AH450" s="990">
        <v>2017413960054</v>
      </c>
      <c r="AI450" s="307" t="s">
        <v>3886</v>
      </c>
      <c r="AJ450" s="309">
        <v>42736</v>
      </c>
      <c r="AK450" s="309">
        <v>43100</v>
      </c>
      <c r="AL450" s="308"/>
      <c r="AM450" s="308"/>
      <c r="AN450" s="267" t="s">
        <v>2598</v>
      </c>
      <c r="AO450" s="507" t="s">
        <v>3887</v>
      </c>
      <c r="AP450" s="973">
        <v>3250000</v>
      </c>
      <c r="AQ450" s="973"/>
      <c r="AR450" s="973"/>
      <c r="AS450" s="973"/>
      <c r="AT450" s="973"/>
      <c r="AU450" s="973"/>
      <c r="AV450" s="973"/>
      <c r="AW450" s="544">
        <f>SUM(AP450+AQ450+AR450+AS450+AT450+AU450+AV450)</f>
        <v>3250000</v>
      </c>
      <c r="AX450" s="525"/>
      <c r="AY450" s="310"/>
      <c r="AZ450" s="310"/>
      <c r="BA450" s="310"/>
      <c r="BB450" s="310"/>
      <c r="BC450" s="310"/>
      <c r="BD450" s="310"/>
      <c r="BE450" s="544">
        <f t="shared" si="192"/>
        <v>0</v>
      </c>
      <c r="BF450" s="525"/>
      <c r="BG450" s="310"/>
      <c r="BH450" s="310"/>
      <c r="BI450" s="310"/>
      <c r="BJ450" s="310"/>
      <c r="BK450" s="310"/>
      <c r="BL450" s="310"/>
      <c r="BM450" s="544">
        <f t="shared" si="193"/>
        <v>0</v>
      </c>
      <c r="BN450" s="525"/>
      <c r="BO450" s="310"/>
      <c r="BP450" s="310"/>
      <c r="BQ450" s="310"/>
      <c r="BR450" s="310"/>
      <c r="BS450" s="310"/>
      <c r="BT450" s="310"/>
      <c r="BU450" s="544">
        <f t="shared" si="194"/>
        <v>0</v>
      </c>
      <c r="BV450" s="556"/>
      <c r="BW450" s="663">
        <f t="shared" si="182"/>
        <v>20</v>
      </c>
      <c r="BX450" s="674">
        <f t="shared" si="183"/>
        <v>0.45454545454545453</v>
      </c>
      <c r="BY450" s="674">
        <f t="shared" si="184"/>
        <v>1</v>
      </c>
      <c r="BZ450" s="674">
        <f t="shared" si="185"/>
        <v>1</v>
      </c>
      <c r="CA450" s="675">
        <f t="shared" si="186"/>
        <v>0</v>
      </c>
      <c r="CB450" s="675">
        <f t="shared" si="187"/>
        <v>0</v>
      </c>
    </row>
    <row r="451" spans="1:80" ht="79.5" hidden="1" customHeight="1" x14ac:dyDescent="0.25">
      <c r="A451" s="298" t="s">
        <v>1353</v>
      </c>
      <c r="B451" s="299" t="str">
        <f>'PLAN INDICATIVO'!B442</f>
        <v>Ambiental</v>
      </c>
      <c r="C451" s="1547"/>
      <c r="D451" s="1551"/>
      <c r="E451" s="1551"/>
      <c r="F451" s="1551"/>
      <c r="G451" s="1551"/>
      <c r="H451" s="1551"/>
      <c r="I451" s="1425" t="str">
        <f>'PLAN INDICATIVO'!I442</f>
        <v>SI</v>
      </c>
      <c r="J451" s="1425">
        <f>'PLAN INDICATIVO'!J442</f>
        <v>0</v>
      </c>
      <c r="K451" s="1428" t="str">
        <f>'PLAN INDICATIVO'!K442</f>
        <v>A.10.1.2</v>
      </c>
      <c r="L451" s="301" t="str">
        <f>'PLAN INDICATIVO'!L442</f>
        <v>15. Vida de ecosistemas terrestres</v>
      </c>
      <c r="M451" s="301" t="str">
        <f>'PLAN INDICATIVO'!M442</f>
        <v>Unidad de Desarrollo Rural</v>
      </c>
      <c r="N451" s="1425" t="str">
        <f>'PLAN INDICATIVO'!N442</f>
        <v>GABRIEL ERNESTO CAMPOS ALVIRA</v>
      </c>
      <c r="O451" s="1425" t="str">
        <f>'PLAN INDICATIVO'!O442</f>
        <v>Incremento</v>
      </c>
      <c r="P451" s="16" t="str">
        <f>'PLAN INDICATIVO'!P442</f>
        <v xml:space="preserve">Proteger 12 micro cuencas mediante la reforestación, aislamiento y manejo de regeneración o siembra de especies protectora, durante el cuatrienio </v>
      </c>
      <c r="Q451" s="302" t="str">
        <f>'PLAN INDICATIVO'!Q442</f>
        <v>No. Micro cuencas protegidas con reforestación o aislamiento</v>
      </c>
      <c r="R451" s="303">
        <f>'PLAN INDICATIVO'!R442</f>
        <v>2015</v>
      </c>
      <c r="S451" s="304">
        <v>0</v>
      </c>
      <c r="T451" s="498">
        <v>12</v>
      </c>
      <c r="U451" s="572">
        <v>3</v>
      </c>
      <c r="V451" s="687">
        <v>16000000</v>
      </c>
      <c r="W451" s="572">
        <v>3</v>
      </c>
      <c r="X451" s="687">
        <v>23000000</v>
      </c>
      <c r="Y451" s="572">
        <v>3</v>
      </c>
      <c r="Z451" s="687">
        <v>19000000</v>
      </c>
      <c r="AA451" s="572">
        <v>3</v>
      </c>
      <c r="AB451" s="687">
        <v>20000000</v>
      </c>
      <c r="AC451" s="665">
        <v>3</v>
      </c>
      <c r="AD451" s="665">
        <v>4</v>
      </c>
      <c r="AE451" s="665"/>
      <c r="AF451" s="665"/>
      <c r="AG451" s="892" t="s">
        <v>3885</v>
      </c>
      <c r="AH451" s="990">
        <v>2017413960054</v>
      </c>
      <c r="AI451" s="307" t="s">
        <v>3888</v>
      </c>
      <c r="AJ451" s="309">
        <v>42736</v>
      </c>
      <c r="AK451" s="309">
        <v>43100</v>
      </c>
      <c r="AL451" s="308"/>
      <c r="AM451" s="308"/>
      <c r="AN451" s="267" t="s">
        <v>2598</v>
      </c>
      <c r="AO451" s="507" t="s">
        <v>3889</v>
      </c>
      <c r="AP451" s="972">
        <v>5000000</v>
      </c>
      <c r="AQ451" s="973"/>
      <c r="AR451" s="973"/>
      <c r="AS451" s="973"/>
      <c r="AT451" s="973"/>
      <c r="AU451" s="973"/>
      <c r="AV451" s="973"/>
      <c r="AW451" s="544">
        <f t="shared" ref="AW451:AW480" si="207">SUM(AP451+AQ451+AR451+AS451+AT451+AU451+AV451)</f>
        <v>5000000</v>
      </c>
      <c r="AX451" s="525"/>
      <c r="AY451" s="310"/>
      <c r="AZ451" s="310"/>
      <c r="BA451" s="310"/>
      <c r="BB451" s="310"/>
      <c r="BC451" s="310"/>
      <c r="BD451" s="310"/>
      <c r="BE451" s="544">
        <f t="shared" si="192"/>
        <v>0</v>
      </c>
      <c r="BF451" s="525"/>
      <c r="BG451" s="310"/>
      <c r="BH451" s="310"/>
      <c r="BI451" s="310"/>
      <c r="BJ451" s="310"/>
      <c r="BK451" s="310"/>
      <c r="BL451" s="310"/>
      <c r="BM451" s="544">
        <f t="shared" si="193"/>
        <v>0</v>
      </c>
      <c r="BN451" s="525"/>
      <c r="BO451" s="310"/>
      <c r="BP451" s="310"/>
      <c r="BQ451" s="310"/>
      <c r="BR451" s="310"/>
      <c r="BS451" s="310"/>
      <c r="BT451" s="310"/>
      <c r="BU451" s="544">
        <f t="shared" si="194"/>
        <v>0</v>
      </c>
      <c r="BV451" s="556"/>
      <c r="BW451" s="663">
        <f t="shared" si="182"/>
        <v>7</v>
      </c>
      <c r="BX451" s="674">
        <f t="shared" si="183"/>
        <v>0.58333333333333337</v>
      </c>
      <c r="BY451" s="674">
        <f t="shared" si="184"/>
        <v>1</v>
      </c>
      <c r="BZ451" s="674">
        <f t="shared" si="185"/>
        <v>1.3333333333333333</v>
      </c>
      <c r="CA451" s="675">
        <f t="shared" si="186"/>
        <v>0</v>
      </c>
      <c r="CB451" s="675">
        <f t="shared" si="187"/>
        <v>0</v>
      </c>
    </row>
    <row r="452" spans="1:80" ht="60.75" hidden="1" customHeight="1" x14ac:dyDescent="0.25">
      <c r="A452" s="298" t="s">
        <v>1353</v>
      </c>
      <c r="B452" s="299" t="str">
        <f>'PLAN INDICATIVO'!B443</f>
        <v>Ambiental</v>
      </c>
      <c r="C452" s="1547"/>
      <c r="D452" s="1551"/>
      <c r="E452" s="1551"/>
      <c r="F452" s="1551"/>
      <c r="G452" s="1551"/>
      <c r="H452" s="1551"/>
      <c r="I452" s="300">
        <f>'PLAN INDICATIVO'!I443</f>
        <v>0</v>
      </c>
      <c r="J452" s="300">
        <f>'PLAN INDICATIVO'!J443</f>
        <v>0</v>
      </c>
      <c r="K452" s="1428" t="str">
        <f>'PLAN INDICATIVO'!K443</f>
        <v>A.10.1.3</v>
      </c>
      <c r="L452" s="301" t="str">
        <f>'PLAN INDICATIVO'!L443</f>
        <v>15. Vida de ecosistemas terrestres</v>
      </c>
      <c r="M452" s="301" t="str">
        <f>'PLAN INDICATIVO'!M443</f>
        <v>Unidad de Desarrollo Rural</v>
      </c>
      <c r="N452" s="1425" t="str">
        <f>'PLAN INDICATIVO'!N443</f>
        <v>GABRIEL ERNESTO CAMPOS ALVIRA</v>
      </c>
      <c r="O452" s="1425" t="str">
        <f>'PLAN INDICATIVO'!O443</f>
        <v>Incremento</v>
      </c>
      <c r="P452" s="16" t="str">
        <f>'PLAN INDICATIVO'!P443</f>
        <v>Garantizar 3 mejoramientos paisajístico y ambiental en el Municipio durante el cuatrienio</v>
      </c>
      <c r="Q452" s="302" t="str">
        <f>'PLAN INDICATIVO'!Q443</f>
        <v xml:space="preserve">No. De mejoramiento paisajísticos garantizados </v>
      </c>
      <c r="R452" s="303">
        <f>'PLAN INDICATIVO'!R443</f>
        <v>2015</v>
      </c>
      <c r="S452" s="304">
        <v>0</v>
      </c>
      <c r="T452" s="498">
        <v>3</v>
      </c>
      <c r="U452" s="572">
        <v>0</v>
      </c>
      <c r="V452" s="687">
        <v>5000000</v>
      </c>
      <c r="W452" s="572">
        <v>1</v>
      </c>
      <c r="X452" s="687">
        <v>6000000</v>
      </c>
      <c r="Y452" s="572">
        <v>1</v>
      </c>
      <c r="Z452" s="687">
        <v>3000000</v>
      </c>
      <c r="AA452" s="572">
        <v>1</v>
      </c>
      <c r="AB452" s="687">
        <v>3000000</v>
      </c>
      <c r="AC452" s="665"/>
      <c r="AD452" s="665">
        <v>1</v>
      </c>
      <c r="AE452" s="665"/>
      <c r="AF452" s="665"/>
      <c r="AG452" s="892" t="s">
        <v>3890</v>
      </c>
      <c r="AH452" s="990">
        <v>2017413960054</v>
      </c>
      <c r="AI452" s="307" t="s">
        <v>3891</v>
      </c>
      <c r="AJ452" s="309">
        <v>42887</v>
      </c>
      <c r="AK452" s="309">
        <v>43100</v>
      </c>
      <c r="AL452" s="308"/>
      <c r="AM452" s="308"/>
      <c r="AN452" s="267" t="s">
        <v>2598</v>
      </c>
      <c r="AO452" s="507" t="s">
        <v>3892</v>
      </c>
      <c r="AP452" s="973">
        <v>1500000</v>
      </c>
      <c r="AQ452" s="973"/>
      <c r="AR452" s="973"/>
      <c r="AS452" s="973"/>
      <c r="AT452" s="973"/>
      <c r="AU452" s="973"/>
      <c r="AV452" s="973"/>
      <c r="AW452" s="544">
        <f t="shared" si="207"/>
        <v>1500000</v>
      </c>
      <c r="AX452" s="525"/>
      <c r="AY452" s="310"/>
      <c r="AZ452" s="310"/>
      <c r="BA452" s="310"/>
      <c r="BB452" s="310"/>
      <c r="BC452" s="310"/>
      <c r="BD452" s="310"/>
      <c r="BE452" s="544">
        <f t="shared" si="192"/>
        <v>0</v>
      </c>
      <c r="BF452" s="525"/>
      <c r="BG452" s="310"/>
      <c r="BH452" s="310"/>
      <c r="BI452" s="310"/>
      <c r="BJ452" s="310"/>
      <c r="BK452" s="310"/>
      <c r="BL452" s="310"/>
      <c r="BM452" s="544">
        <f t="shared" si="193"/>
        <v>0</v>
      </c>
      <c r="BN452" s="525"/>
      <c r="BO452" s="310"/>
      <c r="BP452" s="310"/>
      <c r="BQ452" s="310"/>
      <c r="BR452" s="310"/>
      <c r="BS452" s="310"/>
      <c r="BT452" s="310"/>
      <c r="BU452" s="544">
        <f t="shared" si="194"/>
        <v>0</v>
      </c>
      <c r="BV452" s="556"/>
      <c r="BW452" s="663">
        <f t="shared" si="182"/>
        <v>1</v>
      </c>
      <c r="BX452" s="674">
        <f t="shared" si="183"/>
        <v>0.33333333333333331</v>
      </c>
      <c r="BY452" s="674" t="e">
        <f t="shared" si="184"/>
        <v>#DIV/0!</v>
      </c>
      <c r="BZ452" s="674">
        <f t="shared" si="185"/>
        <v>1</v>
      </c>
      <c r="CA452" s="675">
        <f t="shared" si="186"/>
        <v>0</v>
      </c>
      <c r="CB452" s="675">
        <f t="shared" si="187"/>
        <v>0</v>
      </c>
    </row>
    <row r="453" spans="1:80" ht="29.25" hidden="1" customHeight="1" x14ac:dyDescent="0.25">
      <c r="A453" s="298" t="s">
        <v>1353</v>
      </c>
      <c r="B453" s="299" t="str">
        <f>'PLAN INDICATIVO'!B444</f>
        <v>Ambiental</v>
      </c>
      <c r="C453" s="1547"/>
      <c r="D453" s="1551"/>
      <c r="E453" s="1551"/>
      <c r="F453" s="1551"/>
      <c r="G453" s="1551"/>
      <c r="H453" s="1551"/>
      <c r="I453" s="300">
        <f>'PLAN INDICATIVO'!I444</f>
        <v>0</v>
      </c>
      <c r="J453" s="300">
        <f>'PLAN INDICATIVO'!J444</f>
        <v>0</v>
      </c>
      <c r="K453" s="1428" t="str">
        <f>'PLAN INDICATIVO'!K444</f>
        <v>A.10.1.4</v>
      </c>
      <c r="L453" s="301" t="str">
        <f>'PLAN INDICATIVO'!L444</f>
        <v>15. Vida de ecosistemas terrestres</v>
      </c>
      <c r="M453" s="301" t="str">
        <f>'PLAN INDICATIVO'!M444</f>
        <v>Unidad de Desarrollo Rural</v>
      </c>
      <c r="N453" s="1425" t="str">
        <f>'PLAN INDICATIVO'!N444</f>
        <v>GABRIEL ERNESTO CAMPOS ALVIRA</v>
      </c>
      <c r="O453" s="1425" t="str">
        <f>'PLAN INDICATIVO'!O444</f>
        <v>Incremento</v>
      </c>
      <c r="P453" s="16" t="str">
        <f>'PLAN INDICATIVO'!P444</f>
        <v>Realizar 1 inventario forestal urbano durante el cuatrienio</v>
      </c>
      <c r="Q453" s="302" t="str">
        <f>'PLAN INDICATIVO'!Q444</f>
        <v>No. De inventarios realizados</v>
      </c>
      <c r="R453" s="303">
        <f>'PLAN INDICATIVO'!R444</f>
        <v>2015</v>
      </c>
      <c r="S453" s="304">
        <v>0</v>
      </c>
      <c r="T453" s="498">
        <v>1</v>
      </c>
      <c r="U453" s="572">
        <v>0</v>
      </c>
      <c r="V453" s="687">
        <v>0</v>
      </c>
      <c r="W453" s="572">
        <v>0</v>
      </c>
      <c r="X453" s="687"/>
      <c r="Y453" s="572">
        <v>0.5</v>
      </c>
      <c r="Z453" s="687">
        <v>4000000</v>
      </c>
      <c r="AA453" s="572">
        <v>0.5</v>
      </c>
      <c r="AB453" s="687">
        <v>2000000</v>
      </c>
      <c r="AC453" s="665"/>
      <c r="AD453" s="665">
        <v>0</v>
      </c>
      <c r="AE453" s="665"/>
      <c r="AF453" s="665"/>
      <c r="AG453" s="266"/>
      <c r="AH453" s="990">
        <v>2017413960054</v>
      </c>
      <c r="AI453" s="307" t="s">
        <v>3893</v>
      </c>
      <c r="AJ453" s="308"/>
      <c r="AK453" s="308"/>
      <c r="AL453" s="308"/>
      <c r="AM453" s="308"/>
      <c r="AN453" s="267" t="s">
        <v>2594</v>
      </c>
      <c r="AO453" s="507"/>
      <c r="AP453" s="525"/>
      <c r="AQ453" s="310"/>
      <c r="AR453" s="310"/>
      <c r="AS453" s="310"/>
      <c r="AT453" s="310"/>
      <c r="AU453" s="310"/>
      <c r="AV453" s="310"/>
      <c r="AW453" s="544">
        <f t="shared" si="207"/>
        <v>0</v>
      </c>
      <c r="AX453" s="525"/>
      <c r="AY453" s="310"/>
      <c r="AZ453" s="310"/>
      <c r="BA453" s="310"/>
      <c r="BB453" s="310"/>
      <c r="BC453" s="310"/>
      <c r="BD453" s="310"/>
      <c r="BE453" s="544">
        <f t="shared" si="192"/>
        <v>0</v>
      </c>
      <c r="BF453" s="525"/>
      <c r="BG453" s="310"/>
      <c r="BH453" s="310"/>
      <c r="BI453" s="310"/>
      <c r="BJ453" s="310"/>
      <c r="BK453" s="310"/>
      <c r="BL453" s="310"/>
      <c r="BM453" s="544">
        <f t="shared" si="193"/>
        <v>0</v>
      </c>
      <c r="BN453" s="525"/>
      <c r="BO453" s="310"/>
      <c r="BP453" s="310"/>
      <c r="BQ453" s="310"/>
      <c r="BR453" s="310"/>
      <c r="BS453" s="310"/>
      <c r="BT453" s="310"/>
      <c r="BU453" s="544">
        <f t="shared" si="194"/>
        <v>0</v>
      </c>
      <c r="BV453" s="556"/>
      <c r="BW453" s="663">
        <f t="shared" si="182"/>
        <v>0</v>
      </c>
      <c r="BX453" s="674">
        <f t="shared" si="183"/>
        <v>0</v>
      </c>
      <c r="BY453" s="674" t="e">
        <f t="shared" si="184"/>
        <v>#DIV/0!</v>
      </c>
      <c r="BZ453" s="674" t="e">
        <f t="shared" si="185"/>
        <v>#DIV/0!</v>
      </c>
      <c r="CA453" s="675">
        <f t="shared" si="186"/>
        <v>0</v>
      </c>
      <c r="CB453" s="675">
        <f t="shared" si="187"/>
        <v>0</v>
      </c>
    </row>
    <row r="454" spans="1:80" ht="72.75" hidden="1" customHeight="1" x14ac:dyDescent="0.25">
      <c r="A454" s="298" t="s">
        <v>1353</v>
      </c>
      <c r="B454" s="299" t="str">
        <f>'PLAN INDICATIVO'!B445</f>
        <v>Ambiental</v>
      </c>
      <c r="C454" s="1547"/>
      <c r="D454" s="1551"/>
      <c r="E454" s="1551"/>
      <c r="F454" s="1551"/>
      <c r="G454" s="1551"/>
      <c r="H454" s="1551"/>
      <c r="I454" s="300">
        <f>'PLAN INDICATIVO'!I445</f>
        <v>0</v>
      </c>
      <c r="J454" s="300">
        <f>'PLAN INDICATIVO'!J445</f>
        <v>0</v>
      </c>
      <c r="K454" s="1428" t="str">
        <f>'PLAN INDICATIVO'!K445</f>
        <v>A.10.1.5</v>
      </c>
      <c r="L454" s="301" t="str">
        <f>'PLAN INDICATIVO'!L445</f>
        <v>15. Vida de ecosistemas terrestres</v>
      </c>
      <c r="M454" s="301" t="str">
        <f>'PLAN INDICATIVO'!M445</f>
        <v>Unidad de Desarrollo Rural</v>
      </c>
      <c r="N454" s="1425" t="str">
        <f>'PLAN INDICATIVO'!N445</f>
        <v>GABRIEL ERNESTO CAMPOS ALVIRA</v>
      </c>
      <c r="O454" s="1425" t="str">
        <f>'PLAN INDICATIVO'!O445</f>
        <v>Incremento</v>
      </c>
      <c r="P454" s="16" t="str">
        <f>'PLAN INDICATIVO'!P445</f>
        <v>Sembrar 12.000 árboles durante el cuatrienio  para la reforestación con seguimiento continúo.</v>
      </c>
      <c r="Q454" s="302" t="str">
        <f>'PLAN INDICATIVO'!Q445</f>
        <v>No. De árboles sembrados</v>
      </c>
      <c r="R454" s="303">
        <f>'PLAN INDICATIVO'!R445</f>
        <v>2015</v>
      </c>
      <c r="S454" s="304">
        <v>0</v>
      </c>
      <c r="T454" s="498">
        <v>12000</v>
      </c>
      <c r="U454" s="572">
        <v>3000</v>
      </c>
      <c r="V454" s="687">
        <v>9000000</v>
      </c>
      <c r="W454" s="572">
        <v>3000</v>
      </c>
      <c r="X454" s="687">
        <v>11000000</v>
      </c>
      <c r="Y454" s="572">
        <v>3000</v>
      </c>
      <c r="Z454" s="687">
        <v>10000000</v>
      </c>
      <c r="AA454" s="572">
        <v>3000</v>
      </c>
      <c r="AB454" s="687">
        <v>20000000</v>
      </c>
      <c r="AC454" s="673">
        <v>4000</v>
      </c>
      <c r="AD454" s="673">
        <v>3000</v>
      </c>
      <c r="AE454" s="665"/>
      <c r="AF454" s="673"/>
      <c r="AG454" s="887" t="s">
        <v>3894</v>
      </c>
      <c r="AH454" s="990">
        <v>2017413960054</v>
      </c>
      <c r="AI454" s="336" t="s">
        <v>3895</v>
      </c>
      <c r="AJ454" s="309">
        <v>42767</v>
      </c>
      <c r="AK454" s="309">
        <v>43099</v>
      </c>
      <c r="AL454" s="308"/>
      <c r="AM454" s="308"/>
      <c r="AN454" s="267" t="s">
        <v>2598</v>
      </c>
      <c r="AO454" s="507" t="s">
        <v>3896</v>
      </c>
      <c r="AP454" s="972">
        <v>4053350</v>
      </c>
      <c r="AQ454" s="977"/>
      <c r="AR454" s="973"/>
      <c r="AS454" s="973"/>
      <c r="AT454" s="973"/>
      <c r="AU454" s="973"/>
      <c r="AV454" s="973"/>
      <c r="AW454" s="544">
        <f t="shared" si="207"/>
        <v>4053350</v>
      </c>
      <c r="AX454" s="525"/>
      <c r="AY454" s="380"/>
      <c r="AZ454" s="310"/>
      <c r="BA454" s="310"/>
      <c r="BB454" s="310"/>
      <c r="BC454" s="310"/>
      <c r="BD454" s="310"/>
      <c r="BE454" s="544">
        <f t="shared" si="192"/>
        <v>0</v>
      </c>
      <c r="BF454" s="525"/>
      <c r="BG454" s="380"/>
      <c r="BH454" s="310"/>
      <c r="BI454" s="310"/>
      <c r="BJ454" s="310"/>
      <c r="BK454" s="310"/>
      <c r="BL454" s="310"/>
      <c r="BM454" s="544">
        <f t="shared" si="193"/>
        <v>0</v>
      </c>
      <c r="BN454" s="525"/>
      <c r="BO454" s="380"/>
      <c r="BP454" s="310"/>
      <c r="BQ454" s="310"/>
      <c r="BR454" s="310"/>
      <c r="BS454" s="310"/>
      <c r="BT454" s="310"/>
      <c r="BU454" s="544">
        <f t="shared" si="194"/>
        <v>0</v>
      </c>
      <c r="BV454" s="556"/>
      <c r="BW454" s="663">
        <f t="shared" si="182"/>
        <v>7000</v>
      </c>
      <c r="BX454" s="674">
        <f t="shared" si="183"/>
        <v>0.58333333333333337</v>
      </c>
      <c r="BY454" s="674">
        <f t="shared" si="184"/>
        <v>1.3333333333333333</v>
      </c>
      <c r="BZ454" s="674">
        <f t="shared" si="185"/>
        <v>1</v>
      </c>
      <c r="CA454" s="675">
        <f t="shared" si="186"/>
        <v>0</v>
      </c>
      <c r="CB454" s="675">
        <f t="shared" si="187"/>
        <v>0</v>
      </c>
    </row>
    <row r="455" spans="1:80" ht="57" hidden="1" customHeight="1" x14ac:dyDescent="0.25">
      <c r="A455" s="298" t="s">
        <v>1353</v>
      </c>
      <c r="B455" s="299" t="str">
        <f>'PLAN INDICATIVO'!B446</f>
        <v>Ambiental</v>
      </c>
      <c r="C455" s="1547"/>
      <c r="D455" s="1551"/>
      <c r="E455" s="1551"/>
      <c r="F455" s="1551"/>
      <c r="G455" s="1551"/>
      <c r="H455" s="1551"/>
      <c r="I455" s="300">
        <f>'PLAN INDICATIVO'!I446</f>
        <v>0</v>
      </c>
      <c r="J455" s="300">
        <f>'PLAN INDICATIVO'!J446</f>
        <v>0</v>
      </c>
      <c r="K455" s="1428" t="str">
        <f>'PLAN INDICATIVO'!K446</f>
        <v>A.10.1.6</v>
      </c>
      <c r="L455" s="301" t="str">
        <f>'PLAN INDICATIVO'!L446</f>
        <v>15. Vida de ecosistemas terrestres</v>
      </c>
      <c r="M455" s="301" t="str">
        <f>'PLAN INDICATIVO'!M446</f>
        <v>Unidad de Desarrollo Rural</v>
      </c>
      <c r="N455" s="1425" t="str">
        <f>'PLAN INDICATIVO'!N446</f>
        <v>GABRIEL ERNESTO CAMPOS ALVIRA</v>
      </c>
      <c r="O455" s="1425" t="str">
        <f>'PLAN INDICATIVO'!O446</f>
        <v>Incremento</v>
      </c>
      <c r="P455" s="16" t="str">
        <f>'PLAN INDICATIVO'!P446</f>
        <v>Realizar 40 actividades durante el cuatrienio enmarcadas en la conservación y preservación del medio ambiente, tales como; el reciclaje, la separación en la fuente y la transformación de materia orgánica en Abonos, entre otras.</v>
      </c>
      <c r="Q455" s="302" t="str">
        <f>'PLAN INDICATIVO'!Q446</f>
        <v>No. De actividades realizadas</v>
      </c>
      <c r="R455" s="303">
        <f>'PLAN INDICATIVO'!R446</f>
        <v>2015</v>
      </c>
      <c r="S455" s="304">
        <v>0</v>
      </c>
      <c r="T455" s="498">
        <v>40</v>
      </c>
      <c r="U455" s="572">
        <v>10</v>
      </c>
      <c r="V455" s="687">
        <v>8000000</v>
      </c>
      <c r="W455" s="572">
        <v>10</v>
      </c>
      <c r="X455" s="687">
        <v>9000000</v>
      </c>
      <c r="Y455" s="572">
        <v>10</v>
      </c>
      <c r="Z455" s="687">
        <v>9000000</v>
      </c>
      <c r="AA455" s="572">
        <v>10</v>
      </c>
      <c r="AB455" s="687">
        <v>9000000</v>
      </c>
      <c r="AC455" s="665">
        <v>10</v>
      </c>
      <c r="AD455" s="665">
        <v>10</v>
      </c>
      <c r="AE455" s="665"/>
      <c r="AF455" s="665"/>
      <c r="AG455" s="892" t="s">
        <v>3897</v>
      </c>
      <c r="AH455" s="990">
        <v>2017413960054</v>
      </c>
      <c r="AI455" s="307" t="s">
        <v>3898</v>
      </c>
      <c r="AJ455" s="309">
        <v>42856</v>
      </c>
      <c r="AK455" s="309">
        <v>43099</v>
      </c>
      <c r="AL455" s="308"/>
      <c r="AM455" s="308"/>
      <c r="AN455" s="267" t="s">
        <v>2598</v>
      </c>
      <c r="AO455" s="507" t="s">
        <v>3899</v>
      </c>
      <c r="AP455" s="972">
        <v>1000000</v>
      </c>
      <c r="AQ455" s="973"/>
      <c r="AR455" s="973"/>
      <c r="AS455" s="973"/>
      <c r="AT455" s="973"/>
      <c r="AU455" s="973"/>
      <c r="AV455" s="973"/>
      <c r="AW455" s="544">
        <f t="shared" si="207"/>
        <v>1000000</v>
      </c>
      <c r="AX455" s="525"/>
      <c r="AY455" s="310"/>
      <c r="AZ455" s="310"/>
      <c r="BA455" s="310"/>
      <c r="BB455" s="310"/>
      <c r="BC455" s="310"/>
      <c r="BD455" s="310"/>
      <c r="BE455" s="544">
        <f t="shared" ref="BE455:BE500" si="208">SUM(AX455:BD455)</f>
        <v>0</v>
      </c>
      <c r="BF455" s="525"/>
      <c r="BG455" s="310"/>
      <c r="BH455" s="310"/>
      <c r="BI455" s="310"/>
      <c r="BJ455" s="310"/>
      <c r="BK455" s="310"/>
      <c r="BL455" s="310"/>
      <c r="BM455" s="544">
        <f t="shared" ref="BM455:BM500" si="209">SUM(BF455:BL455)</f>
        <v>0</v>
      </c>
      <c r="BN455" s="525"/>
      <c r="BO455" s="310"/>
      <c r="BP455" s="310"/>
      <c r="BQ455" s="310"/>
      <c r="BR455" s="310"/>
      <c r="BS455" s="310"/>
      <c r="BT455" s="310"/>
      <c r="BU455" s="544">
        <f t="shared" ref="BU455:BU500" si="210">SUM(BN455:BT455)</f>
        <v>0</v>
      </c>
      <c r="BV455" s="556"/>
      <c r="BW455" s="663">
        <f t="shared" si="182"/>
        <v>20</v>
      </c>
      <c r="BX455" s="877">
        <f t="shared" si="183"/>
        <v>0.5</v>
      </c>
      <c r="BY455" s="674">
        <f t="shared" si="184"/>
        <v>1</v>
      </c>
      <c r="BZ455" s="674">
        <f t="shared" si="185"/>
        <v>1</v>
      </c>
      <c r="CA455" s="675">
        <f t="shared" si="186"/>
        <v>0</v>
      </c>
      <c r="CB455" s="675">
        <f t="shared" si="187"/>
        <v>0</v>
      </c>
    </row>
    <row r="456" spans="1:80" ht="66" hidden="1" customHeight="1" x14ac:dyDescent="0.25">
      <c r="A456" s="298" t="s">
        <v>1353</v>
      </c>
      <c r="B456" s="299" t="str">
        <f>'PLAN INDICATIVO'!B447</f>
        <v>Ambiental</v>
      </c>
      <c r="C456" s="1547"/>
      <c r="D456" s="1551"/>
      <c r="E456" s="1551"/>
      <c r="F456" s="1551"/>
      <c r="G456" s="1551"/>
      <c r="H456" s="1551"/>
      <c r="I456" s="300">
        <f>'PLAN INDICATIVO'!I447</f>
        <v>0</v>
      </c>
      <c r="J456" s="300">
        <f>'PLAN INDICATIVO'!J447</f>
        <v>0</v>
      </c>
      <c r="K456" s="1428" t="str">
        <f>'PLAN INDICATIVO'!K447</f>
        <v>A.10.1.7</v>
      </c>
      <c r="L456" s="301" t="str">
        <f>'PLAN INDICATIVO'!L447</f>
        <v>15. Vida de ecosistemas terrestres</v>
      </c>
      <c r="M456" s="301" t="str">
        <f>'PLAN INDICATIVO'!M447</f>
        <v>Unidad de Desarrollo Rural</v>
      </c>
      <c r="N456" s="1425" t="str">
        <f>'PLAN INDICATIVO'!N447</f>
        <v>GABRIEL ERNESTO CAMPOS ALVIRA</v>
      </c>
      <c r="O456" s="1425" t="str">
        <f>'PLAN INDICATIVO'!O447</f>
        <v>Mantenimiento</v>
      </c>
      <c r="P456" s="16" t="str">
        <f>'PLAN INDICATIVO'!P447</f>
        <v>Realizar 4 eventos de cultura ambiental (día del árbol, día del agua, día del reciclador, día de la tierra)  cada año, durante el cuatrienio.</v>
      </c>
      <c r="Q456" s="302" t="str">
        <f>'PLAN INDICATIVO'!Q447</f>
        <v xml:space="preserve">No. De eventos de cultura ambiental realizados por año </v>
      </c>
      <c r="R456" s="303">
        <f>'PLAN INDICATIVO'!R447</f>
        <v>2015</v>
      </c>
      <c r="S456" s="304">
        <v>0</v>
      </c>
      <c r="T456" s="498">
        <v>16</v>
      </c>
      <c r="U456" s="572">
        <v>4</v>
      </c>
      <c r="V456" s="687">
        <v>5000000</v>
      </c>
      <c r="W456" s="572">
        <v>4</v>
      </c>
      <c r="X456" s="687">
        <v>5000000</v>
      </c>
      <c r="Y456" s="572">
        <v>4</v>
      </c>
      <c r="Z456" s="687">
        <v>5000000</v>
      </c>
      <c r="AA456" s="572">
        <v>4</v>
      </c>
      <c r="AB456" s="687">
        <v>5000000</v>
      </c>
      <c r="AC456" s="665">
        <v>4</v>
      </c>
      <c r="AD456" s="665">
        <v>4</v>
      </c>
      <c r="AE456" s="665"/>
      <c r="AF456" s="665"/>
      <c r="AG456" s="892" t="s">
        <v>3890</v>
      </c>
      <c r="AH456" s="990">
        <v>2017413960054</v>
      </c>
      <c r="AI456" s="307" t="s">
        <v>3900</v>
      </c>
      <c r="AJ456" s="309">
        <v>42826</v>
      </c>
      <c r="AK456" s="309">
        <v>42916</v>
      </c>
      <c r="AL456" s="308"/>
      <c r="AM456" s="308"/>
      <c r="AN456" s="267" t="s">
        <v>2598</v>
      </c>
      <c r="AO456" s="507" t="s">
        <v>3901</v>
      </c>
      <c r="AP456" s="972"/>
      <c r="AQ456" s="973"/>
      <c r="AR456" s="973"/>
      <c r="AS456" s="973"/>
      <c r="AT456" s="973"/>
      <c r="AU456" s="973"/>
      <c r="AV456" s="973">
        <v>3000000</v>
      </c>
      <c r="AW456" s="544">
        <f t="shared" si="207"/>
        <v>3000000</v>
      </c>
      <c r="AX456" s="525"/>
      <c r="AY456" s="310"/>
      <c r="AZ456" s="310"/>
      <c r="BA456" s="310"/>
      <c r="BB456" s="310"/>
      <c r="BC456" s="310"/>
      <c r="BD456" s="310"/>
      <c r="BE456" s="544">
        <f t="shared" si="208"/>
        <v>0</v>
      </c>
      <c r="BF456" s="525"/>
      <c r="BG456" s="310"/>
      <c r="BH456" s="310"/>
      <c r="BI456" s="310"/>
      <c r="BJ456" s="310"/>
      <c r="BK456" s="310"/>
      <c r="BL456" s="310"/>
      <c r="BM456" s="544">
        <f t="shared" si="209"/>
        <v>0</v>
      </c>
      <c r="BN456" s="525"/>
      <c r="BO456" s="310"/>
      <c r="BP456" s="310"/>
      <c r="BQ456" s="310"/>
      <c r="BR456" s="310"/>
      <c r="BS456" s="310"/>
      <c r="BT456" s="310"/>
      <c r="BU456" s="544">
        <f t="shared" si="210"/>
        <v>0</v>
      </c>
      <c r="BV456" s="556"/>
      <c r="BW456" s="663">
        <f t="shared" si="182"/>
        <v>8</v>
      </c>
      <c r="BX456" s="674">
        <f t="shared" si="183"/>
        <v>0.5</v>
      </c>
      <c r="BY456" s="674">
        <f t="shared" si="184"/>
        <v>1</v>
      </c>
      <c r="BZ456" s="674">
        <f t="shared" si="185"/>
        <v>1</v>
      </c>
      <c r="CA456" s="675">
        <f t="shared" si="186"/>
        <v>0</v>
      </c>
      <c r="CB456" s="675">
        <f t="shared" si="187"/>
        <v>0</v>
      </c>
    </row>
    <row r="457" spans="1:80" ht="45" hidden="1" customHeight="1" x14ac:dyDescent="0.25">
      <c r="A457" s="298" t="s">
        <v>1353</v>
      </c>
      <c r="B457" s="299" t="str">
        <f>'PLAN INDICATIVO'!B448</f>
        <v>Ambiental</v>
      </c>
      <c r="C457" s="1547"/>
      <c r="D457" s="1551"/>
      <c r="E457" s="1551"/>
      <c r="F457" s="1551"/>
      <c r="G457" s="1551"/>
      <c r="H457" s="1551"/>
      <c r="I457" s="300">
        <f>'PLAN INDICATIVO'!I448</f>
        <v>0</v>
      </c>
      <c r="J457" s="300">
        <f>'PLAN INDICATIVO'!J448</f>
        <v>0</v>
      </c>
      <c r="K457" s="1428" t="str">
        <f>'PLAN INDICATIVO'!K448</f>
        <v>A.10.1.8</v>
      </c>
      <c r="L457" s="301" t="str">
        <f>'PLAN INDICATIVO'!L448</f>
        <v>15. Vida de ecosistemas terrestres</v>
      </c>
      <c r="M457" s="301" t="str">
        <f>'PLAN INDICATIVO'!M448</f>
        <v>Unidad de Desarrollo Rural</v>
      </c>
      <c r="N457" s="1425" t="str">
        <f>'PLAN INDICATIVO'!N448</f>
        <v>GABRIEL ERNESTO CAMPOS ALVIRA</v>
      </c>
      <c r="O457" s="1425" t="str">
        <f>'PLAN INDICATIVO'!O448</f>
        <v>Incremento</v>
      </c>
      <c r="P457" s="16" t="str">
        <f>'PLAN INDICATIVO'!P448</f>
        <v>Implementar  programas de certificación de 20 fincas en Buenas Prácticas Agrícolas y Pecuarias</v>
      </c>
      <c r="Q457" s="302" t="str">
        <f>'PLAN INDICATIVO'!Q448</f>
        <v>No. de fincas certificadas  en buenas prácticas agrícolas y pecuarias</v>
      </c>
      <c r="R457" s="303">
        <f>'PLAN INDICATIVO'!R448</f>
        <v>2015</v>
      </c>
      <c r="S457" s="304">
        <v>0</v>
      </c>
      <c r="T457" s="498">
        <v>20</v>
      </c>
      <c r="U457" s="572">
        <v>0</v>
      </c>
      <c r="V457" s="687">
        <v>0</v>
      </c>
      <c r="W457" s="572">
        <v>0</v>
      </c>
      <c r="X457" s="687"/>
      <c r="Y457" s="572">
        <v>10</v>
      </c>
      <c r="Z457" s="687">
        <v>5000000</v>
      </c>
      <c r="AA457" s="572">
        <v>10</v>
      </c>
      <c r="AB457" s="687">
        <v>5000000</v>
      </c>
      <c r="AC457" s="665"/>
      <c r="AD457" s="665">
        <v>20</v>
      </c>
      <c r="AE457" s="665"/>
      <c r="AF457" s="665"/>
      <c r="AG457" s="892" t="s">
        <v>3727</v>
      </c>
      <c r="AH457" s="990">
        <v>2017413960054</v>
      </c>
      <c r="AI457" s="307" t="s">
        <v>3902</v>
      </c>
      <c r="AJ457" s="881">
        <v>42826</v>
      </c>
      <c r="AK457" s="881">
        <v>43099</v>
      </c>
      <c r="AL457" s="308"/>
      <c r="AM457" s="308"/>
      <c r="AN457" s="267" t="s">
        <v>2598</v>
      </c>
      <c r="AO457" s="507" t="s">
        <v>3903</v>
      </c>
      <c r="AP457" s="525"/>
      <c r="AQ457" s="310">
        <v>7153468</v>
      </c>
      <c r="AR457" s="310"/>
      <c r="AS457" s="310"/>
      <c r="AT457" s="310"/>
      <c r="AU457" s="310"/>
      <c r="AV457" s="310"/>
      <c r="AW457" s="544">
        <f t="shared" si="207"/>
        <v>7153468</v>
      </c>
      <c r="AX457" s="525"/>
      <c r="AY457" s="310"/>
      <c r="AZ457" s="310"/>
      <c r="BA457" s="310"/>
      <c r="BB457" s="310"/>
      <c r="BC457" s="310"/>
      <c r="BD457" s="310"/>
      <c r="BE457" s="544">
        <f t="shared" si="208"/>
        <v>0</v>
      </c>
      <c r="BF457" s="525"/>
      <c r="BG457" s="310"/>
      <c r="BH457" s="310"/>
      <c r="BI457" s="310"/>
      <c r="BJ457" s="310"/>
      <c r="BK457" s="310"/>
      <c r="BL457" s="310"/>
      <c r="BM457" s="544">
        <f t="shared" si="209"/>
        <v>0</v>
      </c>
      <c r="BN457" s="525"/>
      <c r="BO457" s="310"/>
      <c r="BP457" s="310"/>
      <c r="BQ457" s="310"/>
      <c r="BR457" s="310"/>
      <c r="BS457" s="310"/>
      <c r="BT457" s="310"/>
      <c r="BU457" s="544">
        <f t="shared" si="210"/>
        <v>0</v>
      </c>
      <c r="BV457" s="556"/>
      <c r="BW457" s="663">
        <f t="shared" si="182"/>
        <v>20</v>
      </c>
      <c r="BX457" s="674">
        <f t="shared" si="183"/>
        <v>1</v>
      </c>
      <c r="BY457" s="674" t="e">
        <f t="shared" si="184"/>
        <v>#DIV/0!</v>
      </c>
      <c r="BZ457" s="674">
        <v>1</v>
      </c>
      <c r="CA457" s="675">
        <f t="shared" si="186"/>
        <v>0</v>
      </c>
      <c r="CB457" s="675">
        <f t="shared" si="187"/>
        <v>0</v>
      </c>
    </row>
    <row r="458" spans="1:80" ht="112.5" hidden="1" customHeight="1" x14ac:dyDescent="0.25">
      <c r="A458" s="298" t="s">
        <v>1353</v>
      </c>
      <c r="B458" s="299" t="str">
        <f>'PLAN INDICATIVO'!B449</f>
        <v>Ambiental</v>
      </c>
      <c r="C458" s="1547"/>
      <c r="D458" s="1551"/>
      <c r="E458" s="1551"/>
      <c r="F458" s="1551"/>
      <c r="G458" s="1551"/>
      <c r="H458" s="1551"/>
      <c r="I458" s="300">
        <f>'PLAN INDICATIVO'!I449</f>
        <v>0</v>
      </c>
      <c r="J458" s="300">
        <f>'PLAN INDICATIVO'!J449</f>
        <v>0</v>
      </c>
      <c r="K458" s="1428" t="str">
        <f>'PLAN INDICATIVO'!K449</f>
        <v>A.10.1.9</v>
      </c>
      <c r="L458" s="301" t="str">
        <f>'PLAN INDICATIVO'!L449</f>
        <v>15. Vida de ecosistemas terrestres</v>
      </c>
      <c r="M458" s="301" t="str">
        <f>'PLAN INDICATIVO'!M449</f>
        <v>Unidad de Desarrollo Rural</v>
      </c>
      <c r="N458" s="1425" t="str">
        <f>'PLAN INDICATIVO'!N449</f>
        <v>GABRIEL ERNESTO CAMPOS ALVIRA</v>
      </c>
      <c r="O458" s="1425" t="str">
        <f>'PLAN INDICATIVO'!O449</f>
        <v>Incremento</v>
      </c>
      <c r="P458" s="16" t="str">
        <f>'PLAN INDICATIVO'!P449</f>
        <v>Gestionar la implementación de 1 programa ambiental en el cuatrienio que permita la sensibilización, educación, concientización, y capacitación a la comunidad dedicada al reciclaje, como también programas de limpiezas de ríos, parques, quebradas, caminos.</v>
      </c>
      <c r="Q458" s="302" t="str">
        <f>'PLAN INDICATIVO'!Q449</f>
        <v>No. De Gestiones para implementar programas</v>
      </c>
      <c r="R458" s="303">
        <f>'PLAN INDICATIVO'!R449</f>
        <v>2015</v>
      </c>
      <c r="S458" s="304">
        <v>0</v>
      </c>
      <c r="T458" s="498">
        <v>1</v>
      </c>
      <c r="U458" s="572">
        <v>0</v>
      </c>
      <c r="V458" s="687">
        <v>4000000</v>
      </c>
      <c r="W458" s="572">
        <v>0.33</v>
      </c>
      <c r="X458" s="687">
        <v>2000000</v>
      </c>
      <c r="Y458" s="572">
        <v>0.33</v>
      </c>
      <c r="Z458" s="687">
        <v>2000000</v>
      </c>
      <c r="AA458" s="572">
        <v>0.34</v>
      </c>
      <c r="AB458" s="687">
        <v>2000000</v>
      </c>
      <c r="AC458" s="665"/>
      <c r="AD458" s="665">
        <v>0.33</v>
      </c>
      <c r="AE458" s="665"/>
      <c r="AF458" s="665"/>
      <c r="AG458" s="887" t="s">
        <v>3885</v>
      </c>
      <c r="AH458" s="990">
        <v>2017413960054</v>
      </c>
      <c r="AI458" s="336" t="s">
        <v>3904</v>
      </c>
      <c r="AJ458" s="881">
        <v>42887</v>
      </c>
      <c r="AK458" s="881">
        <v>43099</v>
      </c>
      <c r="AL458" s="308"/>
      <c r="AM458" s="308"/>
      <c r="AN458" s="267" t="s">
        <v>2598</v>
      </c>
      <c r="AO458" s="507" t="s">
        <v>3905</v>
      </c>
      <c r="AP458" s="525">
        <v>1500000</v>
      </c>
      <c r="AQ458" s="973"/>
      <c r="AR458" s="973"/>
      <c r="AS458" s="973"/>
      <c r="AT458" s="973"/>
      <c r="AU458" s="973"/>
      <c r="AV458" s="973"/>
      <c r="AW458" s="544">
        <f t="shared" si="207"/>
        <v>1500000</v>
      </c>
      <c r="AX458" s="525"/>
      <c r="AY458" s="310"/>
      <c r="AZ458" s="310"/>
      <c r="BA458" s="310"/>
      <c r="BB458" s="310"/>
      <c r="BC458" s="310"/>
      <c r="BD458" s="310"/>
      <c r="BE458" s="544">
        <f t="shared" si="208"/>
        <v>0</v>
      </c>
      <c r="BF458" s="525"/>
      <c r="BG458" s="310"/>
      <c r="BH458" s="310"/>
      <c r="BI458" s="310"/>
      <c r="BJ458" s="310"/>
      <c r="BK458" s="310"/>
      <c r="BL458" s="310"/>
      <c r="BM458" s="544">
        <f t="shared" si="209"/>
        <v>0</v>
      </c>
      <c r="BN458" s="525"/>
      <c r="BO458" s="310"/>
      <c r="BP458" s="310"/>
      <c r="BQ458" s="310"/>
      <c r="BR458" s="310"/>
      <c r="BS458" s="310"/>
      <c r="BT458" s="310"/>
      <c r="BU458" s="544">
        <f t="shared" si="210"/>
        <v>0</v>
      </c>
      <c r="BV458" s="556"/>
      <c r="BW458" s="663">
        <f t="shared" si="182"/>
        <v>0.33</v>
      </c>
      <c r="BX458" s="674">
        <f t="shared" si="183"/>
        <v>0.33</v>
      </c>
      <c r="BY458" s="674" t="e">
        <f t="shared" si="184"/>
        <v>#DIV/0!</v>
      </c>
      <c r="BZ458" s="674">
        <f t="shared" si="185"/>
        <v>1</v>
      </c>
      <c r="CA458" s="675">
        <f t="shared" si="186"/>
        <v>0</v>
      </c>
      <c r="CB458" s="675">
        <f t="shared" si="187"/>
        <v>0</v>
      </c>
    </row>
    <row r="459" spans="1:80" ht="76.5" hidden="1" customHeight="1" x14ac:dyDescent="0.25">
      <c r="A459" s="298" t="s">
        <v>1353</v>
      </c>
      <c r="B459" s="299" t="str">
        <f>'PLAN INDICATIVO'!B450</f>
        <v>Ambiental</v>
      </c>
      <c r="C459" s="1547"/>
      <c r="D459" s="1551"/>
      <c r="E459" s="1551"/>
      <c r="F459" s="1551"/>
      <c r="G459" s="1551"/>
      <c r="H459" s="1551"/>
      <c r="I459" s="300">
        <f>'PLAN INDICATIVO'!I450</f>
        <v>0</v>
      </c>
      <c r="J459" s="300">
        <f>'PLAN INDICATIVO'!J450</f>
        <v>0</v>
      </c>
      <c r="K459" s="1428" t="str">
        <f>'PLAN INDICATIVO'!K450</f>
        <v>A.10.1.10</v>
      </c>
      <c r="L459" s="301" t="str">
        <f>'PLAN INDICATIVO'!L450</f>
        <v>15. Vida de ecosistemas terrestres</v>
      </c>
      <c r="M459" s="301" t="str">
        <f>'PLAN INDICATIVO'!M450</f>
        <v>Unidad de Desarrollo Rural</v>
      </c>
      <c r="N459" s="1425" t="str">
        <f>'PLAN INDICATIVO'!N450</f>
        <v>GABRIEL ERNESTO CAMPOS ALVIRA</v>
      </c>
      <c r="O459" s="1425" t="str">
        <f>'PLAN INDICATIVO'!O450</f>
        <v>Incremento</v>
      </c>
      <c r="P459" s="16" t="str">
        <f>'PLAN INDICATIVO'!P450</f>
        <v>Realizar 4 campañas durante el cuatrienio, para evitar la contaminación con heces de los animales utilizados para vehículos de tracción animal</v>
      </c>
      <c r="Q459" s="302" t="str">
        <f>'PLAN INDICATIVO'!Q450</f>
        <v>No. de campañas realizadas</v>
      </c>
      <c r="R459" s="303">
        <f>'PLAN INDICATIVO'!R450</f>
        <v>2015</v>
      </c>
      <c r="S459" s="304">
        <v>0</v>
      </c>
      <c r="T459" s="498">
        <v>4</v>
      </c>
      <c r="U459" s="572">
        <v>1</v>
      </c>
      <c r="V459" s="687">
        <v>3000000</v>
      </c>
      <c r="W459" s="572">
        <v>1</v>
      </c>
      <c r="X459" s="687">
        <v>2000000</v>
      </c>
      <c r="Y459" s="572">
        <v>1</v>
      </c>
      <c r="Z459" s="687">
        <v>2000000</v>
      </c>
      <c r="AA459" s="572">
        <v>1</v>
      </c>
      <c r="AB459" s="687">
        <v>2000000</v>
      </c>
      <c r="AC459" s="665">
        <v>3</v>
      </c>
      <c r="AD459" s="665">
        <v>1</v>
      </c>
      <c r="AE459" s="665"/>
      <c r="AF459" s="665"/>
      <c r="AG459" s="887" t="s">
        <v>3885</v>
      </c>
      <c r="AH459" s="990">
        <v>2017413960054</v>
      </c>
      <c r="AI459" s="307" t="s">
        <v>3906</v>
      </c>
      <c r="AJ459" s="309">
        <v>42795</v>
      </c>
      <c r="AK459" s="309">
        <v>42824</v>
      </c>
      <c r="AL459" s="308"/>
      <c r="AM459" s="308"/>
      <c r="AN459" s="267" t="s">
        <v>2598</v>
      </c>
      <c r="AO459" s="507" t="s">
        <v>3907</v>
      </c>
      <c r="AP459" s="972"/>
      <c r="AQ459" s="973"/>
      <c r="AR459" s="973"/>
      <c r="AS459" s="973"/>
      <c r="AT459" s="973"/>
      <c r="AU459" s="973"/>
      <c r="AV459" s="973">
        <v>1450000</v>
      </c>
      <c r="AW459" s="544">
        <f t="shared" si="207"/>
        <v>1450000</v>
      </c>
      <c r="AX459" s="525"/>
      <c r="AY459" s="310"/>
      <c r="AZ459" s="310"/>
      <c r="BA459" s="310"/>
      <c r="BB459" s="310"/>
      <c r="BC459" s="310"/>
      <c r="BD459" s="310"/>
      <c r="BE459" s="544">
        <f t="shared" si="208"/>
        <v>0</v>
      </c>
      <c r="BF459" s="525"/>
      <c r="BG459" s="310"/>
      <c r="BH459" s="310"/>
      <c r="BI459" s="310"/>
      <c r="BJ459" s="310"/>
      <c r="BK459" s="310"/>
      <c r="BL459" s="310"/>
      <c r="BM459" s="544">
        <f t="shared" si="209"/>
        <v>0</v>
      </c>
      <c r="BN459" s="525"/>
      <c r="BO459" s="310"/>
      <c r="BP459" s="310"/>
      <c r="BQ459" s="310"/>
      <c r="BR459" s="310"/>
      <c r="BS459" s="310"/>
      <c r="BT459" s="310"/>
      <c r="BU459" s="544">
        <f t="shared" si="210"/>
        <v>0</v>
      </c>
      <c r="BV459" s="556"/>
      <c r="BW459" s="663">
        <f t="shared" ref="BW459:BW500" si="211">AC459+AD459+AE459+AF459</f>
        <v>4</v>
      </c>
      <c r="BX459" s="674">
        <f t="shared" ref="BX459:BX500" si="212">BW459/T459</f>
        <v>1</v>
      </c>
      <c r="BY459" s="674">
        <f t="shared" ref="BY459:BY500" si="213">AC459/U459</f>
        <v>3</v>
      </c>
      <c r="BZ459" s="674">
        <f t="shared" ref="BZ459:BZ500" si="214">AD459/W459</f>
        <v>1</v>
      </c>
      <c r="CA459" s="675">
        <f t="shared" ref="CA459:CA500" si="215">AE459/Y459</f>
        <v>0</v>
      </c>
      <c r="CB459" s="675">
        <f t="shared" ref="CB459:CB500" si="216">AF459/AA459</f>
        <v>0</v>
      </c>
    </row>
    <row r="460" spans="1:80" ht="99" hidden="1" customHeight="1" x14ac:dyDescent="0.25">
      <c r="A460" s="298" t="s">
        <v>1353</v>
      </c>
      <c r="B460" s="299" t="str">
        <f>'PLAN INDICATIVO'!B451</f>
        <v>Ambiental</v>
      </c>
      <c r="C460" s="1547"/>
      <c r="D460" s="1551"/>
      <c r="E460" s="1551"/>
      <c r="F460" s="1551"/>
      <c r="G460" s="1551"/>
      <c r="H460" s="1551"/>
      <c r="I460" s="300">
        <f>'PLAN INDICATIVO'!I451</f>
        <v>0</v>
      </c>
      <c r="J460" s="300">
        <f>'PLAN INDICATIVO'!J451</f>
        <v>0</v>
      </c>
      <c r="K460" s="1428" t="str">
        <f>'PLAN INDICATIVO'!K451</f>
        <v>A.10.1.11</v>
      </c>
      <c r="L460" s="301" t="str">
        <f>'PLAN INDICATIVO'!L451</f>
        <v>15. Vida de ecosistemas terrestres</v>
      </c>
      <c r="M460" s="301" t="str">
        <f>'PLAN INDICATIVO'!M451</f>
        <v>Unidad de Desarrollo Rural</v>
      </c>
      <c r="N460" s="1425" t="str">
        <f>'PLAN INDICATIVO'!N451</f>
        <v>GABRIEL ERNESTO CAMPOS ALVIRA</v>
      </c>
      <c r="O460" s="1425" t="str">
        <f>'PLAN INDICATIVO'!O451</f>
        <v>Incremento</v>
      </c>
      <c r="P460" s="16" t="str">
        <f>'PLAN INDICATIVO'!P451</f>
        <v>Formular e implementar 1 estrategia para lograr la sustitución de vehículos de tracción animal.</v>
      </c>
      <c r="Q460" s="302" t="str">
        <f>'PLAN INDICATIVO'!Q451</f>
        <v>No. De Estrategia formuladas e implementada.</v>
      </c>
      <c r="R460" s="303">
        <f>'PLAN INDICATIVO'!R451</f>
        <v>2015</v>
      </c>
      <c r="S460" s="304">
        <v>0</v>
      </c>
      <c r="T460" s="498">
        <v>1</v>
      </c>
      <c r="U460" s="572">
        <v>0</v>
      </c>
      <c r="V460" s="687">
        <v>5000000</v>
      </c>
      <c r="W460" s="572">
        <v>0.33</v>
      </c>
      <c r="X460" s="687">
        <v>19000000</v>
      </c>
      <c r="Y460" s="572">
        <v>0.33</v>
      </c>
      <c r="Z460" s="687">
        <v>1000000</v>
      </c>
      <c r="AA460" s="572">
        <v>0.34</v>
      </c>
      <c r="AB460" s="687">
        <v>4000000</v>
      </c>
      <c r="AC460" s="665"/>
      <c r="AD460" s="665">
        <v>0</v>
      </c>
      <c r="AE460" s="665"/>
      <c r="AF460" s="665"/>
      <c r="AG460" s="892" t="s">
        <v>3890</v>
      </c>
      <c r="AH460" s="990">
        <v>2017413960054</v>
      </c>
      <c r="AI460" s="307" t="s">
        <v>3908</v>
      </c>
      <c r="AJ460" s="309">
        <v>42795</v>
      </c>
      <c r="AK460" s="309">
        <v>43099</v>
      </c>
      <c r="AL460" s="308"/>
      <c r="AM460" s="308"/>
      <c r="AN460" s="267" t="s">
        <v>2600</v>
      </c>
      <c r="AO460" s="507" t="s">
        <v>3892</v>
      </c>
      <c r="AP460" s="972">
        <v>1500000</v>
      </c>
      <c r="AQ460" s="973"/>
      <c r="AR460" s="973"/>
      <c r="AS460" s="973"/>
      <c r="AT460" s="973"/>
      <c r="AU460" s="973"/>
      <c r="AV460" s="973"/>
      <c r="AW460" s="544">
        <f t="shared" si="207"/>
        <v>1500000</v>
      </c>
      <c r="AX460" s="525"/>
      <c r="AY460" s="310"/>
      <c r="AZ460" s="310"/>
      <c r="BA460" s="310"/>
      <c r="BB460" s="310"/>
      <c r="BC460" s="310"/>
      <c r="BD460" s="310"/>
      <c r="BE460" s="544">
        <f t="shared" si="208"/>
        <v>0</v>
      </c>
      <c r="BF460" s="525"/>
      <c r="BG460" s="310"/>
      <c r="BH460" s="310"/>
      <c r="BI460" s="310"/>
      <c r="BJ460" s="310"/>
      <c r="BK460" s="310"/>
      <c r="BL460" s="310"/>
      <c r="BM460" s="544">
        <f t="shared" si="209"/>
        <v>0</v>
      </c>
      <c r="BN460" s="525"/>
      <c r="BO460" s="310"/>
      <c r="BP460" s="310"/>
      <c r="BQ460" s="310"/>
      <c r="BR460" s="310"/>
      <c r="BS460" s="310"/>
      <c r="BT460" s="310"/>
      <c r="BU460" s="544">
        <f t="shared" si="210"/>
        <v>0</v>
      </c>
      <c r="BV460" s="556"/>
      <c r="BW460" s="663">
        <f t="shared" si="211"/>
        <v>0</v>
      </c>
      <c r="BX460" s="674">
        <f t="shared" si="212"/>
        <v>0</v>
      </c>
      <c r="BY460" s="674" t="e">
        <f t="shared" si="213"/>
        <v>#DIV/0!</v>
      </c>
      <c r="BZ460" s="674">
        <f t="shared" si="214"/>
        <v>0</v>
      </c>
      <c r="CA460" s="675">
        <f t="shared" si="215"/>
        <v>0</v>
      </c>
      <c r="CB460" s="675">
        <f t="shared" si="216"/>
        <v>0</v>
      </c>
    </row>
    <row r="461" spans="1:80" ht="83.25" hidden="1" customHeight="1" x14ac:dyDescent="0.25">
      <c r="A461" s="298" t="s">
        <v>1353</v>
      </c>
      <c r="B461" s="299" t="str">
        <f>'PLAN INDICATIVO'!B452</f>
        <v>Ambiental</v>
      </c>
      <c r="C461" s="1547"/>
      <c r="D461" s="1551"/>
      <c r="E461" s="1551"/>
      <c r="F461" s="1551"/>
      <c r="G461" s="1551"/>
      <c r="H461" s="1551"/>
      <c r="I461" s="300">
        <f>'PLAN INDICATIVO'!I452</f>
        <v>0</v>
      </c>
      <c r="J461" s="300">
        <f>'PLAN INDICATIVO'!J452</f>
        <v>0</v>
      </c>
      <c r="K461" s="1428" t="str">
        <f>'PLAN INDICATIVO'!K452</f>
        <v>A.10.1.12</v>
      </c>
      <c r="L461" s="301" t="str">
        <f>'PLAN INDICATIVO'!L452</f>
        <v>15. Vida de ecosistemas terrestres</v>
      </c>
      <c r="M461" s="301" t="str">
        <f>'PLAN INDICATIVO'!M452</f>
        <v>Unidad de Desarrollo Rural</v>
      </c>
      <c r="N461" s="1425" t="str">
        <f>'PLAN INDICATIVO'!N452</f>
        <v>GABRIEL ERNESTO CAMPOS ALVIRA</v>
      </c>
      <c r="O461" s="1425" t="str">
        <f>'PLAN INDICATIVO'!O452</f>
        <v>Incremento</v>
      </c>
      <c r="P461" s="16" t="str">
        <f>'PLAN INDICATIVO'!P452</f>
        <v>Garantizar 1 sitio adecuado para la disposición final de los escombros, durante el cuatrienio.</v>
      </c>
      <c r="Q461" s="302" t="str">
        <f>'PLAN INDICATIVO'!Q452</f>
        <v>No. De Gestión realizada</v>
      </c>
      <c r="R461" s="303">
        <f>'PLAN INDICATIVO'!R452</f>
        <v>2015</v>
      </c>
      <c r="S461" s="304">
        <v>0</v>
      </c>
      <c r="T461" s="498">
        <v>1</v>
      </c>
      <c r="U461" s="572">
        <v>0</v>
      </c>
      <c r="V461" s="687">
        <v>0</v>
      </c>
      <c r="W461" s="572">
        <v>0</v>
      </c>
      <c r="X461" s="687"/>
      <c r="Y461" s="572">
        <v>1</v>
      </c>
      <c r="Z461" s="687">
        <v>15000000</v>
      </c>
      <c r="AA461" s="572">
        <v>1</v>
      </c>
      <c r="AB461" s="687">
        <v>5000000</v>
      </c>
      <c r="AC461" s="665"/>
      <c r="AD461" s="665"/>
      <c r="AE461" s="665"/>
      <c r="AF461" s="665"/>
      <c r="AG461" s="892" t="s">
        <v>3890</v>
      </c>
      <c r="AH461" s="990">
        <v>2017413960054</v>
      </c>
      <c r="AI461" s="307" t="s">
        <v>3909</v>
      </c>
      <c r="AJ461" s="309">
        <v>42795</v>
      </c>
      <c r="AK461" s="309">
        <v>43099</v>
      </c>
      <c r="AL461" s="308"/>
      <c r="AM461" s="308"/>
      <c r="AN461" s="267" t="s">
        <v>2594</v>
      </c>
      <c r="AO461" s="507" t="s">
        <v>3910</v>
      </c>
      <c r="AP461" s="310">
        <v>2500000</v>
      </c>
      <c r="AQ461" s="310"/>
      <c r="AR461" s="310"/>
      <c r="AS461" s="310"/>
      <c r="AT461" s="310"/>
      <c r="AU461" s="310"/>
      <c r="AV461" s="310"/>
      <c r="AW461" s="544">
        <f t="shared" si="207"/>
        <v>2500000</v>
      </c>
      <c r="AX461" s="525"/>
      <c r="AY461" s="310"/>
      <c r="AZ461" s="310"/>
      <c r="BA461" s="310"/>
      <c r="BB461" s="310"/>
      <c r="BC461" s="310"/>
      <c r="BD461" s="310"/>
      <c r="BE461" s="544">
        <f t="shared" si="208"/>
        <v>0</v>
      </c>
      <c r="BF461" s="525"/>
      <c r="BG461" s="310"/>
      <c r="BH461" s="310"/>
      <c r="BI461" s="310"/>
      <c r="BJ461" s="310"/>
      <c r="BK461" s="310"/>
      <c r="BL461" s="310"/>
      <c r="BM461" s="544">
        <f t="shared" si="209"/>
        <v>0</v>
      </c>
      <c r="BN461" s="525"/>
      <c r="BO461" s="310"/>
      <c r="BP461" s="310"/>
      <c r="BQ461" s="310"/>
      <c r="BR461" s="310"/>
      <c r="BS461" s="310"/>
      <c r="BT461" s="310"/>
      <c r="BU461" s="544">
        <f t="shared" si="210"/>
        <v>0</v>
      </c>
      <c r="BV461" s="556"/>
      <c r="BW461" s="663">
        <f t="shared" si="211"/>
        <v>0</v>
      </c>
      <c r="BX461" s="674">
        <f t="shared" si="212"/>
        <v>0</v>
      </c>
      <c r="BY461" s="674" t="e">
        <f t="shared" si="213"/>
        <v>#DIV/0!</v>
      </c>
      <c r="BZ461" s="674" t="e">
        <f t="shared" si="214"/>
        <v>#DIV/0!</v>
      </c>
      <c r="CA461" s="675">
        <f t="shared" si="215"/>
        <v>0</v>
      </c>
      <c r="CB461" s="675">
        <f t="shared" si="216"/>
        <v>0</v>
      </c>
    </row>
    <row r="462" spans="1:80" ht="78" hidden="1" customHeight="1" x14ac:dyDescent="0.25">
      <c r="A462" s="298" t="s">
        <v>1353</v>
      </c>
      <c r="B462" s="299" t="str">
        <f>'PLAN INDICATIVO'!B453</f>
        <v>Ambiental</v>
      </c>
      <c r="C462" s="1547"/>
      <c r="D462" s="1551"/>
      <c r="E462" s="1551"/>
      <c r="F462" s="1551"/>
      <c r="G462" s="1551"/>
      <c r="H462" s="1551"/>
      <c r="I462" s="300">
        <f>'PLAN INDICATIVO'!I453</f>
        <v>0</v>
      </c>
      <c r="J462" s="300">
        <f>'PLAN INDICATIVO'!J453</f>
        <v>0</v>
      </c>
      <c r="K462" s="1428" t="str">
        <f>'PLAN INDICATIVO'!K453</f>
        <v>A.10.1.13</v>
      </c>
      <c r="L462" s="301" t="str">
        <f>'PLAN INDICATIVO'!L453</f>
        <v>15. Vida de ecosistemas terrestres</v>
      </c>
      <c r="M462" s="301" t="str">
        <f>'PLAN INDICATIVO'!M453</f>
        <v>Unidad de Desarrollo Rural</v>
      </c>
      <c r="N462" s="1425" t="str">
        <f>'PLAN INDICATIVO'!N453</f>
        <v>GABRIEL ERNESTO CAMPOS ALVIRA</v>
      </c>
      <c r="O462" s="1425" t="str">
        <f>'PLAN INDICATIVO'!O453</f>
        <v>Incremento</v>
      </c>
      <c r="P462" s="25" t="str">
        <f>'PLAN INDICATIVO'!P453</f>
        <v>Realizar 8 jornadas de capacitaciones no formales en busca de estímulos para hacer separación en la fuente, durante el cuatrienio</v>
      </c>
      <c r="Q462" s="302" t="str">
        <f>'PLAN INDICATIVO'!Q453</f>
        <v>No. De capacitaciones realizadas</v>
      </c>
      <c r="R462" s="303">
        <f>'PLAN INDICATIVO'!R453</f>
        <v>2015</v>
      </c>
      <c r="S462" s="304">
        <v>0</v>
      </c>
      <c r="T462" s="498">
        <v>8</v>
      </c>
      <c r="U462" s="572">
        <v>2</v>
      </c>
      <c r="V462" s="687">
        <v>1000000</v>
      </c>
      <c r="W462" s="66">
        <v>1</v>
      </c>
      <c r="X462" s="687">
        <v>5000000</v>
      </c>
      <c r="Y462" s="66">
        <v>1</v>
      </c>
      <c r="Z462" s="687">
        <v>5000000</v>
      </c>
      <c r="AA462" s="66">
        <v>1</v>
      </c>
      <c r="AB462" s="687">
        <v>5000000</v>
      </c>
      <c r="AC462" s="665">
        <v>5</v>
      </c>
      <c r="AD462" s="665">
        <v>2</v>
      </c>
      <c r="AE462" s="665"/>
      <c r="AF462" s="665"/>
      <c r="AG462" s="892" t="s">
        <v>3890</v>
      </c>
      <c r="AH462" s="990">
        <v>2017413960054</v>
      </c>
      <c r="AI462" s="336" t="s">
        <v>3911</v>
      </c>
      <c r="AJ462" s="309">
        <v>42887</v>
      </c>
      <c r="AK462" s="309">
        <v>43099</v>
      </c>
      <c r="AL462" s="308"/>
      <c r="AM462" s="308"/>
      <c r="AN462" s="267" t="s">
        <v>2598</v>
      </c>
      <c r="AO462" s="507" t="s">
        <v>3899</v>
      </c>
      <c r="AP462" s="973">
        <v>1000000</v>
      </c>
      <c r="AQ462" s="973"/>
      <c r="AR462" s="973"/>
      <c r="AS462" s="973"/>
      <c r="AT462" s="973"/>
      <c r="AU462" s="973"/>
      <c r="AV462" s="973"/>
      <c r="AW462" s="544">
        <f t="shared" si="207"/>
        <v>1000000</v>
      </c>
      <c r="AX462" s="525"/>
      <c r="AY462" s="310"/>
      <c r="AZ462" s="310"/>
      <c r="BA462" s="310"/>
      <c r="BB462" s="310"/>
      <c r="BC462" s="310"/>
      <c r="BD462" s="310"/>
      <c r="BE462" s="544">
        <f t="shared" si="208"/>
        <v>0</v>
      </c>
      <c r="BF462" s="525"/>
      <c r="BG462" s="310"/>
      <c r="BH462" s="310"/>
      <c r="BI462" s="310"/>
      <c r="BJ462" s="310"/>
      <c r="BK462" s="310"/>
      <c r="BL462" s="310"/>
      <c r="BM462" s="544">
        <f t="shared" si="209"/>
        <v>0</v>
      </c>
      <c r="BN462" s="525"/>
      <c r="BO462" s="310"/>
      <c r="BP462" s="310"/>
      <c r="BQ462" s="310"/>
      <c r="BR462" s="310"/>
      <c r="BS462" s="310"/>
      <c r="BT462" s="310"/>
      <c r="BU462" s="544">
        <f t="shared" si="210"/>
        <v>0</v>
      </c>
      <c r="BV462" s="556"/>
      <c r="BW462" s="663">
        <f t="shared" si="211"/>
        <v>7</v>
      </c>
      <c r="BX462" s="674">
        <f t="shared" si="212"/>
        <v>0.875</v>
      </c>
      <c r="BY462" s="674">
        <f t="shared" si="213"/>
        <v>2.5</v>
      </c>
      <c r="BZ462" s="674">
        <f t="shared" si="214"/>
        <v>2</v>
      </c>
      <c r="CA462" s="675">
        <f t="shared" si="215"/>
        <v>0</v>
      </c>
      <c r="CB462" s="675">
        <f t="shared" si="216"/>
        <v>0</v>
      </c>
    </row>
    <row r="463" spans="1:80" ht="78" hidden="1" customHeight="1" x14ac:dyDescent="0.25">
      <c r="A463" s="298" t="s">
        <v>1353</v>
      </c>
      <c r="B463" s="299" t="str">
        <f>'PLAN INDICATIVO'!B454</f>
        <v>Ambiental</v>
      </c>
      <c r="C463" s="1547"/>
      <c r="D463" s="1551"/>
      <c r="E463" s="1551"/>
      <c r="F463" s="1551"/>
      <c r="G463" s="1551"/>
      <c r="H463" s="1551"/>
      <c r="I463" s="300">
        <f>'PLAN INDICATIVO'!I454</f>
        <v>0</v>
      </c>
      <c r="J463" s="300">
        <f>'PLAN INDICATIVO'!J454</f>
        <v>0</v>
      </c>
      <c r="K463" s="1428" t="str">
        <f>'PLAN INDICATIVO'!K454</f>
        <v>A.10.1.14</v>
      </c>
      <c r="L463" s="301" t="str">
        <f>'PLAN INDICATIVO'!L454</f>
        <v>15. Vida de ecosistemas terrestres</v>
      </c>
      <c r="M463" s="301" t="str">
        <f>'PLAN INDICATIVO'!M454</f>
        <v>Unidad de Desarrollo Rural</v>
      </c>
      <c r="N463" s="1425" t="str">
        <f>'PLAN INDICATIVO'!N454</f>
        <v>GABRIEL ERNESTO CAMPOS ALVIRA</v>
      </c>
      <c r="O463" s="1425" t="str">
        <f>'PLAN INDICATIVO'!O454</f>
        <v>Incremento</v>
      </c>
      <c r="P463" s="16" t="str">
        <f>'PLAN INDICATIVO'!P454</f>
        <v>Realizar 10 capacitaciones en el cuatrienio, en centros poblados  respecto al manejo integral de los residuos sólidos.</v>
      </c>
      <c r="Q463" s="302" t="str">
        <f>'PLAN INDICATIVO'!Q454</f>
        <v>No. De capacitaciones realizadas</v>
      </c>
      <c r="R463" s="303">
        <f>'PLAN INDICATIVO'!R454</f>
        <v>2015</v>
      </c>
      <c r="S463" s="304">
        <v>0</v>
      </c>
      <c r="T463" s="498">
        <v>10</v>
      </c>
      <c r="U463" s="572">
        <v>2</v>
      </c>
      <c r="V463" s="687">
        <v>2000000</v>
      </c>
      <c r="W463" s="572">
        <v>3</v>
      </c>
      <c r="X463" s="687">
        <v>6000000</v>
      </c>
      <c r="Y463" s="572">
        <v>3</v>
      </c>
      <c r="Z463" s="687">
        <v>6000000</v>
      </c>
      <c r="AA463" s="572">
        <v>2</v>
      </c>
      <c r="AB463" s="687">
        <v>6000000</v>
      </c>
      <c r="AC463" s="665">
        <v>5</v>
      </c>
      <c r="AD463" s="665">
        <v>2</v>
      </c>
      <c r="AE463" s="665"/>
      <c r="AF463" s="665"/>
      <c r="AG463" s="892" t="s">
        <v>3890</v>
      </c>
      <c r="AH463" s="990">
        <v>2017413960054</v>
      </c>
      <c r="AI463" s="336" t="s">
        <v>3911</v>
      </c>
      <c r="AJ463" s="309">
        <v>42887</v>
      </c>
      <c r="AK463" s="309">
        <v>43099</v>
      </c>
      <c r="AL463" s="308"/>
      <c r="AM463" s="308"/>
      <c r="AN463" s="267" t="s">
        <v>2598</v>
      </c>
      <c r="AO463" s="507" t="s">
        <v>3910</v>
      </c>
      <c r="AP463" s="973">
        <v>2500000</v>
      </c>
      <c r="AQ463" s="973"/>
      <c r="AR463" s="973"/>
      <c r="AS463" s="973"/>
      <c r="AT463" s="973"/>
      <c r="AU463" s="973"/>
      <c r="AV463" s="973"/>
      <c r="AW463" s="544">
        <f t="shared" si="207"/>
        <v>2500000</v>
      </c>
      <c r="AX463" s="525"/>
      <c r="AY463" s="310"/>
      <c r="AZ463" s="310"/>
      <c r="BA463" s="310"/>
      <c r="BB463" s="310"/>
      <c r="BC463" s="310"/>
      <c r="BD463" s="310"/>
      <c r="BE463" s="544">
        <f t="shared" si="208"/>
        <v>0</v>
      </c>
      <c r="BF463" s="525"/>
      <c r="BG463" s="310"/>
      <c r="BH463" s="310"/>
      <c r="BI463" s="310"/>
      <c r="BJ463" s="310"/>
      <c r="BK463" s="310"/>
      <c r="BL463" s="310"/>
      <c r="BM463" s="544">
        <f t="shared" si="209"/>
        <v>0</v>
      </c>
      <c r="BN463" s="525"/>
      <c r="BO463" s="310"/>
      <c r="BP463" s="310"/>
      <c r="BQ463" s="310"/>
      <c r="BR463" s="310"/>
      <c r="BS463" s="310"/>
      <c r="BT463" s="310"/>
      <c r="BU463" s="544">
        <f t="shared" si="210"/>
        <v>0</v>
      </c>
      <c r="BV463" s="556"/>
      <c r="BW463" s="663">
        <f t="shared" si="211"/>
        <v>7</v>
      </c>
      <c r="BX463" s="674">
        <f t="shared" si="212"/>
        <v>0.7</v>
      </c>
      <c r="BY463" s="674">
        <f t="shared" si="213"/>
        <v>2.5</v>
      </c>
      <c r="BZ463" s="674">
        <f t="shared" si="214"/>
        <v>0.66666666666666663</v>
      </c>
      <c r="CA463" s="675">
        <f t="shared" si="215"/>
        <v>0</v>
      </c>
      <c r="CB463" s="675">
        <f t="shared" si="216"/>
        <v>0</v>
      </c>
    </row>
    <row r="464" spans="1:80" ht="63" hidden="1" customHeight="1" x14ac:dyDescent="0.25">
      <c r="A464" s="298" t="s">
        <v>1353</v>
      </c>
      <c r="B464" s="299" t="str">
        <f>'PLAN INDICATIVO'!B455</f>
        <v>Ambiental</v>
      </c>
      <c r="C464" s="1547"/>
      <c r="D464" s="1551"/>
      <c r="E464" s="1551"/>
      <c r="F464" s="1551"/>
      <c r="G464" s="1551"/>
      <c r="H464" s="1551"/>
      <c r="I464" s="300">
        <f>'PLAN INDICATIVO'!I455</f>
        <v>0</v>
      </c>
      <c r="J464" s="300">
        <f>'PLAN INDICATIVO'!J455</f>
        <v>0</v>
      </c>
      <c r="K464" s="1428" t="str">
        <f>'PLAN INDICATIVO'!K455</f>
        <v>A.10.1.15</v>
      </c>
      <c r="L464" s="301" t="str">
        <f>'PLAN INDICATIVO'!L455</f>
        <v>15. Vida de ecosistemas terrestres</v>
      </c>
      <c r="M464" s="301" t="str">
        <f>'PLAN INDICATIVO'!M455</f>
        <v>Unidad de Desarrollo Rural</v>
      </c>
      <c r="N464" s="1425" t="str">
        <f>'PLAN INDICATIVO'!N455</f>
        <v>GABRIEL ERNESTO CAMPOS ALVIRA</v>
      </c>
      <c r="O464" s="1425" t="str">
        <f>'PLAN INDICATIVO'!O455</f>
        <v>Incremento</v>
      </c>
      <c r="P464" s="16" t="str">
        <f>'PLAN INDICATIVO'!P455</f>
        <v>Realizar 4 jornadas de sensibilización en IE sobre cultura ambiental, en el cuatrienio</v>
      </c>
      <c r="Q464" s="302" t="str">
        <f>'PLAN INDICATIVO'!Q455</f>
        <v>No. De jornadas realizadas</v>
      </c>
      <c r="R464" s="303">
        <f>'PLAN INDICATIVO'!R455</f>
        <v>2015</v>
      </c>
      <c r="S464" s="304">
        <v>0</v>
      </c>
      <c r="T464" s="498">
        <v>4</v>
      </c>
      <c r="U464" s="572">
        <v>1</v>
      </c>
      <c r="V464" s="687">
        <v>2000000</v>
      </c>
      <c r="W464" s="572">
        <v>1</v>
      </c>
      <c r="X464" s="687">
        <v>1000000</v>
      </c>
      <c r="Y464" s="572">
        <v>1</v>
      </c>
      <c r="Z464" s="687">
        <v>1000000</v>
      </c>
      <c r="AA464" s="572">
        <v>1</v>
      </c>
      <c r="AB464" s="687">
        <v>1000000</v>
      </c>
      <c r="AC464" s="665">
        <v>1</v>
      </c>
      <c r="AD464" s="665">
        <v>1</v>
      </c>
      <c r="AE464" s="665"/>
      <c r="AF464" s="665"/>
      <c r="AG464" s="892" t="s">
        <v>3890</v>
      </c>
      <c r="AH464" s="990">
        <v>2017413960054</v>
      </c>
      <c r="AI464" s="336" t="s">
        <v>3912</v>
      </c>
      <c r="AJ464" s="309">
        <v>42856</v>
      </c>
      <c r="AK464" s="309">
        <v>43099</v>
      </c>
      <c r="AL464" s="308"/>
      <c r="AM464" s="308"/>
      <c r="AN464" s="267" t="s">
        <v>2598</v>
      </c>
      <c r="AO464" s="507" t="s">
        <v>3899</v>
      </c>
      <c r="AP464" s="972">
        <v>1000000</v>
      </c>
      <c r="AQ464" s="973"/>
      <c r="AR464" s="973"/>
      <c r="AS464" s="973"/>
      <c r="AT464" s="973"/>
      <c r="AU464" s="973"/>
      <c r="AV464" s="973"/>
      <c r="AW464" s="544">
        <f t="shared" si="207"/>
        <v>1000000</v>
      </c>
      <c r="AX464" s="525"/>
      <c r="AY464" s="310"/>
      <c r="AZ464" s="310"/>
      <c r="BA464" s="310"/>
      <c r="BB464" s="310"/>
      <c r="BC464" s="310"/>
      <c r="BD464" s="310"/>
      <c r="BE464" s="544">
        <f t="shared" si="208"/>
        <v>0</v>
      </c>
      <c r="BF464" s="525"/>
      <c r="BG464" s="310"/>
      <c r="BH464" s="310"/>
      <c r="BI464" s="310"/>
      <c r="BJ464" s="310"/>
      <c r="BK464" s="310"/>
      <c r="BL464" s="310"/>
      <c r="BM464" s="544">
        <f t="shared" si="209"/>
        <v>0</v>
      </c>
      <c r="BN464" s="525"/>
      <c r="BO464" s="310"/>
      <c r="BP464" s="310"/>
      <c r="BQ464" s="310"/>
      <c r="BR464" s="310"/>
      <c r="BS464" s="310"/>
      <c r="BT464" s="310"/>
      <c r="BU464" s="544">
        <f t="shared" si="210"/>
        <v>0</v>
      </c>
      <c r="BV464" s="556"/>
      <c r="BW464" s="663">
        <f t="shared" si="211"/>
        <v>2</v>
      </c>
      <c r="BX464" s="674">
        <f t="shared" si="212"/>
        <v>0.5</v>
      </c>
      <c r="BY464" s="674">
        <f t="shared" si="213"/>
        <v>1</v>
      </c>
      <c r="BZ464" s="674">
        <f t="shared" si="214"/>
        <v>1</v>
      </c>
      <c r="CA464" s="675">
        <f t="shared" si="215"/>
        <v>0</v>
      </c>
      <c r="CB464" s="675">
        <f t="shared" si="216"/>
        <v>0</v>
      </c>
    </row>
    <row r="465" spans="1:101" ht="63.75" hidden="1" customHeight="1" x14ac:dyDescent="0.25">
      <c r="A465" s="298" t="s">
        <v>1353</v>
      </c>
      <c r="B465" s="299" t="str">
        <f>'PLAN INDICATIVO'!B456</f>
        <v>Ambiental</v>
      </c>
      <c r="C465" s="1547"/>
      <c r="D465" s="1551"/>
      <c r="E465" s="1551"/>
      <c r="F465" s="1551"/>
      <c r="G465" s="1551"/>
      <c r="H465" s="1551"/>
      <c r="I465" s="300">
        <f>'PLAN INDICATIVO'!I456</f>
        <v>0</v>
      </c>
      <c r="J465" s="300">
        <f>'PLAN INDICATIVO'!J456</f>
        <v>0</v>
      </c>
      <c r="K465" s="1428" t="str">
        <f>'PLAN INDICATIVO'!K456</f>
        <v>A.10.1.16</v>
      </c>
      <c r="L465" s="301" t="str">
        <f>'PLAN INDICATIVO'!L456</f>
        <v>15. Vida de ecosistemas terrestres</v>
      </c>
      <c r="M465" s="301" t="str">
        <f>'PLAN INDICATIVO'!M456</f>
        <v>Unidad de Desarrollo Rural</v>
      </c>
      <c r="N465" s="1425" t="str">
        <f>'PLAN INDICATIVO'!N456</f>
        <v>GABRIEL ERNESTO CAMPOS ALVIRA</v>
      </c>
      <c r="O465" s="1425" t="str">
        <f>'PLAN INDICATIVO'!O456</f>
        <v>Incremento</v>
      </c>
      <c r="P465" s="16" t="str">
        <f>'PLAN INDICATIVO'!P456</f>
        <v xml:space="preserve">Diseñar un (1) plan municipal de adaptación al cambio climático, durante el cuatrienio. </v>
      </c>
      <c r="Q465" s="302" t="str">
        <f>'PLAN INDICATIVO'!Q456</f>
        <v>No. De planes municipales diseñados</v>
      </c>
      <c r="R465" s="303">
        <f>'PLAN INDICATIVO'!R456</f>
        <v>2015</v>
      </c>
      <c r="S465" s="304">
        <v>0</v>
      </c>
      <c r="T465" s="498">
        <v>1</v>
      </c>
      <c r="U465" s="895">
        <v>0</v>
      </c>
      <c r="V465" s="687">
        <v>1000000</v>
      </c>
      <c r="W465" s="572">
        <v>0.33</v>
      </c>
      <c r="X465" s="687">
        <v>4000000</v>
      </c>
      <c r="Y465" s="572">
        <v>0.33</v>
      </c>
      <c r="Z465" s="687">
        <v>1000000</v>
      </c>
      <c r="AA465" s="572">
        <v>0.34</v>
      </c>
      <c r="AB465" s="687">
        <v>1000000</v>
      </c>
      <c r="AC465" s="665"/>
      <c r="AD465" s="896">
        <v>0</v>
      </c>
      <c r="AE465" s="665"/>
      <c r="AF465" s="665"/>
      <c r="AG465" s="978"/>
      <c r="AH465" s="990">
        <v>2017413960054</v>
      </c>
      <c r="AI465" s="307"/>
      <c r="AJ465" s="308"/>
      <c r="AK465" s="308"/>
      <c r="AL465" s="308"/>
      <c r="AM465" s="308"/>
      <c r="AN465" s="267" t="s">
        <v>2600</v>
      </c>
      <c r="AO465" s="507"/>
      <c r="AP465" s="972"/>
      <c r="AQ465" s="973"/>
      <c r="AR465" s="973"/>
      <c r="AS465" s="973"/>
      <c r="AT465" s="973"/>
      <c r="AU465" s="973"/>
      <c r="AV465" s="973"/>
      <c r="AW465" s="544">
        <f t="shared" si="207"/>
        <v>0</v>
      </c>
      <c r="AX465" s="525"/>
      <c r="AY465" s="310"/>
      <c r="AZ465" s="310"/>
      <c r="BA465" s="310"/>
      <c r="BB465" s="310"/>
      <c r="BC465" s="310"/>
      <c r="BD465" s="310"/>
      <c r="BE465" s="544">
        <f t="shared" si="208"/>
        <v>0</v>
      </c>
      <c r="BF465" s="525"/>
      <c r="BG465" s="310"/>
      <c r="BH465" s="310"/>
      <c r="BI465" s="310"/>
      <c r="BJ465" s="310"/>
      <c r="BK465" s="310"/>
      <c r="BL465" s="310"/>
      <c r="BM465" s="544">
        <f t="shared" si="209"/>
        <v>0</v>
      </c>
      <c r="BN465" s="525"/>
      <c r="BO465" s="310"/>
      <c r="BP465" s="310"/>
      <c r="BQ465" s="310"/>
      <c r="BR465" s="310"/>
      <c r="BS465" s="310"/>
      <c r="BT465" s="310"/>
      <c r="BU465" s="544">
        <f t="shared" si="210"/>
        <v>0</v>
      </c>
      <c r="BV465" s="556"/>
      <c r="BW465" s="663">
        <f t="shared" si="211"/>
        <v>0</v>
      </c>
      <c r="BX465" s="674">
        <f t="shared" si="212"/>
        <v>0</v>
      </c>
      <c r="BY465" s="674" t="e">
        <f t="shared" si="213"/>
        <v>#DIV/0!</v>
      </c>
      <c r="BZ465" s="674">
        <f t="shared" si="214"/>
        <v>0</v>
      </c>
      <c r="CA465" s="675">
        <f t="shared" si="215"/>
        <v>0</v>
      </c>
      <c r="CB465" s="675">
        <f t="shared" si="216"/>
        <v>0</v>
      </c>
    </row>
    <row r="466" spans="1:101" ht="119.25" hidden="1" customHeight="1" x14ac:dyDescent="0.25">
      <c r="A466" s="298" t="s">
        <v>1353</v>
      </c>
      <c r="B466" s="299" t="str">
        <f>'PLAN INDICATIVO'!B457</f>
        <v>Ambiental</v>
      </c>
      <c r="C466" s="1547"/>
      <c r="D466" s="1551"/>
      <c r="E466" s="1551"/>
      <c r="F466" s="1551"/>
      <c r="G466" s="1551"/>
      <c r="H466" s="1551"/>
      <c r="I466" s="300">
        <f>'PLAN INDICATIVO'!I457</f>
        <v>0</v>
      </c>
      <c r="J466" s="300">
        <f>'PLAN INDICATIVO'!J457</f>
        <v>0</v>
      </c>
      <c r="K466" s="1428" t="str">
        <f>'PLAN INDICATIVO'!K457</f>
        <v>A.10.1.17</v>
      </c>
      <c r="L466" s="301" t="str">
        <f>'PLAN INDICATIVO'!L457</f>
        <v>15. Vida de ecosistemas terrestres</v>
      </c>
      <c r="M466" s="301" t="str">
        <f>'PLAN INDICATIVO'!M457</f>
        <v>Unidad de Desarrollo Rural</v>
      </c>
      <c r="N466" s="1425" t="str">
        <f>'PLAN INDICATIVO'!N457</f>
        <v>GABRIEL ERNESTO CAMPOS ALVIRA</v>
      </c>
      <c r="O466" s="1425" t="str">
        <f>'PLAN INDICATIVO'!O457</f>
        <v>Incremento</v>
      </c>
      <c r="P466" s="25" t="str">
        <f>'PLAN INDICATIVO'!P457</f>
        <v>Implementar un (1) programa de apoyo a los grupos asociativos, que desarrollen actividades de reciclaje, con fines comerciales y/o de protección ambiental en los centros poblados en el cuatrenio</v>
      </c>
      <c r="Q466" s="302" t="str">
        <f>'PLAN INDICATIVO'!Q457</f>
        <v xml:space="preserve">No. De planes municipales apoyados </v>
      </c>
      <c r="R466" s="303">
        <f>'PLAN INDICATIVO'!R457</f>
        <v>2015</v>
      </c>
      <c r="S466" s="304">
        <v>0</v>
      </c>
      <c r="T466" s="498">
        <v>1</v>
      </c>
      <c r="U466" s="572">
        <v>0</v>
      </c>
      <c r="V466" s="687">
        <v>4260000</v>
      </c>
      <c r="W466" s="66">
        <v>0.33</v>
      </c>
      <c r="X466" s="687">
        <v>5000000</v>
      </c>
      <c r="Y466" s="66">
        <v>0.33</v>
      </c>
      <c r="Z466" s="687">
        <v>1000000</v>
      </c>
      <c r="AA466" s="66">
        <v>0.34</v>
      </c>
      <c r="AB466" s="687">
        <v>3000000</v>
      </c>
      <c r="AC466" s="665"/>
      <c r="AD466" s="665">
        <v>0.33</v>
      </c>
      <c r="AE466" s="665"/>
      <c r="AF466" s="665"/>
      <c r="AG466" s="887" t="s">
        <v>3913</v>
      </c>
      <c r="AH466" s="990">
        <v>2017413960054</v>
      </c>
      <c r="AI466" s="307" t="s">
        <v>3914</v>
      </c>
      <c r="AJ466" s="309">
        <v>42856</v>
      </c>
      <c r="AK466" s="309">
        <v>43099</v>
      </c>
      <c r="AL466" s="308"/>
      <c r="AM466" s="308"/>
      <c r="AN466" s="267" t="s">
        <v>2598</v>
      </c>
      <c r="AO466" s="507" t="s">
        <v>3726</v>
      </c>
      <c r="AP466" s="972"/>
      <c r="AQ466" s="973">
        <f>3250000-1250000</f>
        <v>2000000</v>
      </c>
      <c r="AR466" s="973"/>
      <c r="AS466" s="973"/>
      <c r="AT466" s="973"/>
      <c r="AU466" s="973"/>
      <c r="AV466" s="973"/>
      <c r="AW466" s="544">
        <f t="shared" si="207"/>
        <v>2000000</v>
      </c>
      <c r="AX466" s="525"/>
      <c r="AY466" s="310"/>
      <c r="AZ466" s="310"/>
      <c r="BA466" s="310"/>
      <c r="BB466" s="310"/>
      <c r="BC466" s="310"/>
      <c r="BD466" s="310"/>
      <c r="BE466" s="544">
        <f t="shared" si="208"/>
        <v>0</v>
      </c>
      <c r="BF466" s="525"/>
      <c r="BG466" s="310"/>
      <c r="BH466" s="310"/>
      <c r="BI466" s="310"/>
      <c r="BJ466" s="310"/>
      <c r="BK466" s="310"/>
      <c r="BL466" s="310"/>
      <c r="BM466" s="544">
        <f t="shared" si="209"/>
        <v>0</v>
      </c>
      <c r="BN466" s="525"/>
      <c r="BO466" s="310"/>
      <c r="BP466" s="310"/>
      <c r="BQ466" s="310"/>
      <c r="BR466" s="310"/>
      <c r="BS466" s="310"/>
      <c r="BT466" s="310"/>
      <c r="BU466" s="544">
        <f t="shared" si="210"/>
        <v>0</v>
      </c>
      <c r="BV466" s="556"/>
      <c r="BW466" s="663">
        <f t="shared" si="211"/>
        <v>0.33</v>
      </c>
      <c r="BX466" s="674">
        <f t="shared" si="212"/>
        <v>0.33</v>
      </c>
      <c r="BY466" s="674" t="e">
        <f t="shared" si="213"/>
        <v>#DIV/0!</v>
      </c>
      <c r="BZ466" s="674">
        <f t="shared" si="214"/>
        <v>1</v>
      </c>
      <c r="CA466" s="675">
        <f t="shared" si="215"/>
        <v>0</v>
      </c>
      <c r="CB466" s="675">
        <f t="shared" si="216"/>
        <v>0</v>
      </c>
    </row>
    <row r="467" spans="1:101" ht="78.75" hidden="1" customHeight="1" x14ac:dyDescent="0.25">
      <c r="A467" s="298" t="s">
        <v>1353</v>
      </c>
      <c r="B467" s="299" t="str">
        <f>'PLAN INDICATIVO'!B458</f>
        <v>Ambiental</v>
      </c>
      <c r="C467" s="1547"/>
      <c r="D467" s="1551"/>
      <c r="E467" s="1551"/>
      <c r="F467" s="1551"/>
      <c r="G467" s="1551"/>
      <c r="H467" s="1551"/>
      <c r="I467" s="300">
        <f>'PLAN INDICATIVO'!I458</f>
        <v>0</v>
      </c>
      <c r="J467" s="300">
        <f>'PLAN INDICATIVO'!J458</f>
        <v>0</v>
      </c>
      <c r="K467" s="1428" t="str">
        <f>'PLAN INDICATIVO'!K458</f>
        <v>A.10.1.18</v>
      </c>
      <c r="L467" s="301" t="str">
        <f>'PLAN INDICATIVO'!L458</f>
        <v>15. Vida de ecosistemas terrestres</v>
      </c>
      <c r="M467" s="301" t="str">
        <f>'PLAN INDICATIVO'!M458</f>
        <v>Unidad de Desarrollo Rural</v>
      </c>
      <c r="N467" s="1425" t="str">
        <f>'PLAN INDICATIVO'!N458</f>
        <v>GABRIEL ERNESTO CAMPOS ALVIRA</v>
      </c>
      <c r="O467" s="1425" t="str">
        <f>'PLAN INDICATIVO'!O458</f>
        <v>Incremento</v>
      </c>
      <c r="P467" s="25" t="str">
        <f>'PLAN INDICATIVO'!P458</f>
        <v>Construir de 150 Hornillas ecológicas durante el cuatrienio</v>
      </c>
      <c r="Q467" s="302" t="str">
        <f>'PLAN INDICATIVO'!Q458</f>
        <v>No. de hornillas construidas</v>
      </c>
      <c r="R467" s="303">
        <f>'PLAN INDICATIVO'!R458</f>
        <v>2015</v>
      </c>
      <c r="S467" s="304">
        <v>0</v>
      </c>
      <c r="T467" s="498">
        <v>150</v>
      </c>
      <c r="U467" s="572">
        <v>0</v>
      </c>
      <c r="V467" s="687">
        <v>104000000</v>
      </c>
      <c r="W467" s="66">
        <v>40</v>
      </c>
      <c r="X467" s="687">
        <v>113000000</v>
      </c>
      <c r="Y467" s="66">
        <v>110</v>
      </c>
      <c r="Z467" s="687">
        <v>10000000</v>
      </c>
      <c r="AA467" s="572">
        <v>0</v>
      </c>
      <c r="AB467" s="687">
        <v>20000000</v>
      </c>
      <c r="AC467" s="665"/>
      <c r="AD467" s="665">
        <v>40</v>
      </c>
      <c r="AE467" s="665"/>
      <c r="AF467" s="665"/>
      <c r="AG467" s="266"/>
      <c r="AH467" s="990">
        <v>2017413960054</v>
      </c>
      <c r="AI467" s="307" t="s">
        <v>3915</v>
      </c>
      <c r="AJ467" s="308"/>
      <c r="AK467" s="308"/>
      <c r="AL467" s="308"/>
      <c r="AM467" s="308"/>
      <c r="AN467" s="267" t="s">
        <v>2598</v>
      </c>
      <c r="AO467" s="893">
        <v>1040984880</v>
      </c>
      <c r="AP467" s="972"/>
      <c r="AQ467" s="973"/>
      <c r="AR467" s="973"/>
      <c r="AS467" s="973"/>
      <c r="AT467" s="973"/>
      <c r="AU467" s="973"/>
      <c r="AV467" s="973"/>
      <c r="AW467" s="544">
        <f t="shared" si="207"/>
        <v>0</v>
      </c>
      <c r="AX467" s="525"/>
      <c r="AY467" s="310"/>
      <c r="AZ467" s="310"/>
      <c r="BA467" s="310"/>
      <c r="BB467" s="310"/>
      <c r="BC467" s="310"/>
      <c r="BD467" s="310"/>
      <c r="BE467" s="544">
        <f t="shared" si="208"/>
        <v>0</v>
      </c>
      <c r="BF467" s="525"/>
      <c r="BG467" s="310"/>
      <c r="BH467" s="310"/>
      <c r="BI467" s="310"/>
      <c r="BJ467" s="310"/>
      <c r="BK467" s="310"/>
      <c r="BL467" s="310"/>
      <c r="BM467" s="544">
        <f t="shared" si="209"/>
        <v>0</v>
      </c>
      <c r="BN467" s="525"/>
      <c r="BO467" s="310"/>
      <c r="BP467" s="310"/>
      <c r="BQ467" s="310"/>
      <c r="BR467" s="310"/>
      <c r="BS467" s="310"/>
      <c r="BT467" s="310"/>
      <c r="BU467" s="544">
        <f t="shared" si="210"/>
        <v>0</v>
      </c>
      <c r="BV467" s="556"/>
      <c r="BW467" s="663">
        <f t="shared" si="211"/>
        <v>40</v>
      </c>
      <c r="BX467" s="864">
        <f t="shared" si="212"/>
        <v>0.26666666666666666</v>
      </c>
      <c r="BY467" s="674" t="e">
        <f t="shared" si="213"/>
        <v>#DIV/0!</v>
      </c>
      <c r="BZ467" s="674">
        <f t="shared" si="214"/>
        <v>1</v>
      </c>
      <c r="CA467" s="675">
        <f t="shared" si="215"/>
        <v>0</v>
      </c>
      <c r="CB467" s="675" t="e">
        <f t="shared" si="216"/>
        <v>#DIV/0!</v>
      </c>
    </row>
    <row r="468" spans="1:101" ht="48.75" hidden="1" customHeight="1" x14ac:dyDescent="0.25">
      <c r="A468" s="298" t="s">
        <v>1353</v>
      </c>
      <c r="B468" s="299" t="str">
        <f>'PLAN INDICATIVO'!B459</f>
        <v>Ambiental</v>
      </c>
      <c r="C468" s="1547"/>
      <c r="D468" s="1551"/>
      <c r="E468" s="1551"/>
      <c r="F468" s="1551"/>
      <c r="G468" s="1551"/>
      <c r="H468" s="1551"/>
      <c r="I468" s="300">
        <f>'PLAN INDICATIVO'!I459</f>
        <v>0</v>
      </c>
      <c r="J468" s="300">
        <f>'PLAN INDICATIVO'!J459</f>
        <v>0</v>
      </c>
      <c r="K468" s="1428" t="str">
        <f>'PLAN INDICATIVO'!K459</f>
        <v>A.10.1.19</v>
      </c>
      <c r="L468" s="301" t="str">
        <f>'PLAN INDICATIVO'!L459</f>
        <v>15. Vida de ecosistemas terrestres</v>
      </c>
      <c r="M468" s="301" t="str">
        <f>'PLAN INDICATIVO'!M459</f>
        <v>Unidad de Desarrollo Rural</v>
      </c>
      <c r="N468" s="1425" t="str">
        <f>'PLAN INDICATIVO'!N459</f>
        <v>GABRIEL ERNESTO CAMPOS ALVIRA</v>
      </c>
      <c r="O468" s="1425" t="str">
        <f>'PLAN INDICATIVO'!O459</f>
        <v>Incremento</v>
      </c>
      <c r="P468" s="70" t="str">
        <f>'PLAN INDICATIVO'!P459</f>
        <v>2 proyectos apoyados durante el cuatrienio que incorporen producción limpia</v>
      </c>
      <c r="Q468" s="350" t="str">
        <f>'PLAN INDICATIVO'!Q459</f>
        <v>No. De proyectos apoyados</v>
      </c>
      <c r="R468" s="303">
        <f>'PLAN INDICATIVO'!R459</f>
        <v>2015</v>
      </c>
      <c r="S468" s="304">
        <v>0</v>
      </c>
      <c r="T468" s="498">
        <v>2</v>
      </c>
      <c r="U468" s="572">
        <v>2</v>
      </c>
      <c r="V468" s="687">
        <v>4000000</v>
      </c>
      <c r="W468" s="715">
        <v>0.5</v>
      </c>
      <c r="X468" s="687">
        <v>2000000</v>
      </c>
      <c r="Y468" s="715">
        <v>0.3</v>
      </c>
      <c r="Z468" s="687">
        <v>1000000</v>
      </c>
      <c r="AA468" s="715">
        <v>0.2</v>
      </c>
      <c r="AB468" s="687">
        <v>2000000</v>
      </c>
      <c r="AC468" s="665">
        <v>1</v>
      </c>
      <c r="AD468" s="665">
        <v>0.5</v>
      </c>
      <c r="AE468" s="665"/>
      <c r="AF468" s="665"/>
      <c r="AG468" s="887" t="s">
        <v>3061</v>
      </c>
      <c r="AH468" s="990">
        <v>2017413960054</v>
      </c>
      <c r="AI468" s="307" t="s">
        <v>3916</v>
      </c>
      <c r="AJ468" s="309">
        <v>42736</v>
      </c>
      <c r="AK468" s="309">
        <v>43099</v>
      </c>
      <c r="AL468" s="308"/>
      <c r="AM468" s="308"/>
      <c r="AN468" s="267" t="s">
        <v>2598</v>
      </c>
      <c r="AO468" s="507" t="s">
        <v>3917</v>
      </c>
      <c r="AP468" s="972"/>
      <c r="AQ468" s="973">
        <v>1500000</v>
      </c>
      <c r="AR468" s="973"/>
      <c r="AS468" s="973"/>
      <c r="AT468" s="973"/>
      <c r="AU468" s="973"/>
      <c r="AV468" s="973"/>
      <c r="AW468" s="544">
        <f t="shared" si="207"/>
        <v>1500000</v>
      </c>
      <c r="AX468" s="525"/>
      <c r="AY468" s="310"/>
      <c r="AZ468" s="310"/>
      <c r="BA468" s="310"/>
      <c r="BB468" s="310"/>
      <c r="BC468" s="310"/>
      <c r="BD468" s="310"/>
      <c r="BE468" s="544">
        <f t="shared" si="208"/>
        <v>0</v>
      </c>
      <c r="BF468" s="525"/>
      <c r="BG468" s="310"/>
      <c r="BH468" s="310"/>
      <c r="BI468" s="310"/>
      <c r="BJ468" s="310"/>
      <c r="BK468" s="310"/>
      <c r="BL468" s="310"/>
      <c r="BM468" s="544">
        <f t="shared" si="209"/>
        <v>0</v>
      </c>
      <c r="BN468" s="525"/>
      <c r="BO468" s="310"/>
      <c r="BP468" s="310"/>
      <c r="BQ468" s="310"/>
      <c r="BR468" s="310"/>
      <c r="BS468" s="310"/>
      <c r="BT468" s="310"/>
      <c r="BU468" s="544">
        <f t="shared" si="210"/>
        <v>0</v>
      </c>
      <c r="BV468" s="556"/>
      <c r="BW468" s="663">
        <f t="shared" si="211"/>
        <v>1.5</v>
      </c>
      <c r="BX468" s="674">
        <f t="shared" si="212"/>
        <v>0.75</v>
      </c>
      <c r="BY468" s="674">
        <f t="shared" si="213"/>
        <v>0.5</v>
      </c>
      <c r="BZ468" s="674">
        <f t="shared" si="214"/>
        <v>1</v>
      </c>
      <c r="CA468" s="675">
        <f t="shared" si="215"/>
        <v>0</v>
      </c>
      <c r="CB468" s="675">
        <f t="shared" si="216"/>
        <v>0</v>
      </c>
    </row>
    <row r="469" spans="1:101" ht="49.5" hidden="1" customHeight="1" x14ac:dyDescent="0.25">
      <c r="A469" s="298" t="s">
        <v>1353</v>
      </c>
      <c r="B469" s="299" t="str">
        <f>'PLAN INDICATIVO'!B460</f>
        <v>Ambiental</v>
      </c>
      <c r="C469" s="1547"/>
      <c r="D469" s="1551"/>
      <c r="E469" s="1551"/>
      <c r="F469" s="1551"/>
      <c r="G469" s="1551"/>
      <c r="H469" s="1551"/>
      <c r="I469" s="300">
        <f>'PLAN INDICATIVO'!I460</f>
        <v>0</v>
      </c>
      <c r="J469" s="375">
        <f>'PLAN INDICATIVO'!J460</f>
        <v>0</v>
      </c>
      <c r="K469" s="1428" t="str">
        <f>'PLAN INDICATIVO'!K460</f>
        <v>A.10.1.20</v>
      </c>
      <c r="L469" s="301" t="str">
        <f>'PLAN INDICATIVO'!L460</f>
        <v>15. Vida de ecosistemas terrestres</v>
      </c>
      <c r="M469" s="301" t="str">
        <f>'PLAN INDICATIVO'!M460</f>
        <v>Unidad de Desarrollo Rural</v>
      </c>
      <c r="N469" s="1425" t="str">
        <f>'PLAN INDICATIVO'!N460</f>
        <v>GABRIEL ERNESTO CAMPOS ALVIRA</v>
      </c>
      <c r="O469" s="1425" t="str">
        <f>'PLAN INDICATIVO'!O460</f>
        <v>Incremento</v>
      </c>
      <c r="P469" s="16" t="str">
        <f>'PLAN INDICATIVO'!P460</f>
        <v>Apoyar  200 instalaciones de sistemas de tratamiento residual (pozo Séptico), durante el cuatrienio</v>
      </c>
      <c r="Q469" s="302" t="str">
        <f>'PLAN INDICATIVO'!Q460</f>
        <v>No. De instalaciones apoyadas</v>
      </c>
      <c r="R469" s="351">
        <f>'PLAN INDICATIVO'!R460</f>
        <v>2015</v>
      </c>
      <c r="S469" s="304">
        <v>0</v>
      </c>
      <c r="T469" s="498">
        <v>200</v>
      </c>
      <c r="U469" s="572">
        <v>0</v>
      </c>
      <c r="V469" s="687">
        <v>1000000</v>
      </c>
      <c r="W469" s="572">
        <v>0</v>
      </c>
      <c r="X469" s="687"/>
      <c r="Y469" s="572">
        <v>100</v>
      </c>
      <c r="Z469" s="687">
        <v>19000000</v>
      </c>
      <c r="AA469" s="572">
        <v>100</v>
      </c>
      <c r="AB469" s="687">
        <v>30000000</v>
      </c>
      <c r="AC469" s="665"/>
      <c r="AD469" s="665"/>
      <c r="AE469" s="665"/>
      <c r="AF469" s="665"/>
      <c r="AG469" s="266"/>
      <c r="AH469" s="990">
        <v>2017413960054</v>
      </c>
      <c r="AI469" s="307"/>
      <c r="AJ469" s="308"/>
      <c r="AK469" s="308"/>
      <c r="AL469" s="308"/>
      <c r="AM469" s="308"/>
      <c r="AN469" s="267" t="s">
        <v>2594</v>
      </c>
      <c r="AO469" s="507"/>
      <c r="AP469" s="525"/>
      <c r="AQ469" s="310"/>
      <c r="AR469" s="310"/>
      <c r="AS469" s="310"/>
      <c r="AT469" s="310"/>
      <c r="AU469" s="310"/>
      <c r="AV469" s="310"/>
      <c r="AW469" s="544">
        <f t="shared" si="207"/>
        <v>0</v>
      </c>
      <c r="AX469" s="525"/>
      <c r="AY469" s="310"/>
      <c r="AZ469" s="310"/>
      <c r="BA469" s="310"/>
      <c r="BB469" s="310"/>
      <c r="BC469" s="310"/>
      <c r="BD469" s="310"/>
      <c r="BE469" s="544">
        <f t="shared" si="208"/>
        <v>0</v>
      </c>
      <c r="BF469" s="525"/>
      <c r="BG469" s="310"/>
      <c r="BH469" s="310"/>
      <c r="BI469" s="310"/>
      <c r="BJ469" s="310"/>
      <c r="BK469" s="310"/>
      <c r="BL469" s="310"/>
      <c r="BM469" s="544">
        <f t="shared" si="209"/>
        <v>0</v>
      </c>
      <c r="BN469" s="525"/>
      <c r="BO469" s="310"/>
      <c r="BP469" s="310"/>
      <c r="BQ469" s="310"/>
      <c r="BR469" s="310"/>
      <c r="BS469" s="310"/>
      <c r="BT469" s="310"/>
      <c r="BU469" s="544">
        <f t="shared" si="210"/>
        <v>0</v>
      </c>
      <c r="BV469" s="556"/>
      <c r="BW469" s="663">
        <f t="shared" si="211"/>
        <v>0</v>
      </c>
      <c r="BX469" s="674">
        <f t="shared" si="212"/>
        <v>0</v>
      </c>
      <c r="BY469" s="674" t="e">
        <f t="shared" si="213"/>
        <v>#DIV/0!</v>
      </c>
      <c r="BZ469" s="674" t="e">
        <f t="shared" si="214"/>
        <v>#DIV/0!</v>
      </c>
      <c r="CA469" s="675">
        <f t="shared" si="215"/>
        <v>0</v>
      </c>
      <c r="CB469" s="675">
        <f t="shared" si="216"/>
        <v>0</v>
      </c>
    </row>
    <row r="470" spans="1:101" ht="69" hidden="1" customHeight="1" x14ac:dyDescent="0.25">
      <c r="A470" s="298" t="s">
        <v>1353</v>
      </c>
      <c r="B470" s="299" t="str">
        <f>'PLAN INDICATIVO'!B461</f>
        <v>Ambiental</v>
      </c>
      <c r="C470" s="1547"/>
      <c r="D470" s="1551"/>
      <c r="E470" s="1551"/>
      <c r="F470" s="1551"/>
      <c r="G470" s="1551"/>
      <c r="H470" s="1551"/>
      <c r="I470" s="300">
        <f>'PLAN INDICATIVO'!I461</f>
        <v>0</v>
      </c>
      <c r="J470" s="375">
        <f>'PLAN INDICATIVO'!J461</f>
        <v>0</v>
      </c>
      <c r="K470" s="1428" t="str">
        <f>'PLAN INDICATIVO'!K461</f>
        <v>A.10.1.21</v>
      </c>
      <c r="L470" s="301" t="str">
        <f>'PLAN INDICATIVO'!L461</f>
        <v>15. Vida de ecosistemas terrestres</v>
      </c>
      <c r="M470" s="301" t="str">
        <f>'PLAN INDICATIVO'!M461</f>
        <v>Unidad de Desarrollo Rural</v>
      </c>
      <c r="N470" s="1425" t="str">
        <f>'PLAN INDICATIVO'!N461</f>
        <v>GABRIEL ERNESTO CAMPOS ALVIRA</v>
      </c>
      <c r="O470" s="1425" t="str">
        <f>'PLAN INDICATIVO'!O461</f>
        <v>Incremento</v>
      </c>
      <c r="P470" s="25" t="str">
        <f>'PLAN INDICATIVO'!P461</f>
        <v>Entregar 40 sistemas de tratamiento de agua residual con su respectiva instalación, durante el cuatrienio.</v>
      </c>
      <c r="Q470" s="302" t="str">
        <f>'PLAN INDICATIVO'!Q461</f>
        <v xml:space="preserve">No. De sistemas entregados </v>
      </c>
      <c r="R470" s="351">
        <f>'PLAN INDICATIVO'!R461</f>
        <v>2015</v>
      </c>
      <c r="S470" s="304" t="s">
        <v>177</v>
      </c>
      <c r="T470" s="498">
        <v>40</v>
      </c>
      <c r="U470" s="572">
        <v>10</v>
      </c>
      <c r="V470" s="687">
        <v>1000000</v>
      </c>
      <c r="W470" s="572">
        <v>25</v>
      </c>
      <c r="X470" s="687">
        <v>27900000</v>
      </c>
      <c r="Y470" s="572">
        <v>0</v>
      </c>
      <c r="Z470" s="687">
        <v>2000000</v>
      </c>
      <c r="AA470" s="572">
        <v>0</v>
      </c>
      <c r="AB470" s="687">
        <v>3000000</v>
      </c>
      <c r="AC470" s="665">
        <v>15</v>
      </c>
      <c r="AD470" s="665">
        <v>25</v>
      </c>
      <c r="AE470" s="665"/>
      <c r="AF470" s="665"/>
      <c r="AG470" s="892" t="s">
        <v>3727</v>
      </c>
      <c r="AH470" s="990">
        <v>2017413960054</v>
      </c>
      <c r="AI470" s="974" t="s">
        <v>3918</v>
      </c>
      <c r="AJ470" s="309">
        <v>42795</v>
      </c>
      <c r="AK470" s="309">
        <v>42735</v>
      </c>
      <c r="AL470" s="308"/>
      <c r="AM470" s="308"/>
      <c r="AN470" s="501" t="s">
        <v>2598</v>
      </c>
      <c r="AO470" s="889" t="s">
        <v>3919</v>
      </c>
      <c r="AP470" s="973">
        <v>20953300</v>
      </c>
      <c r="AQ470" s="973"/>
      <c r="AR470" s="973"/>
      <c r="AS470" s="973"/>
      <c r="AT470" s="973"/>
      <c r="AU470" s="973"/>
      <c r="AV470" s="973"/>
      <c r="AW470" s="975">
        <f>SUM(AP470+AQ470+AR470+AS470+AT470+AU470+AV470)</f>
        <v>20953300</v>
      </c>
      <c r="AX470" s="525"/>
      <c r="AY470" s="310"/>
      <c r="AZ470" s="310"/>
      <c r="BA470" s="310"/>
      <c r="BB470" s="310"/>
      <c r="BC470" s="310"/>
      <c r="BD470" s="310"/>
      <c r="BE470" s="544">
        <f t="shared" si="208"/>
        <v>0</v>
      </c>
      <c r="BF470" s="525"/>
      <c r="BG470" s="310"/>
      <c r="BH470" s="310"/>
      <c r="BI470" s="310"/>
      <c r="BJ470" s="310"/>
      <c r="BK470" s="310"/>
      <c r="BL470" s="310"/>
      <c r="BM470" s="544">
        <f t="shared" si="209"/>
        <v>0</v>
      </c>
      <c r="BN470" s="525"/>
      <c r="BO470" s="310"/>
      <c r="BP470" s="310"/>
      <c r="BQ470" s="310"/>
      <c r="BR470" s="310"/>
      <c r="BS470" s="310"/>
      <c r="BT470" s="310"/>
      <c r="BU470" s="544">
        <f t="shared" si="210"/>
        <v>0</v>
      </c>
      <c r="BV470" s="556"/>
      <c r="BW470" s="663">
        <f t="shared" si="211"/>
        <v>40</v>
      </c>
      <c r="BX470" s="674">
        <f t="shared" si="212"/>
        <v>1</v>
      </c>
      <c r="BY470" s="674">
        <f t="shared" si="213"/>
        <v>1.5</v>
      </c>
      <c r="BZ470" s="674">
        <f t="shared" si="214"/>
        <v>1</v>
      </c>
      <c r="CA470" s="675" t="e">
        <f t="shared" si="215"/>
        <v>#DIV/0!</v>
      </c>
      <c r="CB470" s="675" t="e">
        <f t="shared" si="216"/>
        <v>#DIV/0!</v>
      </c>
    </row>
    <row r="471" spans="1:101" ht="47.25" hidden="1" customHeight="1" x14ac:dyDescent="0.25">
      <c r="A471" s="298" t="s">
        <v>1353</v>
      </c>
      <c r="B471" s="299" t="str">
        <f>'PLAN INDICATIVO'!B462</f>
        <v>Ambiental</v>
      </c>
      <c r="C471" s="1547"/>
      <c r="D471" s="1551"/>
      <c r="E471" s="1551"/>
      <c r="F471" s="1551"/>
      <c r="G471" s="1551"/>
      <c r="H471" s="1551"/>
      <c r="I471" s="300">
        <f>'PLAN INDICATIVO'!I462</f>
        <v>0</v>
      </c>
      <c r="J471" s="375">
        <f>'PLAN INDICATIVO'!J462</f>
        <v>0</v>
      </c>
      <c r="K471" s="1428" t="str">
        <f>'PLAN INDICATIVO'!K462</f>
        <v>A.10.1.22</v>
      </c>
      <c r="L471" s="301" t="str">
        <f>'PLAN INDICATIVO'!L462</f>
        <v>15. Vida de ecosistemas terrestres</v>
      </c>
      <c r="M471" s="301" t="str">
        <f>'PLAN INDICATIVO'!M462</f>
        <v>Unidad de Desarrollo Rural</v>
      </c>
      <c r="N471" s="1425" t="str">
        <f>'PLAN INDICATIVO'!N462</f>
        <v>GABRIEL ERNESTO CAMPOS ALVIRA</v>
      </c>
      <c r="O471" s="1425" t="str">
        <f>'PLAN INDICATIVO'!O462</f>
        <v>Incremento</v>
      </c>
      <c r="P471" s="16" t="str">
        <f>'PLAN INDICATIVO'!P462</f>
        <v>Realizar 1 actividad de apoyo para la recuperación de la ceiba del Municipio de la Plata.</v>
      </c>
      <c r="Q471" s="302" t="str">
        <f>'PLAN INDICATIVO'!Q462</f>
        <v>No. De actividades de apoyo realizadas</v>
      </c>
      <c r="R471" s="351">
        <f>'PLAN INDICATIVO'!R462</f>
        <v>2015</v>
      </c>
      <c r="S471" s="304">
        <v>0</v>
      </c>
      <c r="T471" s="498">
        <v>1</v>
      </c>
      <c r="U471" s="572">
        <v>0</v>
      </c>
      <c r="V471" s="687">
        <v>4000000</v>
      </c>
      <c r="W471" s="572">
        <v>1</v>
      </c>
      <c r="X471" s="687">
        <v>4000000</v>
      </c>
      <c r="Y471" s="572">
        <v>0</v>
      </c>
      <c r="Z471" s="687"/>
      <c r="AA471" s="572">
        <v>0</v>
      </c>
      <c r="AB471" s="687"/>
      <c r="AC471" s="665"/>
      <c r="AD471" s="665">
        <v>1</v>
      </c>
      <c r="AE471" s="665"/>
      <c r="AF471" s="665"/>
      <c r="AG471" s="888" t="s">
        <v>3727</v>
      </c>
      <c r="AH471" s="990">
        <v>2017413960054</v>
      </c>
      <c r="AI471" s="307" t="s">
        <v>3920</v>
      </c>
      <c r="AJ471" s="309">
        <v>42887</v>
      </c>
      <c r="AK471" s="309">
        <v>43100</v>
      </c>
      <c r="AL471" s="308"/>
      <c r="AM471" s="308"/>
      <c r="AN471" s="267" t="s">
        <v>2598</v>
      </c>
      <c r="AO471" s="507" t="s">
        <v>3899</v>
      </c>
      <c r="AP471" s="972"/>
      <c r="AQ471" s="976">
        <v>3250000</v>
      </c>
      <c r="AR471" s="973"/>
      <c r="AS471" s="973"/>
      <c r="AT471" s="973"/>
      <c r="AU471" s="973"/>
      <c r="AV471" s="973"/>
      <c r="AW471" s="544">
        <f t="shared" si="207"/>
        <v>3250000</v>
      </c>
      <c r="AX471" s="525"/>
      <c r="AY471" s="310"/>
      <c r="AZ471" s="310"/>
      <c r="BA471" s="310"/>
      <c r="BB471" s="310"/>
      <c r="BC471" s="310"/>
      <c r="BD471" s="310"/>
      <c r="BE471" s="544">
        <f t="shared" si="208"/>
        <v>0</v>
      </c>
      <c r="BF471" s="525"/>
      <c r="BG471" s="310"/>
      <c r="BH471" s="310"/>
      <c r="BI471" s="310"/>
      <c r="BJ471" s="310"/>
      <c r="BK471" s="310"/>
      <c r="BL471" s="310"/>
      <c r="BM471" s="544">
        <f t="shared" si="209"/>
        <v>0</v>
      </c>
      <c r="BN471" s="525"/>
      <c r="BO471" s="310"/>
      <c r="BP471" s="310"/>
      <c r="BQ471" s="310"/>
      <c r="BR471" s="310"/>
      <c r="BS471" s="310"/>
      <c r="BT471" s="310"/>
      <c r="BU471" s="544">
        <f t="shared" si="210"/>
        <v>0</v>
      </c>
      <c r="BV471" s="556"/>
      <c r="BW471" s="663">
        <f t="shared" si="211"/>
        <v>1</v>
      </c>
      <c r="BX471" s="674">
        <f t="shared" si="212"/>
        <v>1</v>
      </c>
      <c r="BY471" s="674" t="e">
        <f t="shared" si="213"/>
        <v>#DIV/0!</v>
      </c>
      <c r="BZ471" s="674">
        <f t="shared" si="214"/>
        <v>1</v>
      </c>
      <c r="CA471" s="675" t="e">
        <f t="shared" si="215"/>
        <v>#DIV/0!</v>
      </c>
      <c r="CB471" s="675" t="e">
        <f t="shared" si="216"/>
        <v>#DIV/0!</v>
      </c>
    </row>
    <row r="472" spans="1:101" ht="51.75" hidden="1" customHeight="1" x14ac:dyDescent="0.25">
      <c r="A472" s="298" t="s">
        <v>1353</v>
      </c>
      <c r="B472" s="299" t="str">
        <f>'PLAN INDICATIVO'!B463</f>
        <v>Ambiental</v>
      </c>
      <c r="C472" s="1547"/>
      <c r="D472" s="1551"/>
      <c r="E472" s="1551"/>
      <c r="F472" s="1551"/>
      <c r="G472" s="1551"/>
      <c r="H472" s="1551"/>
      <c r="I472" s="1425" t="str">
        <f>'PLAN INDICATIVO'!I463</f>
        <v>SI</v>
      </c>
      <c r="J472" s="379">
        <f>'PLAN INDICATIVO'!J463</f>
        <v>0</v>
      </c>
      <c r="K472" s="1428" t="str">
        <f>'PLAN INDICATIVO'!K463</f>
        <v>A.10.1.23</v>
      </c>
      <c r="L472" s="301" t="str">
        <f>'PLAN INDICATIVO'!L463</f>
        <v>15. Vida de ecosistemas terrestres</v>
      </c>
      <c r="M472" s="301" t="str">
        <f>'PLAN INDICATIVO'!M463</f>
        <v>Unidad de Desarrollo Rural</v>
      </c>
      <c r="N472" s="1425" t="str">
        <f>'PLAN INDICATIVO'!N463</f>
        <v>GABRIEL ERNESTO CAMPOS ALVIRA</v>
      </c>
      <c r="O472" s="1425" t="str">
        <f>'PLAN INDICATIVO'!O463</f>
        <v>Incremento</v>
      </c>
      <c r="P472" s="25" t="str">
        <f>'PLAN INDICATIVO'!P463</f>
        <v>Adquirir 320 hectáreas para la protección de fuentes hídricas municipales durante el cuatrienio</v>
      </c>
      <c r="Q472" s="302" t="str">
        <f>'PLAN INDICATIVO'!Q463</f>
        <v>No. De hectáreas adquiridas</v>
      </c>
      <c r="R472" s="351" t="str">
        <f>'PLAN INDICATIVO'!R463</f>
        <v>2012-2015</v>
      </c>
      <c r="S472" s="304">
        <v>260</v>
      </c>
      <c r="T472" s="498">
        <v>320</v>
      </c>
      <c r="U472" s="572">
        <v>80</v>
      </c>
      <c r="V472" s="687">
        <v>110460000</v>
      </c>
      <c r="W472" s="572">
        <v>80</v>
      </c>
      <c r="X472" s="687">
        <v>92000000</v>
      </c>
      <c r="Y472" s="572">
        <v>80</v>
      </c>
      <c r="Z472" s="687">
        <v>80000000</v>
      </c>
      <c r="AA472" s="66">
        <v>70</v>
      </c>
      <c r="AB472" s="687">
        <v>80000000</v>
      </c>
      <c r="AC472" s="665">
        <v>115</v>
      </c>
      <c r="AD472" s="665">
        <v>64</v>
      </c>
      <c r="AE472" s="665"/>
      <c r="AF472" s="665"/>
      <c r="AG472" s="887" t="s">
        <v>3885</v>
      </c>
      <c r="AH472" s="990">
        <v>2017413960054</v>
      </c>
      <c r="AI472" s="307" t="s">
        <v>3921</v>
      </c>
      <c r="AJ472" s="309">
        <v>42491</v>
      </c>
      <c r="AK472" s="309">
        <v>42735</v>
      </c>
      <c r="AL472" s="308"/>
      <c r="AM472" s="308"/>
      <c r="AN472" s="267" t="s">
        <v>2598</v>
      </c>
      <c r="AO472" s="507" t="s">
        <v>3922</v>
      </c>
      <c r="AP472" s="972">
        <f>20942269+2797731+2700000+1865200+250000+17000000+18587069</f>
        <v>64142269</v>
      </c>
      <c r="AQ472" s="973">
        <f>13496079+1561652</f>
        <v>15057731</v>
      </c>
      <c r="AR472" s="973"/>
      <c r="AS472" s="973"/>
      <c r="AT472" s="973"/>
      <c r="AU472" s="973"/>
      <c r="AV472" s="973"/>
      <c r="AW472" s="975">
        <f>SUM(AP472+AQ472+AR472+AS472+AT472+AU472+AV472)</f>
        <v>79200000</v>
      </c>
      <c r="AX472" s="525"/>
      <c r="AY472" s="310"/>
      <c r="AZ472" s="310"/>
      <c r="BA472" s="310"/>
      <c r="BB472" s="310"/>
      <c r="BC472" s="310"/>
      <c r="BD472" s="310"/>
      <c r="BE472" s="544">
        <f t="shared" si="208"/>
        <v>0</v>
      </c>
      <c r="BF472" s="525"/>
      <c r="BG472" s="310"/>
      <c r="BH472" s="310"/>
      <c r="BI472" s="310"/>
      <c r="BJ472" s="310"/>
      <c r="BK472" s="310"/>
      <c r="BL472" s="310"/>
      <c r="BM472" s="544">
        <f t="shared" si="209"/>
        <v>0</v>
      </c>
      <c r="BN472" s="525"/>
      <c r="BO472" s="310"/>
      <c r="BP472" s="310"/>
      <c r="BQ472" s="310"/>
      <c r="BR472" s="310"/>
      <c r="BS472" s="310"/>
      <c r="BT472" s="310"/>
      <c r="BU472" s="544">
        <f t="shared" si="210"/>
        <v>0</v>
      </c>
      <c r="BV472" s="556"/>
      <c r="BW472" s="663">
        <f t="shared" si="211"/>
        <v>179</v>
      </c>
      <c r="BX472" s="864">
        <f t="shared" si="212"/>
        <v>0.55937499999999996</v>
      </c>
      <c r="BY472" s="674">
        <f t="shared" si="213"/>
        <v>1.4375</v>
      </c>
      <c r="BZ472" s="674">
        <f t="shared" si="214"/>
        <v>0.8</v>
      </c>
      <c r="CA472" s="675">
        <f t="shared" si="215"/>
        <v>0</v>
      </c>
      <c r="CB472" s="675">
        <f t="shared" si="216"/>
        <v>0</v>
      </c>
    </row>
    <row r="473" spans="1:101" ht="50.25" hidden="1" customHeight="1" x14ac:dyDescent="0.25">
      <c r="A473" s="298" t="s">
        <v>1353</v>
      </c>
      <c r="B473" s="299" t="str">
        <f>'PLAN INDICATIVO'!B464</f>
        <v>Ambiental</v>
      </c>
      <c r="C473" s="1547"/>
      <c r="D473" s="1551"/>
      <c r="E473" s="1551"/>
      <c r="F473" s="1551"/>
      <c r="G473" s="1551"/>
      <c r="H473" s="1551"/>
      <c r="I473" s="300">
        <f>'PLAN INDICATIVO'!I464</f>
        <v>0</v>
      </c>
      <c r="J473" s="375">
        <f>'PLAN INDICATIVO'!J464</f>
        <v>0</v>
      </c>
      <c r="K473" s="1428" t="str">
        <f>'PLAN INDICATIVO'!K464</f>
        <v>A.10.1.24</v>
      </c>
      <c r="L473" s="301" t="str">
        <f>'PLAN INDICATIVO'!L464</f>
        <v>15. Vida de ecosistemas terrestres</v>
      </c>
      <c r="M473" s="301" t="str">
        <f>'PLAN INDICATIVO'!M464</f>
        <v>Unidad de Desarrollo Rural</v>
      </c>
      <c r="N473" s="1425" t="str">
        <f>'PLAN INDICATIVO'!N464</f>
        <v>GABRIEL ERNESTO CAMPOS ALVIRA</v>
      </c>
      <c r="O473" s="1425" t="str">
        <f>'PLAN INDICATIVO'!O464</f>
        <v>Incremento</v>
      </c>
      <c r="P473" s="16" t="str">
        <f>'PLAN INDICATIVO'!P464</f>
        <v>Formular e implementar 1 POMCA durante el cuatrienio</v>
      </c>
      <c r="Q473" s="302" t="str">
        <f>'PLAN INDICATIVO'!Q464</f>
        <v>No. De POMCA formulados e implementados</v>
      </c>
      <c r="R473" s="351">
        <f>'PLAN INDICATIVO'!R464</f>
        <v>2015</v>
      </c>
      <c r="S473" s="304">
        <v>0</v>
      </c>
      <c r="T473" s="498">
        <v>1</v>
      </c>
      <c r="U473" s="895">
        <v>0</v>
      </c>
      <c r="V473" s="687">
        <v>2000000</v>
      </c>
      <c r="W473" s="572">
        <v>0.33</v>
      </c>
      <c r="X473" s="687">
        <v>24000000</v>
      </c>
      <c r="Y473" s="572">
        <v>0.33</v>
      </c>
      <c r="Z473" s="687">
        <v>1000000</v>
      </c>
      <c r="AA473" s="572">
        <v>0.34</v>
      </c>
      <c r="AB473" s="687">
        <v>2000000</v>
      </c>
      <c r="AC473" s="665"/>
      <c r="AD473" s="667">
        <v>0</v>
      </c>
      <c r="AE473" s="665"/>
      <c r="AF473" s="665"/>
      <c r="AG473" s="978"/>
      <c r="AH473" s="990">
        <v>2017413960054</v>
      </c>
      <c r="AI473" s="307"/>
      <c r="AJ473" s="308"/>
      <c r="AK473" s="308"/>
      <c r="AL473" s="308"/>
      <c r="AM473" s="308"/>
      <c r="AN473" s="267" t="s">
        <v>2600</v>
      </c>
      <c r="AO473" s="507"/>
      <c r="AP473" s="972"/>
      <c r="AQ473" s="973"/>
      <c r="AR473" s="973"/>
      <c r="AS473" s="973"/>
      <c r="AT473" s="973"/>
      <c r="AU473" s="973"/>
      <c r="AV473" s="973"/>
      <c r="AW473" s="544">
        <f t="shared" si="207"/>
        <v>0</v>
      </c>
      <c r="AX473" s="525"/>
      <c r="AY473" s="310"/>
      <c r="AZ473" s="310"/>
      <c r="BA473" s="310"/>
      <c r="BB473" s="310"/>
      <c r="BC473" s="310"/>
      <c r="BD473" s="310"/>
      <c r="BE473" s="544">
        <f t="shared" si="208"/>
        <v>0</v>
      </c>
      <c r="BF473" s="525"/>
      <c r="BG473" s="310"/>
      <c r="BH473" s="310"/>
      <c r="BI473" s="310"/>
      <c r="BJ473" s="310"/>
      <c r="BK473" s="310"/>
      <c r="BL473" s="310"/>
      <c r="BM473" s="544">
        <f t="shared" si="209"/>
        <v>0</v>
      </c>
      <c r="BN473" s="525"/>
      <c r="BO473" s="310"/>
      <c r="BP473" s="310"/>
      <c r="BQ473" s="310"/>
      <c r="BR473" s="310"/>
      <c r="BS473" s="310"/>
      <c r="BT473" s="310"/>
      <c r="BU473" s="544">
        <f t="shared" si="210"/>
        <v>0</v>
      </c>
      <c r="BV473" s="556"/>
      <c r="BW473" s="663">
        <f t="shared" si="211"/>
        <v>0</v>
      </c>
      <c r="BX473" s="674">
        <f t="shared" si="212"/>
        <v>0</v>
      </c>
      <c r="BY473" s="674" t="e">
        <f t="shared" si="213"/>
        <v>#DIV/0!</v>
      </c>
      <c r="BZ473" s="674">
        <f t="shared" si="214"/>
        <v>0</v>
      </c>
      <c r="CA473" s="675">
        <f t="shared" si="215"/>
        <v>0</v>
      </c>
      <c r="CB473" s="675">
        <f t="shared" si="216"/>
        <v>0</v>
      </c>
    </row>
    <row r="474" spans="1:101" ht="64.5" hidden="1" customHeight="1" x14ac:dyDescent="0.25">
      <c r="A474" s="298" t="s">
        <v>1353</v>
      </c>
      <c r="B474" s="299" t="str">
        <f>'PLAN INDICATIVO'!B465</f>
        <v>Ambiental</v>
      </c>
      <c r="C474" s="1547"/>
      <c r="D474" s="1551"/>
      <c r="E474" s="1551"/>
      <c r="F474" s="1551"/>
      <c r="G474" s="1551"/>
      <c r="H474" s="1551"/>
      <c r="I474" s="300">
        <f>'PLAN INDICATIVO'!I465</f>
        <v>0</v>
      </c>
      <c r="J474" s="375">
        <f>'PLAN INDICATIVO'!J465</f>
        <v>0</v>
      </c>
      <c r="K474" s="1428" t="str">
        <f>'PLAN INDICATIVO'!K465</f>
        <v>A.10.1.25</v>
      </c>
      <c r="L474" s="301" t="str">
        <f>'PLAN INDICATIVO'!L465</f>
        <v>15. Vida de ecosistemas terrestres</v>
      </c>
      <c r="M474" s="301" t="str">
        <f>'PLAN INDICATIVO'!M465</f>
        <v>Unidad de Desarrollo Rural</v>
      </c>
      <c r="N474" s="1425" t="str">
        <f>'PLAN INDICATIVO'!N465</f>
        <v>GABRIEL ERNESTO CAMPOS ALVIRA</v>
      </c>
      <c r="O474" s="1425" t="str">
        <f>'PLAN INDICATIVO'!O465</f>
        <v>Incremento</v>
      </c>
      <c r="P474" s="16" t="str">
        <f>'PLAN INDICATIVO'!P465</f>
        <v>Realizar 2 campañas de vacunación y esterilización de animales domésticos en condición de calle, durante el cuatrienio</v>
      </c>
      <c r="Q474" s="302" t="str">
        <f>'PLAN INDICATIVO'!Q465</f>
        <v>No. De campañas realizadas</v>
      </c>
      <c r="R474" s="351">
        <f>'PLAN INDICATIVO'!R465</f>
        <v>2015</v>
      </c>
      <c r="S474" s="304">
        <v>0</v>
      </c>
      <c r="T474" s="498">
        <v>2</v>
      </c>
      <c r="U474" s="572">
        <v>1</v>
      </c>
      <c r="V474" s="687">
        <v>1000000</v>
      </c>
      <c r="W474" s="572">
        <v>1</v>
      </c>
      <c r="X474" s="687">
        <v>2000000</v>
      </c>
      <c r="Y474" s="572">
        <v>0</v>
      </c>
      <c r="Z474" s="687"/>
      <c r="AA474" s="572">
        <v>0</v>
      </c>
      <c r="AB474" s="687"/>
      <c r="AC474" s="665">
        <v>1</v>
      </c>
      <c r="AD474" s="665">
        <v>1</v>
      </c>
      <c r="AE474" s="665"/>
      <c r="AF474" s="665"/>
      <c r="AG474" s="887" t="s">
        <v>3885</v>
      </c>
      <c r="AH474" s="990">
        <v>2017413960054</v>
      </c>
      <c r="AI474" s="336" t="s">
        <v>3923</v>
      </c>
      <c r="AJ474" s="309">
        <v>42736</v>
      </c>
      <c r="AK474" s="309">
        <v>43464</v>
      </c>
      <c r="AL474" s="308"/>
      <c r="AM474" s="308"/>
      <c r="AN474" s="267" t="s">
        <v>2598</v>
      </c>
      <c r="AO474" s="507" t="s">
        <v>3924</v>
      </c>
      <c r="AP474" s="972">
        <v>3993350</v>
      </c>
      <c r="AQ474" s="973"/>
      <c r="AR474" s="973"/>
      <c r="AS474" s="973"/>
      <c r="AT474" s="973"/>
      <c r="AU474" s="973"/>
      <c r="AV474" s="973"/>
      <c r="AW474" s="544">
        <f t="shared" si="207"/>
        <v>3993350</v>
      </c>
      <c r="AX474" s="525"/>
      <c r="AY474" s="310"/>
      <c r="AZ474" s="310"/>
      <c r="BA474" s="310"/>
      <c r="BB474" s="310"/>
      <c r="BC474" s="310"/>
      <c r="BD474" s="310"/>
      <c r="BE474" s="544">
        <f t="shared" si="208"/>
        <v>0</v>
      </c>
      <c r="BF474" s="525"/>
      <c r="BG474" s="310"/>
      <c r="BH474" s="310"/>
      <c r="BI474" s="310"/>
      <c r="BJ474" s="310"/>
      <c r="BK474" s="310"/>
      <c r="BL474" s="310"/>
      <c r="BM474" s="544">
        <f t="shared" si="209"/>
        <v>0</v>
      </c>
      <c r="BN474" s="525"/>
      <c r="BO474" s="310"/>
      <c r="BP474" s="310"/>
      <c r="BQ474" s="310"/>
      <c r="BR474" s="310"/>
      <c r="BS474" s="310"/>
      <c r="BT474" s="310"/>
      <c r="BU474" s="544">
        <f t="shared" si="210"/>
        <v>0</v>
      </c>
      <c r="BV474" s="556"/>
      <c r="BW474" s="663">
        <f t="shared" si="211"/>
        <v>2</v>
      </c>
      <c r="BX474" s="674">
        <f t="shared" si="212"/>
        <v>1</v>
      </c>
      <c r="BY474" s="674">
        <f t="shared" si="213"/>
        <v>1</v>
      </c>
      <c r="BZ474" s="674">
        <f t="shared" si="214"/>
        <v>1</v>
      </c>
      <c r="CA474" s="675" t="e">
        <f t="shared" si="215"/>
        <v>#DIV/0!</v>
      </c>
      <c r="CB474" s="675" t="e">
        <f t="shared" si="216"/>
        <v>#DIV/0!</v>
      </c>
    </row>
    <row r="475" spans="1:101" ht="51" hidden="1" customHeight="1" x14ac:dyDescent="0.25">
      <c r="A475" s="298" t="s">
        <v>1353</v>
      </c>
      <c r="B475" s="299" t="str">
        <f>'PLAN INDICATIVO'!B466</f>
        <v>Ambiental</v>
      </c>
      <c r="C475" s="1547"/>
      <c r="D475" s="1551"/>
      <c r="E475" s="1551"/>
      <c r="F475" s="1551"/>
      <c r="G475" s="1551"/>
      <c r="H475" s="1551"/>
      <c r="I475" s="300">
        <f>'PLAN INDICATIVO'!I466</f>
        <v>0</v>
      </c>
      <c r="J475" s="375">
        <f>'PLAN INDICATIVO'!J466</f>
        <v>0</v>
      </c>
      <c r="K475" s="1428" t="str">
        <f>'PLAN INDICATIVO'!K466</f>
        <v>A.10.1.26</v>
      </c>
      <c r="L475" s="301" t="str">
        <f>'PLAN INDICATIVO'!L466</f>
        <v>15. Vida de ecosistemas terrestres</v>
      </c>
      <c r="M475" s="301" t="str">
        <f>'PLAN INDICATIVO'!M466</f>
        <v>Unidad de Desarrollo Rural</v>
      </c>
      <c r="N475" s="1425" t="str">
        <f>'PLAN INDICATIVO'!N466</f>
        <v>GABRIEL ERNESTO CAMPOS ALVIRA</v>
      </c>
      <c r="O475" s="1425" t="str">
        <f>'PLAN INDICATIVO'!O466</f>
        <v>Incremento</v>
      </c>
      <c r="P475" s="16" t="str">
        <f>'PLAN INDICATIVO'!P466</f>
        <v>Desarrollar 4 acciones durante el cuatrienio para control y/o apoyo  para la formalización de minería ilegal</v>
      </c>
      <c r="Q475" s="302" t="str">
        <f>'PLAN INDICATIVO'!Q466</f>
        <v>No. De acciones desarrolladas en el cuatrienio</v>
      </c>
      <c r="R475" s="351">
        <f>'PLAN INDICATIVO'!R466</f>
        <v>2015</v>
      </c>
      <c r="S475" s="304">
        <v>0</v>
      </c>
      <c r="T475" s="498">
        <v>4</v>
      </c>
      <c r="U475" s="572">
        <v>1</v>
      </c>
      <c r="V475" s="687">
        <v>1000000</v>
      </c>
      <c r="W475" s="572">
        <v>1</v>
      </c>
      <c r="X475" s="687">
        <v>5000000</v>
      </c>
      <c r="Y475" s="572">
        <v>1</v>
      </c>
      <c r="Z475" s="687">
        <v>5000000</v>
      </c>
      <c r="AA475" s="572">
        <v>1</v>
      </c>
      <c r="AB475" s="687">
        <v>5000000</v>
      </c>
      <c r="AC475" s="665">
        <v>1</v>
      </c>
      <c r="AD475" s="665">
        <v>1</v>
      </c>
      <c r="AE475" s="665"/>
      <c r="AF475" s="665"/>
      <c r="AG475" s="887" t="s">
        <v>3885</v>
      </c>
      <c r="AH475" s="990">
        <v>2017413960054</v>
      </c>
      <c r="AI475" s="336" t="s">
        <v>3925</v>
      </c>
      <c r="AJ475" s="309" t="s">
        <v>3926</v>
      </c>
      <c r="AK475" s="309">
        <v>43099</v>
      </c>
      <c r="AL475" s="308"/>
      <c r="AM475" s="308"/>
      <c r="AN475" s="267" t="s">
        <v>2598</v>
      </c>
      <c r="AO475" s="507" t="s">
        <v>3924</v>
      </c>
      <c r="AP475" s="972">
        <v>1000000</v>
      </c>
      <c r="AQ475" s="977"/>
      <c r="AR475" s="973"/>
      <c r="AS475" s="973"/>
      <c r="AT475" s="973"/>
      <c r="AU475" s="973"/>
      <c r="AV475" s="973"/>
      <c r="AW475" s="544">
        <f t="shared" si="207"/>
        <v>1000000</v>
      </c>
      <c r="AX475" s="525"/>
      <c r="AY475" s="380"/>
      <c r="AZ475" s="310"/>
      <c r="BA475" s="310"/>
      <c r="BB475" s="310"/>
      <c r="BC475" s="310"/>
      <c r="BD475" s="310"/>
      <c r="BE475" s="544">
        <f t="shared" si="208"/>
        <v>0</v>
      </c>
      <c r="BF475" s="525"/>
      <c r="BG475" s="380"/>
      <c r="BH475" s="310"/>
      <c r="BI475" s="310"/>
      <c r="BJ475" s="310"/>
      <c r="BK475" s="310"/>
      <c r="BL475" s="310"/>
      <c r="BM475" s="544">
        <f t="shared" si="209"/>
        <v>0</v>
      </c>
      <c r="BN475" s="525"/>
      <c r="BO475" s="380"/>
      <c r="BP475" s="310"/>
      <c r="BQ475" s="310"/>
      <c r="BR475" s="310"/>
      <c r="BS475" s="310"/>
      <c r="BT475" s="310"/>
      <c r="BU475" s="544">
        <f t="shared" si="210"/>
        <v>0</v>
      </c>
      <c r="BV475" s="556"/>
      <c r="BW475" s="663">
        <f t="shared" si="211"/>
        <v>2</v>
      </c>
      <c r="BX475" s="864">
        <f t="shared" si="212"/>
        <v>0.5</v>
      </c>
      <c r="BY475" s="674">
        <f t="shared" si="213"/>
        <v>1</v>
      </c>
      <c r="BZ475" s="674">
        <f t="shared" si="214"/>
        <v>1</v>
      </c>
      <c r="CA475" s="675">
        <f t="shared" si="215"/>
        <v>0</v>
      </c>
      <c r="CB475" s="675">
        <f t="shared" si="216"/>
        <v>0</v>
      </c>
    </row>
    <row r="476" spans="1:101" ht="34.5" hidden="1" customHeight="1" x14ac:dyDescent="0.25">
      <c r="A476" s="298" t="s">
        <v>1353</v>
      </c>
      <c r="B476" s="299" t="str">
        <f>'PLAN INDICATIVO'!B467</f>
        <v>Ambiental</v>
      </c>
      <c r="C476" s="1547"/>
      <c r="D476" s="1551"/>
      <c r="E476" s="1551"/>
      <c r="F476" s="1551"/>
      <c r="G476" s="1551"/>
      <c r="H476" s="1551"/>
      <c r="I476" s="300">
        <f>'PLAN INDICATIVO'!I467</f>
        <v>0</v>
      </c>
      <c r="J476" s="375">
        <f>'PLAN INDICATIVO'!J467</f>
        <v>0</v>
      </c>
      <c r="K476" s="1428" t="str">
        <f>'PLAN INDICATIVO'!K467</f>
        <v>A.10.1.27</v>
      </c>
      <c r="L476" s="301" t="str">
        <f>'PLAN INDICATIVO'!L467</f>
        <v>15. Vida de ecosistemas terrestres</v>
      </c>
      <c r="M476" s="301" t="str">
        <f>'PLAN INDICATIVO'!M467</f>
        <v>Unidad de Desarrollo Rural</v>
      </c>
      <c r="N476" s="1425" t="str">
        <f>'PLAN INDICATIVO'!N467</f>
        <v>GABRIEL ERNESTO CAMPOS ALVIRA</v>
      </c>
      <c r="O476" s="1425" t="str">
        <f>'PLAN INDICATIVO'!O467</f>
        <v>Incremento</v>
      </c>
      <c r="P476" s="16" t="str">
        <f>'PLAN INDICATIVO'!P467</f>
        <v>Aislar 12.000 metros lineales de predios de propiedad del municipio destinados a protección de fuentes hídricas durante el cuatrienio</v>
      </c>
      <c r="Q476" s="302" t="str">
        <f>'PLAN INDICATIVO'!Q467</f>
        <v>No. De metros lineales de aislamiento realizados durante el cuatrienio</v>
      </c>
      <c r="R476" s="351" t="str">
        <f>'PLAN INDICATIVO'!R467</f>
        <v>2012 - 2015</v>
      </c>
      <c r="S476" s="304">
        <v>30000</v>
      </c>
      <c r="T476" s="498">
        <v>12000</v>
      </c>
      <c r="U476" s="572">
        <v>0</v>
      </c>
      <c r="V476" s="687">
        <v>1000000</v>
      </c>
      <c r="W476" s="572">
        <v>4000</v>
      </c>
      <c r="X476" s="687">
        <v>10000000</v>
      </c>
      <c r="Y476" s="572">
        <v>4000</v>
      </c>
      <c r="Z476" s="687">
        <v>11000000</v>
      </c>
      <c r="AA476" s="572">
        <v>4000</v>
      </c>
      <c r="AB476" s="687">
        <v>10000000</v>
      </c>
      <c r="AC476" s="665"/>
      <c r="AD476" s="665">
        <v>4000</v>
      </c>
      <c r="AE476" s="665"/>
      <c r="AF476" s="665"/>
      <c r="AG476" s="892" t="s">
        <v>3885</v>
      </c>
      <c r="AH476" s="990">
        <v>2017413960054</v>
      </c>
      <c r="AI476" s="307" t="s">
        <v>3927</v>
      </c>
      <c r="AJ476" s="309">
        <v>42736</v>
      </c>
      <c r="AK476" s="309">
        <v>43099</v>
      </c>
      <c r="AL476" s="308"/>
      <c r="AM476" s="308"/>
      <c r="AN476" s="267" t="s">
        <v>2598</v>
      </c>
      <c r="AO476" s="507" t="s">
        <v>3928</v>
      </c>
      <c r="AP476" s="972">
        <v>4000000</v>
      </c>
      <c r="AQ476" s="977"/>
      <c r="AR476" s="973"/>
      <c r="AS476" s="973"/>
      <c r="AT476" s="973"/>
      <c r="AU476" s="973"/>
      <c r="AV476" s="973"/>
      <c r="AW476" s="544">
        <f t="shared" si="207"/>
        <v>4000000</v>
      </c>
      <c r="AX476" s="525"/>
      <c r="AY476" s="380"/>
      <c r="AZ476" s="310"/>
      <c r="BA476" s="310"/>
      <c r="BB476" s="310"/>
      <c r="BC476" s="310"/>
      <c r="BD476" s="310"/>
      <c r="BE476" s="544">
        <f t="shared" si="208"/>
        <v>0</v>
      </c>
      <c r="BF476" s="525"/>
      <c r="BG476" s="380"/>
      <c r="BH476" s="310"/>
      <c r="BI476" s="310"/>
      <c r="BJ476" s="310"/>
      <c r="BK476" s="310"/>
      <c r="BL476" s="310"/>
      <c r="BM476" s="544">
        <f t="shared" si="209"/>
        <v>0</v>
      </c>
      <c r="BN476" s="525"/>
      <c r="BO476" s="380"/>
      <c r="BP476" s="310"/>
      <c r="BQ476" s="310"/>
      <c r="BR476" s="310"/>
      <c r="BS476" s="310"/>
      <c r="BT476" s="310"/>
      <c r="BU476" s="544">
        <f t="shared" si="210"/>
        <v>0</v>
      </c>
      <c r="BV476" s="556"/>
      <c r="BW476" s="663">
        <f t="shared" si="211"/>
        <v>4000</v>
      </c>
      <c r="BX476" s="864">
        <f t="shared" si="212"/>
        <v>0.33333333333333331</v>
      </c>
      <c r="BY476" s="674" t="e">
        <f t="shared" si="213"/>
        <v>#DIV/0!</v>
      </c>
      <c r="BZ476" s="674">
        <f t="shared" si="214"/>
        <v>1</v>
      </c>
      <c r="CA476" s="675">
        <f t="shared" si="215"/>
        <v>0</v>
      </c>
      <c r="CB476" s="675">
        <f t="shared" si="216"/>
        <v>0</v>
      </c>
    </row>
    <row r="477" spans="1:101" ht="44.25" hidden="1" customHeight="1" x14ac:dyDescent="0.25">
      <c r="A477" s="298" t="s">
        <v>1353</v>
      </c>
      <c r="B477" s="299" t="str">
        <f>'PLAN INDICATIVO'!B468</f>
        <v>Ambiental</v>
      </c>
      <c r="C477" s="1547"/>
      <c r="D477" s="1551"/>
      <c r="E477" s="1551"/>
      <c r="F477" s="1551"/>
      <c r="G477" s="1551"/>
      <c r="H477" s="1551"/>
      <c r="I477" s="300">
        <f>'PLAN INDICATIVO'!I468</f>
        <v>0</v>
      </c>
      <c r="J477" s="375">
        <f>'PLAN INDICATIVO'!J468</f>
        <v>0</v>
      </c>
      <c r="K477" s="1428" t="str">
        <f>'PLAN INDICATIVO'!K468</f>
        <v>A.10.1.28</v>
      </c>
      <c r="L477" s="301" t="str">
        <f>'PLAN INDICATIVO'!L468</f>
        <v>15. Vida de ecosistemas terrestres</v>
      </c>
      <c r="M477" s="301" t="str">
        <f>'PLAN INDICATIVO'!M468</f>
        <v>Unidad de Desarrollo Rural</v>
      </c>
      <c r="N477" s="1425" t="str">
        <f>'PLAN INDICATIVO'!N468</f>
        <v>GABRIEL ERNESTO CAMPOS ALVIRA</v>
      </c>
      <c r="O477" s="1425" t="str">
        <f>'PLAN INDICATIVO'!O468</f>
        <v>Incremento</v>
      </c>
      <c r="P477" s="16" t="str">
        <f>'PLAN INDICATIVO'!P468</f>
        <v>Desarrollar  1 proyectos para disminuir impacto del cambio climático, durante el cuatrienio</v>
      </c>
      <c r="Q477" s="302" t="str">
        <f>'PLAN INDICATIVO'!Q468</f>
        <v>No. De proyectos desarrollados</v>
      </c>
      <c r="R477" s="351">
        <f>'PLAN INDICATIVO'!R468</f>
        <v>2015</v>
      </c>
      <c r="S477" s="304">
        <v>0</v>
      </c>
      <c r="T477" s="498">
        <v>4</v>
      </c>
      <c r="U477" s="572">
        <v>1</v>
      </c>
      <c r="V477" s="687">
        <v>2000000</v>
      </c>
      <c r="W477" s="572">
        <v>1</v>
      </c>
      <c r="X477" s="687">
        <v>1000000</v>
      </c>
      <c r="Y477" s="572">
        <v>1</v>
      </c>
      <c r="Z477" s="687">
        <v>1000000</v>
      </c>
      <c r="AA477" s="572">
        <v>1</v>
      </c>
      <c r="AB477" s="687">
        <v>3000000</v>
      </c>
      <c r="AC477" s="665">
        <v>1</v>
      </c>
      <c r="AD477" s="665">
        <v>1</v>
      </c>
      <c r="AE477" s="665"/>
      <c r="AF477" s="665"/>
      <c r="AG477" s="887" t="s">
        <v>3885</v>
      </c>
      <c r="AH477" s="990">
        <v>2017413960054</v>
      </c>
      <c r="AI477" s="336" t="s">
        <v>3929</v>
      </c>
      <c r="AJ477" s="309">
        <v>42736</v>
      </c>
      <c r="AK477" s="309">
        <v>43099</v>
      </c>
      <c r="AL477" s="308"/>
      <c r="AM477" s="308"/>
      <c r="AN477" s="925" t="s">
        <v>2598</v>
      </c>
      <c r="AO477" s="507" t="s">
        <v>3930</v>
      </c>
      <c r="AP477" s="525">
        <v>2500000</v>
      </c>
      <c r="AQ477" s="977"/>
      <c r="AR477" s="973"/>
      <c r="AS477" s="973"/>
      <c r="AT477" s="973"/>
      <c r="AU477" s="973"/>
      <c r="AV477" s="973"/>
      <c r="AW477" s="544">
        <f t="shared" si="207"/>
        <v>2500000</v>
      </c>
      <c r="AX477" s="525"/>
      <c r="AY477" s="380"/>
      <c r="AZ477" s="310"/>
      <c r="BA477" s="310"/>
      <c r="BB477" s="310"/>
      <c r="BC477" s="310"/>
      <c r="BD477" s="310"/>
      <c r="BE477" s="544">
        <f t="shared" si="208"/>
        <v>0</v>
      </c>
      <c r="BF477" s="525"/>
      <c r="BG477" s="380"/>
      <c r="BH477" s="310"/>
      <c r="BI477" s="310"/>
      <c r="BJ477" s="310"/>
      <c r="BK477" s="310"/>
      <c r="BL477" s="310"/>
      <c r="BM477" s="544">
        <f t="shared" si="209"/>
        <v>0</v>
      </c>
      <c r="BN477" s="525"/>
      <c r="BO477" s="380"/>
      <c r="BP477" s="310"/>
      <c r="BQ477" s="310"/>
      <c r="BR477" s="310"/>
      <c r="BS477" s="310"/>
      <c r="BT477" s="310"/>
      <c r="BU477" s="544">
        <f t="shared" si="210"/>
        <v>0</v>
      </c>
      <c r="BV477" s="556"/>
      <c r="BW477" s="663">
        <f t="shared" si="211"/>
        <v>2</v>
      </c>
      <c r="BX477" s="877">
        <f t="shared" si="212"/>
        <v>0.5</v>
      </c>
      <c r="BY477" s="674">
        <f t="shared" si="213"/>
        <v>1</v>
      </c>
      <c r="BZ477" s="674">
        <f t="shared" si="214"/>
        <v>1</v>
      </c>
      <c r="CA477" s="675">
        <f t="shared" si="215"/>
        <v>0</v>
      </c>
      <c r="CB477" s="675">
        <f t="shared" si="216"/>
        <v>0</v>
      </c>
    </row>
    <row r="478" spans="1:101" s="3" customFormat="1" ht="42.75" hidden="1" customHeight="1" x14ac:dyDescent="0.2">
      <c r="A478" s="298" t="s">
        <v>1353</v>
      </c>
      <c r="B478" s="299" t="str">
        <f>'PLAN INDICATIVO'!B469</f>
        <v>Ambiental</v>
      </c>
      <c r="C478" s="1547"/>
      <c r="D478" s="1551"/>
      <c r="E478" s="1551"/>
      <c r="F478" s="1551"/>
      <c r="G478" s="1551"/>
      <c r="H478" s="1551"/>
      <c r="I478" s="300">
        <f>'PLAN INDICATIVO'!I469</f>
        <v>0</v>
      </c>
      <c r="J478" s="375">
        <f>'PLAN INDICATIVO'!J469</f>
        <v>0</v>
      </c>
      <c r="K478" s="1428" t="str">
        <f>'PLAN INDICATIVO'!K469</f>
        <v>A.10.1.29</v>
      </c>
      <c r="L478" s="301" t="str">
        <f>'PLAN INDICATIVO'!L469</f>
        <v>15. Vida de ecosistemas terrestres</v>
      </c>
      <c r="M478" s="301" t="str">
        <f>'PLAN INDICATIVO'!M469</f>
        <v>Unidad de Desarrollo Rural</v>
      </c>
      <c r="N478" s="1425" t="str">
        <f>'PLAN INDICATIVO'!N469</f>
        <v>GABRIEL ERNESTO CAMPOS ALVIRA</v>
      </c>
      <c r="O478" s="1425" t="str">
        <f>'PLAN INDICATIVO'!O469</f>
        <v>Incremento</v>
      </c>
      <c r="P478" s="16" t="str">
        <f>'PLAN INDICATIVO'!P469</f>
        <v xml:space="preserve">Realizar 4 campañas de concientización en la comunidad que vele por la protección y conservación de los bienes ambientales, adquiridos por la administración municipal, durante el cuatrienio. </v>
      </c>
      <c r="Q478" s="302" t="str">
        <f>'PLAN INDICATIVO'!Q469</f>
        <v>No. De campañas realizadas</v>
      </c>
      <c r="R478" s="351">
        <f>'PLAN INDICATIVO'!R469</f>
        <v>2015</v>
      </c>
      <c r="S478" s="304">
        <v>0</v>
      </c>
      <c r="T478" s="498">
        <v>4</v>
      </c>
      <c r="U478" s="572">
        <v>1</v>
      </c>
      <c r="V478" s="687">
        <v>1000000</v>
      </c>
      <c r="W478" s="572">
        <v>1</v>
      </c>
      <c r="X478" s="687">
        <v>2000000</v>
      </c>
      <c r="Y478" s="572">
        <v>1</v>
      </c>
      <c r="Z478" s="687">
        <v>2000000</v>
      </c>
      <c r="AA478" s="572">
        <v>1</v>
      </c>
      <c r="AB478" s="687">
        <v>2000000</v>
      </c>
      <c r="AC478" s="665">
        <v>1</v>
      </c>
      <c r="AD478" s="665">
        <v>1</v>
      </c>
      <c r="AE478" s="665"/>
      <c r="AF478" s="665"/>
      <c r="AG478" s="887" t="s">
        <v>3885</v>
      </c>
      <c r="AH478" s="990">
        <v>2017413960054</v>
      </c>
      <c r="AI478" s="336" t="s">
        <v>3931</v>
      </c>
      <c r="AJ478" s="309">
        <v>42795</v>
      </c>
      <c r="AK478" s="309">
        <v>43100</v>
      </c>
      <c r="AL478" s="310"/>
      <c r="AM478" s="310"/>
      <c r="AN478" s="267" t="s">
        <v>2598</v>
      </c>
      <c r="AO478" s="509" t="s">
        <v>3910</v>
      </c>
      <c r="AP478" s="972"/>
      <c r="AQ478" s="973"/>
      <c r="AR478" s="973"/>
      <c r="AS478" s="973"/>
      <c r="AT478" s="973"/>
      <c r="AU478" s="973"/>
      <c r="AV478" s="973">
        <v>2500000</v>
      </c>
      <c r="AW478" s="544">
        <f t="shared" si="207"/>
        <v>2500000</v>
      </c>
      <c r="AX478" s="525"/>
      <c r="AY478" s="310"/>
      <c r="AZ478" s="310"/>
      <c r="BA478" s="310"/>
      <c r="BB478" s="310"/>
      <c r="BC478" s="310"/>
      <c r="BD478" s="310"/>
      <c r="BE478" s="544">
        <f t="shared" si="208"/>
        <v>0</v>
      </c>
      <c r="BF478" s="525"/>
      <c r="BG478" s="310"/>
      <c r="BH478" s="310"/>
      <c r="BI478" s="310"/>
      <c r="BJ478" s="310"/>
      <c r="BK478" s="310"/>
      <c r="BL478" s="310"/>
      <c r="BM478" s="544">
        <f t="shared" si="209"/>
        <v>0</v>
      </c>
      <c r="BN478" s="525"/>
      <c r="BO478" s="310"/>
      <c r="BP478" s="310"/>
      <c r="BQ478" s="310"/>
      <c r="BR478" s="310"/>
      <c r="BS478" s="310"/>
      <c r="BT478" s="310"/>
      <c r="BU478" s="544">
        <f t="shared" si="210"/>
        <v>0</v>
      </c>
      <c r="BV478" s="648"/>
      <c r="BW478" s="663">
        <f t="shared" si="211"/>
        <v>2</v>
      </c>
      <c r="BX478" s="877">
        <f t="shared" si="212"/>
        <v>0.5</v>
      </c>
      <c r="BY478" s="674">
        <f t="shared" si="213"/>
        <v>1</v>
      </c>
      <c r="BZ478" s="674">
        <f t="shared" si="214"/>
        <v>1</v>
      </c>
      <c r="CA478" s="675">
        <f t="shared" si="215"/>
        <v>0</v>
      </c>
      <c r="CB478" s="675">
        <f t="shared" si="216"/>
        <v>0</v>
      </c>
      <c r="CC478" s="75"/>
      <c r="CD478" s="75"/>
      <c r="CE478" s="75"/>
      <c r="CF478" s="75"/>
      <c r="CG478" s="75">
        <v>2</v>
      </c>
      <c r="CH478" s="75"/>
      <c r="CI478" s="75"/>
      <c r="CJ478" s="75"/>
      <c r="CK478" s="75"/>
      <c r="CL478" s="75"/>
      <c r="CM478" s="75"/>
      <c r="CN478" s="75"/>
      <c r="CO478" s="75">
        <v>2</v>
      </c>
      <c r="CP478" s="521"/>
      <c r="CQ478" s="42"/>
      <c r="CR478" s="42"/>
      <c r="CS478" s="42"/>
      <c r="CT478" s="42"/>
      <c r="CU478" s="42"/>
      <c r="CV478" s="42"/>
      <c r="CW478" s="40"/>
    </row>
    <row r="479" spans="1:101" ht="54.75" hidden="1" customHeight="1" x14ac:dyDescent="0.25">
      <c r="A479" s="298" t="s">
        <v>1353</v>
      </c>
      <c r="B479" s="299" t="str">
        <f>'PLAN INDICATIVO'!B470</f>
        <v>Ambiental</v>
      </c>
      <c r="C479" s="1548"/>
      <c r="D479" s="1552"/>
      <c r="E479" s="1552"/>
      <c r="F479" s="1552"/>
      <c r="G479" s="1552"/>
      <c r="H479" s="1552"/>
      <c r="I479" s="300">
        <f>'PLAN INDICATIVO'!I470</f>
        <v>0</v>
      </c>
      <c r="J479" s="375">
        <f>'PLAN INDICATIVO'!J470</f>
        <v>0</v>
      </c>
      <c r="K479" s="1428" t="str">
        <f>'PLAN INDICATIVO'!K470</f>
        <v>A.10.1.30</v>
      </c>
      <c r="L479" s="301" t="str">
        <f>'PLAN INDICATIVO'!L470</f>
        <v>15. Vida de ecosistemas terrestres</v>
      </c>
      <c r="M479" s="301" t="str">
        <f>'PLAN INDICATIVO'!M470</f>
        <v>Unidad de Desarrollo Rural</v>
      </c>
      <c r="N479" s="1425" t="str">
        <f>'PLAN INDICATIVO'!N470</f>
        <v>GABRIEL ERNESTO CAMPOS ALVIRA</v>
      </c>
      <c r="O479" s="1425" t="str">
        <f>'PLAN INDICATIVO'!O470</f>
        <v>Incremento</v>
      </c>
      <c r="P479" s="16" t="str">
        <f>'PLAN INDICATIVO'!P470</f>
        <v>Otorgar 4 Apoyos  para la implementación de viveros forestales en las instituciones Educativas durante el cuatrienio.</v>
      </c>
      <c r="Q479" s="302" t="str">
        <f>'PLAN INDICATIVO'!Q470</f>
        <v>No. De apoyos otorgados</v>
      </c>
      <c r="R479" s="351">
        <f>'PLAN INDICATIVO'!R470</f>
        <v>2015</v>
      </c>
      <c r="S479" s="304">
        <v>0</v>
      </c>
      <c r="T479" s="498">
        <v>4</v>
      </c>
      <c r="U479" s="572">
        <v>1</v>
      </c>
      <c r="V479" s="687">
        <v>500000</v>
      </c>
      <c r="W479" s="572">
        <v>1</v>
      </c>
      <c r="X479" s="687">
        <v>5000000</v>
      </c>
      <c r="Y479" s="572">
        <v>1</v>
      </c>
      <c r="Z479" s="687">
        <v>2000000</v>
      </c>
      <c r="AA479" s="572">
        <v>1</v>
      </c>
      <c r="AB479" s="687">
        <v>2000000</v>
      </c>
      <c r="AC479" s="665">
        <v>1</v>
      </c>
      <c r="AD479" s="665">
        <v>1</v>
      </c>
      <c r="AE479" s="665"/>
      <c r="AF479" s="665"/>
      <c r="AG479" s="887" t="s">
        <v>3718</v>
      </c>
      <c r="AH479" s="990">
        <v>2017413960054</v>
      </c>
      <c r="AI479" s="336" t="s">
        <v>3932</v>
      </c>
      <c r="AJ479" s="309">
        <v>42795</v>
      </c>
      <c r="AK479" s="309">
        <v>43099</v>
      </c>
      <c r="AL479" s="308"/>
      <c r="AM479" s="308"/>
      <c r="AN479" s="267" t="s">
        <v>2598</v>
      </c>
      <c r="AO479" s="510" t="s">
        <v>3933</v>
      </c>
      <c r="AP479" s="972">
        <v>3000000</v>
      </c>
      <c r="AQ479" s="977">
        <v>2000000</v>
      </c>
      <c r="AR479" s="973"/>
      <c r="AS479" s="973"/>
      <c r="AT479" s="973"/>
      <c r="AU479" s="973"/>
      <c r="AV479" s="973"/>
      <c r="AW479" s="544">
        <f t="shared" si="207"/>
        <v>5000000</v>
      </c>
      <c r="AX479" s="525"/>
      <c r="AY479" s="380"/>
      <c r="AZ479" s="310"/>
      <c r="BA479" s="310"/>
      <c r="BB479" s="310"/>
      <c r="BC479" s="310"/>
      <c r="BD479" s="310"/>
      <c r="BE479" s="544">
        <f t="shared" si="208"/>
        <v>0</v>
      </c>
      <c r="BF479" s="525"/>
      <c r="BG479" s="380"/>
      <c r="BH479" s="310"/>
      <c r="BI479" s="310"/>
      <c r="BJ479" s="310"/>
      <c r="BK479" s="310"/>
      <c r="BL479" s="310"/>
      <c r="BM479" s="544">
        <f t="shared" si="209"/>
        <v>0</v>
      </c>
      <c r="BN479" s="525"/>
      <c r="BO479" s="380"/>
      <c r="BP479" s="310"/>
      <c r="BQ479" s="310"/>
      <c r="BR479" s="310"/>
      <c r="BS479" s="310"/>
      <c r="BT479" s="310"/>
      <c r="BU479" s="544">
        <f t="shared" si="210"/>
        <v>0</v>
      </c>
      <c r="BV479" s="556"/>
      <c r="BW479" s="663">
        <f t="shared" si="211"/>
        <v>2</v>
      </c>
      <c r="BX479" s="674">
        <f t="shared" si="212"/>
        <v>0.5</v>
      </c>
      <c r="BY479" s="674">
        <f t="shared" si="213"/>
        <v>1</v>
      </c>
      <c r="BZ479" s="674">
        <f t="shared" si="214"/>
        <v>1</v>
      </c>
      <c r="CA479" s="675">
        <f t="shared" si="215"/>
        <v>0</v>
      </c>
      <c r="CB479" s="675">
        <f t="shared" si="216"/>
        <v>0</v>
      </c>
    </row>
    <row r="480" spans="1:101" s="3" customFormat="1" ht="52.5" hidden="1" customHeight="1" x14ac:dyDescent="0.2">
      <c r="A480" s="298" t="s">
        <v>1353</v>
      </c>
      <c r="B480" s="299" t="str">
        <f>'PLAN INDICATIVO'!B471</f>
        <v>Ambiental</v>
      </c>
      <c r="C480" s="1424"/>
      <c r="D480" s="1427"/>
      <c r="E480" s="1427"/>
      <c r="F480" s="1427"/>
      <c r="G480" s="1427"/>
      <c r="H480" s="1427"/>
      <c r="I480" s="300">
        <f>'PLAN INDICATIVO'!I471</f>
        <v>0</v>
      </c>
      <c r="J480" s="375">
        <f>'PLAN INDICATIVO'!J471</f>
        <v>0</v>
      </c>
      <c r="K480" s="1428" t="str">
        <f>'PLAN INDICATIVO'!K471</f>
        <v>A.10.1.31</v>
      </c>
      <c r="L480" s="301" t="str">
        <f>'PLAN INDICATIVO'!L471</f>
        <v>15. Vida de ecosistemas terrestres</v>
      </c>
      <c r="M480" s="301" t="str">
        <f>'PLAN INDICATIVO'!M471</f>
        <v>Unidad de Desarrollo Rural</v>
      </c>
      <c r="N480" s="1425" t="str">
        <f>'PLAN INDICATIVO'!N471</f>
        <v>GABRIEL ERNESTO CAMPOS ALVIRA</v>
      </c>
      <c r="O480" s="1425" t="str">
        <f>'PLAN INDICATIVO'!O471</f>
        <v>Incremento</v>
      </c>
      <c r="P480" s="16" t="str">
        <f>'PLAN INDICATIVO'!P471</f>
        <v>Implementar 1 programa de apoyo a los grupos asociativos que desarrollen actividades de reciclaje con fines comerciales y/o de protección ambiental en los centros poblados del municipio, durante el cuatrienio.</v>
      </c>
      <c r="Q480" s="352" t="str">
        <f>'PLAN INDICATIVO'!Q471</f>
        <v>No. De programas de apoyo implementados</v>
      </c>
      <c r="R480" s="351">
        <f>'PLAN INDICATIVO'!R471</f>
        <v>2015</v>
      </c>
      <c r="S480" s="304">
        <v>0</v>
      </c>
      <c r="T480" s="498">
        <v>1</v>
      </c>
      <c r="U480" s="572">
        <v>0</v>
      </c>
      <c r="V480" s="687">
        <v>5000000</v>
      </c>
      <c r="W480" s="572">
        <v>1</v>
      </c>
      <c r="X480" s="687">
        <v>1000000</v>
      </c>
      <c r="Y480" s="572">
        <v>0</v>
      </c>
      <c r="Z480" s="687"/>
      <c r="AA480" s="572">
        <v>0</v>
      </c>
      <c r="AB480" s="687"/>
      <c r="AC480" s="665">
        <v>0</v>
      </c>
      <c r="AD480" s="665">
        <v>1</v>
      </c>
      <c r="AE480" s="665">
        <f>+Y480</f>
        <v>0</v>
      </c>
      <c r="AF480" s="665"/>
      <c r="AG480" s="887" t="s">
        <v>3885</v>
      </c>
      <c r="AH480" s="990">
        <v>2017413960054</v>
      </c>
      <c r="AI480" s="307" t="s">
        <v>3934</v>
      </c>
      <c r="AJ480" s="309">
        <v>42795</v>
      </c>
      <c r="AK480" s="309">
        <v>42705</v>
      </c>
      <c r="AL480" s="310"/>
      <c r="AM480" s="310"/>
      <c r="AN480" s="267" t="s">
        <v>2598</v>
      </c>
      <c r="AO480" s="509" t="s">
        <v>3910</v>
      </c>
      <c r="AP480" s="972"/>
      <c r="AQ480" s="973"/>
      <c r="AR480" s="973"/>
      <c r="AS480" s="973"/>
      <c r="AT480" s="973"/>
      <c r="AU480" s="973"/>
      <c r="AV480" s="973">
        <v>2500000</v>
      </c>
      <c r="AW480" s="544">
        <f t="shared" si="207"/>
        <v>2500000</v>
      </c>
      <c r="AX480" s="525"/>
      <c r="AY480" s="310"/>
      <c r="AZ480" s="310"/>
      <c r="BA480" s="310"/>
      <c r="BB480" s="310"/>
      <c r="BC480" s="310"/>
      <c r="BD480" s="310"/>
      <c r="BE480" s="544">
        <f t="shared" si="208"/>
        <v>0</v>
      </c>
      <c r="BF480" s="525"/>
      <c r="BG480" s="310"/>
      <c r="BH480" s="310"/>
      <c r="BI480" s="310"/>
      <c r="BJ480" s="310"/>
      <c r="BK480" s="310"/>
      <c r="BL480" s="310"/>
      <c r="BM480" s="544">
        <f t="shared" si="209"/>
        <v>0</v>
      </c>
      <c r="BN480" s="525"/>
      <c r="BO480" s="310"/>
      <c r="BP480" s="310"/>
      <c r="BQ480" s="310"/>
      <c r="BR480" s="310"/>
      <c r="BS480" s="310"/>
      <c r="BT480" s="310"/>
      <c r="BU480" s="544">
        <f t="shared" si="210"/>
        <v>0</v>
      </c>
      <c r="BV480" s="648"/>
      <c r="BW480" s="663">
        <f t="shared" si="211"/>
        <v>1</v>
      </c>
      <c r="BX480" s="674">
        <f t="shared" si="212"/>
        <v>1</v>
      </c>
      <c r="BY480" s="674" t="e">
        <f t="shared" si="213"/>
        <v>#DIV/0!</v>
      </c>
      <c r="BZ480" s="674">
        <f t="shared" si="214"/>
        <v>1</v>
      </c>
      <c r="CA480" s="675" t="e">
        <f t="shared" si="215"/>
        <v>#DIV/0!</v>
      </c>
      <c r="CB480" s="675" t="e">
        <f t="shared" si="216"/>
        <v>#DIV/0!</v>
      </c>
      <c r="CC480" s="75"/>
      <c r="CD480" s="75"/>
      <c r="CE480" s="75"/>
      <c r="CF480" s="75"/>
      <c r="CG480" s="75"/>
      <c r="CH480" s="75"/>
      <c r="CI480" s="75"/>
      <c r="CJ480" s="75"/>
      <c r="CK480" s="75"/>
      <c r="CL480" s="75"/>
      <c r="CM480" s="75"/>
      <c r="CN480" s="75"/>
      <c r="CO480" s="75"/>
      <c r="CP480" s="521"/>
      <c r="CQ480" s="42"/>
      <c r="CR480" s="42"/>
      <c r="CS480" s="42"/>
      <c r="CT480" s="42"/>
      <c r="CU480" s="42"/>
      <c r="CV480" s="42"/>
      <c r="CW480" s="40"/>
    </row>
    <row r="481" spans="1:101" s="3" customFormat="1" ht="42.75" hidden="1" customHeight="1" x14ac:dyDescent="0.2">
      <c r="A481" s="298" t="s">
        <v>1353</v>
      </c>
      <c r="B481" s="299" t="str">
        <f>'PLAN INDICATIVO'!B472</f>
        <v>Ambiental</v>
      </c>
      <c r="C481" s="1424"/>
      <c r="D481" s="1427"/>
      <c r="E481" s="1427"/>
      <c r="F481" s="1427"/>
      <c r="G481" s="1427"/>
      <c r="H481" s="1427"/>
      <c r="I481" s="300">
        <f>'PLAN INDICATIVO'!I472</f>
        <v>0</v>
      </c>
      <c r="J481" s="375">
        <f>'PLAN INDICATIVO'!J472</f>
        <v>0</v>
      </c>
      <c r="K481" s="1428" t="str">
        <f>'PLAN INDICATIVO'!K472</f>
        <v>A.10.1.32</v>
      </c>
      <c r="L481" s="301" t="str">
        <f>'PLAN INDICATIVO'!L472</f>
        <v>15. Vida de ecosistemas terrestres</v>
      </c>
      <c r="M481" s="301" t="str">
        <f>'PLAN INDICATIVO'!M472</f>
        <v>Unidad de Desarrollo Rural</v>
      </c>
      <c r="N481" s="1425" t="str">
        <f>'PLAN INDICATIVO'!N472</f>
        <v>GABRIEL ERNESTO CAMPOS ALVIRA</v>
      </c>
      <c r="O481" s="1425" t="str">
        <f>'PLAN INDICATIVO'!O472</f>
        <v>Incremento</v>
      </c>
      <c r="P481" s="16" t="str">
        <f>'PLAN INDICATIVO'!P472</f>
        <v>Diseñar 1 plan municipal de adaptación al cambio climático, durante el cuatrienio.</v>
      </c>
      <c r="Q481" s="352" t="str">
        <f>'PLAN INDICATIVO'!Q472</f>
        <v>No. de planes diseñados</v>
      </c>
      <c r="R481" s="351">
        <f>'PLAN INDICATIVO'!R472</f>
        <v>2015</v>
      </c>
      <c r="S481" s="304">
        <v>0</v>
      </c>
      <c r="T481" s="498">
        <v>1</v>
      </c>
      <c r="U481" s="572">
        <v>0</v>
      </c>
      <c r="V481" s="687"/>
      <c r="W481" s="572">
        <v>0</v>
      </c>
      <c r="X481" s="687"/>
      <c r="Y481" s="572">
        <v>1</v>
      </c>
      <c r="Z481" s="687">
        <v>1000000</v>
      </c>
      <c r="AA481" s="572">
        <v>0</v>
      </c>
      <c r="AB481" s="687"/>
      <c r="AC481" s="665">
        <v>0</v>
      </c>
      <c r="AD481" s="665"/>
      <c r="AE481" s="665"/>
      <c r="AF481" s="665"/>
      <c r="AG481" s="887"/>
      <c r="AH481" s="887"/>
      <c r="AI481" s="307"/>
      <c r="AJ481" s="309"/>
      <c r="AK481" s="309"/>
      <c r="AL481" s="310"/>
      <c r="AM481" s="310"/>
      <c r="AN481" s="267" t="s">
        <v>2594</v>
      </c>
      <c r="AO481" s="509"/>
      <c r="AP481" s="972"/>
      <c r="AQ481" s="973"/>
      <c r="AR481" s="973"/>
      <c r="AS481" s="973"/>
      <c r="AT481" s="973"/>
      <c r="AU481" s="973"/>
      <c r="AV481" s="973"/>
      <c r="AW481" s="975">
        <f>SUM(AP481+AQ481+AR481+AS481+AT481+AU481+AV481)</f>
        <v>0</v>
      </c>
      <c r="AX481" s="525"/>
      <c r="AY481" s="310"/>
      <c r="AZ481" s="310"/>
      <c r="BA481" s="310"/>
      <c r="BB481" s="310"/>
      <c r="BC481" s="310"/>
      <c r="BD481" s="310"/>
      <c r="BE481" s="544">
        <f t="shared" si="208"/>
        <v>0</v>
      </c>
      <c r="BF481" s="525"/>
      <c r="BG481" s="310"/>
      <c r="BH481" s="310"/>
      <c r="BI481" s="310"/>
      <c r="BJ481" s="310"/>
      <c r="BK481" s="310"/>
      <c r="BL481" s="310"/>
      <c r="BM481" s="544">
        <f t="shared" si="209"/>
        <v>0</v>
      </c>
      <c r="BN481" s="525"/>
      <c r="BO481" s="310"/>
      <c r="BP481" s="310"/>
      <c r="BQ481" s="310"/>
      <c r="BR481" s="310"/>
      <c r="BS481" s="310"/>
      <c r="BT481" s="310"/>
      <c r="BU481" s="544">
        <f t="shared" si="210"/>
        <v>0</v>
      </c>
      <c r="BV481" s="648"/>
      <c r="BW481" s="663">
        <f t="shared" si="211"/>
        <v>0</v>
      </c>
      <c r="BX481" s="877">
        <f t="shared" si="212"/>
        <v>0</v>
      </c>
      <c r="BY481" s="674" t="e">
        <f t="shared" si="213"/>
        <v>#DIV/0!</v>
      </c>
      <c r="BZ481" s="674" t="e">
        <f t="shared" si="214"/>
        <v>#DIV/0!</v>
      </c>
      <c r="CA481" s="675">
        <f t="shared" si="215"/>
        <v>0</v>
      </c>
      <c r="CB481" s="675" t="e">
        <f t="shared" si="216"/>
        <v>#DIV/0!</v>
      </c>
      <c r="CC481" s="75"/>
      <c r="CD481" s="75"/>
      <c r="CE481" s="75"/>
      <c r="CF481" s="75"/>
      <c r="CG481" s="75"/>
      <c r="CH481" s="75"/>
      <c r="CI481" s="75"/>
      <c r="CJ481" s="75"/>
      <c r="CK481" s="75"/>
      <c r="CL481" s="75"/>
      <c r="CM481" s="75"/>
      <c r="CN481" s="75"/>
      <c r="CO481" s="75"/>
      <c r="CP481" s="521"/>
      <c r="CQ481" s="42"/>
      <c r="CR481" s="42"/>
      <c r="CS481" s="42"/>
      <c r="CT481" s="42"/>
      <c r="CU481" s="42"/>
      <c r="CV481" s="42"/>
      <c r="CW481" s="40"/>
    </row>
    <row r="482" spans="1:101" ht="15" hidden="1" customHeight="1" x14ac:dyDescent="0.25">
      <c r="A482" s="151"/>
      <c r="B482" s="7" t="e">
        <f>'PLAN INDICATIVO'!#REF!</f>
        <v>#REF!</v>
      </c>
      <c r="C482" s="7"/>
      <c r="D482" s="1442"/>
      <c r="E482" s="1442"/>
      <c r="F482" s="1442"/>
      <c r="G482" s="1442"/>
      <c r="H482" s="1442"/>
      <c r="I482" s="1442"/>
      <c r="J482" s="64"/>
      <c r="K482" s="148"/>
      <c r="L482" s="148"/>
      <c r="M482" s="148"/>
      <c r="N482" s="1442"/>
      <c r="O482" s="148"/>
      <c r="P482" s="1436"/>
      <c r="Q482" s="1436"/>
      <c r="R482" s="69"/>
      <c r="S482" s="265"/>
      <c r="T482" s="677"/>
      <c r="U482" s="265"/>
      <c r="V482" s="265"/>
      <c r="W482" s="265"/>
      <c r="X482" s="265"/>
      <c r="Y482" s="265"/>
      <c r="Z482" s="265"/>
      <c r="AA482" s="268"/>
      <c r="AB482" s="268"/>
      <c r="AC482" s="268"/>
      <c r="AD482" s="268"/>
      <c r="AE482" s="268"/>
      <c r="AF482" s="268"/>
      <c r="AG482" s="269"/>
      <c r="AH482" s="269"/>
      <c r="AI482" s="269"/>
      <c r="AJ482" s="268"/>
      <c r="AK482" s="268"/>
      <c r="AL482" s="268"/>
      <c r="AM482" s="268"/>
      <c r="AN482" s="268"/>
      <c r="AO482" s="507"/>
      <c r="AP482" s="525"/>
      <c r="AQ482" s="380"/>
      <c r="AR482" s="310"/>
      <c r="AS482" s="310"/>
      <c r="AT482" s="310"/>
      <c r="AU482" s="310"/>
      <c r="AV482" s="310"/>
      <c r="AW482" s="544">
        <f t="shared" ref="AW482:AW500" si="217">SUM(AP482:AV482)</f>
        <v>0</v>
      </c>
      <c r="AX482" s="525"/>
      <c r="AY482" s="380"/>
      <c r="AZ482" s="310"/>
      <c r="BA482" s="310"/>
      <c r="BB482" s="310"/>
      <c r="BC482" s="310"/>
      <c r="BD482" s="310"/>
      <c r="BE482" s="544">
        <f t="shared" si="208"/>
        <v>0</v>
      </c>
      <c r="BF482" s="525"/>
      <c r="BG482" s="380"/>
      <c r="BH482" s="310"/>
      <c r="BI482" s="310"/>
      <c r="BJ482" s="310"/>
      <c r="BK482" s="310"/>
      <c r="BL482" s="310"/>
      <c r="BM482" s="544">
        <f t="shared" si="209"/>
        <v>0</v>
      </c>
      <c r="BN482" s="525"/>
      <c r="BO482" s="380"/>
      <c r="BP482" s="310"/>
      <c r="BQ482" s="310"/>
      <c r="BR482" s="310"/>
      <c r="BS482" s="310"/>
      <c r="BT482" s="310"/>
      <c r="BU482" s="544">
        <f t="shared" si="210"/>
        <v>0</v>
      </c>
      <c r="BV482" s="556"/>
      <c r="BW482" s="663">
        <f t="shared" si="211"/>
        <v>0</v>
      </c>
      <c r="BX482" s="674" t="e">
        <f t="shared" si="212"/>
        <v>#DIV/0!</v>
      </c>
      <c r="BY482" s="674" t="e">
        <f t="shared" si="213"/>
        <v>#DIV/0!</v>
      </c>
      <c r="BZ482" s="674" t="e">
        <f t="shared" si="214"/>
        <v>#DIV/0!</v>
      </c>
      <c r="CA482" s="675" t="e">
        <f t="shared" si="215"/>
        <v>#DIV/0!</v>
      </c>
      <c r="CB482" s="675" t="e">
        <f t="shared" si="216"/>
        <v>#DIV/0!</v>
      </c>
    </row>
    <row r="483" spans="1:101" ht="14.25" hidden="1" customHeight="1" thickBot="1" x14ac:dyDescent="0.3">
      <c r="A483" s="311"/>
      <c r="B483" s="312" t="e">
        <f>'PLAN INDICATIVO'!#REF!</f>
        <v>#REF!</v>
      </c>
      <c r="C483" s="312"/>
      <c r="D483" s="1444"/>
      <c r="E483" s="1444"/>
      <c r="F483" s="1444"/>
      <c r="G483" s="1444"/>
      <c r="H483" s="1444"/>
      <c r="I483" s="1444"/>
      <c r="J483" s="443"/>
      <c r="K483" s="444"/>
      <c r="L483" s="444"/>
      <c r="M483" s="444"/>
      <c r="N483" s="1444"/>
      <c r="O483" s="444"/>
      <c r="P483" s="1435"/>
      <c r="Q483" s="1435"/>
      <c r="R483" s="445"/>
      <c r="S483" s="313"/>
      <c r="T483" s="682"/>
      <c r="U483" s="313"/>
      <c r="V483" s="313"/>
      <c r="W483" s="313"/>
      <c r="X483" s="313"/>
      <c r="Y483" s="313"/>
      <c r="Z483" s="313"/>
      <c r="AA483" s="314"/>
      <c r="AB483" s="314"/>
      <c r="AC483" s="314"/>
      <c r="AD483" s="314"/>
      <c r="AE483" s="314"/>
      <c r="AF483" s="314"/>
      <c r="AG483" s="315"/>
      <c r="AH483" s="315"/>
      <c r="AI483" s="315"/>
      <c r="AJ483" s="314"/>
      <c r="AK483" s="314"/>
      <c r="AL483" s="314"/>
      <c r="AM483" s="314"/>
      <c r="AN483" s="268"/>
      <c r="AO483" s="507"/>
      <c r="AP483" s="525"/>
      <c r="AQ483" s="380"/>
      <c r="AR483" s="310"/>
      <c r="AS483" s="310"/>
      <c r="AT483" s="310"/>
      <c r="AU483" s="310"/>
      <c r="AV483" s="310"/>
      <c r="AW483" s="544">
        <f t="shared" si="217"/>
        <v>0</v>
      </c>
      <c r="AX483" s="525"/>
      <c r="AY483" s="380"/>
      <c r="AZ483" s="310"/>
      <c r="BA483" s="310"/>
      <c r="BB483" s="310"/>
      <c r="BC483" s="310"/>
      <c r="BD483" s="310"/>
      <c r="BE483" s="544">
        <f t="shared" si="208"/>
        <v>0</v>
      </c>
      <c r="BF483" s="525"/>
      <c r="BG483" s="380"/>
      <c r="BH483" s="310"/>
      <c r="BI483" s="310"/>
      <c r="BJ483" s="310"/>
      <c r="BK483" s="310"/>
      <c r="BL483" s="310"/>
      <c r="BM483" s="544">
        <f t="shared" si="209"/>
        <v>0</v>
      </c>
      <c r="BN483" s="525"/>
      <c r="BO483" s="380"/>
      <c r="BP483" s="310"/>
      <c r="BQ483" s="310"/>
      <c r="BR483" s="310"/>
      <c r="BS483" s="310"/>
      <c r="BT483" s="310"/>
      <c r="BU483" s="544">
        <f t="shared" si="210"/>
        <v>0</v>
      </c>
      <c r="BV483" s="556"/>
      <c r="BW483" s="663">
        <f t="shared" si="211"/>
        <v>0</v>
      </c>
      <c r="BX483" s="674" t="e">
        <f t="shared" si="212"/>
        <v>#DIV/0!</v>
      </c>
      <c r="BY483" s="674" t="e">
        <f t="shared" si="213"/>
        <v>#DIV/0!</v>
      </c>
      <c r="BZ483" s="674" t="e">
        <f t="shared" si="214"/>
        <v>#DIV/0!</v>
      </c>
      <c r="CA483" s="675" t="e">
        <f t="shared" si="215"/>
        <v>#DIV/0!</v>
      </c>
      <c r="CB483" s="675" t="e">
        <f t="shared" si="216"/>
        <v>#DIV/0!</v>
      </c>
    </row>
    <row r="484" spans="1:101" ht="54.75" hidden="1" customHeight="1" thickBot="1" x14ac:dyDescent="0.3">
      <c r="A484" s="441"/>
      <c r="B484" s="442"/>
      <c r="C484" s="1590" t="s">
        <v>3086</v>
      </c>
      <c r="D484" s="1590"/>
      <c r="E484" s="1590"/>
      <c r="F484" s="1590"/>
      <c r="G484" s="1590"/>
      <c r="H484" s="1590"/>
      <c r="I484" s="1590"/>
      <c r="J484" s="1590"/>
      <c r="K484" s="1590"/>
      <c r="L484" s="1590"/>
      <c r="M484" s="1590"/>
      <c r="N484" s="1590"/>
      <c r="O484" s="1590"/>
      <c r="P484" s="1590"/>
      <c r="Q484" s="1590"/>
      <c r="R484" s="1590"/>
      <c r="S484" s="1590"/>
      <c r="T484" s="1590"/>
      <c r="U484" s="1590"/>
      <c r="V484" s="1590"/>
      <c r="W484" s="1590"/>
      <c r="X484" s="1590"/>
      <c r="Y484" s="1590"/>
      <c r="Z484" s="1590"/>
      <c r="AA484" s="1590"/>
      <c r="AB484" s="1590"/>
      <c r="AC484" s="1590"/>
      <c r="AD484" s="1590"/>
      <c r="AE484" s="1590"/>
      <c r="AF484" s="1590"/>
      <c r="AG484" s="1590"/>
      <c r="AH484" s="1590"/>
      <c r="AI484" s="1590"/>
      <c r="AJ484" s="1590"/>
      <c r="AK484" s="1590"/>
      <c r="AL484" s="1590"/>
      <c r="AM484" s="1591"/>
      <c r="AN484" s="435"/>
      <c r="AO484" s="505"/>
      <c r="AP484" s="541"/>
      <c r="AQ484" s="542"/>
      <c r="AR484" s="542"/>
      <c r="AS484" s="542"/>
      <c r="AT484" s="542"/>
      <c r="AU484" s="542"/>
      <c r="AV484" s="542"/>
      <c r="AW484" s="543">
        <f t="shared" si="217"/>
        <v>0</v>
      </c>
      <c r="AX484" s="541"/>
      <c r="AY484" s="542"/>
      <c r="AZ484" s="542"/>
      <c r="BA484" s="542"/>
      <c r="BB484" s="542"/>
      <c r="BC484" s="542"/>
      <c r="BD484" s="542"/>
      <c r="BE484" s="543">
        <f t="shared" si="208"/>
        <v>0</v>
      </c>
      <c r="BF484" s="541"/>
      <c r="BG484" s="542"/>
      <c r="BH484" s="542"/>
      <c r="BI484" s="542"/>
      <c r="BJ484" s="542"/>
      <c r="BK484" s="542"/>
      <c r="BL484" s="542"/>
      <c r="BM484" s="543">
        <f t="shared" si="209"/>
        <v>0</v>
      </c>
      <c r="BN484" s="541"/>
      <c r="BO484" s="542"/>
      <c r="BP484" s="542"/>
      <c r="BQ484" s="542"/>
      <c r="BR484" s="542"/>
      <c r="BS484" s="542"/>
      <c r="BT484" s="542"/>
      <c r="BU484" s="543">
        <f t="shared" si="210"/>
        <v>0</v>
      </c>
      <c r="BV484" s="556"/>
      <c r="BW484" s="663">
        <f t="shared" si="211"/>
        <v>0</v>
      </c>
      <c r="BX484" s="674" t="e">
        <f t="shared" si="212"/>
        <v>#DIV/0!</v>
      </c>
      <c r="BY484" s="674" t="e">
        <f t="shared" si="213"/>
        <v>#DIV/0!</v>
      </c>
      <c r="BZ484" s="674" t="e">
        <f t="shared" si="214"/>
        <v>#DIV/0!</v>
      </c>
      <c r="CA484" s="675" t="e">
        <f t="shared" si="215"/>
        <v>#DIV/0!</v>
      </c>
      <c r="CB484" s="675" t="e">
        <f t="shared" si="216"/>
        <v>#DIV/0!</v>
      </c>
    </row>
    <row r="485" spans="1:101" ht="38.25" hidden="1" customHeight="1" x14ac:dyDescent="0.25">
      <c r="A485" s="296"/>
      <c r="B485" s="331" t="str">
        <f>'PLAN INDICATIVO'!B474</f>
        <v>Prevención y atención de desastres</v>
      </c>
      <c r="C485" s="1592" t="s">
        <v>1449</v>
      </c>
      <c r="D485" s="1593"/>
      <c r="E485" s="1593"/>
      <c r="F485" s="1593"/>
      <c r="G485" s="1593"/>
      <c r="H485" s="1593"/>
      <c r="I485" s="1593"/>
      <c r="J485" s="1593"/>
      <c r="K485" s="1593"/>
      <c r="L485" s="1593"/>
      <c r="M485" s="1593"/>
      <c r="N485" s="1593"/>
      <c r="O485" s="1594"/>
      <c r="P485" s="318"/>
      <c r="Q485" s="318"/>
      <c r="R485" s="317"/>
      <c r="S485" s="319"/>
      <c r="T485" s="676"/>
      <c r="U485" s="319"/>
      <c r="V485" s="695">
        <f>SUM(V486:V492)</f>
        <v>16300000</v>
      </c>
      <c r="W485" s="319"/>
      <c r="X485" s="695">
        <f>SUM(X486:X492)</f>
        <v>26000000</v>
      </c>
      <c r="Y485" s="319"/>
      <c r="Z485" s="695">
        <f>SUM(Z486:Z492)</f>
        <v>34000000</v>
      </c>
      <c r="AA485" s="320"/>
      <c r="AB485" s="708">
        <f>SUM(AB486:AB492)</f>
        <v>37000000</v>
      </c>
      <c r="AC485" s="320"/>
      <c r="AD485" s="320"/>
      <c r="AE485" s="320"/>
      <c r="AF485" s="320"/>
      <c r="AG485" s="321"/>
      <c r="AH485" s="321"/>
      <c r="AI485" s="321"/>
      <c r="AJ485" s="320"/>
      <c r="AK485" s="320"/>
      <c r="AL485" s="320"/>
      <c r="AM485" s="320"/>
      <c r="AN485" s="262"/>
      <c r="AO485" s="612"/>
      <c r="AP485" s="616" t="e">
        <f>(AP486:AP492)</f>
        <v>#VALUE!</v>
      </c>
      <c r="AQ485" s="616" t="e">
        <f t="shared" ref="AQ485:AV485" si="218">(AQ486:AQ492)</f>
        <v>#VALUE!</v>
      </c>
      <c r="AR485" s="616" t="e">
        <f t="shared" si="218"/>
        <v>#VALUE!</v>
      </c>
      <c r="AS485" s="616" t="e">
        <f t="shared" si="218"/>
        <v>#VALUE!</v>
      </c>
      <c r="AT485" s="616" t="e">
        <f t="shared" si="218"/>
        <v>#VALUE!</v>
      </c>
      <c r="AU485" s="616" t="e">
        <f t="shared" si="218"/>
        <v>#VALUE!</v>
      </c>
      <c r="AV485" s="616" t="e">
        <f t="shared" si="218"/>
        <v>#VALUE!</v>
      </c>
      <c r="AW485" s="617" t="e">
        <f t="shared" si="217"/>
        <v>#VALUE!</v>
      </c>
      <c r="AX485" s="616" t="e">
        <f>(AX486:AX492)</f>
        <v>#VALUE!</v>
      </c>
      <c r="AY485" s="616" t="e">
        <f t="shared" ref="AY485:BD485" si="219">(AY486:AY492)</f>
        <v>#VALUE!</v>
      </c>
      <c r="AZ485" s="616" t="e">
        <f t="shared" si="219"/>
        <v>#VALUE!</v>
      </c>
      <c r="BA485" s="616" t="e">
        <f t="shared" si="219"/>
        <v>#VALUE!</v>
      </c>
      <c r="BB485" s="616" t="e">
        <f t="shared" si="219"/>
        <v>#VALUE!</v>
      </c>
      <c r="BC485" s="616" t="e">
        <f t="shared" si="219"/>
        <v>#VALUE!</v>
      </c>
      <c r="BD485" s="616" t="e">
        <f t="shared" si="219"/>
        <v>#VALUE!</v>
      </c>
      <c r="BE485" s="617" t="e">
        <f t="shared" si="208"/>
        <v>#VALUE!</v>
      </c>
      <c r="BF485" s="616" t="e">
        <f>(BF486:BF492)</f>
        <v>#VALUE!</v>
      </c>
      <c r="BG485" s="616" t="e">
        <f t="shared" ref="BG485:BL485" si="220">(BG486:BG492)</f>
        <v>#VALUE!</v>
      </c>
      <c r="BH485" s="616" t="e">
        <f t="shared" si="220"/>
        <v>#VALUE!</v>
      </c>
      <c r="BI485" s="616" t="e">
        <f t="shared" si="220"/>
        <v>#VALUE!</v>
      </c>
      <c r="BJ485" s="616" t="e">
        <f t="shared" si="220"/>
        <v>#VALUE!</v>
      </c>
      <c r="BK485" s="616" t="e">
        <f t="shared" si="220"/>
        <v>#VALUE!</v>
      </c>
      <c r="BL485" s="616" t="e">
        <f t="shared" si="220"/>
        <v>#VALUE!</v>
      </c>
      <c r="BM485" s="617" t="e">
        <f t="shared" si="209"/>
        <v>#VALUE!</v>
      </c>
      <c r="BN485" s="616" t="e">
        <f>(BN486:BN492)</f>
        <v>#VALUE!</v>
      </c>
      <c r="BO485" s="616" t="e">
        <f t="shared" ref="BO485:BT485" si="221">(BO486:BO492)</f>
        <v>#VALUE!</v>
      </c>
      <c r="BP485" s="616" t="e">
        <f t="shared" si="221"/>
        <v>#VALUE!</v>
      </c>
      <c r="BQ485" s="616" t="e">
        <f t="shared" si="221"/>
        <v>#VALUE!</v>
      </c>
      <c r="BR485" s="616" t="e">
        <f t="shared" si="221"/>
        <v>#VALUE!</v>
      </c>
      <c r="BS485" s="616" t="e">
        <f t="shared" si="221"/>
        <v>#VALUE!</v>
      </c>
      <c r="BT485" s="616" t="e">
        <f t="shared" si="221"/>
        <v>#VALUE!</v>
      </c>
      <c r="BU485" s="617" t="e">
        <f t="shared" si="210"/>
        <v>#VALUE!</v>
      </c>
      <c r="BV485" s="556"/>
      <c r="BW485" s="663">
        <f t="shared" si="211"/>
        <v>0</v>
      </c>
      <c r="BX485" s="674" t="e">
        <f t="shared" si="212"/>
        <v>#DIV/0!</v>
      </c>
      <c r="BY485" s="674" t="e">
        <f t="shared" si="213"/>
        <v>#DIV/0!</v>
      </c>
      <c r="BZ485" s="674" t="e">
        <f t="shared" si="214"/>
        <v>#DIV/0!</v>
      </c>
      <c r="CA485" s="675" t="e">
        <f t="shared" si="215"/>
        <v>#DIV/0!</v>
      </c>
      <c r="CB485" s="675" t="e">
        <f t="shared" si="216"/>
        <v>#DIV/0!</v>
      </c>
    </row>
    <row r="486" spans="1:101" ht="58.5" hidden="1" customHeight="1" x14ac:dyDescent="0.25">
      <c r="A486" s="298" t="s">
        <v>1450</v>
      </c>
      <c r="B486" s="299" t="str">
        <f>'PLAN INDICATIVO'!B475</f>
        <v>Prevención y atención de desastres</v>
      </c>
      <c r="C486" s="1546" t="s">
        <v>1451</v>
      </c>
      <c r="D486" s="1550" t="s">
        <v>1452</v>
      </c>
      <c r="E486" s="1550" t="s">
        <v>1453</v>
      </c>
      <c r="F486" s="1550">
        <v>2015</v>
      </c>
      <c r="G486" s="1550" t="s">
        <v>177</v>
      </c>
      <c r="H486" s="1550">
        <v>20</v>
      </c>
      <c r="I486" s="300">
        <f>'PLAN INDICATIVO'!I475</f>
        <v>0</v>
      </c>
      <c r="J486" s="300">
        <f>'PLAN INDICATIVO'!J475</f>
        <v>0</v>
      </c>
      <c r="K486" s="1425" t="str">
        <f>'PLAN INDICATIVO'!K475</f>
        <v>A.12.1.1</v>
      </c>
      <c r="L486" s="301" t="str">
        <f>'PLAN INDICATIVO'!L475</f>
        <v>11. Ciudades y comunidades sostenibles</v>
      </c>
      <c r="M486" s="301" t="s">
        <v>1102</v>
      </c>
      <c r="N486" s="1425" t="s">
        <v>3555</v>
      </c>
      <c r="O486" s="1425" t="str">
        <f>'PLAN INDICATIVO'!O475</f>
        <v>Incremento</v>
      </c>
      <c r="P486" s="16" t="str">
        <f>'PLAN INDICATIVO'!P475</f>
        <v>Realizar 1 inventario de viviendas y personas que se encuentren en alto riesgo, durante el cuatrienio</v>
      </c>
      <c r="Q486" s="302" t="str">
        <f>'PLAN INDICATIVO'!Q475</f>
        <v>No. de inventarios realizados</v>
      </c>
      <c r="R486" s="351">
        <f>'PLAN INDICATIVO'!R475</f>
        <v>2015</v>
      </c>
      <c r="S486" s="304">
        <v>0</v>
      </c>
      <c r="T486" s="498">
        <v>1</v>
      </c>
      <c r="U486" s="303">
        <v>1</v>
      </c>
      <c r="V486" s="687">
        <v>4000000</v>
      </c>
      <c r="W486" s="572">
        <v>1</v>
      </c>
      <c r="X486" s="687">
        <v>1000000</v>
      </c>
      <c r="Y486" s="572">
        <v>0</v>
      </c>
      <c r="Z486" s="687"/>
      <c r="AA486" s="572">
        <v>0</v>
      </c>
      <c r="AB486" s="687"/>
      <c r="AC486" s="665">
        <v>0</v>
      </c>
      <c r="AD486" s="665">
        <v>1</v>
      </c>
      <c r="AE486" s="665"/>
      <c r="AF486" s="665"/>
      <c r="AG486" s="306" t="s">
        <v>3935</v>
      </c>
      <c r="AH486" s="306">
        <v>2017413960016</v>
      </c>
      <c r="AI486" s="307" t="s">
        <v>3936</v>
      </c>
      <c r="AJ486" s="838">
        <v>42870</v>
      </c>
      <c r="AK486" s="838">
        <v>42962</v>
      </c>
      <c r="AL486" s="308"/>
      <c r="AM486" s="308"/>
      <c r="AN486" s="267" t="s">
        <v>2598</v>
      </c>
      <c r="AO486" s="507">
        <v>23121301</v>
      </c>
      <c r="AP486" s="525">
        <v>6000000</v>
      </c>
      <c r="AQ486" s="310"/>
      <c r="AR486" s="310"/>
      <c r="AS486" s="310"/>
      <c r="AT486" s="310"/>
      <c r="AU486" s="310"/>
      <c r="AV486" s="310"/>
      <c r="AW486" s="544">
        <f t="shared" si="217"/>
        <v>6000000</v>
      </c>
      <c r="AX486" s="525"/>
      <c r="AY486" s="310"/>
      <c r="AZ486" s="310"/>
      <c r="BA486" s="310"/>
      <c r="BB486" s="310"/>
      <c r="BC486" s="310"/>
      <c r="BD486" s="310"/>
      <c r="BE486" s="544">
        <f t="shared" si="208"/>
        <v>0</v>
      </c>
      <c r="BF486" s="525"/>
      <c r="BG486" s="310"/>
      <c r="BH486" s="310"/>
      <c r="BI486" s="310"/>
      <c r="BJ486" s="310"/>
      <c r="BK486" s="310"/>
      <c r="BL486" s="310"/>
      <c r="BM486" s="544">
        <f t="shared" si="209"/>
        <v>0</v>
      </c>
      <c r="BN486" s="525"/>
      <c r="BO486" s="310"/>
      <c r="BP486" s="310"/>
      <c r="BQ486" s="310"/>
      <c r="BR486" s="310"/>
      <c r="BS486" s="310"/>
      <c r="BT486" s="310"/>
      <c r="BU486" s="544">
        <f t="shared" si="210"/>
        <v>0</v>
      </c>
      <c r="BV486" s="556"/>
      <c r="BW486" s="663">
        <f t="shared" si="211"/>
        <v>1</v>
      </c>
      <c r="BX486" s="674">
        <f t="shared" si="212"/>
        <v>1</v>
      </c>
      <c r="BY486" s="674">
        <f t="shared" si="213"/>
        <v>0</v>
      </c>
      <c r="BZ486" s="674">
        <f t="shared" si="214"/>
        <v>1</v>
      </c>
      <c r="CA486" s="675" t="e">
        <f t="shared" si="215"/>
        <v>#DIV/0!</v>
      </c>
      <c r="CB486" s="675" t="e">
        <f t="shared" si="216"/>
        <v>#DIV/0!</v>
      </c>
    </row>
    <row r="487" spans="1:101" ht="74.25" hidden="1" customHeight="1" x14ac:dyDescent="0.25">
      <c r="A487" s="298" t="s">
        <v>1450</v>
      </c>
      <c r="B487" s="299" t="str">
        <f>'PLAN INDICATIVO'!B476</f>
        <v>Prevención y atención de desastres</v>
      </c>
      <c r="C487" s="1547"/>
      <c r="D487" s="1551"/>
      <c r="E487" s="1551"/>
      <c r="F487" s="1551"/>
      <c r="G487" s="1551"/>
      <c r="H487" s="1551"/>
      <c r="I487" s="1425" t="str">
        <f>'PLAN INDICATIVO'!I476</f>
        <v>SI</v>
      </c>
      <c r="J487" s="1425">
        <f>'PLAN INDICATIVO'!J476</f>
        <v>0</v>
      </c>
      <c r="K487" s="1425" t="str">
        <f>'PLAN INDICATIVO'!K476</f>
        <v>A.12.1.2</v>
      </c>
      <c r="L487" s="301" t="str">
        <f>'PLAN INDICATIVO'!L476</f>
        <v>11. Ciudades y comunidades sostenibles</v>
      </c>
      <c r="M487" s="301" t="s">
        <v>1102</v>
      </c>
      <c r="N487" s="1425" t="s">
        <v>3555</v>
      </c>
      <c r="O487" s="1425" t="str">
        <f>'PLAN INDICATIVO'!O476</f>
        <v>Incremento</v>
      </c>
      <c r="P487" s="16" t="str">
        <f>'PLAN INDICATIVO'!P476</f>
        <v xml:space="preserve">Construir 1 centro de operaciones de emergencias durante el cuatrienio garantizandole los servicios públicos </v>
      </c>
      <c r="Q487" s="302" t="str">
        <f>'PLAN INDICATIVO'!Q476</f>
        <v>No. De centros de operación construidos</v>
      </c>
      <c r="R487" s="303">
        <f>'PLAN INDICATIVO'!R476</f>
        <v>2015</v>
      </c>
      <c r="S487" s="304">
        <v>0</v>
      </c>
      <c r="T487" s="498">
        <v>1</v>
      </c>
      <c r="U487" s="303">
        <v>1</v>
      </c>
      <c r="V487" s="687">
        <v>1000000</v>
      </c>
      <c r="W487" s="572">
        <v>1</v>
      </c>
      <c r="X487" s="687">
        <v>2000000</v>
      </c>
      <c r="Y487" s="572">
        <v>0</v>
      </c>
      <c r="Z487" s="687"/>
      <c r="AA487" s="572">
        <v>0</v>
      </c>
      <c r="AB487" s="687"/>
      <c r="AC487" s="665">
        <v>0</v>
      </c>
      <c r="AD487" s="665">
        <v>0.9</v>
      </c>
      <c r="AE487" s="665"/>
      <c r="AF487" s="665"/>
      <c r="AG487" s="306" t="s">
        <v>3935</v>
      </c>
      <c r="AH487" s="306">
        <v>2017413960016</v>
      </c>
      <c r="AI487" s="307" t="s">
        <v>3937</v>
      </c>
      <c r="AJ487" s="335">
        <v>42736</v>
      </c>
      <c r="AK487" s="335">
        <v>42979</v>
      </c>
      <c r="AL487" s="308"/>
      <c r="AM487" s="308"/>
      <c r="AN487" s="267" t="s">
        <v>2604</v>
      </c>
      <c r="AO487" s="507"/>
      <c r="AP487" s="525"/>
      <c r="AQ487" s="310"/>
      <c r="AR487" s="310"/>
      <c r="AS487" s="310"/>
      <c r="AT487" s="310"/>
      <c r="AU487" s="310"/>
      <c r="AV487" s="310"/>
      <c r="AW487" s="544">
        <f t="shared" si="217"/>
        <v>0</v>
      </c>
      <c r="AX487" s="525"/>
      <c r="AY487" s="310"/>
      <c r="AZ487" s="310"/>
      <c r="BA487" s="310"/>
      <c r="BB487" s="310"/>
      <c r="BC487" s="310"/>
      <c r="BD487" s="310"/>
      <c r="BE487" s="544">
        <f t="shared" si="208"/>
        <v>0</v>
      </c>
      <c r="BF487" s="525"/>
      <c r="BG487" s="310"/>
      <c r="BH487" s="310"/>
      <c r="BI487" s="310"/>
      <c r="BJ487" s="310"/>
      <c r="BK487" s="310"/>
      <c r="BL487" s="310"/>
      <c r="BM487" s="544">
        <f t="shared" si="209"/>
        <v>0</v>
      </c>
      <c r="BN487" s="525"/>
      <c r="BO487" s="310"/>
      <c r="BP487" s="310"/>
      <c r="BQ487" s="310"/>
      <c r="BR487" s="310"/>
      <c r="BS487" s="310"/>
      <c r="BT487" s="310"/>
      <c r="BU487" s="544">
        <f t="shared" si="210"/>
        <v>0</v>
      </c>
      <c r="BV487" s="556"/>
      <c r="BW487" s="663">
        <f t="shared" si="211"/>
        <v>0.9</v>
      </c>
      <c r="BX487" s="674">
        <f t="shared" si="212"/>
        <v>0.9</v>
      </c>
      <c r="BY487" s="674">
        <f t="shared" si="213"/>
        <v>0</v>
      </c>
      <c r="BZ487" s="674">
        <f t="shared" si="214"/>
        <v>0.9</v>
      </c>
      <c r="CA487" s="675" t="e">
        <f t="shared" si="215"/>
        <v>#DIV/0!</v>
      </c>
      <c r="CB487" s="675" t="e">
        <f t="shared" si="216"/>
        <v>#DIV/0!</v>
      </c>
    </row>
    <row r="488" spans="1:101" ht="61.5" hidden="1" customHeight="1" x14ac:dyDescent="0.25">
      <c r="A488" s="298" t="s">
        <v>1450</v>
      </c>
      <c r="B488" s="299" t="str">
        <f>'PLAN INDICATIVO'!B477</f>
        <v>Prevención y atención de desastres</v>
      </c>
      <c r="C488" s="1547"/>
      <c r="D488" s="1551"/>
      <c r="E488" s="1551"/>
      <c r="F488" s="1551"/>
      <c r="G488" s="1551"/>
      <c r="H488" s="1551"/>
      <c r="I488" s="300">
        <f>'PLAN INDICATIVO'!I477</f>
        <v>0</v>
      </c>
      <c r="J488" s="300">
        <f>'PLAN INDICATIVO'!J477</f>
        <v>0</v>
      </c>
      <c r="K488" s="1425" t="str">
        <f>'PLAN INDICATIVO'!K477</f>
        <v>A.12.1.3</v>
      </c>
      <c r="L488" s="301" t="str">
        <f>'PLAN INDICATIVO'!L477</f>
        <v>11. Ciudades y comunidades sostenibles</v>
      </c>
      <c r="M488" s="301" t="s">
        <v>1102</v>
      </c>
      <c r="N488" s="1425" t="s">
        <v>3555</v>
      </c>
      <c r="O488" s="1425" t="str">
        <f>'PLAN INDICATIVO'!O477</f>
        <v>Incremento</v>
      </c>
      <c r="P488" s="16" t="str">
        <f>'PLAN INDICATIVO'!P477</f>
        <v>Realizar 1 canalización a la Quebrada Zapatero, para mitigación de riesgos, durante el cuatrienio</v>
      </c>
      <c r="Q488" s="302" t="str">
        <f>'PLAN INDICATIVO'!Q477</f>
        <v>No. De canalizaciones realizadas</v>
      </c>
      <c r="R488" s="351">
        <f>'PLAN INDICATIVO'!R477</f>
        <v>2015</v>
      </c>
      <c r="S488" s="304">
        <v>0</v>
      </c>
      <c r="T488" s="498">
        <v>1</v>
      </c>
      <c r="U488" s="303">
        <v>0.5</v>
      </c>
      <c r="V488" s="687">
        <v>500000</v>
      </c>
      <c r="W488" s="572">
        <v>0</v>
      </c>
      <c r="X488" s="687"/>
      <c r="Y488" s="572">
        <v>0</v>
      </c>
      <c r="Z488" s="687"/>
      <c r="AA488" s="572">
        <v>0</v>
      </c>
      <c r="AB488" s="687"/>
      <c r="AC488" s="665">
        <v>0.5</v>
      </c>
      <c r="AD488" s="667">
        <v>0.5</v>
      </c>
      <c r="AE488" s="665"/>
      <c r="AF488" s="665"/>
      <c r="AG488" s="306" t="s">
        <v>3935</v>
      </c>
      <c r="AH488" s="306">
        <v>2017413960016</v>
      </c>
      <c r="AI488" s="336" t="s">
        <v>3938</v>
      </c>
      <c r="AJ488" s="335">
        <v>42736</v>
      </c>
      <c r="AK488" s="335">
        <v>42979</v>
      </c>
      <c r="AL488" s="308"/>
      <c r="AM488" s="308"/>
      <c r="AN488" s="267" t="s">
        <v>2598</v>
      </c>
      <c r="AO488" s="507"/>
      <c r="AP488" s="525"/>
      <c r="AQ488" s="310"/>
      <c r="AR488" s="310"/>
      <c r="AS488" s="310"/>
      <c r="AT488" s="310"/>
      <c r="AU488" s="310"/>
      <c r="AV488" s="310"/>
      <c r="AW488" s="544">
        <f t="shared" si="217"/>
        <v>0</v>
      </c>
      <c r="AX488" s="525"/>
      <c r="AY488" s="310"/>
      <c r="AZ488" s="310"/>
      <c r="BA488" s="310"/>
      <c r="BB488" s="310"/>
      <c r="BC488" s="310"/>
      <c r="BD488" s="310"/>
      <c r="BE488" s="544">
        <f t="shared" si="208"/>
        <v>0</v>
      </c>
      <c r="BF488" s="525"/>
      <c r="BG488" s="310"/>
      <c r="BH488" s="310"/>
      <c r="BI488" s="310"/>
      <c r="BJ488" s="310"/>
      <c r="BK488" s="310"/>
      <c r="BL488" s="310"/>
      <c r="BM488" s="544">
        <f t="shared" si="209"/>
        <v>0</v>
      </c>
      <c r="BN488" s="525"/>
      <c r="BO488" s="310"/>
      <c r="BP488" s="310"/>
      <c r="BQ488" s="310"/>
      <c r="BR488" s="310"/>
      <c r="BS488" s="310"/>
      <c r="BT488" s="310"/>
      <c r="BU488" s="544">
        <f t="shared" si="210"/>
        <v>0</v>
      </c>
      <c r="BV488" s="556"/>
      <c r="BW488" s="663">
        <f t="shared" si="211"/>
        <v>1</v>
      </c>
      <c r="BX488" s="674">
        <f t="shared" si="212"/>
        <v>1</v>
      </c>
      <c r="BY488" s="674">
        <f t="shared" si="213"/>
        <v>1</v>
      </c>
      <c r="BZ488" s="674" t="e">
        <f t="shared" si="214"/>
        <v>#DIV/0!</v>
      </c>
      <c r="CA488" s="675" t="e">
        <f t="shared" si="215"/>
        <v>#DIV/0!</v>
      </c>
      <c r="CB488" s="675" t="e">
        <f t="shared" si="216"/>
        <v>#DIV/0!</v>
      </c>
    </row>
    <row r="489" spans="1:101" ht="38.25" hidden="1" customHeight="1" x14ac:dyDescent="0.25">
      <c r="A489" s="298" t="s">
        <v>1450</v>
      </c>
      <c r="B489" s="299" t="str">
        <f>'PLAN INDICATIVO'!B478</f>
        <v>Prevención y atención de desastres</v>
      </c>
      <c r="C489" s="1547"/>
      <c r="D489" s="1551"/>
      <c r="E489" s="1551"/>
      <c r="F489" s="1551"/>
      <c r="G489" s="1551"/>
      <c r="H489" s="1551"/>
      <c r="I489" s="300">
        <f>'PLAN INDICATIVO'!I478</f>
        <v>0</v>
      </c>
      <c r="J489" s="300">
        <f>'PLAN INDICATIVO'!J478</f>
        <v>0</v>
      </c>
      <c r="K489" s="1425" t="str">
        <f>'PLAN INDICATIVO'!K478</f>
        <v>A.12.1.4</v>
      </c>
      <c r="L489" s="301" t="str">
        <f>'PLAN INDICATIVO'!L478</f>
        <v>11. Ciudades y comunidades sostenibles</v>
      </c>
      <c r="M489" s="301" t="s">
        <v>1102</v>
      </c>
      <c r="N489" s="1425" t="s">
        <v>3555</v>
      </c>
      <c r="O489" s="1425" t="str">
        <f>'PLAN INDICATIVO'!O478</f>
        <v>Mantenimiento</v>
      </c>
      <c r="P489" s="16" t="str">
        <f>'PLAN INDICATIVO'!P478</f>
        <v>Realizar 3 reuniones ordinarias del Comité Local de Emergencias  cada año</v>
      </c>
      <c r="Q489" s="302" t="str">
        <f>'PLAN INDICATIVO'!Q478</f>
        <v>No. De reuniones del comité local por año</v>
      </c>
      <c r="R489" s="351">
        <f>'PLAN INDICATIVO'!R478</f>
        <v>2015</v>
      </c>
      <c r="S489" s="304">
        <v>0</v>
      </c>
      <c r="T489" s="498">
        <v>3</v>
      </c>
      <c r="U489" s="303">
        <v>3</v>
      </c>
      <c r="V489" s="839">
        <v>3500000</v>
      </c>
      <c r="W489" s="572">
        <v>3</v>
      </c>
      <c r="X489" s="687">
        <v>1000000</v>
      </c>
      <c r="Y489" s="572">
        <v>3</v>
      </c>
      <c r="Z489" s="687">
        <v>5000000</v>
      </c>
      <c r="AA489" s="572">
        <v>3</v>
      </c>
      <c r="AB489" s="687">
        <v>7000000</v>
      </c>
      <c r="AC489" s="665">
        <v>24</v>
      </c>
      <c r="AD489" s="665">
        <v>16</v>
      </c>
      <c r="AE489" s="665"/>
      <c r="AF489" s="665"/>
      <c r="AG489" s="306" t="s">
        <v>3935</v>
      </c>
      <c r="AH489" s="306">
        <v>2017413960016</v>
      </c>
      <c r="AI489" s="307"/>
      <c r="AJ489" s="335">
        <v>42736</v>
      </c>
      <c r="AK489" s="335">
        <v>43099</v>
      </c>
      <c r="AL489" s="308"/>
      <c r="AM489" s="308"/>
      <c r="AN489" s="267" t="s">
        <v>2598</v>
      </c>
      <c r="AO489" s="507">
        <v>23121301</v>
      </c>
      <c r="AP489" s="525">
        <v>956700</v>
      </c>
      <c r="AQ489" s="310"/>
      <c r="AR489" s="310"/>
      <c r="AS489" s="310"/>
      <c r="AT489" s="310"/>
      <c r="AU489" s="310"/>
      <c r="AV489" s="310"/>
      <c r="AW489" s="544"/>
      <c r="AX489" s="525"/>
      <c r="AY489" s="310"/>
      <c r="AZ489" s="310"/>
      <c r="BA489" s="310"/>
      <c r="BB489" s="310"/>
      <c r="BC489" s="310"/>
      <c r="BD489" s="310"/>
      <c r="BE489" s="544">
        <f t="shared" si="208"/>
        <v>0</v>
      </c>
      <c r="BF489" s="525"/>
      <c r="BG489" s="310"/>
      <c r="BH489" s="310"/>
      <c r="BI489" s="310"/>
      <c r="BJ489" s="310"/>
      <c r="BK489" s="310"/>
      <c r="BL489" s="310"/>
      <c r="BM489" s="544">
        <f t="shared" si="209"/>
        <v>0</v>
      </c>
      <c r="BN489" s="525"/>
      <c r="BO489" s="310"/>
      <c r="BP489" s="310"/>
      <c r="BQ489" s="310"/>
      <c r="BR489" s="310"/>
      <c r="BS489" s="310"/>
      <c r="BT489" s="310"/>
      <c r="BU489" s="544">
        <f t="shared" si="210"/>
        <v>0</v>
      </c>
      <c r="BV489" s="556"/>
      <c r="BW489" s="663">
        <f t="shared" si="211"/>
        <v>40</v>
      </c>
      <c r="BX489" s="674">
        <f t="shared" si="212"/>
        <v>13.333333333333334</v>
      </c>
      <c r="BY489" s="674">
        <f t="shared" si="213"/>
        <v>8</v>
      </c>
      <c r="BZ489" s="674">
        <f t="shared" si="214"/>
        <v>5.333333333333333</v>
      </c>
      <c r="CA489" s="675">
        <f t="shared" si="215"/>
        <v>0</v>
      </c>
      <c r="CB489" s="675">
        <f t="shared" si="216"/>
        <v>0</v>
      </c>
    </row>
    <row r="490" spans="1:101" ht="51" hidden="1" customHeight="1" x14ac:dyDescent="0.25">
      <c r="A490" s="298" t="s">
        <v>1450</v>
      </c>
      <c r="B490" s="299" t="str">
        <f>'PLAN INDICATIVO'!B479</f>
        <v>Prevención y atención de desastres</v>
      </c>
      <c r="C490" s="1547"/>
      <c r="D490" s="1551"/>
      <c r="E490" s="1551"/>
      <c r="F490" s="1551"/>
      <c r="G490" s="1551"/>
      <c r="H490" s="1551"/>
      <c r="I490" s="300">
        <f>'PLAN INDICATIVO'!I479</f>
        <v>0</v>
      </c>
      <c r="J490" s="300">
        <f>'PLAN INDICATIVO'!J479</f>
        <v>0</v>
      </c>
      <c r="K490" s="1425" t="str">
        <f>'PLAN INDICATIVO'!K479</f>
        <v>A.12.1.5</v>
      </c>
      <c r="L490" s="301" t="str">
        <f>'PLAN INDICATIVO'!L479</f>
        <v>11. Ciudades y comunidades sostenibles</v>
      </c>
      <c r="M490" s="301" t="s">
        <v>1102</v>
      </c>
      <c r="N490" s="1425" t="s">
        <v>3555</v>
      </c>
      <c r="O490" s="1425" t="str">
        <f>'PLAN INDICATIVO'!O479</f>
        <v>Incremento</v>
      </c>
      <c r="P490" s="16" t="str">
        <f>'PLAN INDICATIVO'!P479</f>
        <v>Instalar 1 sistema de alarma hidrométrica durante el cuatrienio</v>
      </c>
      <c r="Q490" s="302" t="str">
        <f>'PLAN INDICATIVO'!Q479</f>
        <v xml:space="preserve">No. De sistemas instalados </v>
      </c>
      <c r="R490" s="351">
        <f>'PLAN INDICATIVO'!R479</f>
        <v>2015</v>
      </c>
      <c r="S490" s="304">
        <v>0</v>
      </c>
      <c r="T490" s="498">
        <v>1</v>
      </c>
      <c r="U490" s="67">
        <v>0</v>
      </c>
      <c r="V490" s="687">
        <v>0</v>
      </c>
      <c r="W490" s="572">
        <v>0.5</v>
      </c>
      <c r="X490" s="687"/>
      <c r="Y490" s="572">
        <v>0.5</v>
      </c>
      <c r="Z490" s="687">
        <v>5000000</v>
      </c>
      <c r="AA490" s="572">
        <v>0</v>
      </c>
      <c r="AB490" s="687"/>
      <c r="AC490" s="843">
        <v>0</v>
      </c>
      <c r="AD490" s="665">
        <v>0.5</v>
      </c>
      <c r="AE490" s="665"/>
      <c r="AF490" s="665"/>
      <c r="AG490" s="306" t="s">
        <v>3935</v>
      </c>
      <c r="AH490" s="306">
        <v>2017413960016</v>
      </c>
      <c r="AI490" s="307" t="s">
        <v>3939</v>
      </c>
      <c r="AJ490" s="335">
        <v>42826</v>
      </c>
      <c r="AK490" s="838">
        <v>42916</v>
      </c>
      <c r="AL490" s="308"/>
      <c r="AM490" s="308"/>
      <c r="AN490" s="267" t="s">
        <v>2598</v>
      </c>
      <c r="AO490" s="507"/>
      <c r="AP490" s="525"/>
      <c r="AQ490" s="310"/>
      <c r="AR490" s="310"/>
      <c r="AS490" s="310"/>
      <c r="AT490" s="310"/>
      <c r="AU490" s="310"/>
      <c r="AV490" s="310"/>
      <c r="AW490" s="544">
        <f t="shared" si="217"/>
        <v>0</v>
      </c>
      <c r="AX490" s="525"/>
      <c r="AY490" s="310"/>
      <c r="AZ490" s="310"/>
      <c r="BA490" s="310"/>
      <c r="BB490" s="310"/>
      <c r="BC490" s="310"/>
      <c r="BD490" s="310"/>
      <c r="BE490" s="544">
        <f t="shared" si="208"/>
        <v>0</v>
      </c>
      <c r="BF490" s="525"/>
      <c r="BG490" s="310"/>
      <c r="BH490" s="310"/>
      <c r="BI490" s="310"/>
      <c r="BJ490" s="310"/>
      <c r="BK490" s="310"/>
      <c r="BL490" s="310"/>
      <c r="BM490" s="544">
        <f t="shared" si="209"/>
        <v>0</v>
      </c>
      <c r="BN490" s="525"/>
      <c r="BO490" s="310"/>
      <c r="BP490" s="310"/>
      <c r="BQ490" s="310"/>
      <c r="BR490" s="310"/>
      <c r="BS490" s="310"/>
      <c r="BT490" s="310"/>
      <c r="BU490" s="544">
        <f t="shared" si="210"/>
        <v>0</v>
      </c>
      <c r="BV490" s="556"/>
      <c r="BW490" s="663">
        <f t="shared" si="211"/>
        <v>0.5</v>
      </c>
      <c r="BX490" s="674">
        <f t="shared" si="212"/>
        <v>0.5</v>
      </c>
      <c r="BY490" s="674" t="e">
        <f t="shared" si="213"/>
        <v>#DIV/0!</v>
      </c>
      <c r="BZ490" s="674">
        <f t="shared" si="214"/>
        <v>1</v>
      </c>
      <c r="CA490" s="675">
        <f t="shared" si="215"/>
        <v>0</v>
      </c>
      <c r="CB490" s="675" t="e">
        <f t="shared" si="216"/>
        <v>#DIV/0!</v>
      </c>
    </row>
    <row r="491" spans="1:101" ht="60.75" hidden="1" customHeight="1" x14ac:dyDescent="0.25">
      <c r="A491" s="298" t="s">
        <v>1450</v>
      </c>
      <c r="B491" s="299" t="str">
        <f>'PLAN INDICATIVO'!B480</f>
        <v>Prevención y atención de desastres</v>
      </c>
      <c r="C491" s="1547"/>
      <c r="D491" s="1551"/>
      <c r="E491" s="1551"/>
      <c r="F491" s="1551"/>
      <c r="G491" s="1551"/>
      <c r="H491" s="1551"/>
      <c r="I491" s="300">
        <f>'PLAN INDICATIVO'!I480</f>
        <v>0</v>
      </c>
      <c r="J491" s="300">
        <f>'PLAN INDICATIVO'!J480</f>
        <v>0</v>
      </c>
      <c r="K491" s="1425" t="str">
        <f>'PLAN INDICATIVO'!K480</f>
        <v>A.12.1.6</v>
      </c>
      <c r="L491" s="301" t="str">
        <f>'PLAN INDICATIVO'!L480</f>
        <v>11. Ciudades y comunidades sostenibles</v>
      </c>
      <c r="M491" s="301" t="s">
        <v>1102</v>
      </c>
      <c r="N491" s="1425" t="s">
        <v>3555</v>
      </c>
      <c r="O491" s="1425" t="str">
        <f>'PLAN INDICATIVO'!O480</f>
        <v>Incremento</v>
      </c>
      <c r="P491" s="16" t="str">
        <f>'PLAN INDICATIVO'!P480</f>
        <v>Formular Un proyecto para la consecución de 1 vehículos para organismos de socorro</v>
      </c>
      <c r="Q491" s="302" t="str">
        <f>'PLAN INDICATIVO'!Q480</f>
        <v>No. De vehículos gestionados</v>
      </c>
      <c r="R491" s="351">
        <f>'PLAN INDICATIVO'!R480</f>
        <v>2015</v>
      </c>
      <c r="S491" s="304">
        <v>0</v>
      </c>
      <c r="T491" s="498">
        <v>2</v>
      </c>
      <c r="U491" s="303">
        <v>1</v>
      </c>
      <c r="V491" s="687">
        <v>0</v>
      </c>
      <c r="W491" s="572">
        <v>0</v>
      </c>
      <c r="X491" s="687"/>
      <c r="Y491" s="572">
        <v>1</v>
      </c>
      <c r="Z491" s="687">
        <v>4000000</v>
      </c>
      <c r="AA491" s="572">
        <v>0</v>
      </c>
      <c r="AB491" s="687"/>
      <c r="AC491" s="665">
        <v>0</v>
      </c>
      <c r="AD491" s="665"/>
      <c r="AE491" s="665"/>
      <c r="AF491" s="665"/>
      <c r="AG491" s="306" t="s">
        <v>3935</v>
      </c>
      <c r="AH491" s="306">
        <v>2017413960016</v>
      </c>
      <c r="AI491" s="307" t="s">
        <v>3940</v>
      </c>
      <c r="AJ491" s="335"/>
      <c r="AK491" s="335"/>
      <c r="AL491" s="308"/>
      <c r="AM491" s="308"/>
      <c r="AN491" s="267" t="s">
        <v>2600</v>
      </c>
      <c r="AO491" s="507"/>
      <c r="AP491" s="525"/>
      <c r="AQ491" s="310"/>
      <c r="AR491" s="310"/>
      <c r="AS491" s="310"/>
      <c r="AT491" s="310"/>
      <c r="AU491" s="310"/>
      <c r="AV491" s="310"/>
      <c r="AW491" s="544">
        <f t="shared" si="217"/>
        <v>0</v>
      </c>
      <c r="AX491" s="525"/>
      <c r="AY491" s="310"/>
      <c r="AZ491" s="310"/>
      <c r="BA491" s="310"/>
      <c r="BB491" s="310"/>
      <c r="BC491" s="310"/>
      <c r="BD491" s="310"/>
      <c r="BE491" s="544">
        <f t="shared" si="208"/>
        <v>0</v>
      </c>
      <c r="BF491" s="525"/>
      <c r="BG491" s="310"/>
      <c r="BH491" s="310"/>
      <c r="BI491" s="310"/>
      <c r="BJ491" s="310"/>
      <c r="BK491" s="310"/>
      <c r="BL491" s="310"/>
      <c r="BM491" s="544">
        <f t="shared" si="209"/>
        <v>0</v>
      </c>
      <c r="BN491" s="525"/>
      <c r="BO491" s="310"/>
      <c r="BP491" s="310"/>
      <c r="BQ491" s="310"/>
      <c r="BR491" s="310"/>
      <c r="BS491" s="310"/>
      <c r="BT491" s="310"/>
      <c r="BU491" s="544">
        <f t="shared" si="210"/>
        <v>0</v>
      </c>
      <c r="BV491" s="556"/>
      <c r="BW491" s="663">
        <f t="shared" si="211"/>
        <v>0</v>
      </c>
      <c r="BX491" s="916">
        <f t="shared" si="212"/>
        <v>0</v>
      </c>
      <c r="BY491" s="674">
        <f t="shared" si="213"/>
        <v>0</v>
      </c>
      <c r="BZ491" s="674" t="e">
        <f t="shared" si="214"/>
        <v>#DIV/0!</v>
      </c>
      <c r="CA491" s="675">
        <f t="shared" si="215"/>
        <v>0</v>
      </c>
      <c r="CB491" s="675" t="e">
        <f t="shared" si="216"/>
        <v>#DIV/0!</v>
      </c>
    </row>
    <row r="492" spans="1:101" ht="66" hidden="1" customHeight="1" x14ac:dyDescent="0.25">
      <c r="A492" s="298" t="s">
        <v>1450</v>
      </c>
      <c r="B492" s="299" t="str">
        <f>'PLAN INDICATIVO'!B481</f>
        <v>Prevención y atención de desastres</v>
      </c>
      <c r="C492" s="1548"/>
      <c r="D492" s="1552"/>
      <c r="E492" s="1552"/>
      <c r="F492" s="1552"/>
      <c r="G492" s="1552"/>
      <c r="H492" s="1552"/>
      <c r="I492" s="300">
        <f>'PLAN INDICATIVO'!I481</f>
        <v>0</v>
      </c>
      <c r="J492" s="300">
        <f>'PLAN INDICATIVO'!J481</f>
        <v>0</v>
      </c>
      <c r="K492" s="1425" t="str">
        <f>'PLAN INDICATIVO'!K481</f>
        <v>A.12.1.7</v>
      </c>
      <c r="L492" s="301" t="str">
        <f>'PLAN INDICATIVO'!L481</f>
        <v>11. Ciudades y comunidades sostenibles</v>
      </c>
      <c r="M492" s="301" t="s">
        <v>1102</v>
      </c>
      <c r="N492" s="1425" t="s">
        <v>3555</v>
      </c>
      <c r="O492" s="1425" t="str">
        <f>'PLAN INDICATIVO'!O481</f>
        <v>Incremento</v>
      </c>
      <c r="P492" s="16" t="str">
        <f>'PLAN INDICATIVO'!P481</f>
        <v>Realizar 4 acciones de apoyo logístico, técnico, administrativo o cultural, para la prevención del riesgo y atención de emergencias y desastres, durante el cuatrienio</v>
      </c>
      <c r="Q492" s="302" t="str">
        <f>'PLAN INDICATIVO'!Q481</f>
        <v>No. De acciones realizadas</v>
      </c>
      <c r="R492" s="351">
        <f>'PLAN INDICATIVO'!R481</f>
        <v>2015</v>
      </c>
      <c r="S492" s="304">
        <v>0</v>
      </c>
      <c r="T492" s="498">
        <v>4</v>
      </c>
      <c r="U492" s="303">
        <v>1</v>
      </c>
      <c r="V492" s="687">
        <v>7300000</v>
      </c>
      <c r="W492" s="572">
        <v>1</v>
      </c>
      <c r="X492" s="687">
        <v>22000000</v>
      </c>
      <c r="Y492" s="572">
        <v>1</v>
      </c>
      <c r="Z492" s="687">
        <v>20000000</v>
      </c>
      <c r="AA492" s="572">
        <v>1</v>
      </c>
      <c r="AB492" s="687">
        <v>30000000</v>
      </c>
      <c r="AC492" s="665">
        <v>1</v>
      </c>
      <c r="AD492" s="665">
        <v>1</v>
      </c>
      <c r="AE492" s="665"/>
      <c r="AF492" s="665"/>
      <c r="AG492" s="306" t="s">
        <v>3935</v>
      </c>
      <c r="AH492" s="306">
        <v>2017413960016</v>
      </c>
      <c r="AI492" s="307" t="s">
        <v>3941</v>
      </c>
      <c r="AJ492" s="335">
        <v>42750</v>
      </c>
      <c r="AK492" s="335"/>
      <c r="AL492" s="308"/>
      <c r="AM492" s="308"/>
      <c r="AN492" s="267" t="s">
        <v>2598</v>
      </c>
      <c r="AO492" s="507">
        <v>23121301</v>
      </c>
      <c r="AP492" s="525">
        <v>6000000</v>
      </c>
      <c r="AQ492" s="310"/>
      <c r="AR492" s="310"/>
      <c r="AS492" s="310"/>
      <c r="AT492" s="310"/>
      <c r="AU492" s="310"/>
      <c r="AV492" s="310"/>
      <c r="AW492" s="544">
        <f t="shared" si="217"/>
        <v>6000000</v>
      </c>
      <c r="AX492" s="525"/>
      <c r="AY492" s="310"/>
      <c r="AZ492" s="310"/>
      <c r="BA492" s="310"/>
      <c r="BB492" s="310"/>
      <c r="BC492" s="310"/>
      <c r="BD492" s="310"/>
      <c r="BE492" s="544">
        <f t="shared" si="208"/>
        <v>0</v>
      </c>
      <c r="BF492" s="525"/>
      <c r="BG492" s="310"/>
      <c r="BH492" s="310"/>
      <c r="BI492" s="310"/>
      <c r="BJ492" s="310"/>
      <c r="BK492" s="310"/>
      <c r="BL492" s="310"/>
      <c r="BM492" s="544">
        <f t="shared" si="209"/>
        <v>0</v>
      </c>
      <c r="BN492" s="525"/>
      <c r="BO492" s="310"/>
      <c r="BP492" s="310"/>
      <c r="BQ492" s="310"/>
      <c r="BR492" s="310"/>
      <c r="BS492" s="310"/>
      <c r="BT492" s="310"/>
      <c r="BU492" s="544">
        <f t="shared" si="210"/>
        <v>0</v>
      </c>
      <c r="BV492" s="556"/>
      <c r="BW492" s="663">
        <f t="shared" si="211"/>
        <v>2</v>
      </c>
      <c r="BX492" s="674">
        <f t="shared" si="212"/>
        <v>0.5</v>
      </c>
      <c r="BY492" s="674">
        <f t="shared" si="213"/>
        <v>1</v>
      </c>
      <c r="BZ492" s="674">
        <f t="shared" si="214"/>
        <v>1</v>
      </c>
      <c r="CA492" s="675">
        <f t="shared" si="215"/>
        <v>0</v>
      </c>
      <c r="CB492" s="675">
        <f t="shared" si="216"/>
        <v>0</v>
      </c>
    </row>
    <row r="493" spans="1:101" ht="52.5" hidden="1" customHeight="1" x14ac:dyDescent="0.25">
      <c r="A493" s="295" t="s">
        <v>1450</v>
      </c>
      <c r="B493" s="24" t="str">
        <f>'PLAN INDICATIVO'!B482</f>
        <v>Prevención y atención de desastres</v>
      </c>
      <c r="C493" s="1574" t="s">
        <v>1475</v>
      </c>
      <c r="D493" s="1575"/>
      <c r="E493" s="1575"/>
      <c r="F493" s="1575"/>
      <c r="G493" s="1575"/>
      <c r="H493" s="1575"/>
      <c r="I493" s="1575"/>
      <c r="J493" s="1575"/>
      <c r="K493" s="1575"/>
      <c r="L493" s="1575"/>
      <c r="M493" s="1575"/>
      <c r="N493" s="1575"/>
      <c r="O493" s="1576"/>
      <c r="P493" s="22"/>
      <c r="Q493" s="22"/>
      <c r="R493" s="1"/>
      <c r="S493" s="261"/>
      <c r="T493" s="710"/>
      <c r="U493" s="1"/>
      <c r="V493" s="689">
        <f>SUM(V494:V500)</f>
        <v>182440000</v>
      </c>
      <c r="W493" s="49"/>
      <c r="X493" s="689">
        <f>SUM(X494:X500)</f>
        <v>194000000</v>
      </c>
      <c r="Y493" s="49"/>
      <c r="Z493" s="689">
        <f>SUM(Z494:Z500)</f>
        <v>172800000</v>
      </c>
      <c r="AA493" s="49"/>
      <c r="AB493" s="690">
        <f>SUM(AB494:AB500)</f>
        <v>177000000</v>
      </c>
      <c r="AC493" s="262"/>
      <c r="AD493" s="262"/>
      <c r="AE493" s="262"/>
      <c r="AF493" s="262"/>
      <c r="AG493" s="263"/>
      <c r="AH493" s="263"/>
      <c r="AI493" s="263"/>
      <c r="AJ493" s="262"/>
      <c r="AK493" s="262"/>
      <c r="AL493" s="262"/>
      <c r="AM493" s="262"/>
      <c r="AN493" s="262"/>
      <c r="AO493" s="612"/>
      <c r="AP493" s="616" t="e">
        <f>(AP494:AP500)</f>
        <v>#VALUE!</v>
      </c>
      <c r="AQ493" s="616" t="e">
        <f t="shared" ref="AQ493:AV493" si="222">(AQ494:AQ500)</f>
        <v>#VALUE!</v>
      </c>
      <c r="AR493" s="616" t="e">
        <f t="shared" si="222"/>
        <v>#VALUE!</v>
      </c>
      <c r="AS493" s="616" t="e">
        <f t="shared" si="222"/>
        <v>#VALUE!</v>
      </c>
      <c r="AT493" s="616" t="e">
        <f t="shared" si="222"/>
        <v>#VALUE!</v>
      </c>
      <c r="AU493" s="616" t="e">
        <f t="shared" si="222"/>
        <v>#VALUE!</v>
      </c>
      <c r="AV493" s="616" t="e">
        <f t="shared" si="222"/>
        <v>#VALUE!</v>
      </c>
      <c r="AW493" s="617" t="e">
        <f t="shared" si="217"/>
        <v>#VALUE!</v>
      </c>
      <c r="AX493" s="616" t="e">
        <f>(AX494:AX500)</f>
        <v>#VALUE!</v>
      </c>
      <c r="AY493" s="616" t="e">
        <f t="shared" ref="AY493:BD493" si="223">(AY494:AY500)</f>
        <v>#VALUE!</v>
      </c>
      <c r="AZ493" s="616" t="e">
        <f t="shared" si="223"/>
        <v>#VALUE!</v>
      </c>
      <c r="BA493" s="616" t="e">
        <f t="shared" si="223"/>
        <v>#VALUE!</v>
      </c>
      <c r="BB493" s="616" t="e">
        <f t="shared" si="223"/>
        <v>#VALUE!</v>
      </c>
      <c r="BC493" s="616" t="e">
        <f t="shared" si="223"/>
        <v>#VALUE!</v>
      </c>
      <c r="BD493" s="616" t="e">
        <f t="shared" si="223"/>
        <v>#VALUE!</v>
      </c>
      <c r="BE493" s="617" t="e">
        <f t="shared" si="208"/>
        <v>#VALUE!</v>
      </c>
      <c r="BF493" s="616" t="e">
        <f>(BF494:BF500)</f>
        <v>#VALUE!</v>
      </c>
      <c r="BG493" s="616" t="e">
        <f t="shared" ref="BG493:BL493" si="224">(BG494:BG500)</f>
        <v>#VALUE!</v>
      </c>
      <c r="BH493" s="616" t="e">
        <f t="shared" si="224"/>
        <v>#VALUE!</v>
      </c>
      <c r="BI493" s="616" t="e">
        <f t="shared" si="224"/>
        <v>#VALUE!</v>
      </c>
      <c r="BJ493" s="616" t="e">
        <f t="shared" si="224"/>
        <v>#VALUE!</v>
      </c>
      <c r="BK493" s="616" t="e">
        <f t="shared" si="224"/>
        <v>#VALUE!</v>
      </c>
      <c r="BL493" s="616" t="e">
        <f t="shared" si="224"/>
        <v>#VALUE!</v>
      </c>
      <c r="BM493" s="617" t="e">
        <f t="shared" si="209"/>
        <v>#VALUE!</v>
      </c>
      <c r="BN493" s="616" t="e">
        <f>(BN494:BN500)</f>
        <v>#VALUE!</v>
      </c>
      <c r="BO493" s="616" t="e">
        <f t="shared" ref="BO493:BT493" si="225">(BO494:BO500)</f>
        <v>#VALUE!</v>
      </c>
      <c r="BP493" s="616" t="e">
        <f t="shared" si="225"/>
        <v>#VALUE!</v>
      </c>
      <c r="BQ493" s="616" t="e">
        <f t="shared" si="225"/>
        <v>#VALUE!</v>
      </c>
      <c r="BR493" s="616" t="e">
        <f t="shared" si="225"/>
        <v>#VALUE!</v>
      </c>
      <c r="BS493" s="616" t="e">
        <f t="shared" si="225"/>
        <v>#VALUE!</v>
      </c>
      <c r="BT493" s="616" t="e">
        <f t="shared" si="225"/>
        <v>#VALUE!</v>
      </c>
      <c r="BU493" s="617" t="e">
        <f t="shared" si="210"/>
        <v>#VALUE!</v>
      </c>
      <c r="BV493" s="556"/>
      <c r="BW493" s="663">
        <f t="shared" si="211"/>
        <v>0</v>
      </c>
      <c r="BX493" s="674" t="e">
        <f t="shared" si="212"/>
        <v>#DIV/0!</v>
      </c>
      <c r="BY493" s="674" t="e">
        <f t="shared" si="213"/>
        <v>#DIV/0!</v>
      </c>
      <c r="BZ493" s="674" t="e">
        <f t="shared" si="214"/>
        <v>#DIV/0!</v>
      </c>
      <c r="CA493" s="675" t="e">
        <f t="shared" si="215"/>
        <v>#DIV/0!</v>
      </c>
      <c r="CB493" s="675" t="e">
        <f t="shared" si="216"/>
        <v>#DIV/0!</v>
      </c>
    </row>
    <row r="494" spans="1:101" ht="93.75" hidden="1" customHeight="1" x14ac:dyDescent="0.25">
      <c r="A494" s="298" t="s">
        <v>1450</v>
      </c>
      <c r="B494" s="299" t="str">
        <f>'PLAN INDICATIVO'!B483</f>
        <v>Prevención y atención de desastres</v>
      </c>
      <c r="C494" s="1546" t="s">
        <v>1476</v>
      </c>
      <c r="D494" s="1550" t="s">
        <v>1477</v>
      </c>
      <c r="E494" s="1550" t="s">
        <v>1478</v>
      </c>
      <c r="F494" s="1550">
        <v>2015</v>
      </c>
      <c r="G494" s="1550">
        <v>100</v>
      </c>
      <c r="H494" s="1550">
        <v>100</v>
      </c>
      <c r="I494" s="300">
        <f>'PLAN INDICATIVO'!I483</f>
        <v>0</v>
      </c>
      <c r="J494" s="300">
        <f>'PLAN INDICATIVO'!J483</f>
        <v>0</v>
      </c>
      <c r="K494" s="1425" t="str">
        <f>'PLAN INDICATIVO'!K483</f>
        <v>A.12.2.1</v>
      </c>
      <c r="L494" s="301" t="str">
        <f>'PLAN INDICATIVO'!L483</f>
        <v>11. Ciudades y comunidades sostenibles</v>
      </c>
      <c r="M494" s="301" t="s">
        <v>1102</v>
      </c>
      <c r="N494" s="1425" t="s">
        <v>3555</v>
      </c>
      <c r="O494" s="1425" t="str">
        <f>'PLAN INDICATIVO'!O483</f>
        <v>Incremento</v>
      </c>
      <c r="P494" s="16" t="str">
        <f>'PLAN INDICATIVO'!P483</f>
        <v>Suscribir 4 convenios con organismos de socorro para apoyo logístico, técnico y de dotación, para atención y prevención de emergencia y desastres durante el cuatrienio</v>
      </c>
      <c r="Q494" s="302" t="str">
        <f>'PLAN INDICATIVO'!Q483</f>
        <v>No. Convenios suscritos</v>
      </c>
      <c r="R494" s="303">
        <f>'PLAN INDICATIVO'!R483</f>
        <v>2015</v>
      </c>
      <c r="S494" s="304">
        <v>1</v>
      </c>
      <c r="T494" s="498">
        <v>4</v>
      </c>
      <c r="U494" s="303">
        <v>1</v>
      </c>
      <c r="V494" s="687">
        <v>149600000</v>
      </c>
      <c r="W494" s="572">
        <v>1</v>
      </c>
      <c r="X494" s="687">
        <v>140000000</v>
      </c>
      <c r="Y494" s="572">
        <v>1</v>
      </c>
      <c r="Z494" s="687">
        <v>146000000</v>
      </c>
      <c r="AA494" s="572">
        <v>1</v>
      </c>
      <c r="AB494" s="687">
        <v>155000000</v>
      </c>
      <c r="AC494" s="665">
        <v>1</v>
      </c>
      <c r="AD494" s="665">
        <v>1</v>
      </c>
      <c r="AE494" s="665"/>
      <c r="AF494" s="665"/>
      <c r="AG494" s="306" t="s">
        <v>3935</v>
      </c>
      <c r="AH494" s="306">
        <v>2017413960016</v>
      </c>
      <c r="AI494" s="307" t="s">
        <v>3942</v>
      </c>
      <c r="AJ494" s="335">
        <v>42736</v>
      </c>
      <c r="AK494" s="335"/>
      <c r="AL494" s="308"/>
      <c r="AM494" s="308"/>
      <c r="AN494" s="267" t="s">
        <v>2598</v>
      </c>
      <c r="AO494" s="507">
        <v>231212</v>
      </c>
      <c r="AP494" s="525">
        <v>120000000</v>
      </c>
      <c r="AQ494" s="310"/>
      <c r="AR494" s="310"/>
      <c r="AS494" s="310"/>
      <c r="AT494" s="310"/>
      <c r="AU494" s="310"/>
      <c r="AV494" s="310"/>
      <c r="AW494" s="544">
        <f t="shared" si="217"/>
        <v>120000000</v>
      </c>
      <c r="AX494" s="525"/>
      <c r="AY494" s="310"/>
      <c r="AZ494" s="310"/>
      <c r="BA494" s="310"/>
      <c r="BB494" s="310"/>
      <c r="BC494" s="310"/>
      <c r="BD494" s="310"/>
      <c r="BE494" s="544">
        <f t="shared" si="208"/>
        <v>0</v>
      </c>
      <c r="BF494" s="525"/>
      <c r="BG494" s="310"/>
      <c r="BH494" s="310"/>
      <c r="BI494" s="310"/>
      <c r="BJ494" s="310"/>
      <c r="BK494" s="310"/>
      <c r="BL494" s="310"/>
      <c r="BM494" s="544">
        <f t="shared" si="209"/>
        <v>0</v>
      </c>
      <c r="BN494" s="525"/>
      <c r="BO494" s="310"/>
      <c r="BP494" s="310"/>
      <c r="BQ494" s="310"/>
      <c r="BR494" s="310"/>
      <c r="BS494" s="310"/>
      <c r="BT494" s="310"/>
      <c r="BU494" s="544">
        <f t="shared" si="210"/>
        <v>0</v>
      </c>
      <c r="BV494" s="556"/>
      <c r="BW494" s="663">
        <f t="shared" si="211"/>
        <v>2</v>
      </c>
      <c r="BX494" s="674">
        <f t="shared" si="212"/>
        <v>0.5</v>
      </c>
      <c r="BY494" s="674">
        <f t="shared" si="213"/>
        <v>1</v>
      </c>
      <c r="BZ494" s="674">
        <f t="shared" si="214"/>
        <v>1</v>
      </c>
      <c r="CA494" s="675">
        <f t="shared" si="215"/>
        <v>0</v>
      </c>
      <c r="CB494" s="675">
        <f t="shared" si="216"/>
        <v>0</v>
      </c>
    </row>
    <row r="495" spans="1:101" ht="93.75" hidden="1" customHeight="1" x14ac:dyDescent="0.25">
      <c r="A495" s="298" t="s">
        <v>1450</v>
      </c>
      <c r="B495" s="299" t="str">
        <f>'PLAN INDICATIVO'!B484</f>
        <v>Prevención y atención de desastres</v>
      </c>
      <c r="C495" s="1547"/>
      <c r="D495" s="1551"/>
      <c r="E495" s="1551"/>
      <c r="F495" s="1551"/>
      <c r="G495" s="1551"/>
      <c r="H495" s="1551"/>
      <c r="I495" s="300">
        <f>'PLAN INDICATIVO'!I484</f>
        <v>0</v>
      </c>
      <c r="J495" s="300">
        <f>'PLAN INDICATIVO'!J484</f>
        <v>0</v>
      </c>
      <c r="K495" s="1425" t="str">
        <f>'PLAN INDICATIVO'!K484</f>
        <v>A.12.2.2</v>
      </c>
      <c r="L495" s="301" t="str">
        <f>'PLAN INDICATIVO'!L484</f>
        <v>11. Ciudades y comunidades sostenibles</v>
      </c>
      <c r="M495" s="301" t="s">
        <v>1102</v>
      </c>
      <c r="N495" s="1425" t="s">
        <v>3555</v>
      </c>
      <c r="O495" s="1425" t="str">
        <f>'PLAN INDICATIVO'!O484</f>
        <v>Mantenimiento</v>
      </c>
      <c r="P495" s="16" t="str">
        <f>'PLAN INDICATIVO'!P484</f>
        <v>Realizar 1 capacitación anual a los jóvenes  de las Instituciones educativas urbanas,  para que asuman el reto de ser voluntarios en organismos de socorro</v>
      </c>
      <c r="Q495" s="302" t="str">
        <f>'PLAN INDICATIVO'!Q484</f>
        <v>No. De capacitaciones realizadas por año</v>
      </c>
      <c r="R495" s="303">
        <f>'PLAN INDICATIVO'!R484</f>
        <v>2015</v>
      </c>
      <c r="S495" s="304">
        <v>0</v>
      </c>
      <c r="T495" s="498">
        <v>1</v>
      </c>
      <c r="U495" s="303">
        <v>1</v>
      </c>
      <c r="V495" s="687">
        <v>1000000</v>
      </c>
      <c r="W495" s="572">
        <v>1</v>
      </c>
      <c r="X495" s="687">
        <v>1000000</v>
      </c>
      <c r="Y495" s="572">
        <v>1</v>
      </c>
      <c r="Z495" s="687">
        <v>1000000</v>
      </c>
      <c r="AA495" s="572">
        <v>1</v>
      </c>
      <c r="AB495" s="687">
        <v>500000</v>
      </c>
      <c r="AC495" s="665">
        <v>1</v>
      </c>
      <c r="AD495" s="665">
        <v>1</v>
      </c>
      <c r="AE495" s="665"/>
      <c r="AF495" s="665"/>
      <c r="AG495" s="306" t="s">
        <v>3935</v>
      </c>
      <c r="AH495" s="306">
        <v>2017413960016</v>
      </c>
      <c r="AI495" s="307" t="s">
        <v>3943</v>
      </c>
      <c r="AJ495" s="335">
        <v>42948</v>
      </c>
      <c r="AK495" s="335">
        <v>42948</v>
      </c>
      <c r="AL495" s="308"/>
      <c r="AM495" s="308"/>
      <c r="AN495" s="267" t="s">
        <v>2598</v>
      </c>
      <c r="AO495" s="507"/>
      <c r="AP495" s="525"/>
      <c r="AQ495" s="310"/>
      <c r="AR495" s="310"/>
      <c r="AS495" s="310"/>
      <c r="AT495" s="310"/>
      <c r="AU495" s="310"/>
      <c r="AV495" s="310"/>
      <c r="AW495" s="544"/>
      <c r="AX495" s="525"/>
      <c r="AY495" s="310"/>
      <c r="AZ495" s="310"/>
      <c r="BA495" s="310"/>
      <c r="BB495" s="310"/>
      <c r="BC495" s="310"/>
      <c r="BD495" s="310"/>
      <c r="BE495" s="544">
        <f t="shared" si="208"/>
        <v>0</v>
      </c>
      <c r="BF495" s="525"/>
      <c r="BG495" s="310"/>
      <c r="BH495" s="310"/>
      <c r="BI495" s="310"/>
      <c r="BJ495" s="310"/>
      <c r="BK495" s="310"/>
      <c r="BL495" s="310"/>
      <c r="BM495" s="544">
        <f t="shared" si="209"/>
        <v>0</v>
      </c>
      <c r="BN495" s="525"/>
      <c r="BO495" s="310"/>
      <c r="BP495" s="310"/>
      <c r="BQ495" s="310"/>
      <c r="BR495" s="310"/>
      <c r="BS495" s="310"/>
      <c r="BT495" s="310"/>
      <c r="BU495" s="544">
        <f t="shared" si="210"/>
        <v>0</v>
      </c>
      <c r="BV495" s="556"/>
      <c r="BW495" s="663">
        <f t="shared" si="211"/>
        <v>2</v>
      </c>
      <c r="BX495" s="674">
        <f t="shared" si="212"/>
        <v>2</v>
      </c>
      <c r="BY495" s="674">
        <f t="shared" si="213"/>
        <v>1</v>
      </c>
      <c r="BZ495" s="674">
        <f t="shared" si="214"/>
        <v>1</v>
      </c>
      <c r="CA495" s="675">
        <f t="shared" si="215"/>
        <v>0</v>
      </c>
      <c r="CB495" s="675">
        <f t="shared" si="216"/>
        <v>0</v>
      </c>
    </row>
    <row r="496" spans="1:101" ht="62.25" hidden="1" customHeight="1" x14ac:dyDescent="0.25">
      <c r="A496" s="298" t="s">
        <v>1450</v>
      </c>
      <c r="B496" s="299" t="str">
        <f>'PLAN INDICATIVO'!B485</f>
        <v>Prevención y atención de desastres</v>
      </c>
      <c r="C496" s="1547"/>
      <c r="D496" s="1551"/>
      <c r="E496" s="1551"/>
      <c r="F496" s="1551"/>
      <c r="G496" s="1551"/>
      <c r="H496" s="1551"/>
      <c r="I496" s="300">
        <f>'PLAN INDICATIVO'!I485</f>
        <v>0</v>
      </c>
      <c r="J496" s="300">
        <f>'PLAN INDICATIVO'!J485</f>
        <v>0</v>
      </c>
      <c r="K496" s="1425" t="str">
        <f>'PLAN INDICATIVO'!K485</f>
        <v>A.12.2.3</v>
      </c>
      <c r="L496" s="301" t="str">
        <f>'PLAN INDICATIVO'!L485</f>
        <v>11. Ciudades y comunidades sostenibles</v>
      </c>
      <c r="M496" s="301" t="s">
        <v>1102</v>
      </c>
      <c r="N496" s="1425" t="s">
        <v>3555</v>
      </c>
      <c r="O496" s="1425" t="str">
        <f>'PLAN INDICATIVO'!O485</f>
        <v>Incremento</v>
      </c>
      <c r="P496" s="16" t="str">
        <f>'PLAN INDICATIVO'!P485</f>
        <v>Realizar 4 simulacros durante el cuatrienio, sobre atención de emergencias.</v>
      </c>
      <c r="Q496" s="302" t="str">
        <f>'PLAN INDICATIVO'!Q485</f>
        <v>No. simulacros realizados</v>
      </c>
      <c r="R496" s="303">
        <f>'PLAN INDICATIVO'!R485</f>
        <v>2015</v>
      </c>
      <c r="S496" s="304">
        <v>0</v>
      </c>
      <c r="T496" s="498">
        <v>4</v>
      </c>
      <c r="U496" s="303">
        <v>1</v>
      </c>
      <c r="V496" s="687">
        <v>3730000</v>
      </c>
      <c r="W496" s="572">
        <v>1</v>
      </c>
      <c r="X496" s="687">
        <v>17000000</v>
      </c>
      <c r="Y496" s="572">
        <v>1</v>
      </c>
      <c r="Z496" s="687">
        <v>16800000</v>
      </c>
      <c r="AA496" s="572">
        <v>1</v>
      </c>
      <c r="AB496" s="687">
        <v>17500000</v>
      </c>
      <c r="AC496" s="665">
        <v>1</v>
      </c>
      <c r="AD496" s="665">
        <v>1</v>
      </c>
      <c r="AE496" s="665"/>
      <c r="AF496" s="665"/>
      <c r="AG496" s="306" t="s">
        <v>3935</v>
      </c>
      <c r="AH496" s="306">
        <v>2017413960016</v>
      </c>
      <c r="AI496" s="307" t="s">
        <v>3944</v>
      </c>
      <c r="AJ496" s="335">
        <v>43009</v>
      </c>
      <c r="AK496" s="335">
        <v>43038</v>
      </c>
      <c r="AL496" s="308"/>
      <c r="AM496" s="308"/>
      <c r="AN496" s="267" t="s">
        <v>2598</v>
      </c>
      <c r="AO496" s="507"/>
      <c r="AP496" s="525"/>
      <c r="AQ496" s="310"/>
      <c r="AR496" s="310"/>
      <c r="AS496" s="310"/>
      <c r="AT496" s="310"/>
      <c r="AU496" s="310"/>
      <c r="AV496" s="310"/>
      <c r="AW496" s="544">
        <f t="shared" si="217"/>
        <v>0</v>
      </c>
      <c r="AX496" s="525"/>
      <c r="AY496" s="310"/>
      <c r="AZ496" s="310"/>
      <c r="BA496" s="310"/>
      <c r="BB496" s="310"/>
      <c r="BC496" s="310"/>
      <c r="BD496" s="310"/>
      <c r="BE496" s="544">
        <f t="shared" si="208"/>
        <v>0</v>
      </c>
      <c r="BF496" s="525"/>
      <c r="BG496" s="310"/>
      <c r="BH496" s="310"/>
      <c r="BI496" s="310"/>
      <c r="BJ496" s="310"/>
      <c r="BK496" s="310"/>
      <c r="BL496" s="310"/>
      <c r="BM496" s="544">
        <f t="shared" si="209"/>
        <v>0</v>
      </c>
      <c r="BN496" s="525"/>
      <c r="BO496" s="310"/>
      <c r="BP496" s="310"/>
      <c r="BQ496" s="310"/>
      <c r="BR496" s="310"/>
      <c r="BS496" s="310"/>
      <c r="BT496" s="310"/>
      <c r="BU496" s="544">
        <f t="shared" si="210"/>
        <v>0</v>
      </c>
      <c r="BV496" s="556"/>
      <c r="BW496" s="663">
        <f t="shared" si="211"/>
        <v>2</v>
      </c>
      <c r="BX496" s="864">
        <f t="shared" si="212"/>
        <v>0.5</v>
      </c>
      <c r="BY496" s="674">
        <f t="shared" si="213"/>
        <v>1</v>
      </c>
      <c r="BZ496" s="674">
        <f t="shared" si="214"/>
        <v>1</v>
      </c>
      <c r="CA496" s="675">
        <f t="shared" si="215"/>
        <v>0</v>
      </c>
      <c r="CB496" s="675">
        <f t="shared" si="216"/>
        <v>0</v>
      </c>
    </row>
    <row r="497" spans="1:80" ht="92.25" hidden="1" customHeight="1" x14ac:dyDescent="0.25">
      <c r="A497" s="298" t="s">
        <v>800</v>
      </c>
      <c r="B497" s="299" t="str">
        <f>'PLAN INDICATIVO'!B486</f>
        <v>Prevención y atención de desastres</v>
      </c>
      <c r="C497" s="1547"/>
      <c r="D497" s="1551"/>
      <c r="E497" s="1551"/>
      <c r="F497" s="1551"/>
      <c r="G497" s="1551"/>
      <c r="H497" s="1551"/>
      <c r="I497" s="300">
        <f>'PLAN INDICATIVO'!I486</f>
        <v>0</v>
      </c>
      <c r="J497" s="300">
        <f>'PLAN INDICATIVO'!J486</f>
        <v>0</v>
      </c>
      <c r="K497" s="1425" t="str">
        <f>'PLAN INDICATIVO'!K486</f>
        <v>A.12.2.4</v>
      </c>
      <c r="L497" s="301" t="str">
        <f>'PLAN INDICATIVO'!L486</f>
        <v>11. Ciudades y comunidades sostenibles</v>
      </c>
      <c r="M497" s="301" t="s">
        <v>1102</v>
      </c>
      <c r="N497" s="1425" t="s">
        <v>3555</v>
      </c>
      <c r="O497" s="1425" t="str">
        <f>'PLAN INDICATIVO'!O486</f>
        <v>Incremento</v>
      </c>
      <c r="P497" s="16" t="str">
        <f>'PLAN INDICATIVO'!P486</f>
        <v>Realizar 1 capacitaciónanual a los jóvenes de las Instituciones educativas urbanas, para que asuman el reto de ser voluntarios en organismos de socorro.</v>
      </c>
      <c r="Q497" s="302" t="str">
        <f>'PLAN INDICATIVO'!Q486</f>
        <v>No. De capacitaciones
realizadas por año</v>
      </c>
      <c r="R497" s="303">
        <f>'PLAN INDICATIVO'!R486</f>
        <v>2015</v>
      </c>
      <c r="S497" s="304">
        <v>1</v>
      </c>
      <c r="T497" s="498">
        <v>3</v>
      </c>
      <c r="U497" s="303">
        <v>0</v>
      </c>
      <c r="V497" s="687"/>
      <c r="W497" s="572">
        <v>1</v>
      </c>
      <c r="X497" s="687">
        <v>1000000</v>
      </c>
      <c r="Y497" s="572">
        <v>1</v>
      </c>
      <c r="Z497" s="687">
        <v>2000000</v>
      </c>
      <c r="AA497" s="572">
        <v>1</v>
      </c>
      <c r="AB497" s="687">
        <v>500000</v>
      </c>
      <c r="AC497" s="665">
        <v>0</v>
      </c>
      <c r="AD497" s="665">
        <v>1</v>
      </c>
      <c r="AE497" s="665"/>
      <c r="AF497" s="665"/>
      <c r="AG497" s="306" t="s">
        <v>3935</v>
      </c>
      <c r="AH497" s="306">
        <v>2017413960016</v>
      </c>
      <c r="AI497" s="307"/>
      <c r="AJ497" s="335"/>
      <c r="AK497" s="335"/>
      <c r="AL497" s="308"/>
      <c r="AM497" s="308"/>
      <c r="AN497" s="267" t="s">
        <v>2598</v>
      </c>
      <c r="AO497" s="507"/>
      <c r="AP497" s="525"/>
      <c r="AQ497" s="310"/>
      <c r="AR497" s="310"/>
      <c r="AS497" s="310"/>
      <c r="AT497" s="310"/>
      <c r="AU497" s="310"/>
      <c r="AV497" s="310"/>
      <c r="AW497" s="544">
        <f t="shared" si="217"/>
        <v>0</v>
      </c>
      <c r="AX497" s="525"/>
      <c r="AY497" s="310"/>
      <c r="AZ497" s="310"/>
      <c r="BA497" s="310"/>
      <c r="BB497" s="310"/>
      <c r="BC497" s="310"/>
      <c r="BD497" s="310"/>
      <c r="BE497" s="544">
        <f t="shared" si="208"/>
        <v>0</v>
      </c>
      <c r="BF497" s="525"/>
      <c r="BG497" s="310"/>
      <c r="BH497" s="310"/>
      <c r="BI497" s="310"/>
      <c r="BJ497" s="310"/>
      <c r="BK497" s="310"/>
      <c r="BL497" s="310"/>
      <c r="BM497" s="544">
        <f t="shared" si="209"/>
        <v>0</v>
      </c>
      <c r="BN497" s="525"/>
      <c r="BO497" s="310"/>
      <c r="BP497" s="310"/>
      <c r="BQ497" s="310"/>
      <c r="BR497" s="310"/>
      <c r="BS497" s="310"/>
      <c r="BT497" s="310"/>
      <c r="BU497" s="544">
        <f t="shared" si="210"/>
        <v>0</v>
      </c>
      <c r="BV497" s="556"/>
      <c r="BW497" s="663">
        <f t="shared" si="211"/>
        <v>1</v>
      </c>
      <c r="BX497" s="877">
        <f t="shared" si="212"/>
        <v>0.33333333333333331</v>
      </c>
      <c r="BY497" s="674" t="e">
        <f t="shared" si="213"/>
        <v>#DIV/0!</v>
      </c>
      <c r="BZ497" s="674">
        <f t="shared" si="214"/>
        <v>1</v>
      </c>
      <c r="CA497" s="675">
        <f t="shared" si="215"/>
        <v>0</v>
      </c>
      <c r="CB497" s="675">
        <f t="shared" si="216"/>
        <v>0</v>
      </c>
    </row>
    <row r="498" spans="1:80" ht="69" hidden="1" customHeight="1" x14ac:dyDescent="0.25">
      <c r="A498" s="298" t="s">
        <v>1450</v>
      </c>
      <c r="B498" s="299" t="str">
        <f>'PLAN INDICATIVO'!B487</f>
        <v>Prevención y atención de desastres</v>
      </c>
      <c r="C498" s="1547"/>
      <c r="D498" s="1551"/>
      <c r="E498" s="1551"/>
      <c r="F498" s="1551"/>
      <c r="G498" s="1551"/>
      <c r="H498" s="1551"/>
      <c r="I498" s="1425" t="str">
        <f>'PLAN INDICATIVO'!I487</f>
        <v>SI</v>
      </c>
      <c r="J498" s="1425">
        <f>'PLAN INDICATIVO'!J487</f>
        <v>0</v>
      </c>
      <c r="K498" s="1425" t="str">
        <f>'PLAN INDICATIVO'!K487</f>
        <v>A.12.2.4</v>
      </c>
      <c r="L498" s="301" t="str">
        <f>'PLAN INDICATIVO'!L487</f>
        <v>11. Ciudades y comunidades sostenibles</v>
      </c>
      <c r="M498" s="301" t="s">
        <v>1102</v>
      </c>
      <c r="N498" s="1425" t="s">
        <v>3555</v>
      </c>
      <c r="O498" s="1425" t="str">
        <f>'PLAN INDICATIVO'!O487</f>
        <v>Incremento</v>
      </c>
      <c r="P498" s="16" t="str">
        <f>'PLAN INDICATIVO'!P487</f>
        <v>Construir 3 obras de mitigación de riesgos  y amenazas durante el cuatrienio</v>
      </c>
      <c r="Q498" s="302" t="str">
        <f>'PLAN INDICATIVO'!Q487</f>
        <v>No. De obras de mitigación construidas</v>
      </c>
      <c r="R498" s="303">
        <f>'PLAN INDICATIVO'!R487</f>
        <v>2015</v>
      </c>
      <c r="S498" s="304">
        <v>1</v>
      </c>
      <c r="T498" s="498">
        <v>3</v>
      </c>
      <c r="U498" s="303">
        <v>1</v>
      </c>
      <c r="V498" s="687">
        <v>15110000</v>
      </c>
      <c r="W498" s="572">
        <v>1</v>
      </c>
      <c r="X498" s="687">
        <v>28000000</v>
      </c>
      <c r="Y498" s="572">
        <v>0</v>
      </c>
      <c r="Z498" s="687"/>
      <c r="AA498" s="572">
        <v>1</v>
      </c>
      <c r="AB498" s="687">
        <v>500000</v>
      </c>
      <c r="AC498" s="665">
        <v>1</v>
      </c>
      <c r="AD498" s="665">
        <v>1</v>
      </c>
      <c r="AE498" s="665"/>
      <c r="AF498" s="665"/>
      <c r="AG498" s="306" t="s">
        <v>3935</v>
      </c>
      <c r="AH498" s="306">
        <v>2017413960016</v>
      </c>
      <c r="AI498" s="307" t="s">
        <v>3945</v>
      </c>
      <c r="AJ498" s="335">
        <v>42856</v>
      </c>
      <c r="AK498" s="335" t="s">
        <v>3946</v>
      </c>
      <c r="AL498" s="308"/>
      <c r="AM498" s="308"/>
      <c r="AN498" s="267" t="s">
        <v>2598</v>
      </c>
      <c r="AO498" s="507" t="s">
        <v>3947</v>
      </c>
      <c r="AP498" s="525"/>
      <c r="AQ498" s="310">
        <v>12017000</v>
      </c>
      <c r="AR498" s="310"/>
      <c r="AS498" s="310"/>
      <c r="AT498" s="310"/>
      <c r="AU498" s="310"/>
      <c r="AV498" s="310"/>
      <c r="AW498" s="544">
        <f t="shared" si="217"/>
        <v>12017000</v>
      </c>
      <c r="AX498" s="525"/>
      <c r="AY498" s="310"/>
      <c r="AZ498" s="310"/>
      <c r="BA498" s="310"/>
      <c r="BB498" s="310"/>
      <c r="BC498" s="310"/>
      <c r="BD498" s="310"/>
      <c r="BE498" s="544">
        <f t="shared" si="208"/>
        <v>0</v>
      </c>
      <c r="BF498" s="525"/>
      <c r="BG498" s="310"/>
      <c r="BH498" s="310"/>
      <c r="BI498" s="310"/>
      <c r="BJ498" s="310"/>
      <c r="BK498" s="310"/>
      <c r="BL498" s="310"/>
      <c r="BM498" s="544">
        <f t="shared" si="209"/>
        <v>0</v>
      </c>
      <c r="BN498" s="525"/>
      <c r="BO498" s="310"/>
      <c r="BP498" s="310"/>
      <c r="BQ498" s="310"/>
      <c r="BR498" s="310"/>
      <c r="BS498" s="310"/>
      <c r="BT498" s="310"/>
      <c r="BU498" s="544">
        <f t="shared" si="210"/>
        <v>0</v>
      </c>
      <c r="BV498" s="556"/>
      <c r="BW498" s="663">
        <f t="shared" si="211"/>
        <v>2</v>
      </c>
      <c r="BX498" s="674">
        <f t="shared" si="212"/>
        <v>0.66666666666666663</v>
      </c>
      <c r="BY498" s="674">
        <f t="shared" si="213"/>
        <v>1</v>
      </c>
      <c r="BZ498" s="674">
        <f t="shared" si="214"/>
        <v>1</v>
      </c>
      <c r="CA498" s="675" t="e">
        <f t="shared" si="215"/>
        <v>#DIV/0!</v>
      </c>
      <c r="CB498" s="675">
        <f t="shared" si="216"/>
        <v>0</v>
      </c>
    </row>
    <row r="499" spans="1:80" ht="51.75" hidden="1" customHeight="1" x14ac:dyDescent="0.25">
      <c r="A499" s="298" t="s">
        <v>1450</v>
      </c>
      <c r="B499" s="299" t="str">
        <f>'PLAN INDICATIVO'!B488</f>
        <v>Prevención y atención de desastres</v>
      </c>
      <c r="C499" s="1547"/>
      <c r="D499" s="1551"/>
      <c r="E499" s="1551"/>
      <c r="F499" s="1551"/>
      <c r="G499" s="1551"/>
      <c r="H499" s="1551"/>
      <c r="I499" s="300">
        <f>'PLAN INDICATIVO'!I488</f>
        <v>0</v>
      </c>
      <c r="J499" s="300">
        <f>'PLAN INDICATIVO'!J488</f>
        <v>0</v>
      </c>
      <c r="K499" s="1425" t="str">
        <f>'PLAN INDICATIVO'!K488</f>
        <v>A.12.2.5</v>
      </c>
      <c r="L499" s="301" t="str">
        <f>'PLAN INDICATIVO'!L488</f>
        <v>11. Ciudades y comunidades sostenibles</v>
      </c>
      <c r="M499" s="301" t="s">
        <v>1102</v>
      </c>
      <c r="N499" s="1425" t="s">
        <v>3555</v>
      </c>
      <c r="O499" s="1425" t="str">
        <f>'PLAN INDICATIVO'!O488</f>
        <v>Incremento</v>
      </c>
      <c r="P499" s="16" t="str">
        <f>'PLAN INDICATIVO'!P488</f>
        <v>Realizar 1 reconocimiento anual a los bomberos que sobresalgan, durante el cuatrienio.</v>
      </c>
      <c r="Q499" s="302" t="str">
        <f>'PLAN INDICATIVO'!Q488</f>
        <v>No. De Reconocimientos realizados por año</v>
      </c>
      <c r="R499" s="303">
        <f>'PLAN INDICATIVO'!R488</f>
        <v>2015</v>
      </c>
      <c r="S499" s="304">
        <v>0</v>
      </c>
      <c r="T499" s="498">
        <v>1</v>
      </c>
      <c r="U499" s="303">
        <v>1</v>
      </c>
      <c r="V499" s="687">
        <v>1000000</v>
      </c>
      <c r="W499" s="572">
        <v>1</v>
      </c>
      <c r="X499" s="687">
        <v>1000000</v>
      </c>
      <c r="Y499" s="572">
        <v>1</v>
      </c>
      <c r="Z499" s="687">
        <v>1000000</v>
      </c>
      <c r="AA499" s="572">
        <v>1</v>
      </c>
      <c r="AB499" s="687">
        <v>500000</v>
      </c>
      <c r="AC499" s="665">
        <v>1</v>
      </c>
      <c r="AD499" s="665">
        <v>1</v>
      </c>
      <c r="AE499" s="665"/>
      <c r="AF499" s="665"/>
      <c r="AG499" s="306" t="s">
        <v>3935</v>
      </c>
      <c r="AH499" s="306">
        <v>2017413960016</v>
      </c>
      <c r="AI499" s="307" t="s">
        <v>3948</v>
      </c>
      <c r="AJ499" s="335">
        <v>43040</v>
      </c>
      <c r="AK499" s="335">
        <v>43084</v>
      </c>
      <c r="AL499" s="308"/>
      <c r="AM499" s="308"/>
      <c r="AN499" s="267" t="s">
        <v>2598</v>
      </c>
      <c r="AO499" s="507"/>
      <c r="AP499" s="525"/>
      <c r="AQ499" s="310"/>
      <c r="AR499" s="310"/>
      <c r="AS499" s="310"/>
      <c r="AT499" s="310"/>
      <c r="AU499" s="310"/>
      <c r="AV499" s="310"/>
      <c r="AW499" s="544">
        <f t="shared" si="217"/>
        <v>0</v>
      </c>
      <c r="AX499" s="525"/>
      <c r="AY499" s="310"/>
      <c r="AZ499" s="310"/>
      <c r="BA499" s="310"/>
      <c r="BB499" s="310"/>
      <c r="BC499" s="310"/>
      <c r="BD499" s="310"/>
      <c r="BE499" s="544">
        <f t="shared" si="208"/>
        <v>0</v>
      </c>
      <c r="BF499" s="525"/>
      <c r="BG499" s="310"/>
      <c r="BH499" s="310"/>
      <c r="BI499" s="310"/>
      <c r="BJ499" s="310"/>
      <c r="BK499" s="310"/>
      <c r="BL499" s="310"/>
      <c r="BM499" s="544">
        <f t="shared" si="209"/>
        <v>0</v>
      </c>
      <c r="BN499" s="525"/>
      <c r="BO499" s="310"/>
      <c r="BP499" s="310"/>
      <c r="BQ499" s="310"/>
      <c r="BR499" s="310"/>
      <c r="BS499" s="310"/>
      <c r="BT499" s="310"/>
      <c r="BU499" s="544">
        <f t="shared" si="210"/>
        <v>0</v>
      </c>
      <c r="BV499" s="556"/>
      <c r="BW499" s="663">
        <f t="shared" si="211"/>
        <v>2</v>
      </c>
      <c r="BX499" s="674">
        <f t="shared" si="212"/>
        <v>2</v>
      </c>
      <c r="BY499" s="674">
        <f t="shared" si="213"/>
        <v>1</v>
      </c>
      <c r="BZ499" s="674">
        <f t="shared" si="214"/>
        <v>1</v>
      </c>
      <c r="CA499" s="675">
        <f t="shared" si="215"/>
        <v>0</v>
      </c>
      <c r="CB499" s="675">
        <f t="shared" si="216"/>
        <v>0</v>
      </c>
    </row>
    <row r="500" spans="1:80" ht="48.75" hidden="1" customHeight="1" thickBot="1" x14ac:dyDescent="0.3">
      <c r="A500" s="298" t="s">
        <v>1450</v>
      </c>
      <c r="B500" s="299" t="str">
        <f>'PLAN INDICATIVO'!B489</f>
        <v>Prevención y atención de desastres</v>
      </c>
      <c r="C500" s="1548"/>
      <c r="D500" s="1552"/>
      <c r="E500" s="1552"/>
      <c r="F500" s="1552"/>
      <c r="G500" s="1552"/>
      <c r="H500" s="1552"/>
      <c r="I500" s="300">
        <f>'PLAN INDICATIVO'!I489</f>
        <v>0</v>
      </c>
      <c r="J500" s="300">
        <f>'PLAN INDICATIVO'!J489</f>
        <v>0</v>
      </c>
      <c r="K500" s="1425" t="str">
        <f>'PLAN INDICATIVO'!K489</f>
        <v>A.12.2.6</v>
      </c>
      <c r="L500" s="301" t="str">
        <f>'PLAN INDICATIVO'!L489</f>
        <v>11. Ciudades y comunidades sostenibles</v>
      </c>
      <c r="M500" s="301" t="s">
        <v>1102</v>
      </c>
      <c r="N500" s="1425" t="s">
        <v>3555</v>
      </c>
      <c r="O500" s="1425" t="str">
        <f>'PLAN INDICATIVO'!O489</f>
        <v>Incremento</v>
      </c>
      <c r="P500" s="16" t="str">
        <f>'PLAN INDICATIVO'!P489</f>
        <v>Mantener 4 Albergues temporales con mantenimiento para su funcionamiento durante el cuatrienio</v>
      </c>
      <c r="Q500" s="302" t="str">
        <f>'PLAN INDICATIVO'!Q489</f>
        <v>No. De albergues mantenidos</v>
      </c>
      <c r="R500" s="303">
        <f>'PLAN INDICATIVO'!R489</f>
        <v>2015</v>
      </c>
      <c r="S500" s="304">
        <v>0</v>
      </c>
      <c r="T500" s="498">
        <v>4</v>
      </c>
      <c r="U500" s="303">
        <v>1</v>
      </c>
      <c r="V500" s="687">
        <v>12000000</v>
      </c>
      <c r="W500" s="572">
        <v>1</v>
      </c>
      <c r="X500" s="687">
        <v>6000000</v>
      </c>
      <c r="Y500" s="572">
        <v>1</v>
      </c>
      <c r="Z500" s="687">
        <v>6000000</v>
      </c>
      <c r="AA500" s="572">
        <v>1</v>
      </c>
      <c r="AB500" s="687">
        <v>2500000</v>
      </c>
      <c r="AC500" s="665">
        <v>1</v>
      </c>
      <c r="AD500" s="665"/>
      <c r="AE500" s="665"/>
      <c r="AF500" s="665"/>
      <c r="AG500" s="306" t="s">
        <v>3935</v>
      </c>
      <c r="AH500" s="306">
        <v>2017413960016</v>
      </c>
      <c r="AI500" s="307"/>
      <c r="AJ500" s="335"/>
      <c r="AK500" s="335"/>
      <c r="AL500" s="308"/>
      <c r="AM500" s="308"/>
      <c r="AN500" s="267" t="s">
        <v>2600</v>
      </c>
      <c r="AO500" s="507"/>
      <c r="AP500" s="533"/>
      <c r="AQ500" s="534"/>
      <c r="AR500" s="534"/>
      <c r="AS500" s="534"/>
      <c r="AT500" s="534"/>
      <c r="AU500" s="534"/>
      <c r="AV500" s="534"/>
      <c r="AW500" s="546">
        <f t="shared" si="217"/>
        <v>0</v>
      </c>
      <c r="AX500" s="533"/>
      <c r="AY500" s="534"/>
      <c r="AZ500" s="534"/>
      <c r="BA500" s="534"/>
      <c r="BB500" s="534"/>
      <c r="BC500" s="534"/>
      <c r="BD500" s="534"/>
      <c r="BE500" s="546">
        <f t="shared" si="208"/>
        <v>0</v>
      </c>
      <c r="BF500" s="533"/>
      <c r="BG500" s="534"/>
      <c r="BH500" s="534"/>
      <c r="BI500" s="534"/>
      <c r="BJ500" s="534"/>
      <c r="BK500" s="534"/>
      <c r="BL500" s="534"/>
      <c r="BM500" s="546">
        <f t="shared" si="209"/>
        <v>0</v>
      </c>
      <c r="BN500" s="533"/>
      <c r="BO500" s="534"/>
      <c r="BP500" s="534"/>
      <c r="BQ500" s="534"/>
      <c r="BR500" s="534"/>
      <c r="BS500" s="534"/>
      <c r="BT500" s="534"/>
      <c r="BU500" s="546">
        <f t="shared" si="210"/>
        <v>0</v>
      </c>
      <c r="BV500" s="556"/>
      <c r="BW500" s="663">
        <f t="shared" si="211"/>
        <v>1</v>
      </c>
      <c r="BX500" s="864">
        <f t="shared" si="212"/>
        <v>0.25</v>
      </c>
      <c r="BY500" s="674">
        <f t="shared" si="213"/>
        <v>1</v>
      </c>
      <c r="BZ500" s="674">
        <f t="shared" si="214"/>
        <v>0</v>
      </c>
      <c r="CA500" s="675">
        <f t="shared" si="215"/>
        <v>0</v>
      </c>
      <c r="CB500" s="675">
        <f t="shared" si="216"/>
        <v>0</v>
      </c>
    </row>
  </sheetData>
  <autoFilter ref="A4:CW500">
    <filterColumn colId="13">
      <filters>
        <filter val="EDNUARTH HISNARDO RAMIREZ THOLA"/>
      </filters>
    </filterColumn>
  </autoFilter>
  <customSheetViews>
    <customSheetView guid="{92B8BA5A-7984-4526-9F7A-187FF856FCAE}" scale="77" showAutoFilter="1" hiddenColumns="1" topLeftCell="O106">
      <selection activeCell="R111" sqref="R111"/>
      <pageMargins left="0" right="0" top="0" bottom="0" header="0" footer="0"/>
      <pageSetup scale="55" fitToHeight="0" orientation="landscape" r:id="rId1"/>
      <autoFilter ref="A4:CW500"/>
    </customSheetView>
  </customSheetViews>
  <mergeCells count="247">
    <mergeCell ref="C493:O493"/>
    <mergeCell ref="C494:C500"/>
    <mergeCell ref="D494:D500"/>
    <mergeCell ref="E494:E500"/>
    <mergeCell ref="F494:F500"/>
    <mergeCell ref="G494:G500"/>
    <mergeCell ref="H494:H500"/>
    <mergeCell ref="C484:AM484"/>
    <mergeCell ref="C485:O485"/>
    <mergeCell ref="C486:C492"/>
    <mergeCell ref="D486:D492"/>
    <mergeCell ref="E486:E492"/>
    <mergeCell ref="F486:F492"/>
    <mergeCell ref="G486:G492"/>
    <mergeCell ref="H486:H492"/>
    <mergeCell ref="D446:AM446"/>
    <mergeCell ref="C448:AM448"/>
    <mergeCell ref="C449:O449"/>
    <mergeCell ref="C450:C479"/>
    <mergeCell ref="D450:D479"/>
    <mergeCell ref="E450:E479"/>
    <mergeCell ref="F450:F479"/>
    <mergeCell ref="G450:G479"/>
    <mergeCell ref="H450:H479"/>
    <mergeCell ref="C432:O432"/>
    <mergeCell ref="C433:C445"/>
    <mergeCell ref="D433:D445"/>
    <mergeCell ref="E433:E445"/>
    <mergeCell ref="F433:F445"/>
    <mergeCell ref="G433:G445"/>
    <mergeCell ref="H433:H445"/>
    <mergeCell ref="C416:AM416"/>
    <mergeCell ref="C417:O417"/>
    <mergeCell ref="C418:C431"/>
    <mergeCell ref="D418:D431"/>
    <mergeCell ref="E418:E431"/>
    <mergeCell ref="F418:F431"/>
    <mergeCell ref="G418:G431"/>
    <mergeCell ref="H418:H431"/>
    <mergeCell ref="C403:AM403"/>
    <mergeCell ref="C404:O404"/>
    <mergeCell ref="C405:C415"/>
    <mergeCell ref="D405:D415"/>
    <mergeCell ref="E405:E415"/>
    <mergeCell ref="F405:F415"/>
    <mergeCell ref="G405:G415"/>
    <mergeCell ref="H405:H415"/>
    <mergeCell ref="C376:AM376"/>
    <mergeCell ref="C377:O377"/>
    <mergeCell ref="C378:C402"/>
    <mergeCell ref="D378:D402"/>
    <mergeCell ref="E378:E402"/>
    <mergeCell ref="F378:F402"/>
    <mergeCell ref="G378:G402"/>
    <mergeCell ref="H378:H402"/>
    <mergeCell ref="C366:C374"/>
    <mergeCell ref="D366:D374"/>
    <mergeCell ref="E366:E374"/>
    <mergeCell ref="F366:F374"/>
    <mergeCell ref="G366:G374"/>
    <mergeCell ref="H366:H374"/>
    <mergeCell ref="C356:AM356"/>
    <mergeCell ref="C357:O357"/>
    <mergeCell ref="C360:O360"/>
    <mergeCell ref="C362:AM362"/>
    <mergeCell ref="C364:AG364"/>
    <mergeCell ref="C365:O365"/>
    <mergeCell ref="C331:AM331"/>
    <mergeCell ref="C332:O332"/>
    <mergeCell ref="C333:C354"/>
    <mergeCell ref="D333:D354"/>
    <mergeCell ref="E333:E354"/>
    <mergeCell ref="F333:F354"/>
    <mergeCell ref="G333:G354"/>
    <mergeCell ref="H333:H354"/>
    <mergeCell ref="C295:AM295"/>
    <mergeCell ref="C296:O296"/>
    <mergeCell ref="C297:C329"/>
    <mergeCell ref="D297:D329"/>
    <mergeCell ref="E297:E329"/>
    <mergeCell ref="F297:F329"/>
    <mergeCell ref="G297:G329"/>
    <mergeCell ref="H297:H329"/>
    <mergeCell ref="C290:C293"/>
    <mergeCell ref="D290:D293"/>
    <mergeCell ref="E290:E293"/>
    <mergeCell ref="F290:F293"/>
    <mergeCell ref="G290:G293"/>
    <mergeCell ref="H290:H293"/>
    <mergeCell ref="C276:O276"/>
    <mergeCell ref="C277:C288"/>
    <mergeCell ref="D277:D288"/>
    <mergeCell ref="E277:E288"/>
    <mergeCell ref="F277:F288"/>
    <mergeCell ref="G277:G288"/>
    <mergeCell ref="H277:H288"/>
    <mergeCell ref="C263:AM263"/>
    <mergeCell ref="C264:O264"/>
    <mergeCell ref="C265:C275"/>
    <mergeCell ref="D265:D275"/>
    <mergeCell ref="E265:E275"/>
    <mergeCell ref="F265:F275"/>
    <mergeCell ref="G265:G275"/>
    <mergeCell ref="H265:H275"/>
    <mergeCell ref="C243:O243"/>
    <mergeCell ref="C244:C260"/>
    <mergeCell ref="D244:D260"/>
    <mergeCell ref="E244:E260"/>
    <mergeCell ref="F244:F260"/>
    <mergeCell ref="G244:G260"/>
    <mergeCell ref="H244:H260"/>
    <mergeCell ref="C212:O212"/>
    <mergeCell ref="C213:C241"/>
    <mergeCell ref="D213:D241"/>
    <mergeCell ref="E213:E241"/>
    <mergeCell ref="F213:F241"/>
    <mergeCell ref="G213:G241"/>
    <mergeCell ref="H213:H241"/>
    <mergeCell ref="C202:C211"/>
    <mergeCell ref="D202:D211"/>
    <mergeCell ref="E202:E211"/>
    <mergeCell ref="F202:F211"/>
    <mergeCell ref="G202:G211"/>
    <mergeCell ref="H202:H211"/>
    <mergeCell ref="C193:O193"/>
    <mergeCell ref="C194:C200"/>
    <mergeCell ref="D194:D200"/>
    <mergeCell ref="E194:E200"/>
    <mergeCell ref="F194:F200"/>
    <mergeCell ref="G194:G200"/>
    <mergeCell ref="H194:H200"/>
    <mergeCell ref="C183:C192"/>
    <mergeCell ref="D183:D192"/>
    <mergeCell ref="E183:E192"/>
    <mergeCell ref="F183:F192"/>
    <mergeCell ref="G183:G192"/>
    <mergeCell ref="H183:H192"/>
    <mergeCell ref="C156:AM156"/>
    <mergeCell ref="C157:P157"/>
    <mergeCell ref="C158:C181"/>
    <mergeCell ref="D158:D181"/>
    <mergeCell ref="E158:E181"/>
    <mergeCell ref="F158:F181"/>
    <mergeCell ref="G158:G181"/>
    <mergeCell ref="H158:H181"/>
    <mergeCell ref="C148:O148"/>
    <mergeCell ref="C149:C155"/>
    <mergeCell ref="D149:D155"/>
    <mergeCell ref="E149:E155"/>
    <mergeCell ref="F149:F155"/>
    <mergeCell ref="G149:G155"/>
    <mergeCell ref="H149:H155"/>
    <mergeCell ref="C138:O138"/>
    <mergeCell ref="C139:C147"/>
    <mergeCell ref="D139:D147"/>
    <mergeCell ref="E139:E147"/>
    <mergeCell ref="F139:F147"/>
    <mergeCell ref="G139:G147"/>
    <mergeCell ref="H139:H147"/>
    <mergeCell ref="A122:AM122"/>
    <mergeCell ref="C123:O123"/>
    <mergeCell ref="C124:C137"/>
    <mergeCell ref="D124:D137"/>
    <mergeCell ref="E124:E137"/>
    <mergeCell ref="F124:F137"/>
    <mergeCell ref="G124:G137"/>
    <mergeCell ref="H124:H137"/>
    <mergeCell ref="C116:O116"/>
    <mergeCell ref="C117:C120"/>
    <mergeCell ref="D117:D120"/>
    <mergeCell ref="E117:E120"/>
    <mergeCell ref="F117:F120"/>
    <mergeCell ref="G117:G120"/>
    <mergeCell ref="H117:H120"/>
    <mergeCell ref="A109:AM109"/>
    <mergeCell ref="C110:O110"/>
    <mergeCell ref="C111:C115"/>
    <mergeCell ref="D111:D115"/>
    <mergeCell ref="E111:E115"/>
    <mergeCell ref="F111:F115"/>
    <mergeCell ref="G111:G115"/>
    <mergeCell ref="H111:H115"/>
    <mergeCell ref="C99:O99"/>
    <mergeCell ref="C100:C107"/>
    <mergeCell ref="D100:D107"/>
    <mergeCell ref="E100:E107"/>
    <mergeCell ref="F100:F107"/>
    <mergeCell ref="G100:G107"/>
    <mergeCell ref="H100:H107"/>
    <mergeCell ref="A86:AM86"/>
    <mergeCell ref="C87:O87"/>
    <mergeCell ref="C88:C98"/>
    <mergeCell ref="D88:D98"/>
    <mergeCell ref="E88:E98"/>
    <mergeCell ref="F88:F98"/>
    <mergeCell ref="G88:G98"/>
    <mergeCell ref="H88:H98"/>
    <mergeCell ref="C75:O75"/>
    <mergeCell ref="C76:C84"/>
    <mergeCell ref="D76:D84"/>
    <mergeCell ref="E76:E84"/>
    <mergeCell ref="F76:F84"/>
    <mergeCell ref="G76:G84"/>
    <mergeCell ref="H76:H84"/>
    <mergeCell ref="A48:AM48"/>
    <mergeCell ref="A50:AM50"/>
    <mergeCell ref="C51:O51"/>
    <mergeCell ref="C52:C74"/>
    <mergeCell ref="D52:D74"/>
    <mergeCell ref="E52:E74"/>
    <mergeCell ref="F52:F74"/>
    <mergeCell ref="G52:G74"/>
    <mergeCell ref="H52:H74"/>
    <mergeCell ref="BV44:BV47"/>
    <mergeCell ref="C45:C47"/>
    <mergeCell ref="D45:D47"/>
    <mergeCell ref="E45:E47"/>
    <mergeCell ref="F45:F47"/>
    <mergeCell ref="G45:G47"/>
    <mergeCell ref="H45:H47"/>
    <mergeCell ref="BV9:BV23"/>
    <mergeCell ref="C24:O24"/>
    <mergeCell ref="C25:C40"/>
    <mergeCell ref="D25:D40"/>
    <mergeCell ref="E25:E40"/>
    <mergeCell ref="F25:F40"/>
    <mergeCell ref="G25:G40"/>
    <mergeCell ref="H25:H40"/>
    <mergeCell ref="BV25:BV42"/>
    <mergeCell ref="A7:AO7"/>
    <mergeCell ref="C8:O8"/>
    <mergeCell ref="C9:C23"/>
    <mergeCell ref="D9:D23"/>
    <mergeCell ref="E9:E23"/>
    <mergeCell ref="F9:F23"/>
    <mergeCell ref="G9:G23"/>
    <mergeCell ref="H9:H23"/>
    <mergeCell ref="C43:O43"/>
    <mergeCell ref="A1:CB1"/>
    <mergeCell ref="A2:AO2"/>
    <mergeCell ref="AC3:AF3"/>
    <mergeCell ref="AP3:AW3"/>
    <mergeCell ref="AX3:BE3"/>
    <mergeCell ref="BF3:BM3"/>
    <mergeCell ref="BN3:BU3"/>
    <mergeCell ref="BV3:CB3"/>
    <mergeCell ref="A5:AM5"/>
  </mergeCells>
  <conditionalFormatting sqref="AN52:AN61 AN474:AN475">
    <cfRule type="containsText" dxfId="1799" priority="1329" operator="containsText" text="AZ">
      <formula>NOT(ISERROR(SEARCH("AZ",AN52)))</formula>
    </cfRule>
    <cfRule type="containsText" dxfId="1798" priority="1330" operator="containsText" text="RO">
      <formula>NOT(ISERROR(SEARCH("RO",AN52)))</formula>
    </cfRule>
    <cfRule type="containsText" dxfId="1797" priority="1331" operator="containsText" text="AM">
      <formula>NOT(ISERROR(SEARCH("AM",AN52)))</formula>
    </cfRule>
    <cfRule type="containsText" dxfId="1796" priority="1332" operator="containsText" text="VE">
      <formula>NOT(ISERROR(SEARCH("VE",AN52)))</formula>
    </cfRule>
  </conditionalFormatting>
  <conditionalFormatting sqref="AN62">
    <cfRule type="containsText" dxfId="1795" priority="1325" operator="containsText" text="AZ">
      <formula>NOT(ISERROR(SEARCH("AZ",AN62)))</formula>
    </cfRule>
    <cfRule type="containsText" dxfId="1794" priority="1326" operator="containsText" text="RO">
      <formula>NOT(ISERROR(SEARCH("RO",AN62)))</formula>
    </cfRule>
    <cfRule type="containsText" dxfId="1793" priority="1327" operator="containsText" text="AM">
      <formula>NOT(ISERROR(SEARCH("AM",AN62)))</formula>
    </cfRule>
    <cfRule type="containsText" dxfId="1792" priority="1328" operator="containsText" text="VE">
      <formula>NOT(ISERROR(SEARCH("VE",AN62)))</formula>
    </cfRule>
  </conditionalFormatting>
  <conditionalFormatting sqref="AN63:AN65">
    <cfRule type="containsText" dxfId="1791" priority="1321" operator="containsText" text="AZ">
      <formula>NOT(ISERROR(SEARCH("AZ",AN63)))</formula>
    </cfRule>
    <cfRule type="containsText" dxfId="1790" priority="1322" operator="containsText" text="RO">
      <formula>NOT(ISERROR(SEARCH("RO",AN63)))</formula>
    </cfRule>
    <cfRule type="containsText" dxfId="1789" priority="1323" operator="containsText" text="AM">
      <formula>NOT(ISERROR(SEARCH("AM",AN63)))</formula>
    </cfRule>
    <cfRule type="containsText" dxfId="1788" priority="1324" operator="containsText" text="VE">
      <formula>NOT(ISERROR(SEARCH("VE",AN63)))</formula>
    </cfRule>
  </conditionalFormatting>
  <conditionalFormatting sqref="AN66">
    <cfRule type="containsText" dxfId="1787" priority="1317" operator="containsText" text="AZ">
      <formula>NOT(ISERROR(SEARCH("AZ",AN66)))</formula>
    </cfRule>
    <cfRule type="containsText" dxfId="1786" priority="1318" operator="containsText" text="RO">
      <formula>NOT(ISERROR(SEARCH("RO",AN66)))</formula>
    </cfRule>
    <cfRule type="containsText" dxfId="1785" priority="1319" operator="containsText" text="AM">
      <formula>NOT(ISERROR(SEARCH("AM",AN66)))</formula>
    </cfRule>
    <cfRule type="containsText" dxfId="1784" priority="1320" operator="containsText" text="VE">
      <formula>NOT(ISERROR(SEARCH("VE",AN66)))</formula>
    </cfRule>
  </conditionalFormatting>
  <conditionalFormatting sqref="AN67">
    <cfRule type="containsText" dxfId="1783" priority="1313" operator="containsText" text="AZ">
      <formula>NOT(ISERROR(SEARCH("AZ",AN67)))</formula>
    </cfRule>
    <cfRule type="containsText" dxfId="1782" priority="1314" operator="containsText" text="RO">
      <formula>NOT(ISERROR(SEARCH("RO",AN67)))</formula>
    </cfRule>
    <cfRule type="containsText" dxfId="1781" priority="1315" operator="containsText" text="AM">
      <formula>NOT(ISERROR(SEARCH("AM",AN67)))</formula>
    </cfRule>
    <cfRule type="containsText" dxfId="1780" priority="1316" operator="containsText" text="VE">
      <formula>NOT(ISERROR(SEARCH("VE",AN67)))</formula>
    </cfRule>
  </conditionalFormatting>
  <conditionalFormatting sqref="AN68">
    <cfRule type="containsText" dxfId="1779" priority="1309" operator="containsText" text="AZ">
      <formula>NOT(ISERROR(SEARCH("AZ",AN68)))</formula>
    </cfRule>
    <cfRule type="containsText" dxfId="1778" priority="1310" operator="containsText" text="RO">
      <formula>NOT(ISERROR(SEARCH("RO",AN68)))</formula>
    </cfRule>
    <cfRule type="containsText" dxfId="1777" priority="1311" operator="containsText" text="AM">
      <formula>NOT(ISERROR(SEARCH("AM",AN68)))</formula>
    </cfRule>
    <cfRule type="containsText" dxfId="1776" priority="1312" operator="containsText" text="VE">
      <formula>NOT(ISERROR(SEARCH("VE",AN68)))</formula>
    </cfRule>
  </conditionalFormatting>
  <conditionalFormatting sqref="AN69">
    <cfRule type="containsText" dxfId="1775" priority="1305" operator="containsText" text="AZ">
      <formula>NOT(ISERROR(SEARCH("AZ",AN69)))</formula>
    </cfRule>
    <cfRule type="containsText" dxfId="1774" priority="1306" operator="containsText" text="RO">
      <formula>NOT(ISERROR(SEARCH("RO",AN69)))</formula>
    </cfRule>
    <cfRule type="containsText" dxfId="1773" priority="1307" operator="containsText" text="AM">
      <formula>NOT(ISERROR(SEARCH("AM",AN69)))</formula>
    </cfRule>
    <cfRule type="containsText" dxfId="1772" priority="1308" operator="containsText" text="VE">
      <formula>NOT(ISERROR(SEARCH("VE",AN69)))</formula>
    </cfRule>
  </conditionalFormatting>
  <conditionalFormatting sqref="AN70">
    <cfRule type="containsText" dxfId="1771" priority="1301" operator="containsText" text="AZ">
      <formula>NOT(ISERROR(SEARCH("AZ",AN70)))</formula>
    </cfRule>
    <cfRule type="containsText" dxfId="1770" priority="1302" operator="containsText" text="RO">
      <formula>NOT(ISERROR(SEARCH("RO",AN70)))</formula>
    </cfRule>
    <cfRule type="containsText" dxfId="1769" priority="1303" operator="containsText" text="AM">
      <formula>NOT(ISERROR(SEARCH("AM",AN70)))</formula>
    </cfRule>
    <cfRule type="containsText" dxfId="1768" priority="1304" operator="containsText" text="VE">
      <formula>NOT(ISERROR(SEARCH("VE",AN70)))</formula>
    </cfRule>
  </conditionalFormatting>
  <conditionalFormatting sqref="AN71">
    <cfRule type="containsText" dxfId="1767" priority="1297" operator="containsText" text="AZ">
      <formula>NOT(ISERROR(SEARCH("AZ",AN71)))</formula>
    </cfRule>
    <cfRule type="containsText" dxfId="1766" priority="1298" operator="containsText" text="RO">
      <formula>NOT(ISERROR(SEARCH("RO",AN71)))</formula>
    </cfRule>
    <cfRule type="containsText" dxfId="1765" priority="1299" operator="containsText" text="AM">
      <formula>NOT(ISERROR(SEARCH("AM",AN71)))</formula>
    </cfRule>
    <cfRule type="containsText" dxfId="1764" priority="1300" operator="containsText" text="VE">
      <formula>NOT(ISERROR(SEARCH("VE",AN71)))</formula>
    </cfRule>
  </conditionalFormatting>
  <conditionalFormatting sqref="AN72">
    <cfRule type="containsText" dxfId="1763" priority="1293" operator="containsText" text="AZ">
      <formula>NOT(ISERROR(SEARCH("AZ",AN72)))</formula>
    </cfRule>
    <cfRule type="containsText" dxfId="1762" priority="1294" operator="containsText" text="RO">
      <formula>NOT(ISERROR(SEARCH("RO",AN72)))</formula>
    </cfRule>
    <cfRule type="containsText" dxfId="1761" priority="1295" operator="containsText" text="AM">
      <formula>NOT(ISERROR(SEARCH("AM",AN72)))</formula>
    </cfRule>
    <cfRule type="containsText" dxfId="1760" priority="1296" operator="containsText" text="VE">
      <formula>NOT(ISERROR(SEARCH("VE",AN72)))</formula>
    </cfRule>
  </conditionalFormatting>
  <conditionalFormatting sqref="AN73">
    <cfRule type="containsText" dxfId="1759" priority="1289" operator="containsText" text="AZ">
      <formula>NOT(ISERROR(SEARCH("AZ",AN73)))</formula>
    </cfRule>
    <cfRule type="containsText" dxfId="1758" priority="1290" operator="containsText" text="RO">
      <formula>NOT(ISERROR(SEARCH("RO",AN73)))</formula>
    </cfRule>
    <cfRule type="containsText" dxfId="1757" priority="1291" operator="containsText" text="AM">
      <formula>NOT(ISERROR(SEARCH("AM",AN73)))</formula>
    </cfRule>
    <cfRule type="containsText" dxfId="1756" priority="1292" operator="containsText" text="VE">
      <formula>NOT(ISERROR(SEARCH("VE",AN73)))</formula>
    </cfRule>
  </conditionalFormatting>
  <conditionalFormatting sqref="AN74">
    <cfRule type="containsText" dxfId="1755" priority="1285" operator="containsText" text="AZ">
      <formula>NOT(ISERROR(SEARCH("AZ",AN74)))</formula>
    </cfRule>
    <cfRule type="containsText" dxfId="1754" priority="1286" operator="containsText" text="RO">
      <formula>NOT(ISERROR(SEARCH("RO",AN74)))</formula>
    </cfRule>
    <cfRule type="containsText" dxfId="1753" priority="1287" operator="containsText" text="AM">
      <formula>NOT(ISERROR(SEARCH("AM",AN74)))</formula>
    </cfRule>
    <cfRule type="containsText" dxfId="1752" priority="1288" operator="containsText" text="VE">
      <formula>NOT(ISERROR(SEARCH("VE",AN74)))</formula>
    </cfRule>
  </conditionalFormatting>
  <conditionalFormatting sqref="AN79">
    <cfRule type="containsText" dxfId="1751" priority="1281" operator="containsText" text="AZ">
      <formula>NOT(ISERROR(SEARCH("AZ",AN79)))</formula>
    </cfRule>
    <cfRule type="containsText" dxfId="1750" priority="1282" operator="containsText" text="RO">
      <formula>NOT(ISERROR(SEARCH("RO",AN79)))</formula>
    </cfRule>
    <cfRule type="containsText" dxfId="1749" priority="1283" operator="containsText" text="AM">
      <formula>NOT(ISERROR(SEARCH("AM",AN79)))</formula>
    </cfRule>
    <cfRule type="containsText" dxfId="1748" priority="1284" operator="containsText" text="VE">
      <formula>NOT(ISERROR(SEARCH("VE",AN79)))</formula>
    </cfRule>
  </conditionalFormatting>
  <conditionalFormatting sqref="AN80">
    <cfRule type="containsText" dxfId="1747" priority="1277" operator="containsText" text="AZ">
      <formula>NOT(ISERROR(SEARCH("AZ",AN80)))</formula>
    </cfRule>
    <cfRule type="containsText" dxfId="1746" priority="1278" operator="containsText" text="RO">
      <formula>NOT(ISERROR(SEARCH("RO",AN80)))</formula>
    </cfRule>
    <cfRule type="containsText" dxfId="1745" priority="1279" operator="containsText" text="AM">
      <formula>NOT(ISERROR(SEARCH("AM",AN80)))</formula>
    </cfRule>
    <cfRule type="containsText" dxfId="1744" priority="1280" operator="containsText" text="VE">
      <formula>NOT(ISERROR(SEARCH("VE",AN80)))</formula>
    </cfRule>
  </conditionalFormatting>
  <conditionalFormatting sqref="AN78">
    <cfRule type="containsText" dxfId="1743" priority="1273" operator="containsText" text="AZ">
      <formula>NOT(ISERROR(SEARCH("AZ",AN78)))</formula>
    </cfRule>
    <cfRule type="containsText" dxfId="1742" priority="1274" operator="containsText" text="RO">
      <formula>NOT(ISERROR(SEARCH("RO",AN78)))</formula>
    </cfRule>
    <cfRule type="containsText" dxfId="1741" priority="1275" operator="containsText" text="AM">
      <formula>NOT(ISERROR(SEARCH("AM",AN78)))</formula>
    </cfRule>
    <cfRule type="containsText" dxfId="1740" priority="1276" operator="containsText" text="VE">
      <formula>NOT(ISERROR(SEARCH("VE",AN78)))</formula>
    </cfRule>
  </conditionalFormatting>
  <conditionalFormatting sqref="AN76:AN77">
    <cfRule type="containsText" dxfId="1739" priority="1269" operator="containsText" text="AZ">
      <formula>NOT(ISERROR(SEARCH("AZ",AN76)))</formula>
    </cfRule>
    <cfRule type="containsText" dxfId="1738" priority="1270" operator="containsText" text="RO">
      <formula>NOT(ISERROR(SEARCH("RO",AN76)))</formula>
    </cfRule>
    <cfRule type="containsText" dxfId="1737" priority="1271" operator="containsText" text="AM">
      <formula>NOT(ISERROR(SEARCH("AM",AN76)))</formula>
    </cfRule>
    <cfRule type="containsText" dxfId="1736" priority="1272" operator="containsText" text="VE">
      <formula>NOT(ISERROR(SEARCH("VE",AN76)))</formula>
    </cfRule>
  </conditionalFormatting>
  <conditionalFormatting sqref="AN82">
    <cfRule type="containsText" dxfId="1735" priority="1265" operator="containsText" text="AZ">
      <formula>NOT(ISERROR(SEARCH("AZ",AN82)))</formula>
    </cfRule>
    <cfRule type="containsText" dxfId="1734" priority="1266" operator="containsText" text="RO">
      <formula>NOT(ISERROR(SEARCH("RO",AN82)))</formula>
    </cfRule>
    <cfRule type="containsText" dxfId="1733" priority="1267" operator="containsText" text="AM">
      <formula>NOT(ISERROR(SEARCH("AM",AN82)))</formula>
    </cfRule>
    <cfRule type="containsText" dxfId="1732" priority="1268" operator="containsText" text="VE">
      <formula>NOT(ISERROR(SEARCH("VE",AN82)))</formula>
    </cfRule>
  </conditionalFormatting>
  <conditionalFormatting sqref="AN81">
    <cfRule type="containsText" dxfId="1731" priority="1261" operator="containsText" text="AZ">
      <formula>NOT(ISERROR(SEARCH("AZ",AN81)))</formula>
    </cfRule>
    <cfRule type="containsText" dxfId="1730" priority="1262" operator="containsText" text="RO">
      <formula>NOT(ISERROR(SEARCH("RO",AN81)))</formula>
    </cfRule>
    <cfRule type="containsText" dxfId="1729" priority="1263" operator="containsText" text="AM">
      <formula>NOT(ISERROR(SEARCH("AM",AN81)))</formula>
    </cfRule>
    <cfRule type="containsText" dxfId="1728" priority="1264" operator="containsText" text="VE">
      <formula>NOT(ISERROR(SEARCH("VE",AN81)))</formula>
    </cfRule>
  </conditionalFormatting>
  <conditionalFormatting sqref="AN83">
    <cfRule type="containsText" dxfId="1727" priority="1257" operator="containsText" text="AZ">
      <formula>NOT(ISERROR(SEARCH("AZ",AN83)))</formula>
    </cfRule>
    <cfRule type="containsText" dxfId="1726" priority="1258" operator="containsText" text="RO">
      <formula>NOT(ISERROR(SEARCH("RO",AN83)))</formula>
    </cfRule>
    <cfRule type="containsText" dxfId="1725" priority="1259" operator="containsText" text="AM">
      <formula>NOT(ISERROR(SEARCH("AM",AN83)))</formula>
    </cfRule>
    <cfRule type="containsText" dxfId="1724" priority="1260" operator="containsText" text="VE">
      <formula>NOT(ISERROR(SEARCH("VE",AN83)))</formula>
    </cfRule>
  </conditionalFormatting>
  <conditionalFormatting sqref="AN84">
    <cfRule type="containsText" dxfId="1723" priority="1253" operator="containsText" text="AZ">
      <formula>NOT(ISERROR(SEARCH("AZ",AN84)))</formula>
    </cfRule>
    <cfRule type="containsText" dxfId="1722" priority="1254" operator="containsText" text="RO">
      <formula>NOT(ISERROR(SEARCH("RO",AN84)))</formula>
    </cfRule>
    <cfRule type="containsText" dxfId="1721" priority="1255" operator="containsText" text="AM">
      <formula>NOT(ISERROR(SEARCH("AM",AN84)))</formula>
    </cfRule>
    <cfRule type="containsText" dxfId="1720" priority="1256" operator="containsText" text="VE">
      <formula>NOT(ISERROR(SEARCH("VE",AN84)))</formula>
    </cfRule>
  </conditionalFormatting>
  <conditionalFormatting sqref="AN277">
    <cfRule type="containsText" dxfId="1719" priority="1249" operator="containsText" text="AZ">
      <formula>NOT(ISERROR(SEARCH("AZ",AN277)))</formula>
    </cfRule>
    <cfRule type="containsText" dxfId="1718" priority="1250" operator="containsText" text="RO">
      <formula>NOT(ISERROR(SEARCH("RO",AN277)))</formula>
    </cfRule>
    <cfRule type="containsText" dxfId="1717" priority="1251" operator="containsText" text="AM">
      <formula>NOT(ISERROR(SEARCH("AM",AN277)))</formula>
    </cfRule>
    <cfRule type="containsText" dxfId="1716" priority="1252" operator="containsText" text="VE">
      <formula>NOT(ISERROR(SEARCH("VE",AN277)))</formula>
    </cfRule>
  </conditionalFormatting>
  <conditionalFormatting sqref="AN279:AN285">
    <cfRule type="containsText" dxfId="1715" priority="1245" operator="containsText" text="AZ">
      <formula>NOT(ISERROR(SEARCH("AZ",AN279)))</formula>
    </cfRule>
    <cfRule type="containsText" dxfId="1714" priority="1246" operator="containsText" text="RO">
      <formula>NOT(ISERROR(SEARCH("RO",AN279)))</formula>
    </cfRule>
    <cfRule type="containsText" dxfId="1713" priority="1247" operator="containsText" text="AM">
      <formula>NOT(ISERROR(SEARCH("AM",AN279)))</formula>
    </cfRule>
    <cfRule type="containsText" dxfId="1712" priority="1248" operator="containsText" text="VE">
      <formula>NOT(ISERROR(SEARCH("VE",AN279)))</formula>
    </cfRule>
  </conditionalFormatting>
  <conditionalFormatting sqref="AN287:AN289">
    <cfRule type="containsText" dxfId="1711" priority="1241" operator="containsText" text="AZ">
      <formula>NOT(ISERROR(SEARCH("AZ",AN287)))</formula>
    </cfRule>
    <cfRule type="containsText" dxfId="1710" priority="1242" operator="containsText" text="RO">
      <formula>NOT(ISERROR(SEARCH("RO",AN287)))</formula>
    </cfRule>
    <cfRule type="containsText" dxfId="1709" priority="1243" operator="containsText" text="AM">
      <formula>NOT(ISERROR(SEARCH("AM",AN287)))</formula>
    </cfRule>
    <cfRule type="containsText" dxfId="1708" priority="1244" operator="containsText" text="VE">
      <formula>NOT(ISERROR(SEARCH("VE",AN287)))</formula>
    </cfRule>
  </conditionalFormatting>
  <conditionalFormatting sqref="AN278">
    <cfRule type="containsText" dxfId="1707" priority="1237" operator="containsText" text="AZ">
      <formula>NOT(ISERROR(SEARCH("AZ",AN278)))</formula>
    </cfRule>
    <cfRule type="containsText" dxfId="1706" priority="1238" operator="containsText" text="RO">
      <formula>NOT(ISERROR(SEARCH("RO",AN278)))</formula>
    </cfRule>
    <cfRule type="containsText" dxfId="1705" priority="1239" operator="containsText" text="AM">
      <formula>NOT(ISERROR(SEARCH("AM",AN278)))</formula>
    </cfRule>
    <cfRule type="containsText" dxfId="1704" priority="1240" operator="containsText" text="VE">
      <formula>NOT(ISERROR(SEARCH("VE",AN278)))</formula>
    </cfRule>
  </conditionalFormatting>
  <conditionalFormatting sqref="AN286">
    <cfRule type="containsText" dxfId="1703" priority="1233" operator="containsText" text="AZ">
      <formula>NOT(ISERROR(SEARCH("AZ",AN286)))</formula>
    </cfRule>
    <cfRule type="containsText" dxfId="1702" priority="1234" operator="containsText" text="RO">
      <formula>NOT(ISERROR(SEARCH("RO",AN286)))</formula>
    </cfRule>
    <cfRule type="containsText" dxfId="1701" priority="1235" operator="containsText" text="AM">
      <formula>NOT(ISERROR(SEARCH("AM",AN286)))</formula>
    </cfRule>
    <cfRule type="containsText" dxfId="1700" priority="1236" operator="containsText" text="VE">
      <formula>NOT(ISERROR(SEARCH("VE",AN286)))</formula>
    </cfRule>
  </conditionalFormatting>
  <conditionalFormatting sqref="AN88">
    <cfRule type="containsText" dxfId="1699" priority="1229" operator="containsText" text="AZ">
      <formula>NOT(ISERROR(SEARCH("AZ",AN88)))</formula>
    </cfRule>
    <cfRule type="containsText" dxfId="1698" priority="1230" operator="containsText" text="RO">
      <formula>NOT(ISERROR(SEARCH("RO",AN88)))</formula>
    </cfRule>
    <cfRule type="containsText" dxfId="1697" priority="1231" operator="containsText" text="AM">
      <formula>NOT(ISERROR(SEARCH("AM",AN88)))</formula>
    </cfRule>
    <cfRule type="containsText" dxfId="1696" priority="1232" operator="containsText" text="VE">
      <formula>NOT(ISERROR(SEARCH("VE",AN88)))</formula>
    </cfRule>
  </conditionalFormatting>
  <conditionalFormatting sqref="AN94">
    <cfRule type="containsText" dxfId="1695" priority="1225" operator="containsText" text="AZ">
      <formula>NOT(ISERROR(SEARCH("AZ",AN94)))</formula>
    </cfRule>
    <cfRule type="containsText" dxfId="1694" priority="1226" operator="containsText" text="RO">
      <formula>NOT(ISERROR(SEARCH("RO",AN94)))</formula>
    </cfRule>
    <cfRule type="containsText" dxfId="1693" priority="1227" operator="containsText" text="AM">
      <formula>NOT(ISERROR(SEARCH("AM",AN94)))</formula>
    </cfRule>
    <cfRule type="containsText" dxfId="1692" priority="1228" operator="containsText" text="VE">
      <formula>NOT(ISERROR(SEARCH("VE",AN94)))</formula>
    </cfRule>
  </conditionalFormatting>
  <conditionalFormatting sqref="AN95">
    <cfRule type="containsText" dxfId="1691" priority="1221" operator="containsText" text="AZ">
      <formula>NOT(ISERROR(SEARCH("AZ",AN95)))</formula>
    </cfRule>
    <cfRule type="containsText" dxfId="1690" priority="1222" operator="containsText" text="RO">
      <formula>NOT(ISERROR(SEARCH("RO",AN95)))</formula>
    </cfRule>
    <cfRule type="containsText" dxfId="1689" priority="1223" operator="containsText" text="AM">
      <formula>NOT(ISERROR(SEARCH("AM",AN95)))</formula>
    </cfRule>
    <cfRule type="containsText" dxfId="1688" priority="1224" operator="containsText" text="VE">
      <formula>NOT(ISERROR(SEARCH("VE",AN95)))</formula>
    </cfRule>
  </conditionalFormatting>
  <conditionalFormatting sqref="AN97">
    <cfRule type="containsText" dxfId="1687" priority="1217" operator="containsText" text="AZ">
      <formula>NOT(ISERROR(SEARCH("AZ",AN97)))</formula>
    </cfRule>
    <cfRule type="containsText" dxfId="1686" priority="1218" operator="containsText" text="RO">
      <formula>NOT(ISERROR(SEARCH("RO",AN97)))</formula>
    </cfRule>
    <cfRule type="containsText" dxfId="1685" priority="1219" operator="containsText" text="AM">
      <formula>NOT(ISERROR(SEARCH("AM",AN97)))</formula>
    </cfRule>
    <cfRule type="containsText" dxfId="1684" priority="1220" operator="containsText" text="VE">
      <formula>NOT(ISERROR(SEARCH("VE",AN97)))</formula>
    </cfRule>
  </conditionalFormatting>
  <conditionalFormatting sqref="AN96">
    <cfRule type="containsText" dxfId="1683" priority="1213" operator="containsText" text="AZ">
      <formula>NOT(ISERROR(SEARCH("AZ",AN96)))</formula>
    </cfRule>
    <cfRule type="containsText" dxfId="1682" priority="1214" operator="containsText" text="RO">
      <formula>NOT(ISERROR(SEARCH("RO",AN96)))</formula>
    </cfRule>
    <cfRule type="containsText" dxfId="1681" priority="1215" operator="containsText" text="AM">
      <formula>NOT(ISERROR(SEARCH("AM",AN96)))</formula>
    </cfRule>
    <cfRule type="containsText" dxfId="1680" priority="1216" operator="containsText" text="VE">
      <formula>NOT(ISERROR(SEARCH("VE",AN96)))</formula>
    </cfRule>
  </conditionalFormatting>
  <conditionalFormatting sqref="AN98">
    <cfRule type="containsText" dxfId="1679" priority="1209" operator="containsText" text="AZ">
      <formula>NOT(ISERROR(SEARCH("AZ",AN98)))</formula>
    </cfRule>
    <cfRule type="containsText" dxfId="1678" priority="1210" operator="containsText" text="RO">
      <formula>NOT(ISERROR(SEARCH("RO",AN98)))</formula>
    </cfRule>
    <cfRule type="containsText" dxfId="1677" priority="1211" operator="containsText" text="AM">
      <formula>NOT(ISERROR(SEARCH("AM",AN98)))</formula>
    </cfRule>
    <cfRule type="containsText" dxfId="1676" priority="1212" operator="containsText" text="VE">
      <formula>NOT(ISERROR(SEARCH("VE",AN98)))</formula>
    </cfRule>
  </conditionalFormatting>
  <conditionalFormatting sqref="AN100">
    <cfRule type="containsText" dxfId="1675" priority="1205" operator="containsText" text="AZ">
      <formula>NOT(ISERROR(SEARCH("AZ",AN100)))</formula>
    </cfRule>
    <cfRule type="containsText" dxfId="1674" priority="1206" operator="containsText" text="RO">
      <formula>NOT(ISERROR(SEARCH("RO",AN100)))</formula>
    </cfRule>
    <cfRule type="containsText" dxfId="1673" priority="1207" operator="containsText" text="AM">
      <formula>NOT(ISERROR(SEARCH("AM",AN100)))</formula>
    </cfRule>
    <cfRule type="containsText" dxfId="1672" priority="1208" operator="containsText" text="VE">
      <formula>NOT(ISERROR(SEARCH("VE",AN100)))</formula>
    </cfRule>
  </conditionalFormatting>
  <conditionalFormatting sqref="AN101">
    <cfRule type="containsText" dxfId="1671" priority="1201" operator="containsText" text="AZ">
      <formula>NOT(ISERROR(SEARCH("AZ",AN101)))</formula>
    </cfRule>
    <cfRule type="containsText" dxfId="1670" priority="1202" operator="containsText" text="RO">
      <formula>NOT(ISERROR(SEARCH("RO",AN101)))</formula>
    </cfRule>
    <cfRule type="containsText" dxfId="1669" priority="1203" operator="containsText" text="AM">
      <formula>NOT(ISERROR(SEARCH("AM",AN101)))</formula>
    </cfRule>
    <cfRule type="containsText" dxfId="1668" priority="1204" operator="containsText" text="VE">
      <formula>NOT(ISERROR(SEARCH("VE",AN101)))</formula>
    </cfRule>
  </conditionalFormatting>
  <conditionalFormatting sqref="AN102">
    <cfRule type="containsText" dxfId="1667" priority="1197" operator="containsText" text="AZ">
      <formula>NOT(ISERROR(SEARCH("AZ",AN102)))</formula>
    </cfRule>
    <cfRule type="containsText" dxfId="1666" priority="1198" operator="containsText" text="RO">
      <formula>NOT(ISERROR(SEARCH("RO",AN102)))</formula>
    </cfRule>
    <cfRule type="containsText" dxfId="1665" priority="1199" operator="containsText" text="AM">
      <formula>NOT(ISERROR(SEARCH("AM",AN102)))</formula>
    </cfRule>
    <cfRule type="containsText" dxfId="1664" priority="1200" operator="containsText" text="VE">
      <formula>NOT(ISERROR(SEARCH("VE",AN102)))</formula>
    </cfRule>
  </conditionalFormatting>
  <conditionalFormatting sqref="AN103">
    <cfRule type="containsText" dxfId="1663" priority="1193" operator="containsText" text="AZ">
      <formula>NOT(ISERROR(SEARCH("AZ",AN103)))</formula>
    </cfRule>
    <cfRule type="containsText" dxfId="1662" priority="1194" operator="containsText" text="RO">
      <formula>NOT(ISERROR(SEARCH("RO",AN103)))</formula>
    </cfRule>
    <cfRule type="containsText" dxfId="1661" priority="1195" operator="containsText" text="AM">
      <formula>NOT(ISERROR(SEARCH("AM",AN103)))</formula>
    </cfRule>
    <cfRule type="containsText" dxfId="1660" priority="1196" operator="containsText" text="VE">
      <formula>NOT(ISERROR(SEARCH("VE",AN103)))</formula>
    </cfRule>
  </conditionalFormatting>
  <conditionalFormatting sqref="AN104">
    <cfRule type="containsText" dxfId="1659" priority="1189" operator="containsText" text="AZ">
      <formula>NOT(ISERROR(SEARCH("AZ",AN104)))</formula>
    </cfRule>
    <cfRule type="containsText" dxfId="1658" priority="1190" operator="containsText" text="RO">
      <formula>NOT(ISERROR(SEARCH("RO",AN104)))</formula>
    </cfRule>
    <cfRule type="containsText" dxfId="1657" priority="1191" operator="containsText" text="AM">
      <formula>NOT(ISERROR(SEARCH("AM",AN104)))</formula>
    </cfRule>
    <cfRule type="containsText" dxfId="1656" priority="1192" operator="containsText" text="VE">
      <formula>NOT(ISERROR(SEARCH("VE",AN104)))</formula>
    </cfRule>
  </conditionalFormatting>
  <conditionalFormatting sqref="AN105">
    <cfRule type="containsText" dxfId="1655" priority="1185" operator="containsText" text="AZ">
      <formula>NOT(ISERROR(SEARCH("AZ",AN105)))</formula>
    </cfRule>
    <cfRule type="containsText" dxfId="1654" priority="1186" operator="containsText" text="RO">
      <formula>NOT(ISERROR(SEARCH("RO",AN105)))</formula>
    </cfRule>
    <cfRule type="containsText" dxfId="1653" priority="1187" operator="containsText" text="AM">
      <formula>NOT(ISERROR(SEARCH("AM",AN105)))</formula>
    </cfRule>
    <cfRule type="containsText" dxfId="1652" priority="1188" operator="containsText" text="VE">
      <formula>NOT(ISERROR(SEARCH("VE",AN105)))</formula>
    </cfRule>
  </conditionalFormatting>
  <conditionalFormatting sqref="AN106">
    <cfRule type="containsText" dxfId="1651" priority="1181" operator="containsText" text="AZ">
      <formula>NOT(ISERROR(SEARCH("AZ",AN106)))</formula>
    </cfRule>
    <cfRule type="containsText" dxfId="1650" priority="1182" operator="containsText" text="RO">
      <formula>NOT(ISERROR(SEARCH("RO",AN106)))</formula>
    </cfRule>
    <cfRule type="containsText" dxfId="1649" priority="1183" operator="containsText" text="AM">
      <formula>NOT(ISERROR(SEARCH("AM",AN106)))</formula>
    </cfRule>
    <cfRule type="containsText" dxfId="1648" priority="1184" operator="containsText" text="VE">
      <formula>NOT(ISERROR(SEARCH("VE",AN106)))</formula>
    </cfRule>
  </conditionalFormatting>
  <conditionalFormatting sqref="AN107">
    <cfRule type="containsText" dxfId="1647" priority="1177" operator="containsText" text="AZ">
      <formula>NOT(ISERROR(SEARCH("AZ",AN107)))</formula>
    </cfRule>
    <cfRule type="containsText" dxfId="1646" priority="1178" operator="containsText" text="RO">
      <formula>NOT(ISERROR(SEARCH("RO",AN107)))</formula>
    </cfRule>
    <cfRule type="containsText" dxfId="1645" priority="1179" operator="containsText" text="AM">
      <formula>NOT(ISERROR(SEARCH("AM",AN107)))</formula>
    </cfRule>
    <cfRule type="containsText" dxfId="1644" priority="1180" operator="containsText" text="VE">
      <formula>NOT(ISERROR(SEARCH("VE",AN107)))</formula>
    </cfRule>
  </conditionalFormatting>
  <conditionalFormatting sqref="AN91:AN93">
    <cfRule type="containsText" dxfId="1643" priority="1173" operator="containsText" text="AZ">
      <formula>NOT(ISERROR(SEARCH("AZ",AN91)))</formula>
    </cfRule>
    <cfRule type="containsText" dxfId="1642" priority="1174" operator="containsText" text="RO">
      <formula>NOT(ISERROR(SEARCH("RO",AN91)))</formula>
    </cfRule>
    <cfRule type="containsText" dxfId="1641" priority="1175" operator="containsText" text="AM">
      <formula>NOT(ISERROR(SEARCH("AM",AN91)))</formula>
    </cfRule>
    <cfRule type="containsText" dxfId="1640" priority="1176" operator="containsText" text="VE">
      <formula>NOT(ISERROR(SEARCH("VE",AN91)))</formula>
    </cfRule>
  </conditionalFormatting>
  <conditionalFormatting sqref="AN89:AN90">
    <cfRule type="containsText" dxfId="1639" priority="1169" operator="containsText" text="AZ">
      <formula>NOT(ISERROR(SEARCH("AZ",AN89)))</formula>
    </cfRule>
    <cfRule type="containsText" dxfId="1638" priority="1170" operator="containsText" text="RO">
      <formula>NOT(ISERROR(SEARCH("RO",AN89)))</formula>
    </cfRule>
    <cfRule type="containsText" dxfId="1637" priority="1171" operator="containsText" text="AM">
      <formula>NOT(ISERROR(SEARCH("AM",AN89)))</formula>
    </cfRule>
    <cfRule type="containsText" dxfId="1636" priority="1172" operator="containsText" text="VE">
      <formula>NOT(ISERROR(SEARCH("VE",AN89)))</formula>
    </cfRule>
  </conditionalFormatting>
  <conditionalFormatting sqref="AN9">
    <cfRule type="containsText" dxfId="1635" priority="1165" operator="containsText" text="AZ">
      <formula>NOT(ISERROR(SEARCH("AZ",AN9)))</formula>
    </cfRule>
    <cfRule type="containsText" dxfId="1634" priority="1166" operator="containsText" text="RO">
      <formula>NOT(ISERROR(SEARCH("RO",AN9)))</formula>
    </cfRule>
    <cfRule type="containsText" dxfId="1633" priority="1167" operator="containsText" text="AM">
      <formula>NOT(ISERROR(SEARCH("AM",AN9)))</formula>
    </cfRule>
    <cfRule type="containsText" dxfId="1632" priority="1168" operator="containsText" text="VE">
      <formula>NOT(ISERROR(SEARCH("VE",AN9)))</formula>
    </cfRule>
  </conditionalFormatting>
  <conditionalFormatting sqref="AN10">
    <cfRule type="containsText" dxfId="1631" priority="1161" operator="containsText" text="AZ">
      <formula>NOT(ISERROR(SEARCH("AZ",AN10)))</formula>
    </cfRule>
    <cfRule type="containsText" dxfId="1630" priority="1162" operator="containsText" text="RO">
      <formula>NOT(ISERROR(SEARCH("RO",AN10)))</formula>
    </cfRule>
    <cfRule type="containsText" dxfId="1629" priority="1163" operator="containsText" text="AM">
      <formula>NOT(ISERROR(SEARCH("AM",AN10)))</formula>
    </cfRule>
    <cfRule type="containsText" dxfId="1628" priority="1164" operator="containsText" text="VE">
      <formula>NOT(ISERROR(SEARCH("VE",AN10)))</formula>
    </cfRule>
  </conditionalFormatting>
  <conditionalFormatting sqref="AN11">
    <cfRule type="containsText" dxfId="1627" priority="1157" operator="containsText" text="AZ">
      <formula>NOT(ISERROR(SEARCH("AZ",AN11)))</formula>
    </cfRule>
    <cfRule type="containsText" dxfId="1626" priority="1158" operator="containsText" text="RO">
      <formula>NOT(ISERROR(SEARCH("RO",AN11)))</formula>
    </cfRule>
    <cfRule type="containsText" dxfId="1625" priority="1159" operator="containsText" text="AM">
      <formula>NOT(ISERROR(SEARCH("AM",AN11)))</formula>
    </cfRule>
    <cfRule type="containsText" dxfId="1624" priority="1160" operator="containsText" text="VE">
      <formula>NOT(ISERROR(SEARCH("VE",AN11)))</formula>
    </cfRule>
  </conditionalFormatting>
  <conditionalFormatting sqref="AN12:AN15">
    <cfRule type="containsText" dxfId="1623" priority="1153" operator="containsText" text="AZ">
      <formula>NOT(ISERROR(SEARCH("AZ",AN12)))</formula>
    </cfRule>
    <cfRule type="containsText" dxfId="1622" priority="1154" operator="containsText" text="RO">
      <formula>NOT(ISERROR(SEARCH("RO",AN12)))</formula>
    </cfRule>
    <cfRule type="containsText" dxfId="1621" priority="1155" operator="containsText" text="AM">
      <formula>NOT(ISERROR(SEARCH("AM",AN12)))</formula>
    </cfRule>
    <cfRule type="containsText" dxfId="1620" priority="1156" operator="containsText" text="VE">
      <formula>NOT(ISERROR(SEARCH("VE",AN12)))</formula>
    </cfRule>
  </conditionalFormatting>
  <conditionalFormatting sqref="AN16:AN17">
    <cfRule type="containsText" dxfId="1619" priority="1149" operator="containsText" text="AZ">
      <formula>NOT(ISERROR(SEARCH("AZ",AN16)))</formula>
    </cfRule>
    <cfRule type="containsText" dxfId="1618" priority="1150" operator="containsText" text="RO">
      <formula>NOT(ISERROR(SEARCH("RO",AN16)))</formula>
    </cfRule>
    <cfRule type="containsText" dxfId="1617" priority="1151" operator="containsText" text="AM">
      <formula>NOT(ISERROR(SEARCH("AM",AN16)))</formula>
    </cfRule>
    <cfRule type="containsText" dxfId="1616" priority="1152" operator="containsText" text="VE">
      <formula>NOT(ISERROR(SEARCH("VE",AN16)))</formula>
    </cfRule>
  </conditionalFormatting>
  <conditionalFormatting sqref="AN18:AN19">
    <cfRule type="containsText" dxfId="1615" priority="1145" operator="containsText" text="AZ">
      <formula>NOT(ISERROR(SEARCH("AZ",AN18)))</formula>
    </cfRule>
    <cfRule type="containsText" dxfId="1614" priority="1146" operator="containsText" text="RO">
      <formula>NOT(ISERROR(SEARCH("RO",AN18)))</formula>
    </cfRule>
    <cfRule type="containsText" dxfId="1613" priority="1147" operator="containsText" text="AM">
      <formula>NOT(ISERROR(SEARCH("AM",AN18)))</formula>
    </cfRule>
    <cfRule type="containsText" dxfId="1612" priority="1148" operator="containsText" text="VE">
      <formula>NOT(ISERROR(SEARCH("VE",AN18)))</formula>
    </cfRule>
  </conditionalFormatting>
  <conditionalFormatting sqref="AN20">
    <cfRule type="containsText" dxfId="1611" priority="1141" operator="containsText" text="AZ">
      <formula>NOT(ISERROR(SEARCH("AZ",AN20)))</formula>
    </cfRule>
    <cfRule type="containsText" dxfId="1610" priority="1142" operator="containsText" text="RO">
      <formula>NOT(ISERROR(SEARCH("RO",AN20)))</formula>
    </cfRule>
    <cfRule type="containsText" dxfId="1609" priority="1143" operator="containsText" text="AM">
      <formula>NOT(ISERROR(SEARCH("AM",AN20)))</formula>
    </cfRule>
    <cfRule type="containsText" dxfId="1608" priority="1144" operator="containsText" text="VE">
      <formula>NOT(ISERROR(SEARCH("VE",AN20)))</formula>
    </cfRule>
  </conditionalFormatting>
  <conditionalFormatting sqref="AN21">
    <cfRule type="containsText" dxfId="1607" priority="1137" operator="containsText" text="AZ">
      <formula>NOT(ISERROR(SEARCH("AZ",AN21)))</formula>
    </cfRule>
    <cfRule type="containsText" dxfId="1606" priority="1138" operator="containsText" text="RO">
      <formula>NOT(ISERROR(SEARCH("RO",AN21)))</formula>
    </cfRule>
    <cfRule type="containsText" dxfId="1605" priority="1139" operator="containsText" text="AM">
      <formula>NOT(ISERROR(SEARCH("AM",AN21)))</formula>
    </cfRule>
    <cfRule type="containsText" dxfId="1604" priority="1140" operator="containsText" text="VE">
      <formula>NOT(ISERROR(SEARCH("VE",AN21)))</formula>
    </cfRule>
  </conditionalFormatting>
  <conditionalFormatting sqref="AN23">
    <cfRule type="containsText" dxfId="1603" priority="1133" operator="containsText" text="AZ">
      <formula>NOT(ISERROR(SEARCH("AZ",AN23)))</formula>
    </cfRule>
    <cfRule type="containsText" dxfId="1602" priority="1134" operator="containsText" text="RO">
      <formula>NOT(ISERROR(SEARCH("RO",AN23)))</formula>
    </cfRule>
    <cfRule type="containsText" dxfId="1601" priority="1135" operator="containsText" text="AM">
      <formula>NOT(ISERROR(SEARCH("AM",AN23)))</formula>
    </cfRule>
    <cfRule type="containsText" dxfId="1600" priority="1136" operator="containsText" text="VE">
      <formula>NOT(ISERROR(SEARCH("VE",AN23)))</formula>
    </cfRule>
  </conditionalFormatting>
  <conditionalFormatting sqref="AN22">
    <cfRule type="containsText" dxfId="1599" priority="1129" operator="containsText" text="AZ">
      <formula>NOT(ISERROR(SEARCH("AZ",AN22)))</formula>
    </cfRule>
    <cfRule type="containsText" dxfId="1598" priority="1130" operator="containsText" text="RO">
      <formula>NOT(ISERROR(SEARCH("RO",AN22)))</formula>
    </cfRule>
    <cfRule type="containsText" dxfId="1597" priority="1131" operator="containsText" text="AM">
      <formula>NOT(ISERROR(SEARCH("AM",AN22)))</formula>
    </cfRule>
    <cfRule type="containsText" dxfId="1596" priority="1132" operator="containsText" text="VE">
      <formula>NOT(ISERROR(SEARCH("VE",AN22)))</formula>
    </cfRule>
  </conditionalFormatting>
  <conditionalFormatting sqref="AN25">
    <cfRule type="containsText" dxfId="1595" priority="1125" operator="containsText" text="AZ">
      <formula>NOT(ISERROR(SEARCH("AZ",AN25)))</formula>
    </cfRule>
    <cfRule type="containsText" dxfId="1594" priority="1126" operator="containsText" text="RO">
      <formula>NOT(ISERROR(SEARCH("RO",AN25)))</formula>
    </cfRule>
    <cfRule type="containsText" dxfId="1593" priority="1127" operator="containsText" text="AM">
      <formula>NOT(ISERROR(SEARCH("AM",AN25)))</formula>
    </cfRule>
    <cfRule type="containsText" dxfId="1592" priority="1128" operator="containsText" text="VE">
      <formula>NOT(ISERROR(SEARCH("VE",AN25)))</formula>
    </cfRule>
  </conditionalFormatting>
  <conditionalFormatting sqref="AN26">
    <cfRule type="containsText" dxfId="1591" priority="1121" operator="containsText" text="AZ">
      <formula>NOT(ISERROR(SEARCH("AZ",AN26)))</formula>
    </cfRule>
    <cfRule type="containsText" dxfId="1590" priority="1122" operator="containsText" text="RO">
      <formula>NOT(ISERROR(SEARCH("RO",AN26)))</formula>
    </cfRule>
    <cfRule type="containsText" dxfId="1589" priority="1123" operator="containsText" text="AM">
      <formula>NOT(ISERROR(SEARCH("AM",AN26)))</formula>
    </cfRule>
    <cfRule type="containsText" dxfId="1588" priority="1124" operator="containsText" text="VE">
      <formula>NOT(ISERROR(SEARCH("VE",AN26)))</formula>
    </cfRule>
  </conditionalFormatting>
  <conditionalFormatting sqref="AN27">
    <cfRule type="containsText" dxfId="1587" priority="1117" operator="containsText" text="AZ">
      <formula>NOT(ISERROR(SEARCH("AZ",AN27)))</formula>
    </cfRule>
    <cfRule type="containsText" dxfId="1586" priority="1118" operator="containsText" text="RO">
      <formula>NOT(ISERROR(SEARCH("RO",AN27)))</formula>
    </cfRule>
    <cfRule type="containsText" dxfId="1585" priority="1119" operator="containsText" text="AM">
      <formula>NOT(ISERROR(SEARCH("AM",AN27)))</formula>
    </cfRule>
    <cfRule type="containsText" dxfId="1584" priority="1120" operator="containsText" text="VE">
      <formula>NOT(ISERROR(SEARCH("VE",AN27)))</formula>
    </cfRule>
  </conditionalFormatting>
  <conditionalFormatting sqref="AN28">
    <cfRule type="containsText" dxfId="1583" priority="1113" operator="containsText" text="AZ">
      <formula>NOT(ISERROR(SEARCH("AZ",AN28)))</formula>
    </cfRule>
    <cfRule type="containsText" dxfId="1582" priority="1114" operator="containsText" text="RO">
      <formula>NOT(ISERROR(SEARCH("RO",AN28)))</formula>
    </cfRule>
    <cfRule type="containsText" dxfId="1581" priority="1115" operator="containsText" text="AM">
      <formula>NOT(ISERROR(SEARCH("AM",AN28)))</formula>
    </cfRule>
    <cfRule type="containsText" dxfId="1580" priority="1116" operator="containsText" text="VE">
      <formula>NOT(ISERROR(SEARCH("VE",AN28)))</formula>
    </cfRule>
  </conditionalFormatting>
  <conditionalFormatting sqref="AN30">
    <cfRule type="containsText" dxfId="1579" priority="1109" operator="containsText" text="AZ">
      <formula>NOT(ISERROR(SEARCH("AZ",AN30)))</formula>
    </cfRule>
    <cfRule type="containsText" dxfId="1578" priority="1110" operator="containsText" text="RO">
      <formula>NOT(ISERROR(SEARCH("RO",AN30)))</formula>
    </cfRule>
    <cfRule type="containsText" dxfId="1577" priority="1111" operator="containsText" text="AM">
      <formula>NOT(ISERROR(SEARCH("AM",AN30)))</formula>
    </cfRule>
    <cfRule type="containsText" dxfId="1576" priority="1112" operator="containsText" text="VE">
      <formula>NOT(ISERROR(SEARCH("VE",AN30)))</formula>
    </cfRule>
  </conditionalFormatting>
  <conditionalFormatting sqref="AN29">
    <cfRule type="containsText" dxfId="1575" priority="1105" operator="containsText" text="AZ">
      <formula>NOT(ISERROR(SEARCH("AZ",AN29)))</formula>
    </cfRule>
    <cfRule type="containsText" dxfId="1574" priority="1106" operator="containsText" text="RO">
      <formula>NOT(ISERROR(SEARCH("RO",AN29)))</formula>
    </cfRule>
    <cfRule type="containsText" dxfId="1573" priority="1107" operator="containsText" text="AM">
      <formula>NOT(ISERROR(SEARCH("AM",AN29)))</formula>
    </cfRule>
    <cfRule type="containsText" dxfId="1572" priority="1108" operator="containsText" text="VE">
      <formula>NOT(ISERROR(SEARCH("VE",AN29)))</formula>
    </cfRule>
  </conditionalFormatting>
  <conditionalFormatting sqref="AN31:AN32">
    <cfRule type="containsText" dxfId="1571" priority="1101" operator="containsText" text="AZ">
      <formula>NOT(ISERROR(SEARCH("AZ",AN31)))</formula>
    </cfRule>
    <cfRule type="containsText" dxfId="1570" priority="1102" operator="containsText" text="RO">
      <formula>NOT(ISERROR(SEARCH("RO",AN31)))</formula>
    </cfRule>
    <cfRule type="containsText" dxfId="1569" priority="1103" operator="containsText" text="AM">
      <formula>NOT(ISERROR(SEARCH("AM",AN31)))</formula>
    </cfRule>
    <cfRule type="containsText" dxfId="1568" priority="1104" operator="containsText" text="VE">
      <formula>NOT(ISERROR(SEARCH("VE",AN31)))</formula>
    </cfRule>
  </conditionalFormatting>
  <conditionalFormatting sqref="AN35">
    <cfRule type="containsText" dxfId="1567" priority="1097" operator="containsText" text="AZ">
      <formula>NOT(ISERROR(SEARCH("AZ",AN35)))</formula>
    </cfRule>
    <cfRule type="containsText" dxfId="1566" priority="1098" operator="containsText" text="RO">
      <formula>NOT(ISERROR(SEARCH("RO",AN35)))</formula>
    </cfRule>
    <cfRule type="containsText" dxfId="1565" priority="1099" operator="containsText" text="AM">
      <formula>NOT(ISERROR(SEARCH("AM",AN35)))</formula>
    </cfRule>
    <cfRule type="containsText" dxfId="1564" priority="1100" operator="containsText" text="VE">
      <formula>NOT(ISERROR(SEARCH("VE",AN35)))</formula>
    </cfRule>
  </conditionalFormatting>
  <conditionalFormatting sqref="AN33">
    <cfRule type="containsText" dxfId="1563" priority="1093" operator="containsText" text="AZ">
      <formula>NOT(ISERROR(SEARCH("AZ",AN33)))</formula>
    </cfRule>
    <cfRule type="containsText" dxfId="1562" priority="1094" operator="containsText" text="RO">
      <formula>NOT(ISERROR(SEARCH("RO",AN33)))</formula>
    </cfRule>
    <cfRule type="containsText" dxfId="1561" priority="1095" operator="containsText" text="AM">
      <formula>NOT(ISERROR(SEARCH("AM",AN33)))</formula>
    </cfRule>
    <cfRule type="containsText" dxfId="1560" priority="1096" operator="containsText" text="VE">
      <formula>NOT(ISERROR(SEARCH("VE",AN33)))</formula>
    </cfRule>
  </conditionalFormatting>
  <conditionalFormatting sqref="AN38">
    <cfRule type="containsText" dxfId="1559" priority="1089" operator="containsText" text="AZ">
      <formula>NOT(ISERROR(SEARCH("AZ",AN38)))</formula>
    </cfRule>
    <cfRule type="containsText" dxfId="1558" priority="1090" operator="containsText" text="RO">
      <formula>NOT(ISERROR(SEARCH("RO",AN38)))</formula>
    </cfRule>
    <cfRule type="containsText" dxfId="1557" priority="1091" operator="containsText" text="AM">
      <formula>NOT(ISERROR(SEARCH("AM",AN38)))</formula>
    </cfRule>
    <cfRule type="containsText" dxfId="1556" priority="1092" operator="containsText" text="VE">
      <formula>NOT(ISERROR(SEARCH("VE",AN38)))</formula>
    </cfRule>
  </conditionalFormatting>
  <conditionalFormatting sqref="AN36:AN37">
    <cfRule type="containsText" dxfId="1555" priority="1085" operator="containsText" text="AZ">
      <formula>NOT(ISERROR(SEARCH("AZ",AN36)))</formula>
    </cfRule>
    <cfRule type="containsText" dxfId="1554" priority="1086" operator="containsText" text="RO">
      <formula>NOT(ISERROR(SEARCH("RO",AN36)))</formula>
    </cfRule>
    <cfRule type="containsText" dxfId="1553" priority="1087" operator="containsText" text="AM">
      <formula>NOT(ISERROR(SEARCH("AM",AN36)))</formula>
    </cfRule>
    <cfRule type="containsText" dxfId="1552" priority="1088" operator="containsText" text="VE">
      <formula>NOT(ISERROR(SEARCH("VE",AN36)))</formula>
    </cfRule>
  </conditionalFormatting>
  <conditionalFormatting sqref="AN39:AN40">
    <cfRule type="containsText" dxfId="1551" priority="1081" operator="containsText" text="AZ">
      <formula>NOT(ISERROR(SEARCH("AZ",AN39)))</formula>
    </cfRule>
    <cfRule type="containsText" dxfId="1550" priority="1082" operator="containsText" text="RO">
      <formula>NOT(ISERROR(SEARCH("RO",AN39)))</formula>
    </cfRule>
    <cfRule type="containsText" dxfId="1549" priority="1083" operator="containsText" text="AM">
      <formula>NOT(ISERROR(SEARCH("AM",AN39)))</formula>
    </cfRule>
    <cfRule type="containsText" dxfId="1548" priority="1084" operator="containsText" text="VE">
      <formula>NOT(ISERROR(SEARCH("VE",AN39)))</formula>
    </cfRule>
  </conditionalFormatting>
  <conditionalFormatting sqref="AN44">
    <cfRule type="containsText" dxfId="1547" priority="1077" operator="containsText" text="AZ">
      <formula>NOT(ISERROR(SEARCH("AZ",AN44)))</formula>
    </cfRule>
    <cfRule type="containsText" dxfId="1546" priority="1078" operator="containsText" text="RO">
      <formula>NOT(ISERROR(SEARCH("RO",AN44)))</formula>
    </cfRule>
    <cfRule type="containsText" dxfId="1545" priority="1079" operator="containsText" text="AM">
      <formula>NOT(ISERROR(SEARCH("AM",AN44)))</formula>
    </cfRule>
    <cfRule type="containsText" dxfId="1544" priority="1080" operator="containsText" text="VE">
      <formula>NOT(ISERROR(SEARCH("VE",AN44)))</formula>
    </cfRule>
  </conditionalFormatting>
  <conditionalFormatting sqref="AN45:AN47">
    <cfRule type="containsText" dxfId="1543" priority="1073" operator="containsText" text="AZ">
      <formula>NOT(ISERROR(SEARCH("AZ",AN45)))</formula>
    </cfRule>
    <cfRule type="containsText" dxfId="1542" priority="1074" operator="containsText" text="RO">
      <formula>NOT(ISERROR(SEARCH("RO",AN45)))</formula>
    </cfRule>
    <cfRule type="containsText" dxfId="1541" priority="1075" operator="containsText" text="AM">
      <formula>NOT(ISERROR(SEARCH("AM",AN45)))</formula>
    </cfRule>
    <cfRule type="containsText" dxfId="1540" priority="1076" operator="containsText" text="VE">
      <formula>NOT(ISERROR(SEARCH("VE",AN45)))</formula>
    </cfRule>
  </conditionalFormatting>
  <conditionalFormatting sqref="AN228">
    <cfRule type="containsText" dxfId="1539" priority="1069" operator="containsText" text="AZ">
      <formula>NOT(ISERROR(SEARCH("AZ",AN228)))</formula>
    </cfRule>
    <cfRule type="containsText" dxfId="1538" priority="1070" operator="containsText" text="RO">
      <formula>NOT(ISERROR(SEARCH("RO",AN228)))</formula>
    </cfRule>
    <cfRule type="containsText" dxfId="1537" priority="1071" operator="containsText" text="AM">
      <formula>NOT(ISERROR(SEARCH("AM",AN228)))</formula>
    </cfRule>
    <cfRule type="containsText" dxfId="1536" priority="1072" operator="containsText" text="VE">
      <formula>NOT(ISERROR(SEARCH("VE",AN228)))</formula>
    </cfRule>
  </conditionalFormatting>
  <conditionalFormatting sqref="AN229:AN230">
    <cfRule type="containsText" dxfId="1535" priority="1065" operator="containsText" text="AZ">
      <formula>NOT(ISERROR(SEARCH("AZ",AN229)))</formula>
    </cfRule>
    <cfRule type="containsText" dxfId="1534" priority="1066" operator="containsText" text="RO">
      <formula>NOT(ISERROR(SEARCH("RO",AN229)))</formula>
    </cfRule>
    <cfRule type="containsText" dxfId="1533" priority="1067" operator="containsText" text="AM">
      <formula>NOT(ISERROR(SEARCH("AM",AN229)))</formula>
    </cfRule>
    <cfRule type="containsText" dxfId="1532" priority="1068" operator="containsText" text="VE">
      <formula>NOT(ISERROR(SEARCH("VE",AN229)))</formula>
    </cfRule>
  </conditionalFormatting>
  <conditionalFormatting sqref="AN231">
    <cfRule type="containsText" dxfId="1531" priority="1061" operator="containsText" text="AZ">
      <formula>NOT(ISERROR(SEARCH("AZ",AN231)))</formula>
    </cfRule>
    <cfRule type="containsText" dxfId="1530" priority="1062" operator="containsText" text="RO">
      <formula>NOT(ISERROR(SEARCH("RO",AN231)))</formula>
    </cfRule>
    <cfRule type="containsText" dxfId="1529" priority="1063" operator="containsText" text="AM">
      <formula>NOT(ISERROR(SEARCH("AM",AN231)))</formula>
    </cfRule>
    <cfRule type="containsText" dxfId="1528" priority="1064" operator="containsText" text="VE">
      <formula>NOT(ISERROR(SEARCH("VE",AN231)))</formula>
    </cfRule>
  </conditionalFormatting>
  <conditionalFormatting sqref="AN232:AN234">
    <cfRule type="containsText" dxfId="1527" priority="1057" operator="containsText" text="AZ">
      <formula>NOT(ISERROR(SEARCH("AZ",AN232)))</formula>
    </cfRule>
    <cfRule type="containsText" dxfId="1526" priority="1058" operator="containsText" text="RO">
      <formula>NOT(ISERROR(SEARCH("RO",AN232)))</formula>
    </cfRule>
    <cfRule type="containsText" dxfId="1525" priority="1059" operator="containsText" text="AM">
      <formula>NOT(ISERROR(SEARCH("AM",AN232)))</formula>
    </cfRule>
    <cfRule type="containsText" dxfId="1524" priority="1060" operator="containsText" text="VE">
      <formula>NOT(ISERROR(SEARCH("VE",AN232)))</formula>
    </cfRule>
  </conditionalFormatting>
  <conditionalFormatting sqref="AN244">
    <cfRule type="containsText" dxfId="1523" priority="1053" operator="containsText" text="AZ">
      <formula>NOT(ISERROR(SEARCH("AZ",AN244)))</formula>
    </cfRule>
    <cfRule type="containsText" dxfId="1522" priority="1054" operator="containsText" text="RO">
      <formula>NOT(ISERROR(SEARCH("RO",AN244)))</formula>
    </cfRule>
    <cfRule type="containsText" dxfId="1521" priority="1055" operator="containsText" text="AM">
      <formula>NOT(ISERROR(SEARCH("AM",AN244)))</formula>
    </cfRule>
    <cfRule type="containsText" dxfId="1520" priority="1056" operator="containsText" text="VE">
      <formula>NOT(ISERROR(SEARCH("VE",AN244)))</formula>
    </cfRule>
  </conditionalFormatting>
  <conditionalFormatting sqref="AN245">
    <cfRule type="containsText" dxfId="1519" priority="1049" operator="containsText" text="AZ">
      <formula>NOT(ISERROR(SEARCH("AZ",AN245)))</formula>
    </cfRule>
    <cfRule type="containsText" dxfId="1518" priority="1050" operator="containsText" text="RO">
      <formula>NOT(ISERROR(SEARCH("RO",AN245)))</formula>
    </cfRule>
    <cfRule type="containsText" dxfId="1517" priority="1051" operator="containsText" text="AM">
      <formula>NOT(ISERROR(SEARCH("AM",AN245)))</formula>
    </cfRule>
    <cfRule type="containsText" dxfId="1516" priority="1052" operator="containsText" text="VE">
      <formula>NOT(ISERROR(SEARCH("VE",AN245)))</formula>
    </cfRule>
  </conditionalFormatting>
  <conditionalFormatting sqref="AN246">
    <cfRule type="containsText" dxfId="1515" priority="1045" operator="containsText" text="AZ">
      <formula>NOT(ISERROR(SEARCH("AZ",AN246)))</formula>
    </cfRule>
    <cfRule type="containsText" dxfId="1514" priority="1046" operator="containsText" text="RO">
      <formula>NOT(ISERROR(SEARCH("RO",AN246)))</formula>
    </cfRule>
    <cfRule type="containsText" dxfId="1513" priority="1047" operator="containsText" text="AM">
      <formula>NOT(ISERROR(SEARCH("AM",AN246)))</formula>
    </cfRule>
    <cfRule type="containsText" dxfId="1512" priority="1048" operator="containsText" text="VE">
      <formula>NOT(ISERROR(SEARCH("VE",AN246)))</formula>
    </cfRule>
  </conditionalFormatting>
  <conditionalFormatting sqref="AN247">
    <cfRule type="containsText" dxfId="1511" priority="1041" operator="containsText" text="AZ">
      <formula>NOT(ISERROR(SEARCH("AZ",AN247)))</formula>
    </cfRule>
    <cfRule type="containsText" dxfId="1510" priority="1042" operator="containsText" text="RO">
      <formula>NOT(ISERROR(SEARCH("RO",AN247)))</formula>
    </cfRule>
    <cfRule type="containsText" dxfId="1509" priority="1043" operator="containsText" text="AM">
      <formula>NOT(ISERROR(SEARCH("AM",AN247)))</formula>
    </cfRule>
    <cfRule type="containsText" dxfId="1508" priority="1044" operator="containsText" text="VE">
      <formula>NOT(ISERROR(SEARCH("VE",AN247)))</formula>
    </cfRule>
  </conditionalFormatting>
  <conditionalFormatting sqref="AN248">
    <cfRule type="containsText" dxfId="1507" priority="1037" operator="containsText" text="AZ">
      <formula>NOT(ISERROR(SEARCH("AZ",AN248)))</formula>
    </cfRule>
    <cfRule type="containsText" dxfId="1506" priority="1038" operator="containsText" text="RO">
      <formula>NOT(ISERROR(SEARCH("RO",AN248)))</formula>
    </cfRule>
    <cfRule type="containsText" dxfId="1505" priority="1039" operator="containsText" text="AM">
      <formula>NOT(ISERROR(SEARCH("AM",AN248)))</formula>
    </cfRule>
    <cfRule type="containsText" dxfId="1504" priority="1040" operator="containsText" text="VE">
      <formula>NOT(ISERROR(SEARCH("VE",AN248)))</formula>
    </cfRule>
  </conditionalFormatting>
  <conditionalFormatting sqref="AN249:AN252">
    <cfRule type="containsText" dxfId="1503" priority="1033" operator="containsText" text="AZ">
      <formula>NOT(ISERROR(SEARCH("AZ",AN249)))</formula>
    </cfRule>
    <cfRule type="containsText" dxfId="1502" priority="1034" operator="containsText" text="RO">
      <formula>NOT(ISERROR(SEARCH("RO",AN249)))</formula>
    </cfRule>
    <cfRule type="containsText" dxfId="1501" priority="1035" operator="containsText" text="AM">
      <formula>NOT(ISERROR(SEARCH("AM",AN249)))</formula>
    </cfRule>
    <cfRule type="containsText" dxfId="1500" priority="1036" operator="containsText" text="VE">
      <formula>NOT(ISERROR(SEARCH("VE",AN249)))</formula>
    </cfRule>
  </conditionalFormatting>
  <conditionalFormatting sqref="AN253">
    <cfRule type="containsText" dxfId="1499" priority="1029" operator="containsText" text="AZ">
      <formula>NOT(ISERROR(SEARCH("AZ",AN253)))</formula>
    </cfRule>
    <cfRule type="containsText" dxfId="1498" priority="1030" operator="containsText" text="RO">
      <formula>NOT(ISERROR(SEARCH("RO",AN253)))</formula>
    </cfRule>
    <cfRule type="containsText" dxfId="1497" priority="1031" operator="containsText" text="AM">
      <formula>NOT(ISERROR(SEARCH("AM",AN253)))</formula>
    </cfRule>
    <cfRule type="containsText" dxfId="1496" priority="1032" operator="containsText" text="VE">
      <formula>NOT(ISERROR(SEARCH("VE",AN253)))</formula>
    </cfRule>
  </conditionalFormatting>
  <conditionalFormatting sqref="AN254">
    <cfRule type="containsText" dxfId="1495" priority="1025" operator="containsText" text="AZ">
      <formula>NOT(ISERROR(SEARCH("AZ",AN254)))</formula>
    </cfRule>
    <cfRule type="containsText" dxfId="1494" priority="1026" operator="containsText" text="RO">
      <formula>NOT(ISERROR(SEARCH("RO",AN254)))</formula>
    </cfRule>
    <cfRule type="containsText" dxfId="1493" priority="1027" operator="containsText" text="AM">
      <formula>NOT(ISERROR(SEARCH("AM",AN254)))</formula>
    </cfRule>
    <cfRule type="containsText" dxfId="1492" priority="1028" operator="containsText" text="VE">
      <formula>NOT(ISERROR(SEARCH("VE",AN254)))</formula>
    </cfRule>
  </conditionalFormatting>
  <conditionalFormatting sqref="AN255">
    <cfRule type="containsText" dxfId="1491" priority="1021" operator="containsText" text="AZ">
      <formula>NOT(ISERROR(SEARCH("AZ",AN255)))</formula>
    </cfRule>
    <cfRule type="containsText" dxfId="1490" priority="1022" operator="containsText" text="RO">
      <formula>NOT(ISERROR(SEARCH("RO",AN255)))</formula>
    </cfRule>
    <cfRule type="containsText" dxfId="1489" priority="1023" operator="containsText" text="AM">
      <formula>NOT(ISERROR(SEARCH("AM",AN255)))</formula>
    </cfRule>
    <cfRule type="containsText" dxfId="1488" priority="1024" operator="containsText" text="VE">
      <formula>NOT(ISERROR(SEARCH("VE",AN255)))</formula>
    </cfRule>
  </conditionalFormatting>
  <conditionalFormatting sqref="AN257">
    <cfRule type="containsText" dxfId="1487" priority="1017" operator="containsText" text="AZ">
      <formula>NOT(ISERROR(SEARCH("AZ",AN257)))</formula>
    </cfRule>
    <cfRule type="containsText" dxfId="1486" priority="1018" operator="containsText" text="RO">
      <formula>NOT(ISERROR(SEARCH("RO",AN257)))</formula>
    </cfRule>
    <cfRule type="containsText" dxfId="1485" priority="1019" operator="containsText" text="AM">
      <formula>NOT(ISERROR(SEARCH("AM",AN257)))</formula>
    </cfRule>
    <cfRule type="containsText" dxfId="1484" priority="1020" operator="containsText" text="VE">
      <formula>NOT(ISERROR(SEARCH("VE",AN257)))</formula>
    </cfRule>
  </conditionalFormatting>
  <conditionalFormatting sqref="AN256">
    <cfRule type="containsText" dxfId="1483" priority="1013" operator="containsText" text="AZ">
      <formula>NOT(ISERROR(SEARCH("AZ",AN256)))</formula>
    </cfRule>
    <cfRule type="containsText" dxfId="1482" priority="1014" operator="containsText" text="RO">
      <formula>NOT(ISERROR(SEARCH("RO",AN256)))</formula>
    </cfRule>
    <cfRule type="containsText" dxfId="1481" priority="1015" operator="containsText" text="AM">
      <formula>NOT(ISERROR(SEARCH("AM",AN256)))</formula>
    </cfRule>
    <cfRule type="containsText" dxfId="1480" priority="1016" operator="containsText" text="VE">
      <formula>NOT(ISERROR(SEARCH("VE",AN256)))</formula>
    </cfRule>
  </conditionalFormatting>
  <conditionalFormatting sqref="AN258">
    <cfRule type="containsText" dxfId="1479" priority="1009" operator="containsText" text="AZ">
      <formula>NOT(ISERROR(SEARCH("AZ",AN258)))</formula>
    </cfRule>
    <cfRule type="containsText" dxfId="1478" priority="1010" operator="containsText" text="RO">
      <formula>NOT(ISERROR(SEARCH("RO",AN258)))</formula>
    </cfRule>
    <cfRule type="containsText" dxfId="1477" priority="1011" operator="containsText" text="AM">
      <formula>NOT(ISERROR(SEARCH("AM",AN258)))</formula>
    </cfRule>
    <cfRule type="containsText" dxfId="1476" priority="1012" operator="containsText" text="VE">
      <formula>NOT(ISERROR(SEARCH("VE",AN258)))</formula>
    </cfRule>
  </conditionalFormatting>
  <conditionalFormatting sqref="AN259">
    <cfRule type="containsText" dxfId="1475" priority="1005" operator="containsText" text="AZ">
      <formula>NOT(ISERROR(SEARCH("AZ",AN259)))</formula>
    </cfRule>
    <cfRule type="containsText" dxfId="1474" priority="1006" operator="containsText" text="RO">
      <formula>NOT(ISERROR(SEARCH("RO",AN259)))</formula>
    </cfRule>
    <cfRule type="containsText" dxfId="1473" priority="1007" operator="containsText" text="AM">
      <formula>NOT(ISERROR(SEARCH("AM",AN259)))</formula>
    </cfRule>
    <cfRule type="containsText" dxfId="1472" priority="1008" operator="containsText" text="VE">
      <formula>NOT(ISERROR(SEARCH("VE",AN259)))</formula>
    </cfRule>
  </conditionalFormatting>
  <conditionalFormatting sqref="AN260">
    <cfRule type="containsText" dxfId="1471" priority="1001" operator="containsText" text="AZ">
      <formula>NOT(ISERROR(SEARCH("AZ",AN260)))</formula>
    </cfRule>
    <cfRule type="containsText" dxfId="1470" priority="1002" operator="containsText" text="RO">
      <formula>NOT(ISERROR(SEARCH("RO",AN260)))</formula>
    </cfRule>
    <cfRule type="containsText" dxfId="1469" priority="1003" operator="containsText" text="AM">
      <formula>NOT(ISERROR(SEARCH("AM",AN260)))</formula>
    </cfRule>
    <cfRule type="containsText" dxfId="1468" priority="1004" operator="containsText" text="VE">
      <formula>NOT(ISERROR(SEARCH("VE",AN260)))</formula>
    </cfRule>
  </conditionalFormatting>
  <conditionalFormatting sqref="AN194">
    <cfRule type="containsText" dxfId="1467" priority="997" operator="containsText" text="AZ">
      <formula>NOT(ISERROR(SEARCH("AZ",AN194)))</formula>
    </cfRule>
    <cfRule type="containsText" dxfId="1466" priority="998" operator="containsText" text="RO">
      <formula>NOT(ISERROR(SEARCH("RO",AN194)))</formula>
    </cfRule>
    <cfRule type="containsText" dxfId="1465" priority="999" operator="containsText" text="AM">
      <formula>NOT(ISERROR(SEARCH("AM",AN194)))</formula>
    </cfRule>
    <cfRule type="containsText" dxfId="1464" priority="1000" operator="containsText" text="VE">
      <formula>NOT(ISERROR(SEARCH("VE",AN194)))</formula>
    </cfRule>
  </conditionalFormatting>
  <conditionalFormatting sqref="AN197">
    <cfRule type="containsText" dxfId="1463" priority="993" operator="containsText" text="AZ">
      <formula>NOT(ISERROR(SEARCH("AZ",AN197)))</formula>
    </cfRule>
    <cfRule type="containsText" dxfId="1462" priority="994" operator="containsText" text="RO">
      <formula>NOT(ISERROR(SEARCH("RO",AN197)))</formula>
    </cfRule>
    <cfRule type="containsText" dxfId="1461" priority="995" operator="containsText" text="AM">
      <formula>NOT(ISERROR(SEARCH("AM",AN197)))</formula>
    </cfRule>
    <cfRule type="containsText" dxfId="1460" priority="996" operator="containsText" text="VE">
      <formula>NOT(ISERROR(SEARCH("VE",AN197)))</formula>
    </cfRule>
  </conditionalFormatting>
  <conditionalFormatting sqref="AN196">
    <cfRule type="containsText" dxfId="1459" priority="989" operator="containsText" text="AZ">
      <formula>NOT(ISERROR(SEARCH("AZ",AN196)))</formula>
    </cfRule>
    <cfRule type="containsText" dxfId="1458" priority="990" operator="containsText" text="RO">
      <formula>NOT(ISERROR(SEARCH("RO",AN196)))</formula>
    </cfRule>
    <cfRule type="containsText" dxfId="1457" priority="991" operator="containsText" text="AM">
      <formula>NOT(ISERROR(SEARCH("AM",AN196)))</formula>
    </cfRule>
    <cfRule type="containsText" dxfId="1456" priority="992" operator="containsText" text="VE">
      <formula>NOT(ISERROR(SEARCH("VE",AN196)))</formula>
    </cfRule>
  </conditionalFormatting>
  <conditionalFormatting sqref="AN195">
    <cfRule type="containsText" dxfId="1455" priority="985" operator="containsText" text="AZ">
      <formula>NOT(ISERROR(SEARCH("AZ",AN195)))</formula>
    </cfRule>
    <cfRule type="containsText" dxfId="1454" priority="986" operator="containsText" text="RO">
      <formula>NOT(ISERROR(SEARCH("RO",AN195)))</formula>
    </cfRule>
    <cfRule type="containsText" dxfId="1453" priority="987" operator="containsText" text="AM">
      <formula>NOT(ISERROR(SEARCH("AM",AN195)))</formula>
    </cfRule>
    <cfRule type="containsText" dxfId="1452" priority="988" operator="containsText" text="VE">
      <formula>NOT(ISERROR(SEARCH("VE",AN195)))</formula>
    </cfRule>
  </conditionalFormatting>
  <conditionalFormatting sqref="AN198">
    <cfRule type="containsText" dxfId="1451" priority="981" operator="containsText" text="AZ">
      <formula>NOT(ISERROR(SEARCH("AZ",AN198)))</formula>
    </cfRule>
    <cfRule type="containsText" dxfId="1450" priority="982" operator="containsText" text="RO">
      <formula>NOT(ISERROR(SEARCH("RO",AN198)))</formula>
    </cfRule>
    <cfRule type="containsText" dxfId="1449" priority="983" operator="containsText" text="AM">
      <formula>NOT(ISERROR(SEARCH("AM",AN198)))</formula>
    </cfRule>
    <cfRule type="containsText" dxfId="1448" priority="984" operator="containsText" text="VE">
      <formula>NOT(ISERROR(SEARCH("VE",AN198)))</formula>
    </cfRule>
  </conditionalFormatting>
  <conditionalFormatting sqref="AN199">
    <cfRule type="containsText" dxfId="1447" priority="977" operator="containsText" text="AZ">
      <formula>NOT(ISERROR(SEARCH("AZ",AN199)))</formula>
    </cfRule>
    <cfRule type="containsText" dxfId="1446" priority="978" operator="containsText" text="RO">
      <formula>NOT(ISERROR(SEARCH("RO",AN199)))</formula>
    </cfRule>
    <cfRule type="containsText" dxfId="1445" priority="979" operator="containsText" text="AM">
      <formula>NOT(ISERROR(SEARCH("AM",AN199)))</formula>
    </cfRule>
    <cfRule type="containsText" dxfId="1444" priority="980" operator="containsText" text="VE">
      <formula>NOT(ISERROR(SEARCH("VE",AN199)))</formula>
    </cfRule>
  </conditionalFormatting>
  <conditionalFormatting sqref="AN200">
    <cfRule type="containsText" dxfId="1443" priority="973" operator="containsText" text="AZ">
      <formula>NOT(ISERROR(SEARCH("AZ",AN200)))</formula>
    </cfRule>
    <cfRule type="containsText" dxfId="1442" priority="974" operator="containsText" text="RO">
      <formula>NOT(ISERROR(SEARCH("RO",AN200)))</formula>
    </cfRule>
    <cfRule type="containsText" dxfId="1441" priority="975" operator="containsText" text="AM">
      <formula>NOT(ISERROR(SEARCH("AM",AN200)))</formula>
    </cfRule>
    <cfRule type="containsText" dxfId="1440" priority="976" operator="containsText" text="VE">
      <formula>NOT(ISERROR(SEARCH("VE",AN200)))</formula>
    </cfRule>
  </conditionalFormatting>
  <conditionalFormatting sqref="AN202">
    <cfRule type="containsText" dxfId="1439" priority="969" operator="containsText" text="AZ">
      <formula>NOT(ISERROR(SEARCH("AZ",AN202)))</formula>
    </cfRule>
    <cfRule type="containsText" dxfId="1438" priority="970" operator="containsText" text="RO">
      <formula>NOT(ISERROR(SEARCH("RO",AN202)))</formula>
    </cfRule>
    <cfRule type="containsText" dxfId="1437" priority="971" operator="containsText" text="AM">
      <formula>NOT(ISERROR(SEARCH("AM",AN202)))</formula>
    </cfRule>
    <cfRule type="containsText" dxfId="1436" priority="972" operator="containsText" text="VE">
      <formula>NOT(ISERROR(SEARCH("VE",AN202)))</formula>
    </cfRule>
  </conditionalFormatting>
  <conditionalFormatting sqref="AN203">
    <cfRule type="containsText" dxfId="1435" priority="965" operator="containsText" text="AZ">
      <formula>NOT(ISERROR(SEARCH("AZ",AN203)))</formula>
    </cfRule>
    <cfRule type="containsText" dxfId="1434" priority="966" operator="containsText" text="RO">
      <formula>NOT(ISERROR(SEARCH("RO",AN203)))</formula>
    </cfRule>
    <cfRule type="containsText" dxfId="1433" priority="967" operator="containsText" text="AM">
      <formula>NOT(ISERROR(SEARCH("AM",AN203)))</formula>
    </cfRule>
    <cfRule type="containsText" dxfId="1432" priority="968" operator="containsText" text="VE">
      <formula>NOT(ISERROR(SEARCH("VE",AN203)))</formula>
    </cfRule>
  </conditionalFormatting>
  <conditionalFormatting sqref="AN204">
    <cfRule type="containsText" dxfId="1431" priority="961" operator="containsText" text="AZ">
      <formula>NOT(ISERROR(SEARCH("AZ",AN204)))</formula>
    </cfRule>
    <cfRule type="containsText" dxfId="1430" priority="962" operator="containsText" text="RO">
      <formula>NOT(ISERROR(SEARCH("RO",AN204)))</formula>
    </cfRule>
    <cfRule type="containsText" dxfId="1429" priority="963" operator="containsText" text="AM">
      <formula>NOT(ISERROR(SEARCH("AM",AN204)))</formula>
    </cfRule>
    <cfRule type="containsText" dxfId="1428" priority="964" operator="containsText" text="VE">
      <formula>NOT(ISERROR(SEARCH("VE",AN204)))</formula>
    </cfRule>
  </conditionalFormatting>
  <conditionalFormatting sqref="AN205">
    <cfRule type="containsText" dxfId="1427" priority="957" operator="containsText" text="AZ">
      <formula>NOT(ISERROR(SEARCH("AZ",AN205)))</formula>
    </cfRule>
    <cfRule type="containsText" dxfId="1426" priority="958" operator="containsText" text="RO">
      <formula>NOT(ISERROR(SEARCH("RO",AN205)))</formula>
    </cfRule>
    <cfRule type="containsText" dxfId="1425" priority="959" operator="containsText" text="AM">
      <formula>NOT(ISERROR(SEARCH("AM",AN205)))</formula>
    </cfRule>
    <cfRule type="containsText" dxfId="1424" priority="960" operator="containsText" text="VE">
      <formula>NOT(ISERROR(SEARCH("VE",AN205)))</formula>
    </cfRule>
  </conditionalFormatting>
  <conditionalFormatting sqref="AN206">
    <cfRule type="containsText" dxfId="1423" priority="953" operator="containsText" text="AZ">
      <formula>NOT(ISERROR(SEARCH("AZ",AN206)))</formula>
    </cfRule>
    <cfRule type="containsText" dxfId="1422" priority="954" operator="containsText" text="RO">
      <formula>NOT(ISERROR(SEARCH("RO",AN206)))</formula>
    </cfRule>
    <cfRule type="containsText" dxfId="1421" priority="955" operator="containsText" text="AM">
      <formula>NOT(ISERROR(SEARCH("AM",AN206)))</formula>
    </cfRule>
    <cfRule type="containsText" dxfId="1420" priority="956" operator="containsText" text="VE">
      <formula>NOT(ISERROR(SEARCH("VE",AN206)))</formula>
    </cfRule>
  </conditionalFormatting>
  <conditionalFormatting sqref="AN207">
    <cfRule type="containsText" dxfId="1419" priority="949" operator="containsText" text="AZ">
      <formula>NOT(ISERROR(SEARCH("AZ",AN207)))</formula>
    </cfRule>
    <cfRule type="containsText" dxfId="1418" priority="950" operator="containsText" text="RO">
      <formula>NOT(ISERROR(SEARCH("RO",AN207)))</formula>
    </cfRule>
    <cfRule type="containsText" dxfId="1417" priority="951" operator="containsText" text="AM">
      <formula>NOT(ISERROR(SEARCH("AM",AN207)))</formula>
    </cfRule>
    <cfRule type="containsText" dxfId="1416" priority="952" operator="containsText" text="VE">
      <formula>NOT(ISERROR(SEARCH("VE",AN207)))</formula>
    </cfRule>
  </conditionalFormatting>
  <conditionalFormatting sqref="AN208">
    <cfRule type="containsText" dxfId="1415" priority="945" operator="containsText" text="AZ">
      <formula>NOT(ISERROR(SEARCH("AZ",AN208)))</formula>
    </cfRule>
    <cfRule type="containsText" dxfId="1414" priority="946" operator="containsText" text="RO">
      <formula>NOT(ISERROR(SEARCH("RO",AN208)))</formula>
    </cfRule>
    <cfRule type="containsText" dxfId="1413" priority="947" operator="containsText" text="AM">
      <formula>NOT(ISERROR(SEARCH("AM",AN208)))</formula>
    </cfRule>
    <cfRule type="containsText" dxfId="1412" priority="948" operator="containsText" text="VE">
      <formula>NOT(ISERROR(SEARCH("VE",AN208)))</formula>
    </cfRule>
  </conditionalFormatting>
  <conditionalFormatting sqref="AN209">
    <cfRule type="containsText" dxfId="1411" priority="941" operator="containsText" text="AZ">
      <formula>NOT(ISERROR(SEARCH("AZ",AN209)))</formula>
    </cfRule>
    <cfRule type="containsText" dxfId="1410" priority="942" operator="containsText" text="RO">
      <formula>NOT(ISERROR(SEARCH("RO",AN209)))</formula>
    </cfRule>
    <cfRule type="containsText" dxfId="1409" priority="943" operator="containsText" text="AM">
      <formula>NOT(ISERROR(SEARCH("AM",AN209)))</formula>
    </cfRule>
    <cfRule type="containsText" dxfId="1408" priority="944" operator="containsText" text="VE">
      <formula>NOT(ISERROR(SEARCH("VE",AN209)))</formula>
    </cfRule>
  </conditionalFormatting>
  <conditionalFormatting sqref="AN210">
    <cfRule type="containsText" dxfId="1407" priority="937" operator="containsText" text="AZ">
      <formula>NOT(ISERROR(SEARCH("AZ",AN210)))</formula>
    </cfRule>
    <cfRule type="containsText" dxfId="1406" priority="938" operator="containsText" text="RO">
      <formula>NOT(ISERROR(SEARCH("RO",AN210)))</formula>
    </cfRule>
    <cfRule type="containsText" dxfId="1405" priority="939" operator="containsText" text="AM">
      <formula>NOT(ISERROR(SEARCH("AM",AN210)))</formula>
    </cfRule>
    <cfRule type="containsText" dxfId="1404" priority="940" operator="containsText" text="VE">
      <formula>NOT(ISERROR(SEARCH("VE",AN210)))</formula>
    </cfRule>
  </conditionalFormatting>
  <conditionalFormatting sqref="AN211">
    <cfRule type="containsText" dxfId="1403" priority="933" operator="containsText" text="AZ">
      <formula>NOT(ISERROR(SEARCH("AZ",AN211)))</formula>
    </cfRule>
    <cfRule type="containsText" dxfId="1402" priority="934" operator="containsText" text="RO">
      <formula>NOT(ISERROR(SEARCH("RO",AN211)))</formula>
    </cfRule>
    <cfRule type="containsText" dxfId="1401" priority="935" operator="containsText" text="AM">
      <formula>NOT(ISERROR(SEARCH("AM",AN211)))</formula>
    </cfRule>
    <cfRule type="containsText" dxfId="1400" priority="936" operator="containsText" text="VE">
      <formula>NOT(ISERROR(SEARCH("VE",AN211)))</formula>
    </cfRule>
  </conditionalFormatting>
  <conditionalFormatting sqref="AN240">
    <cfRule type="containsText" dxfId="1399" priority="929" operator="containsText" text="AZ">
      <formula>NOT(ISERROR(SEARCH("AZ",AN240)))</formula>
    </cfRule>
    <cfRule type="containsText" dxfId="1398" priority="930" operator="containsText" text="RO">
      <formula>NOT(ISERROR(SEARCH("RO",AN240)))</formula>
    </cfRule>
    <cfRule type="containsText" dxfId="1397" priority="931" operator="containsText" text="AM">
      <formula>NOT(ISERROR(SEARCH("AM",AN240)))</formula>
    </cfRule>
    <cfRule type="containsText" dxfId="1396" priority="932" operator="containsText" text="VE">
      <formula>NOT(ISERROR(SEARCH("VE",AN240)))</formula>
    </cfRule>
  </conditionalFormatting>
  <conditionalFormatting sqref="AN241">
    <cfRule type="containsText" dxfId="1395" priority="925" operator="containsText" text="AZ">
      <formula>NOT(ISERROR(SEARCH("AZ",AN241)))</formula>
    </cfRule>
    <cfRule type="containsText" dxfId="1394" priority="926" operator="containsText" text="RO">
      <formula>NOT(ISERROR(SEARCH("RO",AN241)))</formula>
    </cfRule>
    <cfRule type="containsText" dxfId="1393" priority="927" operator="containsText" text="AM">
      <formula>NOT(ISERROR(SEARCH("AM",AN241)))</formula>
    </cfRule>
    <cfRule type="containsText" dxfId="1392" priority="928" operator="containsText" text="VE">
      <formula>NOT(ISERROR(SEARCH("VE",AN241)))</formula>
    </cfRule>
  </conditionalFormatting>
  <conditionalFormatting sqref="AN213">
    <cfRule type="containsText" dxfId="1391" priority="921" operator="containsText" text="AZ">
      <formula>NOT(ISERROR(SEARCH("AZ",AN213)))</formula>
    </cfRule>
    <cfRule type="containsText" dxfId="1390" priority="922" operator="containsText" text="RO">
      <formula>NOT(ISERROR(SEARCH("RO",AN213)))</formula>
    </cfRule>
    <cfRule type="containsText" dxfId="1389" priority="923" operator="containsText" text="AM">
      <formula>NOT(ISERROR(SEARCH("AM",AN213)))</formula>
    </cfRule>
    <cfRule type="containsText" dxfId="1388" priority="924" operator="containsText" text="VE">
      <formula>NOT(ISERROR(SEARCH("VE",AN213)))</formula>
    </cfRule>
  </conditionalFormatting>
  <conditionalFormatting sqref="AN216">
    <cfRule type="containsText" dxfId="1387" priority="917" operator="containsText" text="AZ">
      <formula>NOT(ISERROR(SEARCH("AZ",AN216)))</formula>
    </cfRule>
    <cfRule type="containsText" dxfId="1386" priority="918" operator="containsText" text="RO">
      <formula>NOT(ISERROR(SEARCH("RO",AN216)))</formula>
    </cfRule>
    <cfRule type="containsText" dxfId="1385" priority="919" operator="containsText" text="AM">
      <formula>NOT(ISERROR(SEARCH("AM",AN216)))</formula>
    </cfRule>
    <cfRule type="containsText" dxfId="1384" priority="920" operator="containsText" text="VE">
      <formula>NOT(ISERROR(SEARCH("VE",AN216)))</formula>
    </cfRule>
  </conditionalFormatting>
  <conditionalFormatting sqref="AN218">
    <cfRule type="containsText" dxfId="1383" priority="913" operator="containsText" text="AZ">
      <formula>NOT(ISERROR(SEARCH("AZ",AN218)))</formula>
    </cfRule>
    <cfRule type="containsText" dxfId="1382" priority="914" operator="containsText" text="RO">
      <formula>NOT(ISERROR(SEARCH("RO",AN218)))</formula>
    </cfRule>
    <cfRule type="containsText" dxfId="1381" priority="915" operator="containsText" text="AM">
      <formula>NOT(ISERROR(SEARCH("AM",AN218)))</formula>
    </cfRule>
    <cfRule type="containsText" dxfId="1380" priority="916" operator="containsText" text="VE">
      <formula>NOT(ISERROR(SEARCH("VE",AN218)))</formula>
    </cfRule>
  </conditionalFormatting>
  <conditionalFormatting sqref="AN214">
    <cfRule type="containsText" dxfId="1379" priority="909" operator="containsText" text="AZ">
      <formula>NOT(ISERROR(SEARCH("AZ",AN214)))</formula>
    </cfRule>
    <cfRule type="containsText" dxfId="1378" priority="910" operator="containsText" text="RO">
      <formula>NOT(ISERROR(SEARCH("RO",AN214)))</formula>
    </cfRule>
    <cfRule type="containsText" dxfId="1377" priority="911" operator="containsText" text="AM">
      <formula>NOT(ISERROR(SEARCH("AM",AN214)))</formula>
    </cfRule>
    <cfRule type="containsText" dxfId="1376" priority="912" operator="containsText" text="VE">
      <formula>NOT(ISERROR(SEARCH("VE",AN214)))</formula>
    </cfRule>
  </conditionalFormatting>
  <conditionalFormatting sqref="AN215">
    <cfRule type="containsText" dxfId="1375" priority="905" operator="containsText" text="AZ">
      <formula>NOT(ISERROR(SEARCH("AZ",AN215)))</formula>
    </cfRule>
    <cfRule type="containsText" dxfId="1374" priority="906" operator="containsText" text="RO">
      <formula>NOT(ISERROR(SEARCH("RO",AN215)))</formula>
    </cfRule>
    <cfRule type="containsText" dxfId="1373" priority="907" operator="containsText" text="AM">
      <formula>NOT(ISERROR(SEARCH("AM",AN215)))</formula>
    </cfRule>
    <cfRule type="containsText" dxfId="1372" priority="908" operator="containsText" text="VE">
      <formula>NOT(ISERROR(SEARCH("VE",AN215)))</formula>
    </cfRule>
  </conditionalFormatting>
  <conditionalFormatting sqref="AN217">
    <cfRule type="containsText" dxfId="1371" priority="901" operator="containsText" text="AZ">
      <formula>NOT(ISERROR(SEARCH("AZ",AN217)))</formula>
    </cfRule>
    <cfRule type="containsText" dxfId="1370" priority="902" operator="containsText" text="RO">
      <formula>NOT(ISERROR(SEARCH("RO",AN217)))</formula>
    </cfRule>
    <cfRule type="containsText" dxfId="1369" priority="903" operator="containsText" text="AM">
      <formula>NOT(ISERROR(SEARCH("AM",AN217)))</formula>
    </cfRule>
    <cfRule type="containsText" dxfId="1368" priority="904" operator="containsText" text="VE">
      <formula>NOT(ISERROR(SEARCH("VE",AN217)))</formula>
    </cfRule>
  </conditionalFormatting>
  <conditionalFormatting sqref="AN219:AN220">
    <cfRule type="containsText" dxfId="1367" priority="897" operator="containsText" text="AZ">
      <formula>NOT(ISERROR(SEARCH("AZ",AN219)))</formula>
    </cfRule>
    <cfRule type="containsText" dxfId="1366" priority="898" operator="containsText" text="RO">
      <formula>NOT(ISERROR(SEARCH("RO",AN219)))</formula>
    </cfRule>
    <cfRule type="containsText" dxfId="1365" priority="899" operator="containsText" text="AM">
      <formula>NOT(ISERROR(SEARCH("AM",AN219)))</formula>
    </cfRule>
    <cfRule type="containsText" dxfId="1364" priority="900" operator="containsText" text="VE">
      <formula>NOT(ISERROR(SEARCH("VE",AN219)))</formula>
    </cfRule>
  </conditionalFormatting>
  <conditionalFormatting sqref="AN236">
    <cfRule type="containsText" dxfId="1363" priority="893" operator="containsText" text="AZ">
      <formula>NOT(ISERROR(SEARCH("AZ",AN236)))</formula>
    </cfRule>
    <cfRule type="containsText" dxfId="1362" priority="894" operator="containsText" text="RO">
      <formula>NOT(ISERROR(SEARCH("RO",AN236)))</formula>
    </cfRule>
    <cfRule type="containsText" dxfId="1361" priority="895" operator="containsText" text="AM">
      <formula>NOT(ISERROR(SEARCH("AM",AN236)))</formula>
    </cfRule>
    <cfRule type="containsText" dxfId="1360" priority="896" operator="containsText" text="VE">
      <formula>NOT(ISERROR(SEARCH("VE",AN236)))</formula>
    </cfRule>
  </conditionalFormatting>
  <conditionalFormatting sqref="AN239">
    <cfRule type="containsText" dxfId="1359" priority="889" operator="containsText" text="AZ">
      <formula>NOT(ISERROR(SEARCH("AZ",AN239)))</formula>
    </cfRule>
    <cfRule type="containsText" dxfId="1358" priority="890" operator="containsText" text="RO">
      <formula>NOT(ISERROR(SEARCH("RO",AN239)))</formula>
    </cfRule>
    <cfRule type="containsText" dxfId="1357" priority="891" operator="containsText" text="AM">
      <formula>NOT(ISERROR(SEARCH("AM",AN239)))</formula>
    </cfRule>
    <cfRule type="containsText" dxfId="1356" priority="892" operator="containsText" text="VE">
      <formula>NOT(ISERROR(SEARCH("VE",AN239)))</formula>
    </cfRule>
  </conditionalFormatting>
  <conditionalFormatting sqref="AN222">
    <cfRule type="containsText" dxfId="1355" priority="885" operator="containsText" text="AZ">
      <formula>NOT(ISERROR(SEARCH("AZ",AN222)))</formula>
    </cfRule>
    <cfRule type="containsText" dxfId="1354" priority="886" operator="containsText" text="RO">
      <formula>NOT(ISERROR(SEARCH("RO",AN222)))</formula>
    </cfRule>
    <cfRule type="containsText" dxfId="1353" priority="887" operator="containsText" text="AM">
      <formula>NOT(ISERROR(SEARCH("AM",AN222)))</formula>
    </cfRule>
    <cfRule type="containsText" dxfId="1352" priority="888" operator="containsText" text="VE">
      <formula>NOT(ISERROR(SEARCH("VE",AN222)))</formula>
    </cfRule>
  </conditionalFormatting>
  <conditionalFormatting sqref="AN223">
    <cfRule type="containsText" dxfId="1351" priority="881" operator="containsText" text="AZ">
      <formula>NOT(ISERROR(SEARCH("AZ",AN223)))</formula>
    </cfRule>
    <cfRule type="containsText" dxfId="1350" priority="882" operator="containsText" text="RO">
      <formula>NOT(ISERROR(SEARCH("RO",AN223)))</formula>
    </cfRule>
    <cfRule type="containsText" dxfId="1349" priority="883" operator="containsText" text="AM">
      <formula>NOT(ISERROR(SEARCH("AM",AN223)))</formula>
    </cfRule>
    <cfRule type="containsText" dxfId="1348" priority="884" operator="containsText" text="VE">
      <formula>NOT(ISERROR(SEARCH("VE",AN223)))</formula>
    </cfRule>
  </conditionalFormatting>
  <conditionalFormatting sqref="AN226">
    <cfRule type="containsText" dxfId="1347" priority="877" operator="containsText" text="AZ">
      <formula>NOT(ISERROR(SEARCH("AZ",AN226)))</formula>
    </cfRule>
    <cfRule type="containsText" dxfId="1346" priority="878" operator="containsText" text="RO">
      <formula>NOT(ISERROR(SEARCH("RO",AN226)))</formula>
    </cfRule>
    <cfRule type="containsText" dxfId="1345" priority="879" operator="containsText" text="AM">
      <formula>NOT(ISERROR(SEARCH("AM",AN226)))</formula>
    </cfRule>
    <cfRule type="containsText" dxfId="1344" priority="880" operator="containsText" text="VE">
      <formula>NOT(ISERROR(SEARCH("VE",AN226)))</formula>
    </cfRule>
  </conditionalFormatting>
  <conditionalFormatting sqref="AN224:AN225">
    <cfRule type="containsText" dxfId="1343" priority="873" operator="containsText" text="AZ">
      <formula>NOT(ISERROR(SEARCH("AZ",AN224)))</formula>
    </cfRule>
    <cfRule type="containsText" dxfId="1342" priority="874" operator="containsText" text="RO">
      <formula>NOT(ISERROR(SEARCH("RO",AN224)))</formula>
    </cfRule>
    <cfRule type="containsText" dxfId="1341" priority="875" operator="containsText" text="AM">
      <formula>NOT(ISERROR(SEARCH("AM",AN224)))</formula>
    </cfRule>
    <cfRule type="containsText" dxfId="1340" priority="876" operator="containsText" text="VE">
      <formula>NOT(ISERROR(SEARCH("VE",AN224)))</formula>
    </cfRule>
  </conditionalFormatting>
  <conditionalFormatting sqref="AN183">
    <cfRule type="containsText" dxfId="1339" priority="869" operator="containsText" text="AZ">
      <formula>NOT(ISERROR(SEARCH("AZ",AN183)))</formula>
    </cfRule>
    <cfRule type="containsText" dxfId="1338" priority="870" operator="containsText" text="RO">
      <formula>NOT(ISERROR(SEARCH("RO",AN183)))</formula>
    </cfRule>
    <cfRule type="containsText" dxfId="1337" priority="871" operator="containsText" text="AM">
      <formula>NOT(ISERROR(SEARCH("AM",AN183)))</formula>
    </cfRule>
    <cfRule type="containsText" dxfId="1336" priority="872" operator="containsText" text="VE">
      <formula>NOT(ISERROR(SEARCH("VE",AN183)))</formula>
    </cfRule>
  </conditionalFormatting>
  <conditionalFormatting sqref="AN184">
    <cfRule type="containsText" dxfId="1335" priority="865" operator="containsText" text="AZ">
      <formula>NOT(ISERROR(SEARCH("AZ",AN184)))</formula>
    </cfRule>
    <cfRule type="containsText" dxfId="1334" priority="866" operator="containsText" text="RO">
      <formula>NOT(ISERROR(SEARCH("RO",AN184)))</formula>
    </cfRule>
    <cfRule type="containsText" dxfId="1333" priority="867" operator="containsText" text="AM">
      <formula>NOT(ISERROR(SEARCH("AM",AN184)))</formula>
    </cfRule>
    <cfRule type="containsText" dxfId="1332" priority="868" operator="containsText" text="VE">
      <formula>NOT(ISERROR(SEARCH("VE",AN184)))</formula>
    </cfRule>
  </conditionalFormatting>
  <conditionalFormatting sqref="AN185">
    <cfRule type="containsText" dxfId="1331" priority="861" operator="containsText" text="AZ">
      <formula>NOT(ISERROR(SEARCH("AZ",AN185)))</formula>
    </cfRule>
    <cfRule type="containsText" dxfId="1330" priority="862" operator="containsText" text="RO">
      <formula>NOT(ISERROR(SEARCH("RO",AN185)))</formula>
    </cfRule>
    <cfRule type="containsText" dxfId="1329" priority="863" operator="containsText" text="AM">
      <formula>NOT(ISERROR(SEARCH("AM",AN185)))</formula>
    </cfRule>
    <cfRule type="containsText" dxfId="1328" priority="864" operator="containsText" text="VE">
      <formula>NOT(ISERROR(SEARCH("VE",AN185)))</formula>
    </cfRule>
  </conditionalFormatting>
  <conditionalFormatting sqref="AN186">
    <cfRule type="containsText" dxfId="1327" priority="857" operator="containsText" text="AZ">
      <formula>NOT(ISERROR(SEARCH("AZ",AN186)))</formula>
    </cfRule>
    <cfRule type="containsText" dxfId="1326" priority="858" operator="containsText" text="RO">
      <formula>NOT(ISERROR(SEARCH("RO",AN186)))</formula>
    </cfRule>
    <cfRule type="containsText" dxfId="1325" priority="859" operator="containsText" text="AM">
      <formula>NOT(ISERROR(SEARCH("AM",AN186)))</formula>
    </cfRule>
    <cfRule type="containsText" dxfId="1324" priority="860" operator="containsText" text="VE">
      <formula>NOT(ISERROR(SEARCH("VE",AN186)))</formula>
    </cfRule>
  </conditionalFormatting>
  <conditionalFormatting sqref="AN187">
    <cfRule type="containsText" dxfId="1323" priority="853" operator="containsText" text="AZ">
      <formula>NOT(ISERROR(SEARCH("AZ",AN187)))</formula>
    </cfRule>
    <cfRule type="containsText" dxfId="1322" priority="854" operator="containsText" text="RO">
      <formula>NOT(ISERROR(SEARCH("RO",AN187)))</formula>
    </cfRule>
    <cfRule type="containsText" dxfId="1321" priority="855" operator="containsText" text="AM">
      <formula>NOT(ISERROR(SEARCH("AM",AN187)))</formula>
    </cfRule>
    <cfRule type="containsText" dxfId="1320" priority="856" operator="containsText" text="VE">
      <formula>NOT(ISERROR(SEARCH("VE",AN187)))</formula>
    </cfRule>
  </conditionalFormatting>
  <conditionalFormatting sqref="AN188">
    <cfRule type="containsText" dxfId="1319" priority="849" operator="containsText" text="AZ">
      <formula>NOT(ISERROR(SEARCH("AZ",AN188)))</formula>
    </cfRule>
    <cfRule type="containsText" dxfId="1318" priority="850" operator="containsText" text="RO">
      <formula>NOT(ISERROR(SEARCH("RO",AN188)))</formula>
    </cfRule>
    <cfRule type="containsText" dxfId="1317" priority="851" operator="containsText" text="AM">
      <formula>NOT(ISERROR(SEARCH("AM",AN188)))</formula>
    </cfRule>
    <cfRule type="containsText" dxfId="1316" priority="852" operator="containsText" text="VE">
      <formula>NOT(ISERROR(SEARCH("VE",AN188)))</formula>
    </cfRule>
  </conditionalFormatting>
  <conditionalFormatting sqref="AN189">
    <cfRule type="containsText" dxfId="1315" priority="845" operator="containsText" text="AZ">
      <formula>NOT(ISERROR(SEARCH("AZ",AN189)))</formula>
    </cfRule>
    <cfRule type="containsText" dxfId="1314" priority="846" operator="containsText" text="RO">
      <formula>NOT(ISERROR(SEARCH("RO",AN189)))</formula>
    </cfRule>
    <cfRule type="containsText" dxfId="1313" priority="847" operator="containsText" text="AM">
      <formula>NOT(ISERROR(SEARCH("AM",AN189)))</formula>
    </cfRule>
    <cfRule type="containsText" dxfId="1312" priority="848" operator="containsText" text="VE">
      <formula>NOT(ISERROR(SEARCH("VE",AN189)))</formula>
    </cfRule>
  </conditionalFormatting>
  <conditionalFormatting sqref="AN190">
    <cfRule type="containsText" dxfId="1311" priority="841" operator="containsText" text="AZ">
      <formula>NOT(ISERROR(SEARCH("AZ",AN190)))</formula>
    </cfRule>
    <cfRule type="containsText" dxfId="1310" priority="842" operator="containsText" text="RO">
      <formula>NOT(ISERROR(SEARCH("RO",AN190)))</formula>
    </cfRule>
    <cfRule type="containsText" dxfId="1309" priority="843" operator="containsText" text="AM">
      <formula>NOT(ISERROR(SEARCH("AM",AN190)))</formula>
    </cfRule>
    <cfRule type="containsText" dxfId="1308" priority="844" operator="containsText" text="VE">
      <formula>NOT(ISERROR(SEARCH("VE",AN190)))</formula>
    </cfRule>
  </conditionalFormatting>
  <conditionalFormatting sqref="AN191">
    <cfRule type="containsText" dxfId="1307" priority="837" operator="containsText" text="AZ">
      <formula>NOT(ISERROR(SEARCH("AZ",AN191)))</formula>
    </cfRule>
    <cfRule type="containsText" dxfId="1306" priority="838" operator="containsText" text="RO">
      <formula>NOT(ISERROR(SEARCH("RO",AN191)))</formula>
    </cfRule>
    <cfRule type="containsText" dxfId="1305" priority="839" operator="containsText" text="AM">
      <formula>NOT(ISERROR(SEARCH("AM",AN191)))</formula>
    </cfRule>
    <cfRule type="containsText" dxfId="1304" priority="840" operator="containsText" text="VE">
      <formula>NOT(ISERROR(SEARCH("VE",AN191)))</formula>
    </cfRule>
  </conditionalFormatting>
  <conditionalFormatting sqref="AN192">
    <cfRule type="containsText" dxfId="1303" priority="833" operator="containsText" text="AZ">
      <formula>NOT(ISERROR(SEARCH("AZ",AN192)))</formula>
    </cfRule>
    <cfRule type="containsText" dxfId="1302" priority="834" operator="containsText" text="RO">
      <formula>NOT(ISERROR(SEARCH("RO",AN192)))</formula>
    </cfRule>
    <cfRule type="containsText" dxfId="1301" priority="835" operator="containsText" text="AM">
      <formula>NOT(ISERROR(SEARCH("AM",AN192)))</formula>
    </cfRule>
    <cfRule type="containsText" dxfId="1300" priority="836" operator="containsText" text="VE">
      <formula>NOT(ISERROR(SEARCH("VE",AN192)))</formula>
    </cfRule>
  </conditionalFormatting>
  <conditionalFormatting sqref="AN158">
    <cfRule type="containsText" dxfId="1299" priority="829" operator="containsText" text="AZ">
      <formula>NOT(ISERROR(SEARCH("AZ",AN158)))</formula>
    </cfRule>
    <cfRule type="containsText" dxfId="1298" priority="830" operator="containsText" text="RO">
      <formula>NOT(ISERROR(SEARCH("RO",AN158)))</formula>
    </cfRule>
    <cfRule type="containsText" dxfId="1297" priority="831" operator="containsText" text="AM">
      <formula>NOT(ISERROR(SEARCH("AM",AN158)))</formula>
    </cfRule>
    <cfRule type="containsText" dxfId="1296" priority="832" operator="containsText" text="VE">
      <formula>NOT(ISERROR(SEARCH("VE",AN158)))</formula>
    </cfRule>
  </conditionalFormatting>
  <conditionalFormatting sqref="AN159">
    <cfRule type="containsText" dxfId="1295" priority="825" operator="containsText" text="AZ">
      <formula>NOT(ISERROR(SEARCH("AZ",AN159)))</formula>
    </cfRule>
    <cfRule type="containsText" dxfId="1294" priority="826" operator="containsText" text="RO">
      <formula>NOT(ISERROR(SEARCH("RO",AN159)))</formula>
    </cfRule>
    <cfRule type="containsText" dxfId="1293" priority="827" operator="containsText" text="AM">
      <formula>NOT(ISERROR(SEARCH("AM",AN159)))</formula>
    </cfRule>
    <cfRule type="containsText" dxfId="1292" priority="828" operator="containsText" text="VE">
      <formula>NOT(ISERROR(SEARCH("VE",AN159)))</formula>
    </cfRule>
  </conditionalFormatting>
  <conditionalFormatting sqref="AN160">
    <cfRule type="containsText" dxfId="1291" priority="821" operator="containsText" text="AZ">
      <formula>NOT(ISERROR(SEARCH("AZ",AN160)))</formula>
    </cfRule>
    <cfRule type="containsText" dxfId="1290" priority="822" operator="containsText" text="RO">
      <formula>NOT(ISERROR(SEARCH("RO",AN160)))</formula>
    </cfRule>
    <cfRule type="containsText" dxfId="1289" priority="823" operator="containsText" text="AM">
      <formula>NOT(ISERROR(SEARCH("AM",AN160)))</formula>
    </cfRule>
    <cfRule type="containsText" dxfId="1288" priority="824" operator="containsText" text="VE">
      <formula>NOT(ISERROR(SEARCH("VE",AN160)))</formula>
    </cfRule>
  </conditionalFormatting>
  <conditionalFormatting sqref="AN161">
    <cfRule type="containsText" dxfId="1287" priority="817" operator="containsText" text="AZ">
      <formula>NOT(ISERROR(SEARCH("AZ",AN161)))</formula>
    </cfRule>
    <cfRule type="containsText" dxfId="1286" priority="818" operator="containsText" text="RO">
      <formula>NOT(ISERROR(SEARCH("RO",AN161)))</formula>
    </cfRule>
    <cfRule type="containsText" dxfId="1285" priority="819" operator="containsText" text="AM">
      <formula>NOT(ISERROR(SEARCH("AM",AN161)))</formula>
    </cfRule>
    <cfRule type="containsText" dxfId="1284" priority="820" operator="containsText" text="VE">
      <formula>NOT(ISERROR(SEARCH("VE",AN161)))</formula>
    </cfRule>
  </conditionalFormatting>
  <conditionalFormatting sqref="AN162:AN163">
    <cfRule type="containsText" dxfId="1283" priority="813" operator="containsText" text="AZ">
      <formula>NOT(ISERROR(SEARCH("AZ",AN162)))</formula>
    </cfRule>
    <cfRule type="containsText" dxfId="1282" priority="814" operator="containsText" text="RO">
      <formula>NOT(ISERROR(SEARCH("RO",AN162)))</formula>
    </cfRule>
    <cfRule type="containsText" dxfId="1281" priority="815" operator="containsText" text="AM">
      <formula>NOT(ISERROR(SEARCH("AM",AN162)))</formula>
    </cfRule>
    <cfRule type="containsText" dxfId="1280" priority="816" operator="containsText" text="VE">
      <formula>NOT(ISERROR(SEARCH("VE",AN162)))</formula>
    </cfRule>
  </conditionalFormatting>
  <conditionalFormatting sqref="AN164">
    <cfRule type="containsText" dxfId="1279" priority="809" operator="containsText" text="AZ">
      <formula>NOT(ISERROR(SEARCH("AZ",AN164)))</formula>
    </cfRule>
    <cfRule type="containsText" dxfId="1278" priority="810" operator="containsText" text="RO">
      <formula>NOT(ISERROR(SEARCH("RO",AN164)))</formula>
    </cfRule>
    <cfRule type="containsText" dxfId="1277" priority="811" operator="containsText" text="AM">
      <formula>NOT(ISERROR(SEARCH("AM",AN164)))</formula>
    </cfRule>
    <cfRule type="containsText" dxfId="1276" priority="812" operator="containsText" text="VE">
      <formula>NOT(ISERROR(SEARCH("VE",AN164)))</formula>
    </cfRule>
  </conditionalFormatting>
  <conditionalFormatting sqref="AN165">
    <cfRule type="containsText" dxfId="1275" priority="805" operator="containsText" text="AZ">
      <formula>NOT(ISERROR(SEARCH("AZ",AN165)))</formula>
    </cfRule>
    <cfRule type="containsText" dxfId="1274" priority="806" operator="containsText" text="RO">
      <formula>NOT(ISERROR(SEARCH("RO",AN165)))</formula>
    </cfRule>
    <cfRule type="containsText" dxfId="1273" priority="807" operator="containsText" text="AM">
      <formula>NOT(ISERROR(SEARCH("AM",AN165)))</formula>
    </cfRule>
    <cfRule type="containsText" dxfId="1272" priority="808" operator="containsText" text="VE">
      <formula>NOT(ISERROR(SEARCH("VE",AN165)))</formula>
    </cfRule>
  </conditionalFormatting>
  <conditionalFormatting sqref="AN166">
    <cfRule type="containsText" dxfId="1271" priority="801" operator="containsText" text="AZ">
      <formula>NOT(ISERROR(SEARCH("AZ",AN166)))</formula>
    </cfRule>
    <cfRule type="containsText" dxfId="1270" priority="802" operator="containsText" text="RO">
      <formula>NOT(ISERROR(SEARCH("RO",AN166)))</formula>
    </cfRule>
    <cfRule type="containsText" dxfId="1269" priority="803" operator="containsText" text="AM">
      <formula>NOT(ISERROR(SEARCH("AM",AN166)))</formula>
    </cfRule>
    <cfRule type="containsText" dxfId="1268" priority="804" operator="containsText" text="VE">
      <formula>NOT(ISERROR(SEARCH("VE",AN166)))</formula>
    </cfRule>
  </conditionalFormatting>
  <conditionalFormatting sqref="AN167">
    <cfRule type="containsText" dxfId="1267" priority="797" operator="containsText" text="AZ">
      <formula>NOT(ISERROR(SEARCH("AZ",AN167)))</formula>
    </cfRule>
    <cfRule type="containsText" dxfId="1266" priority="798" operator="containsText" text="RO">
      <formula>NOT(ISERROR(SEARCH("RO",AN167)))</formula>
    </cfRule>
    <cfRule type="containsText" dxfId="1265" priority="799" operator="containsText" text="AM">
      <formula>NOT(ISERROR(SEARCH("AM",AN167)))</formula>
    </cfRule>
    <cfRule type="containsText" dxfId="1264" priority="800" operator="containsText" text="VE">
      <formula>NOT(ISERROR(SEARCH("VE",AN167)))</formula>
    </cfRule>
  </conditionalFormatting>
  <conditionalFormatting sqref="AN168">
    <cfRule type="containsText" dxfId="1263" priority="793" operator="containsText" text="AZ">
      <formula>NOT(ISERROR(SEARCH("AZ",AN168)))</formula>
    </cfRule>
    <cfRule type="containsText" dxfId="1262" priority="794" operator="containsText" text="RO">
      <formula>NOT(ISERROR(SEARCH("RO",AN168)))</formula>
    </cfRule>
    <cfRule type="containsText" dxfId="1261" priority="795" operator="containsText" text="AM">
      <formula>NOT(ISERROR(SEARCH("AM",AN168)))</formula>
    </cfRule>
    <cfRule type="containsText" dxfId="1260" priority="796" operator="containsText" text="VE">
      <formula>NOT(ISERROR(SEARCH("VE",AN168)))</formula>
    </cfRule>
  </conditionalFormatting>
  <conditionalFormatting sqref="AN169">
    <cfRule type="containsText" dxfId="1259" priority="789" operator="containsText" text="AZ">
      <formula>NOT(ISERROR(SEARCH("AZ",AN169)))</formula>
    </cfRule>
    <cfRule type="containsText" dxfId="1258" priority="790" operator="containsText" text="RO">
      <formula>NOT(ISERROR(SEARCH("RO",AN169)))</formula>
    </cfRule>
    <cfRule type="containsText" dxfId="1257" priority="791" operator="containsText" text="AM">
      <formula>NOT(ISERROR(SEARCH("AM",AN169)))</formula>
    </cfRule>
    <cfRule type="containsText" dxfId="1256" priority="792" operator="containsText" text="VE">
      <formula>NOT(ISERROR(SEARCH("VE",AN169)))</formula>
    </cfRule>
  </conditionalFormatting>
  <conditionalFormatting sqref="AN170">
    <cfRule type="containsText" dxfId="1255" priority="785" operator="containsText" text="AZ">
      <formula>NOT(ISERROR(SEARCH("AZ",AN170)))</formula>
    </cfRule>
    <cfRule type="containsText" dxfId="1254" priority="786" operator="containsText" text="RO">
      <formula>NOT(ISERROR(SEARCH("RO",AN170)))</formula>
    </cfRule>
    <cfRule type="containsText" dxfId="1253" priority="787" operator="containsText" text="AM">
      <formula>NOT(ISERROR(SEARCH("AM",AN170)))</formula>
    </cfRule>
    <cfRule type="containsText" dxfId="1252" priority="788" operator="containsText" text="VE">
      <formula>NOT(ISERROR(SEARCH("VE",AN170)))</formula>
    </cfRule>
  </conditionalFormatting>
  <conditionalFormatting sqref="AN171">
    <cfRule type="containsText" dxfId="1251" priority="781" operator="containsText" text="AZ">
      <formula>NOT(ISERROR(SEARCH("AZ",AN171)))</formula>
    </cfRule>
    <cfRule type="containsText" dxfId="1250" priority="782" operator="containsText" text="RO">
      <formula>NOT(ISERROR(SEARCH("RO",AN171)))</formula>
    </cfRule>
    <cfRule type="containsText" dxfId="1249" priority="783" operator="containsText" text="AM">
      <formula>NOT(ISERROR(SEARCH("AM",AN171)))</formula>
    </cfRule>
    <cfRule type="containsText" dxfId="1248" priority="784" operator="containsText" text="VE">
      <formula>NOT(ISERROR(SEARCH("VE",AN171)))</formula>
    </cfRule>
  </conditionalFormatting>
  <conditionalFormatting sqref="AN172">
    <cfRule type="containsText" dxfId="1247" priority="777" operator="containsText" text="AZ">
      <formula>NOT(ISERROR(SEARCH("AZ",AN172)))</formula>
    </cfRule>
    <cfRule type="containsText" dxfId="1246" priority="778" operator="containsText" text="RO">
      <formula>NOT(ISERROR(SEARCH("RO",AN172)))</formula>
    </cfRule>
    <cfRule type="containsText" dxfId="1245" priority="779" operator="containsText" text="AM">
      <formula>NOT(ISERROR(SEARCH("AM",AN172)))</formula>
    </cfRule>
    <cfRule type="containsText" dxfId="1244" priority="780" operator="containsText" text="VE">
      <formula>NOT(ISERROR(SEARCH("VE",AN172)))</formula>
    </cfRule>
  </conditionalFormatting>
  <conditionalFormatting sqref="AN173">
    <cfRule type="containsText" dxfId="1243" priority="773" operator="containsText" text="AZ">
      <formula>NOT(ISERROR(SEARCH("AZ",AN173)))</formula>
    </cfRule>
    <cfRule type="containsText" dxfId="1242" priority="774" operator="containsText" text="RO">
      <formula>NOT(ISERROR(SEARCH("RO",AN173)))</formula>
    </cfRule>
    <cfRule type="containsText" dxfId="1241" priority="775" operator="containsText" text="AM">
      <formula>NOT(ISERROR(SEARCH("AM",AN173)))</formula>
    </cfRule>
    <cfRule type="containsText" dxfId="1240" priority="776" operator="containsText" text="VE">
      <formula>NOT(ISERROR(SEARCH("VE",AN173)))</formula>
    </cfRule>
  </conditionalFormatting>
  <conditionalFormatting sqref="AN174">
    <cfRule type="containsText" dxfId="1239" priority="769" operator="containsText" text="AZ">
      <formula>NOT(ISERROR(SEARCH("AZ",AN174)))</formula>
    </cfRule>
    <cfRule type="containsText" dxfId="1238" priority="770" operator="containsText" text="RO">
      <formula>NOT(ISERROR(SEARCH("RO",AN174)))</formula>
    </cfRule>
    <cfRule type="containsText" dxfId="1237" priority="771" operator="containsText" text="AM">
      <formula>NOT(ISERROR(SEARCH("AM",AN174)))</formula>
    </cfRule>
    <cfRule type="containsText" dxfId="1236" priority="772" operator="containsText" text="VE">
      <formula>NOT(ISERROR(SEARCH("VE",AN174)))</formula>
    </cfRule>
  </conditionalFormatting>
  <conditionalFormatting sqref="AN175">
    <cfRule type="containsText" dxfId="1235" priority="765" operator="containsText" text="AZ">
      <formula>NOT(ISERROR(SEARCH("AZ",AN175)))</formula>
    </cfRule>
    <cfRule type="containsText" dxfId="1234" priority="766" operator="containsText" text="RO">
      <formula>NOT(ISERROR(SEARCH("RO",AN175)))</formula>
    </cfRule>
    <cfRule type="containsText" dxfId="1233" priority="767" operator="containsText" text="AM">
      <formula>NOT(ISERROR(SEARCH("AM",AN175)))</formula>
    </cfRule>
    <cfRule type="containsText" dxfId="1232" priority="768" operator="containsText" text="VE">
      <formula>NOT(ISERROR(SEARCH("VE",AN175)))</formula>
    </cfRule>
  </conditionalFormatting>
  <conditionalFormatting sqref="AN176">
    <cfRule type="containsText" dxfId="1231" priority="761" operator="containsText" text="AZ">
      <formula>NOT(ISERROR(SEARCH("AZ",AN176)))</formula>
    </cfRule>
    <cfRule type="containsText" dxfId="1230" priority="762" operator="containsText" text="RO">
      <formula>NOT(ISERROR(SEARCH("RO",AN176)))</formula>
    </cfRule>
    <cfRule type="containsText" dxfId="1229" priority="763" operator="containsText" text="AM">
      <formula>NOT(ISERROR(SEARCH("AM",AN176)))</formula>
    </cfRule>
    <cfRule type="containsText" dxfId="1228" priority="764" operator="containsText" text="VE">
      <formula>NOT(ISERROR(SEARCH("VE",AN176)))</formula>
    </cfRule>
  </conditionalFormatting>
  <conditionalFormatting sqref="AN177:AN181">
    <cfRule type="containsText" dxfId="1227" priority="757" operator="containsText" text="AZ">
      <formula>NOT(ISERROR(SEARCH("AZ",AN177)))</formula>
    </cfRule>
    <cfRule type="containsText" dxfId="1226" priority="758" operator="containsText" text="RO">
      <formula>NOT(ISERROR(SEARCH("RO",AN177)))</formula>
    </cfRule>
    <cfRule type="containsText" dxfId="1225" priority="759" operator="containsText" text="AM">
      <formula>NOT(ISERROR(SEARCH("AM",AN177)))</formula>
    </cfRule>
    <cfRule type="containsText" dxfId="1224" priority="760" operator="containsText" text="VE">
      <formula>NOT(ISERROR(SEARCH("VE",AN177)))</formula>
    </cfRule>
  </conditionalFormatting>
  <conditionalFormatting sqref="AN378">
    <cfRule type="containsText" dxfId="1223" priority="753" operator="containsText" text="AZ">
      <formula>NOT(ISERROR(SEARCH("AZ",AN378)))</formula>
    </cfRule>
    <cfRule type="containsText" dxfId="1222" priority="754" operator="containsText" text="RO">
      <formula>NOT(ISERROR(SEARCH("RO",AN378)))</formula>
    </cfRule>
    <cfRule type="containsText" dxfId="1221" priority="755" operator="containsText" text="AM">
      <formula>NOT(ISERROR(SEARCH("AM",AN378)))</formula>
    </cfRule>
    <cfRule type="containsText" dxfId="1220" priority="756" operator="containsText" text="VE">
      <formula>NOT(ISERROR(SEARCH("VE",AN378)))</formula>
    </cfRule>
  </conditionalFormatting>
  <conditionalFormatting sqref="AN379">
    <cfRule type="containsText" dxfId="1219" priority="749" operator="containsText" text="AZ">
      <formula>NOT(ISERROR(SEARCH("AZ",AN379)))</formula>
    </cfRule>
    <cfRule type="containsText" dxfId="1218" priority="750" operator="containsText" text="RO">
      <formula>NOT(ISERROR(SEARCH("RO",AN379)))</formula>
    </cfRule>
    <cfRule type="containsText" dxfId="1217" priority="751" operator="containsText" text="AM">
      <formula>NOT(ISERROR(SEARCH("AM",AN379)))</formula>
    </cfRule>
    <cfRule type="containsText" dxfId="1216" priority="752" operator="containsText" text="VE">
      <formula>NOT(ISERROR(SEARCH("VE",AN379)))</formula>
    </cfRule>
  </conditionalFormatting>
  <conditionalFormatting sqref="AN380">
    <cfRule type="containsText" dxfId="1215" priority="745" operator="containsText" text="AZ">
      <formula>NOT(ISERROR(SEARCH("AZ",AN380)))</formula>
    </cfRule>
    <cfRule type="containsText" dxfId="1214" priority="746" operator="containsText" text="RO">
      <formula>NOT(ISERROR(SEARCH("RO",AN380)))</formula>
    </cfRule>
    <cfRule type="containsText" dxfId="1213" priority="747" operator="containsText" text="AM">
      <formula>NOT(ISERROR(SEARCH("AM",AN380)))</formula>
    </cfRule>
    <cfRule type="containsText" dxfId="1212" priority="748" operator="containsText" text="VE">
      <formula>NOT(ISERROR(SEARCH("VE",AN380)))</formula>
    </cfRule>
  </conditionalFormatting>
  <conditionalFormatting sqref="AN381">
    <cfRule type="containsText" dxfId="1211" priority="741" operator="containsText" text="AZ">
      <formula>NOT(ISERROR(SEARCH("AZ",AN381)))</formula>
    </cfRule>
    <cfRule type="containsText" dxfId="1210" priority="742" operator="containsText" text="RO">
      <formula>NOT(ISERROR(SEARCH("RO",AN381)))</formula>
    </cfRule>
    <cfRule type="containsText" dxfId="1209" priority="743" operator="containsText" text="AM">
      <formula>NOT(ISERROR(SEARCH("AM",AN381)))</formula>
    </cfRule>
    <cfRule type="containsText" dxfId="1208" priority="744" operator="containsText" text="VE">
      <formula>NOT(ISERROR(SEARCH("VE",AN381)))</formula>
    </cfRule>
  </conditionalFormatting>
  <conditionalFormatting sqref="AN382">
    <cfRule type="containsText" dxfId="1207" priority="737" operator="containsText" text="AZ">
      <formula>NOT(ISERROR(SEARCH("AZ",AN382)))</formula>
    </cfRule>
    <cfRule type="containsText" dxfId="1206" priority="738" operator="containsText" text="RO">
      <formula>NOT(ISERROR(SEARCH("RO",AN382)))</formula>
    </cfRule>
    <cfRule type="containsText" dxfId="1205" priority="739" operator="containsText" text="AM">
      <formula>NOT(ISERROR(SEARCH("AM",AN382)))</formula>
    </cfRule>
    <cfRule type="containsText" dxfId="1204" priority="740" operator="containsText" text="VE">
      <formula>NOT(ISERROR(SEARCH("VE",AN382)))</formula>
    </cfRule>
  </conditionalFormatting>
  <conditionalFormatting sqref="AN265:AN268">
    <cfRule type="containsText" dxfId="1203" priority="733" operator="containsText" text="AZ">
      <formula>NOT(ISERROR(SEARCH("AZ",AN265)))</formula>
    </cfRule>
    <cfRule type="containsText" dxfId="1202" priority="734" operator="containsText" text="RO">
      <formula>NOT(ISERROR(SEARCH("RO",AN265)))</formula>
    </cfRule>
    <cfRule type="containsText" dxfId="1201" priority="735" operator="containsText" text="AM">
      <formula>NOT(ISERROR(SEARCH("AM",AN265)))</formula>
    </cfRule>
    <cfRule type="containsText" dxfId="1200" priority="736" operator="containsText" text="VE">
      <formula>NOT(ISERROR(SEARCH("VE",AN265)))</formula>
    </cfRule>
  </conditionalFormatting>
  <conditionalFormatting sqref="AN269">
    <cfRule type="containsText" dxfId="1199" priority="729" operator="containsText" text="AZ">
      <formula>NOT(ISERROR(SEARCH("AZ",AN269)))</formula>
    </cfRule>
    <cfRule type="containsText" dxfId="1198" priority="730" operator="containsText" text="RO">
      <formula>NOT(ISERROR(SEARCH("RO",AN269)))</formula>
    </cfRule>
    <cfRule type="containsText" dxfId="1197" priority="731" operator="containsText" text="AM">
      <formula>NOT(ISERROR(SEARCH("AM",AN269)))</formula>
    </cfRule>
    <cfRule type="containsText" dxfId="1196" priority="732" operator="containsText" text="VE">
      <formula>NOT(ISERROR(SEARCH("VE",AN269)))</formula>
    </cfRule>
  </conditionalFormatting>
  <conditionalFormatting sqref="AN270">
    <cfRule type="containsText" dxfId="1195" priority="725" operator="containsText" text="AZ">
      <formula>NOT(ISERROR(SEARCH("AZ",AN270)))</formula>
    </cfRule>
    <cfRule type="containsText" dxfId="1194" priority="726" operator="containsText" text="RO">
      <formula>NOT(ISERROR(SEARCH("RO",AN270)))</formula>
    </cfRule>
    <cfRule type="containsText" dxfId="1193" priority="727" operator="containsText" text="AM">
      <formula>NOT(ISERROR(SEARCH("AM",AN270)))</formula>
    </cfRule>
    <cfRule type="containsText" dxfId="1192" priority="728" operator="containsText" text="VE">
      <formula>NOT(ISERROR(SEARCH("VE",AN270)))</formula>
    </cfRule>
  </conditionalFormatting>
  <conditionalFormatting sqref="AN271:AN274">
    <cfRule type="containsText" dxfId="1191" priority="721" operator="containsText" text="AZ">
      <formula>NOT(ISERROR(SEARCH("AZ",AN271)))</formula>
    </cfRule>
    <cfRule type="containsText" dxfId="1190" priority="722" operator="containsText" text="RO">
      <formula>NOT(ISERROR(SEARCH("RO",AN271)))</formula>
    </cfRule>
    <cfRule type="containsText" dxfId="1189" priority="723" operator="containsText" text="AM">
      <formula>NOT(ISERROR(SEARCH("AM",AN271)))</formula>
    </cfRule>
    <cfRule type="containsText" dxfId="1188" priority="724" operator="containsText" text="VE">
      <formula>NOT(ISERROR(SEARCH("VE",AN271)))</formula>
    </cfRule>
  </conditionalFormatting>
  <conditionalFormatting sqref="AN275">
    <cfRule type="containsText" dxfId="1187" priority="717" operator="containsText" text="AZ">
      <formula>NOT(ISERROR(SEARCH("AZ",AN275)))</formula>
    </cfRule>
    <cfRule type="containsText" dxfId="1186" priority="718" operator="containsText" text="RO">
      <formula>NOT(ISERROR(SEARCH("RO",AN275)))</formula>
    </cfRule>
    <cfRule type="containsText" dxfId="1185" priority="719" operator="containsText" text="AM">
      <formula>NOT(ISERROR(SEARCH("AM",AN275)))</formula>
    </cfRule>
    <cfRule type="containsText" dxfId="1184" priority="720" operator="containsText" text="VE">
      <formula>NOT(ISERROR(SEARCH("VE",AN275)))</formula>
    </cfRule>
  </conditionalFormatting>
  <conditionalFormatting sqref="AN383">
    <cfRule type="containsText" dxfId="1183" priority="713" operator="containsText" text="AZ">
      <formula>NOT(ISERROR(SEARCH("AZ",AN383)))</formula>
    </cfRule>
    <cfRule type="containsText" dxfId="1182" priority="714" operator="containsText" text="RO">
      <formula>NOT(ISERROR(SEARCH("RO",AN383)))</formula>
    </cfRule>
    <cfRule type="containsText" dxfId="1181" priority="715" operator="containsText" text="AM">
      <formula>NOT(ISERROR(SEARCH("AM",AN383)))</formula>
    </cfRule>
    <cfRule type="containsText" dxfId="1180" priority="716" operator="containsText" text="VE">
      <formula>NOT(ISERROR(SEARCH("VE",AN383)))</formula>
    </cfRule>
  </conditionalFormatting>
  <conditionalFormatting sqref="AN384">
    <cfRule type="containsText" dxfId="1179" priority="709" operator="containsText" text="AZ">
      <formula>NOT(ISERROR(SEARCH("AZ",AN384)))</formula>
    </cfRule>
    <cfRule type="containsText" dxfId="1178" priority="710" operator="containsText" text="RO">
      <formula>NOT(ISERROR(SEARCH("RO",AN384)))</formula>
    </cfRule>
    <cfRule type="containsText" dxfId="1177" priority="711" operator="containsText" text="AM">
      <formula>NOT(ISERROR(SEARCH("AM",AN384)))</formula>
    </cfRule>
    <cfRule type="containsText" dxfId="1176" priority="712" operator="containsText" text="VE">
      <formula>NOT(ISERROR(SEARCH("VE",AN384)))</formula>
    </cfRule>
  </conditionalFormatting>
  <conditionalFormatting sqref="AN385">
    <cfRule type="containsText" dxfId="1175" priority="705" operator="containsText" text="AZ">
      <formula>NOT(ISERROR(SEARCH("AZ",AN385)))</formula>
    </cfRule>
    <cfRule type="containsText" dxfId="1174" priority="706" operator="containsText" text="RO">
      <formula>NOT(ISERROR(SEARCH("RO",AN385)))</formula>
    </cfRule>
    <cfRule type="containsText" dxfId="1173" priority="707" operator="containsText" text="AM">
      <formula>NOT(ISERROR(SEARCH("AM",AN385)))</formula>
    </cfRule>
    <cfRule type="containsText" dxfId="1172" priority="708" operator="containsText" text="VE">
      <formula>NOT(ISERROR(SEARCH("VE",AN385)))</formula>
    </cfRule>
  </conditionalFormatting>
  <conditionalFormatting sqref="AN386">
    <cfRule type="containsText" dxfId="1171" priority="701" operator="containsText" text="AZ">
      <formula>NOT(ISERROR(SEARCH("AZ",AN386)))</formula>
    </cfRule>
    <cfRule type="containsText" dxfId="1170" priority="702" operator="containsText" text="RO">
      <formula>NOT(ISERROR(SEARCH("RO",AN386)))</formula>
    </cfRule>
    <cfRule type="containsText" dxfId="1169" priority="703" operator="containsText" text="AM">
      <formula>NOT(ISERROR(SEARCH("AM",AN386)))</formula>
    </cfRule>
    <cfRule type="containsText" dxfId="1168" priority="704" operator="containsText" text="VE">
      <formula>NOT(ISERROR(SEARCH("VE",AN386)))</formula>
    </cfRule>
  </conditionalFormatting>
  <conditionalFormatting sqref="AN387">
    <cfRule type="containsText" dxfId="1167" priority="697" operator="containsText" text="AZ">
      <formula>NOT(ISERROR(SEARCH("AZ",AN387)))</formula>
    </cfRule>
    <cfRule type="containsText" dxfId="1166" priority="698" operator="containsText" text="RO">
      <formula>NOT(ISERROR(SEARCH("RO",AN387)))</formula>
    </cfRule>
    <cfRule type="containsText" dxfId="1165" priority="699" operator="containsText" text="AM">
      <formula>NOT(ISERROR(SEARCH("AM",AN387)))</formula>
    </cfRule>
    <cfRule type="containsText" dxfId="1164" priority="700" operator="containsText" text="VE">
      <formula>NOT(ISERROR(SEARCH("VE",AN387)))</formula>
    </cfRule>
  </conditionalFormatting>
  <conditionalFormatting sqref="AN391">
    <cfRule type="containsText" dxfId="1163" priority="693" operator="containsText" text="AZ">
      <formula>NOT(ISERROR(SEARCH("AZ",AN391)))</formula>
    </cfRule>
    <cfRule type="containsText" dxfId="1162" priority="694" operator="containsText" text="RO">
      <formula>NOT(ISERROR(SEARCH("RO",AN391)))</formula>
    </cfRule>
    <cfRule type="containsText" dxfId="1161" priority="695" operator="containsText" text="AM">
      <formula>NOT(ISERROR(SEARCH("AM",AN391)))</formula>
    </cfRule>
    <cfRule type="containsText" dxfId="1160" priority="696" operator="containsText" text="VE">
      <formula>NOT(ISERROR(SEARCH("VE",AN391)))</formula>
    </cfRule>
  </conditionalFormatting>
  <conditionalFormatting sqref="AN392">
    <cfRule type="containsText" dxfId="1159" priority="689" operator="containsText" text="AZ">
      <formula>NOT(ISERROR(SEARCH("AZ",AN392)))</formula>
    </cfRule>
    <cfRule type="containsText" dxfId="1158" priority="690" operator="containsText" text="RO">
      <formula>NOT(ISERROR(SEARCH("RO",AN392)))</formula>
    </cfRule>
    <cfRule type="containsText" dxfId="1157" priority="691" operator="containsText" text="AM">
      <formula>NOT(ISERROR(SEARCH("AM",AN392)))</formula>
    </cfRule>
    <cfRule type="containsText" dxfId="1156" priority="692" operator="containsText" text="VE">
      <formula>NOT(ISERROR(SEARCH("VE",AN392)))</formula>
    </cfRule>
  </conditionalFormatting>
  <conditionalFormatting sqref="AN393">
    <cfRule type="containsText" dxfId="1155" priority="685" operator="containsText" text="AZ">
      <formula>NOT(ISERROR(SEARCH("AZ",AN393)))</formula>
    </cfRule>
    <cfRule type="containsText" dxfId="1154" priority="686" operator="containsText" text="RO">
      <formula>NOT(ISERROR(SEARCH("RO",AN393)))</formula>
    </cfRule>
    <cfRule type="containsText" dxfId="1153" priority="687" operator="containsText" text="AM">
      <formula>NOT(ISERROR(SEARCH("AM",AN393)))</formula>
    </cfRule>
    <cfRule type="containsText" dxfId="1152" priority="688" operator="containsText" text="VE">
      <formula>NOT(ISERROR(SEARCH("VE",AN393)))</formula>
    </cfRule>
  </conditionalFormatting>
  <conditionalFormatting sqref="AN394">
    <cfRule type="containsText" dxfId="1151" priority="681" operator="containsText" text="AZ">
      <formula>NOT(ISERROR(SEARCH("AZ",AN394)))</formula>
    </cfRule>
    <cfRule type="containsText" dxfId="1150" priority="682" operator="containsText" text="RO">
      <formula>NOT(ISERROR(SEARCH("RO",AN394)))</formula>
    </cfRule>
    <cfRule type="containsText" dxfId="1149" priority="683" operator="containsText" text="AM">
      <formula>NOT(ISERROR(SEARCH("AM",AN394)))</formula>
    </cfRule>
    <cfRule type="containsText" dxfId="1148" priority="684" operator="containsText" text="VE">
      <formula>NOT(ISERROR(SEARCH("VE",AN394)))</formula>
    </cfRule>
  </conditionalFormatting>
  <conditionalFormatting sqref="AN395">
    <cfRule type="containsText" dxfId="1147" priority="677" operator="containsText" text="AZ">
      <formula>NOT(ISERROR(SEARCH("AZ",AN395)))</formula>
    </cfRule>
    <cfRule type="containsText" dxfId="1146" priority="678" operator="containsText" text="RO">
      <formula>NOT(ISERROR(SEARCH("RO",AN395)))</formula>
    </cfRule>
    <cfRule type="containsText" dxfId="1145" priority="679" operator="containsText" text="AM">
      <formula>NOT(ISERROR(SEARCH("AM",AN395)))</formula>
    </cfRule>
    <cfRule type="containsText" dxfId="1144" priority="680" operator="containsText" text="VE">
      <formula>NOT(ISERROR(SEARCH("VE",AN395)))</formula>
    </cfRule>
  </conditionalFormatting>
  <conditionalFormatting sqref="AN397">
    <cfRule type="containsText" dxfId="1143" priority="673" operator="containsText" text="AZ">
      <formula>NOT(ISERROR(SEARCH("AZ",AN397)))</formula>
    </cfRule>
    <cfRule type="containsText" dxfId="1142" priority="674" operator="containsText" text="RO">
      <formula>NOT(ISERROR(SEARCH("RO",AN397)))</formula>
    </cfRule>
    <cfRule type="containsText" dxfId="1141" priority="675" operator="containsText" text="AM">
      <formula>NOT(ISERROR(SEARCH("AM",AN397)))</formula>
    </cfRule>
    <cfRule type="containsText" dxfId="1140" priority="676" operator="containsText" text="VE">
      <formula>NOT(ISERROR(SEARCH("VE",AN397)))</formula>
    </cfRule>
  </conditionalFormatting>
  <conditionalFormatting sqref="AN398">
    <cfRule type="containsText" dxfId="1139" priority="669" operator="containsText" text="AZ">
      <formula>NOT(ISERROR(SEARCH("AZ",AN398)))</formula>
    </cfRule>
    <cfRule type="containsText" dxfId="1138" priority="670" operator="containsText" text="RO">
      <formula>NOT(ISERROR(SEARCH("RO",AN398)))</formula>
    </cfRule>
    <cfRule type="containsText" dxfId="1137" priority="671" operator="containsText" text="AM">
      <formula>NOT(ISERROR(SEARCH("AM",AN398)))</formula>
    </cfRule>
    <cfRule type="containsText" dxfId="1136" priority="672" operator="containsText" text="VE">
      <formula>NOT(ISERROR(SEARCH("VE",AN398)))</formula>
    </cfRule>
  </conditionalFormatting>
  <conditionalFormatting sqref="AN399:AN402">
    <cfRule type="containsText" dxfId="1135" priority="665" operator="containsText" text="AZ">
      <formula>NOT(ISERROR(SEARCH("AZ",AN399)))</formula>
    </cfRule>
    <cfRule type="containsText" dxfId="1134" priority="666" operator="containsText" text="RO">
      <formula>NOT(ISERROR(SEARCH("RO",AN399)))</formula>
    </cfRule>
    <cfRule type="containsText" dxfId="1133" priority="667" operator="containsText" text="AM">
      <formula>NOT(ISERROR(SEARCH("AM",AN399)))</formula>
    </cfRule>
    <cfRule type="containsText" dxfId="1132" priority="668" operator="containsText" text="VE">
      <formula>NOT(ISERROR(SEARCH("VE",AN399)))</formula>
    </cfRule>
  </conditionalFormatting>
  <conditionalFormatting sqref="AN418:AN419">
    <cfRule type="containsText" dxfId="1131" priority="661" operator="containsText" text="AZ">
      <formula>NOT(ISERROR(SEARCH("AZ",AN418)))</formula>
    </cfRule>
    <cfRule type="containsText" dxfId="1130" priority="662" operator="containsText" text="RO">
      <formula>NOT(ISERROR(SEARCH("RO",AN418)))</formula>
    </cfRule>
    <cfRule type="containsText" dxfId="1129" priority="663" operator="containsText" text="AM">
      <formula>NOT(ISERROR(SEARCH("AM",AN418)))</formula>
    </cfRule>
    <cfRule type="containsText" dxfId="1128" priority="664" operator="containsText" text="VE">
      <formula>NOT(ISERROR(SEARCH("VE",AN418)))</formula>
    </cfRule>
  </conditionalFormatting>
  <conditionalFormatting sqref="AN421">
    <cfRule type="containsText" dxfId="1127" priority="657" operator="containsText" text="AZ">
      <formula>NOT(ISERROR(SEARCH("AZ",AN421)))</formula>
    </cfRule>
    <cfRule type="containsText" dxfId="1126" priority="658" operator="containsText" text="RO">
      <formula>NOT(ISERROR(SEARCH("RO",AN421)))</formula>
    </cfRule>
    <cfRule type="containsText" dxfId="1125" priority="659" operator="containsText" text="AM">
      <formula>NOT(ISERROR(SEARCH("AM",AN421)))</formula>
    </cfRule>
    <cfRule type="containsText" dxfId="1124" priority="660" operator="containsText" text="VE">
      <formula>NOT(ISERROR(SEARCH("VE",AN421)))</formula>
    </cfRule>
  </conditionalFormatting>
  <conditionalFormatting sqref="AN423">
    <cfRule type="containsText" dxfId="1123" priority="653" operator="containsText" text="AZ">
      <formula>NOT(ISERROR(SEARCH("AZ",AN423)))</formula>
    </cfRule>
    <cfRule type="containsText" dxfId="1122" priority="654" operator="containsText" text="RO">
      <formula>NOT(ISERROR(SEARCH("RO",AN423)))</formula>
    </cfRule>
    <cfRule type="containsText" dxfId="1121" priority="655" operator="containsText" text="AM">
      <formula>NOT(ISERROR(SEARCH("AM",AN423)))</formula>
    </cfRule>
    <cfRule type="containsText" dxfId="1120" priority="656" operator="containsText" text="VE">
      <formula>NOT(ISERROR(SEARCH("VE",AN423)))</formula>
    </cfRule>
  </conditionalFormatting>
  <conditionalFormatting sqref="AN428:AN429">
    <cfRule type="containsText" dxfId="1119" priority="649" operator="containsText" text="AZ">
      <formula>NOT(ISERROR(SEARCH("AZ",AN428)))</formula>
    </cfRule>
    <cfRule type="containsText" dxfId="1118" priority="650" operator="containsText" text="RO">
      <formula>NOT(ISERROR(SEARCH("RO",AN428)))</formula>
    </cfRule>
    <cfRule type="containsText" dxfId="1117" priority="651" operator="containsText" text="AM">
      <formula>NOT(ISERROR(SEARCH("AM",AN428)))</formula>
    </cfRule>
    <cfRule type="containsText" dxfId="1116" priority="652" operator="containsText" text="VE">
      <formula>NOT(ISERROR(SEARCH("VE",AN428)))</formula>
    </cfRule>
  </conditionalFormatting>
  <conditionalFormatting sqref="AN435">
    <cfRule type="containsText" dxfId="1115" priority="645" operator="containsText" text="AZ">
      <formula>NOT(ISERROR(SEARCH("AZ",AN435)))</formula>
    </cfRule>
    <cfRule type="containsText" dxfId="1114" priority="646" operator="containsText" text="RO">
      <formula>NOT(ISERROR(SEARCH("RO",AN435)))</formula>
    </cfRule>
    <cfRule type="containsText" dxfId="1113" priority="647" operator="containsText" text="AM">
      <formula>NOT(ISERROR(SEARCH("AM",AN435)))</formula>
    </cfRule>
    <cfRule type="containsText" dxfId="1112" priority="648" operator="containsText" text="VE">
      <formula>NOT(ISERROR(SEARCH("VE",AN435)))</formula>
    </cfRule>
  </conditionalFormatting>
  <conditionalFormatting sqref="AN442:AN443">
    <cfRule type="containsText" dxfId="1111" priority="641" operator="containsText" text="AZ">
      <formula>NOT(ISERROR(SEARCH("AZ",AN442)))</formula>
    </cfRule>
    <cfRule type="containsText" dxfId="1110" priority="642" operator="containsText" text="RO">
      <formula>NOT(ISERROR(SEARCH("RO",AN442)))</formula>
    </cfRule>
    <cfRule type="containsText" dxfId="1109" priority="643" operator="containsText" text="AM">
      <formula>NOT(ISERROR(SEARCH("AM",AN442)))</formula>
    </cfRule>
    <cfRule type="containsText" dxfId="1108" priority="644" operator="containsText" text="VE">
      <formula>NOT(ISERROR(SEARCH("VE",AN442)))</formula>
    </cfRule>
  </conditionalFormatting>
  <conditionalFormatting sqref="AN111">
    <cfRule type="containsText" dxfId="1107" priority="637" operator="containsText" text="AZ">
      <formula>NOT(ISERROR(SEARCH("AZ",AN111)))</formula>
    </cfRule>
    <cfRule type="containsText" dxfId="1106" priority="638" operator="containsText" text="RO">
      <formula>NOT(ISERROR(SEARCH("RO",AN111)))</formula>
    </cfRule>
    <cfRule type="containsText" dxfId="1105" priority="639" operator="containsText" text="AM">
      <formula>NOT(ISERROR(SEARCH("AM",AN111)))</formula>
    </cfRule>
    <cfRule type="containsText" dxfId="1104" priority="640" operator="containsText" text="VE">
      <formula>NOT(ISERROR(SEARCH("VE",AN111)))</formula>
    </cfRule>
  </conditionalFormatting>
  <conditionalFormatting sqref="AN117">
    <cfRule type="containsText" dxfId="1103" priority="633" operator="containsText" text="AZ">
      <formula>NOT(ISERROR(SEARCH("AZ",AN117)))</formula>
    </cfRule>
    <cfRule type="containsText" dxfId="1102" priority="634" operator="containsText" text="RO">
      <formula>NOT(ISERROR(SEARCH("RO",AN117)))</formula>
    </cfRule>
    <cfRule type="containsText" dxfId="1101" priority="635" operator="containsText" text="AM">
      <formula>NOT(ISERROR(SEARCH("AM",AN117)))</formula>
    </cfRule>
    <cfRule type="containsText" dxfId="1100" priority="636" operator="containsText" text="VE">
      <formula>NOT(ISERROR(SEARCH("VE",AN117)))</formula>
    </cfRule>
  </conditionalFormatting>
  <conditionalFormatting sqref="AN120">
    <cfRule type="containsText" dxfId="1099" priority="629" operator="containsText" text="AZ">
      <formula>NOT(ISERROR(SEARCH("AZ",AN120)))</formula>
    </cfRule>
    <cfRule type="containsText" dxfId="1098" priority="630" operator="containsText" text="RO">
      <formula>NOT(ISERROR(SEARCH("RO",AN120)))</formula>
    </cfRule>
    <cfRule type="containsText" dxfId="1097" priority="631" operator="containsText" text="AM">
      <formula>NOT(ISERROR(SEARCH("AM",AN120)))</formula>
    </cfRule>
    <cfRule type="containsText" dxfId="1096" priority="632" operator="containsText" text="VE">
      <formula>NOT(ISERROR(SEARCH("VE",AN120)))</formula>
    </cfRule>
  </conditionalFormatting>
  <conditionalFormatting sqref="AN131">
    <cfRule type="containsText" dxfId="1095" priority="625" operator="containsText" text="AZ">
      <formula>NOT(ISERROR(SEARCH("AZ",AN131)))</formula>
    </cfRule>
    <cfRule type="containsText" dxfId="1094" priority="626" operator="containsText" text="RO">
      <formula>NOT(ISERROR(SEARCH("RO",AN131)))</formula>
    </cfRule>
    <cfRule type="containsText" dxfId="1093" priority="627" operator="containsText" text="AM">
      <formula>NOT(ISERROR(SEARCH("AM",AN131)))</formula>
    </cfRule>
    <cfRule type="containsText" dxfId="1092" priority="628" operator="containsText" text="VE">
      <formula>NOT(ISERROR(SEARCH("VE",AN131)))</formula>
    </cfRule>
  </conditionalFormatting>
  <conditionalFormatting sqref="AN133">
    <cfRule type="containsText" dxfId="1091" priority="621" operator="containsText" text="AZ">
      <formula>NOT(ISERROR(SEARCH("AZ",AN133)))</formula>
    </cfRule>
    <cfRule type="containsText" dxfId="1090" priority="622" operator="containsText" text="RO">
      <formula>NOT(ISERROR(SEARCH("RO",AN133)))</formula>
    </cfRule>
    <cfRule type="containsText" dxfId="1089" priority="623" operator="containsText" text="AM">
      <formula>NOT(ISERROR(SEARCH("AM",AN133)))</formula>
    </cfRule>
    <cfRule type="containsText" dxfId="1088" priority="624" operator="containsText" text="VE">
      <formula>NOT(ISERROR(SEARCH("VE",AN133)))</formula>
    </cfRule>
  </conditionalFormatting>
  <conditionalFormatting sqref="AN141">
    <cfRule type="containsText" dxfId="1087" priority="617" operator="containsText" text="AZ">
      <formula>NOT(ISERROR(SEARCH("AZ",AN141)))</formula>
    </cfRule>
    <cfRule type="containsText" dxfId="1086" priority="618" operator="containsText" text="RO">
      <formula>NOT(ISERROR(SEARCH("RO",AN141)))</formula>
    </cfRule>
    <cfRule type="containsText" dxfId="1085" priority="619" operator="containsText" text="AM">
      <formula>NOT(ISERROR(SEARCH("AM",AN141)))</formula>
    </cfRule>
    <cfRule type="containsText" dxfId="1084" priority="620" operator="containsText" text="VE">
      <formula>NOT(ISERROR(SEARCH("VE",AN141)))</formula>
    </cfRule>
  </conditionalFormatting>
  <conditionalFormatting sqref="AN142:AN144">
    <cfRule type="containsText" dxfId="1083" priority="613" operator="containsText" text="AZ">
      <formula>NOT(ISERROR(SEARCH("AZ",AN142)))</formula>
    </cfRule>
    <cfRule type="containsText" dxfId="1082" priority="614" operator="containsText" text="RO">
      <formula>NOT(ISERROR(SEARCH("RO",AN142)))</formula>
    </cfRule>
    <cfRule type="containsText" dxfId="1081" priority="615" operator="containsText" text="AM">
      <formula>NOT(ISERROR(SEARCH("AM",AN142)))</formula>
    </cfRule>
    <cfRule type="containsText" dxfId="1080" priority="616" operator="containsText" text="VE">
      <formula>NOT(ISERROR(SEARCH("VE",AN142)))</formula>
    </cfRule>
  </conditionalFormatting>
  <conditionalFormatting sqref="AN147">
    <cfRule type="containsText" dxfId="1079" priority="609" operator="containsText" text="AZ">
      <formula>NOT(ISERROR(SEARCH("AZ",AN147)))</formula>
    </cfRule>
    <cfRule type="containsText" dxfId="1078" priority="610" operator="containsText" text="RO">
      <formula>NOT(ISERROR(SEARCH("RO",AN147)))</formula>
    </cfRule>
    <cfRule type="containsText" dxfId="1077" priority="611" operator="containsText" text="AM">
      <formula>NOT(ISERROR(SEARCH("AM",AN147)))</formula>
    </cfRule>
    <cfRule type="containsText" dxfId="1076" priority="612" operator="containsText" text="VE">
      <formula>NOT(ISERROR(SEARCH("VE",AN147)))</formula>
    </cfRule>
  </conditionalFormatting>
  <conditionalFormatting sqref="AN149">
    <cfRule type="containsText" dxfId="1075" priority="605" operator="containsText" text="AZ">
      <formula>NOT(ISERROR(SEARCH("AZ",AN149)))</formula>
    </cfRule>
    <cfRule type="containsText" dxfId="1074" priority="606" operator="containsText" text="RO">
      <formula>NOT(ISERROR(SEARCH("RO",AN149)))</formula>
    </cfRule>
    <cfRule type="containsText" dxfId="1073" priority="607" operator="containsText" text="AM">
      <formula>NOT(ISERROR(SEARCH("AM",AN149)))</formula>
    </cfRule>
    <cfRule type="containsText" dxfId="1072" priority="608" operator="containsText" text="VE">
      <formula>NOT(ISERROR(SEARCH("VE",AN149)))</formula>
    </cfRule>
  </conditionalFormatting>
  <conditionalFormatting sqref="AN151">
    <cfRule type="containsText" dxfId="1071" priority="601" operator="containsText" text="AZ">
      <formula>NOT(ISERROR(SEARCH("AZ",AN151)))</formula>
    </cfRule>
    <cfRule type="containsText" dxfId="1070" priority="602" operator="containsText" text="RO">
      <formula>NOT(ISERROR(SEARCH("RO",AN151)))</formula>
    </cfRule>
    <cfRule type="containsText" dxfId="1069" priority="603" operator="containsText" text="AM">
      <formula>NOT(ISERROR(SEARCH("AM",AN151)))</formula>
    </cfRule>
    <cfRule type="containsText" dxfId="1068" priority="604" operator="containsText" text="VE">
      <formula>NOT(ISERROR(SEARCH("VE",AN151)))</formula>
    </cfRule>
  </conditionalFormatting>
  <conditionalFormatting sqref="AN154">
    <cfRule type="containsText" dxfId="1067" priority="597" operator="containsText" text="AZ">
      <formula>NOT(ISERROR(SEARCH("AZ",AN154)))</formula>
    </cfRule>
    <cfRule type="containsText" dxfId="1066" priority="598" operator="containsText" text="RO">
      <formula>NOT(ISERROR(SEARCH("RO",AN154)))</formula>
    </cfRule>
    <cfRule type="containsText" dxfId="1065" priority="599" operator="containsText" text="AM">
      <formula>NOT(ISERROR(SEARCH("AM",AN154)))</formula>
    </cfRule>
    <cfRule type="containsText" dxfId="1064" priority="600" operator="containsText" text="VE">
      <formula>NOT(ISERROR(SEARCH("VE",AN154)))</formula>
    </cfRule>
  </conditionalFormatting>
  <conditionalFormatting sqref="AN305:AN306">
    <cfRule type="containsText" dxfId="1063" priority="593" operator="containsText" text="AZ">
      <formula>NOT(ISERROR(SEARCH("AZ",AN305)))</formula>
    </cfRule>
    <cfRule type="containsText" dxfId="1062" priority="594" operator="containsText" text="RO">
      <formula>NOT(ISERROR(SEARCH("RO",AN305)))</formula>
    </cfRule>
    <cfRule type="containsText" dxfId="1061" priority="595" operator="containsText" text="AM">
      <formula>NOT(ISERROR(SEARCH("AM",AN305)))</formula>
    </cfRule>
    <cfRule type="containsText" dxfId="1060" priority="596" operator="containsText" text="VE">
      <formula>NOT(ISERROR(SEARCH("VE",AN305)))</formula>
    </cfRule>
  </conditionalFormatting>
  <conditionalFormatting sqref="AN308">
    <cfRule type="containsText" dxfId="1059" priority="589" operator="containsText" text="AZ">
      <formula>NOT(ISERROR(SEARCH("AZ",AN308)))</formula>
    </cfRule>
    <cfRule type="containsText" dxfId="1058" priority="590" operator="containsText" text="RO">
      <formula>NOT(ISERROR(SEARCH("RO",AN308)))</formula>
    </cfRule>
    <cfRule type="containsText" dxfId="1057" priority="591" operator="containsText" text="AM">
      <formula>NOT(ISERROR(SEARCH("AM",AN308)))</formula>
    </cfRule>
    <cfRule type="containsText" dxfId="1056" priority="592" operator="containsText" text="VE">
      <formula>NOT(ISERROR(SEARCH("VE",AN308)))</formula>
    </cfRule>
  </conditionalFormatting>
  <conditionalFormatting sqref="AN311">
    <cfRule type="containsText" dxfId="1055" priority="585" operator="containsText" text="AZ">
      <formula>NOT(ISERROR(SEARCH("AZ",AN311)))</formula>
    </cfRule>
    <cfRule type="containsText" dxfId="1054" priority="586" operator="containsText" text="RO">
      <formula>NOT(ISERROR(SEARCH("RO",AN311)))</formula>
    </cfRule>
    <cfRule type="containsText" dxfId="1053" priority="587" operator="containsText" text="AM">
      <formula>NOT(ISERROR(SEARCH("AM",AN311)))</formula>
    </cfRule>
    <cfRule type="containsText" dxfId="1052" priority="588" operator="containsText" text="VE">
      <formula>NOT(ISERROR(SEARCH("VE",AN311)))</formula>
    </cfRule>
  </conditionalFormatting>
  <conditionalFormatting sqref="AN318">
    <cfRule type="containsText" dxfId="1051" priority="581" operator="containsText" text="AZ">
      <formula>NOT(ISERROR(SEARCH("AZ",AN318)))</formula>
    </cfRule>
    <cfRule type="containsText" dxfId="1050" priority="582" operator="containsText" text="RO">
      <formula>NOT(ISERROR(SEARCH("RO",AN318)))</formula>
    </cfRule>
    <cfRule type="containsText" dxfId="1049" priority="583" operator="containsText" text="AM">
      <formula>NOT(ISERROR(SEARCH("AM",AN318)))</formula>
    </cfRule>
    <cfRule type="containsText" dxfId="1048" priority="584" operator="containsText" text="VE">
      <formula>NOT(ISERROR(SEARCH("VE",AN318)))</formula>
    </cfRule>
  </conditionalFormatting>
  <conditionalFormatting sqref="AN320">
    <cfRule type="containsText" dxfId="1047" priority="577" operator="containsText" text="AZ">
      <formula>NOT(ISERROR(SEARCH("AZ",AN320)))</formula>
    </cfRule>
    <cfRule type="containsText" dxfId="1046" priority="578" operator="containsText" text="RO">
      <formula>NOT(ISERROR(SEARCH("RO",AN320)))</formula>
    </cfRule>
    <cfRule type="containsText" dxfId="1045" priority="579" operator="containsText" text="AM">
      <formula>NOT(ISERROR(SEARCH("AM",AN320)))</formula>
    </cfRule>
    <cfRule type="containsText" dxfId="1044" priority="580" operator="containsText" text="VE">
      <formula>NOT(ISERROR(SEARCH("VE",AN320)))</formula>
    </cfRule>
  </conditionalFormatting>
  <conditionalFormatting sqref="AN345">
    <cfRule type="containsText" dxfId="1043" priority="565" operator="containsText" text="AZ">
      <formula>NOT(ISERROR(SEARCH("AZ",AN345)))</formula>
    </cfRule>
    <cfRule type="containsText" dxfId="1042" priority="566" operator="containsText" text="RO">
      <formula>NOT(ISERROR(SEARCH("RO",AN345)))</formula>
    </cfRule>
    <cfRule type="containsText" dxfId="1041" priority="567" operator="containsText" text="AM">
      <formula>NOT(ISERROR(SEARCH("AM",AN345)))</formula>
    </cfRule>
    <cfRule type="containsText" dxfId="1040" priority="568" operator="containsText" text="VE">
      <formula>NOT(ISERROR(SEARCH("VE",AN345)))</formula>
    </cfRule>
  </conditionalFormatting>
  <conditionalFormatting sqref="AN348">
    <cfRule type="containsText" dxfId="1039" priority="561" operator="containsText" text="AZ">
      <formula>NOT(ISERROR(SEARCH("AZ",AN348)))</formula>
    </cfRule>
    <cfRule type="containsText" dxfId="1038" priority="562" operator="containsText" text="RO">
      <formula>NOT(ISERROR(SEARCH("RO",AN348)))</formula>
    </cfRule>
    <cfRule type="containsText" dxfId="1037" priority="563" operator="containsText" text="AM">
      <formula>NOT(ISERROR(SEARCH("AM",AN348)))</formula>
    </cfRule>
    <cfRule type="containsText" dxfId="1036" priority="564" operator="containsText" text="VE">
      <formula>NOT(ISERROR(SEARCH("VE",AN348)))</formula>
    </cfRule>
  </conditionalFormatting>
  <conditionalFormatting sqref="AN350">
    <cfRule type="containsText" dxfId="1035" priority="557" operator="containsText" text="AZ">
      <formula>NOT(ISERROR(SEARCH("AZ",AN350)))</formula>
    </cfRule>
    <cfRule type="containsText" dxfId="1034" priority="558" operator="containsText" text="RO">
      <formula>NOT(ISERROR(SEARCH("RO",AN350)))</formula>
    </cfRule>
    <cfRule type="containsText" dxfId="1033" priority="559" operator="containsText" text="AM">
      <formula>NOT(ISERROR(SEARCH("AM",AN350)))</formula>
    </cfRule>
    <cfRule type="containsText" dxfId="1032" priority="560" operator="containsText" text="VE">
      <formula>NOT(ISERROR(SEARCH("VE",AN350)))</formula>
    </cfRule>
  </conditionalFormatting>
  <conditionalFormatting sqref="AN351">
    <cfRule type="containsText" dxfId="1031" priority="553" operator="containsText" text="AZ">
      <formula>NOT(ISERROR(SEARCH("AZ",AN351)))</formula>
    </cfRule>
    <cfRule type="containsText" dxfId="1030" priority="554" operator="containsText" text="RO">
      <formula>NOT(ISERROR(SEARCH("RO",AN351)))</formula>
    </cfRule>
    <cfRule type="containsText" dxfId="1029" priority="555" operator="containsText" text="AM">
      <formula>NOT(ISERROR(SEARCH("AM",AN351)))</formula>
    </cfRule>
    <cfRule type="containsText" dxfId="1028" priority="556" operator="containsText" text="VE">
      <formula>NOT(ISERROR(SEARCH("VE",AN351)))</formula>
    </cfRule>
  </conditionalFormatting>
  <conditionalFormatting sqref="AN353">
    <cfRule type="containsText" dxfId="1027" priority="549" operator="containsText" text="AZ">
      <formula>NOT(ISERROR(SEARCH("AZ",AN353)))</formula>
    </cfRule>
    <cfRule type="containsText" dxfId="1026" priority="550" operator="containsText" text="RO">
      <formula>NOT(ISERROR(SEARCH("RO",AN353)))</formula>
    </cfRule>
    <cfRule type="containsText" dxfId="1025" priority="551" operator="containsText" text="AM">
      <formula>NOT(ISERROR(SEARCH("AM",AN353)))</formula>
    </cfRule>
    <cfRule type="containsText" dxfId="1024" priority="552" operator="containsText" text="VE">
      <formula>NOT(ISERROR(SEARCH("VE",AN353)))</formula>
    </cfRule>
  </conditionalFormatting>
  <conditionalFormatting sqref="AN358">
    <cfRule type="containsText" dxfId="1023" priority="545" operator="containsText" text="AZ">
      <formula>NOT(ISERROR(SEARCH("AZ",AN358)))</formula>
    </cfRule>
    <cfRule type="containsText" dxfId="1022" priority="546" operator="containsText" text="RO">
      <formula>NOT(ISERROR(SEARCH("RO",AN358)))</formula>
    </cfRule>
    <cfRule type="containsText" dxfId="1021" priority="547" operator="containsText" text="AM">
      <formula>NOT(ISERROR(SEARCH("AM",AN358)))</formula>
    </cfRule>
    <cfRule type="containsText" dxfId="1020" priority="548" operator="containsText" text="VE">
      <formula>NOT(ISERROR(SEARCH("VE",AN358)))</formula>
    </cfRule>
  </conditionalFormatting>
  <conditionalFormatting sqref="AN405">
    <cfRule type="containsText" dxfId="1019" priority="541" operator="containsText" text="AZ">
      <formula>NOT(ISERROR(SEARCH("AZ",AN405)))</formula>
    </cfRule>
    <cfRule type="containsText" dxfId="1018" priority="542" operator="containsText" text="RO">
      <formula>NOT(ISERROR(SEARCH("RO",AN405)))</formula>
    </cfRule>
    <cfRule type="containsText" dxfId="1017" priority="543" operator="containsText" text="AM">
      <formula>NOT(ISERROR(SEARCH("AM",AN405)))</formula>
    </cfRule>
    <cfRule type="containsText" dxfId="1016" priority="544" operator="containsText" text="VE">
      <formula>NOT(ISERROR(SEARCH("VE",AN405)))</formula>
    </cfRule>
  </conditionalFormatting>
  <conditionalFormatting sqref="AN406">
    <cfRule type="containsText" dxfId="1015" priority="537" operator="containsText" text="AZ">
      <formula>NOT(ISERROR(SEARCH("AZ",AN406)))</formula>
    </cfRule>
    <cfRule type="containsText" dxfId="1014" priority="538" operator="containsText" text="RO">
      <formula>NOT(ISERROR(SEARCH("RO",AN406)))</formula>
    </cfRule>
    <cfRule type="containsText" dxfId="1013" priority="539" operator="containsText" text="AM">
      <formula>NOT(ISERROR(SEARCH("AM",AN406)))</formula>
    </cfRule>
    <cfRule type="containsText" dxfId="1012" priority="540" operator="containsText" text="VE">
      <formula>NOT(ISERROR(SEARCH("VE",AN406)))</formula>
    </cfRule>
  </conditionalFormatting>
  <conditionalFormatting sqref="AN408">
    <cfRule type="containsText" dxfId="1011" priority="533" operator="containsText" text="AZ">
      <formula>NOT(ISERROR(SEARCH("AZ",AN408)))</formula>
    </cfRule>
    <cfRule type="containsText" dxfId="1010" priority="534" operator="containsText" text="RO">
      <formula>NOT(ISERROR(SEARCH("RO",AN408)))</formula>
    </cfRule>
    <cfRule type="containsText" dxfId="1009" priority="535" operator="containsText" text="AM">
      <formula>NOT(ISERROR(SEARCH("AM",AN408)))</formula>
    </cfRule>
    <cfRule type="containsText" dxfId="1008" priority="536" operator="containsText" text="VE">
      <formula>NOT(ISERROR(SEARCH("VE",AN408)))</formula>
    </cfRule>
  </conditionalFormatting>
  <conditionalFormatting sqref="AN410">
    <cfRule type="containsText" dxfId="1007" priority="529" operator="containsText" text="AZ">
      <formula>NOT(ISERROR(SEARCH("AZ",AN410)))</formula>
    </cfRule>
    <cfRule type="containsText" dxfId="1006" priority="530" operator="containsText" text="RO">
      <formula>NOT(ISERROR(SEARCH("RO",AN410)))</formula>
    </cfRule>
    <cfRule type="containsText" dxfId="1005" priority="531" operator="containsText" text="AM">
      <formula>NOT(ISERROR(SEARCH("AM",AN410)))</formula>
    </cfRule>
    <cfRule type="containsText" dxfId="1004" priority="532" operator="containsText" text="VE">
      <formula>NOT(ISERROR(SEARCH("VE",AN410)))</formula>
    </cfRule>
  </conditionalFormatting>
  <conditionalFormatting sqref="AN413">
    <cfRule type="containsText" dxfId="1003" priority="525" operator="containsText" text="AZ">
      <formula>NOT(ISERROR(SEARCH("AZ",AN413)))</formula>
    </cfRule>
    <cfRule type="containsText" dxfId="1002" priority="526" operator="containsText" text="RO">
      <formula>NOT(ISERROR(SEARCH("RO",AN413)))</formula>
    </cfRule>
    <cfRule type="containsText" dxfId="1001" priority="527" operator="containsText" text="AM">
      <formula>NOT(ISERROR(SEARCH("AM",AN413)))</formula>
    </cfRule>
    <cfRule type="containsText" dxfId="1000" priority="528" operator="containsText" text="VE">
      <formula>NOT(ISERROR(SEARCH("VE",AN413)))</formula>
    </cfRule>
  </conditionalFormatting>
  <conditionalFormatting sqref="AN415">
    <cfRule type="containsText" dxfId="999" priority="521" operator="containsText" text="AZ">
      <formula>NOT(ISERROR(SEARCH("AZ",AN415)))</formula>
    </cfRule>
    <cfRule type="containsText" dxfId="998" priority="522" operator="containsText" text="RO">
      <formula>NOT(ISERROR(SEARCH("RO",AN415)))</formula>
    </cfRule>
    <cfRule type="containsText" dxfId="997" priority="523" operator="containsText" text="AM">
      <formula>NOT(ISERROR(SEARCH("AM",AN415)))</formula>
    </cfRule>
    <cfRule type="containsText" dxfId="996" priority="524" operator="containsText" text="VE">
      <formula>NOT(ISERROR(SEARCH("VE",AN415)))</formula>
    </cfRule>
  </conditionalFormatting>
  <conditionalFormatting sqref="AN422">
    <cfRule type="containsText" dxfId="995" priority="517" operator="containsText" text="AZ">
      <formula>NOT(ISERROR(SEARCH("AZ",AN422)))</formula>
    </cfRule>
    <cfRule type="containsText" dxfId="994" priority="518" operator="containsText" text="RO">
      <formula>NOT(ISERROR(SEARCH("RO",AN422)))</formula>
    </cfRule>
    <cfRule type="containsText" dxfId="993" priority="519" operator="containsText" text="AM">
      <formula>NOT(ISERROR(SEARCH("AM",AN422)))</formula>
    </cfRule>
    <cfRule type="containsText" dxfId="992" priority="520" operator="containsText" text="VE">
      <formula>NOT(ISERROR(SEARCH("VE",AN422)))</formula>
    </cfRule>
  </conditionalFormatting>
  <conditionalFormatting sqref="AN431">
    <cfRule type="containsText" dxfId="991" priority="513" operator="containsText" text="AZ">
      <formula>NOT(ISERROR(SEARCH("AZ",AN431)))</formula>
    </cfRule>
    <cfRule type="containsText" dxfId="990" priority="514" operator="containsText" text="RO">
      <formula>NOT(ISERROR(SEARCH("RO",AN431)))</formula>
    </cfRule>
    <cfRule type="containsText" dxfId="989" priority="515" operator="containsText" text="AM">
      <formula>NOT(ISERROR(SEARCH("AM",AN431)))</formula>
    </cfRule>
    <cfRule type="containsText" dxfId="988" priority="516" operator="containsText" text="VE">
      <formula>NOT(ISERROR(SEARCH("VE",AN431)))</formula>
    </cfRule>
  </conditionalFormatting>
  <conditionalFormatting sqref="AN436">
    <cfRule type="containsText" dxfId="987" priority="509" operator="containsText" text="AZ">
      <formula>NOT(ISERROR(SEARCH("AZ",AN436)))</formula>
    </cfRule>
    <cfRule type="containsText" dxfId="986" priority="510" operator="containsText" text="RO">
      <formula>NOT(ISERROR(SEARCH("RO",AN436)))</formula>
    </cfRule>
    <cfRule type="containsText" dxfId="985" priority="511" operator="containsText" text="AM">
      <formula>NOT(ISERROR(SEARCH("AM",AN436)))</formula>
    </cfRule>
    <cfRule type="containsText" dxfId="984" priority="512" operator="containsText" text="VE">
      <formula>NOT(ISERROR(SEARCH("VE",AN436)))</formula>
    </cfRule>
  </conditionalFormatting>
  <conditionalFormatting sqref="AN437">
    <cfRule type="containsText" dxfId="983" priority="505" operator="containsText" text="AZ">
      <formula>NOT(ISERROR(SEARCH("AZ",AN437)))</formula>
    </cfRule>
    <cfRule type="containsText" dxfId="982" priority="506" operator="containsText" text="RO">
      <formula>NOT(ISERROR(SEARCH("RO",AN437)))</formula>
    </cfRule>
    <cfRule type="containsText" dxfId="981" priority="507" operator="containsText" text="AM">
      <formula>NOT(ISERROR(SEARCH("AM",AN437)))</formula>
    </cfRule>
    <cfRule type="containsText" dxfId="980" priority="508" operator="containsText" text="VE">
      <formula>NOT(ISERROR(SEARCH("VE",AN437)))</formula>
    </cfRule>
  </conditionalFormatting>
  <conditionalFormatting sqref="AN440">
    <cfRule type="containsText" dxfId="979" priority="501" operator="containsText" text="AZ">
      <formula>NOT(ISERROR(SEARCH("AZ",AN440)))</formula>
    </cfRule>
    <cfRule type="containsText" dxfId="978" priority="502" operator="containsText" text="RO">
      <formula>NOT(ISERROR(SEARCH("RO",AN440)))</formula>
    </cfRule>
    <cfRule type="containsText" dxfId="977" priority="503" operator="containsText" text="AM">
      <formula>NOT(ISERROR(SEARCH("AM",AN440)))</formula>
    </cfRule>
    <cfRule type="containsText" dxfId="976" priority="504" operator="containsText" text="VE">
      <formula>NOT(ISERROR(SEARCH("VE",AN440)))</formula>
    </cfRule>
  </conditionalFormatting>
  <conditionalFormatting sqref="AN444">
    <cfRule type="containsText" dxfId="975" priority="497" operator="containsText" text="AZ">
      <formula>NOT(ISERROR(SEARCH("AZ",AN444)))</formula>
    </cfRule>
    <cfRule type="containsText" dxfId="974" priority="498" operator="containsText" text="RO">
      <formula>NOT(ISERROR(SEARCH("RO",AN444)))</formula>
    </cfRule>
    <cfRule type="containsText" dxfId="973" priority="499" operator="containsText" text="AM">
      <formula>NOT(ISERROR(SEARCH("AM",AN444)))</formula>
    </cfRule>
    <cfRule type="containsText" dxfId="972" priority="500" operator="containsText" text="VE">
      <formula>NOT(ISERROR(SEARCH("VE",AN444)))</formula>
    </cfRule>
  </conditionalFormatting>
  <conditionalFormatting sqref="AN450">
    <cfRule type="containsText" dxfId="971" priority="493" operator="containsText" text="AZ">
      <formula>NOT(ISERROR(SEARCH("AZ",AN450)))</formula>
    </cfRule>
    <cfRule type="containsText" dxfId="970" priority="494" operator="containsText" text="RO">
      <formula>NOT(ISERROR(SEARCH("RO",AN450)))</formula>
    </cfRule>
    <cfRule type="containsText" dxfId="969" priority="495" operator="containsText" text="AM">
      <formula>NOT(ISERROR(SEARCH("AM",AN450)))</formula>
    </cfRule>
    <cfRule type="containsText" dxfId="968" priority="496" operator="containsText" text="VE">
      <formula>NOT(ISERROR(SEARCH("VE",AN450)))</formula>
    </cfRule>
  </conditionalFormatting>
  <conditionalFormatting sqref="AN451">
    <cfRule type="containsText" dxfId="967" priority="489" operator="containsText" text="AZ">
      <formula>NOT(ISERROR(SEARCH("AZ",AN451)))</formula>
    </cfRule>
    <cfRule type="containsText" dxfId="966" priority="490" operator="containsText" text="RO">
      <formula>NOT(ISERROR(SEARCH("RO",AN451)))</formula>
    </cfRule>
    <cfRule type="containsText" dxfId="965" priority="491" operator="containsText" text="AM">
      <formula>NOT(ISERROR(SEARCH("AM",AN451)))</formula>
    </cfRule>
    <cfRule type="containsText" dxfId="964" priority="492" operator="containsText" text="VE">
      <formula>NOT(ISERROR(SEARCH("VE",AN451)))</formula>
    </cfRule>
  </conditionalFormatting>
  <conditionalFormatting sqref="AN455:AN456">
    <cfRule type="containsText" dxfId="963" priority="485" operator="containsText" text="AZ">
      <formula>NOT(ISERROR(SEARCH("AZ",AN455)))</formula>
    </cfRule>
    <cfRule type="containsText" dxfId="962" priority="486" operator="containsText" text="RO">
      <formula>NOT(ISERROR(SEARCH("RO",AN455)))</formula>
    </cfRule>
    <cfRule type="containsText" dxfId="961" priority="487" operator="containsText" text="AM">
      <formula>NOT(ISERROR(SEARCH("AM",AN455)))</formula>
    </cfRule>
    <cfRule type="containsText" dxfId="960" priority="488" operator="containsText" text="VE">
      <formula>NOT(ISERROR(SEARCH("VE",AN455)))</formula>
    </cfRule>
  </conditionalFormatting>
  <conditionalFormatting sqref="AN464">
    <cfRule type="containsText" dxfId="959" priority="481" operator="containsText" text="AZ">
      <formula>NOT(ISERROR(SEARCH("AZ",AN464)))</formula>
    </cfRule>
    <cfRule type="containsText" dxfId="958" priority="482" operator="containsText" text="RO">
      <formula>NOT(ISERROR(SEARCH("RO",AN464)))</formula>
    </cfRule>
    <cfRule type="containsText" dxfId="957" priority="483" operator="containsText" text="AM">
      <formula>NOT(ISERROR(SEARCH("AM",AN464)))</formula>
    </cfRule>
    <cfRule type="containsText" dxfId="956" priority="484" operator="containsText" text="VE">
      <formula>NOT(ISERROR(SEARCH("VE",AN464)))</formula>
    </cfRule>
  </conditionalFormatting>
  <conditionalFormatting sqref="AN468">
    <cfRule type="containsText" dxfId="955" priority="477" operator="containsText" text="AZ">
      <formula>NOT(ISERROR(SEARCH("AZ",AN468)))</formula>
    </cfRule>
    <cfRule type="containsText" dxfId="954" priority="478" operator="containsText" text="RO">
      <formula>NOT(ISERROR(SEARCH("RO",AN468)))</formula>
    </cfRule>
    <cfRule type="containsText" dxfId="953" priority="479" operator="containsText" text="AM">
      <formula>NOT(ISERROR(SEARCH("AM",AN468)))</formula>
    </cfRule>
    <cfRule type="containsText" dxfId="952" priority="480" operator="containsText" text="VE">
      <formula>NOT(ISERROR(SEARCH("VE",AN468)))</formula>
    </cfRule>
  </conditionalFormatting>
  <conditionalFormatting sqref="AN472">
    <cfRule type="containsText" dxfId="951" priority="473" operator="containsText" text="AZ">
      <formula>NOT(ISERROR(SEARCH("AZ",AN472)))</formula>
    </cfRule>
    <cfRule type="containsText" dxfId="950" priority="474" operator="containsText" text="RO">
      <formula>NOT(ISERROR(SEARCH("RO",AN472)))</formula>
    </cfRule>
    <cfRule type="containsText" dxfId="949" priority="475" operator="containsText" text="AM">
      <formula>NOT(ISERROR(SEARCH("AM",AN472)))</formula>
    </cfRule>
    <cfRule type="containsText" dxfId="948" priority="476" operator="containsText" text="VE">
      <formula>NOT(ISERROR(SEARCH("VE",AN472)))</formula>
    </cfRule>
  </conditionalFormatting>
  <conditionalFormatting sqref="AN488">
    <cfRule type="containsText" dxfId="947" priority="469" operator="containsText" text="AZ">
      <formula>NOT(ISERROR(SEARCH("AZ",AN488)))</formula>
    </cfRule>
    <cfRule type="containsText" dxfId="946" priority="470" operator="containsText" text="RO">
      <formula>NOT(ISERROR(SEARCH("RO",AN488)))</formula>
    </cfRule>
    <cfRule type="containsText" dxfId="945" priority="471" operator="containsText" text="AM">
      <formula>NOT(ISERROR(SEARCH("AM",AN488)))</formula>
    </cfRule>
    <cfRule type="containsText" dxfId="944" priority="472" operator="containsText" text="VE">
      <formula>NOT(ISERROR(SEARCH("VE",AN488)))</formula>
    </cfRule>
  </conditionalFormatting>
  <conditionalFormatting sqref="AN491">
    <cfRule type="containsText" dxfId="943" priority="465" operator="containsText" text="AZ">
      <formula>NOT(ISERROR(SEARCH("AZ",AN491)))</formula>
    </cfRule>
    <cfRule type="containsText" dxfId="942" priority="466" operator="containsText" text="RO">
      <formula>NOT(ISERROR(SEARCH("RO",AN491)))</formula>
    </cfRule>
    <cfRule type="containsText" dxfId="941" priority="467" operator="containsText" text="AM">
      <formula>NOT(ISERROR(SEARCH("AM",AN491)))</formula>
    </cfRule>
    <cfRule type="containsText" dxfId="940" priority="468" operator="containsText" text="VE">
      <formula>NOT(ISERROR(SEARCH("VE",AN491)))</formula>
    </cfRule>
  </conditionalFormatting>
  <conditionalFormatting sqref="AN495">
    <cfRule type="containsText" dxfId="939" priority="461" operator="containsText" text="AZ">
      <formula>NOT(ISERROR(SEARCH("AZ",AN495)))</formula>
    </cfRule>
    <cfRule type="containsText" dxfId="938" priority="462" operator="containsText" text="RO">
      <formula>NOT(ISERROR(SEARCH("RO",AN495)))</formula>
    </cfRule>
    <cfRule type="containsText" dxfId="937" priority="463" operator="containsText" text="AM">
      <formula>NOT(ISERROR(SEARCH("AM",AN495)))</formula>
    </cfRule>
    <cfRule type="containsText" dxfId="936" priority="464" operator="containsText" text="VE">
      <formula>NOT(ISERROR(SEARCH("VE",AN495)))</formula>
    </cfRule>
  </conditionalFormatting>
  <conditionalFormatting sqref="AN496:AN497">
    <cfRule type="containsText" dxfId="935" priority="457" operator="containsText" text="AZ">
      <formula>NOT(ISERROR(SEARCH("AZ",AN496)))</formula>
    </cfRule>
    <cfRule type="containsText" dxfId="934" priority="458" operator="containsText" text="RO">
      <formula>NOT(ISERROR(SEARCH("RO",AN496)))</formula>
    </cfRule>
    <cfRule type="containsText" dxfId="933" priority="459" operator="containsText" text="AM">
      <formula>NOT(ISERROR(SEARCH("AM",AN496)))</formula>
    </cfRule>
    <cfRule type="containsText" dxfId="932" priority="460" operator="containsText" text="VE">
      <formula>NOT(ISERROR(SEARCH("VE",AN496)))</formula>
    </cfRule>
  </conditionalFormatting>
  <conditionalFormatting sqref="AN499">
    <cfRule type="containsText" dxfId="931" priority="453" operator="containsText" text="AZ">
      <formula>NOT(ISERROR(SEARCH("AZ",AN499)))</formula>
    </cfRule>
    <cfRule type="containsText" dxfId="930" priority="454" operator="containsText" text="RO">
      <formula>NOT(ISERROR(SEARCH("RO",AN499)))</formula>
    </cfRule>
    <cfRule type="containsText" dxfId="929" priority="455" operator="containsText" text="AM">
      <formula>NOT(ISERROR(SEARCH("AM",AN499)))</formula>
    </cfRule>
    <cfRule type="containsText" dxfId="928" priority="456" operator="containsText" text="VE">
      <formula>NOT(ISERROR(SEARCH("VE",AN499)))</formula>
    </cfRule>
  </conditionalFormatting>
  <conditionalFormatting sqref="AN500">
    <cfRule type="containsText" dxfId="927" priority="449" operator="containsText" text="AZ">
      <formula>NOT(ISERROR(SEARCH("AZ",AN500)))</formula>
    </cfRule>
    <cfRule type="containsText" dxfId="926" priority="450" operator="containsText" text="RO">
      <formula>NOT(ISERROR(SEARCH("RO",AN500)))</formula>
    </cfRule>
    <cfRule type="containsText" dxfId="925" priority="451" operator="containsText" text="AM">
      <formula>NOT(ISERROR(SEARCH("AM",AN500)))</formula>
    </cfRule>
    <cfRule type="containsText" dxfId="924" priority="452" operator="containsText" text="VE">
      <formula>NOT(ISERROR(SEARCH("VE",AN500)))</formula>
    </cfRule>
  </conditionalFormatting>
  <conditionalFormatting sqref="AN112">
    <cfRule type="containsText" dxfId="923" priority="445" operator="containsText" text="AZ">
      <formula>NOT(ISERROR(SEARCH("AZ",AN112)))</formula>
    </cfRule>
    <cfRule type="containsText" dxfId="922" priority="446" operator="containsText" text="RO">
      <formula>NOT(ISERROR(SEARCH("RO",AN112)))</formula>
    </cfRule>
    <cfRule type="containsText" dxfId="921" priority="447" operator="containsText" text="AM">
      <formula>NOT(ISERROR(SEARCH("AM",AN112)))</formula>
    </cfRule>
    <cfRule type="containsText" dxfId="920" priority="448" operator="containsText" text="VE">
      <formula>NOT(ISERROR(SEARCH("VE",AN112)))</formula>
    </cfRule>
  </conditionalFormatting>
  <conditionalFormatting sqref="AN113:AN114">
    <cfRule type="containsText" dxfId="919" priority="441" operator="containsText" text="AZ">
      <formula>NOT(ISERROR(SEARCH("AZ",AN113)))</formula>
    </cfRule>
    <cfRule type="containsText" dxfId="918" priority="442" operator="containsText" text="RO">
      <formula>NOT(ISERROR(SEARCH("RO",AN113)))</formula>
    </cfRule>
    <cfRule type="containsText" dxfId="917" priority="443" operator="containsText" text="AM">
      <formula>NOT(ISERROR(SEARCH("AM",AN113)))</formula>
    </cfRule>
    <cfRule type="containsText" dxfId="916" priority="444" operator="containsText" text="VE">
      <formula>NOT(ISERROR(SEARCH("VE",AN113)))</formula>
    </cfRule>
  </conditionalFormatting>
  <conditionalFormatting sqref="AN118">
    <cfRule type="containsText" dxfId="915" priority="437" operator="containsText" text="AZ">
      <formula>NOT(ISERROR(SEARCH("AZ",AN118)))</formula>
    </cfRule>
    <cfRule type="containsText" dxfId="914" priority="438" operator="containsText" text="RO">
      <formula>NOT(ISERROR(SEARCH("RO",AN118)))</formula>
    </cfRule>
    <cfRule type="containsText" dxfId="913" priority="439" operator="containsText" text="AM">
      <formula>NOT(ISERROR(SEARCH("AM",AN118)))</formula>
    </cfRule>
    <cfRule type="containsText" dxfId="912" priority="440" operator="containsText" text="VE">
      <formula>NOT(ISERROR(SEARCH("VE",AN118)))</formula>
    </cfRule>
  </conditionalFormatting>
  <conditionalFormatting sqref="AN124">
    <cfRule type="containsText" dxfId="911" priority="433" operator="containsText" text="AZ">
      <formula>NOT(ISERROR(SEARCH("AZ",AN124)))</formula>
    </cfRule>
    <cfRule type="containsText" dxfId="910" priority="434" operator="containsText" text="RO">
      <formula>NOT(ISERROR(SEARCH("RO",AN124)))</formula>
    </cfRule>
    <cfRule type="containsText" dxfId="909" priority="435" operator="containsText" text="AM">
      <formula>NOT(ISERROR(SEARCH("AM",AN124)))</formula>
    </cfRule>
    <cfRule type="containsText" dxfId="908" priority="436" operator="containsText" text="VE">
      <formula>NOT(ISERROR(SEARCH("VE",AN124)))</formula>
    </cfRule>
  </conditionalFormatting>
  <conditionalFormatting sqref="AN127">
    <cfRule type="containsText" dxfId="907" priority="429" operator="containsText" text="AZ">
      <formula>NOT(ISERROR(SEARCH("AZ",AN127)))</formula>
    </cfRule>
    <cfRule type="containsText" dxfId="906" priority="430" operator="containsText" text="RO">
      <formula>NOT(ISERROR(SEARCH("RO",AN127)))</formula>
    </cfRule>
    <cfRule type="containsText" dxfId="905" priority="431" operator="containsText" text="AM">
      <formula>NOT(ISERROR(SEARCH("AM",AN127)))</formula>
    </cfRule>
    <cfRule type="containsText" dxfId="904" priority="432" operator="containsText" text="VE">
      <formula>NOT(ISERROR(SEARCH("VE",AN127)))</formula>
    </cfRule>
  </conditionalFormatting>
  <conditionalFormatting sqref="AN134 AN136">
    <cfRule type="containsText" dxfId="903" priority="425" operator="containsText" text="AZ">
      <formula>NOT(ISERROR(SEARCH("AZ",AN134)))</formula>
    </cfRule>
    <cfRule type="containsText" dxfId="902" priority="426" operator="containsText" text="RO">
      <formula>NOT(ISERROR(SEARCH("RO",AN134)))</formula>
    </cfRule>
    <cfRule type="containsText" dxfId="901" priority="427" operator="containsText" text="AM">
      <formula>NOT(ISERROR(SEARCH("AM",AN134)))</formula>
    </cfRule>
    <cfRule type="containsText" dxfId="900" priority="428" operator="containsText" text="VE">
      <formula>NOT(ISERROR(SEARCH("VE",AN134)))</formula>
    </cfRule>
  </conditionalFormatting>
  <conditionalFormatting sqref="AN139">
    <cfRule type="containsText" dxfId="899" priority="421" operator="containsText" text="AZ">
      <formula>NOT(ISERROR(SEARCH("AZ",AN139)))</formula>
    </cfRule>
    <cfRule type="containsText" dxfId="898" priority="422" operator="containsText" text="RO">
      <formula>NOT(ISERROR(SEARCH("RO",AN139)))</formula>
    </cfRule>
    <cfRule type="containsText" dxfId="897" priority="423" operator="containsText" text="AM">
      <formula>NOT(ISERROR(SEARCH("AM",AN139)))</formula>
    </cfRule>
    <cfRule type="containsText" dxfId="896" priority="424" operator="containsText" text="VE">
      <formula>NOT(ISERROR(SEARCH("VE",AN139)))</formula>
    </cfRule>
  </conditionalFormatting>
  <conditionalFormatting sqref="AN140">
    <cfRule type="containsText" dxfId="895" priority="417" operator="containsText" text="AZ">
      <formula>NOT(ISERROR(SEARCH("AZ",AN140)))</formula>
    </cfRule>
    <cfRule type="containsText" dxfId="894" priority="418" operator="containsText" text="RO">
      <formula>NOT(ISERROR(SEARCH("RO",AN140)))</formula>
    </cfRule>
    <cfRule type="containsText" dxfId="893" priority="419" operator="containsText" text="AM">
      <formula>NOT(ISERROR(SEARCH("AM",AN140)))</formula>
    </cfRule>
    <cfRule type="containsText" dxfId="892" priority="420" operator="containsText" text="VE">
      <formula>NOT(ISERROR(SEARCH("VE",AN140)))</formula>
    </cfRule>
  </conditionalFormatting>
  <conditionalFormatting sqref="AN145">
    <cfRule type="containsText" dxfId="891" priority="413" operator="containsText" text="AZ">
      <formula>NOT(ISERROR(SEARCH("AZ",AN145)))</formula>
    </cfRule>
    <cfRule type="containsText" dxfId="890" priority="414" operator="containsText" text="RO">
      <formula>NOT(ISERROR(SEARCH("RO",AN145)))</formula>
    </cfRule>
    <cfRule type="containsText" dxfId="889" priority="415" operator="containsText" text="AM">
      <formula>NOT(ISERROR(SEARCH("AM",AN145)))</formula>
    </cfRule>
    <cfRule type="containsText" dxfId="888" priority="416" operator="containsText" text="VE">
      <formula>NOT(ISERROR(SEARCH("VE",AN145)))</formula>
    </cfRule>
  </conditionalFormatting>
  <conditionalFormatting sqref="AN155">
    <cfRule type="containsText" dxfId="887" priority="409" operator="containsText" text="AZ">
      <formula>NOT(ISERROR(SEARCH("AZ",AN155)))</formula>
    </cfRule>
    <cfRule type="containsText" dxfId="886" priority="410" operator="containsText" text="RO">
      <formula>NOT(ISERROR(SEARCH("RO",AN155)))</formula>
    </cfRule>
    <cfRule type="containsText" dxfId="885" priority="411" operator="containsText" text="AM">
      <formula>NOT(ISERROR(SEARCH("AM",AN155)))</formula>
    </cfRule>
    <cfRule type="containsText" dxfId="884" priority="412" operator="containsText" text="VE">
      <formula>NOT(ISERROR(SEARCH("VE",AN155)))</formula>
    </cfRule>
  </conditionalFormatting>
  <conditionalFormatting sqref="AN237">
    <cfRule type="containsText" dxfId="883" priority="405" operator="containsText" text="AZ">
      <formula>NOT(ISERROR(SEARCH("AZ",AN237)))</formula>
    </cfRule>
    <cfRule type="containsText" dxfId="882" priority="406" operator="containsText" text="RO">
      <formula>NOT(ISERROR(SEARCH("RO",AN237)))</formula>
    </cfRule>
    <cfRule type="containsText" dxfId="881" priority="407" operator="containsText" text="AM">
      <formula>NOT(ISERROR(SEARCH("AM",AN237)))</formula>
    </cfRule>
    <cfRule type="containsText" dxfId="880" priority="408" operator="containsText" text="VE">
      <formula>NOT(ISERROR(SEARCH("VE",AN237)))</formula>
    </cfRule>
  </conditionalFormatting>
  <conditionalFormatting sqref="AN238">
    <cfRule type="containsText" dxfId="879" priority="401" operator="containsText" text="AZ">
      <formula>NOT(ISERROR(SEARCH("AZ",AN238)))</formula>
    </cfRule>
    <cfRule type="containsText" dxfId="878" priority="402" operator="containsText" text="RO">
      <formula>NOT(ISERROR(SEARCH("RO",AN238)))</formula>
    </cfRule>
    <cfRule type="containsText" dxfId="877" priority="403" operator="containsText" text="AM">
      <formula>NOT(ISERROR(SEARCH("AM",AN238)))</formula>
    </cfRule>
    <cfRule type="containsText" dxfId="876" priority="404" operator="containsText" text="VE">
      <formula>NOT(ISERROR(SEARCH("VE",AN238)))</formula>
    </cfRule>
  </conditionalFormatting>
  <conditionalFormatting sqref="AN297:AN299">
    <cfRule type="containsText" dxfId="875" priority="397" operator="containsText" text="AZ">
      <formula>NOT(ISERROR(SEARCH("AZ",AN297)))</formula>
    </cfRule>
    <cfRule type="containsText" dxfId="874" priority="398" operator="containsText" text="RO">
      <formula>NOT(ISERROR(SEARCH("RO",AN297)))</formula>
    </cfRule>
    <cfRule type="containsText" dxfId="873" priority="399" operator="containsText" text="AM">
      <formula>NOT(ISERROR(SEARCH("AM",AN297)))</formula>
    </cfRule>
    <cfRule type="containsText" dxfId="872" priority="400" operator="containsText" text="VE">
      <formula>NOT(ISERROR(SEARCH("VE",AN297)))</formula>
    </cfRule>
  </conditionalFormatting>
  <conditionalFormatting sqref="AN301">
    <cfRule type="containsText" dxfId="871" priority="393" operator="containsText" text="AZ">
      <formula>NOT(ISERROR(SEARCH("AZ",AN301)))</formula>
    </cfRule>
    <cfRule type="containsText" dxfId="870" priority="394" operator="containsText" text="RO">
      <formula>NOT(ISERROR(SEARCH("RO",AN301)))</formula>
    </cfRule>
    <cfRule type="containsText" dxfId="869" priority="395" operator="containsText" text="AM">
      <formula>NOT(ISERROR(SEARCH("AM",AN301)))</formula>
    </cfRule>
    <cfRule type="containsText" dxfId="868" priority="396" operator="containsText" text="VE">
      <formula>NOT(ISERROR(SEARCH("VE",AN301)))</formula>
    </cfRule>
  </conditionalFormatting>
  <conditionalFormatting sqref="AN310">
    <cfRule type="containsText" dxfId="867" priority="389" operator="containsText" text="AZ">
      <formula>NOT(ISERROR(SEARCH("AZ",AN310)))</formula>
    </cfRule>
    <cfRule type="containsText" dxfId="866" priority="390" operator="containsText" text="RO">
      <formula>NOT(ISERROR(SEARCH("RO",AN310)))</formula>
    </cfRule>
    <cfRule type="containsText" dxfId="865" priority="391" operator="containsText" text="AM">
      <formula>NOT(ISERROR(SEARCH("AM",AN310)))</formula>
    </cfRule>
    <cfRule type="containsText" dxfId="864" priority="392" operator="containsText" text="VE">
      <formula>NOT(ISERROR(SEARCH("VE",AN310)))</formula>
    </cfRule>
  </conditionalFormatting>
  <conditionalFormatting sqref="AN312:AN314">
    <cfRule type="containsText" dxfId="863" priority="385" operator="containsText" text="AZ">
      <formula>NOT(ISERROR(SEARCH("AZ",AN312)))</formula>
    </cfRule>
    <cfRule type="containsText" dxfId="862" priority="386" operator="containsText" text="RO">
      <formula>NOT(ISERROR(SEARCH("RO",AN312)))</formula>
    </cfRule>
    <cfRule type="containsText" dxfId="861" priority="387" operator="containsText" text="AM">
      <formula>NOT(ISERROR(SEARCH("AM",AN312)))</formula>
    </cfRule>
    <cfRule type="containsText" dxfId="860" priority="388" operator="containsText" text="VE">
      <formula>NOT(ISERROR(SEARCH("VE",AN312)))</formula>
    </cfRule>
  </conditionalFormatting>
  <conditionalFormatting sqref="AN316">
    <cfRule type="containsText" dxfId="859" priority="381" operator="containsText" text="AZ">
      <formula>NOT(ISERROR(SEARCH("AZ",AN316)))</formula>
    </cfRule>
    <cfRule type="containsText" dxfId="858" priority="382" operator="containsText" text="RO">
      <formula>NOT(ISERROR(SEARCH("RO",AN316)))</formula>
    </cfRule>
    <cfRule type="containsText" dxfId="857" priority="383" operator="containsText" text="AM">
      <formula>NOT(ISERROR(SEARCH("AM",AN316)))</formula>
    </cfRule>
    <cfRule type="containsText" dxfId="856" priority="384" operator="containsText" text="VE">
      <formula>NOT(ISERROR(SEARCH("VE",AN316)))</formula>
    </cfRule>
  </conditionalFormatting>
  <conditionalFormatting sqref="AN319">
    <cfRule type="containsText" dxfId="855" priority="377" operator="containsText" text="AZ">
      <formula>NOT(ISERROR(SEARCH("AZ",AN319)))</formula>
    </cfRule>
    <cfRule type="containsText" dxfId="854" priority="378" operator="containsText" text="RO">
      <formula>NOT(ISERROR(SEARCH("RO",AN319)))</formula>
    </cfRule>
    <cfRule type="containsText" dxfId="853" priority="379" operator="containsText" text="AM">
      <formula>NOT(ISERROR(SEARCH("AM",AN319)))</formula>
    </cfRule>
    <cfRule type="containsText" dxfId="852" priority="380" operator="containsText" text="VE">
      <formula>NOT(ISERROR(SEARCH("VE",AN319)))</formula>
    </cfRule>
  </conditionalFormatting>
  <conditionalFormatting sqref="AN321">
    <cfRule type="containsText" dxfId="851" priority="373" operator="containsText" text="AZ">
      <formula>NOT(ISERROR(SEARCH("AZ",AN321)))</formula>
    </cfRule>
    <cfRule type="containsText" dxfId="850" priority="374" operator="containsText" text="RO">
      <formula>NOT(ISERROR(SEARCH("RO",AN321)))</formula>
    </cfRule>
    <cfRule type="containsText" dxfId="849" priority="375" operator="containsText" text="AM">
      <formula>NOT(ISERROR(SEARCH("AM",AN321)))</formula>
    </cfRule>
    <cfRule type="containsText" dxfId="848" priority="376" operator="containsText" text="VE">
      <formula>NOT(ISERROR(SEARCH("VE",AN321)))</formula>
    </cfRule>
  </conditionalFormatting>
  <conditionalFormatting sqref="AN322:AN324">
    <cfRule type="containsText" dxfId="847" priority="369" operator="containsText" text="AZ">
      <formula>NOT(ISERROR(SEARCH("AZ",AN322)))</formula>
    </cfRule>
    <cfRule type="containsText" dxfId="846" priority="370" operator="containsText" text="RO">
      <formula>NOT(ISERROR(SEARCH("RO",AN322)))</formula>
    </cfRule>
    <cfRule type="containsText" dxfId="845" priority="371" operator="containsText" text="AM">
      <formula>NOT(ISERROR(SEARCH("AM",AN322)))</formula>
    </cfRule>
    <cfRule type="containsText" dxfId="844" priority="372" operator="containsText" text="VE">
      <formula>NOT(ISERROR(SEARCH("VE",AN322)))</formula>
    </cfRule>
  </conditionalFormatting>
  <conditionalFormatting sqref="AN326:AN328">
    <cfRule type="containsText" dxfId="843" priority="365" operator="containsText" text="AZ">
      <formula>NOT(ISERROR(SEARCH("AZ",AN326)))</formula>
    </cfRule>
    <cfRule type="containsText" dxfId="842" priority="366" operator="containsText" text="RO">
      <formula>NOT(ISERROR(SEARCH("RO",AN326)))</formula>
    </cfRule>
    <cfRule type="containsText" dxfId="841" priority="367" operator="containsText" text="AM">
      <formula>NOT(ISERROR(SEARCH("AM",AN326)))</formula>
    </cfRule>
    <cfRule type="containsText" dxfId="840" priority="368" operator="containsText" text="VE">
      <formula>NOT(ISERROR(SEARCH("VE",AN326)))</formula>
    </cfRule>
  </conditionalFormatting>
  <conditionalFormatting sqref="AN346">
    <cfRule type="containsText" dxfId="839" priority="349" operator="containsText" text="AZ">
      <formula>NOT(ISERROR(SEARCH("AZ",AN346)))</formula>
    </cfRule>
    <cfRule type="containsText" dxfId="838" priority="350" operator="containsText" text="RO">
      <formula>NOT(ISERROR(SEARCH("RO",AN346)))</formula>
    </cfRule>
    <cfRule type="containsText" dxfId="837" priority="351" operator="containsText" text="AM">
      <formula>NOT(ISERROR(SEARCH("AM",AN346)))</formula>
    </cfRule>
    <cfRule type="containsText" dxfId="836" priority="352" operator="containsText" text="VE">
      <formula>NOT(ISERROR(SEARCH("VE",AN346)))</formula>
    </cfRule>
  </conditionalFormatting>
  <conditionalFormatting sqref="AN361">
    <cfRule type="containsText" dxfId="835" priority="345" operator="containsText" text="AZ">
      <formula>NOT(ISERROR(SEARCH("AZ",AN361)))</formula>
    </cfRule>
    <cfRule type="containsText" dxfId="834" priority="346" operator="containsText" text="RO">
      <formula>NOT(ISERROR(SEARCH("RO",AN361)))</formula>
    </cfRule>
    <cfRule type="containsText" dxfId="833" priority="347" operator="containsText" text="AM">
      <formula>NOT(ISERROR(SEARCH("AM",AN361)))</formula>
    </cfRule>
    <cfRule type="containsText" dxfId="832" priority="348" operator="containsText" text="VE">
      <formula>NOT(ISERROR(SEARCH("VE",AN361)))</formula>
    </cfRule>
  </conditionalFormatting>
  <conditionalFormatting sqref="AN368">
    <cfRule type="containsText" dxfId="831" priority="341" operator="containsText" text="AZ">
      <formula>NOT(ISERROR(SEARCH("AZ",AN368)))</formula>
    </cfRule>
    <cfRule type="containsText" dxfId="830" priority="342" operator="containsText" text="RO">
      <formula>NOT(ISERROR(SEARCH("RO",AN368)))</formula>
    </cfRule>
    <cfRule type="containsText" dxfId="829" priority="343" operator="containsText" text="AM">
      <formula>NOT(ISERROR(SEARCH("AM",AN368)))</formula>
    </cfRule>
    <cfRule type="containsText" dxfId="828" priority="344" operator="containsText" text="VE">
      <formula>NOT(ISERROR(SEARCH("VE",AN368)))</formula>
    </cfRule>
  </conditionalFormatting>
  <conditionalFormatting sqref="AN370">
    <cfRule type="containsText" dxfId="827" priority="337" operator="containsText" text="AZ">
      <formula>NOT(ISERROR(SEARCH("AZ",AN370)))</formula>
    </cfRule>
    <cfRule type="containsText" dxfId="826" priority="338" operator="containsText" text="RO">
      <formula>NOT(ISERROR(SEARCH("RO",AN370)))</formula>
    </cfRule>
    <cfRule type="containsText" dxfId="825" priority="339" operator="containsText" text="AM">
      <formula>NOT(ISERROR(SEARCH("AM",AN370)))</formula>
    </cfRule>
    <cfRule type="containsText" dxfId="824" priority="340" operator="containsText" text="VE">
      <formula>NOT(ISERROR(SEARCH("VE",AN370)))</formula>
    </cfRule>
  </conditionalFormatting>
  <conditionalFormatting sqref="AN372:AN374">
    <cfRule type="containsText" dxfId="823" priority="333" operator="containsText" text="AZ">
      <formula>NOT(ISERROR(SEARCH("AZ",AN372)))</formula>
    </cfRule>
    <cfRule type="containsText" dxfId="822" priority="334" operator="containsText" text="RO">
      <formula>NOT(ISERROR(SEARCH("RO",AN372)))</formula>
    </cfRule>
    <cfRule type="containsText" dxfId="821" priority="335" operator="containsText" text="AM">
      <formula>NOT(ISERROR(SEARCH("AM",AN372)))</formula>
    </cfRule>
    <cfRule type="containsText" dxfId="820" priority="336" operator="containsText" text="VE">
      <formula>NOT(ISERROR(SEARCH("VE",AN372)))</formula>
    </cfRule>
  </conditionalFormatting>
  <conditionalFormatting sqref="AN411:AN412">
    <cfRule type="containsText" dxfId="819" priority="329" operator="containsText" text="AZ">
      <formula>NOT(ISERROR(SEARCH("AZ",AN411)))</formula>
    </cfRule>
    <cfRule type="containsText" dxfId="818" priority="330" operator="containsText" text="RO">
      <formula>NOT(ISERROR(SEARCH("RO",AN411)))</formula>
    </cfRule>
    <cfRule type="containsText" dxfId="817" priority="331" operator="containsText" text="AM">
      <formula>NOT(ISERROR(SEARCH("AM",AN411)))</formula>
    </cfRule>
    <cfRule type="containsText" dxfId="816" priority="332" operator="containsText" text="VE">
      <formula>NOT(ISERROR(SEARCH("VE",AN411)))</formula>
    </cfRule>
  </conditionalFormatting>
  <conditionalFormatting sqref="AN430">
    <cfRule type="containsText" dxfId="815" priority="325" operator="containsText" text="AZ">
      <formula>NOT(ISERROR(SEARCH("AZ",AN430)))</formula>
    </cfRule>
    <cfRule type="containsText" dxfId="814" priority="326" operator="containsText" text="RO">
      <formula>NOT(ISERROR(SEARCH("RO",AN430)))</formula>
    </cfRule>
    <cfRule type="containsText" dxfId="813" priority="327" operator="containsText" text="AM">
      <formula>NOT(ISERROR(SEARCH("AM",AN430)))</formula>
    </cfRule>
    <cfRule type="containsText" dxfId="812" priority="328" operator="containsText" text="VE">
      <formula>NOT(ISERROR(SEARCH("VE",AN430)))</formula>
    </cfRule>
  </conditionalFormatting>
  <conditionalFormatting sqref="AN445">
    <cfRule type="containsText" dxfId="811" priority="321" operator="containsText" text="AZ">
      <formula>NOT(ISERROR(SEARCH("AZ",AN445)))</formula>
    </cfRule>
    <cfRule type="containsText" dxfId="810" priority="322" operator="containsText" text="RO">
      <formula>NOT(ISERROR(SEARCH("RO",AN445)))</formula>
    </cfRule>
    <cfRule type="containsText" dxfId="809" priority="323" operator="containsText" text="AM">
      <formula>NOT(ISERROR(SEARCH("AM",AN445)))</formula>
    </cfRule>
    <cfRule type="containsText" dxfId="808" priority="324" operator="containsText" text="VE">
      <formula>NOT(ISERROR(SEARCH("VE",AN445)))</formula>
    </cfRule>
  </conditionalFormatting>
  <conditionalFormatting sqref="AN452:AN453">
    <cfRule type="containsText" dxfId="807" priority="317" operator="containsText" text="AZ">
      <formula>NOT(ISERROR(SEARCH("AZ",AN452)))</formula>
    </cfRule>
    <cfRule type="containsText" dxfId="806" priority="318" operator="containsText" text="RO">
      <formula>NOT(ISERROR(SEARCH("RO",AN452)))</formula>
    </cfRule>
    <cfRule type="containsText" dxfId="805" priority="319" operator="containsText" text="AM">
      <formula>NOT(ISERROR(SEARCH("AM",AN452)))</formula>
    </cfRule>
    <cfRule type="containsText" dxfId="804" priority="320" operator="containsText" text="VE">
      <formula>NOT(ISERROR(SEARCH("VE",AN452)))</formula>
    </cfRule>
  </conditionalFormatting>
  <conditionalFormatting sqref="AN457:AN458">
    <cfRule type="containsText" dxfId="803" priority="313" operator="containsText" text="AZ">
      <formula>NOT(ISERROR(SEARCH("AZ",AN457)))</formula>
    </cfRule>
    <cfRule type="containsText" dxfId="802" priority="314" operator="containsText" text="RO">
      <formula>NOT(ISERROR(SEARCH("RO",AN457)))</formula>
    </cfRule>
    <cfRule type="containsText" dxfId="801" priority="315" operator="containsText" text="AM">
      <formula>NOT(ISERROR(SEARCH("AM",AN457)))</formula>
    </cfRule>
    <cfRule type="containsText" dxfId="800" priority="316" operator="containsText" text="VE">
      <formula>NOT(ISERROR(SEARCH("VE",AN457)))</formula>
    </cfRule>
  </conditionalFormatting>
  <conditionalFormatting sqref="AN460:AN461">
    <cfRule type="containsText" dxfId="799" priority="309" operator="containsText" text="AZ">
      <formula>NOT(ISERROR(SEARCH("AZ",AN460)))</formula>
    </cfRule>
    <cfRule type="containsText" dxfId="798" priority="310" operator="containsText" text="RO">
      <formula>NOT(ISERROR(SEARCH("RO",AN460)))</formula>
    </cfRule>
    <cfRule type="containsText" dxfId="797" priority="311" operator="containsText" text="AM">
      <formula>NOT(ISERROR(SEARCH("AM",AN460)))</formula>
    </cfRule>
    <cfRule type="containsText" dxfId="796" priority="312" operator="containsText" text="VE">
      <formula>NOT(ISERROR(SEARCH("VE",AN460)))</formula>
    </cfRule>
  </conditionalFormatting>
  <conditionalFormatting sqref="AN465:AN467">
    <cfRule type="containsText" dxfId="795" priority="305" operator="containsText" text="AZ">
      <formula>NOT(ISERROR(SEARCH("AZ",AN465)))</formula>
    </cfRule>
    <cfRule type="containsText" dxfId="794" priority="306" operator="containsText" text="RO">
      <formula>NOT(ISERROR(SEARCH("RO",AN465)))</formula>
    </cfRule>
    <cfRule type="containsText" dxfId="793" priority="307" operator="containsText" text="AM">
      <formula>NOT(ISERROR(SEARCH("AM",AN465)))</formula>
    </cfRule>
    <cfRule type="containsText" dxfId="792" priority="308" operator="containsText" text="VE">
      <formula>NOT(ISERROR(SEARCH("VE",AN465)))</formula>
    </cfRule>
  </conditionalFormatting>
  <conditionalFormatting sqref="AN469">
    <cfRule type="containsText" dxfId="791" priority="301" operator="containsText" text="AZ">
      <formula>NOT(ISERROR(SEARCH("AZ",AN469)))</formula>
    </cfRule>
    <cfRule type="containsText" dxfId="790" priority="302" operator="containsText" text="RO">
      <formula>NOT(ISERROR(SEARCH("RO",AN469)))</formula>
    </cfRule>
    <cfRule type="containsText" dxfId="789" priority="303" operator="containsText" text="AM">
      <formula>NOT(ISERROR(SEARCH("AM",AN469)))</formula>
    </cfRule>
    <cfRule type="containsText" dxfId="788" priority="304" operator="containsText" text="VE">
      <formula>NOT(ISERROR(SEARCH("VE",AN469)))</formula>
    </cfRule>
  </conditionalFormatting>
  <conditionalFormatting sqref="AN471">
    <cfRule type="containsText" dxfId="787" priority="297" operator="containsText" text="AZ">
      <formula>NOT(ISERROR(SEARCH("AZ",AN471)))</formula>
    </cfRule>
    <cfRule type="containsText" dxfId="786" priority="298" operator="containsText" text="RO">
      <formula>NOT(ISERROR(SEARCH("RO",AN471)))</formula>
    </cfRule>
    <cfRule type="containsText" dxfId="785" priority="299" operator="containsText" text="AM">
      <formula>NOT(ISERROR(SEARCH("AM",AN471)))</formula>
    </cfRule>
    <cfRule type="containsText" dxfId="784" priority="300" operator="containsText" text="VE">
      <formula>NOT(ISERROR(SEARCH("VE",AN471)))</formula>
    </cfRule>
  </conditionalFormatting>
  <conditionalFormatting sqref="AN473">
    <cfRule type="containsText" dxfId="783" priority="293" operator="containsText" text="AZ">
      <formula>NOT(ISERROR(SEARCH("AZ",AN473)))</formula>
    </cfRule>
    <cfRule type="containsText" dxfId="782" priority="294" operator="containsText" text="RO">
      <formula>NOT(ISERROR(SEARCH("RO",AN473)))</formula>
    </cfRule>
    <cfRule type="containsText" dxfId="781" priority="295" operator="containsText" text="AM">
      <formula>NOT(ISERROR(SEARCH("AM",AN473)))</formula>
    </cfRule>
    <cfRule type="containsText" dxfId="780" priority="296" operator="containsText" text="VE">
      <formula>NOT(ISERROR(SEARCH("VE",AN473)))</formula>
    </cfRule>
  </conditionalFormatting>
  <conditionalFormatting sqref="AN490">
    <cfRule type="containsText" dxfId="779" priority="289" operator="containsText" text="AZ">
      <formula>NOT(ISERROR(SEARCH("AZ",AN490)))</formula>
    </cfRule>
    <cfRule type="containsText" dxfId="778" priority="290" operator="containsText" text="RO">
      <formula>NOT(ISERROR(SEARCH("RO",AN490)))</formula>
    </cfRule>
    <cfRule type="containsText" dxfId="777" priority="291" operator="containsText" text="AM">
      <formula>NOT(ISERROR(SEARCH("AM",AN490)))</formula>
    </cfRule>
    <cfRule type="containsText" dxfId="776" priority="292" operator="containsText" text="VE">
      <formula>NOT(ISERROR(SEARCH("VE",AN490)))</formula>
    </cfRule>
  </conditionalFormatting>
  <conditionalFormatting sqref="AN487">
    <cfRule type="containsText" dxfId="775" priority="285" operator="containsText" text="AZ">
      <formula>NOT(ISERROR(SEARCH("AZ",AN487)))</formula>
    </cfRule>
    <cfRule type="containsText" dxfId="774" priority="286" operator="containsText" text="RO">
      <formula>NOT(ISERROR(SEARCH("RO",AN487)))</formula>
    </cfRule>
    <cfRule type="containsText" dxfId="773" priority="287" operator="containsText" text="AM">
      <formula>NOT(ISERROR(SEARCH("AM",AN487)))</formula>
    </cfRule>
    <cfRule type="containsText" dxfId="772" priority="288" operator="containsText" text="VE">
      <formula>NOT(ISERROR(SEARCH("VE",AN487)))</formula>
    </cfRule>
  </conditionalFormatting>
  <conditionalFormatting sqref="AN486">
    <cfRule type="containsText" dxfId="771" priority="281" operator="containsText" text="AZ">
      <formula>NOT(ISERROR(SEARCH("AZ",AN486)))</formula>
    </cfRule>
    <cfRule type="containsText" dxfId="770" priority="282" operator="containsText" text="RO">
      <formula>NOT(ISERROR(SEARCH("RO",AN486)))</formula>
    </cfRule>
    <cfRule type="containsText" dxfId="769" priority="283" operator="containsText" text="AM">
      <formula>NOT(ISERROR(SEARCH("AM",AN486)))</formula>
    </cfRule>
    <cfRule type="containsText" dxfId="768" priority="284" operator="containsText" text="VE">
      <formula>NOT(ISERROR(SEARCH("VE",AN486)))</formula>
    </cfRule>
  </conditionalFormatting>
  <conditionalFormatting sqref="AN476">
    <cfRule type="containsText" dxfId="767" priority="277" operator="containsText" text="AZ">
      <formula>NOT(ISERROR(SEARCH("AZ",AN476)))</formula>
    </cfRule>
    <cfRule type="containsText" dxfId="766" priority="278" operator="containsText" text="RO">
      <formula>NOT(ISERROR(SEARCH("RO",AN476)))</formula>
    </cfRule>
    <cfRule type="containsText" dxfId="765" priority="279" operator="containsText" text="AM">
      <formula>NOT(ISERROR(SEARCH("AM",AN476)))</formula>
    </cfRule>
    <cfRule type="containsText" dxfId="764" priority="280" operator="containsText" text="VE">
      <formula>NOT(ISERROR(SEARCH("VE",AN476)))</formula>
    </cfRule>
  </conditionalFormatting>
  <conditionalFormatting sqref="AN119">
    <cfRule type="containsText" dxfId="763" priority="273" operator="containsText" text="AZ">
      <formula>NOT(ISERROR(SEARCH("AZ",AN119)))</formula>
    </cfRule>
    <cfRule type="containsText" dxfId="762" priority="274" operator="containsText" text="RO">
      <formula>NOT(ISERROR(SEARCH("RO",AN119)))</formula>
    </cfRule>
    <cfRule type="containsText" dxfId="761" priority="275" operator="containsText" text="AM">
      <formula>NOT(ISERROR(SEARCH("AM",AN119)))</formula>
    </cfRule>
    <cfRule type="containsText" dxfId="760" priority="276" operator="containsText" text="VE">
      <formula>NOT(ISERROR(SEARCH("VE",AN119)))</formula>
    </cfRule>
  </conditionalFormatting>
  <conditionalFormatting sqref="AN125:AN126">
    <cfRule type="containsText" dxfId="759" priority="269" operator="containsText" text="AZ">
      <formula>NOT(ISERROR(SEARCH("AZ",AN125)))</formula>
    </cfRule>
    <cfRule type="containsText" dxfId="758" priority="270" operator="containsText" text="RO">
      <formula>NOT(ISERROR(SEARCH("RO",AN125)))</formula>
    </cfRule>
    <cfRule type="containsText" dxfId="757" priority="271" operator="containsText" text="AM">
      <formula>NOT(ISERROR(SEARCH("AM",AN125)))</formula>
    </cfRule>
    <cfRule type="containsText" dxfId="756" priority="272" operator="containsText" text="VE">
      <formula>NOT(ISERROR(SEARCH("VE",AN125)))</formula>
    </cfRule>
  </conditionalFormatting>
  <conditionalFormatting sqref="AN128">
    <cfRule type="containsText" dxfId="755" priority="265" operator="containsText" text="AZ">
      <formula>NOT(ISERROR(SEARCH("AZ",AN128)))</formula>
    </cfRule>
    <cfRule type="containsText" dxfId="754" priority="266" operator="containsText" text="RO">
      <formula>NOT(ISERROR(SEARCH("RO",AN128)))</formula>
    </cfRule>
    <cfRule type="containsText" dxfId="753" priority="267" operator="containsText" text="AM">
      <formula>NOT(ISERROR(SEARCH("AM",AN128)))</formula>
    </cfRule>
    <cfRule type="containsText" dxfId="752" priority="268" operator="containsText" text="VE">
      <formula>NOT(ISERROR(SEARCH("VE",AN128)))</formula>
    </cfRule>
  </conditionalFormatting>
  <conditionalFormatting sqref="AN129">
    <cfRule type="containsText" dxfId="751" priority="261" operator="containsText" text="AZ">
      <formula>NOT(ISERROR(SEARCH("AZ",AN129)))</formula>
    </cfRule>
    <cfRule type="containsText" dxfId="750" priority="262" operator="containsText" text="RO">
      <formula>NOT(ISERROR(SEARCH("RO",AN129)))</formula>
    </cfRule>
    <cfRule type="containsText" dxfId="749" priority="263" operator="containsText" text="AM">
      <formula>NOT(ISERROR(SEARCH("AM",AN129)))</formula>
    </cfRule>
    <cfRule type="containsText" dxfId="748" priority="264" operator="containsText" text="VE">
      <formula>NOT(ISERROR(SEARCH("VE",AN129)))</formula>
    </cfRule>
  </conditionalFormatting>
  <conditionalFormatting sqref="AN146">
    <cfRule type="containsText" dxfId="747" priority="257" operator="containsText" text="AZ">
      <formula>NOT(ISERROR(SEARCH("AZ",AN146)))</formula>
    </cfRule>
    <cfRule type="containsText" dxfId="746" priority="258" operator="containsText" text="RO">
      <formula>NOT(ISERROR(SEARCH("RO",AN146)))</formula>
    </cfRule>
    <cfRule type="containsText" dxfId="745" priority="259" operator="containsText" text="AM">
      <formula>NOT(ISERROR(SEARCH("AM",AN146)))</formula>
    </cfRule>
    <cfRule type="containsText" dxfId="744" priority="260" operator="containsText" text="VE">
      <formula>NOT(ISERROR(SEARCH("VE",AN146)))</formula>
    </cfRule>
  </conditionalFormatting>
  <conditionalFormatting sqref="AN150">
    <cfRule type="containsText" dxfId="743" priority="253" operator="containsText" text="AZ">
      <formula>NOT(ISERROR(SEARCH("AZ",AN150)))</formula>
    </cfRule>
    <cfRule type="containsText" dxfId="742" priority="254" operator="containsText" text="RO">
      <formula>NOT(ISERROR(SEARCH("RO",AN150)))</formula>
    </cfRule>
    <cfRule type="containsText" dxfId="741" priority="255" operator="containsText" text="AM">
      <formula>NOT(ISERROR(SEARCH("AM",AN150)))</formula>
    </cfRule>
    <cfRule type="containsText" dxfId="740" priority="256" operator="containsText" text="VE">
      <formula>NOT(ISERROR(SEARCH("VE",AN150)))</formula>
    </cfRule>
  </conditionalFormatting>
  <conditionalFormatting sqref="AN153">
    <cfRule type="containsText" dxfId="739" priority="249" operator="containsText" text="AZ">
      <formula>NOT(ISERROR(SEARCH("AZ",AN153)))</formula>
    </cfRule>
    <cfRule type="containsText" dxfId="738" priority="250" operator="containsText" text="RO">
      <formula>NOT(ISERROR(SEARCH("RO",AN153)))</formula>
    </cfRule>
    <cfRule type="containsText" dxfId="737" priority="251" operator="containsText" text="AM">
      <formula>NOT(ISERROR(SEARCH("AM",AN153)))</formula>
    </cfRule>
    <cfRule type="containsText" dxfId="736" priority="252" operator="containsText" text="VE">
      <formula>NOT(ISERROR(SEARCH("VE",AN153)))</formula>
    </cfRule>
  </conditionalFormatting>
  <conditionalFormatting sqref="AN315">
    <cfRule type="containsText" dxfId="735" priority="245" operator="containsText" text="AZ">
      <formula>NOT(ISERROR(SEARCH("AZ",AN315)))</formula>
    </cfRule>
    <cfRule type="containsText" dxfId="734" priority="246" operator="containsText" text="RO">
      <formula>NOT(ISERROR(SEARCH("RO",AN315)))</formula>
    </cfRule>
    <cfRule type="containsText" dxfId="733" priority="247" operator="containsText" text="AM">
      <formula>NOT(ISERROR(SEARCH("AM",AN315)))</formula>
    </cfRule>
    <cfRule type="containsText" dxfId="732" priority="248" operator="containsText" text="VE">
      <formula>NOT(ISERROR(SEARCH("VE",AN315)))</formula>
    </cfRule>
  </conditionalFormatting>
  <conditionalFormatting sqref="AN325">
    <cfRule type="containsText" dxfId="731" priority="241" operator="containsText" text="AZ">
      <formula>NOT(ISERROR(SEARCH("AZ",AN325)))</formula>
    </cfRule>
    <cfRule type="containsText" dxfId="730" priority="242" operator="containsText" text="RO">
      <formula>NOT(ISERROR(SEARCH("RO",AN325)))</formula>
    </cfRule>
    <cfRule type="containsText" dxfId="729" priority="243" operator="containsText" text="AM">
      <formula>NOT(ISERROR(SEARCH("AM",AN325)))</formula>
    </cfRule>
    <cfRule type="containsText" dxfId="728" priority="244" operator="containsText" text="VE">
      <formula>NOT(ISERROR(SEARCH("VE",AN325)))</formula>
    </cfRule>
  </conditionalFormatting>
  <conditionalFormatting sqref="AN344">
    <cfRule type="containsText" dxfId="727" priority="229" operator="containsText" text="AZ">
      <formula>NOT(ISERROR(SEARCH("AZ",AN344)))</formula>
    </cfRule>
    <cfRule type="containsText" dxfId="726" priority="230" operator="containsText" text="RO">
      <formula>NOT(ISERROR(SEARCH("RO",AN344)))</formula>
    </cfRule>
    <cfRule type="containsText" dxfId="725" priority="231" operator="containsText" text="AM">
      <formula>NOT(ISERROR(SEARCH("AM",AN344)))</formula>
    </cfRule>
    <cfRule type="containsText" dxfId="724" priority="232" operator="containsText" text="VE">
      <formula>NOT(ISERROR(SEARCH("VE",AN344)))</formula>
    </cfRule>
  </conditionalFormatting>
  <conditionalFormatting sqref="AN354">
    <cfRule type="containsText" dxfId="723" priority="225" operator="containsText" text="AZ">
      <formula>NOT(ISERROR(SEARCH("AZ",AN354)))</formula>
    </cfRule>
    <cfRule type="containsText" dxfId="722" priority="226" operator="containsText" text="RO">
      <formula>NOT(ISERROR(SEARCH("RO",AN354)))</formula>
    </cfRule>
    <cfRule type="containsText" dxfId="721" priority="227" operator="containsText" text="AM">
      <formula>NOT(ISERROR(SEARCH("AM",AN354)))</formula>
    </cfRule>
    <cfRule type="containsText" dxfId="720" priority="228" operator="containsText" text="VE">
      <formula>NOT(ISERROR(SEARCH("VE",AN354)))</formula>
    </cfRule>
  </conditionalFormatting>
  <conditionalFormatting sqref="AN359">
    <cfRule type="containsText" dxfId="719" priority="221" operator="containsText" text="AZ">
      <formula>NOT(ISERROR(SEARCH("AZ",AN359)))</formula>
    </cfRule>
    <cfRule type="containsText" dxfId="718" priority="222" operator="containsText" text="RO">
      <formula>NOT(ISERROR(SEARCH("RO",AN359)))</formula>
    </cfRule>
    <cfRule type="containsText" dxfId="717" priority="223" operator="containsText" text="AM">
      <formula>NOT(ISERROR(SEARCH("AM",AN359)))</formula>
    </cfRule>
    <cfRule type="containsText" dxfId="716" priority="224" operator="containsText" text="VE">
      <formula>NOT(ISERROR(SEARCH("VE",AN359)))</formula>
    </cfRule>
  </conditionalFormatting>
  <conditionalFormatting sqref="AN462">
    <cfRule type="containsText" dxfId="715" priority="217" operator="containsText" text="AZ">
      <formula>NOT(ISERROR(SEARCH("AZ",AN462)))</formula>
    </cfRule>
    <cfRule type="containsText" dxfId="714" priority="218" operator="containsText" text="RO">
      <formula>NOT(ISERROR(SEARCH("RO",AN462)))</formula>
    </cfRule>
    <cfRule type="containsText" dxfId="713" priority="219" operator="containsText" text="AM">
      <formula>NOT(ISERROR(SEARCH("AM",AN462)))</formula>
    </cfRule>
    <cfRule type="containsText" dxfId="712" priority="220" operator="containsText" text="VE">
      <formula>NOT(ISERROR(SEARCH("VE",AN462)))</formula>
    </cfRule>
  </conditionalFormatting>
  <conditionalFormatting sqref="AN459">
    <cfRule type="containsText" dxfId="711" priority="213" operator="containsText" text="AZ">
      <formula>NOT(ISERROR(SEARCH("AZ",AN459)))</formula>
    </cfRule>
    <cfRule type="containsText" dxfId="710" priority="214" operator="containsText" text="RO">
      <formula>NOT(ISERROR(SEARCH("RO",AN459)))</formula>
    </cfRule>
    <cfRule type="containsText" dxfId="709" priority="215" operator="containsText" text="AM">
      <formula>NOT(ISERROR(SEARCH("AM",AN459)))</formula>
    </cfRule>
    <cfRule type="containsText" dxfId="708" priority="216" operator="containsText" text="VE">
      <formula>NOT(ISERROR(SEARCH("VE",AN459)))</formula>
    </cfRule>
  </conditionalFormatting>
  <conditionalFormatting sqref="AN454">
    <cfRule type="containsText" dxfId="707" priority="209" operator="containsText" text="AZ">
      <formula>NOT(ISERROR(SEARCH("AZ",AN454)))</formula>
    </cfRule>
    <cfRule type="containsText" dxfId="706" priority="210" operator="containsText" text="RO">
      <formula>NOT(ISERROR(SEARCH("RO",AN454)))</formula>
    </cfRule>
    <cfRule type="containsText" dxfId="705" priority="211" operator="containsText" text="AM">
      <formula>NOT(ISERROR(SEARCH("AM",AN454)))</formula>
    </cfRule>
    <cfRule type="containsText" dxfId="704" priority="212" operator="containsText" text="VE">
      <formula>NOT(ISERROR(SEARCH("VE",AN454)))</formula>
    </cfRule>
  </conditionalFormatting>
  <conditionalFormatting sqref="AN494">
    <cfRule type="containsText" dxfId="703" priority="205" operator="containsText" text="AZ">
      <formula>NOT(ISERROR(SEARCH("AZ",AN494)))</formula>
    </cfRule>
    <cfRule type="containsText" dxfId="702" priority="206" operator="containsText" text="RO">
      <formula>NOT(ISERROR(SEARCH("RO",AN494)))</formula>
    </cfRule>
    <cfRule type="containsText" dxfId="701" priority="207" operator="containsText" text="AM">
      <formula>NOT(ISERROR(SEARCH("AM",AN494)))</formula>
    </cfRule>
    <cfRule type="containsText" dxfId="700" priority="208" operator="containsText" text="VE">
      <formula>NOT(ISERROR(SEARCH("VE",AN494)))</formula>
    </cfRule>
  </conditionalFormatting>
  <conditionalFormatting sqref="AN498">
    <cfRule type="containsText" dxfId="699" priority="201" operator="containsText" text="AZ">
      <formula>NOT(ISERROR(SEARCH("AZ",AN498)))</formula>
    </cfRule>
    <cfRule type="containsText" dxfId="698" priority="202" operator="containsText" text="RO">
      <formula>NOT(ISERROR(SEARCH("RO",AN498)))</formula>
    </cfRule>
    <cfRule type="containsText" dxfId="697" priority="203" operator="containsText" text="AM">
      <formula>NOT(ISERROR(SEARCH("AM",AN498)))</formula>
    </cfRule>
    <cfRule type="containsText" dxfId="696" priority="204" operator="containsText" text="VE">
      <formula>NOT(ISERROR(SEARCH("VE",AN498)))</formula>
    </cfRule>
  </conditionalFormatting>
  <conditionalFormatting sqref="AN479">
    <cfRule type="containsText" dxfId="695" priority="197" operator="containsText" text="AZ">
      <formula>NOT(ISERROR(SEARCH("AZ",AN479)))</formula>
    </cfRule>
    <cfRule type="containsText" dxfId="694" priority="198" operator="containsText" text="RO">
      <formula>NOT(ISERROR(SEARCH("RO",AN479)))</formula>
    </cfRule>
    <cfRule type="containsText" dxfId="693" priority="199" operator="containsText" text="AM">
      <formula>NOT(ISERROR(SEARCH("AM",AN479)))</formula>
    </cfRule>
    <cfRule type="containsText" dxfId="692" priority="200" operator="containsText" text="VE">
      <formula>NOT(ISERROR(SEARCH("VE",AN479)))</formula>
    </cfRule>
  </conditionalFormatting>
  <conditionalFormatting sqref="AN477">
    <cfRule type="containsText" dxfId="691" priority="193" operator="containsText" text="AZ">
      <formula>NOT(ISERROR(SEARCH("AZ",AN477)))</formula>
    </cfRule>
    <cfRule type="containsText" dxfId="690" priority="194" operator="containsText" text="RO">
      <formula>NOT(ISERROR(SEARCH("RO",AN477)))</formula>
    </cfRule>
    <cfRule type="containsText" dxfId="689" priority="195" operator="containsText" text="AM">
      <formula>NOT(ISERROR(SEARCH("AM",AN477)))</formula>
    </cfRule>
    <cfRule type="containsText" dxfId="688" priority="196" operator="containsText" text="VE">
      <formula>NOT(ISERROR(SEARCH("VE",AN477)))</formula>
    </cfRule>
  </conditionalFormatting>
  <conditionalFormatting sqref="AN470">
    <cfRule type="containsText" dxfId="687" priority="189" operator="containsText" text="AZ">
      <formula>NOT(ISERROR(SEARCH("AZ",AN470)))</formula>
    </cfRule>
    <cfRule type="containsText" dxfId="686" priority="190" operator="containsText" text="RO">
      <formula>NOT(ISERROR(SEARCH("RO",AN470)))</formula>
    </cfRule>
    <cfRule type="containsText" dxfId="685" priority="191" operator="containsText" text="AM">
      <formula>NOT(ISERROR(SEARCH("AM",AN470)))</formula>
    </cfRule>
    <cfRule type="containsText" dxfId="684" priority="192" operator="containsText" text="VE">
      <formula>NOT(ISERROR(SEARCH("VE",AN470)))</formula>
    </cfRule>
  </conditionalFormatting>
  <conditionalFormatting sqref="AN463">
    <cfRule type="containsText" dxfId="683" priority="185" operator="containsText" text="AZ">
      <formula>NOT(ISERROR(SEARCH("AZ",AN463)))</formula>
    </cfRule>
    <cfRule type="containsText" dxfId="682" priority="186" operator="containsText" text="RO">
      <formula>NOT(ISERROR(SEARCH("RO",AN463)))</formula>
    </cfRule>
    <cfRule type="containsText" dxfId="681" priority="187" operator="containsText" text="AM">
      <formula>NOT(ISERROR(SEARCH("AM",AN463)))</formula>
    </cfRule>
    <cfRule type="containsText" dxfId="680" priority="188" operator="containsText" text="VE">
      <formula>NOT(ISERROR(SEARCH("VE",AN463)))</formula>
    </cfRule>
  </conditionalFormatting>
  <conditionalFormatting sqref="AN438">
    <cfRule type="containsText" dxfId="679" priority="181" operator="containsText" text="AZ">
      <formula>NOT(ISERROR(SEARCH("AZ",AN438)))</formula>
    </cfRule>
    <cfRule type="containsText" dxfId="678" priority="182" operator="containsText" text="RO">
      <formula>NOT(ISERROR(SEARCH("RO",AN438)))</formula>
    </cfRule>
    <cfRule type="containsText" dxfId="677" priority="183" operator="containsText" text="AM">
      <formula>NOT(ISERROR(SEARCH("AM",AN438)))</formula>
    </cfRule>
    <cfRule type="containsText" dxfId="676" priority="184" operator="containsText" text="VE">
      <formula>NOT(ISERROR(SEARCH("VE",AN438)))</formula>
    </cfRule>
  </conditionalFormatting>
  <conditionalFormatting sqref="AN439">
    <cfRule type="containsText" dxfId="675" priority="177" operator="containsText" text="AZ">
      <formula>NOT(ISERROR(SEARCH("AZ",AN439)))</formula>
    </cfRule>
    <cfRule type="containsText" dxfId="674" priority="178" operator="containsText" text="RO">
      <formula>NOT(ISERROR(SEARCH("RO",AN439)))</formula>
    </cfRule>
    <cfRule type="containsText" dxfId="673" priority="179" operator="containsText" text="AM">
      <formula>NOT(ISERROR(SEARCH("AM",AN439)))</formula>
    </cfRule>
    <cfRule type="containsText" dxfId="672" priority="180" operator="containsText" text="VE">
      <formula>NOT(ISERROR(SEARCH("VE",AN439)))</formula>
    </cfRule>
  </conditionalFormatting>
  <conditionalFormatting sqref="AN441">
    <cfRule type="containsText" dxfId="671" priority="173" operator="containsText" text="AZ">
      <formula>NOT(ISERROR(SEARCH("AZ",AN441)))</formula>
    </cfRule>
    <cfRule type="containsText" dxfId="670" priority="174" operator="containsText" text="RO">
      <formula>NOT(ISERROR(SEARCH("RO",AN441)))</formula>
    </cfRule>
    <cfRule type="containsText" dxfId="669" priority="175" operator="containsText" text="AM">
      <formula>NOT(ISERROR(SEARCH("AM",AN441)))</formula>
    </cfRule>
    <cfRule type="containsText" dxfId="668" priority="176" operator="containsText" text="VE">
      <formula>NOT(ISERROR(SEARCH("VE",AN441)))</formula>
    </cfRule>
  </conditionalFormatting>
  <conditionalFormatting sqref="AN433:AN434">
    <cfRule type="containsText" dxfId="667" priority="169" operator="containsText" text="AZ">
      <formula>NOT(ISERROR(SEARCH("AZ",AN433)))</formula>
    </cfRule>
    <cfRule type="containsText" dxfId="666" priority="170" operator="containsText" text="RO">
      <formula>NOT(ISERROR(SEARCH("RO",AN433)))</formula>
    </cfRule>
    <cfRule type="containsText" dxfId="665" priority="171" operator="containsText" text="AM">
      <formula>NOT(ISERROR(SEARCH("AM",AN433)))</formula>
    </cfRule>
    <cfRule type="containsText" dxfId="664" priority="172" operator="containsText" text="VE">
      <formula>NOT(ISERROR(SEARCH("VE",AN433)))</formula>
    </cfRule>
  </conditionalFormatting>
  <conditionalFormatting sqref="AN424:AN427">
    <cfRule type="containsText" dxfId="663" priority="165" operator="containsText" text="AZ">
      <formula>NOT(ISERROR(SEARCH("AZ",AN424)))</formula>
    </cfRule>
    <cfRule type="containsText" dxfId="662" priority="166" operator="containsText" text="RO">
      <formula>NOT(ISERROR(SEARCH("RO",AN424)))</formula>
    </cfRule>
    <cfRule type="containsText" dxfId="661" priority="167" operator="containsText" text="AM">
      <formula>NOT(ISERROR(SEARCH("AM",AN424)))</formula>
    </cfRule>
    <cfRule type="containsText" dxfId="660" priority="168" operator="containsText" text="VE">
      <formula>NOT(ISERROR(SEARCH("VE",AN424)))</formula>
    </cfRule>
  </conditionalFormatting>
  <conditionalFormatting sqref="AN420">
    <cfRule type="containsText" dxfId="659" priority="161" operator="containsText" text="AZ">
      <formula>NOT(ISERROR(SEARCH("AZ",AN420)))</formula>
    </cfRule>
    <cfRule type="containsText" dxfId="658" priority="162" operator="containsText" text="RO">
      <formula>NOT(ISERROR(SEARCH("RO",AN420)))</formula>
    </cfRule>
    <cfRule type="containsText" dxfId="657" priority="163" operator="containsText" text="AM">
      <formula>NOT(ISERROR(SEARCH("AM",AN420)))</formula>
    </cfRule>
    <cfRule type="containsText" dxfId="656" priority="164" operator="containsText" text="VE">
      <formula>NOT(ISERROR(SEARCH("VE",AN420)))</formula>
    </cfRule>
  </conditionalFormatting>
  <conditionalFormatting sqref="AN409">
    <cfRule type="containsText" dxfId="655" priority="157" operator="containsText" text="AZ">
      <formula>NOT(ISERROR(SEARCH("AZ",AN409)))</formula>
    </cfRule>
    <cfRule type="containsText" dxfId="654" priority="158" operator="containsText" text="RO">
      <formula>NOT(ISERROR(SEARCH("RO",AN409)))</formula>
    </cfRule>
    <cfRule type="containsText" dxfId="653" priority="159" operator="containsText" text="AM">
      <formula>NOT(ISERROR(SEARCH("AM",AN409)))</formula>
    </cfRule>
    <cfRule type="containsText" dxfId="652" priority="160" operator="containsText" text="VE">
      <formula>NOT(ISERROR(SEARCH("VE",AN409)))</formula>
    </cfRule>
  </conditionalFormatting>
  <conditionalFormatting sqref="AN414">
    <cfRule type="containsText" dxfId="651" priority="153" operator="containsText" text="AZ">
      <formula>NOT(ISERROR(SEARCH("AZ",AN414)))</formula>
    </cfRule>
    <cfRule type="containsText" dxfId="650" priority="154" operator="containsText" text="RO">
      <formula>NOT(ISERROR(SEARCH("RO",AN414)))</formula>
    </cfRule>
    <cfRule type="containsText" dxfId="649" priority="155" operator="containsText" text="AM">
      <formula>NOT(ISERROR(SEARCH("AM",AN414)))</formula>
    </cfRule>
    <cfRule type="containsText" dxfId="648" priority="156" operator="containsText" text="VE">
      <formula>NOT(ISERROR(SEARCH("VE",AN414)))</formula>
    </cfRule>
  </conditionalFormatting>
  <conditionalFormatting sqref="AN407">
    <cfRule type="containsText" dxfId="647" priority="149" operator="containsText" text="AZ">
      <formula>NOT(ISERROR(SEARCH("AZ",AN407)))</formula>
    </cfRule>
    <cfRule type="containsText" dxfId="646" priority="150" operator="containsText" text="RO">
      <formula>NOT(ISERROR(SEARCH("RO",AN407)))</formula>
    </cfRule>
    <cfRule type="containsText" dxfId="645" priority="151" operator="containsText" text="AM">
      <formula>NOT(ISERROR(SEARCH("AM",AN407)))</formula>
    </cfRule>
    <cfRule type="containsText" dxfId="644" priority="152" operator="containsText" text="VE">
      <formula>NOT(ISERROR(SEARCH("VE",AN407)))</formula>
    </cfRule>
  </conditionalFormatting>
  <conditionalFormatting sqref="AN369">
    <cfRule type="containsText" dxfId="643" priority="145" operator="containsText" text="AZ">
      <formula>NOT(ISERROR(SEARCH("AZ",AN369)))</formula>
    </cfRule>
    <cfRule type="containsText" dxfId="642" priority="146" operator="containsText" text="RO">
      <formula>NOT(ISERROR(SEARCH("RO",AN369)))</formula>
    </cfRule>
    <cfRule type="containsText" dxfId="641" priority="147" operator="containsText" text="AM">
      <formula>NOT(ISERROR(SEARCH("AM",AN369)))</formula>
    </cfRule>
    <cfRule type="containsText" dxfId="640" priority="148" operator="containsText" text="VE">
      <formula>NOT(ISERROR(SEARCH("VE",AN369)))</formula>
    </cfRule>
  </conditionalFormatting>
  <conditionalFormatting sqref="AN366:AN367">
    <cfRule type="containsText" dxfId="639" priority="141" operator="containsText" text="AZ">
      <formula>NOT(ISERROR(SEARCH("AZ",AN366)))</formula>
    </cfRule>
    <cfRule type="containsText" dxfId="638" priority="142" operator="containsText" text="RO">
      <formula>NOT(ISERROR(SEARCH("RO",AN366)))</formula>
    </cfRule>
    <cfRule type="containsText" dxfId="637" priority="143" operator="containsText" text="AM">
      <formula>NOT(ISERROR(SEARCH("AM",AN366)))</formula>
    </cfRule>
    <cfRule type="containsText" dxfId="636" priority="144" operator="containsText" text="VE">
      <formula>NOT(ISERROR(SEARCH("VE",AN366)))</formula>
    </cfRule>
  </conditionalFormatting>
  <conditionalFormatting sqref="AN352">
    <cfRule type="containsText" dxfId="635" priority="137" operator="containsText" text="AZ">
      <formula>NOT(ISERROR(SEARCH("AZ",AN352)))</formula>
    </cfRule>
    <cfRule type="containsText" dxfId="634" priority="138" operator="containsText" text="RO">
      <formula>NOT(ISERROR(SEARCH("RO",AN352)))</formula>
    </cfRule>
    <cfRule type="containsText" dxfId="633" priority="139" operator="containsText" text="AM">
      <formula>NOT(ISERROR(SEARCH("AM",AN352)))</formula>
    </cfRule>
    <cfRule type="containsText" dxfId="632" priority="140" operator="containsText" text="VE">
      <formula>NOT(ISERROR(SEARCH("VE",AN352)))</formula>
    </cfRule>
  </conditionalFormatting>
  <conditionalFormatting sqref="AN349">
    <cfRule type="containsText" dxfId="631" priority="133" operator="containsText" text="AZ">
      <formula>NOT(ISERROR(SEARCH("AZ",AN349)))</formula>
    </cfRule>
    <cfRule type="containsText" dxfId="630" priority="134" operator="containsText" text="RO">
      <formula>NOT(ISERROR(SEARCH("RO",AN349)))</formula>
    </cfRule>
    <cfRule type="containsText" dxfId="629" priority="135" operator="containsText" text="AM">
      <formula>NOT(ISERROR(SEARCH("AM",AN349)))</formula>
    </cfRule>
    <cfRule type="containsText" dxfId="628" priority="136" operator="containsText" text="VE">
      <formula>NOT(ISERROR(SEARCH("VE",AN349)))</formula>
    </cfRule>
  </conditionalFormatting>
  <conditionalFormatting sqref="AN347">
    <cfRule type="containsText" dxfId="627" priority="129" operator="containsText" text="AZ">
      <formula>NOT(ISERROR(SEARCH("AZ",AN347)))</formula>
    </cfRule>
    <cfRule type="containsText" dxfId="626" priority="130" operator="containsText" text="RO">
      <formula>NOT(ISERROR(SEARCH("RO",AN347)))</formula>
    </cfRule>
    <cfRule type="containsText" dxfId="625" priority="131" operator="containsText" text="AM">
      <formula>NOT(ISERROR(SEARCH("AM",AN347)))</formula>
    </cfRule>
    <cfRule type="containsText" dxfId="624" priority="132" operator="containsText" text="VE">
      <formula>NOT(ISERROR(SEARCH("VE",AN347)))</formula>
    </cfRule>
  </conditionalFormatting>
  <conditionalFormatting sqref="AN329">
    <cfRule type="containsText" dxfId="623" priority="121" operator="containsText" text="AZ">
      <formula>NOT(ISERROR(SEARCH("AZ",AN329)))</formula>
    </cfRule>
    <cfRule type="containsText" dxfId="622" priority="122" operator="containsText" text="RO">
      <formula>NOT(ISERROR(SEARCH("RO",AN329)))</formula>
    </cfRule>
    <cfRule type="containsText" dxfId="621" priority="123" operator="containsText" text="AM">
      <formula>NOT(ISERROR(SEARCH("AM",AN329)))</formula>
    </cfRule>
    <cfRule type="containsText" dxfId="620" priority="124" operator="containsText" text="VE">
      <formula>NOT(ISERROR(SEARCH("VE",AN329)))</formula>
    </cfRule>
  </conditionalFormatting>
  <conditionalFormatting sqref="AN317">
    <cfRule type="containsText" dxfId="619" priority="117" operator="containsText" text="AZ">
      <formula>NOT(ISERROR(SEARCH("AZ",AN317)))</formula>
    </cfRule>
    <cfRule type="containsText" dxfId="618" priority="118" operator="containsText" text="RO">
      <formula>NOT(ISERROR(SEARCH("RO",AN317)))</formula>
    </cfRule>
    <cfRule type="containsText" dxfId="617" priority="119" operator="containsText" text="AM">
      <formula>NOT(ISERROR(SEARCH("AM",AN317)))</formula>
    </cfRule>
    <cfRule type="containsText" dxfId="616" priority="120" operator="containsText" text="VE">
      <formula>NOT(ISERROR(SEARCH("VE",AN317)))</formula>
    </cfRule>
  </conditionalFormatting>
  <conditionalFormatting sqref="AN309">
    <cfRule type="containsText" dxfId="615" priority="113" operator="containsText" text="AZ">
      <formula>NOT(ISERROR(SEARCH("AZ",AN309)))</formula>
    </cfRule>
    <cfRule type="containsText" dxfId="614" priority="114" operator="containsText" text="RO">
      <formula>NOT(ISERROR(SEARCH("RO",AN309)))</formula>
    </cfRule>
    <cfRule type="containsText" dxfId="613" priority="115" operator="containsText" text="AM">
      <formula>NOT(ISERROR(SEARCH("AM",AN309)))</formula>
    </cfRule>
    <cfRule type="containsText" dxfId="612" priority="116" operator="containsText" text="VE">
      <formula>NOT(ISERROR(SEARCH("VE",AN309)))</formula>
    </cfRule>
  </conditionalFormatting>
  <conditionalFormatting sqref="AN307">
    <cfRule type="containsText" dxfId="611" priority="109" operator="containsText" text="AZ">
      <formula>NOT(ISERROR(SEARCH("AZ",AN307)))</formula>
    </cfRule>
    <cfRule type="containsText" dxfId="610" priority="110" operator="containsText" text="RO">
      <formula>NOT(ISERROR(SEARCH("RO",AN307)))</formula>
    </cfRule>
    <cfRule type="containsText" dxfId="609" priority="111" operator="containsText" text="AM">
      <formula>NOT(ISERROR(SEARCH("AM",AN307)))</formula>
    </cfRule>
    <cfRule type="containsText" dxfId="608" priority="112" operator="containsText" text="VE">
      <formula>NOT(ISERROR(SEARCH("VE",AN307)))</formula>
    </cfRule>
  </conditionalFormatting>
  <conditionalFormatting sqref="AN300">
    <cfRule type="containsText" dxfId="607" priority="105" operator="containsText" text="AZ">
      <formula>NOT(ISERROR(SEARCH("AZ",AN300)))</formula>
    </cfRule>
    <cfRule type="containsText" dxfId="606" priority="106" operator="containsText" text="RO">
      <formula>NOT(ISERROR(SEARCH("RO",AN300)))</formula>
    </cfRule>
    <cfRule type="containsText" dxfId="605" priority="107" operator="containsText" text="AM">
      <formula>NOT(ISERROR(SEARCH("AM",AN300)))</formula>
    </cfRule>
    <cfRule type="containsText" dxfId="604" priority="108" operator="containsText" text="VE">
      <formula>NOT(ISERROR(SEARCH("VE",AN300)))</formula>
    </cfRule>
  </conditionalFormatting>
  <conditionalFormatting sqref="AN302:AN304">
    <cfRule type="containsText" dxfId="603" priority="101" operator="containsText" text="AZ">
      <formula>NOT(ISERROR(SEARCH("AZ",AN302)))</formula>
    </cfRule>
    <cfRule type="containsText" dxfId="602" priority="102" operator="containsText" text="RO">
      <formula>NOT(ISERROR(SEARCH("RO",AN302)))</formula>
    </cfRule>
    <cfRule type="containsText" dxfId="601" priority="103" operator="containsText" text="AM">
      <formula>NOT(ISERROR(SEARCH("AM",AN302)))</formula>
    </cfRule>
    <cfRule type="containsText" dxfId="600" priority="104" operator="containsText" text="VE">
      <formula>NOT(ISERROR(SEARCH("VE",AN302)))</formula>
    </cfRule>
  </conditionalFormatting>
  <conditionalFormatting sqref="AN371">
    <cfRule type="containsText" dxfId="599" priority="97" operator="containsText" text="AZ">
      <formula>NOT(ISERROR(SEARCH("AZ",AN371)))</formula>
    </cfRule>
    <cfRule type="containsText" dxfId="598" priority="98" operator="containsText" text="RO">
      <formula>NOT(ISERROR(SEARCH("RO",AN371)))</formula>
    </cfRule>
    <cfRule type="containsText" dxfId="597" priority="99" operator="containsText" text="AM">
      <formula>NOT(ISERROR(SEARCH("AM",AN371)))</formula>
    </cfRule>
    <cfRule type="containsText" dxfId="596" priority="100" operator="containsText" text="VE">
      <formula>NOT(ISERROR(SEARCH("VE",AN371)))</formula>
    </cfRule>
  </conditionalFormatting>
  <conditionalFormatting sqref="AN492">
    <cfRule type="containsText" dxfId="595" priority="93" operator="containsText" text="AZ">
      <formula>NOT(ISERROR(SEARCH("AZ",AN492)))</formula>
    </cfRule>
    <cfRule type="containsText" dxfId="594" priority="94" operator="containsText" text="RO">
      <formula>NOT(ISERROR(SEARCH("RO",AN492)))</formula>
    </cfRule>
    <cfRule type="containsText" dxfId="593" priority="95" operator="containsText" text="AM">
      <formula>NOT(ISERROR(SEARCH("AM",AN492)))</formula>
    </cfRule>
    <cfRule type="containsText" dxfId="592" priority="96" operator="containsText" text="VE">
      <formula>NOT(ISERROR(SEARCH("VE",AN492)))</formula>
    </cfRule>
  </conditionalFormatting>
  <conditionalFormatting sqref="AN489">
    <cfRule type="containsText" dxfId="591" priority="89" operator="containsText" text="AZ">
      <formula>NOT(ISERROR(SEARCH("AZ",AN489)))</formula>
    </cfRule>
    <cfRule type="containsText" dxfId="590" priority="90" operator="containsText" text="RO">
      <formula>NOT(ISERROR(SEARCH("RO",AN489)))</formula>
    </cfRule>
    <cfRule type="containsText" dxfId="589" priority="91" operator="containsText" text="AM">
      <formula>NOT(ISERROR(SEARCH("AM",AN489)))</formula>
    </cfRule>
    <cfRule type="containsText" dxfId="588" priority="92" operator="containsText" text="VE">
      <formula>NOT(ISERROR(SEARCH("VE",AN489)))</formula>
    </cfRule>
  </conditionalFormatting>
  <conditionalFormatting sqref="AN480:AN481">
    <cfRule type="containsText" dxfId="587" priority="85" operator="containsText" text="AZ">
      <formula>NOT(ISERROR(SEARCH("AZ",AN480)))</formula>
    </cfRule>
    <cfRule type="containsText" dxfId="586" priority="86" operator="containsText" text="RO">
      <formula>NOT(ISERROR(SEARCH("RO",AN480)))</formula>
    </cfRule>
    <cfRule type="containsText" dxfId="585" priority="87" operator="containsText" text="AM">
      <formula>NOT(ISERROR(SEARCH("AM",AN480)))</formula>
    </cfRule>
    <cfRule type="containsText" dxfId="584" priority="88" operator="containsText" text="VE">
      <formula>NOT(ISERROR(SEARCH("VE",AN480)))</formula>
    </cfRule>
  </conditionalFormatting>
  <conditionalFormatting sqref="AN478">
    <cfRule type="containsText" dxfId="583" priority="81" operator="containsText" text="AZ">
      <formula>NOT(ISERROR(SEARCH("AZ",AN478)))</formula>
    </cfRule>
    <cfRule type="containsText" dxfId="582" priority="82" operator="containsText" text="RO">
      <formula>NOT(ISERROR(SEARCH("RO",AN478)))</formula>
    </cfRule>
    <cfRule type="containsText" dxfId="581" priority="83" operator="containsText" text="AM">
      <formula>NOT(ISERROR(SEARCH("AM",AN478)))</formula>
    </cfRule>
    <cfRule type="containsText" dxfId="580" priority="84" operator="containsText" text="VE">
      <formula>NOT(ISERROR(SEARCH("VE",AN478)))</formula>
    </cfRule>
  </conditionalFormatting>
  <conditionalFormatting sqref="AN396">
    <cfRule type="containsText" dxfId="579" priority="77" operator="containsText" text="AZ">
      <formula>NOT(ISERROR(SEARCH("AZ",AN396)))</formula>
    </cfRule>
    <cfRule type="containsText" dxfId="578" priority="78" operator="containsText" text="RO">
      <formula>NOT(ISERROR(SEARCH("RO",AN396)))</formula>
    </cfRule>
    <cfRule type="containsText" dxfId="577" priority="79" operator="containsText" text="AM">
      <formula>NOT(ISERROR(SEARCH("AM",AN396)))</formula>
    </cfRule>
    <cfRule type="containsText" dxfId="576" priority="80" operator="containsText" text="VE">
      <formula>NOT(ISERROR(SEARCH("VE",AN396)))</formula>
    </cfRule>
  </conditionalFormatting>
  <conditionalFormatting sqref="AN389">
    <cfRule type="containsText" dxfId="575" priority="73" operator="containsText" text="AZ">
      <formula>NOT(ISERROR(SEARCH("AZ",AN389)))</formula>
    </cfRule>
    <cfRule type="containsText" dxfId="574" priority="74" operator="containsText" text="RO">
      <formula>NOT(ISERROR(SEARCH("RO",AN389)))</formula>
    </cfRule>
    <cfRule type="containsText" dxfId="573" priority="75" operator="containsText" text="AM">
      <formula>NOT(ISERROR(SEARCH("AM",AN389)))</formula>
    </cfRule>
    <cfRule type="containsText" dxfId="572" priority="76" operator="containsText" text="VE">
      <formula>NOT(ISERROR(SEARCH("VE",AN389)))</formula>
    </cfRule>
  </conditionalFormatting>
  <conditionalFormatting sqref="AN390">
    <cfRule type="containsText" dxfId="571" priority="69" operator="containsText" text="AZ">
      <formula>NOT(ISERROR(SEARCH("AZ",AN390)))</formula>
    </cfRule>
    <cfRule type="containsText" dxfId="570" priority="70" operator="containsText" text="RO">
      <formula>NOT(ISERROR(SEARCH("RO",AN390)))</formula>
    </cfRule>
    <cfRule type="containsText" dxfId="569" priority="71" operator="containsText" text="AM">
      <formula>NOT(ISERROR(SEARCH("AM",AN390)))</formula>
    </cfRule>
    <cfRule type="containsText" dxfId="568" priority="72" operator="containsText" text="VE">
      <formula>NOT(ISERROR(SEARCH("VE",AN390)))</formula>
    </cfRule>
  </conditionalFormatting>
  <conditionalFormatting sqref="AN388">
    <cfRule type="containsText" dxfId="567" priority="65" operator="containsText" text="AZ">
      <formula>NOT(ISERROR(SEARCH("AZ",AN388)))</formula>
    </cfRule>
    <cfRule type="containsText" dxfId="566" priority="66" operator="containsText" text="RO">
      <formula>NOT(ISERROR(SEARCH("RO",AN388)))</formula>
    </cfRule>
    <cfRule type="containsText" dxfId="565" priority="67" operator="containsText" text="AM">
      <formula>NOT(ISERROR(SEARCH("AM",AN388)))</formula>
    </cfRule>
    <cfRule type="containsText" dxfId="564" priority="68" operator="containsText" text="VE">
      <formula>NOT(ISERROR(SEARCH("VE",AN388)))</formula>
    </cfRule>
  </conditionalFormatting>
  <conditionalFormatting sqref="AN290:AN293">
    <cfRule type="containsText" dxfId="563" priority="61" operator="containsText" text="AZ">
      <formula>NOT(ISERROR(SEARCH("AZ",AN290)))</formula>
    </cfRule>
    <cfRule type="containsText" dxfId="562" priority="62" operator="containsText" text="RO">
      <formula>NOT(ISERROR(SEARCH("RO",AN290)))</formula>
    </cfRule>
    <cfRule type="containsText" dxfId="561" priority="63" operator="containsText" text="AM">
      <formula>NOT(ISERROR(SEARCH("AM",AN290)))</formula>
    </cfRule>
    <cfRule type="containsText" dxfId="560" priority="64" operator="containsText" text="VE">
      <formula>NOT(ISERROR(SEARCH("VE",AN290)))</formula>
    </cfRule>
  </conditionalFormatting>
  <conditionalFormatting sqref="AN152">
    <cfRule type="containsText" dxfId="559" priority="57" operator="containsText" text="AZ">
      <formula>NOT(ISERROR(SEARCH("AZ",AN152)))</formula>
    </cfRule>
    <cfRule type="containsText" dxfId="558" priority="58" operator="containsText" text="RO">
      <formula>NOT(ISERROR(SEARCH("RO",AN152)))</formula>
    </cfRule>
    <cfRule type="containsText" dxfId="557" priority="59" operator="containsText" text="AM">
      <formula>NOT(ISERROR(SEARCH("AM",AN152)))</formula>
    </cfRule>
    <cfRule type="containsText" dxfId="556" priority="60" operator="containsText" text="VE">
      <formula>NOT(ISERROR(SEARCH("VE",AN152)))</formula>
    </cfRule>
  </conditionalFormatting>
  <conditionalFormatting sqref="AN137">
    <cfRule type="containsText" dxfId="555" priority="53" operator="containsText" text="AZ">
      <formula>NOT(ISERROR(SEARCH("AZ",AN137)))</formula>
    </cfRule>
    <cfRule type="containsText" dxfId="554" priority="54" operator="containsText" text="RO">
      <formula>NOT(ISERROR(SEARCH("RO",AN137)))</formula>
    </cfRule>
    <cfRule type="containsText" dxfId="553" priority="55" operator="containsText" text="AM">
      <formula>NOT(ISERROR(SEARCH("AM",AN137)))</formula>
    </cfRule>
    <cfRule type="containsText" dxfId="552" priority="56" operator="containsText" text="VE">
      <formula>NOT(ISERROR(SEARCH("VE",AN137)))</formula>
    </cfRule>
  </conditionalFormatting>
  <conditionalFormatting sqref="AN132 AN130">
    <cfRule type="containsText" dxfId="551" priority="49" operator="containsText" text="AZ">
      <formula>NOT(ISERROR(SEARCH("AZ",AN130)))</formula>
    </cfRule>
    <cfRule type="containsText" dxfId="550" priority="50" operator="containsText" text="RO">
      <formula>NOT(ISERROR(SEARCH("RO",AN130)))</formula>
    </cfRule>
    <cfRule type="containsText" dxfId="549" priority="51" operator="containsText" text="AM">
      <formula>NOT(ISERROR(SEARCH("AM",AN130)))</formula>
    </cfRule>
    <cfRule type="containsText" dxfId="548" priority="52" operator="containsText" text="VE">
      <formula>NOT(ISERROR(SEARCH("VE",AN130)))</formula>
    </cfRule>
  </conditionalFormatting>
  <conditionalFormatting sqref="AN115">
    <cfRule type="containsText" dxfId="547" priority="45" operator="containsText" text="AZ">
      <formula>NOT(ISERROR(SEARCH("AZ",AN115)))</formula>
    </cfRule>
    <cfRule type="containsText" dxfId="546" priority="46" operator="containsText" text="RO">
      <formula>NOT(ISERROR(SEARCH("RO",AN115)))</formula>
    </cfRule>
    <cfRule type="containsText" dxfId="545" priority="47" operator="containsText" text="AM">
      <formula>NOT(ISERROR(SEARCH("AM",AN115)))</formula>
    </cfRule>
    <cfRule type="containsText" dxfId="544" priority="48" operator="containsText" text="VE">
      <formula>NOT(ISERROR(SEARCH("VE",AN115)))</formula>
    </cfRule>
  </conditionalFormatting>
  <conditionalFormatting sqref="AN41:AN42 AN34">
    <cfRule type="containsText" dxfId="543" priority="41" operator="containsText" text="AZ">
      <formula>NOT(ISERROR(SEARCH("AZ",AN34)))</formula>
    </cfRule>
    <cfRule type="containsText" dxfId="542" priority="42" operator="containsText" text="RO">
      <formula>NOT(ISERROR(SEARCH("RO",AN34)))</formula>
    </cfRule>
    <cfRule type="containsText" dxfId="541" priority="43" operator="containsText" text="AM">
      <formula>NOT(ISERROR(SEARCH("AM",AN34)))</formula>
    </cfRule>
    <cfRule type="containsText" dxfId="540" priority="44" operator="containsText" text="VE">
      <formula>NOT(ISERROR(SEARCH("VE",AN34)))</formula>
    </cfRule>
  </conditionalFormatting>
  <conditionalFormatting sqref="AN135">
    <cfRule type="containsText" dxfId="539" priority="37" operator="containsText" text="AZ">
      <formula>NOT(ISERROR(SEARCH("AZ",AN135)))</formula>
    </cfRule>
    <cfRule type="containsText" dxfId="538" priority="38" operator="containsText" text="RO">
      <formula>NOT(ISERROR(SEARCH("RO",AN135)))</formula>
    </cfRule>
    <cfRule type="containsText" dxfId="537" priority="39" operator="containsText" text="AM">
      <formula>NOT(ISERROR(SEARCH("AM",AN135)))</formula>
    </cfRule>
    <cfRule type="containsText" dxfId="536" priority="40" operator="containsText" text="VE">
      <formula>NOT(ISERROR(SEARCH("VE",AN135)))</formula>
    </cfRule>
  </conditionalFormatting>
  <conditionalFormatting sqref="AN336">
    <cfRule type="containsText" dxfId="535" priority="33" operator="containsText" text="AZ">
      <formula>NOT(ISERROR(SEARCH("AZ",AN336)))</formula>
    </cfRule>
    <cfRule type="containsText" dxfId="534" priority="34" operator="containsText" text="RO">
      <formula>NOT(ISERROR(SEARCH("RO",AN336)))</formula>
    </cfRule>
    <cfRule type="containsText" dxfId="533" priority="35" operator="containsText" text="AM">
      <formula>NOT(ISERROR(SEARCH("AM",AN336)))</formula>
    </cfRule>
    <cfRule type="containsText" dxfId="532" priority="36" operator="containsText" text="VE">
      <formula>NOT(ISERROR(SEARCH("VE",AN336)))</formula>
    </cfRule>
  </conditionalFormatting>
  <conditionalFormatting sqref="AN339">
    <cfRule type="containsText" dxfId="531" priority="29" operator="containsText" text="AZ">
      <formula>NOT(ISERROR(SEARCH("AZ",AN339)))</formula>
    </cfRule>
    <cfRule type="containsText" dxfId="530" priority="30" operator="containsText" text="RO">
      <formula>NOT(ISERROR(SEARCH("RO",AN339)))</formula>
    </cfRule>
    <cfRule type="containsText" dxfId="529" priority="31" operator="containsText" text="AM">
      <formula>NOT(ISERROR(SEARCH("AM",AN339)))</formula>
    </cfRule>
    <cfRule type="containsText" dxfId="528" priority="32" operator="containsText" text="VE">
      <formula>NOT(ISERROR(SEARCH("VE",AN339)))</formula>
    </cfRule>
  </conditionalFormatting>
  <conditionalFormatting sqref="AN333">
    <cfRule type="containsText" dxfId="527" priority="25" operator="containsText" text="AZ">
      <formula>NOT(ISERROR(SEARCH("AZ",AN333)))</formula>
    </cfRule>
    <cfRule type="containsText" dxfId="526" priority="26" operator="containsText" text="RO">
      <formula>NOT(ISERROR(SEARCH("RO",AN333)))</formula>
    </cfRule>
    <cfRule type="containsText" dxfId="525" priority="27" operator="containsText" text="AM">
      <formula>NOT(ISERROR(SEARCH("AM",AN333)))</formula>
    </cfRule>
    <cfRule type="containsText" dxfId="524" priority="28" operator="containsText" text="VE">
      <formula>NOT(ISERROR(SEARCH("VE",AN333)))</formula>
    </cfRule>
  </conditionalFormatting>
  <conditionalFormatting sqref="AN335">
    <cfRule type="containsText" dxfId="523" priority="21" operator="containsText" text="AZ">
      <formula>NOT(ISERROR(SEARCH("AZ",AN335)))</formula>
    </cfRule>
    <cfRule type="containsText" dxfId="522" priority="22" operator="containsText" text="RO">
      <formula>NOT(ISERROR(SEARCH("RO",AN335)))</formula>
    </cfRule>
    <cfRule type="containsText" dxfId="521" priority="23" operator="containsText" text="AM">
      <formula>NOT(ISERROR(SEARCH("AM",AN335)))</formula>
    </cfRule>
    <cfRule type="containsText" dxfId="520" priority="24" operator="containsText" text="VE">
      <formula>NOT(ISERROR(SEARCH("VE",AN335)))</formula>
    </cfRule>
  </conditionalFormatting>
  <conditionalFormatting sqref="AN340">
    <cfRule type="containsText" dxfId="519" priority="17" operator="containsText" text="AZ">
      <formula>NOT(ISERROR(SEARCH("AZ",AN340)))</formula>
    </cfRule>
    <cfRule type="containsText" dxfId="518" priority="18" operator="containsText" text="RO">
      <formula>NOT(ISERROR(SEARCH("RO",AN340)))</formula>
    </cfRule>
    <cfRule type="containsText" dxfId="517" priority="19" operator="containsText" text="AM">
      <formula>NOT(ISERROR(SEARCH("AM",AN340)))</formula>
    </cfRule>
    <cfRule type="containsText" dxfId="516" priority="20" operator="containsText" text="VE">
      <formula>NOT(ISERROR(SEARCH("VE",AN340)))</formula>
    </cfRule>
  </conditionalFormatting>
  <conditionalFormatting sqref="AN334">
    <cfRule type="containsText" dxfId="515" priority="13" operator="containsText" text="AZ">
      <formula>NOT(ISERROR(SEARCH("AZ",AN334)))</formula>
    </cfRule>
    <cfRule type="containsText" dxfId="514" priority="14" operator="containsText" text="RO">
      <formula>NOT(ISERROR(SEARCH("RO",AN334)))</formula>
    </cfRule>
    <cfRule type="containsText" dxfId="513" priority="15" operator="containsText" text="AM">
      <formula>NOT(ISERROR(SEARCH("AM",AN334)))</formula>
    </cfRule>
    <cfRule type="containsText" dxfId="512" priority="16" operator="containsText" text="VE">
      <formula>NOT(ISERROR(SEARCH("VE",AN334)))</formula>
    </cfRule>
  </conditionalFormatting>
  <conditionalFormatting sqref="AN338">
    <cfRule type="containsText" dxfId="511" priority="9" operator="containsText" text="AZ">
      <formula>NOT(ISERROR(SEARCH("AZ",AN338)))</formula>
    </cfRule>
    <cfRule type="containsText" dxfId="510" priority="10" operator="containsText" text="RO">
      <formula>NOT(ISERROR(SEARCH("RO",AN338)))</formula>
    </cfRule>
    <cfRule type="containsText" dxfId="509" priority="11" operator="containsText" text="AM">
      <formula>NOT(ISERROR(SEARCH("AM",AN338)))</formula>
    </cfRule>
    <cfRule type="containsText" dxfId="508" priority="12" operator="containsText" text="VE">
      <formula>NOT(ISERROR(SEARCH("VE",AN338)))</formula>
    </cfRule>
  </conditionalFormatting>
  <conditionalFormatting sqref="AN341:AN343">
    <cfRule type="containsText" dxfId="507" priority="5" operator="containsText" text="AZ">
      <formula>NOT(ISERROR(SEARCH("AZ",AN341)))</formula>
    </cfRule>
    <cfRule type="containsText" dxfId="506" priority="6" operator="containsText" text="RO">
      <formula>NOT(ISERROR(SEARCH("RO",AN341)))</formula>
    </cfRule>
    <cfRule type="containsText" dxfId="505" priority="7" operator="containsText" text="AM">
      <formula>NOT(ISERROR(SEARCH("AM",AN341)))</formula>
    </cfRule>
    <cfRule type="containsText" dxfId="504" priority="8" operator="containsText" text="VE">
      <formula>NOT(ISERROR(SEARCH("VE",AN341)))</formula>
    </cfRule>
  </conditionalFormatting>
  <conditionalFormatting sqref="AN337">
    <cfRule type="containsText" dxfId="503" priority="1" operator="containsText" text="AZ">
      <formula>NOT(ISERROR(SEARCH("AZ",AN337)))</formula>
    </cfRule>
    <cfRule type="containsText" dxfId="502" priority="2" operator="containsText" text="RO">
      <formula>NOT(ISERROR(SEARCH("RO",AN337)))</formula>
    </cfRule>
    <cfRule type="containsText" dxfId="501" priority="3" operator="containsText" text="AM">
      <formula>NOT(ISERROR(SEARCH("AM",AN337)))</formula>
    </cfRule>
    <cfRule type="containsText" dxfId="500" priority="4" operator="containsText" text="VE">
      <formula>NOT(ISERROR(SEARCH("VE",AN337)))</formula>
    </cfRule>
  </conditionalFormatting>
  <dataValidations count="5">
    <dataValidation type="list" allowBlank="1" showInputMessage="1" showErrorMessage="1" sqref="AN88:AN98 AN52:AN74 AN76:AN84 AN100:AN107 AN9:AN23 AN44:AN47 AN228:AN234 AN244:AN260 AN194:AN200 AN202:AN211 AN213:AN220 AN236:AN241 AN222:AN226 AN183:AN192 AN158:AN181 AN111:AN115 AN117:AN120 AN149:AN155 AN358:AN359 AN405:AN415 AN418:AN431 AN486:AN492 AN494:AN500 AN25:AN42 AN139:AN147 AN297:AN329 AN361 AN366:AN374 AN290:AN293 AN277:AN288 AN265:AN275 AN124:AN137 AN433:AN445 AN450:AN481 AN378:AN402 AN333:AN354">
      <formula1>COOR</formula1>
    </dataValidation>
    <dataValidation type="list" allowBlank="1" showInputMessage="1" showErrorMessage="1" sqref="O194:O200 O450:O481 O333:O354 O290:O293 O265:O275 O277:O288 O202:O211 O222:O226 O228:O234 O236:O241 O297:O329 O366:O374 O433:O445 O361 O213:O220 O244:O260 O358:O359 O418:O431 O494:O500 O486:O492 O405:O415 O378:O402">
      <formula1>TIPO</formula1>
    </dataValidation>
    <dataValidation type="list" allowBlank="1" showInputMessage="1" showErrorMessage="1" sqref="M450:M481 M290:M293 M333:M354 M265:M275 M358:M359 M277:M288 M486:M492 M418:M431 M378:M402 M366:M374 M361 M405:M415 M433:M445 M297:M329 M194:M200 M202:M211 M213:M220 M222:M226 M228:M234 M236:M241 M244:M260 M494:M500">
      <formula1>DEPENDENCIA</formula1>
    </dataValidation>
    <dataValidation type="list" allowBlank="1" showInputMessage="1" showErrorMessage="1" sqref="L486:L492 L450:L481 L494:L500 L333:L354 L265:L275 L277:L288 L418:L431 L290:L293 L405:L415 L378:L402 L366:L374 L361 L194:L200 L433:L445 L358:L359 L297:L329 L202:L211 L213:L220 L222:L226 L228:L234 L236:L241 L244:L260">
      <formula1>ODS</formula1>
    </dataValidation>
    <dataValidation type="list" allowBlank="1" showInputMessage="1" showErrorMessage="1" sqref="B49 B9:B47 B51:B85 B87:B108 B110:B121 A484 B485:B500 A448 B449:B483 A446 B123:B445 B447">
      <formula1>SECTOR</formula1>
    </dataValidation>
  </dataValidations>
  <pageMargins left="0.70866141732283472" right="0.70866141732283472" top="0.74803149606299213" bottom="0.74803149606299213" header="0.31496062992125984" footer="0.31496062992125984"/>
  <pageSetup scale="55" fitToHeight="0" orientation="landscape"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4.4" x14ac:dyDescent="0.3"/>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topLeftCell="A13" workbookViewId="0">
      <selection activeCell="I9" sqref="I9"/>
    </sheetView>
  </sheetViews>
  <sheetFormatPr baseColWidth="10" defaultColWidth="11.44140625" defaultRowHeight="14.4" x14ac:dyDescent="0.3"/>
  <cols>
    <col min="1" max="1" width="43.6640625" customWidth="1"/>
    <col min="2" max="2" width="9.109375" customWidth="1"/>
    <col min="3" max="3" width="11.33203125" customWidth="1"/>
  </cols>
  <sheetData>
    <row r="1" spans="1:5" ht="45.75" x14ac:dyDescent="0.3">
      <c r="A1" s="927" t="s">
        <v>3949</v>
      </c>
      <c r="B1" s="228" t="s">
        <v>3950</v>
      </c>
      <c r="C1" s="930" t="s">
        <v>3951</v>
      </c>
      <c r="D1" s="930" t="s">
        <v>3952</v>
      </c>
      <c r="E1" s="930" t="s">
        <v>3953</v>
      </c>
    </row>
    <row r="2" spans="1:5" ht="48.75" customHeight="1" x14ac:dyDescent="0.25">
      <c r="A2" s="16" t="s">
        <v>807</v>
      </c>
      <c r="B2" s="572">
        <v>1</v>
      </c>
      <c r="C2" s="931"/>
      <c r="D2" s="89"/>
      <c r="E2" s="89"/>
    </row>
    <row r="3" spans="1:5" ht="61.5" customHeight="1" x14ac:dyDescent="0.3">
      <c r="A3" s="16" t="s">
        <v>810</v>
      </c>
      <c r="B3" s="572">
        <v>1</v>
      </c>
      <c r="C3" s="931"/>
      <c r="D3" s="89"/>
      <c r="E3" s="89"/>
    </row>
    <row r="4" spans="1:5" ht="37.5" customHeight="1" x14ac:dyDescent="0.25">
      <c r="A4" s="16" t="s">
        <v>813</v>
      </c>
      <c r="B4" s="572">
        <v>1</v>
      </c>
      <c r="C4" s="931"/>
      <c r="D4" s="89"/>
      <c r="E4" s="89"/>
    </row>
    <row r="5" spans="1:5" ht="39.75" customHeight="1" x14ac:dyDescent="0.25">
      <c r="A5" s="16" t="s">
        <v>816</v>
      </c>
      <c r="B5" s="572">
        <v>1</v>
      </c>
      <c r="C5" s="931"/>
      <c r="D5" s="89"/>
      <c r="E5" s="89"/>
    </row>
    <row r="6" spans="1:5" ht="28.5" customHeight="1" x14ac:dyDescent="0.3">
      <c r="A6" s="16" t="s">
        <v>819</v>
      </c>
      <c r="B6" s="572">
        <v>5</v>
      </c>
      <c r="C6" s="931"/>
      <c r="D6" s="89"/>
      <c r="E6" s="89"/>
    </row>
    <row r="7" spans="1:5" ht="33" customHeight="1" x14ac:dyDescent="0.3">
      <c r="A7" s="16" t="s">
        <v>822</v>
      </c>
      <c r="B7" s="572">
        <v>500</v>
      </c>
      <c r="C7" s="931"/>
      <c r="D7" s="89"/>
      <c r="E7" s="89"/>
    </row>
    <row r="8" spans="1:5" ht="36" customHeight="1" x14ac:dyDescent="0.25">
      <c r="A8" s="16" t="s">
        <v>825</v>
      </c>
      <c r="B8" s="572">
        <v>1</v>
      </c>
      <c r="C8" s="931"/>
      <c r="D8" s="89"/>
      <c r="E8" s="89"/>
    </row>
    <row r="9" spans="1:5" ht="39.6" x14ac:dyDescent="0.3">
      <c r="A9" s="16" t="s">
        <v>828</v>
      </c>
      <c r="B9" s="572">
        <v>1</v>
      </c>
      <c r="C9" s="931"/>
      <c r="D9" s="89"/>
      <c r="E9" s="89"/>
    </row>
    <row r="10" spans="1:5" ht="26.4" x14ac:dyDescent="0.3">
      <c r="A10" s="16" t="s">
        <v>831</v>
      </c>
      <c r="B10" s="572">
        <v>3</v>
      </c>
      <c r="C10" s="931"/>
      <c r="D10" s="89"/>
      <c r="E10" s="89"/>
    </row>
    <row r="11" spans="1:5" ht="26.4" x14ac:dyDescent="0.3">
      <c r="A11" s="16" t="s">
        <v>834</v>
      </c>
      <c r="B11" s="572">
        <v>1</v>
      </c>
      <c r="C11" s="931"/>
      <c r="D11" s="89"/>
      <c r="E11" s="89"/>
    </row>
    <row r="12" spans="1:5" ht="26.4" x14ac:dyDescent="0.3">
      <c r="A12" s="16" t="s">
        <v>837</v>
      </c>
      <c r="B12" s="572">
        <v>1</v>
      </c>
      <c r="C12" s="931"/>
      <c r="D12" s="89"/>
      <c r="E12" s="89"/>
    </row>
    <row r="13" spans="1:5" ht="20.25" x14ac:dyDescent="0.25">
      <c r="A13" s="928" t="s">
        <v>3954</v>
      </c>
      <c r="B13" s="89"/>
      <c r="C13" s="931"/>
      <c r="D13" s="89"/>
      <c r="E13" s="89"/>
    </row>
    <row r="14" spans="1:5" ht="26.4" x14ac:dyDescent="0.3">
      <c r="A14" s="16" t="s">
        <v>2511</v>
      </c>
      <c r="B14" s="303">
        <v>0</v>
      </c>
      <c r="C14" s="931"/>
      <c r="D14" s="89"/>
      <c r="E14" s="89"/>
    </row>
    <row r="15" spans="1:5" ht="26.4" x14ac:dyDescent="0.3">
      <c r="A15" s="16" t="s">
        <v>2512</v>
      </c>
      <c r="B15" s="303">
        <v>1</v>
      </c>
      <c r="C15" s="931"/>
      <c r="D15" s="89"/>
      <c r="E15" s="89"/>
    </row>
    <row r="16" spans="1:5" ht="25.5" x14ac:dyDescent="0.25">
      <c r="A16" s="16" t="s">
        <v>889</v>
      </c>
      <c r="B16" s="303">
        <v>0</v>
      </c>
      <c r="C16" s="931"/>
      <c r="D16" s="89"/>
      <c r="E16" s="89"/>
    </row>
    <row r="17" spans="1:5" ht="39.6" x14ac:dyDescent="0.3">
      <c r="A17" s="16" t="s">
        <v>2513</v>
      </c>
      <c r="B17" s="303">
        <v>1</v>
      </c>
      <c r="C17" s="931"/>
      <c r="D17" s="89"/>
      <c r="E17" s="89"/>
    </row>
    <row r="18" spans="1:5" ht="35.25" customHeight="1" x14ac:dyDescent="0.25">
      <c r="A18" s="929" t="s">
        <v>1133</v>
      </c>
      <c r="B18" s="89"/>
      <c r="C18" s="931"/>
      <c r="D18" s="89"/>
      <c r="E18" s="89"/>
    </row>
    <row r="19" spans="1:5" ht="39.6" x14ac:dyDescent="0.3">
      <c r="A19" s="16" t="s">
        <v>1155</v>
      </c>
      <c r="B19" s="572">
        <v>1</v>
      </c>
      <c r="C19" s="931"/>
      <c r="D19" s="89"/>
      <c r="E19" s="89"/>
    </row>
    <row r="20" spans="1:5" ht="39.6" x14ac:dyDescent="0.3">
      <c r="A20" s="16" t="s">
        <v>1159</v>
      </c>
      <c r="B20" s="572">
        <v>1</v>
      </c>
      <c r="C20" s="931"/>
      <c r="D20" s="89"/>
      <c r="E20" s="89"/>
    </row>
    <row r="21" spans="1:5" ht="26.4" x14ac:dyDescent="0.3">
      <c r="A21" s="16" t="s">
        <v>1162</v>
      </c>
      <c r="B21" s="572">
        <v>1</v>
      </c>
      <c r="C21" s="931"/>
      <c r="D21" s="89"/>
      <c r="E21" s="89"/>
    </row>
    <row r="22" spans="1:5" ht="26.4" x14ac:dyDescent="0.3">
      <c r="A22" s="16" t="s">
        <v>1165</v>
      </c>
      <c r="B22" s="572">
        <v>100</v>
      </c>
      <c r="C22" s="931"/>
      <c r="D22" s="89"/>
      <c r="E22" s="89"/>
    </row>
    <row r="23" spans="1:5" ht="26.4" x14ac:dyDescent="0.3">
      <c r="A23" s="16" t="s">
        <v>1169</v>
      </c>
      <c r="B23" s="572">
        <v>1</v>
      </c>
      <c r="C23" s="931"/>
      <c r="D23" s="89"/>
      <c r="E23" s="89"/>
    </row>
    <row r="24" spans="1:5" ht="26.4" x14ac:dyDescent="0.3">
      <c r="A24" s="71" t="s">
        <v>1179</v>
      </c>
      <c r="B24" s="572">
        <v>67</v>
      </c>
      <c r="C24" s="931"/>
      <c r="D24" s="89"/>
      <c r="E24" s="89"/>
    </row>
    <row r="25" spans="1:5" ht="51" x14ac:dyDescent="0.25">
      <c r="A25" s="16" t="s">
        <v>1184</v>
      </c>
      <c r="B25" s="572">
        <v>1</v>
      </c>
      <c r="C25" s="931"/>
      <c r="D25" s="89"/>
      <c r="E25" s="89"/>
    </row>
    <row r="26" spans="1:5" ht="39.6" x14ac:dyDescent="0.3">
      <c r="A26" s="71" t="s">
        <v>1187</v>
      </c>
      <c r="B26" s="572">
        <v>90</v>
      </c>
      <c r="C26" s="931"/>
      <c r="D26" s="89"/>
      <c r="E26" s="89"/>
    </row>
    <row r="27" spans="1:5" ht="26.4" x14ac:dyDescent="0.3">
      <c r="A27" s="16" t="s">
        <v>1190</v>
      </c>
      <c r="B27" s="572">
        <v>1</v>
      </c>
      <c r="C27" s="931"/>
      <c r="D27" s="89"/>
      <c r="E27" s="89"/>
    </row>
    <row r="28" spans="1:5" ht="39.6" x14ac:dyDescent="0.3">
      <c r="A28" s="16" t="s">
        <v>1193</v>
      </c>
      <c r="B28" s="572">
        <v>0</v>
      </c>
      <c r="C28" s="931"/>
      <c r="D28" s="89"/>
      <c r="E28" s="89"/>
    </row>
    <row r="29" spans="1:5" ht="26.4" x14ac:dyDescent="0.3">
      <c r="A29" s="16" t="s">
        <v>1195</v>
      </c>
      <c r="B29" s="572">
        <v>0</v>
      </c>
      <c r="C29" s="931"/>
      <c r="D29" s="89"/>
      <c r="E29" s="89"/>
    </row>
    <row r="30" spans="1:5" ht="26.4" x14ac:dyDescent="0.3">
      <c r="A30" s="16" t="s">
        <v>1201</v>
      </c>
      <c r="B30" s="572">
        <v>1</v>
      </c>
      <c r="C30" s="931"/>
      <c r="D30" s="89"/>
      <c r="E30" s="89"/>
    </row>
    <row r="31" spans="1:5" ht="39.6" x14ac:dyDescent="0.3">
      <c r="A31" s="16" t="s">
        <v>1204</v>
      </c>
      <c r="B31" s="572">
        <v>1</v>
      </c>
      <c r="C31" s="931"/>
      <c r="D31" s="89"/>
      <c r="E31" s="89"/>
    </row>
    <row r="32" spans="1:5" ht="39.6" x14ac:dyDescent="0.3">
      <c r="A32" s="16" t="s">
        <v>1207</v>
      </c>
      <c r="B32" s="572">
        <v>1</v>
      </c>
      <c r="C32" s="931"/>
      <c r="D32" s="89"/>
      <c r="E32" s="89"/>
    </row>
    <row r="33" spans="1:5" ht="26.4" x14ac:dyDescent="0.3">
      <c r="A33" s="16" t="s">
        <v>1210</v>
      </c>
      <c r="B33" s="572">
        <v>1</v>
      </c>
      <c r="C33" s="931"/>
      <c r="D33" s="89"/>
      <c r="E33" s="89"/>
    </row>
    <row r="34" spans="1:5" ht="26.4" x14ac:dyDescent="0.3">
      <c r="A34" s="16" t="s">
        <v>1213</v>
      </c>
      <c r="B34" s="572">
        <v>1</v>
      </c>
      <c r="C34" s="931"/>
      <c r="D34" s="89"/>
      <c r="E34" s="89"/>
    </row>
    <row r="35" spans="1:5" ht="39.6" x14ac:dyDescent="0.3">
      <c r="A35" s="16" t="s">
        <v>1215</v>
      </c>
      <c r="B35" s="572">
        <v>1</v>
      </c>
      <c r="C35" s="931"/>
      <c r="D35" s="89"/>
      <c r="E35" s="89"/>
    </row>
  </sheetData>
  <customSheetViews>
    <customSheetView guid="{92B8BA5A-7984-4526-9F7A-187FF856FCAE}" state="hidden" topLeftCell="A13">
      <selection activeCell="I9" sqref="I9"/>
      <pageMargins left="0" right="0" top="0" bottom="0" header="0" footer="0"/>
      <pageSetup orientation="portrait" horizontalDpi="4294967295" verticalDpi="4294967295" r:id="rId1"/>
    </customSheetView>
  </customSheetViews>
  <pageMargins left="0.70866141732283472" right="0.70866141732283472" top="0.74803149606299213" bottom="0.74803149606299213" header="0.31496062992125984" footer="0.31496062992125984"/>
  <pageSetup orientation="portrait" horizontalDpi="4294967295" verticalDpi="4294967295"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K28"/>
  <sheetViews>
    <sheetView topLeftCell="C1" zoomScale="90" zoomScaleNormal="90" workbookViewId="0">
      <selection activeCell="C8" sqref="A8:XFD8"/>
    </sheetView>
  </sheetViews>
  <sheetFormatPr baseColWidth="10" defaultColWidth="11.44140625" defaultRowHeight="15.6" x14ac:dyDescent="0.3"/>
  <cols>
    <col min="1" max="2" width="11.44140625" style="229"/>
    <col min="3" max="3" width="30.88671875" style="229" customWidth="1"/>
    <col min="4" max="4" width="7.6640625" style="229" hidden="1" customWidth="1"/>
    <col min="5" max="5" width="10.109375" style="230" customWidth="1"/>
    <col min="6" max="6" width="12.44140625" style="230" customWidth="1"/>
    <col min="7" max="8" width="10.88671875" style="230" customWidth="1"/>
    <col min="9" max="9" width="11.88671875" style="230" customWidth="1"/>
    <col min="10" max="10" width="10.88671875" style="230" customWidth="1"/>
    <col min="11" max="11" width="12.88671875" style="283" customWidth="1"/>
    <col min="12" max="12" width="12.88671875" style="229" customWidth="1"/>
    <col min="13" max="13" width="13.109375" style="229" customWidth="1"/>
    <col min="14" max="15" width="11.44140625" style="229"/>
    <col min="16" max="16" width="45.44140625" style="229" bestFit="1" customWidth="1"/>
    <col min="17" max="17" width="9" style="229" bestFit="1" customWidth="1"/>
    <col min="18" max="25" width="11.44140625" style="229"/>
    <col min="26" max="26" width="43.33203125" style="229" bestFit="1" customWidth="1"/>
    <col min="27" max="27" width="4.44140625" style="229" bestFit="1" customWidth="1"/>
    <col min="28" max="16384" width="11.44140625" style="229"/>
  </cols>
  <sheetData>
    <row r="1" spans="3:37" ht="16.5" thickBot="1" x14ac:dyDescent="0.3"/>
    <row r="2" spans="3:37" ht="24" thickBot="1" x14ac:dyDescent="0.3">
      <c r="C2" s="911" t="s">
        <v>3955</v>
      </c>
      <c r="D2" s="912"/>
      <c r="E2" s="912"/>
      <c r="F2" s="912"/>
      <c r="G2" s="912"/>
      <c r="H2" s="912"/>
      <c r="I2" s="912"/>
      <c r="J2" s="912"/>
      <c r="K2" s="913"/>
      <c r="L2" s="914"/>
      <c r="Z2" s="1712" t="s">
        <v>3955</v>
      </c>
      <c r="AA2" s="1713"/>
      <c r="AB2" s="1713"/>
      <c r="AC2" s="1713"/>
      <c r="AD2" s="1713"/>
      <c r="AE2" s="1713"/>
      <c r="AF2" s="1713"/>
      <c r="AG2" s="1713"/>
      <c r="AH2" s="1713"/>
      <c r="AI2" s="1713"/>
      <c r="AJ2" s="1713"/>
      <c r="AK2" s="1713"/>
    </row>
    <row r="3" spans="3:37" ht="15.75" x14ac:dyDescent="0.25">
      <c r="AB3" s="230"/>
      <c r="AC3" s="230"/>
      <c r="AD3" s="230"/>
      <c r="AE3" s="230"/>
      <c r="AF3" s="230"/>
      <c r="AG3" s="230"/>
      <c r="AH3" s="283"/>
    </row>
    <row r="4" spans="3:37" ht="16.5" thickBot="1" x14ac:dyDescent="0.3">
      <c r="G4" s="807" t="s">
        <v>3109</v>
      </c>
      <c r="H4" s="808" t="s">
        <v>3110</v>
      </c>
      <c r="I4" s="809" t="s">
        <v>3111</v>
      </c>
      <c r="J4" s="810" t="s">
        <v>3112</v>
      </c>
      <c r="AB4" s="230"/>
      <c r="AC4" s="230"/>
      <c r="AD4" s="807" t="s">
        <v>3109</v>
      </c>
      <c r="AE4" s="808" t="s">
        <v>3110</v>
      </c>
      <c r="AF4" s="809" t="s">
        <v>3111</v>
      </c>
      <c r="AG4" s="810" t="s">
        <v>3112</v>
      </c>
      <c r="AH4" s="283"/>
    </row>
    <row r="5" spans="3:37" ht="45.75" customHeight="1" thickBot="1" x14ac:dyDescent="0.3">
      <c r="C5" s="788" t="s">
        <v>9</v>
      </c>
      <c r="D5" s="789" t="s">
        <v>3113</v>
      </c>
      <c r="E5" s="791" t="s">
        <v>3114</v>
      </c>
      <c r="F5" s="791" t="s">
        <v>3956</v>
      </c>
      <c r="G5" s="806" t="s">
        <v>2598</v>
      </c>
      <c r="H5" s="806" t="s">
        <v>2604</v>
      </c>
      <c r="I5" s="806" t="s">
        <v>2600</v>
      </c>
      <c r="J5" s="806" t="s">
        <v>2594</v>
      </c>
      <c r="K5" s="792" t="s">
        <v>3957</v>
      </c>
      <c r="L5" s="803" t="s">
        <v>3117</v>
      </c>
      <c r="M5" s="804" t="s">
        <v>3958</v>
      </c>
      <c r="N5" s="805" t="s">
        <v>3119</v>
      </c>
      <c r="P5" s="788" t="s">
        <v>9</v>
      </c>
      <c r="Q5" s="789" t="s">
        <v>3113</v>
      </c>
      <c r="R5" s="791" t="s">
        <v>3114</v>
      </c>
      <c r="Z5" s="956" t="s">
        <v>3959</v>
      </c>
      <c r="AA5" s="957" t="s">
        <v>3113</v>
      </c>
      <c r="AB5" s="958" t="s">
        <v>3114</v>
      </c>
      <c r="AC5" s="958" t="s">
        <v>3956</v>
      </c>
      <c r="AD5" s="959" t="s">
        <v>2598</v>
      </c>
      <c r="AE5" s="806" t="s">
        <v>2604</v>
      </c>
      <c r="AF5" s="806" t="s">
        <v>2600</v>
      </c>
      <c r="AG5" s="806" t="s">
        <v>2594</v>
      </c>
      <c r="AH5" s="792" t="s">
        <v>3957</v>
      </c>
      <c r="AI5" s="803" t="s">
        <v>3117</v>
      </c>
      <c r="AJ5" s="804" t="s">
        <v>3958</v>
      </c>
      <c r="AK5" s="805" t="s">
        <v>3119</v>
      </c>
    </row>
    <row r="6" spans="3:37" x14ac:dyDescent="0.3">
      <c r="C6" s="780" t="s">
        <v>39</v>
      </c>
      <c r="D6" s="781">
        <v>3</v>
      </c>
      <c r="E6" s="782">
        <f>J6+I6+H6+G6</f>
        <v>37</v>
      </c>
      <c r="F6" s="782">
        <f>E6-J6</f>
        <v>31</v>
      </c>
      <c r="G6" s="783">
        <f>COUNTIF('PLAN ACCION 2017'!$AN$9:$AN$47,"VE")</f>
        <v>28</v>
      </c>
      <c r="H6" s="784">
        <f>COUNTIF('PLAN ACCION 2017'!$AN$9:$AN$47,"AM")</f>
        <v>2</v>
      </c>
      <c r="I6" s="785">
        <f>COUNTIF('PLAN ACCION 2017'!$AN$9:$AN$47,"RO")</f>
        <v>1</v>
      </c>
      <c r="J6" s="786">
        <f>COUNTIF('PLAN ACCION 2017'!$AN$9:$AN$47,"AZ")</f>
        <v>6</v>
      </c>
      <c r="K6" s="787">
        <f>+((G6*1)/(G6+H6+I6)+(H6*0.5)/(G6+H6+I6))*100</f>
        <v>93.548387096774192</v>
      </c>
      <c r="L6" s="787">
        <f>+((G6*1)/(E6)+(H6*0.5)/(E6))*100</f>
        <v>78.378378378378372</v>
      </c>
      <c r="M6" s="787">
        <f>+((G6*1)/(G6+H6+I6)+(H6*0.3)/(G6+H6+I6))*100</f>
        <v>92.258064516129039</v>
      </c>
      <c r="N6" s="787">
        <f>+((G6*1)/(E6)+(H6*0.3)/(E6))*100</f>
        <v>77.297297297297305</v>
      </c>
      <c r="P6" s="955" t="s">
        <v>894</v>
      </c>
      <c r="Q6">
        <f>COUNTIF('PLAN ACCION 2017'!$B$9:$B$1111,P6)</f>
        <v>35</v>
      </c>
      <c r="Z6" s="960" t="s">
        <v>1226</v>
      </c>
      <c r="AA6" s="89"/>
      <c r="AB6" s="89">
        <f>COUNTIF('PLAN ACCION 2017'!$N$9:$N$1111,Z6)</f>
        <v>0</v>
      </c>
      <c r="AC6" s="961"/>
      <c r="AD6" s="770">
        <f>COUNTIFS('PLAN ACCION 2017'!$N$9:$N$1111,Z6,'PLAN ACCION 2017'!$AN$9:$AN$1111,$AD$5)</f>
        <v>0</v>
      </c>
      <c r="AE6" s="783">
        <f>COUNTIFS('PLAN ACCION 2017'!$N$9:$N$1111,Z6,'PLAN ACCION 2017'!$AN$9:$AN$1111,$AE$5)</f>
        <v>0</v>
      </c>
      <c r="AF6" s="783">
        <f>COUNTIFS('PLAN ACCION 2017'!$N$9:$N$1111,Z6,'PLAN ACCION 2017'!$AN$9:$AN$1111,$AF$5)</f>
        <v>0</v>
      </c>
      <c r="AG6" s="783">
        <f>COUNTIFS('PLAN ACCION 2017'!$N$9:$N$1111,Z6,'PLAN ACCION 2017'!$AN$9:$AN$1111,$AG$5)</f>
        <v>0</v>
      </c>
      <c r="AH6" s="787" t="e">
        <f>+((AD6*1)/(AD6+AE6+AF6)+(AE6*0.5)/(AD6+AE6+AF6))*100</f>
        <v>#DIV/0!</v>
      </c>
      <c r="AI6" s="787" t="e">
        <f>+((AD6*1)/(AB6)+(AE6*0.5)/(AB6))*100</f>
        <v>#DIV/0!</v>
      </c>
      <c r="AJ6" s="787" t="e">
        <f>+((AD6*1)/(AD6+AE6+AF6)+(AE6*0.3)/(AD6+AE6+AF6))*100</f>
        <v>#DIV/0!</v>
      </c>
      <c r="AK6" s="787" t="e">
        <f>+((AD6*1)/(AB6)+(AE6*0.3)/(AB6))*100</f>
        <v>#DIV/0!</v>
      </c>
    </row>
    <row r="7" spans="3:37" ht="15.75" x14ac:dyDescent="0.25">
      <c r="C7" s="775" t="s">
        <v>2250</v>
      </c>
      <c r="D7" s="776"/>
      <c r="E7" s="777">
        <v>61</v>
      </c>
      <c r="F7" s="777">
        <f t="shared" ref="F7:F23" si="0">E7-J7</f>
        <v>61</v>
      </c>
      <c r="G7" s="770">
        <v>50</v>
      </c>
      <c r="H7" s="771">
        <v>0</v>
      </c>
      <c r="I7" s="774">
        <v>11</v>
      </c>
      <c r="J7" s="779">
        <v>0</v>
      </c>
      <c r="K7" s="773">
        <f>+((G7*1)/(G7+H7+I7)+(H7*0.5)/(G7+H7+I7))*100</f>
        <v>81.967213114754102</v>
      </c>
      <c r="L7" s="787">
        <f t="shared" ref="L7:L22" si="1">+((G7*1)/(E7)+(H7*0.5)/(E7))*100</f>
        <v>81.967213114754102</v>
      </c>
      <c r="M7" s="787">
        <f t="shared" ref="M7:M23" si="2">+((G7*1)/(G7+H7+I7)+(H7*0.3)/(G7+H7+I7))*100</f>
        <v>81.967213114754102</v>
      </c>
      <c r="N7" s="787">
        <f t="shared" ref="N7:N23" si="3">+((G7*1)/(E7)+(H7*0.3)/(E7))*100</f>
        <v>81.967213114754102</v>
      </c>
      <c r="P7" s="955" t="s">
        <v>1351</v>
      </c>
      <c r="Q7">
        <f>COUNTIF('PLAN ACCION 2017'!$B$9:$B$1111,P7)</f>
        <v>33</v>
      </c>
      <c r="Z7" s="960" t="s">
        <v>3822</v>
      </c>
      <c r="AA7" s="89"/>
      <c r="AB7" s="89">
        <f>COUNTIF('PLAN ACCION 2017'!$N$9:$N$1111,Z7)</f>
        <v>1</v>
      </c>
      <c r="AC7" s="961"/>
      <c r="AD7" s="770">
        <f>COUNTIFS('PLAN ACCION 2017'!$N$9:$N$1111,Z7,'PLAN ACCION 2017'!$AN$9:$AN$1111,$AD$5)</f>
        <v>0</v>
      </c>
      <c r="AE7" s="783">
        <f>COUNTIFS('PLAN ACCION 2017'!$N$9:$N$1111,Z7,'PLAN ACCION 2017'!$AN$9:$AN$1111,$AE$5)</f>
        <v>0</v>
      </c>
      <c r="AF7" s="783">
        <f>COUNTIFS('PLAN ACCION 2017'!$N$9:$N$1111,Z7,'PLAN ACCION 2017'!$AN$9:$AN$1111,$AF$5)</f>
        <v>1</v>
      </c>
      <c r="AG7" s="783">
        <f>COUNTIFS('PLAN ACCION 2017'!$N$9:$N$1111,Z7,'PLAN ACCION 2017'!$AN$9:$AN$1111,$AG$5)</f>
        <v>0</v>
      </c>
      <c r="AH7" s="787">
        <f t="shared" ref="AH7:AH26" si="4">+((AD7*1)/(AD7+AE7+AF7)+(AE7*0.5)/(AD7+AE7+AF7))*100</f>
        <v>0</v>
      </c>
      <c r="AI7" s="787">
        <f t="shared" ref="AI7:AI26" si="5">+((AD7*1)/(AB7)+(AE7*0.5)/(AB7))*100</f>
        <v>0</v>
      </c>
      <c r="AJ7" s="787">
        <f t="shared" ref="AJ7:AJ26" si="6">+((AD7*1)/(AD7+AE7+AF7)+(AE7*0.3)/(AD7+AE7+AF7))*100</f>
        <v>0</v>
      </c>
      <c r="AK7" s="787">
        <f t="shared" ref="AK7:AK26" si="7">+((AD7*1)/(AB7)+(AE7*0.3)/(AB7))*100</f>
        <v>0</v>
      </c>
    </row>
    <row r="8" spans="3:37" ht="15.75" x14ac:dyDescent="0.25">
      <c r="C8" s="775" t="s">
        <v>384</v>
      </c>
      <c r="D8" s="776"/>
      <c r="E8" s="777">
        <v>30</v>
      </c>
      <c r="F8" s="777">
        <f t="shared" si="0"/>
        <v>23</v>
      </c>
      <c r="G8" s="770">
        <f>COUNTIF('PLAN ACCION 2017'!$AN$124:$AN$155,"VE")</f>
        <v>19</v>
      </c>
      <c r="H8" s="771">
        <f>COUNTIF('PLAN ACCION 2017'!$AN$124:$AN$155,"AM")</f>
        <v>3</v>
      </c>
      <c r="I8" s="948">
        <f>COUNTIF('PLAN ACCION 2017'!$AN$124:$AN$155,"RO")</f>
        <v>1</v>
      </c>
      <c r="J8" s="779">
        <f>COUNTIF('PLAN ACCION 2017'!$AN$124:$AN$155,"AZ")</f>
        <v>7</v>
      </c>
      <c r="K8" s="772">
        <f>+((G8*1)/(G8+H8+I8)+(H8*0.5)/(G8+H8+I8))*100</f>
        <v>89.130434782608688</v>
      </c>
      <c r="L8" s="787">
        <f t="shared" si="1"/>
        <v>68.333333333333329</v>
      </c>
      <c r="M8" s="787">
        <f t="shared" si="2"/>
        <v>86.521739130434781</v>
      </c>
      <c r="N8" s="787">
        <f t="shared" si="3"/>
        <v>66.333333333333329</v>
      </c>
      <c r="P8" s="955" t="s">
        <v>384</v>
      </c>
      <c r="Q8">
        <f>COUNTIF('PLAN ACCION 2017'!$B$9:$B$1111,P8)</f>
        <v>33</v>
      </c>
      <c r="Z8" s="960" t="s">
        <v>2933</v>
      </c>
      <c r="AA8" s="89"/>
      <c r="AB8" s="89">
        <f>COUNTIF('PLAN ACCION 2017'!$N$9:$N$1111,Z8)</f>
        <v>13</v>
      </c>
      <c r="AC8" s="961"/>
      <c r="AD8" s="770">
        <f>COUNTIFS('PLAN ACCION 2017'!$N$9:$N$1111,Z8,'PLAN ACCION 2017'!$AN$9:$AN$1111,$AD$5)</f>
        <v>8</v>
      </c>
      <c r="AE8" s="783">
        <f>COUNTIFS('PLAN ACCION 2017'!$N$9:$N$1111,Z8,'PLAN ACCION 2017'!$AN$9:$AN$1111,$AE$5)</f>
        <v>1</v>
      </c>
      <c r="AF8" s="783">
        <f>COUNTIFS('PLAN ACCION 2017'!$N$9:$N$1111,Z8,'PLAN ACCION 2017'!$AN$9:$AN$1111,$AF$5)</f>
        <v>2</v>
      </c>
      <c r="AG8" s="783">
        <f>COUNTIFS('PLAN ACCION 2017'!$N$9:$N$1111,Z8,'PLAN ACCION 2017'!$AN$9:$AN$1111,$AG$5)</f>
        <v>2</v>
      </c>
      <c r="AH8" s="787">
        <f t="shared" si="4"/>
        <v>77.272727272727266</v>
      </c>
      <c r="AI8" s="787">
        <f t="shared" si="5"/>
        <v>65.384615384615387</v>
      </c>
      <c r="AJ8" s="787">
        <f t="shared" si="6"/>
        <v>75.454545454545453</v>
      </c>
      <c r="AK8" s="787">
        <f t="shared" si="7"/>
        <v>63.846153846153854</v>
      </c>
    </row>
    <row r="9" spans="3:37" x14ac:dyDescent="0.3">
      <c r="C9" s="775" t="s">
        <v>278</v>
      </c>
      <c r="D9" s="776"/>
      <c r="E9" s="777">
        <f t="shared" ref="E9:E17" si="8">J9+I9+H9+G9</f>
        <v>19</v>
      </c>
      <c r="F9" s="777">
        <f t="shared" si="0"/>
        <v>19</v>
      </c>
      <c r="G9" s="770">
        <f>COUNTIF('PLAN ACCION 2017'!$AN$88:$AN$107,"VE")</f>
        <v>14</v>
      </c>
      <c r="H9" s="771">
        <f>COUNTIF('PLAN ACCION 2017'!$AN$88:$AN$107,"AM")</f>
        <v>4</v>
      </c>
      <c r="I9" s="774">
        <f>COUNTIF('PLAN ACCION 2017'!$AN$88:$AN$107,"RO")</f>
        <v>1</v>
      </c>
      <c r="J9" s="779">
        <f>COUNTIF('PLAN ACCION 2017'!$AN$88:$AN$107,"AZ")</f>
        <v>0</v>
      </c>
      <c r="K9" s="772">
        <f t="shared" ref="K9:K23" si="9">+((G9*1)/(G9+H9+I9)+(H9*0.5)/(G9+H9+I9))*100</f>
        <v>84.210526315789465</v>
      </c>
      <c r="L9" s="787">
        <f t="shared" si="1"/>
        <v>84.210526315789465</v>
      </c>
      <c r="M9" s="787">
        <f t="shared" si="2"/>
        <v>80</v>
      </c>
      <c r="N9" s="787">
        <f t="shared" si="3"/>
        <v>80</v>
      </c>
      <c r="P9" s="955" t="s">
        <v>489</v>
      </c>
      <c r="Q9">
        <f>COUNTIF('PLAN ACCION 2017'!$B$9:$B$1111,P9)</f>
        <v>103</v>
      </c>
      <c r="Z9" s="960" t="s">
        <v>2791</v>
      </c>
      <c r="AA9" s="89"/>
      <c r="AB9" s="89">
        <f>COUNTIF('PLAN ACCION 2017'!$N$9:$N$1111,Z9)</f>
        <v>48</v>
      </c>
      <c r="AC9" s="961"/>
      <c r="AD9" s="770">
        <f>COUNTIFS('PLAN ACCION 2017'!$N$9:$N$1111,Z9,'PLAN ACCION 2017'!$AN$9:$AN$1111,$AD$5)</f>
        <v>30</v>
      </c>
      <c r="AE9" s="783">
        <f>COUNTIFS('PLAN ACCION 2017'!$N$9:$N$1111,Z9,'PLAN ACCION 2017'!$AN$9:$AN$1111,$AE$5)</f>
        <v>4</v>
      </c>
      <c r="AF9" s="783">
        <f>COUNTIFS('PLAN ACCION 2017'!$N$9:$N$1111,Z9,'PLAN ACCION 2017'!$AN$9:$AN$1111,$AF$5)</f>
        <v>7</v>
      </c>
      <c r="AG9" s="783">
        <f>COUNTIFS('PLAN ACCION 2017'!$N$9:$N$1111,Z9,'PLAN ACCION 2017'!$AN$9:$AN$1111,$AG$5)</f>
        <v>7</v>
      </c>
      <c r="AH9" s="787">
        <f t="shared" si="4"/>
        <v>78.048780487804876</v>
      </c>
      <c r="AI9" s="787">
        <f t="shared" si="5"/>
        <v>66.666666666666657</v>
      </c>
      <c r="AJ9" s="787">
        <f t="shared" si="6"/>
        <v>76.097560975609753</v>
      </c>
      <c r="AK9" s="787">
        <f t="shared" si="7"/>
        <v>65</v>
      </c>
    </row>
    <row r="10" spans="3:37" ht="15.75" x14ac:dyDescent="0.25">
      <c r="C10" s="775" t="s">
        <v>169</v>
      </c>
      <c r="D10" s="776"/>
      <c r="E10" s="777">
        <f t="shared" si="8"/>
        <v>32</v>
      </c>
      <c r="F10" s="777">
        <f t="shared" si="0"/>
        <v>31</v>
      </c>
      <c r="G10" s="770">
        <f>COUNTIF('PLAN ACCION 2017'!$AN$52:$AN$84,"VE")</f>
        <v>28</v>
      </c>
      <c r="H10" s="771">
        <f>COUNTIF('PLAN ACCION 2017'!$AN$52:$AN$84,"AM")</f>
        <v>1</v>
      </c>
      <c r="I10" s="774">
        <f>COUNTIF('PLAN ACCION 2017'!$AN$52:$AN$84,"RO")</f>
        <v>2</v>
      </c>
      <c r="J10" s="779">
        <f>COUNTIF('PLAN ACCION 2017'!$AN$52:$AN$84,"AZ")</f>
        <v>1</v>
      </c>
      <c r="K10" s="772">
        <f t="shared" si="9"/>
        <v>91.935483870967744</v>
      </c>
      <c r="L10" s="787">
        <f t="shared" si="1"/>
        <v>89.0625</v>
      </c>
      <c r="M10" s="787">
        <f t="shared" si="2"/>
        <v>91.290322580645153</v>
      </c>
      <c r="N10" s="787">
        <f t="shared" si="3"/>
        <v>88.4375</v>
      </c>
      <c r="P10" s="955" t="s">
        <v>169</v>
      </c>
      <c r="Q10">
        <f>COUNTIF('PLAN ACCION 2017'!$B$9:$B$1111,P10)</f>
        <v>34</v>
      </c>
      <c r="Z10" s="960" t="s">
        <v>3632</v>
      </c>
      <c r="AA10" s="89"/>
      <c r="AB10" s="89">
        <f>COUNTIF('PLAN ACCION 2017'!$N$9:$N$1111,Z10)</f>
        <v>10</v>
      </c>
      <c r="AC10" s="961"/>
      <c r="AD10" s="770">
        <f>COUNTIFS('PLAN ACCION 2017'!$N$9:$N$1111,Z10,'PLAN ACCION 2017'!$AN$9:$AN$1111,$AD$5)</f>
        <v>7</v>
      </c>
      <c r="AE10" s="783">
        <f>COUNTIFS('PLAN ACCION 2017'!$N$9:$N$1111,Z10,'PLAN ACCION 2017'!$AN$9:$AN$1111,$AE$5)</f>
        <v>1</v>
      </c>
      <c r="AF10" s="783">
        <f>COUNTIFS('PLAN ACCION 2017'!$N$9:$N$1111,Z10,'PLAN ACCION 2017'!$AN$9:$AN$1111,$AF$5)</f>
        <v>1</v>
      </c>
      <c r="AG10" s="783">
        <f>COUNTIFS('PLAN ACCION 2017'!$N$9:$N$1111,Z10,'PLAN ACCION 2017'!$AN$9:$AN$1111,$AG$5)</f>
        <v>1</v>
      </c>
      <c r="AH10" s="787">
        <f t="shared" ref="AH10:AH18" si="10">+((AD10*1)/(AD10+AE10+AF10)+(AE10*0.5)/(AD10+AE10+AF10))*100</f>
        <v>83.333333333333343</v>
      </c>
      <c r="AI10" s="787">
        <f t="shared" ref="AI10:AI18" si="11">+((AD10*1)/(AB10)+(AE10*0.5)/(AB10))*100</f>
        <v>75</v>
      </c>
      <c r="AJ10" s="787">
        <f t="shared" ref="AJ10:AJ18" si="12">+((AD10*1)/(AD10+AE10+AF10)+(AE10*0.3)/(AD10+AE10+AF10))*100</f>
        <v>81.111111111111114</v>
      </c>
      <c r="AK10" s="787">
        <f t="shared" ref="AK10:AK18" si="13">+((AD10*1)/(AB10)+(AE10*0.3)/(AB10))*100</f>
        <v>73</v>
      </c>
    </row>
    <row r="11" spans="3:37" x14ac:dyDescent="0.3">
      <c r="C11" s="775" t="s">
        <v>2527</v>
      </c>
      <c r="D11" s="776"/>
      <c r="E11" s="777">
        <v>3</v>
      </c>
      <c r="F11" s="777">
        <f t="shared" si="0"/>
        <v>3</v>
      </c>
      <c r="G11" s="770">
        <f>COUNTIF('PLAN ACCION 2017'!$AN$357:$AN$361,"VE")</f>
        <v>2</v>
      </c>
      <c r="H11" s="771">
        <f>COUNTIF('PLAN ACCION 2017'!$AN$357:$AN$361,"AM")</f>
        <v>0</v>
      </c>
      <c r="I11" s="774">
        <f>COUNTIF('PLAN ACCION 2017'!$AN$357:$AN$361,"RO")</f>
        <v>1</v>
      </c>
      <c r="J11" s="779">
        <f>COUNTIF('PLAN ACCION 2017'!$AN$357:$AN$360,"AZ")</f>
        <v>0</v>
      </c>
      <c r="K11" s="772">
        <f t="shared" si="9"/>
        <v>66.666666666666657</v>
      </c>
      <c r="L11" s="787">
        <f t="shared" si="1"/>
        <v>66.666666666666657</v>
      </c>
      <c r="M11" s="787">
        <f t="shared" si="2"/>
        <v>66.666666666666657</v>
      </c>
      <c r="N11" s="787">
        <f t="shared" si="3"/>
        <v>66.666666666666657</v>
      </c>
      <c r="P11" s="955" t="s">
        <v>278</v>
      </c>
      <c r="Q11">
        <f>COUNTIF('PLAN ACCION 2017'!$B$9:$B$1111,P11)</f>
        <v>21</v>
      </c>
      <c r="Z11" s="960" t="s">
        <v>3670</v>
      </c>
      <c r="AA11" s="89"/>
      <c r="AB11" s="89">
        <f>COUNTIF('PLAN ACCION 2017'!$N$9:$N$1111,Z11)</f>
        <v>6</v>
      </c>
      <c r="AC11" s="961"/>
      <c r="AD11" s="770">
        <f>COUNTIFS('PLAN ACCION 2017'!$N$9:$N$1111,Z11,'PLAN ACCION 2017'!$AN$9:$AN$1111,$AD$5)</f>
        <v>2</v>
      </c>
      <c r="AE11" s="783">
        <f>COUNTIFS('PLAN ACCION 2017'!$N$9:$N$1111,Z11,'PLAN ACCION 2017'!$AN$9:$AN$1111,$AE$5)</f>
        <v>3</v>
      </c>
      <c r="AF11" s="783">
        <f>COUNTIFS('PLAN ACCION 2017'!$N$9:$N$1111,Z11,'PLAN ACCION 2017'!$AN$9:$AN$1111,$AF$5)</f>
        <v>0</v>
      </c>
      <c r="AG11" s="783">
        <f>COUNTIFS('PLAN ACCION 2017'!$N$9:$N$1111,Z11,'PLAN ACCION 2017'!$AN$9:$AN$1111,$AG$5)</f>
        <v>1</v>
      </c>
      <c r="AH11" s="787">
        <f t="shared" si="10"/>
        <v>70</v>
      </c>
      <c r="AI11" s="787">
        <f t="shared" si="11"/>
        <v>58.333333333333329</v>
      </c>
      <c r="AJ11" s="787">
        <f t="shared" si="12"/>
        <v>58.000000000000007</v>
      </c>
      <c r="AK11" s="787">
        <f t="shared" si="13"/>
        <v>48.333333333333329</v>
      </c>
    </row>
    <row r="12" spans="3:37" ht="15.75" x14ac:dyDescent="0.25">
      <c r="C12" s="775" t="s">
        <v>343</v>
      </c>
      <c r="D12" s="776"/>
      <c r="E12" s="777">
        <f t="shared" si="8"/>
        <v>9</v>
      </c>
      <c r="F12" s="777">
        <f t="shared" si="0"/>
        <v>6</v>
      </c>
      <c r="G12" s="770">
        <f>COUNTIF('PLAN ACCION 2017'!$AN$111:$AN$120,"VE")</f>
        <v>5</v>
      </c>
      <c r="H12" s="771">
        <f>COUNTIF('PLAN ACCION 2017'!$AN$111:$AN$120,"AM")</f>
        <v>1</v>
      </c>
      <c r="I12" s="774">
        <f>COUNTIF('PLAN ACCION 2017'!$AN$111:$AN$120,"RO")</f>
        <v>0</v>
      </c>
      <c r="J12" s="779">
        <f>COUNTIF('PLAN ACCION 2017'!$AN$111:$AN$120,"AZ")</f>
        <v>3</v>
      </c>
      <c r="K12" s="772">
        <f t="shared" si="9"/>
        <v>91.666666666666671</v>
      </c>
      <c r="L12" s="787">
        <f t="shared" si="1"/>
        <v>61.111111111111114</v>
      </c>
      <c r="M12" s="787">
        <f t="shared" si="2"/>
        <v>88.333333333333343</v>
      </c>
      <c r="N12" s="787">
        <f t="shared" si="3"/>
        <v>58.888888888888893</v>
      </c>
      <c r="P12" s="955" t="s">
        <v>1217</v>
      </c>
      <c r="Q12">
        <f>COUNTIF('PLAN ACCION 2017'!$B$9:$B$1111,P12)</f>
        <v>13</v>
      </c>
      <c r="Z12" s="960" t="s">
        <v>3660</v>
      </c>
      <c r="AA12" s="89"/>
      <c r="AB12" s="89">
        <f>COUNTIF('PLAN ACCION 2017'!$N$9:$N$1111,Z12)</f>
        <v>7</v>
      </c>
      <c r="AC12" s="961"/>
      <c r="AD12" s="770">
        <f>COUNTIFS('PLAN ACCION 2017'!$N$9:$N$1111,Z12,'PLAN ACCION 2017'!$AN$9:$AN$1111,$AD$5)</f>
        <v>4</v>
      </c>
      <c r="AE12" s="783">
        <f>COUNTIFS('PLAN ACCION 2017'!$N$9:$N$1111,Z12,'PLAN ACCION 2017'!$AN$9:$AN$1111,$AE$5)</f>
        <v>1</v>
      </c>
      <c r="AF12" s="783">
        <f>COUNTIFS('PLAN ACCION 2017'!$N$9:$N$1111,Z12,'PLAN ACCION 2017'!$AN$9:$AN$1111,$AF$5)</f>
        <v>0</v>
      </c>
      <c r="AG12" s="783">
        <f>COUNTIFS('PLAN ACCION 2017'!$N$9:$N$1111,Z12,'PLAN ACCION 2017'!$AN$9:$AN$1111,$AG$5)</f>
        <v>2</v>
      </c>
      <c r="AH12" s="787">
        <f t="shared" si="10"/>
        <v>90</v>
      </c>
      <c r="AI12" s="787">
        <f t="shared" si="11"/>
        <v>64.285714285714278</v>
      </c>
      <c r="AJ12" s="787">
        <f t="shared" si="12"/>
        <v>86.000000000000014</v>
      </c>
      <c r="AK12" s="787">
        <f t="shared" si="13"/>
        <v>61.428571428571423</v>
      </c>
    </row>
    <row r="13" spans="3:37" x14ac:dyDescent="0.3">
      <c r="C13" s="775" t="s">
        <v>894</v>
      </c>
      <c r="D13" s="776"/>
      <c r="E13" s="777">
        <f t="shared" si="8"/>
        <v>33</v>
      </c>
      <c r="F13" s="777">
        <f t="shared" si="0"/>
        <v>27</v>
      </c>
      <c r="G13" s="770">
        <f>COUNTIF('PLAN ACCION 2017'!$AN$297:$AN$329,"VE")</f>
        <v>24</v>
      </c>
      <c r="H13" s="771">
        <f>COUNTIF('PLAN ACCION 2017'!$AN$297:$AN$329,"AM")</f>
        <v>3</v>
      </c>
      <c r="I13" s="774">
        <f>COUNTIF('PLAN ACCION 2017'!$AN$297:$AN$329,"RO")</f>
        <v>0</v>
      </c>
      <c r="J13" s="779">
        <f>COUNTIF('PLAN ACCION 2017'!$AN$297:$AN$329,"AZ")</f>
        <v>6</v>
      </c>
      <c r="K13" s="772">
        <f t="shared" si="9"/>
        <v>94.444444444444443</v>
      </c>
      <c r="L13" s="787">
        <f t="shared" si="1"/>
        <v>77.272727272727266</v>
      </c>
      <c r="M13" s="787">
        <f t="shared" si="2"/>
        <v>92.222222222222214</v>
      </c>
      <c r="N13" s="787">
        <f t="shared" si="3"/>
        <v>75.454545454545453</v>
      </c>
      <c r="P13" s="955" t="s">
        <v>801</v>
      </c>
      <c r="Q13">
        <f>COUNTIF('PLAN ACCION 2017'!$B$9:$B$1111,P13)</f>
        <v>27</v>
      </c>
      <c r="Z13" s="960" t="s">
        <v>3960</v>
      </c>
      <c r="AA13" s="89"/>
      <c r="AB13" s="89">
        <f>COUNTIF('PLAN ACCION 2017'!$N$9:$N$1111,Z13)</f>
        <v>0</v>
      </c>
      <c r="AC13" s="961"/>
      <c r="AD13" s="770">
        <f>COUNTIFS('PLAN ACCION 2017'!$N$9:$N$1111,Z13,'PLAN ACCION 2017'!$AN$9:$AN$1111,$AD$5)</f>
        <v>0</v>
      </c>
      <c r="AE13" s="783">
        <f>COUNTIFS('PLAN ACCION 2017'!$N$9:$N$1111,Z13,'PLAN ACCION 2017'!$AN$9:$AN$1111,$AE$5)</f>
        <v>0</v>
      </c>
      <c r="AF13" s="783">
        <f>COUNTIFS('PLAN ACCION 2017'!$N$9:$N$1111,Z13,'PLAN ACCION 2017'!$AN$9:$AN$1111,$AF$5)</f>
        <v>0</v>
      </c>
      <c r="AG13" s="783">
        <f>COUNTIFS('PLAN ACCION 2017'!$N$9:$N$1111,Z13,'PLAN ACCION 2017'!$AN$9:$AN$1111,$AG$5)</f>
        <v>0</v>
      </c>
      <c r="AH13" s="787" t="e">
        <f t="shared" si="10"/>
        <v>#DIV/0!</v>
      </c>
      <c r="AI13" s="787" t="e">
        <f t="shared" si="11"/>
        <v>#DIV/0!</v>
      </c>
      <c r="AJ13" s="787" t="e">
        <f t="shared" si="12"/>
        <v>#DIV/0!</v>
      </c>
      <c r="AK13" s="787" t="e">
        <f t="shared" si="13"/>
        <v>#DIV/0!</v>
      </c>
    </row>
    <row r="14" spans="3:37" x14ac:dyDescent="0.3">
      <c r="C14" s="775" t="s">
        <v>999</v>
      </c>
      <c r="D14" s="776"/>
      <c r="E14" s="777">
        <f t="shared" si="8"/>
        <v>21</v>
      </c>
      <c r="F14" s="777">
        <f t="shared" si="0"/>
        <v>19</v>
      </c>
      <c r="G14" s="770">
        <f>COUNTIF('PLAN ACCION 2017'!$AN$333:$AN$353,"VE")</f>
        <v>15</v>
      </c>
      <c r="H14" s="771">
        <f>COUNTIF('PLAN ACCION 2017'!$AN$333:$AN$353,"AM")</f>
        <v>3</v>
      </c>
      <c r="I14" s="774">
        <f>COUNTIF('PLAN ACCION 2017'!$AN$333:$AN$353,"RO")</f>
        <v>1</v>
      </c>
      <c r="J14" s="779">
        <f>COUNTIF('PLAN ACCION 2017'!$AN$333:$AN$354,"AZ")</f>
        <v>2</v>
      </c>
      <c r="K14" s="772">
        <f t="shared" si="9"/>
        <v>86.842105263157904</v>
      </c>
      <c r="L14" s="787">
        <f t="shared" si="1"/>
        <v>78.571428571428569</v>
      </c>
      <c r="M14" s="787">
        <f t="shared" si="2"/>
        <v>83.684210526315795</v>
      </c>
      <c r="N14" s="787">
        <f t="shared" si="3"/>
        <v>75.714285714285708</v>
      </c>
      <c r="P14" s="955" t="s">
        <v>1094</v>
      </c>
      <c r="Q14">
        <f>COUNTIF('PLAN ACCION 2017'!$B$9:$B$1111,P14)</f>
        <v>1</v>
      </c>
      <c r="Z14" s="960" t="s">
        <v>3648</v>
      </c>
      <c r="AA14" s="89"/>
      <c r="AB14" s="89">
        <f>COUNTIF('PLAN ACCION 2017'!$N$9:$N$1111,Z14)</f>
        <v>8</v>
      </c>
      <c r="AC14" s="961"/>
      <c r="AD14" s="770">
        <f>COUNTIFS('PLAN ACCION 2017'!$N$9:$N$1111,Z14,'PLAN ACCION 2017'!$AN$9:$AN$1111,$AD$5)</f>
        <v>6</v>
      </c>
      <c r="AE14" s="783">
        <f>COUNTIFS('PLAN ACCION 2017'!$N$9:$N$1111,Z14,'PLAN ACCION 2017'!$AN$9:$AN$1111,$AE$5)</f>
        <v>0</v>
      </c>
      <c r="AF14" s="783">
        <f>COUNTIFS('PLAN ACCION 2017'!$N$9:$N$1111,Z14,'PLAN ACCION 2017'!$AN$9:$AN$1111,$AF$5)</f>
        <v>0</v>
      </c>
      <c r="AG14" s="783">
        <f>COUNTIFS('PLAN ACCION 2017'!$N$9:$N$1111,Z14,'PLAN ACCION 2017'!$AN$9:$AN$1111,$AG$5)</f>
        <v>2</v>
      </c>
      <c r="AH14" s="787">
        <f t="shared" si="10"/>
        <v>100</v>
      </c>
      <c r="AI14" s="787">
        <f t="shared" si="11"/>
        <v>75</v>
      </c>
      <c r="AJ14" s="787">
        <f t="shared" si="12"/>
        <v>100</v>
      </c>
      <c r="AK14" s="787">
        <f t="shared" si="13"/>
        <v>75</v>
      </c>
    </row>
    <row r="15" spans="3:37" x14ac:dyDescent="0.3">
      <c r="C15" s="775" t="s">
        <v>1351</v>
      </c>
      <c r="D15" s="776"/>
      <c r="E15" s="777">
        <f t="shared" si="8"/>
        <v>31</v>
      </c>
      <c r="F15" s="777">
        <f t="shared" si="0"/>
        <v>28</v>
      </c>
      <c r="G15" s="770">
        <f>COUNTIF('PLAN ACCION 2017'!$AN$449:$AN$480,"VE")</f>
        <v>25</v>
      </c>
      <c r="H15" s="771">
        <f>COUNTIF('PLAN ACCION 2017'!$AN$449:$AN$480,"AM")</f>
        <v>0</v>
      </c>
      <c r="I15" s="774">
        <f>COUNTIF('PLAN ACCION 2017'!$AN$449:$AN$480,"RO")</f>
        <v>3</v>
      </c>
      <c r="J15" s="779">
        <f>COUNTIF('PLAN ACCION 2017'!$AN$449:$AN$480,"AZ")</f>
        <v>3</v>
      </c>
      <c r="K15" s="772">
        <f t="shared" si="9"/>
        <v>89.285714285714292</v>
      </c>
      <c r="L15" s="787">
        <f t="shared" si="1"/>
        <v>80.645161290322577</v>
      </c>
      <c r="M15" s="787">
        <f t="shared" si="2"/>
        <v>89.285714285714292</v>
      </c>
      <c r="N15" s="787">
        <f t="shared" si="3"/>
        <v>80.645161290322577</v>
      </c>
      <c r="P15" s="955" t="s">
        <v>35</v>
      </c>
      <c r="Q15">
        <f>COUNTIF('PLAN ACCION 2017'!$B$9:$B$1111,P15)</f>
        <v>39</v>
      </c>
      <c r="Z15" s="960" t="s">
        <v>3611</v>
      </c>
      <c r="AA15" s="89"/>
      <c r="AB15" s="89">
        <f>COUNTIF('PLAN ACCION 2017'!$N$9:$N$1111,Z15)</f>
        <v>10</v>
      </c>
      <c r="AC15" s="961"/>
      <c r="AD15" s="770">
        <f>COUNTIFS('PLAN ACCION 2017'!$N$9:$N$1111,Z15,'PLAN ACCION 2017'!$AN$9:$AN$1111,$AD$5)</f>
        <v>7</v>
      </c>
      <c r="AE15" s="783">
        <f>COUNTIFS('PLAN ACCION 2017'!$N$9:$N$1111,Z15,'PLAN ACCION 2017'!$AN$9:$AN$1111,$AE$5)</f>
        <v>1</v>
      </c>
      <c r="AF15" s="783">
        <f>COUNTIFS('PLAN ACCION 2017'!$N$9:$N$1111,Z15,'PLAN ACCION 2017'!$AN$9:$AN$1111,$AF$5)</f>
        <v>0</v>
      </c>
      <c r="AG15" s="783">
        <f>COUNTIFS('PLAN ACCION 2017'!$N$9:$N$1111,Z15,'PLAN ACCION 2017'!$AN$9:$AN$1111,$AG$5)</f>
        <v>2</v>
      </c>
      <c r="AH15" s="787">
        <f t="shared" si="10"/>
        <v>93.75</v>
      </c>
      <c r="AI15" s="787">
        <f t="shared" si="11"/>
        <v>75</v>
      </c>
      <c r="AJ15" s="787">
        <f t="shared" si="12"/>
        <v>91.25</v>
      </c>
      <c r="AK15" s="787">
        <f t="shared" si="13"/>
        <v>73</v>
      </c>
    </row>
    <row r="16" spans="3:37" ht="31.2" x14ac:dyDescent="0.3">
      <c r="C16" s="775" t="s">
        <v>1448</v>
      </c>
      <c r="D16" s="776"/>
      <c r="E16" s="777">
        <f t="shared" si="8"/>
        <v>13</v>
      </c>
      <c r="F16" s="777">
        <f t="shared" si="0"/>
        <v>13</v>
      </c>
      <c r="G16" s="770">
        <f>COUNTIF('PLAN ACCION 2017'!$AN$485:$AN$499,"VE")</f>
        <v>11</v>
      </c>
      <c r="H16" s="771">
        <f>COUNTIF('PLAN ACCION 2017'!$AN$485:$AN$499,"AM")</f>
        <v>1</v>
      </c>
      <c r="I16" s="774">
        <f>COUNTIF('PLAN ACCION 2017'!$AN$485:$AN$499,"RO")</f>
        <v>1</v>
      </c>
      <c r="J16" s="779">
        <f>COUNTIF('PLAN ACCION 2017'!$AN$485:$AN$499,"AZ")</f>
        <v>0</v>
      </c>
      <c r="K16" s="772">
        <f t="shared" si="9"/>
        <v>88.461538461538453</v>
      </c>
      <c r="L16" s="787">
        <f t="shared" si="1"/>
        <v>88.461538461538453</v>
      </c>
      <c r="M16" s="787">
        <f t="shared" si="2"/>
        <v>86.92307692307692</v>
      </c>
      <c r="N16" s="787">
        <f t="shared" si="3"/>
        <v>86.92307692307692</v>
      </c>
      <c r="P16" s="955" t="s">
        <v>1095</v>
      </c>
      <c r="Q16">
        <f>COUNTIF('PLAN ACCION 2017'!$B$9:$B$1111,P16)</f>
        <v>11</v>
      </c>
      <c r="Z16" s="960" t="s">
        <v>3654</v>
      </c>
      <c r="AA16" s="89"/>
      <c r="AB16" s="89">
        <f>COUNTIF('PLAN ACCION 2017'!$N$9:$N$1111,Z16)</f>
        <v>5</v>
      </c>
      <c r="AC16" s="961"/>
      <c r="AD16" s="770">
        <f>COUNTIFS('PLAN ACCION 2017'!$N$9:$N$1111,Z16,'PLAN ACCION 2017'!$AN$9:$AN$1111,$AD$5)</f>
        <v>3</v>
      </c>
      <c r="AE16" s="783">
        <f>COUNTIFS('PLAN ACCION 2017'!$N$9:$N$1111,Z16,'PLAN ACCION 2017'!$AN$9:$AN$1111,$AE$5)</f>
        <v>0</v>
      </c>
      <c r="AF16" s="783">
        <f>COUNTIFS('PLAN ACCION 2017'!$N$9:$N$1111,Z16,'PLAN ACCION 2017'!$AN$9:$AN$1111,$AF$5)</f>
        <v>0</v>
      </c>
      <c r="AG16" s="783">
        <f>COUNTIFS('PLAN ACCION 2017'!$N$9:$N$1111,Z16,'PLAN ACCION 2017'!$AN$9:$AN$1111,$AG$5)</f>
        <v>2</v>
      </c>
      <c r="AH16" s="787">
        <f t="shared" si="10"/>
        <v>100</v>
      </c>
      <c r="AI16" s="787">
        <f t="shared" si="11"/>
        <v>60</v>
      </c>
      <c r="AJ16" s="787">
        <f t="shared" si="12"/>
        <v>100</v>
      </c>
      <c r="AK16" s="787">
        <f t="shared" si="13"/>
        <v>60</v>
      </c>
    </row>
    <row r="17" spans="3:37" x14ac:dyDescent="0.3">
      <c r="C17" s="775" t="s">
        <v>798</v>
      </c>
      <c r="D17" s="776"/>
      <c r="E17" s="777">
        <f t="shared" si="8"/>
        <v>27</v>
      </c>
      <c r="F17" s="777">
        <f t="shared" si="0"/>
        <v>17</v>
      </c>
      <c r="G17" s="770">
        <f>COUNTIF('PLAN ACCION 2017'!$AN$265:$AN$293,"VE")</f>
        <v>11</v>
      </c>
      <c r="H17" s="771">
        <f>COUNTIF('PLAN ACCION 2017'!$AN$265:$AN$293,"AM")</f>
        <v>1</v>
      </c>
      <c r="I17" s="774">
        <f>COUNTIF('PLAN ACCION 2017'!$AN$265:$AN$293,"RO")</f>
        <v>5</v>
      </c>
      <c r="J17" s="779">
        <f>COUNTIF('PLAN ACCION 2017'!$AN$265:$AN$293,"AZ")</f>
        <v>10</v>
      </c>
      <c r="K17" s="772">
        <f t="shared" si="9"/>
        <v>67.64705882352942</v>
      </c>
      <c r="L17" s="787">
        <f t="shared" si="1"/>
        <v>42.592592592592595</v>
      </c>
      <c r="M17" s="787">
        <f t="shared" si="2"/>
        <v>66.47058823529413</v>
      </c>
      <c r="N17" s="787">
        <f t="shared" si="3"/>
        <v>41.851851851851848</v>
      </c>
      <c r="P17" s="955" t="s">
        <v>1132</v>
      </c>
      <c r="Q17">
        <f>COUNTIF('PLAN ACCION 2017'!$B$9:$B$1111,P17)</f>
        <v>27</v>
      </c>
      <c r="Z17" s="960" t="s">
        <v>3622</v>
      </c>
      <c r="AA17" s="89"/>
      <c r="AB17" s="89">
        <f>COUNTIF('PLAN ACCION 2017'!$N$9:$N$1111,Z17)</f>
        <v>6</v>
      </c>
      <c r="AC17" s="961"/>
      <c r="AD17" s="770">
        <f>COUNTIFS('PLAN ACCION 2017'!$N$9:$N$1111,Z17,'PLAN ACCION 2017'!$AN$9:$AN$1111,$AD$5)</f>
        <v>6</v>
      </c>
      <c r="AE17" s="783">
        <f>COUNTIFS('PLAN ACCION 2017'!$N$9:$N$1111,Z17,'PLAN ACCION 2017'!$AN$9:$AN$1111,$AE$5)</f>
        <v>0</v>
      </c>
      <c r="AF17" s="783">
        <f>COUNTIFS('PLAN ACCION 2017'!$N$9:$N$1111,Z17,'PLAN ACCION 2017'!$AN$9:$AN$1111,$AF$5)</f>
        <v>0</v>
      </c>
      <c r="AG17" s="783">
        <f>COUNTIFS('PLAN ACCION 2017'!$N$9:$N$1111,Z17,'PLAN ACCION 2017'!$AN$9:$AN$1111,$AG$5)</f>
        <v>0</v>
      </c>
      <c r="AH17" s="787">
        <f t="shared" si="10"/>
        <v>100</v>
      </c>
      <c r="AI17" s="787">
        <f t="shared" si="11"/>
        <v>100</v>
      </c>
      <c r="AJ17" s="787">
        <f t="shared" si="12"/>
        <v>100</v>
      </c>
      <c r="AK17" s="787">
        <f t="shared" si="13"/>
        <v>100</v>
      </c>
    </row>
    <row r="18" spans="3:37" ht="31.2" x14ac:dyDescent="0.3">
      <c r="C18" s="775" t="s">
        <v>489</v>
      </c>
      <c r="D18" s="776"/>
      <c r="E18" s="777">
        <v>94</v>
      </c>
      <c r="F18" s="777">
        <f t="shared" si="0"/>
        <v>81</v>
      </c>
      <c r="G18" s="770">
        <f>COUNTIF('PLAN ACCION 2017'!$AN$158:$AN$260,"VE")</f>
        <v>68</v>
      </c>
      <c r="H18" s="771">
        <f>COUNTIF('PLAN ACCION 2017'!$AN$158:$AN$260,"AM")</f>
        <v>8</v>
      </c>
      <c r="I18" s="774">
        <f>COUNTIF('PLAN ACCION 2017'!$AN$158:$AN$260,"RO")</f>
        <v>5</v>
      </c>
      <c r="J18" s="779">
        <f>COUNTIF('PLAN ACCION 2017'!$AN$158:$AN$260,"AZ")</f>
        <v>13</v>
      </c>
      <c r="K18" s="772">
        <f t="shared" si="9"/>
        <v>88.888888888888886</v>
      </c>
      <c r="L18" s="787">
        <f t="shared" si="1"/>
        <v>76.59574468085107</v>
      </c>
      <c r="M18" s="787">
        <f t="shared" si="2"/>
        <v>86.913580246913583</v>
      </c>
      <c r="N18" s="787">
        <f t="shared" si="3"/>
        <v>74.893617021276597</v>
      </c>
      <c r="P18" s="955" t="s">
        <v>1259</v>
      </c>
      <c r="Q18">
        <f>COUNTIF('PLAN ACCION 2017'!$B$9:$B$1111,P18)</f>
        <v>29</v>
      </c>
      <c r="Z18" s="960" t="s">
        <v>3680</v>
      </c>
      <c r="AA18" s="89"/>
      <c r="AB18" s="89">
        <f>COUNTIF('PLAN ACCION 2017'!$N$9:$N$1111,Z18)</f>
        <v>17</v>
      </c>
      <c r="AC18" s="961"/>
      <c r="AD18" s="770">
        <f>COUNTIFS('PLAN ACCION 2017'!$N$9:$N$1111,Z18,'PLAN ACCION 2017'!$AN$9:$AN$1111,$AD$5)</f>
        <v>13</v>
      </c>
      <c r="AE18" s="783">
        <f>COUNTIFS('PLAN ACCION 2017'!$N$9:$N$1111,Z18,'PLAN ACCION 2017'!$AN$9:$AN$1111,$AE$5)</f>
        <v>0</v>
      </c>
      <c r="AF18" s="783">
        <f>COUNTIFS('PLAN ACCION 2017'!$N$9:$N$1111,Z18,'PLAN ACCION 2017'!$AN$9:$AN$1111,$AF$5)</f>
        <v>2</v>
      </c>
      <c r="AG18" s="783">
        <f>COUNTIFS('PLAN ACCION 2017'!$N$9:$N$1111,Z18,'PLAN ACCION 2017'!$AN$9:$AN$1111,$AG$5)</f>
        <v>2</v>
      </c>
      <c r="AH18" s="787">
        <f t="shared" si="10"/>
        <v>86.666666666666671</v>
      </c>
      <c r="AI18" s="787">
        <f t="shared" si="11"/>
        <v>76.470588235294116</v>
      </c>
      <c r="AJ18" s="787">
        <f t="shared" si="12"/>
        <v>86.666666666666671</v>
      </c>
      <c r="AK18" s="787">
        <f t="shared" si="13"/>
        <v>76.470588235294116</v>
      </c>
    </row>
    <row r="19" spans="3:37" x14ac:dyDescent="0.3">
      <c r="C19" s="775" t="s">
        <v>1095</v>
      </c>
      <c r="D19" s="776"/>
      <c r="E19" s="777">
        <f>J19+I19+H19+G19</f>
        <v>8</v>
      </c>
      <c r="F19" s="777">
        <f t="shared" si="0"/>
        <v>5</v>
      </c>
      <c r="G19" s="770">
        <f>COUNTIF('PLAN ACCION 2017'!$AN$365:$AN$373,"VE")</f>
        <v>3</v>
      </c>
      <c r="H19" s="771">
        <f>COUNTIF('PLAN ACCION 2017'!$AN$365:$AN$373,"AM")</f>
        <v>0</v>
      </c>
      <c r="I19" s="774">
        <f>COUNTIF('PLAN ACCION 2017'!$AN$365:$AN$373,"RO")</f>
        <v>2</v>
      </c>
      <c r="J19" s="779">
        <f>COUNTIF('PLAN ACCION 2017'!$AN$365:$AN$373,"AZ")</f>
        <v>3</v>
      </c>
      <c r="K19" s="772">
        <f t="shared" si="9"/>
        <v>60</v>
      </c>
      <c r="L19" s="787">
        <f t="shared" si="1"/>
        <v>37.5</v>
      </c>
      <c r="M19" s="787">
        <f t="shared" si="2"/>
        <v>60</v>
      </c>
      <c r="N19" s="787">
        <f t="shared" si="3"/>
        <v>37.5</v>
      </c>
      <c r="P19" s="955" t="s">
        <v>1448</v>
      </c>
      <c r="Q19">
        <f>COUNTIF('PLAN ACCION 2017'!$B$9:$B$1111,P19)</f>
        <v>16</v>
      </c>
      <c r="Z19" s="960" t="s">
        <v>1008</v>
      </c>
      <c r="AA19" s="89"/>
      <c r="AB19" s="89">
        <f>COUNTIF('PLAN ACCION 2017'!$N$9:$N$1111,Z19)</f>
        <v>11</v>
      </c>
      <c r="AC19" s="961"/>
      <c r="AD19" s="770">
        <f>COUNTIFS('PLAN ACCION 2017'!$N$9:$N$1111,Z19,'PLAN ACCION 2017'!$AN$9:$AN$1111,$AD$5)</f>
        <v>9</v>
      </c>
      <c r="AE19" s="783">
        <f>COUNTIFS('PLAN ACCION 2017'!$N$9:$N$1111,Z19,'PLAN ACCION 2017'!$AN$9:$AN$1111,$AE$5)</f>
        <v>2</v>
      </c>
      <c r="AF19" s="783">
        <f>COUNTIFS('PLAN ACCION 2017'!$N$9:$N$1111,Z19,'PLAN ACCION 2017'!$AN$9:$AN$1111,$AF$5)</f>
        <v>0</v>
      </c>
      <c r="AG19" s="783">
        <f>COUNTIFS('PLAN ACCION 2017'!$N$9:$N$1111,Z19,'PLAN ACCION 2017'!$AN$9:$AN$1111,$AG$5)</f>
        <v>0</v>
      </c>
      <c r="AH19" s="787">
        <f t="shared" si="4"/>
        <v>90.909090909090921</v>
      </c>
      <c r="AI19" s="787">
        <f t="shared" si="5"/>
        <v>90.909090909090921</v>
      </c>
      <c r="AJ19" s="787">
        <f t="shared" si="6"/>
        <v>87.27272727272728</v>
      </c>
      <c r="AK19" s="787">
        <f t="shared" si="7"/>
        <v>87.27272727272728</v>
      </c>
    </row>
    <row r="20" spans="3:37" x14ac:dyDescent="0.3">
      <c r="C20" s="775" t="s">
        <v>1218</v>
      </c>
      <c r="D20" s="776"/>
      <c r="E20" s="777">
        <f>J20+I20+H20+G20</f>
        <v>10</v>
      </c>
      <c r="F20" s="777">
        <f t="shared" si="0"/>
        <v>10</v>
      </c>
      <c r="G20" s="770">
        <f>COUNTIF('PLAN ACCION 2017'!$AN$404:$AN$414,"VE")</f>
        <v>10</v>
      </c>
      <c r="H20" s="771">
        <f>COUNTIF('PLAN ACCION 2017'!$AN$404:$AN$414,"AM")</f>
        <v>0</v>
      </c>
      <c r="I20" s="774">
        <f>COUNTIF('PLAN ACCION 2017'!$AN$404:$AN$414,"RO")</f>
        <v>0</v>
      </c>
      <c r="J20" s="779">
        <f>COUNTIF('PLAN ACCION 2017'!$AN$404:$AN$414,"AZ")</f>
        <v>0</v>
      </c>
      <c r="K20" s="772">
        <f t="shared" si="9"/>
        <v>100</v>
      </c>
      <c r="L20" s="787">
        <f t="shared" si="1"/>
        <v>100</v>
      </c>
      <c r="M20" s="787">
        <f t="shared" si="2"/>
        <v>100</v>
      </c>
      <c r="N20" s="787">
        <f t="shared" si="3"/>
        <v>100</v>
      </c>
      <c r="P20" s="955" t="s">
        <v>798</v>
      </c>
      <c r="Q20">
        <f>COUNTIF('PLAN ACCION 2017'!$B$9:$B$1111,P20)</f>
        <v>4</v>
      </c>
      <c r="Z20" s="960" t="s">
        <v>393</v>
      </c>
      <c r="AA20" s="89"/>
      <c r="AB20" s="89">
        <f>COUNTIF('PLAN ACCION 2017'!$N$9:$N$1111,Z20)</f>
        <v>24</v>
      </c>
      <c r="AC20" s="961"/>
      <c r="AD20" s="770">
        <f>COUNTIFS('PLAN ACCION 2017'!$N$9:$N$1111,Z20,'PLAN ACCION 2017'!$AN$9:$AN$1111,$AD$5)</f>
        <v>16</v>
      </c>
      <c r="AE20" s="783">
        <f>COUNTIFS('PLAN ACCION 2017'!$N$9:$N$1111,Z20,'PLAN ACCION 2017'!$AN$9:$AN$1111,$AE$5)</f>
        <v>2</v>
      </c>
      <c r="AF20" s="783">
        <f>COUNTIFS('PLAN ACCION 2017'!$N$9:$N$1111,Z20,'PLAN ACCION 2017'!$AN$9:$AN$1111,$AF$5)</f>
        <v>0</v>
      </c>
      <c r="AG20" s="783">
        <f>COUNTIFS('PLAN ACCION 2017'!$N$9:$N$1111,Z20,'PLAN ACCION 2017'!$AN$9:$AN$1111,$AG$5)</f>
        <v>6</v>
      </c>
      <c r="AH20" s="787">
        <f t="shared" si="4"/>
        <v>94.444444444444443</v>
      </c>
      <c r="AI20" s="787">
        <f t="shared" si="5"/>
        <v>70.833333333333329</v>
      </c>
      <c r="AJ20" s="787">
        <f t="shared" si="6"/>
        <v>92.222222222222214</v>
      </c>
      <c r="AK20" s="787">
        <f t="shared" si="7"/>
        <v>69.166666666666671</v>
      </c>
    </row>
    <row r="21" spans="3:37" x14ac:dyDescent="0.3">
      <c r="C21" s="775" t="s">
        <v>1132</v>
      </c>
      <c r="D21" s="776"/>
      <c r="E21" s="777">
        <f>J21+I21+H21+G21</f>
        <v>24</v>
      </c>
      <c r="F21" s="777">
        <f t="shared" si="0"/>
        <v>22</v>
      </c>
      <c r="G21" s="770">
        <f>COUNTIF('PLAN ACCION 2017'!$AN$377:$AN$401,"VE")</f>
        <v>20</v>
      </c>
      <c r="H21" s="771">
        <f>COUNTIF('PLAN ACCION 2017'!$AN$377:$AN$401,"AM")</f>
        <v>2</v>
      </c>
      <c r="I21" s="774">
        <f>COUNTIF('PLAN ACCION 2017'!$AN$377:$AN$401,"RO")</f>
        <v>0</v>
      </c>
      <c r="J21" s="779">
        <f>COUNTIF('PLAN ACCION 2017'!$AN$377:$AN$401,"AZ")</f>
        <v>2</v>
      </c>
      <c r="K21" s="772">
        <f t="shared" si="9"/>
        <v>95.454545454545453</v>
      </c>
      <c r="L21" s="787">
        <f t="shared" si="1"/>
        <v>87.5</v>
      </c>
      <c r="M21" s="787">
        <f t="shared" si="2"/>
        <v>93.636363636363626</v>
      </c>
      <c r="N21" s="787">
        <f t="shared" si="3"/>
        <v>85.833333333333343</v>
      </c>
      <c r="P21" s="955" t="s">
        <v>1071</v>
      </c>
      <c r="Q21">
        <f>COUNTIF('PLAN ACCION 2017'!$B$9:$B$1111,P21)</f>
        <v>1</v>
      </c>
      <c r="Z21" s="960" t="s">
        <v>3555</v>
      </c>
      <c r="AA21" s="89"/>
      <c r="AB21" s="89">
        <f>COUNTIF('PLAN ACCION 2017'!$N$9:$N$1111,Z21)</f>
        <v>41</v>
      </c>
      <c r="AC21" s="961"/>
      <c r="AD21" s="770">
        <f>COUNTIFS('PLAN ACCION 2017'!$N$9:$N$1111,Z21,'PLAN ACCION 2017'!$AN$9:$AN$1111,$AD$5)</f>
        <v>26</v>
      </c>
      <c r="AE21" s="783">
        <f>COUNTIFS('PLAN ACCION 2017'!$N$9:$N$1111,Z21,'PLAN ACCION 2017'!$AN$9:$AN$1111,$AE$5)</f>
        <v>3</v>
      </c>
      <c r="AF21" s="783">
        <f>COUNTIFS('PLAN ACCION 2017'!$N$9:$N$1111,Z21,'PLAN ACCION 2017'!$AN$9:$AN$1111,$AF$5)</f>
        <v>4</v>
      </c>
      <c r="AG21" s="783">
        <f>COUNTIFS('PLAN ACCION 2017'!$N$9:$N$1111,Z21,'PLAN ACCION 2017'!$AN$9:$AN$1111,$AG$5)</f>
        <v>8</v>
      </c>
      <c r="AH21" s="787">
        <f t="shared" si="4"/>
        <v>83.333333333333329</v>
      </c>
      <c r="AI21" s="787">
        <f t="shared" si="5"/>
        <v>67.073170731707322</v>
      </c>
      <c r="AJ21" s="787">
        <f t="shared" si="6"/>
        <v>81.515151515151501</v>
      </c>
      <c r="AK21" s="787">
        <f t="shared" si="7"/>
        <v>65.609756097560975</v>
      </c>
    </row>
    <row r="22" spans="3:37" ht="15.75" x14ac:dyDescent="0.25">
      <c r="C22" s="775" t="s">
        <v>1259</v>
      </c>
      <c r="D22" s="776"/>
      <c r="E22" s="777">
        <f>J22+I22+H22+G22</f>
        <v>26</v>
      </c>
      <c r="F22" s="777">
        <f t="shared" si="0"/>
        <v>25</v>
      </c>
      <c r="G22" s="770">
        <f>COUNTIF('PLAN ACCION 2017'!$AN$417:$AN$444,"VE")</f>
        <v>22</v>
      </c>
      <c r="H22" s="771">
        <f>COUNTIF('PLAN ACCION 2017'!$AN$417:$AN$444,"AM")</f>
        <v>2</v>
      </c>
      <c r="I22" s="774">
        <f>COUNTIF('PLAN ACCION 2017'!$AN$417:$AN$444,"RO")</f>
        <v>1</v>
      </c>
      <c r="J22" s="779">
        <f>COUNTIF('PLAN ACCION 2017'!$AN$417:$AN$444,"AZ")</f>
        <v>1</v>
      </c>
      <c r="K22" s="772">
        <f t="shared" si="9"/>
        <v>92</v>
      </c>
      <c r="L22" s="787">
        <f t="shared" si="1"/>
        <v>88.461538461538453</v>
      </c>
      <c r="M22" s="787">
        <f t="shared" si="2"/>
        <v>90.4</v>
      </c>
      <c r="N22" s="787">
        <f t="shared" si="3"/>
        <v>86.92307692307692</v>
      </c>
      <c r="P22" s="955" t="s">
        <v>999</v>
      </c>
      <c r="Q22">
        <f>COUNTIF('PLAN ACCION 2017'!$B$9:$B$1111,P22)</f>
        <v>23</v>
      </c>
      <c r="Z22" s="960" t="s">
        <v>903</v>
      </c>
      <c r="AA22" s="89"/>
      <c r="AB22" s="89">
        <f>COUNTIF('PLAN ACCION 2017'!$N$9:$N$1111,Z22)</f>
        <v>0</v>
      </c>
      <c r="AC22" s="961"/>
      <c r="AD22" s="770">
        <f>COUNTIFS('PLAN ACCION 2017'!$N$9:$N$1111,Z22,'PLAN ACCION 2017'!$AN$9:$AN$1111,$AD$5)</f>
        <v>0</v>
      </c>
      <c r="AE22" s="783">
        <f>COUNTIFS('PLAN ACCION 2017'!$N$9:$N$1111,Z22,'PLAN ACCION 2017'!$AN$9:$AN$1111,$AE$5)</f>
        <v>0</v>
      </c>
      <c r="AF22" s="783">
        <f>COUNTIFS('PLAN ACCION 2017'!$N$9:$N$1111,Z22,'PLAN ACCION 2017'!$AN$9:$AN$1111,$AF$5)</f>
        <v>0</v>
      </c>
      <c r="AG22" s="783">
        <f>COUNTIFS('PLAN ACCION 2017'!$N$9:$N$1111,Z22,'PLAN ACCION 2017'!$AN$9:$AN$1111,$AG$5)</f>
        <v>0</v>
      </c>
      <c r="AH22" s="787" t="e">
        <f t="shared" si="4"/>
        <v>#DIV/0!</v>
      </c>
      <c r="AI22" s="787" t="e">
        <f t="shared" si="5"/>
        <v>#DIV/0!</v>
      </c>
      <c r="AJ22" s="787" t="e">
        <f t="shared" si="6"/>
        <v>#DIV/0!</v>
      </c>
      <c r="AK22" s="787" t="e">
        <f t="shared" si="7"/>
        <v>#DIV/0!</v>
      </c>
    </row>
    <row r="23" spans="3:37" ht="15.75" x14ac:dyDescent="0.25">
      <c r="C23" s="778" t="s">
        <v>32</v>
      </c>
      <c r="D23" s="777">
        <f t="shared" ref="D23:I23" si="14">SUM(D6:D22)</f>
        <v>3</v>
      </c>
      <c r="E23" s="777">
        <f>SUM(E6:E22)</f>
        <v>478</v>
      </c>
      <c r="F23" s="777">
        <f t="shared" si="0"/>
        <v>421</v>
      </c>
      <c r="G23" s="770">
        <f t="shared" si="14"/>
        <v>355</v>
      </c>
      <c r="H23" s="771">
        <f t="shared" si="14"/>
        <v>31</v>
      </c>
      <c r="I23" s="774">
        <f t="shared" si="14"/>
        <v>35</v>
      </c>
      <c r="J23" s="779">
        <f>SUM(J6:J22)</f>
        <v>57</v>
      </c>
      <c r="K23" s="772">
        <f t="shared" si="9"/>
        <v>88.004750593824227</v>
      </c>
      <c r="L23" s="787">
        <f>+((G23*1)/(E23)+(H23*0.5)/(E23))*100</f>
        <v>77.510460251046027</v>
      </c>
      <c r="M23" s="787">
        <f t="shared" si="2"/>
        <v>86.532066508313548</v>
      </c>
      <c r="N23" s="787">
        <f t="shared" si="3"/>
        <v>76.213389121338906</v>
      </c>
      <c r="P23" s="955" t="s">
        <v>343</v>
      </c>
      <c r="Q23">
        <f>COUNTIF('PLAN ACCION 2017'!$B$9:$B$1111,P23)</f>
        <v>11</v>
      </c>
      <c r="Z23" s="960" t="s">
        <v>2736</v>
      </c>
      <c r="AA23" s="89"/>
      <c r="AB23" s="89">
        <f>COUNTIF('PLAN ACCION 2017'!$N$9:$N$1111,Z23)</f>
        <v>27</v>
      </c>
      <c r="AC23" s="961"/>
      <c r="AD23" s="770">
        <f>COUNTIFS('PLAN ACCION 2017'!$N$9:$N$1111,Z23,'PLAN ACCION 2017'!$AN$9:$AN$1111,$AD$5)</f>
        <v>22</v>
      </c>
      <c r="AE23" s="783">
        <f>COUNTIFS('PLAN ACCION 2017'!$N$9:$N$1111,Z23,'PLAN ACCION 2017'!$AN$9:$AN$1111,$AE$5)</f>
        <v>2</v>
      </c>
      <c r="AF23" s="783">
        <f>COUNTIFS('PLAN ACCION 2017'!$N$9:$N$1111,Z23,'PLAN ACCION 2017'!$AN$9:$AN$1111,$AF$5)</f>
        <v>2</v>
      </c>
      <c r="AG23" s="783">
        <f>COUNTIFS('PLAN ACCION 2017'!$N$9:$N$1111,Z23,'PLAN ACCION 2017'!$AN$9:$AN$1111,$AG$5)</f>
        <v>1</v>
      </c>
      <c r="AH23" s="787">
        <f t="shared" si="4"/>
        <v>88.461538461538453</v>
      </c>
      <c r="AI23" s="787">
        <f t="shared" si="5"/>
        <v>85.18518518518519</v>
      </c>
      <c r="AJ23" s="787">
        <f t="shared" si="6"/>
        <v>86.92307692307692</v>
      </c>
      <c r="AK23" s="787">
        <f t="shared" si="7"/>
        <v>83.703703703703695</v>
      </c>
    </row>
    <row r="24" spans="3:37" ht="15.75" x14ac:dyDescent="0.25">
      <c r="E24" s="229"/>
      <c r="F24" s="229"/>
      <c r="G24" s="229"/>
      <c r="H24" s="229"/>
      <c r="I24" s="229"/>
      <c r="J24" s="229"/>
      <c r="K24" s="944">
        <f>AVERAGE(K6:K22)</f>
        <v>86.008804360943913</v>
      </c>
      <c r="Q24" s="229">
        <f>SUM(Q6:Q23)</f>
        <v>461</v>
      </c>
      <c r="Z24" s="960" t="s">
        <v>2530</v>
      </c>
      <c r="AA24" s="89"/>
      <c r="AB24" s="89">
        <f>COUNTIF('PLAN ACCION 2017'!$N$9:$N$1111,Z24)</f>
        <v>4</v>
      </c>
      <c r="AC24" s="961"/>
      <c r="AD24" s="770">
        <f>COUNTIFS('PLAN ACCION 2017'!$N$9:$N$1111,Z24,'PLAN ACCION 2017'!$AN$9:$AN$1111,$AD$5)</f>
        <v>4</v>
      </c>
      <c r="AE24" s="783">
        <f>COUNTIFS('PLAN ACCION 2017'!$N$9:$N$1111,Z24,'PLAN ACCION 2017'!$AN$9:$AN$1111,$AE$5)</f>
        <v>0</v>
      </c>
      <c r="AF24" s="783">
        <f>COUNTIFS('PLAN ACCION 2017'!$N$9:$N$1111,Z24,'PLAN ACCION 2017'!$AN$9:$AN$1111,$AF$5)</f>
        <v>0</v>
      </c>
      <c r="AG24" s="783">
        <f>COUNTIFS('PLAN ACCION 2017'!$N$9:$N$1111,Z24,'PLAN ACCION 2017'!$AN$9:$AN$1111,$AG$5)</f>
        <v>0</v>
      </c>
      <c r="AH24" s="787">
        <f t="shared" si="4"/>
        <v>100</v>
      </c>
      <c r="AI24" s="787">
        <f t="shared" si="5"/>
        <v>100</v>
      </c>
      <c r="AJ24" s="787">
        <f t="shared" si="6"/>
        <v>100</v>
      </c>
      <c r="AK24" s="787">
        <f t="shared" si="7"/>
        <v>100</v>
      </c>
    </row>
    <row r="25" spans="3:37" ht="15.75" x14ac:dyDescent="0.25">
      <c r="E25" s="229"/>
      <c r="F25" s="229"/>
      <c r="G25" s="229"/>
      <c r="H25" s="229"/>
      <c r="I25" s="229"/>
      <c r="J25" s="229"/>
      <c r="K25" s="229"/>
      <c r="Z25" s="960" t="s">
        <v>2543</v>
      </c>
      <c r="AA25" s="89"/>
      <c r="AB25" s="89">
        <f>COUNTIF('PLAN ACCION 2017'!$N$9:$N$1111,Z25)</f>
        <v>9</v>
      </c>
      <c r="AC25" s="961"/>
      <c r="AD25" s="770">
        <f>COUNTIFS('PLAN ACCION 2017'!$N$9:$N$1111,Z25,'PLAN ACCION 2017'!$AN$9:$AN$1111,$AD$5)</f>
        <v>8</v>
      </c>
      <c r="AE25" s="783">
        <f>COUNTIFS('PLAN ACCION 2017'!$N$9:$N$1111,Z25,'PLAN ACCION 2017'!$AN$9:$AN$1111,$AE$5)</f>
        <v>1</v>
      </c>
      <c r="AF25" s="783">
        <f>COUNTIFS('PLAN ACCION 2017'!$N$9:$N$1111,Z25,'PLAN ACCION 2017'!$AN$9:$AN$1111,$AF$5)</f>
        <v>0</v>
      </c>
      <c r="AG25" s="783">
        <f>COUNTIFS('PLAN ACCION 2017'!$N$9:$N$1111,Z25,'PLAN ACCION 2017'!$AN$9:$AN$1111,$AG$5)</f>
        <v>0</v>
      </c>
      <c r="AH25" s="787">
        <f t="shared" si="4"/>
        <v>94.444444444444443</v>
      </c>
      <c r="AI25" s="787">
        <f t="shared" si="5"/>
        <v>94.444444444444443</v>
      </c>
      <c r="AJ25" s="787">
        <f t="shared" si="6"/>
        <v>92.222222222222214</v>
      </c>
      <c r="AK25" s="787">
        <f t="shared" si="7"/>
        <v>92.222222222222214</v>
      </c>
    </row>
    <row r="26" spans="3:37" ht="15.75" x14ac:dyDescent="0.25">
      <c r="E26" s="229"/>
      <c r="F26" s="229"/>
      <c r="G26" s="229"/>
      <c r="H26" s="229"/>
      <c r="I26" s="229"/>
      <c r="J26" s="229"/>
      <c r="K26" s="229"/>
      <c r="Z26" s="960" t="s">
        <v>46</v>
      </c>
      <c r="AA26" s="89"/>
      <c r="AB26" s="89">
        <f>COUNTIF('PLAN ACCION 2017'!$N$9:$N$1111,Z26)</f>
        <v>100</v>
      </c>
      <c r="AC26" s="961"/>
      <c r="AD26" s="770">
        <f>COUNTIFS('PLAN ACCION 2017'!$N$9:$N$1111,Z26,'PLAN ACCION 2017'!$AN$9:$AN$1111,$AD$5)</f>
        <v>76</v>
      </c>
      <c r="AE26" s="783">
        <f>COUNTIFS('PLAN ACCION 2017'!$N$9:$N$1111,Z26,'PLAN ACCION 2017'!$AN$9:$AN$1111,$AE$5)</f>
        <v>7</v>
      </c>
      <c r="AF26" s="783">
        <f>COUNTIFS('PLAN ACCION 2017'!$N$9:$N$1111,Z26,'PLAN ACCION 2017'!$AN$9:$AN$1111,$AF$5)</f>
        <v>4</v>
      </c>
      <c r="AG26" s="783">
        <f>COUNTIFS('PLAN ACCION 2017'!$N$9:$N$1111,Z26,'PLAN ACCION 2017'!$AN$9:$AN$1111,$AG$5)</f>
        <v>13</v>
      </c>
      <c r="AH26" s="787">
        <f t="shared" si="4"/>
        <v>91.379310344827587</v>
      </c>
      <c r="AI26" s="787">
        <f t="shared" si="5"/>
        <v>79.5</v>
      </c>
      <c r="AJ26" s="787">
        <f t="shared" si="6"/>
        <v>89.77011494252875</v>
      </c>
      <c r="AK26" s="787">
        <f t="shared" si="7"/>
        <v>78.100000000000009</v>
      </c>
    </row>
    <row r="27" spans="3:37" ht="15.75" x14ac:dyDescent="0.25">
      <c r="E27" s="229"/>
      <c r="F27" s="229"/>
      <c r="G27" s="229"/>
      <c r="H27" s="229"/>
      <c r="I27" s="229"/>
      <c r="J27" s="229"/>
      <c r="K27" s="229"/>
      <c r="AB27" s="229">
        <f>SUM(AB6:AB26)</f>
        <v>347</v>
      </c>
      <c r="AD27" s="229">
        <f>SUM(AD6:AD26)</f>
        <v>247</v>
      </c>
      <c r="AE27" s="229">
        <f>SUM(AE6:AE26)</f>
        <v>28</v>
      </c>
      <c r="AF27" s="229">
        <f>SUM(AF6:AF26)</f>
        <v>23</v>
      </c>
      <c r="AG27" s="229">
        <f>SUM(AG6:AG26)</f>
        <v>49</v>
      </c>
    </row>
    <row r="28" spans="3:37" x14ac:dyDescent="0.3">
      <c r="E28" s="229"/>
      <c r="F28" s="229"/>
      <c r="G28" s="229"/>
      <c r="H28" s="229"/>
      <c r="I28" s="229"/>
      <c r="J28" s="229"/>
      <c r="K28" s="229"/>
      <c r="Q28" s="229" t="s">
        <v>3120</v>
      </c>
    </row>
  </sheetData>
  <sortState ref="Z10:Z18">
    <sortCondition ref="Z10:Z18"/>
  </sortState>
  <customSheetViews>
    <customSheetView guid="{92B8BA5A-7984-4526-9F7A-187FF856FCAE}" scale="90" hiddenColumns="1" topLeftCell="C1">
      <selection activeCell="L6" sqref="L6"/>
      <pageMargins left="0" right="0" top="0" bottom="0" header="0" footer="0"/>
      <pageSetup orientation="portrait" r:id="rId1"/>
    </customSheetView>
  </customSheetViews>
  <mergeCells count="1">
    <mergeCell ref="Z2:AK2"/>
  </mergeCells>
  <conditionalFormatting sqref="G5">
    <cfRule type="containsText" dxfId="499" priority="18" operator="containsText" text="AZ">
      <formula>NOT(ISERROR(SEARCH("AZ",G5)))</formula>
    </cfRule>
    <cfRule type="containsText" dxfId="498" priority="19" operator="containsText" text="RO">
      <formula>NOT(ISERROR(SEARCH("RO",G5)))</formula>
    </cfRule>
    <cfRule type="containsText" dxfId="497" priority="20" operator="containsText" text="AM">
      <formula>NOT(ISERROR(SEARCH("AM",G5)))</formula>
    </cfRule>
    <cfRule type="containsText" dxfId="496" priority="21" operator="containsText" text="VE">
      <formula>NOT(ISERROR(SEARCH("VE",G5)))</formula>
    </cfRule>
  </conditionalFormatting>
  <conditionalFormatting sqref="H5:J5">
    <cfRule type="containsText" dxfId="495" priority="14" operator="containsText" text="AZ">
      <formula>NOT(ISERROR(SEARCH("AZ",H5)))</formula>
    </cfRule>
    <cfRule type="containsText" dxfId="494" priority="15" operator="containsText" text="RO">
      <formula>NOT(ISERROR(SEARCH("RO",H5)))</formula>
    </cfRule>
    <cfRule type="containsText" dxfId="493" priority="16" operator="containsText" text="AM">
      <formula>NOT(ISERROR(SEARCH("AM",H5)))</formula>
    </cfRule>
    <cfRule type="containsText" dxfId="492" priority="17" operator="containsText" text="VE">
      <formula>NOT(ISERROR(SEARCH("VE",H5)))</formula>
    </cfRule>
  </conditionalFormatting>
  <conditionalFormatting sqref="K6 L6:M23">
    <cfRule type="iconSet" priority="13">
      <iconSet iconSet="3Arrows">
        <cfvo type="percent" val="0"/>
        <cfvo type="num" val="40"/>
        <cfvo type="num" val="70"/>
      </iconSet>
    </cfRule>
  </conditionalFormatting>
  <conditionalFormatting sqref="K8:K23">
    <cfRule type="iconSet" priority="12">
      <iconSet iconSet="3Arrows">
        <cfvo type="percent" val="0"/>
        <cfvo type="num" val="40"/>
        <cfvo type="num" val="70"/>
      </iconSet>
    </cfRule>
  </conditionalFormatting>
  <conditionalFormatting sqref="N6:N23">
    <cfRule type="iconSet" priority="11">
      <iconSet iconSet="3Arrows">
        <cfvo type="percent" val="0"/>
        <cfvo type="num" val="40"/>
        <cfvo type="num" val="70"/>
      </iconSet>
    </cfRule>
  </conditionalFormatting>
  <conditionalFormatting sqref="AD5">
    <cfRule type="containsText" dxfId="491" priority="7" operator="containsText" text="AZ">
      <formula>NOT(ISERROR(SEARCH("AZ",AD5)))</formula>
    </cfRule>
    <cfRule type="containsText" dxfId="490" priority="8" operator="containsText" text="RO">
      <formula>NOT(ISERROR(SEARCH("RO",AD5)))</formula>
    </cfRule>
    <cfRule type="containsText" dxfId="489" priority="9" operator="containsText" text="AM">
      <formula>NOT(ISERROR(SEARCH("AM",AD5)))</formula>
    </cfRule>
    <cfRule type="containsText" dxfId="488" priority="10" operator="containsText" text="VE">
      <formula>NOT(ISERROR(SEARCH("VE",AD5)))</formula>
    </cfRule>
  </conditionalFormatting>
  <conditionalFormatting sqref="AE5:AG5">
    <cfRule type="containsText" dxfId="487" priority="3" operator="containsText" text="AZ">
      <formula>NOT(ISERROR(SEARCH("AZ",AE5)))</formula>
    </cfRule>
    <cfRule type="containsText" dxfId="486" priority="4" operator="containsText" text="RO">
      <formula>NOT(ISERROR(SEARCH("RO",AE5)))</formula>
    </cfRule>
    <cfRule type="containsText" dxfId="485" priority="5" operator="containsText" text="AM">
      <formula>NOT(ISERROR(SEARCH("AM",AE5)))</formula>
    </cfRule>
    <cfRule type="containsText" dxfId="484" priority="6" operator="containsText" text="VE">
      <formula>NOT(ISERROR(SEARCH("VE",AE5)))</formula>
    </cfRule>
  </conditionalFormatting>
  <conditionalFormatting sqref="AH6:AJ26">
    <cfRule type="iconSet" priority="1509">
      <iconSet iconSet="3Arrows">
        <cfvo type="percent" val="0"/>
        <cfvo type="num" val="40"/>
        <cfvo type="num" val="70"/>
      </iconSet>
    </cfRule>
  </conditionalFormatting>
  <conditionalFormatting sqref="AK6:AK26">
    <cfRule type="iconSet" priority="1511">
      <iconSet iconSet="3Arrows">
        <cfvo type="percent" val="0"/>
        <cfvo type="num" val="40"/>
        <cfvo type="num" val="70"/>
      </iconSet>
    </cfRule>
  </conditionalFormatting>
  <dataValidations count="1">
    <dataValidation type="list" allowBlank="1" showInputMessage="1" showErrorMessage="1" sqref="G5:J5 AD5:AG5">
      <formula1>COOR</formula1>
    </dataValidation>
  </dataValidations>
  <pageMargins left="0.7" right="0.7" top="0.75" bottom="0.75" header="0.3" footer="0.3"/>
  <pageSetup orientation="portrait" r:id="rId2"/>
  <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pageSetUpPr fitToPage="1"/>
  </sheetPr>
  <dimension ref="A1:CG489"/>
  <sheetViews>
    <sheetView topLeftCell="N3" zoomScale="60" zoomScaleNormal="60" zoomScalePageLayoutView="140" workbookViewId="0">
      <pane ySplit="2" topLeftCell="A441" activePane="bottomLeft" state="frozen"/>
      <selection activeCell="A3" sqref="A3"/>
      <selection pane="bottomLeft" activeCell="BG347" sqref="BG347"/>
    </sheetView>
  </sheetViews>
  <sheetFormatPr baseColWidth="10" defaultColWidth="11.44140625" defaultRowHeight="14.4" x14ac:dyDescent="0.3"/>
  <cols>
    <col min="1" max="1" width="11.88671875" style="3" customWidth="1"/>
    <col min="2" max="2" width="13.6640625" style="5" customWidth="1"/>
    <col min="3" max="3" width="11" style="5" customWidth="1"/>
    <col min="4" max="4" width="12.44140625" style="3" customWidth="1"/>
    <col min="5" max="5" width="10.6640625" style="3" customWidth="1"/>
    <col min="6" max="6" width="0.33203125" style="3" customWidth="1"/>
    <col min="7" max="7" width="8.109375" style="3" customWidth="1"/>
    <col min="8" max="8" width="8.88671875" style="3" customWidth="1"/>
    <col min="9" max="9" width="8.5546875" style="253" customWidth="1"/>
    <col min="10" max="10" width="11.88671875" style="254" customWidth="1"/>
    <col min="11" max="11" width="11.109375" style="252" customWidth="1"/>
    <col min="12" max="12" width="9.44140625" style="3" customWidth="1"/>
    <col min="13" max="13" width="10" style="3" customWidth="1"/>
    <col min="14" max="14" width="10" style="252" customWidth="1"/>
    <col min="15" max="15" width="1.109375" style="252" customWidth="1"/>
    <col min="16" max="16" width="21.33203125" style="28" customWidth="1"/>
    <col min="17" max="17" width="7" style="28" customWidth="1"/>
    <col min="18" max="18" width="3.5546875" style="4" customWidth="1"/>
    <col min="19" max="19" width="3" style="255" customWidth="1"/>
    <col min="20" max="20" width="4.88671875" style="255" customWidth="1"/>
    <col min="21" max="21" width="3.5546875" style="255" customWidth="1"/>
    <col min="22" max="22" width="2.33203125" style="255" customWidth="1"/>
    <col min="23" max="23" width="4.33203125" style="255" customWidth="1"/>
    <col min="24" max="24" width="2.33203125" style="255" customWidth="1"/>
    <col min="25" max="25" width="5.109375" style="255" customWidth="1"/>
    <col min="26" max="26" width="1.6640625" style="255" customWidth="1"/>
    <col min="27" max="27" width="4.33203125" style="256" customWidth="1"/>
    <col min="28" max="28" width="5.88671875" style="256" hidden="1" customWidth="1"/>
    <col min="29" max="29" width="4.5546875" style="256" customWidth="1"/>
    <col min="30" max="30" width="5.109375" style="256" customWidth="1"/>
    <col min="31" max="31" width="5.44140625" style="256" customWidth="1"/>
    <col min="32" max="32" width="4.6640625" style="256" customWidth="1"/>
    <col min="33" max="34" width="1.88671875" style="257" customWidth="1"/>
    <col min="35" max="35" width="3" style="257" customWidth="1"/>
    <col min="36" max="36" width="0.44140625" style="256" customWidth="1"/>
    <col min="37" max="37" width="1.6640625" style="256" customWidth="1"/>
    <col min="38" max="38" width="1.44140625" style="256" customWidth="1"/>
    <col min="39" max="39" width="2.109375" style="256" customWidth="1"/>
    <col min="40" max="40" width="5" style="256" customWidth="1"/>
    <col min="41" max="41" width="2.5546875" style="257" customWidth="1"/>
    <col min="42" max="42" width="9.88671875" style="258" hidden="1" customWidth="1"/>
    <col min="43" max="43" width="4.5546875" style="258" hidden="1" customWidth="1"/>
    <col min="44" max="44" width="7.6640625" style="258" hidden="1" customWidth="1"/>
    <col min="45" max="45" width="4.88671875" style="258" hidden="1" customWidth="1"/>
    <col min="46" max="46" width="8.6640625" style="258" hidden="1" customWidth="1"/>
    <col min="47" max="47" width="7.5546875" style="258" hidden="1" customWidth="1"/>
    <col min="48" max="48" width="4.88671875" style="258" hidden="1" customWidth="1"/>
    <col min="49" max="49" width="5.88671875" style="259" hidden="1" customWidth="1"/>
    <col min="50" max="50" width="5.109375" style="258" hidden="1" customWidth="1"/>
    <col min="51" max="51" width="9.33203125" style="258" hidden="1" customWidth="1"/>
    <col min="52" max="52" width="6.5546875" style="258" hidden="1" customWidth="1"/>
    <col min="53" max="53" width="5.5546875" style="258" hidden="1" customWidth="1"/>
    <col min="54" max="54" width="5.109375" style="258" hidden="1" customWidth="1"/>
    <col min="55" max="55" width="8.109375" style="258" hidden="1" customWidth="1"/>
    <col min="56" max="56" width="5.33203125" style="258" hidden="1" customWidth="1"/>
    <col min="57" max="57" width="5.88671875" style="259" hidden="1" customWidth="1"/>
    <col min="58" max="59" width="16.5546875" style="258" customWidth="1"/>
    <col min="60" max="60" width="4.6640625" style="258" customWidth="1"/>
    <col min="61" max="61" width="3.88671875" style="258" customWidth="1"/>
    <col min="62" max="62" width="4.33203125" style="258" customWidth="1"/>
    <col min="63" max="64" width="2.6640625" style="258" customWidth="1"/>
    <col min="65" max="65" width="19.44140625" style="259" customWidth="1"/>
    <col min="66" max="72" width="1.6640625" style="258" hidden="1" customWidth="1"/>
    <col min="73" max="73" width="1.6640625" style="259" hidden="1" customWidth="1"/>
    <col min="74" max="74" width="2.44140625" customWidth="1"/>
    <col min="75" max="75" width="4.109375" customWidth="1"/>
    <col min="76" max="76" width="5.88671875" style="150" customWidth="1"/>
    <col min="77" max="77" width="6.109375" style="150" customWidth="1"/>
    <col min="78" max="78" width="4.109375" style="150" customWidth="1"/>
    <col min="79" max="79" width="6.109375" style="150" customWidth="1"/>
    <col min="80" max="80" width="5.44140625" style="150" customWidth="1"/>
    <col min="82" max="82" width="7.88671875" customWidth="1"/>
    <col min="83" max="84" width="5.44140625" customWidth="1"/>
    <col min="85" max="85" width="4.6640625" customWidth="1"/>
  </cols>
  <sheetData>
    <row r="1" spans="1:85" ht="68.25" hidden="1" customHeight="1" thickBot="1" x14ac:dyDescent="0.3">
      <c r="A1" s="1711" t="s">
        <v>3961</v>
      </c>
      <c r="B1" s="1585"/>
      <c r="C1" s="1585"/>
      <c r="D1" s="1585"/>
      <c r="E1" s="1585"/>
      <c r="F1" s="1585"/>
      <c r="G1" s="1585"/>
      <c r="H1" s="1585"/>
      <c r="I1" s="1585"/>
      <c r="J1" s="1585"/>
      <c r="K1" s="1585"/>
      <c r="L1" s="1585"/>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c r="AN1" s="1585"/>
      <c r="AO1" s="1585"/>
      <c r="AP1" s="1585"/>
      <c r="AQ1" s="1585"/>
      <c r="AR1" s="1585"/>
      <c r="AS1" s="1585"/>
      <c r="AT1" s="1585"/>
      <c r="AU1" s="1585"/>
      <c r="AV1" s="1585"/>
      <c r="AW1" s="1585"/>
      <c r="AX1" s="1585"/>
      <c r="AY1" s="1585"/>
      <c r="AZ1" s="1585"/>
      <c r="BA1" s="1585"/>
      <c r="BB1" s="1585"/>
      <c r="BC1" s="1585"/>
      <c r="BD1" s="1585"/>
      <c r="BE1" s="1585"/>
      <c r="BF1" s="1585"/>
      <c r="BG1" s="1585"/>
      <c r="BH1" s="1585"/>
      <c r="BI1" s="1585"/>
      <c r="BJ1" s="1585"/>
      <c r="BK1" s="1585"/>
      <c r="BL1" s="1585"/>
      <c r="BM1" s="1585"/>
      <c r="BN1" s="1585"/>
      <c r="BO1" s="1585"/>
      <c r="BP1" s="1585"/>
      <c r="BQ1" s="1585"/>
      <c r="BR1" s="1585"/>
      <c r="BS1" s="1585"/>
      <c r="BT1" s="1585"/>
      <c r="BU1" s="1585"/>
      <c r="BV1" s="1585"/>
      <c r="BW1" s="1585"/>
      <c r="BX1" s="1585"/>
      <c r="BY1" s="1585"/>
      <c r="BZ1" s="1585"/>
      <c r="CA1" s="1585"/>
      <c r="CB1" s="1586"/>
    </row>
    <row r="2" spans="1:85" ht="54.75" hidden="1" customHeight="1" thickBot="1" x14ac:dyDescent="0.3">
      <c r="A2" s="1617" t="s">
        <v>1</v>
      </c>
      <c r="B2" s="1618"/>
      <c r="C2" s="1618"/>
      <c r="D2" s="1618"/>
      <c r="E2" s="1618"/>
      <c r="F2" s="1618"/>
      <c r="G2" s="1618"/>
      <c r="H2" s="1618"/>
      <c r="I2" s="1618"/>
      <c r="J2" s="1618"/>
      <c r="K2" s="1618"/>
      <c r="L2" s="1618"/>
      <c r="M2" s="1618"/>
      <c r="N2" s="1618"/>
      <c r="O2" s="1618"/>
      <c r="P2" s="1618"/>
      <c r="Q2" s="1618"/>
      <c r="R2" s="1618"/>
      <c r="S2" s="1618"/>
      <c r="T2" s="1618"/>
      <c r="U2" s="1618"/>
      <c r="V2" s="1618"/>
      <c r="W2" s="1618"/>
      <c r="X2" s="1618"/>
      <c r="Y2" s="1618"/>
      <c r="Z2" s="1618"/>
      <c r="AA2" s="1618"/>
      <c r="AB2" s="1618"/>
      <c r="AC2" s="1618"/>
      <c r="AD2" s="1618"/>
      <c r="AE2" s="1618"/>
      <c r="AF2" s="1618"/>
      <c r="AG2" s="1618"/>
      <c r="AH2" s="1618"/>
      <c r="AI2" s="1618"/>
      <c r="AJ2" s="1618"/>
      <c r="AK2" s="1618"/>
      <c r="AL2" s="1618"/>
      <c r="AM2" s="1618"/>
      <c r="AN2" s="1618"/>
      <c r="AO2" s="1618"/>
      <c r="AP2" s="564"/>
      <c r="AQ2" s="564"/>
      <c r="AR2" s="564"/>
      <c r="AS2" s="564"/>
      <c r="AT2" s="564"/>
      <c r="AU2" s="564"/>
      <c r="AV2" s="564"/>
      <c r="AW2" s="565"/>
      <c r="AX2" s="564"/>
      <c r="AY2" s="564"/>
      <c r="AZ2" s="564"/>
      <c r="BA2" s="564"/>
      <c r="BB2" s="564"/>
      <c r="BC2" s="564"/>
      <c r="BD2" s="564"/>
      <c r="BE2" s="565"/>
      <c r="BF2" s="564"/>
      <c r="BG2" s="564"/>
      <c r="BH2" s="564"/>
      <c r="BI2" s="564"/>
      <c r="BJ2" s="564"/>
      <c r="BK2" s="564"/>
      <c r="BL2" s="564"/>
      <c r="BM2" s="565"/>
      <c r="BN2" s="564"/>
      <c r="BO2" s="564"/>
      <c r="BP2" s="564"/>
      <c r="BQ2" s="564"/>
      <c r="BR2" s="564"/>
      <c r="BS2" s="564"/>
      <c r="BT2" s="564"/>
      <c r="BU2" s="565"/>
      <c r="BV2" s="566"/>
      <c r="BW2" s="566"/>
      <c r="BX2" s="1048"/>
      <c r="BY2" s="1048"/>
      <c r="BZ2" s="1048"/>
      <c r="CA2" s="1049"/>
      <c r="CB2" s="1050"/>
    </row>
    <row r="3" spans="1:85" ht="15.75" thickBot="1" x14ac:dyDescent="0.3">
      <c r="A3" s="459"/>
      <c r="B3" s="460"/>
      <c r="C3" s="460"/>
      <c r="D3" s="459"/>
      <c r="E3" s="459"/>
      <c r="F3" s="459"/>
      <c r="G3" s="459"/>
      <c r="H3" s="459"/>
      <c r="I3" s="461"/>
      <c r="J3" s="462"/>
      <c r="K3" s="463"/>
      <c r="L3" s="459"/>
      <c r="M3" s="459"/>
      <c r="N3" s="463"/>
      <c r="O3" s="463"/>
      <c r="P3" s="464"/>
      <c r="Q3" s="464"/>
      <c r="R3" s="465"/>
      <c r="S3" s="466"/>
      <c r="T3" s="678"/>
      <c r="U3" s="466"/>
      <c r="V3" s="466"/>
      <c r="W3" s="466"/>
      <c r="X3" s="466"/>
      <c r="Y3" s="466"/>
      <c r="Z3" s="466"/>
      <c r="AA3" s="467"/>
      <c r="AB3" s="467"/>
      <c r="AC3" s="1621" t="s">
        <v>2558</v>
      </c>
      <c r="AD3" s="1622"/>
      <c r="AE3" s="1622"/>
      <c r="AF3" s="1623"/>
      <c r="AG3" s="468"/>
      <c r="AH3" s="468"/>
      <c r="AI3" s="468"/>
      <c r="AJ3" s="467"/>
      <c r="AK3" s="467"/>
      <c r="AL3" s="467"/>
      <c r="AM3" s="467"/>
      <c r="AN3" s="467"/>
      <c r="AO3" s="468"/>
      <c r="AP3" s="1614" t="s">
        <v>2559</v>
      </c>
      <c r="AQ3" s="1615"/>
      <c r="AR3" s="1615"/>
      <c r="AS3" s="1615"/>
      <c r="AT3" s="1615"/>
      <c r="AU3" s="1615"/>
      <c r="AV3" s="1615"/>
      <c r="AW3" s="1616"/>
      <c r="AX3" s="1614" t="s">
        <v>2560</v>
      </c>
      <c r="AY3" s="1615"/>
      <c r="AZ3" s="1615"/>
      <c r="BA3" s="1615"/>
      <c r="BB3" s="1615"/>
      <c r="BC3" s="1615"/>
      <c r="BD3" s="1615"/>
      <c r="BE3" s="1616"/>
      <c r="BF3" s="1614" t="s">
        <v>2561</v>
      </c>
      <c r="BG3" s="1615"/>
      <c r="BH3" s="1615"/>
      <c r="BI3" s="1615"/>
      <c r="BJ3" s="1615"/>
      <c r="BK3" s="1615"/>
      <c r="BL3" s="1615"/>
      <c r="BM3" s="1616"/>
      <c r="BN3" s="1614" t="s">
        <v>2562</v>
      </c>
      <c r="BO3" s="1615"/>
      <c r="BP3" s="1615"/>
      <c r="BQ3" s="1615"/>
      <c r="BR3" s="1615"/>
      <c r="BS3" s="1615"/>
      <c r="BT3" s="1615"/>
      <c r="BU3" s="1616"/>
      <c r="BV3" s="1587" t="s">
        <v>2563</v>
      </c>
      <c r="BW3" s="1588"/>
      <c r="BX3" s="1588"/>
      <c r="BY3" s="1588"/>
      <c r="BZ3" s="1588"/>
      <c r="CA3" s="1588"/>
      <c r="CB3" s="1589"/>
    </row>
    <row r="4" spans="1:85" ht="93" customHeight="1" thickBot="1" x14ac:dyDescent="0.35">
      <c r="A4" s="284" t="s">
        <v>8</v>
      </c>
      <c r="B4" s="284" t="s">
        <v>9</v>
      </c>
      <c r="C4" s="284" t="s">
        <v>10</v>
      </c>
      <c r="D4" s="284" t="s">
        <v>11</v>
      </c>
      <c r="E4" s="284" t="s">
        <v>12</v>
      </c>
      <c r="F4" s="284" t="s">
        <v>13</v>
      </c>
      <c r="G4" s="284" t="s">
        <v>14</v>
      </c>
      <c r="H4" s="284" t="s">
        <v>15</v>
      </c>
      <c r="I4" s="285" t="s">
        <v>16</v>
      </c>
      <c r="J4" s="285" t="s">
        <v>17</v>
      </c>
      <c r="K4" s="284" t="s">
        <v>18</v>
      </c>
      <c r="L4" s="284" t="s">
        <v>19</v>
      </c>
      <c r="M4" s="284" t="s">
        <v>20</v>
      </c>
      <c r="N4" s="286" t="s">
        <v>21</v>
      </c>
      <c r="O4" s="284" t="s">
        <v>22</v>
      </c>
      <c r="P4" s="284" t="s">
        <v>24</v>
      </c>
      <c r="Q4" s="284" t="s">
        <v>12</v>
      </c>
      <c r="R4" s="284" t="s">
        <v>13</v>
      </c>
      <c r="S4" s="287" t="s">
        <v>14</v>
      </c>
      <c r="T4" s="679" t="s">
        <v>2564</v>
      </c>
      <c r="U4" s="657" t="s">
        <v>2565</v>
      </c>
      <c r="V4" s="657" t="s">
        <v>2566</v>
      </c>
      <c r="W4" s="657" t="s">
        <v>2567</v>
      </c>
      <c r="X4" s="657" t="s">
        <v>2566</v>
      </c>
      <c r="Y4" s="657" t="s">
        <v>2568</v>
      </c>
      <c r="Z4" s="657" t="s">
        <v>2566</v>
      </c>
      <c r="AA4" s="658" t="s">
        <v>2569</v>
      </c>
      <c r="AB4" s="657" t="s">
        <v>2566</v>
      </c>
      <c r="AC4" s="666" t="s">
        <v>2570</v>
      </c>
      <c r="AD4" s="666" t="s">
        <v>2571</v>
      </c>
      <c r="AE4" s="666" t="s">
        <v>2572</v>
      </c>
      <c r="AF4" s="666" t="s">
        <v>2573</v>
      </c>
      <c r="AG4" s="288" t="s">
        <v>2574</v>
      </c>
      <c r="AH4" s="288" t="s">
        <v>3962</v>
      </c>
      <c r="AI4" s="289" t="s">
        <v>2575</v>
      </c>
      <c r="AJ4" s="288" t="s">
        <v>2576</v>
      </c>
      <c r="AK4" s="288" t="s">
        <v>2577</v>
      </c>
      <c r="AL4" s="288" t="s">
        <v>2578</v>
      </c>
      <c r="AM4" s="288" t="s">
        <v>2579</v>
      </c>
      <c r="AN4" s="288" t="s">
        <v>2580</v>
      </c>
      <c r="AO4" s="503" t="s">
        <v>2581</v>
      </c>
      <c r="AP4" s="535" t="s">
        <v>2582</v>
      </c>
      <c r="AQ4" s="536" t="s">
        <v>27</v>
      </c>
      <c r="AR4" s="535" t="s">
        <v>2583</v>
      </c>
      <c r="AS4" s="536" t="s">
        <v>2584</v>
      </c>
      <c r="AT4" s="535" t="s">
        <v>2585</v>
      </c>
      <c r="AU4" s="537" t="s">
        <v>2586</v>
      </c>
      <c r="AV4" s="535" t="s">
        <v>31</v>
      </c>
      <c r="AW4" s="538" t="s">
        <v>32</v>
      </c>
      <c r="AX4" s="535" t="s">
        <v>2582</v>
      </c>
      <c r="AY4" s="536" t="s">
        <v>27</v>
      </c>
      <c r="AZ4" s="535" t="s">
        <v>2583</v>
      </c>
      <c r="BA4" s="536" t="s">
        <v>2584</v>
      </c>
      <c r="BB4" s="535" t="s">
        <v>2585</v>
      </c>
      <c r="BC4" s="537" t="s">
        <v>2586</v>
      </c>
      <c r="BD4" s="535" t="s">
        <v>31</v>
      </c>
      <c r="BE4" s="538" t="s">
        <v>32</v>
      </c>
      <c r="BF4" s="535" t="s">
        <v>2582</v>
      </c>
      <c r="BG4" s="536" t="s">
        <v>27</v>
      </c>
      <c r="BH4" s="535" t="s">
        <v>2583</v>
      </c>
      <c r="BI4" s="536" t="s">
        <v>2584</v>
      </c>
      <c r="BJ4" s="535" t="s">
        <v>2585</v>
      </c>
      <c r="BK4" s="537" t="s">
        <v>2586</v>
      </c>
      <c r="BL4" s="535" t="s">
        <v>31</v>
      </c>
      <c r="BM4" s="538" t="s">
        <v>32</v>
      </c>
      <c r="BN4" s="535" t="s">
        <v>2582</v>
      </c>
      <c r="BO4" s="536" t="s">
        <v>27</v>
      </c>
      <c r="BP4" s="535" t="s">
        <v>2583</v>
      </c>
      <c r="BQ4" s="536" t="s">
        <v>2584</v>
      </c>
      <c r="BR4" s="535" t="s">
        <v>2585</v>
      </c>
      <c r="BS4" s="537" t="s">
        <v>2586</v>
      </c>
      <c r="BT4" s="535" t="s">
        <v>31</v>
      </c>
      <c r="BU4" s="538" t="s">
        <v>32</v>
      </c>
      <c r="BV4" s="569" t="s">
        <v>2587</v>
      </c>
      <c r="BW4" s="570" t="s">
        <v>2588</v>
      </c>
      <c r="BX4" s="571" t="s">
        <v>2589</v>
      </c>
      <c r="BY4" s="570" t="s">
        <v>2590</v>
      </c>
      <c r="BZ4" s="571" t="s">
        <v>2591</v>
      </c>
      <c r="CA4" s="570" t="s">
        <v>2592</v>
      </c>
      <c r="CB4" s="571" t="s">
        <v>2593</v>
      </c>
      <c r="CC4" s="1033"/>
      <c r="CD4" s="1241"/>
      <c r="CE4" s="1241"/>
      <c r="CF4" s="1241"/>
      <c r="CG4" s="1241"/>
    </row>
    <row r="5" spans="1:85" ht="24.75" hidden="1" customHeight="1" thickBot="1" x14ac:dyDescent="0.3">
      <c r="A5" s="1619" t="s">
        <v>33</v>
      </c>
      <c r="B5" s="1619"/>
      <c r="C5" s="1619"/>
      <c r="D5" s="1619"/>
      <c r="E5" s="1619"/>
      <c r="F5" s="1619"/>
      <c r="G5" s="1619"/>
      <c r="H5" s="1619"/>
      <c r="I5" s="1619"/>
      <c r="J5" s="1619"/>
      <c r="K5" s="1619"/>
      <c r="L5" s="1619"/>
      <c r="M5" s="1619"/>
      <c r="N5" s="1619"/>
      <c r="O5" s="1619"/>
      <c r="P5" s="1619"/>
      <c r="Q5" s="1619"/>
      <c r="R5" s="1619"/>
      <c r="S5" s="1619"/>
      <c r="T5" s="1619"/>
      <c r="U5" s="1619"/>
      <c r="V5" s="1619"/>
      <c r="W5" s="1619"/>
      <c r="X5" s="1619"/>
      <c r="Y5" s="1619"/>
      <c r="Z5" s="1619"/>
      <c r="AA5" s="1619"/>
      <c r="AB5" s="1619"/>
      <c r="AC5" s="1619"/>
      <c r="AD5" s="1619"/>
      <c r="AE5" s="1619"/>
      <c r="AF5" s="1619"/>
      <c r="AG5" s="1619"/>
      <c r="AH5" s="1619"/>
      <c r="AI5" s="1619"/>
      <c r="AJ5" s="1619"/>
      <c r="AK5" s="1619"/>
      <c r="AL5" s="1619"/>
      <c r="AM5" s="1620"/>
      <c r="AN5" s="292"/>
      <c r="AO5" s="504"/>
      <c r="AP5" s="553"/>
      <c r="AQ5" s="554"/>
      <c r="AR5" s="554"/>
      <c r="AS5" s="554"/>
      <c r="AT5" s="554"/>
      <c r="AU5" s="554"/>
      <c r="AV5" s="554"/>
      <c r="AW5" s="555">
        <f>SUM(AP5:AV5)</f>
        <v>0</v>
      </c>
      <c r="AX5" s="553"/>
      <c r="AY5" s="554"/>
      <c r="AZ5" s="554"/>
      <c r="BA5" s="554"/>
      <c r="BB5" s="554"/>
      <c r="BC5" s="554"/>
      <c r="BD5" s="554"/>
      <c r="BE5" s="555">
        <f>SUM(AX5:BD5)</f>
        <v>0</v>
      </c>
      <c r="BF5" s="553"/>
      <c r="BG5" s="554"/>
      <c r="BH5" s="554"/>
      <c r="BI5" s="554"/>
      <c r="BJ5" s="554"/>
      <c r="BK5" s="554"/>
      <c r="BL5" s="554"/>
      <c r="BM5" s="555">
        <f>SUM(BF5:BL5)</f>
        <v>0</v>
      </c>
      <c r="BN5" s="553"/>
      <c r="BO5" s="554"/>
      <c r="BP5" s="554"/>
      <c r="BQ5" s="554"/>
      <c r="BR5" s="554"/>
      <c r="BS5" s="554"/>
      <c r="BT5" s="554"/>
      <c r="BU5" s="555">
        <f>SUM(BN5:BT5)</f>
        <v>0</v>
      </c>
      <c r="BV5" s="552"/>
      <c r="BW5" s="552"/>
      <c r="BX5" s="1051"/>
      <c r="BY5" s="1051"/>
      <c r="BZ5" s="1051"/>
      <c r="CA5" s="1052"/>
      <c r="CB5" s="1052"/>
    </row>
    <row r="6" spans="1:85" ht="18" hidden="1" customHeight="1" thickBot="1" x14ac:dyDescent="0.3">
      <c r="A6" s="1608" t="s">
        <v>35</v>
      </c>
      <c r="B6" s="1609"/>
      <c r="C6" s="1609"/>
      <c r="D6" s="1609"/>
      <c r="E6" s="1609"/>
      <c r="F6" s="1609"/>
      <c r="G6" s="1609"/>
      <c r="H6" s="1609"/>
      <c r="I6" s="1609"/>
      <c r="J6" s="1609"/>
      <c r="K6" s="1609"/>
      <c r="L6" s="1609"/>
      <c r="M6" s="1609"/>
      <c r="N6" s="1609"/>
      <c r="O6" s="1609"/>
      <c r="P6" s="1609"/>
      <c r="Q6" s="1609"/>
      <c r="R6" s="1609"/>
      <c r="S6" s="1609"/>
      <c r="T6" s="1609"/>
      <c r="U6" s="1609"/>
      <c r="V6" s="1609"/>
      <c r="W6" s="1609"/>
      <c r="X6" s="1609"/>
      <c r="Y6" s="1609"/>
      <c r="Z6" s="1609"/>
      <c r="AA6" s="1609"/>
      <c r="AB6" s="1609"/>
      <c r="AC6" s="1609"/>
      <c r="AD6" s="1609"/>
      <c r="AE6" s="1609"/>
      <c r="AF6" s="1609"/>
      <c r="AG6" s="1609"/>
      <c r="AH6" s="1609"/>
      <c r="AI6" s="1609"/>
      <c r="AJ6" s="1609"/>
      <c r="AK6" s="1609"/>
      <c r="AL6" s="1609"/>
      <c r="AM6" s="1609"/>
      <c r="AN6" s="1609"/>
      <c r="AO6" s="1610"/>
      <c r="AP6" s="541"/>
      <c r="AQ6" s="542"/>
      <c r="AR6" s="542"/>
      <c r="AS6" s="542"/>
      <c r="AT6" s="542"/>
      <c r="AU6" s="542"/>
      <c r="AV6" s="542"/>
      <c r="AW6" s="543">
        <f>SUM(AP6:AV6)</f>
        <v>0</v>
      </c>
      <c r="AX6" s="541"/>
      <c r="AY6" s="542"/>
      <c r="AZ6" s="542"/>
      <c r="BA6" s="542"/>
      <c r="BB6" s="542"/>
      <c r="BC6" s="542"/>
      <c r="BD6" s="542"/>
      <c r="BE6" s="543">
        <f t="shared" ref="BE6:BE22" si="0">SUM(AX6:BD6)</f>
        <v>0</v>
      </c>
      <c r="BF6" s="541"/>
      <c r="BG6" s="542"/>
      <c r="BH6" s="542"/>
      <c r="BI6" s="542"/>
      <c r="BJ6" s="542"/>
      <c r="BK6" s="542"/>
      <c r="BL6" s="542"/>
      <c r="BM6" s="543">
        <f t="shared" ref="BM6:BM22" si="1">SUM(BF6:BL6)</f>
        <v>0</v>
      </c>
      <c r="BN6" s="541"/>
      <c r="BO6" s="542"/>
      <c r="BP6" s="542"/>
      <c r="BQ6" s="542"/>
      <c r="BR6" s="542"/>
      <c r="BS6" s="542"/>
      <c r="BT6" s="542"/>
      <c r="BU6" s="543">
        <f t="shared" ref="BU6:BU22" si="2">SUM(BN6:BT6)</f>
        <v>0</v>
      </c>
      <c r="BV6" s="654"/>
      <c r="BW6" s="558"/>
      <c r="BX6" s="1053"/>
      <c r="BY6" s="1053"/>
      <c r="BZ6" s="1053"/>
      <c r="CA6" s="1054"/>
      <c r="CB6" s="1054"/>
    </row>
    <row r="7" spans="1:85" ht="18" hidden="1" customHeight="1" x14ac:dyDescent="0.25">
      <c r="A7" s="296"/>
      <c r="B7" s="316" t="s">
        <v>35</v>
      </c>
      <c r="C7" s="1605" t="s">
        <v>37</v>
      </c>
      <c r="D7" s="1606"/>
      <c r="E7" s="1606"/>
      <c r="F7" s="1606"/>
      <c r="G7" s="1606"/>
      <c r="H7" s="1606"/>
      <c r="I7" s="1606"/>
      <c r="J7" s="1606"/>
      <c r="K7" s="1606"/>
      <c r="L7" s="1606"/>
      <c r="M7" s="1606"/>
      <c r="N7" s="1606"/>
      <c r="O7" s="1607"/>
      <c r="P7" s="318"/>
      <c r="Q7" s="318"/>
      <c r="R7" s="317"/>
      <c r="S7" s="319"/>
      <c r="T7" s="676"/>
      <c r="U7" s="319"/>
      <c r="V7" s="686">
        <f>SUM(V8:V22)</f>
        <v>1012.1</v>
      </c>
      <c r="W7" s="319"/>
      <c r="X7" s="695">
        <f>SUM(X8:X22)</f>
        <v>824420000</v>
      </c>
      <c r="Y7" s="319"/>
      <c r="Z7" s="695">
        <f>SUM(Z8:Z22)</f>
        <v>1050000000</v>
      </c>
      <c r="AA7" s="320"/>
      <c r="AB7" s="708">
        <f>SUM(AB8:AB22)</f>
        <v>1280000000</v>
      </c>
      <c r="AC7" s="320"/>
      <c r="AD7" s="320"/>
      <c r="AE7" s="320"/>
      <c r="AF7" s="320"/>
      <c r="AG7" s="321"/>
      <c r="AH7" s="321"/>
      <c r="AI7" s="321"/>
      <c r="AJ7" s="320"/>
      <c r="AK7" s="320"/>
      <c r="AL7" s="320"/>
      <c r="AM7" s="320"/>
      <c r="AN7" s="320"/>
      <c r="AO7" s="518"/>
      <c r="AP7" s="549" t="e">
        <f t="shared" ref="AP7:AV7" si="3">(AP8:AP22)</f>
        <v>#VALUE!</v>
      </c>
      <c r="AQ7" s="550" t="e">
        <f t="shared" si="3"/>
        <v>#VALUE!</v>
      </c>
      <c r="AR7" s="550" t="e">
        <f t="shared" si="3"/>
        <v>#VALUE!</v>
      </c>
      <c r="AS7" s="550" t="e">
        <f t="shared" si="3"/>
        <v>#VALUE!</v>
      </c>
      <c r="AT7" s="550" t="e">
        <f t="shared" si="3"/>
        <v>#VALUE!</v>
      </c>
      <c r="AU7" s="550" t="e">
        <f t="shared" si="3"/>
        <v>#VALUE!</v>
      </c>
      <c r="AV7" s="550" t="e">
        <f t="shared" si="3"/>
        <v>#VALUE!</v>
      </c>
      <c r="AW7" s="551" t="e">
        <f>SUM(AP7:AV7)</f>
        <v>#VALUE!</v>
      </c>
      <c r="AX7" s="549" t="e">
        <f t="shared" ref="AX7:BD7" si="4">(AX8:AX22)</f>
        <v>#VALUE!</v>
      </c>
      <c r="AY7" s="550" t="e">
        <f t="shared" si="4"/>
        <v>#VALUE!</v>
      </c>
      <c r="AZ7" s="550" t="e">
        <f t="shared" si="4"/>
        <v>#VALUE!</v>
      </c>
      <c r="BA7" s="550" t="e">
        <f t="shared" si="4"/>
        <v>#VALUE!</v>
      </c>
      <c r="BB7" s="550" t="e">
        <f t="shared" si="4"/>
        <v>#VALUE!</v>
      </c>
      <c r="BC7" s="550" t="e">
        <f t="shared" si="4"/>
        <v>#VALUE!</v>
      </c>
      <c r="BD7" s="550" t="e">
        <f t="shared" si="4"/>
        <v>#VALUE!</v>
      </c>
      <c r="BE7" s="551" t="e">
        <f t="shared" si="0"/>
        <v>#VALUE!</v>
      </c>
      <c r="BF7" s="549" t="e">
        <f t="shared" ref="BF7:BL7" si="5">(BF8:BF22)</f>
        <v>#VALUE!</v>
      </c>
      <c r="BG7" s="550" t="e">
        <f t="shared" si="5"/>
        <v>#VALUE!</v>
      </c>
      <c r="BH7" s="550" t="e">
        <f t="shared" si="5"/>
        <v>#VALUE!</v>
      </c>
      <c r="BI7" s="550" t="e">
        <f t="shared" si="5"/>
        <v>#VALUE!</v>
      </c>
      <c r="BJ7" s="550" t="e">
        <f t="shared" si="5"/>
        <v>#VALUE!</v>
      </c>
      <c r="BK7" s="550" t="e">
        <f t="shared" si="5"/>
        <v>#VALUE!</v>
      </c>
      <c r="BL7" s="550" t="e">
        <f t="shared" si="5"/>
        <v>#VALUE!</v>
      </c>
      <c r="BM7" s="551" t="e">
        <f t="shared" si="1"/>
        <v>#VALUE!</v>
      </c>
      <c r="BN7" s="549" t="e">
        <f t="shared" ref="BN7:BT7" si="6">(BN8:BN22)</f>
        <v>#VALUE!</v>
      </c>
      <c r="BO7" s="550" t="e">
        <f t="shared" si="6"/>
        <v>#VALUE!</v>
      </c>
      <c r="BP7" s="550" t="e">
        <f t="shared" si="6"/>
        <v>#VALUE!</v>
      </c>
      <c r="BQ7" s="550" t="e">
        <f t="shared" si="6"/>
        <v>#VALUE!</v>
      </c>
      <c r="BR7" s="550" t="e">
        <f t="shared" si="6"/>
        <v>#VALUE!</v>
      </c>
      <c r="BS7" s="550" t="e">
        <f t="shared" si="6"/>
        <v>#VALUE!</v>
      </c>
      <c r="BT7" s="550" t="e">
        <f t="shared" si="6"/>
        <v>#VALUE!</v>
      </c>
      <c r="BU7" s="551" t="e">
        <f t="shared" si="2"/>
        <v>#VALUE!</v>
      </c>
      <c r="BV7" s="655"/>
      <c r="BW7" s="562"/>
      <c r="BX7" s="1055"/>
      <c r="BY7" s="1055"/>
      <c r="BZ7" s="1055"/>
      <c r="CA7" s="1055"/>
      <c r="CB7" s="1055"/>
    </row>
    <row r="8" spans="1:85" ht="72.75" hidden="1" customHeight="1" x14ac:dyDescent="0.25">
      <c r="A8" s="299" t="str">
        <f>'PLAN INDICATIVO'!A8</f>
        <v>A.1</v>
      </c>
      <c r="B8" s="299" t="str">
        <f>'PLAN INDICATIVO'!B8</f>
        <v>Educación</v>
      </c>
      <c r="C8" s="1546" t="s">
        <v>40</v>
      </c>
      <c r="D8" s="1549" t="s">
        <v>41</v>
      </c>
      <c r="E8" s="1549" t="s">
        <v>42</v>
      </c>
      <c r="F8" s="1549">
        <v>2014</v>
      </c>
      <c r="G8" s="1549">
        <v>37.909999999999997</v>
      </c>
      <c r="H8" s="1549">
        <v>39.5</v>
      </c>
      <c r="I8" s="300">
        <f>'PLAN INDICATIVO'!I8</f>
        <v>0</v>
      </c>
      <c r="J8" s="300">
        <f>'PLAN INDICATIVO'!J8</f>
        <v>0</v>
      </c>
      <c r="K8" s="1425" t="str">
        <f>'PLAN INDICATIVO'!K8</f>
        <v>A.1.1.1</v>
      </c>
      <c r="L8" s="301" t="str">
        <f>'PLAN INDICATIVO'!L8</f>
        <v>4. Educación de calidad</v>
      </c>
      <c r="M8" s="301" t="str">
        <f>'PLAN INDICATIVO'!M8</f>
        <v>Secretaría de Educación, Cultura, deporte y Turismo</v>
      </c>
      <c r="N8" s="1425" t="str">
        <f>'PLAN INDICATIVO'!N8</f>
        <v>YIMI FERNANDO LOSADA PAYA</v>
      </c>
      <c r="O8" s="1425" t="str">
        <f>'PLAN INDICATIVO'!O8</f>
        <v>Incremento</v>
      </c>
      <c r="P8" s="16" t="str">
        <f>'PLAN INDICATIVO'!P8</f>
        <v>Suministrar 1500 Kit Escolares  a estudiantes de bajos recursos económicos del Municipio en el cuatrienio.</v>
      </c>
      <c r="Q8" s="302" t="str">
        <f>'PLAN INDICATIVO'!Q8</f>
        <v>No. de kit escolares suministrados en el cuatrienio</v>
      </c>
      <c r="R8" s="303">
        <f>'PLAN INDICATIVO'!R8</f>
        <v>2015</v>
      </c>
      <c r="S8" s="304">
        <v>0</v>
      </c>
      <c r="T8" s="677">
        <v>1500</v>
      </c>
      <c r="U8" s="303"/>
      <c r="V8" s="687">
        <v>16</v>
      </c>
      <c r="W8" s="572">
        <v>500</v>
      </c>
      <c r="X8" s="687">
        <v>19670000</v>
      </c>
      <c r="Y8" s="572">
        <v>150</v>
      </c>
      <c r="Z8" s="687">
        <v>15000000</v>
      </c>
      <c r="AA8" s="1310">
        <f>T8-BW8</f>
        <v>147</v>
      </c>
      <c r="AB8" s="687">
        <v>7000000</v>
      </c>
      <c r="AC8" s="665"/>
      <c r="AD8" s="665">
        <v>1203</v>
      </c>
      <c r="AE8" s="665">
        <v>150</v>
      </c>
      <c r="AF8" s="665"/>
      <c r="AG8" s="664" t="s">
        <v>3963</v>
      </c>
      <c r="AH8" s="985">
        <v>2018413960010</v>
      </c>
      <c r="AI8" s="307" t="s">
        <v>3964</v>
      </c>
      <c r="AJ8" s="308" t="s">
        <v>3434</v>
      </c>
      <c r="AK8" s="308" t="s">
        <v>3435</v>
      </c>
      <c r="AL8" s="308"/>
      <c r="AM8" s="308"/>
      <c r="AN8" s="267" t="s">
        <v>2598</v>
      </c>
      <c r="AO8" s="507" t="s">
        <v>2635</v>
      </c>
      <c r="AP8" s="525"/>
      <c r="AQ8" s="310"/>
      <c r="AR8" s="310"/>
      <c r="AS8" s="310"/>
      <c r="AT8" s="310"/>
      <c r="AU8" s="310"/>
      <c r="AV8" s="310"/>
      <c r="AW8" s="544"/>
      <c r="AX8" s="525"/>
      <c r="AY8" s="310"/>
      <c r="AZ8" s="310"/>
      <c r="BA8" s="310"/>
      <c r="BB8" s="310"/>
      <c r="BC8" s="310"/>
      <c r="BD8" s="310"/>
      <c r="BE8" s="544">
        <f t="shared" si="0"/>
        <v>0</v>
      </c>
      <c r="BF8" s="525"/>
      <c r="BG8" s="310"/>
      <c r="BH8" s="310"/>
      <c r="BI8" s="310"/>
      <c r="BJ8" s="310"/>
      <c r="BK8" s="310"/>
      <c r="BL8" s="310"/>
      <c r="BM8" s="544">
        <f t="shared" si="1"/>
        <v>0</v>
      </c>
      <c r="BN8" s="525"/>
      <c r="BO8" s="310"/>
      <c r="BP8" s="310"/>
      <c r="BQ8" s="310"/>
      <c r="BR8" s="310"/>
      <c r="BS8" s="310"/>
      <c r="BT8" s="310"/>
      <c r="BU8" s="544">
        <f t="shared" si="2"/>
        <v>0</v>
      </c>
      <c r="BV8" s="1582" t="s">
        <v>2563</v>
      </c>
      <c r="BW8" s="663">
        <f t="shared" ref="BW8:BW39" si="7">AC8+AD8+AE8+AF8</f>
        <v>1353</v>
      </c>
      <c r="BX8" s="1047">
        <f t="shared" ref="BX8:BX22" si="8">BW8/T8</f>
        <v>0.90200000000000002</v>
      </c>
      <c r="BY8" s="1047" t="str">
        <f t="shared" ref="BY8:BY22" si="9">IF(U8&gt;=0.1,AC8/U8,IF(ISBLANK(U8),"No Programada","Aplazada"))</f>
        <v>No Programada</v>
      </c>
      <c r="BZ8" s="1047">
        <f t="shared" ref="BZ8:BZ22" si="10">IF(W8&gt;=0.1,AD8/W8,IF(ISBLANK(W8),"No Programada","Aplazada"))</f>
        <v>2.4060000000000001</v>
      </c>
      <c r="CA8" s="1047">
        <f t="shared" ref="CA8:CA22" si="11">IF(Y8&gt;=0.1,AE8/Y8,IF(ISBLANK(Y8),"No Programada","Aplazada"))</f>
        <v>1</v>
      </c>
      <c r="CB8" s="1047">
        <f t="shared" ref="CB8:CB22" si="12">IF(AA8&gt;=0.1,AF8/AA8,IF(ISBLANK(AA8),"No Programada","Aplazada"))</f>
        <v>0</v>
      </c>
      <c r="CD8" t="str">
        <f>IF(BY8="PARA MODIFICAR","M",IF(BY8="PARA ELIMINAR","E",IF(BY8="aplazada","AZ",IF(BY8="no programada","NP",IF(BY8&gt;=85%,"VE",IF(BY8&gt;70%,"VEB",IF(BY8&gt;60%,"AM",IF(BY8&gt;40%,"AMB",IF(BY8&gt;20%,"RO",IF(BY8&gt;=0%,"ROB",""))))))))))</f>
        <v>NP</v>
      </c>
      <c r="CE8" t="str">
        <f>IF(BZ8="PARA MODIFICAR","M",IF(BZ8="PARA ELIMINAR","E",IF(BZ8="aplazada","AZ",IF(BZ8="no programada","NP",IF(BZ8&gt;=85%,"VE",IF(BZ8&gt;70%,"VEB",IF(BZ8&gt;60%,"AM",IF(BZ8&gt;40%,"AMB",IF(BZ8&gt;20%,"RO",IF(BZ8&gt;=0%,"ROB",""))))))))))</f>
        <v>VE</v>
      </c>
      <c r="CF8" t="str">
        <f>IF(CA8="PARA MODIFICAR","M",IF(CA8="PARA ELIMINAR","E",IF(CA8="aplazada","AZ",IF(CA8="no programada","NP",IF(CA8&gt;=85%,"VE",IF(CA8&gt;70%,"VEB",IF(CA8&gt;60%,"AM",IF(CA8&gt;40%,"AMB",IF(CA8&gt;20%,"RO",IF(CA8&gt;=0%,"ROB",""))))))))))</f>
        <v>VE</v>
      </c>
      <c r="CG8" t="str">
        <f>IF(CB8="PARA MODIFICAR","M",IF(CB8="PARA ELIMINAR","E",IF(CB8="aplazada","AZ",IF(CB8="no programada","NP",IF(CB8&gt;=85%,"VE",IF(CB8&gt;70%,"VEB",IF(CB8&gt;60%,"AM",IF(CB8&gt;40%,"AMB",IF(CB8&gt;20%,"RO",IF(CB8&gt;=0%,"ROB",""))))))))))</f>
        <v>ROB</v>
      </c>
    </row>
    <row r="9" spans="1:85" ht="96" hidden="1" customHeight="1" x14ac:dyDescent="0.25">
      <c r="A9" s="299" t="str">
        <f>'PLAN INDICATIVO'!A9</f>
        <v>A.1</v>
      </c>
      <c r="B9" s="299" t="str">
        <f>'PLAN INDICATIVO'!B9</f>
        <v>Educación</v>
      </c>
      <c r="C9" s="1547"/>
      <c r="D9" s="1550"/>
      <c r="E9" s="1550"/>
      <c r="F9" s="1549"/>
      <c r="G9" s="1549"/>
      <c r="H9" s="1549"/>
      <c r="I9" s="300">
        <f>'PLAN INDICATIVO'!I9</f>
        <v>0</v>
      </c>
      <c r="J9" s="300">
        <f>'PLAN INDICATIVO'!J9</f>
        <v>0</v>
      </c>
      <c r="K9" s="1425" t="str">
        <f>'PLAN INDICATIVO'!K9</f>
        <v>A.1.1.2</v>
      </c>
      <c r="L9" s="301" t="str">
        <f>'PLAN INDICATIVO'!L9</f>
        <v>4. Educación de calidad</v>
      </c>
      <c r="M9" s="301" t="str">
        <f>'PLAN INDICATIVO'!M9</f>
        <v>Secretaría de Educación, Cultura, deporte y Turismo</v>
      </c>
      <c r="N9" s="1425" t="str">
        <f>'PLAN INDICATIVO'!N9</f>
        <v>YIMI FERNANDO LOSADA PAYA</v>
      </c>
      <c r="O9" s="1425" t="str">
        <f>'PLAN INDICATIVO'!O9</f>
        <v>Incremento</v>
      </c>
      <c r="P9" s="16" t="str">
        <f>'PLAN INDICATIVO'!P9</f>
        <v>Realizar 4 apoyos para el pago de servicios públicos a las instituciones educativas durante el cuatrienio</v>
      </c>
      <c r="Q9" s="302" t="str">
        <f>'PLAN INDICATIVO'!Q9</f>
        <v>No. de apoyos realizado en el cuatrienio</v>
      </c>
      <c r="R9" s="303">
        <f>'PLAN INDICATIVO'!R9</f>
        <v>2015</v>
      </c>
      <c r="S9" s="304">
        <v>0</v>
      </c>
      <c r="T9" s="677">
        <v>4</v>
      </c>
      <c r="U9" s="303">
        <v>1</v>
      </c>
      <c r="V9" s="687">
        <v>269</v>
      </c>
      <c r="W9" s="572">
        <v>1</v>
      </c>
      <c r="X9" s="687">
        <v>260000000</v>
      </c>
      <c r="Y9" s="572">
        <v>1</v>
      </c>
      <c r="Z9" s="687">
        <v>260000000</v>
      </c>
      <c r="AA9" s="1310">
        <f t="shared" ref="AA9:AA14" si="13">T9-BW9</f>
        <v>1</v>
      </c>
      <c r="AB9" s="687">
        <v>280000000</v>
      </c>
      <c r="AC9" s="665">
        <v>1</v>
      </c>
      <c r="AD9" s="665">
        <v>1</v>
      </c>
      <c r="AE9" s="665">
        <v>1</v>
      </c>
      <c r="AF9" s="665"/>
      <c r="AG9" s="664" t="s">
        <v>3963</v>
      </c>
      <c r="AH9" s="985">
        <v>2018413960010</v>
      </c>
      <c r="AI9" s="307" t="s">
        <v>3965</v>
      </c>
      <c r="AJ9" s="309" t="s">
        <v>3966</v>
      </c>
      <c r="AK9" s="309">
        <v>43434</v>
      </c>
      <c r="AL9" s="308"/>
      <c r="AM9" s="308"/>
      <c r="AN9" s="267" t="s">
        <v>2598</v>
      </c>
      <c r="AO9" s="507" t="s">
        <v>3967</v>
      </c>
      <c r="AP9" s="525"/>
      <c r="AQ9" s="725"/>
      <c r="AR9" s="310"/>
      <c r="AS9" s="310"/>
      <c r="AT9" s="310"/>
      <c r="AU9" s="310"/>
      <c r="AV9" s="310"/>
      <c r="AW9" s="544"/>
      <c r="AX9" s="525"/>
      <c r="AY9" s="310"/>
      <c r="AZ9" s="310"/>
      <c r="BA9" s="310"/>
      <c r="BB9" s="310"/>
      <c r="BC9" s="310"/>
      <c r="BD9" s="310"/>
      <c r="BE9" s="544">
        <f t="shared" si="0"/>
        <v>0</v>
      </c>
      <c r="BF9" s="525"/>
      <c r="BG9" s="1264">
        <v>291057400</v>
      </c>
      <c r="BH9" s="310"/>
      <c r="BI9" s="310"/>
      <c r="BJ9" s="310"/>
      <c r="BK9" s="310"/>
      <c r="BL9" s="310"/>
      <c r="BM9" s="544">
        <f t="shared" si="1"/>
        <v>291057400</v>
      </c>
      <c r="BN9" s="525"/>
      <c r="BO9" s="310"/>
      <c r="BP9" s="310"/>
      <c r="BQ9" s="310"/>
      <c r="BR9" s="310"/>
      <c r="BS9" s="310"/>
      <c r="BT9" s="310"/>
      <c r="BU9" s="544">
        <f t="shared" si="2"/>
        <v>0</v>
      </c>
      <c r="BV9" s="1582"/>
      <c r="BW9" s="663">
        <f t="shared" si="7"/>
        <v>3</v>
      </c>
      <c r="BX9" s="1047">
        <f t="shared" si="8"/>
        <v>0.75</v>
      </c>
      <c r="BY9" s="1047">
        <f t="shared" si="9"/>
        <v>1</v>
      </c>
      <c r="BZ9" s="1047">
        <f t="shared" si="10"/>
        <v>1</v>
      </c>
      <c r="CA9" s="1047">
        <f t="shared" si="11"/>
        <v>1</v>
      </c>
      <c r="CB9" s="1047">
        <f t="shared" si="12"/>
        <v>0</v>
      </c>
      <c r="CD9" t="str">
        <f t="shared" ref="CD9:CF22" si="14">IF(BY9="PARA MODIFICAR","M",IF(BY9="PARA ELIMINAR","E",IF(BY9="aplazada","AZ",IF(BY9="no programada","NP",IF(BY9&gt;=85%,"VE",IF(BY9&gt;70%,"VEB",IF(BY9&gt;60%,"AM",IF(BY9&gt;40%,"AMB",IF(BY9&gt;20%,"RO",IF(BY9&gt;=0%,"ROB",""))))))))))</f>
        <v>VE</v>
      </c>
      <c r="CE9" t="str">
        <f t="shared" si="14"/>
        <v>VE</v>
      </c>
      <c r="CF9" t="str">
        <f>IF(CA9="PARA MODIFICAR","M",IF(CA9="PARA ELIMINAR","E",IF(CA9="aplazada","AZ",IF(CA9="no programada","NP",IF(CA9&gt;=85%,"VE",IF(CA9&gt;70%,"VEB",IF(CA9&gt;60%,"AM",IF(CA9&gt;40%,"AMB",IF(CA9&gt;20%,"RO",IF(CA9&gt;=0%,"ROB",""))))))))))</f>
        <v>VE</v>
      </c>
      <c r="CG9" t="str">
        <f t="shared" ref="CG9:CG22" si="15">IF(CB9="PARA MODIFICAR","M",IF(CB9="PARA ELIMINAR","E",IF(CB9="aplazada","AZ",IF(CB9="no programada","NP",IF(CB9&gt;=85%,"VE",IF(CB9&gt;70%,"VEB",IF(CB9&gt;60%,"AM",IF(CB9&gt;40%,"AMB",IF(CB9&gt;20%,"RO",IF(CB9&gt;=0%,"ROB",""))))))))))</f>
        <v>ROB</v>
      </c>
    </row>
    <row r="10" spans="1:85" ht="60.75" hidden="1" customHeight="1" x14ac:dyDescent="0.25">
      <c r="A10" s="299" t="str">
        <f>'PLAN INDICATIVO'!A10</f>
        <v>M</v>
      </c>
      <c r="B10" s="299" t="str">
        <f>'PLAN INDICATIVO'!B10</f>
        <v>Educación</v>
      </c>
      <c r="C10" s="1547"/>
      <c r="D10" s="1549"/>
      <c r="E10" s="1549"/>
      <c r="F10" s="1549"/>
      <c r="G10" s="1549"/>
      <c r="H10" s="1549"/>
      <c r="I10" s="1425" t="str">
        <f>'PLAN INDICATIVO'!I10</f>
        <v>SI</v>
      </c>
      <c r="J10" s="1425">
        <f>'PLAN INDICATIVO'!J10</f>
        <v>0</v>
      </c>
      <c r="K10" s="1425" t="str">
        <f>'PLAN INDICATIVO'!K10</f>
        <v>A.1.1.3</v>
      </c>
      <c r="L10" s="301" t="str">
        <f>'PLAN INDICATIVO'!L10</f>
        <v>4. Educación de calidad</v>
      </c>
      <c r="M10" s="301" t="str">
        <f>'PLAN INDICATIVO'!M10</f>
        <v>Secretaría de Educación, Cultura, deporte y Turismo</v>
      </c>
      <c r="N10" s="1425" t="str">
        <f>'PLAN INDICATIVO'!N10</f>
        <v>YIMI FERNANDO LOSADA PAYA</v>
      </c>
      <c r="O10" s="1425" t="str">
        <f>'PLAN INDICATIVO'!O10</f>
        <v>Incremento</v>
      </c>
      <c r="P10" s="1198" t="str">
        <f>'PLAN INDICATIVO'!P10</f>
        <v>Construir  1 Colegios 10 en la zona urbana del Municipio de La Plata.</v>
      </c>
      <c r="Q10" s="302" t="str">
        <f>'PLAN INDICATIVO'!Q10</f>
        <v>No. De mega colegios construidos en el cuatrienio</v>
      </c>
      <c r="R10" s="303">
        <f>'PLAN INDICATIVO'!R10</f>
        <v>2015</v>
      </c>
      <c r="S10" s="304">
        <v>1</v>
      </c>
      <c r="T10" s="1294">
        <v>1</v>
      </c>
      <c r="U10" s="303"/>
      <c r="V10" s="687"/>
      <c r="W10" s="572"/>
      <c r="X10" s="687"/>
      <c r="Y10" s="964"/>
      <c r="Z10" s="687">
        <v>120000000</v>
      </c>
      <c r="AA10" s="1310">
        <f t="shared" si="13"/>
        <v>1</v>
      </c>
      <c r="AB10" s="687">
        <v>120000000</v>
      </c>
      <c r="AC10" s="665"/>
      <c r="AD10" s="665"/>
      <c r="AE10" s="665"/>
      <c r="AF10" s="665"/>
      <c r="AG10" s="664" t="s">
        <v>3963</v>
      </c>
      <c r="AH10" s="985">
        <v>2018413960010</v>
      </c>
      <c r="AI10" s="307" t="s">
        <v>3968</v>
      </c>
      <c r="AJ10" s="308" t="s">
        <v>3969</v>
      </c>
      <c r="AK10" s="309">
        <v>43434</v>
      </c>
      <c r="AL10" s="308"/>
      <c r="AM10" s="308"/>
      <c r="AN10" s="267" t="s">
        <v>2594</v>
      </c>
      <c r="AO10" s="507"/>
      <c r="AP10" s="525"/>
      <c r="AQ10" s="310"/>
      <c r="AR10" s="310"/>
      <c r="AS10" s="310"/>
      <c r="AT10" s="310"/>
      <c r="AU10" s="310"/>
      <c r="AV10" s="310"/>
      <c r="AW10" s="544"/>
      <c r="AX10" s="525"/>
      <c r="AY10" s="310"/>
      <c r="AZ10" s="310"/>
      <c r="BA10" s="310"/>
      <c r="BB10" s="310"/>
      <c r="BC10" s="310"/>
      <c r="BD10" s="310"/>
      <c r="BE10" s="544">
        <f t="shared" si="0"/>
        <v>0</v>
      </c>
      <c r="BF10" s="525"/>
      <c r="BG10" s="310"/>
      <c r="BH10" s="310"/>
      <c r="BI10" s="310"/>
      <c r="BJ10" s="310"/>
      <c r="BK10" s="310"/>
      <c r="BL10" s="310"/>
      <c r="BM10" s="544">
        <f t="shared" si="1"/>
        <v>0</v>
      </c>
      <c r="BN10" s="525"/>
      <c r="BO10" s="310"/>
      <c r="BP10" s="310"/>
      <c r="BQ10" s="310"/>
      <c r="BR10" s="310"/>
      <c r="BS10" s="310"/>
      <c r="BT10" s="310"/>
      <c r="BU10" s="544">
        <f t="shared" si="2"/>
        <v>0</v>
      </c>
      <c r="BV10" s="1582"/>
      <c r="BW10" s="663">
        <f t="shared" si="7"/>
        <v>0</v>
      </c>
      <c r="BX10" s="1047">
        <f t="shared" si="8"/>
        <v>0</v>
      </c>
      <c r="BY10" s="1047" t="str">
        <f t="shared" si="9"/>
        <v>No Programada</v>
      </c>
      <c r="BZ10" s="1047" t="str">
        <f t="shared" si="10"/>
        <v>No Programada</v>
      </c>
      <c r="CA10" s="1047" t="str">
        <f t="shared" si="11"/>
        <v>No Programada</v>
      </c>
      <c r="CB10" s="1047">
        <f t="shared" si="12"/>
        <v>0</v>
      </c>
      <c r="CD10" t="str">
        <f t="shared" si="14"/>
        <v>NP</v>
      </c>
      <c r="CE10" t="str">
        <f t="shared" si="14"/>
        <v>NP</v>
      </c>
      <c r="CF10" t="str">
        <f t="shared" si="14"/>
        <v>NP</v>
      </c>
      <c r="CG10" t="str">
        <f t="shared" si="15"/>
        <v>ROB</v>
      </c>
    </row>
    <row r="11" spans="1:85" ht="65.25" hidden="1" customHeight="1" x14ac:dyDescent="0.25">
      <c r="A11" s="299" t="str">
        <f>'PLAN INDICATIVO'!A11</f>
        <v>A.1</v>
      </c>
      <c r="B11" s="299" t="str">
        <f>'PLAN INDICATIVO'!B11</f>
        <v>Educación</v>
      </c>
      <c r="C11" s="1547"/>
      <c r="D11" s="1551"/>
      <c r="E11" s="1551"/>
      <c r="F11" s="1549"/>
      <c r="G11" s="1549"/>
      <c r="H11" s="1549"/>
      <c r="I11" s="300">
        <f>'PLAN INDICATIVO'!I11</f>
        <v>0</v>
      </c>
      <c r="J11" s="300">
        <f>'PLAN INDICATIVO'!J11</f>
        <v>0</v>
      </c>
      <c r="K11" s="1425" t="str">
        <f>'PLAN INDICATIVO'!K11</f>
        <v>A.1.1.4</v>
      </c>
      <c r="L11" s="301" t="str">
        <f>'PLAN INDICATIVO'!L11</f>
        <v>4. Educación de calidad</v>
      </c>
      <c r="M11" s="301" t="str">
        <f>'PLAN INDICATIVO'!M11</f>
        <v>Secretaría de Educación, Cultura, deporte y Turismo</v>
      </c>
      <c r="N11" s="1425" t="str">
        <f>'PLAN INDICATIVO'!N11</f>
        <v>YIMI FERNANDO LOSADA PAYA</v>
      </c>
      <c r="O11" s="1425" t="str">
        <f>'PLAN INDICATIVO'!O11</f>
        <v>Incremento</v>
      </c>
      <c r="P11" s="16" t="str">
        <f>'PLAN INDICATIVO'!P11</f>
        <v>Realizar 12 Mantenimientos  a instituciones educativa del municipio durante el cuatrienio.</v>
      </c>
      <c r="Q11" s="302" t="str">
        <f>'PLAN INDICATIVO'!Q11</f>
        <v>No.  De mantenimientos realizados en el cuatrienio</v>
      </c>
      <c r="R11" s="303">
        <f>'PLAN INDICATIVO'!R11</f>
        <v>2015</v>
      </c>
      <c r="S11" s="304">
        <v>0</v>
      </c>
      <c r="T11" s="677">
        <v>12</v>
      </c>
      <c r="U11" s="303">
        <v>3</v>
      </c>
      <c r="V11" s="687">
        <v>153</v>
      </c>
      <c r="W11" s="572">
        <v>6</v>
      </c>
      <c r="X11" s="687">
        <v>50000000</v>
      </c>
      <c r="Y11" s="572">
        <v>3</v>
      </c>
      <c r="Z11" s="687">
        <v>50000000</v>
      </c>
      <c r="AA11" s="1310">
        <f t="shared" si="13"/>
        <v>2</v>
      </c>
      <c r="AB11" s="687">
        <v>50000000</v>
      </c>
      <c r="AC11" s="665"/>
      <c r="AD11" s="665">
        <v>9</v>
      </c>
      <c r="AE11" s="665">
        <v>1</v>
      </c>
      <c r="AF11" s="665"/>
      <c r="AG11" s="664" t="s">
        <v>3963</v>
      </c>
      <c r="AH11" s="985">
        <v>2018413960010</v>
      </c>
      <c r="AI11" s="307" t="s">
        <v>3970</v>
      </c>
      <c r="AJ11" s="309">
        <v>43160</v>
      </c>
      <c r="AK11" s="309">
        <v>43434</v>
      </c>
      <c r="AL11" s="308"/>
      <c r="AM11" s="308"/>
      <c r="AN11" s="267" t="s">
        <v>2604</v>
      </c>
      <c r="AO11" s="507" t="s">
        <v>3971</v>
      </c>
      <c r="AP11" s="525"/>
      <c r="AQ11" s="721"/>
      <c r="AR11" s="310"/>
      <c r="AS11" s="310"/>
      <c r="AT11" s="310"/>
      <c r="AU11" s="310"/>
      <c r="AV11" s="310"/>
      <c r="AW11" s="544"/>
      <c r="AX11" s="525"/>
      <c r="AY11" s="310"/>
      <c r="AZ11" s="310"/>
      <c r="BA11" s="310"/>
      <c r="BB11" s="310"/>
      <c r="BC11" s="310"/>
      <c r="BD11" s="310"/>
      <c r="BE11" s="544">
        <f t="shared" si="0"/>
        <v>0</v>
      </c>
      <c r="BF11" s="525"/>
      <c r="BG11" s="721">
        <v>35000000</v>
      </c>
      <c r="BH11" s="310"/>
      <c r="BI11" s="310"/>
      <c r="BJ11" s="310"/>
      <c r="BK11" s="310"/>
      <c r="BL11" s="310"/>
      <c r="BM11" s="544">
        <f t="shared" si="1"/>
        <v>35000000</v>
      </c>
      <c r="BN11" s="525"/>
      <c r="BO11" s="310"/>
      <c r="BP11" s="310"/>
      <c r="BQ11" s="310"/>
      <c r="BR11" s="310"/>
      <c r="BS11" s="310"/>
      <c r="BT11" s="310"/>
      <c r="BU11" s="544">
        <f t="shared" si="2"/>
        <v>0</v>
      </c>
      <c r="BV11" s="1582"/>
      <c r="BW11" s="663">
        <f t="shared" si="7"/>
        <v>10</v>
      </c>
      <c r="BX11" s="1047">
        <f t="shared" si="8"/>
        <v>0.83333333333333337</v>
      </c>
      <c r="BY11" s="1047">
        <f t="shared" si="9"/>
        <v>0</v>
      </c>
      <c r="BZ11" s="1047">
        <f t="shared" si="10"/>
        <v>1.5</v>
      </c>
      <c r="CA11" s="1047">
        <f t="shared" si="11"/>
        <v>0.33333333333333331</v>
      </c>
      <c r="CB11" s="1047">
        <f t="shared" si="12"/>
        <v>0</v>
      </c>
      <c r="CD11" t="str">
        <f t="shared" si="14"/>
        <v>ROB</v>
      </c>
      <c r="CE11" t="str">
        <f t="shared" si="14"/>
        <v>VE</v>
      </c>
      <c r="CF11" t="str">
        <f t="shared" si="14"/>
        <v>RO</v>
      </c>
      <c r="CG11" t="str">
        <f t="shared" si="15"/>
        <v>ROB</v>
      </c>
    </row>
    <row r="12" spans="1:85" ht="61.5" hidden="1" customHeight="1" x14ac:dyDescent="0.25">
      <c r="A12" s="299" t="str">
        <f>'PLAN INDICATIVO'!A12</f>
        <v>A.1</v>
      </c>
      <c r="B12" s="299" t="str">
        <f>'PLAN INDICATIVO'!B12</f>
        <v>Educación</v>
      </c>
      <c r="C12" s="1547"/>
      <c r="D12" s="1549"/>
      <c r="E12" s="1549"/>
      <c r="F12" s="1549"/>
      <c r="G12" s="1549"/>
      <c r="H12" s="1549"/>
      <c r="I12" s="1425" t="str">
        <f>'PLAN INDICATIVO'!I12</f>
        <v>SI</v>
      </c>
      <c r="J12" s="1425">
        <f>'PLAN INDICATIVO'!J12</f>
        <v>0</v>
      </c>
      <c r="K12" s="1425" t="str">
        <f>'PLAN INDICATIVO'!K12</f>
        <v>A.1.1.5</v>
      </c>
      <c r="L12" s="301" t="str">
        <f>'PLAN INDICATIVO'!L12</f>
        <v>4. Educación de calidad</v>
      </c>
      <c r="M12" s="301" t="str">
        <f>'PLAN INDICATIVO'!M12</f>
        <v>Secretaría de Educación, Cultura, deporte y Turismo</v>
      </c>
      <c r="N12" s="1425" t="str">
        <f>'PLAN INDICATIVO'!N12</f>
        <v>YIMI FERNANDO LOSADA PAYA</v>
      </c>
      <c r="O12" s="1425" t="str">
        <f>'PLAN INDICATIVO'!O12</f>
        <v>Incremento</v>
      </c>
      <c r="P12" s="16" t="str">
        <f>'PLAN INDICATIVO'!P12</f>
        <v xml:space="preserve">Construir 35 Aulas en las instituciones educativas en el Municipio durante el cuatrienio. </v>
      </c>
      <c r="Q12" s="302" t="str">
        <f>'PLAN INDICATIVO'!Q12</f>
        <v>No. de aulas construidas en el cuatrienio</v>
      </c>
      <c r="R12" s="303">
        <f>'PLAN INDICATIVO'!R12</f>
        <v>2015</v>
      </c>
      <c r="S12" s="304">
        <v>0</v>
      </c>
      <c r="T12" s="677">
        <v>35</v>
      </c>
      <c r="U12" s="303">
        <v>13</v>
      </c>
      <c r="V12" s="687">
        <v>208</v>
      </c>
      <c r="W12" s="823">
        <v>10</v>
      </c>
      <c r="X12" s="687">
        <v>200000000</v>
      </c>
      <c r="Y12" s="66">
        <v>25</v>
      </c>
      <c r="Z12" s="687">
        <v>6000000</v>
      </c>
      <c r="AA12" s="1310">
        <f t="shared" si="13"/>
        <v>10</v>
      </c>
      <c r="AB12" s="687">
        <v>200000000</v>
      </c>
      <c r="AC12" s="665">
        <v>0</v>
      </c>
      <c r="AD12" s="665">
        <v>4</v>
      </c>
      <c r="AE12" s="665">
        <v>21</v>
      </c>
      <c r="AF12" s="665"/>
      <c r="AG12" s="664" t="s">
        <v>3963</v>
      </c>
      <c r="AH12" s="985">
        <v>2018413960010</v>
      </c>
      <c r="AI12" s="307" t="s">
        <v>3972</v>
      </c>
      <c r="AJ12" s="309">
        <v>43160</v>
      </c>
      <c r="AK12" s="309">
        <v>43465</v>
      </c>
      <c r="AL12" s="308"/>
      <c r="AM12" s="308"/>
      <c r="AN12" s="267" t="s">
        <v>2604</v>
      </c>
      <c r="AO12" s="507" t="s">
        <v>3973</v>
      </c>
      <c r="AP12" s="525"/>
      <c r="AQ12" s="721"/>
      <c r="AR12" s="310"/>
      <c r="AS12" s="310"/>
      <c r="AT12" s="310"/>
      <c r="AU12" s="380"/>
      <c r="AV12" s="310"/>
      <c r="AW12" s="544"/>
      <c r="AX12" s="525"/>
      <c r="AY12" s="310"/>
      <c r="AZ12" s="310"/>
      <c r="BA12" s="310"/>
      <c r="BB12" s="310"/>
      <c r="BC12" s="380"/>
      <c r="BD12" s="310"/>
      <c r="BE12" s="544">
        <f t="shared" si="0"/>
        <v>0</v>
      </c>
      <c r="BF12" s="525"/>
      <c r="BG12" s="721">
        <v>84000000</v>
      </c>
      <c r="BH12" s="310"/>
      <c r="BI12" s="310"/>
      <c r="BJ12" s="310"/>
      <c r="BK12" s="380"/>
      <c r="BL12" s="310"/>
      <c r="BM12" s="544">
        <f t="shared" si="1"/>
        <v>84000000</v>
      </c>
      <c r="BN12" s="525"/>
      <c r="BO12" s="310"/>
      <c r="BP12" s="310"/>
      <c r="BQ12" s="310"/>
      <c r="BR12" s="310"/>
      <c r="BS12" s="380"/>
      <c r="BT12" s="310"/>
      <c r="BU12" s="544">
        <f t="shared" si="2"/>
        <v>0</v>
      </c>
      <c r="BV12" s="1582"/>
      <c r="BW12" s="663">
        <f t="shared" si="7"/>
        <v>25</v>
      </c>
      <c r="BX12" s="1047">
        <f t="shared" si="8"/>
        <v>0.7142857142857143</v>
      </c>
      <c r="BY12" s="1047">
        <f t="shared" si="9"/>
        <v>0</v>
      </c>
      <c r="BZ12" s="1047">
        <f t="shared" si="10"/>
        <v>0.4</v>
      </c>
      <c r="CA12" s="1047">
        <f t="shared" si="11"/>
        <v>0.84</v>
      </c>
      <c r="CB12" s="1047">
        <f t="shared" si="12"/>
        <v>0</v>
      </c>
      <c r="CD12" t="str">
        <f t="shared" si="14"/>
        <v>ROB</v>
      </c>
      <c r="CE12" t="str">
        <f t="shared" si="14"/>
        <v>RO</v>
      </c>
      <c r="CF12" t="str">
        <f t="shared" si="14"/>
        <v>VEB</v>
      </c>
      <c r="CG12" t="str">
        <f t="shared" si="15"/>
        <v>ROB</v>
      </c>
    </row>
    <row r="13" spans="1:85" ht="54.75" hidden="1" customHeight="1" x14ac:dyDescent="0.25">
      <c r="A13" s="299" t="str">
        <f>'PLAN INDICATIVO'!A13</f>
        <v>M</v>
      </c>
      <c r="B13" s="299" t="str">
        <f>'PLAN INDICATIVO'!B13</f>
        <v>Educación</v>
      </c>
      <c r="C13" s="1547"/>
      <c r="D13" s="1552"/>
      <c r="E13" s="1552"/>
      <c r="F13" s="1549"/>
      <c r="G13" s="1549"/>
      <c r="H13" s="1549"/>
      <c r="I13" s="300">
        <f>'PLAN INDICATIVO'!I13</f>
        <v>0</v>
      </c>
      <c r="J13" s="300">
        <f>'PLAN INDICATIVO'!J13</f>
        <v>0</v>
      </c>
      <c r="K13" s="1425" t="str">
        <f>'PLAN INDICATIVO'!K13</f>
        <v>A.1.1.6</v>
      </c>
      <c r="L13" s="301" t="str">
        <f>'PLAN INDICATIVO'!L13</f>
        <v>4. Educación de calidad</v>
      </c>
      <c r="M13" s="301" t="str">
        <f>'PLAN INDICATIVO'!M13</f>
        <v>Secretaría de Educación, Cultura, deporte y Turismo</v>
      </c>
      <c r="N13" s="1425" t="str">
        <f>'PLAN INDICATIVO'!N13</f>
        <v>YIMI FERNANDO LOSADA PAYA</v>
      </c>
      <c r="O13" s="1425" t="str">
        <f>'PLAN INDICATIVO'!O13</f>
        <v>Incremento</v>
      </c>
      <c r="P13" s="1198" t="str">
        <f>'PLAN INDICATIVO'!P13</f>
        <v xml:space="preserve">Construir 4 Restaurantes Escolares en el municipio durante el cuatrienio </v>
      </c>
      <c r="Q13" s="302" t="str">
        <f>'PLAN INDICATIVO'!Q13</f>
        <v>No. de restaurantes escolares construidos en el cuatrienio</v>
      </c>
      <c r="R13" s="303">
        <f>'PLAN INDICATIVO'!R13</f>
        <v>2015</v>
      </c>
      <c r="S13" s="304">
        <v>0</v>
      </c>
      <c r="T13" s="1294">
        <v>4</v>
      </c>
      <c r="U13" s="303">
        <v>1</v>
      </c>
      <c r="V13" s="687">
        <v>30</v>
      </c>
      <c r="W13" s="66"/>
      <c r="X13" s="687"/>
      <c r="Y13" s="66">
        <v>3</v>
      </c>
      <c r="Z13" s="687">
        <v>150000000</v>
      </c>
      <c r="AA13" s="1310">
        <f>T13-BW13</f>
        <v>1</v>
      </c>
      <c r="AB13" s="687">
        <v>230000000</v>
      </c>
      <c r="AC13" s="665">
        <v>0</v>
      </c>
      <c r="AD13" s="904"/>
      <c r="AE13" s="665">
        <v>3</v>
      </c>
      <c r="AF13" s="665"/>
      <c r="AG13" s="664" t="s">
        <v>3963</v>
      </c>
      <c r="AH13" s="985">
        <v>2018413960010</v>
      </c>
      <c r="AI13" s="307" t="s">
        <v>3974</v>
      </c>
      <c r="AJ13" s="309">
        <v>43160</v>
      </c>
      <c r="AK13" s="309">
        <v>43465</v>
      </c>
      <c r="AL13" s="308"/>
      <c r="AM13" s="308"/>
      <c r="AN13" s="267" t="s">
        <v>2598</v>
      </c>
      <c r="AO13" s="507" t="s">
        <v>3975</v>
      </c>
      <c r="AP13" s="525"/>
      <c r="AQ13" s="721"/>
      <c r="AR13" s="310"/>
      <c r="AS13" s="310"/>
      <c r="AT13" s="310"/>
      <c r="AU13" s="310"/>
      <c r="AV13" s="310"/>
      <c r="AW13" s="544"/>
      <c r="AX13" s="525"/>
      <c r="AY13" s="310"/>
      <c r="AZ13" s="310"/>
      <c r="BA13" s="310"/>
      <c r="BB13" s="310"/>
      <c r="BC13" s="310"/>
      <c r="BD13" s="310"/>
      <c r="BE13" s="544">
        <f t="shared" si="0"/>
        <v>0</v>
      </c>
      <c r="BF13" s="525"/>
      <c r="BG13" s="721">
        <v>240000000</v>
      </c>
      <c r="BH13" s="310"/>
      <c r="BI13" s="310"/>
      <c r="BJ13" s="310"/>
      <c r="BK13" s="310">
        <v>150000000</v>
      </c>
      <c r="BL13" s="310"/>
      <c r="BM13" s="544">
        <f t="shared" si="1"/>
        <v>390000000</v>
      </c>
      <c r="BN13" s="525"/>
      <c r="BO13" s="310"/>
      <c r="BP13" s="310"/>
      <c r="BQ13" s="310"/>
      <c r="BR13" s="310"/>
      <c r="BS13" s="310"/>
      <c r="BT13" s="310"/>
      <c r="BU13" s="544">
        <f t="shared" si="2"/>
        <v>0</v>
      </c>
      <c r="BV13" s="1582"/>
      <c r="BW13" s="663">
        <f t="shared" si="7"/>
        <v>3</v>
      </c>
      <c r="BX13" s="1047">
        <f t="shared" si="8"/>
        <v>0.75</v>
      </c>
      <c r="BY13" s="1047">
        <f t="shared" si="9"/>
        <v>0</v>
      </c>
      <c r="BZ13" s="1047" t="str">
        <f t="shared" si="10"/>
        <v>No Programada</v>
      </c>
      <c r="CA13" s="1047">
        <f t="shared" si="11"/>
        <v>1</v>
      </c>
      <c r="CB13" s="1047">
        <f t="shared" si="12"/>
        <v>0</v>
      </c>
      <c r="CD13" t="str">
        <f t="shared" si="14"/>
        <v>ROB</v>
      </c>
      <c r="CE13" t="str">
        <f t="shared" si="14"/>
        <v>NP</v>
      </c>
      <c r="CF13" t="str">
        <f t="shared" si="14"/>
        <v>VE</v>
      </c>
      <c r="CG13" t="str">
        <f t="shared" si="15"/>
        <v>ROB</v>
      </c>
    </row>
    <row r="14" spans="1:85" ht="95.25" hidden="1" customHeight="1" x14ac:dyDescent="0.25">
      <c r="A14" s="299" t="str">
        <f>'PLAN INDICATIVO'!A14</f>
        <v>M</v>
      </c>
      <c r="B14" s="299" t="str">
        <f>'PLAN INDICATIVO'!B14</f>
        <v>Educación</v>
      </c>
      <c r="C14" s="1547"/>
      <c r="D14" s="1549"/>
      <c r="E14" s="1549"/>
      <c r="F14" s="1549"/>
      <c r="G14" s="1549"/>
      <c r="H14" s="1549"/>
      <c r="I14" s="300">
        <f>'PLAN INDICATIVO'!I14</f>
        <v>0</v>
      </c>
      <c r="J14" s="300">
        <f>'PLAN INDICATIVO'!J14</f>
        <v>0</v>
      </c>
      <c r="K14" s="1425" t="str">
        <f>'PLAN INDICATIVO'!K14</f>
        <v>A.1.1.7</v>
      </c>
      <c r="L14" s="301" t="str">
        <f>'PLAN INDICATIVO'!L14</f>
        <v>4. Educación de calidad</v>
      </c>
      <c r="M14" s="301" t="str">
        <f>'PLAN INDICATIVO'!M14</f>
        <v>Secretaría de Educación, Cultura, deporte y Turismo</v>
      </c>
      <c r="N14" s="1425" t="str">
        <f>'PLAN INDICATIVO'!N14</f>
        <v>YIMI FERNANDO LOSADA PAYA</v>
      </c>
      <c r="O14" s="1425" t="str">
        <f>'PLAN INDICATIVO'!O14</f>
        <v>Incremento</v>
      </c>
      <c r="P14" s="1198" t="str">
        <f>'PLAN INDICATIVO'!P14</f>
        <v>Realizar 35 obras de construcción y/o mejoramientos a la infraestructura educativa municipal durante el cuatrienio</v>
      </c>
      <c r="Q14" s="302" t="str">
        <f>'PLAN INDICATIVO'!Q14</f>
        <v>No. De obras construidas o mejoradas</v>
      </c>
      <c r="R14" s="303">
        <f>'PLAN INDICATIVO'!R14</f>
        <v>2015</v>
      </c>
      <c r="S14" s="304">
        <v>0</v>
      </c>
      <c r="T14" s="677">
        <v>35</v>
      </c>
      <c r="U14" s="303">
        <v>2</v>
      </c>
      <c r="V14" s="687">
        <v>295.10000000000002</v>
      </c>
      <c r="W14" s="572">
        <v>15</v>
      </c>
      <c r="X14" s="687">
        <v>256750000</v>
      </c>
      <c r="Y14" s="572">
        <v>22</v>
      </c>
      <c r="Z14" s="687">
        <v>445000000</v>
      </c>
      <c r="AA14" s="1310">
        <f t="shared" si="13"/>
        <v>8</v>
      </c>
      <c r="AB14" s="687">
        <v>385000000</v>
      </c>
      <c r="AC14" s="665">
        <v>5</v>
      </c>
      <c r="AD14" s="904">
        <v>16</v>
      </c>
      <c r="AE14" s="665">
        <v>6</v>
      </c>
      <c r="AF14" s="665"/>
      <c r="AG14" s="664" t="s">
        <v>3963</v>
      </c>
      <c r="AH14" s="985">
        <v>2018413960010</v>
      </c>
      <c r="AI14" s="307" t="s">
        <v>3976</v>
      </c>
      <c r="AJ14" s="309" t="s">
        <v>3445</v>
      </c>
      <c r="AK14" s="309">
        <v>43100</v>
      </c>
      <c r="AL14" s="308"/>
      <c r="AM14" s="308"/>
      <c r="AN14" s="267" t="s">
        <v>2604</v>
      </c>
      <c r="AO14" s="507" t="s">
        <v>3977</v>
      </c>
      <c r="AP14" s="525"/>
      <c r="AQ14" s="721"/>
      <c r="AR14" s="310"/>
      <c r="AS14" s="721"/>
      <c r="AT14" s="310"/>
      <c r="AU14" s="310"/>
      <c r="AV14" s="310"/>
      <c r="AW14" s="544"/>
      <c r="AX14" s="525"/>
      <c r="AY14" s="310"/>
      <c r="AZ14" s="310"/>
      <c r="BA14" s="310"/>
      <c r="BB14" s="310"/>
      <c r="BC14" s="310"/>
      <c r="BD14" s="310"/>
      <c r="BE14" s="544">
        <f t="shared" si="0"/>
        <v>0</v>
      </c>
      <c r="BF14" s="525"/>
      <c r="BG14" s="721">
        <v>607805052</v>
      </c>
      <c r="BH14" s="310"/>
      <c r="BI14" s="721"/>
      <c r="BJ14" s="310"/>
      <c r="BK14" s="310"/>
      <c r="BL14" s="310"/>
      <c r="BM14" s="544">
        <f t="shared" si="1"/>
        <v>607805052</v>
      </c>
      <c r="BN14" s="525"/>
      <c r="BO14" s="310"/>
      <c r="BP14" s="310"/>
      <c r="BQ14" s="310"/>
      <c r="BR14" s="310"/>
      <c r="BS14" s="310"/>
      <c r="BT14" s="310"/>
      <c r="BU14" s="544">
        <f t="shared" si="2"/>
        <v>0</v>
      </c>
      <c r="BV14" s="1582"/>
      <c r="BW14" s="663">
        <f t="shared" si="7"/>
        <v>27</v>
      </c>
      <c r="BX14" s="1047">
        <f t="shared" si="8"/>
        <v>0.77142857142857146</v>
      </c>
      <c r="BY14" s="1047">
        <f t="shared" si="9"/>
        <v>2.5</v>
      </c>
      <c r="BZ14" s="1047">
        <f t="shared" si="10"/>
        <v>1.0666666666666667</v>
      </c>
      <c r="CA14" s="1047">
        <f t="shared" si="11"/>
        <v>0.27272727272727271</v>
      </c>
      <c r="CB14" s="1047">
        <f t="shared" si="12"/>
        <v>0</v>
      </c>
      <c r="CD14" t="str">
        <f t="shared" si="14"/>
        <v>VE</v>
      </c>
      <c r="CE14" t="str">
        <f t="shared" si="14"/>
        <v>VE</v>
      </c>
      <c r="CF14" t="str">
        <f t="shared" si="14"/>
        <v>RO</v>
      </c>
      <c r="CG14" t="str">
        <f t="shared" si="15"/>
        <v>ROB</v>
      </c>
    </row>
    <row r="15" spans="1:85" ht="72" hidden="1" customHeight="1" x14ac:dyDescent="0.25">
      <c r="A15" s="299" t="str">
        <f>'PLAN INDICATIVO'!A15</f>
        <v>A.1</v>
      </c>
      <c r="B15" s="299" t="str">
        <f>'PLAN INDICATIVO'!B15</f>
        <v>Educación</v>
      </c>
      <c r="C15" s="1547"/>
      <c r="D15" s="1549"/>
      <c r="E15" s="1549"/>
      <c r="F15" s="1549"/>
      <c r="G15" s="1549"/>
      <c r="H15" s="1549"/>
      <c r="I15" s="300">
        <f>'PLAN INDICATIVO'!I15</f>
        <v>0</v>
      </c>
      <c r="J15" s="300">
        <f>'PLAN INDICATIVO'!J15</f>
        <v>0</v>
      </c>
      <c r="K15" s="1425" t="str">
        <f>'PLAN INDICATIVO'!K15</f>
        <v>A.1.1.8</v>
      </c>
      <c r="L15" s="301" t="str">
        <f>'PLAN INDICATIVO'!L15</f>
        <v>4. Educación de calidad</v>
      </c>
      <c r="M15" s="301" t="str">
        <f>'PLAN INDICATIVO'!M15</f>
        <v>Secretaría de Educación, Cultura, deporte y Turismo</v>
      </c>
      <c r="N15" s="1425" t="str">
        <f>'PLAN INDICATIVO'!N15</f>
        <v>YIMI FERNANDO LOSADA PAYA</v>
      </c>
      <c r="O15" s="1425" t="str">
        <f>'PLAN INDICATIVO'!O15</f>
        <v>Incremento</v>
      </c>
      <c r="P15" s="16" t="str">
        <f>'PLAN INDICATIVO'!P15</f>
        <v>Realizar 1 apoyo para la formulación del proyecto para la construcción de la tercera etapa de la IE San Sebastián, en la zona urbana, durante el cuatrienio</v>
      </c>
      <c r="Q15" s="302" t="str">
        <f>'PLAN INDICATIVO'!Q15</f>
        <v>No. De apoyos otorgados</v>
      </c>
      <c r="R15" s="303">
        <f>'PLAN INDICATIVO'!R15</f>
        <v>2015</v>
      </c>
      <c r="S15" s="304">
        <v>0</v>
      </c>
      <c r="T15" s="677">
        <v>1</v>
      </c>
      <c r="U15" s="303">
        <v>0.5</v>
      </c>
      <c r="V15" s="687">
        <v>15</v>
      </c>
      <c r="W15" s="572">
        <v>1</v>
      </c>
      <c r="X15" s="687">
        <v>15000000</v>
      </c>
      <c r="Y15" s="964"/>
      <c r="Z15" s="687">
        <v>500000</v>
      </c>
      <c r="AA15" s="1310"/>
      <c r="AB15" s="687">
        <v>1000000</v>
      </c>
      <c r="AC15" s="665">
        <v>0</v>
      </c>
      <c r="AD15" s="665">
        <v>1</v>
      </c>
      <c r="AE15" s="665">
        <v>0.5</v>
      </c>
      <c r="AF15" s="665"/>
      <c r="AG15" s="664"/>
      <c r="AH15" s="985"/>
      <c r="AI15" s="336" t="s">
        <v>3978</v>
      </c>
      <c r="AJ15" s="309">
        <v>43115</v>
      </c>
      <c r="AK15" s="309">
        <v>43465</v>
      </c>
      <c r="AL15" s="308"/>
      <c r="AM15" s="308"/>
      <c r="AN15" s="267" t="s">
        <v>2594</v>
      </c>
      <c r="AO15" s="507" t="s">
        <v>2635</v>
      </c>
      <c r="AP15" s="525"/>
      <c r="AQ15" s="310"/>
      <c r="AR15" s="310"/>
      <c r="AS15" s="310"/>
      <c r="AT15" s="310"/>
      <c r="AU15" s="310"/>
      <c r="AV15" s="310"/>
      <c r="AW15" s="544"/>
      <c r="AX15" s="525"/>
      <c r="AY15" s="310"/>
      <c r="AZ15" s="310"/>
      <c r="BA15" s="310"/>
      <c r="BB15" s="310"/>
      <c r="BC15" s="310"/>
      <c r="BD15" s="310"/>
      <c r="BE15" s="544">
        <f t="shared" si="0"/>
        <v>0</v>
      </c>
      <c r="BF15" s="525"/>
      <c r="BG15" s="310"/>
      <c r="BH15" s="310"/>
      <c r="BI15" s="310"/>
      <c r="BJ15" s="310"/>
      <c r="BK15" s="310"/>
      <c r="BL15" s="310" t="s">
        <v>2635</v>
      </c>
      <c r="BM15" s="544">
        <f t="shared" si="1"/>
        <v>0</v>
      </c>
      <c r="BN15" s="525"/>
      <c r="BO15" s="310"/>
      <c r="BP15" s="310"/>
      <c r="BQ15" s="310"/>
      <c r="BR15" s="310"/>
      <c r="BS15" s="310"/>
      <c r="BT15" s="310"/>
      <c r="BU15" s="544">
        <f t="shared" si="2"/>
        <v>0</v>
      </c>
      <c r="BV15" s="1582"/>
      <c r="BW15" s="663">
        <f t="shared" si="7"/>
        <v>1.5</v>
      </c>
      <c r="BX15" s="1047">
        <f t="shared" si="8"/>
        <v>1.5</v>
      </c>
      <c r="BY15" s="1047">
        <f t="shared" si="9"/>
        <v>0</v>
      </c>
      <c r="BZ15" s="1047">
        <f t="shared" si="10"/>
        <v>1</v>
      </c>
      <c r="CA15" s="1047" t="str">
        <f t="shared" si="11"/>
        <v>No Programada</v>
      </c>
      <c r="CB15" s="1047" t="str">
        <f t="shared" si="12"/>
        <v>No Programada</v>
      </c>
      <c r="CD15" t="str">
        <f t="shared" si="14"/>
        <v>ROB</v>
      </c>
      <c r="CE15" t="str">
        <f t="shared" si="14"/>
        <v>VE</v>
      </c>
      <c r="CF15" t="str">
        <f t="shared" si="14"/>
        <v>NP</v>
      </c>
      <c r="CG15" t="str">
        <f t="shared" si="15"/>
        <v>NP</v>
      </c>
    </row>
    <row r="16" spans="1:85" ht="75" hidden="1" customHeight="1" x14ac:dyDescent="0.25">
      <c r="A16" s="299" t="str">
        <f>'PLAN INDICATIVO'!A16</f>
        <v>M</v>
      </c>
      <c r="B16" s="299" t="str">
        <f>'PLAN INDICATIVO'!B16</f>
        <v>Educación</v>
      </c>
      <c r="C16" s="1547"/>
      <c r="D16" s="1549"/>
      <c r="E16" s="1549"/>
      <c r="F16" s="1549"/>
      <c r="G16" s="1549"/>
      <c r="H16" s="1549"/>
      <c r="I16" s="300">
        <f>'PLAN INDICATIVO'!I16</f>
        <v>0</v>
      </c>
      <c r="J16" s="300">
        <f>'PLAN INDICATIVO'!J16</f>
        <v>0</v>
      </c>
      <c r="K16" s="1425" t="str">
        <f>'PLAN INDICATIVO'!K16</f>
        <v>A.1.1.9</v>
      </c>
      <c r="L16" s="301" t="str">
        <f>'PLAN INDICATIVO'!L16</f>
        <v>4. Educación de calidad</v>
      </c>
      <c r="M16" s="301" t="str">
        <f>'PLAN INDICATIVO'!M16</f>
        <v>Secretaría de Educación, Cultura, deporte y Turismo</v>
      </c>
      <c r="N16" s="1425" t="str">
        <f>'PLAN INDICATIVO'!N16</f>
        <v>YIMI FERNANDO LOSADA PAYA</v>
      </c>
      <c r="O16" s="1425" t="str">
        <f>'PLAN INDICATIVO'!O16</f>
        <v>Mantenimiento</v>
      </c>
      <c r="P16" s="1198" t="str">
        <f>'PLAN INDICATIVO'!P16</f>
        <v>Apoyar la estrategia de “Escuela para Padres” en las 18 IE con el propósito de vincular de manera más directa al padre de familia en la formación educativa de los hijos, en el cuatrienio</v>
      </c>
      <c r="Q16" s="302" t="str">
        <f>'PLAN INDICATIVO'!Q16</f>
        <v>No. De estrategias creadas e implementadas</v>
      </c>
      <c r="R16" s="303">
        <f>'PLAN INDICATIVO'!R16</f>
        <v>2015</v>
      </c>
      <c r="S16" s="304">
        <v>0</v>
      </c>
      <c r="T16" s="677">
        <v>1</v>
      </c>
      <c r="U16" s="303">
        <v>1</v>
      </c>
      <c r="V16" s="687">
        <v>3</v>
      </c>
      <c r="W16" s="572">
        <v>1</v>
      </c>
      <c r="X16" s="687">
        <v>3000000</v>
      </c>
      <c r="Y16" s="572">
        <v>1</v>
      </c>
      <c r="Z16" s="687">
        <v>500000</v>
      </c>
      <c r="AA16" s="1310"/>
      <c r="AB16" s="687">
        <v>1000000</v>
      </c>
      <c r="AC16" s="665">
        <v>0</v>
      </c>
      <c r="AD16" s="665">
        <v>1</v>
      </c>
      <c r="AE16" s="665">
        <v>1</v>
      </c>
      <c r="AF16" s="665"/>
      <c r="AG16" s="664" t="s">
        <v>3963</v>
      </c>
      <c r="AH16" s="985">
        <v>2018413960010</v>
      </c>
      <c r="AI16" s="307" t="s">
        <v>3979</v>
      </c>
      <c r="AJ16" s="309">
        <v>43132</v>
      </c>
      <c r="AK16" s="309">
        <v>43465</v>
      </c>
      <c r="AL16" s="308"/>
      <c r="AM16" s="308"/>
      <c r="AN16" s="267" t="s">
        <v>2598</v>
      </c>
      <c r="AO16" s="507" t="s">
        <v>2635</v>
      </c>
      <c r="AP16" s="525"/>
      <c r="AQ16" s="310"/>
      <c r="AR16" s="310"/>
      <c r="AS16" s="310"/>
      <c r="AT16" s="310"/>
      <c r="AU16" s="310"/>
      <c r="AV16" s="310"/>
      <c r="AW16" s="544"/>
      <c r="AX16" s="525"/>
      <c r="AY16" s="310"/>
      <c r="AZ16" s="310"/>
      <c r="BA16" s="310"/>
      <c r="BB16" s="310"/>
      <c r="BC16" s="310"/>
      <c r="BD16" s="310"/>
      <c r="BE16" s="544">
        <f t="shared" si="0"/>
        <v>0</v>
      </c>
      <c r="BF16" s="525"/>
      <c r="BG16" s="310"/>
      <c r="BH16" s="310"/>
      <c r="BI16" s="310"/>
      <c r="BJ16" s="310"/>
      <c r="BK16" s="310"/>
      <c r="BL16" s="310"/>
      <c r="BM16" s="544">
        <f t="shared" si="1"/>
        <v>0</v>
      </c>
      <c r="BN16" s="525"/>
      <c r="BO16" s="310"/>
      <c r="BP16" s="310"/>
      <c r="BQ16" s="310"/>
      <c r="BR16" s="310"/>
      <c r="BS16" s="310"/>
      <c r="BT16" s="310"/>
      <c r="BU16" s="544">
        <f t="shared" si="2"/>
        <v>0</v>
      </c>
      <c r="BV16" s="1582"/>
      <c r="BW16" s="663">
        <f t="shared" si="7"/>
        <v>2</v>
      </c>
      <c r="BX16" s="1047">
        <f t="shared" si="8"/>
        <v>2</v>
      </c>
      <c r="BY16" s="1047">
        <f t="shared" si="9"/>
        <v>0</v>
      </c>
      <c r="BZ16" s="1047">
        <f t="shared" si="10"/>
        <v>1</v>
      </c>
      <c r="CA16" s="1047">
        <f t="shared" si="11"/>
        <v>1</v>
      </c>
      <c r="CB16" s="1047" t="str">
        <f t="shared" si="12"/>
        <v>No Programada</v>
      </c>
      <c r="CD16" t="str">
        <f t="shared" si="14"/>
        <v>ROB</v>
      </c>
      <c r="CE16" t="str">
        <f t="shared" si="14"/>
        <v>VE</v>
      </c>
      <c r="CF16" t="str">
        <f t="shared" si="14"/>
        <v>VE</v>
      </c>
      <c r="CG16" t="str">
        <f t="shared" si="15"/>
        <v>NP</v>
      </c>
    </row>
    <row r="17" spans="1:85" ht="46.5" hidden="1" customHeight="1" x14ac:dyDescent="0.25">
      <c r="A17" s="299" t="str">
        <f>'PLAN INDICATIVO'!A17</f>
        <v>A.1</v>
      </c>
      <c r="B17" s="299" t="str">
        <f>'PLAN INDICATIVO'!B17</f>
        <v>Educación</v>
      </c>
      <c r="C17" s="1547"/>
      <c r="D17" s="1549"/>
      <c r="E17" s="1549"/>
      <c r="F17" s="1549"/>
      <c r="G17" s="1549"/>
      <c r="H17" s="1549"/>
      <c r="I17" s="300">
        <f>'PLAN INDICATIVO'!I17</f>
        <v>0</v>
      </c>
      <c r="J17" s="300">
        <f>'PLAN INDICATIVO'!J17</f>
        <v>0</v>
      </c>
      <c r="K17" s="1425" t="str">
        <f>'PLAN INDICATIVO'!K17</f>
        <v>A.1.1.10</v>
      </c>
      <c r="L17" s="301" t="str">
        <f>'PLAN INDICATIVO'!L17</f>
        <v>4. Educación de calidad</v>
      </c>
      <c r="M17" s="301" t="str">
        <f>'PLAN INDICATIVO'!M17</f>
        <v>Secretaría de Educación, Cultura, deporte y Turismo</v>
      </c>
      <c r="N17" s="1425" t="str">
        <f>'PLAN INDICATIVO'!N17</f>
        <v>YIMI FERNANDO LOSADA PAYA</v>
      </c>
      <c r="O17" s="1425" t="str">
        <f>'PLAN INDICATIVO'!O17</f>
        <v>Incremento</v>
      </c>
      <c r="P17" s="16" t="str">
        <f>'PLAN INDICATIVO'!P17</f>
        <v>Dirigir y coordinar 4 Campañas de oferta educativa institucional en el municipio durante el cuatrienio.</v>
      </c>
      <c r="Q17" s="302" t="str">
        <f>'PLAN INDICATIVO'!Q17</f>
        <v>No. De campañas dirigidas en el cuatrienio</v>
      </c>
      <c r="R17" s="303">
        <f>'PLAN INDICATIVO'!R17</f>
        <v>2015</v>
      </c>
      <c r="S17" s="304">
        <v>1</v>
      </c>
      <c r="T17" s="677">
        <v>4</v>
      </c>
      <c r="U17" s="303">
        <v>1</v>
      </c>
      <c r="V17" s="687">
        <v>1</v>
      </c>
      <c r="W17" s="572">
        <v>1</v>
      </c>
      <c r="X17" s="687">
        <v>1000000</v>
      </c>
      <c r="Y17" s="572">
        <v>1</v>
      </c>
      <c r="Z17" s="687">
        <v>500000</v>
      </c>
      <c r="AA17" s="1310">
        <f>T17-BW17</f>
        <v>1</v>
      </c>
      <c r="AB17" s="687">
        <v>1000000</v>
      </c>
      <c r="AC17" s="665">
        <v>1</v>
      </c>
      <c r="AD17" s="665">
        <v>1</v>
      </c>
      <c r="AE17" s="665">
        <v>1</v>
      </c>
      <c r="AF17" s="665"/>
      <c r="AG17" s="664" t="s">
        <v>3963</v>
      </c>
      <c r="AH17" s="985">
        <v>2018413960010</v>
      </c>
      <c r="AI17" s="307" t="s">
        <v>3980</v>
      </c>
      <c r="AJ17" s="309">
        <v>43115</v>
      </c>
      <c r="AK17" s="309">
        <v>43220</v>
      </c>
      <c r="AL17" s="308"/>
      <c r="AM17" s="308"/>
      <c r="AN17" s="267" t="s">
        <v>2598</v>
      </c>
      <c r="AO17" s="507" t="s">
        <v>2635</v>
      </c>
      <c r="AP17" s="525"/>
      <c r="AQ17" s="310"/>
      <c r="AR17" s="310"/>
      <c r="AS17" s="310"/>
      <c r="AT17" s="310"/>
      <c r="AU17" s="310"/>
      <c r="AV17" s="310"/>
      <c r="AW17" s="544"/>
      <c r="AX17" s="525"/>
      <c r="AY17" s="310"/>
      <c r="AZ17" s="310"/>
      <c r="BA17" s="310"/>
      <c r="BB17" s="310"/>
      <c r="BC17" s="310"/>
      <c r="BD17" s="310"/>
      <c r="BE17" s="544">
        <f t="shared" si="0"/>
        <v>0</v>
      </c>
      <c r="BF17" s="525"/>
      <c r="BG17" s="310"/>
      <c r="BH17" s="310"/>
      <c r="BI17" s="310"/>
      <c r="BJ17" s="310"/>
      <c r="BK17" s="310"/>
      <c r="BL17" s="310"/>
      <c r="BM17" s="544">
        <f t="shared" si="1"/>
        <v>0</v>
      </c>
      <c r="BN17" s="525"/>
      <c r="BO17" s="310"/>
      <c r="BP17" s="310"/>
      <c r="BQ17" s="310"/>
      <c r="BR17" s="310"/>
      <c r="BS17" s="310"/>
      <c r="BT17" s="310"/>
      <c r="BU17" s="544">
        <f t="shared" si="2"/>
        <v>0</v>
      </c>
      <c r="BV17" s="1582"/>
      <c r="BW17" s="663">
        <f t="shared" si="7"/>
        <v>3</v>
      </c>
      <c r="BX17" s="1047">
        <f t="shared" si="8"/>
        <v>0.75</v>
      </c>
      <c r="BY17" s="1047">
        <f t="shared" si="9"/>
        <v>1</v>
      </c>
      <c r="BZ17" s="1047">
        <f t="shared" si="10"/>
        <v>1</v>
      </c>
      <c r="CA17" s="1047">
        <f t="shared" si="11"/>
        <v>1</v>
      </c>
      <c r="CB17" s="1047">
        <f t="shared" si="12"/>
        <v>0</v>
      </c>
      <c r="CD17" t="str">
        <f t="shared" si="14"/>
        <v>VE</v>
      </c>
      <c r="CE17" t="str">
        <f t="shared" si="14"/>
        <v>VE</v>
      </c>
      <c r="CF17" t="str">
        <f t="shared" si="14"/>
        <v>VE</v>
      </c>
      <c r="CG17" t="str">
        <f t="shared" si="15"/>
        <v>ROB</v>
      </c>
    </row>
    <row r="18" spans="1:85" ht="45.75" hidden="1" customHeight="1" x14ac:dyDescent="0.25">
      <c r="A18" s="299" t="str">
        <f>'PLAN INDICATIVO'!A18</f>
        <v>A.1</v>
      </c>
      <c r="B18" s="299" t="str">
        <f>'PLAN INDICATIVO'!B18</f>
        <v>Educación</v>
      </c>
      <c r="C18" s="1547"/>
      <c r="D18" s="1549"/>
      <c r="E18" s="1549"/>
      <c r="F18" s="1549"/>
      <c r="G18" s="1549"/>
      <c r="H18" s="1549"/>
      <c r="I18" s="300">
        <f>'PLAN INDICATIVO'!I18</f>
        <v>0</v>
      </c>
      <c r="J18" s="300">
        <f>'PLAN INDICATIVO'!J18</f>
        <v>0</v>
      </c>
      <c r="K18" s="1425" t="str">
        <f>'PLAN INDICATIVO'!K18</f>
        <v>A.1.1.11</v>
      </c>
      <c r="L18" s="301" t="str">
        <f>'PLAN INDICATIVO'!L18</f>
        <v>4. Educación de calidad</v>
      </c>
      <c r="M18" s="301" t="str">
        <f>'PLAN INDICATIVO'!M18</f>
        <v>Secretaría de Educación, Cultura, deporte y Turismo</v>
      </c>
      <c r="N18" s="1425" t="str">
        <f>'PLAN INDICATIVO'!N18</f>
        <v>YIMI FERNANDO LOSADA PAYA</v>
      </c>
      <c r="O18" s="1425" t="str">
        <f>'PLAN INDICATIVO'!O18</f>
        <v>Incremento</v>
      </c>
      <c r="P18" s="16" t="str">
        <f>'PLAN INDICATIVO'!P18</f>
        <v>Crear 1 JUNTA MUNICIPAL DE EDUCACIÓN durante el cuatrienio.</v>
      </c>
      <c r="Q18" s="302" t="str">
        <f>'PLAN INDICATIVO'!Q18</f>
        <v>No. De juntas municipales creadas en el cuatrienio</v>
      </c>
      <c r="R18" s="303">
        <f>'PLAN INDICATIVO'!R18</f>
        <v>2015</v>
      </c>
      <c r="S18" s="304">
        <v>0</v>
      </c>
      <c r="T18" s="677">
        <v>1</v>
      </c>
      <c r="U18" s="303">
        <v>1</v>
      </c>
      <c r="V18" s="687">
        <v>1</v>
      </c>
      <c r="W18" s="823"/>
      <c r="X18" s="687">
        <v>1000000</v>
      </c>
      <c r="Y18" s="572">
        <v>0.5</v>
      </c>
      <c r="Z18" s="687">
        <v>500000</v>
      </c>
      <c r="AA18" s="1310">
        <f>T18-BW18</f>
        <v>0.5</v>
      </c>
      <c r="AB18" s="687">
        <v>1000000</v>
      </c>
      <c r="AC18" s="665">
        <v>0</v>
      </c>
      <c r="AD18" s="665">
        <v>0</v>
      </c>
      <c r="AE18" s="665">
        <v>0.5</v>
      </c>
      <c r="AF18" s="665"/>
      <c r="AG18" s="664" t="s">
        <v>3963</v>
      </c>
      <c r="AH18" s="985">
        <v>2018413960010</v>
      </c>
      <c r="AI18" s="307" t="s">
        <v>3981</v>
      </c>
      <c r="AJ18" s="309">
        <v>43146</v>
      </c>
      <c r="AK18" s="309">
        <v>43250</v>
      </c>
      <c r="AL18" s="308"/>
      <c r="AM18" s="308"/>
      <c r="AN18" s="267" t="s">
        <v>2598</v>
      </c>
      <c r="AO18" s="507" t="s">
        <v>2635</v>
      </c>
      <c r="AP18" s="525"/>
      <c r="AQ18" s="310"/>
      <c r="AR18" s="310"/>
      <c r="AS18" s="310"/>
      <c r="AT18" s="310"/>
      <c r="AU18" s="310"/>
      <c r="AV18" s="310"/>
      <c r="AW18" s="544"/>
      <c r="AX18" s="525"/>
      <c r="AY18" s="310"/>
      <c r="AZ18" s="310"/>
      <c r="BA18" s="310"/>
      <c r="BB18" s="310"/>
      <c r="BC18" s="310"/>
      <c r="BD18" s="310"/>
      <c r="BE18" s="544">
        <f t="shared" si="0"/>
        <v>0</v>
      </c>
      <c r="BF18" s="525"/>
      <c r="BG18" s="310"/>
      <c r="BH18" s="310"/>
      <c r="BI18" s="310"/>
      <c r="BJ18" s="310"/>
      <c r="BK18" s="310"/>
      <c r="BL18" s="310"/>
      <c r="BM18" s="544">
        <f t="shared" si="1"/>
        <v>0</v>
      </c>
      <c r="BN18" s="525"/>
      <c r="BO18" s="310"/>
      <c r="BP18" s="310"/>
      <c r="BQ18" s="310"/>
      <c r="BR18" s="310"/>
      <c r="BS18" s="310"/>
      <c r="BT18" s="310"/>
      <c r="BU18" s="544">
        <f t="shared" si="2"/>
        <v>0</v>
      </c>
      <c r="BV18" s="1582"/>
      <c r="BW18" s="663">
        <f t="shared" si="7"/>
        <v>0.5</v>
      </c>
      <c r="BX18" s="1047">
        <f t="shared" si="8"/>
        <v>0.5</v>
      </c>
      <c r="BY18" s="1047">
        <f t="shared" si="9"/>
        <v>0</v>
      </c>
      <c r="BZ18" s="1047" t="str">
        <f t="shared" si="10"/>
        <v>No Programada</v>
      </c>
      <c r="CA18" s="1047">
        <f t="shared" si="11"/>
        <v>1</v>
      </c>
      <c r="CB18" s="1047">
        <f t="shared" si="12"/>
        <v>0</v>
      </c>
      <c r="CD18" t="str">
        <f t="shared" si="14"/>
        <v>ROB</v>
      </c>
      <c r="CE18" t="str">
        <f t="shared" si="14"/>
        <v>NP</v>
      </c>
      <c r="CF18" t="str">
        <f t="shared" si="14"/>
        <v>VE</v>
      </c>
      <c r="CG18" t="str">
        <f t="shared" si="15"/>
        <v>ROB</v>
      </c>
    </row>
    <row r="19" spans="1:85" ht="57" hidden="1" customHeight="1" x14ac:dyDescent="0.25">
      <c r="A19" s="299" t="str">
        <f>'PLAN INDICATIVO'!A19</f>
        <v>A.1</v>
      </c>
      <c r="B19" s="299" t="str">
        <f>'PLAN INDICATIVO'!B19</f>
        <v>Educación</v>
      </c>
      <c r="C19" s="1547"/>
      <c r="D19" s="1549"/>
      <c r="E19" s="1549"/>
      <c r="F19" s="1549"/>
      <c r="G19" s="1549"/>
      <c r="H19" s="1549"/>
      <c r="I19" s="300">
        <f>'PLAN INDICATIVO'!I19</f>
        <v>0</v>
      </c>
      <c r="J19" s="300">
        <f>'PLAN INDICATIVO'!J19</f>
        <v>0</v>
      </c>
      <c r="K19" s="1425" t="str">
        <f>'PLAN INDICATIVO'!K19</f>
        <v>A.1.1.12</v>
      </c>
      <c r="L19" s="301" t="str">
        <f>'PLAN INDICATIVO'!L19</f>
        <v>4. Educación de calidad</v>
      </c>
      <c r="M19" s="301" t="str">
        <f>'PLAN INDICATIVO'!M19</f>
        <v>Secretaría de Educación, Cultura, deporte y Turismo</v>
      </c>
      <c r="N19" s="1425" t="str">
        <f>'PLAN INDICATIVO'!N19</f>
        <v>YIMI FERNANDO LOSADA PAYA</v>
      </c>
      <c r="O19" s="1425" t="str">
        <f>'PLAN INDICATIVO'!O19</f>
        <v>Incremento</v>
      </c>
      <c r="P19" s="16" t="str">
        <f>'PLAN INDICATIVO'!P19</f>
        <v>Lograr que 20 sedes educativas  del municipio tengan nuevos accesos a conectividad  durante el cuatrienio.</v>
      </c>
      <c r="Q19" s="302" t="str">
        <f>'PLAN INDICATIVO'!Q19</f>
        <v>No. de sedes educativas con nuevos accesos a conectividad durante el cuatrienio</v>
      </c>
      <c r="R19" s="303">
        <f>'PLAN INDICATIVO'!R19</f>
        <v>2015</v>
      </c>
      <c r="S19" s="304">
        <v>0</v>
      </c>
      <c r="T19" s="677">
        <v>20</v>
      </c>
      <c r="U19" s="303">
        <v>6</v>
      </c>
      <c r="V19" s="687">
        <v>8</v>
      </c>
      <c r="W19" s="572">
        <v>6</v>
      </c>
      <c r="X19" s="687">
        <v>5000000</v>
      </c>
      <c r="Y19" s="572">
        <v>9</v>
      </c>
      <c r="Z19" s="687">
        <v>500000</v>
      </c>
      <c r="AA19" s="1310"/>
      <c r="AB19" s="687">
        <v>1000000</v>
      </c>
      <c r="AC19" s="665">
        <v>0</v>
      </c>
      <c r="AD19" s="665">
        <v>11</v>
      </c>
      <c r="AE19" s="665">
        <v>17</v>
      </c>
      <c r="AF19" s="665"/>
      <c r="AG19" s="664" t="s">
        <v>3963</v>
      </c>
      <c r="AH19" s="985">
        <v>2018413960010</v>
      </c>
      <c r="AI19" s="307" t="s">
        <v>3982</v>
      </c>
      <c r="AJ19" s="309" t="s">
        <v>3445</v>
      </c>
      <c r="AK19" s="309">
        <v>43465</v>
      </c>
      <c r="AL19" s="308"/>
      <c r="AM19" s="308"/>
      <c r="AN19" s="267" t="s">
        <v>2598</v>
      </c>
      <c r="AO19" s="507">
        <v>2301</v>
      </c>
      <c r="AP19" s="525"/>
      <c r="AQ19" s="310"/>
      <c r="AR19" s="310"/>
      <c r="AS19" s="310"/>
      <c r="AT19" s="310"/>
      <c r="AU19" s="310"/>
      <c r="AV19" s="310"/>
      <c r="AW19" s="544"/>
      <c r="AX19" s="525"/>
      <c r="AY19" s="310"/>
      <c r="AZ19" s="310"/>
      <c r="BA19" s="310"/>
      <c r="BB19" s="310"/>
      <c r="BC19" s="310"/>
      <c r="BD19" s="310"/>
      <c r="BE19" s="544">
        <f t="shared" si="0"/>
        <v>0</v>
      </c>
      <c r="BF19" s="525"/>
      <c r="BG19" s="310"/>
      <c r="BH19" s="310"/>
      <c r="BI19" s="310"/>
      <c r="BJ19" s="310"/>
      <c r="BK19" s="310"/>
      <c r="BL19" s="310"/>
      <c r="BM19" s="544">
        <f t="shared" si="1"/>
        <v>0</v>
      </c>
      <c r="BN19" s="525"/>
      <c r="BO19" s="310"/>
      <c r="BP19" s="310"/>
      <c r="BQ19" s="310"/>
      <c r="BR19" s="310"/>
      <c r="BS19" s="310"/>
      <c r="BT19" s="310"/>
      <c r="BU19" s="544">
        <f t="shared" si="2"/>
        <v>0</v>
      </c>
      <c r="BV19" s="1582"/>
      <c r="BW19" s="663">
        <f t="shared" si="7"/>
        <v>28</v>
      </c>
      <c r="BX19" s="1047">
        <f t="shared" si="8"/>
        <v>1.4</v>
      </c>
      <c r="BY19" s="1047">
        <f t="shared" si="9"/>
        <v>0</v>
      </c>
      <c r="BZ19" s="1047">
        <f t="shared" si="10"/>
        <v>1.8333333333333333</v>
      </c>
      <c r="CA19" s="1047">
        <f t="shared" si="11"/>
        <v>1.8888888888888888</v>
      </c>
      <c r="CB19" s="1047" t="str">
        <f t="shared" si="12"/>
        <v>No Programada</v>
      </c>
      <c r="CD19" t="str">
        <f t="shared" si="14"/>
        <v>ROB</v>
      </c>
      <c r="CE19" t="str">
        <f t="shared" si="14"/>
        <v>VE</v>
      </c>
      <c r="CF19" t="str">
        <f t="shared" si="14"/>
        <v>VE</v>
      </c>
      <c r="CG19" t="str">
        <f t="shared" si="15"/>
        <v>NP</v>
      </c>
    </row>
    <row r="20" spans="1:85" ht="96" hidden="1" customHeight="1" x14ac:dyDescent="0.25">
      <c r="A20" s="299" t="str">
        <f>'PLAN INDICATIVO'!A20</f>
        <v>A.1</v>
      </c>
      <c r="B20" s="299" t="str">
        <f>'PLAN INDICATIVO'!B20</f>
        <v>Educación</v>
      </c>
      <c r="C20" s="1547"/>
      <c r="D20" s="1549"/>
      <c r="E20" s="1549"/>
      <c r="F20" s="1549"/>
      <c r="G20" s="1549"/>
      <c r="H20" s="1549"/>
      <c r="I20" s="300">
        <f>'PLAN INDICATIVO'!I20</f>
        <v>0</v>
      </c>
      <c r="J20" s="300">
        <f>'PLAN INDICATIVO'!J20</f>
        <v>0</v>
      </c>
      <c r="K20" s="1425" t="str">
        <f>'PLAN INDICATIVO'!K20</f>
        <v>A.1.1.13</v>
      </c>
      <c r="L20" s="301" t="str">
        <f>'PLAN INDICATIVO'!L20</f>
        <v>4. Educación de calidad</v>
      </c>
      <c r="M20" s="301" t="str">
        <f>'PLAN INDICATIVO'!M20</f>
        <v>Secretaría de Educación, Cultura, deporte y Turismo</v>
      </c>
      <c r="N20" s="1425" t="str">
        <f>'PLAN INDICATIVO'!N20</f>
        <v>YIMI FERNANDO LOSADA PAYA</v>
      </c>
      <c r="O20" s="1425" t="str">
        <f>'PLAN INDICATIVO'!O20</f>
        <v>Incremento</v>
      </c>
      <c r="P20" s="16" t="str">
        <f>'PLAN INDICATIVO'!P20</f>
        <v>Desarrollar 4 programas para promover la educación Financiera y/o en emprendimiento  en las Instituciones Municipales durante el cuatrienio</v>
      </c>
      <c r="Q20" s="302" t="str">
        <f>'PLAN INDICATIVO'!Q20</f>
        <v>No. de programas desarrollados durante el cuatrienio</v>
      </c>
      <c r="R20" s="303">
        <f>'PLAN INDICATIVO'!R20</f>
        <v>2015</v>
      </c>
      <c r="S20" s="304">
        <v>0</v>
      </c>
      <c r="T20" s="677">
        <v>4</v>
      </c>
      <c r="U20" s="303">
        <v>1</v>
      </c>
      <c r="V20" s="687">
        <v>3</v>
      </c>
      <c r="W20" s="572">
        <v>1</v>
      </c>
      <c r="X20" s="687">
        <v>3000000</v>
      </c>
      <c r="Y20" s="572">
        <v>1</v>
      </c>
      <c r="Z20" s="687">
        <v>500000</v>
      </c>
      <c r="AA20" s="1310">
        <f>T20-BW20</f>
        <v>1</v>
      </c>
      <c r="AB20" s="687">
        <v>1000000</v>
      </c>
      <c r="AC20" s="665">
        <v>1</v>
      </c>
      <c r="AD20" s="665">
        <v>1</v>
      </c>
      <c r="AE20" s="665">
        <v>1</v>
      </c>
      <c r="AF20" s="665"/>
      <c r="AG20" s="664" t="s">
        <v>3963</v>
      </c>
      <c r="AH20" s="985">
        <v>2018413960010</v>
      </c>
      <c r="AI20" s="307" t="s">
        <v>3983</v>
      </c>
      <c r="AJ20" s="309">
        <v>43132</v>
      </c>
      <c r="AK20" s="309">
        <v>43434</v>
      </c>
      <c r="AL20" s="308"/>
      <c r="AM20" s="308"/>
      <c r="AN20" s="267" t="s">
        <v>2598</v>
      </c>
      <c r="AO20" s="507" t="s">
        <v>2635</v>
      </c>
      <c r="AP20" s="525"/>
      <c r="AQ20" s="310"/>
      <c r="AR20" s="310"/>
      <c r="AS20" s="310"/>
      <c r="AT20" s="310"/>
      <c r="AU20" s="310"/>
      <c r="AV20" s="310"/>
      <c r="AW20" s="544"/>
      <c r="AX20" s="525"/>
      <c r="AY20" s="310"/>
      <c r="AZ20" s="310"/>
      <c r="BA20" s="310"/>
      <c r="BB20" s="310"/>
      <c r="BC20" s="310"/>
      <c r="BD20" s="310"/>
      <c r="BE20" s="544">
        <f t="shared" si="0"/>
        <v>0</v>
      </c>
      <c r="BF20" s="525"/>
      <c r="BG20" s="310"/>
      <c r="BH20" s="310"/>
      <c r="BI20" s="310"/>
      <c r="BJ20" s="310"/>
      <c r="BK20" s="310"/>
      <c r="BL20" s="310"/>
      <c r="BM20" s="544">
        <f t="shared" si="1"/>
        <v>0</v>
      </c>
      <c r="BN20" s="525"/>
      <c r="BO20" s="310"/>
      <c r="BP20" s="310"/>
      <c r="BQ20" s="310"/>
      <c r="BR20" s="310"/>
      <c r="BS20" s="310"/>
      <c r="BT20" s="310"/>
      <c r="BU20" s="544">
        <f t="shared" si="2"/>
        <v>0</v>
      </c>
      <c r="BV20" s="1582"/>
      <c r="BW20" s="663">
        <f t="shared" si="7"/>
        <v>3</v>
      </c>
      <c r="BX20" s="1047">
        <f t="shared" si="8"/>
        <v>0.75</v>
      </c>
      <c r="BY20" s="1047">
        <f t="shared" si="9"/>
        <v>1</v>
      </c>
      <c r="BZ20" s="1047">
        <f t="shared" si="10"/>
        <v>1</v>
      </c>
      <c r="CA20" s="1047">
        <f t="shared" si="11"/>
        <v>1</v>
      </c>
      <c r="CB20" s="1047">
        <f t="shared" si="12"/>
        <v>0</v>
      </c>
      <c r="CD20" t="str">
        <f t="shared" si="14"/>
        <v>VE</v>
      </c>
      <c r="CE20" t="str">
        <f t="shared" si="14"/>
        <v>VE</v>
      </c>
      <c r="CF20" t="str">
        <f t="shared" si="14"/>
        <v>VE</v>
      </c>
      <c r="CG20" t="str">
        <f t="shared" si="15"/>
        <v>ROB</v>
      </c>
    </row>
    <row r="21" spans="1:85" ht="78.75" hidden="1" customHeight="1" x14ac:dyDescent="0.25">
      <c r="A21" s="299" t="str">
        <f>'PLAN INDICATIVO'!A21</f>
        <v>M</v>
      </c>
      <c r="B21" s="299" t="str">
        <f>'PLAN INDICATIVO'!B21</f>
        <v>Educación</v>
      </c>
      <c r="C21" s="1547"/>
      <c r="D21" s="1549"/>
      <c r="E21" s="1549"/>
      <c r="F21" s="1549"/>
      <c r="G21" s="1549"/>
      <c r="H21" s="1549"/>
      <c r="I21" s="300">
        <f>'PLAN INDICATIVO'!I21</f>
        <v>0</v>
      </c>
      <c r="J21" s="300">
        <f>'PLAN INDICATIVO'!J21</f>
        <v>0</v>
      </c>
      <c r="K21" s="1425" t="str">
        <f>'PLAN INDICATIVO'!K21</f>
        <v>A.1.1.14</v>
      </c>
      <c r="L21" s="301" t="str">
        <f>'PLAN INDICATIVO'!L21</f>
        <v>4. Educación de calidad</v>
      </c>
      <c r="M21" s="301" t="str">
        <f>'PLAN INDICATIVO'!M21</f>
        <v>Secretaría de Educación, Cultura, deporte y Turismo</v>
      </c>
      <c r="N21" s="1425" t="str">
        <f>'PLAN INDICATIVO'!N21</f>
        <v>YIMI FERNANDO LOSADA PAYA</v>
      </c>
      <c r="O21" s="1425" t="str">
        <f>'PLAN INDICATIVO'!O21</f>
        <v>Mantenimiento</v>
      </c>
      <c r="P21" s="1198" t="str">
        <f>'PLAN INDICATIVO'!P21</f>
        <v>Gestionar el acceso al sistema escolar de la población víctima por fuera del sistema, durante el cuatrienio</v>
      </c>
      <c r="Q21" s="302" t="str">
        <f>'PLAN INDICATIVO'!Q21</f>
        <v>No. De Rutas especializadas creadas durante el cuatrienio</v>
      </c>
      <c r="R21" s="303">
        <f>'PLAN INDICATIVO'!R21</f>
        <v>2015</v>
      </c>
      <c r="S21" s="304">
        <v>0</v>
      </c>
      <c r="T21" s="677">
        <v>1</v>
      </c>
      <c r="U21" s="303"/>
      <c r="V21" s="687">
        <v>5</v>
      </c>
      <c r="W21" s="572">
        <v>1</v>
      </c>
      <c r="X21" s="687">
        <v>5000000</v>
      </c>
      <c r="Y21" s="964"/>
      <c r="Z21" s="687">
        <v>500000</v>
      </c>
      <c r="AA21" s="1310"/>
      <c r="AB21" s="687">
        <v>1000000</v>
      </c>
      <c r="AC21" s="665">
        <v>0</v>
      </c>
      <c r="AD21" s="665">
        <v>1</v>
      </c>
      <c r="AE21" s="665">
        <v>1</v>
      </c>
      <c r="AF21" s="665"/>
      <c r="AG21" s="664" t="s">
        <v>3963</v>
      </c>
      <c r="AH21" s="985">
        <v>2018413960010</v>
      </c>
      <c r="AI21" s="307" t="s">
        <v>3984</v>
      </c>
      <c r="AJ21" s="309">
        <v>43160</v>
      </c>
      <c r="AK21" s="309">
        <v>43342</v>
      </c>
      <c r="AL21" s="308"/>
      <c r="AM21" s="308"/>
      <c r="AN21" s="267" t="s">
        <v>2594</v>
      </c>
      <c r="AO21" s="507" t="s">
        <v>2635</v>
      </c>
      <c r="AP21" s="525"/>
      <c r="AQ21" s="310"/>
      <c r="AR21" s="310"/>
      <c r="AS21" s="310"/>
      <c r="AT21" s="310"/>
      <c r="AU21" s="310"/>
      <c r="AV21" s="310"/>
      <c r="AW21" s="544"/>
      <c r="AX21" s="525"/>
      <c r="AY21" s="310"/>
      <c r="AZ21" s="310"/>
      <c r="BA21" s="310"/>
      <c r="BB21" s="310"/>
      <c r="BC21" s="310"/>
      <c r="BD21" s="310"/>
      <c r="BE21" s="544">
        <f t="shared" si="0"/>
        <v>0</v>
      </c>
      <c r="BF21" s="525"/>
      <c r="BG21" s="310"/>
      <c r="BH21" s="310"/>
      <c r="BI21" s="310"/>
      <c r="BJ21" s="310"/>
      <c r="BK21" s="310"/>
      <c r="BL21" s="310"/>
      <c r="BM21" s="544">
        <f t="shared" si="1"/>
        <v>0</v>
      </c>
      <c r="BN21" s="525"/>
      <c r="BO21" s="310"/>
      <c r="BP21" s="310"/>
      <c r="BQ21" s="310"/>
      <c r="BR21" s="310"/>
      <c r="BS21" s="310"/>
      <c r="BT21" s="310"/>
      <c r="BU21" s="544">
        <f t="shared" si="2"/>
        <v>0</v>
      </c>
      <c r="BV21" s="1582"/>
      <c r="BW21" s="663">
        <f t="shared" si="7"/>
        <v>2</v>
      </c>
      <c r="BX21" s="1047">
        <f t="shared" si="8"/>
        <v>2</v>
      </c>
      <c r="BY21" s="1047" t="str">
        <f t="shared" si="9"/>
        <v>No Programada</v>
      </c>
      <c r="BZ21" s="1047">
        <f t="shared" si="10"/>
        <v>1</v>
      </c>
      <c r="CA21" s="1047" t="str">
        <f t="shared" si="11"/>
        <v>No Programada</v>
      </c>
      <c r="CB21" s="1047" t="str">
        <f t="shared" si="12"/>
        <v>No Programada</v>
      </c>
      <c r="CD21" t="str">
        <f t="shared" si="14"/>
        <v>NP</v>
      </c>
      <c r="CE21" t="str">
        <f t="shared" si="14"/>
        <v>VE</v>
      </c>
      <c r="CF21" t="str">
        <f t="shared" si="14"/>
        <v>NP</v>
      </c>
      <c r="CG21" t="str">
        <f t="shared" si="15"/>
        <v>NP</v>
      </c>
    </row>
    <row r="22" spans="1:85" ht="66.75" hidden="1" customHeight="1" x14ac:dyDescent="0.25">
      <c r="A22" s="299" t="str">
        <f>'PLAN INDICATIVO'!A22</f>
        <v>A.1</v>
      </c>
      <c r="B22" s="299" t="str">
        <f>'PLAN INDICATIVO'!B22</f>
        <v>Educación</v>
      </c>
      <c r="C22" s="1548"/>
      <c r="D22" s="1549"/>
      <c r="E22" s="1549"/>
      <c r="F22" s="1549"/>
      <c r="G22" s="1549"/>
      <c r="H22" s="1549"/>
      <c r="I22" s="300">
        <f>'PLAN INDICATIVO'!I22</f>
        <v>0</v>
      </c>
      <c r="J22" s="300">
        <f>'PLAN INDICATIVO'!J22</f>
        <v>0</v>
      </c>
      <c r="K22" s="1425" t="str">
        <f>'PLAN INDICATIVO'!K22</f>
        <v>A.1.1.15</v>
      </c>
      <c r="L22" s="301" t="str">
        <f>'PLAN INDICATIVO'!L22</f>
        <v>4. Educación de calidad</v>
      </c>
      <c r="M22" s="301" t="str">
        <f>'PLAN INDICATIVO'!M22</f>
        <v>Secretaría de Educación, Cultura, deporte y Turismo</v>
      </c>
      <c r="N22" s="1425" t="str">
        <f>'PLAN INDICATIVO'!N22</f>
        <v>YIMI FERNANDO LOSADA PAYA</v>
      </c>
      <c r="O22" s="1425" t="str">
        <f>'PLAN INDICATIVO'!O22</f>
        <v>Mantenimiento</v>
      </c>
      <c r="P22" s="16" t="str">
        <f>'PLAN INDICATIVO'!P22</f>
        <v>Implementar un programa de orientación y vocación profesional para estudiantes de educación media cada año</v>
      </c>
      <c r="Q22" s="302" t="str">
        <f>'PLAN INDICATIVO'!Q22</f>
        <v>No. de programas en el cuatrenio</v>
      </c>
      <c r="R22" s="303">
        <f>'PLAN INDICATIVO'!R22</f>
        <v>2015</v>
      </c>
      <c r="S22" s="304">
        <v>0</v>
      </c>
      <c r="T22" s="677">
        <v>1</v>
      </c>
      <c r="U22" s="303">
        <v>1</v>
      </c>
      <c r="V22" s="687">
        <v>5</v>
      </c>
      <c r="W22" s="572">
        <v>1</v>
      </c>
      <c r="X22" s="687">
        <v>5000000</v>
      </c>
      <c r="Y22" s="572">
        <v>1</v>
      </c>
      <c r="Z22" s="687">
        <v>500000</v>
      </c>
      <c r="AA22" s="1310"/>
      <c r="AB22" s="687">
        <v>1000000</v>
      </c>
      <c r="AC22" s="665">
        <v>0</v>
      </c>
      <c r="AD22" s="665">
        <v>1</v>
      </c>
      <c r="AE22" s="665">
        <v>1</v>
      </c>
      <c r="AF22" s="665"/>
      <c r="AG22" s="664" t="s">
        <v>3963</v>
      </c>
      <c r="AH22" s="985">
        <v>2018413960010</v>
      </c>
      <c r="AI22" s="307" t="s">
        <v>3985</v>
      </c>
      <c r="AJ22" s="309">
        <v>43191</v>
      </c>
      <c r="AK22" s="309">
        <v>43434</v>
      </c>
      <c r="AL22" s="308"/>
      <c r="AM22" s="308"/>
      <c r="AN22" s="267" t="s">
        <v>2598</v>
      </c>
      <c r="AO22" s="507" t="s">
        <v>2627</v>
      </c>
      <c r="AP22" s="525"/>
      <c r="AQ22" s="310"/>
      <c r="AR22" s="310"/>
      <c r="AS22" s="310"/>
      <c r="AT22" s="310"/>
      <c r="AU22" s="310"/>
      <c r="AV22" s="310"/>
      <c r="AW22" s="544"/>
      <c r="AX22" s="525"/>
      <c r="AY22" s="310"/>
      <c r="AZ22" s="310"/>
      <c r="BA22" s="310"/>
      <c r="BB22" s="310"/>
      <c r="BC22" s="310"/>
      <c r="BD22" s="310"/>
      <c r="BE22" s="544">
        <f t="shared" si="0"/>
        <v>0</v>
      </c>
      <c r="BF22" s="525"/>
      <c r="BG22" s="310"/>
      <c r="BH22" s="310"/>
      <c r="BI22" s="310"/>
      <c r="BJ22" s="310"/>
      <c r="BK22" s="310"/>
      <c r="BL22" s="310"/>
      <c r="BM22" s="544">
        <f t="shared" si="1"/>
        <v>0</v>
      </c>
      <c r="BN22" s="525"/>
      <c r="BO22" s="310"/>
      <c r="BP22" s="310"/>
      <c r="BQ22" s="310"/>
      <c r="BR22" s="310"/>
      <c r="BS22" s="310"/>
      <c r="BT22" s="310"/>
      <c r="BU22" s="544">
        <f t="shared" si="2"/>
        <v>0</v>
      </c>
      <c r="BV22" s="1583"/>
      <c r="BW22" s="663">
        <f t="shared" si="7"/>
        <v>2</v>
      </c>
      <c r="BX22" s="1047">
        <f t="shared" si="8"/>
        <v>2</v>
      </c>
      <c r="BY22" s="1047">
        <f t="shared" si="9"/>
        <v>0</v>
      </c>
      <c r="BZ22" s="1047">
        <f t="shared" si="10"/>
        <v>1</v>
      </c>
      <c r="CA22" s="1047">
        <f t="shared" si="11"/>
        <v>1</v>
      </c>
      <c r="CB22" s="1047" t="str">
        <f t="shared" si="12"/>
        <v>No Programada</v>
      </c>
      <c r="CD22" t="str">
        <f t="shared" si="14"/>
        <v>ROB</v>
      </c>
      <c r="CE22" t="str">
        <f t="shared" si="14"/>
        <v>VE</v>
      </c>
      <c r="CF22" t="str">
        <f t="shared" si="14"/>
        <v>VE</v>
      </c>
      <c r="CG22" t="str">
        <f t="shared" si="15"/>
        <v>NP</v>
      </c>
    </row>
    <row r="23" spans="1:85" ht="9.75" hidden="1" customHeight="1" x14ac:dyDescent="0.25">
      <c r="A23" s="295"/>
      <c r="B23" s="24" t="str">
        <f>'PLAN INDICATIVO'!B23</f>
        <v>Educación</v>
      </c>
      <c r="C23" s="1574" t="s">
        <v>94</v>
      </c>
      <c r="D23" s="1575"/>
      <c r="E23" s="1575"/>
      <c r="F23" s="1575"/>
      <c r="G23" s="1575"/>
      <c r="H23" s="1575"/>
      <c r="I23" s="1575"/>
      <c r="J23" s="1575"/>
      <c r="K23" s="1575"/>
      <c r="L23" s="1575"/>
      <c r="M23" s="1575"/>
      <c r="N23" s="1575"/>
      <c r="O23" s="1576"/>
      <c r="P23" s="22"/>
      <c r="Q23" s="22"/>
      <c r="R23" s="1"/>
      <c r="S23" s="261"/>
      <c r="T23" s="681"/>
      <c r="U23" s="261"/>
      <c r="V23" s="689">
        <f>SUM(V24:V41)</f>
        <v>1433.4</v>
      </c>
      <c r="W23" s="261"/>
      <c r="X23" s="689">
        <f>SUM(X24:X41)</f>
        <v>1419750000</v>
      </c>
      <c r="Y23" s="261"/>
      <c r="Z23" s="689">
        <f>SUM(Z24:Z41)</f>
        <v>827000000</v>
      </c>
      <c r="AA23" s="262"/>
      <c r="AB23" s="690">
        <f>SUM(AB24:AB41)</f>
        <v>869000000</v>
      </c>
      <c r="AC23" s="262"/>
      <c r="AD23" s="262"/>
      <c r="AE23" s="262"/>
      <c r="AF23" s="262"/>
      <c r="AG23" s="263"/>
      <c r="AH23" s="263"/>
      <c r="AI23" s="263"/>
      <c r="AJ23" s="262"/>
      <c r="AK23" s="262"/>
      <c r="AL23" s="262"/>
      <c r="AM23" s="262"/>
      <c r="AN23" s="262"/>
      <c r="AO23" s="612"/>
      <c r="AP23" s="614"/>
      <c r="AQ23" s="614"/>
      <c r="AR23" s="614"/>
      <c r="AS23" s="614"/>
      <c r="AT23" s="614"/>
      <c r="AU23" s="614"/>
      <c r="AV23" s="614"/>
      <c r="AW23" s="22"/>
      <c r="AX23" s="614" t="e">
        <f>(AX24:AX41)</f>
        <v>#VALUE!</v>
      </c>
      <c r="AY23" s="614" t="e">
        <f t="shared" ref="AY23:BD23" si="16">(AY24:AY41)</f>
        <v>#VALUE!</v>
      </c>
      <c r="AZ23" s="614" t="e">
        <f t="shared" si="16"/>
        <v>#VALUE!</v>
      </c>
      <c r="BA23" s="614" t="e">
        <f t="shared" si="16"/>
        <v>#VALUE!</v>
      </c>
      <c r="BB23" s="614" t="e">
        <f t="shared" si="16"/>
        <v>#VALUE!</v>
      </c>
      <c r="BC23" s="614" t="e">
        <f t="shared" si="16"/>
        <v>#VALUE!</v>
      </c>
      <c r="BD23" s="614" t="e">
        <f t="shared" si="16"/>
        <v>#VALUE!</v>
      </c>
      <c r="BE23" s="22" t="e">
        <f>SUM(AX23:AX23:BD23)</f>
        <v>#VALUE!</v>
      </c>
      <c r="BF23" s="614"/>
      <c r="BG23" s="614"/>
      <c r="BH23" s="614"/>
      <c r="BI23" s="614"/>
      <c r="BJ23" s="614"/>
      <c r="BK23" s="614"/>
      <c r="BL23" s="614"/>
      <c r="BM23" s="22">
        <f>SUM(BF23:BF23:BL23)</f>
        <v>0</v>
      </c>
      <c r="BN23" s="614" t="e">
        <f>(BN24:BN41)</f>
        <v>#VALUE!</v>
      </c>
      <c r="BO23" s="614" t="e">
        <f t="shared" ref="BO23:BT23" si="17">(BO24:BO41)</f>
        <v>#VALUE!</v>
      </c>
      <c r="BP23" s="614" t="e">
        <f t="shared" si="17"/>
        <v>#VALUE!</v>
      </c>
      <c r="BQ23" s="614" t="e">
        <f t="shared" si="17"/>
        <v>#VALUE!</v>
      </c>
      <c r="BR23" s="614" t="e">
        <f t="shared" si="17"/>
        <v>#VALUE!</v>
      </c>
      <c r="BS23" s="614" t="e">
        <f t="shared" si="17"/>
        <v>#VALUE!</v>
      </c>
      <c r="BT23" s="614" t="e">
        <f t="shared" si="17"/>
        <v>#VALUE!</v>
      </c>
      <c r="BU23" s="22" t="e">
        <f>SUM(BN23:BN23:BT23)</f>
        <v>#VALUE!</v>
      </c>
      <c r="BV23" s="22"/>
      <c r="BW23" s="663"/>
      <c r="BX23" s="1047" t="s">
        <v>2717</v>
      </c>
      <c r="BY23" s="1047" t="s">
        <v>2717</v>
      </c>
      <c r="BZ23" s="1047" t="s">
        <v>2717</v>
      </c>
      <c r="CA23" s="1047" t="s">
        <v>2717</v>
      </c>
      <c r="CB23" s="1047" t="s">
        <v>2717</v>
      </c>
    </row>
    <row r="24" spans="1:85" ht="58.5" hidden="1" customHeight="1" x14ac:dyDescent="0.25">
      <c r="A24" s="298" t="s">
        <v>38</v>
      </c>
      <c r="B24" s="299" t="str">
        <f>'PLAN INDICATIVO'!B24</f>
        <v>Educación</v>
      </c>
      <c r="C24" s="1546" t="s">
        <v>95</v>
      </c>
      <c r="D24" s="1549" t="s">
        <v>96</v>
      </c>
      <c r="E24" s="1549" t="s">
        <v>97</v>
      </c>
      <c r="F24" s="1549">
        <v>2014</v>
      </c>
      <c r="G24" s="1549">
        <v>47.54</v>
      </c>
      <c r="H24" s="1549">
        <v>50</v>
      </c>
      <c r="I24" s="300">
        <f>'PLAN INDICATIVO'!I24</f>
        <v>0</v>
      </c>
      <c r="J24" s="300">
        <f>'PLAN INDICATIVO'!J24</f>
        <v>0</v>
      </c>
      <c r="K24" s="1425" t="str">
        <f>'PLAN INDICATIVO'!K24</f>
        <v>A.1.2.1</v>
      </c>
      <c r="L24" s="1425" t="str">
        <f>'PLAN INDICATIVO'!L24</f>
        <v>4. Educación de calidad</v>
      </c>
      <c r="M24" s="1425" t="str">
        <f>'PLAN INDICATIVO'!M24</f>
        <v>Secretaría de Educación, Cultura, deporte y Turismo</v>
      </c>
      <c r="N24" s="1425" t="str">
        <f>'PLAN INDICATIVO'!N24</f>
        <v>YIMI FERNANDO LOSADA PAYA</v>
      </c>
      <c r="O24" s="1425" t="str">
        <f>'PLAN INDICATIVO'!O24</f>
        <v>Incremento</v>
      </c>
      <c r="P24" s="16" t="str">
        <f>'PLAN INDICATIVO'!P24</f>
        <v>Dotar 18 Instituciones educativas con mobiliario y equipo, material didáctico para la enseñanza, durante el cuatrienio.</v>
      </c>
      <c r="Q24" s="302" t="str">
        <f>'PLAN INDICATIVO'!Q24</f>
        <v>No. de centros educativos dotados en el cuatrienio</v>
      </c>
      <c r="R24" s="303">
        <f>'PLAN INDICATIVO'!R24</f>
        <v>2015</v>
      </c>
      <c r="S24" s="304">
        <v>0</v>
      </c>
      <c r="T24" s="677">
        <v>18</v>
      </c>
      <c r="U24" s="303">
        <v>2</v>
      </c>
      <c r="V24" s="687">
        <v>15</v>
      </c>
      <c r="W24" s="572">
        <v>2</v>
      </c>
      <c r="X24" s="687">
        <v>20000000</v>
      </c>
      <c r="Y24" s="572">
        <v>3</v>
      </c>
      <c r="Z24" s="687">
        <v>100000000</v>
      </c>
      <c r="AA24" s="1310"/>
      <c r="AB24" s="687">
        <v>100000000</v>
      </c>
      <c r="AC24" s="665">
        <v>2</v>
      </c>
      <c r="AD24" s="665">
        <v>2</v>
      </c>
      <c r="AE24" s="665">
        <v>18</v>
      </c>
      <c r="AF24" s="665"/>
      <c r="AG24" s="664" t="s">
        <v>3986</v>
      </c>
      <c r="AH24" s="985">
        <v>2018413960009</v>
      </c>
      <c r="AI24" s="307" t="s">
        <v>3987</v>
      </c>
      <c r="AJ24" s="309">
        <v>43132</v>
      </c>
      <c r="AK24" s="309">
        <v>43464</v>
      </c>
      <c r="AL24" s="308"/>
      <c r="AM24" s="308"/>
      <c r="AN24" s="267" t="s">
        <v>2598</v>
      </c>
      <c r="AO24" s="507" t="s">
        <v>3988</v>
      </c>
      <c r="AP24" s="525"/>
      <c r="AQ24" s="310"/>
      <c r="AR24" s="310"/>
      <c r="AS24" s="310"/>
      <c r="AT24" s="310"/>
      <c r="AU24" s="310"/>
      <c r="AV24" s="310"/>
      <c r="AW24" s="544"/>
      <c r="AX24" s="544">
        <v>0</v>
      </c>
      <c r="AY24" s="310"/>
      <c r="AZ24" s="310"/>
      <c r="BA24" s="310"/>
      <c r="BB24" s="310"/>
      <c r="BC24" s="310"/>
      <c r="BD24" s="310"/>
      <c r="BE24" s="544">
        <f t="shared" ref="BE24:BE86" si="18">SUM(AX24:BD24)</f>
        <v>0</v>
      </c>
      <c r="BF24" s="525"/>
      <c r="BG24" s="310">
        <v>15000000</v>
      </c>
      <c r="BH24" s="310"/>
      <c r="BI24" s="310"/>
      <c r="BJ24" s="310"/>
      <c r="BK24" s="310"/>
      <c r="BL24" s="310"/>
      <c r="BM24" s="544">
        <f t="shared" ref="BM24:BM86" si="19">SUM(BF24:BL24)</f>
        <v>15000000</v>
      </c>
      <c r="BN24" s="525"/>
      <c r="BO24" s="310"/>
      <c r="BP24" s="310"/>
      <c r="BQ24" s="310"/>
      <c r="BR24" s="310"/>
      <c r="BS24" s="310"/>
      <c r="BT24" s="310"/>
      <c r="BU24" s="544">
        <f t="shared" ref="BU24:BU86" si="20">SUM(BN24:BT24)</f>
        <v>0</v>
      </c>
      <c r="BV24" s="1637" t="s">
        <v>2563</v>
      </c>
      <c r="BW24" s="663">
        <f t="shared" si="7"/>
        <v>22</v>
      </c>
      <c r="BX24" s="1047">
        <f t="shared" ref="BX24:BX41" si="21">BW24/T24</f>
        <v>1.2222222222222223</v>
      </c>
      <c r="BY24" s="1047">
        <f t="shared" ref="BY24:BY41" si="22">IF(U24&gt;=0.1,AC24/U24,IF(ISBLANK(U24),"No Programada","Aplazada"))</f>
        <v>1</v>
      </c>
      <c r="BZ24" s="1047">
        <f t="shared" ref="BZ24:BZ41" si="23">IF(W24&gt;=0.1,AD24/W24,IF(ISBLANK(W24),"No Programada","Aplazada"))</f>
        <v>1</v>
      </c>
      <c r="CA24" s="1047">
        <f t="shared" ref="CA24:CA41" si="24">IF(Y24&gt;=0.1,AE24/Y24,IF(ISBLANK(Y24),"No Programada","Aplazada"))</f>
        <v>6</v>
      </c>
      <c r="CB24" s="1047" t="str">
        <f t="shared" ref="CB24:CB41" si="25">IF(AA24&gt;=0.1,AF24/AA24,IF(ISBLANK(AA24),"No Programada","Aplazada"))</f>
        <v>No Programada</v>
      </c>
      <c r="CD24" t="str">
        <f t="shared" ref="CD24:CG41" si="26">IF(BY24="PARA MODIFICAR","M",IF(BY24="PARA ELIMINAR","E",IF(BY24="aplazada","AZ",IF(BY24="no programada","NP",IF(BY24&gt;=85%,"VE",IF(BY24&gt;70%,"VEB",IF(BY24&gt;60%,"AM",IF(BY24&gt;40%,"AMB",IF(BY24&gt;20%,"RO",IF(BY24&gt;=0%,"ROB",""))))))))))</f>
        <v>VE</v>
      </c>
      <c r="CE24" t="str">
        <f t="shared" si="26"/>
        <v>VE</v>
      </c>
      <c r="CF24" t="str">
        <f t="shared" si="26"/>
        <v>VE</v>
      </c>
      <c r="CG24" t="str">
        <f t="shared" si="26"/>
        <v>NP</v>
      </c>
    </row>
    <row r="25" spans="1:85" ht="69.75" hidden="1" customHeight="1" x14ac:dyDescent="0.25">
      <c r="A25" s="298" t="s">
        <v>38</v>
      </c>
      <c r="B25" s="299" t="str">
        <f>'PLAN INDICATIVO'!B25</f>
        <v>Educación</v>
      </c>
      <c r="C25" s="1547"/>
      <c r="D25" s="1549"/>
      <c r="E25" s="1549"/>
      <c r="F25" s="1549"/>
      <c r="G25" s="1549"/>
      <c r="H25" s="1549"/>
      <c r="I25" s="300">
        <f>'PLAN INDICATIVO'!I25</f>
        <v>0</v>
      </c>
      <c r="J25" s="300">
        <f>'PLAN INDICATIVO'!J25</f>
        <v>0</v>
      </c>
      <c r="K25" s="1425" t="str">
        <f>'PLAN INDICATIVO'!K25</f>
        <v>A.1.2.2</v>
      </c>
      <c r="L25" s="1425" t="str">
        <f>'PLAN INDICATIVO'!L25</f>
        <v>4. Educación de calidad</v>
      </c>
      <c r="M25" s="1425" t="str">
        <f>'PLAN INDICATIVO'!M25</f>
        <v>Secretaría de Educación, Cultura, deporte y Turismo</v>
      </c>
      <c r="N25" s="1425" t="str">
        <f>'PLAN INDICATIVO'!N25</f>
        <v>YIMI FERNANDO LOSADA PAYA</v>
      </c>
      <c r="O25" s="1425" t="str">
        <f>'PLAN INDICATIVO'!O25</f>
        <v>Mantenimiento</v>
      </c>
      <c r="P25" s="16" t="str">
        <f>'PLAN INDICATIVO'!P25</f>
        <v>Apoyar a 18 Instituciones Educativas con recursos para garantizar la gratuidad en la educación cada año</v>
      </c>
      <c r="Q25" s="302" t="str">
        <f>'PLAN INDICATIVO'!Q25</f>
        <v>No. De IE apoyadas cada año</v>
      </c>
      <c r="R25" s="303">
        <f>'PLAN INDICATIVO'!R25</f>
        <v>2015</v>
      </c>
      <c r="S25" s="304">
        <v>1</v>
      </c>
      <c r="T25" s="677">
        <v>18</v>
      </c>
      <c r="U25" s="303">
        <v>18</v>
      </c>
      <c r="V25" s="687">
        <v>1282.4000000000001</v>
      </c>
      <c r="W25" s="303">
        <v>18</v>
      </c>
      <c r="X25" s="687">
        <v>1256750000</v>
      </c>
      <c r="Y25" s="303">
        <v>18</v>
      </c>
      <c r="Z25" s="687">
        <v>640000000</v>
      </c>
      <c r="AA25" s="291">
        <v>18</v>
      </c>
      <c r="AB25" s="687">
        <v>670000000</v>
      </c>
      <c r="AC25" s="665">
        <v>18</v>
      </c>
      <c r="AD25" s="665">
        <v>1</v>
      </c>
      <c r="AE25" s="665">
        <v>18</v>
      </c>
      <c r="AF25" s="665"/>
      <c r="AG25" s="664" t="s">
        <v>3986</v>
      </c>
      <c r="AH25" s="985">
        <v>2018413960009</v>
      </c>
      <c r="AI25" s="307" t="s">
        <v>3989</v>
      </c>
      <c r="AJ25" s="309">
        <v>43221</v>
      </c>
      <c r="AK25" s="309">
        <v>43464</v>
      </c>
      <c r="AL25" s="308"/>
      <c r="AM25" s="308"/>
      <c r="AN25" s="267" t="s">
        <v>2598</v>
      </c>
      <c r="AO25" s="507">
        <v>2301</v>
      </c>
      <c r="AP25" s="525"/>
      <c r="AQ25" s="310"/>
      <c r="AR25" s="310"/>
      <c r="AS25" s="310"/>
      <c r="AT25" s="310"/>
      <c r="AU25" s="310"/>
      <c r="AV25" s="310"/>
      <c r="AW25" s="544"/>
      <c r="AX25" s="544">
        <v>0</v>
      </c>
      <c r="AY25" s="310"/>
      <c r="AZ25" s="310"/>
      <c r="BA25" s="310"/>
      <c r="BB25" s="310"/>
      <c r="BC25" s="310"/>
      <c r="BD25" s="310"/>
      <c r="BE25" s="544">
        <f t="shared" si="18"/>
        <v>0</v>
      </c>
      <c r="BF25" s="525"/>
      <c r="BG25" s="310">
        <v>1073102182</v>
      </c>
      <c r="BH25" s="310"/>
      <c r="BI25" s="310"/>
      <c r="BJ25" s="310"/>
      <c r="BK25" s="310"/>
      <c r="BL25" s="310"/>
      <c r="BM25" s="544">
        <f t="shared" si="19"/>
        <v>1073102182</v>
      </c>
      <c r="BN25" s="525"/>
      <c r="BO25" s="310"/>
      <c r="BP25" s="310"/>
      <c r="BQ25" s="310"/>
      <c r="BR25" s="310"/>
      <c r="BS25" s="310"/>
      <c r="BT25" s="310"/>
      <c r="BU25" s="544">
        <f t="shared" si="20"/>
        <v>0</v>
      </c>
      <c r="BV25" s="1638"/>
      <c r="BW25" s="663">
        <f t="shared" si="7"/>
        <v>37</v>
      </c>
      <c r="BX25" s="1047">
        <f t="shared" si="21"/>
        <v>2.0555555555555554</v>
      </c>
      <c r="BY25" s="1047">
        <f t="shared" si="22"/>
        <v>1</v>
      </c>
      <c r="BZ25" s="1047">
        <f t="shared" si="23"/>
        <v>5.5555555555555552E-2</v>
      </c>
      <c r="CA25" s="1047">
        <f t="shared" si="24"/>
        <v>1</v>
      </c>
      <c r="CB25" s="1047">
        <f t="shared" si="25"/>
        <v>0</v>
      </c>
      <c r="CD25" t="str">
        <f t="shared" si="26"/>
        <v>VE</v>
      </c>
      <c r="CE25" t="str">
        <f t="shared" si="26"/>
        <v>ROB</v>
      </c>
      <c r="CF25" t="str">
        <f t="shared" si="26"/>
        <v>VE</v>
      </c>
      <c r="CG25" t="str">
        <f t="shared" si="26"/>
        <v>ROB</v>
      </c>
    </row>
    <row r="26" spans="1:85" ht="58.5" hidden="1" customHeight="1" x14ac:dyDescent="0.25">
      <c r="A26" s="298" t="s">
        <v>38</v>
      </c>
      <c r="B26" s="299" t="str">
        <f>'PLAN INDICATIVO'!B26</f>
        <v>Educación</v>
      </c>
      <c r="C26" s="1547"/>
      <c r="D26" s="1549"/>
      <c r="E26" s="1549"/>
      <c r="F26" s="1549"/>
      <c r="G26" s="1549"/>
      <c r="H26" s="1549"/>
      <c r="I26" s="300">
        <f>'PLAN INDICATIVO'!I26</f>
        <v>0</v>
      </c>
      <c r="J26" s="300">
        <f>'PLAN INDICATIVO'!J26</f>
        <v>0</v>
      </c>
      <c r="K26" s="1425" t="str">
        <f>'PLAN INDICATIVO'!K26</f>
        <v>A.1.2.3</v>
      </c>
      <c r="L26" s="1425" t="str">
        <f>'PLAN INDICATIVO'!L26</f>
        <v>4. Educación de calidad</v>
      </c>
      <c r="M26" s="1425" t="str">
        <f>'PLAN INDICATIVO'!M26</f>
        <v>Secretaría de Educación, Cultura, deporte y Turismo</v>
      </c>
      <c r="N26" s="1425" t="str">
        <f>'PLAN INDICATIVO'!N26</f>
        <v>YIMI FERNANDO LOSADA PAYA</v>
      </c>
      <c r="O26" s="1425" t="str">
        <f>'PLAN INDICATIVO'!O26</f>
        <v>Mantenimiento</v>
      </c>
      <c r="P26" s="16" t="str">
        <f>'PLAN INDICATIVO'!P26</f>
        <v xml:space="preserve">Desarrollar 1 programa de capacitación y formación por año dirigido a docentes, directivos y administrativos de las instituciones educativas del municipio </v>
      </c>
      <c r="Q26" s="302" t="str">
        <f>'PLAN INDICATIVO'!Q26</f>
        <v>No. Programas de capacitación y formación dirigidos a directivos y administrativos de IE desarrollados cada año</v>
      </c>
      <c r="R26" s="303">
        <f>'PLAN INDICATIVO'!R26</f>
        <v>2015</v>
      </c>
      <c r="S26" s="304">
        <v>0</v>
      </c>
      <c r="T26" s="677">
        <v>4</v>
      </c>
      <c r="U26" s="303">
        <v>1</v>
      </c>
      <c r="V26" s="687">
        <v>15</v>
      </c>
      <c r="W26" s="572">
        <v>1</v>
      </c>
      <c r="X26" s="687">
        <v>25000000</v>
      </c>
      <c r="Y26" s="572">
        <v>1</v>
      </c>
      <c r="Z26" s="687">
        <v>2500000</v>
      </c>
      <c r="AA26" s="1310">
        <v>1</v>
      </c>
      <c r="AB26" s="687">
        <v>1500000</v>
      </c>
      <c r="AC26" s="665">
        <v>1</v>
      </c>
      <c r="AD26" s="665">
        <v>1</v>
      </c>
      <c r="AE26" s="665">
        <v>1</v>
      </c>
      <c r="AF26" s="665"/>
      <c r="AG26" s="664" t="s">
        <v>3986</v>
      </c>
      <c r="AH26" s="985">
        <v>2018413960009</v>
      </c>
      <c r="AI26" s="882" t="s">
        <v>3990</v>
      </c>
      <c r="AJ26" s="309">
        <v>43191</v>
      </c>
      <c r="AK26" s="309">
        <v>43281</v>
      </c>
      <c r="AL26" s="308"/>
      <c r="AM26" s="308"/>
      <c r="AN26" s="267" t="s">
        <v>2598</v>
      </c>
      <c r="AO26" s="507" t="s">
        <v>2635</v>
      </c>
      <c r="AP26" s="526"/>
      <c r="AQ26" s="470"/>
      <c r="AR26" s="470"/>
      <c r="AS26" s="470"/>
      <c r="AT26" s="470"/>
      <c r="AU26" s="470"/>
      <c r="AV26" s="470"/>
      <c r="AW26" s="544"/>
      <c r="AX26" s="544">
        <v>0</v>
      </c>
      <c r="AY26" s="470"/>
      <c r="AZ26" s="470"/>
      <c r="BA26" s="470"/>
      <c r="BB26" s="470"/>
      <c r="BC26" s="470"/>
      <c r="BD26" s="470"/>
      <c r="BE26" s="544">
        <f t="shared" si="18"/>
        <v>0</v>
      </c>
      <c r="BF26" s="526"/>
      <c r="BG26" s="470"/>
      <c r="BH26" s="470"/>
      <c r="BI26" s="470"/>
      <c r="BJ26" s="470"/>
      <c r="BK26" s="470"/>
      <c r="BL26" s="470">
        <v>1500000</v>
      </c>
      <c r="BM26" s="544">
        <f t="shared" si="19"/>
        <v>1500000</v>
      </c>
      <c r="BN26" s="526"/>
      <c r="BO26" s="470"/>
      <c r="BP26" s="470"/>
      <c r="BQ26" s="470"/>
      <c r="BR26" s="470"/>
      <c r="BS26" s="470"/>
      <c r="BT26" s="470"/>
      <c r="BU26" s="544">
        <f t="shared" si="20"/>
        <v>0</v>
      </c>
      <c r="BV26" s="1638"/>
      <c r="BW26" s="663">
        <f t="shared" si="7"/>
        <v>3</v>
      </c>
      <c r="BX26" s="1047">
        <f t="shared" si="21"/>
        <v>0.75</v>
      </c>
      <c r="BY26" s="1047">
        <f t="shared" si="22"/>
        <v>1</v>
      </c>
      <c r="BZ26" s="1047">
        <f t="shared" si="23"/>
        <v>1</v>
      </c>
      <c r="CA26" s="1047">
        <f t="shared" si="24"/>
        <v>1</v>
      </c>
      <c r="CB26" s="1047">
        <f t="shared" si="25"/>
        <v>0</v>
      </c>
      <c r="CD26" t="str">
        <f t="shared" si="26"/>
        <v>VE</v>
      </c>
      <c r="CE26" t="str">
        <f t="shared" si="26"/>
        <v>VE</v>
      </c>
      <c r="CF26" t="str">
        <f t="shared" si="26"/>
        <v>VE</v>
      </c>
      <c r="CG26" t="str">
        <f t="shared" si="26"/>
        <v>ROB</v>
      </c>
    </row>
    <row r="27" spans="1:85" ht="48.75" hidden="1" customHeight="1" x14ac:dyDescent="0.25">
      <c r="A27" s="298" t="s">
        <v>38</v>
      </c>
      <c r="B27" s="299" t="str">
        <f>'PLAN INDICATIVO'!B27</f>
        <v>Educación</v>
      </c>
      <c r="C27" s="1547"/>
      <c r="D27" s="1549"/>
      <c r="E27" s="1549"/>
      <c r="F27" s="1549"/>
      <c r="G27" s="1549"/>
      <c r="H27" s="1549"/>
      <c r="I27" s="300">
        <f>'PLAN INDICATIVO'!I27</f>
        <v>0</v>
      </c>
      <c r="J27" s="300">
        <f>'PLAN INDICATIVO'!J27</f>
        <v>0</v>
      </c>
      <c r="K27" s="1425" t="str">
        <f>'PLAN INDICATIVO'!K27</f>
        <v>A.1.2.4</v>
      </c>
      <c r="L27" s="1425" t="str">
        <f>'PLAN INDICATIVO'!L27</f>
        <v>4. Educación de calidad</v>
      </c>
      <c r="M27" s="1425" t="str">
        <f>'PLAN INDICATIVO'!M27</f>
        <v>Secretaría de Educación, Cultura, deporte y Turismo</v>
      </c>
      <c r="N27" s="1425" t="str">
        <f>'PLAN INDICATIVO'!N27</f>
        <v>YIMI FERNANDO LOSADA PAYA</v>
      </c>
      <c r="O27" s="1425" t="str">
        <f>'PLAN INDICATIVO'!O27</f>
        <v>Mantenimiento</v>
      </c>
      <c r="P27" s="16" t="str">
        <f>'PLAN INDICATIVO'!P27</f>
        <v>Implementar cada año 1 estrategia para mejorar los resultados en las pruebas SABER en el municipio</v>
      </c>
      <c r="Q27" s="302" t="str">
        <f>'PLAN INDICATIVO'!Q27</f>
        <v>No. de estrategias implementadas cada año</v>
      </c>
      <c r="R27" s="303">
        <f>'PLAN INDICATIVO'!R27</f>
        <v>2015</v>
      </c>
      <c r="S27" s="304">
        <v>0</v>
      </c>
      <c r="T27" s="677">
        <v>4</v>
      </c>
      <c r="U27" s="303">
        <v>1</v>
      </c>
      <c r="V27" s="687">
        <v>70</v>
      </c>
      <c r="W27" s="572">
        <v>1</v>
      </c>
      <c r="X27" s="687">
        <v>70000000</v>
      </c>
      <c r="Y27" s="572">
        <v>1</v>
      </c>
      <c r="Z27" s="687">
        <v>70000000</v>
      </c>
      <c r="AA27" s="1310">
        <v>1</v>
      </c>
      <c r="AB27" s="687">
        <v>79000000</v>
      </c>
      <c r="AC27" s="665">
        <v>1</v>
      </c>
      <c r="AD27" s="665">
        <v>1</v>
      </c>
      <c r="AE27" s="665">
        <v>1</v>
      </c>
      <c r="AF27" s="665"/>
      <c r="AG27" s="664" t="s">
        <v>3986</v>
      </c>
      <c r="AH27" s="985">
        <v>2018413960009</v>
      </c>
      <c r="AI27" s="307" t="s">
        <v>3991</v>
      </c>
      <c r="AJ27" s="309">
        <v>42826</v>
      </c>
      <c r="AK27" s="309">
        <v>42946</v>
      </c>
      <c r="AL27" s="308"/>
      <c r="AM27" s="308"/>
      <c r="AN27" s="267" t="s">
        <v>2598</v>
      </c>
      <c r="AO27" s="507" t="s">
        <v>3992</v>
      </c>
      <c r="AP27" s="525"/>
      <c r="AQ27" s="310"/>
      <c r="AR27" s="310"/>
      <c r="AS27" s="310"/>
      <c r="AT27" s="310"/>
      <c r="AU27" s="310"/>
      <c r="AV27" s="310"/>
      <c r="AW27" s="544"/>
      <c r="AX27" s="544">
        <v>0</v>
      </c>
      <c r="AY27" s="310"/>
      <c r="AZ27" s="310"/>
      <c r="BA27" s="310"/>
      <c r="BB27" s="310"/>
      <c r="BC27" s="310"/>
      <c r="BD27" s="310"/>
      <c r="BE27" s="544">
        <f t="shared" si="18"/>
        <v>0</v>
      </c>
      <c r="BF27" s="525"/>
      <c r="BG27" s="310">
        <v>45000000</v>
      </c>
      <c r="BH27" s="310"/>
      <c r="BI27" s="310"/>
      <c r="BJ27" s="310"/>
      <c r="BK27" s="310"/>
      <c r="BL27" s="310"/>
      <c r="BM27" s="544">
        <f t="shared" si="19"/>
        <v>45000000</v>
      </c>
      <c r="BN27" s="525"/>
      <c r="BO27" s="310"/>
      <c r="BP27" s="310"/>
      <c r="BQ27" s="310"/>
      <c r="BR27" s="310"/>
      <c r="BS27" s="310"/>
      <c r="BT27" s="310"/>
      <c r="BU27" s="544">
        <f t="shared" si="20"/>
        <v>0</v>
      </c>
      <c r="BV27" s="1638"/>
      <c r="BW27" s="663">
        <f t="shared" si="7"/>
        <v>3</v>
      </c>
      <c r="BX27" s="1047">
        <f t="shared" si="21"/>
        <v>0.75</v>
      </c>
      <c r="BY27" s="1047">
        <f t="shared" si="22"/>
        <v>1</v>
      </c>
      <c r="BZ27" s="1047">
        <f t="shared" si="23"/>
        <v>1</v>
      </c>
      <c r="CA27" s="1047">
        <f t="shared" si="24"/>
        <v>1</v>
      </c>
      <c r="CB27" s="1047">
        <f t="shared" si="25"/>
        <v>0</v>
      </c>
      <c r="CD27" t="str">
        <f t="shared" si="26"/>
        <v>VE</v>
      </c>
      <c r="CE27" t="str">
        <f t="shared" si="26"/>
        <v>VE</v>
      </c>
      <c r="CF27" t="str">
        <f t="shared" si="26"/>
        <v>VE</v>
      </c>
      <c r="CG27" t="str">
        <f t="shared" si="26"/>
        <v>ROB</v>
      </c>
    </row>
    <row r="28" spans="1:85" ht="90" hidden="1" customHeight="1" x14ac:dyDescent="0.25">
      <c r="A28" s="298" t="s">
        <v>2464</v>
      </c>
      <c r="B28" s="299" t="str">
        <f>'PLAN INDICATIVO'!B28</f>
        <v>Educación</v>
      </c>
      <c r="C28" s="1547"/>
      <c r="D28" s="1549"/>
      <c r="E28" s="1549"/>
      <c r="F28" s="1549"/>
      <c r="G28" s="1549"/>
      <c r="H28" s="1549"/>
      <c r="I28" s="300">
        <f>'PLAN INDICATIVO'!I28</f>
        <v>0</v>
      </c>
      <c r="J28" s="300">
        <f>'PLAN INDICATIVO'!J28</f>
        <v>0</v>
      </c>
      <c r="K28" s="1425" t="str">
        <f>'PLAN INDICATIVO'!K28</f>
        <v>A.1.2.5</v>
      </c>
      <c r="L28" s="1425" t="str">
        <f>'PLAN INDICATIVO'!L28</f>
        <v>4. Educación de calidad</v>
      </c>
      <c r="M28" s="1425" t="str">
        <f>'PLAN INDICATIVO'!M28</f>
        <v>Secretaría de Educación, Cultura, deporte y Turismo</v>
      </c>
      <c r="N28" s="1425" t="str">
        <f>'PLAN INDICATIVO'!N28</f>
        <v>YIMI FERNANDO LOSADA PAYA</v>
      </c>
      <c r="O28" s="1425" t="str">
        <f>'PLAN INDICATIVO'!O28</f>
        <v>Mantenimiento</v>
      </c>
      <c r="P28" s="1199" t="str">
        <f>'PLAN INDICATIVO'!P28</f>
        <v>Implementar 1 Programa de apoyo a la educación superior, para estudiantes con excelentes promedios académicos durante el cuatrienio.</v>
      </c>
      <c r="Q28" s="302" t="str">
        <f>'PLAN INDICATIVO'!Q28</f>
        <v>No. De programas de apoyo implementados cada año</v>
      </c>
      <c r="R28" s="303">
        <f>'PLAN INDICATIVO'!R28</f>
        <v>2015</v>
      </c>
      <c r="S28" s="304">
        <v>1</v>
      </c>
      <c r="T28" s="677">
        <v>1</v>
      </c>
      <c r="U28" s="303"/>
      <c r="V28" s="687"/>
      <c r="W28" s="823"/>
      <c r="X28" s="687"/>
      <c r="Y28" s="964"/>
      <c r="Z28" s="687">
        <v>500000</v>
      </c>
      <c r="AA28" s="1310">
        <v>1</v>
      </c>
      <c r="AB28" s="687">
        <v>1000000</v>
      </c>
      <c r="AC28" s="665">
        <v>0</v>
      </c>
      <c r="AD28" s="665"/>
      <c r="AE28" s="665">
        <v>1</v>
      </c>
      <c r="AF28" s="665"/>
      <c r="AG28" s="664" t="s">
        <v>3986</v>
      </c>
      <c r="AH28" s="985">
        <v>2018413960009</v>
      </c>
      <c r="AI28" s="307" t="s">
        <v>3993</v>
      </c>
      <c r="AJ28" s="309">
        <v>43132</v>
      </c>
      <c r="AK28" s="309">
        <v>43281</v>
      </c>
      <c r="AL28" s="308"/>
      <c r="AM28" s="308"/>
      <c r="AN28" s="267" t="s">
        <v>2594</v>
      </c>
      <c r="AO28" s="507" t="s">
        <v>2635</v>
      </c>
      <c r="AP28" s="525"/>
      <c r="AQ28" s="310"/>
      <c r="AR28" s="310"/>
      <c r="AS28" s="310"/>
      <c r="AT28" s="310"/>
      <c r="AU28" s="310"/>
      <c r="AV28" s="310"/>
      <c r="AW28" s="544"/>
      <c r="AX28" s="544">
        <v>0</v>
      </c>
      <c r="AY28" s="310"/>
      <c r="AZ28" s="310"/>
      <c r="BA28" s="310"/>
      <c r="BB28" s="310"/>
      <c r="BC28" s="310"/>
      <c r="BD28" s="310"/>
      <c r="BE28" s="544">
        <f t="shared" si="18"/>
        <v>0</v>
      </c>
      <c r="BF28" s="525"/>
      <c r="BG28" s="310"/>
      <c r="BH28" s="310"/>
      <c r="BI28" s="310"/>
      <c r="BJ28" s="310"/>
      <c r="BK28" s="310"/>
      <c r="BL28" s="310"/>
      <c r="BM28" s="544">
        <f t="shared" si="19"/>
        <v>0</v>
      </c>
      <c r="BN28" s="525"/>
      <c r="BO28" s="310"/>
      <c r="BP28" s="310"/>
      <c r="BQ28" s="310"/>
      <c r="BR28" s="310"/>
      <c r="BS28" s="310"/>
      <c r="BT28" s="310"/>
      <c r="BU28" s="544">
        <f t="shared" si="20"/>
        <v>0</v>
      </c>
      <c r="BV28" s="1638"/>
      <c r="BW28" s="663">
        <f t="shared" si="7"/>
        <v>1</v>
      </c>
      <c r="BX28" s="1047">
        <f t="shared" si="21"/>
        <v>1</v>
      </c>
      <c r="BY28" s="1047" t="str">
        <f t="shared" si="22"/>
        <v>No Programada</v>
      </c>
      <c r="BZ28" s="1047" t="str">
        <f t="shared" si="23"/>
        <v>No Programada</v>
      </c>
      <c r="CA28" s="1047">
        <v>1</v>
      </c>
      <c r="CB28" s="1047">
        <f t="shared" si="25"/>
        <v>0</v>
      </c>
      <c r="CD28" t="str">
        <f t="shared" si="26"/>
        <v>NP</v>
      </c>
      <c r="CE28" t="str">
        <f t="shared" si="26"/>
        <v>NP</v>
      </c>
      <c r="CF28" t="str">
        <f t="shared" si="26"/>
        <v>VE</v>
      </c>
      <c r="CG28" t="str">
        <f t="shared" si="26"/>
        <v>ROB</v>
      </c>
    </row>
    <row r="29" spans="1:85" ht="69.75" hidden="1" customHeight="1" x14ac:dyDescent="0.25">
      <c r="A29" s="298" t="s">
        <v>38</v>
      </c>
      <c r="B29" s="299" t="str">
        <f>'PLAN INDICATIVO'!B29</f>
        <v>Educación</v>
      </c>
      <c r="C29" s="1547"/>
      <c r="D29" s="1549"/>
      <c r="E29" s="1549"/>
      <c r="F29" s="1549"/>
      <c r="G29" s="1549"/>
      <c r="H29" s="1549"/>
      <c r="I29" s="300">
        <f>'PLAN INDICATIVO'!I29</f>
        <v>0</v>
      </c>
      <c r="J29" s="300">
        <f>'PLAN INDICATIVO'!J29</f>
        <v>0</v>
      </c>
      <c r="K29" s="1425" t="str">
        <f>'PLAN INDICATIVO'!K29</f>
        <v>A.1.2.6</v>
      </c>
      <c r="L29" s="1425" t="str">
        <f>'PLAN INDICATIVO'!L29</f>
        <v>4. Educación de calidad</v>
      </c>
      <c r="M29" s="1425" t="str">
        <f>'PLAN INDICATIVO'!M29</f>
        <v>Secretaría de Educación, Cultura, deporte y Turismo</v>
      </c>
      <c r="N29" s="1425" t="str">
        <f>'PLAN INDICATIVO'!N29</f>
        <v>YIMI FERNANDO LOSADA PAYA</v>
      </c>
      <c r="O29" s="1425" t="str">
        <f>'PLAN INDICATIVO'!O29</f>
        <v>Incremento</v>
      </c>
      <c r="P29" s="16" t="str">
        <f>'PLAN INDICATIVO'!P29</f>
        <v>Realizar 4 foros educativos durante el cuatrienio</v>
      </c>
      <c r="Q29" s="302" t="str">
        <f>'PLAN INDICATIVO'!Q29</f>
        <v>No. de foros realizados durante el cuatrienio</v>
      </c>
      <c r="R29" s="303">
        <f>'PLAN INDICATIVO'!R29</f>
        <v>2015</v>
      </c>
      <c r="S29" s="304">
        <v>1</v>
      </c>
      <c r="T29" s="677">
        <v>4</v>
      </c>
      <c r="U29" s="303">
        <v>1</v>
      </c>
      <c r="V29" s="687">
        <v>5</v>
      </c>
      <c r="W29" s="572">
        <v>1</v>
      </c>
      <c r="X29" s="687">
        <v>5000000</v>
      </c>
      <c r="Y29" s="572">
        <v>1</v>
      </c>
      <c r="Z29" s="687">
        <v>4500000</v>
      </c>
      <c r="AA29" s="1310">
        <v>1</v>
      </c>
      <c r="AB29" s="687">
        <v>3000000</v>
      </c>
      <c r="AC29" s="665">
        <v>1</v>
      </c>
      <c r="AD29" s="665">
        <v>1</v>
      </c>
      <c r="AE29" s="665">
        <v>1</v>
      </c>
      <c r="AF29" s="665"/>
      <c r="AG29" s="664" t="s">
        <v>3986</v>
      </c>
      <c r="AH29" s="985">
        <v>2018413960009</v>
      </c>
      <c r="AI29" s="307" t="s">
        <v>3994</v>
      </c>
      <c r="AJ29" s="309">
        <v>43313</v>
      </c>
      <c r="AK29" s="309">
        <v>43404</v>
      </c>
      <c r="AL29" s="308"/>
      <c r="AM29" s="308"/>
      <c r="AN29" s="267" t="s">
        <v>2598</v>
      </c>
      <c r="AO29" s="507">
        <v>2301</v>
      </c>
      <c r="AP29" s="525"/>
      <c r="AQ29" s="310"/>
      <c r="AR29" s="310"/>
      <c r="AS29" s="310"/>
      <c r="AT29" s="310"/>
      <c r="AU29" s="310"/>
      <c r="AV29" s="310"/>
      <c r="AW29" s="544"/>
      <c r="AX29" s="544">
        <v>0</v>
      </c>
      <c r="AY29" s="310"/>
      <c r="AZ29" s="310"/>
      <c r="BA29" s="310"/>
      <c r="BB29" s="310"/>
      <c r="BC29" s="310"/>
      <c r="BD29" s="310"/>
      <c r="BE29" s="544">
        <f t="shared" si="18"/>
        <v>0</v>
      </c>
      <c r="BF29" s="525"/>
      <c r="BG29" s="310">
        <v>24000000</v>
      </c>
      <c r="BH29" s="310"/>
      <c r="BI29" s="310"/>
      <c r="BJ29" s="310"/>
      <c r="BK29" s="310"/>
      <c r="BL29" s="310"/>
      <c r="BM29" s="544">
        <f t="shared" si="19"/>
        <v>24000000</v>
      </c>
      <c r="BN29" s="525"/>
      <c r="BO29" s="310"/>
      <c r="BP29" s="310"/>
      <c r="BQ29" s="310"/>
      <c r="BR29" s="310"/>
      <c r="BS29" s="310"/>
      <c r="BT29" s="310"/>
      <c r="BU29" s="544">
        <f t="shared" si="20"/>
        <v>0</v>
      </c>
      <c r="BV29" s="1638"/>
      <c r="BW29" s="663">
        <f t="shared" si="7"/>
        <v>3</v>
      </c>
      <c r="BX29" s="1047">
        <f t="shared" si="21"/>
        <v>0.75</v>
      </c>
      <c r="BY29" s="1047">
        <f t="shared" si="22"/>
        <v>1</v>
      </c>
      <c r="BZ29" s="1047">
        <f t="shared" si="23"/>
        <v>1</v>
      </c>
      <c r="CA29" s="1047">
        <f t="shared" si="24"/>
        <v>1</v>
      </c>
      <c r="CB29" s="1047">
        <f t="shared" si="25"/>
        <v>0</v>
      </c>
      <c r="CD29" t="str">
        <f t="shared" si="26"/>
        <v>VE</v>
      </c>
      <c r="CE29" t="str">
        <f t="shared" si="26"/>
        <v>VE</v>
      </c>
      <c r="CF29" t="str">
        <f t="shared" si="26"/>
        <v>VE</v>
      </c>
      <c r="CG29" t="str">
        <f t="shared" si="26"/>
        <v>ROB</v>
      </c>
    </row>
    <row r="30" spans="1:85" ht="105" hidden="1" customHeight="1" x14ac:dyDescent="0.25">
      <c r="A30" s="298" t="s">
        <v>38</v>
      </c>
      <c r="B30" s="299" t="str">
        <f>'PLAN INDICATIVO'!B30</f>
        <v>Educación</v>
      </c>
      <c r="C30" s="1547"/>
      <c r="D30" s="1549"/>
      <c r="E30" s="1549"/>
      <c r="F30" s="1549"/>
      <c r="G30" s="1549"/>
      <c r="H30" s="1549"/>
      <c r="I30" s="300">
        <f>'PLAN INDICATIVO'!I30</f>
        <v>0</v>
      </c>
      <c r="J30" s="300">
        <f>'PLAN INDICATIVO'!J30</f>
        <v>0</v>
      </c>
      <c r="K30" s="1425" t="str">
        <f>'PLAN INDICATIVO'!K30</f>
        <v>A.1.2.7</v>
      </c>
      <c r="L30" s="1425" t="str">
        <f>'PLAN INDICATIVO'!L30</f>
        <v>4. Educación de calidad</v>
      </c>
      <c r="M30" s="1425" t="str">
        <f>'PLAN INDICATIVO'!M30</f>
        <v>Secretaría de Educación, Cultura, deporte y Turismo</v>
      </c>
      <c r="N30" s="1425" t="str">
        <f>'PLAN INDICATIVO'!N30</f>
        <v>YIMI FERNANDO LOSADA PAYA</v>
      </c>
      <c r="O30" s="1425" t="str">
        <f>'PLAN INDICATIVO'!O30</f>
        <v>Mantenimiento</v>
      </c>
      <c r="P30" s="16" t="str">
        <f>'PLAN INDICATIVO'!P30</f>
        <v>Lograr 1 alianza estratégica anual con diferentes instituciones del orden departamental, nacional o internacional que permitan fortalecer la formación educativa en el municipio durante el cuatrienio</v>
      </c>
      <c r="Q30" s="302" t="str">
        <f>'PLAN INDICATIVO'!Q30</f>
        <v>No. de alianzas estratégicas establecidas por año</v>
      </c>
      <c r="R30" s="303">
        <f>'PLAN INDICATIVO'!R30</f>
        <v>2015</v>
      </c>
      <c r="S30" s="304">
        <v>0</v>
      </c>
      <c r="T30" s="677">
        <v>1</v>
      </c>
      <c r="U30" s="303"/>
      <c r="V30" s="687">
        <v>2</v>
      </c>
      <c r="W30" s="572">
        <v>0.33</v>
      </c>
      <c r="X30" s="687">
        <v>1000000</v>
      </c>
      <c r="Y30" s="572">
        <v>0.34</v>
      </c>
      <c r="Z30" s="687">
        <v>500000</v>
      </c>
      <c r="AA30" s="1310">
        <v>0.33</v>
      </c>
      <c r="AB30" s="687">
        <v>500000</v>
      </c>
      <c r="AC30" s="665">
        <v>0</v>
      </c>
      <c r="AD30" s="665">
        <v>0.3</v>
      </c>
      <c r="AE30" s="665">
        <v>0.34</v>
      </c>
      <c r="AF30" s="665"/>
      <c r="AG30" s="664" t="s">
        <v>3986</v>
      </c>
      <c r="AH30" s="985">
        <v>2018413960009</v>
      </c>
      <c r="AI30" s="307" t="s">
        <v>3995</v>
      </c>
      <c r="AJ30" s="309">
        <v>43132</v>
      </c>
      <c r="AK30" s="309">
        <v>43434</v>
      </c>
      <c r="AL30" s="308"/>
      <c r="AM30" s="308"/>
      <c r="AN30" s="267" t="s">
        <v>2598</v>
      </c>
      <c r="AO30" s="507" t="s">
        <v>3996</v>
      </c>
      <c r="AP30" s="525"/>
      <c r="AQ30" s="310"/>
      <c r="AR30" s="310"/>
      <c r="AS30" s="310"/>
      <c r="AT30" s="310"/>
      <c r="AU30" s="310"/>
      <c r="AV30" s="310"/>
      <c r="AW30" s="544"/>
      <c r="AX30" s="544">
        <v>0</v>
      </c>
      <c r="AY30" s="310"/>
      <c r="AZ30" s="310"/>
      <c r="BA30" s="310"/>
      <c r="BB30" s="310"/>
      <c r="BC30" s="310"/>
      <c r="BD30" s="310"/>
      <c r="BE30" s="544">
        <f t="shared" si="18"/>
        <v>0</v>
      </c>
      <c r="BF30" s="525"/>
      <c r="BG30" s="310"/>
      <c r="BH30" s="310"/>
      <c r="BI30" s="310"/>
      <c r="BJ30" s="310"/>
      <c r="BK30" s="310"/>
      <c r="BL30" s="310"/>
      <c r="BM30" s="544">
        <f t="shared" si="19"/>
        <v>0</v>
      </c>
      <c r="BN30" s="525"/>
      <c r="BO30" s="310"/>
      <c r="BP30" s="310"/>
      <c r="BQ30" s="310"/>
      <c r="BR30" s="310"/>
      <c r="BS30" s="310"/>
      <c r="BT30" s="310"/>
      <c r="BU30" s="544">
        <f t="shared" si="20"/>
        <v>0</v>
      </c>
      <c r="BV30" s="1638"/>
      <c r="BW30" s="663">
        <f t="shared" si="7"/>
        <v>0.64</v>
      </c>
      <c r="BX30" s="1047">
        <f t="shared" si="21"/>
        <v>0.64</v>
      </c>
      <c r="BY30" s="1047" t="str">
        <f t="shared" si="22"/>
        <v>No Programada</v>
      </c>
      <c r="BZ30" s="1047">
        <f t="shared" si="23"/>
        <v>0.90909090909090906</v>
      </c>
      <c r="CA30" s="1047">
        <f t="shared" si="24"/>
        <v>1</v>
      </c>
      <c r="CB30" s="1047">
        <f t="shared" si="25"/>
        <v>0</v>
      </c>
      <c r="CC30" s="1247"/>
      <c r="CD30" t="str">
        <f t="shared" si="26"/>
        <v>NP</v>
      </c>
      <c r="CE30" t="str">
        <f t="shared" si="26"/>
        <v>VE</v>
      </c>
      <c r="CF30" t="str">
        <f t="shared" si="26"/>
        <v>VE</v>
      </c>
      <c r="CG30" t="str">
        <f t="shared" si="26"/>
        <v>ROB</v>
      </c>
    </row>
    <row r="31" spans="1:85" ht="64.5" hidden="1" customHeight="1" x14ac:dyDescent="0.25">
      <c r="A31" s="298" t="s">
        <v>38</v>
      </c>
      <c r="B31" s="299" t="str">
        <f>'PLAN INDICATIVO'!B31</f>
        <v>Educación</v>
      </c>
      <c r="C31" s="1547"/>
      <c r="D31" s="1549"/>
      <c r="E31" s="1549"/>
      <c r="F31" s="1549"/>
      <c r="G31" s="1549"/>
      <c r="H31" s="1549"/>
      <c r="I31" s="300">
        <f>'PLAN INDICATIVO'!I31</f>
        <v>0</v>
      </c>
      <c r="J31" s="300">
        <f>'PLAN INDICATIVO'!J31</f>
        <v>0</v>
      </c>
      <c r="K31" s="1425" t="str">
        <f>'PLAN INDICATIVO'!K31</f>
        <v>A.1.2.8</v>
      </c>
      <c r="L31" s="1425" t="str">
        <f>'PLAN INDICATIVO'!L31</f>
        <v>4. Educación de calidad</v>
      </c>
      <c r="M31" s="1425" t="str">
        <f>'PLAN INDICATIVO'!M31</f>
        <v>Secretaría de Educación, Cultura, deporte y Turismo</v>
      </c>
      <c r="N31" s="1425" t="str">
        <f>'PLAN INDICATIVO'!N31</f>
        <v>YIMI FERNANDO LOSADA PAYA</v>
      </c>
      <c r="O31" s="1425" t="str">
        <f>'PLAN INDICATIVO'!O31</f>
        <v>Incremento</v>
      </c>
      <c r="P31" s="25" t="str">
        <f>'PLAN INDICATIVO'!P31</f>
        <v>Promover la creación de 1 dependencia Municipal de Educación durante el cuatrienio.</v>
      </c>
      <c r="Q31" s="302" t="str">
        <f>'PLAN INDICATIVO'!Q31</f>
        <v>No. de dependencias con promoción para su creación, durante el cuatrienio</v>
      </c>
      <c r="R31" s="303">
        <f>'PLAN INDICATIVO'!R31</f>
        <v>2015</v>
      </c>
      <c r="S31" s="304">
        <v>0</v>
      </c>
      <c r="T31" s="677">
        <v>1</v>
      </c>
      <c r="U31" s="303"/>
      <c r="V31" s="687"/>
      <c r="W31" s="823"/>
      <c r="X31" s="687">
        <v>1000000</v>
      </c>
      <c r="Y31" s="572">
        <v>0.5</v>
      </c>
      <c r="Z31" s="687">
        <v>500000</v>
      </c>
      <c r="AA31" s="1310">
        <v>0.1</v>
      </c>
      <c r="AB31" s="687">
        <v>500000</v>
      </c>
      <c r="AC31" s="665">
        <v>0</v>
      </c>
      <c r="AD31" s="665">
        <v>0.5</v>
      </c>
      <c r="AE31" s="665">
        <v>0.4</v>
      </c>
      <c r="AF31" s="665"/>
      <c r="AG31" s="664" t="s">
        <v>3986</v>
      </c>
      <c r="AH31" s="985">
        <v>2018413960009</v>
      </c>
      <c r="AI31" s="307" t="s">
        <v>3997</v>
      </c>
      <c r="AJ31" s="309">
        <v>43133</v>
      </c>
      <c r="AK31" s="309">
        <v>43465</v>
      </c>
      <c r="AL31" s="308"/>
      <c r="AM31" s="308"/>
      <c r="AN31" s="267" t="s">
        <v>2604</v>
      </c>
      <c r="AO31" s="507">
        <v>2301</v>
      </c>
      <c r="AP31" s="525"/>
      <c r="AQ31" s="310"/>
      <c r="AR31" s="310"/>
      <c r="AS31" s="310"/>
      <c r="AT31" s="310"/>
      <c r="AU31" s="310"/>
      <c r="AV31" s="310"/>
      <c r="AW31" s="544"/>
      <c r="AX31" s="544">
        <v>0</v>
      </c>
      <c r="AY31" s="310"/>
      <c r="AZ31" s="310"/>
      <c r="BA31" s="310"/>
      <c r="BB31" s="310"/>
      <c r="BC31" s="310"/>
      <c r="BD31" s="310"/>
      <c r="BE31" s="544">
        <f t="shared" si="18"/>
        <v>0</v>
      </c>
      <c r="BF31" s="525"/>
      <c r="BG31" s="310"/>
      <c r="BH31" s="310"/>
      <c r="BI31" s="310"/>
      <c r="BJ31" s="310"/>
      <c r="BK31" s="310"/>
      <c r="BL31" s="310"/>
      <c r="BM31" s="544">
        <f t="shared" si="19"/>
        <v>0</v>
      </c>
      <c r="BN31" s="525"/>
      <c r="BO31" s="310"/>
      <c r="BP31" s="310"/>
      <c r="BQ31" s="310"/>
      <c r="BR31" s="310"/>
      <c r="BS31" s="310"/>
      <c r="BT31" s="310"/>
      <c r="BU31" s="544">
        <f t="shared" si="20"/>
        <v>0</v>
      </c>
      <c r="BV31" s="1638"/>
      <c r="BW31" s="663">
        <f t="shared" si="7"/>
        <v>0.9</v>
      </c>
      <c r="BX31" s="1047">
        <f t="shared" si="21"/>
        <v>0.9</v>
      </c>
      <c r="BY31" s="1047" t="str">
        <f t="shared" si="22"/>
        <v>No Programada</v>
      </c>
      <c r="BZ31" s="1047" t="str">
        <f t="shared" si="23"/>
        <v>No Programada</v>
      </c>
      <c r="CA31" s="1047">
        <f t="shared" si="24"/>
        <v>0.8</v>
      </c>
      <c r="CB31" s="1047">
        <f t="shared" si="25"/>
        <v>0</v>
      </c>
      <c r="CC31" s="1247"/>
      <c r="CD31" t="str">
        <f t="shared" si="26"/>
        <v>NP</v>
      </c>
      <c r="CE31" t="str">
        <f t="shared" si="26"/>
        <v>NP</v>
      </c>
      <c r="CF31" t="str">
        <f t="shared" si="26"/>
        <v>VEB</v>
      </c>
      <c r="CG31" t="str">
        <f t="shared" si="26"/>
        <v>ROB</v>
      </c>
    </row>
    <row r="32" spans="1:85" ht="65.25" hidden="1" customHeight="1" x14ac:dyDescent="0.25">
      <c r="A32" s="298" t="s">
        <v>38</v>
      </c>
      <c r="B32" s="299" t="str">
        <f>'PLAN INDICATIVO'!B32</f>
        <v>Educación</v>
      </c>
      <c r="C32" s="1547"/>
      <c r="D32" s="1549"/>
      <c r="E32" s="1549"/>
      <c r="F32" s="1549"/>
      <c r="G32" s="1549"/>
      <c r="H32" s="1549"/>
      <c r="I32" s="300">
        <f>'PLAN INDICATIVO'!I32</f>
        <v>0</v>
      </c>
      <c r="J32" s="300">
        <f>'PLAN INDICATIVO'!J32</f>
        <v>0</v>
      </c>
      <c r="K32" s="1425" t="str">
        <f>'PLAN INDICATIVO'!K32</f>
        <v>A.1.2.9</v>
      </c>
      <c r="L32" s="1425" t="str">
        <f>'PLAN INDICATIVO'!L32</f>
        <v>4. Educación de calidad</v>
      </c>
      <c r="M32" s="1425" t="str">
        <f>'PLAN INDICATIVO'!M32</f>
        <v>Secretaría de Educación, Cultura, deporte y Turismo</v>
      </c>
      <c r="N32" s="1425" t="str">
        <f>'PLAN INDICATIVO'!N32</f>
        <v>YIMI FERNANDO LOSADA PAYA</v>
      </c>
      <c r="O32" s="1425" t="str">
        <f>'PLAN INDICATIVO'!O32</f>
        <v>Mantenimiento</v>
      </c>
      <c r="P32" s="16" t="str">
        <f>'PLAN INDICATIVO'!P32</f>
        <v>Mantener 6 instituciones educativas articuladas con  la media técnica con el SENA cada año</v>
      </c>
      <c r="Q32" s="302" t="str">
        <f>'PLAN INDICATIVO'!Q32</f>
        <v>No. de instituciones articuladas con media técnica con el SENA cada año</v>
      </c>
      <c r="R32" s="303">
        <f>'PLAN INDICATIVO'!R32</f>
        <v>2015</v>
      </c>
      <c r="S32" s="304">
        <v>0</v>
      </c>
      <c r="T32" s="677">
        <v>6</v>
      </c>
      <c r="U32" s="303">
        <v>6</v>
      </c>
      <c r="V32" s="687">
        <v>5</v>
      </c>
      <c r="W32" s="572">
        <v>6</v>
      </c>
      <c r="X32" s="687">
        <v>12000000</v>
      </c>
      <c r="Y32" s="572">
        <v>6</v>
      </c>
      <c r="Z32" s="687">
        <v>5000000</v>
      </c>
      <c r="AA32" s="1310">
        <v>6</v>
      </c>
      <c r="AB32" s="687">
        <v>10000000</v>
      </c>
      <c r="AC32" s="665">
        <v>3</v>
      </c>
      <c r="AD32" s="665">
        <v>6</v>
      </c>
      <c r="AE32" s="665">
        <v>6</v>
      </c>
      <c r="AF32" s="665"/>
      <c r="AG32" s="664" t="s">
        <v>3986</v>
      </c>
      <c r="AH32" s="985">
        <v>2018413960009</v>
      </c>
      <c r="AI32" s="307" t="s">
        <v>3998</v>
      </c>
      <c r="AJ32" s="309">
        <v>43160</v>
      </c>
      <c r="AK32" s="309">
        <v>43465</v>
      </c>
      <c r="AL32" s="308"/>
      <c r="AM32" s="308"/>
      <c r="AN32" s="267" t="s">
        <v>2598</v>
      </c>
      <c r="AO32" s="507" t="s">
        <v>2635</v>
      </c>
      <c r="AP32" s="525"/>
      <c r="AQ32" s="310"/>
      <c r="AR32" s="310"/>
      <c r="AS32" s="310"/>
      <c r="AT32" s="310"/>
      <c r="AU32" s="310"/>
      <c r="AV32" s="310"/>
      <c r="AW32" s="544"/>
      <c r="AX32" s="544">
        <v>0</v>
      </c>
      <c r="AY32" s="310"/>
      <c r="AZ32" s="310"/>
      <c r="BA32" s="310"/>
      <c r="BB32" s="310"/>
      <c r="BC32" s="310"/>
      <c r="BD32" s="310"/>
      <c r="BE32" s="544">
        <f t="shared" si="18"/>
        <v>0</v>
      </c>
      <c r="BF32" s="525"/>
      <c r="BG32" s="310"/>
      <c r="BH32" s="310"/>
      <c r="BI32" s="310"/>
      <c r="BJ32" s="310"/>
      <c r="BK32" s="310"/>
      <c r="BL32" s="310"/>
      <c r="BM32" s="544">
        <f t="shared" si="19"/>
        <v>0</v>
      </c>
      <c r="BN32" s="525"/>
      <c r="BO32" s="310"/>
      <c r="BP32" s="310"/>
      <c r="BQ32" s="310"/>
      <c r="BR32" s="310"/>
      <c r="BS32" s="310"/>
      <c r="BT32" s="310"/>
      <c r="BU32" s="544">
        <f t="shared" si="20"/>
        <v>0</v>
      </c>
      <c r="BV32" s="1638"/>
      <c r="BW32" s="663">
        <f t="shared" si="7"/>
        <v>15</v>
      </c>
      <c r="BX32" s="1047">
        <f t="shared" si="21"/>
        <v>2.5</v>
      </c>
      <c r="BY32" s="1047">
        <f t="shared" si="22"/>
        <v>0.5</v>
      </c>
      <c r="BZ32" s="1047">
        <f t="shared" si="23"/>
        <v>1</v>
      </c>
      <c r="CA32" s="1047">
        <f t="shared" si="24"/>
        <v>1</v>
      </c>
      <c r="CB32" s="1047">
        <f t="shared" si="25"/>
        <v>0</v>
      </c>
      <c r="CC32" s="1247"/>
      <c r="CD32" t="str">
        <f t="shared" si="26"/>
        <v>AMB</v>
      </c>
      <c r="CE32" t="str">
        <f t="shared" si="26"/>
        <v>VE</v>
      </c>
      <c r="CF32" t="str">
        <f t="shared" si="26"/>
        <v>VE</v>
      </c>
      <c r="CG32" t="str">
        <f t="shared" si="26"/>
        <v>ROB</v>
      </c>
    </row>
    <row r="33" spans="1:85" s="3" customFormat="1" ht="6" hidden="1" customHeight="1" x14ac:dyDescent="0.25">
      <c r="A33" s="298" t="s">
        <v>2464</v>
      </c>
      <c r="B33" s="299" t="str">
        <f>'PLAN INDICATIVO'!B33</f>
        <v>Educación</v>
      </c>
      <c r="C33" s="1547"/>
      <c r="D33" s="1549"/>
      <c r="E33" s="1549"/>
      <c r="F33" s="1549"/>
      <c r="G33" s="1549"/>
      <c r="H33" s="1549"/>
      <c r="I33" s="300">
        <f>'PLAN INDICATIVO'!I33</f>
        <v>0</v>
      </c>
      <c r="J33" s="300">
        <f>'PLAN INDICATIVO'!J33</f>
        <v>0</v>
      </c>
      <c r="K33" s="1425" t="str">
        <f>'PLAN INDICATIVO'!K33</f>
        <v>A.1.2.10</v>
      </c>
      <c r="L33" s="1425" t="str">
        <f>'PLAN INDICATIVO'!L33</f>
        <v>4. Educación de calidad</v>
      </c>
      <c r="M33" s="1425" t="str">
        <f>'PLAN INDICATIVO'!M33</f>
        <v>Secretaría de Educación, Cultura, deporte y Turismo</v>
      </c>
      <c r="N33" s="1425" t="str">
        <f>'PLAN INDICATIVO'!N33</f>
        <v>YIMI FERNANDO LOSADA PAYA</v>
      </c>
      <c r="O33" s="1425" t="str">
        <f>'PLAN INDICATIVO'!O33</f>
        <v>Incremento</v>
      </c>
      <c r="P33" s="942" t="str">
        <f>'PLAN INDICATIVO'!P33</f>
        <v>Promever la articulación de 3 nuevas instituciones educativas con el SENA, para la educación media técnica, dirigida a la población estudiantil del sector rural, durante el cuatrienio</v>
      </c>
      <c r="Q33" s="302" t="str">
        <f>'PLAN INDICATIVO'!Q33</f>
        <v>No. de instituciones articuladas con el SENA cada año</v>
      </c>
      <c r="R33" s="303">
        <f>'PLAN INDICATIVO'!R33</f>
        <v>2015</v>
      </c>
      <c r="S33" s="304">
        <v>0</v>
      </c>
      <c r="T33" s="677">
        <v>3</v>
      </c>
      <c r="U33" s="1463"/>
      <c r="V33" s="1234">
        <v>3</v>
      </c>
      <c r="W33" s="715">
        <v>1</v>
      </c>
      <c r="X33" s="1234">
        <v>3000000</v>
      </c>
      <c r="Y33" s="715"/>
      <c r="Z33" s="1234"/>
      <c r="AA33" s="715"/>
      <c r="AB33" s="1234">
        <v>500000</v>
      </c>
      <c r="AC33" s="1305">
        <v>0</v>
      </c>
      <c r="AD33" s="1305"/>
      <c r="AE33" s="1305">
        <v>0</v>
      </c>
      <c r="AF33" s="1305"/>
      <c r="AG33" s="664" t="s">
        <v>3986</v>
      </c>
      <c r="AH33" s="985">
        <v>2018413960009</v>
      </c>
      <c r="AI33" s="307" t="s">
        <v>3999</v>
      </c>
      <c r="AJ33" s="309">
        <v>43282</v>
      </c>
      <c r="AK33" s="310">
        <v>43465</v>
      </c>
      <c r="AL33" s="310"/>
      <c r="AM33" s="310"/>
      <c r="AN33" s="267" t="s">
        <v>2594</v>
      </c>
      <c r="AO33" s="507">
        <v>2301</v>
      </c>
      <c r="AP33" s="525"/>
      <c r="AQ33" s="310"/>
      <c r="AR33" s="310"/>
      <c r="AS33" s="310"/>
      <c r="AT33" s="310"/>
      <c r="AU33" s="310"/>
      <c r="AV33" s="310"/>
      <c r="AW33" s="544"/>
      <c r="AX33" s="544">
        <v>0</v>
      </c>
      <c r="AY33" s="310"/>
      <c r="AZ33" s="310"/>
      <c r="BA33" s="310"/>
      <c r="BB33" s="310"/>
      <c r="BC33" s="310"/>
      <c r="BD33" s="310"/>
      <c r="BE33" s="544">
        <f t="shared" si="18"/>
        <v>0</v>
      </c>
      <c r="BF33" s="525"/>
      <c r="BG33" s="310"/>
      <c r="BH33" s="310"/>
      <c r="BI33" s="310"/>
      <c r="BJ33" s="310"/>
      <c r="BK33" s="310"/>
      <c r="BL33" s="310"/>
      <c r="BM33" s="544">
        <f t="shared" si="19"/>
        <v>0</v>
      </c>
      <c r="BN33" s="525"/>
      <c r="BO33" s="310"/>
      <c r="BP33" s="310"/>
      <c r="BQ33" s="310"/>
      <c r="BR33" s="310"/>
      <c r="BS33" s="310"/>
      <c r="BT33" s="310"/>
      <c r="BU33" s="544">
        <f t="shared" si="20"/>
        <v>0</v>
      </c>
      <c r="BV33" s="1638"/>
      <c r="BW33" s="663">
        <f t="shared" si="7"/>
        <v>0</v>
      </c>
      <c r="BX33" s="1047">
        <f t="shared" si="21"/>
        <v>0</v>
      </c>
      <c r="BY33" s="1047" t="str">
        <f t="shared" si="22"/>
        <v>No Programada</v>
      </c>
      <c r="BZ33" s="1047">
        <f t="shared" si="23"/>
        <v>0</v>
      </c>
      <c r="CA33" s="1047" t="s">
        <v>4000</v>
      </c>
      <c r="CB33" s="1047" t="str">
        <f t="shared" si="25"/>
        <v>No Programada</v>
      </c>
      <c r="CC33" s="1248"/>
      <c r="CD33" t="str">
        <f t="shared" si="26"/>
        <v>NP</v>
      </c>
      <c r="CE33" t="str">
        <f t="shared" si="26"/>
        <v>ROB</v>
      </c>
      <c r="CF33" t="str">
        <f t="shared" si="26"/>
        <v>E</v>
      </c>
      <c r="CG33" t="str">
        <f t="shared" si="26"/>
        <v>NP</v>
      </c>
    </row>
    <row r="34" spans="1:85" ht="105" hidden="1" customHeight="1" x14ac:dyDescent="0.25">
      <c r="A34" s="298" t="s">
        <v>38</v>
      </c>
      <c r="B34" s="299" t="str">
        <f>'PLAN INDICATIVO'!B34</f>
        <v>Educación</v>
      </c>
      <c r="C34" s="1547"/>
      <c r="D34" s="1549"/>
      <c r="E34" s="1549"/>
      <c r="F34" s="1549"/>
      <c r="G34" s="1549"/>
      <c r="H34" s="1549"/>
      <c r="I34" s="300">
        <f>'PLAN INDICATIVO'!I34</f>
        <v>0</v>
      </c>
      <c r="J34" s="300">
        <f>'PLAN INDICATIVO'!J34</f>
        <v>0</v>
      </c>
      <c r="K34" s="1425" t="str">
        <f>'PLAN INDICATIVO'!K34</f>
        <v>A.1.2.11</v>
      </c>
      <c r="L34" s="1425" t="str">
        <f>'PLAN INDICATIVO'!L34</f>
        <v>4. Educación de calidad</v>
      </c>
      <c r="M34" s="1425" t="str">
        <f>'PLAN INDICATIVO'!M34</f>
        <v>Secretaría de Educación, Cultura, deporte y Turismo</v>
      </c>
      <c r="N34" s="1425" t="str">
        <f>'PLAN INDICATIVO'!N34</f>
        <v>YIMI FERNANDO LOSADA PAYA</v>
      </c>
      <c r="O34" s="1425" t="str">
        <f>'PLAN INDICATIVO'!O34</f>
        <v>Incremento</v>
      </c>
      <c r="P34" s="16" t="str">
        <f>'PLAN INDICATIVO'!P34</f>
        <v>Implementar 2 estrategias con la Secretaria de Educación del Departamento, para atender estudiantes con dificultades de aprendizaje durante el cuatrienio</v>
      </c>
      <c r="Q34" s="302" t="str">
        <f>'PLAN INDICATIVO'!Q34</f>
        <v>No. De Estrategia implementadas durante el cuatrienio</v>
      </c>
      <c r="R34" s="303">
        <f>'PLAN INDICATIVO'!R34</f>
        <v>2015</v>
      </c>
      <c r="S34" s="304">
        <v>0</v>
      </c>
      <c r="T34" s="677">
        <v>2</v>
      </c>
      <c r="U34" s="303"/>
      <c r="V34" s="687">
        <v>5</v>
      </c>
      <c r="W34" s="572">
        <v>1</v>
      </c>
      <c r="X34" s="687">
        <v>5000000</v>
      </c>
      <c r="Y34" s="964"/>
      <c r="Z34" s="687">
        <v>500000</v>
      </c>
      <c r="AA34" s="1310"/>
      <c r="AB34" s="687">
        <v>500000</v>
      </c>
      <c r="AC34" s="665">
        <v>0</v>
      </c>
      <c r="AD34" s="665">
        <v>1</v>
      </c>
      <c r="AE34" s="665">
        <v>1</v>
      </c>
      <c r="AF34" s="665"/>
      <c r="AG34" s="664" t="s">
        <v>3986</v>
      </c>
      <c r="AH34" s="985">
        <v>2018413960009</v>
      </c>
      <c r="AI34" s="307" t="s">
        <v>4001</v>
      </c>
      <c r="AJ34" s="309">
        <v>43132</v>
      </c>
      <c r="AK34" s="309">
        <v>42916</v>
      </c>
      <c r="AL34" s="308"/>
      <c r="AM34" s="308"/>
      <c r="AN34" s="267" t="s">
        <v>2594</v>
      </c>
      <c r="AO34" s="507" t="s">
        <v>2635</v>
      </c>
      <c r="AP34" s="525"/>
      <c r="AQ34" s="310"/>
      <c r="AR34" s="310"/>
      <c r="AS34" s="310"/>
      <c r="AT34" s="310"/>
      <c r="AU34" s="310"/>
      <c r="AV34" s="310"/>
      <c r="AW34" s="544"/>
      <c r="AX34" s="544">
        <v>0</v>
      </c>
      <c r="AY34" s="310"/>
      <c r="AZ34" s="310"/>
      <c r="BA34" s="310"/>
      <c r="BB34" s="310"/>
      <c r="BC34" s="310"/>
      <c r="BD34" s="310"/>
      <c r="BE34" s="544">
        <f t="shared" si="18"/>
        <v>0</v>
      </c>
      <c r="BF34" s="525"/>
      <c r="BG34" s="310"/>
      <c r="BH34" s="310"/>
      <c r="BI34" s="310"/>
      <c r="BJ34" s="310"/>
      <c r="BK34" s="310"/>
      <c r="BL34" s="310"/>
      <c r="BM34" s="544">
        <f t="shared" si="19"/>
        <v>0</v>
      </c>
      <c r="BN34" s="525"/>
      <c r="BO34" s="310"/>
      <c r="BP34" s="310"/>
      <c r="BQ34" s="310"/>
      <c r="BR34" s="310"/>
      <c r="BS34" s="310"/>
      <c r="BT34" s="310"/>
      <c r="BU34" s="544">
        <f t="shared" si="20"/>
        <v>0</v>
      </c>
      <c r="BV34" s="1638"/>
      <c r="BW34" s="663">
        <f t="shared" si="7"/>
        <v>2</v>
      </c>
      <c r="BX34" s="1047">
        <f t="shared" si="21"/>
        <v>1</v>
      </c>
      <c r="BY34" s="1047" t="str">
        <f t="shared" si="22"/>
        <v>No Programada</v>
      </c>
      <c r="BZ34" s="1047">
        <f t="shared" si="23"/>
        <v>1</v>
      </c>
      <c r="CA34" s="1047" t="str">
        <f t="shared" si="24"/>
        <v>No Programada</v>
      </c>
      <c r="CB34" s="1047" t="str">
        <f t="shared" si="25"/>
        <v>No Programada</v>
      </c>
      <c r="CC34" s="1247"/>
      <c r="CD34" t="str">
        <f t="shared" si="26"/>
        <v>NP</v>
      </c>
      <c r="CE34" t="str">
        <f t="shared" si="26"/>
        <v>VE</v>
      </c>
      <c r="CF34" t="str">
        <f t="shared" si="26"/>
        <v>NP</v>
      </c>
      <c r="CG34" t="str">
        <f t="shared" si="26"/>
        <v>NP</v>
      </c>
    </row>
    <row r="35" spans="1:85" ht="88.5" hidden="1" customHeight="1" x14ac:dyDescent="0.25">
      <c r="A35" s="298" t="s">
        <v>38</v>
      </c>
      <c r="B35" s="299" t="str">
        <f>'PLAN INDICATIVO'!B35</f>
        <v>Educación</v>
      </c>
      <c r="C35" s="1547"/>
      <c r="D35" s="1549"/>
      <c r="E35" s="1549"/>
      <c r="F35" s="1549"/>
      <c r="G35" s="1549"/>
      <c r="H35" s="1549"/>
      <c r="I35" s="300">
        <f>'PLAN INDICATIVO'!I35</f>
        <v>0</v>
      </c>
      <c r="J35" s="300">
        <f>'PLAN INDICATIVO'!J35</f>
        <v>0</v>
      </c>
      <c r="K35" s="1425" t="str">
        <f>'PLAN INDICATIVO'!K35</f>
        <v>A.1.2.12</v>
      </c>
      <c r="L35" s="1425" t="str">
        <f>'PLAN INDICATIVO'!L35</f>
        <v>4. Educación de calidad</v>
      </c>
      <c r="M35" s="1425" t="str">
        <f>'PLAN INDICATIVO'!M35</f>
        <v>Secretaría de Educación, Cultura, deporte y Turismo</v>
      </c>
      <c r="N35" s="1425" t="str">
        <f>'PLAN INDICATIVO'!N35</f>
        <v>YIMI FERNANDO LOSADA PAYA</v>
      </c>
      <c r="O35" s="1425" t="str">
        <f>'PLAN INDICATIVO'!O35</f>
        <v>Mantenimiento</v>
      </c>
      <c r="P35" s="16" t="str">
        <f>'PLAN INDICATIVO'!P35</f>
        <v>Hacer 1 enlace anual con el sector salud y las I.E para garantizar la disminución de los indicadores de embarazos en adolecentes</v>
      </c>
      <c r="Q35" s="302" t="str">
        <f>'PLAN INDICATIVO'!Q35</f>
        <v>No. de enlaces en funcionamiento cada año</v>
      </c>
      <c r="R35" s="303">
        <f>'PLAN INDICATIVO'!R35</f>
        <v>2015</v>
      </c>
      <c r="S35" s="304">
        <v>0</v>
      </c>
      <c r="T35" s="677">
        <v>1</v>
      </c>
      <c r="U35" s="303">
        <v>0.25</v>
      </c>
      <c r="V35" s="687">
        <v>3</v>
      </c>
      <c r="W35" s="303">
        <v>0.25</v>
      </c>
      <c r="X35" s="687">
        <v>3000000</v>
      </c>
      <c r="Y35" s="303">
        <v>0.25</v>
      </c>
      <c r="Z35" s="687">
        <v>500000</v>
      </c>
      <c r="AA35" s="291">
        <v>0.25</v>
      </c>
      <c r="AB35" s="687">
        <v>500000</v>
      </c>
      <c r="AC35" s="665">
        <v>0.25</v>
      </c>
      <c r="AD35" s="665">
        <v>0.25</v>
      </c>
      <c r="AE35" s="665">
        <v>0.25</v>
      </c>
      <c r="AF35" s="665"/>
      <c r="AG35" s="664" t="s">
        <v>3986</v>
      </c>
      <c r="AH35" s="985">
        <v>2018413960009</v>
      </c>
      <c r="AI35" s="307" t="s">
        <v>4002</v>
      </c>
      <c r="AJ35" s="309">
        <v>42767</v>
      </c>
      <c r="AK35" s="309">
        <v>43434</v>
      </c>
      <c r="AL35" s="308"/>
      <c r="AM35" s="308"/>
      <c r="AN35" s="267" t="s">
        <v>2598</v>
      </c>
      <c r="AO35" s="507">
        <v>2301</v>
      </c>
      <c r="AP35" s="525"/>
      <c r="AQ35" s="310"/>
      <c r="AR35" s="310"/>
      <c r="AS35" s="310"/>
      <c r="AT35" s="303"/>
      <c r="AU35" s="310"/>
      <c r="AV35" s="310"/>
      <c r="AW35" s="544"/>
      <c r="AX35" s="544">
        <v>0</v>
      </c>
      <c r="AY35" s="310"/>
      <c r="AZ35" s="310"/>
      <c r="BA35" s="310"/>
      <c r="BB35" s="310"/>
      <c r="BC35" s="310"/>
      <c r="BD35" s="310"/>
      <c r="BE35" s="544">
        <f t="shared" si="18"/>
        <v>0</v>
      </c>
      <c r="BF35" s="525"/>
      <c r="BG35" s="310"/>
      <c r="BH35" s="310"/>
      <c r="BI35" s="310"/>
      <c r="BJ35" s="1265"/>
      <c r="BK35" s="310"/>
      <c r="BL35" s="310"/>
      <c r="BM35" s="544">
        <f t="shared" si="19"/>
        <v>0</v>
      </c>
      <c r="BN35" s="525"/>
      <c r="BO35" s="310"/>
      <c r="BP35" s="310"/>
      <c r="BQ35" s="310"/>
      <c r="BR35" s="310"/>
      <c r="BS35" s="310"/>
      <c r="BT35" s="310"/>
      <c r="BU35" s="544">
        <f t="shared" si="20"/>
        <v>0</v>
      </c>
      <c r="BV35" s="1638"/>
      <c r="BW35" s="663">
        <f t="shared" si="7"/>
        <v>0.75</v>
      </c>
      <c r="BX35" s="1047">
        <f t="shared" si="21"/>
        <v>0.75</v>
      </c>
      <c r="BY35" s="1047">
        <f t="shared" si="22"/>
        <v>1</v>
      </c>
      <c r="BZ35" s="1047">
        <f t="shared" si="23"/>
        <v>1</v>
      </c>
      <c r="CA35" s="1047">
        <f t="shared" si="24"/>
        <v>1</v>
      </c>
      <c r="CB35" s="1047">
        <f t="shared" si="25"/>
        <v>0</v>
      </c>
      <c r="CC35" s="1247"/>
      <c r="CD35" t="str">
        <f t="shared" si="26"/>
        <v>VE</v>
      </c>
      <c r="CE35" t="str">
        <f t="shared" si="26"/>
        <v>VE</v>
      </c>
      <c r="CF35" t="str">
        <f t="shared" si="26"/>
        <v>VE</v>
      </c>
      <c r="CG35" t="str">
        <f t="shared" si="26"/>
        <v>ROB</v>
      </c>
    </row>
    <row r="36" spans="1:85" ht="62.25" hidden="1" customHeight="1" x14ac:dyDescent="0.25">
      <c r="A36" s="298" t="s">
        <v>38</v>
      </c>
      <c r="B36" s="299" t="str">
        <f>'PLAN INDICATIVO'!B36</f>
        <v>Educación</v>
      </c>
      <c r="C36" s="1547"/>
      <c r="D36" s="1549"/>
      <c r="E36" s="1549"/>
      <c r="F36" s="1549"/>
      <c r="G36" s="1549"/>
      <c r="H36" s="1549"/>
      <c r="I36" s="300">
        <f>'PLAN INDICATIVO'!I36</f>
        <v>0</v>
      </c>
      <c r="J36" s="300">
        <f>'PLAN INDICATIVO'!J36</f>
        <v>0</v>
      </c>
      <c r="K36" s="1425" t="str">
        <f>'PLAN INDICATIVO'!K36</f>
        <v>A.1.2.13</v>
      </c>
      <c r="L36" s="1425" t="str">
        <f>'PLAN INDICATIVO'!L36</f>
        <v>4. Educación de calidad</v>
      </c>
      <c r="M36" s="1425" t="str">
        <f>'PLAN INDICATIVO'!M36</f>
        <v>Secretaría de Educación, Cultura, deporte y Turismo</v>
      </c>
      <c r="N36" s="1425" t="str">
        <f>'PLAN INDICATIVO'!N36</f>
        <v>YIMI FERNANDO LOSADA PAYA</v>
      </c>
      <c r="O36" s="1425" t="str">
        <f>'PLAN INDICATIVO'!O36</f>
        <v>Mantenimiento</v>
      </c>
      <c r="P36" s="16" t="str">
        <f>'PLAN INDICATIVO'!P36</f>
        <v>Articular con la secretaria de gobierno, ICBF y comisaria de familia, 1 jornada al año para la erradicación del trabajo infantil y la incorporación al sistema educativo de NNA.</v>
      </c>
      <c r="Q36" s="302" t="str">
        <f>'PLAN INDICATIVO'!Q36</f>
        <v>No. De Jornadas realizada al año</v>
      </c>
      <c r="R36" s="303">
        <f>'PLAN INDICATIVO'!R36</f>
        <v>2015</v>
      </c>
      <c r="S36" s="304">
        <v>0</v>
      </c>
      <c r="T36" s="677">
        <v>1</v>
      </c>
      <c r="U36" s="303">
        <v>0.25</v>
      </c>
      <c r="V36" s="687">
        <v>3</v>
      </c>
      <c r="W36" s="303">
        <v>0.25</v>
      </c>
      <c r="X36" s="687">
        <v>3000000</v>
      </c>
      <c r="Y36" s="303">
        <v>0.25</v>
      </c>
      <c r="Z36" s="687">
        <v>500000</v>
      </c>
      <c r="AA36" s="291">
        <v>0.25</v>
      </c>
      <c r="AB36" s="687">
        <v>500000</v>
      </c>
      <c r="AC36" s="665">
        <v>0.25</v>
      </c>
      <c r="AD36" s="665">
        <v>1</v>
      </c>
      <c r="AE36" s="665">
        <v>0.25</v>
      </c>
      <c r="AF36" s="665"/>
      <c r="AG36" s="664" t="s">
        <v>3986</v>
      </c>
      <c r="AH36" s="985">
        <v>2018413960009</v>
      </c>
      <c r="AI36" s="307" t="s">
        <v>4003</v>
      </c>
      <c r="AJ36" s="309">
        <v>43132</v>
      </c>
      <c r="AK36" s="309">
        <v>43373</v>
      </c>
      <c r="AL36" s="308"/>
      <c r="AM36" s="308"/>
      <c r="AN36" s="267" t="s">
        <v>2598</v>
      </c>
      <c r="AO36" s="507" t="s">
        <v>2635</v>
      </c>
      <c r="AP36" s="525"/>
      <c r="AQ36" s="310"/>
      <c r="AR36" s="310"/>
      <c r="AS36" s="310"/>
      <c r="AT36" s="310"/>
      <c r="AU36" s="310"/>
      <c r="AV36" s="310"/>
      <c r="AW36" s="544"/>
      <c r="AX36" s="544">
        <v>0</v>
      </c>
      <c r="AY36" s="310"/>
      <c r="AZ36" s="310"/>
      <c r="BA36" s="310"/>
      <c r="BB36" s="310"/>
      <c r="BC36" s="310"/>
      <c r="BD36" s="310"/>
      <c r="BE36" s="544">
        <f t="shared" si="18"/>
        <v>0</v>
      </c>
      <c r="BF36" s="525"/>
      <c r="BG36" s="310"/>
      <c r="BH36" s="310"/>
      <c r="BI36" s="310"/>
      <c r="BJ36" s="310"/>
      <c r="BK36" s="310"/>
      <c r="BL36" s="310"/>
      <c r="BM36" s="544">
        <f t="shared" si="19"/>
        <v>0</v>
      </c>
      <c r="BN36" s="525"/>
      <c r="BO36" s="310"/>
      <c r="BP36" s="310"/>
      <c r="BQ36" s="310"/>
      <c r="BR36" s="310"/>
      <c r="BS36" s="310"/>
      <c r="BT36" s="310"/>
      <c r="BU36" s="544">
        <f t="shared" si="20"/>
        <v>0</v>
      </c>
      <c r="BV36" s="1638"/>
      <c r="BW36" s="663">
        <f t="shared" si="7"/>
        <v>1.5</v>
      </c>
      <c r="BX36" s="1047">
        <f t="shared" si="21"/>
        <v>1.5</v>
      </c>
      <c r="BY36" s="1047">
        <f t="shared" si="22"/>
        <v>1</v>
      </c>
      <c r="BZ36" s="1047">
        <f t="shared" si="23"/>
        <v>4</v>
      </c>
      <c r="CA36" s="1047">
        <f t="shared" si="24"/>
        <v>1</v>
      </c>
      <c r="CB36" s="1047">
        <f t="shared" si="25"/>
        <v>0</v>
      </c>
      <c r="CC36" s="1247"/>
      <c r="CD36" t="str">
        <f t="shared" si="26"/>
        <v>VE</v>
      </c>
      <c r="CE36" t="str">
        <f t="shared" si="26"/>
        <v>VE</v>
      </c>
      <c r="CF36" t="str">
        <f t="shared" si="26"/>
        <v>VE</v>
      </c>
      <c r="CG36" t="str">
        <f t="shared" si="26"/>
        <v>ROB</v>
      </c>
    </row>
    <row r="37" spans="1:85" ht="67.5" hidden="1" customHeight="1" x14ac:dyDescent="0.25">
      <c r="A37" s="298" t="s">
        <v>2464</v>
      </c>
      <c r="B37" s="299" t="str">
        <f>'PLAN INDICATIVO'!B37</f>
        <v>Educación</v>
      </c>
      <c r="C37" s="1547"/>
      <c r="D37" s="1549"/>
      <c r="E37" s="1549"/>
      <c r="F37" s="1549"/>
      <c r="G37" s="1549"/>
      <c r="H37" s="1549"/>
      <c r="I37" s="300">
        <f>'PLAN INDICATIVO'!I37</f>
        <v>0</v>
      </c>
      <c r="J37" s="300">
        <f>'PLAN INDICATIVO'!J37</f>
        <v>0</v>
      </c>
      <c r="K37" s="1425" t="str">
        <f>'PLAN INDICATIVO'!K37</f>
        <v>A.1.2.14</v>
      </c>
      <c r="L37" s="1425" t="str">
        <f>'PLAN INDICATIVO'!L37</f>
        <v>4. Educación de calidad</v>
      </c>
      <c r="M37" s="1425" t="str">
        <f>'PLAN INDICATIVO'!M37</f>
        <v>Secretaría de Educación, Cultura, deporte y Turismo</v>
      </c>
      <c r="N37" s="1425" t="str">
        <f>'PLAN INDICATIVO'!N37</f>
        <v>YIMI FERNANDO LOSADA PAYA</v>
      </c>
      <c r="O37" s="1425" t="str">
        <f>'PLAN INDICATIVO'!O37</f>
        <v>Incremento</v>
      </c>
      <c r="P37" s="940" t="str">
        <f>'PLAN INDICATIVO'!P37</f>
        <v>Buscar la creación de una nueva facultad de la Universidad Surcolombiana en el municipio de La Plata, durante el cuatrienio</v>
      </c>
      <c r="Q37" s="302" t="str">
        <f>'PLAN INDICATIVO'!Q37</f>
        <v>No. De apoyos otorgados</v>
      </c>
      <c r="R37" s="303">
        <f>'PLAN INDICATIVO'!R37</f>
        <v>2015</v>
      </c>
      <c r="S37" s="304">
        <v>0</v>
      </c>
      <c r="T37" s="677">
        <v>1</v>
      </c>
      <c r="U37" s="303"/>
      <c r="V37" s="687">
        <v>8</v>
      </c>
      <c r="W37" s="572">
        <v>0.33</v>
      </c>
      <c r="X37" s="687">
        <v>5000000</v>
      </c>
      <c r="Y37" s="572">
        <v>0.34</v>
      </c>
      <c r="Z37" s="687">
        <v>500000</v>
      </c>
      <c r="AA37" s="1310">
        <v>0.33</v>
      </c>
      <c r="AB37" s="687">
        <v>500000</v>
      </c>
      <c r="AC37" s="665">
        <v>0</v>
      </c>
      <c r="AD37" s="665">
        <v>0.33</v>
      </c>
      <c r="AE37" s="665">
        <v>0.34</v>
      </c>
      <c r="AF37" s="665"/>
      <c r="AG37" s="664" t="s">
        <v>3986</v>
      </c>
      <c r="AH37" s="985">
        <v>2018413960009</v>
      </c>
      <c r="AI37" s="307" t="s">
        <v>4004</v>
      </c>
      <c r="AJ37" s="309">
        <v>43282</v>
      </c>
      <c r="AK37" s="309">
        <v>43465</v>
      </c>
      <c r="AL37" s="308"/>
      <c r="AM37" s="308"/>
      <c r="AN37" s="267" t="s">
        <v>2598</v>
      </c>
      <c r="AO37" s="507" t="s">
        <v>2635</v>
      </c>
      <c r="AP37" s="525"/>
      <c r="AQ37" s="310"/>
      <c r="AR37" s="310"/>
      <c r="AS37" s="310"/>
      <c r="AT37" s="310"/>
      <c r="AU37" s="310"/>
      <c r="AV37" s="310"/>
      <c r="AW37" s="544"/>
      <c r="AX37" s="544">
        <v>0</v>
      </c>
      <c r="AY37" s="310"/>
      <c r="AZ37" s="310"/>
      <c r="BA37" s="310"/>
      <c r="BB37" s="310"/>
      <c r="BC37" s="310"/>
      <c r="BD37" s="310"/>
      <c r="BE37" s="544">
        <f t="shared" si="18"/>
        <v>0</v>
      </c>
      <c r="BF37" s="525"/>
      <c r="BG37" s="310"/>
      <c r="BH37" s="310"/>
      <c r="BI37" s="310"/>
      <c r="BJ37" s="310"/>
      <c r="BK37" s="310"/>
      <c r="BL37" s="310"/>
      <c r="BM37" s="544">
        <f t="shared" si="19"/>
        <v>0</v>
      </c>
      <c r="BN37" s="525"/>
      <c r="BO37" s="310"/>
      <c r="BP37" s="310"/>
      <c r="BQ37" s="310"/>
      <c r="BR37" s="310"/>
      <c r="BS37" s="310"/>
      <c r="BT37" s="310"/>
      <c r="BU37" s="544">
        <f t="shared" si="20"/>
        <v>0</v>
      </c>
      <c r="BV37" s="1638"/>
      <c r="BW37" s="663">
        <f t="shared" si="7"/>
        <v>0.67</v>
      </c>
      <c r="BX37" s="1047">
        <f t="shared" si="21"/>
        <v>0.67</v>
      </c>
      <c r="BY37" s="1047" t="str">
        <f t="shared" si="22"/>
        <v>No Programada</v>
      </c>
      <c r="BZ37" s="1047">
        <f t="shared" si="23"/>
        <v>1</v>
      </c>
      <c r="CA37" s="1047">
        <f t="shared" si="24"/>
        <v>1</v>
      </c>
      <c r="CB37" s="1047">
        <f t="shared" si="25"/>
        <v>0</v>
      </c>
      <c r="CC37" s="1247"/>
      <c r="CD37" t="str">
        <f t="shared" si="26"/>
        <v>NP</v>
      </c>
      <c r="CE37" t="str">
        <f t="shared" si="26"/>
        <v>VE</v>
      </c>
      <c r="CF37" t="str">
        <f t="shared" si="26"/>
        <v>VE</v>
      </c>
      <c r="CG37" t="str">
        <f t="shared" si="26"/>
        <v>ROB</v>
      </c>
    </row>
    <row r="38" spans="1:85" ht="83.25" hidden="1" customHeight="1" x14ac:dyDescent="0.25">
      <c r="A38" s="298" t="s">
        <v>38</v>
      </c>
      <c r="B38" s="299" t="str">
        <f>'PLAN INDICATIVO'!B38</f>
        <v>Educación</v>
      </c>
      <c r="C38" s="1547"/>
      <c r="D38" s="1549"/>
      <c r="E38" s="1549"/>
      <c r="F38" s="1549"/>
      <c r="G38" s="1549"/>
      <c r="H38" s="1549"/>
      <c r="I38" s="300">
        <f>'PLAN INDICATIVO'!I38</f>
        <v>0</v>
      </c>
      <c r="J38" s="300">
        <f>'PLAN INDICATIVO'!J38</f>
        <v>0</v>
      </c>
      <c r="K38" s="1425" t="str">
        <f>'PLAN INDICATIVO'!K38</f>
        <v>A.1.2.15</v>
      </c>
      <c r="L38" s="1425" t="str">
        <f>'PLAN INDICATIVO'!L38</f>
        <v>4. Educación de calidad</v>
      </c>
      <c r="M38" s="1425" t="str">
        <f>'PLAN INDICATIVO'!M38</f>
        <v>Secretaría de Educación, Cultura, deporte y Turismo</v>
      </c>
      <c r="N38" s="1425" t="str">
        <f>'PLAN INDICATIVO'!N38</f>
        <v>YIMI FERNANDO LOSADA PAYA</v>
      </c>
      <c r="O38" s="1425" t="str">
        <f>'PLAN INDICATIVO'!O38</f>
        <v>Incremento</v>
      </c>
      <c r="P38" s="16" t="str">
        <f>'PLAN INDICATIVO'!P38</f>
        <v>Apoyar la implementación de una nueva oferta en educación superior, en el marco del Plan Maestro de Regionalización en niveles de pregrado y postgrado, durante el cuatrienio</v>
      </c>
      <c r="Q38" s="302" t="str">
        <f>'PLAN INDICATIVO'!Q38</f>
        <v>No. De apoyos otorgados</v>
      </c>
      <c r="R38" s="303">
        <f>'PLAN INDICATIVO'!R38</f>
        <v>2015</v>
      </c>
      <c r="S38" s="304">
        <v>0</v>
      </c>
      <c r="T38" s="677">
        <v>1</v>
      </c>
      <c r="U38" s="303"/>
      <c r="V38" s="687">
        <v>5</v>
      </c>
      <c r="W38" s="572">
        <v>0.33</v>
      </c>
      <c r="X38" s="687">
        <v>5000000</v>
      </c>
      <c r="Y38" s="572">
        <v>0.34</v>
      </c>
      <c r="Z38" s="687">
        <v>500000</v>
      </c>
      <c r="AA38" s="1310">
        <v>0.33</v>
      </c>
      <c r="AB38" s="687">
        <v>500000</v>
      </c>
      <c r="AC38" s="665">
        <v>0</v>
      </c>
      <c r="AD38" s="665">
        <v>0.33</v>
      </c>
      <c r="AE38" s="665">
        <v>0.34</v>
      </c>
      <c r="AF38" s="665"/>
      <c r="AG38" s="664" t="s">
        <v>3986</v>
      </c>
      <c r="AH38" s="985">
        <v>2018413960009</v>
      </c>
      <c r="AI38" s="307" t="s">
        <v>4005</v>
      </c>
      <c r="AJ38" s="309">
        <v>43132</v>
      </c>
      <c r="AK38" s="309">
        <v>43220</v>
      </c>
      <c r="AL38" s="308"/>
      <c r="AM38" s="308"/>
      <c r="AN38" s="267" t="s">
        <v>2598</v>
      </c>
      <c r="AO38" s="507">
        <v>2301</v>
      </c>
      <c r="AP38" s="525"/>
      <c r="AQ38" s="310"/>
      <c r="AR38" s="310"/>
      <c r="AS38" s="310"/>
      <c r="AT38" s="310"/>
      <c r="AU38" s="310"/>
      <c r="AV38" s="310"/>
      <c r="AW38" s="544"/>
      <c r="AX38" s="544">
        <v>0</v>
      </c>
      <c r="AY38" s="310"/>
      <c r="AZ38" s="310"/>
      <c r="BA38" s="310"/>
      <c r="BB38" s="310"/>
      <c r="BC38" s="310"/>
      <c r="BD38" s="310"/>
      <c r="BE38" s="544">
        <f t="shared" si="18"/>
        <v>0</v>
      </c>
      <c r="BF38" s="525"/>
      <c r="BG38" s="310"/>
      <c r="BH38" s="310"/>
      <c r="BI38" s="310"/>
      <c r="BJ38" s="310"/>
      <c r="BK38" s="310"/>
      <c r="BL38" s="310"/>
      <c r="BM38" s="544">
        <f t="shared" si="19"/>
        <v>0</v>
      </c>
      <c r="BN38" s="525"/>
      <c r="BO38" s="310"/>
      <c r="BP38" s="310"/>
      <c r="BQ38" s="310"/>
      <c r="BR38" s="310"/>
      <c r="BS38" s="310"/>
      <c r="BT38" s="310"/>
      <c r="BU38" s="544">
        <f t="shared" si="20"/>
        <v>0</v>
      </c>
      <c r="BV38" s="1638"/>
      <c r="BW38" s="663">
        <f t="shared" si="7"/>
        <v>0.67</v>
      </c>
      <c r="BX38" s="1047">
        <f t="shared" si="21"/>
        <v>0.67</v>
      </c>
      <c r="BY38" s="1047" t="str">
        <f t="shared" si="22"/>
        <v>No Programada</v>
      </c>
      <c r="BZ38" s="1047">
        <f t="shared" si="23"/>
        <v>1</v>
      </c>
      <c r="CA38" s="1047">
        <f t="shared" si="24"/>
        <v>1</v>
      </c>
      <c r="CB38" s="1047">
        <f t="shared" si="25"/>
        <v>0</v>
      </c>
      <c r="CC38" s="1247"/>
      <c r="CD38" t="str">
        <f t="shared" si="26"/>
        <v>NP</v>
      </c>
      <c r="CE38" t="str">
        <f t="shared" si="26"/>
        <v>VE</v>
      </c>
      <c r="CF38" t="str">
        <f>IF(CA38="PARA MODIFICAR","M",IF(CA38="PARA ELIMINAR","E",IF(CA38="aplazada","AZ",IF(CA38="no programada","NP",IF(CA38&gt;=85%,"VE",IF(CA38&gt;70%,"VEB",IF(CA38&gt;60%,"AM",IF(CA38&gt;40%,"AMB",IF(CA38&gt;20%,"RO",IF(CA38&gt;=0%,"ROB",""))))))))))</f>
        <v>VE</v>
      </c>
      <c r="CG38" t="str">
        <f t="shared" si="26"/>
        <v>ROB</v>
      </c>
    </row>
    <row r="39" spans="1:85" ht="55.5" hidden="1" customHeight="1" x14ac:dyDescent="0.25">
      <c r="A39" s="298" t="s">
        <v>2458</v>
      </c>
      <c r="B39" s="299" t="str">
        <f>'PLAN INDICATIVO'!B39</f>
        <v>Educación</v>
      </c>
      <c r="C39" s="1548"/>
      <c r="D39" s="1549"/>
      <c r="E39" s="1549"/>
      <c r="F39" s="1549"/>
      <c r="G39" s="1549"/>
      <c r="H39" s="1549"/>
      <c r="I39" s="300">
        <f>'PLAN INDICATIVO'!I39</f>
        <v>0</v>
      </c>
      <c r="J39" s="300">
        <f>'PLAN INDICATIVO'!J39</f>
        <v>0</v>
      </c>
      <c r="K39" s="1425" t="str">
        <f>'PLAN INDICATIVO'!K39</f>
        <v>A.1.2.16</v>
      </c>
      <c r="L39" s="1425" t="str">
        <f>'PLAN INDICATIVO'!L39</f>
        <v>4. Educación de calidad</v>
      </c>
      <c r="M39" s="1425" t="str">
        <f>'PLAN INDICATIVO'!M39</f>
        <v>Secretaría de Educación, Cultura, deporte y Turismo</v>
      </c>
      <c r="N39" s="1425" t="str">
        <f>'PLAN INDICATIVO'!N39</f>
        <v>YIMI FERNANDO LOSADA PAYA</v>
      </c>
      <c r="O39" s="1425" t="str">
        <f>'PLAN INDICATIVO'!O39</f>
        <v>Incremento</v>
      </c>
      <c r="P39" s="1198" t="str">
        <f>'PLAN INDICATIVO'!P39</f>
        <v>Implementar 2 proyectos para mejorar el aprendizaje en el área de inglés, durante el cuatrienio</v>
      </c>
      <c r="Q39" s="302" t="str">
        <f>'PLAN INDICATIVO'!Q39</f>
        <v>No. De proyectos implementados durante el cuatrienio</v>
      </c>
      <c r="R39" s="303">
        <f>'PLAN INDICATIVO'!R39</f>
        <v>2015</v>
      </c>
      <c r="S39" s="304">
        <v>0</v>
      </c>
      <c r="T39" s="677">
        <v>2</v>
      </c>
      <c r="U39" s="303"/>
      <c r="V39" s="687">
        <v>10</v>
      </c>
      <c r="W39" s="823">
        <v>0</v>
      </c>
      <c r="X39" s="687">
        <v>3000000</v>
      </c>
      <c r="Y39" s="572">
        <v>1</v>
      </c>
      <c r="Z39" s="687">
        <v>500000</v>
      </c>
      <c r="AA39" s="1310">
        <v>1</v>
      </c>
      <c r="AB39" s="687">
        <v>500000</v>
      </c>
      <c r="AC39" s="665">
        <v>0</v>
      </c>
      <c r="AD39" s="665"/>
      <c r="AE39" s="665">
        <v>1</v>
      </c>
      <c r="AF39" s="665"/>
      <c r="AG39" s="664" t="s">
        <v>3986</v>
      </c>
      <c r="AH39" s="985">
        <v>2018413960009</v>
      </c>
      <c r="AI39" s="307" t="s">
        <v>4006</v>
      </c>
      <c r="AJ39" s="881">
        <v>43132</v>
      </c>
      <c r="AK39" s="881">
        <v>43434</v>
      </c>
      <c r="AL39" s="308"/>
      <c r="AM39" s="308"/>
      <c r="AN39" s="267" t="s">
        <v>2598</v>
      </c>
      <c r="AO39" s="507" t="s">
        <v>2635</v>
      </c>
      <c r="AP39" s="525"/>
      <c r="AQ39" s="310"/>
      <c r="AR39" s="310"/>
      <c r="AS39" s="310"/>
      <c r="AT39" s="310"/>
      <c r="AU39" s="310"/>
      <c r="AV39" s="310"/>
      <c r="AW39" s="544"/>
      <c r="AX39" s="544">
        <v>0</v>
      </c>
      <c r="AY39" s="310"/>
      <c r="AZ39" s="310"/>
      <c r="BA39" s="310"/>
      <c r="BB39" s="310"/>
      <c r="BC39" s="310"/>
      <c r="BD39" s="310"/>
      <c r="BE39" s="544">
        <f t="shared" si="18"/>
        <v>0</v>
      </c>
      <c r="BF39" s="525"/>
      <c r="BG39" s="310"/>
      <c r="BH39" s="310"/>
      <c r="BI39" s="310"/>
      <c r="BJ39" s="310"/>
      <c r="BK39" s="310"/>
      <c r="BL39" s="310"/>
      <c r="BM39" s="544">
        <f t="shared" si="19"/>
        <v>0</v>
      </c>
      <c r="BN39" s="525"/>
      <c r="BO39" s="310"/>
      <c r="BP39" s="310"/>
      <c r="BQ39" s="310"/>
      <c r="BR39" s="310"/>
      <c r="BS39" s="310"/>
      <c r="BT39" s="310"/>
      <c r="BU39" s="544">
        <f t="shared" si="20"/>
        <v>0</v>
      </c>
      <c r="BV39" s="1638"/>
      <c r="BW39" s="663">
        <f t="shared" si="7"/>
        <v>1</v>
      </c>
      <c r="BX39" s="1047">
        <f t="shared" si="21"/>
        <v>0.5</v>
      </c>
      <c r="BY39" s="1047" t="str">
        <f t="shared" si="22"/>
        <v>No Programada</v>
      </c>
      <c r="BZ39" s="1047" t="str">
        <f t="shared" si="23"/>
        <v>Aplazada</v>
      </c>
      <c r="CA39" s="1047">
        <f t="shared" si="24"/>
        <v>1</v>
      </c>
      <c r="CB39" s="1047">
        <f t="shared" si="25"/>
        <v>0</v>
      </c>
      <c r="CC39" s="1247"/>
      <c r="CD39" t="str">
        <f t="shared" si="26"/>
        <v>NP</v>
      </c>
      <c r="CE39" t="str">
        <f t="shared" si="26"/>
        <v>AZ</v>
      </c>
      <c r="CF39" t="str">
        <f t="shared" si="26"/>
        <v>VE</v>
      </c>
      <c r="CG39" t="str">
        <f t="shared" si="26"/>
        <v>ROB</v>
      </c>
    </row>
    <row r="40" spans="1:85" ht="48.75" hidden="1" customHeight="1" x14ac:dyDescent="0.25">
      <c r="A40" s="298" t="s">
        <v>2464</v>
      </c>
      <c r="B40" s="299" t="str">
        <f>'PLAN INDICATIVO'!B40</f>
        <v>Educación</v>
      </c>
      <c r="C40" s="1424"/>
      <c r="D40" s="1425"/>
      <c r="E40" s="1425"/>
      <c r="F40" s="1425"/>
      <c r="G40" s="1425"/>
      <c r="H40" s="1425"/>
      <c r="I40" s="300">
        <f>'PLAN INDICATIVO'!I40</f>
        <v>0</v>
      </c>
      <c r="J40" s="300">
        <f>'PLAN INDICATIVO'!J40</f>
        <v>0</v>
      </c>
      <c r="K40" s="1425" t="str">
        <f>'PLAN INDICATIVO'!K40</f>
        <v>A.1.2.17</v>
      </c>
      <c r="L40" s="1425" t="str">
        <f>'PLAN INDICATIVO'!L40</f>
        <v>4. Educación de calidad</v>
      </c>
      <c r="M40" s="1425" t="str">
        <f>'PLAN INDICATIVO'!M40</f>
        <v>Secretaría de Educación, Cultura, deporte y Turismo</v>
      </c>
      <c r="N40" s="1425" t="str">
        <f>'PLAN INDICATIVO'!N40</f>
        <v>YIMI FERNANDO LOSADA PAYA</v>
      </c>
      <c r="O40" s="1425" t="str">
        <f>'PLAN INDICATIVO'!O40</f>
        <v>Incremento</v>
      </c>
      <c r="P40" s="1198" t="str">
        <f>'PLAN INDICATIVO'!P40</f>
        <v>Realizar apoyo y acompañamiento a los semilleros de investigación que se encuentran funcionando en el municipio, durante el cuatrenio.</v>
      </c>
      <c r="Q40" s="302" t="str">
        <f>'PLAN INDICATIVO'!Q40</f>
        <v>No. De apoyos gestionados en el cuatrenio.</v>
      </c>
      <c r="R40" s="303">
        <f>'PLAN INDICATIVO'!R40</f>
        <v>2015</v>
      </c>
      <c r="S40" s="304">
        <v>0</v>
      </c>
      <c r="T40" s="677">
        <v>1</v>
      </c>
      <c r="U40" s="303"/>
      <c r="V40" s="687"/>
      <c r="W40" s="572">
        <v>0</v>
      </c>
      <c r="X40" s="687"/>
      <c r="Y40" s="572">
        <v>0.33</v>
      </c>
      <c r="Z40" s="687">
        <v>500000</v>
      </c>
      <c r="AA40" s="1310">
        <v>0.2</v>
      </c>
      <c r="AB40" s="687"/>
      <c r="AC40" s="665">
        <v>0</v>
      </c>
      <c r="AD40" s="665">
        <v>0.5</v>
      </c>
      <c r="AE40" s="665">
        <v>0.33</v>
      </c>
      <c r="AF40" s="665"/>
      <c r="AG40" s="664" t="s">
        <v>3986</v>
      </c>
      <c r="AH40" s="985">
        <v>2018413960009</v>
      </c>
      <c r="AI40" s="307" t="s">
        <v>4007</v>
      </c>
      <c r="AJ40" s="308" t="s">
        <v>4008</v>
      </c>
      <c r="AK40" s="881">
        <v>43069</v>
      </c>
      <c r="AL40" s="308"/>
      <c r="AM40" s="308"/>
      <c r="AN40" s="267" t="s">
        <v>2598</v>
      </c>
      <c r="AO40" s="507" t="s">
        <v>2635</v>
      </c>
      <c r="AP40" s="525"/>
      <c r="AQ40" s="310"/>
      <c r="AR40" s="310"/>
      <c r="AS40" s="310"/>
      <c r="AT40" s="310"/>
      <c r="AU40" s="310"/>
      <c r="AV40" s="310"/>
      <c r="AW40" s="544"/>
      <c r="AX40" s="544">
        <v>0</v>
      </c>
      <c r="AY40" s="310"/>
      <c r="AZ40" s="310"/>
      <c r="BA40" s="310"/>
      <c r="BB40" s="310"/>
      <c r="BC40" s="310"/>
      <c r="BD40" s="310"/>
      <c r="BE40" s="544">
        <f t="shared" si="18"/>
        <v>0</v>
      </c>
      <c r="BF40" s="525"/>
      <c r="BG40" s="310"/>
      <c r="BH40" s="310"/>
      <c r="BI40" s="310"/>
      <c r="BJ40" s="310"/>
      <c r="BK40" s="310"/>
      <c r="BL40" s="310"/>
      <c r="BM40" s="544">
        <f t="shared" si="19"/>
        <v>0</v>
      </c>
      <c r="BN40" s="525"/>
      <c r="BO40" s="310"/>
      <c r="BP40" s="310"/>
      <c r="BQ40" s="310"/>
      <c r="BR40" s="310"/>
      <c r="BS40" s="310"/>
      <c r="BT40" s="310"/>
      <c r="BU40" s="544">
        <f t="shared" si="20"/>
        <v>0</v>
      </c>
      <c r="BV40" s="1638"/>
      <c r="BW40" s="663">
        <f t="shared" ref="BW40:BW71" si="27">AC40+AD40+AE40+AF40</f>
        <v>0.83000000000000007</v>
      </c>
      <c r="BX40" s="1047">
        <f t="shared" si="21"/>
        <v>0.83000000000000007</v>
      </c>
      <c r="BY40" s="1047" t="str">
        <f t="shared" si="22"/>
        <v>No Programada</v>
      </c>
      <c r="BZ40" s="1047" t="str">
        <f t="shared" si="23"/>
        <v>Aplazada</v>
      </c>
      <c r="CA40" s="1047">
        <f t="shared" si="24"/>
        <v>1</v>
      </c>
      <c r="CB40" s="1047">
        <f t="shared" si="25"/>
        <v>0</v>
      </c>
      <c r="CC40" s="1247"/>
      <c r="CD40" t="str">
        <f t="shared" si="26"/>
        <v>NP</v>
      </c>
      <c r="CE40" t="str">
        <f t="shared" si="26"/>
        <v>AZ</v>
      </c>
      <c r="CF40" t="str">
        <f t="shared" si="26"/>
        <v>VE</v>
      </c>
      <c r="CG40" t="str">
        <f t="shared" si="26"/>
        <v>ROB</v>
      </c>
    </row>
    <row r="41" spans="1:85" ht="54" hidden="1" customHeight="1" x14ac:dyDescent="0.25">
      <c r="A41" s="298" t="s">
        <v>38</v>
      </c>
      <c r="B41" s="299" t="str">
        <f>'PLAN INDICATIVO'!B41</f>
        <v>Educación</v>
      </c>
      <c r="C41" s="1424"/>
      <c r="D41" s="1425"/>
      <c r="E41" s="1425"/>
      <c r="F41" s="1425"/>
      <c r="G41" s="1425"/>
      <c r="H41" s="1425"/>
      <c r="I41" s="300">
        <f>'PLAN INDICATIVO'!I41</f>
        <v>0</v>
      </c>
      <c r="J41" s="300">
        <f>'PLAN INDICATIVO'!J41</f>
        <v>0</v>
      </c>
      <c r="K41" s="1425" t="str">
        <f>'PLAN INDICATIVO'!K41</f>
        <v>A.1.2.18</v>
      </c>
      <c r="L41" s="1425" t="str">
        <f>'PLAN INDICATIVO'!L41</f>
        <v>4. Educación de calidad</v>
      </c>
      <c r="M41" s="1425" t="str">
        <f>'PLAN INDICATIVO'!M41</f>
        <v>Secretaría de Educación, Cultura, deporte y Turismo</v>
      </c>
      <c r="N41" s="1425" t="str">
        <f>'PLAN INDICATIVO'!N41</f>
        <v>YIMI FERNANDO LOSADA PAYA</v>
      </c>
      <c r="O41" s="1425" t="str">
        <f>'PLAN INDICATIVO'!O41</f>
        <v>Incremento</v>
      </c>
      <c r="P41" s="16" t="str">
        <f>'PLAN INDICATIVO'!P41</f>
        <v>Apoyo para la vinculación de estudiantes al programa ONDAS.</v>
      </c>
      <c r="Q41" s="302" t="str">
        <f>'PLAN INDICATIVO'!Q41</f>
        <v>No. De apoyos gestionados en el cuatrenio.</v>
      </c>
      <c r="R41" s="303">
        <f>'PLAN INDICATIVO'!R41</f>
        <v>2015</v>
      </c>
      <c r="S41" s="304">
        <v>0</v>
      </c>
      <c r="T41" s="677">
        <v>1</v>
      </c>
      <c r="U41" s="303">
        <v>0</v>
      </c>
      <c r="V41" s="687">
        <v>2</v>
      </c>
      <c r="W41" s="572">
        <v>1</v>
      </c>
      <c r="X41" s="687">
        <v>2000000</v>
      </c>
      <c r="Y41" s="572">
        <v>0.33</v>
      </c>
      <c r="Z41" s="687"/>
      <c r="AA41" s="1310">
        <v>0.33</v>
      </c>
      <c r="AB41" s="687"/>
      <c r="AC41" s="665">
        <v>0</v>
      </c>
      <c r="AD41" s="665">
        <v>0.33</v>
      </c>
      <c r="AE41" s="665">
        <v>0.33</v>
      </c>
      <c r="AF41" s="665"/>
      <c r="AG41" s="664" t="s">
        <v>3986</v>
      </c>
      <c r="AH41" s="985">
        <v>2018413960009</v>
      </c>
      <c r="AI41" s="307" t="s">
        <v>4009</v>
      </c>
      <c r="AJ41" s="881">
        <v>42767</v>
      </c>
      <c r="AK41" s="881">
        <v>43434</v>
      </c>
      <c r="AL41" s="308"/>
      <c r="AM41" s="308"/>
      <c r="AN41" s="267" t="s">
        <v>2598</v>
      </c>
      <c r="AO41" s="507" t="s">
        <v>2635</v>
      </c>
      <c r="AP41" s="525"/>
      <c r="AQ41" s="310"/>
      <c r="AR41" s="310"/>
      <c r="AS41" s="310"/>
      <c r="AT41" s="310"/>
      <c r="AU41" s="310"/>
      <c r="AV41" s="310"/>
      <c r="AW41" s="544"/>
      <c r="AX41" s="544">
        <v>0</v>
      </c>
      <c r="AY41" s="310"/>
      <c r="AZ41" s="310"/>
      <c r="BA41" s="310"/>
      <c r="BB41" s="310"/>
      <c r="BC41" s="310"/>
      <c r="BD41" s="310"/>
      <c r="BE41" s="544">
        <f t="shared" si="18"/>
        <v>0</v>
      </c>
      <c r="BF41" s="525"/>
      <c r="BG41" s="310"/>
      <c r="BH41" s="310"/>
      <c r="BI41" s="310"/>
      <c r="BJ41" s="310"/>
      <c r="BK41" s="310"/>
      <c r="BL41" s="310"/>
      <c r="BM41" s="544">
        <f t="shared" si="19"/>
        <v>0</v>
      </c>
      <c r="BN41" s="525"/>
      <c r="BO41" s="310"/>
      <c r="BP41" s="310"/>
      <c r="BQ41" s="310"/>
      <c r="BR41" s="310"/>
      <c r="BS41" s="310"/>
      <c r="BT41" s="310"/>
      <c r="BU41" s="544">
        <f t="shared" si="20"/>
        <v>0</v>
      </c>
      <c r="BV41" s="1639"/>
      <c r="BW41" s="663">
        <f t="shared" si="27"/>
        <v>0.66</v>
      </c>
      <c r="BX41" s="1047">
        <f t="shared" si="21"/>
        <v>0.66</v>
      </c>
      <c r="BY41" s="1047" t="str">
        <f t="shared" si="22"/>
        <v>Aplazada</v>
      </c>
      <c r="BZ41" s="1047">
        <f t="shared" si="23"/>
        <v>0.33</v>
      </c>
      <c r="CA41" s="1047">
        <f t="shared" si="24"/>
        <v>1</v>
      </c>
      <c r="CB41" s="1047">
        <f t="shared" si="25"/>
        <v>0</v>
      </c>
      <c r="CC41" s="1247"/>
      <c r="CD41" t="str">
        <f t="shared" si="26"/>
        <v>AZ</v>
      </c>
      <c r="CE41" t="str">
        <f t="shared" si="26"/>
        <v>RO</v>
      </c>
      <c r="CF41" t="str">
        <f t="shared" si="26"/>
        <v>VE</v>
      </c>
      <c r="CG41" t="str">
        <f t="shared" si="26"/>
        <v>ROB</v>
      </c>
    </row>
    <row r="42" spans="1:85" ht="15" hidden="1" customHeight="1" x14ac:dyDescent="0.25">
      <c r="A42" s="295"/>
      <c r="B42" s="24" t="str">
        <f>'PLAN INDICATIVO'!B42</f>
        <v>Educación</v>
      </c>
      <c r="C42" s="1574" t="s">
        <v>149</v>
      </c>
      <c r="D42" s="1575"/>
      <c r="E42" s="1575"/>
      <c r="F42" s="1575"/>
      <c r="G42" s="1575"/>
      <c r="H42" s="1575"/>
      <c r="I42" s="1575"/>
      <c r="J42" s="1575"/>
      <c r="K42" s="1575"/>
      <c r="L42" s="1575"/>
      <c r="M42" s="1575"/>
      <c r="N42" s="1575"/>
      <c r="O42" s="1576"/>
      <c r="P42" s="22"/>
      <c r="Q42" s="22"/>
      <c r="R42" s="1"/>
      <c r="S42" s="261"/>
      <c r="T42" s="681"/>
      <c r="U42" s="261"/>
      <c r="V42" s="689">
        <f>SUM(V43:V46)</f>
        <v>731.96</v>
      </c>
      <c r="W42" s="261"/>
      <c r="X42" s="689">
        <f>SUM(X43:X46)</f>
        <v>932530000</v>
      </c>
      <c r="Y42" s="261"/>
      <c r="Z42" s="689">
        <f>SUM(Z43:Z46)</f>
        <v>962500000</v>
      </c>
      <c r="AA42" s="262"/>
      <c r="AB42" s="690">
        <f>SUM(AB43:AB46)</f>
        <v>971000000</v>
      </c>
      <c r="AC42" s="262"/>
      <c r="AD42" s="262"/>
      <c r="AE42" s="262"/>
      <c r="AF42" s="262"/>
      <c r="AG42" s="263"/>
      <c r="AH42" s="263"/>
      <c r="AI42" s="263"/>
      <c r="AJ42" s="262"/>
      <c r="AK42" s="262"/>
      <c r="AL42" s="262"/>
      <c r="AM42" s="262"/>
      <c r="AN42" s="262"/>
      <c r="AO42" s="612"/>
      <c r="AP42" s="616"/>
      <c r="AQ42" s="616"/>
      <c r="AR42" s="616"/>
      <c r="AS42" s="616"/>
      <c r="AT42" s="616"/>
      <c r="AU42" s="616"/>
      <c r="AV42" s="616"/>
      <c r="AW42" s="617"/>
      <c r="AX42" s="616" t="e">
        <f>(AX43:AX46)</f>
        <v>#VALUE!</v>
      </c>
      <c r="AY42" s="616" t="e">
        <f t="shared" ref="AY42:BD42" si="28">(AY43:AY46)</f>
        <v>#VALUE!</v>
      </c>
      <c r="AZ42" s="616" t="e">
        <f t="shared" si="28"/>
        <v>#VALUE!</v>
      </c>
      <c r="BA42" s="616" t="e">
        <f t="shared" si="28"/>
        <v>#VALUE!</v>
      </c>
      <c r="BB42" s="616" t="e">
        <f t="shared" si="28"/>
        <v>#VALUE!</v>
      </c>
      <c r="BC42" s="616" t="e">
        <f t="shared" si="28"/>
        <v>#VALUE!</v>
      </c>
      <c r="BD42" s="616" t="e">
        <f t="shared" si="28"/>
        <v>#VALUE!</v>
      </c>
      <c r="BE42" s="617" t="e">
        <f t="shared" si="18"/>
        <v>#VALUE!</v>
      </c>
      <c r="BF42" s="616"/>
      <c r="BG42" s="616"/>
      <c r="BH42" s="616"/>
      <c r="BI42" s="616"/>
      <c r="BJ42" s="616"/>
      <c r="BK42" s="616"/>
      <c r="BL42" s="616"/>
      <c r="BM42" s="617">
        <f t="shared" si="19"/>
        <v>0</v>
      </c>
      <c r="BN42" s="616" t="e">
        <f>(BN43:BN46)</f>
        <v>#VALUE!</v>
      </c>
      <c r="BO42" s="616" t="e">
        <f t="shared" ref="BO42:BT42" si="29">(BO43:BO46)</f>
        <v>#VALUE!</v>
      </c>
      <c r="BP42" s="616" t="e">
        <f t="shared" si="29"/>
        <v>#VALUE!</v>
      </c>
      <c r="BQ42" s="616" t="e">
        <f t="shared" si="29"/>
        <v>#VALUE!</v>
      </c>
      <c r="BR42" s="616" t="e">
        <f t="shared" si="29"/>
        <v>#VALUE!</v>
      </c>
      <c r="BS42" s="616" t="e">
        <f t="shared" si="29"/>
        <v>#VALUE!</v>
      </c>
      <c r="BT42" s="616" t="e">
        <f t="shared" si="29"/>
        <v>#VALUE!</v>
      </c>
      <c r="BU42" s="617" t="e">
        <f t="shared" si="20"/>
        <v>#VALUE!</v>
      </c>
      <c r="BV42" s="556"/>
      <c r="BW42" s="863">
        <f t="shared" si="27"/>
        <v>0</v>
      </c>
      <c r="BX42" s="262" t="s">
        <v>2717</v>
      </c>
      <c r="BY42" s="262" t="s">
        <v>2717</v>
      </c>
      <c r="BZ42" s="262" t="s">
        <v>2717</v>
      </c>
      <c r="CA42" s="262" t="s">
        <v>2717</v>
      </c>
      <c r="CB42" s="262" t="s">
        <v>2717</v>
      </c>
    </row>
    <row r="43" spans="1:85" ht="68.25" hidden="1" customHeight="1" x14ac:dyDescent="0.25">
      <c r="A43" s="298" t="s">
        <v>2458</v>
      </c>
      <c r="B43" s="299" t="str">
        <f>'PLAN INDICATIVO'!B43</f>
        <v>Educación</v>
      </c>
      <c r="C43" s="299" t="s">
        <v>150</v>
      </c>
      <c r="D43" s="1425" t="s">
        <v>151</v>
      </c>
      <c r="E43" s="1425" t="s">
        <v>152</v>
      </c>
      <c r="F43" s="1429">
        <v>2014</v>
      </c>
      <c r="G43" s="1425">
        <v>10.6</v>
      </c>
      <c r="H43" s="1429">
        <v>8</v>
      </c>
      <c r="I43" s="300">
        <f>'PLAN INDICATIVO'!I43</f>
        <v>0</v>
      </c>
      <c r="J43" s="300">
        <f>'PLAN INDICATIVO'!J43</f>
        <v>0</v>
      </c>
      <c r="K43" s="1425" t="str">
        <f>'PLAN INDICATIVO'!K43</f>
        <v>A.1.3.1</v>
      </c>
      <c r="L43" s="1425" t="str">
        <f>'PLAN INDICATIVO'!L43</f>
        <v>4. Educación de calidad</v>
      </c>
      <c r="M43" s="1425" t="str">
        <f>'PLAN INDICATIVO'!M43</f>
        <v>Secretaría de Educación, Cultura, deporte y Turismo</v>
      </c>
      <c r="N43" s="1425" t="str">
        <f>'PLAN INDICATIVO'!N43</f>
        <v>YIMI FERNANDO LOSADA PAYA</v>
      </c>
      <c r="O43" s="1425" t="str">
        <f>'PLAN INDICATIVO'!O43</f>
        <v>Incremento</v>
      </c>
      <c r="P43" s="1198" t="str">
        <f>'PLAN INDICATIVO'!P43</f>
        <v>Apoyar 4 programas de alfabetización para el cambio, dirigido a la población analfabeta del municipio.</v>
      </c>
      <c r="Q43" s="302" t="str">
        <f>'PLAN INDICATIVO'!Q43</f>
        <v>No. De programas de alfabetización con seguimiento</v>
      </c>
      <c r="R43" s="303">
        <f>'PLAN INDICATIVO'!R43</f>
        <v>2015</v>
      </c>
      <c r="S43" s="304">
        <v>1</v>
      </c>
      <c r="T43" s="677">
        <v>4</v>
      </c>
      <c r="U43" s="303">
        <v>1</v>
      </c>
      <c r="V43" s="687">
        <v>3</v>
      </c>
      <c r="W43" s="572">
        <v>1</v>
      </c>
      <c r="X43" s="687">
        <v>5000000</v>
      </c>
      <c r="Y43" s="572">
        <v>1</v>
      </c>
      <c r="Z43" s="687">
        <v>2500000</v>
      </c>
      <c r="AA43" s="1310">
        <v>1</v>
      </c>
      <c r="AB43" s="687">
        <v>1000000</v>
      </c>
      <c r="AC43" s="665">
        <v>1</v>
      </c>
      <c r="AD43" s="665">
        <v>1</v>
      </c>
      <c r="AE43" s="665">
        <v>1</v>
      </c>
      <c r="AF43" s="665"/>
      <c r="AG43" s="664" t="s">
        <v>4010</v>
      </c>
      <c r="AH43" s="985">
        <v>2018413960012</v>
      </c>
      <c r="AI43" s="307" t="s">
        <v>4011</v>
      </c>
      <c r="AJ43" s="309">
        <v>43132</v>
      </c>
      <c r="AK43" s="309">
        <v>43281</v>
      </c>
      <c r="AL43" s="308"/>
      <c r="AM43" s="308"/>
      <c r="AN43" s="267" t="s">
        <v>2598</v>
      </c>
      <c r="AO43" s="507" t="s">
        <v>2635</v>
      </c>
      <c r="AP43" s="525"/>
      <c r="AQ43" s="310"/>
      <c r="AR43" s="310"/>
      <c r="AS43" s="310"/>
      <c r="AT43" s="310"/>
      <c r="AU43" s="310"/>
      <c r="AV43" s="310"/>
      <c r="AW43" s="544"/>
      <c r="AX43" s="525"/>
      <c r="AY43" s="310"/>
      <c r="AZ43" s="310"/>
      <c r="BA43" s="310"/>
      <c r="BB43" s="310"/>
      <c r="BC43" s="310"/>
      <c r="BD43" s="310"/>
      <c r="BE43" s="544">
        <f t="shared" si="18"/>
        <v>0</v>
      </c>
      <c r="BF43" s="525"/>
      <c r="BG43" s="310"/>
      <c r="BH43" s="310"/>
      <c r="BI43" s="310"/>
      <c r="BJ43" s="310"/>
      <c r="BK43" s="310"/>
      <c r="BL43" s="310"/>
      <c r="BM43" s="544">
        <f t="shared" si="19"/>
        <v>0</v>
      </c>
      <c r="BN43" s="525"/>
      <c r="BO43" s="310"/>
      <c r="BP43" s="310"/>
      <c r="BQ43" s="310"/>
      <c r="BR43" s="310"/>
      <c r="BS43" s="310"/>
      <c r="BT43" s="310"/>
      <c r="BU43" s="544">
        <f t="shared" si="20"/>
        <v>0</v>
      </c>
      <c r="BV43" s="1637" t="s">
        <v>2587</v>
      </c>
      <c r="BW43" s="663">
        <f t="shared" si="27"/>
        <v>3</v>
      </c>
      <c r="BX43" s="1047">
        <f>BW43/T43</f>
        <v>0.75</v>
      </c>
      <c r="BY43" s="1047">
        <f>IF(U43&gt;=0.1,AC43/U43,IF(ISBLANK(U43),"No Programada","Aplazada"))</f>
        <v>1</v>
      </c>
      <c r="BZ43" s="1047">
        <f>IF(W43&gt;=0.1,AD43/W43,IF(ISBLANK(W43),"No Programada","Aplazada"))</f>
        <v>1</v>
      </c>
      <c r="CA43" s="1047">
        <f>IF(Y43&gt;=0.1,AE43/Y43,IF(ISBLANK(Y43),"No Programada","Aplazada"))</f>
        <v>1</v>
      </c>
      <c r="CB43" s="1047">
        <f>IF(AA43&gt;=0.1,AF43/AA43,IF(ISBLANK(AA43),"No Programada","Aplazada"))</f>
        <v>0</v>
      </c>
      <c r="CD43" t="str">
        <f t="shared" ref="CD43:CG46" si="30">IF(BY43="PARA MODIFICAR","M",IF(BY43="PARA ELIMINAR","E",IF(BY43="aplazada","AZ",IF(BY43="no programada","NP",IF(BY43&gt;=85%,"VE",IF(BY43&gt;70%,"VEB",IF(BY43&gt;60%,"AM",IF(BY43&gt;40%,"AMB",IF(BY43&gt;20%,"RO",IF(BY43&gt;=0%,"ROB",""))))))))))</f>
        <v>VE</v>
      </c>
      <c r="CE43" t="str">
        <f t="shared" si="30"/>
        <v>VE</v>
      </c>
      <c r="CF43" t="str">
        <f t="shared" si="30"/>
        <v>VE</v>
      </c>
      <c r="CG43" t="str">
        <f t="shared" si="30"/>
        <v>ROB</v>
      </c>
    </row>
    <row r="44" spans="1:85" ht="52.5" hidden="1" customHeight="1" x14ac:dyDescent="0.25">
      <c r="A44" s="298" t="s">
        <v>38</v>
      </c>
      <c r="B44" s="299" t="str">
        <f>'PLAN INDICATIVO'!B44</f>
        <v>Educación</v>
      </c>
      <c r="C44" s="1546" t="s">
        <v>156</v>
      </c>
      <c r="D44" s="1549" t="s">
        <v>157</v>
      </c>
      <c r="E44" s="1549" t="s">
        <v>158</v>
      </c>
      <c r="F44" s="1549">
        <v>2014</v>
      </c>
      <c r="G44" s="1549">
        <v>4.29</v>
      </c>
      <c r="H44" s="1549">
        <v>4</v>
      </c>
      <c r="I44" s="300">
        <f>'PLAN INDICATIVO'!I44</f>
        <v>0</v>
      </c>
      <c r="J44" s="300">
        <f>'PLAN INDICATIVO'!J44</f>
        <v>0</v>
      </c>
      <c r="K44" s="1425" t="str">
        <f>'PLAN INDICATIVO'!K44</f>
        <v>A.1.4.1</v>
      </c>
      <c r="L44" s="1425" t="str">
        <f>'PLAN INDICATIVO'!L44</f>
        <v>4. Educación de calidad</v>
      </c>
      <c r="M44" s="1425" t="str">
        <f>'PLAN INDICATIVO'!M44</f>
        <v>Secretaría de Educación, Cultura, deporte y Turismo</v>
      </c>
      <c r="N44" s="1425" t="str">
        <f>'PLAN INDICATIVO'!N44</f>
        <v>YIMI FERNANDO LOSADA PAYA</v>
      </c>
      <c r="O44" s="1425" t="str">
        <f>'PLAN INDICATIVO'!O44</f>
        <v>Mantenimiento</v>
      </c>
      <c r="P44" s="16" t="str">
        <f>'PLAN INDICATIVO'!P44</f>
        <v>Mantener 1 Programa de Alimentación escolar cada año en el municipio durante el cuatrienio.</v>
      </c>
      <c r="Q44" s="302" t="str">
        <f>'PLAN INDICATIVO'!Q44</f>
        <v>No. De programas de restaurantes escolares en funcionamiento cada año</v>
      </c>
      <c r="R44" s="303">
        <f>'PLAN INDICATIVO'!R44</f>
        <v>2015</v>
      </c>
      <c r="S44" s="304">
        <v>1</v>
      </c>
      <c r="T44" s="677">
        <v>1</v>
      </c>
      <c r="U44" s="303">
        <v>0.25</v>
      </c>
      <c r="V44" s="687">
        <v>297.52999999999997</v>
      </c>
      <c r="W44" s="572">
        <v>0.25</v>
      </c>
      <c r="X44" s="687">
        <v>300000000</v>
      </c>
      <c r="Y44" s="572">
        <v>0.25</v>
      </c>
      <c r="Z44" s="687">
        <v>340000000</v>
      </c>
      <c r="AA44" s="1310">
        <v>0.25</v>
      </c>
      <c r="AB44" s="687">
        <v>340000000</v>
      </c>
      <c r="AC44" s="665">
        <v>0.25</v>
      </c>
      <c r="AD44" s="665">
        <v>0.25</v>
      </c>
      <c r="AE44" s="665">
        <v>0.25</v>
      </c>
      <c r="AF44" s="665"/>
      <c r="AG44" s="664" t="s">
        <v>4010</v>
      </c>
      <c r="AH44" s="985">
        <v>2018413960012</v>
      </c>
      <c r="AI44" s="307" t="s">
        <v>4012</v>
      </c>
      <c r="AJ44" s="309">
        <v>43191</v>
      </c>
      <c r="AK44" s="309">
        <v>43434</v>
      </c>
      <c r="AL44" s="308"/>
      <c r="AM44" s="308"/>
      <c r="AN44" s="267" t="s">
        <v>2604</v>
      </c>
      <c r="AO44" s="507">
        <v>2301</v>
      </c>
      <c r="AP44" s="525"/>
      <c r="AQ44" s="310"/>
      <c r="AR44" s="310"/>
      <c r="AS44" s="310"/>
      <c r="AT44" s="310"/>
      <c r="AU44" s="310"/>
      <c r="AV44" s="310"/>
      <c r="AW44" s="544"/>
      <c r="AX44" s="525"/>
      <c r="AY44" s="310"/>
      <c r="AZ44" s="310"/>
      <c r="BA44" s="310"/>
      <c r="BB44" s="310"/>
      <c r="BC44" s="310"/>
      <c r="BD44" s="310"/>
      <c r="BE44" s="544">
        <f t="shared" si="18"/>
        <v>0</v>
      </c>
      <c r="BF44" s="525"/>
      <c r="BG44" s="310">
        <v>317035273</v>
      </c>
      <c r="BH44" s="310"/>
      <c r="BI44" s="310"/>
      <c r="BJ44" s="310"/>
      <c r="BK44" s="310"/>
      <c r="BL44" s="310"/>
      <c r="BM44" s="544">
        <f t="shared" si="19"/>
        <v>317035273</v>
      </c>
      <c r="BN44" s="525"/>
      <c r="BO44" s="310"/>
      <c r="BP44" s="310"/>
      <c r="BQ44" s="310"/>
      <c r="BR44" s="310"/>
      <c r="BS44" s="310"/>
      <c r="BT44" s="310"/>
      <c r="BU44" s="544">
        <f t="shared" si="20"/>
        <v>0</v>
      </c>
      <c r="BV44" s="1638"/>
      <c r="BW44" s="663">
        <f t="shared" si="27"/>
        <v>0.75</v>
      </c>
      <c r="BX44" s="1047">
        <f>BW44/T44</f>
        <v>0.75</v>
      </c>
      <c r="BY44" s="1047">
        <f>IF(U44&gt;=0.1,AC44/U44,IF(ISBLANK(U44),"No Programada","Aplazada"))</f>
        <v>1</v>
      </c>
      <c r="BZ44" s="1047">
        <f>IF(W44&gt;=0.1,AD44/W44,IF(ISBLANK(W44),"No Programada","Aplazada"))</f>
        <v>1</v>
      </c>
      <c r="CA44" s="1047">
        <f>IF(Y44&gt;=0.1,AE44/Y44,IF(ISBLANK(Y44),"No Programada","Aplazada"))</f>
        <v>1</v>
      </c>
      <c r="CB44" s="1047">
        <f>IF(AA44&gt;=0.1,AF44/AA44,IF(ISBLANK(AA44),"No Programada","Aplazada"))</f>
        <v>0</v>
      </c>
      <c r="CD44" t="str">
        <f t="shared" si="30"/>
        <v>VE</v>
      </c>
      <c r="CE44" t="str">
        <f t="shared" si="30"/>
        <v>VE</v>
      </c>
      <c r="CF44" t="str">
        <f t="shared" si="30"/>
        <v>VE</v>
      </c>
      <c r="CG44" t="str">
        <f t="shared" si="30"/>
        <v>ROB</v>
      </c>
    </row>
    <row r="45" spans="1:85" ht="50.25" hidden="1" customHeight="1" x14ac:dyDescent="0.25">
      <c r="A45" s="298" t="s">
        <v>38</v>
      </c>
      <c r="B45" s="299" t="str">
        <f>'PLAN INDICATIVO'!B45</f>
        <v>Educación</v>
      </c>
      <c r="C45" s="1547"/>
      <c r="D45" s="1549"/>
      <c r="E45" s="1549"/>
      <c r="F45" s="1549"/>
      <c r="G45" s="1549"/>
      <c r="H45" s="1549"/>
      <c r="I45" s="300">
        <f>'PLAN INDICATIVO'!I45</f>
        <v>0</v>
      </c>
      <c r="J45" s="300">
        <f>'PLAN INDICATIVO'!J45</f>
        <v>0</v>
      </c>
      <c r="K45" s="1425" t="str">
        <f>'PLAN INDICATIVO'!K45</f>
        <v>A.1.4.2</v>
      </c>
      <c r="L45" s="1425" t="str">
        <f>'PLAN INDICATIVO'!L45</f>
        <v>4. Educación de calidad</v>
      </c>
      <c r="M45" s="1425" t="str">
        <f>'PLAN INDICATIVO'!M45</f>
        <v>Secretaría de Educación, Cultura, deporte y Turismo</v>
      </c>
      <c r="N45" s="1425" t="str">
        <f>'PLAN INDICATIVO'!N45</f>
        <v>YIMI FERNANDO LOSADA PAYA</v>
      </c>
      <c r="O45" s="1425" t="str">
        <f>'PLAN INDICATIVO'!O45</f>
        <v>Incremento</v>
      </c>
      <c r="P45" s="16" t="str">
        <f>'PLAN INDICATIVO'!P45</f>
        <v>Suministrar 4 dotaciones de menaje y dotación para la prestación del servicio de alimentación escolar a las IE públicas del municipio, durante el cuatrienio</v>
      </c>
      <c r="Q45" s="302" t="str">
        <f>'PLAN INDICATIVO'!Q45</f>
        <v>No. De dotaciones suministradas durante el cuatrienio</v>
      </c>
      <c r="R45" s="303">
        <f>'PLAN INDICATIVO'!R45</f>
        <v>2015</v>
      </c>
      <c r="S45" s="304">
        <v>1</v>
      </c>
      <c r="T45" s="677">
        <v>4</v>
      </c>
      <c r="U45" s="303">
        <v>1</v>
      </c>
      <c r="V45" s="687">
        <v>31.43</v>
      </c>
      <c r="W45" s="572">
        <v>1</v>
      </c>
      <c r="X45" s="687">
        <v>27530000</v>
      </c>
      <c r="Y45" s="572">
        <v>1</v>
      </c>
      <c r="Z45" s="687">
        <v>5000000</v>
      </c>
      <c r="AA45" s="1310">
        <v>1</v>
      </c>
      <c r="AB45" s="687">
        <v>10000000</v>
      </c>
      <c r="AC45" s="665">
        <v>1</v>
      </c>
      <c r="AD45" s="665">
        <v>1</v>
      </c>
      <c r="AE45" s="665">
        <v>1</v>
      </c>
      <c r="AF45" s="665"/>
      <c r="AG45" s="664" t="s">
        <v>4010</v>
      </c>
      <c r="AH45" s="985">
        <v>2018413960012</v>
      </c>
      <c r="AI45" s="307" t="s">
        <v>4013</v>
      </c>
      <c r="AJ45" s="309">
        <v>43191</v>
      </c>
      <c r="AK45" s="309">
        <v>43465</v>
      </c>
      <c r="AL45" s="308"/>
      <c r="AM45" s="308"/>
      <c r="AN45" s="267" t="s">
        <v>2604</v>
      </c>
      <c r="AO45" s="507">
        <v>2301</v>
      </c>
      <c r="AP45" s="525"/>
      <c r="AQ45" s="310"/>
      <c r="AR45" s="310"/>
      <c r="AS45" s="310"/>
      <c r="AT45" s="310"/>
      <c r="AU45" s="310"/>
      <c r="AV45" s="310"/>
      <c r="AW45" s="544"/>
      <c r="AX45" s="525"/>
      <c r="AY45" s="310"/>
      <c r="AZ45" s="310"/>
      <c r="BA45" s="310"/>
      <c r="BB45" s="310"/>
      <c r="BC45" s="310"/>
      <c r="BD45" s="310"/>
      <c r="BE45" s="544">
        <f t="shared" si="18"/>
        <v>0</v>
      </c>
      <c r="BF45" s="525"/>
      <c r="BG45" s="310">
        <v>55800000</v>
      </c>
      <c r="BH45" s="310"/>
      <c r="BI45" s="310"/>
      <c r="BJ45" s="310"/>
      <c r="BK45" s="310"/>
      <c r="BL45" s="310"/>
      <c r="BM45" s="544">
        <f t="shared" si="19"/>
        <v>55800000</v>
      </c>
      <c r="BN45" s="525"/>
      <c r="BO45" s="310"/>
      <c r="BP45" s="310"/>
      <c r="BQ45" s="310"/>
      <c r="BR45" s="310"/>
      <c r="BS45" s="310"/>
      <c r="BT45" s="310"/>
      <c r="BU45" s="544">
        <f t="shared" si="20"/>
        <v>0</v>
      </c>
      <c r="BV45" s="1638"/>
      <c r="BW45" s="663">
        <f t="shared" si="27"/>
        <v>3</v>
      </c>
      <c r="BX45" s="1047">
        <f>BW45/T45</f>
        <v>0.75</v>
      </c>
      <c r="BY45" s="1047">
        <f>IF(U45&gt;=0.1,AC45/U45,IF(ISBLANK(U45),"No Programada","Aplazada"))</f>
        <v>1</v>
      </c>
      <c r="BZ45" s="1047">
        <f>IF(W45&gt;=0.1,AD45/W45,IF(ISBLANK(W45),"No Programada","Aplazada"))</f>
        <v>1</v>
      </c>
      <c r="CA45" s="1047">
        <f>IF(Y45&gt;=0.1,AE45/Y45,IF(ISBLANK(Y45),"No Programada","Aplazada"))</f>
        <v>1</v>
      </c>
      <c r="CB45" s="1047">
        <f>IF(AA45&gt;=0.1,AF45/AA45,IF(ISBLANK(AA45),"No Programada","Aplazada"))</f>
        <v>0</v>
      </c>
      <c r="CD45" t="str">
        <f t="shared" si="30"/>
        <v>VE</v>
      </c>
      <c r="CE45" t="str">
        <f t="shared" si="30"/>
        <v>VE</v>
      </c>
      <c r="CF45" t="str">
        <f t="shared" si="30"/>
        <v>VE</v>
      </c>
      <c r="CG45" t="str">
        <f t="shared" si="30"/>
        <v>ROB</v>
      </c>
    </row>
    <row r="46" spans="1:85" ht="51" hidden="1" customHeight="1" thickBot="1" x14ac:dyDescent="0.3">
      <c r="A46" s="298" t="s">
        <v>38</v>
      </c>
      <c r="B46" s="299" t="str">
        <f>'PLAN INDICATIVO'!B46</f>
        <v>Educación</v>
      </c>
      <c r="C46" s="1548"/>
      <c r="D46" s="1549"/>
      <c r="E46" s="1549"/>
      <c r="F46" s="1549"/>
      <c r="G46" s="1549"/>
      <c r="H46" s="1549"/>
      <c r="I46" s="300">
        <f>'PLAN INDICATIVO'!I46</f>
        <v>0</v>
      </c>
      <c r="J46" s="300">
        <f>'PLAN INDICATIVO'!J46</f>
        <v>0</v>
      </c>
      <c r="K46" s="1425" t="str">
        <f>'PLAN INDICATIVO'!K46</f>
        <v>A.1.4.3</v>
      </c>
      <c r="L46" s="1425" t="str">
        <f>'PLAN INDICATIVO'!L46</f>
        <v>4. Educación de calidad</v>
      </c>
      <c r="M46" s="1425" t="str">
        <f>'PLAN INDICATIVO'!M46</f>
        <v>Secretaría de Educación, Cultura, deporte y Turismo</v>
      </c>
      <c r="N46" s="1425" t="str">
        <f>'PLAN INDICATIVO'!N46</f>
        <v>YIMI FERNANDO LOSADA PAYA</v>
      </c>
      <c r="O46" s="1425" t="str">
        <f>'PLAN INDICATIVO'!O46</f>
        <v>Mantenimiento</v>
      </c>
      <c r="P46" s="16" t="str">
        <f>'PLAN INDICATIVO'!P46</f>
        <v xml:space="preserve">Atender 65 rutas de transporte escolar por año en el sector urbano y rural del municipio durante el cuatrienio. </v>
      </c>
      <c r="Q46" s="302" t="str">
        <f>'PLAN INDICATIVO'!Q46</f>
        <v>No. De rutas de transporte escolar implementadas cada año</v>
      </c>
      <c r="R46" s="303">
        <f>'PLAN INDICATIVO'!R46</f>
        <v>2015</v>
      </c>
      <c r="S46" s="304">
        <v>61</v>
      </c>
      <c r="T46" s="677">
        <v>65</v>
      </c>
      <c r="U46" s="303">
        <v>65</v>
      </c>
      <c r="V46" s="687">
        <v>400</v>
      </c>
      <c r="W46" s="572">
        <v>65</v>
      </c>
      <c r="X46" s="687">
        <v>600000000</v>
      </c>
      <c r="Y46" s="572">
        <v>65</v>
      </c>
      <c r="Z46" s="687">
        <v>615000000</v>
      </c>
      <c r="AA46" s="1310">
        <v>65</v>
      </c>
      <c r="AB46" s="687">
        <v>620000000</v>
      </c>
      <c r="AC46" s="665">
        <f>65</f>
        <v>65</v>
      </c>
      <c r="AD46" s="904">
        <v>83</v>
      </c>
      <c r="AE46" s="665">
        <v>86</v>
      </c>
      <c r="AF46" s="665"/>
      <c r="AG46" s="664" t="s">
        <v>4010</v>
      </c>
      <c r="AH46" s="985">
        <v>2018413960012</v>
      </c>
      <c r="AI46" s="307" t="s">
        <v>4014</v>
      </c>
      <c r="AJ46" s="309">
        <v>43132</v>
      </c>
      <c r="AK46" s="309">
        <v>43429</v>
      </c>
      <c r="AL46" s="308"/>
      <c r="AM46" s="308"/>
      <c r="AN46" s="267" t="s">
        <v>2598</v>
      </c>
      <c r="AO46" s="507" t="s">
        <v>4015</v>
      </c>
      <c r="AP46" s="525"/>
      <c r="AQ46" s="310"/>
      <c r="AR46" s="310"/>
      <c r="AS46" s="310"/>
      <c r="AT46" s="310"/>
      <c r="AU46" s="310"/>
      <c r="AV46" s="310"/>
      <c r="AW46" s="544"/>
      <c r="AX46" s="525"/>
      <c r="AY46" s="310"/>
      <c r="AZ46" s="310"/>
      <c r="BA46" s="310"/>
      <c r="BB46" s="310"/>
      <c r="BC46" s="310"/>
      <c r="BD46" s="310"/>
      <c r="BE46" s="544">
        <f t="shared" si="18"/>
        <v>0</v>
      </c>
      <c r="BF46" s="525"/>
      <c r="BG46" s="310">
        <v>524214550</v>
      </c>
      <c r="BH46" s="310"/>
      <c r="BI46" s="310"/>
      <c r="BJ46" s="310"/>
      <c r="BK46" s="310"/>
      <c r="BL46" s="310"/>
      <c r="BM46" s="544">
        <f t="shared" si="19"/>
        <v>524214550</v>
      </c>
      <c r="BN46" s="525"/>
      <c r="BO46" s="310"/>
      <c r="BP46" s="310"/>
      <c r="BQ46" s="310"/>
      <c r="BR46" s="310"/>
      <c r="BS46" s="310"/>
      <c r="BT46" s="310"/>
      <c r="BU46" s="544">
        <f t="shared" si="20"/>
        <v>0</v>
      </c>
      <c r="BV46" s="1639"/>
      <c r="BW46" s="663">
        <f t="shared" si="27"/>
        <v>234</v>
      </c>
      <c r="BX46" s="1047">
        <f>BW46/T46</f>
        <v>3.6</v>
      </c>
      <c r="BY46" s="1047">
        <f>IF(U46&gt;=0.1,AC46/U46,IF(ISBLANK(U46),"No Programada","Aplazada"))</f>
        <v>1</v>
      </c>
      <c r="BZ46" s="1047">
        <f>IF(W46&gt;=0.1,AD46/W46,IF(ISBLANK(W46),"No Programada","Aplazada"))</f>
        <v>1.2769230769230768</v>
      </c>
      <c r="CA46" s="1047">
        <f>IF(Y46&gt;=0.1,AE46/Y46,IF(ISBLANK(Y46),"No Programada","Aplazada"))</f>
        <v>1.323076923076923</v>
      </c>
      <c r="CB46" s="1047">
        <f>IF(AA46&gt;=0.1,AF46/AA46,IF(ISBLANK(AA46),"No Programada","Aplazada"))</f>
        <v>0</v>
      </c>
      <c r="CD46" t="str">
        <f t="shared" si="30"/>
        <v>VE</v>
      </c>
      <c r="CE46" t="str">
        <f t="shared" si="30"/>
        <v>VE</v>
      </c>
      <c r="CF46" t="str">
        <f t="shared" si="30"/>
        <v>VE</v>
      </c>
      <c r="CG46" t="str">
        <f t="shared" si="30"/>
        <v>ROB</v>
      </c>
    </row>
    <row r="47" spans="1:85" ht="18.75" hidden="1" customHeight="1" thickBot="1" x14ac:dyDescent="0.3">
      <c r="A47" s="1608" t="s">
        <v>168</v>
      </c>
      <c r="B47" s="1609"/>
      <c r="C47" s="1609"/>
      <c r="D47" s="1609"/>
      <c r="E47" s="1609"/>
      <c r="F47" s="1609"/>
      <c r="G47" s="1609"/>
      <c r="H47" s="1609"/>
      <c r="I47" s="1609"/>
      <c r="J47" s="1609"/>
      <c r="K47" s="1609"/>
      <c r="L47" s="1609"/>
      <c r="M47" s="1609"/>
      <c r="N47" s="1609"/>
      <c r="O47" s="1609"/>
      <c r="P47" s="1609"/>
      <c r="Q47" s="1609"/>
      <c r="R47" s="1609"/>
      <c r="S47" s="1609"/>
      <c r="T47" s="1609"/>
      <c r="U47" s="1609"/>
      <c r="V47" s="1609"/>
      <c r="W47" s="1609"/>
      <c r="X47" s="1609"/>
      <c r="Y47" s="1609"/>
      <c r="Z47" s="1609"/>
      <c r="AA47" s="1609"/>
      <c r="AB47" s="1609"/>
      <c r="AC47" s="1609"/>
      <c r="AD47" s="1609"/>
      <c r="AE47" s="1609"/>
      <c r="AF47" s="1609"/>
      <c r="AG47" s="1609"/>
      <c r="AH47" s="1609"/>
      <c r="AI47" s="1609"/>
      <c r="AJ47" s="1609"/>
      <c r="AK47" s="1609"/>
      <c r="AL47" s="1609"/>
      <c r="AM47" s="1610"/>
      <c r="AN47" s="292"/>
      <c r="AO47" s="505"/>
      <c r="AP47" s="541"/>
      <c r="AQ47" s="542"/>
      <c r="AR47" s="542"/>
      <c r="AS47" s="542"/>
      <c r="AT47" s="542"/>
      <c r="AU47" s="542"/>
      <c r="AV47" s="542"/>
      <c r="AW47" s="543"/>
      <c r="AX47" s="541"/>
      <c r="AY47" s="542"/>
      <c r="AZ47" s="542"/>
      <c r="BA47" s="542"/>
      <c r="BB47" s="542"/>
      <c r="BC47" s="542"/>
      <c r="BD47" s="542"/>
      <c r="BE47" s="543">
        <f t="shared" si="18"/>
        <v>0</v>
      </c>
      <c r="BF47" s="541"/>
      <c r="BG47" s="542"/>
      <c r="BH47" s="542"/>
      <c r="BI47" s="542"/>
      <c r="BJ47" s="542"/>
      <c r="BK47" s="542"/>
      <c r="BL47" s="542"/>
      <c r="BM47" s="543">
        <f t="shared" si="19"/>
        <v>0</v>
      </c>
      <c r="BN47" s="541"/>
      <c r="BO47" s="542"/>
      <c r="BP47" s="542"/>
      <c r="BQ47" s="542"/>
      <c r="BR47" s="542"/>
      <c r="BS47" s="542"/>
      <c r="BT47" s="542"/>
      <c r="BU47" s="543">
        <f t="shared" si="20"/>
        <v>0</v>
      </c>
      <c r="BV47" s="620"/>
      <c r="BW47" s="876">
        <f t="shared" si="27"/>
        <v>0</v>
      </c>
      <c r="BX47" s="542" t="s">
        <v>2717</v>
      </c>
      <c r="BY47" s="542" t="s">
        <v>2717</v>
      </c>
      <c r="BZ47" s="542" t="s">
        <v>2717</v>
      </c>
      <c r="CA47" s="542" t="s">
        <v>2717</v>
      </c>
      <c r="CB47" s="1047" t="s">
        <v>2717</v>
      </c>
    </row>
    <row r="48" spans="1:85" ht="2.25" hidden="1" customHeight="1" thickBot="1" x14ac:dyDescent="0.3">
      <c r="A48" s="311"/>
      <c r="B48" s="312" t="str">
        <f>'PLAN INDICATIVO'!B48</f>
        <v>Cultura</v>
      </c>
      <c r="C48" s="312"/>
      <c r="D48" s="1444" t="s">
        <v>170</v>
      </c>
      <c r="E48" s="1444"/>
      <c r="F48" s="1444"/>
      <c r="G48" s="1444"/>
      <c r="H48" s="1444"/>
      <c r="I48" s="1444"/>
      <c r="J48" s="1444"/>
      <c r="K48" s="1444"/>
      <c r="L48" s="1444"/>
      <c r="M48" s="1444"/>
      <c r="N48" s="1444"/>
      <c r="O48" s="1444"/>
      <c r="P48" s="1434"/>
      <c r="Q48" s="1434"/>
      <c r="R48" s="1444"/>
      <c r="S48" s="313"/>
      <c r="T48" s="682"/>
      <c r="U48" s="313"/>
      <c r="V48" s="313"/>
      <c r="W48" s="313"/>
      <c r="X48" s="313"/>
      <c r="Y48" s="313"/>
      <c r="Z48" s="313"/>
      <c r="AA48" s="314"/>
      <c r="AB48" s="314"/>
      <c r="AC48" s="314"/>
      <c r="AD48" s="314"/>
      <c r="AE48" s="314"/>
      <c r="AF48" s="314"/>
      <c r="AG48" s="315"/>
      <c r="AH48" s="315"/>
      <c r="AI48" s="315"/>
      <c r="AJ48" s="314"/>
      <c r="AK48" s="314"/>
      <c r="AL48" s="314"/>
      <c r="AM48" s="314"/>
      <c r="AN48" s="268"/>
      <c r="AO48" s="508"/>
      <c r="AP48" s="525"/>
      <c r="AQ48" s="310"/>
      <c r="AR48" s="310"/>
      <c r="AS48" s="310"/>
      <c r="AT48" s="310"/>
      <c r="AU48" s="310"/>
      <c r="AV48" s="310"/>
      <c r="AW48" s="544"/>
      <c r="AX48" s="525"/>
      <c r="AY48" s="310"/>
      <c r="AZ48" s="310"/>
      <c r="BA48" s="310"/>
      <c r="BB48" s="310"/>
      <c r="BC48" s="310"/>
      <c r="BD48" s="310"/>
      <c r="BE48" s="544">
        <f t="shared" si="18"/>
        <v>0</v>
      </c>
      <c r="BF48" s="525"/>
      <c r="BG48" s="310"/>
      <c r="BH48" s="310"/>
      <c r="BI48" s="310"/>
      <c r="BJ48" s="310"/>
      <c r="BK48" s="310"/>
      <c r="BL48" s="310"/>
      <c r="BM48" s="544">
        <f t="shared" si="19"/>
        <v>0</v>
      </c>
      <c r="BN48" s="525"/>
      <c r="BO48" s="310"/>
      <c r="BP48" s="310"/>
      <c r="BQ48" s="310"/>
      <c r="BR48" s="310"/>
      <c r="BS48" s="310"/>
      <c r="BT48" s="310"/>
      <c r="BU48" s="544">
        <f t="shared" si="20"/>
        <v>0</v>
      </c>
      <c r="BV48" s="556"/>
      <c r="BW48" s="663">
        <f t="shared" si="27"/>
        <v>0</v>
      </c>
      <c r="BX48" s="542" t="s">
        <v>2717</v>
      </c>
      <c r="BY48" s="542" t="s">
        <v>2717</v>
      </c>
      <c r="BZ48" s="542" t="s">
        <v>2717</v>
      </c>
      <c r="CA48" s="542" t="s">
        <v>2717</v>
      </c>
      <c r="CB48" s="1047" t="s">
        <v>2717</v>
      </c>
    </row>
    <row r="49" spans="1:85" ht="23.25" hidden="1" customHeight="1" thickBot="1" x14ac:dyDescent="0.3">
      <c r="A49" s="1608" t="s">
        <v>171</v>
      </c>
      <c r="B49" s="1609"/>
      <c r="C49" s="1609"/>
      <c r="D49" s="1609"/>
      <c r="E49" s="1609"/>
      <c r="F49" s="1609"/>
      <c r="G49" s="1609"/>
      <c r="H49" s="1609"/>
      <c r="I49" s="1609"/>
      <c r="J49" s="1609"/>
      <c r="K49" s="1609"/>
      <c r="L49" s="1609"/>
      <c r="M49" s="1609"/>
      <c r="N49" s="1609"/>
      <c r="O49" s="1609"/>
      <c r="P49" s="1609"/>
      <c r="Q49" s="1609"/>
      <c r="R49" s="1609"/>
      <c r="S49" s="1609"/>
      <c r="T49" s="1609"/>
      <c r="U49" s="1609"/>
      <c r="V49" s="1609"/>
      <c r="W49" s="1609"/>
      <c r="X49" s="1609"/>
      <c r="Y49" s="1609"/>
      <c r="Z49" s="1609"/>
      <c r="AA49" s="1609"/>
      <c r="AB49" s="1609"/>
      <c r="AC49" s="1609"/>
      <c r="AD49" s="1609"/>
      <c r="AE49" s="1609"/>
      <c r="AF49" s="1609"/>
      <c r="AG49" s="1609"/>
      <c r="AH49" s="1609"/>
      <c r="AI49" s="1609"/>
      <c r="AJ49" s="1609"/>
      <c r="AK49" s="1609"/>
      <c r="AL49" s="1609"/>
      <c r="AM49" s="1610"/>
      <c r="AN49" s="435"/>
      <c r="AO49" s="660"/>
      <c r="AP49" s="541"/>
      <c r="AQ49" s="541"/>
      <c r="AR49" s="541"/>
      <c r="AS49" s="541"/>
      <c r="AT49" s="541"/>
      <c r="AU49" s="541"/>
      <c r="AV49" s="541"/>
      <c r="AW49" s="543"/>
      <c r="AX49" s="541"/>
      <c r="AY49" s="542"/>
      <c r="AZ49" s="542"/>
      <c r="BA49" s="542"/>
      <c r="BB49" s="542"/>
      <c r="BC49" s="542"/>
      <c r="BD49" s="542"/>
      <c r="BE49" s="543">
        <f t="shared" si="18"/>
        <v>0</v>
      </c>
      <c r="BF49" s="541"/>
      <c r="BG49" s="542"/>
      <c r="BH49" s="542"/>
      <c r="BI49" s="542"/>
      <c r="BJ49" s="542"/>
      <c r="BK49" s="542"/>
      <c r="BL49" s="542"/>
      <c r="BM49" s="543">
        <f t="shared" si="19"/>
        <v>0</v>
      </c>
      <c r="BN49" s="541"/>
      <c r="BO49" s="542"/>
      <c r="BP49" s="542"/>
      <c r="BQ49" s="542"/>
      <c r="BR49" s="542"/>
      <c r="BS49" s="542"/>
      <c r="BT49" s="542"/>
      <c r="BU49" s="543">
        <f t="shared" si="20"/>
        <v>0</v>
      </c>
      <c r="BV49" s="620"/>
      <c r="BW49" s="663">
        <f t="shared" si="27"/>
        <v>0</v>
      </c>
      <c r="BX49" s="660" t="s">
        <v>2717</v>
      </c>
      <c r="BY49" s="660" t="s">
        <v>2717</v>
      </c>
      <c r="BZ49" s="660" t="s">
        <v>2717</v>
      </c>
      <c r="CA49" s="660" t="s">
        <v>2717</v>
      </c>
      <c r="CB49" s="1047" t="s">
        <v>2717</v>
      </c>
    </row>
    <row r="50" spans="1:85" ht="15" hidden="1" customHeight="1" x14ac:dyDescent="0.25">
      <c r="A50" s="296"/>
      <c r="B50" s="331"/>
      <c r="C50" s="1592" t="s">
        <v>172</v>
      </c>
      <c r="D50" s="1593"/>
      <c r="E50" s="1593"/>
      <c r="F50" s="1593"/>
      <c r="G50" s="1593"/>
      <c r="H50" s="1593"/>
      <c r="I50" s="1593"/>
      <c r="J50" s="1593"/>
      <c r="K50" s="1593"/>
      <c r="L50" s="1593"/>
      <c r="M50" s="1593"/>
      <c r="N50" s="1593"/>
      <c r="O50" s="1594"/>
      <c r="P50" s="318"/>
      <c r="Q50" s="318"/>
      <c r="R50" s="317"/>
      <c r="S50" s="319"/>
      <c r="T50" s="676"/>
      <c r="U50" s="319"/>
      <c r="V50" s="695">
        <f>SUM(V51:V73)</f>
        <v>137000000</v>
      </c>
      <c r="W50" s="319"/>
      <c r="X50" s="695">
        <f>SUM(X51:X73)</f>
        <v>145000000</v>
      </c>
      <c r="Y50" s="319"/>
      <c r="Z50" s="695">
        <f>SUM(Z51:Z73)</f>
        <v>138000000</v>
      </c>
      <c r="AA50" s="320"/>
      <c r="AB50" s="708">
        <f>SUM(AB51:AB73)</f>
        <v>657000000</v>
      </c>
      <c r="AC50" s="320"/>
      <c r="AD50" s="320"/>
      <c r="AE50" s="320"/>
      <c r="AF50" s="320"/>
      <c r="AG50" s="321"/>
      <c r="AH50" s="321"/>
      <c r="AI50" s="321"/>
      <c r="AJ50" s="320"/>
      <c r="AK50" s="320"/>
      <c r="AL50" s="320"/>
      <c r="AM50" s="320"/>
      <c r="AN50" s="262"/>
      <c r="AO50" s="615"/>
      <c r="AP50" s="616"/>
      <c r="AQ50" s="616"/>
      <c r="AR50" s="616"/>
      <c r="AS50" s="616"/>
      <c r="AT50" s="616"/>
      <c r="AU50" s="616"/>
      <c r="AV50" s="616"/>
      <c r="AW50" s="617"/>
      <c r="AX50" s="616" t="e">
        <f>(AX51:AX73)</f>
        <v>#VALUE!</v>
      </c>
      <c r="AY50" s="616" t="e">
        <f t="shared" ref="AY50:BD50" si="31">(AY51:AY73)</f>
        <v>#VALUE!</v>
      </c>
      <c r="AZ50" s="616" t="e">
        <f t="shared" si="31"/>
        <v>#VALUE!</v>
      </c>
      <c r="BA50" s="616" t="e">
        <f t="shared" si="31"/>
        <v>#VALUE!</v>
      </c>
      <c r="BB50" s="616" t="e">
        <f t="shared" si="31"/>
        <v>#VALUE!</v>
      </c>
      <c r="BC50" s="616" t="e">
        <f t="shared" si="31"/>
        <v>#VALUE!</v>
      </c>
      <c r="BD50" s="616" t="e">
        <f t="shared" si="31"/>
        <v>#VALUE!</v>
      </c>
      <c r="BE50" s="617" t="e">
        <f t="shared" si="18"/>
        <v>#VALUE!</v>
      </c>
      <c r="BF50" s="616"/>
      <c r="BG50" s="616"/>
      <c r="BH50" s="616"/>
      <c r="BI50" s="616"/>
      <c r="BJ50" s="616"/>
      <c r="BK50" s="616"/>
      <c r="BL50" s="616"/>
      <c r="BM50" s="617">
        <f t="shared" si="19"/>
        <v>0</v>
      </c>
      <c r="BN50" s="616" t="e">
        <f>(BN51:BN73)</f>
        <v>#VALUE!</v>
      </c>
      <c r="BO50" s="616" t="e">
        <f t="shared" ref="BO50:BT50" si="32">(BO51:BO73)</f>
        <v>#VALUE!</v>
      </c>
      <c r="BP50" s="616" t="e">
        <f t="shared" si="32"/>
        <v>#VALUE!</v>
      </c>
      <c r="BQ50" s="616" t="e">
        <f t="shared" si="32"/>
        <v>#VALUE!</v>
      </c>
      <c r="BR50" s="616" t="e">
        <f t="shared" si="32"/>
        <v>#VALUE!</v>
      </c>
      <c r="BS50" s="616" t="e">
        <f t="shared" si="32"/>
        <v>#VALUE!</v>
      </c>
      <c r="BT50" s="616" t="e">
        <f t="shared" si="32"/>
        <v>#VALUE!</v>
      </c>
      <c r="BU50" s="617" t="e">
        <f t="shared" si="20"/>
        <v>#VALUE!</v>
      </c>
      <c r="BV50" s="556"/>
      <c r="BW50" s="663">
        <f t="shared" si="27"/>
        <v>0</v>
      </c>
      <c r="BX50" s="616" t="s">
        <v>2717</v>
      </c>
      <c r="BY50" s="616" t="s">
        <v>2717</v>
      </c>
      <c r="BZ50" s="616" t="s">
        <v>2717</v>
      </c>
      <c r="CA50" s="616" t="s">
        <v>2717</v>
      </c>
      <c r="CB50" s="1047" t="s">
        <v>2717</v>
      </c>
    </row>
    <row r="51" spans="1:85" ht="74.25" hidden="1" customHeight="1" x14ac:dyDescent="0.25">
      <c r="A51" s="298" t="s">
        <v>173</v>
      </c>
      <c r="B51" s="299" t="str">
        <f>'PLAN INDICATIVO'!B51</f>
        <v>Cultura</v>
      </c>
      <c r="C51" s="1546" t="s">
        <v>174</v>
      </c>
      <c r="D51" s="1550" t="s">
        <v>175</v>
      </c>
      <c r="E51" s="1550" t="s">
        <v>176</v>
      </c>
      <c r="F51" s="1550">
        <v>2015</v>
      </c>
      <c r="G51" s="1550" t="s">
        <v>177</v>
      </c>
      <c r="H51" s="1550">
        <v>10</v>
      </c>
      <c r="I51" s="332">
        <f>'PLAN INDICATIVO'!I51</f>
        <v>0</v>
      </c>
      <c r="J51" s="332">
        <f>'PLAN INDICATIVO'!J51</f>
        <v>0</v>
      </c>
      <c r="K51" s="1429" t="str">
        <f>'PLAN INDICATIVO'!K51</f>
        <v>A.5.1.1</v>
      </c>
      <c r="L51" s="1429" t="str">
        <f>'PLAN INDICATIVO'!L51</f>
        <v>11. Ciudades y comunidades sostenibles</v>
      </c>
      <c r="M51" s="1429" t="str">
        <f>'PLAN INDICATIVO'!M51</f>
        <v>Secretaría de Educación, Cultura, deporte y Turismo</v>
      </c>
      <c r="N51" s="1429" t="str">
        <f>'PLAN INDICATIVO'!N51</f>
        <v>YIMI FERNANDO LOSADA PAYA</v>
      </c>
      <c r="O51" s="1429" t="str">
        <f>'PLAN INDICATIVO'!O51</f>
        <v>Incremento</v>
      </c>
      <c r="P51" s="74" t="str">
        <f>'PLAN INDICATIVO'!P51</f>
        <v xml:space="preserve">Vincular 3.200 Personas al Programa de Escuelas de Formación Artística en el municipio durante el cuatrienio. </v>
      </c>
      <c r="Q51" s="333" t="str">
        <f>'PLAN INDICATIVO'!Q51</f>
        <v>Número  personas vinculadas en el cuatrienio</v>
      </c>
      <c r="R51" s="334" t="str">
        <f>'PLAN INDICATIVO'!R51</f>
        <v>2012/2015</v>
      </c>
      <c r="S51" s="304">
        <v>2049</v>
      </c>
      <c r="T51" s="677">
        <v>3200</v>
      </c>
      <c r="U51" s="303">
        <v>800</v>
      </c>
      <c r="V51" s="687">
        <v>17000000</v>
      </c>
      <c r="W51" s="572">
        <v>800</v>
      </c>
      <c r="X51" s="687">
        <v>17000000</v>
      </c>
      <c r="Y51" s="572">
        <v>800</v>
      </c>
      <c r="Z51" s="687">
        <v>20000000</v>
      </c>
      <c r="AA51" s="1310">
        <v>800</v>
      </c>
      <c r="AB51" s="687">
        <v>12000000</v>
      </c>
      <c r="AC51" s="665">
        <f>600+200</f>
        <v>800</v>
      </c>
      <c r="AD51" s="665">
        <v>800</v>
      </c>
      <c r="AE51" s="665">
        <v>800</v>
      </c>
      <c r="AF51" s="665"/>
      <c r="AG51" s="306" t="s">
        <v>4016</v>
      </c>
      <c r="AH51" s="987">
        <v>2018453960004</v>
      </c>
      <c r="AI51" s="1007" t="s">
        <v>4017</v>
      </c>
      <c r="AJ51" s="309" t="s">
        <v>3966</v>
      </c>
      <c r="AK51" s="309">
        <v>43405</v>
      </c>
      <c r="AL51" s="308"/>
      <c r="AM51" s="308"/>
      <c r="AN51" s="267" t="s">
        <v>2604</v>
      </c>
      <c r="AO51" s="508" t="s">
        <v>3487</v>
      </c>
      <c r="AP51" s="310"/>
      <c r="AQ51" s="310"/>
      <c r="AR51" s="310"/>
      <c r="AS51" s="310"/>
      <c r="AT51" s="310"/>
      <c r="AU51" s="310"/>
      <c r="AV51" s="310"/>
      <c r="AW51" s="544"/>
      <c r="AX51" s="525"/>
      <c r="AY51" s="310"/>
      <c r="AZ51" s="310"/>
      <c r="BA51" s="310"/>
      <c r="BB51" s="310"/>
      <c r="BC51" s="310"/>
      <c r="BD51" s="310"/>
      <c r="BE51" s="544">
        <f t="shared" si="18"/>
        <v>0</v>
      </c>
      <c r="BF51" s="310">
        <v>17000000</v>
      </c>
      <c r="BG51" s="310"/>
      <c r="BH51" s="310"/>
      <c r="BI51" s="310"/>
      <c r="BJ51" s="310"/>
      <c r="BK51" s="310"/>
      <c r="BL51" s="310"/>
      <c r="BM51" s="544">
        <f t="shared" si="19"/>
        <v>17000000</v>
      </c>
      <c r="BN51" s="525"/>
      <c r="BO51" s="310"/>
      <c r="BP51" s="310"/>
      <c r="BQ51" s="310"/>
      <c r="BR51" s="310"/>
      <c r="BS51" s="310"/>
      <c r="BT51" s="310"/>
      <c r="BU51" s="544">
        <f t="shared" si="20"/>
        <v>0</v>
      </c>
      <c r="BV51" s="556"/>
      <c r="BW51" s="663">
        <f t="shared" si="27"/>
        <v>2400</v>
      </c>
      <c r="BX51" s="1047">
        <f t="shared" ref="BX51:BX73" si="33">BW51/T51</f>
        <v>0.75</v>
      </c>
      <c r="BY51" s="1047">
        <f t="shared" ref="BY51:BY73" si="34">IF(U51&gt;=0.1,AC51/U51,IF(ISBLANK(U51),"No Programada","Aplazada"))</f>
        <v>1</v>
      </c>
      <c r="BZ51" s="1047">
        <f t="shared" ref="BZ51:BZ73" si="35">IF(W51&gt;=0.1,AD51/W51,IF(ISBLANK(W51),"No Programada","Aplazada"))</f>
        <v>1</v>
      </c>
      <c r="CA51" s="1047">
        <f t="shared" ref="CA51:CA73" si="36">IF(Y51&gt;=0.1,AE51/Y51,IF(ISBLANK(Y51),"No Programada","Aplazada"))</f>
        <v>1</v>
      </c>
      <c r="CB51" s="1047">
        <f t="shared" ref="CB51:CB73" si="37">IF(AA51&gt;=0.1,AF51/AA51,IF(ISBLANK(AA51),"No Programada","Aplazada"))</f>
        <v>0</v>
      </c>
      <c r="CD51" t="str">
        <f t="shared" ref="CD51:CG73" si="38">IF(BY51="PARA MODIFICAR","M",IF(BY51="PARA ELIMINAR","E",IF(BY51="aplazada","AZ",IF(BY51="no programada","NP",IF(BY51&gt;=85%,"VE",IF(BY51&gt;70%,"VEB",IF(BY51&gt;60%,"AM",IF(BY51&gt;40%,"AMB",IF(BY51&gt;20%,"RO",IF(BY51&gt;=0%,"ROB",""))))))))))</f>
        <v>VE</v>
      </c>
      <c r="CE51" t="str">
        <f t="shared" si="38"/>
        <v>VE</v>
      </c>
      <c r="CF51" t="str">
        <f t="shared" si="38"/>
        <v>VE</v>
      </c>
      <c r="CG51" t="str">
        <f t="shared" si="38"/>
        <v>ROB</v>
      </c>
    </row>
    <row r="52" spans="1:85" ht="81.75" hidden="1" customHeight="1" x14ac:dyDescent="0.25">
      <c r="A52" s="298" t="s">
        <v>173</v>
      </c>
      <c r="B52" s="299" t="str">
        <f>'PLAN INDICATIVO'!B52</f>
        <v>Cultura</v>
      </c>
      <c r="C52" s="1547"/>
      <c r="D52" s="1551"/>
      <c r="E52" s="1551"/>
      <c r="F52" s="1551"/>
      <c r="G52" s="1551"/>
      <c r="H52" s="1551"/>
      <c r="I52" s="332">
        <f>'PLAN INDICATIVO'!I52</f>
        <v>0</v>
      </c>
      <c r="J52" s="332">
        <f>'PLAN INDICATIVO'!J52</f>
        <v>0</v>
      </c>
      <c r="K52" s="1429" t="str">
        <f>'PLAN INDICATIVO'!K52</f>
        <v>A.5.1.2</v>
      </c>
      <c r="L52" s="1429" t="str">
        <f>'PLAN INDICATIVO'!L52</f>
        <v>11. Ciudades y comunidades sostenibles</v>
      </c>
      <c r="M52" s="1429" t="str">
        <f>'PLAN INDICATIVO'!M52</f>
        <v>Secretaría de Educación, Cultura, deporte y Turismo</v>
      </c>
      <c r="N52" s="1429" t="str">
        <f>'PLAN INDICATIVO'!N52</f>
        <v>YIMI FERNANDO LOSADA PAYA</v>
      </c>
      <c r="O52" s="1429" t="str">
        <f>'PLAN INDICATIVO'!O52</f>
        <v>Incremento</v>
      </c>
      <c r="P52" s="74" t="str">
        <f>'PLAN INDICATIVO'!P52</f>
        <v>Realizar 8 Capacitaciones dirigidas a Formadores Artísticos durante el cuatrienio</v>
      </c>
      <c r="Q52" s="333" t="str">
        <f>'PLAN INDICATIVO'!Q52</f>
        <v>No. De capacitaciones realizadas en el cuatrienio</v>
      </c>
      <c r="R52" s="334">
        <f>'PLAN INDICATIVO'!R52</f>
        <v>2015</v>
      </c>
      <c r="S52" s="304">
        <v>0</v>
      </c>
      <c r="T52" s="677">
        <v>8</v>
      </c>
      <c r="U52" s="303">
        <v>2</v>
      </c>
      <c r="V52" s="687">
        <v>2000000</v>
      </c>
      <c r="W52" s="572">
        <v>2</v>
      </c>
      <c r="X52" s="687">
        <v>500000</v>
      </c>
      <c r="Y52" s="572">
        <v>2</v>
      </c>
      <c r="Z52" s="687">
        <v>500000</v>
      </c>
      <c r="AA52" s="1310">
        <v>2</v>
      </c>
      <c r="AB52" s="687">
        <v>500000</v>
      </c>
      <c r="AC52" s="665">
        <v>2</v>
      </c>
      <c r="AD52" s="665">
        <v>2</v>
      </c>
      <c r="AE52" s="665">
        <f>1+1</f>
        <v>2</v>
      </c>
      <c r="AF52" s="665"/>
      <c r="AG52" s="306" t="s">
        <v>4016</v>
      </c>
      <c r="AH52" s="987">
        <v>2018453960004</v>
      </c>
      <c r="AI52" s="1007" t="s">
        <v>4018</v>
      </c>
      <c r="AJ52" s="309">
        <v>43132</v>
      </c>
      <c r="AK52" s="309">
        <v>43405</v>
      </c>
      <c r="AL52" s="308"/>
      <c r="AM52" s="308"/>
      <c r="AN52" s="267" t="s">
        <v>2598</v>
      </c>
      <c r="AO52" s="508">
        <v>23501</v>
      </c>
      <c r="AP52" s="526"/>
      <c r="AQ52" s="470"/>
      <c r="AR52" s="470"/>
      <c r="AS52" s="470"/>
      <c r="AT52" s="470"/>
      <c r="AU52" s="470"/>
      <c r="AV52" s="470"/>
      <c r="AW52" s="544"/>
      <c r="AX52" s="526"/>
      <c r="AY52" s="470"/>
      <c r="AZ52" s="470"/>
      <c r="BA52" s="470"/>
      <c r="BB52" s="470"/>
      <c r="BC52" s="470"/>
      <c r="BD52" s="470"/>
      <c r="BE52" s="544">
        <f t="shared" si="18"/>
        <v>0</v>
      </c>
      <c r="BF52" s="526"/>
      <c r="BG52" s="470"/>
      <c r="BH52" s="470"/>
      <c r="BI52" s="470"/>
      <c r="BJ52" s="470"/>
      <c r="BK52" s="470"/>
      <c r="BL52" s="470"/>
      <c r="BM52" s="544">
        <f t="shared" si="19"/>
        <v>0</v>
      </c>
      <c r="BN52" s="526"/>
      <c r="BO52" s="470"/>
      <c r="BP52" s="470"/>
      <c r="BQ52" s="470"/>
      <c r="BR52" s="470"/>
      <c r="BS52" s="470"/>
      <c r="BT52" s="470"/>
      <c r="BU52" s="544">
        <f t="shared" si="20"/>
        <v>0</v>
      </c>
      <c r="BV52" s="556"/>
      <c r="BW52" s="663">
        <f t="shared" si="27"/>
        <v>6</v>
      </c>
      <c r="BX52" s="1047">
        <f t="shared" si="33"/>
        <v>0.75</v>
      </c>
      <c r="BY52" s="1047">
        <f t="shared" si="34"/>
        <v>1</v>
      </c>
      <c r="BZ52" s="1047">
        <f t="shared" si="35"/>
        <v>1</v>
      </c>
      <c r="CA52" s="1047">
        <f t="shared" si="36"/>
        <v>1</v>
      </c>
      <c r="CB52" s="1047">
        <f t="shared" si="37"/>
        <v>0</v>
      </c>
      <c r="CD52" t="str">
        <f t="shared" si="38"/>
        <v>VE</v>
      </c>
      <c r="CE52" t="str">
        <f t="shared" si="38"/>
        <v>VE</v>
      </c>
      <c r="CF52" t="str">
        <f t="shared" si="38"/>
        <v>VE</v>
      </c>
      <c r="CG52" t="str">
        <f t="shared" si="38"/>
        <v>ROB</v>
      </c>
    </row>
    <row r="53" spans="1:85" ht="79.5" hidden="1" customHeight="1" x14ac:dyDescent="0.25">
      <c r="A53" s="298" t="s">
        <v>173</v>
      </c>
      <c r="B53" s="299" t="str">
        <f>'PLAN INDICATIVO'!B53</f>
        <v>Cultura</v>
      </c>
      <c r="C53" s="1547"/>
      <c r="D53" s="1551"/>
      <c r="E53" s="1551"/>
      <c r="F53" s="1551"/>
      <c r="G53" s="1551"/>
      <c r="H53" s="1551"/>
      <c r="I53" s="332">
        <f>'PLAN INDICATIVO'!I53</f>
        <v>0</v>
      </c>
      <c r="J53" s="332" t="str">
        <f>'PLAN INDICATIVO'!J53</f>
        <v>SI</v>
      </c>
      <c r="K53" s="1429" t="str">
        <f>'PLAN INDICATIVO'!K53</f>
        <v>A.5.1.3</v>
      </c>
      <c r="L53" s="1429" t="str">
        <f>'PLAN INDICATIVO'!L53</f>
        <v>11. Ciudades y comunidades sostenibles</v>
      </c>
      <c r="M53" s="1429" t="str">
        <f>'PLAN INDICATIVO'!M53</f>
        <v>Secretaría de Educación, Cultura, deporte y Turismo</v>
      </c>
      <c r="N53" s="1429" t="str">
        <f>'PLAN INDICATIVO'!N53</f>
        <v>YIMI FERNANDO LOSADA PAYA</v>
      </c>
      <c r="O53" s="1429" t="str">
        <f>'PLAN INDICATIVO'!O53</f>
        <v>Mantenimiento</v>
      </c>
      <c r="P53" s="74" t="str">
        <f>'PLAN INDICATIVO'!P53</f>
        <v>Implementar 1 programa de formación cultural y artística apoyados con instructores y dotación cada año</v>
      </c>
      <c r="Q53" s="333" t="str">
        <f>'PLAN INDICATIVO'!Q53</f>
        <v>No. De programas implementados por año</v>
      </c>
      <c r="R53" s="334">
        <f>'PLAN INDICATIVO'!R53</f>
        <v>2015</v>
      </c>
      <c r="S53" s="304">
        <v>1</v>
      </c>
      <c r="T53" s="677">
        <v>4</v>
      </c>
      <c r="U53" s="303">
        <v>1</v>
      </c>
      <c r="V53" s="687">
        <v>8000000</v>
      </c>
      <c r="W53" s="572">
        <v>1</v>
      </c>
      <c r="X53" s="687">
        <v>44000000</v>
      </c>
      <c r="Y53" s="572">
        <v>1</v>
      </c>
      <c r="Z53" s="687">
        <v>46000000</v>
      </c>
      <c r="AA53" s="1310">
        <v>1</v>
      </c>
      <c r="AB53" s="687">
        <v>34500000</v>
      </c>
      <c r="AC53" s="665">
        <f>1</f>
        <v>1</v>
      </c>
      <c r="AD53" s="665">
        <v>1</v>
      </c>
      <c r="AE53" s="665">
        <f>1+1</f>
        <v>2</v>
      </c>
      <c r="AF53" s="665"/>
      <c r="AG53" s="306" t="s">
        <v>4016</v>
      </c>
      <c r="AH53" s="987">
        <v>2018453960004</v>
      </c>
      <c r="AI53" s="1007" t="s">
        <v>4019</v>
      </c>
      <c r="AJ53" s="309">
        <v>42767</v>
      </c>
      <c r="AK53" s="309">
        <v>42916</v>
      </c>
      <c r="AL53" s="308"/>
      <c r="AM53" s="308"/>
      <c r="AN53" s="267" t="s">
        <v>2598</v>
      </c>
      <c r="AO53" s="508" t="s">
        <v>4020</v>
      </c>
      <c r="AP53" s="310"/>
      <c r="AQ53" s="310"/>
      <c r="AR53" s="310"/>
      <c r="AS53" s="310"/>
      <c r="AT53" s="310"/>
      <c r="AU53" s="310"/>
      <c r="AV53" s="310"/>
      <c r="AW53" s="544"/>
      <c r="AX53" s="525"/>
      <c r="AY53" s="310"/>
      <c r="AZ53" s="310"/>
      <c r="BA53" s="310"/>
      <c r="BB53" s="310"/>
      <c r="BC53" s="310"/>
      <c r="BD53" s="310"/>
      <c r="BE53" s="544">
        <f t="shared" si="18"/>
        <v>0</v>
      </c>
      <c r="BF53" s="310">
        <v>5400000</v>
      </c>
      <c r="BG53" s="310"/>
      <c r="BH53" s="310"/>
      <c r="BI53" s="310"/>
      <c r="BJ53" s="310"/>
      <c r="BK53" s="310"/>
      <c r="BL53" s="310"/>
      <c r="BM53" s="544">
        <f t="shared" si="19"/>
        <v>5400000</v>
      </c>
      <c r="BN53" s="525"/>
      <c r="BO53" s="310"/>
      <c r="BP53" s="310"/>
      <c r="BQ53" s="310"/>
      <c r="BR53" s="310"/>
      <c r="BS53" s="310"/>
      <c r="BT53" s="310"/>
      <c r="BU53" s="544">
        <f t="shared" si="20"/>
        <v>0</v>
      </c>
      <c r="BV53" s="556"/>
      <c r="BW53" s="663">
        <f t="shared" si="27"/>
        <v>4</v>
      </c>
      <c r="BX53" s="1047">
        <f t="shared" si="33"/>
        <v>1</v>
      </c>
      <c r="BY53" s="1047">
        <f t="shared" si="34"/>
        <v>1</v>
      </c>
      <c r="BZ53" s="1047">
        <f t="shared" si="35"/>
        <v>1</v>
      </c>
      <c r="CA53" s="1047">
        <f t="shared" si="36"/>
        <v>2</v>
      </c>
      <c r="CB53" s="1047">
        <f t="shared" si="37"/>
        <v>0</v>
      </c>
      <c r="CD53" t="str">
        <f t="shared" si="38"/>
        <v>VE</v>
      </c>
      <c r="CE53" t="str">
        <f t="shared" si="38"/>
        <v>VE</v>
      </c>
      <c r="CF53" t="str">
        <f t="shared" si="38"/>
        <v>VE</v>
      </c>
      <c r="CG53" t="str">
        <f t="shared" si="38"/>
        <v>ROB</v>
      </c>
    </row>
    <row r="54" spans="1:85" ht="72" hidden="1" customHeight="1" x14ac:dyDescent="0.25">
      <c r="A54" s="298" t="s">
        <v>173</v>
      </c>
      <c r="B54" s="299" t="str">
        <f>'PLAN INDICATIVO'!B54</f>
        <v>Cultura</v>
      </c>
      <c r="C54" s="1547"/>
      <c r="D54" s="1551"/>
      <c r="E54" s="1551"/>
      <c r="F54" s="1551"/>
      <c r="G54" s="1551"/>
      <c r="H54" s="1551"/>
      <c r="I54" s="332">
        <f>'PLAN INDICATIVO'!I54</f>
        <v>0</v>
      </c>
      <c r="J54" s="332">
        <f>'PLAN INDICATIVO'!J54</f>
        <v>0</v>
      </c>
      <c r="K54" s="1429" t="str">
        <f>'PLAN INDICATIVO'!K54</f>
        <v>A.5.1.4</v>
      </c>
      <c r="L54" s="1429" t="str">
        <f>'PLAN INDICATIVO'!L54</f>
        <v>11. Ciudades y comunidades sostenibles</v>
      </c>
      <c r="M54" s="1429" t="str">
        <f>'PLAN INDICATIVO'!M54</f>
        <v>Secretaría de Educación, Cultura, deporte y Turismo</v>
      </c>
      <c r="N54" s="1429" t="str">
        <f>'PLAN INDICATIVO'!N54</f>
        <v>YIMI FERNANDO LOSADA PAYA</v>
      </c>
      <c r="O54" s="1429" t="str">
        <f>'PLAN INDICATIVO'!O54</f>
        <v>Incremento</v>
      </c>
      <c r="P54" s="74" t="str">
        <f>'PLAN INDICATIVO'!P54</f>
        <v>Mantener 40 Vigías culturales vinculados a programa de conservación del patrimonio cultural material e inmaterial del municipio durante el cuatrienio</v>
      </c>
      <c r="Q54" s="333" t="str">
        <f>'PLAN INDICATIVO'!Q54</f>
        <v>No. De vigías vinculados durante el cuatrienio</v>
      </c>
      <c r="R54" s="334">
        <f>'PLAN INDICATIVO'!R54</f>
        <v>2015</v>
      </c>
      <c r="S54" s="304">
        <v>0</v>
      </c>
      <c r="T54" s="677">
        <v>40</v>
      </c>
      <c r="U54" s="303">
        <v>10</v>
      </c>
      <c r="V54" s="687">
        <v>1000000</v>
      </c>
      <c r="W54" s="572">
        <v>10</v>
      </c>
      <c r="X54" s="687">
        <v>2000000</v>
      </c>
      <c r="Y54" s="572">
        <v>10</v>
      </c>
      <c r="Z54" s="687">
        <v>2000000</v>
      </c>
      <c r="AA54" s="1310">
        <v>13</v>
      </c>
      <c r="AB54" s="687">
        <v>515000000</v>
      </c>
      <c r="AC54" s="665">
        <v>5</v>
      </c>
      <c r="AD54" s="665">
        <v>10</v>
      </c>
      <c r="AE54" s="665">
        <v>12</v>
      </c>
      <c r="AF54" s="665"/>
      <c r="AG54" s="306" t="s">
        <v>4016</v>
      </c>
      <c r="AH54" s="987">
        <v>2018453960004</v>
      </c>
      <c r="AI54" s="1007" t="s">
        <v>4021</v>
      </c>
      <c r="AJ54" s="309">
        <v>42795</v>
      </c>
      <c r="AK54" s="309">
        <v>42916</v>
      </c>
      <c r="AL54" s="308"/>
      <c r="AM54" s="308"/>
      <c r="AN54" s="267" t="s">
        <v>2598</v>
      </c>
      <c r="AO54" s="508" t="s">
        <v>2635</v>
      </c>
      <c r="AP54" s="525"/>
      <c r="AQ54" s="310"/>
      <c r="AR54" s="310"/>
      <c r="AS54" s="310"/>
      <c r="AT54" s="310"/>
      <c r="AU54" s="310"/>
      <c r="AV54" s="310"/>
      <c r="AW54" s="544"/>
      <c r="AX54" s="525"/>
      <c r="AY54" s="310"/>
      <c r="AZ54" s="310"/>
      <c r="BA54" s="310"/>
      <c r="BB54" s="310"/>
      <c r="BC54" s="310"/>
      <c r="BD54" s="310"/>
      <c r="BE54" s="544">
        <f t="shared" si="18"/>
        <v>0</v>
      </c>
      <c r="BF54" s="525"/>
      <c r="BG54" s="310"/>
      <c r="BH54" s="310"/>
      <c r="BI54" s="310"/>
      <c r="BJ54" s="310"/>
      <c r="BK54" s="310"/>
      <c r="BL54" s="310">
        <v>500000</v>
      </c>
      <c r="BM54" s="544">
        <f t="shared" si="19"/>
        <v>500000</v>
      </c>
      <c r="BN54" s="525"/>
      <c r="BO54" s="310"/>
      <c r="BP54" s="310"/>
      <c r="BQ54" s="310"/>
      <c r="BR54" s="310"/>
      <c r="BS54" s="310"/>
      <c r="BT54" s="310"/>
      <c r="BU54" s="544">
        <f t="shared" si="20"/>
        <v>0</v>
      </c>
      <c r="BV54" s="556"/>
      <c r="BW54" s="663">
        <f t="shared" si="27"/>
        <v>27</v>
      </c>
      <c r="BX54" s="1047">
        <f t="shared" si="33"/>
        <v>0.67500000000000004</v>
      </c>
      <c r="BY54" s="1047">
        <f t="shared" si="34"/>
        <v>0.5</v>
      </c>
      <c r="BZ54" s="1047">
        <f t="shared" si="35"/>
        <v>1</v>
      </c>
      <c r="CA54" s="1047">
        <f t="shared" si="36"/>
        <v>1.2</v>
      </c>
      <c r="CB54" s="1047">
        <f t="shared" si="37"/>
        <v>0</v>
      </c>
      <c r="CD54" t="str">
        <f t="shared" si="38"/>
        <v>AMB</v>
      </c>
      <c r="CE54" t="str">
        <f t="shared" si="38"/>
        <v>VE</v>
      </c>
      <c r="CF54" t="str">
        <f t="shared" si="38"/>
        <v>VE</v>
      </c>
      <c r="CG54" t="str">
        <f t="shared" si="38"/>
        <v>ROB</v>
      </c>
    </row>
    <row r="55" spans="1:85" ht="115.5" hidden="1" customHeight="1" x14ac:dyDescent="0.25">
      <c r="A55" s="298" t="s">
        <v>2458</v>
      </c>
      <c r="B55" s="299" t="str">
        <f>'PLAN INDICATIVO'!B55</f>
        <v>Cultura</v>
      </c>
      <c r="C55" s="1547"/>
      <c r="D55" s="1551"/>
      <c r="E55" s="1551"/>
      <c r="F55" s="1551"/>
      <c r="G55" s="1551"/>
      <c r="H55" s="1551"/>
      <c r="I55" s="332">
        <f>'PLAN INDICATIVO'!I55</f>
        <v>0</v>
      </c>
      <c r="J55" s="332" t="str">
        <f>'PLAN INDICATIVO'!J55</f>
        <v>SI</v>
      </c>
      <c r="K55" s="1429" t="str">
        <f>'PLAN INDICATIVO'!K55</f>
        <v>A.5.1.5</v>
      </c>
      <c r="L55" s="1429" t="str">
        <f>'PLAN INDICATIVO'!L55</f>
        <v>11. Ciudades y comunidades sostenibles</v>
      </c>
      <c r="M55" s="1429" t="str">
        <f>'PLAN INDICATIVO'!M55</f>
        <v>Secretaría de Educación, Cultura, deporte y Turismo</v>
      </c>
      <c r="N55" s="1429" t="str">
        <f>'PLAN INDICATIVO'!N55</f>
        <v>YIMI FERNANDO LOSADA PAYA</v>
      </c>
      <c r="O55" s="1429" t="str">
        <f>'PLAN INDICATIVO'!O55</f>
        <v>Mantenimiento</v>
      </c>
      <c r="P55" s="1200" t="str">
        <f>'PLAN INDICATIVO'!P55</f>
        <v>Realizar una capacitación de apoyo que fomente el  reconocimiento y legalización a los diferentes grupos culturales del municipio durante el cuatrienio</v>
      </c>
      <c r="Q55" s="333" t="str">
        <f>'PLAN INDICATIVO'!Q55</f>
        <v>No. De convenios suscritos por año</v>
      </c>
      <c r="R55" s="334">
        <f>'PLAN INDICATIVO'!R55</f>
        <v>2015</v>
      </c>
      <c r="S55" s="304">
        <v>0</v>
      </c>
      <c r="T55" s="677">
        <v>1</v>
      </c>
      <c r="U55" s="303">
        <v>1</v>
      </c>
      <c r="V55" s="687">
        <v>1000000</v>
      </c>
      <c r="W55" s="572">
        <v>1</v>
      </c>
      <c r="X55" s="687">
        <v>500000</v>
      </c>
      <c r="Y55" s="572"/>
      <c r="Z55" s="687">
        <v>500000</v>
      </c>
      <c r="AA55" s="1310"/>
      <c r="AB55" s="687">
        <v>500000</v>
      </c>
      <c r="AC55" s="665">
        <v>0</v>
      </c>
      <c r="AD55" s="665">
        <v>1</v>
      </c>
      <c r="AE55" s="665"/>
      <c r="AF55" s="665"/>
      <c r="AG55" s="306" t="s">
        <v>4016</v>
      </c>
      <c r="AH55" s="987">
        <v>2018453960004</v>
      </c>
      <c r="AI55" s="1008"/>
      <c r="AJ55" s="309">
        <v>42917</v>
      </c>
      <c r="AK55" s="309">
        <v>43099</v>
      </c>
      <c r="AL55" s="308"/>
      <c r="AM55" s="308"/>
      <c r="AN55" s="267" t="s">
        <v>2604</v>
      </c>
      <c r="AO55" s="508">
        <v>2305</v>
      </c>
      <c r="AP55" s="526"/>
      <c r="AQ55" s="470"/>
      <c r="AR55" s="310"/>
      <c r="AS55" s="310"/>
      <c r="AT55" s="470"/>
      <c r="AU55" s="470"/>
      <c r="AV55" s="470"/>
      <c r="AW55" s="544"/>
      <c r="AX55" s="526"/>
      <c r="AY55" s="470"/>
      <c r="AZ55" s="470"/>
      <c r="BA55" s="470"/>
      <c r="BB55" s="470"/>
      <c r="BC55" s="470"/>
      <c r="BD55" s="470"/>
      <c r="BE55" s="544">
        <f t="shared" si="18"/>
        <v>0</v>
      </c>
      <c r="BF55" s="526"/>
      <c r="BG55" s="470"/>
      <c r="BH55" s="310"/>
      <c r="BI55" s="310"/>
      <c r="BJ55" s="470"/>
      <c r="BK55" s="470"/>
      <c r="BL55" s="470"/>
      <c r="BM55" s="544">
        <f t="shared" si="19"/>
        <v>0</v>
      </c>
      <c r="BN55" s="526"/>
      <c r="BO55" s="470"/>
      <c r="BP55" s="470"/>
      <c r="BQ55" s="470"/>
      <c r="BR55" s="470"/>
      <c r="BS55" s="470"/>
      <c r="BT55" s="470"/>
      <c r="BU55" s="544">
        <f t="shared" si="20"/>
        <v>0</v>
      </c>
      <c r="BV55" s="556"/>
      <c r="BW55" s="663">
        <f t="shared" si="27"/>
        <v>1</v>
      </c>
      <c r="BX55" s="1047">
        <f t="shared" si="33"/>
        <v>1</v>
      </c>
      <c r="BY55" s="1047">
        <f t="shared" si="34"/>
        <v>0</v>
      </c>
      <c r="BZ55" s="1047">
        <f t="shared" si="35"/>
        <v>1</v>
      </c>
      <c r="CA55" s="1047" t="str">
        <f t="shared" si="36"/>
        <v>No Programada</v>
      </c>
      <c r="CB55" s="1047" t="str">
        <f t="shared" si="37"/>
        <v>No Programada</v>
      </c>
      <c r="CD55" t="str">
        <f t="shared" si="38"/>
        <v>ROB</v>
      </c>
      <c r="CE55" t="str">
        <f t="shared" si="38"/>
        <v>VE</v>
      </c>
      <c r="CF55" t="str">
        <f t="shared" si="38"/>
        <v>NP</v>
      </c>
      <c r="CG55" t="str">
        <f t="shared" si="38"/>
        <v>NP</v>
      </c>
    </row>
    <row r="56" spans="1:85" ht="81.75" hidden="1" customHeight="1" x14ac:dyDescent="0.25">
      <c r="A56" s="298" t="s">
        <v>173</v>
      </c>
      <c r="B56" s="299" t="str">
        <f>'PLAN INDICATIVO'!B56</f>
        <v>Cultura</v>
      </c>
      <c r="C56" s="1547"/>
      <c r="D56" s="1551"/>
      <c r="E56" s="1551"/>
      <c r="F56" s="1551"/>
      <c r="G56" s="1551"/>
      <c r="H56" s="1551"/>
      <c r="I56" s="332">
        <f>'PLAN INDICATIVO'!I56</f>
        <v>0</v>
      </c>
      <c r="J56" s="332">
        <f>'PLAN INDICATIVO'!J56</f>
        <v>0</v>
      </c>
      <c r="K56" s="1429" t="str">
        <f>'PLAN INDICATIVO'!K56</f>
        <v>A.5.1.6</v>
      </c>
      <c r="L56" s="1429" t="str">
        <f>'PLAN INDICATIVO'!L56</f>
        <v>11. Ciudades y comunidades sostenibles</v>
      </c>
      <c r="M56" s="1429" t="str">
        <f>'PLAN INDICATIVO'!M56</f>
        <v>Secretaría de Educación, Cultura, deporte y Turismo</v>
      </c>
      <c r="N56" s="1429" t="str">
        <f>'PLAN INDICATIVO'!N56</f>
        <v>YIMI FERNANDO LOSADA PAYA</v>
      </c>
      <c r="O56" s="1429" t="str">
        <f>'PLAN INDICATIVO'!O56</f>
        <v>Incremento</v>
      </c>
      <c r="P56" s="74" t="str">
        <f>'PLAN INDICATIVO'!P56</f>
        <v>Presentar  16  proyectos que garanticen la financiación de los diferentes programas culturales del municipio durante el cuatrienio</v>
      </c>
      <c r="Q56" s="333" t="str">
        <f>'PLAN INDICATIVO'!Q56</f>
        <v>No. De proyectos presentados en el cuatrienio</v>
      </c>
      <c r="R56" s="334">
        <f>'PLAN INDICATIVO'!R56</f>
        <v>2015</v>
      </c>
      <c r="S56" s="304">
        <v>0</v>
      </c>
      <c r="T56" s="677">
        <v>16</v>
      </c>
      <c r="U56" s="303">
        <v>4</v>
      </c>
      <c r="V56" s="687">
        <v>1000000</v>
      </c>
      <c r="W56" s="572">
        <v>4</v>
      </c>
      <c r="X56" s="687">
        <v>500000</v>
      </c>
      <c r="Y56" s="572">
        <v>5</v>
      </c>
      <c r="Z56" s="687">
        <v>500000</v>
      </c>
      <c r="AA56" s="1310">
        <v>1</v>
      </c>
      <c r="AB56" s="687">
        <v>500000</v>
      </c>
      <c r="AC56" s="665">
        <v>4</v>
      </c>
      <c r="AD56" s="665">
        <v>4</v>
      </c>
      <c r="AE56" s="665">
        <v>7</v>
      </c>
      <c r="AF56" s="665"/>
      <c r="AG56" s="306" t="s">
        <v>4016</v>
      </c>
      <c r="AH56" s="987">
        <v>2018453960004</v>
      </c>
      <c r="AI56" s="1007" t="s">
        <v>4022</v>
      </c>
      <c r="AJ56" s="309">
        <v>42795</v>
      </c>
      <c r="AK56" s="309">
        <v>43099</v>
      </c>
      <c r="AL56" s="308"/>
      <c r="AM56" s="308"/>
      <c r="AN56" s="267" t="s">
        <v>2598</v>
      </c>
      <c r="AO56" s="508" t="s">
        <v>2635</v>
      </c>
      <c r="AP56" s="525"/>
      <c r="AQ56" s="310"/>
      <c r="AR56" s="470"/>
      <c r="AS56" s="470"/>
      <c r="AT56" s="310"/>
      <c r="AU56" s="310"/>
      <c r="AV56" s="310"/>
      <c r="AW56" s="544"/>
      <c r="AX56" s="525"/>
      <c r="AY56" s="310"/>
      <c r="AZ56" s="310"/>
      <c r="BA56" s="310"/>
      <c r="BB56" s="310"/>
      <c r="BC56" s="310"/>
      <c r="BD56" s="310"/>
      <c r="BE56" s="544">
        <f t="shared" si="18"/>
        <v>0</v>
      </c>
      <c r="BF56" s="525"/>
      <c r="BG56" s="310"/>
      <c r="BH56" s="470"/>
      <c r="BI56" s="470"/>
      <c r="BJ56" s="310"/>
      <c r="BK56" s="310"/>
      <c r="BL56" s="310">
        <v>500000</v>
      </c>
      <c r="BM56" s="544">
        <f t="shared" si="19"/>
        <v>500000</v>
      </c>
      <c r="BN56" s="525"/>
      <c r="BO56" s="310"/>
      <c r="BP56" s="310"/>
      <c r="BQ56" s="310"/>
      <c r="BR56" s="310"/>
      <c r="BS56" s="310"/>
      <c r="BT56" s="310"/>
      <c r="BU56" s="544">
        <f t="shared" si="20"/>
        <v>0</v>
      </c>
      <c r="BV56" s="556"/>
      <c r="BW56" s="663">
        <f t="shared" si="27"/>
        <v>15</v>
      </c>
      <c r="BX56" s="1047">
        <f t="shared" si="33"/>
        <v>0.9375</v>
      </c>
      <c r="BY56" s="1047">
        <f t="shared" si="34"/>
        <v>1</v>
      </c>
      <c r="BZ56" s="1047">
        <f t="shared" si="35"/>
        <v>1</v>
      </c>
      <c r="CA56" s="1047">
        <f t="shared" si="36"/>
        <v>1.4</v>
      </c>
      <c r="CB56" s="1047">
        <f t="shared" si="37"/>
        <v>0</v>
      </c>
      <c r="CD56" t="str">
        <f t="shared" si="38"/>
        <v>VE</v>
      </c>
      <c r="CE56" t="str">
        <f t="shared" si="38"/>
        <v>VE</v>
      </c>
      <c r="CF56" t="str">
        <f t="shared" si="38"/>
        <v>VE</v>
      </c>
      <c r="CG56" t="str">
        <f t="shared" si="38"/>
        <v>ROB</v>
      </c>
    </row>
    <row r="57" spans="1:85" ht="71.25" hidden="1" customHeight="1" x14ac:dyDescent="0.25">
      <c r="A57" s="298" t="s">
        <v>173</v>
      </c>
      <c r="B57" s="299" t="str">
        <f>'PLAN INDICATIVO'!B57</f>
        <v>Cultura</v>
      </c>
      <c r="C57" s="1547"/>
      <c r="D57" s="1551"/>
      <c r="E57" s="1551"/>
      <c r="F57" s="1551"/>
      <c r="G57" s="1551"/>
      <c r="H57" s="1551"/>
      <c r="I57" s="332">
        <f>'PLAN INDICATIVO'!I57</f>
        <v>0</v>
      </c>
      <c r="J57" s="332">
        <f>'PLAN INDICATIVO'!J57</f>
        <v>0</v>
      </c>
      <c r="K57" s="1429" t="str">
        <f>'PLAN INDICATIVO'!K57</f>
        <v>A.5.1.7</v>
      </c>
      <c r="L57" s="1429" t="str">
        <f>'PLAN INDICATIVO'!L57</f>
        <v>11. Ciudades y comunidades sostenibles</v>
      </c>
      <c r="M57" s="1429" t="str">
        <f>'PLAN INDICATIVO'!M57</f>
        <v>Secretaría de Educación, Cultura, deporte y Turismo</v>
      </c>
      <c r="N57" s="1429" t="str">
        <f>'PLAN INDICATIVO'!N57</f>
        <v>YIMI FERNANDO LOSADA PAYA</v>
      </c>
      <c r="O57" s="1429" t="str">
        <f>'PLAN INDICATIVO'!O57</f>
        <v>Mantenimiento</v>
      </c>
      <c r="P57" s="74" t="str">
        <f>'PLAN INDICATIVO'!P57</f>
        <v>Apoyar 4 eventos culturales dentro de la agenda cultural establecida anualmente  en el municipio.</v>
      </c>
      <c r="Q57" s="333" t="str">
        <f>'PLAN INDICATIVO'!Q57</f>
        <v>No. De eventos culturales apoyados cada año</v>
      </c>
      <c r="R57" s="334">
        <f>'PLAN INDICATIVO'!R57</f>
        <v>2015</v>
      </c>
      <c r="S57" s="304">
        <v>3</v>
      </c>
      <c r="T57" s="677">
        <v>16</v>
      </c>
      <c r="U57" s="303">
        <v>4</v>
      </c>
      <c r="V57" s="687">
        <v>5000000</v>
      </c>
      <c r="W57" s="572">
        <v>4</v>
      </c>
      <c r="X57" s="687">
        <v>500000</v>
      </c>
      <c r="Y57" s="572">
        <v>4</v>
      </c>
      <c r="Z57" s="687">
        <v>500000</v>
      </c>
      <c r="AA57" s="1310">
        <v>4</v>
      </c>
      <c r="AB57" s="687">
        <v>10500000</v>
      </c>
      <c r="AC57" s="665">
        <v>4</v>
      </c>
      <c r="AD57" s="904">
        <v>4</v>
      </c>
      <c r="AE57" s="665">
        <v>5</v>
      </c>
      <c r="AF57" s="665"/>
      <c r="AG57" s="306" t="s">
        <v>4016</v>
      </c>
      <c r="AH57" s="987">
        <v>2018453960004</v>
      </c>
      <c r="AI57" s="1007" t="s">
        <v>4023</v>
      </c>
      <c r="AJ57" s="309">
        <v>42736</v>
      </c>
      <c r="AK57" s="309">
        <v>43099</v>
      </c>
      <c r="AL57" s="308"/>
      <c r="AM57" s="308"/>
      <c r="AN57" s="267" t="s">
        <v>2598</v>
      </c>
      <c r="AO57" s="508" t="s">
        <v>2635</v>
      </c>
      <c r="AP57" s="525"/>
      <c r="AQ57" s="310"/>
      <c r="AR57" s="310"/>
      <c r="AS57" s="310"/>
      <c r="AT57" s="310"/>
      <c r="AU57" s="310"/>
      <c r="AV57" s="310"/>
      <c r="AW57" s="544"/>
      <c r="AX57" s="525"/>
      <c r="AY57" s="310"/>
      <c r="AZ57" s="310"/>
      <c r="BA57" s="310"/>
      <c r="BB57" s="310"/>
      <c r="BC57" s="310"/>
      <c r="BD57" s="310"/>
      <c r="BE57" s="544">
        <f t="shared" si="18"/>
        <v>0</v>
      </c>
      <c r="BF57" s="525"/>
      <c r="BG57" s="310"/>
      <c r="BH57" s="310"/>
      <c r="BI57" s="310"/>
      <c r="BJ57" s="310"/>
      <c r="BK57" s="310"/>
      <c r="BL57" s="310">
        <v>500000</v>
      </c>
      <c r="BM57" s="544">
        <f t="shared" si="19"/>
        <v>500000</v>
      </c>
      <c r="BN57" s="525"/>
      <c r="BO57" s="310"/>
      <c r="BP57" s="310"/>
      <c r="BQ57" s="310"/>
      <c r="BR57" s="310"/>
      <c r="BS57" s="310"/>
      <c r="BT57" s="310"/>
      <c r="BU57" s="544">
        <f t="shared" si="20"/>
        <v>0</v>
      </c>
      <c r="BV57" s="556"/>
      <c r="BW57" s="663">
        <f t="shared" si="27"/>
        <v>13</v>
      </c>
      <c r="BX57" s="1047">
        <f t="shared" si="33"/>
        <v>0.8125</v>
      </c>
      <c r="BY57" s="1047">
        <f t="shared" si="34"/>
        <v>1</v>
      </c>
      <c r="BZ57" s="1047">
        <f t="shared" si="35"/>
        <v>1</v>
      </c>
      <c r="CA57" s="1047">
        <f t="shared" si="36"/>
        <v>1.25</v>
      </c>
      <c r="CB57" s="1047">
        <f t="shared" si="37"/>
        <v>0</v>
      </c>
      <c r="CD57" t="str">
        <f t="shared" si="38"/>
        <v>VE</v>
      </c>
      <c r="CE57" t="str">
        <f t="shared" si="38"/>
        <v>VE</v>
      </c>
      <c r="CF57" t="str">
        <f t="shared" si="38"/>
        <v>VE</v>
      </c>
      <c r="CG57" t="str">
        <f t="shared" si="38"/>
        <v>ROB</v>
      </c>
    </row>
    <row r="58" spans="1:85" ht="75.75" hidden="1" customHeight="1" x14ac:dyDescent="0.25">
      <c r="A58" s="298" t="s">
        <v>173</v>
      </c>
      <c r="B58" s="299" t="str">
        <f>'PLAN INDICATIVO'!B58</f>
        <v>Cultura</v>
      </c>
      <c r="C58" s="1547"/>
      <c r="D58" s="1551"/>
      <c r="E58" s="1551"/>
      <c r="F58" s="1551"/>
      <c r="G58" s="1551"/>
      <c r="H58" s="1551"/>
      <c r="I58" s="332">
        <f>'PLAN INDICATIVO'!I58</f>
        <v>0</v>
      </c>
      <c r="J58" s="332">
        <f>'PLAN INDICATIVO'!J58</f>
        <v>0</v>
      </c>
      <c r="K58" s="1429" t="str">
        <f>'PLAN INDICATIVO'!K58</f>
        <v>A.5.1.8</v>
      </c>
      <c r="L58" s="1429" t="str">
        <f>'PLAN INDICATIVO'!L58</f>
        <v>11. Ciudades y comunidades sostenibles</v>
      </c>
      <c r="M58" s="1429" t="str">
        <f>'PLAN INDICATIVO'!M58</f>
        <v>Secretaría de Educación, Cultura, deporte y Turismo</v>
      </c>
      <c r="N58" s="1429" t="str">
        <f>'PLAN INDICATIVO'!N58</f>
        <v>YIMI FERNANDO LOSADA PAYA</v>
      </c>
      <c r="O58" s="1429" t="str">
        <f>'PLAN INDICATIVO'!O58</f>
        <v>Incremento</v>
      </c>
      <c r="P58" s="74" t="str">
        <f>'PLAN INDICATIVO'!P58</f>
        <v>Realizar 6 eventos de intercambio cultural  y artístico donde converjan las diferentes manifestaciones artísticas de carácter  local, regional y nacional  durante el cuatrienio</v>
      </c>
      <c r="Q58" s="333" t="str">
        <f>'PLAN INDICATIVO'!Q58</f>
        <v>No. De eventos de intercambio cultural realizados en el cuatrienio</v>
      </c>
      <c r="R58" s="334">
        <f>'PLAN INDICATIVO'!R58</f>
        <v>2015</v>
      </c>
      <c r="S58" s="304">
        <v>2</v>
      </c>
      <c r="T58" s="677">
        <v>6</v>
      </c>
      <c r="U58" s="303">
        <v>2</v>
      </c>
      <c r="V58" s="687">
        <v>12000000</v>
      </c>
      <c r="W58" s="572">
        <v>1</v>
      </c>
      <c r="X58" s="687">
        <v>14000000</v>
      </c>
      <c r="Y58" s="572">
        <v>2</v>
      </c>
      <c r="Z58" s="687">
        <v>8500000</v>
      </c>
      <c r="AA58" s="1310"/>
      <c r="AB58" s="687">
        <v>15000000</v>
      </c>
      <c r="AC58" s="665">
        <f>1</f>
        <v>1</v>
      </c>
      <c r="AD58" s="904">
        <v>2</v>
      </c>
      <c r="AE58" s="665">
        <v>3</v>
      </c>
      <c r="AF58" s="665"/>
      <c r="AG58" s="306" t="s">
        <v>4016</v>
      </c>
      <c r="AH58" s="987">
        <v>2018453960004</v>
      </c>
      <c r="AI58" s="1007" t="s">
        <v>4024</v>
      </c>
      <c r="AJ58" s="309">
        <v>42917</v>
      </c>
      <c r="AK58" s="309">
        <v>42916</v>
      </c>
      <c r="AL58" s="308"/>
      <c r="AM58" s="308"/>
      <c r="AN58" s="267" t="s">
        <v>2598</v>
      </c>
      <c r="AO58" s="508" t="s">
        <v>4025</v>
      </c>
      <c r="AP58" s="525"/>
      <c r="AQ58" s="310"/>
      <c r="AR58" s="310"/>
      <c r="AS58" s="310"/>
      <c r="AT58" s="310"/>
      <c r="AU58" s="310"/>
      <c r="AV58" s="310"/>
      <c r="AW58" s="544"/>
      <c r="AX58" s="525"/>
      <c r="AY58" s="310"/>
      <c r="AZ58" s="310"/>
      <c r="BA58" s="310"/>
      <c r="BB58" s="310"/>
      <c r="BC58" s="310"/>
      <c r="BD58" s="310"/>
      <c r="BE58" s="544">
        <f t="shared" si="18"/>
        <v>0</v>
      </c>
      <c r="BF58" s="525">
        <v>20000000</v>
      </c>
      <c r="BG58" s="310">
        <v>7000000</v>
      </c>
      <c r="BH58" s="310"/>
      <c r="BI58" s="310"/>
      <c r="BJ58" s="310"/>
      <c r="BK58" s="310"/>
      <c r="BL58" s="310"/>
      <c r="BM58" s="544">
        <f t="shared" si="19"/>
        <v>27000000</v>
      </c>
      <c r="BN58" s="525"/>
      <c r="BO58" s="310"/>
      <c r="BP58" s="310"/>
      <c r="BQ58" s="310"/>
      <c r="BR58" s="310"/>
      <c r="BS58" s="310"/>
      <c r="BT58" s="310"/>
      <c r="BU58" s="544">
        <f t="shared" si="20"/>
        <v>0</v>
      </c>
      <c r="BV58" s="556"/>
      <c r="BW58" s="663">
        <f t="shared" si="27"/>
        <v>6</v>
      </c>
      <c r="BX58" s="1047">
        <f t="shared" si="33"/>
        <v>1</v>
      </c>
      <c r="BY58" s="1047">
        <f t="shared" si="34"/>
        <v>0.5</v>
      </c>
      <c r="BZ58" s="1047">
        <f t="shared" si="35"/>
        <v>2</v>
      </c>
      <c r="CA58" s="1047">
        <f t="shared" si="36"/>
        <v>1.5</v>
      </c>
      <c r="CB58" s="1047" t="str">
        <f t="shared" si="37"/>
        <v>No Programada</v>
      </c>
      <c r="CD58" t="str">
        <f t="shared" si="38"/>
        <v>AMB</v>
      </c>
      <c r="CE58" t="str">
        <f t="shared" si="38"/>
        <v>VE</v>
      </c>
      <c r="CF58" t="str">
        <f t="shared" si="38"/>
        <v>VE</v>
      </c>
      <c r="CG58" t="str">
        <f t="shared" si="38"/>
        <v>NP</v>
      </c>
    </row>
    <row r="59" spans="1:85" ht="77.25" hidden="1" customHeight="1" x14ac:dyDescent="0.25">
      <c r="A59" s="298" t="s">
        <v>173</v>
      </c>
      <c r="B59" s="299" t="str">
        <f>'PLAN INDICATIVO'!B59</f>
        <v>Cultura</v>
      </c>
      <c r="C59" s="1547"/>
      <c r="D59" s="1551"/>
      <c r="E59" s="1551"/>
      <c r="F59" s="1551"/>
      <c r="G59" s="1551"/>
      <c r="H59" s="1551"/>
      <c r="I59" s="332">
        <f>'PLAN INDICATIVO'!I59</f>
        <v>0</v>
      </c>
      <c r="J59" s="332">
        <f>'PLAN INDICATIVO'!J59</f>
        <v>0</v>
      </c>
      <c r="K59" s="1429" t="str">
        <f>'PLAN INDICATIVO'!K59</f>
        <v>A.5.1.9</v>
      </c>
      <c r="L59" s="1429" t="str">
        <f>'PLAN INDICATIVO'!L59</f>
        <v>11. Ciudades y comunidades sostenibles</v>
      </c>
      <c r="M59" s="1429" t="str">
        <f>'PLAN INDICATIVO'!M59</f>
        <v>Secretaría de Educación, Cultura, deporte y Turismo</v>
      </c>
      <c r="N59" s="1429" t="str">
        <f>'PLAN INDICATIVO'!N59</f>
        <v>YIMI FERNANDO LOSADA PAYA</v>
      </c>
      <c r="O59" s="1429" t="str">
        <f>'PLAN INDICATIVO'!O59</f>
        <v>Incremento</v>
      </c>
      <c r="P59" s="74" t="str">
        <f>'PLAN INDICATIVO'!P59</f>
        <v>Realizar 4 actividades culturales en el cuatrienio, que garanticen el acceso cultural de la primera infancia y la infancia</v>
      </c>
      <c r="Q59" s="333" t="str">
        <f>'PLAN INDICATIVO'!Q59</f>
        <v>No. De actividades realizadas en el cuatrienio</v>
      </c>
      <c r="R59" s="334">
        <f>'PLAN INDICATIVO'!R59</f>
        <v>2015</v>
      </c>
      <c r="S59" s="304">
        <v>0</v>
      </c>
      <c r="T59" s="677">
        <v>4</v>
      </c>
      <c r="U59" s="303">
        <v>1</v>
      </c>
      <c r="V59" s="687">
        <v>1000000</v>
      </c>
      <c r="W59" s="572">
        <v>1</v>
      </c>
      <c r="X59" s="687">
        <v>500000</v>
      </c>
      <c r="Y59" s="572">
        <v>1</v>
      </c>
      <c r="Z59" s="687">
        <v>500000</v>
      </c>
      <c r="AA59" s="1310">
        <v>1</v>
      </c>
      <c r="AB59" s="687">
        <v>500000</v>
      </c>
      <c r="AC59" s="665">
        <v>1</v>
      </c>
      <c r="AD59" s="904">
        <v>1</v>
      </c>
      <c r="AE59" s="665">
        <v>1</v>
      </c>
      <c r="AF59" s="665"/>
      <c r="AG59" s="306" t="s">
        <v>4016</v>
      </c>
      <c r="AH59" s="987">
        <v>2018453960004</v>
      </c>
      <c r="AI59" s="1007" t="s">
        <v>4026</v>
      </c>
      <c r="AJ59" s="309">
        <v>42767</v>
      </c>
      <c r="AK59" s="309">
        <v>42916</v>
      </c>
      <c r="AL59" s="308"/>
      <c r="AM59" s="308"/>
      <c r="AN59" s="267" t="s">
        <v>2598</v>
      </c>
      <c r="AO59" s="508" t="s">
        <v>4027</v>
      </c>
      <c r="AP59" s="525"/>
      <c r="AQ59" s="310"/>
      <c r="AR59" s="310"/>
      <c r="AS59" s="310"/>
      <c r="AT59" s="310"/>
      <c r="AU59" s="310"/>
      <c r="AV59" s="310"/>
      <c r="AW59" s="544"/>
      <c r="AX59" s="525"/>
      <c r="AY59" s="310"/>
      <c r="AZ59" s="310"/>
      <c r="BA59" s="310"/>
      <c r="BB59" s="310"/>
      <c r="BC59" s="310"/>
      <c r="BD59" s="310"/>
      <c r="BE59" s="544">
        <f t="shared" si="18"/>
        <v>0</v>
      </c>
      <c r="BF59" s="525"/>
      <c r="BG59" s="310"/>
      <c r="BH59" s="310"/>
      <c r="BI59" s="310"/>
      <c r="BJ59" s="310"/>
      <c r="BK59" s="310"/>
      <c r="BL59" s="310"/>
      <c r="BM59" s="544">
        <f t="shared" si="19"/>
        <v>0</v>
      </c>
      <c r="BN59" s="525"/>
      <c r="BO59" s="310"/>
      <c r="BP59" s="310"/>
      <c r="BQ59" s="310"/>
      <c r="BR59" s="310"/>
      <c r="BS59" s="310"/>
      <c r="BT59" s="310"/>
      <c r="BU59" s="544">
        <f t="shared" si="20"/>
        <v>0</v>
      </c>
      <c r="BV59" s="556"/>
      <c r="BW59" s="663">
        <f t="shared" si="27"/>
        <v>3</v>
      </c>
      <c r="BX59" s="1047">
        <f t="shared" si="33"/>
        <v>0.75</v>
      </c>
      <c r="BY59" s="1047">
        <f t="shared" si="34"/>
        <v>1</v>
      </c>
      <c r="BZ59" s="1047">
        <f t="shared" si="35"/>
        <v>1</v>
      </c>
      <c r="CA59" s="1047">
        <f t="shared" si="36"/>
        <v>1</v>
      </c>
      <c r="CB59" s="1047">
        <f t="shared" si="37"/>
        <v>0</v>
      </c>
      <c r="CD59" t="str">
        <f t="shared" si="38"/>
        <v>VE</v>
      </c>
      <c r="CE59" t="str">
        <f t="shared" si="38"/>
        <v>VE</v>
      </c>
      <c r="CF59" t="str">
        <f t="shared" si="38"/>
        <v>VE</v>
      </c>
      <c r="CG59" t="str">
        <f t="shared" si="38"/>
        <v>ROB</v>
      </c>
    </row>
    <row r="60" spans="1:85" ht="55.5" hidden="1" customHeight="1" x14ac:dyDescent="0.25">
      <c r="A60" s="298" t="s">
        <v>173</v>
      </c>
      <c r="B60" s="299" t="str">
        <f>'PLAN INDICATIVO'!B60</f>
        <v>Cultura</v>
      </c>
      <c r="C60" s="1547"/>
      <c r="D60" s="1549"/>
      <c r="E60" s="1549"/>
      <c r="F60" s="1551"/>
      <c r="G60" s="1551"/>
      <c r="H60" s="1551"/>
      <c r="I60" s="1429" t="str">
        <f>'PLAN INDICATIVO'!I60</f>
        <v>SI</v>
      </c>
      <c r="J60" s="1429">
        <f>'PLAN INDICATIVO'!J60</f>
        <v>0</v>
      </c>
      <c r="K60" s="1429" t="str">
        <f>'PLAN INDICATIVO'!K60</f>
        <v>A.5.1.10</v>
      </c>
      <c r="L60" s="1429" t="str">
        <f>'PLAN INDICATIVO'!L60</f>
        <v>11. Ciudades y comunidades sostenibles</v>
      </c>
      <c r="M60" s="1429" t="str">
        <f>'PLAN INDICATIVO'!M60</f>
        <v>Secretaría de Educación, Cultura, deporte y Turismo</v>
      </c>
      <c r="N60" s="1429" t="str">
        <f>'PLAN INDICATIVO'!N60</f>
        <v>YIMI FERNANDO LOSADA PAYA</v>
      </c>
      <c r="O60" s="1429" t="str">
        <f>'PLAN INDICATIVO'!O60</f>
        <v>Incremento</v>
      </c>
      <c r="P60" s="74" t="str">
        <f>'PLAN INDICATIVO'!P60</f>
        <v>Presentar 1 Proyecto de investigación para declarar patrimonio cultural inmaterial  el FESTIVAL FOLKLORICO Y SANPEDRINO DEL SUR OCCIDENTE HUILENSE Y ORIENTE CAUCANO,  garantizando su desarrollo y reconocimiento.</v>
      </c>
      <c r="Q60" s="333" t="str">
        <f>'PLAN INDICATIVO'!Q60</f>
        <v>No. De Proyectos presentados en el cuatrienio</v>
      </c>
      <c r="R60" s="334">
        <f>'PLAN INDICATIVO'!R60</f>
        <v>2015</v>
      </c>
      <c r="S60" s="304">
        <v>0</v>
      </c>
      <c r="T60" s="677">
        <v>1</v>
      </c>
      <c r="U60" s="303">
        <v>1</v>
      </c>
      <c r="V60" s="687">
        <v>1000000</v>
      </c>
      <c r="W60" s="572">
        <v>1</v>
      </c>
      <c r="X60" s="687">
        <v>500000</v>
      </c>
      <c r="Y60" s="572">
        <v>0.25</v>
      </c>
      <c r="Z60" s="687">
        <v>500000</v>
      </c>
      <c r="AA60" s="1310"/>
      <c r="AB60" s="687">
        <v>500000</v>
      </c>
      <c r="AC60" s="665">
        <v>1</v>
      </c>
      <c r="AD60" s="904">
        <v>1</v>
      </c>
      <c r="AE60" s="665">
        <v>1</v>
      </c>
      <c r="AF60" s="665"/>
      <c r="AG60" s="306" t="s">
        <v>4016</v>
      </c>
      <c r="AH60" s="987">
        <v>2018453960004</v>
      </c>
      <c r="AI60" s="1007" t="s">
        <v>4028</v>
      </c>
      <c r="AJ60" s="309">
        <v>43257</v>
      </c>
      <c r="AK60" s="309">
        <v>43318</v>
      </c>
      <c r="AL60" s="308"/>
      <c r="AM60" s="308"/>
      <c r="AN60" s="267" t="s">
        <v>2598</v>
      </c>
      <c r="AO60" s="508" t="s">
        <v>4029</v>
      </c>
      <c r="AP60" s="525"/>
      <c r="AQ60" s="310"/>
      <c r="AR60" s="310"/>
      <c r="AS60" s="310"/>
      <c r="AT60" s="310"/>
      <c r="AU60" s="310"/>
      <c r="AV60" s="310"/>
      <c r="AW60" s="544"/>
      <c r="AX60" s="525"/>
      <c r="AY60" s="310"/>
      <c r="AZ60" s="310"/>
      <c r="BA60" s="310"/>
      <c r="BB60" s="310"/>
      <c r="BC60" s="310"/>
      <c r="BD60" s="310"/>
      <c r="BE60" s="544">
        <f t="shared" si="18"/>
        <v>0</v>
      </c>
      <c r="BF60" s="525"/>
      <c r="BG60" s="310">
        <v>12000000</v>
      </c>
      <c r="BH60" s="310"/>
      <c r="BI60" s="310"/>
      <c r="BJ60" s="310"/>
      <c r="BK60" s="310"/>
      <c r="BL60" s="310"/>
      <c r="BM60" s="544">
        <f t="shared" si="19"/>
        <v>12000000</v>
      </c>
      <c r="BN60" s="525"/>
      <c r="BO60" s="310"/>
      <c r="BP60" s="310"/>
      <c r="BQ60" s="310"/>
      <c r="BR60" s="310"/>
      <c r="BS60" s="310"/>
      <c r="BT60" s="310"/>
      <c r="BU60" s="544">
        <f t="shared" si="20"/>
        <v>0</v>
      </c>
      <c r="BV60" s="556"/>
      <c r="BW60" s="663">
        <f t="shared" si="27"/>
        <v>3</v>
      </c>
      <c r="BX60" s="1047">
        <f t="shared" si="33"/>
        <v>3</v>
      </c>
      <c r="BY60" s="1047">
        <f t="shared" si="34"/>
        <v>1</v>
      </c>
      <c r="BZ60" s="1047">
        <f t="shared" si="35"/>
        <v>1</v>
      </c>
      <c r="CA60" s="1047">
        <f t="shared" si="36"/>
        <v>4</v>
      </c>
      <c r="CB60" s="1047" t="str">
        <f t="shared" si="37"/>
        <v>No Programada</v>
      </c>
      <c r="CD60" t="str">
        <f t="shared" si="38"/>
        <v>VE</v>
      </c>
      <c r="CE60" t="str">
        <f t="shared" si="38"/>
        <v>VE</v>
      </c>
      <c r="CF60" t="str">
        <f t="shared" si="38"/>
        <v>VE</v>
      </c>
      <c r="CG60" t="str">
        <f t="shared" si="38"/>
        <v>NP</v>
      </c>
    </row>
    <row r="61" spans="1:85" ht="63" hidden="1" customHeight="1" x14ac:dyDescent="0.25">
      <c r="A61" s="298" t="s">
        <v>173</v>
      </c>
      <c r="B61" s="299" t="str">
        <f>'PLAN INDICATIVO'!B61</f>
        <v>Cultura</v>
      </c>
      <c r="C61" s="1547"/>
      <c r="D61" s="1551"/>
      <c r="E61" s="1551"/>
      <c r="F61" s="1551"/>
      <c r="G61" s="1551"/>
      <c r="H61" s="1551"/>
      <c r="I61" s="332">
        <f>'PLAN INDICATIVO'!I61</f>
        <v>0</v>
      </c>
      <c r="J61" s="332">
        <f>'PLAN INDICATIVO'!J61</f>
        <v>0</v>
      </c>
      <c r="K61" s="1429" t="str">
        <f>'PLAN INDICATIVO'!K61</f>
        <v>A.5.1.11</v>
      </c>
      <c r="L61" s="1429" t="str">
        <f>'PLAN INDICATIVO'!L61</f>
        <v>11. Ciudades y comunidades sostenibles</v>
      </c>
      <c r="M61" s="1429" t="str">
        <f>'PLAN INDICATIVO'!M61</f>
        <v>Secretaría de Educación, Cultura, deporte y Turismo</v>
      </c>
      <c r="N61" s="1429" t="str">
        <f>'PLAN INDICATIVO'!N61</f>
        <v>YIMI FERNANDO LOSADA PAYA</v>
      </c>
      <c r="O61" s="1429" t="str">
        <f>'PLAN INDICATIVO'!O61</f>
        <v>Incremento</v>
      </c>
      <c r="P61" s="74" t="str">
        <f>'PLAN INDICATIVO'!P61</f>
        <v>Realizar Cuatro (4) versiones del FESTIVAL FOLKLORICO Y SANPEDRINO DEL SUR OCCIDENTE HUILENSE Y ORIENTE CAUCANO</v>
      </c>
      <c r="Q61" s="333" t="str">
        <f>'PLAN INDICATIVO'!Q61</f>
        <v>No. De versiones del Festival Folclórico realizados en el cuatrienio</v>
      </c>
      <c r="R61" s="334">
        <f>'PLAN INDICATIVO'!R61</f>
        <v>2015</v>
      </c>
      <c r="S61" s="304">
        <v>1</v>
      </c>
      <c r="T61" s="677">
        <v>4</v>
      </c>
      <c r="U61" s="303">
        <v>1</v>
      </c>
      <c r="V61" s="687">
        <v>15000000</v>
      </c>
      <c r="W61" s="572">
        <v>1</v>
      </c>
      <c r="X61" s="687">
        <v>500000</v>
      </c>
      <c r="Y61" s="572">
        <v>1</v>
      </c>
      <c r="Z61" s="687">
        <v>500000</v>
      </c>
      <c r="AA61" s="1310">
        <v>1</v>
      </c>
      <c r="AB61" s="687">
        <v>500000</v>
      </c>
      <c r="AC61" s="665">
        <v>1</v>
      </c>
      <c r="AD61" s="904">
        <v>1</v>
      </c>
      <c r="AE61" s="665">
        <v>1</v>
      </c>
      <c r="AF61" s="665"/>
      <c r="AG61" s="306" t="s">
        <v>4016</v>
      </c>
      <c r="AH61" s="987">
        <v>2018453960004</v>
      </c>
      <c r="AI61" s="1007" t="s">
        <v>4030</v>
      </c>
      <c r="AJ61" s="309">
        <v>42902</v>
      </c>
      <c r="AK61" s="309">
        <v>42916</v>
      </c>
      <c r="AL61" s="308"/>
      <c r="AM61" s="308"/>
      <c r="AN61" s="267" t="s">
        <v>2598</v>
      </c>
      <c r="AO61" s="508" t="s">
        <v>4031</v>
      </c>
      <c r="AP61" s="525"/>
      <c r="AQ61" s="310"/>
      <c r="AR61" s="310"/>
      <c r="AS61" s="310"/>
      <c r="AT61" s="310"/>
      <c r="AU61" s="310"/>
      <c r="AV61" s="310"/>
      <c r="AW61" s="544"/>
      <c r="AX61" s="525"/>
      <c r="AY61" s="310"/>
      <c r="AZ61" s="310"/>
      <c r="BA61" s="310"/>
      <c r="BB61" s="310"/>
      <c r="BC61" s="310"/>
      <c r="BD61" s="310"/>
      <c r="BE61" s="544">
        <f t="shared" si="18"/>
        <v>0</v>
      </c>
      <c r="BF61" s="525">
        <v>89200000</v>
      </c>
      <c r="BG61" s="310">
        <v>1800000</v>
      </c>
      <c r="BH61" s="310"/>
      <c r="BI61" s="310"/>
      <c r="BJ61" s="310"/>
      <c r="BK61" s="310"/>
      <c r="BL61" s="310"/>
      <c r="BM61" s="544">
        <f t="shared" si="19"/>
        <v>91000000</v>
      </c>
      <c r="BN61" s="525"/>
      <c r="BO61" s="310"/>
      <c r="BP61" s="310"/>
      <c r="BQ61" s="310"/>
      <c r="BR61" s="310"/>
      <c r="BS61" s="310"/>
      <c r="BT61" s="310"/>
      <c r="BU61" s="544">
        <f t="shared" si="20"/>
        <v>0</v>
      </c>
      <c r="BV61" s="556"/>
      <c r="BW61" s="663">
        <f t="shared" si="27"/>
        <v>3</v>
      </c>
      <c r="BX61" s="1047">
        <f t="shared" si="33"/>
        <v>0.75</v>
      </c>
      <c r="BY61" s="1047">
        <f t="shared" si="34"/>
        <v>1</v>
      </c>
      <c r="BZ61" s="1047">
        <f t="shared" si="35"/>
        <v>1</v>
      </c>
      <c r="CA61" s="1047">
        <f t="shared" si="36"/>
        <v>1</v>
      </c>
      <c r="CB61" s="1047">
        <f t="shared" si="37"/>
        <v>0</v>
      </c>
      <c r="CD61" t="str">
        <f t="shared" si="38"/>
        <v>VE</v>
      </c>
      <c r="CE61" t="str">
        <f t="shared" si="38"/>
        <v>VE</v>
      </c>
      <c r="CF61" t="str">
        <f t="shared" si="38"/>
        <v>VE</v>
      </c>
      <c r="CG61" t="str">
        <f t="shared" si="38"/>
        <v>ROB</v>
      </c>
    </row>
    <row r="62" spans="1:85" ht="54" hidden="1" customHeight="1" x14ac:dyDescent="0.25">
      <c r="A62" s="298" t="s">
        <v>2458</v>
      </c>
      <c r="B62" s="299" t="str">
        <f>'PLAN INDICATIVO'!B62</f>
        <v>Cultura</v>
      </c>
      <c r="C62" s="1547"/>
      <c r="D62" s="1551"/>
      <c r="E62" s="1551"/>
      <c r="F62" s="1551"/>
      <c r="G62" s="1551"/>
      <c r="H62" s="1551"/>
      <c r="I62" s="332">
        <f>'PLAN INDICATIVO'!I62</f>
        <v>0</v>
      </c>
      <c r="J62" s="332">
        <f>'PLAN INDICATIVO'!J62</f>
        <v>0</v>
      </c>
      <c r="K62" s="1429" t="str">
        <f>'PLAN INDICATIVO'!K62</f>
        <v>A.5.1.12</v>
      </c>
      <c r="L62" s="1429" t="str">
        <f>'PLAN INDICATIVO'!L62</f>
        <v>11. Ciudades y comunidades sostenibles</v>
      </c>
      <c r="M62" s="1429" t="str">
        <f>'PLAN INDICATIVO'!M62</f>
        <v>Secretaría de Educación, Cultura, deporte y Turismo</v>
      </c>
      <c r="N62" s="1429" t="str">
        <f>'PLAN INDICATIVO'!N62</f>
        <v>YIMI FERNANDO LOSADA PAYA</v>
      </c>
      <c r="O62" s="1429" t="str">
        <f>'PLAN INDICATIVO'!O62</f>
        <v>Incremento</v>
      </c>
      <c r="P62" s="1200" t="str">
        <f>'PLAN INDICATIVO'!P62</f>
        <v>Formular 1 Plan Decenal Municipal de Cultura  durante el cuatrienio.</v>
      </c>
      <c r="Q62" s="333" t="str">
        <f>'PLAN INDICATIVO'!Q62</f>
        <v>No. De planes decenales implementados en el cuatrienio</v>
      </c>
      <c r="R62" s="334">
        <f>'PLAN INDICATIVO'!R62</f>
        <v>2015</v>
      </c>
      <c r="S62" s="304">
        <v>0</v>
      </c>
      <c r="T62" s="677">
        <v>1</v>
      </c>
      <c r="U62" s="303">
        <v>0</v>
      </c>
      <c r="V62" s="687">
        <v>0</v>
      </c>
      <c r="W62" s="572">
        <v>0</v>
      </c>
      <c r="X62" s="687"/>
      <c r="Y62" s="572">
        <v>0.5</v>
      </c>
      <c r="Z62" s="687">
        <v>500000</v>
      </c>
      <c r="AA62" s="1310">
        <v>1</v>
      </c>
      <c r="AB62" s="687">
        <v>500000</v>
      </c>
      <c r="AC62" s="665">
        <v>0</v>
      </c>
      <c r="AD62" s="665"/>
      <c r="AE62" s="665">
        <v>0</v>
      </c>
      <c r="AF62" s="665"/>
      <c r="AG62" s="306" t="s">
        <v>4016</v>
      </c>
      <c r="AH62" s="987">
        <v>2018453960004</v>
      </c>
      <c r="AI62" s="1008" t="s">
        <v>4032</v>
      </c>
      <c r="AJ62" s="309">
        <v>43132</v>
      </c>
      <c r="AK62" s="309">
        <v>43434</v>
      </c>
      <c r="AL62" s="308"/>
      <c r="AM62" s="308"/>
      <c r="AN62" s="267" t="s">
        <v>2600</v>
      </c>
      <c r="AO62" s="508" t="s">
        <v>2635</v>
      </c>
      <c r="AP62" s="526"/>
      <c r="AQ62" s="470"/>
      <c r="AR62" s="470"/>
      <c r="AS62" s="470"/>
      <c r="AT62" s="470"/>
      <c r="AU62" s="470"/>
      <c r="AV62" s="470"/>
      <c r="AW62" s="544"/>
      <c r="AX62" s="526"/>
      <c r="AY62" s="470"/>
      <c r="AZ62" s="470"/>
      <c r="BA62" s="470"/>
      <c r="BB62" s="470"/>
      <c r="BC62" s="470"/>
      <c r="BD62" s="470"/>
      <c r="BE62" s="544">
        <f t="shared" si="18"/>
        <v>0</v>
      </c>
      <c r="BF62" s="526"/>
      <c r="BG62" s="470"/>
      <c r="BH62" s="470"/>
      <c r="BI62" s="470"/>
      <c r="BJ62" s="470"/>
      <c r="BK62" s="470"/>
      <c r="BL62" s="470">
        <v>500000</v>
      </c>
      <c r="BM62" s="544">
        <f t="shared" si="19"/>
        <v>500000</v>
      </c>
      <c r="BN62" s="526"/>
      <c r="BO62" s="470"/>
      <c r="BP62" s="470"/>
      <c r="BQ62" s="470"/>
      <c r="BR62" s="470"/>
      <c r="BS62" s="470"/>
      <c r="BT62" s="470"/>
      <c r="BU62" s="544">
        <f t="shared" si="20"/>
        <v>0</v>
      </c>
      <c r="BV62" s="556"/>
      <c r="BW62" s="663">
        <f t="shared" si="27"/>
        <v>0</v>
      </c>
      <c r="BX62" s="1047">
        <f t="shared" si="33"/>
        <v>0</v>
      </c>
      <c r="BY62" s="1047" t="str">
        <f t="shared" si="34"/>
        <v>Aplazada</v>
      </c>
      <c r="BZ62" s="1047" t="str">
        <f t="shared" si="35"/>
        <v>Aplazada</v>
      </c>
      <c r="CA62" s="1047">
        <f t="shared" si="36"/>
        <v>0</v>
      </c>
      <c r="CB62" s="1047">
        <f t="shared" si="37"/>
        <v>0</v>
      </c>
      <c r="CD62" t="str">
        <f t="shared" si="38"/>
        <v>AZ</v>
      </c>
      <c r="CE62" t="str">
        <f t="shared" si="38"/>
        <v>AZ</v>
      </c>
      <c r="CF62" t="str">
        <f t="shared" si="38"/>
        <v>ROB</v>
      </c>
      <c r="CG62" t="str">
        <f t="shared" si="38"/>
        <v>ROB</v>
      </c>
    </row>
    <row r="63" spans="1:85" ht="76.5" hidden="1" customHeight="1" x14ac:dyDescent="0.25">
      <c r="A63" s="298" t="s">
        <v>2458</v>
      </c>
      <c r="B63" s="299" t="str">
        <f>'PLAN INDICATIVO'!B63</f>
        <v>Cultura</v>
      </c>
      <c r="C63" s="1547"/>
      <c r="D63" s="1551"/>
      <c r="E63" s="1551"/>
      <c r="F63" s="1551"/>
      <c r="G63" s="1551"/>
      <c r="H63" s="1551"/>
      <c r="I63" s="332">
        <f>'PLAN INDICATIVO'!I63</f>
        <v>0</v>
      </c>
      <c r="J63" s="332">
        <f>'PLAN INDICATIVO'!J63</f>
        <v>0</v>
      </c>
      <c r="K63" s="1429" t="str">
        <f>'PLAN INDICATIVO'!K63</f>
        <v>A.5.1.13</v>
      </c>
      <c r="L63" s="1429" t="str">
        <f>'PLAN INDICATIVO'!L63</f>
        <v>11. Ciudades y comunidades sostenibles</v>
      </c>
      <c r="M63" s="1429" t="str">
        <f>'PLAN INDICATIVO'!M63</f>
        <v>Secretaría de Educación, Cultura, deporte y Turismo</v>
      </c>
      <c r="N63" s="1429" t="str">
        <f>'PLAN INDICATIVO'!N63</f>
        <v>YIMI FERNANDO LOSADA PAYA</v>
      </c>
      <c r="O63" s="1429" t="str">
        <f>'PLAN INDICATIVO'!O63</f>
        <v>Incremento</v>
      </c>
      <c r="P63" s="1200" t="str">
        <f>'PLAN INDICATIVO'!P63</f>
        <v>Realizar 2 capacitaciones para promover la comercialización del sector artesanal  durante el cuatrienio</v>
      </c>
      <c r="Q63" s="333" t="str">
        <f>'PLAN INDICATIVO'!Q63</f>
        <v>No. De capacitaciones realizadas</v>
      </c>
      <c r="R63" s="334">
        <f>'PLAN INDICATIVO'!R63</f>
        <v>2015</v>
      </c>
      <c r="S63" s="304">
        <v>0</v>
      </c>
      <c r="T63" s="677">
        <v>2</v>
      </c>
      <c r="U63" s="303">
        <v>0</v>
      </c>
      <c r="V63" s="687">
        <v>1000000</v>
      </c>
      <c r="W63" s="572">
        <v>1</v>
      </c>
      <c r="X63" s="687">
        <v>500000</v>
      </c>
      <c r="Y63" s="572">
        <v>1</v>
      </c>
      <c r="Z63" s="687">
        <v>500000</v>
      </c>
      <c r="AA63" s="1310">
        <v>1</v>
      </c>
      <c r="AB63" s="687">
        <v>500000</v>
      </c>
      <c r="AC63" s="665">
        <v>1</v>
      </c>
      <c r="AD63" s="665"/>
      <c r="AE63" s="665"/>
      <c r="AF63" s="665"/>
      <c r="AG63" s="306" t="s">
        <v>4016</v>
      </c>
      <c r="AH63" s="987">
        <v>2018453960004</v>
      </c>
      <c r="AI63" s="1008" t="s">
        <v>4033</v>
      </c>
      <c r="AJ63" s="309">
        <v>42917</v>
      </c>
      <c r="AK63" s="309">
        <v>43099</v>
      </c>
      <c r="AL63" s="308"/>
      <c r="AM63" s="308"/>
      <c r="AN63" s="267" t="s">
        <v>2600</v>
      </c>
      <c r="AO63" s="508" t="s">
        <v>2635</v>
      </c>
      <c r="AP63" s="526"/>
      <c r="AQ63" s="470"/>
      <c r="AR63" s="470"/>
      <c r="AS63" s="470"/>
      <c r="AT63" s="470"/>
      <c r="AU63" s="470"/>
      <c r="AV63" s="470"/>
      <c r="AW63" s="544"/>
      <c r="AX63" s="526"/>
      <c r="AY63" s="470"/>
      <c r="AZ63" s="470"/>
      <c r="BA63" s="470"/>
      <c r="BB63" s="470"/>
      <c r="BC63" s="470"/>
      <c r="BD63" s="470"/>
      <c r="BE63" s="544">
        <f t="shared" si="18"/>
        <v>0</v>
      </c>
      <c r="BF63" s="526"/>
      <c r="BG63" s="470"/>
      <c r="BH63" s="470"/>
      <c r="BI63" s="470"/>
      <c r="BJ63" s="470"/>
      <c r="BK63" s="470"/>
      <c r="BL63" s="470"/>
      <c r="BM63" s="544">
        <f t="shared" si="19"/>
        <v>0</v>
      </c>
      <c r="BN63" s="526"/>
      <c r="BO63" s="470"/>
      <c r="BP63" s="470"/>
      <c r="BQ63" s="470"/>
      <c r="BR63" s="470"/>
      <c r="BS63" s="470"/>
      <c r="BT63" s="470"/>
      <c r="BU63" s="544">
        <f t="shared" si="20"/>
        <v>0</v>
      </c>
      <c r="BV63" s="556"/>
      <c r="BW63" s="663">
        <f t="shared" si="27"/>
        <v>1</v>
      </c>
      <c r="BX63" s="1047">
        <f t="shared" si="33"/>
        <v>0.5</v>
      </c>
      <c r="BY63" s="1047" t="str">
        <f t="shared" si="34"/>
        <v>Aplazada</v>
      </c>
      <c r="BZ63" s="1047">
        <f t="shared" si="35"/>
        <v>0</v>
      </c>
      <c r="CA63" s="1047">
        <f t="shared" si="36"/>
        <v>0</v>
      </c>
      <c r="CB63" s="1047">
        <f t="shared" si="37"/>
        <v>0</v>
      </c>
      <c r="CD63" t="str">
        <f t="shared" si="38"/>
        <v>AZ</v>
      </c>
      <c r="CE63" t="str">
        <f t="shared" si="38"/>
        <v>ROB</v>
      </c>
      <c r="CF63" t="str">
        <f t="shared" si="38"/>
        <v>ROB</v>
      </c>
      <c r="CG63" t="str">
        <f t="shared" si="38"/>
        <v>ROB</v>
      </c>
    </row>
    <row r="64" spans="1:85" ht="72.75" hidden="1" customHeight="1" x14ac:dyDescent="0.25">
      <c r="A64" s="298" t="s">
        <v>2458</v>
      </c>
      <c r="B64" s="299" t="str">
        <f>'PLAN INDICATIVO'!B64</f>
        <v>Cultura</v>
      </c>
      <c r="C64" s="1547"/>
      <c r="D64" s="1551"/>
      <c r="E64" s="1551"/>
      <c r="F64" s="1551"/>
      <c r="G64" s="1551"/>
      <c r="H64" s="1551"/>
      <c r="I64" s="332">
        <f>'PLAN INDICATIVO'!I64</f>
        <v>0</v>
      </c>
      <c r="J64" s="332" t="str">
        <f>'PLAN INDICATIVO'!J64</f>
        <v>SI</v>
      </c>
      <c r="K64" s="1429" t="str">
        <f>'PLAN INDICATIVO'!K64</f>
        <v>A.5.1.14</v>
      </c>
      <c r="L64" s="1429" t="str">
        <f>'PLAN INDICATIVO'!L64</f>
        <v>11. Ciudades y comunidades sostenibles</v>
      </c>
      <c r="M64" s="1429" t="str">
        <f>'PLAN INDICATIVO'!M64</f>
        <v>Secretaría de Educación, Cultura, deporte y Turismo</v>
      </c>
      <c r="N64" s="1429" t="str">
        <f>'PLAN INDICATIVO'!N64</f>
        <v>YIMI FERNANDO LOSADA PAYA</v>
      </c>
      <c r="O64" s="1429" t="str">
        <f>'PLAN INDICATIVO'!O64</f>
        <v>Incremento</v>
      </c>
      <c r="P64" s="1200" t="str">
        <f>'PLAN INDICATIVO'!P64</f>
        <v>Implementar medidas de salvaguarda del FESTIVAL FOLKLORICO Y SANPEDRINO DEL SUR OCCIDENTE HUILENSE Y ORIENTE CAUCANO, durante el cuatrienio</v>
      </c>
      <c r="Q64" s="333" t="str">
        <f>'PLAN INDICATIVO'!Q64</f>
        <v>No. De medidas implementadas</v>
      </c>
      <c r="R64" s="334">
        <f>'PLAN INDICATIVO'!R64</f>
        <v>2015</v>
      </c>
      <c r="S64" s="304">
        <v>0</v>
      </c>
      <c r="T64" s="677">
        <v>1</v>
      </c>
      <c r="U64" s="303">
        <v>0</v>
      </c>
      <c r="V64" s="687">
        <v>1000000</v>
      </c>
      <c r="W64" s="572">
        <v>1</v>
      </c>
      <c r="X64" s="687">
        <v>500000</v>
      </c>
      <c r="Y64" s="572">
        <v>0.5</v>
      </c>
      <c r="Z64" s="687">
        <v>500000</v>
      </c>
      <c r="AA64" s="1310">
        <v>0.5</v>
      </c>
      <c r="AB64" s="687">
        <v>500000</v>
      </c>
      <c r="AC64" s="665">
        <v>0</v>
      </c>
      <c r="AD64" s="665"/>
      <c r="AE64" s="665">
        <v>0.5</v>
      </c>
      <c r="AF64" s="665"/>
      <c r="AG64" s="306" t="s">
        <v>4016</v>
      </c>
      <c r="AH64" s="987">
        <v>2018453960004</v>
      </c>
      <c r="AI64" s="1007" t="s">
        <v>4034</v>
      </c>
      <c r="AJ64" s="309">
        <v>42917</v>
      </c>
      <c r="AK64" s="309">
        <v>43099</v>
      </c>
      <c r="AL64" s="308"/>
      <c r="AM64" s="308"/>
      <c r="AN64" s="267" t="s">
        <v>2598</v>
      </c>
      <c r="AO64" s="508">
        <v>2305</v>
      </c>
      <c r="AP64" s="525"/>
      <c r="AQ64" s="310"/>
      <c r="AR64" s="310"/>
      <c r="AS64" s="310"/>
      <c r="AT64" s="310"/>
      <c r="AU64" s="310"/>
      <c r="AV64" s="310"/>
      <c r="AW64" s="544"/>
      <c r="AX64" s="525"/>
      <c r="AY64" s="310"/>
      <c r="AZ64" s="310"/>
      <c r="BA64" s="310"/>
      <c r="BB64" s="310"/>
      <c r="BC64" s="310"/>
      <c r="BD64" s="310"/>
      <c r="BE64" s="544">
        <f t="shared" si="18"/>
        <v>0</v>
      </c>
      <c r="BF64" s="525"/>
      <c r="BG64" s="310"/>
      <c r="BH64" s="310"/>
      <c r="BI64" s="310"/>
      <c r="BJ64" s="310"/>
      <c r="BK64" s="310"/>
      <c r="BL64" s="310">
        <v>500000</v>
      </c>
      <c r="BM64" s="544">
        <f t="shared" si="19"/>
        <v>500000</v>
      </c>
      <c r="BN64" s="525"/>
      <c r="BO64" s="310"/>
      <c r="BP64" s="310"/>
      <c r="BQ64" s="310"/>
      <c r="BR64" s="310"/>
      <c r="BS64" s="310"/>
      <c r="BT64" s="310"/>
      <c r="BU64" s="544">
        <f t="shared" si="20"/>
        <v>0</v>
      </c>
      <c r="BV64" s="556"/>
      <c r="BW64" s="663">
        <f t="shared" si="27"/>
        <v>0.5</v>
      </c>
      <c r="BX64" s="1047">
        <f t="shared" si="33"/>
        <v>0.5</v>
      </c>
      <c r="BY64" s="1047" t="str">
        <f t="shared" si="34"/>
        <v>Aplazada</v>
      </c>
      <c r="BZ64" s="1047">
        <f t="shared" si="35"/>
        <v>0</v>
      </c>
      <c r="CA64" s="1047">
        <f t="shared" si="36"/>
        <v>1</v>
      </c>
      <c r="CB64" s="1047">
        <f t="shared" si="37"/>
        <v>0</v>
      </c>
      <c r="CD64" t="str">
        <f t="shared" si="38"/>
        <v>AZ</v>
      </c>
      <c r="CE64" t="str">
        <f t="shared" si="38"/>
        <v>ROB</v>
      </c>
      <c r="CF64" t="str">
        <f t="shared" si="38"/>
        <v>VE</v>
      </c>
      <c r="CG64" t="str">
        <f t="shared" si="38"/>
        <v>ROB</v>
      </c>
    </row>
    <row r="65" spans="1:85" ht="77.25" hidden="1" customHeight="1" x14ac:dyDescent="0.25">
      <c r="A65" s="298" t="s">
        <v>173</v>
      </c>
      <c r="B65" s="299" t="str">
        <f>'PLAN INDICATIVO'!B65</f>
        <v>Cultura</v>
      </c>
      <c r="C65" s="1547"/>
      <c r="D65" s="1551"/>
      <c r="E65" s="1551"/>
      <c r="F65" s="1551"/>
      <c r="G65" s="1551"/>
      <c r="H65" s="1551"/>
      <c r="I65" s="332">
        <f>'PLAN INDICATIVO'!I65</f>
        <v>0</v>
      </c>
      <c r="J65" s="332">
        <f>'PLAN INDICATIVO'!J65</f>
        <v>0</v>
      </c>
      <c r="K65" s="1429" t="str">
        <f>'PLAN INDICATIVO'!K65</f>
        <v>A.5.1.15</v>
      </c>
      <c r="L65" s="1429" t="str">
        <f>'PLAN INDICATIVO'!L65</f>
        <v>11. Ciudades y comunidades sostenibles</v>
      </c>
      <c r="M65" s="1429" t="str">
        <f>'PLAN INDICATIVO'!M65</f>
        <v>Secretaría de Educación, Cultura, deporte y Turismo</v>
      </c>
      <c r="N65" s="1429" t="str">
        <f>'PLAN INDICATIVO'!N65</f>
        <v>YIMI FERNANDO LOSADA PAYA</v>
      </c>
      <c r="O65" s="1429" t="str">
        <f>'PLAN INDICATIVO'!O65</f>
        <v>Incremento</v>
      </c>
      <c r="P65" s="74" t="str">
        <f>'PLAN INDICATIVO'!P65</f>
        <v>Realizar 16 Peñas Culturales, en la zona urbana y rural, durante el cuatrienio</v>
      </c>
      <c r="Q65" s="333" t="str">
        <f>'PLAN INDICATIVO'!Q65</f>
        <v>No. de peñas culturales realizadas en el cuatrienio</v>
      </c>
      <c r="R65" s="334">
        <f>'PLAN INDICATIVO'!R65</f>
        <v>2015</v>
      </c>
      <c r="S65" s="304">
        <v>0</v>
      </c>
      <c r="T65" s="677">
        <v>16</v>
      </c>
      <c r="U65" s="303">
        <v>4</v>
      </c>
      <c r="V65" s="687">
        <v>11000000</v>
      </c>
      <c r="W65" s="572">
        <v>4</v>
      </c>
      <c r="X65" s="687">
        <v>5000000</v>
      </c>
      <c r="Y65" s="572">
        <v>4</v>
      </c>
      <c r="Z65" s="687">
        <v>5000000</v>
      </c>
      <c r="AA65" s="1310">
        <f>T65-BW65</f>
        <v>5</v>
      </c>
      <c r="AB65" s="687">
        <v>5000000</v>
      </c>
      <c r="AC65" s="665">
        <v>4</v>
      </c>
      <c r="AD65" s="665">
        <v>4</v>
      </c>
      <c r="AE65" s="665">
        <v>3</v>
      </c>
      <c r="AF65" s="665"/>
      <c r="AG65" s="306" t="s">
        <v>4016</v>
      </c>
      <c r="AH65" s="987">
        <v>2018453960004</v>
      </c>
      <c r="AI65" s="1007" t="s">
        <v>4035</v>
      </c>
      <c r="AJ65" s="309">
        <v>42856</v>
      </c>
      <c r="AK65" s="309">
        <v>42916</v>
      </c>
      <c r="AL65" s="308"/>
      <c r="AM65" s="308"/>
      <c r="AN65" s="267" t="s">
        <v>2604</v>
      </c>
      <c r="AO65" s="508" t="s">
        <v>4036</v>
      </c>
      <c r="AP65" s="525"/>
      <c r="AQ65" s="310"/>
      <c r="AR65" s="310"/>
      <c r="AS65" s="310"/>
      <c r="AT65" s="310"/>
      <c r="AU65" s="310"/>
      <c r="AV65" s="310"/>
      <c r="AW65" s="544"/>
      <c r="AX65" s="525"/>
      <c r="AY65" s="310"/>
      <c r="AZ65" s="310"/>
      <c r="BA65" s="310"/>
      <c r="BB65" s="310"/>
      <c r="BC65" s="310"/>
      <c r="BD65" s="310"/>
      <c r="BE65" s="544">
        <f t="shared" si="18"/>
        <v>0</v>
      </c>
      <c r="BF65" s="525"/>
      <c r="BG65" s="310">
        <v>7000000</v>
      </c>
      <c r="BH65" s="310"/>
      <c r="BI65" s="310"/>
      <c r="BJ65" s="310"/>
      <c r="BK65" s="310"/>
      <c r="BL65" s="310"/>
      <c r="BM65" s="544">
        <f t="shared" si="19"/>
        <v>7000000</v>
      </c>
      <c r="BN65" s="525"/>
      <c r="BO65" s="310"/>
      <c r="BP65" s="310"/>
      <c r="BQ65" s="310"/>
      <c r="BR65" s="310"/>
      <c r="BS65" s="310"/>
      <c r="BT65" s="310"/>
      <c r="BU65" s="544">
        <f t="shared" si="20"/>
        <v>0</v>
      </c>
      <c r="BV65" s="556"/>
      <c r="BW65" s="663">
        <f t="shared" si="27"/>
        <v>11</v>
      </c>
      <c r="BX65" s="1047">
        <f t="shared" si="33"/>
        <v>0.6875</v>
      </c>
      <c r="BY65" s="1047">
        <f t="shared" si="34"/>
        <v>1</v>
      </c>
      <c r="BZ65" s="1047">
        <f t="shared" si="35"/>
        <v>1</v>
      </c>
      <c r="CA65" s="1047">
        <f t="shared" si="36"/>
        <v>0.75</v>
      </c>
      <c r="CB65" s="1047">
        <f t="shared" si="37"/>
        <v>0</v>
      </c>
      <c r="CD65" t="str">
        <f t="shared" si="38"/>
        <v>VE</v>
      </c>
      <c r="CE65" t="str">
        <f t="shared" si="38"/>
        <v>VE</v>
      </c>
      <c r="CF65" t="str">
        <f t="shared" si="38"/>
        <v>VEB</v>
      </c>
      <c r="CG65" t="str">
        <f t="shared" si="38"/>
        <v>ROB</v>
      </c>
    </row>
    <row r="66" spans="1:85" ht="81" hidden="1" customHeight="1" x14ac:dyDescent="0.25">
      <c r="A66" s="298" t="s">
        <v>2458</v>
      </c>
      <c r="B66" s="299" t="str">
        <f>'PLAN INDICATIVO'!B66</f>
        <v>Cultura</v>
      </c>
      <c r="C66" s="1547"/>
      <c r="D66" s="1551"/>
      <c r="E66" s="1551"/>
      <c r="F66" s="1551"/>
      <c r="G66" s="1551"/>
      <c r="H66" s="1551"/>
      <c r="I66" s="332">
        <f>'PLAN INDICATIVO'!I66</f>
        <v>0</v>
      </c>
      <c r="J66" s="332">
        <f>'PLAN INDICATIVO'!J66</f>
        <v>0</v>
      </c>
      <c r="K66" s="1429" t="str">
        <f>'PLAN INDICATIVO'!K66</f>
        <v>A.5.1.16</v>
      </c>
      <c r="L66" s="1429" t="str">
        <f>'PLAN INDICATIVO'!L66</f>
        <v>11. Ciudades y comunidades sostenibles</v>
      </c>
      <c r="M66" s="1429" t="str">
        <f>'PLAN INDICATIVO'!M66</f>
        <v>Secretaría de Educación, Cultura, deporte y Turismo</v>
      </c>
      <c r="N66" s="1429" t="str">
        <f>'PLAN INDICATIVO'!N66</f>
        <v>YIMI FERNANDO LOSADA PAYA</v>
      </c>
      <c r="O66" s="1429" t="str">
        <f>'PLAN INDICATIVO'!O66</f>
        <v>Incremento</v>
      </c>
      <c r="P66" s="1200" t="str">
        <f>'PLAN INDICATIVO'!P66</f>
        <v>Suministrar 2 dotaciones mantenimiento y/o compra de accesorios, para los instrumentos para las bandas musicales y de paz, durante el cuatrienio</v>
      </c>
      <c r="Q66" s="333" t="str">
        <f>'PLAN INDICATIVO'!Q66</f>
        <v>No. de dotaciones mantenimientos y/o compras de accesorios suministradas en el cuatrienio</v>
      </c>
      <c r="R66" s="334">
        <f>'PLAN INDICATIVO'!R66</f>
        <v>2015</v>
      </c>
      <c r="S66" s="304">
        <v>0</v>
      </c>
      <c r="T66" s="677">
        <v>2</v>
      </c>
      <c r="U66" s="303">
        <v>1</v>
      </c>
      <c r="V66" s="687">
        <v>2000000</v>
      </c>
      <c r="W66" s="685">
        <v>2</v>
      </c>
      <c r="X66" s="687">
        <v>17000000</v>
      </c>
      <c r="Y66" s="964"/>
      <c r="Z66" s="687">
        <v>10000000</v>
      </c>
      <c r="AA66" s="1310"/>
      <c r="AB66" s="687">
        <v>20000000</v>
      </c>
      <c r="AC66" s="665">
        <v>0</v>
      </c>
      <c r="AD66" s="665">
        <v>4</v>
      </c>
      <c r="AE66" s="665">
        <v>1</v>
      </c>
      <c r="AF66" s="665"/>
      <c r="AG66" s="306"/>
      <c r="AH66" s="987"/>
      <c r="AI66" s="1007" t="s">
        <v>4037</v>
      </c>
      <c r="AJ66" s="309">
        <v>42798</v>
      </c>
      <c r="AK66" s="309">
        <v>42856</v>
      </c>
      <c r="AL66" s="308"/>
      <c r="AM66" s="308"/>
      <c r="AN66" s="267" t="s">
        <v>2594</v>
      </c>
      <c r="AO66" s="508" t="s">
        <v>4038</v>
      </c>
      <c r="AP66" s="525"/>
      <c r="AQ66" s="310"/>
      <c r="AR66" s="310"/>
      <c r="AS66" s="310"/>
      <c r="AT66" s="310"/>
      <c r="AU66" s="310"/>
      <c r="AV66" s="310"/>
      <c r="AW66" s="544"/>
      <c r="AX66" s="525"/>
      <c r="AY66" s="310"/>
      <c r="AZ66" s="310"/>
      <c r="BA66" s="310"/>
      <c r="BB66" s="310"/>
      <c r="BC66" s="310"/>
      <c r="BD66" s="310"/>
      <c r="BE66" s="544">
        <f t="shared" si="18"/>
        <v>0</v>
      </c>
      <c r="BF66" s="525">
        <v>4000000</v>
      </c>
      <c r="BG66" s="310">
        <v>3900000</v>
      </c>
      <c r="BH66" s="310"/>
      <c r="BI66" s="310"/>
      <c r="BJ66" s="310"/>
      <c r="BK66" s="310"/>
      <c r="BL66" s="310"/>
      <c r="BM66" s="544">
        <f t="shared" si="19"/>
        <v>7900000</v>
      </c>
      <c r="BN66" s="525"/>
      <c r="BO66" s="310"/>
      <c r="BP66" s="310"/>
      <c r="BQ66" s="310"/>
      <c r="BR66" s="310"/>
      <c r="BS66" s="310"/>
      <c r="BT66" s="310"/>
      <c r="BU66" s="544">
        <f t="shared" si="20"/>
        <v>0</v>
      </c>
      <c r="BV66" s="556"/>
      <c r="BW66" s="663">
        <f t="shared" si="27"/>
        <v>5</v>
      </c>
      <c r="BX66" s="1047">
        <f t="shared" si="33"/>
        <v>2.5</v>
      </c>
      <c r="BY66" s="1047">
        <f t="shared" si="34"/>
        <v>0</v>
      </c>
      <c r="BZ66" s="1047">
        <f t="shared" si="35"/>
        <v>2</v>
      </c>
      <c r="CA66" s="1047" t="str">
        <f t="shared" si="36"/>
        <v>No Programada</v>
      </c>
      <c r="CB66" s="1047" t="str">
        <f t="shared" si="37"/>
        <v>No Programada</v>
      </c>
      <c r="CD66" t="str">
        <f t="shared" si="38"/>
        <v>ROB</v>
      </c>
      <c r="CE66" t="str">
        <f t="shared" si="38"/>
        <v>VE</v>
      </c>
      <c r="CF66" t="str">
        <f t="shared" si="38"/>
        <v>NP</v>
      </c>
      <c r="CG66" t="str">
        <f t="shared" si="38"/>
        <v>NP</v>
      </c>
    </row>
    <row r="67" spans="1:85" ht="82.5" hidden="1" customHeight="1" x14ac:dyDescent="0.25">
      <c r="A67" s="298" t="s">
        <v>173</v>
      </c>
      <c r="B67" s="299" t="str">
        <f>'PLAN INDICATIVO'!B67</f>
        <v>Cultura</v>
      </c>
      <c r="C67" s="1547"/>
      <c r="D67" s="1551"/>
      <c r="E67" s="1551"/>
      <c r="F67" s="1551"/>
      <c r="G67" s="1551"/>
      <c r="H67" s="1551"/>
      <c r="I67" s="332">
        <f>'PLAN INDICATIVO'!I67</f>
        <v>0</v>
      </c>
      <c r="J67" s="332">
        <f>'PLAN INDICATIVO'!J67</f>
        <v>0</v>
      </c>
      <c r="K67" s="1429" t="str">
        <f>'PLAN INDICATIVO'!K67</f>
        <v>A.5.1.17</v>
      </c>
      <c r="L67" s="1429" t="str">
        <f>'PLAN INDICATIVO'!L67</f>
        <v>11. Ciudades y comunidades sostenibles</v>
      </c>
      <c r="M67" s="1429" t="str">
        <f>'PLAN INDICATIVO'!M67</f>
        <v>Secretaría de Educación, Cultura, deporte y Turismo</v>
      </c>
      <c r="N67" s="1429" t="str">
        <f>'PLAN INDICATIVO'!N67</f>
        <v>YIMI FERNANDO LOSADA PAYA</v>
      </c>
      <c r="O67" s="1429" t="str">
        <f>'PLAN INDICATIVO'!O67</f>
        <v>Incremento</v>
      </c>
      <c r="P67" s="74" t="str">
        <f>'PLAN INDICATIVO'!P67</f>
        <v>Vincular 320 personas en el cuatrienio al programa musical de bandas, coros, música tradicional y de cuerda, con apoyo logístico y de personal</v>
      </c>
      <c r="Q67" s="333" t="str">
        <f>'PLAN INDICATIVO'!Q67</f>
        <v>No. De personas vinculadas en el cuatrienio</v>
      </c>
      <c r="R67" s="334">
        <f>'PLAN INDICATIVO'!R67</f>
        <v>2015</v>
      </c>
      <c r="S67" s="304">
        <v>50</v>
      </c>
      <c r="T67" s="677">
        <v>320</v>
      </c>
      <c r="U67" s="303">
        <v>80</v>
      </c>
      <c r="V67" s="687">
        <v>29000000</v>
      </c>
      <c r="W67" s="572">
        <v>80</v>
      </c>
      <c r="X67" s="687">
        <v>18000000</v>
      </c>
      <c r="Y67" s="572">
        <v>60</v>
      </c>
      <c r="Z67" s="687">
        <v>18000000</v>
      </c>
      <c r="AA67" s="1310">
        <f>T67-BW67</f>
        <v>30</v>
      </c>
      <c r="AB67" s="687">
        <v>15000000</v>
      </c>
      <c r="AC67" s="665">
        <f>60+70</f>
        <v>130</v>
      </c>
      <c r="AD67" s="665">
        <v>80</v>
      </c>
      <c r="AE67" s="665">
        <v>80</v>
      </c>
      <c r="AF67" s="665"/>
      <c r="AG67" s="306" t="s">
        <v>4016</v>
      </c>
      <c r="AH67" s="987">
        <v>2018453960004</v>
      </c>
      <c r="AI67" s="1007" t="s">
        <v>4039</v>
      </c>
      <c r="AJ67" s="309">
        <v>42767</v>
      </c>
      <c r="AK67" s="309">
        <v>43099</v>
      </c>
      <c r="AL67" s="308"/>
      <c r="AM67" s="308"/>
      <c r="AN67" s="267" t="s">
        <v>2598</v>
      </c>
      <c r="AO67" s="508">
        <v>2305</v>
      </c>
      <c r="AP67" s="525"/>
      <c r="AQ67" s="310"/>
      <c r="AR67" s="310"/>
      <c r="AS67" s="310"/>
      <c r="AT67" s="310"/>
      <c r="AU67" s="310"/>
      <c r="AV67" s="310"/>
      <c r="AW67" s="544"/>
      <c r="AX67" s="525"/>
      <c r="AY67" s="310"/>
      <c r="AZ67" s="310"/>
      <c r="BA67" s="310"/>
      <c r="BB67" s="310"/>
      <c r="BC67" s="310"/>
      <c r="BD67" s="310"/>
      <c r="BE67" s="544">
        <f t="shared" si="18"/>
        <v>0</v>
      </c>
      <c r="BF67" s="525"/>
      <c r="BG67" s="310"/>
      <c r="BH67" s="310"/>
      <c r="BI67" s="310"/>
      <c r="BJ67" s="310"/>
      <c r="BK67" s="310"/>
      <c r="BL67" s="310"/>
      <c r="BM67" s="544">
        <f t="shared" si="19"/>
        <v>0</v>
      </c>
      <c r="BN67" s="525"/>
      <c r="BO67" s="310"/>
      <c r="BP67" s="310"/>
      <c r="BQ67" s="310"/>
      <c r="BR67" s="310"/>
      <c r="BS67" s="310"/>
      <c r="BT67" s="310"/>
      <c r="BU67" s="544">
        <f t="shared" si="20"/>
        <v>0</v>
      </c>
      <c r="BV67" s="556"/>
      <c r="BW67" s="663">
        <f t="shared" si="27"/>
        <v>290</v>
      </c>
      <c r="BX67" s="1047">
        <f t="shared" si="33"/>
        <v>0.90625</v>
      </c>
      <c r="BY67" s="1047">
        <f t="shared" si="34"/>
        <v>1.625</v>
      </c>
      <c r="BZ67" s="1047">
        <f t="shared" si="35"/>
        <v>1</v>
      </c>
      <c r="CA67" s="1047">
        <f t="shared" si="36"/>
        <v>1.3333333333333333</v>
      </c>
      <c r="CB67" s="1047">
        <f t="shared" si="37"/>
        <v>0</v>
      </c>
      <c r="CD67" t="str">
        <f t="shared" si="38"/>
        <v>VE</v>
      </c>
      <c r="CE67" t="str">
        <f t="shared" si="38"/>
        <v>VE</v>
      </c>
      <c r="CF67" t="str">
        <f t="shared" si="38"/>
        <v>VE</v>
      </c>
      <c r="CG67" t="str">
        <f t="shared" si="38"/>
        <v>ROB</v>
      </c>
    </row>
    <row r="68" spans="1:85" ht="71.25" hidden="1" customHeight="1" x14ac:dyDescent="0.25">
      <c r="A68" s="298" t="s">
        <v>173</v>
      </c>
      <c r="B68" s="299" t="str">
        <f>'PLAN INDICATIVO'!B68</f>
        <v>Cultura</v>
      </c>
      <c r="C68" s="1547"/>
      <c r="D68" s="1551"/>
      <c r="E68" s="1551"/>
      <c r="F68" s="1551"/>
      <c r="G68" s="1551"/>
      <c r="H68" s="1551"/>
      <c r="I68" s="332">
        <f>'PLAN INDICATIVO'!I68</f>
        <v>0</v>
      </c>
      <c r="J68" s="332">
        <f>'PLAN INDICATIVO'!J68</f>
        <v>0</v>
      </c>
      <c r="K68" s="1429" t="str">
        <f>'PLAN INDICATIVO'!K68</f>
        <v>A.5.1.18</v>
      </c>
      <c r="L68" s="1429" t="str">
        <f>'PLAN INDICATIVO'!L68</f>
        <v>11. Ciudades y comunidades sostenibles</v>
      </c>
      <c r="M68" s="1429" t="str">
        <f>'PLAN INDICATIVO'!M68</f>
        <v>Secretaría de Educación, Cultura, deporte y Turismo</v>
      </c>
      <c r="N68" s="1429" t="str">
        <f>'PLAN INDICATIVO'!N68</f>
        <v>YIMI FERNANDO LOSADA PAYA</v>
      </c>
      <c r="O68" s="1429" t="str">
        <f>'PLAN INDICATIVO'!O68</f>
        <v>Incremento</v>
      </c>
      <c r="P68" s="74" t="str">
        <f>'PLAN INDICATIVO'!P68</f>
        <v>Crear 1 Secretaria Municipal de Cultura, Deporte y Turismo durante el cuatrienio.</v>
      </c>
      <c r="Q68" s="333" t="str">
        <f>'PLAN INDICATIVO'!Q68</f>
        <v>No. De secretarias creadas en el cuatrienio</v>
      </c>
      <c r="R68" s="334">
        <f>'PLAN INDICATIVO'!R68</f>
        <v>2015</v>
      </c>
      <c r="S68" s="304">
        <v>0</v>
      </c>
      <c r="T68" s="677">
        <v>1</v>
      </c>
      <c r="U68" s="303"/>
      <c r="V68" s="687">
        <v>1000000</v>
      </c>
      <c r="W68" s="572"/>
      <c r="X68" s="687">
        <v>500000</v>
      </c>
      <c r="Y68" s="572">
        <v>0.5</v>
      </c>
      <c r="Z68" s="687">
        <v>500000</v>
      </c>
      <c r="AA68" s="1310">
        <v>0.5</v>
      </c>
      <c r="AB68" s="687">
        <v>500000</v>
      </c>
      <c r="AC68" s="665">
        <v>0</v>
      </c>
      <c r="AD68" s="665"/>
      <c r="AE68" s="665">
        <v>0.5</v>
      </c>
      <c r="AF68" s="665"/>
      <c r="AG68" s="306" t="s">
        <v>4016</v>
      </c>
      <c r="AH68" s="987">
        <v>2018453960004</v>
      </c>
      <c r="AI68" s="1007" t="s">
        <v>4040</v>
      </c>
      <c r="AJ68" s="309">
        <v>42767</v>
      </c>
      <c r="AK68" s="309">
        <v>43099</v>
      </c>
      <c r="AL68" s="308"/>
      <c r="AM68" s="308"/>
      <c r="AN68" s="267" t="s">
        <v>2600</v>
      </c>
      <c r="AO68" s="508">
        <v>2305</v>
      </c>
      <c r="AP68" s="525"/>
      <c r="AQ68" s="310"/>
      <c r="AR68" s="310"/>
      <c r="AS68" s="310"/>
      <c r="AT68" s="310"/>
      <c r="AU68" s="310"/>
      <c r="AV68" s="310"/>
      <c r="AW68" s="544"/>
      <c r="AX68" s="525"/>
      <c r="AY68" s="310"/>
      <c r="AZ68" s="310"/>
      <c r="BA68" s="310"/>
      <c r="BB68" s="310"/>
      <c r="BC68" s="310"/>
      <c r="BD68" s="310"/>
      <c r="BE68" s="544">
        <f t="shared" si="18"/>
        <v>0</v>
      </c>
      <c r="BF68" s="525"/>
      <c r="BG68" s="310"/>
      <c r="BH68" s="310"/>
      <c r="BI68" s="310"/>
      <c r="BJ68" s="310"/>
      <c r="BK68" s="310"/>
      <c r="BL68" s="310"/>
      <c r="BM68" s="544">
        <f t="shared" si="19"/>
        <v>0</v>
      </c>
      <c r="BN68" s="525"/>
      <c r="BO68" s="310"/>
      <c r="BP68" s="310"/>
      <c r="BQ68" s="310"/>
      <c r="BR68" s="310"/>
      <c r="BS68" s="310"/>
      <c r="BT68" s="310"/>
      <c r="BU68" s="544">
        <f t="shared" si="20"/>
        <v>0</v>
      </c>
      <c r="BV68" s="556"/>
      <c r="BW68" s="663">
        <f t="shared" si="27"/>
        <v>0.5</v>
      </c>
      <c r="BX68" s="1047">
        <f t="shared" si="33"/>
        <v>0.5</v>
      </c>
      <c r="BY68" s="1047" t="str">
        <f t="shared" si="34"/>
        <v>No Programada</v>
      </c>
      <c r="BZ68" s="1047" t="str">
        <f t="shared" si="35"/>
        <v>No Programada</v>
      </c>
      <c r="CA68" s="1047">
        <f t="shared" si="36"/>
        <v>1</v>
      </c>
      <c r="CB68" s="1047">
        <f t="shared" si="37"/>
        <v>0</v>
      </c>
      <c r="CD68" t="str">
        <f t="shared" si="38"/>
        <v>NP</v>
      </c>
      <c r="CE68" t="str">
        <f t="shared" si="38"/>
        <v>NP</v>
      </c>
      <c r="CF68" t="str">
        <f t="shared" si="38"/>
        <v>VE</v>
      </c>
      <c r="CG68" t="str">
        <f t="shared" si="38"/>
        <v>ROB</v>
      </c>
    </row>
    <row r="69" spans="1:85" ht="62.25" hidden="1" customHeight="1" x14ac:dyDescent="0.25">
      <c r="A69" s="298" t="s">
        <v>173</v>
      </c>
      <c r="B69" s="299" t="str">
        <f>'PLAN INDICATIVO'!B69</f>
        <v>Cultura</v>
      </c>
      <c r="C69" s="1547"/>
      <c r="D69" s="1551"/>
      <c r="E69" s="1551"/>
      <c r="F69" s="1551"/>
      <c r="G69" s="1551"/>
      <c r="H69" s="1551"/>
      <c r="I69" s="332">
        <f>'PLAN INDICATIVO'!I69</f>
        <v>0</v>
      </c>
      <c r="J69" s="332">
        <f>'PLAN INDICATIVO'!J69</f>
        <v>0</v>
      </c>
      <c r="K69" s="1429" t="str">
        <f>'PLAN INDICATIVO'!K69</f>
        <v>A.5.1.19</v>
      </c>
      <c r="L69" s="1429" t="str">
        <f>'PLAN INDICATIVO'!L69</f>
        <v>11. Ciudades y comunidades sostenibles</v>
      </c>
      <c r="M69" s="1429" t="str">
        <f>'PLAN INDICATIVO'!M69</f>
        <v>Secretaría de Educación, Cultura, deporte y Turismo</v>
      </c>
      <c r="N69" s="1429" t="str">
        <f>'PLAN INDICATIVO'!N69</f>
        <v>YIMI FERNANDO LOSADA PAYA</v>
      </c>
      <c r="O69" s="1429" t="str">
        <f>'PLAN INDICATIVO'!O69</f>
        <v>Incremento</v>
      </c>
      <c r="P69" s="74" t="str">
        <f>'PLAN INDICATIVO'!P69</f>
        <v>Apoyar 9  giras de intercambio cultural  a  grupos artísticos representativos del municipio, durante el cuatrienio</v>
      </c>
      <c r="Q69" s="333" t="str">
        <f>'PLAN INDICATIVO'!Q69</f>
        <v>No. de giras realizadas en el cuatrienio</v>
      </c>
      <c r="R69" s="334">
        <f>'PLAN INDICATIVO'!R69</f>
        <v>2015</v>
      </c>
      <c r="S69" s="304">
        <v>0</v>
      </c>
      <c r="T69" s="677">
        <v>9</v>
      </c>
      <c r="U69" s="303"/>
      <c r="V69" s="687">
        <v>10000000</v>
      </c>
      <c r="W69" s="572">
        <v>3</v>
      </c>
      <c r="X69" s="687">
        <v>500000</v>
      </c>
      <c r="Y69" s="572">
        <v>4</v>
      </c>
      <c r="Z69" s="687">
        <v>500000</v>
      </c>
      <c r="AA69" s="1310">
        <f>T69-BW69</f>
        <v>3</v>
      </c>
      <c r="AB69" s="687">
        <v>500000</v>
      </c>
      <c r="AC69" s="665">
        <v>0</v>
      </c>
      <c r="AD69" s="665">
        <v>2</v>
      </c>
      <c r="AE69" s="665">
        <v>4</v>
      </c>
      <c r="AF69" s="665"/>
      <c r="AG69" s="306" t="s">
        <v>4016</v>
      </c>
      <c r="AH69" s="987">
        <v>2018453960004</v>
      </c>
      <c r="AI69" s="1007" t="s">
        <v>4041</v>
      </c>
      <c r="AJ69" s="309">
        <v>42826</v>
      </c>
      <c r="AK69" s="309">
        <v>43099</v>
      </c>
      <c r="AL69" s="308"/>
      <c r="AM69" s="308"/>
      <c r="AN69" s="267" t="s">
        <v>2598</v>
      </c>
      <c r="AO69" s="508" t="s">
        <v>2627</v>
      </c>
      <c r="AP69" s="525"/>
      <c r="AQ69" s="310"/>
      <c r="AR69" s="310"/>
      <c r="AS69" s="310"/>
      <c r="AT69" s="310"/>
      <c r="AU69" s="310"/>
      <c r="AV69" s="310"/>
      <c r="AW69" s="544"/>
      <c r="AX69" s="525"/>
      <c r="AY69" s="310"/>
      <c r="AZ69" s="310"/>
      <c r="BA69" s="310"/>
      <c r="BB69" s="310"/>
      <c r="BC69" s="310"/>
      <c r="BD69" s="310"/>
      <c r="BE69" s="544">
        <f t="shared" si="18"/>
        <v>0</v>
      </c>
      <c r="BF69" s="525"/>
      <c r="BG69" s="310"/>
      <c r="BH69" s="310"/>
      <c r="BI69" s="310"/>
      <c r="BJ69" s="310"/>
      <c r="BK69" s="310"/>
      <c r="BL69" s="310">
        <v>2000000</v>
      </c>
      <c r="BM69" s="544">
        <f t="shared" si="19"/>
        <v>2000000</v>
      </c>
      <c r="BN69" s="525"/>
      <c r="BO69" s="310"/>
      <c r="BP69" s="310"/>
      <c r="BQ69" s="310"/>
      <c r="BR69" s="310"/>
      <c r="BS69" s="310"/>
      <c r="BT69" s="310"/>
      <c r="BU69" s="544">
        <f t="shared" si="20"/>
        <v>0</v>
      </c>
      <c r="BV69" s="556"/>
      <c r="BW69" s="663">
        <f t="shared" si="27"/>
        <v>6</v>
      </c>
      <c r="BX69" s="1047">
        <f t="shared" si="33"/>
        <v>0.66666666666666663</v>
      </c>
      <c r="BY69" s="1047" t="str">
        <f t="shared" si="34"/>
        <v>No Programada</v>
      </c>
      <c r="BZ69" s="1047">
        <f t="shared" si="35"/>
        <v>0.66666666666666663</v>
      </c>
      <c r="CA69" s="1047">
        <f t="shared" si="36"/>
        <v>1</v>
      </c>
      <c r="CB69" s="1047">
        <f t="shared" si="37"/>
        <v>0</v>
      </c>
      <c r="CD69" t="str">
        <f t="shared" si="38"/>
        <v>NP</v>
      </c>
      <c r="CE69" t="str">
        <f t="shared" si="38"/>
        <v>AM</v>
      </c>
      <c r="CF69" t="str">
        <f t="shared" si="38"/>
        <v>VE</v>
      </c>
      <c r="CG69" t="str">
        <f t="shared" si="38"/>
        <v>ROB</v>
      </c>
    </row>
    <row r="70" spans="1:85" ht="97.5" hidden="1" customHeight="1" x14ac:dyDescent="0.25">
      <c r="A70" s="298" t="s">
        <v>173</v>
      </c>
      <c r="B70" s="299" t="str">
        <f>'PLAN INDICATIVO'!B70</f>
        <v>Cultura</v>
      </c>
      <c r="C70" s="1547"/>
      <c r="D70" s="1551"/>
      <c r="E70" s="1551"/>
      <c r="F70" s="1551"/>
      <c r="G70" s="1551"/>
      <c r="H70" s="1551"/>
      <c r="I70" s="332">
        <f>'PLAN INDICATIVO'!I70</f>
        <v>0</v>
      </c>
      <c r="J70" s="332">
        <f>'PLAN INDICATIVO'!J70</f>
        <v>0</v>
      </c>
      <c r="K70" s="1429" t="str">
        <f>'PLAN INDICATIVO'!K70</f>
        <v>A.5.1.20</v>
      </c>
      <c r="L70" s="1429" t="str">
        <f>'PLAN INDICATIVO'!L70</f>
        <v>11. Ciudades y comunidades sostenibles</v>
      </c>
      <c r="M70" s="1429" t="str">
        <f>'PLAN INDICATIVO'!M70</f>
        <v>Secretaría de Educación, Cultura, deporte y Turismo</v>
      </c>
      <c r="N70" s="1429" t="str">
        <f>'PLAN INDICATIVO'!N70</f>
        <v>YIMI FERNANDO LOSADA PAYA</v>
      </c>
      <c r="O70" s="1429" t="str">
        <f>'PLAN INDICATIVO'!O70</f>
        <v>Mantenimiento</v>
      </c>
      <c r="P70" s="74" t="str">
        <f>'PLAN INDICATIVO'!P70</f>
        <v>Generar 1  Espacio  anual de intercambio y formación  para  visibilización de  las manifestaciones artísticas y culturales de los diferentes grupos étnicos  acentuados en el municipio.</v>
      </c>
      <c r="Q70" s="333" t="str">
        <f>'PLAN INDICATIVO'!Q70</f>
        <v>No. de actividades realizadas cada año</v>
      </c>
      <c r="R70" s="334">
        <f>'PLAN INDICATIVO'!R70</f>
        <v>2015</v>
      </c>
      <c r="S70" s="304">
        <v>0</v>
      </c>
      <c r="T70" s="677">
        <v>4</v>
      </c>
      <c r="U70" s="303">
        <v>1</v>
      </c>
      <c r="V70" s="687">
        <v>9000000</v>
      </c>
      <c r="W70" s="572">
        <v>1</v>
      </c>
      <c r="X70" s="687">
        <v>10000000</v>
      </c>
      <c r="Y70" s="572">
        <v>1</v>
      </c>
      <c r="Z70" s="687">
        <v>10000000</v>
      </c>
      <c r="AA70" s="1310">
        <f t="shared" ref="AA70:AA71" si="39">T70-BW70</f>
        <v>1</v>
      </c>
      <c r="AB70" s="687">
        <v>10000000</v>
      </c>
      <c r="AC70" s="665">
        <v>1</v>
      </c>
      <c r="AD70" s="665">
        <v>1</v>
      </c>
      <c r="AE70" s="665">
        <v>1</v>
      </c>
      <c r="AF70" s="665"/>
      <c r="AG70" s="306" t="s">
        <v>4016</v>
      </c>
      <c r="AH70" s="987">
        <v>2018453960004</v>
      </c>
      <c r="AI70" s="1007" t="s">
        <v>4042</v>
      </c>
      <c r="AJ70" s="309">
        <v>42887</v>
      </c>
      <c r="AK70" s="309">
        <v>43099</v>
      </c>
      <c r="AL70" s="308"/>
      <c r="AM70" s="308"/>
      <c r="AN70" s="267" t="s">
        <v>2598</v>
      </c>
      <c r="AO70" s="508" t="s">
        <v>2635</v>
      </c>
      <c r="AP70" s="525"/>
      <c r="AQ70" s="310"/>
      <c r="AR70" s="310"/>
      <c r="AS70" s="310"/>
      <c r="AT70" s="310"/>
      <c r="AU70" s="310"/>
      <c r="AV70" s="310"/>
      <c r="AW70" s="544"/>
      <c r="AX70" s="525"/>
      <c r="AY70" s="310"/>
      <c r="AZ70" s="310"/>
      <c r="BA70" s="310"/>
      <c r="BB70" s="310"/>
      <c r="BC70" s="310"/>
      <c r="BD70" s="310"/>
      <c r="BE70" s="544">
        <f t="shared" si="18"/>
        <v>0</v>
      </c>
      <c r="BF70" s="525"/>
      <c r="BG70" s="310"/>
      <c r="BH70" s="310"/>
      <c r="BI70" s="310"/>
      <c r="BJ70" s="310"/>
      <c r="BK70" s="310"/>
      <c r="BL70" s="310">
        <v>500000</v>
      </c>
      <c r="BM70" s="544">
        <f t="shared" si="19"/>
        <v>500000</v>
      </c>
      <c r="BN70" s="525"/>
      <c r="BO70" s="310"/>
      <c r="BP70" s="310"/>
      <c r="BQ70" s="310"/>
      <c r="BR70" s="310"/>
      <c r="BS70" s="310"/>
      <c r="BT70" s="310"/>
      <c r="BU70" s="544">
        <f t="shared" si="20"/>
        <v>0</v>
      </c>
      <c r="BV70" s="556"/>
      <c r="BW70" s="663">
        <f t="shared" si="27"/>
        <v>3</v>
      </c>
      <c r="BX70" s="1047">
        <f t="shared" si="33"/>
        <v>0.75</v>
      </c>
      <c r="BY70" s="1047">
        <f t="shared" si="34"/>
        <v>1</v>
      </c>
      <c r="BZ70" s="1047">
        <f t="shared" si="35"/>
        <v>1</v>
      </c>
      <c r="CA70" s="1047">
        <f t="shared" si="36"/>
        <v>1</v>
      </c>
      <c r="CB70" s="1047">
        <f t="shared" si="37"/>
        <v>0</v>
      </c>
      <c r="CD70" t="str">
        <f t="shared" si="38"/>
        <v>VE</v>
      </c>
      <c r="CE70" t="str">
        <f t="shared" si="38"/>
        <v>VE</v>
      </c>
      <c r="CF70" t="str">
        <f t="shared" si="38"/>
        <v>VE</v>
      </c>
      <c r="CG70" t="str">
        <f t="shared" si="38"/>
        <v>ROB</v>
      </c>
    </row>
    <row r="71" spans="1:85" ht="66.75" hidden="1" customHeight="1" x14ac:dyDescent="0.25">
      <c r="A71" s="298" t="s">
        <v>173</v>
      </c>
      <c r="B71" s="299" t="str">
        <f>'PLAN INDICATIVO'!B71</f>
        <v>Cultura</v>
      </c>
      <c r="C71" s="1547"/>
      <c r="D71" s="1551"/>
      <c r="E71" s="1551"/>
      <c r="F71" s="1551"/>
      <c r="G71" s="1551"/>
      <c r="H71" s="1551"/>
      <c r="I71" s="332">
        <f>'PLAN INDICATIVO'!I71</f>
        <v>0</v>
      </c>
      <c r="J71" s="332">
        <f>'PLAN INDICATIVO'!J71</f>
        <v>0</v>
      </c>
      <c r="K71" s="1429" t="str">
        <f>'PLAN INDICATIVO'!K71</f>
        <v>A.5.1.21</v>
      </c>
      <c r="L71" s="1429" t="str">
        <f>'PLAN INDICATIVO'!L71</f>
        <v>11. Ciudades y comunidades sostenibles</v>
      </c>
      <c r="M71" s="1429" t="str">
        <f>'PLAN INDICATIVO'!M71</f>
        <v>Secretaría de Educación, Cultura, deporte y Turismo</v>
      </c>
      <c r="N71" s="1429" t="str">
        <f>'PLAN INDICATIVO'!N71</f>
        <v>YIMI FERNANDO LOSADA PAYA</v>
      </c>
      <c r="O71" s="1429" t="str">
        <f>'PLAN INDICATIVO'!O71</f>
        <v>Mantenimiento</v>
      </c>
      <c r="P71" s="74" t="str">
        <f>'PLAN INDICATIVO'!P71</f>
        <v>Desarrollar 1 plan de apoyo a gestores culturales para el fomento de la cultura local cada año</v>
      </c>
      <c r="Q71" s="333" t="str">
        <f>'PLAN INDICATIVO'!Q71</f>
        <v>No. De planes desarrollados cada año</v>
      </c>
      <c r="R71" s="334">
        <f>'PLAN INDICATIVO'!R71</f>
        <v>2015</v>
      </c>
      <c r="S71" s="304">
        <v>1</v>
      </c>
      <c r="T71" s="677">
        <v>4</v>
      </c>
      <c r="U71" s="303">
        <v>1</v>
      </c>
      <c r="V71" s="687">
        <v>7000000</v>
      </c>
      <c r="W71" s="572">
        <v>1</v>
      </c>
      <c r="X71" s="687">
        <v>7000000</v>
      </c>
      <c r="Y71" s="572">
        <v>1</v>
      </c>
      <c r="Z71" s="687">
        <v>7000000</v>
      </c>
      <c r="AA71" s="1310">
        <f t="shared" si="39"/>
        <v>1</v>
      </c>
      <c r="AB71" s="687">
        <v>9000000</v>
      </c>
      <c r="AC71" s="665">
        <v>1</v>
      </c>
      <c r="AD71" s="904">
        <v>1</v>
      </c>
      <c r="AE71" s="665">
        <v>1</v>
      </c>
      <c r="AF71" s="665"/>
      <c r="AG71" s="306" t="s">
        <v>4016</v>
      </c>
      <c r="AH71" s="987">
        <v>2018453960004</v>
      </c>
      <c r="AI71" s="1007" t="s">
        <v>4043</v>
      </c>
      <c r="AJ71" s="309">
        <v>42767</v>
      </c>
      <c r="AK71" s="309">
        <v>43099</v>
      </c>
      <c r="AL71" s="308"/>
      <c r="AM71" s="308"/>
      <c r="AN71" s="267" t="s">
        <v>2600</v>
      </c>
      <c r="AO71" s="508" t="s">
        <v>2635</v>
      </c>
      <c r="AP71" s="525"/>
      <c r="AQ71" s="310"/>
      <c r="AR71" s="310"/>
      <c r="AS71" s="310"/>
      <c r="AT71" s="310"/>
      <c r="AU71" s="310"/>
      <c r="AV71" s="310"/>
      <c r="AW71" s="544"/>
      <c r="AX71" s="525"/>
      <c r="AY71" s="310"/>
      <c r="AZ71" s="310"/>
      <c r="BA71" s="310"/>
      <c r="BB71" s="310"/>
      <c r="BC71" s="310"/>
      <c r="BD71" s="310"/>
      <c r="BE71" s="544">
        <f t="shared" si="18"/>
        <v>0</v>
      </c>
      <c r="BF71" s="525"/>
      <c r="BG71" s="310"/>
      <c r="BH71" s="310"/>
      <c r="BI71" s="310"/>
      <c r="BJ71" s="310"/>
      <c r="BK71" s="310"/>
      <c r="BL71" s="310">
        <v>500000</v>
      </c>
      <c r="BM71" s="544">
        <f t="shared" si="19"/>
        <v>500000</v>
      </c>
      <c r="BN71" s="525"/>
      <c r="BO71" s="310"/>
      <c r="BP71" s="310"/>
      <c r="BQ71" s="310"/>
      <c r="BR71" s="310"/>
      <c r="BS71" s="310"/>
      <c r="BT71" s="310"/>
      <c r="BU71" s="544">
        <f t="shared" si="20"/>
        <v>0</v>
      </c>
      <c r="BV71" s="556"/>
      <c r="BW71" s="663">
        <f t="shared" si="27"/>
        <v>3</v>
      </c>
      <c r="BX71" s="1047">
        <f t="shared" si="33"/>
        <v>0.75</v>
      </c>
      <c r="BY71" s="1047">
        <f t="shared" si="34"/>
        <v>1</v>
      </c>
      <c r="BZ71" s="1047">
        <f t="shared" si="35"/>
        <v>1</v>
      </c>
      <c r="CA71" s="1047">
        <f t="shared" si="36"/>
        <v>1</v>
      </c>
      <c r="CB71" s="1047">
        <f t="shared" si="37"/>
        <v>0</v>
      </c>
      <c r="CD71" t="str">
        <f t="shared" si="38"/>
        <v>VE</v>
      </c>
      <c r="CE71" t="str">
        <f t="shared" si="38"/>
        <v>VE</v>
      </c>
      <c r="CF71" t="str">
        <f t="shared" si="38"/>
        <v>VE</v>
      </c>
      <c r="CG71" t="str">
        <f t="shared" si="38"/>
        <v>ROB</v>
      </c>
    </row>
    <row r="72" spans="1:85" ht="65.25" hidden="1" customHeight="1" x14ac:dyDescent="0.25">
      <c r="A72" s="298" t="s">
        <v>173</v>
      </c>
      <c r="B72" s="299" t="str">
        <f>'PLAN INDICATIVO'!B72</f>
        <v>Cultura</v>
      </c>
      <c r="C72" s="1547"/>
      <c r="D72" s="1551"/>
      <c r="E72" s="1551"/>
      <c r="F72" s="1551"/>
      <c r="G72" s="1551"/>
      <c r="H72" s="1551"/>
      <c r="I72" s="332">
        <f>'PLAN INDICATIVO'!I72</f>
        <v>0</v>
      </c>
      <c r="J72" s="332">
        <f>'PLAN INDICATIVO'!J72</f>
        <v>0</v>
      </c>
      <c r="K72" s="1429" t="str">
        <f>'PLAN INDICATIVO'!K72</f>
        <v>A.5.1.22</v>
      </c>
      <c r="L72" s="1429" t="str">
        <f>'PLAN INDICATIVO'!L72</f>
        <v>11. Ciudades y comunidades sostenibles</v>
      </c>
      <c r="M72" s="1429" t="str">
        <f>'PLAN INDICATIVO'!M72</f>
        <v>Secretaría de Educación, Cultura, deporte y Turismo</v>
      </c>
      <c r="N72" s="1429" t="str">
        <f>'PLAN INDICATIVO'!N72</f>
        <v>YIMI FERNANDO LOSADA PAYA</v>
      </c>
      <c r="O72" s="1429" t="str">
        <f>'PLAN INDICATIVO'!O72</f>
        <v>Incremento</v>
      </c>
      <c r="P72" s="74" t="str">
        <f>'PLAN INDICATIVO'!P72</f>
        <v>Crear a través de un (1) acuerdo municipal, la institucionalización de las festividades del 6 de enero en el Centro Poblado Belen</v>
      </c>
      <c r="Q72" s="333" t="str">
        <f>'PLAN INDICATIVO'!Q72</f>
        <v>No. De acuerdos municipales creados</v>
      </c>
      <c r="R72" s="334">
        <f>'PLAN INDICATIVO'!R72</f>
        <v>2015</v>
      </c>
      <c r="S72" s="304">
        <v>0</v>
      </c>
      <c r="T72" s="677">
        <v>1</v>
      </c>
      <c r="U72" s="303"/>
      <c r="V72" s="687">
        <v>1000000</v>
      </c>
      <c r="W72" s="572">
        <v>1</v>
      </c>
      <c r="X72" s="687">
        <v>500000</v>
      </c>
      <c r="Y72" s="964"/>
      <c r="Z72" s="687">
        <v>500000</v>
      </c>
      <c r="AA72" s="1310"/>
      <c r="AB72" s="687">
        <v>500000</v>
      </c>
      <c r="AC72" s="665">
        <v>0</v>
      </c>
      <c r="AD72" s="665">
        <v>1</v>
      </c>
      <c r="AE72" s="665">
        <v>0</v>
      </c>
      <c r="AF72" s="665"/>
      <c r="AG72" s="306"/>
      <c r="AH72" s="306"/>
      <c r="AI72" s="1007" t="s">
        <v>4044</v>
      </c>
      <c r="AJ72" s="309">
        <v>42767</v>
      </c>
      <c r="AK72" s="309">
        <v>43099</v>
      </c>
      <c r="AL72" s="308"/>
      <c r="AM72" s="308"/>
      <c r="AN72" s="267" t="s">
        <v>2594</v>
      </c>
      <c r="AO72" s="508" t="s">
        <v>2635</v>
      </c>
      <c r="AP72" s="525"/>
      <c r="AQ72" s="310"/>
      <c r="AR72" s="310"/>
      <c r="AS72" s="310"/>
      <c r="AT72" s="310"/>
      <c r="AU72" s="310"/>
      <c r="AV72" s="310"/>
      <c r="AW72" s="544"/>
      <c r="AX72" s="525"/>
      <c r="AY72" s="310"/>
      <c r="AZ72" s="310"/>
      <c r="BA72" s="310"/>
      <c r="BB72" s="310"/>
      <c r="BC72" s="310"/>
      <c r="BD72" s="310"/>
      <c r="BE72" s="544">
        <f t="shared" si="18"/>
        <v>0</v>
      </c>
      <c r="BF72" s="525"/>
      <c r="BG72" s="310"/>
      <c r="BH72" s="310"/>
      <c r="BI72" s="310"/>
      <c r="BJ72" s="310"/>
      <c r="BK72" s="310"/>
      <c r="BL72" s="310"/>
      <c r="BM72" s="544">
        <f t="shared" si="19"/>
        <v>0</v>
      </c>
      <c r="BN72" s="525"/>
      <c r="BO72" s="310"/>
      <c r="BP72" s="310"/>
      <c r="BQ72" s="310"/>
      <c r="BR72" s="310"/>
      <c r="BS72" s="310"/>
      <c r="BT72" s="310"/>
      <c r="BU72" s="544">
        <f t="shared" si="20"/>
        <v>0</v>
      </c>
      <c r="BV72" s="556"/>
      <c r="BW72" s="663">
        <f t="shared" ref="BW72:BW102" si="40">AC72+AD72+AE72+AF72</f>
        <v>1</v>
      </c>
      <c r="BX72" s="1047">
        <f t="shared" si="33"/>
        <v>1</v>
      </c>
      <c r="BY72" s="1047" t="str">
        <f t="shared" si="34"/>
        <v>No Programada</v>
      </c>
      <c r="BZ72" s="1047">
        <f t="shared" si="35"/>
        <v>1</v>
      </c>
      <c r="CA72" s="1047" t="str">
        <f t="shared" si="36"/>
        <v>No Programada</v>
      </c>
      <c r="CB72" s="1047" t="str">
        <f t="shared" si="37"/>
        <v>No Programada</v>
      </c>
      <c r="CD72" t="str">
        <f t="shared" si="38"/>
        <v>NP</v>
      </c>
      <c r="CE72" t="str">
        <f t="shared" si="38"/>
        <v>VE</v>
      </c>
      <c r="CF72" t="str">
        <f t="shared" si="38"/>
        <v>NP</v>
      </c>
      <c r="CG72" t="str">
        <f t="shared" si="38"/>
        <v>NP</v>
      </c>
    </row>
    <row r="73" spans="1:85" ht="78" hidden="1" customHeight="1" x14ac:dyDescent="0.25">
      <c r="A73" s="298" t="s">
        <v>173</v>
      </c>
      <c r="B73" s="299" t="str">
        <f>'PLAN INDICATIVO'!B73</f>
        <v>Cultura</v>
      </c>
      <c r="C73" s="1547"/>
      <c r="D73" s="1551"/>
      <c r="E73" s="1551"/>
      <c r="F73" s="1551"/>
      <c r="G73" s="1551"/>
      <c r="H73" s="1551"/>
      <c r="I73" s="332">
        <f>'PLAN INDICATIVO'!I73</f>
        <v>0</v>
      </c>
      <c r="J73" s="332">
        <f>'PLAN INDICATIVO'!J73</f>
        <v>0</v>
      </c>
      <c r="K73" s="1429" t="str">
        <f>'PLAN INDICATIVO'!K73</f>
        <v>A.5.1.23</v>
      </c>
      <c r="L73" s="1429" t="str">
        <f>'PLAN INDICATIVO'!L73</f>
        <v>11. Ciudades y comunidades sostenibles</v>
      </c>
      <c r="M73" s="1429" t="str">
        <f>'PLAN INDICATIVO'!M73</f>
        <v>Secretaría de Educación, Cultura, deporte y Turismo</v>
      </c>
      <c r="N73" s="1429" t="str">
        <f>'PLAN INDICATIVO'!N73</f>
        <v>YIMI FERNANDO LOSADA PAYA</v>
      </c>
      <c r="O73" s="1429" t="str">
        <f>'PLAN INDICATIVO'!O73</f>
        <v>Mantenimiento</v>
      </c>
      <c r="P73" s="74" t="str">
        <f>'PLAN INDICATIVO'!P73</f>
        <v>Ejecutar 1 convenio anualmente de apoyo a programas de difusión periodística y promoción  cultural en medios de comunicación.</v>
      </c>
      <c r="Q73" s="333" t="str">
        <f>'PLAN INDICATIVO'!Q73</f>
        <v>No. De convenios ejecutados cada año</v>
      </c>
      <c r="R73" s="334">
        <f>'PLAN INDICATIVO'!R73</f>
        <v>2015</v>
      </c>
      <c r="S73" s="304">
        <v>0</v>
      </c>
      <c r="T73" s="677">
        <v>4</v>
      </c>
      <c r="U73" s="303">
        <v>1</v>
      </c>
      <c r="V73" s="687">
        <v>1000000</v>
      </c>
      <c r="W73" s="572">
        <v>1</v>
      </c>
      <c r="X73" s="687">
        <v>5000000</v>
      </c>
      <c r="Y73" s="572">
        <v>1</v>
      </c>
      <c r="Z73" s="687">
        <v>5000000</v>
      </c>
      <c r="AA73" s="1310">
        <f>T73-BW73</f>
        <v>1</v>
      </c>
      <c r="AB73" s="687">
        <v>5000000</v>
      </c>
      <c r="AC73" s="665">
        <v>1</v>
      </c>
      <c r="AD73" s="904">
        <v>1</v>
      </c>
      <c r="AE73" s="665">
        <v>1</v>
      </c>
      <c r="AF73" s="665"/>
      <c r="AG73" s="306" t="s">
        <v>4016</v>
      </c>
      <c r="AH73" s="987">
        <v>2018453960004</v>
      </c>
      <c r="AI73" s="1007" t="s">
        <v>4045</v>
      </c>
      <c r="AJ73" s="309">
        <v>42887</v>
      </c>
      <c r="AK73" s="309">
        <v>43099</v>
      </c>
      <c r="AL73" s="308"/>
      <c r="AM73" s="308"/>
      <c r="AN73" s="267" t="s">
        <v>2598</v>
      </c>
      <c r="AO73" s="508">
        <v>2305</v>
      </c>
      <c r="AP73" s="525"/>
      <c r="AQ73" s="310"/>
      <c r="AR73" s="310"/>
      <c r="AS73" s="310"/>
      <c r="AT73" s="310"/>
      <c r="AU73" s="310"/>
      <c r="AV73" s="310"/>
      <c r="AW73" s="544"/>
      <c r="AX73" s="525"/>
      <c r="AY73" s="310"/>
      <c r="AZ73" s="310"/>
      <c r="BA73" s="310"/>
      <c r="BB73" s="310"/>
      <c r="BC73" s="310"/>
      <c r="BD73" s="310"/>
      <c r="BE73" s="544">
        <f t="shared" si="18"/>
        <v>0</v>
      </c>
      <c r="BF73" s="525"/>
      <c r="BG73" s="310"/>
      <c r="BH73" s="310"/>
      <c r="BI73" s="310"/>
      <c r="BJ73" s="310"/>
      <c r="BK73" s="310"/>
      <c r="BL73" s="310"/>
      <c r="BM73" s="544">
        <f t="shared" si="19"/>
        <v>0</v>
      </c>
      <c r="BN73" s="525"/>
      <c r="BO73" s="310"/>
      <c r="BP73" s="310"/>
      <c r="BQ73" s="310"/>
      <c r="BR73" s="310"/>
      <c r="BS73" s="310"/>
      <c r="BT73" s="310"/>
      <c r="BU73" s="544">
        <f t="shared" si="20"/>
        <v>0</v>
      </c>
      <c r="BV73" s="556"/>
      <c r="BW73" s="663">
        <f t="shared" si="40"/>
        <v>3</v>
      </c>
      <c r="BX73" s="1047">
        <f t="shared" si="33"/>
        <v>0.75</v>
      </c>
      <c r="BY73" s="1047">
        <f t="shared" si="34"/>
        <v>1</v>
      </c>
      <c r="BZ73" s="1047">
        <f t="shared" si="35"/>
        <v>1</v>
      </c>
      <c r="CA73" s="1047">
        <f t="shared" si="36"/>
        <v>1</v>
      </c>
      <c r="CB73" s="1047">
        <f t="shared" si="37"/>
        <v>0</v>
      </c>
      <c r="CD73" t="str">
        <f t="shared" si="38"/>
        <v>VE</v>
      </c>
      <c r="CE73" t="str">
        <f t="shared" si="38"/>
        <v>VE</v>
      </c>
      <c r="CF73" t="str">
        <f t="shared" si="38"/>
        <v>VE</v>
      </c>
      <c r="CG73" t="str">
        <f t="shared" si="38"/>
        <v>ROB</v>
      </c>
    </row>
    <row r="74" spans="1:85" ht="12" hidden="1" customHeight="1" x14ac:dyDescent="0.25">
      <c r="A74" s="295"/>
      <c r="B74" s="24" t="str">
        <f>'PLAN INDICATIVO'!B74</f>
        <v>Cultura</v>
      </c>
      <c r="C74" s="1624" t="s">
        <v>249</v>
      </c>
      <c r="D74" s="1625"/>
      <c r="E74" s="1625"/>
      <c r="F74" s="1625"/>
      <c r="G74" s="1625"/>
      <c r="H74" s="1625"/>
      <c r="I74" s="1625"/>
      <c r="J74" s="1625"/>
      <c r="K74" s="1625"/>
      <c r="L74" s="1625"/>
      <c r="M74" s="1625"/>
      <c r="N74" s="1625"/>
      <c r="O74" s="1626"/>
      <c r="P74" s="25"/>
      <c r="Q74" s="25"/>
      <c r="R74" s="17"/>
      <c r="S74" s="270"/>
      <c r="T74" s="677"/>
      <c r="U74" s="270"/>
      <c r="V74" s="713">
        <f>SUM(V75:V83)</f>
        <v>48000000</v>
      </c>
      <c r="W74" s="270"/>
      <c r="X74" s="705">
        <f>SUM(X75:X83)</f>
        <v>20000000</v>
      </c>
      <c r="Y74" s="270"/>
      <c r="Z74" s="705">
        <f>SUM(Z75:Z83)</f>
        <v>26000000</v>
      </c>
      <c r="AA74" s="271"/>
      <c r="AB74" s="714">
        <f>SUM(AB75:AB83)</f>
        <v>30000000</v>
      </c>
      <c r="AC74" s="271"/>
      <c r="AD74" s="271"/>
      <c r="AE74" s="271"/>
      <c r="AF74" s="271"/>
      <c r="AG74" s="272"/>
      <c r="AH74" s="272"/>
      <c r="AI74" s="272"/>
      <c r="AJ74" s="271"/>
      <c r="AK74" s="271"/>
      <c r="AL74" s="271"/>
      <c r="AM74" s="271"/>
      <c r="AN74" s="271"/>
      <c r="AO74" s="618"/>
      <c r="AP74" s="619"/>
      <c r="AQ74" s="619"/>
      <c r="AR74" s="619"/>
      <c r="AS74" s="619"/>
      <c r="AT74" s="619"/>
      <c r="AU74" s="619"/>
      <c r="AV74" s="619"/>
      <c r="AW74" s="619"/>
      <c r="AX74" s="619" t="e">
        <f>(AX75:AX83)</f>
        <v>#VALUE!</v>
      </c>
      <c r="AY74" s="619" t="e">
        <f t="shared" ref="AY74:BD74" si="41">(AY75:AY83)</f>
        <v>#VALUE!</v>
      </c>
      <c r="AZ74" s="619" t="e">
        <f t="shared" si="41"/>
        <v>#VALUE!</v>
      </c>
      <c r="BA74" s="619" t="e">
        <f t="shared" si="41"/>
        <v>#VALUE!</v>
      </c>
      <c r="BB74" s="619" t="e">
        <f t="shared" si="41"/>
        <v>#VALUE!</v>
      </c>
      <c r="BC74" s="619" t="e">
        <f t="shared" si="41"/>
        <v>#VALUE!</v>
      </c>
      <c r="BD74" s="619" t="e">
        <f t="shared" si="41"/>
        <v>#VALUE!</v>
      </c>
      <c r="BE74" s="617" t="e">
        <f t="shared" si="18"/>
        <v>#VALUE!</v>
      </c>
      <c r="BF74" s="619"/>
      <c r="BG74" s="619"/>
      <c r="BH74" s="619"/>
      <c r="BI74" s="619"/>
      <c r="BJ74" s="619"/>
      <c r="BK74" s="619"/>
      <c r="BL74" s="619"/>
      <c r="BM74" s="617">
        <f t="shared" si="19"/>
        <v>0</v>
      </c>
      <c r="BN74" s="619" t="e">
        <f>(BN75:BN83)</f>
        <v>#VALUE!</v>
      </c>
      <c r="BO74" s="619" t="e">
        <f t="shared" ref="BO74:BT74" si="42">(BO75:BO83)</f>
        <v>#VALUE!</v>
      </c>
      <c r="BP74" s="619" t="e">
        <f t="shared" si="42"/>
        <v>#VALUE!</v>
      </c>
      <c r="BQ74" s="619" t="e">
        <f t="shared" si="42"/>
        <v>#VALUE!</v>
      </c>
      <c r="BR74" s="619" t="e">
        <f t="shared" si="42"/>
        <v>#VALUE!</v>
      </c>
      <c r="BS74" s="619" t="e">
        <f t="shared" si="42"/>
        <v>#VALUE!</v>
      </c>
      <c r="BT74" s="619" t="e">
        <f t="shared" si="42"/>
        <v>#VALUE!</v>
      </c>
      <c r="BU74" s="617" t="e">
        <f t="shared" si="20"/>
        <v>#VALUE!</v>
      </c>
      <c r="BV74" s="556"/>
      <c r="BW74" s="663" t="s">
        <v>2717</v>
      </c>
      <c r="BX74" s="619" t="s">
        <v>2717</v>
      </c>
      <c r="BY74" s="619" t="s">
        <v>2717</v>
      </c>
      <c r="BZ74" s="619" t="s">
        <v>2717</v>
      </c>
      <c r="CA74" s="619" t="s">
        <v>2717</v>
      </c>
      <c r="CB74" s="1047" t="s">
        <v>2717</v>
      </c>
    </row>
    <row r="75" spans="1:85" ht="76.5" hidden="1" customHeight="1" x14ac:dyDescent="0.25">
      <c r="A75" s="298" t="s">
        <v>2458</v>
      </c>
      <c r="B75" s="299" t="str">
        <f>'PLAN INDICATIVO'!B75</f>
        <v>Cultura</v>
      </c>
      <c r="C75" s="1546" t="s">
        <v>250</v>
      </c>
      <c r="D75" s="1549" t="s">
        <v>251</v>
      </c>
      <c r="E75" s="1549" t="s">
        <v>252</v>
      </c>
      <c r="F75" s="1549">
        <v>2015</v>
      </c>
      <c r="G75" s="1549">
        <v>5589</v>
      </c>
      <c r="H75" s="1549">
        <v>7000</v>
      </c>
      <c r="I75" s="332">
        <f>'PLAN INDICATIVO'!I75</f>
        <v>0</v>
      </c>
      <c r="J75" s="332">
        <f>'PLAN INDICATIVO'!J75</f>
        <v>0</v>
      </c>
      <c r="K75" s="1429" t="str">
        <f>'PLAN INDICATIVO'!K75</f>
        <v>A.5.2.1</v>
      </c>
      <c r="L75" s="1429" t="str">
        <f>'PLAN INDICATIVO'!L75</f>
        <v>11. Ciudades y comunidades sostenibles</v>
      </c>
      <c r="M75" s="1429" t="str">
        <f>'PLAN INDICATIVO'!M75</f>
        <v>Secretaría de Educación, Cultura, deporte y Turismo</v>
      </c>
      <c r="N75" s="1429" t="str">
        <f>'PLAN INDICATIVO'!N75</f>
        <v>YIMI FERNANDO LOSADA PAYA</v>
      </c>
      <c r="O75" s="1429" t="str">
        <f>'PLAN INDICATIVO'!O75</f>
        <v>Incremento</v>
      </c>
      <c r="P75" s="1200" t="str">
        <f>'PLAN INDICATIVO'!P75</f>
        <v>Capacitar a 400 personasen la biblioteca Simon Bolivar, manejo de las TIC´S y manejo del SIABUT, en el cuatrienio.</v>
      </c>
      <c r="Q75" s="333" t="str">
        <f>'PLAN INDICATIVO'!Q75</f>
        <v>No. De personas capacitadas en el cuatrienio</v>
      </c>
      <c r="R75" s="334">
        <f>'PLAN INDICATIVO'!R75</f>
        <v>2015</v>
      </c>
      <c r="S75" s="304" t="s">
        <v>177</v>
      </c>
      <c r="T75" s="677">
        <v>400</v>
      </c>
      <c r="U75" s="304">
        <v>100</v>
      </c>
      <c r="V75" s="687">
        <v>1000000</v>
      </c>
      <c r="W75" s="304">
        <v>100</v>
      </c>
      <c r="X75" s="687">
        <v>1000000</v>
      </c>
      <c r="Y75" s="304">
        <v>100</v>
      </c>
      <c r="Z75" s="687">
        <v>2000000</v>
      </c>
      <c r="AA75" s="410">
        <f>T75-BW75</f>
        <v>100</v>
      </c>
      <c r="AB75" s="687">
        <v>2000000</v>
      </c>
      <c r="AC75" s="665">
        <v>100</v>
      </c>
      <c r="AD75" s="665">
        <v>100</v>
      </c>
      <c r="AE75" s="665">
        <v>100</v>
      </c>
      <c r="AF75" s="665"/>
      <c r="AG75" s="306" t="s">
        <v>4046</v>
      </c>
      <c r="AH75" s="987">
        <v>2018453960003</v>
      </c>
      <c r="AI75" s="1007" t="s">
        <v>4047</v>
      </c>
      <c r="AJ75" s="906">
        <v>42887</v>
      </c>
      <c r="AK75" s="309">
        <v>43099</v>
      </c>
      <c r="AL75" s="308"/>
      <c r="AM75" s="308"/>
      <c r="AN75" s="267" t="s">
        <v>2598</v>
      </c>
      <c r="AO75" s="508" t="s">
        <v>4048</v>
      </c>
      <c r="AP75" s="525"/>
      <c r="AQ75" s="310"/>
      <c r="AR75" s="310"/>
      <c r="AS75" s="310"/>
      <c r="AT75" s="310"/>
      <c r="AU75" s="310"/>
      <c r="AV75" s="310"/>
      <c r="AW75" s="544"/>
      <c r="AX75" s="525"/>
      <c r="AY75" s="310"/>
      <c r="AZ75" s="310"/>
      <c r="BA75" s="310"/>
      <c r="BB75" s="310"/>
      <c r="BC75" s="310"/>
      <c r="BD75" s="310"/>
      <c r="BE75" s="544">
        <f t="shared" si="18"/>
        <v>0</v>
      </c>
      <c r="BF75" s="525"/>
      <c r="BG75" s="310"/>
      <c r="BH75" s="310"/>
      <c r="BI75" s="310"/>
      <c r="BJ75" s="310"/>
      <c r="BK75" s="310"/>
      <c r="BL75" s="310">
        <v>1000000</v>
      </c>
      <c r="BM75" s="544">
        <f t="shared" si="19"/>
        <v>1000000</v>
      </c>
      <c r="BN75" s="525"/>
      <c r="BO75" s="310"/>
      <c r="BP75" s="310"/>
      <c r="BQ75" s="310"/>
      <c r="BR75" s="310"/>
      <c r="BS75" s="310"/>
      <c r="BT75" s="310"/>
      <c r="BU75" s="544">
        <f t="shared" si="20"/>
        <v>0</v>
      </c>
      <c r="BV75" s="556"/>
      <c r="BW75" s="663">
        <f t="shared" si="40"/>
        <v>300</v>
      </c>
      <c r="BX75" s="1047">
        <f t="shared" ref="BX75:BX80" si="43">BW75/T75</f>
        <v>0.75</v>
      </c>
      <c r="BY75" s="1047">
        <f t="shared" ref="BY75:BY83" si="44">IF(U75&gt;=0.1,AC75/U75,IF(ISBLANK(U75),"No Programada","Aplazada"))</f>
        <v>1</v>
      </c>
      <c r="BZ75" s="1047">
        <f t="shared" ref="BZ75:BZ83" si="45">IF(W75&gt;=0.1,AD75/W75,IF(ISBLANK(W75),"No Programada","Aplazada"))</f>
        <v>1</v>
      </c>
      <c r="CA75" s="1047">
        <f t="shared" ref="CA75:CA83" si="46">IF(Y75&gt;=0.1,AE75/Y75,IF(ISBLANK(Y75),"No Programada","Aplazada"))</f>
        <v>1</v>
      </c>
      <c r="CB75" s="1047">
        <f t="shared" ref="CB75:CB83" si="47">IF(AA75&gt;=0.1,AF75/AA75,IF(ISBLANK(AA75),"No Programada","Aplazada"))</f>
        <v>0</v>
      </c>
      <c r="CD75" t="str">
        <f t="shared" ref="CD75:CG83" si="48">IF(BY75="PARA MODIFICAR","M",IF(BY75="PARA ELIMINAR","E",IF(BY75="aplazada","AZ",IF(BY75="no programada","NP",IF(BY75&gt;=85%,"VE",IF(BY75&gt;70%,"VEB",IF(BY75&gt;60%,"AM",IF(BY75&gt;40%,"AMB",IF(BY75&gt;20%,"RO",IF(BY75&gt;=0%,"ROB",""))))))))))</f>
        <v>VE</v>
      </c>
      <c r="CE75" t="str">
        <f t="shared" si="48"/>
        <v>VE</v>
      </c>
      <c r="CF75" t="str">
        <f t="shared" si="48"/>
        <v>VE</v>
      </c>
      <c r="CG75" t="str">
        <f t="shared" si="48"/>
        <v>ROB</v>
      </c>
    </row>
    <row r="76" spans="1:85" ht="84" hidden="1" customHeight="1" x14ac:dyDescent="0.25">
      <c r="A76" s="298" t="s">
        <v>173</v>
      </c>
      <c r="B76" s="299" t="str">
        <f>'PLAN INDICATIVO'!B76</f>
        <v>Cultura</v>
      </c>
      <c r="C76" s="1547"/>
      <c r="D76" s="1549"/>
      <c r="E76" s="1549"/>
      <c r="F76" s="1549"/>
      <c r="G76" s="1549"/>
      <c r="H76" s="1549"/>
      <c r="I76" s="332">
        <f>'PLAN INDICATIVO'!I76</f>
        <v>0</v>
      </c>
      <c r="J76" s="332">
        <f>'PLAN INDICATIVO'!J76</f>
        <v>0</v>
      </c>
      <c r="K76" s="1429" t="str">
        <f>'PLAN INDICATIVO'!K76</f>
        <v>A.5.2.2</v>
      </c>
      <c r="L76" s="1429" t="str">
        <f>'PLAN INDICATIVO'!L76</f>
        <v>11. Ciudades y comunidades sostenibles</v>
      </c>
      <c r="M76" s="1429" t="str">
        <f>'PLAN INDICATIVO'!M76</f>
        <v>Secretaría de Educación, Cultura, deporte y Turismo</v>
      </c>
      <c r="N76" s="1429" t="str">
        <f>'PLAN INDICATIVO'!N76</f>
        <v>YIMI FERNANDO LOSADA PAYA</v>
      </c>
      <c r="O76" s="1429" t="str">
        <f>'PLAN INDICATIVO'!O76</f>
        <v>Incremento</v>
      </c>
      <c r="P76" s="74" t="str">
        <f>'PLAN INDICATIVO'!P76</f>
        <v>Vincular 1.000 personas en la Realización de actividades de promoción de lectura, durante el cuatrienio</v>
      </c>
      <c r="Q76" s="333" t="str">
        <f>'PLAN INDICATIVO'!Q76</f>
        <v>No. personas vinculadas en el cuatrienio</v>
      </c>
      <c r="R76" s="334">
        <f>'PLAN INDICATIVO'!R76</f>
        <v>2015</v>
      </c>
      <c r="S76" s="304" t="s">
        <v>177</v>
      </c>
      <c r="T76" s="677">
        <v>1000</v>
      </c>
      <c r="U76" s="304">
        <v>250</v>
      </c>
      <c r="V76" s="687">
        <v>2000000</v>
      </c>
      <c r="W76" s="304">
        <v>250</v>
      </c>
      <c r="X76" s="687">
        <v>1000000</v>
      </c>
      <c r="Y76" s="855"/>
      <c r="Z76" s="687">
        <v>2000000</v>
      </c>
      <c r="AA76" s="410"/>
      <c r="AB76" s="687">
        <v>2000000</v>
      </c>
      <c r="AC76" s="665">
        <v>2900</v>
      </c>
      <c r="AD76" s="665">
        <v>2149</v>
      </c>
      <c r="AE76" s="665">
        <v>2000</v>
      </c>
      <c r="AF76" s="665"/>
      <c r="AG76" s="306" t="s">
        <v>4046</v>
      </c>
      <c r="AH76" s="987">
        <v>2018453960003</v>
      </c>
      <c r="AI76" s="1007" t="s">
        <v>4049</v>
      </c>
      <c r="AJ76" s="309">
        <v>42825</v>
      </c>
      <c r="AK76" s="309">
        <v>43099</v>
      </c>
      <c r="AL76" s="308"/>
      <c r="AM76" s="308"/>
      <c r="AN76" s="267" t="s">
        <v>2594</v>
      </c>
      <c r="AO76" s="508" t="s">
        <v>4050</v>
      </c>
      <c r="AP76" s="525"/>
      <c r="AQ76" s="310"/>
      <c r="AR76" s="310"/>
      <c r="AS76" s="310"/>
      <c r="AT76" s="310"/>
      <c r="AU76" s="310"/>
      <c r="AV76" s="310"/>
      <c r="AW76" s="544"/>
      <c r="AX76" s="525"/>
      <c r="AY76" s="310"/>
      <c r="AZ76" s="310"/>
      <c r="BA76" s="310"/>
      <c r="BB76" s="310"/>
      <c r="BC76" s="310"/>
      <c r="BD76" s="310"/>
      <c r="BE76" s="544">
        <f t="shared" si="18"/>
        <v>0</v>
      </c>
      <c r="BF76" s="525"/>
      <c r="BG76" s="310"/>
      <c r="BH76" s="310"/>
      <c r="BI76" s="310"/>
      <c r="BJ76" s="310"/>
      <c r="BK76" s="310"/>
      <c r="BL76" s="310">
        <v>2000000</v>
      </c>
      <c r="BM76" s="544">
        <f t="shared" si="19"/>
        <v>2000000</v>
      </c>
      <c r="BN76" s="525"/>
      <c r="BO76" s="310"/>
      <c r="BP76" s="310"/>
      <c r="BQ76" s="310"/>
      <c r="BR76" s="310"/>
      <c r="BS76" s="310"/>
      <c r="BT76" s="310"/>
      <c r="BU76" s="544">
        <f t="shared" si="20"/>
        <v>0</v>
      </c>
      <c r="BV76" s="556"/>
      <c r="BW76" s="663">
        <f t="shared" si="40"/>
        <v>7049</v>
      </c>
      <c r="BX76" s="1047">
        <f t="shared" si="43"/>
        <v>7.0490000000000004</v>
      </c>
      <c r="BY76" s="1047">
        <f t="shared" si="44"/>
        <v>11.6</v>
      </c>
      <c r="BZ76" s="1047">
        <f t="shared" si="45"/>
        <v>8.5960000000000001</v>
      </c>
      <c r="CA76" s="1047" t="str">
        <f t="shared" si="46"/>
        <v>No Programada</v>
      </c>
      <c r="CB76" s="1047" t="str">
        <f t="shared" si="47"/>
        <v>No Programada</v>
      </c>
      <c r="CD76" t="str">
        <f t="shared" si="48"/>
        <v>VE</v>
      </c>
      <c r="CE76" t="str">
        <f t="shared" si="48"/>
        <v>VE</v>
      </c>
      <c r="CF76" t="str">
        <f t="shared" si="48"/>
        <v>NP</v>
      </c>
      <c r="CG76" t="str">
        <f t="shared" si="48"/>
        <v>NP</v>
      </c>
    </row>
    <row r="77" spans="1:85" ht="52.5" hidden="1" customHeight="1" x14ac:dyDescent="0.25">
      <c r="A77" s="298" t="s">
        <v>2464</v>
      </c>
      <c r="B77" s="299" t="str">
        <f>'PLAN INDICATIVO'!B77</f>
        <v>Cultura</v>
      </c>
      <c r="C77" s="1547"/>
      <c r="D77" s="1549"/>
      <c r="E77" s="1549"/>
      <c r="F77" s="1549"/>
      <c r="G77" s="1549"/>
      <c r="H77" s="1549"/>
      <c r="I77" s="332">
        <f>'PLAN INDICATIVO'!I77</f>
        <v>0</v>
      </c>
      <c r="J77" s="332">
        <f>'PLAN INDICATIVO'!J77</f>
        <v>0</v>
      </c>
      <c r="K77" s="1429" t="str">
        <f>'PLAN INDICATIVO'!K77</f>
        <v>A.5.2.3</v>
      </c>
      <c r="L77" s="1429" t="str">
        <f>'PLAN INDICATIVO'!L77</f>
        <v>11. Ciudades y comunidades sostenibles</v>
      </c>
      <c r="M77" s="1429" t="str">
        <f>'PLAN INDICATIVO'!M77</f>
        <v>Secretaría de Educación, Cultura, deporte y Turismo</v>
      </c>
      <c r="N77" s="1429" t="str">
        <f>'PLAN INDICATIVO'!N77</f>
        <v>YIMI FERNANDO LOSADA PAYA</v>
      </c>
      <c r="O77" s="1429" t="str">
        <f>'PLAN INDICATIVO'!O77</f>
        <v>Incremento</v>
      </c>
      <c r="P77" s="74" t="str">
        <f>'PLAN INDICATIVO'!P77</f>
        <v>Incrementar a 7 puntos piloto de acceso a internet  instalados  y funcionando durante el cuatrienio</v>
      </c>
      <c r="Q77" s="333" t="str">
        <f>'PLAN INDICATIVO'!Q77</f>
        <v>No. de puntos Huila vive digital instalados en el cuatrienio</v>
      </c>
      <c r="R77" s="334">
        <f>'PLAN INDICATIVO'!R77</f>
        <v>2015</v>
      </c>
      <c r="S77" s="304">
        <v>4</v>
      </c>
      <c r="T77" s="677">
        <v>7</v>
      </c>
      <c r="U77" s="304"/>
      <c r="V77" s="687">
        <v>1000000</v>
      </c>
      <c r="W77" s="304">
        <v>4</v>
      </c>
      <c r="X77" s="687">
        <v>1000000</v>
      </c>
      <c r="Y77" s="304">
        <v>2</v>
      </c>
      <c r="Z77" s="687">
        <v>2000000</v>
      </c>
      <c r="AA77" s="410"/>
      <c r="AB77" s="687">
        <v>2000000</v>
      </c>
      <c r="AC77" s="665">
        <v>0</v>
      </c>
      <c r="AD77" s="665">
        <v>4</v>
      </c>
      <c r="AE77" s="665">
        <v>6</v>
      </c>
      <c r="AF77" s="665"/>
      <c r="AG77" s="306" t="s">
        <v>4046</v>
      </c>
      <c r="AH77" s="987">
        <v>2018453960003</v>
      </c>
      <c r="AI77" s="1007" t="s">
        <v>4051</v>
      </c>
      <c r="AJ77" s="309">
        <v>42887</v>
      </c>
      <c r="AK77" s="309">
        <v>43099</v>
      </c>
      <c r="AL77" s="308"/>
      <c r="AM77" s="308"/>
      <c r="AN77" s="267" t="s">
        <v>2598</v>
      </c>
      <c r="AO77" s="508">
        <v>2305</v>
      </c>
      <c r="AP77" s="525"/>
      <c r="AQ77" s="310"/>
      <c r="AR77" s="310"/>
      <c r="AS77" s="310"/>
      <c r="AT77" s="310"/>
      <c r="AU77" s="310"/>
      <c r="AV77" s="310"/>
      <c r="AW77" s="544"/>
      <c r="AX77" s="525"/>
      <c r="AY77" s="310"/>
      <c r="AZ77" s="310"/>
      <c r="BA77" s="310"/>
      <c r="BB77" s="310"/>
      <c r="BC77" s="310"/>
      <c r="BD77" s="310"/>
      <c r="BE77" s="544">
        <f t="shared" si="18"/>
        <v>0</v>
      </c>
      <c r="BF77" s="525"/>
      <c r="BG77" s="310"/>
      <c r="BH77" s="310"/>
      <c r="BI77" s="310"/>
      <c r="BJ77" s="310"/>
      <c r="BK77" s="310"/>
      <c r="BL77" s="310"/>
      <c r="BM77" s="544">
        <f t="shared" si="19"/>
        <v>0</v>
      </c>
      <c r="BN77" s="525"/>
      <c r="BO77" s="310"/>
      <c r="BP77" s="310"/>
      <c r="BQ77" s="310"/>
      <c r="BR77" s="310"/>
      <c r="BS77" s="310"/>
      <c r="BT77" s="310"/>
      <c r="BU77" s="544">
        <f t="shared" si="20"/>
        <v>0</v>
      </c>
      <c r="BV77" s="556"/>
      <c r="BW77" s="663">
        <f t="shared" si="40"/>
        <v>10</v>
      </c>
      <c r="BX77" s="1047">
        <f t="shared" si="43"/>
        <v>1.4285714285714286</v>
      </c>
      <c r="BY77" s="1047" t="str">
        <f t="shared" si="44"/>
        <v>No Programada</v>
      </c>
      <c r="BZ77" s="1047">
        <f t="shared" si="45"/>
        <v>1</v>
      </c>
      <c r="CA77" s="1047">
        <f t="shared" si="46"/>
        <v>3</v>
      </c>
      <c r="CB77" s="1047" t="str">
        <f t="shared" si="47"/>
        <v>No Programada</v>
      </c>
      <c r="CD77" t="str">
        <f t="shared" si="48"/>
        <v>NP</v>
      </c>
      <c r="CE77" t="str">
        <f t="shared" si="48"/>
        <v>VE</v>
      </c>
      <c r="CF77" t="str">
        <f t="shared" si="48"/>
        <v>VE</v>
      </c>
      <c r="CG77" t="str">
        <f t="shared" si="48"/>
        <v>NP</v>
      </c>
    </row>
    <row r="78" spans="1:85" ht="72.75" hidden="1" customHeight="1" x14ac:dyDescent="0.25">
      <c r="A78" s="298" t="s">
        <v>173</v>
      </c>
      <c r="B78" s="299" t="str">
        <f>'PLAN INDICATIVO'!B78</f>
        <v>Cultura</v>
      </c>
      <c r="C78" s="1547"/>
      <c r="D78" s="1549"/>
      <c r="E78" s="1549"/>
      <c r="F78" s="1549"/>
      <c r="G78" s="1549"/>
      <c r="H78" s="1549"/>
      <c r="I78" s="332">
        <f>'PLAN INDICATIVO'!I78</f>
        <v>0</v>
      </c>
      <c r="J78" s="332">
        <f>'PLAN INDICATIVO'!J78</f>
        <v>0</v>
      </c>
      <c r="K78" s="1429" t="str">
        <f>'PLAN INDICATIVO'!K78</f>
        <v>A.5.2.4</v>
      </c>
      <c r="L78" s="1429" t="str">
        <f>'PLAN INDICATIVO'!L78</f>
        <v>11. Ciudades y comunidades sostenibles</v>
      </c>
      <c r="M78" s="1429" t="str">
        <f>'PLAN INDICATIVO'!M78</f>
        <v>Secretaría de Educación, Cultura, deporte y Turismo</v>
      </c>
      <c r="N78" s="1429" t="str">
        <f>'PLAN INDICATIVO'!N78</f>
        <v>YIMI FERNANDO LOSADA PAYA</v>
      </c>
      <c r="O78" s="1429" t="str">
        <f>'PLAN INDICATIVO'!O78</f>
        <v>Mantenimiento</v>
      </c>
      <c r="P78" s="74" t="str">
        <f>'PLAN INDICATIVO'!P78</f>
        <v>Ejecutar 1 convenio de alianza público-privada para el programa CULTIVARTE - DAVIVIENDA, durante el cuatrienio</v>
      </c>
      <c r="Q78" s="333" t="str">
        <f>'PLAN INDICATIVO'!Q78</f>
        <v>No. De convenios ejecutados en el cuatrienio</v>
      </c>
      <c r="R78" s="334">
        <f>'PLAN INDICATIVO'!R78</f>
        <v>2015</v>
      </c>
      <c r="S78" s="304">
        <v>0</v>
      </c>
      <c r="T78" s="677">
        <v>4</v>
      </c>
      <c r="U78" s="304">
        <v>1</v>
      </c>
      <c r="V78" s="687">
        <v>1000000</v>
      </c>
      <c r="W78" s="304">
        <v>1</v>
      </c>
      <c r="X78" s="687">
        <v>1000000</v>
      </c>
      <c r="Y78" s="304">
        <v>1</v>
      </c>
      <c r="Z78" s="687">
        <v>2000000</v>
      </c>
      <c r="AA78" s="410">
        <f>T78-BW78</f>
        <v>1</v>
      </c>
      <c r="AB78" s="687">
        <v>2000000</v>
      </c>
      <c r="AC78" s="665">
        <v>1</v>
      </c>
      <c r="AD78" s="665">
        <v>1</v>
      </c>
      <c r="AE78" s="665">
        <v>1</v>
      </c>
      <c r="AF78" s="665"/>
      <c r="AG78" s="306" t="s">
        <v>4046</v>
      </c>
      <c r="AH78" s="987">
        <v>2018453960003</v>
      </c>
      <c r="AI78" s="1007" t="s">
        <v>4052</v>
      </c>
      <c r="AJ78" s="309">
        <v>42736</v>
      </c>
      <c r="AK78" s="309">
        <v>43099</v>
      </c>
      <c r="AL78" s="308"/>
      <c r="AM78" s="308"/>
      <c r="AN78" s="267" t="s">
        <v>2598</v>
      </c>
      <c r="AO78" s="508">
        <v>23050602</v>
      </c>
      <c r="AP78" s="525"/>
      <c r="AQ78" s="310"/>
      <c r="AR78" s="310"/>
      <c r="AS78" s="310"/>
      <c r="AT78" s="310"/>
      <c r="AU78" s="310"/>
      <c r="AV78" s="310"/>
      <c r="AW78" s="544"/>
      <c r="AX78" s="525"/>
      <c r="AY78" s="310"/>
      <c r="AZ78" s="310"/>
      <c r="BA78" s="310"/>
      <c r="BB78" s="310"/>
      <c r="BC78" s="310"/>
      <c r="BD78" s="310"/>
      <c r="BE78" s="544">
        <f t="shared" si="18"/>
        <v>0</v>
      </c>
      <c r="BF78" s="525"/>
      <c r="BG78" s="310"/>
      <c r="BH78" s="310"/>
      <c r="BI78" s="310"/>
      <c r="BJ78" s="310"/>
      <c r="BK78" s="310"/>
      <c r="BL78" s="310"/>
      <c r="BM78" s="544">
        <f t="shared" si="19"/>
        <v>0</v>
      </c>
      <c r="BN78" s="525"/>
      <c r="BO78" s="310"/>
      <c r="BP78" s="310"/>
      <c r="BQ78" s="310"/>
      <c r="BR78" s="310"/>
      <c r="BS78" s="310"/>
      <c r="BT78" s="310"/>
      <c r="BU78" s="544">
        <f t="shared" si="20"/>
        <v>0</v>
      </c>
      <c r="BV78" s="556"/>
      <c r="BW78" s="663">
        <f t="shared" si="40"/>
        <v>3</v>
      </c>
      <c r="BX78" s="1047">
        <f t="shared" si="43"/>
        <v>0.75</v>
      </c>
      <c r="BY78" s="1047">
        <f t="shared" si="44"/>
        <v>1</v>
      </c>
      <c r="BZ78" s="1047">
        <f t="shared" si="45"/>
        <v>1</v>
      </c>
      <c r="CA78" s="1047">
        <f t="shared" si="46"/>
        <v>1</v>
      </c>
      <c r="CB78" s="1047">
        <f t="shared" si="47"/>
        <v>0</v>
      </c>
      <c r="CD78" t="str">
        <f t="shared" si="48"/>
        <v>VE</v>
      </c>
      <c r="CE78" t="str">
        <f t="shared" si="48"/>
        <v>VE</v>
      </c>
      <c r="CF78" t="str">
        <f t="shared" si="48"/>
        <v>VE</v>
      </c>
      <c r="CG78" t="str">
        <f t="shared" si="48"/>
        <v>ROB</v>
      </c>
    </row>
    <row r="79" spans="1:85" ht="54.75" hidden="1" customHeight="1" x14ac:dyDescent="0.25">
      <c r="A79" s="298" t="s">
        <v>173</v>
      </c>
      <c r="B79" s="299" t="str">
        <f>'PLAN INDICATIVO'!B79</f>
        <v>Cultura</v>
      </c>
      <c r="C79" s="1547"/>
      <c r="D79" s="1549"/>
      <c r="E79" s="1549"/>
      <c r="F79" s="1549"/>
      <c r="G79" s="1549"/>
      <c r="H79" s="1549"/>
      <c r="I79" s="332">
        <f>'PLAN INDICATIVO'!I79</f>
        <v>0</v>
      </c>
      <c r="J79" s="332">
        <f>'PLAN INDICATIVO'!J79</f>
        <v>0</v>
      </c>
      <c r="K79" s="1429" t="str">
        <f>'PLAN INDICATIVO'!K79</f>
        <v>A.5.2.5</v>
      </c>
      <c r="L79" s="1429" t="str">
        <f>'PLAN INDICATIVO'!L79</f>
        <v>11. Ciudades y comunidades sostenibles</v>
      </c>
      <c r="M79" s="1429" t="str">
        <f>'PLAN INDICATIVO'!M79</f>
        <v>Secretaría de Educación, Cultura, deporte y Turismo</v>
      </c>
      <c r="N79" s="1429" t="str">
        <f>'PLAN INDICATIVO'!N79</f>
        <v>YIMI FERNANDO LOSADA PAYA</v>
      </c>
      <c r="O79" s="1429" t="str">
        <f>'PLAN INDICATIVO'!O79</f>
        <v>Incremento</v>
      </c>
      <c r="P79" s="74" t="str">
        <f>'PLAN INDICATIVO'!P79</f>
        <v>Realizar 4 dotaciones de  medios audiovisuales y/o bibliográficos para la biblioteca municipal SIMÓN BOLIVAR, durante el cuatrienio</v>
      </c>
      <c r="Q79" s="333" t="str">
        <f>'PLAN INDICATIVO'!Q79</f>
        <v>No. de dotaciones entregadas en el cuatrienio</v>
      </c>
      <c r="R79" s="334">
        <f>'PLAN INDICATIVO'!R79</f>
        <v>2015</v>
      </c>
      <c r="S79" s="304">
        <v>0</v>
      </c>
      <c r="T79" s="677">
        <v>4</v>
      </c>
      <c r="U79" s="304">
        <v>1</v>
      </c>
      <c r="V79" s="687">
        <v>3000000</v>
      </c>
      <c r="W79" s="304">
        <v>1</v>
      </c>
      <c r="X79" s="687">
        <v>12000000</v>
      </c>
      <c r="Y79" s="304">
        <v>1</v>
      </c>
      <c r="Z79" s="687">
        <v>12000000</v>
      </c>
      <c r="AA79" s="410">
        <f t="shared" ref="AA79:AA83" si="49">T79-BW79</f>
        <v>1</v>
      </c>
      <c r="AB79" s="687">
        <v>14000000</v>
      </c>
      <c r="AC79" s="665">
        <v>1</v>
      </c>
      <c r="AD79" s="665">
        <v>1</v>
      </c>
      <c r="AE79" s="665">
        <v>1</v>
      </c>
      <c r="AF79" s="665"/>
      <c r="AG79" s="306" t="s">
        <v>4046</v>
      </c>
      <c r="AH79" s="987">
        <v>2018453960003</v>
      </c>
      <c r="AI79" s="1007" t="s">
        <v>4053</v>
      </c>
      <c r="AJ79" s="309">
        <v>42767</v>
      </c>
      <c r="AK79" s="309">
        <v>43099</v>
      </c>
      <c r="AL79" s="308"/>
      <c r="AM79" s="308"/>
      <c r="AN79" s="267" t="s">
        <v>2598</v>
      </c>
      <c r="AO79" s="508" t="s">
        <v>2635</v>
      </c>
      <c r="AP79" s="525"/>
      <c r="AQ79" s="310"/>
      <c r="AR79" s="310"/>
      <c r="AS79" s="310"/>
      <c r="AT79" s="310"/>
      <c r="AU79" s="310"/>
      <c r="AV79" s="310"/>
      <c r="AW79" s="544"/>
      <c r="AX79" s="525"/>
      <c r="AY79" s="310"/>
      <c r="AZ79" s="310"/>
      <c r="BA79" s="310"/>
      <c r="BB79" s="310"/>
      <c r="BC79" s="310"/>
      <c r="BD79" s="310"/>
      <c r="BE79" s="544">
        <f t="shared" si="18"/>
        <v>0</v>
      </c>
      <c r="BF79" s="525"/>
      <c r="BG79" s="310"/>
      <c r="BH79" s="310"/>
      <c r="BI79" s="310">
        <v>600000</v>
      </c>
      <c r="BJ79" s="310"/>
      <c r="BK79" s="310"/>
      <c r="BL79" s="310">
        <v>2000000</v>
      </c>
      <c r="BM79" s="544">
        <f t="shared" si="19"/>
        <v>2600000</v>
      </c>
      <c r="BN79" s="525"/>
      <c r="BO79" s="310"/>
      <c r="BP79" s="310"/>
      <c r="BQ79" s="310"/>
      <c r="BR79" s="310"/>
      <c r="BS79" s="310"/>
      <c r="BT79" s="310"/>
      <c r="BU79" s="544">
        <f t="shared" si="20"/>
        <v>0</v>
      </c>
      <c r="BV79" s="556"/>
      <c r="BW79" s="663">
        <f t="shared" si="40"/>
        <v>3</v>
      </c>
      <c r="BX79" s="1047">
        <f t="shared" si="43"/>
        <v>0.75</v>
      </c>
      <c r="BY79" s="1047">
        <f t="shared" si="44"/>
        <v>1</v>
      </c>
      <c r="BZ79" s="1047">
        <f t="shared" si="45"/>
        <v>1</v>
      </c>
      <c r="CA79" s="1047">
        <f t="shared" si="46"/>
        <v>1</v>
      </c>
      <c r="CB79" s="1047">
        <f t="shared" si="47"/>
        <v>0</v>
      </c>
      <c r="CD79" t="str">
        <f t="shared" si="48"/>
        <v>VE</v>
      </c>
      <c r="CE79" t="str">
        <f t="shared" si="48"/>
        <v>VE</v>
      </c>
      <c r="CF79" t="str">
        <f t="shared" si="48"/>
        <v>VE</v>
      </c>
      <c r="CG79" t="str">
        <f t="shared" si="48"/>
        <v>ROB</v>
      </c>
    </row>
    <row r="80" spans="1:85" ht="50.25" hidden="1" customHeight="1" x14ac:dyDescent="0.25">
      <c r="A80" s="298" t="s">
        <v>173</v>
      </c>
      <c r="B80" s="299" t="str">
        <f>'PLAN INDICATIVO'!B80</f>
        <v>Cultura</v>
      </c>
      <c r="C80" s="1547"/>
      <c r="D80" s="1549"/>
      <c r="E80" s="1549"/>
      <c r="F80" s="1549"/>
      <c r="G80" s="1549"/>
      <c r="H80" s="1549"/>
      <c r="I80" s="332">
        <f>'PLAN INDICATIVO'!I80</f>
        <v>0</v>
      </c>
      <c r="J80" s="332">
        <f>'PLAN INDICATIVO'!J80</f>
        <v>0</v>
      </c>
      <c r="K80" s="1429" t="str">
        <f>'PLAN INDICATIVO'!K80</f>
        <v>A.5.2.6</v>
      </c>
      <c r="L80" s="1429" t="str">
        <f>'PLAN INDICATIVO'!L80</f>
        <v>11. Ciudades y comunidades sostenibles</v>
      </c>
      <c r="M80" s="1429" t="str">
        <f>'PLAN INDICATIVO'!M80</f>
        <v>Secretaría de Educación, Cultura, deporte y Turismo</v>
      </c>
      <c r="N80" s="1429" t="str">
        <f>'PLAN INDICATIVO'!N80</f>
        <v>YIMI FERNANDO LOSADA PAYA</v>
      </c>
      <c r="O80" s="1429" t="str">
        <f>'PLAN INDICATIVO'!O80</f>
        <v>Incremento</v>
      </c>
      <c r="P80" s="74" t="str">
        <f>'PLAN INDICATIVO'!P80</f>
        <v>Realizar 4  capacitaciones en formación para bibliotecarios a través del sistema nacional de bibliotecas durante el cuatrienio</v>
      </c>
      <c r="Q80" s="333" t="str">
        <f>'PLAN INDICATIVO'!Q80</f>
        <v>No. De capacitaciones realizadas en el cuatrienio</v>
      </c>
      <c r="R80" s="334">
        <f>'PLAN INDICATIVO'!R80</f>
        <v>2015</v>
      </c>
      <c r="S80" s="304">
        <v>0</v>
      </c>
      <c r="T80" s="677">
        <v>4</v>
      </c>
      <c r="U80" s="304">
        <v>1</v>
      </c>
      <c r="V80" s="687">
        <v>1000000</v>
      </c>
      <c r="W80" s="304">
        <v>1</v>
      </c>
      <c r="X80" s="687">
        <v>1000000</v>
      </c>
      <c r="Y80" s="304">
        <v>1</v>
      </c>
      <c r="Z80" s="687">
        <v>1500000</v>
      </c>
      <c r="AA80" s="410">
        <f t="shared" si="49"/>
        <v>1</v>
      </c>
      <c r="AB80" s="687">
        <v>2000000</v>
      </c>
      <c r="AC80" s="665">
        <v>1</v>
      </c>
      <c r="AD80" s="665">
        <v>1</v>
      </c>
      <c r="AE80" s="665">
        <v>1</v>
      </c>
      <c r="AF80" s="665"/>
      <c r="AG80" s="306" t="s">
        <v>4046</v>
      </c>
      <c r="AH80" s="987">
        <v>2018453960003</v>
      </c>
      <c r="AI80" s="1007" t="s">
        <v>4054</v>
      </c>
      <c r="AJ80" s="309">
        <v>42826</v>
      </c>
      <c r="AK80" s="309">
        <v>42916</v>
      </c>
      <c r="AL80" s="308"/>
      <c r="AM80" s="308"/>
      <c r="AN80" s="267" t="s">
        <v>2598</v>
      </c>
      <c r="AO80" s="508" t="s">
        <v>2635</v>
      </c>
      <c r="AP80" s="525"/>
      <c r="AQ80" s="310"/>
      <c r="AR80" s="310"/>
      <c r="AS80" s="310"/>
      <c r="AT80" s="310"/>
      <c r="AU80" s="310"/>
      <c r="AV80" s="310"/>
      <c r="AW80" s="544"/>
      <c r="AX80" s="525"/>
      <c r="AY80" s="310"/>
      <c r="AZ80" s="310"/>
      <c r="BA80" s="310"/>
      <c r="BB80" s="310"/>
      <c r="BC80" s="310"/>
      <c r="BD80" s="310"/>
      <c r="BE80" s="544">
        <f t="shared" si="18"/>
        <v>0</v>
      </c>
      <c r="BF80" s="525"/>
      <c r="BG80" s="310"/>
      <c r="BH80" s="310">
        <v>3000000</v>
      </c>
      <c r="BI80" s="310"/>
      <c r="BJ80" s="310"/>
      <c r="BK80" s="310"/>
      <c r="BL80" s="310"/>
      <c r="BM80" s="544">
        <f t="shared" si="19"/>
        <v>3000000</v>
      </c>
      <c r="BN80" s="525"/>
      <c r="BO80" s="310"/>
      <c r="BP80" s="310"/>
      <c r="BQ80" s="310"/>
      <c r="BR80" s="310"/>
      <c r="BS80" s="310"/>
      <c r="BT80" s="310"/>
      <c r="BU80" s="544">
        <f t="shared" si="20"/>
        <v>0</v>
      </c>
      <c r="BV80" s="556"/>
      <c r="BW80" s="663">
        <f t="shared" si="40"/>
        <v>3</v>
      </c>
      <c r="BX80" s="1047">
        <f t="shared" si="43"/>
        <v>0.75</v>
      </c>
      <c r="BY80" s="1047">
        <f t="shared" si="44"/>
        <v>1</v>
      </c>
      <c r="BZ80" s="1047">
        <f t="shared" si="45"/>
        <v>1</v>
      </c>
      <c r="CA80" s="1047">
        <f t="shared" si="46"/>
        <v>1</v>
      </c>
      <c r="CB80" s="1047">
        <f t="shared" si="47"/>
        <v>0</v>
      </c>
      <c r="CD80" t="str">
        <f t="shared" si="48"/>
        <v>VE</v>
      </c>
      <c r="CE80" t="str">
        <f t="shared" si="48"/>
        <v>VE</v>
      </c>
      <c r="CF80" t="str">
        <f t="shared" si="48"/>
        <v>VE</v>
      </c>
      <c r="CG80" t="str">
        <f t="shared" si="48"/>
        <v>ROB</v>
      </c>
    </row>
    <row r="81" spans="1:85" ht="62.25" hidden="1" customHeight="1" x14ac:dyDescent="0.25">
      <c r="A81" s="298" t="s">
        <v>173</v>
      </c>
      <c r="B81" s="299" t="str">
        <f>'PLAN INDICATIVO'!B81</f>
        <v>Cultura</v>
      </c>
      <c r="C81" s="1547"/>
      <c r="D81" s="1549"/>
      <c r="E81" s="1549"/>
      <c r="F81" s="1549"/>
      <c r="G81" s="1549"/>
      <c r="H81" s="1549"/>
      <c r="I81" s="332">
        <f>'PLAN INDICATIVO'!I81</f>
        <v>0</v>
      </c>
      <c r="J81" s="332">
        <f>'PLAN INDICATIVO'!J81</f>
        <v>0</v>
      </c>
      <c r="K81" s="1429" t="str">
        <f>'PLAN INDICATIVO'!K81</f>
        <v>A.5.2.7</v>
      </c>
      <c r="L81" s="1429" t="str">
        <f>'PLAN INDICATIVO'!L81</f>
        <v>11. Ciudades y comunidades sostenibles</v>
      </c>
      <c r="M81" s="1429" t="str">
        <f>'PLAN INDICATIVO'!M81</f>
        <v>Secretaría de Educación, Cultura, deporte y Turismo</v>
      </c>
      <c r="N81" s="1429" t="str">
        <f>'PLAN INDICATIVO'!N81</f>
        <v>YIMI FERNANDO LOSADA PAYA</v>
      </c>
      <c r="O81" s="1429" t="str">
        <f>'PLAN INDICATIVO'!O81</f>
        <v>Incremento</v>
      </c>
      <c r="P81" s="74" t="str">
        <f>'PLAN INDICATIVO'!P81</f>
        <v xml:space="preserve">Desarrollar 4 actividades por año de biblioteca móvil  en la zona urbana y rural </v>
      </c>
      <c r="Q81" s="333" t="str">
        <f>'PLAN INDICATIVO'!Q81</f>
        <v>No. de actividades realizadas cada año</v>
      </c>
      <c r="R81" s="334">
        <f>'PLAN INDICATIVO'!R81</f>
        <v>2015</v>
      </c>
      <c r="S81" s="304">
        <v>0</v>
      </c>
      <c r="T81" s="677">
        <v>16</v>
      </c>
      <c r="U81" s="304">
        <v>4</v>
      </c>
      <c r="V81" s="687">
        <v>1000000</v>
      </c>
      <c r="W81" s="304">
        <v>4</v>
      </c>
      <c r="X81" s="687">
        <v>1000000</v>
      </c>
      <c r="Y81" s="304">
        <v>4</v>
      </c>
      <c r="Z81" s="687">
        <v>1500000</v>
      </c>
      <c r="AA81" s="410">
        <f t="shared" si="49"/>
        <v>4</v>
      </c>
      <c r="AB81" s="687">
        <v>2000000</v>
      </c>
      <c r="AC81" s="665">
        <v>4</v>
      </c>
      <c r="AD81" s="665">
        <v>4</v>
      </c>
      <c r="AE81" s="665">
        <v>4</v>
      </c>
      <c r="AF81" s="665"/>
      <c r="AG81" s="306" t="s">
        <v>4046</v>
      </c>
      <c r="AH81" s="987">
        <v>2018453960003</v>
      </c>
      <c r="AI81" s="1007" t="s">
        <v>4055</v>
      </c>
      <c r="AJ81" s="309">
        <v>42826</v>
      </c>
      <c r="AK81" s="309">
        <v>42856</v>
      </c>
      <c r="AL81" s="308"/>
      <c r="AM81" s="308"/>
      <c r="AN81" s="267" t="s">
        <v>2598</v>
      </c>
      <c r="AO81" s="508">
        <v>23050602</v>
      </c>
      <c r="AP81" s="525"/>
      <c r="AQ81" s="310"/>
      <c r="AR81" s="310"/>
      <c r="AS81" s="310"/>
      <c r="AT81" s="310"/>
      <c r="AU81" s="310"/>
      <c r="AV81" s="310"/>
      <c r="AW81" s="544"/>
      <c r="AX81" s="525"/>
      <c r="AY81" s="310"/>
      <c r="AZ81" s="310"/>
      <c r="BA81" s="310"/>
      <c r="BB81" s="310"/>
      <c r="BC81" s="310"/>
      <c r="BD81" s="310"/>
      <c r="BE81" s="544">
        <f t="shared" si="18"/>
        <v>0</v>
      </c>
      <c r="BF81" s="525"/>
      <c r="BG81" s="310"/>
      <c r="BH81" s="310"/>
      <c r="BI81" s="310"/>
      <c r="BJ81" s="310"/>
      <c r="BK81" s="310"/>
      <c r="BL81" s="310">
        <v>2000000</v>
      </c>
      <c r="BM81" s="544">
        <f t="shared" si="19"/>
        <v>2000000</v>
      </c>
      <c r="BN81" s="525"/>
      <c r="BO81" s="310"/>
      <c r="BP81" s="310"/>
      <c r="BQ81" s="310"/>
      <c r="BR81" s="310"/>
      <c r="BS81" s="310"/>
      <c r="BT81" s="310"/>
      <c r="BU81" s="544">
        <f t="shared" si="20"/>
        <v>0</v>
      </c>
      <c r="BV81" s="556"/>
      <c r="BW81" s="663">
        <f t="shared" si="40"/>
        <v>12</v>
      </c>
      <c r="BX81" s="1047">
        <f t="shared" ref="BX81:BX143" si="50">BW81/T81</f>
        <v>0.75</v>
      </c>
      <c r="BY81" s="1047">
        <f t="shared" si="44"/>
        <v>1</v>
      </c>
      <c r="BZ81" s="1047">
        <f t="shared" si="45"/>
        <v>1</v>
      </c>
      <c r="CA81" s="1047">
        <f t="shared" si="46"/>
        <v>1</v>
      </c>
      <c r="CB81" s="1047">
        <f t="shared" si="47"/>
        <v>0</v>
      </c>
      <c r="CD81" t="str">
        <f t="shared" si="48"/>
        <v>VE</v>
      </c>
      <c r="CE81" t="str">
        <f t="shared" si="48"/>
        <v>VE</v>
      </c>
      <c r="CF81" t="str">
        <f t="shared" si="48"/>
        <v>VE</v>
      </c>
      <c r="CG81" t="str">
        <f t="shared" si="48"/>
        <v>ROB</v>
      </c>
    </row>
    <row r="82" spans="1:85" ht="48.75" hidden="1" customHeight="1" x14ac:dyDescent="0.25">
      <c r="A82" s="298" t="s">
        <v>173</v>
      </c>
      <c r="B82" s="299" t="str">
        <f>'PLAN INDICATIVO'!B82</f>
        <v>Cultura</v>
      </c>
      <c r="C82" s="1547"/>
      <c r="D82" s="1550"/>
      <c r="E82" s="1550"/>
      <c r="F82" s="1549"/>
      <c r="G82" s="1549"/>
      <c r="H82" s="1549"/>
      <c r="I82" s="332">
        <f>'PLAN INDICATIVO'!I82</f>
        <v>0</v>
      </c>
      <c r="J82" s="332">
        <f>'PLAN INDICATIVO'!J82</f>
        <v>0</v>
      </c>
      <c r="K82" s="1429" t="str">
        <f>'PLAN INDICATIVO'!K82</f>
        <v>A.5.2.8</v>
      </c>
      <c r="L82" s="1429" t="str">
        <f>'PLAN INDICATIVO'!L82</f>
        <v>11. Ciudades y comunidades sostenibles</v>
      </c>
      <c r="M82" s="1429" t="str">
        <f>'PLAN INDICATIVO'!M82</f>
        <v>Secretaría de Educación, Cultura, deporte y Turismo</v>
      </c>
      <c r="N82" s="1429" t="str">
        <f>'PLAN INDICATIVO'!N82</f>
        <v>YIMI FERNANDO LOSADA PAYA</v>
      </c>
      <c r="O82" s="1429" t="str">
        <f>'PLAN INDICATIVO'!O82</f>
        <v>Mantenimiento</v>
      </c>
      <c r="P82" s="74" t="str">
        <f>'PLAN INDICATIVO'!P82</f>
        <v>Realizar 1 programa cultural  anual  de vinculación  al centro integral para la primera infancia</v>
      </c>
      <c r="Q82" s="333" t="str">
        <f>'PLAN INDICATIVO'!Q82</f>
        <v>No. De Programa implementado cada año</v>
      </c>
      <c r="R82" s="334">
        <f>'PLAN INDICATIVO'!R82</f>
        <v>2015</v>
      </c>
      <c r="S82" s="304">
        <v>0</v>
      </c>
      <c r="T82" s="677">
        <v>4</v>
      </c>
      <c r="U82" s="304">
        <v>1</v>
      </c>
      <c r="V82" s="687">
        <v>1000000</v>
      </c>
      <c r="W82" s="304">
        <v>1</v>
      </c>
      <c r="X82" s="687">
        <v>1000000</v>
      </c>
      <c r="Y82" s="304">
        <v>1</v>
      </c>
      <c r="Z82" s="687">
        <v>1500000</v>
      </c>
      <c r="AA82" s="410">
        <f>T82-BW82</f>
        <v>1</v>
      </c>
      <c r="AB82" s="687">
        <v>2000000</v>
      </c>
      <c r="AC82" s="665">
        <v>1</v>
      </c>
      <c r="AD82" s="665">
        <v>1</v>
      </c>
      <c r="AE82" s="665">
        <v>1</v>
      </c>
      <c r="AF82" s="665"/>
      <c r="AG82" s="306" t="s">
        <v>4046</v>
      </c>
      <c r="AH82" s="987">
        <v>2018453960003</v>
      </c>
      <c r="AI82" s="1007" t="s">
        <v>4056</v>
      </c>
      <c r="AJ82" s="309">
        <v>42767</v>
      </c>
      <c r="AK82" s="309">
        <v>43099</v>
      </c>
      <c r="AL82" s="308"/>
      <c r="AM82" s="308"/>
      <c r="AN82" s="267" t="s">
        <v>2598</v>
      </c>
      <c r="AO82" s="508">
        <v>23050602</v>
      </c>
      <c r="AP82" s="525"/>
      <c r="AQ82" s="310"/>
      <c r="AR82" s="310"/>
      <c r="AS82" s="310"/>
      <c r="AT82" s="310"/>
      <c r="AU82" s="310"/>
      <c r="AV82" s="310"/>
      <c r="AW82" s="544"/>
      <c r="AX82" s="525"/>
      <c r="AY82" s="310"/>
      <c r="AZ82" s="310"/>
      <c r="BA82" s="310"/>
      <c r="BB82" s="310"/>
      <c r="BC82" s="310"/>
      <c r="BD82" s="310"/>
      <c r="BE82" s="544">
        <f t="shared" si="18"/>
        <v>0</v>
      </c>
      <c r="BF82" s="525"/>
      <c r="BG82" s="310"/>
      <c r="BH82" s="310"/>
      <c r="BI82" s="310"/>
      <c r="BJ82" s="310"/>
      <c r="BK82" s="310"/>
      <c r="BL82" s="310">
        <v>1000000</v>
      </c>
      <c r="BM82" s="544">
        <f t="shared" si="19"/>
        <v>1000000</v>
      </c>
      <c r="BN82" s="525"/>
      <c r="BO82" s="310"/>
      <c r="BP82" s="310"/>
      <c r="BQ82" s="310"/>
      <c r="BR82" s="310"/>
      <c r="BS82" s="310"/>
      <c r="BT82" s="310"/>
      <c r="BU82" s="544">
        <f t="shared" si="20"/>
        <v>0</v>
      </c>
      <c r="BV82" s="556"/>
      <c r="BW82" s="663">
        <f t="shared" si="40"/>
        <v>3</v>
      </c>
      <c r="BX82" s="1047">
        <f t="shared" si="50"/>
        <v>0.75</v>
      </c>
      <c r="BY82" s="1047">
        <f t="shared" si="44"/>
        <v>1</v>
      </c>
      <c r="BZ82" s="1047">
        <f t="shared" si="45"/>
        <v>1</v>
      </c>
      <c r="CA82" s="1047">
        <f t="shared" si="46"/>
        <v>1</v>
      </c>
      <c r="CB82" s="1047">
        <f t="shared" si="47"/>
        <v>0</v>
      </c>
      <c r="CD82" t="str">
        <f t="shared" si="48"/>
        <v>VE</v>
      </c>
      <c r="CE82" t="str">
        <f t="shared" si="48"/>
        <v>VE</v>
      </c>
      <c r="CF82" t="str">
        <f t="shared" si="48"/>
        <v>VE</v>
      </c>
      <c r="CG82" t="str">
        <f t="shared" si="48"/>
        <v>ROB</v>
      </c>
    </row>
    <row r="83" spans="1:85" ht="97.5" hidden="1" customHeight="1" thickBot="1" x14ac:dyDescent="0.3">
      <c r="A83" s="298" t="s">
        <v>173</v>
      </c>
      <c r="B83" s="299" t="str">
        <f>'PLAN INDICATIVO'!B83</f>
        <v>Cultura</v>
      </c>
      <c r="C83" s="1548"/>
      <c r="D83" s="1549"/>
      <c r="E83" s="1549"/>
      <c r="F83" s="1549"/>
      <c r="G83" s="1549"/>
      <c r="H83" s="1549"/>
      <c r="I83" s="1429" t="str">
        <f>'PLAN INDICATIVO'!I83</f>
        <v>SI</v>
      </c>
      <c r="J83" s="1429">
        <f>'PLAN INDICATIVO'!J83</f>
        <v>0</v>
      </c>
      <c r="K83" s="1429" t="str">
        <f>'PLAN INDICATIVO'!K83</f>
        <v>A.5.2.9</v>
      </c>
      <c r="L83" s="1429" t="str">
        <f>'PLAN INDICATIVO'!L83</f>
        <v>11. Ciudades y comunidades sostenibles</v>
      </c>
      <c r="M83" s="1429" t="str">
        <f>'PLAN INDICATIVO'!M83</f>
        <v>Secretaría de Educación, Cultura, deporte y Turismo</v>
      </c>
      <c r="N83" s="1429" t="str">
        <f>'PLAN INDICATIVO'!N83</f>
        <v>YIMI FERNANDO LOSADA PAYA</v>
      </c>
      <c r="O83" s="1429" t="str">
        <f>'PLAN INDICATIVO'!O83</f>
        <v>Incremento</v>
      </c>
      <c r="P83" s="74" t="str">
        <f>'PLAN INDICATIVO'!P83</f>
        <v>Realizar 2 obras de infraestructura para construcción, ampliación, conservación y/o mantenimiento de la infraestructura municipal de cultura, incluyendo interventorías y diseños, durante el cuatrienio</v>
      </c>
      <c r="Q83" s="333" t="str">
        <f>'PLAN INDICATIVO'!Q83</f>
        <v>No. De obras ejecutadas en el cuatrienio</v>
      </c>
      <c r="R83" s="334">
        <f>'PLAN INDICATIVO'!R83</f>
        <v>2015</v>
      </c>
      <c r="S83" s="304">
        <v>0</v>
      </c>
      <c r="T83" s="677">
        <v>2</v>
      </c>
      <c r="U83" s="304"/>
      <c r="V83" s="687">
        <v>37000000</v>
      </c>
      <c r="W83" s="304">
        <v>1</v>
      </c>
      <c r="X83" s="687">
        <v>1000000</v>
      </c>
      <c r="Y83" s="304">
        <v>0.5</v>
      </c>
      <c r="Z83" s="687">
        <v>1500000</v>
      </c>
      <c r="AA83" s="410">
        <f t="shared" si="49"/>
        <v>1</v>
      </c>
      <c r="AB83" s="687">
        <v>2000000</v>
      </c>
      <c r="AC83" s="665"/>
      <c r="AD83" s="665">
        <v>1</v>
      </c>
      <c r="AE83" s="665"/>
      <c r="AF83" s="665"/>
      <c r="AG83" s="306" t="s">
        <v>4046</v>
      </c>
      <c r="AH83" s="987">
        <v>2018453960003</v>
      </c>
      <c r="AI83" s="1007" t="s">
        <v>4057</v>
      </c>
      <c r="AJ83" s="309">
        <v>42887</v>
      </c>
      <c r="AK83" s="309">
        <v>43099</v>
      </c>
      <c r="AL83" s="308"/>
      <c r="AM83" s="308"/>
      <c r="AN83" s="267" t="s">
        <v>2600</v>
      </c>
      <c r="AO83" s="508">
        <v>2305</v>
      </c>
      <c r="AP83" s="525"/>
      <c r="AQ83" s="310"/>
      <c r="AR83" s="310"/>
      <c r="AS83" s="310"/>
      <c r="AT83" s="310"/>
      <c r="AU83" s="310"/>
      <c r="AV83" s="310"/>
      <c r="AW83" s="544"/>
      <c r="AX83" s="525"/>
      <c r="AY83" s="310"/>
      <c r="AZ83" s="310"/>
      <c r="BA83" s="310"/>
      <c r="BB83" s="310"/>
      <c r="BC83" s="310"/>
      <c r="BD83" s="310"/>
      <c r="BE83" s="544">
        <f t="shared" si="18"/>
        <v>0</v>
      </c>
      <c r="BF83" s="525"/>
      <c r="BG83" s="310"/>
      <c r="BH83" s="310"/>
      <c r="BI83" s="310"/>
      <c r="BJ83" s="310"/>
      <c r="BK83" s="310"/>
      <c r="BL83" s="310"/>
      <c r="BM83" s="544">
        <f t="shared" si="19"/>
        <v>0</v>
      </c>
      <c r="BN83" s="525"/>
      <c r="BO83" s="310"/>
      <c r="BP83" s="310"/>
      <c r="BQ83" s="310"/>
      <c r="BR83" s="310"/>
      <c r="BS83" s="310"/>
      <c r="BT83" s="310"/>
      <c r="BU83" s="544">
        <f t="shared" si="20"/>
        <v>0</v>
      </c>
      <c r="BV83" s="556"/>
      <c r="BW83" s="663">
        <f t="shared" si="40"/>
        <v>1</v>
      </c>
      <c r="BX83" s="1047">
        <f t="shared" si="50"/>
        <v>0.5</v>
      </c>
      <c r="BY83" s="1047" t="str">
        <f t="shared" si="44"/>
        <v>No Programada</v>
      </c>
      <c r="BZ83" s="1047">
        <f t="shared" si="45"/>
        <v>1</v>
      </c>
      <c r="CA83" s="1047">
        <f t="shared" si="46"/>
        <v>0</v>
      </c>
      <c r="CB83" s="1047">
        <f t="shared" si="47"/>
        <v>0</v>
      </c>
      <c r="CD83" t="str">
        <f t="shared" si="48"/>
        <v>NP</v>
      </c>
      <c r="CE83" t="str">
        <f t="shared" si="48"/>
        <v>VE</v>
      </c>
      <c r="CF83" t="str">
        <f t="shared" si="48"/>
        <v>ROB</v>
      </c>
      <c r="CG83" t="str">
        <f t="shared" si="48"/>
        <v>ROB</v>
      </c>
    </row>
    <row r="84" spans="1:85" ht="28.5" hidden="1" customHeight="1" thickBot="1" x14ac:dyDescent="0.3">
      <c r="A84" s="1608" t="s">
        <v>2662</v>
      </c>
      <c r="B84" s="1609"/>
      <c r="C84" s="1609"/>
      <c r="D84" s="1609"/>
      <c r="E84" s="1609"/>
      <c r="F84" s="1609"/>
      <c r="G84" s="1609"/>
      <c r="H84" s="1609"/>
      <c r="I84" s="1609"/>
      <c r="J84" s="1609"/>
      <c r="K84" s="1609"/>
      <c r="L84" s="1609"/>
      <c r="M84" s="1609"/>
      <c r="N84" s="1609"/>
      <c r="O84" s="1609"/>
      <c r="P84" s="1609"/>
      <c r="Q84" s="1609"/>
      <c r="R84" s="1609"/>
      <c r="S84" s="1609"/>
      <c r="T84" s="1609"/>
      <c r="U84" s="1609"/>
      <c r="V84" s="1609"/>
      <c r="W84" s="1609"/>
      <c r="X84" s="1609"/>
      <c r="Y84" s="1609"/>
      <c r="Z84" s="1609"/>
      <c r="AA84" s="1609"/>
      <c r="AB84" s="1609"/>
      <c r="AC84" s="1609"/>
      <c r="AD84" s="1609"/>
      <c r="AE84" s="1609"/>
      <c r="AF84" s="1609"/>
      <c r="AG84" s="1609"/>
      <c r="AH84" s="1609"/>
      <c r="AI84" s="1609"/>
      <c r="AJ84" s="1609"/>
      <c r="AK84" s="1609"/>
      <c r="AL84" s="1609"/>
      <c r="AM84" s="1610"/>
      <c r="AN84" s="437"/>
      <c r="AO84" s="626"/>
      <c r="AP84" s="627"/>
      <c r="AQ84" s="628"/>
      <c r="AR84" s="628"/>
      <c r="AS84" s="628"/>
      <c r="AT84" s="628"/>
      <c r="AU84" s="628"/>
      <c r="AV84" s="628"/>
      <c r="AW84" s="629"/>
      <c r="AX84" s="627"/>
      <c r="AY84" s="628"/>
      <c r="AZ84" s="628"/>
      <c r="BA84" s="628"/>
      <c r="BB84" s="628"/>
      <c r="BC84" s="628"/>
      <c r="BD84" s="628"/>
      <c r="BE84" s="629">
        <f t="shared" si="18"/>
        <v>0</v>
      </c>
      <c r="BF84" s="627"/>
      <c r="BG84" s="628"/>
      <c r="BH84" s="628"/>
      <c r="BI84" s="628"/>
      <c r="BJ84" s="628"/>
      <c r="BK84" s="628"/>
      <c r="BL84" s="628"/>
      <c r="BM84" s="629">
        <f t="shared" si="19"/>
        <v>0</v>
      </c>
      <c r="BN84" s="627"/>
      <c r="BO84" s="628"/>
      <c r="BP84" s="628"/>
      <c r="BQ84" s="628"/>
      <c r="BR84" s="628"/>
      <c r="BS84" s="628"/>
      <c r="BT84" s="628"/>
      <c r="BU84" s="629">
        <f t="shared" si="20"/>
        <v>0</v>
      </c>
      <c r="BV84" s="650"/>
      <c r="BW84" s="626" t="s">
        <v>2717</v>
      </c>
      <c r="BX84" s="626" t="s">
        <v>2717</v>
      </c>
      <c r="BY84" s="626" t="s">
        <v>2717</v>
      </c>
      <c r="BZ84" s="626" t="s">
        <v>2717</v>
      </c>
      <c r="CA84" s="626" t="s">
        <v>2717</v>
      </c>
      <c r="CB84" s="1047" t="s">
        <v>2717</v>
      </c>
    </row>
    <row r="85" spans="1:85" ht="24.75" hidden="1" customHeight="1" x14ac:dyDescent="0.25">
      <c r="A85" s="296"/>
      <c r="B85" s="331" t="str">
        <f>'PLAN INDICATIVO'!B85</f>
        <v>Deporte y Recreación</v>
      </c>
      <c r="C85" s="1605" t="s">
        <v>279</v>
      </c>
      <c r="D85" s="1606"/>
      <c r="E85" s="1606"/>
      <c r="F85" s="1606"/>
      <c r="G85" s="1606"/>
      <c r="H85" s="1606"/>
      <c r="I85" s="1606"/>
      <c r="J85" s="1606"/>
      <c r="K85" s="1606"/>
      <c r="L85" s="1606"/>
      <c r="M85" s="1606"/>
      <c r="N85" s="1606"/>
      <c r="O85" s="1607"/>
      <c r="P85" s="318"/>
      <c r="Q85" s="318"/>
      <c r="R85" s="317"/>
      <c r="S85" s="319"/>
      <c r="T85" s="676"/>
      <c r="U85" s="319"/>
      <c r="V85" s="695">
        <f>SUM(V86:V96)</f>
        <v>608</v>
      </c>
      <c r="W85" s="319"/>
      <c r="X85" s="695">
        <f>SUM(X86:X96)</f>
        <v>592600000</v>
      </c>
      <c r="Y85" s="319"/>
      <c r="Z85" s="695">
        <f>SUM(Z86:Z96)</f>
        <v>111000000</v>
      </c>
      <c r="AA85" s="320"/>
      <c r="AB85" s="320">
        <f>SUM(AB86:AB96)</f>
        <v>118000000</v>
      </c>
      <c r="AC85" s="320"/>
      <c r="AD85" s="320"/>
      <c r="AE85" s="320"/>
      <c r="AF85" s="320"/>
      <c r="AG85" s="321"/>
      <c r="AH85" s="321"/>
      <c r="AI85" s="321"/>
      <c r="AJ85" s="320"/>
      <c r="AK85" s="320"/>
      <c r="AL85" s="320"/>
      <c r="AM85" s="320"/>
      <c r="AN85" s="320"/>
      <c r="AO85" s="630"/>
      <c r="AP85" s="631"/>
      <c r="AQ85" s="631"/>
      <c r="AR85" s="631"/>
      <c r="AS85" s="631"/>
      <c r="AT85" s="631"/>
      <c r="AU85" s="631"/>
      <c r="AV85" s="631"/>
      <c r="AW85" s="631"/>
      <c r="AX85" s="631" t="e">
        <f>(AX86:AX96)</f>
        <v>#VALUE!</v>
      </c>
      <c r="AY85" s="631" t="e">
        <f t="shared" ref="AY85:BD85" si="51">(AY86:AY96)</f>
        <v>#VALUE!</v>
      </c>
      <c r="AZ85" s="631" t="e">
        <f t="shared" si="51"/>
        <v>#VALUE!</v>
      </c>
      <c r="BA85" s="631" t="e">
        <f t="shared" si="51"/>
        <v>#VALUE!</v>
      </c>
      <c r="BB85" s="631" t="e">
        <f t="shared" si="51"/>
        <v>#VALUE!</v>
      </c>
      <c r="BC85" s="631" t="e">
        <f t="shared" si="51"/>
        <v>#VALUE!</v>
      </c>
      <c r="BD85" s="631" t="e">
        <f t="shared" si="51"/>
        <v>#VALUE!</v>
      </c>
      <c r="BE85" s="617" t="e">
        <f t="shared" si="18"/>
        <v>#VALUE!</v>
      </c>
      <c r="BF85" s="631"/>
      <c r="BG85" s="631"/>
      <c r="BH85" s="631"/>
      <c r="BI85" s="631"/>
      <c r="BJ85" s="631"/>
      <c r="BK85" s="631"/>
      <c r="BL85" s="631"/>
      <c r="BM85" s="617">
        <f t="shared" si="19"/>
        <v>0</v>
      </c>
      <c r="BN85" s="631" t="e">
        <f>(BN86:BN96)</f>
        <v>#VALUE!</v>
      </c>
      <c r="BO85" s="631" t="e">
        <f t="shared" ref="BO85:BT85" si="52">(BO86:BO96)</f>
        <v>#VALUE!</v>
      </c>
      <c r="BP85" s="631" t="e">
        <f t="shared" si="52"/>
        <v>#VALUE!</v>
      </c>
      <c r="BQ85" s="631" t="e">
        <f t="shared" si="52"/>
        <v>#VALUE!</v>
      </c>
      <c r="BR85" s="631" t="e">
        <f t="shared" si="52"/>
        <v>#VALUE!</v>
      </c>
      <c r="BS85" s="631" t="e">
        <f t="shared" si="52"/>
        <v>#VALUE!</v>
      </c>
      <c r="BT85" s="631" t="e">
        <f t="shared" si="52"/>
        <v>#VALUE!</v>
      </c>
      <c r="BU85" s="617" t="e">
        <f t="shared" si="20"/>
        <v>#VALUE!</v>
      </c>
      <c r="BV85" s="651"/>
      <c r="BW85" s="863" t="s">
        <v>2717</v>
      </c>
      <c r="BX85" s="631" t="s">
        <v>2717</v>
      </c>
      <c r="BY85" s="631" t="s">
        <v>2717</v>
      </c>
      <c r="BZ85" s="631" t="s">
        <v>2717</v>
      </c>
      <c r="CA85" s="631" t="s">
        <v>2717</v>
      </c>
      <c r="CB85" s="1047" t="s">
        <v>2717</v>
      </c>
    </row>
    <row r="86" spans="1:85" ht="75" hidden="1" customHeight="1" x14ac:dyDescent="0.25">
      <c r="A86" s="298" t="s">
        <v>2458</v>
      </c>
      <c r="B86" s="299" t="str">
        <f>'PLAN INDICATIVO'!B86</f>
        <v>Deporte y Recreación</v>
      </c>
      <c r="C86" s="1546" t="s">
        <v>281</v>
      </c>
      <c r="D86" s="1550" t="s">
        <v>282</v>
      </c>
      <c r="E86" s="1550" t="s">
        <v>283</v>
      </c>
      <c r="F86" s="1550">
        <v>2015</v>
      </c>
      <c r="G86" s="1550">
        <v>8</v>
      </c>
      <c r="H86" s="1550">
        <v>10</v>
      </c>
      <c r="I86" s="300">
        <f>'PLAN INDICATIVO'!I86</f>
        <v>0</v>
      </c>
      <c r="J86" s="300">
        <f>'PLAN INDICATIVO'!J86</f>
        <v>0</v>
      </c>
      <c r="K86" s="1425" t="str">
        <f>'PLAN INDICATIVO'!K86</f>
        <v>A.4.1.1</v>
      </c>
      <c r="L86" s="1425">
        <f>'PLAN INDICATIVO'!L86</f>
        <v>0</v>
      </c>
      <c r="M86" s="1425" t="str">
        <f>'PLAN INDICATIVO'!M86</f>
        <v>Secretaría de Educación, Cultura, deporte y Turismo</v>
      </c>
      <c r="N86" s="1425" t="str">
        <f>'PLAN INDICATIVO'!N86</f>
        <v>YIMI FERNANDO LOSADA PAYA</v>
      </c>
      <c r="O86" s="1425" t="str">
        <f>'PLAN INDICATIVO'!O86</f>
        <v>Incremento</v>
      </c>
      <c r="P86" s="1198" t="str">
        <f>'PLAN INDICATIVO'!P86</f>
        <v>Actualizar 1 Plan Local de Deporte, Recreación, Educación Física y Aprovechamiento del Tiempo Libre en el Cuatrienio.</v>
      </c>
      <c r="Q86" s="302" t="str">
        <f>'PLAN INDICATIVO'!Q86</f>
        <v>No. De Planes actualizados</v>
      </c>
      <c r="R86" s="303">
        <f>'PLAN INDICATIVO'!R86</f>
        <v>2015</v>
      </c>
      <c r="S86" s="304">
        <v>0</v>
      </c>
      <c r="T86" s="677">
        <v>1</v>
      </c>
      <c r="U86" s="303">
        <v>0</v>
      </c>
      <c r="V86" s="687">
        <v>1</v>
      </c>
      <c r="W86" s="572">
        <v>0.33</v>
      </c>
      <c r="X86" s="687">
        <v>1000000</v>
      </c>
      <c r="Y86" s="1232"/>
      <c r="Z86" s="1233">
        <v>1000000</v>
      </c>
      <c r="AA86" s="1310">
        <f>T86-BW86</f>
        <v>0.62</v>
      </c>
      <c r="AB86" s="572">
        <v>1000000</v>
      </c>
      <c r="AC86" s="665">
        <v>0</v>
      </c>
      <c r="AD86" s="665">
        <v>0.33</v>
      </c>
      <c r="AE86" s="665">
        <v>0.05</v>
      </c>
      <c r="AF86" s="665"/>
      <c r="AG86" s="306" t="s">
        <v>4058</v>
      </c>
      <c r="AH86" s="987">
        <v>2018453960002</v>
      </c>
      <c r="AI86" s="307" t="s">
        <v>4059</v>
      </c>
      <c r="AJ86" s="309">
        <v>43313</v>
      </c>
      <c r="AK86" s="309">
        <v>43099</v>
      </c>
      <c r="AL86" s="308"/>
      <c r="AM86" s="308"/>
      <c r="AN86" s="267" t="s">
        <v>2604</v>
      </c>
      <c r="AO86" s="507">
        <v>2304</v>
      </c>
      <c r="AP86" s="526"/>
      <c r="AQ86" s="470"/>
      <c r="AR86" s="470"/>
      <c r="AS86" s="470"/>
      <c r="AT86" s="470"/>
      <c r="AU86" s="470"/>
      <c r="AV86" s="470"/>
      <c r="AW86" s="544"/>
      <c r="AX86" s="526"/>
      <c r="AY86" s="470"/>
      <c r="AZ86" s="470"/>
      <c r="BA86" s="470"/>
      <c r="BB86" s="470"/>
      <c r="BC86" s="470"/>
      <c r="BD86" s="470"/>
      <c r="BE86" s="544">
        <f t="shared" si="18"/>
        <v>0</v>
      </c>
      <c r="BF86" s="526"/>
      <c r="BG86" s="470"/>
      <c r="BH86" s="470"/>
      <c r="BI86" s="470"/>
      <c r="BJ86" s="470"/>
      <c r="BK86" s="470"/>
      <c r="BL86" s="470"/>
      <c r="BM86" s="544">
        <f t="shared" si="19"/>
        <v>0</v>
      </c>
      <c r="BN86" s="526"/>
      <c r="BO86" s="470"/>
      <c r="BP86" s="470"/>
      <c r="BQ86" s="470"/>
      <c r="BR86" s="470"/>
      <c r="BS86" s="470"/>
      <c r="BT86" s="470"/>
      <c r="BU86" s="544">
        <f t="shared" si="20"/>
        <v>0</v>
      </c>
      <c r="BV86" s="556"/>
      <c r="BW86" s="663">
        <f t="shared" si="40"/>
        <v>0.38</v>
      </c>
      <c r="BX86" s="1047">
        <f t="shared" si="50"/>
        <v>0.38</v>
      </c>
      <c r="BY86" s="1047" t="str">
        <f t="shared" ref="BY86:BY96" si="53">IF(U86&gt;=0.1,AC86/U86,IF(ISBLANK(U86),"No Programada","Aplazada"))</f>
        <v>Aplazada</v>
      </c>
      <c r="BZ86" s="1047">
        <f t="shared" ref="BZ86:BZ96" si="54">IF(W86&gt;=0.1,AD86/W86,IF(ISBLANK(W86),"No Programada","Aplazada"))</f>
        <v>1</v>
      </c>
      <c r="CA86" s="1047" t="str">
        <f t="shared" ref="CA86:CA96" si="55">IF(Y86&gt;=0.1,AE86/Y86,IF(ISBLANK(Y86),"No Programada","Aplazada"))</f>
        <v>No Programada</v>
      </c>
      <c r="CB86" s="1047">
        <f t="shared" ref="CB86:CB96" si="56">IF(AA86&gt;=0.1,AF86/AA86,IF(ISBLANK(AA86),"No Programada","Aplazada"))</f>
        <v>0</v>
      </c>
      <c r="CD86" t="str">
        <f t="shared" ref="CD86:CG96" si="57">IF(BY86="PARA MODIFICAR","M",IF(BY86="PARA ELIMINAR","E",IF(BY86="aplazada","AZ",IF(BY86="no programada","NP",IF(BY86&gt;=85%,"VE",IF(BY86&gt;70%,"VEB",IF(BY86&gt;60%,"AM",IF(BY86&gt;40%,"AMB",IF(BY86&gt;20%,"RO",IF(BY86&gt;=0%,"ROB",""))))))))))</f>
        <v>AZ</v>
      </c>
      <c r="CE86" t="str">
        <f t="shared" si="57"/>
        <v>VE</v>
      </c>
      <c r="CF86" t="str">
        <f t="shared" si="57"/>
        <v>NP</v>
      </c>
      <c r="CG86" t="str">
        <f t="shared" si="57"/>
        <v>ROB</v>
      </c>
    </row>
    <row r="87" spans="1:85" ht="73.5" hidden="1" customHeight="1" x14ac:dyDescent="0.25">
      <c r="A87" s="298" t="s">
        <v>280</v>
      </c>
      <c r="B87" s="299" t="str">
        <f>'PLAN INDICATIVO'!B87</f>
        <v>Deporte y Recreación</v>
      </c>
      <c r="C87" s="1547"/>
      <c r="D87" s="1551"/>
      <c r="E87" s="1551"/>
      <c r="F87" s="1551"/>
      <c r="G87" s="1551"/>
      <c r="H87" s="1551"/>
      <c r="I87" s="1425" t="str">
        <f>'PLAN INDICATIVO'!I87</f>
        <v>SI</v>
      </c>
      <c r="J87" s="1425">
        <f>'PLAN INDICATIVO'!J87</f>
        <v>0</v>
      </c>
      <c r="K87" s="1425" t="str">
        <f>'PLAN INDICATIVO'!K87</f>
        <v>A.4.1.2</v>
      </c>
      <c r="L87" s="1425">
        <f>'PLAN INDICATIVO'!L87</f>
        <v>0</v>
      </c>
      <c r="M87" s="1425" t="str">
        <f>'PLAN INDICATIVO'!M87</f>
        <v>Secretaría de Educación, Cultura, deporte y Turismo</v>
      </c>
      <c r="N87" s="1425" t="str">
        <f>'PLAN INDICATIVO'!N87</f>
        <v>YIMI FERNANDO LOSADA PAYA</v>
      </c>
      <c r="O87" s="1425" t="str">
        <f>'PLAN INDICATIVO'!O87</f>
        <v>Incremento</v>
      </c>
      <c r="P87" s="16" t="str">
        <f>'PLAN INDICATIVO'!P87</f>
        <v>Optimizar 1 complejo deportivo en la Villa Olímpica del Municipio en el cuatrienio.</v>
      </c>
      <c r="Q87" s="302" t="str">
        <f>'PLAN INDICATIVO'!Q87</f>
        <v>No. De Villa olímpica optimizada</v>
      </c>
      <c r="R87" s="303">
        <f>'PLAN INDICATIVO'!R87</f>
        <v>2015</v>
      </c>
      <c r="S87" s="304">
        <v>0</v>
      </c>
      <c r="T87" s="677">
        <v>1</v>
      </c>
      <c r="U87" s="303">
        <v>0.25</v>
      </c>
      <c r="V87" s="687">
        <v>5</v>
      </c>
      <c r="W87" s="66">
        <v>0.3</v>
      </c>
      <c r="X87" s="687">
        <v>1000000</v>
      </c>
      <c r="Y87" s="1232">
        <v>0.5</v>
      </c>
      <c r="Z87" s="1233">
        <v>1000000</v>
      </c>
      <c r="AA87" s="1310"/>
      <c r="AB87" s="572">
        <v>1000000</v>
      </c>
      <c r="AC87" s="665">
        <v>0.4</v>
      </c>
      <c r="AD87" s="665">
        <v>0.1</v>
      </c>
      <c r="AE87" s="665">
        <v>0.5</v>
      </c>
      <c r="AF87" s="665"/>
      <c r="AG87" s="306" t="s">
        <v>4058</v>
      </c>
      <c r="AH87" s="987">
        <v>2018453960002</v>
      </c>
      <c r="AI87" s="307" t="s">
        <v>4060</v>
      </c>
      <c r="AJ87" s="309">
        <v>42917</v>
      </c>
      <c r="AK87" s="309">
        <v>43099</v>
      </c>
      <c r="AL87" s="308"/>
      <c r="AM87" s="308"/>
      <c r="AN87" s="267" t="s">
        <v>2598</v>
      </c>
      <c r="AO87" s="507" t="s">
        <v>4061</v>
      </c>
      <c r="AP87" s="470"/>
      <c r="AQ87" s="470"/>
      <c r="AR87" s="470"/>
      <c r="AS87" s="470"/>
      <c r="AT87" s="310"/>
      <c r="AU87" s="310"/>
      <c r="AV87" s="310"/>
      <c r="AW87" s="544"/>
      <c r="AX87" s="525"/>
      <c r="AY87" s="310"/>
      <c r="AZ87" s="310"/>
      <c r="BA87" s="310"/>
      <c r="BB87" s="310"/>
      <c r="BC87" s="310"/>
      <c r="BD87" s="310"/>
      <c r="BE87" s="544">
        <f t="shared" ref="BE87:BE148" si="58">SUM(AX87:BD87)</f>
        <v>0</v>
      </c>
      <c r="BF87" s="470"/>
      <c r="BG87" s="470"/>
      <c r="BH87" s="470"/>
      <c r="BI87" s="470"/>
      <c r="BJ87" s="310"/>
      <c r="BK87" s="310">
        <v>1022284936</v>
      </c>
      <c r="BL87" s="310"/>
      <c r="BM87" s="544">
        <f t="shared" ref="BM87:BM148" si="59">SUM(BF87:BL87)</f>
        <v>1022284936</v>
      </c>
      <c r="BN87" s="525"/>
      <c r="BO87" s="310"/>
      <c r="BP87" s="310"/>
      <c r="BQ87" s="310"/>
      <c r="BR87" s="310"/>
      <c r="BS87" s="310"/>
      <c r="BT87" s="310"/>
      <c r="BU87" s="544">
        <f t="shared" ref="BU87:BU148" si="60">SUM(BN87:BT87)</f>
        <v>0</v>
      </c>
      <c r="BV87" s="556"/>
      <c r="BW87" s="663">
        <f t="shared" si="40"/>
        <v>1</v>
      </c>
      <c r="BX87" s="1047">
        <f t="shared" si="50"/>
        <v>1</v>
      </c>
      <c r="BY87" s="1047">
        <f t="shared" si="53"/>
        <v>1.6</v>
      </c>
      <c r="BZ87" s="1047">
        <f t="shared" si="54"/>
        <v>0.33333333333333337</v>
      </c>
      <c r="CA87" s="1047">
        <f t="shared" si="55"/>
        <v>1</v>
      </c>
      <c r="CB87" s="1047" t="str">
        <f t="shared" si="56"/>
        <v>No Programada</v>
      </c>
      <c r="CD87" t="str">
        <f t="shared" si="57"/>
        <v>VE</v>
      </c>
      <c r="CE87" t="str">
        <f t="shared" si="57"/>
        <v>RO</v>
      </c>
      <c r="CF87" t="str">
        <f t="shared" si="57"/>
        <v>VE</v>
      </c>
      <c r="CG87" t="str">
        <f t="shared" si="57"/>
        <v>NP</v>
      </c>
    </row>
    <row r="88" spans="1:85" ht="90" hidden="1" customHeight="1" x14ac:dyDescent="0.25">
      <c r="A88" s="298" t="s">
        <v>280</v>
      </c>
      <c r="B88" s="299" t="str">
        <f>'PLAN INDICATIVO'!B88</f>
        <v>Deporte y Recreación</v>
      </c>
      <c r="C88" s="1547"/>
      <c r="D88" s="1551"/>
      <c r="E88" s="1551"/>
      <c r="F88" s="1551"/>
      <c r="G88" s="1551"/>
      <c r="H88" s="1551"/>
      <c r="I88" s="1425" t="str">
        <f>'PLAN INDICATIVO'!I88</f>
        <v>SI</v>
      </c>
      <c r="J88" s="1425">
        <f>'PLAN INDICATIVO'!J88</f>
        <v>0</v>
      </c>
      <c r="K88" s="1425" t="str">
        <f>'PLAN INDICATIVO'!K88</f>
        <v>A.4.1.3</v>
      </c>
      <c r="L88" s="1425">
        <f>'PLAN INDICATIVO'!L88</f>
        <v>0</v>
      </c>
      <c r="M88" s="1425" t="str">
        <f>'PLAN INDICATIVO'!M88</f>
        <v>Secretaría de Educación, Cultura, deporte y Turismo</v>
      </c>
      <c r="N88" s="1425" t="str">
        <f>'PLAN INDICATIVO'!N88</f>
        <v>YIMI FERNANDO LOSADA PAYA</v>
      </c>
      <c r="O88" s="1425" t="str">
        <f>'PLAN INDICATIVO'!O88</f>
        <v>Incremento</v>
      </c>
      <c r="P88" s="16" t="str">
        <f>'PLAN INDICATIVO'!P88</f>
        <v>Construir 13 cubiertas para escenarios deportivos en el sector rural y urbano en el municipio en el cuatrienio (LB 4)</v>
      </c>
      <c r="Q88" s="302" t="str">
        <f>'PLAN INDICATIVO'!Q88</f>
        <v>No. De Cubiertas de escenarios deportivos construidas</v>
      </c>
      <c r="R88" s="303" t="str">
        <f>'PLAN INDICATIVO'!R88</f>
        <v>2012/2015</v>
      </c>
      <c r="S88" s="304">
        <v>4</v>
      </c>
      <c r="T88" s="1293">
        <v>13</v>
      </c>
      <c r="U88" s="303">
        <v>2</v>
      </c>
      <c r="V88" s="687">
        <v>10</v>
      </c>
      <c r="W88" s="66">
        <v>4</v>
      </c>
      <c r="X88" s="687">
        <v>10000000</v>
      </c>
      <c r="Y88" s="1232">
        <v>4</v>
      </c>
      <c r="Z88" s="1233">
        <v>40000000</v>
      </c>
      <c r="AA88" s="1310">
        <f>T88-BW88</f>
        <v>8.1999999999999993</v>
      </c>
      <c r="AB88" s="572">
        <v>58000000</v>
      </c>
      <c r="AC88" s="665">
        <v>0.8</v>
      </c>
      <c r="AD88" s="665">
        <v>1</v>
      </c>
      <c r="AE88" s="665">
        <v>3</v>
      </c>
      <c r="AF88" s="665"/>
      <c r="AG88" s="306" t="s">
        <v>4058</v>
      </c>
      <c r="AH88" s="987">
        <v>2018453960002</v>
      </c>
      <c r="AI88" s="307" t="s">
        <v>4875</v>
      </c>
      <c r="AJ88" s="309">
        <v>42917</v>
      </c>
      <c r="AK88" s="309">
        <v>43084</v>
      </c>
      <c r="AL88" s="308"/>
      <c r="AM88" s="308"/>
      <c r="AN88" s="267" t="s">
        <v>2604</v>
      </c>
      <c r="AO88" s="507" t="s">
        <v>4062</v>
      </c>
      <c r="AP88" s="526"/>
      <c r="AQ88" s="470"/>
      <c r="AR88" s="470"/>
      <c r="AS88" s="470"/>
      <c r="AT88" s="470"/>
      <c r="AU88" s="470"/>
      <c r="AV88" s="470"/>
      <c r="AW88" s="544"/>
      <c r="AX88" s="526"/>
      <c r="AY88" s="470"/>
      <c r="AZ88" s="470"/>
      <c r="BA88" s="470"/>
      <c r="BB88" s="470"/>
      <c r="BC88" s="470"/>
      <c r="BD88" s="470"/>
      <c r="BE88" s="544">
        <f t="shared" si="58"/>
        <v>0</v>
      </c>
      <c r="BF88" s="526"/>
      <c r="BG88" s="470"/>
      <c r="BH88" s="470"/>
      <c r="BI88" s="470">
        <v>886896725</v>
      </c>
      <c r="BJ88" s="470"/>
      <c r="BK88" s="470">
        <v>978378274</v>
      </c>
      <c r="BL88" s="470"/>
      <c r="BM88" s="544">
        <f t="shared" si="59"/>
        <v>1865274999</v>
      </c>
      <c r="BN88" s="526"/>
      <c r="BO88" s="470"/>
      <c r="BP88" s="470"/>
      <c r="BQ88" s="470"/>
      <c r="BR88" s="470"/>
      <c r="BS88" s="470"/>
      <c r="BT88" s="470"/>
      <c r="BU88" s="544">
        <f t="shared" si="60"/>
        <v>0</v>
      </c>
      <c r="BV88" s="556"/>
      <c r="BW88" s="663">
        <f t="shared" si="40"/>
        <v>4.8</v>
      </c>
      <c r="BX88" s="1047">
        <f t="shared" si="50"/>
        <v>0.3692307692307692</v>
      </c>
      <c r="BY88" s="1047">
        <f t="shared" si="53"/>
        <v>0.4</v>
      </c>
      <c r="BZ88" s="1047">
        <f t="shared" si="54"/>
        <v>0.25</v>
      </c>
      <c r="CA88" s="1047">
        <f t="shared" si="55"/>
        <v>0.75</v>
      </c>
      <c r="CB88" s="1047">
        <f t="shared" si="56"/>
        <v>0</v>
      </c>
      <c r="CD88" t="str">
        <f t="shared" si="57"/>
        <v>RO</v>
      </c>
      <c r="CE88" t="str">
        <f t="shared" si="57"/>
        <v>RO</v>
      </c>
      <c r="CF88" t="str">
        <f t="shared" si="57"/>
        <v>VEB</v>
      </c>
      <c r="CG88" t="str">
        <f t="shared" si="57"/>
        <v>ROB</v>
      </c>
    </row>
    <row r="89" spans="1:85" ht="99" hidden="1" customHeight="1" x14ac:dyDescent="0.25">
      <c r="A89" s="298" t="s">
        <v>280</v>
      </c>
      <c r="B89" s="299" t="str">
        <f>'PLAN INDICATIVO'!B89</f>
        <v>Deporte y Recreación</v>
      </c>
      <c r="C89" s="1547"/>
      <c r="D89" s="1551"/>
      <c r="E89" s="1551"/>
      <c r="F89" s="1551"/>
      <c r="G89" s="1551"/>
      <c r="H89" s="1551"/>
      <c r="I89" s="300">
        <f>'PLAN INDICATIVO'!I89</f>
        <v>0</v>
      </c>
      <c r="J89" s="300">
        <f>'PLAN INDICATIVO'!J89</f>
        <v>0</v>
      </c>
      <c r="K89" s="1425" t="str">
        <f>'PLAN INDICATIVO'!K89</f>
        <v>A.4.1.4</v>
      </c>
      <c r="L89" s="1425">
        <f>'PLAN INDICATIVO'!L89</f>
        <v>0</v>
      </c>
      <c r="M89" s="1425" t="str">
        <f>'PLAN INDICATIVO'!M89</f>
        <v>Secretaría de Educación, Cultura, deporte y Turismo</v>
      </c>
      <c r="N89" s="1425" t="str">
        <f>'PLAN INDICATIVO'!N89</f>
        <v>YIMI FERNANDO LOSADA PAYA</v>
      </c>
      <c r="O89" s="1425" t="str">
        <f>'PLAN INDICATIVO'!O89</f>
        <v>Incremento</v>
      </c>
      <c r="P89" s="16" t="str">
        <f>'PLAN INDICATIVO'!P89</f>
        <v>Realizar construcción, mejoramiento o mantenimiento de 12 escenarios deportivos comunitarios del sector urbano y rural del municipio durante el cuatrienio</v>
      </c>
      <c r="Q89" s="302" t="str">
        <f>'PLAN INDICATIVO'!Q89</f>
        <v>No. De escenarios deportivos  con construcción, mejoramiento o mantenimiento</v>
      </c>
      <c r="R89" s="303">
        <f>'PLAN INDICATIVO'!R89</f>
        <v>2015</v>
      </c>
      <c r="S89" s="304">
        <v>0</v>
      </c>
      <c r="T89" s="677">
        <v>12</v>
      </c>
      <c r="U89" s="303">
        <v>3</v>
      </c>
      <c r="V89" s="687">
        <v>22.67</v>
      </c>
      <c r="W89" s="66">
        <v>5.4</v>
      </c>
      <c r="X89" s="687">
        <v>34000000</v>
      </c>
      <c r="Y89" s="1232">
        <v>3</v>
      </c>
      <c r="Z89" s="1233">
        <v>11000000</v>
      </c>
      <c r="AA89" s="1310">
        <f>T89-BW89</f>
        <v>3</v>
      </c>
      <c r="AB89" s="572">
        <v>1000000</v>
      </c>
      <c r="AC89" s="665">
        <v>0.6</v>
      </c>
      <c r="AD89" s="665">
        <v>5.4</v>
      </c>
      <c r="AE89" s="665">
        <v>3</v>
      </c>
      <c r="AF89" s="665"/>
      <c r="AG89" s="306" t="s">
        <v>4058</v>
      </c>
      <c r="AH89" s="987">
        <v>2018453960002</v>
      </c>
      <c r="AI89" s="664" t="s">
        <v>4063</v>
      </c>
      <c r="AJ89" s="309">
        <v>42795</v>
      </c>
      <c r="AK89" s="309">
        <v>43038</v>
      </c>
      <c r="AL89" s="308"/>
      <c r="AM89" s="308"/>
      <c r="AN89" s="267" t="s">
        <v>2598</v>
      </c>
      <c r="AO89" s="507" t="s">
        <v>4064</v>
      </c>
      <c r="AP89" s="526"/>
      <c r="AQ89" s="526"/>
      <c r="AR89" s="526"/>
      <c r="AS89" s="526"/>
      <c r="AT89" s="526"/>
      <c r="AU89" s="526"/>
      <c r="AV89" s="310"/>
      <c r="AW89" s="544"/>
      <c r="AX89" s="525"/>
      <c r="AY89" s="310"/>
      <c r="AZ89" s="310"/>
      <c r="BA89" s="310"/>
      <c r="BB89" s="310"/>
      <c r="BC89" s="310"/>
      <c r="BD89" s="310"/>
      <c r="BE89" s="544">
        <f t="shared" si="58"/>
        <v>0</v>
      </c>
      <c r="BF89" s="526"/>
      <c r="BG89" s="526">
        <v>17263200</v>
      </c>
      <c r="BH89" s="526"/>
      <c r="BI89" s="526"/>
      <c r="BJ89" s="526"/>
      <c r="BK89" s="526"/>
      <c r="BL89" s="310"/>
      <c r="BM89" s="544">
        <f t="shared" si="59"/>
        <v>17263200</v>
      </c>
      <c r="BN89" s="525"/>
      <c r="BO89" s="310"/>
      <c r="BP89" s="310"/>
      <c r="BQ89" s="310"/>
      <c r="BR89" s="310"/>
      <c r="BS89" s="310"/>
      <c r="BT89" s="310"/>
      <c r="BU89" s="544">
        <f t="shared" si="60"/>
        <v>0</v>
      </c>
      <c r="BV89" s="556"/>
      <c r="BW89" s="663">
        <f t="shared" si="40"/>
        <v>9</v>
      </c>
      <c r="BX89" s="1047">
        <f t="shared" si="50"/>
        <v>0.75</v>
      </c>
      <c r="BY89" s="1047">
        <f t="shared" si="53"/>
        <v>0.19999999999999998</v>
      </c>
      <c r="BZ89" s="1047">
        <f t="shared" si="54"/>
        <v>1</v>
      </c>
      <c r="CA89" s="1047">
        <f t="shared" si="55"/>
        <v>1</v>
      </c>
      <c r="CB89" s="1047">
        <f t="shared" si="56"/>
        <v>0</v>
      </c>
      <c r="CD89" t="str">
        <f t="shared" si="57"/>
        <v>ROB</v>
      </c>
      <c r="CE89" t="str">
        <f t="shared" si="57"/>
        <v>VE</v>
      </c>
      <c r="CF89" t="str">
        <f t="shared" si="57"/>
        <v>VE</v>
      </c>
      <c r="CG89" t="str">
        <f t="shared" si="57"/>
        <v>ROB</v>
      </c>
    </row>
    <row r="90" spans="1:85" ht="60" hidden="1" customHeight="1" x14ac:dyDescent="0.25">
      <c r="A90" s="298" t="s">
        <v>2458</v>
      </c>
      <c r="B90" s="299" t="str">
        <f>'PLAN INDICATIVO'!B90</f>
        <v>Deporte y Recreación</v>
      </c>
      <c r="C90" s="1547"/>
      <c r="D90" s="1551"/>
      <c r="E90" s="1551"/>
      <c r="F90" s="1551"/>
      <c r="G90" s="1551"/>
      <c r="H90" s="1551"/>
      <c r="I90" s="1425" t="str">
        <f>'PLAN INDICATIVO'!I90</f>
        <v>SI</v>
      </c>
      <c r="J90" s="1425">
        <f>'PLAN INDICATIVO'!J90</f>
        <v>0</v>
      </c>
      <c r="K90" s="1425" t="str">
        <f>'PLAN INDICATIVO'!K90</f>
        <v>A.4.1.5</v>
      </c>
      <c r="L90" s="1425">
        <f>'PLAN INDICATIVO'!L90</f>
        <v>0</v>
      </c>
      <c r="M90" s="1425" t="str">
        <f>'PLAN INDICATIVO'!M90</f>
        <v>Secretaría de Educación, Cultura, deporte y Turismo</v>
      </c>
      <c r="N90" s="1425" t="str">
        <f>'PLAN INDICATIVO'!N90</f>
        <v>YIMI FERNANDO LOSADA PAYA</v>
      </c>
      <c r="O90" s="1425" t="str">
        <f>'PLAN INDICATIVO'!O90</f>
        <v>Incremento</v>
      </c>
      <c r="P90" s="1198" t="str">
        <f>'PLAN INDICATIVO'!P90</f>
        <v>Construir  3 Parques Biosaludables  en el sector rural y/o urbano en el municipio en el cuatrienio</v>
      </c>
      <c r="Q90" s="302" t="str">
        <f>'PLAN INDICATIVO'!Q90</f>
        <v>No. De parques construidos</v>
      </c>
      <c r="R90" s="303">
        <f>'PLAN INDICATIVO'!R90</f>
        <v>2015</v>
      </c>
      <c r="S90" s="304">
        <v>1</v>
      </c>
      <c r="T90" s="1293">
        <v>3</v>
      </c>
      <c r="U90" s="303">
        <v>2</v>
      </c>
      <c r="V90" s="687">
        <v>5</v>
      </c>
      <c r="W90" s="66">
        <v>2</v>
      </c>
      <c r="X90" s="687">
        <v>1000000</v>
      </c>
      <c r="Y90" s="1232">
        <v>1</v>
      </c>
      <c r="Z90" s="1233">
        <v>1000000</v>
      </c>
      <c r="AA90" s="1310">
        <f>T90-BW90</f>
        <v>0.70000000000000018</v>
      </c>
      <c r="AB90" s="572">
        <v>1000000</v>
      </c>
      <c r="AC90" s="665">
        <v>0</v>
      </c>
      <c r="AD90" s="945">
        <v>0.3</v>
      </c>
      <c r="AE90" s="665">
        <v>2</v>
      </c>
      <c r="AF90" s="665"/>
      <c r="AG90" s="306" t="s">
        <v>4058</v>
      </c>
      <c r="AH90" s="987">
        <v>2018453960002</v>
      </c>
      <c r="AI90" s="307" t="s">
        <v>4065</v>
      </c>
      <c r="AJ90" s="309">
        <v>42795</v>
      </c>
      <c r="AK90" s="309">
        <v>43038</v>
      </c>
      <c r="AL90" s="308"/>
      <c r="AM90" s="308"/>
      <c r="AN90" s="267" t="s">
        <v>2598</v>
      </c>
      <c r="AO90" s="507" t="s">
        <v>4061</v>
      </c>
      <c r="AP90" s="525"/>
      <c r="AQ90" s="310"/>
      <c r="AR90" s="310"/>
      <c r="AS90" s="310"/>
      <c r="AT90" s="310"/>
      <c r="AU90" s="310"/>
      <c r="AV90" s="310"/>
      <c r="AW90" s="544"/>
      <c r="AX90" s="525"/>
      <c r="AY90" s="310"/>
      <c r="AZ90" s="310"/>
      <c r="BA90" s="310"/>
      <c r="BB90" s="310"/>
      <c r="BC90" s="310"/>
      <c r="BD90" s="310"/>
      <c r="BE90" s="544">
        <f t="shared" si="58"/>
        <v>0</v>
      </c>
      <c r="BF90" s="525"/>
      <c r="BG90" s="310"/>
      <c r="BH90" s="310"/>
      <c r="BI90" s="310"/>
      <c r="BJ90" s="310"/>
      <c r="BK90" s="310">
        <v>20000000</v>
      </c>
      <c r="BL90" s="310"/>
      <c r="BM90" s="544">
        <f t="shared" si="59"/>
        <v>20000000</v>
      </c>
      <c r="BN90" s="525"/>
      <c r="BO90" s="310"/>
      <c r="BP90" s="310"/>
      <c r="BQ90" s="310"/>
      <c r="BR90" s="310"/>
      <c r="BS90" s="310"/>
      <c r="BT90" s="310"/>
      <c r="BU90" s="544">
        <f t="shared" si="60"/>
        <v>0</v>
      </c>
      <c r="BV90" s="556"/>
      <c r="BW90" s="663">
        <f t="shared" si="40"/>
        <v>2.2999999999999998</v>
      </c>
      <c r="BX90" s="1047">
        <f t="shared" si="50"/>
        <v>0.76666666666666661</v>
      </c>
      <c r="BY90" s="1047">
        <f t="shared" si="53"/>
        <v>0</v>
      </c>
      <c r="BZ90" s="1047">
        <f t="shared" si="54"/>
        <v>0.15</v>
      </c>
      <c r="CA90" s="1047">
        <f t="shared" si="55"/>
        <v>2</v>
      </c>
      <c r="CB90" s="1047">
        <f t="shared" si="56"/>
        <v>0</v>
      </c>
      <c r="CD90" t="str">
        <f t="shared" si="57"/>
        <v>ROB</v>
      </c>
      <c r="CE90" t="str">
        <f t="shared" si="57"/>
        <v>ROB</v>
      </c>
      <c r="CF90" t="str">
        <f t="shared" si="57"/>
        <v>VE</v>
      </c>
      <c r="CG90" t="str">
        <f t="shared" si="57"/>
        <v>ROB</v>
      </c>
    </row>
    <row r="91" spans="1:85" ht="5.25" hidden="1" customHeight="1" x14ac:dyDescent="0.25">
      <c r="A91" s="298" t="s">
        <v>280</v>
      </c>
      <c r="B91" s="299" t="str">
        <f>'PLAN INDICATIVO'!B91</f>
        <v>Deporte y Recreación</v>
      </c>
      <c r="C91" s="1547"/>
      <c r="D91" s="1551"/>
      <c r="E91" s="1551"/>
      <c r="F91" s="1551"/>
      <c r="G91" s="1551"/>
      <c r="H91" s="1551"/>
      <c r="I91" s="1425" t="str">
        <f>'PLAN INDICATIVO'!I91</f>
        <v>SI</v>
      </c>
      <c r="J91" s="1425">
        <f>'PLAN INDICATIVO'!J91</f>
        <v>0</v>
      </c>
      <c r="K91" s="1425" t="str">
        <f>'PLAN INDICATIVO'!K91</f>
        <v>A.4.1.6</v>
      </c>
      <c r="L91" s="1425">
        <f>'PLAN INDICATIVO'!L91</f>
        <v>0</v>
      </c>
      <c r="M91" s="1425" t="str">
        <f>'PLAN INDICATIVO'!M91</f>
        <v>Secretaría de Educación, Cultura, deporte y Turismo</v>
      </c>
      <c r="N91" s="1425" t="str">
        <f>'PLAN INDICATIVO'!N91</f>
        <v>YIMI FERNANDO LOSADA PAYA</v>
      </c>
      <c r="O91" s="1425" t="str">
        <f>'PLAN INDICATIVO'!O91</f>
        <v>Incremento</v>
      </c>
      <c r="P91" s="942" t="str">
        <f>'PLAN INDICATIVO'!P91</f>
        <v xml:space="preserve">Construir 8 Parques Infantiles en el sector rural y urbano en el municipio en el cuatrienio </v>
      </c>
      <c r="Q91" s="302" t="str">
        <f>'PLAN INDICATIVO'!Q91</f>
        <v>No. De parques infantiles construidos</v>
      </c>
      <c r="R91" s="303">
        <f>'PLAN INDICATIVO'!R91</f>
        <v>2015</v>
      </c>
      <c r="S91" s="304">
        <v>1</v>
      </c>
      <c r="T91" s="677">
        <v>8</v>
      </c>
      <c r="U91" s="303">
        <v>2</v>
      </c>
      <c r="V91" s="687">
        <v>0.33</v>
      </c>
      <c r="W91" s="66">
        <v>5</v>
      </c>
      <c r="X91" s="687">
        <v>1000000</v>
      </c>
      <c r="Y91" s="1232">
        <v>7</v>
      </c>
      <c r="Z91" s="1233">
        <v>1000000</v>
      </c>
      <c r="AA91" s="1232">
        <v>0</v>
      </c>
      <c r="AB91" s="572">
        <v>1000000</v>
      </c>
      <c r="AC91" s="665">
        <v>0</v>
      </c>
      <c r="AD91" s="945">
        <v>1</v>
      </c>
      <c r="AE91" s="665"/>
      <c r="AF91" s="665"/>
      <c r="AG91" s="306" t="s">
        <v>4058</v>
      </c>
      <c r="AH91" s="987">
        <v>2018453960002</v>
      </c>
      <c r="AI91" s="307" t="s">
        <v>4066</v>
      </c>
      <c r="AJ91" s="309">
        <v>42795</v>
      </c>
      <c r="AK91" s="309">
        <v>43038</v>
      </c>
      <c r="AL91" s="308"/>
      <c r="AM91" s="308"/>
      <c r="AN91" s="267" t="s">
        <v>2600</v>
      </c>
      <c r="AO91" s="507">
        <v>2304</v>
      </c>
      <c r="AP91" s="525"/>
      <c r="AQ91" s="310"/>
      <c r="AR91" s="310"/>
      <c r="AS91" s="310"/>
      <c r="AT91" s="310"/>
      <c r="AU91" s="310"/>
      <c r="AV91" s="310"/>
      <c r="AW91" s="544"/>
      <c r="AX91" s="525"/>
      <c r="AY91" s="310"/>
      <c r="AZ91" s="310"/>
      <c r="BA91" s="310"/>
      <c r="BB91" s="310"/>
      <c r="BC91" s="310"/>
      <c r="BD91" s="310"/>
      <c r="BE91" s="544">
        <f t="shared" si="58"/>
        <v>0</v>
      </c>
      <c r="BF91" s="525"/>
      <c r="BG91" s="310"/>
      <c r="BH91" s="310"/>
      <c r="BI91" s="310"/>
      <c r="BJ91" s="310"/>
      <c r="BK91" s="310"/>
      <c r="BL91" s="310"/>
      <c r="BM91" s="544">
        <f t="shared" si="59"/>
        <v>0</v>
      </c>
      <c r="BN91" s="525"/>
      <c r="BO91" s="310"/>
      <c r="BP91" s="310"/>
      <c r="BQ91" s="310"/>
      <c r="BR91" s="310"/>
      <c r="BS91" s="310"/>
      <c r="BT91" s="310"/>
      <c r="BU91" s="544">
        <f t="shared" si="60"/>
        <v>0</v>
      </c>
      <c r="BV91" s="556"/>
      <c r="BW91" s="663">
        <f t="shared" si="40"/>
        <v>1</v>
      </c>
      <c r="BX91" s="1047">
        <f t="shared" si="50"/>
        <v>0.125</v>
      </c>
      <c r="BY91" s="1047">
        <f t="shared" si="53"/>
        <v>0</v>
      </c>
      <c r="BZ91" s="1047">
        <f t="shared" si="54"/>
        <v>0.2</v>
      </c>
      <c r="CA91" s="1047">
        <f t="shared" si="55"/>
        <v>0</v>
      </c>
      <c r="CB91" s="1047" t="str">
        <f t="shared" si="56"/>
        <v>Aplazada</v>
      </c>
      <c r="CD91" t="str">
        <f t="shared" si="57"/>
        <v>ROB</v>
      </c>
      <c r="CE91" t="str">
        <f t="shared" si="57"/>
        <v>ROB</v>
      </c>
      <c r="CF91" t="str">
        <f t="shared" si="57"/>
        <v>ROB</v>
      </c>
      <c r="CG91" t="str">
        <f t="shared" si="57"/>
        <v>AZ</v>
      </c>
    </row>
    <row r="92" spans="1:85" ht="59.25" hidden="1" customHeight="1" x14ac:dyDescent="0.25">
      <c r="A92" s="298" t="s">
        <v>280</v>
      </c>
      <c r="B92" s="299" t="str">
        <f>'PLAN INDICATIVO'!B92</f>
        <v>Deporte y Recreación</v>
      </c>
      <c r="C92" s="1547"/>
      <c r="D92" s="1551"/>
      <c r="E92" s="1551"/>
      <c r="F92" s="1551"/>
      <c r="G92" s="1551"/>
      <c r="H92" s="1551"/>
      <c r="I92" s="300">
        <f>'PLAN INDICATIVO'!I92</f>
        <v>0</v>
      </c>
      <c r="J92" s="300">
        <f>'PLAN INDICATIVO'!J92</f>
        <v>0</v>
      </c>
      <c r="K92" s="1425" t="str">
        <f>'PLAN INDICATIVO'!K92</f>
        <v>A.4.1.7</v>
      </c>
      <c r="L92" s="1425">
        <f>'PLAN INDICATIVO'!L92</f>
        <v>0</v>
      </c>
      <c r="M92" s="1425" t="str">
        <f>'PLAN INDICATIVO'!M92</f>
        <v>Secretaría de Educación, Cultura, deporte y Turismo</v>
      </c>
      <c r="N92" s="1425" t="str">
        <f>'PLAN INDICATIVO'!N92</f>
        <v>YIMI FERNANDO LOSADA PAYA</v>
      </c>
      <c r="O92" s="1425" t="str">
        <f>'PLAN INDICATIVO'!O92</f>
        <v>Incremento</v>
      </c>
      <c r="P92" s="16" t="str">
        <f>'PLAN INDICATIVO'!P92</f>
        <v>Realizar 4 campeonatos de deportes alternativos durante el cuatrienio dirigido a la población juvenil del municipio.</v>
      </c>
      <c r="Q92" s="302" t="str">
        <f>'PLAN INDICATIVO'!Q92</f>
        <v>No. De  campeonatos realizados</v>
      </c>
      <c r="R92" s="303">
        <f>'PLAN INDICATIVO'!R92</f>
        <v>2015</v>
      </c>
      <c r="S92" s="304" t="s">
        <v>177</v>
      </c>
      <c r="T92" s="677">
        <v>4</v>
      </c>
      <c r="U92" s="303">
        <v>1</v>
      </c>
      <c r="V92" s="687">
        <v>25</v>
      </c>
      <c r="W92" s="572">
        <v>1</v>
      </c>
      <c r="X92" s="687">
        <v>1000000</v>
      </c>
      <c r="Y92" s="1232">
        <v>1</v>
      </c>
      <c r="Z92" s="1233">
        <v>1000000</v>
      </c>
      <c r="AA92" s="1310">
        <f>T92-BW92</f>
        <v>1</v>
      </c>
      <c r="AB92" s="572">
        <v>1000000</v>
      </c>
      <c r="AC92" s="665">
        <v>1</v>
      </c>
      <c r="AD92" s="665">
        <v>1</v>
      </c>
      <c r="AE92" s="665">
        <v>1</v>
      </c>
      <c r="AF92" s="665"/>
      <c r="AG92" s="306" t="s">
        <v>4058</v>
      </c>
      <c r="AH92" s="987">
        <v>2018453960002</v>
      </c>
      <c r="AI92" s="307" t="s">
        <v>4067</v>
      </c>
      <c r="AJ92" s="309">
        <v>42948</v>
      </c>
      <c r="AK92" s="309">
        <v>43038</v>
      </c>
      <c r="AL92" s="308"/>
      <c r="AM92" s="308"/>
      <c r="AN92" s="267" t="s">
        <v>2598</v>
      </c>
      <c r="AO92" s="507">
        <v>2304</v>
      </c>
      <c r="AP92" s="525"/>
      <c r="AQ92" s="310"/>
      <c r="AR92" s="310"/>
      <c r="AS92" s="310"/>
      <c r="AT92" s="310"/>
      <c r="AU92" s="310"/>
      <c r="AV92" s="310"/>
      <c r="AW92" s="544"/>
      <c r="AX92" s="525"/>
      <c r="AY92" s="310"/>
      <c r="AZ92" s="310"/>
      <c r="BA92" s="310"/>
      <c r="BB92" s="310"/>
      <c r="BC92" s="310"/>
      <c r="BD92" s="310"/>
      <c r="BE92" s="544">
        <f t="shared" si="58"/>
        <v>0</v>
      </c>
      <c r="BF92" s="525"/>
      <c r="BG92" s="310"/>
      <c r="BH92" s="310"/>
      <c r="BI92" s="310"/>
      <c r="BJ92" s="310"/>
      <c r="BK92" s="310"/>
      <c r="BL92" s="310" t="s">
        <v>3528</v>
      </c>
      <c r="BM92" s="544">
        <f t="shared" si="59"/>
        <v>0</v>
      </c>
      <c r="BN92" s="525"/>
      <c r="BO92" s="310"/>
      <c r="BP92" s="310"/>
      <c r="BQ92" s="310"/>
      <c r="BR92" s="310"/>
      <c r="BS92" s="310"/>
      <c r="BT92" s="310"/>
      <c r="BU92" s="544">
        <f t="shared" si="60"/>
        <v>0</v>
      </c>
      <c r="BV92" s="556"/>
      <c r="BW92" s="663">
        <f t="shared" si="40"/>
        <v>3</v>
      </c>
      <c r="BX92" s="1047">
        <f t="shared" si="50"/>
        <v>0.75</v>
      </c>
      <c r="BY92" s="1047">
        <f t="shared" si="53"/>
        <v>1</v>
      </c>
      <c r="BZ92" s="1047">
        <f t="shared" si="54"/>
        <v>1</v>
      </c>
      <c r="CA92" s="1047">
        <f t="shared" si="55"/>
        <v>1</v>
      </c>
      <c r="CB92" s="1047">
        <f t="shared" si="56"/>
        <v>0</v>
      </c>
      <c r="CD92" t="str">
        <f t="shared" si="57"/>
        <v>VE</v>
      </c>
      <c r="CE92" t="str">
        <f t="shared" si="57"/>
        <v>VE</v>
      </c>
      <c r="CF92" t="str">
        <f t="shared" si="57"/>
        <v>VE</v>
      </c>
      <c r="CG92" t="str">
        <f t="shared" si="57"/>
        <v>ROB</v>
      </c>
    </row>
    <row r="93" spans="1:85" ht="69" hidden="1" customHeight="1" x14ac:dyDescent="0.25">
      <c r="A93" s="298" t="s">
        <v>280</v>
      </c>
      <c r="B93" s="299" t="str">
        <f>'PLAN INDICATIVO'!B93</f>
        <v>Deporte y Recreación</v>
      </c>
      <c r="C93" s="1547"/>
      <c r="D93" s="1551"/>
      <c r="E93" s="1551"/>
      <c r="F93" s="1551"/>
      <c r="G93" s="1551"/>
      <c r="H93" s="1551"/>
      <c r="I93" s="300">
        <f>'PLAN INDICATIVO'!I93</f>
        <v>0</v>
      </c>
      <c r="J93" s="300">
        <f>'PLAN INDICATIVO'!J93</f>
        <v>0</v>
      </c>
      <c r="K93" s="1425" t="str">
        <f>'PLAN INDICATIVO'!K93</f>
        <v>A.4.1.8</v>
      </c>
      <c r="L93" s="1425">
        <f>'PLAN INDICATIVO'!L93</f>
        <v>0</v>
      </c>
      <c r="M93" s="1425" t="str">
        <f>'PLAN INDICATIVO'!M93</f>
        <v>Secretaría de Educación, Cultura, deporte y Turismo</v>
      </c>
      <c r="N93" s="1425" t="str">
        <f>'PLAN INDICATIVO'!N93</f>
        <v>YIMI FERNANDO LOSADA PAYA</v>
      </c>
      <c r="O93" s="1425" t="str">
        <f>'PLAN INDICATIVO'!O93</f>
        <v>Incremento</v>
      </c>
      <c r="P93" s="16" t="str">
        <f>'PLAN INDICATIVO'!P93</f>
        <v>Desarrollar 4 Festivales Deportivo-Recreativo para personas en situación de discapacidad durante el cuatrienio.</v>
      </c>
      <c r="Q93" s="302" t="str">
        <f>'PLAN INDICATIVO'!Q93</f>
        <v>No. Festivales deportivos - recreativos realizados</v>
      </c>
      <c r="R93" s="303">
        <f>'PLAN INDICATIVO'!R93</f>
        <v>2015</v>
      </c>
      <c r="S93" s="304">
        <v>0</v>
      </c>
      <c r="T93" s="677">
        <v>4</v>
      </c>
      <c r="U93" s="303">
        <v>1</v>
      </c>
      <c r="V93" s="687">
        <v>5</v>
      </c>
      <c r="W93" s="572">
        <v>1</v>
      </c>
      <c r="X93" s="687">
        <v>1000000</v>
      </c>
      <c r="Y93" s="1232">
        <v>1</v>
      </c>
      <c r="Z93" s="1233">
        <v>1000000</v>
      </c>
      <c r="AA93" s="1310">
        <f t="shared" ref="AA93:AA96" si="61">T93-BW93</f>
        <v>1</v>
      </c>
      <c r="AB93" s="572">
        <v>1000000</v>
      </c>
      <c r="AC93" s="665">
        <v>1</v>
      </c>
      <c r="AD93" s="665">
        <v>1</v>
      </c>
      <c r="AE93" s="665">
        <v>1</v>
      </c>
      <c r="AF93" s="665"/>
      <c r="AG93" s="306" t="s">
        <v>4058</v>
      </c>
      <c r="AH93" s="987">
        <v>2018453960002</v>
      </c>
      <c r="AI93" s="307" t="s">
        <v>4068</v>
      </c>
      <c r="AJ93" s="309">
        <v>43009</v>
      </c>
      <c r="AK93" s="309">
        <v>43084</v>
      </c>
      <c r="AL93" s="308"/>
      <c r="AM93" s="308"/>
      <c r="AN93" s="267" t="s">
        <v>2598</v>
      </c>
      <c r="AO93" s="507" t="s">
        <v>4069</v>
      </c>
      <c r="AP93" s="525"/>
      <c r="AQ93" s="310"/>
      <c r="AR93" s="310"/>
      <c r="AS93" s="310"/>
      <c r="AT93" s="310"/>
      <c r="AU93" s="310"/>
      <c r="AV93" s="310"/>
      <c r="AW93" s="544"/>
      <c r="AX93" s="525"/>
      <c r="AY93" s="310"/>
      <c r="AZ93" s="310"/>
      <c r="BA93" s="310"/>
      <c r="BB93" s="310"/>
      <c r="BC93" s="310"/>
      <c r="BD93" s="310"/>
      <c r="BE93" s="544">
        <f t="shared" si="58"/>
        <v>0</v>
      </c>
      <c r="BF93" s="525"/>
      <c r="BG93" s="310"/>
      <c r="BH93" s="310">
        <v>1985000</v>
      </c>
      <c r="BI93" s="310"/>
      <c r="BJ93" s="310"/>
      <c r="BK93" s="310"/>
      <c r="BL93" s="310"/>
      <c r="BM93" s="544">
        <f t="shared" si="59"/>
        <v>1985000</v>
      </c>
      <c r="BN93" s="525"/>
      <c r="BO93" s="310"/>
      <c r="BP93" s="310"/>
      <c r="BQ93" s="310"/>
      <c r="BR93" s="310"/>
      <c r="BS93" s="310"/>
      <c r="BT93" s="310"/>
      <c r="BU93" s="544">
        <f t="shared" si="60"/>
        <v>0</v>
      </c>
      <c r="BV93" s="556"/>
      <c r="BW93" s="663">
        <f t="shared" si="40"/>
        <v>3</v>
      </c>
      <c r="BX93" s="1047">
        <f t="shared" si="50"/>
        <v>0.75</v>
      </c>
      <c r="BY93" s="1047">
        <f t="shared" si="53"/>
        <v>1</v>
      </c>
      <c r="BZ93" s="1047">
        <f t="shared" si="54"/>
        <v>1</v>
      </c>
      <c r="CA93" s="1047">
        <f t="shared" si="55"/>
        <v>1</v>
      </c>
      <c r="CB93" s="1047">
        <f t="shared" si="56"/>
        <v>0</v>
      </c>
      <c r="CD93" t="str">
        <f t="shared" si="57"/>
        <v>VE</v>
      </c>
      <c r="CE93" t="str">
        <f t="shared" si="57"/>
        <v>VE</v>
      </c>
      <c r="CF93" t="str">
        <f t="shared" si="57"/>
        <v>VE</v>
      </c>
      <c r="CG93" t="str">
        <f t="shared" si="57"/>
        <v>ROB</v>
      </c>
    </row>
    <row r="94" spans="1:85" ht="93" hidden="1" customHeight="1" x14ac:dyDescent="0.25">
      <c r="A94" s="298" t="s">
        <v>280</v>
      </c>
      <c r="B94" s="299" t="str">
        <f>'PLAN INDICATIVO'!B94</f>
        <v>Deporte y Recreación</v>
      </c>
      <c r="C94" s="1547"/>
      <c r="D94" s="1551"/>
      <c r="E94" s="1551"/>
      <c r="F94" s="1551"/>
      <c r="G94" s="1551"/>
      <c r="H94" s="1551"/>
      <c r="I94" s="1425" t="str">
        <f>'PLAN INDICATIVO'!I94</f>
        <v>SI</v>
      </c>
      <c r="J94" s="1425">
        <f>'PLAN INDICATIVO'!J94</f>
        <v>0</v>
      </c>
      <c r="K94" s="1425" t="str">
        <f>'PLAN INDICATIVO'!K94</f>
        <v>A.4.1.9</v>
      </c>
      <c r="L94" s="1425">
        <f>'PLAN INDICATIVO'!L94</f>
        <v>0</v>
      </c>
      <c r="M94" s="1425" t="str">
        <f>'PLAN INDICATIVO'!M94</f>
        <v>Secretaría de Educación, Cultura, deporte y Turismo</v>
      </c>
      <c r="N94" s="1425" t="str">
        <f>'PLAN INDICATIVO'!N94</f>
        <v>YIMI FERNANDO LOSADA PAYA</v>
      </c>
      <c r="O94" s="1425" t="str">
        <f>'PLAN INDICATIVO'!O94</f>
        <v>Incremento</v>
      </c>
      <c r="P94" s="25" t="str">
        <f>'PLAN INDICATIVO'!P94</f>
        <v>Construir 1 escenario educativo, recreativo, cultural y comunitario denominado Aldea Para la Felicidad, durante el cuatrienio</v>
      </c>
      <c r="Q94" s="302" t="str">
        <f>'PLAN INDICATIVO'!Q94</f>
        <v>No. De complejos construidos durante el cuatrienio</v>
      </c>
      <c r="R94" s="303">
        <f>'PLAN INDICATIVO'!R94</f>
        <v>2015</v>
      </c>
      <c r="S94" s="304">
        <v>0</v>
      </c>
      <c r="T94" s="677">
        <v>1</v>
      </c>
      <c r="U94" s="303"/>
      <c r="V94" s="687">
        <v>500</v>
      </c>
      <c r="W94" s="66"/>
      <c r="X94" s="687">
        <v>500000000</v>
      </c>
      <c r="Y94" s="1232"/>
      <c r="Z94" s="1233">
        <v>1000000</v>
      </c>
      <c r="AA94" s="1310">
        <f t="shared" si="61"/>
        <v>1</v>
      </c>
      <c r="AB94" s="572">
        <v>1000000</v>
      </c>
      <c r="AC94" s="665">
        <v>0</v>
      </c>
      <c r="AD94" s="665"/>
      <c r="AE94" s="665"/>
      <c r="AF94" s="665"/>
      <c r="AG94" s="306" t="s">
        <v>4058</v>
      </c>
      <c r="AH94" s="987">
        <v>2018453960002</v>
      </c>
      <c r="AI94" s="307" t="s">
        <v>4070</v>
      </c>
      <c r="AJ94" s="309">
        <v>42826</v>
      </c>
      <c r="AK94" s="309">
        <v>43069</v>
      </c>
      <c r="AL94" s="308"/>
      <c r="AM94" s="308"/>
      <c r="AN94" s="267" t="s">
        <v>2594</v>
      </c>
      <c r="AO94" s="507">
        <v>2304</v>
      </c>
      <c r="AP94" s="525"/>
      <c r="AQ94" s="310"/>
      <c r="AR94" s="310"/>
      <c r="AS94" s="310"/>
      <c r="AT94" s="310"/>
      <c r="AU94" s="310"/>
      <c r="AV94" s="310"/>
      <c r="AW94" s="544"/>
      <c r="AX94" s="525"/>
      <c r="AY94" s="310"/>
      <c r="AZ94" s="310"/>
      <c r="BA94" s="310"/>
      <c r="BB94" s="310"/>
      <c r="BC94" s="310"/>
      <c r="BD94" s="310"/>
      <c r="BE94" s="544">
        <f t="shared" si="58"/>
        <v>0</v>
      </c>
      <c r="BF94" s="525"/>
      <c r="BG94" s="310"/>
      <c r="BH94" s="310"/>
      <c r="BI94" s="310"/>
      <c r="BJ94" s="310"/>
      <c r="BK94" s="310"/>
      <c r="BL94" s="310"/>
      <c r="BM94" s="544">
        <f t="shared" si="59"/>
        <v>0</v>
      </c>
      <c r="BN94" s="525"/>
      <c r="BO94" s="310"/>
      <c r="BP94" s="310"/>
      <c r="BQ94" s="310"/>
      <c r="BR94" s="310"/>
      <c r="BS94" s="310"/>
      <c r="BT94" s="310"/>
      <c r="BU94" s="544">
        <f t="shared" si="60"/>
        <v>0</v>
      </c>
      <c r="BV94" s="556"/>
      <c r="BW94" s="663">
        <f t="shared" si="40"/>
        <v>0</v>
      </c>
      <c r="BX94" s="1047">
        <f t="shared" si="50"/>
        <v>0</v>
      </c>
      <c r="BY94" s="1047" t="str">
        <f t="shared" si="53"/>
        <v>No Programada</v>
      </c>
      <c r="BZ94" s="1047" t="str">
        <f t="shared" si="54"/>
        <v>No Programada</v>
      </c>
      <c r="CA94" s="1047" t="str">
        <f t="shared" si="55"/>
        <v>No Programada</v>
      </c>
      <c r="CB94" s="1047">
        <f t="shared" si="56"/>
        <v>0</v>
      </c>
      <c r="CD94" t="str">
        <f t="shared" si="57"/>
        <v>NP</v>
      </c>
      <c r="CE94" t="str">
        <f t="shared" si="57"/>
        <v>NP</v>
      </c>
      <c r="CF94" t="str">
        <f t="shared" si="57"/>
        <v>NP</v>
      </c>
      <c r="CG94" t="str">
        <f t="shared" si="57"/>
        <v>ROB</v>
      </c>
    </row>
    <row r="95" spans="1:85" ht="72" hidden="1" customHeight="1" x14ac:dyDescent="0.25">
      <c r="A95" s="298" t="s">
        <v>280</v>
      </c>
      <c r="B95" s="299" t="str">
        <f>'PLAN INDICATIVO'!B95</f>
        <v>Deporte y Recreación</v>
      </c>
      <c r="C95" s="1547"/>
      <c r="D95" s="1551"/>
      <c r="E95" s="1551"/>
      <c r="F95" s="1551"/>
      <c r="G95" s="1551"/>
      <c r="H95" s="1551"/>
      <c r="I95" s="300">
        <f>'PLAN INDICATIVO'!I95</f>
        <v>0</v>
      </c>
      <c r="J95" s="300">
        <f>'PLAN INDICATIVO'!J95</f>
        <v>0</v>
      </c>
      <c r="K95" s="1425" t="str">
        <f>'PLAN INDICATIVO'!K95</f>
        <v>A.4.1.10</v>
      </c>
      <c r="L95" s="1425">
        <f>'PLAN INDICATIVO'!L95</f>
        <v>0</v>
      </c>
      <c r="M95" s="1425" t="str">
        <f>'PLAN INDICATIVO'!M95</f>
        <v>Secretaría de Educación, Cultura, deporte y Turismo</v>
      </c>
      <c r="N95" s="1425" t="str">
        <f>'PLAN INDICATIVO'!N95</f>
        <v>YIMI FERNANDO LOSADA PAYA</v>
      </c>
      <c r="O95" s="1425" t="str">
        <f>'PLAN INDICATIVO'!O95</f>
        <v>Incremento</v>
      </c>
      <c r="P95" s="16" t="str">
        <f>'PLAN INDICATIVO'!P95</f>
        <v>Desarrollar un programa de Actividad Física por año durante el cuatrienio dirigido a la población adulta mayor.</v>
      </c>
      <c r="Q95" s="302" t="str">
        <f>'PLAN INDICATIVO'!Q95</f>
        <v>No. De programas desarrollados</v>
      </c>
      <c r="R95" s="303">
        <f>'PLAN INDICATIVO'!R95</f>
        <v>2015</v>
      </c>
      <c r="S95" s="304">
        <v>1</v>
      </c>
      <c r="T95" s="677">
        <v>4</v>
      </c>
      <c r="U95" s="303">
        <v>1</v>
      </c>
      <c r="V95" s="687">
        <v>5</v>
      </c>
      <c r="W95" s="572">
        <v>1</v>
      </c>
      <c r="X95" s="687">
        <v>1000000</v>
      </c>
      <c r="Y95" s="1232">
        <v>1</v>
      </c>
      <c r="Z95" s="1233">
        <v>1000000</v>
      </c>
      <c r="AA95" s="1310">
        <f>T95-BW95</f>
        <v>1</v>
      </c>
      <c r="AB95" s="572">
        <v>1000000</v>
      </c>
      <c r="AC95" s="665">
        <v>1</v>
      </c>
      <c r="AD95" s="665">
        <v>1</v>
      </c>
      <c r="AE95" s="665">
        <v>1</v>
      </c>
      <c r="AF95" s="665"/>
      <c r="AG95" s="306" t="s">
        <v>4058</v>
      </c>
      <c r="AH95" s="987">
        <v>2018453960002</v>
      </c>
      <c r="AI95" s="307" t="s">
        <v>4071</v>
      </c>
      <c r="AJ95" s="309">
        <v>43009</v>
      </c>
      <c r="AK95" s="309">
        <v>43084</v>
      </c>
      <c r="AL95" s="308"/>
      <c r="AM95" s="308"/>
      <c r="AN95" s="267" t="s">
        <v>2598</v>
      </c>
      <c r="AO95" s="507" t="s">
        <v>4072</v>
      </c>
      <c r="AP95" s="525"/>
      <c r="AQ95" s="310"/>
      <c r="AR95" s="525"/>
      <c r="AS95" s="310"/>
      <c r="AT95" s="310"/>
      <c r="AU95" s="310"/>
      <c r="AV95" s="310"/>
      <c r="AW95" s="544"/>
      <c r="AX95" s="525"/>
      <c r="AY95" s="310"/>
      <c r="AZ95" s="310"/>
      <c r="BA95" s="310"/>
      <c r="BB95" s="310"/>
      <c r="BC95" s="310"/>
      <c r="BD95" s="310"/>
      <c r="BE95" s="544">
        <f t="shared" si="58"/>
        <v>0</v>
      </c>
      <c r="BF95" s="525"/>
      <c r="BG95" s="310">
        <v>8508200</v>
      </c>
      <c r="BH95" s="525">
        <v>4452000</v>
      </c>
      <c r="BI95" s="310"/>
      <c r="BJ95" s="310"/>
      <c r="BK95" s="310"/>
      <c r="BL95" s="310"/>
      <c r="BM95" s="544">
        <f t="shared" si="59"/>
        <v>12960200</v>
      </c>
      <c r="BN95" s="525"/>
      <c r="BO95" s="310"/>
      <c r="BP95" s="310"/>
      <c r="BQ95" s="310"/>
      <c r="BR95" s="310"/>
      <c r="BS95" s="310"/>
      <c r="BT95" s="310"/>
      <c r="BU95" s="544">
        <f t="shared" si="60"/>
        <v>0</v>
      </c>
      <c r="BV95" s="556"/>
      <c r="BW95" s="663">
        <f t="shared" si="40"/>
        <v>3</v>
      </c>
      <c r="BX95" s="1047">
        <f t="shared" si="50"/>
        <v>0.75</v>
      </c>
      <c r="BY95" s="1047">
        <f t="shared" si="53"/>
        <v>1</v>
      </c>
      <c r="BZ95" s="1047">
        <f t="shared" si="54"/>
        <v>1</v>
      </c>
      <c r="CA95" s="1047">
        <f t="shared" si="55"/>
        <v>1</v>
      </c>
      <c r="CB95" s="1047">
        <f t="shared" si="56"/>
        <v>0</v>
      </c>
      <c r="CD95" t="str">
        <f t="shared" si="57"/>
        <v>VE</v>
      </c>
      <c r="CE95" t="str">
        <f t="shared" si="57"/>
        <v>VE</v>
      </c>
      <c r="CF95" t="str">
        <f t="shared" si="57"/>
        <v>VE</v>
      </c>
      <c r="CG95" t="str">
        <f t="shared" si="57"/>
        <v>ROB</v>
      </c>
    </row>
    <row r="96" spans="1:85" ht="99.75" hidden="1" customHeight="1" x14ac:dyDescent="0.25">
      <c r="A96" s="298" t="s">
        <v>280</v>
      </c>
      <c r="B96" s="299" t="str">
        <f>'PLAN INDICATIVO'!B96</f>
        <v>Deporte y Recreación</v>
      </c>
      <c r="C96" s="1548"/>
      <c r="D96" s="1552"/>
      <c r="E96" s="1552"/>
      <c r="F96" s="1552"/>
      <c r="G96" s="1552"/>
      <c r="H96" s="1552"/>
      <c r="I96" s="300">
        <f>'PLAN INDICATIVO'!I96</f>
        <v>0</v>
      </c>
      <c r="J96" s="300">
        <f>'PLAN INDICATIVO'!J96</f>
        <v>0</v>
      </c>
      <c r="K96" s="1425" t="str">
        <f>'PLAN INDICATIVO'!K96</f>
        <v>A.4.1.11</v>
      </c>
      <c r="L96" s="1425">
        <f>'PLAN INDICATIVO'!L96</f>
        <v>0</v>
      </c>
      <c r="M96" s="1425" t="str">
        <f>'PLAN INDICATIVO'!M96</f>
        <v>Secretaría de Educación, Cultura, deporte y Turismo</v>
      </c>
      <c r="N96" s="1425" t="str">
        <f>'PLAN INDICATIVO'!N96</f>
        <v>YIMI FERNANDO LOSADA PAYA</v>
      </c>
      <c r="O96" s="1425" t="str">
        <f>'PLAN INDICATIVO'!O96</f>
        <v>Mantenimiento</v>
      </c>
      <c r="P96" s="16" t="str">
        <f>'PLAN INDICATIVO'!P96</f>
        <v>Fomentar y apoyar  4 Escuelas de Formación en las diferentes disciplinas deportivas en el sector urbano y rural del municipio durante el cuatrienio.</v>
      </c>
      <c r="Q96" s="302" t="str">
        <f>'PLAN INDICATIVO'!Q96</f>
        <v>No. De escuelas apoyadas</v>
      </c>
      <c r="R96" s="303">
        <f>'PLAN INDICATIVO'!R96</f>
        <v>2015</v>
      </c>
      <c r="S96" s="304">
        <v>1</v>
      </c>
      <c r="T96" s="677">
        <v>16</v>
      </c>
      <c r="U96" s="303">
        <v>4</v>
      </c>
      <c r="V96" s="687">
        <v>29</v>
      </c>
      <c r="W96" s="572">
        <v>4</v>
      </c>
      <c r="X96" s="687">
        <v>41600000</v>
      </c>
      <c r="Y96" s="1232">
        <v>6</v>
      </c>
      <c r="Z96" s="1233">
        <v>52000000</v>
      </c>
      <c r="AA96" s="1310">
        <f t="shared" si="61"/>
        <v>2</v>
      </c>
      <c r="AB96" s="572">
        <v>51000000</v>
      </c>
      <c r="AC96" s="665">
        <v>4</v>
      </c>
      <c r="AD96" s="665">
        <v>4</v>
      </c>
      <c r="AE96" s="665">
        <v>6</v>
      </c>
      <c r="AF96" s="665"/>
      <c r="AG96" s="306" t="s">
        <v>4058</v>
      </c>
      <c r="AH96" s="987">
        <v>2018453960002</v>
      </c>
      <c r="AI96" s="307" t="s">
        <v>4073</v>
      </c>
      <c r="AJ96" s="309">
        <v>42767</v>
      </c>
      <c r="AK96" s="309">
        <v>43084</v>
      </c>
      <c r="AL96" s="308"/>
      <c r="AM96" s="308"/>
      <c r="AN96" s="267" t="s">
        <v>2598</v>
      </c>
      <c r="AO96" s="507" t="s">
        <v>4074</v>
      </c>
      <c r="AP96" s="525"/>
      <c r="AQ96" s="310"/>
      <c r="AR96" s="310"/>
      <c r="AS96" s="310"/>
      <c r="AT96" s="310"/>
      <c r="AU96" s="310"/>
      <c r="AV96" s="310"/>
      <c r="AW96" s="544"/>
      <c r="AX96" s="525"/>
      <c r="AY96" s="310"/>
      <c r="AZ96" s="310"/>
      <c r="BA96" s="310"/>
      <c r="BB96" s="310"/>
      <c r="BC96" s="310"/>
      <c r="BD96" s="310"/>
      <c r="BE96" s="544">
        <f t="shared" si="58"/>
        <v>0</v>
      </c>
      <c r="BF96" s="525"/>
      <c r="BG96" s="310">
        <v>49226190</v>
      </c>
      <c r="BH96" s="310">
        <v>5936000</v>
      </c>
      <c r="BI96" s="310"/>
      <c r="BJ96" s="310"/>
      <c r="BK96" s="310"/>
      <c r="BL96" s="310"/>
      <c r="BM96" s="544">
        <f t="shared" si="59"/>
        <v>55162190</v>
      </c>
      <c r="BN96" s="525"/>
      <c r="BO96" s="310"/>
      <c r="BP96" s="310"/>
      <c r="BQ96" s="310"/>
      <c r="BR96" s="310"/>
      <c r="BS96" s="310"/>
      <c r="BT96" s="310"/>
      <c r="BU96" s="544">
        <f t="shared" si="60"/>
        <v>0</v>
      </c>
      <c r="BV96" s="556"/>
      <c r="BW96" s="663">
        <f t="shared" si="40"/>
        <v>14</v>
      </c>
      <c r="BX96" s="1047">
        <f t="shared" si="50"/>
        <v>0.875</v>
      </c>
      <c r="BY96" s="1047">
        <f t="shared" si="53"/>
        <v>1</v>
      </c>
      <c r="BZ96" s="1047">
        <f t="shared" si="54"/>
        <v>1</v>
      </c>
      <c r="CA96" s="1047">
        <f t="shared" si="55"/>
        <v>1</v>
      </c>
      <c r="CB96" s="1047">
        <f t="shared" si="56"/>
        <v>0</v>
      </c>
      <c r="CD96" t="str">
        <f t="shared" si="57"/>
        <v>VE</v>
      </c>
      <c r="CE96" t="str">
        <f t="shared" si="57"/>
        <v>VE</v>
      </c>
      <c r="CF96" t="str">
        <f t="shared" si="57"/>
        <v>VE</v>
      </c>
      <c r="CG96" t="str">
        <f t="shared" si="57"/>
        <v>ROB</v>
      </c>
    </row>
    <row r="97" spans="1:85" ht="18" hidden="1" customHeight="1" x14ac:dyDescent="0.25">
      <c r="A97" s="295"/>
      <c r="B97" s="24" t="str">
        <f>'PLAN INDICATIVO'!B97</f>
        <v>Deporte y Recreación</v>
      </c>
      <c r="C97" s="1574" t="s">
        <v>317</v>
      </c>
      <c r="D97" s="1575"/>
      <c r="E97" s="1575"/>
      <c r="F97" s="1575"/>
      <c r="G97" s="1575"/>
      <c r="H97" s="1575"/>
      <c r="I97" s="1575"/>
      <c r="J97" s="1575"/>
      <c r="K97" s="1575"/>
      <c r="L97" s="1575"/>
      <c r="M97" s="1575"/>
      <c r="N97" s="1575"/>
      <c r="O97" s="1576"/>
      <c r="P97" s="22"/>
      <c r="Q97" s="22"/>
      <c r="R97" s="1"/>
      <c r="S97" s="261"/>
      <c r="T97" s="681"/>
      <c r="U97" s="261"/>
      <c r="V97" s="695">
        <f>SUM(V98:V105)</f>
        <v>44</v>
      </c>
      <c r="W97" s="695"/>
      <c r="X97" s="695">
        <f>SUM(X98:X105)</f>
        <v>50000000</v>
      </c>
      <c r="Y97" s="695"/>
      <c r="Z97" s="695">
        <f>SUM(Z98:Z105)</f>
        <v>50000000</v>
      </c>
      <c r="AA97" s="695"/>
      <c r="AB97" s="695">
        <f>SUM(AB98:AB105)</f>
        <v>50000000</v>
      </c>
      <c r="AC97" s="262"/>
      <c r="AD97" s="262"/>
      <c r="AE97" s="262"/>
      <c r="AF97" s="262"/>
      <c r="AG97" s="263"/>
      <c r="AH97" s="263"/>
      <c r="AI97" s="263"/>
      <c r="AJ97" s="262"/>
      <c r="AK97" s="262"/>
      <c r="AL97" s="262"/>
      <c r="AM97" s="262"/>
      <c r="AN97" s="262"/>
      <c r="AO97" s="612"/>
      <c r="AP97" s="616"/>
      <c r="AQ97" s="616"/>
      <c r="AR97" s="616"/>
      <c r="AS97" s="616"/>
      <c r="AT97" s="616"/>
      <c r="AU97" s="616"/>
      <c r="AV97" s="616"/>
      <c r="AW97" s="616"/>
      <c r="AX97" s="616" t="e">
        <f>(AX98:AX105)</f>
        <v>#VALUE!</v>
      </c>
      <c r="AY97" s="616" t="e">
        <f t="shared" ref="AY97:BD97" si="62">(AY98:AY105)</f>
        <v>#VALUE!</v>
      </c>
      <c r="AZ97" s="616" t="e">
        <f t="shared" si="62"/>
        <v>#VALUE!</v>
      </c>
      <c r="BA97" s="616" t="e">
        <f t="shared" si="62"/>
        <v>#VALUE!</v>
      </c>
      <c r="BB97" s="616" t="e">
        <f t="shared" si="62"/>
        <v>#VALUE!</v>
      </c>
      <c r="BC97" s="616" t="e">
        <f t="shared" si="62"/>
        <v>#VALUE!</v>
      </c>
      <c r="BD97" s="616" t="e">
        <f t="shared" si="62"/>
        <v>#VALUE!</v>
      </c>
      <c r="BE97" s="617" t="e">
        <f t="shared" si="58"/>
        <v>#VALUE!</v>
      </c>
      <c r="BF97" s="616"/>
      <c r="BG97" s="616"/>
      <c r="BH97" s="616"/>
      <c r="BI97" s="616"/>
      <c r="BJ97" s="616"/>
      <c r="BK97" s="616"/>
      <c r="BL97" s="616"/>
      <c r="BM97" s="617">
        <f t="shared" si="59"/>
        <v>0</v>
      </c>
      <c r="BN97" s="616" t="e">
        <f>(BN98:BN105)</f>
        <v>#VALUE!</v>
      </c>
      <c r="BO97" s="616" t="e">
        <f t="shared" ref="BO97:BT97" si="63">(BO98:BO105)</f>
        <v>#VALUE!</v>
      </c>
      <c r="BP97" s="616" t="e">
        <f t="shared" si="63"/>
        <v>#VALUE!</v>
      </c>
      <c r="BQ97" s="616" t="e">
        <f t="shared" si="63"/>
        <v>#VALUE!</v>
      </c>
      <c r="BR97" s="616" t="e">
        <f t="shared" si="63"/>
        <v>#VALUE!</v>
      </c>
      <c r="BS97" s="616" t="e">
        <f t="shared" si="63"/>
        <v>#VALUE!</v>
      </c>
      <c r="BT97" s="616" t="e">
        <f t="shared" si="63"/>
        <v>#VALUE!</v>
      </c>
      <c r="BU97" s="617" t="e">
        <f t="shared" si="60"/>
        <v>#VALUE!</v>
      </c>
      <c r="BV97" s="556"/>
      <c r="BW97" s="617" t="s">
        <v>2717</v>
      </c>
      <c r="BX97" s="617" t="s">
        <v>2717</v>
      </c>
      <c r="BY97" s="617" t="s">
        <v>2717</v>
      </c>
      <c r="BZ97" s="617" t="s">
        <v>2717</v>
      </c>
      <c r="CA97" s="617" t="s">
        <v>2717</v>
      </c>
      <c r="CB97" s="1047" t="s">
        <v>2717</v>
      </c>
    </row>
    <row r="98" spans="1:85" ht="108" hidden="1" customHeight="1" x14ac:dyDescent="0.25">
      <c r="A98" s="298" t="s">
        <v>280</v>
      </c>
      <c r="B98" s="299" t="str">
        <f>'PLAN INDICATIVO'!B98</f>
        <v>Deporte y Recreación</v>
      </c>
      <c r="C98" s="1546" t="s">
        <v>318</v>
      </c>
      <c r="D98" s="1549" t="s">
        <v>319</v>
      </c>
      <c r="E98" s="1549" t="s">
        <v>283</v>
      </c>
      <c r="F98" s="1549">
        <v>2015</v>
      </c>
      <c r="G98" s="1549">
        <v>8</v>
      </c>
      <c r="H98" s="1549">
        <v>15</v>
      </c>
      <c r="I98" s="300">
        <f>'PLAN INDICATIVO'!I98</f>
        <v>0</v>
      </c>
      <c r="J98" s="300">
        <f>'PLAN INDICATIVO'!J98</f>
        <v>0</v>
      </c>
      <c r="K98" s="1425" t="str">
        <f>'PLAN INDICATIVO'!K98</f>
        <v>A.4.2.1</v>
      </c>
      <c r="L98" s="1425">
        <f>'PLAN INDICATIVO'!L98</f>
        <v>0</v>
      </c>
      <c r="M98" s="1425" t="str">
        <f>'PLAN INDICATIVO'!M98</f>
        <v>Secretaría de Educación, Cultura, deporte y Turismo</v>
      </c>
      <c r="N98" s="1425" t="str">
        <f>'PLAN INDICATIVO'!N98</f>
        <v>YIMI FERNANDO LOSADA PAYA</v>
      </c>
      <c r="O98" s="1425" t="str">
        <f>'PLAN INDICATIVO'!O98</f>
        <v>Incremento</v>
      </c>
      <c r="P98" s="16" t="str">
        <f>'PLAN INDICATIVO'!P98</f>
        <v>Crear 1 programa de apoyo a los deportistas de alto  rendimiento que representen al municipio en ámbito regional, nacional e internacional por año durante el cuatrienio.</v>
      </c>
      <c r="Q98" s="302" t="str">
        <f>'PLAN INDICATIVO'!Q98</f>
        <v>No. De programas creados en el cuatrienio</v>
      </c>
      <c r="R98" s="303">
        <f>'PLAN INDICATIVO'!R98</f>
        <v>2015</v>
      </c>
      <c r="S98" s="304">
        <v>0</v>
      </c>
      <c r="T98" s="677">
        <v>4</v>
      </c>
      <c r="U98" s="303">
        <v>1</v>
      </c>
      <c r="V98" s="687">
        <v>2</v>
      </c>
      <c r="W98" s="572">
        <v>1</v>
      </c>
      <c r="X98" s="687">
        <v>1000000</v>
      </c>
      <c r="Y98" s="1232">
        <v>1</v>
      </c>
      <c r="Z98" s="1232">
        <v>1000000</v>
      </c>
      <c r="AA98" s="1310">
        <f>T98-BW98</f>
        <v>1</v>
      </c>
      <c r="AB98" s="572">
        <v>1000000</v>
      </c>
      <c r="AC98" s="665">
        <v>1</v>
      </c>
      <c r="AD98" s="665">
        <v>1</v>
      </c>
      <c r="AE98" s="665">
        <v>1</v>
      </c>
      <c r="AF98" s="665"/>
      <c r="AG98" s="306" t="s">
        <v>4075</v>
      </c>
      <c r="AH98" s="987">
        <v>2018413960025</v>
      </c>
      <c r="AI98" s="307" t="s">
        <v>4076</v>
      </c>
      <c r="AJ98" s="309">
        <v>42948</v>
      </c>
      <c r="AK98" s="309">
        <v>43084</v>
      </c>
      <c r="AL98" s="308"/>
      <c r="AM98" s="308"/>
      <c r="AN98" s="267" t="s">
        <v>2598</v>
      </c>
      <c r="AO98" s="507">
        <v>2304</v>
      </c>
      <c r="AP98" s="525"/>
      <c r="AQ98" s="310"/>
      <c r="AR98" s="310"/>
      <c r="AS98" s="310"/>
      <c r="AT98" s="310"/>
      <c r="AU98" s="310"/>
      <c r="AV98" s="310"/>
      <c r="AW98" s="544"/>
      <c r="AX98" s="525"/>
      <c r="AY98" s="310"/>
      <c r="AZ98" s="310"/>
      <c r="BA98" s="310"/>
      <c r="BB98" s="310"/>
      <c r="BC98" s="310"/>
      <c r="BD98" s="310"/>
      <c r="BE98" s="544">
        <f t="shared" si="58"/>
        <v>0</v>
      </c>
      <c r="BF98" s="525"/>
      <c r="BG98" s="310">
        <v>500000</v>
      </c>
      <c r="BH98" s="310"/>
      <c r="BI98" s="310"/>
      <c r="BJ98" s="310"/>
      <c r="BK98" s="310"/>
      <c r="BL98" s="310"/>
      <c r="BM98" s="544">
        <f t="shared" si="59"/>
        <v>500000</v>
      </c>
      <c r="BN98" s="525"/>
      <c r="BO98" s="310"/>
      <c r="BP98" s="310"/>
      <c r="BQ98" s="310"/>
      <c r="BR98" s="310"/>
      <c r="BS98" s="310"/>
      <c r="BT98" s="310"/>
      <c r="BU98" s="544">
        <f t="shared" si="60"/>
        <v>0</v>
      </c>
      <c r="BV98" s="556"/>
      <c r="BW98" s="663">
        <f t="shared" si="40"/>
        <v>3</v>
      </c>
      <c r="BX98" s="1047">
        <f t="shared" si="50"/>
        <v>0.75</v>
      </c>
      <c r="BY98" s="1047">
        <f t="shared" ref="BY98:BY105" si="64">IF(U98&gt;=0.1,AC98/U98,IF(ISBLANK(U98),"No Programada","Aplazada"))</f>
        <v>1</v>
      </c>
      <c r="BZ98" s="1047">
        <f t="shared" ref="BZ98:BZ105" si="65">IF(W98&gt;=0.1,AD98/W98,IF(ISBLANK(W98),"No Programada","Aplazada"))</f>
        <v>1</v>
      </c>
      <c r="CA98" s="1047">
        <f t="shared" ref="CA98:CA105" si="66">IF(Y98&gt;=0.1,AE98/Y98,IF(ISBLANK(Y98),"No Programada","Aplazada"))</f>
        <v>1</v>
      </c>
      <c r="CB98" s="1047">
        <f t="shared" ref="CB98:CB105" si="67">IF(AA98&gt;=0.1,AF98/AA98,IF(ISBLANK(AA98),"No Programada","Aplazada"))</f>
        <v>0</v>
      </c>
      <c r="CD98" t="str">
        <f t="shared" ref="CD98:CG105" si="68">IF(BY98="PARA MODIFICAR","M",IF(BY98="PARA ELIMINAR","E",IF(BY98="aplazada","AZ",IF(BY98="no programada","NP",IF(BY98&gt;=85%,"VE",IF(BY98&gt;70%,"VEB",IF(BY98&gt;60%,"AM",IF(BY98&gt;40%,"AMB",IF(BY98&gt;20%,"RO",IF(BY98&gt;=0%,"ROB",""))))))))))</f>
        <v>VE</v>
      </c>
      <c r="CE98" t="str">
        <f t="shared" si="68"/>
        <v>VE</v>
      </c>
      <c r="CF98" t="str">
        <f t="shared" si="68"/>
        <v>VE</v>
      </c>
      <c r="CG98" t="str">
        <f t="shared" si="68"/>
        <v>ROB</v>
      </c>
    </row>
    <row r="99" spans="1:85" ht="66.75" hidden="1" customHeight="1" x14ac:dyDescent="0.25">
      <c r="A99" s="298" t="s">
        <v>280</v>
      </c>
      <c r="B99" s="299" t="str">
        <f>'PLAN INDICATIVO'!B99</f>
        <v>Deporte y Recreación</v>
      </c>
      <c r="C99" s="1547"/>
      <c r="D99" s="1549"/>
      <c r="E99" s="1549"/>
      <c r="F99" s="1549"/>
      <c r="G99" s="1549"/>
      <c r="H99" s="1549"/>
      <c r="I99" s="300">
        <f>'PLAN INDICATIVO'!I99</f>
        <v>0</v>
      </c>
      <c r="J99" s="300">
        <f>'PLAN INDICATIVO'!J99</f>
        <v>0</v>
      </c>
      <c r="K99" s="1425" t="str">
        <f>'PLAN INDICATIVO'!K99</f>
        <v>A.4.2.2</v>
      </c>
      <c r="L99" s="1425">
        <f>'PLAN INDICATIVO'!L99</f>
        <v>0</v>
      </c>
      <c r="M99" s="1425" t="str">
        <f>'PLAN INDICATIVO'!M99</f>
        <v>Secretaría de Educación, Cultura, deporte y Turismo</v>
      </c>
      <c r="N99" s="1425" t="str">
        <f>'PLAN INDICATIVO'!N99</f>
        <v>YIMI FERNANDO LOSADA PAYA</v>
      </c>
      <c r="O99" s="1425" t="str">
        <f>'PLAN INDICATIVO'!O99</f>
        <v>Incremento</v>
      </c>
      <c r="P99" s="16" t="str">
        <f>'PLAN INDICATIVO'!P99</f>
        <v>Realizar 4 dotaciones durante el cuatrienio de implementos deportivos a deportistas locales</v>
      </c>
      <c r="Q99" s="302" t="str">
        <f>'PLAN INDICATIVO'!Q99</f>
        <v>No. De dotaciones realizadas</v>
      </c>
      <c r="R99" s="303">
        <f>'PLAN INDICATIVO'!R99</f>
        <v>2015</v>
      </c>
      <c r="S99" s="304">
        <v>1</v>
      </c>
      <c r="T99" s="677">
        <v>4</v>
      </c>
      <c r="U99" s="303">
        <v>1</v>
      </c>
      <c r="V99" s="687">
        <v>5</v>
      </c>
      <c r="W99" s="572">
        <v>1</v>
      </c>
      <c r="X99" s="687">
        <v>6000000</v>
      </c>
      <c r="Y99" s="1232">
        <v>1</v>
      </c>
      <c r="Z99" s="1232">
        <v>6000000</v>
      </c>
      <c r="AA99" s="1310">
        <f t="shared" ref="AA99:AA104" si="69">T99-BW99</f>
        <v>1</v>
      </c>
      <c r="AB99" s="572">
        <v>6000000</v>
      </c>
      <c r="AC99" s="665">
        <v>1</v>
      </c>
      <c r="AD99" s="665">
        <v>1</v>
      </c>
      <c r="AE99" s="665">
        <v>1</v>
      </c>
      <c r="AF99" s="665"/>
      <c r="AG99" s="306" t="s">
        <v>4075</v>
      </c>
      <c r="AH99" s="987">
        <v>2018413960025</v>
      </c>
      <c r="AI99" s="307" t="s">
        <v>4077</v>
      </c>
      <c r="AJ99" s="309">
        <v>42948</v>
      </c>
      <c r="AK99" s="309">
        <v>43084</v>
      </c>
      <c r="AL99" s="308"/>
      <c r="AM99" s="308"/>
      <c r="AN99" s="267" t="s">
        <v>2598</v>
      </c>
      <c r="AO99" s="507">
        <v>2304</v>
      </c>
      <c r="AP99" s="525"/>
      <c r="AQ99" s="310"/>
      <c r="AR99" s="310"/>
      <c r="AS99" s="310"/>
      <c r="AT99" s="310"/>
      <c r="AU99" s="310"/>
      <c r="AV99" s="310"/>
      <c r="AW99" s="544"/>
      <c r="AX99" s="525"/>
      <c r="AY99" s="310"/>
      <c r="AZ99" s="310"/>
      <c r="BA99" s="310"/>
      <c r="BB99" s="310"/>
      <c r="BC99" s="310"/>
      <c r="BD99" s="310"/>
      <c r="BE99" s="544">
        <f t="shared" si="58"/>
        <v>0</v>
      </c>
      <c r="BF99" s="525"/>
      <c r="BG99" s="310">
        <v>1500000</v>
      </c>
      <c r="BH99" s="310"/>
      <c r="BI99" s="310"/>
      <c r="BJ99" s="310"/>
      <c r="BK99" s="310"/>
      <c r="BL99" s="310"/>
      <c r="BM99" s="544">
        <f t="shared" si="59"/>
        <v>1500000</v>
      </c>
      <c r="BN99" s="525"/>
      <c r="BO99" s="310"/>
      <c r="BP99" s="310"/>
      <c r="BQ99" s="310"/>
      <c r="BR99" s="310"/>
      <c r="BS99" s="310"/>
      <c r="BT99" s="310"/>
      <c r="BU99" s="544">
        <f t="shared" si="60"/>
        <v>0</v>
      </c>
      <c r="BV99" s="556"/>
      <c r="BW99" s="663">
        <f t="shared" si="40"/>
        <v>3</v>
      </c>
      <c r="BX99" s="1047">
        <f t="shared" si="50"/>
        <v>0.75</v>
      </c>
      <c r="BY99" s="1047">
        <f t="shared" si="64"/>
        <v>1</v>
      </c>
      <c r="BZ99" s="1047">
        <f t="shared" si="65"/>
        <v>1</v>
      </c>
      <c r="CA99" s="1047">
        <f t="shared" si="66"/>
        <v>1</v>
      </c>
      <c r="CB99" s="1047">
        <f t="shared" si="67"/>
        <v>0</v>
      </c>
      <c r="CD99" t="str">
        <f t="shared" si="68"/>
        <v>VE</v>
      </c>
      <c r="CE99" t="str">
        <f t="shared" si="68"/>
        <v>VE</v>
      </c>
      <c r="CF99" t="str">
        <f t="shared" si="68"/>
        <v>VE</v>
      </c>
      <c r="CG99" t="str">
        <f t="shared" si="68"/>
        <v>ROB</v>
      </c>
    </row>
    <row r="100" spans="1:85" ht="57.75" hidden="1" customHeight="1" x14ac:dyDescent="0.25">
      <c r="A100" s="298" t="s">
        <v>280</v>
      </c>
      <c r="B100" s="299" t="str">
        <f>'PLAN INDICATIVO'!B100</f>
        <v>Deporte y Recreación</v>
      </c>
      <c r="C100" s="1547"/>
      <c r="D100" s="1549"/>
      <c r="E100" s="1549"/>
      <c r="F100" s="1549"/>
      <c r="G100" s="1549"/>
      <c r="H100" s="1549"/>
      <c r="I100" s="300">
        <f>'PLAN INDICATIVO'!I100</f>
        <v>0</v>
      </c>
      <c r="J100" s="300">
        <f>'PLAN INDICATIVO'!J100</f>
        <v>0</v>
      </c>
      <c r="K100" s="1425" t="str">
        <f>'PLAN INDICATIVO'!K100</f>
        <v>A.4.2.3</v>
      </c>
      <c r="L100" s="1425">
        <f>'PLAN INDICATIVO'!L100</f>
        <v>0</v>
      </c>
      <c r="M100" s="1425" t="str">
        <f>'PLAN INDICATIVO'!M100</f>
        <v>Secretaría de Educación, Cultura, deporte y Turismo</v>
      </c>
      <c r="N100" s="1425" t="str">
        <f>'PLAN INDICATIVO'!N100</f>
        <v>YIMI FERNANDO LOSADA PAYA</v>
      </c>
      <c r="O100" s="1425" t="str">
        <f>'PLAN INDICATIVO'!O100</f>
        <v>Incremento</v>
      </c>
      <c r="P100" s="1198" t="str">
        <f>'PLAN INDICATIVO'!P100</f>
        <v>Realizar 3  olimpiadas campesinas durante el cuatrienio</v>
      </c>
      <c r="Q100" s="302" t="str">
        <f>'PLAN INDICATIVO'!Q100</f>
        <v>No. De olimpiadas realizadas</v>
      </c>
      <c r="R100" s="303">
        <f>'PLAN INDICATIVO'!R100</f>
        <v>2015</v>
      </c>
      <c r="S100" s="304">
        <v>1</v>
      </c>
      <c r="T100" s="1293">
        <v>3</v>
      </c>
      <c r="U100" s="303">
        <v>1</v>
      </c>
      <c r="V100" s="687">
        <v>15</v>
      </c>
      <c r="W100" s="572">
        <v>1</v>
      </c>
      <c r="X100" s="687">
        <v>6000000</v>
      </c>
      <c r="Y100" s="1232"/>
      <c r="Z100" s="1232">
        <v>6000000</v>
      </c>
      <c r="AA100" s="1310">
        <f t="shared" si="69"/>
        <v>1</v>
      </c>
      <c r="AB100" s="572">
        <v>6000000</v>
      </c>
      <c r="AC100" s="665">
        <v>1</v>
      </c>
      <c r="AD100" s="665">
        <v>1</v>
      </c>
      <c r="AE100" s="665"/>
      <c r="AF100" s="665"/>
      <c r="AG100" s="306" t="s">
        <v>4075</v>
      </c>
      <c r="AH100" s="987">
        <v>2018413960025</v>
      </c>
      <c r="AI100" s="307" t="s">
        <v>4078</v>
      </c>
      <c r="AJ100" s="309">
        <v>42948</v>
      </c>
      <c r="AK100" s="309">
        <v>43084</v>
      </c>
      <c r="AL100" s="308"/>
      <c r="AM100" s="308"/>
      <c r="AN100" s="267" t="s">
        <v>2594</v>
      </c>
      <c r="AO100" s="507">
        <v>2304</v>
      </c>
      <c r="AP100" s="766"/>
      <c r="AQ100" s="310"/>
      <c r="AR100" s="310"/>
      <c r="AS100" s="310"/>
      <c r="AT100" s="310"/>
      <c r="AU100" s="310"/>
      <c r="AV100" s="310"/>
      <c r="AW100" s="544"/>
      <c r="AX100" s="525"/>
      <c r="AY100" s="310"/>
      <c r="AZ100" s="310"/>
      <c r="BA100" s="310"/>
      <c r="BB100" s="310"/>
      <c r="BC100" s="310"/>
      <c r="BD100" s="310"/>
      <c r="BE100" s="544">
        <f t="shared" si="58"/>
        <v>0</v>
      </c>
      <c r="BF100" s="766"/>
      <c r="BG100" s="310"/>
      <c r="BH100" s="310"/>
      <c r="BI100" s="310"/>
      <c r="BJ100" s="310"/>
      <c r="BK100" s="310"/>
      <c r="BL100" s="310"/>
      <c r="BM100" s="544">
        <f t="shared" si="59"/>
        <v>0</v>
      </c>
      <c r="BN100" s="525"/>
      <c r="BO100" s="310"/>
      <c r="BP100" s="310"/>
      <c r="BQ100" s="310"/>
      <c r="BR100" s="310"/>
      <c r="BS100" s="310"/>
      <c r="BT100" s="310"/>
      <c r="BU100" s="544">
        <f t="shared" si="60"/>
        <v>0</v>
      </c>
      <c r="BV100" s="556"/>
      <c r="BW100" s="663">
        <f t="shared" si="40"/>
        <v>2</v>
      </c>
      <c r="BX100" s="1047">
        <f t="shared" si="50"/>
        <v>0.66666666666666663</v>
      </c>
      <c r="BY100" s="1047">
        <f t="shared" si="64"/>
        <v>1</v>
      </c>
      <c r="BZ100" s="1047">
        <f t="shared" si="65"/>
        <v>1</v>
      </c>
      <c r="CA100" s="1047" t="str">
        <f t="shared" si="66"/>
        <v>No Programada</v>
      </c>
      <c r="CB100" s="1047">
        <f t="shared" si="67"/>
        <v>0</v>
      </c>
      <c r="CD100" t="str">
        <f t="shared" si="68"/>
        <v>VE</v>
      </c>
      <c r="CE100" t="str">
        <f t="shared" si="68"/>
        <v>VE</v>
      </c>
      <c r="CF100" t="str">
        <f t="shared" si="68"/>
        <v>NP</v>
      </c>
      <c r="CG100" t="str">
        <f t="shared" si="68"/>
        <v>ROB</v>
      </c>
    </row>
    <row r="101" spans="1:85" ht="50.25" hidden="1" customHeight="1" x14ac:dyDescent="0.25">
      <c r="A101" s="298" t="s">
        <v>280</v>
      </c>
      <c r="B101" s="299" t="str">
        <f>'PLAN INDICATIVO'!B101</f>
        <v>Deporte y Recreación</v>
      </c>
      <c r="C101" s="1547"/>
      <c r="D101" s="1549"/>
      <c r="E101" s="1549"/>
      <c r="F101" s="1549"/>
      <c r="G101" s="1549"/>
      <c r="H101" s="1549"/>
      <c r="I101" s="300">
        <f>'PLAN INDICATIVO'!I101</f>
        <v>0</v>
      </c>
      <c r="J101" s="300">
        <f>'PLAN INDICATIVO'!J101</f>
        <v>0</v>
      </c>
      <c r="K101" s="1425" t="str">
        <f>'PLAN INDICATIVO'!K101</f>
        <v>A.4.2.4</v>
      </c>
      <c r="L101" s="1425">
        <f>'PLAN INDICATIVO'!L101</f>
        <v>0</v>
      </c>
      <c r="M101" s="1425" t="str">
        <f>'PLAN INDICATIVO'!M101</f>
        <v>Secretaría de Educación, Cultura, deporte y Turismo</v>
      </c>
      <c r="N101" s="1425" t="str">
        <f>'PLAN INDICATIVO'!N101</f>
        <v>YIMI FERNANDO LOSADA PAYA</v>
      </c>
      <c r="O101" s="1425" t="str">
        <f>'PLAN INDICATIVO'!O101</f>
        <v>Mantenimiento</v>
      </c>
      <c r="P101" s="16" t="str">
        <f>'PLAN INDICATIVO'!P101</f>
        <v>Realizar 12 eventos deportivos cada año</v>
      </c>
      <c r="Q101" s="302" t="str">
        <f>'PLAN INDICATIVO'!Q101</f>
        <v>No. Eventos deportivos realizados por año.</v>
      </c>
      <c r="R101" s="303">
        <f>'PLAN INDICATIVO'!R101</f>
        <v>2015</v>
      </c>
      <c r="S101" s="304">
        <v>8</v>
      </c>
      <c r="T101" s="677">
        <v>48</v>
      </c>
      <c r="U101" s="303">
        <v>12</v>
      </c>
      <c r="V101" s="687">
        <v>7</v>
      </c>
      <c r="W101" s="572">
        <v>12</v>
      </c>
      <c r="X101" s="687">
        <v>20000000</v>
      </c>
      <c r="Y101" s="1232">
        <v>12</v>
      </c>
      <c r="Z101" s="1232">
        <v>14000000</v>
      </c>
      <c r="AA101" s="1310">
        <f t="shared" si="69"/>
        <v>11</v>
      </c>
      <c r="AB101" s="572">
        <v>20000000</v>
      </c>
      <c r="AC101" s="665">
        <v>12</v>
      </c>
      <c r="AD101" s="665">
        <v>13</v>
      </c>
      <c r="AE101" s="665">
        <v>12</v>
      </c>
      <c r="AF101" s="665"/>
      <c r="AG101" s="306" t="s">
        <v>4075</v>
      </c>
      <c r="AH101" s="987">
        <v>2018413960025</v>
      </c>
      <c r="AI101" s="1266" t="s">
        <v>4079</v>
      </c>
      <c r="AJ101" s="309">
        <v>42750</v>
      </c>
      <c r="AK101" s="309">
        <v>43100</v>
      </c>
      <c r="AL101" s="308"/>
      <c r="AM101" s="308"/>
      <c r="AN101" s="267" t="s">
        <v>2598</v>
      </c>
      <c r="AO101" s="507" t="s">
        <v>4069</v>
      </c>
      <c r="AP101" s="766"/>
      <c r="AQ101" s="310"/>
      <c r="AR101" s="310"/>
      <c r="AS101" s="310"/>
      <c r="AT101" s="310"/>
      <c r="AU101" s="310"/>
      <c r="AV101" s="310"/>
      <c r="AW101" s="310">
        <v>12296000</v>
      </c>
      <c r="AX101" s="525"/>
      <c r="AY101" s="310"/>
      <c r="AZ101" s="310"/>
      <c r="BA101" s="310"/>
      <c r="BB101" s="310"/>
      <c r="BC101" s="310"/>
      <c r="BD101" s="310"/>
      <c r="BE101" s="544">
        <f t="shared" si="58"/>
        <v>0</v>
      </c>
      <c r="BF101" s="766"/>
      <c r="BG101" s="310">
        <v>40202000</v>
      </c>
      <c r="BH101" s="310">
        <v>5011000</v>
      </c>
      <c r="BI101" s="310"/>
      <c r="BJ101" s="310"/>
      <c r="BK101" s="310"/>
      <c r="BL101" s="310"/>
      <c r="BM101" s="544">
        <f t="shared" si="59"/>
        <v>45213000</v>
      </c>
      <c r="BN101" s="525"/>
      <c r="BO101" s="310"/>
      <c r="BP101" s="310"/>
      <c r="BQ101" s="310"/>
      <c r="BR101" s="310"/>
      <c r="BS101" s="310"/>
      <c r="BT101" s="310"/>
      <c r="BU101" s="544">
        <f t="shared" si="60"/>
        <v>0</v>
      </c>
      <c r="BV101" s="556"/>
      <c r="BW101" s="663">
        <f t="shared" si="40"/>
        <v>37</v>
      </c>
      <c r="BX101" s="1047">
        <f t="shared" si="50"/>
        <v>0.77083333333333337</v>
      </c>
      <c r="BY101" s="1047">
        <f t="shared" si="64"/>
        <v>1</v>
      </c>
      <c r="BZ101" s="1047">
        <f t="shared" si="65"/>
        <v>1.0833333333333333</v>
      </c>
      <c r="CA101" s="1047">
        <f t="shared" si="66"/>
        <v>1</v>
      </c>
      <c r="CB101" s="1047">
        <f t="shared" si="67"/>
        <v>0</v>
      </c>
      <c r="CD101" t="str">
        <f t="shared" si="68"/>
        <v>VE</v>
      </c>
      <c r="CE101" t="str">
        <f t="shared" si="68"/>
        <v>VE</v>
      </c>
      <c r="CF101" t="str">
        <f t="shared" si="68"/>
        <v>VE</v>
      </c>
      <c r="CG101" t="str">
        <f t="shared" si="68"/>
        <v>ROB</v>
      </c>
    </row>
    <row r="102" spans="1:85" ht="69.75" hidden="1" customHeight="1" x14ac:dyDescent="0.25">
      <c r="A102" s="298" t="s">
        <v>2458</v>
      </c>
      <c r="B102" s="299" t="str">
        <f>'PLAN INDICATIVO'!B102</f>
        <v>Deporte y Recreación</v>
      </c>
      <c r="C102" s="1547"/>
      <c r="D102" s="1549"/>
      <c r="E102" s="1549"/>
      <c r="F102" s="1549"/>
      <c r="G102" s="1549"/>
      <c r="H102" s="1549"/>
      <c r="I102" s="300">
        <f>'PLAN INDICATIVO'!I102</f>
        <v>0</v>
      </c>
      <c r="J102" s="300">
        <f>'PLAN INDICATIVO'!J102</f>
        <v>0</v>
      </c>
      <c r="K102" s="1425" t="str">
        <f>'PLAN INDICATIVO'!K102</f>
        <v>A.4.2.5</v>
      </c>
      <c r="L102" s="1425">
        <f>'PLAN INDICATIVO'!L102</f>
        <v>0</v>
      </c>
      <c r="M102" s="1425" t="str">
        <f>'PLAN INDICATIVO'!M102</f>
        <v>Secretaría de Educación, Cultura, deporte y Turismo</v>
      </c>
      <c r="N102" s="1425" t="str">
        <f>'PLAN INDICATIVO'!N102</f>
        <v>YIMI FERNANDO LOSADA PAYA</v>
      </c>
      <c r="O102" s="1425" t="str">
        <f>'PLAN INDICATIVO'!O102</f>
        <v>Mantenimiento</v>
      </c>
      <c r="P102" s="1198" t="str">
        <f>'PLAN INDICATIVO'!P102</f>
        <v>Apoyar una actividad anual  a Clubes Deportivos del municipio durante el cuatrienio.</v>
      </c>
      <c r="Q102" s="302" t="str">
        <f>'PLAN INDICATIVO'!Q102</f>
        <v>No. De actividades apoyadas</v>
      </c>
      <c r="R102" s="303">
        <f>'PLAN INDICATIVO'!R102</f>
        <v>2015</v>
      </c>
      <c r="S102" s="304">
        <v>1</v>
      </c>
      <c r="T102" s="677">
        <v>4</v>
      </c>
      <c r="U102" s="303">
        <v>1</v>
      </c>
      <c r="V102" s="687">
        <v>3</v>
      </c>
      <c r="W102" s="572">
        <v>1</v>
      </c>
      <c r="X102" s="687">
        <v>6000000</v>
      </c>
      <c r="Y102" s="1232">
        <v>1</v>
      </c>
      <c r="Z102" s="1232">
        <v>6000000</v>
      </c>
      <c r="AA102" s="1310">
        <f>T102-BW102</f>
        <v>1</v>
      </c>
      <c r="AB102" s="572">
        <v>6000000</v>
      </c>
      <c r="AC102" s="665">
        <v>1</v>
      </c>
      <c r="AD102" s="665">
        <v>1</v>
      </c>
      <c r="AE102" s="665">
        <v>1</v>
      </c>
      <c r="AF102" s="665"/>
      <c r="AG102" s="306" t="s">
        <v>4075</v>
      </c>
      <c r="AH102" s="987">
        <v>2018413960025</v>
      </c>
      <c r="AI102" s="307" t="s">
        <v>4080</v>
      </c>
      <c r="AJ102" s="309">
        <v>42767</v>
      </c>
      <c r="AK102" s="309">
        <v>43038</v>
      </c>
      <c r="AL102" s="308"/>
      <c r="AM102" s="308"/>
      <c r="AN102" s="267" t="s">
        <v>2598</v>
      </c>
      <c r="AO102" s="507">
        <v>2304</v>
      </c>
      <c r="AP102" s="525"/>
      <c r="AQ102" s="310"/>
      <c r="AR102" s="310"/>
      <c r="AS102" s="310"/>
      <c r="AT102" s="310"/>
      <c r="AU102" s="310"/>
      <c r="AV102" s="310"/>
      <c r="AW102" s="544"/>
      <c r="AX102" s="525"/>
      <c r="AY102" s="310"/>
      <c r="AZ102" s="310"/>
      <c r="BA102" s="310"/>
      <c r="BB102" s="310"/>
      <c r="BC102" s="310"/>
      <c r="BD102" s="310"/>
      <c r="BE102" s="544">
        <f t="shared" si="58"/>
        <v>0</v>
      </c>
      <c r="BF102" s="525"/>
      <c r="BG102" s="310"/>
      <c r="BH102" s="310"/>
      <c r="BI102" s="310"/>
      <c r="BJ102" s="310"/>
      <c r="BK102" s="310"/>
      <c r="BL102" s="310"/>
      <c r="BM102" s="544">
        <f t="shared" si="59"/>
        <v>0</v>
      </c>
      <c r="BN102" s="525"/>
      <c r="BO102" s="310"/>
      <c r="BP102" s="310"/>
      <c r="BQ102" s="310"/>
      <c r="BR102" s="310"/>
      <c r="BS102" s="310"/>
      <c r="BT102" s="310"/>
      <c r="BU102" s="544">
        <f t="shared" si="60"/>
        <v>0</v>
      </c>
      <c r="BV102" s="556"/>
      <c r="BW102" s="663">
        <f t="shared" si="40"/>
        <v>3</v>
      </c>
      <c r="BX102" s="1047">
        <f t="shared" si="50"/>
        <v>0.75</v>
      </c>
      <c r="BY102" s="1047">
        <f t="shared" si="64"/>
        <v>1</v>
      </c>
      <c r="BZ102" s="1047">
        <f t="shared" si="65"/>
        <v>1</v>
      </c>
      <c r="CA102" s="1047">
        <f t="shared" si="66"/>
        <v>1</v>
      </c>
      <c r="CB102" s="1047">
        <f t="shared" si="67"/>
        <v>0</v>
      </c>
      <c r="CD102" t="str">
        <f t="shared" si="68"/>
        <v>VE</v>
      </c>
      <c r="CE102" t="str">
        <f t="shared" si="68"/>
        <v>VE</v>
      </c>
      <c r="CF102" t="str">
        <f t="shared" si="68"/>
        <v>VE</v>
      </c>
      <c r="CG102" t="str">
        <f t="shared" si="68"/>
        <v>ROB</v>
      </c>
    </row>
    <row r="103" spans="1:85" ht="86.25" hidden="1" customHeight="1" x14ac:dyDescent="0.25">
      <c r="A103" s="298" t="s">
        <v>280</v>
      </c>
      <c r="B103" s="299" t="str">
        <f>'PLAN INDICATIVO'!B103</f>
        <v>Deporte y Recreación</v>
      </c>
      <c r="C103" s="1547"/>
      <c r="D103" s="1549"/>
      <c r="E103" s="1549"/>
      <c r="F103" s="1549"/>
      <c r="G103" s="1549"/>
      <c r="H103" s="1549"/>
      <c r="I103" s="300">
        <f>'PLAN INDICATIVO'!I103</f>
        <v>0</v>
      </c>
      <c r="J103" s="300">
        <f>'PLAN INDICATIVO'!J103</f>
        <v>0</v>
      </c>
      <c r="K103" s="1425" t="str">
        <f>'PLAN INDICATIVO'!K103</f>
        <v>A.4.2.6</v>
      </c>
      <c r="L103" s="1425">
        <f>'PLAN INDICATIVO'!L103</f>
        <v>0</v>
      </c>
      <c r="M103" s="1425" t="str">
        <f>'PLAN INDICATIVO'!M103</f>
        <v>Secretaría de Educación, Cultura, deporte y Turismo</v>
      </c>
      <c r="N103" s="1425" t="str">
        <f>'PLAN INDICATIVO'!N103</f>
        <v>YIMI FERNANDO LOSADA PAYA</v>
      </c>
      <c r="O103" s="1425" t="str">
        <f>'PLAN INDICATIVO'!O103</f>
        <v>Incremento</v>
      </c>
      <c r="P103" s="16" t="str">
        <f>'PLAN INDICATIVO'!P103</f>
        <v>Realizar 8 capacitaciones a dirigentes deportivos, entrenadores y líderes del sector urbano y rural en municipio durante el cuatrienio.</v>
      </c>
      <c r="Q103" s="302" t="str">
        <f>'PLAN INDICATIVO'!Q103</f>
        <v>No. De capacitaciones realizadas</v>
      </c>
      <c r="R103" s="303">
        <f>'PLAN INDICATIVO'!R103</f>
        <v>2015</v>
      </c>
      <c r="S103" s="304">
        <v>1</v>
      </c>
      <c r="T103" s="677">
        <v>8</v>
      </c>
      <c r="U103" s="303">
        <v>2</v>
      </c>
      <c r="V103" s="687">
        <v>2</v>
      </c>
      <c r="W103" s="572">
        <v>2</v>
      </c>
      <c r="X103" s="687">
        <v>5000000</v>
      </c>
      <c r="Y103" s="1232">
        <v>2</v>
      </c>
      <c r="Z103" s="1232">
        <v>5000000</v>
      </c>
      <c r="AA103" s="1310">
        <f t="shared" si="69"/>
        <v>1</v>
      </c>
      <c r="AB103" s="572">
        <v>5000000</v>
      </c>
      <c r="AC103" s="665">
        <v>3</v>
      </c>
      <c r="AD103" s="665">
        <v>2</v>
      </c>
      <c r="AE103" s="665">
        <v>2</v>
      </c>
      <c r="AF103" s="665"/>
      <c r="AG103" s="306" t="s">
        <v>4075</v>
      </c>
      <c r="AH103" s="987">
        <v>2018413960025</v>
      </c>
      <c r="AI103" s="307" t="s">
        <v>4081</v>
      </c>
      <c r="AJ103" s="309">
        <v>42948</v>
      </c>
      <c r="AK103" s="309">
        <v>43084</v>
      </c>
      <c r="AL103" s="308"/>
      <c r="AM103" s="308"/>
      <c r="AN103" s="267" t="s">
        <v>2598</v>
      </c>
      <c r="AO103" s="507">
        <v>2304</v>
      </c>
      <c r="AP103" s="525"/>
      <c r="AQ103" s="310"/>
      <c r="AR103" s="310"/>
      <c r="AS103" s="310"/>
      <c r="AT103" s="310"/>
      <c r="AU103" s="310"/>
      <c r="AV103" s="310"/>
      <c r="AW103" s="544"/>
      <c r="AX103" s="525"/>
      <c r="AY103" s="310"/>
      <c r="AZ103" s="310"/>
      <c r="BA103" s="310"/>
      <c r="BB103" s="310"/>
      <c r="BC103" s="310"/>
      <c r="BD103" s="310"/>
      <c r="BE103" s="544">
        <f t="shared" si="58"/>
        <v>0</v>
      </c>
      <c r="BF103" s="525"/>
      <c r="BG103" s="310"/>
      <c r="BH103" s="310"/>
      <c r="BI103" s="310"/>
      <c r="BJ103" s="310"/>
      <c r="BK103" s="310"/>
      <c r="BL103" s="310" t="s">
        <v>3528</v>
      </c>
      <c r="BM103" s="544">
        <f t="shared" si="59"/>
        <v>0</v>
      </c>
      <c r="BN103" s="525"/>
      <c r="BO103" s="310"/>
      <c r="BP103" s="310"/>
      <c r="BQ103" s="310"/>
      <c r="BR103" s="310"/>
      <c r="BS103" s="310"/>
      <c r="BT103" s="310"/>
      <c r="BU103" s="544">
        <f t="shared" si="60"/>
        <v>0</v>
      </c>
      <c r="BV103" s="556"/>
      <c r="BW103" s="663">
        <f t="shared" ref="BW103:BW133" si="70">AC103+AD103+AE103+AF103</f>
        <v>7</v>
      </c>
      <c r="BX103" s="1047">
        <f t="shared" si="50"/>
        <v>0.875</v>
      </c>
      <c r="BY103" s="1047">
        <f t="shared" si="64"/>
        <v>1.5</v>
      </c>
      <c r="BZ103" s="1047">
        <f t="shared" si="65"/>
        <v>1</v>
      </c>
      <c r="CA103" s="1047">
        <f t="shared" si="66"/>
        <v>1</v>
      </c>
      <c r="CB103" s="1047">
        <f t="shared" si="67"/>
        <v>0</v>
      </c>
      <c r="CD103" t="str">
        <f t="shared" si="68"/>
        <v>VE</v>
      </c>
      <c r="CE103" t="str">
        <f t="shared" si="68"/>
        <v>VE</v>
      </c>
      <c r="CF103" t="str">
        <f t="shared" si="68"/>
        <v>VE</v>
      </c>
      <c r="CG103" t="str">
        <f t="shared" si="68"/>
        <v>ROB</v>
      </c>
    </row>
    <row r="104" spans="1:85" ht="78" hidden="1" customHeight="1" x14ac:dyDescent="0.25">
      <c r="A104" s="298" t="s">
        <v>280</v>
      </c>
      <c r="B104" s="299" t="str">
        <f>'PLAN INDICATIVO'!B104</f>
        <v>Deporte y Recreación</v>
      </c>
      <c r="C104" s="1547"/>
      <c r="D104" s="1549"/>
      <c r="E104" s="1549"/>
      <c r="F104" s="1549"/>
      <c r="G104" s="1549"/>
      <c r="H104" s="1549"/>
      <c r="I104" s="300">
        <f>'PLAN INDICATIVO'!I104</f>
        <v>0</v>
      </c>
      <c r="J104" s="300">
        <f>'PLAN INDICATIVO'!J104</f>
        <v>0</v>
      </c>
      <c r="K104" s="1425" t="str">
        <f>'PLAN INDICATIVO'!K104</f>
        <v>A.4.2.7</v>
      </c>
      <c r="L104" s="1425">
        <f>'PLAN INDICATIVO'!L104</f>
        <v>0</v>
      </c>
      <c r="M104" s="1425" t="str">
        <f>'PLAN INDICATIVO'!M104</f>
        <v>Secretaría de Educación, Cultura, deporte y Turismo</v>
      </c>
      <c r="N104" s="1425" t="str">
        <f>'PLAN INDICATIVO'!N104</f>
        <v>YIMI FERNANDO LOSADA PAYA</v>
      </c>
      <c r="O104" s="1425" t="str">
        <f>'PLAN INDICATIVO'!O104</f>
        <v>Incremento</v>
      </c>
      <c r="P104" s="16" t="str">
        <f>'PLAN INDICATIVO'!P104</f>
        <v>Lograr que 1600 alumnos de las IE participen en los juegos Supérate cada año durante el cuatrienio.</v>
      </c>
      <c r="Q104" s="302" t="str">
        <f>'PLAN INDICATIVO'!Q104</f>
        <v>No. De alumnos de las IE participando en juegos supérate cada año.</v>
      </c>
      <c r="R104" s="303">
        <f>'PLAN INDICATIVO'!R104</f>
        <v>2015</v>
      </c>
      <c r="S104" s="304">
        <v>1600</v>
      </c>
      <c r="T104" s="677">
        <v>6400</v>
      </c>
      <c r="U104" s="303">
        <v>1600</v>
      </c>
      <c r="V104" s="687">
        <v>9</v>
      </c>
      <c r="W104" s="572">
        <v>1600</v>
      </c>
      <c r="X104" s="687">
        <v>6000000</v>
      </c>
      <c r="Y104" s="1232">
        <v>1801</v>
      </c>
      <c r="Z104" s="1232">
        <v>6000000</v>
      </c>
      <c r="AA104" s="1310">
        <f t="shared" si="69"/>
        <v>1644</v>
      </c>
      <c r="AB104" s="572">
        <v>6000000</v>
      </c>
      <c r="AC104" s="665">
        <v>1458</v>
      </c>
      <c r="AD104" s="665">
        <v>1340</v>
      </c>
      <c r="AE104" s="665">
        <v>1958</v>
      </c>
      <c r="AF104" s="665"/>
      <c r="AG104" s="306" t="s">
        <v>4075</v>
      </c>
      <c r="AH104" s="987">
        <v>2018413960025</v>
      </c>
      <c r="AI104" s="307" t="s">
        <v>4082</v>
      </c>
      <c r="AJ104" s="309">
        <v>42767</v>
      </c>
      <c r="AK104" s="309">
        <v>42916</v>
      </c>
      <c r="AL104" s="308"/>
      <c r="AM104" s="308"/>
      <c r="AN104" s="267" t="s">
        <v>2598</v>
      </c>
      <c r="AO104" s="507" t="s">
        <v>4083</v>
      </c>
      <c r="AP104" s="526"/>
      <c r="AQ104" s="310"/>
      <c r="AR104" s="310"/>
      <c r="AS104" s="470"/>
      <c r="AT104" s="470"/>
      <c r="AU104" s="470"/>
      <c r="AV104" s="470"/>
      <c r="AW104" s="544"/>
      <c r="AX104" s="526"/>
      <c r="AY104" s="470"/>
      <c r="AZ104" s="470"/>
      <c r="BA104" s="470"/>
      <c r="BB104" s="470"/>
      <c r="BC104" s="470"/>
      <c r="BD104" s="470"/>
      <c r="BE104" s="544">
        <f t="shared" si="58"/>
        <v>0</v>
      </c>
      <c r="BF104" s="526"/>
      <c r="BG104" s="310">
        <v>24500000</v>
      </c>
      <c r="BH104" s="310"/>
      <c r="BI104" s="470"/>
      <c r="BJ104" s="470"/>
      <c r="BK104" s="470"/>
      <c r="BL104" s="470"/>
      <c r="BM104" s="544">
        <f t="shared" si="59"/>
        <v>24500000</v>
      </c>
      <c r="BN104" s="526"/>
      <c r="BO104" s="470"/>
      <c r="BP104" s="470"/>
      <c r="BQ104" s="470"/>
      <c r="BR104" s="470"/>
      <c r="BS104" s="470"/>
      <c r="BT104" s="470"/>
      <c r="BU104" s="544">
        <f t="shared" si="60"/>
        <v>0</v>
      </c>
      <c r="BV104" s="556"/>
      <c r="BW104" s="663">
        <f t="shared" si="70"/>
        <v>4756</v>
      </c>
      <c r="BX104" s="1047">
        <f t="shared" si="50"/>
        <v>0.74312500000000004</v>
      </c>
      <c r="BY104" s="1047">
        <f t="shared" si="64"/>
        <v>0.91125</v>
      </c>
      <c r="BZ104" s="1047">
        <f t="shared" si="65"/>
        <v>0.83750000000000002</v>
      </c>
      <c r="CA104" s="1047">
        <f t="shared" si="66"/>
        <v>1.0871737923375902</v>
      </c>
      <c r="CB104" s="1047">
        <f t="shared" si="67"/>
        <v>0</v>
      </c>
      <c r="CD104" t="str">
        <f t="shared" si="68"/>
        <v>VE</v>
      </c>
      <c r="CE104" t="str">
        <f t="shared" si="68"/>
        <v>VEB</v>
      </c>
      <c r="CF104" t="str">
        <f t="shared" si="68"/>
        <v>VE</v>
      </c>
      <c r="CG104" t="str">
        <f t="shared" si="68"/>
        <v>ROB</v>
      </c>
    </row>
    <row r="105" spans="1:85" ht="77.25" hidden="1" customHeight="1" thickBot="1" x14ac:dyDescent="0.3">
      <c r="A105" s="298" t="s">
        <v>280</v>
      </c>
      <c r="B105" s="299" t="str">
        <f>'PLAN INDICATIVO'!B105</f>
        <v>Deporte y Recreación</v>
      </c>
      <c r="C105" s="1548"/>
      <c r="D105" s="1549"/>
      <c r="E105" s="1549"/>
      <c r="F105" s="1549"/>
      <c r="G105" s="1549"/>
      <c r="H105" s="1549"/>
      <c r="I105" s="300">
        <f>'PLAN INDICATIVO'!I105</f>
        <v>0</v>
      </c>
      <c r="J105" s="300">
        <f>'PLAN INDICATIVO'!J105</f>
        <v>0</v>
      </c>
      <c r="K105" s="1425" t="str">
        <f>'PLAN INDICATIVO'!K105</f>
        <v>A.4.2.8</v>
      </c>
      <c r="L105" s="1425">
        <f>'PLAN INDICATIVO'!L105</f>
        <v>0</v>
      </c>
      <c r="M105" s="1425" t="str">
        <f>'PLAN INDICATIVO'!M105</f>
        <v>Secretaría de Educación, Cultura, deporte y Turismo</v>
      </c>
      <c r="N105" s="1425" t="str">
        <f>'PLAN INDICATIVO'!N105</f>
        <v>YIMI FERNANDO LOSADA PAYA</v>
      </c>
      <c r="O105" s="1425" t="str">
        <f>'PLAN INDICATIVO'!O105</f>
        <v>Incremento</v>
      </c>
      <c r="P105" s="16" t="str">
        <f>'PLAN INDICATIVO'!P105</f>
        <v>Desarrollar 2 programas  deportivo-recreativo "Por la Convivencia Ciudadana" dirigido a la población del sector urbano y rural  del municipio durante el cuatrienio.</v>
      </c>
      <c r="Q105" s="302" t="str">
        <f>'PLAN INDICATIVO'!Q105</f>
        <v>No. De programas desarrollados</v>
      </c>
      <c r="R105" s="303">
        <f>'PLAN INDICATIVO'!R105</f>
        <v>2015</v>
      </c>
      <c r="S105" s="304">
        <v>0</v>
      </c>
      <c r="T105" s="677">
        <v>2</v>
      </c>
      <c r="U105" s="303">
        <v>1</v>
      </c>
      <c r="V105" s="687">
        <v>1</v>
      </c>
      <c r="W105" s="572">
        <v>1</v>
      </c>
      <c r="X105" s="687"/>
      <c r="Y105" s="572"/>
      <c r="Z105" s="572">
        <v>6000000</v>
      </c>
      <c r="AA105" s="1310"/>
      <c r="AB105" s="572"/>
      <c r="AC105" s="665">
        <v>1</v>
      </c>
      <c r="AD105" s="665">
        <v>1</v>
      </c>
      <c r="AE105" s="665"/>
      <c r="AF105" s="665"/>
      <c r="AG105" s="306" t="s">
        <v>4075</v>
      </c>
      <c r="AH105" s="987">
        <v>2018413960025</v>
      </c>
      <c r="AI105" s="307" t="s">
        <v>4084</v>
      </c>
      <c r="AJ105" s="309">
        <v>42767</v>
      </c>
      <c r="AK105" s="309">
        <v>42916</v>
      </c>
      <c r="AL105" s="308"/>
      <c r="AM105" s="308"/>
      <c r="AN105" s="267" t="s">
        <v>2594</v>
      </c>
      <c r="AO105" s="507"/>
      <c r="AP105" s="525"/>
      <c r="AQ105" s="310"/>
      <c r="AR105" s="310"/>
      <c r="AS105" s="310"/>
      <c r="AT105" s="310"/>
      <c r="AU105" s="310"/>
      <c r="AV105" s="310"/>
      <c r="AW105" s="310">
        <v>26500000</v>
      </c>
      <c r="AX105" s="525"/>
      <c r="AY105" s="310"/>
      <c r="AZ105" s="310"/>
      <c r="BA105" s="310"/>
      <c r="BB105" s="310"/>
      <c r="BC105" s="310"/>
      <c r="BD105" s="310"/>
      <c r="BE105" s="544">
        <f t="shared" si="58"/>
        <v>0</v>
      </c>
      <c r="BF105" s="525"/>
      <c r="BG105" s="310"/>
      <c r="BH105" s="310"/>
      <c r="BI105" s="310"/>
      <c r="BJ105" s="310"/>
      <c r="BK105" s="310"/>
      <c r="BL105" s="310"/>
      <c r="BM105" s="544">
        <f t="shared" si="59"/>
        <v>0</v>
      </c>
      <c r="BN105" s="525"/>
      <c r="BO105" s="310"/>
      <c r="BP105" s="310"/>
      <c r="BQ105" s="310"/>
      <c r="BR105" s="310"/>
      <c r="BS105" s="310"/>
      <c r="BT105" s="310"/>
      <c r="BU105" s="544">
        <f t="shared" si="60"/>
        <v>0</v>
      </c>
      <c r="BV105" s="556"/>
      <c r="BW105" s="663">
        <f t="shared" si="70"/>
        <v>2</v>
      </c>
      <c r="BX105" s="1047">
        <f t="shared" si="50"/>
        <v>1</v>
      </c>
      <c r="BY105" s="1047">
        <f t="shared" si="64"/>
        <v>1</v>
      </c>
      <c r="BZ105" s="1047">
        <f t="shared" si="65"/>
        <v>1</v>
      </c>
      <c r="CA105" s="1047" t="str">
        <f t="shared" si="66"/>
        <v>No Programada</v>
      </c>
      <c r="CB105" s="1047" t="str">
        <f t="shared" si="67"/>
        <v>No Programada</v>
      </c>
      <c r="CD105" t="str">
        <f t="shared" si="68"/>
        <v>VE</v>
      </c>
      <c r="CE105" t="str">
        <f t="shared" si="68"/>
        <v>VE</v>
      </c>
      <c r="CF105" t="str">
        <f t="shared" si="68"/>
        <v>NP</v>
      </c>
      <c r="CG105" t="str">
        <f t="shared" si="68"/>
        <v>NP</v>
      </c>
    </row>
    <row r="106" spans="1:85" ht="52.5" hidden="1" customHeight="1" thickBot="1" x14ac:dyDescent="0.3">
      <c r="A106" s="1608" t="s">
        <v>344</v>
      </c>
      <c r="B106" s="1609"/>
      <c r="C106" s="1609"/>
      <c r="D106" s="1609"/>
      <c r="E106" s="1609"/>
      <c r="F106" s="1609"/>
      <c r="G106" s="1609"/>
      <c r="H106" s="1609"/>
      <c r="I106" s="1609"/>
      <c r="J106" s="1609"/>
      <c r="K106" s="1609"/>
      <c r="L106" s="1609"/>
      <c r="M106" s="1609"/>
      <c r="N106" s="1609"/>
      <c r="O106" s="1609"/>
      <c r="P106" s="1609"/>
      <c r="Q106" s="1609"/>
      <c r="R106" s="1609"/>
      <c r="S106" s="1609"/>
      <c r="T106" s="1609"/>
      <c r="U106" s="1609"/>
      <c r="V106" s="1609"/>
      <c r="W106" s="1609"/>
      <c r="X106" s="1609"/>
      <c r="Y106" s="1609"/>
      <c r="Z106" s="1609"/>
      <c r="AA106" s="1609"/>
      <c r="AB106" s="1609"/>
      <c r="AC106" s="1609"/>
      <c r="AD106" s="1609"/>
      <c r="AE106" s="1609"/>
      <c r="AF106" s="1609"/>
      <c r="AG106" s="1609"/>
      <c r="AH106" s="1609"/>
      <c r="AI106" s="1609"/>
      <c r="AJ106" s="1609"/>
      <c r="AK106" s="1609"/>
      <c r="AL106" s="1609"/>
      <c r="AM106" s="1609"/>
      <c r="AN106" s="1609"/>
      <c r="AO106" s="1610"/>
      <c r="AP106" s="627"/>
      <c r="AQ106" s="628"/>
      <c r="AR106" s="628"/>
      <c r="AS106" s="628"/>
      <c r="AT106" s="628"/>
      <c r="AU106" s="628"/>
      <c r="AV106" s="628"/>
      <c r="AW106" s="634"/>
      <c r="AX106" s="627"/>
      <c r="AY106" s="628"/>
      <c r="AZ106" s="628"/>
      <c r="BA106" s="628"/>
      <c r="BB106" s="628"/>
      <c r="BC106" s="628"/>
      <c r="BD106" s="628"/>
      <c r="BE106" s="634">
        <f t="shared" si="58"/>
        <v>0</v>
      </c>
      <c r="BF106" s="627"/>
      <c r="BG106" s="628"/>
      <c r="BH106" s="628"/>
      <c r="BI106" s="628"/>
      <c r="BJ106" s="628"/>
      <c r="BK106" s="628"/>
      <c r="BL106" s="628"/>
      <c r="BM106" s="634">
        <f t="shared" si="59"/>
        <v>0</v>
      </c>
      <c r="BN106" s="627"/>
      <c r="BO106" s="628"/>
      <c r="BP106" s="628"/>
      <c r="BQ106" s="628"/>
      <c r="BR106" s="628"/>
      <c r="BS106" s="628"/>
      <c r="BT106" s="628"/>
      <c r="BU106" s="634">
        <f t="shared" si="60"/>
        <v>0</v>
      </c>
      <c r="BV106" s="652"/>
      <c r="BW106" s="628" t="s">
        <v>2717</v>
      </c>
      <c r="BX106" s="628" t="s">
        <v>2717</v>
      </c>
      <c r="BY106" s="628" t="s">
        <v>2717</v>
      </c>
      <c r="BZ106" s="628" t="s">
        <v>2717</v>
      </c>
      <c r="CA106" s="628" t="s">
        <v>2717</v>
      </c>
      <c r="CB106" s="1047" t="s">
        <v>2717</v>
      </c>
    </row>
    <row r="107" spans="1:85" ht="57" hidden="1" customHeight="1" x14ac:dyDescent="0.25">
      <c r="A107" s="296"/>
      <c r="B107" s="331" t="str">
        <f>'PLAN INDICATIVO'!B107</f>
        <v>Vivienda</v>
      </c>
      <c r="C107" s="1605" t="s">
        <v>345</v>
      </c>
      <c r="D107" s="1606"/>
      <c r="E107" s="1606"/>
      <c r="F107" s="1606"/>
      <c r="G107" s="1606"/>
      <c r="H107" s="1606"/>
      <c r="I107" s="1606"/>
      <c r="J107" s="1606"/>
      <c r="K107" s="1606"/>
      <c r="L107" s="1606"/>
      <c r="M107" s="1606"/>
      <c r="N107" s="1606"/>
      <c r="O107" s="1607"/>
      <c r="P107" s="318"/>
      <c r="Q107" s="318"/>
      <c r="R107" s="317"/>
      <c r="S107" s="319"/>
      <c r="T107" s="676"/>
      <c r="U107" s="319"/>
      <c r="V107" s="698">
        <v>745700</v>
      </c>
      <c r="W107" s="319"/>
      <c r="X107" s="695">
        <f>SUM(X108:X112)</f>
        <v>501000000</v>
      </c>
      <c r="Y107" s="319"/>
      <c r="Z107" s="696">
        <f>SUM(Z108:Z112)</f>
        <v>101000000</v>
      </c>
      <c r="AA107" s="320"/>
      <c r="AB107" s="697">
        <f>SUM(AB108:AB112)</f>
        <v>105000000</v>
      </c>
      <c r="AC107" s="320"/>
      <c r="AD107" s="320"/>
      <c r="AE107" s="320"/>
      <c r="AF107" s="320"/>
      <c r="AG107" s="321"/>
      <c r="AH107" s="321"/>
      <c r="AI107" s="321"/>
      <c r="AJ107" s="320"/>
      <c r="AK107" s="320"/>
      <c r="AL107" s="320"/>
      <c r="AM107" s="320"/>
      <c r="AN107" s="320"/>
      <c r="AO107" s="630"/>
      <c r="AP107" s="631"/>
      <c r="AQ107" s="631"/>
      <c r="AR107" s="631"/>
      <c r="AS107" s="631"/>
      <c r="AT107" s="631"/>
      <c r="AU107" s="631"/>
      <c r="AV107" s="631"/>
      <c r="AW107" s="617"/>
      <c r="AX107" s="631" t="e">
        <f>(AX108:AX112)</f>
        <v>#VALUE!</v>
      </c>
      <c r="AY107" s="631" t="e">
        <f t="shared" ref="AY107:BD107" si="71">(AY108:AY112)</f>
        <v>#VALUE!</v>
      </c>
      <c r="AZ107" s="631" t="e">
        <f t="shared" si="71"/>
        <v>#VALUE!</v>
      </c>
      <c r="BA107" s="631" t="e">
        <f t="shared" si="71"/>
        <v>#VALUE!</v>
      </c>
      <c r="BB107" s="631" t="e">
        <f t="shared" si="71"/>
        <v>#VALUE!</v>
      </c>
      <c r="BC107" s="631" t="e">
        <f t="shared" si="71"/>
        <v>#VALUE!</v>
      </c>
      <c r="BD107" s="631" t="e">
        <f t="shared" si="71"/>
        <v>#VALUE!</v>
      </c>
      <c r="BE107" s="617" t="e">
        <f t="shared" si="58"/>
        <v>#VALUE!</v>
      </c>
      <c r="BF107" s="631"/>
      <c r="BG107" s="631"/>
      <c r="BH107" s="631"/>
      <c r="BI107" s="631"/>
      <c r="BJ107" s="631"/>
      <c r="BK107" s="631"/>
      <c r="BL107" s="631"/>
      <c r="BM107" s="617">
        <f t="shared" si="59"/>
        <v>0</v>
      </c>
      <c r="BN107" s="631" t="e">
        <f>(BN108:BN112)</f>
        <v>#VALUE!</v>
      </c>
      <c r="BO107" s="631" t="e">
        <f t="shared" ref="BO107:BT107" si="72">(BO108:BO112)</f>
        <v>#VALUE!</v>
      </c>
      <c r="BP107" s="631" t="e">
        <f t="shared" si="72"/>
        <v>#VALUE!</v>
      </c>
      <c r="BQ107" s="631" t="e">
        <f t="shared" si="72"/>
        <v>#VALUE!</v>
      </c>
      <c r="BR107" s="631" t="e">
        <f t="shared" si="72"/>
        <v>#VALUE!</v>
      </c>
      <c r="BS107" s="631" t="e">
        <f t="shared" si="72"/>
        <v>#VALUE!</v>
      </c>
      <c r="BT107" s="631" t="e">
        <f t="shared" si="72"/>
        <v>#VALUE!</v>
      </c>
      <c r="BU107" s="617" t="e">
        <f t="shared" si="60"/>
        <v>#VALUE!</v>
      </c>
      <c r="BV107" s="556"/>
      <c r="BW107" s="617" t="s">
        <v>2717</v>
      </c>
      <c r="BX107" s="617" t="s">
        <v>2717</v>
      </c>
      <c r="BY107" s="617" t="s">
        <v>2717</v>
      </c>
      <c r="BZ107" s="617" t="s">
        <v>2717</v>
      </c>
      <c r="CA107" s="617" t="s">
        <v>2717</v>
      </c>
      <c r="CB107" s="1047" t="s">
        <v>2717</v>
      </c>
    </row>
    <row r="108" spans="1:85" ht="68.25" hidden="1" customHeight="1" x14ac:dyDescent="0.25">
      <c r="A108" s="298" t="s">
        <v>346</v>
      </c>
      <c r="B108" s="299" t="str">
        <f>'PLAN INDICATIVO'!B108</f>
        <v>Vivienda</v>
      </c>
      <c r="C108" s="1546" t="s">
        <v>347</v>
      </c>
      <c r="D108" s="1549" t="s">
        <v>348</v>
      </c>
      <c r="E108" s="1549" t="s">
        <v>349</v>
      </c>
      <c r="F108" s="1549">
        <v>2015</v>
      </c>
      <c r="G108" s="1549">
        <v>37.700000000000003</v>
      </c>
      <c r="H108" s="1549">
        <v>33</v>
      </c>
      <c r="I108" s="1425" t="str">
        <f>'PLAN INDICATIVO'!I108</f>
        <v>SI</v>
      </c>
      <c r="J108" s="1425">
        <f>'PLAN INDICATIVO'!J108</f>
        <v>0</v>
      </c>
      <c r="K108" s="1425" t="str">
        <f>'PLAN INDICATIVO'!K108</f>
        <v>A.7.1.1</v>
      </c>
      <c r="L108" s="1425" t="str">
        <f>'PLAN INDICATIVO'!L108</f>
        <v>11. Ciudades y comunidades sostenibles</v>
      </c>
      <c r="M108" s="1425" t="str">
        <f>'PLAN INDICATIVO'!M108</f>
        <v>departamento Municipal de Planeación</v>
      </c>
      <c r="N108" s="1425" t="str">
        <f>'PLAN INDICATIVO'!N108</f>
        <v>MAURICIO LEGARDA GONZALEZ</v>
      </c>
      <c r="O108" s="1425" t="str">
        <f>'PLAN INDICATIVO'!O108</f>
        <v>Incremento</v>
      </c>
      <c r="P108" s="16" t="str">
        <f>'PLAN INDICATIVO'!P108</f>
        <v>Realizar   450 mejoramientos de vivienda  en el municipio durante  el cuatrienio.</v>
      </c>
      <c r="Q108" s="302" t="str">
        <f>'PLAN INDICATIVO'!Q108</f>
        <v>No. De Mejoramientos de vivienda realizados</v>
      </c>
      <c r="R108" s="303">
        <f>'PLAN INDICATIVO'!R108</f>
        <v>2015</v>
      </c>
      <c r="S108" s="304" t="s">
        <v>177</v>
      </c>
      <c r="T108" s="677">
        <v>450</v>
      </c>
      <c r="U108" s="303">
        <v>152</v>
      </c>
      <c r="V108" s="687">
        <v>573000000</v>
      </c>
      <c r="W108" s="572">
        <v>180</v>
      </c>
      <c r="X108" s="687">
        <v>490000000</v>
      </c>
      <c r="Y108" s="572">
        <v>165</v>
      </c>
      <c r="Z108" s="688">
        <v>101000000</v>
      </c>
      <c r="AA108" s="1310">
        <v>96</v>
      </c>
      <c r="AB108" s="688">
        <v>105000000</v>
      </c>
      <c r="AC108" s="665">
        <v>8</v>
      </c>
      <c r="AD108" s="665">
        <f>98+32+28+23</f>
        <v>181</v>
      </c>
      <c r="AE108" s="665">
        <f>119+46</f>
        <v>165</v>
      </c>
      <c r="AF108" s="665"/>
      <c r="AG108" s="306" t="s">
        <v>3556</v>
      </c>
      <c r="AH108" s="987">
        <v>2018413960027</v>
      </c>
      <c r="AI108" s="307" t="s">
        <v>4085</v>
      </c>
      <c r="AJ108" s="838">
        <v>43132</v>
      </c>
      <c r="AK108" s="838">
        <v>43449</v>
      </c>
      <c r="AL108" s="308"/>
      <c r="AM108" s="308"/>
      <c r="AN108" s="267" t="s">
        <v>2598</v>
      </c>
      <c r="AO108" s="507">
        <v>2307</v>
      </c>
      <c r="AP108" s="525"/>
      <c r="AQ108" s="310"/>
      <c r="AR108" s="310"/>
      <c r="AS108" s="310"/>
      <c r="AT108" s="310"/>
      <c r="AU108" s="380"/>
      <c r="AV108" s="310"/>
      <c r="AW108" s="544"/>
      <c r="AX108" s="525"/>
      <c r="AY108" s="310"/>
      <c r="AZ108" s="310"/>
      <c r="BA108" s="310"/>
      <c r="BB108" s="310"/>
      <c r="BC108" s="380"/>
      <c r="BD108" s="310"/>
      <c r="BE108" s="544">
        <f t="shared" si="58"/>
        <v>0</v>
      </c>
      <c r="BF108" s="525"/>
      <c r="BG108" s="310"/>
      <c r="BH108" s="310"/>
      <c r="BI108" s="310"/>
      <c r="BJ108" s="310"/>
      <c r="BK108" s="380"/>
      <c r="BL108" s="310"/>
      <c r="BM108" s="544">
        <f t="shared" si="59"/>
        <v>0</v>
      </c>
      <c r="BN108" s="525"/>
      <c r="BO108" s="310"/>
      <c r="BP108" s="310"/>
      <c r="BQ108" s="310"/>
      <c r="BR108" s="310"/>
      <c r="BS108" s="380"/>
      <c r="BT108" s="310"/>
      <c r="BU108" s="544">
        <f t="shared" si="60"/>
        <v>0</v>
      </c>
      <c r="BV108" s="556"/>
      <c r="BW108" s="663">
        <f t="shared" si="70"/>
        <v>354</v>
      </c>
      <c r="BX108" s="1047">
        <f t="shared" si="50"/>
        <v>0.78666666666666663</v>
      </c>
      <c r="BY108" s="1047">
        <f>IF(U108&gt;=0.1,AC108/U108,IF(ISBLANK(U108),"No Programada","Aplazada"))</f>
        <v>5.2631578947368418E-2</v>
      </c>
      <c r="BZ108" s="1047">
        <f>IF(W108&gt;=0.1,AD108/W108,IF(ISBLANK(W108),"No Programada","Aplazada"))</f>
        <v>1.0055555555555555</v>
      </c>
      <c r="CA108" s="1047">
        <f>IF(Y108&gt;=0.1,AE108/Y108,IF(ISBLANK(Y108),"No Programada","Aplazada"))</f>
        <v>1</v>
      </c>
      <c r="CB108" s="1047">
        <f>IF(AA108&gt;=0.1,AF108/AA108,IF(ISBLANK(AA108),"No Programada","Aplazada"))</f>
        <v>0</v>
      </c>
      <c r="CD108" t="str">
        <f t="shared" ref="CD108:CG112" si="73">IF(BY108="PARA MODIFICAR","M",IF(BY108="PARA ELIMINAR","E",IF(BY108="aplazada","AZ",IF(BY108="no programada","NP",IF(BY108&gt;=85%,"VE",IF(BY108&gt;70%,"VEB",IF(BY108&gt;60%,"AM",IF(BY108&gt;40%,"AMB",IF(BY108&gt;20%,"RO",IF(BY108&gt;=0%,"ROB",""))))))))))</f>
        <v>ROB</v>
      </c>
      <c r="CE108" t="str">
        <f t="shared" si="73"/>
        <v>VE</v>
      </c>
      <c r="CF108" t="str">
        <f t="shared" si="73"/>
        <v>VE</v>
      </c>
      <c r="CG108" t="str">
        <f t="shared" si="73"/>
        <v>ROB</v>
      </c>
    </row>
    <row r="109" spans="1:85" ht="45.75" hidden="1" customHeight="1" x14ac:dyDescent="0.25">
      <c r="A109" s="298" t="s">
        <v>346</v>
      </c>
      <c r="B109" s="299" t="str">
        <f>'PLAN INDICATIVO'!B109</f>
        <v>Vivienda</v>
      </c>
      <c r="C109" s="1547"/>
      <c r="D109" s="1549"/>
      <c r="E109" s="1549"/>
      <c r="F109" s="1549"/>
      <c r="G109" s="1549"/>
      <c r="H109" s="1549"/>
      <c r="I109" s="300">
        <f>'PLAN INDICATIVO'!I109</f>
        <v>0</v>
      </c>
      <c r="J109" s="300">
        <f>'PLAN INDICATIVO'!J109</f>
        <v>0</v>
      </c>
      <c r="K109" s="1425" t="str">
        <f>'PLAN INDICATIVO'!K109</f>
        <v>A.7.1.2</v>
      </c>
      <c r="L109" s="1425" t="str">
        <f>'PLAN INDICATIVO'!L109</f>
        <v>11. Ciudades y comunidades sostenibles</v>
      </c>
      <c r="M109" s="1425" t="str">
        <f>'PLAN INDICATIVO'!M109</f>
        <v>departamento Municipal de Planeación</v>
      </c>
      <c r="N109" s="1425" t="str">
        <f>'PLAN INDICATIVO'!N109</f>
        <v>MAURICIO LEGARDA GONZALEZ</v>
      </c>
      <c r="O109" s="1425" t="str">
        <f>'PLAN INDICATIVO'!O109</f>
        <v>Incremento</v>
      </c>
      <c r="P109" s="16" t="str">
        <f>'PLAN INDICATIVO'!P109</f>
        <v>Apoyar a 2 barrios con programa de legalización durante el cuatrienio</v>
      </c>
      <c r="Q109" s="302" t="str">
        <f>'PLAN INDICATIVO'!Q109</f>
        <v>No. De barrios legalizados</v>
      </c>
      <c r="R109" s="303">
        <f>'PLAN INDICATIVO'!R109</f>
        <v>2015</v>
      </c>
      <c r="S109" s="304">
        <v>0</v>
      </c>
      <c r="T109" s="677">
        <v>2</v>
      </c>
      <c r="U109" s="303"/>
      <c r="V109" s="686">
        <v>19000000</v>
      </c>
      <c r="W109" s="572">
        <v>1</v>
      </c>
      <c r="X109" s="687">
        <v>500000</v>
      </c>
      <c r="Y109" s="572">
        <v>1</v>
      </c>
      <c r="Z109" s="572"/>
      <c r="AA109" s="1310">
        <f>T109-BW109</f>
        <v>0.5</v>
      </c>
      <c r="AB109" s="572"/>
      <c r="AC109" s="843"/>
      <c r="AD109" s="665">
        <v>0.8</v>
      </c>
      <c r="AE109" s="665">
        <v>0.7</v>
      </c>
      <c r="AF109" s="665"/>
      <c r="AG109" s="306" t="s">
        <v>3556</v>
      </c>
      <c r="AH109" s="987">
        <v>2018413960027</v>
      </c>
      <c r="AI109" s="307" t="s">
        <v>4086</v>
      </c>
      <c r="AJ109" s="838">
        <v>43146</v>
      </c>
      <c r="AK109" s="838">
        <v>43281</v>
      </c>
      <c r="AL109" s="308"/>
      <c r="AM109" s="308"/>
      <c r="AN109" s="267" t="s">
        <v>2604</v>
      </c>
      <c r="AO109" s="507">
        <v>2307</v>
      </c>
      <c r="AP109" s="525"/>
      <c r="AQ109" s="310"/>
      <c r="AR109" s="310"/>
      <c r="AS109" s="310"/>
      <c r="AT109" s="310"/>
      <c r="AU109" s="310"/>
      <c r="AV109" s="310"/>
      <c r="AW109" s="544"/>
      <c r="AX109" s="525"/>
      <c r="AY109" s="310"/>
      <c r="AZ109" s="310"/>
      <c r="BA109" s="310"/>
      <c r="BB109" s="310"/>
      <c r="BC109" s="310"/>
      <c r="BD109" s="310"/>
      <c r="BE109" s="544">
        <f t="shared" si="58"/>
        <v>0</v>
      </c>
      <c r="BF109" s="525"/>
      <c r="BG109" s="310"/>
      <c r="BH109" s="310"/>
      <c r="BI109" s="310"/>
      <c r="BJ109" s="310"/>
      <c r="BK109" s="310"/>
      <c r="BL109" s="310"/>
      <c r="BM109" s="544">
        <f t="shared" si="59"/>
        <v>0</v>
      </c>
      <c r="BN109" s="525"/>
      <c r="BO109" s="310"/>
      <c r="BP109" s="310"/>
      <c r="BQ109" s="310"/>
      <c r="BR109" s="310"/>
      <c r="BS109" s="310"/>
      <c r="BT109" s="310"/>
      <c r="BU109" s="544">
        <f t="shared" si="60"/>
        <v>0</v>
      </c>
      <c r="BV109" s="556"/>
      <c r="BW109" s="663">
        <f t="shared" si="70"/>
        <v>1.5</v>
      </c>
      <c r="BX109" s="1047">
        <f t="shared" si="50"/>
        <v>0.75</v>
      </c>
      <c r="BY109" s="1047" t="str">
        <f>IF(U109&gt;=0.1,AC109/U109,IF(ISBLANK(U109),"No Programada","Aplazada"))</f>
        <v>No Programada</v>
      </c>
      <c r="BZ109" s="1047">
        <f>IF(W109&gt;=0.1,AD109/W109,IF(ISBLANK(W109),"No Programada","Aplazada"))</f>
        <v>0.8</v>
      </c>
      <c r="CA109" s="1047">
        <f>IF(Y109&gt;=0.1,AE109/Y109,IF(ISBLANK(Y109),"No Programada","Aplazada"))</f>
        <v>0.7</v>
      </c>
      <c r="CB109" s="1047">
        <f>IF(AA109&gt;=0.1,AF109/AA109,IF(ISBLANK(AA109),"No Programada","Aplazada"))</f>
        <v>0</v>
      </c>
      <c r="CD109" t="str">
        <f t="shared" si="73"/>
        <v>NP</v>
      </c>
      <c r="CE109" t="str">
        <f t="shared" si="73"/>
        <v>VEB</v>
      </c>
      <c r="CF109" t="str">
        <f t="shared" si="73"/>
        <v>AM</v>
      </c>
      <c r="CG109" t="str">
        <f t="shared" si="73"/>
        <v>ROB</v>
      </c>
    </row>
    <row r="110" spans="1:85" ht="63.75" hidden="1" customHeight="1" x14ac:dyDescent="0.25">
      <c r="A110" s="298" t="s">
        <v>346</v>
      </c>
      <c r="B110" s="299" t="str">
        <f>'PLAN INDICATIVO'!B110</f>
        <v>Vivienda</v>
      </c>
      <c r="C110" s="1547"/>
      <c r="D110" s="1549"/>
      <c r="E110" s="1549"/>
      <c r="F110" s="1549"/>
      <c r="G110" s="1549"/>
      <c r="H110" s="1549"/>
      <c r="I110" s="300">
        <f>'PLAN INDICATIVO'!I110</f>
        <v>0</v>
      </c>
      <c r="J110" s="300">
        <f>'PLAN INDICATIVO'!J110</f>
        <v>0</v>
      </c>
      <c r="K110" s="1425" t="str">
        <f>'PLAN INDICATIVO'!K110</f>
        <v>A.7.1.3</v>
      </c>
      <c r="L110" s="1425" t="str">
        <f>'PLAN INDICATIVO'!L110</f>
        <v>11. Ciudades y comunidades sostenibles</v>
      </c>
      <c r="M110" s="1425" t="str">
        <f>'PLAN INDICATIVO'!M110</f>
        <v>departamento Municipal de Planeación</v>
      </c>
      <c r="N110" s="1425" t="str">
        <f>'PLAN INDICATIVO'!N110</f>
        <v>MAURICIO LEGARDA GONZALEZ</v>
      </c>
      <c r="O110" s="1425" t="str">
        <f>'PLAN INDICATIVO'!O110</f>
        <v>Incremento</v>
      </c>
      <c r="P110" s="16" t="str">
        <f>'PLAN INDICATIVO'!P110</f>
        <v>Construir o remodelar 15.000 m2 de espacio público  para el disfrute de los ciudadanos durante el cuatrienio</v>
      </c>
      <c r="Q110" s="302" t="str">
        <f>'PLAN INDICATIVO'!Q110</f>
        <v>No. De m2 construidos o remodelados de espacio público</v>
      </c>
      <c r="R110" s="303">
        <f>'PLAN INDICATIVO'!R110</f>
        <v>2015</v>
      </c>
      <c r="S110" s="304">
        <v>0</v>
      </c>
      <c r="T110" s="677">
        <v>15000</v>
      </c>
      <c r="U110" s="303"/>
      <c r="V110" s="686">
        <v>20000000</v>
      </c>
      <c r="W110" s="572">
        <v>4000</v>
      </c>
      <c r="X110" s="687">
        <v>10000000</v>
      </c>
      <c r="Y110" s="572">
        <v>4792.8999999999996</v>
      </c>
      <c r="Z110" s="572"/>
      <c r="AA110" s="1310">
        <v>4364.1000000000004</v>
      </c>
      <c r="AB110" s="572"/>
      <c r="AC110" s="665"/>
      <c r="AD110" s="665">
        <v>5843</v>
      </c>
      <c r="AE110" s="665">
        <f>900+840+875+1530.75+647.15</f>
        <v>4792.8999999999996</v>
      </c>
      <c r="AF110" s="665"/>
      <c r="AG110" s="306" t="s">
        <v>3556</v>
      </c>
      <c r="AH110" s="987">
        <v>2018413960027</v>
      </c>
      <c r="AI110" s="336" t="s">
        <v>4087</v>
      </c>
      <c r="AJ110" s="898">
        <v>43146</v>
      </c>
      <c r="AK110" s="898">
        <v>43449</v>
      </c>
      <c r="AL110" s="337"/>
      <c r="AM110" s="337"/>
      <c r="AN110" s="267" t="s">
        <v>2598</v>
      </c>
      <c r="AO110" s="507">
        <v>2307</v>
      </c>
      <c r="AP110" s="527"/>
      <c r="AQ110" s="471"/>
      <c r="AR110" s="471"/>
      <c r="AS110" s="471"/>
      <c r="AT110" s="471"/>
      <c r="AU110" s="471"/>
      <c r="AV110" s="471"/>
      <c r="AW110" s="544"/>
      <c r="AX110" s="527"/>
      <c r="AY110" s="471"/>
      <c r="AZ110" s="471"/>
      <c r="BA110" s="471"/>
      <c r="BB110" s="471"/>
      <c r="BC110" s="471"/>
      <c r="BD110" s="471"/>
      <c r="BE110" s="544">
        <f t="shared" si="58"/>
        <v>0</v>
      </c>
      <c r="BF110" s="527"/>
      <c r="BG110" s="471"/>
      <c r="BH110" s="471"/>
      <c r="BI110" s="471"/>
      <c r="BJ110" s="471"/>
      <c r="BK110" s="471"/>
      <c r="BL110" s="471"/>
      <c r="BM110" s="544">
        <f t="shared" si="59"/>
        <v>0</v>
      </c>
      <c r="BN110" s="527"/>
      <c r="BO110" s="471"/>
      <c r="BP110" s="471"/>
      <c r="BQ110" s="471"/>
      <c r="BR110" s="471"/>
      <c r="BS110" s="471"/>
      <c r="BT110" s="471"/>
      <c r="BU110" s="544">
        <f t="shared" si="60"/>
        <v>0</v>
      </c>
      <c r="BV110" s="556"/>
      <c r="BW110" s="663">
        <f t="shared" si="70"/>
        <v>10635.9</v>
      </c>
      <c r="BX110" s="1047">
        <f t="shared" si="50"/>
        <v>0.70906000000000002</v>
      </c>
      <c r="BY110" s="1047" t="str">
        <f>IF(U110&gt;=0.1,AC110/U110,IF(ISBLANK(U110),"No Programada","Aplazada"))</f>
        <v>No Programada</v>
      </c>
      <c r="BZ110" s="1047">
        <f>IF(W110&gt;=0.1,AD110/W110,IF(ISBLANK(W110),"No Programada","Aplazada"))</f>
        <v>1.46075</v>
      </c>
      <c r="CA110" s="1047">
        <f>IF(Y110&gt;=0.1,AE110/Y110,IF(ISBLANK(Y110),"No Programada","Aplazada"))</f>
        <v>1</v>
      </c>
      <c r="CB110" s="1047">
        <f>IF(AA110&gt;=0.1,AF110/AA110,IF(ISBLANK(AA110),"No Programada","Aplazada"))</f>
        <v>0</v>
      </c>
      <c r="CD110" t="str">
        <f t="shared" si="73"/>
        <v>NP</v>
      </c>
      <c r="CE110" t="str">
        <f t="shared" si="73"/>
        <v>VE</v>
      </c>
      <c r="CF110" t="str">
        <f t="shared" si="73"/>
        <v>VE</v>
      </c>
      <c r="CG110" t="str">
        <f t="shared" si="73"/>
        <v>ROB</v>
      </c>
    </row>
    <row r="111" spans="1:85" ht="67.5" hidden="1" customHeight="1" x14ac:dyDescent="0.25">
      <c r="A111" s="298" t="s">
        <v>346</v>
      </c>
      <c r="B111" s="299" t="str">
        <f>'PLAN INDICATIVO'!B111</f>
        <v>Vivienda</v>
      </c>
      <c r="C111" s="1547"/>
      <c r="D111" s="1549"/>
      <c r="E111" s="1549"/>
      <c r="F111" s="1549"/>
      <c r="G111" s="1549"/>
      <c r="H111" s="1549"/>
      <c r="I111" s="300">
        <f>'PLAN INDICATIVO'!I111</f>
        <v>0</v>
      </c>
      <c r="J111" s="300">
        <f>'PLAN INDICATIVO'!J111</f>
        <v>0</v>
      </c>
      <c r="K111" s="1425" t="str">
        <f>'PLAN INDICATIVO'!K111</f>
        <v>A.7.1.4</v>
      </c>
      <c r="L111" s="1425" t="str">
        <f>'PLAN INDICATIVO'!L111</f>
        <v>11. Ciudades y comunidades sostenibles</v>
      </c>
      <c r="M111" s="1425" t="str">
        <f>'PLAN INDICATIVO'!M111</f>
        <v>departamento Municipal de Planeación</v>
      </c>
      <c r="N111" s="1425" t="str">
        <f>'PLAN INDICATIVO'!N111</f>
        <v>MAURICIO LEGARDA GONZALEZ</v>
      </c>
      <c r="O111" s="1425" t="str">
        <f>'PLAN INDICATIVO'!O111</f>
        <v>Incremento</v>
      </c>
      <c r="P111" s="1230" t="str">
        <f>'PLAN INDICATIVO'!P111</f>
        <v>Ajustar un nuevo PBOT  que defina áreas de desarrollo urbanístico en zonas que no representen alto riesgo</v>
      </c>
      <c r="Q111" s="302" t="str">
        <f>'PLAN INDICATIVO'!Q111</f>
        <v>No. De PBOT ajustado</v>
      </c>
      <c r="R111" s="303">
        <f>'PLAN INDICATIVO'!R111</f>
        <v>2015</v>
      </c>
      <c r="S111" s="304">
        <v>0</v>
      </c>
      <c r="T111" s="677">
        <v>1</v>
      </c>
      <c r="U111" s="106"/>
      <c r="V111" s="686">
        <v>0</v>
      </c>
      <c r="W111" s="572"/>
      <c r="X111" s="572"/>
      <c r="Y111" s="572">
        <v>1</v>
      </c>
      <c r="Z111" s="572"/>
      <c r="AA111" s="1310" t="s">
        <v>4088</v>
      </c>
      <c r="AB111" s="572"/>
      <c r="AC111" s="665"/>
      <c r="AD111" s="665"/>
      <c r="AE111" s="665">
        <v>0.1</v>
      </c>
      <c r="AF111" s="665"/>
      <c r="AG111" s="306" t="s">
        <v>3556</v>
      </c>
      <c r="AH111" s="987">
        <v>2018413960027</v>
      </c>
      <c r="AI111" s="307"/>
      <c r="AJ111" s="838">
        <v>43132</v>
      </c>
      <c r="AK111" s="838">
        <v>43449</v>
      </c>
      <c r="AL111" s="308"/>
      <c r="AM111" s="308"/>
      <c r="AN111" s="267" t="s">
        <v>2600</v>
      </c>
      <c r="AO111" s="507">
        <v>2307</v>
      </c>
      <c r="AP111" s="525"/>
      <c r="AQ111" s="310"/>
      <c r="AR111" s="310"/>
      <c r="AS111" s="310"/>
      <c r="AT111" s="310"/>
      <c r="AU111" s="310"/>
      <c r="AV111" s="310"/>
      <c r="AW111" s="544"/>
      <c r="AX111" s="525"/>
      <c r="AY111" s="310"/>
      <c r="AZ111" s="310"/>
      <c r="BA111" s="310"/>
      <c r="BB111" s="310"/>
      <c r="BC111" s="310"/>
      <c r="BD111" s="310"/>
      <c r="BE111" s="544">
        <f t="shared" si="58"/>
        <v>0</v>
      </c>
      <c r="BF111" s="525"/>
      <c r="BG111" s="310"/>
      <c r="BH111" s="310"/>
      <c r="BI111" s="310"/>
      <c r="BJ111" s="310"/>
      <c r="BK111" s="310"/>
      <c r="BL111" s="310"/>
      <c r="BM111" s="544">
        <f t="shared" si="59"/>
        <v>0</v>
      </c>
      <c r="BN111" s="525"/>
      <c r="BO111" s="310"/>
      <c r="BP111" s="310"/>
      <c r="BQ111" s="310"/>
      <c r="BR111" s="310"/>
      <c r="BS111" s="310"/>
      <c r="BT111" s="310"/>
      <c r="BU111" s="544">
        <f t="shared" si="60"/>
        <v>0</v>
      </c>
      <c r="BV111" s="556"/>
      <c r="BW111" s="663">
        <f t="shared" si="70"/>
        <v>0.1</v>
      </c>
      <c r="BX111" s="1047">
        <f t="shared" si="50"/>
        <v>0.1</v>
      </c>
      <c r="BY111" s="1047" t="str">
        <f>IF(U111&gt;=0.1,AC111/U111,IF(ISBLANK(U111),"No Programada","Aplazada"))</f>
        <v>No Programada</v>
      </c>
      <c r="BZ111" s="1047" t="str">
        <f>IF(W111&gt;=0.1,AD111/W111,IF(ISBLANK(W111),"No Programada","Aplazada"))</f>
        <v>No Programada</v>
      </c>
      <c r="CA111" s="1047">
        <f>IF(Y111&gt;=0.1,AE111/Y111,IF(ISBLANK(Y111),"No Programada","Aplazada"))</f>
        <v>0.1</v>
      </c>
      <c r="CB111" s="1047">
        <f>IF(AA111&gt;=0.1,AF111/AA111,IF(ISBLANK(AA111),"No Programada","Aplazada"))</f>
        <v>0</v>
      </c>
      <c r="CD111" t="str">
        <f t="shared" si="73"/>
        <v>NP</v>
      </c>
      <c r="CE111" t="str">
        <f t="shared" si="73"/>
        <v>NP</v>
      </c>
      <c r="CF111" t="str">
        <f t="shared" si="73"/>
        <v>ROB</v>
      </c>
      <c r="CG111" t="str">
        <f t="shared" si="73"/>
        <v>ROB</v>
      </c>
    </row>
    <row r="112" spans="1:85" ht="73.5" hidden="1" customHeight="1" x14ac:dyDescent="0.25">
      <c r="A112" s="298" t="s">
        <v>2458</v>
      </c>
      <c r="B112" s="299" t="str">
        <f>'PLAN INDICATIVO'!B112</f>
        <v>Vivienda</v>
      </c>
      <c r="C112" s="1548"/>
      <c r="D112" s="1549"/>
      <c r="E112" s="1549"/>
      <c r="F112" s="1549"/>
      <c r="G112" s="1549"/>
      <c r="H112" s="1549"/>
      <c r="I112" s="300">
        <f>'PLAN INDICATIVO'!I112</f>
        <v>0</v>
      </c>
      <c r="J112" s="300">
        <f>'PLAN INDICATIVO'!J112</f>
        <v>0</v>
      </c>
      <c r="K112" s="1425" t="str">
        <f>'PLAN INDICATIVO'!K112</f>
        <v>A.7.1.5</v>
      </c>
      <c r="L112" s="1425" t="str">
        <f>'PLAN INDICATIVO'!L112</f>
        <v>11. Ciudades y comunidades sostenibles</v>
      </c>
      <c r="M112" s="1425" t="str">
        <f>'PLAN INDICATIVO'!M112</f>
        <v>departamento Municipal de Planeación</v>
      </c>
      <c r="N112" s="1425" t="str">
        <f>'PLAN INDICATIVO'!N112</f>
        <v>MAURICIO LEGARDA GONZALEZ</v>
      </c>
      <c r="O112" s="1425" t="str">
        <f>'PLAN INDICATIVO'!O112</f>
        <v>Incremento</v>
      </c>
      <c r="P112" s="1198" t="str">
        <f>'PLAN INDICATIVO'!P112</f>
        <v>Realizar 5 capacitaciones  a familias,  durante el cuatrienio, en el tema de "créditos de vivienda".</v>
      </c>
      <c r="Q112" s="302" t="str">
        <f>'PLAN INDICATIVO'!Q112</f>
        <v>No. de capacitaciones realizadas</v>
      </c>
      <c r="R112" s="303">
        <f>'PLAN INDICATIVO'!R112</f>
        <v>2015</v>
      </c>
      <c r="S112" s="304">
        <v>0</v>
      </c>
      <c r="T112" s="1293">
        <v>5</v>
      </c>
      <c r="U112" s="303">
        <v>3</v>
      </c>
      <c r="V112" s="686">
        <v>1000000</v>
      </c>
      <c r="W112" s="572">
        <v>3</v>
      </c>
      <c r="X112" s="687">
        <v>500000</v>
      </c>
      <c r="Y112" s="572">
        <v>3</v>
      </c>
      <c r="Z112" s="572"/>
      <c r="AA112" s="1310"/>
      <c r="AB112" s="572"/>
      <c r="AC112" s="665">
        <v>0</v>
      </c>
      <c r="AD112" s="665">
        <v>3</v>
      </c>
      <c r="AE112" s="665">
        <v>2</v>
      </c>
      <c r="AF112" s="665"/>
      <c r="AG112" s="306" t="s">
        <v>3556</v>
      </c>
      <c r="AH112" s="987">
        <v>2018413960027</v>
      </c>
      <c r="AI112" s="307" t="s">
        <v>4089</v>
      </c>
      <c r="AJ112" s="838">
        <v>43146</v>
      </c>
      <c r="AK112" s="838">
        <v>43373</v>
      </c>
      <c r="AL112" s="308"/>
      <c r="AM112" s="308"/>
      <c r="AN112" s="267" t="s">
        <v>2604</v>
      </c>
      <c r="AO112" s="507">
        <v>2307</v>
      </c>
      <c r="AP112" s="525"/>
      <c r="AQ112" s="310"/>
      <c r="AR112" s="310"/>
      <c r="AS112" s="310"/>
      <c r="AT112" s="310"/>
      <c r="AU112" s="310"/>
      <c r="AV112" s="310"/>
      <c r="AW112" s="544"/>
      <c r="AX112" s="525"/>
      <c r="AY112" s="310"/>
      <c r="AZ112" s="310"/>
      <c r="BA112" s="310"/>
      <c r="BB112" s="310"/>
      <c r="BC112" s="310"/>
      <c r="BD112" s="310"/>
      <c r="BE112" s="544">
        <f t="shared" si="58"/>
        <v>0</v>
      </c>
      <c r="BF112" s="525"/>
      <c r="BG112" s="310"/>
      <c r="BH112" s="310"/>
      <c r="BI112" s="310"/>
      <c r="BJ112" s="310"/>
      <c r="BK112" s="310"/>
      <c r="BL112" s="310"/>
      <c r="BM112" s="544">
        <f t="shared" si="59"/>
        <v>0</v>
      </c>
      <c r="BN112" s="525"/>
      <c r="BO112" s="310"/>
      <c r="BP112" s="310"/>
      <c r="BQ112" s="310"/>
      <c r="BR112" s="310"/>
      <c r="BS112" s="310"/>
      <c r="BT112" s="310"/>
      <c r="BU112" s="544">
        <f t="shared" si="60"/>
        <v>0</v>
      </c>
      <c r="BV112" s="556"/>
      <c r="BW112" s="663">
        <f t="shared" si="70"/>
        <v>5</v>
      </c>
      <c r="BX112" s="1047">
        <f t="shared" si="50"/>
        <v>1</v>
      </c>
      <c r="BY112" s="1047">
        <f>IF(U112&gt;=0.1,AC112/U112,IF(ISBLANK(U112),"No Programada","Aplazada"))</f>
        <v>0</v>
      </c>
      <c r="BZ112" s="1047">
        <f>IF(W112&gt;=0.1,AD112/W112,IF(ISBLANK(W112),"No Programada","Aplazada"))</f>
        <v>1</v>
      </c>
      <c r="CA112" s="1047">
        <f>IF(Y112&gt;=0.1,AE112/Y112,IF(ISBLANK(Y112),"No Programada","Aplazada"))</f>
        <v>0.66666666666666663</v>
      </c>
      <c r="CB112" s="1047" t="str">
        <f>IF(AA112&gt;=0.1,AF112/AA112,IF(ISBLANK(AA112),"No Programada","Aplazada"))</f>
        <v>No Programada</v>
      </c>
      <c r="CD112" t="str">
        <f t="shared" si="73"/>
        <v>ROB</v>
      </c>
      <c r="CE112" t="str">
        <f t="shared" si="73"/>
        <v>VE</v>
      </c>
      <c r="CF112" t="str">
        <f t="shared" si="73"/>
        <v>AM</v>
      </c>
      <c r="CG112" t="str">
        <f t="shared" si="73"/>
        <v>NP</v>
      </c>
    </row>
    <row r="113" spans="1:85" ht="18" hidden="1" customHeight="1" x14ac:dyDescent="0.25">
      <c r="A113" s="295"/>
      <c r="B113" s="24" t="str">
        <f>'PLAN INDICATIVO'!B113</f>
        <v>Vivienda</v>
      </c>
      <c r="C113" s="1574" t="s">
        <v>368</v>
      </c>
      <c r="D113" s="1575"/>
      <c r="E113" s="1575"/>
      <c r="F113" s="1575"/>
      <c r="G113" s="1575"/>
      <c r="H113" s="1575"/>
      <c r="I113" s="1575"/>
      <c r="J113" s="1575"/>
      <c r="K113" s="1575"/>
      <c r="L113" s="1575"/>
      <c r="M113" s="1575"/>
      <c r="N113" s="1575"/>
      <c r="O113" s="1576"/>
      <c r="P113" s="22"/>
      <c r="Q113" s="22"/>
      <c r="R113" s="1"/>
      <c r="S113" s="261"/>
      <c r="T113" s="681"/>
      <c r="U113" s="261"/>
      <c r="V113" s="689">
        <f>V114+V115+V116+V117</f>
        <v>207000000</v>
      </c>
      <c r="W113" s="261"/>
      <c r="X113" s="689">
        <f>X114+X115+X116+X117</f>
        <v>519000000</v>
      </c>
      <c r="Y113" s="261"/>
      <c r="Z113" s="689">
        <f>Z114+Z115+Z116+Z117</f>
        <v>21000000</v>
      </c>
      <c r="AA113" s="262"/>
      <c r="AB113" s="690">
        <f>AB114+AB115+AB116+AB117</f>
        <v>22500000</v>
      </c>
      <c r="AC113" s="262"/>
      <c r="AD113" s="262"/>
      <c r="AE113" s="262"/>
      <c r="AF113" s="262"/>
      <c r="AG113" s="263"/>
      <c r="AH113" s="263"/>
      <c r="AI113" s="263"/>
      <c r="AJ113" s="262"/>
      <c r="AK113" s="262"/>
      <c r="AL113" s="262"/>
      <c r="AM113" s="262"/>
      <c r="AN113" s="262"/>
      <c r="AO113" s="612"/>
      <c r="AP113" s="616"/>
      <c r="AQ113" s="616"/>
      <c r="AR113" s="616"/>
      <c r="AS113" s="616"/>
      <c r="AT113" s="616"/>
      <c r="AU113" s="616"/>
      <c r="AV113" s="616"/>
      <c r="AW113" s="617"/>
      <c r="AX113" s="616" t="e">
        <f>(AX114:AX117)</f>
        <v>#VALUE!</v>
      </c>
      <c r="AY113" s="616" t="e">
        <f t="shared" ref="AY113:BD113" si="74">(AY114:AY117)</f>
        <v>#VALUE!</v>
      </c>
      <c r="AZ113" s="616" t="e">
        <f t="shared" si="74"/>
        <v>#VALUE!</v>
      </c>
      <c r="BA113" s="616" t="e">
        <f t="shared" si="74"/>
        <v>#VALUE!</v>
      </c>
      <c r="BB113" s="616" t="e">
        <f t="shared" si="74"/>
        <v>#VALUE!</v>
      </c>
      <c r="BC113" s="616" t="e">
        <f t="shared" si="74"/>
        <v>#VALUE!</v>
      </c>
      <c r="BD113" s="616" t="e">
        <f t="shared" si="74"/>
        <v>#VALUE!</v>
      </c>
      <c r="BE113" s="617" t="e">
        <f t="shared" si="58"/>
        <v>#VALUE!</v>
      </c>
      <c r="BF113" s="616"/>
      <c r="BG113" s="616"/>
      <c r="BH113" s="616"/>
      <c r="BI113" s="616"/>
      <c r="BJ113" s="616"/>
      <c r="BK113" s="616"/>
      <c r="BL113" s="616"/>
      <c r="BM113" s="617">
        <f t="shared" si="59"/>
        <v>0</v>
      </c>
      <c r="BN113" s="616" t="e">
        <f>(BN114:BN117)</f>
        <v>#VALUE!</v>
      </c>
      <c r="BO113" s="616" t="e">
        <f t="shared" ref="BO113:BT113" si="75">(BO114:BO117)</f>
        <v>#VALUE!</v>
      </c>
      <c r="BP113" s="616" t="e">
        <f t="shared" si="75"/>
        <v>#VALUE!</v>
      </c>
      <c r="BQ113" s="616" t="e">
        <f t="shared" si="75"/>
        <v>#VALUE!</v>
      </c>
      <c r="BR113" s="616" t="e">
        <f t="shared" si="75"/>
        <v>#VALUE!</v>
      </c>
      <c r="BS113" s="616" t="e">
        <f t="shared" si="75"/>
        <v>#VALUE!</v>
      </c>
      <c r="BT113" s="616" t="e">
        <f t="shared" si="75"/>
        <v>#VALUE!</v>
      </c>
      <c r="BU113" s="617" t="e">
        <f t="shared" si="60"/>
        <v>#VALUE!</v>
      </c>
      <c r="BV113" s="556"/>
      <c r="BW113" s="663">
        <f t="shared" si="70"/>
        <v>0</v>
      </c>
      <c r="BX113" s="617" t="s">
        <v>2717</v>
      </c>
      <c r="BY113" s="617" t="s">
        <v>2717</v>
      </c>
      <c r="BZ113" s="617" t="s">
        <v>2717</v>
      </c>
      <c r="CA113" s="617" t="s">
        <v>2717</v>
      </c>
      <c r="CB113" s="1047" t="s">
        <v>2717</v>
      </c>
    </row>
    <row r="114" spans="1:85" ht="98.25" hidden="1" customHeight="1" x14ac:dyDescent="0.25">
      <c r="A114" s="298" t="s">
        <v>346</v>
      </c>
      <c r="B114" s="299" t="str">
        <f>'PLAN INDICATIVO'!B114</f>
        <v>Vivienda</v>
      </c>
      <c r="C114" s="1546" t="s">
        <v>369</v>
      </c>
      <c r="D114" s="1549" t="s">
        <v>370</v>
      </c>
      <c r="E114" s="1549" t="s">
        <v>371</v>
      </c>
      <c r="F114" s="1549">
        <v>2015</v>
      </c>
      <c r="G114" s="1549">
        <v>18.899999999999999</v>
      </c>
      <c r="H114" s="1549">
        <v>16.399999999999999</v>
      </c>
      <c r="I114" s="1425" t="str">
        <f>'PLAN INDICATIVO'!I114</f>
        <v>SI</v>
      </c>
      <c r="J114" s="1425">
        <f>'PLAN INDICATIVO'!J114</f>
        <v>0</v>
      </c>
      <c r="K114" s="1425" t="str">
        <f>'PLAN INDICATIVO'!K114</f>
        <v>A.7.2.1</v>
      </c>
      <c r="L114" s="1425" t="str">
        <f>'PLAN INDICATIVO'!L114</f>
        <v>11. Ciudades y comunidades sostenibles</v>
      </c>
      <c r="M114" s="1425" t="str">
        <f>'PLAN INDICATIVO'!M114</f>
        <v>departamento Municipal de Planeación</v>
      </c>
      <c r="N114" s="1425" t="str">
        <f>'PLAN INDICATIVO'!N114</f>
        <v>MAURICIO LEGARDA GONZALEZ</v>
      </c>
      <c r="O114" s="1425" t="str">
        <f>'PLAN INDICATIVO'!O114</f>
        <v>Incremento</v>
      </c>
      <c r="P114" s="1230" t="str">
        <f>'PLAN INDICATIVO'!P114</f>
        <v>Construir 485 viviendas VIS o VIP,  durante el cuatrienio</v>
      </c>
      <c r="Q114" s="302" t="str">
        <f>'PLAN INDICATIVO'!Q114</f>
        <v>No. De viviendas construidas</v>
      </c>
      <c r="R114" s="303">
        <f>'PLAN INDICATIVO'!R114</f>
        <v>2015</v>
      </c>
      <c r="S114" s="304">
        <v>0</v>
      </c>
      <c r="T114" s="677">
        <v>485</v>
      </c>
      <c r="U114" s="303">
        <v>61</v>
      </c>
      <c r="V114" s="303">
        <v>200000000</v>
      </c>
      <c r="W114" s="66">
        <v>75</v>
      </c>
      <c r="X114" s="687">
        <v>218500000</v>
      </c>
      <c r="Y114" s="572">
        <v>205</v>
      </c>
      <c r="Z114" s="687">
        <v>21000000</v>
      </c>
      <c r="AA114" s="1310">
        <f>T114-BW114</f>
        <v>380</v>
      </c>
      <c r="AB114" s="687">
        <v>22500000</v>
      </c>
      <c r="AC114" s="665">
        <v>30</v>
      </c>
      <c r="AD114" s="665">
        <f>7+45+23</f>
        <v>75</v>
      </c>
      <c r="AE114" s="665"/>
      <c r="AF114" s="665"/>
      <c r="AG114" s="306" t="s">
        <v>3556</v>
      </c>
      <c r="AH114" s="987">
        <v>2018413960027</v>
      </c>
      <c r="AI114" s="307" t="s">
        <v>4090</v>
      </c>
      <c r="AJ114" s="838">
        <v>43146</v>
      </c>
      <c r="AK114" s="838">
        <v>43434</v>
      </c>
      <c r="AL114" s="308"/>
      <c r="AM114" s="308"/>
      <c r="AN114" s="267" t="s">
        <v>2600</v>
      </c>
      <c r="AO114" s="507">
        <v>2307</v>
      </c>
      <c r="AP114" s="525"/>
      <c r="AQ114" s="310"/>
      <c r="AR114" s="310"/>
      <c r="AS114" s="310"/>
      <c r="AT114" s="310"/>
      <c r="AU114" s="310"/>
      <c r="AV114" s="310"/>
      <c r="AW114" s="544"/>
      <c r="AX114" s="525"/>
      <c r="AY114" s="310"/>
      <c r="AZ114" s="310"/>
      <c r="BA114" s="310"/>
      <c r="BB114" s="310"/>
      <c r="BC114" s="310"/>
      <c r="BD114" s="310"/>
      <c r="BE114" s="544">
        <f t="shared" si="58"/>
        <v>0</v>
      </c>
      <c r="BF114" s="525"/>
      <c r="BG114" s="310"/>
      <c r="BH114" s="310"/>
      <c r="BI114" s="310"/>
      <c r="BJ114" s="310"/>
      <c r="BK114" s="310"/>
      <c r="BL114" s="310"/>
      <c r="BM114" s="544">
        <f t="shared" si="59"/>
        <v>0</v>
      </c>
      <c r="BN114" s="525"/>
      <c r="BO114" s="310"/>
      <c r="BP114" s="310"/>
      <c r="BQ114" s="310"/>
      <c r="BR114" s="310"/>
      <c r="BS114" s="310"/>
      <c r="BT114" s="310"/>
      <c r="BU114" s="544">
        <f t="shared" si="60"/>
        <v>0</v>
      </c>
      <c r="BV114" s="556"/>
      <c r="BW114" s="663">
        <f t="shared" si="70"/>
        <v>105</v>
      </c>
      <c r="BX114" s="1047">
        <f t="shared" si="50"/>
        <v>0.21649484536082475</v>
      </c>
      <c r="BY114" s="1047">
        <f>IF(U114&gt;=0.1,AC114/U114,IF(ISBLANK(U114),"No Programada","Aplazada"))</f>
        <v>0.49180327868852458</v>
      </c>
      <c r="BZ114" s="1047">
        <f>IF(W114&gt;=0.1,AD114/W114,IF(ISBLANK(W114),"No Programada","Aplazada"))</f>
        <v>1</v>
      </c>
      <c r="CA114" s="1047">
        <f>IF(Y114&gt;=0.1,AE114/Y114,IF(ISBLANK(Y114),"No Programada","Aplazada"))</f>
        <v>0</v>
      </c>
      <c r="CB114" s="1047">
        <f>IF(AA114&gt;=0.1,AF114/AA114,IF(ISBLANK(AA114),"No Programada","Aplazada"))</f>
        <v>0</v>
      </c>
      <c r="CD114" t="str">
        <f t="shared" ref="CD114:CG117" si="76">IF(BY114="PARA MODIFICAR","M",IF(BY114="PARA ELIMINAR","E",IF(BY114="aplazada","AZ",IF(BY114="no programada","NP",IF(BY114&gt;=85%,"VE",IF(BY114&gt;70%,"VEB",IF(BY114&gt;60%,"AM",IF(BY114&gt;40%,"AMB",IF(BY114&gt;20%,"RO",IF(BY114&gt;=0%,"ROB",""))))))))))</f>
        <v>AMB</v>
      </c>
      <c r="CE114" t="str">
        <f t="shared" si="76"/>
        <v>VE</v>
      </c>
      <c r="CF114" t="str">
        <f t="shared" si="76"/>
        <v>ROB</v>
      </c>
      <c r="CG114" t="str">
        <f t="shared" si="76"/>
        <v>ROB</v>
      </c>
    </row>
    <row r="115" spans="1:85" ht="61.5" hidden="1" customHeight="1" x14ac:dyDescent="0.25">
      <c r="A115" s="298" t="s">
        <v>346</v>
      </c>
      <c r="B115" s="299" t="str">
        <f>'PLAN INDICATIVO'!B115</f>
        <v>Vivienda</v>
      </c>
      <c r="C115" s="1547"/>
      <c r="D115" s="1549"/>
      <c r="E115" s="1549"/>
      <c r="F115" s="1549"/>
      <c r="G115" s="1549"/>
      <c r="H115" s="1549"/>
      <c r="I115" s="300">
        <f>'PLAN INDICATIVO'!I115</f>
        <v>0</v>
      </c>
      <c r="J115" s="300">
        <f>'PLAN INDICATIVO'!J115</f>
        <v>0</v>
      </c>
      <c r="K115" s="1425" t="str">
        <f>'PLAN INDICATIVO'!K115</f>
        <v>A.7.2.2</v>
      </c>
      <c r="L115" s="1425" t="str">
        <f>'PLAN INDICATIVO'!L115</f>
        <v>11. Ciudades y comunidades sostenibles</v>
      </c>
      <c r="M115" s="1425" t="str">
        <f>'PLAN INDICATIVO'!M115</f>
        <v>departamento Municipal de Planeación</v>
      </c>
      <c r="N115" s="1425" t="str">
        <f>'PLAN INDICATIVO'!N115</f>
        <v>MAURICIO LEGARDA GONZALEZ</v>
      </c>
      <c r="O115" s="1425" t="str">
        <f>'PLAN INDICATIVO'!O115</f>
        <v>Incremento</v>
      </c>
      <c r="P115" s="16" t="str">
        <f>'PLAN INDICATIVO'!P115</f>
        <v>Apoyar 4 asociaciones de vivienda  del municipio para gestión de vivienda nueva, durante el cuatrienio</v>
      </c>
      <c r="Q115" s="302" t="str">
        <f>'PLAN INDICATIVO'!Q115</f>
        <v>No. De apoyos realizados</v>
      </c>
      <c r="R115" s="303">
        <f>'PLAN INDICATIVO'!R115</f>
        <v>2015</v>
      </c>
      <c r="S115" s="304">
        <v>0</v>
      </c>
      <c r="T115" s="677">
        <v>4</v>
      </c>
      <c r="U115" s="303">
        <v>2</v>
      </c>
      <c r="V115" s="303">
        <v>7000000</v>
      </c>
      <c r="W115" s="572">
        <v>2</v>
      </c>
      <c r="X115" s="687">
        <v>500000</v>
      </c>
      <c r="Y115" s="572">
        <v>1</v>
      </c>
      <c r="Z115" s="687"/>
      <c r="AA115" s="1310">
        <f t="shared" ref="AA115" si="77">T115-BW115</f>
        <v>1</v>
      </c>
      <c r="AB115" s="687"/>
      <c r="AC115" s="665">
        <v>0</v>
      </c>
      <c r="AD115" s="665">
        <v>3</v>
      </c>
      <c r="AE115" s="665"/>
      <c r="AF115" s="665"/>
      <c r="AG115" s="306" t="s">
        <v>3556</v>
      </c>
      <c r="AH115" s="987">
        <v>2018413960027</v>
      </c>
      <c r="AI115" s="307" t="s">
        <v>4091</v>
      </c>
      <c r="AJ115" s="838">
        <v>43146</v>
      </c>
      <c r="AK115" s="838">
        <v>43434</v>
      </c>
      <c r="AL115" s="308"/>
      <c r="AM115" s="308"/>
      <c r="AN115" s="267" t="s">
        <v>2600</v>
      </c>
      <c r="AO115" s="507">
        <v>2307</v>
      </c>
      <c r="AP115" s="525"/>
      <c r="AQ115" s="310"/>
      <c r="AR115" s="310"/>
      <c r="AS115" s="310"/>
      <c r="AT115" s="310"/>
      <c r="AU115" s="310"/>
      <c r="AV115" s="310"/>
      <c r="AW115" s="544"/>
      <c r="AX115" s="525"/>
      <c r="AY115" s="310"/>
      <c r="AZ115" s="310"/>
      <c r="BA115" s="310"/>
      <c r="BB115" s="310"/>
      <c r="BC115" s="310"/>
      <c r="BD115" s="310"/>
      <c r="BE115" s="544">
        <f t="shared" si="58"/>
        <v>0</v>
      </c>
      <c r="BF115" s="525"/>
      <c r="BG115" s="310"/>
      <c r="BH115" s="310"/>
      <c r="BI115" s="310"/>
      <c r="BJ115" s="310"/>
      <c r="BK115" s="310"/>
      <c r="BL115" s="310"/>
      <c r="BM115" s="544">
        <f t="shared" si="59"/>
        <v>0</v>
      </c>
      <c r="BN115" s="525"/>
      <c r="BO115" s="310"/>
      <c r="BP115" s="310"/>
      <c r="BQ115" s="310"/>
      <c r="BR115" s="310"/>
      <c r="BS115" s="310"/>
      <c r="BT115" s="310"/>
      <c r="BU115" s="544">
        <f t="shared" si="60"/>
        <v>0</v>
      </c>
      <c r="BV115" s="556"/>
      <c r="BW115" s="663">
        <f t="shared" si="70"/>
        <v>3</v>
      </c>
      <c r="BX115" s="1047">
        <f t="shared" si="50"/>
        <v>0.75</v>
      </c>
      <c r="BY115" s="1047">
        <f>IF(U115&gt;=0.1,AC115/U115,IF(ISBLANK(U115),"No Programada","Aplazada"))</f>
        <v>0</v>
      </c>
      <c r="BZ115" s="1047">
        <f>IF(W115&gt;=0.1,AD115/W115,IF(ISBLANK(W115),"No Programada","Aplazada"))</f>
        <v>1.5</v>
      </c>
      <c r="CA115" s="1047">
        <f>IF(Y115&gt;=0.1,AE115/Y115,IF(ISBLANK(Y115),"No Programada","Aplazada"))</f>
        <v>0</v>
      </c>
      <c r="CB115" s="1047">
        <f>IF(AA115&gt;=0.1,AF115/AA115,IF(ISBLANK(AA115),"No Programada","Aplazada"))</f>
        <v>0</v>
      </c>
      <c r="CD115" t="str">
        <f t="shared" si="76"/>
        <v>ROB</v>
      </c>
      <c r="CE115" t="str">
        <f t="shared" si="76"/>
        <v>VE</v>
      </c>
      <c r="CF115" t="str">
        <f t="shared" si="76"/>
        <v>ROB</v>
      </c>
      <c r="CG115" t="str">
        <f t="shared" si="76"/>
        <v>ROB</v>
      </c>
    </row>
    <row r="116" spans="1:85" ht="51" hidden="1" customHeight="1" x14ac:dyDescent="0.25">
      <c r="A116" s="298" t="s">
        <v>346</v>
      </c>
      <c r="B116" s="299" t="str">
        <f>'PLAN INDICATIVO'!B116</f>
        <v>Vivienda</v>
      </c>
      <c r="C116" s="1547"/>
      <c r="D116" s="1549"/>
      <c r="E116" s="1549"/>
      <c r="F116" s="1549"/>
      <c r="G116" s="1549"/>
      <c r="H116" s="1549"/>
      <c r="I116" s="300">
        <f>'PLAN INDICATIVO'!I116</f>
        <v>0</v>
      </c>
      <c r="J116" s="300">
        <f>'PLAN INDICATIVO'!J116</f>
        <v>0</v>
      </c>
      <c r="K116" s="1425" t="str">
        <f>'PLAN INDICATIVO'!K116</f>
        <v>A.7.2.3</v>
      </c>
      <c r="L116" s="1425" t="str">
        <f>'PLAN INDICATIVO'!L116</f>
        <v>11. Ciudades y comunidades sostenibles</v>
      </c>
      <c r="M116" s="1425" t="str">
        <f>'PLAN INDICATIVO'!M116</f>
        <v>departamento Municipal de Planeación</v>
      </c>
      <c r="N116" s="1425" t="str">
        <f>'PLAN INDICATIVO'!N116</f>
        <v>MAURICIO LEGARDA GONZALEZ</v>
      </c>
      <c r="O116" s="1425" t="str">
        <f>'PLAN INDICATIVO'!O116</f>
        <v>Incremento</v>
      </c>
      <c r="P116" s="16" t="str">
        <f>'PLAN INDICATIVO'!P116</f>
        <v>Reubicar 50 familias localizadas en zonas de alto riesgo durante el cuatrienio</v>
      </c>
      <c r="Q116" s="302" t="str">
        <f>'PLAN INDICATIVO'!Q116</f>
        <v>No. De familias reubicadas</v>
      </c>
      <c r="R116" s="303">
        <f>'PLAN INDICATIVO'!R116</f>
        <v>2015</v>
      </c>
      <c r="S116" s="304">
        <v>0</v>
      </c>
      <c r="T116" s="677">
        <v>50</v>
      </c>
      <c r="U116" s="106"/>
      <c r="V116" s="303"/>
      <c r="W116" s="572"/>
      <c r="X116" s="687"/>
      <c r="Y116" s="964"/>
      <c r="Z116" s="687"/>
      <c r="AA116" s="1310"/>
      <c r="AB116" s="687"/>
      <c r="AC116" s="665">
        <v>50</v>
      </c>
      <c r="AD116" s="665"/>
      <c r="AE116" s="665"/>
      <c r="AF116" s="665"/>
      <c r="AG116" s="306" t="s">
        <v>3556</v>
      </c>
      <c r="AH116" s="987">
        <v>2018413960027</v>
      </c>
      <c r="AI116" s="307"/>
      <c r="AJ116" s="335"/>
      <c r="AK116" s="335"/>
      <c r="AL116" s="308"/>
      <c r="AM116" s="308"/>
      <c r="AN116" s="267" t="s">
        <v>2594</v>
      </c>
      <c r="AO116" s="507">
        <v>2307</v>
      </c>
      <c r="AP116" s="525"/>
      <c r="AQ116" s="310"/>
      <c r="AR116" s="310"/>
      <c r="AS116" s="310"/>
      <c r="AT116" s="310"/>
      <c r="AU116" s="310"/>
      <c r="AV116" s="310"/>
      <c r="AW116" s="544"/>
      <c r="AX116" s="525"/>
      <c r="AY116" s="310"/>
      <c r="AZ116" s="310"/>
      <c r="BA116" s="310"/>
      <c r="BB116" s="310"/>
      <c r="BC116" s="310"/>
      <c r="BD116" s="310"/>
      <c r="BE116" s="544">
        <f t="shared" si="58"/>
        <v>0</v>
      </c>
      <c r="BF116" s="525"/>
      <c r="BG116" s="310"/>
      <c r="BH116" s="310"/>
      <c r="BI116" s="310"/>
      <c r="BJ116" s="310"/>
      <c r="BK116" s="310"/>
      <c r="BL116" s="310"/>
      <c r="BM116" s="544">
        <f t="shared" si="59"/>
        <v>0</v>
      </c>
      <c r="BN116" s="525"/>
      <c r="BO116" s="310"/>
      <c r="BP116" s="310"/>
      <c r="BQ116" s="310"/>
      <c r="BR116" s="310"/>
      <c r="BS116" s="310"/>
      <c r="BT116" s="310"/>
      <c r="BU116" s="544">
        <f t="shared" si="60"/>
        <v>0</v>
      </c>
      <c r="BV116" s="556"/>
      <c r="BW116" s="663">
        <f t="shared" si="70"/>
        <v>50</v>
      </c>
      <c r="BX116" s="1047">
        <f t="shared" si="50"/>
        <v>1</v>
      </c>
      <c r="BY116" s="1047" t="str">
        <f>IF(U116&gt;=0.1,AC116/U116,IF(ISBLANK(U116),"No Programada","Aplazada"))</f>
        <v>No Programada</v>
      </c>
      <c r="BZ116" s="1047" t="str">
        <f>IF(W116&gt;=0.1,AD116/W116,IF(ISBLANK(W116),"No Programada","Aplazada"))</f>
        <v>No Programada</v>
      </c>
      <c r="CA116" s="1047" t="str">
        <f>IF(Y116&gt;=0.1,AE116/Y116,IF(ISBLANK(Y116),"No Programada","Aplazada"))</f>
        <v>No Programada</v>
      </c>
      <c r="CB116" s="1047" t="str">
        <f>IF(AA116&gt;=0.1,AF116/AA116,IF(ISBLANK(AA116),"No Programada","Aplazada"))</f>
        <v>No Programada</v>
      </c>
      <c r="CD116" t="str">
        <f t="shared" si="76"/>
        <v>NP</v>
      </c>
      <c r="CE116" t="str">
        <f t="shared" si="76"/>
        <v>NP</v>
      </c>
      <c r="CF116" t="str">
        <f t="shared" si="76"/>
        <v>NP</v>
      </c>
      <c r="CG116" t="str">
        <f t="shared" si="76"/>
        <v>NP</v>
      </c>
    </row>
    <row r="117" spans="1:85" ht="54.75" hidden="1" customHeight="1" x14ac:dyDescent="0.25">
      <c r="A117" s="298" t="s">
        <v>346</v>
      </c>
      <c r="B117" s="299" t="str">
        <f>'PLAN INDICATIVO'!B117</f>
        <v>Vivienda</v>
      </c>
      <c r="C117" s="1548"/>
      <c r="D117" s="1549"/>
      <c r="E117" s="1549"/>
      <c r="F117" s="1549"/>
      <c r="G117" s="1549"/>
      <c r="H117" s="1549"/>
      <c r="I117" s="1425" t="str">
        <f>'PLAN INDICATIVO'!I117</f>
        <v>SI</v>
      </c>
      <c r="J117" s="1425">
        <f>'PLAN INDICATIVO'!J117</f>
        <v>0</v>
      </c>
      <c r="K117" s="1425" t="str">
        <f>'PLAN INDICATIVO'!K117</f>
        <v>A.7.2.4</v>
      </c>
      <c r="L117" s="1425" t="str">
        <f>'PLAN INDICATIVO'!L117</f>
        <v>11. Ciudades y comunidades sostenibles</v>
      </c>
      <c r="M117" s="1425" t="str">
        <f>'PLAN INDICATIVO'!M117</f>
        <v>departamento Municipal de Planeación</v>
      </c>
      <c r="N117" s="1425" t="str">
        <f>'PLAN INDICATIVO'!N117</f>
        <v>MAURICIO LEGARDA GONZALEZ</v>
      </c>
      <c r="O117" s="1425" t="str">
        <f>'PLAN INDICATIVO'!O117</f>
        <v>Incremento</v>
      </c>
      <c r="P117" s="16" t="str">
        <f>'PLAN INDICATIVO'!P117</f>
        <v>Adquirir 2 hectáreas de terreno o habilitar este mismo número de hectáreas con servicios públicos, durante el cuatrienio</v>
      </c>
      <c r="Q117" s="302" t="str">
        <f>'PLAN INDICATIVO'!Q117</f>
        <v>No. De Has. De terreno habilitados</v>
      </c>
      <c r="R117" s="303">
        <f>'PLAN INDICATIVO'!R117</f>
        <v>2015</v>
      </c>
      <c r="S117" s="304">
        <v>0</v>
      </c>
      <c r="T117" s="677">
        <v>2</v>
      </c>
      <c r="U117" s="303">
        <v>2</v>
      </c>
      <c r="V117" s="687"/>
      <c r="W117" s="572"/>
      <c r="X117" s="687">
        <v>300000000</v>
      </c>
      <c r="Y117" s="964"/>
      <c r="Z117" s="687"/>
      <c r="AA117" s="1310"/>
      <c r="AB117" s="687"/>
      <c r="AC117" s="665">
        <v>3</v>
      </c>
      <c r="AD117" s="847"/>
      <c r="AE117" s="665"/>
      <c r="AF117" s="665"/>
      <c r="AG117" s="306" t="s">
        <v>3556</v>
      </c>
      <c r="AH117" s="987">
        <v>2018413960027</v>
      </c>
      <c r="AI117" s="307"/>
      <c r="AJ117" s="335"/>
      <c r="AK117" s="335"/>
      <c r="AL117" s="308"/>
      <c r="AM117" s="308"/>
      <c r="AN117" s="501" t="s">
        <v>2594</v>
      </c>
      <c r="AO117" s="507">
        <v>2307</v>
      </c>
      <c r="AP117" s="525"/>
      <c r="AQ117" s="310"/>
      <c r="AR117" s="310"/>
      <c r="AS117" s="310"/>
      <c r="AT117" s="310"/>
      <c r="AU117" s="310"/>
      <c r="AV117" s="310"/>
      <c r="AW117" s="544"/>
      <c r="AX117" s="525"/>
      <c r="AY117" s="310"/>
      <c r="AZ117" s="310"/>
      <c r="BA117" s="310"/>
      <c r="BB117" s="310"/>
      <c r="BC117" s="310"/>
      <c r="BD117" s="310"/>
      <c r="BE117" s="544">
        <f t="shared" si="58"/>
        <v>0</v>
      </c>
      <c r="BF117" s="525"/>
      <c r="BG117" s="310"/>
      <c r="BH117" s="310"/>
      <c r="BI117" s="310"/>
      <c r="BJ117" s="310"/>
      <c r="BK117" s="310"/>
      <c r="BL117" s="310"/>
      <c r="BM117" s="544">
        <f t="shared" si="59"/>
        <v>0</v>
      </c>
      <c r="BN117" s="525"/>
      <c r="BO117" s="310"/>
      <c r="BP117" s="310"/>
      <c r="BQ117" s="310"/>
      <c r="BR117" s="310"/>
      <c r="BS117" s="310"/>
      <c r="BT117" s="310"/>
      <c r="BU117" s="544">
        <f t="shared" si="60"/>
        <v>0</v>
      </c>
      <c r="BV117" s="556"/>
      <c r="BW117" s="663">
        <f t="shared" si="70"/>
        <v>3</v>
      </c>
      <c r="BX117" s="1047">
        <f t="shared" si="50"/>
        <v>1.5</v>
      </c>
      <c r="BY117" s="1047">
        <f>IF(U117&gt;=0.1,AC117/U117,IF(ISBLANK(U117),"No Programada","Aplazada"))</f>
        <v>1.5</v>
      </c>
      <c r="BZ117" s="1047" t="str">
        <f>IF(W117&gt;=0.1,AD117/W117,IF(ISBLANK(W117),"No Programada","Aplazada"))</f>
        <v>No Programada</v>
      </c>
      <c r="CA117" s="1047" t="str">
        <f>IF(Y117&gt;=0.1,AE117/Y117,IF(ISBLANK(Y117),"No Programada","Aplazada"))</f>
        <v>No Programada</v>
      </c>
      <c r="CB117" s="1047" t="str">
        <f>IF(AA117&gt;=0.1,AF117/AA117,IF(ISBLANK(AA117),"No Programada","Aplazada"))</f>
        <v>No Programada</v>
      </c>
      <c r="CD117" t="str">
        <f t="shared" si="76"/>
        <v>VE</v>
      </c>
      <c r="CE117" t="str">
        <f t="shared" si="76"/>
        <v>NP</v>
      </c>
      <c r="CF117" t="str">
        <f t="shared" si="76"/>
        <v>NP</v>
      </c>
      <c r="CG117" t="str">
        <f t="shared" si="76"/>
        <v>NP</v>
      </c>
    </row>
    <row r="118" spans="1:85" ht="28.5" hidden="1" customHeight="1" thickBot="1" x14ac:dyDescent="0.3">
      <c r="A118" s="1608" t="s">
        <v>2703</v>
      </c>
      <c r="B118" s="1609"/>
      <c r="C118" s="1609"/>
      <c r="D118" s="1609"/>
      <c r="E118" s="1609"/>
      <c r="F118" s="1609"/>
      <c r="G118" s="1609"/>
      <c r="H118" s="1609"/>
      <c r="I118" s="1609"/>
      <c r="J118" s="1609"/>
      <c r="K118" s="1609"/>
      <c r="L118" s="1609"/>
      <c r="M118" s="1609"/>
      <c r="N118" s="1609"/>
      <c r="O118" s="1609"/>
      <c r="P118" s="1609"/>
      <c r="Q118" s="1609"/>
      <c r="R118" s="1609"/>
      <c r="S118" s="1609"/>
      <c r="T118" s="1609"/>
      <c r="U118" s="1609"/>
      <c r="V118" s="1609"/>
      <c r="W118" s="1609"/>
      <c r="X118" s="1609"/>
      <c r="Y118" s="1609"/>
      <c r="Z118" s="1609"/>
      <c r="AA118" s="1609"/>
      <c r="AB118" s="1609"/>
      <c r="AC118" s="1609"/>
      <c r="AD118" s="1609"/>
      <c r="AE118" s="1609"/>
      <c r="AF118" s="1609"/>
      <c r="AG118" s="1609"/>
      <c r="AH118" s="1609"/>
      <c r="AI118" s="1609"/>
      <c r="AJ118" s="1609"/>
      <c r="AK118" s="1609"/>
      <c r="AL118" s="1609"/>
      <c r="AM118" s="1610"/>
      <c r="AN118" s="260"/>
      <c r="AO118" s="506"/>
      <c r="AP118" s="524"/>
      <c r="AQ118" s="374"/>
      <c r="AR118" s="374"/>
      <c r="AS118" s="374"/>
      <c r="AT118" s="374"/>
      <c r="AU118" s="374"/>
      <c r="AV118" s="374"/>
      <c r="AW118" s="544"/>
      <c r="AX118" s="524"/>
      <c r="AY118" s="374"/>
      <c r="AZ118" s="374"/>
      <c r="BA118" s="374"/>
      <c r="BB118" s="374"/>
      <c r="BC118" s="374"/>
      <c r="BD118" s="374"/>
      <c r="BE118" s="544">
        <f t="shared" si="58"/>
        <v>0</v>
      </c>
      <c r="BF118" s="524"/>
      <c r="BG118" s="374"/>
      <c r="BH118" s="374"/>
      <c r="BI118" s="374"/>
      <c r="BJ118" s="374"/>
      <c r="BK118" s="374"/>
      <c r="BL118" s="374"/>
      <c r="BM118" s="544">
        <f t="shared" si="59"/>
        <v>0</v>
      </c>
      <c r="BN118" s="524"/>
      <c r="BO118" s="374"/>
      <c r="BP118" s="374"/>
      <c r="BQ118" s="374"/>
      <c r="BR118" s="374"/>
      <c r="BS118" s="374"/>
      <c r="BT118" s="374"/>
      <c r="BU118" s="544">
        <f t="shared" si="60"/>
        <v>0</v>
      </c>
      <c r="BV118" s="556"/>
      <c r="BW118" s="663">
        <f t="shared" si="70"/>
        <v>0</v>
      </c>
      <c r="BX118" s="1047" t="s">
        <v>2717</v>
      </c>
      <c r="BY118" s="1047" t="s">
        <v>2717</v>
      </c>
      <c r="BZ118" s="1047" t="s">
        <v>2717</v>
      </c>
      <c r="CA118" s="1047" t="s">
        <v>2717</v>
      </c>
      <c r="CB118" s="1047" t="s">
        <v>2717</v>
      </c>
    </row>
    <row r="119" spans="1:85" ht="15.75" hidden="1" customHeight="1" x14ac:dyDescent="0.25">
      <c r="A119" s="296"/>
      <c r="B119" s="24" t="str">
        <f>'PLAN INDICATIVO'!B119</f>
        <v>APSB</v>
      </c>
      <c r="C119" s="1592" t="s">
        <v>385</v>
      </c>
      <c r="D119" s="1593"/>
      <c r="E119" s="1593"/>
      <c r="F119" s="1593"/>
      <c r="G119" s="1593"/>
      <c r="H119" s="1593"/>
      <c r="I119" s="1593"/>
      <c r="J119" s="1593"/>
      <c r="K119" s="1593"/>
      <c r="L119" s="1593"/>
      <c r="M119" s="1593"/>
      <c r="N119" s="1593"/>
      <c r="O119" s="1594"/>
      <c r="P119" s="22"/>
      <c r="Q119" s="22"/>
      <c r="R119" s="1"/>
      <c r="S119" s="261"/>
      <c r="T119" s="681"/>
      <c r="U119" s="691"/>
      <c r="V119" s="693">
        <f>V120+V121+V122+V123+V123+V124+V125+V126+V127+V128+V129+V130+V131+V132+V133</f>
        <v>923980000</v>
      </c>
      <c r="W119" s="691"/>
      <c r="X119" s="693">
        <f>X121+X122+X123+X124+X125+X126+X127+X128+X129+X130+X131+X132+X133</f>
        <v>1221730000</v>
      </c>
      <c r="Y119" s="691"/>
      <c r="Z119" s="693">
        <f>SUM(Z120:Z133)</f>
        <v>1403070000</v>
      </c>
      <c r="AA119" s="692"/>
      <c r="AB119" s="694">
        <f>SUM(AB120:AB133)</f>
        <v>1547400000</v>
      </c>
      <c r="AC119" s="262"/>
      <c r="AD119" s="262"/>
      <c r="AE119" s="262"/>
      <c r="AF119" s="262"/>
      <c r="AG119" s="263"/>
      <c r="AH119" s="263"/>
      <c r="AI119" s="263"/>
      <c r="AJ119" s="262"/>
      <c r="AK119" s="262"/>
      <c r="AL119" s="262"/>
      <c r="AM119" s="262"/>
      <c r="AN119" s="262"/>
      <c r="AO119" s="612"/>
      <c r="AP119" s="616"/>
      <c r="AQ119" s="616"/>
      <c r="AR119" s="616"/>
      <c r="AS119" s="616"/>
      <c r="AT119" s="616"/>
      <c r="AU119" s="616"/>
      <c r="AV119" s="616"/>
      <c r="AW119" s="617"/>
      <c r="AX119" s="616" t="e">
        <f>(AX120:AX133)</f>
        <v>#VALUE!</v>
      </c>
      <c r="AY119" s="616" t="e">
        <f t="shared" ref="AY119:BD119" si="78">(AY120:AY133)</f>
        <v>#VALUE!</v>
      </c>
      <c r="AZ119" s="616" t="e">
        <f t="shared" si="78"/>
        <v>#VALUE!</v>
      </c>
      <c r="BA119" s="616" t="e">
        <f t="shared" si="78"/>
        <v>#VALUE!</v>
      </c>
      <c r="BB119" s="616" t="e">
        <f t="shared" si="78"/>
        <v>#VALUE!</v>
      </c>
      <c r="BC119" s="616" t="e">
        <f t="shared" si="78"/>
        <v>#VALUE!</v>
      </c>
      <c r="BD119" s="616" t="e">
        <f t="shared" si="78"/>
        <v>#VALUE!</v>
      </c>
      <c r="BE119" s="617" t="e">
        <f t="shared" si="58"/>
        <v>#VALUE!</v>
      </c>
      <c r="BF119" s="616"/>
      <c r="BG119" s="616"/>
      <c r="BH119" s="616"/>
      <c r="BI119" s="616"/>
      <c r="BJ119" s="616"/>
      <c r="BK119" s="616"/>
      <c r="BL119" s="616"/>
      <c r="BM119" s="617">
        <f t="shared" si="59"/>
        <v>0</v>
      </c>
      <c r="BN119" s="616" t="e">
        <f>(BN120:BN133)</f>
        <v>#VALUE!</v>
      </c>
      <c r="BO119" s="616" t="e">
        <f t="shared" ref="BO119:BT119" si="79">(BO120:BO133)</f>
        <v>#VALUE!</v>
      </c>
      <c r="BP119" s="616" t="e">
        <f t="shared" si="79"/>
        <v>#VALUE!</v>
      </c>
      <c r="BQ119" s="616" t="e">
        <f t="shared" si="79"/>
        <v>#VALUE!</v>
      </c>
      <c r="BR119" s="616" t="e">
        <f t="shared" si="79"/>
        <v>#VALUE!</v>
      </c>
      <c r="BS119" s="616" t="e">
        <f t="shared" si="79"/>
        <v>#VALUE!</v>
      </c>
      <c r="BT119" s="616" t="e">
        <f t="shared" si="79"/>
        <v>#VALUE!</v>
      </c>
      <c r="BU119" s="617" t="e">
        <f t="shared" si="60"/>
        <v>#VALUE!</v>
      </c>
      <c r="BV119" s="556"/>
      <c r="BW119" s="663">
        <f t="shared" si="70"/>
        <v>0</v>
      </c>
      <c r="BX119" s="617" t="s">
        <v>2717</v>
      </c>
      <c r="BY119" s="617" t="s">
        <v>2717</v>
      </c>
      <c r="BZ119" s="617" t="s">
        <v>2717</v>
      </c>
      <c r="CA119" s="617" t="s">
        <v>2717</v>
      </c>
      <c r="CB119" s="1047" t="s">
        <v>2717</v>
      </c>
    </row>
    <row r="120" spans="1:85" ht="75" hidden="1" customHeight="1" x14ac:dyDescent="0.25">
      <c r="A120" s="298" t="s">
        <v>386</v>
      </c>
      <c r="B120" s="299" t="str">
        <f>'PLAN INDICATIVO'!B120</f>
        <v>APSB</v>
      </c>
      <c r="C120" s="1546" t="s">
        <v>387</v>
      </c>
      <c r="D120" s="1549" t="s">
        <v>388</v>
      </c>
      <c r="E120" s="1549" t="s">
        <v>389</v>
      </c>
      <c r="F120" s="1559">
        <v>2005</v>
      </c>
      <c r="G120" s="1560">
        <v>0.65100000000000002</v>
      </c>
      <c r="H120" s="1561">
        <v>0.7</v>
      </c>
      <c r="I120" s="1425" t="str">
        <f>'PLAN INDICATIVO'!I120</f>
        <v>SI</v>
      </c>
      <c r="J120" s="1425">
        <f>'PLAN INDICATIVO'!J120</f>
        <v>0</v>
      </c>
      <c r="K120" s="1425" t="str">
        <f>'PLAN INDICATIVO'!K120</f>
        <v>A.3.1.1</v>
      </c>
      <c r="L120" s="1425" t="str">
        <f>'PLAN INDICATIVO'!L120</f>
        <v>6. Agua limplia y saneamiento</v>
      </c>
      <c r="M120" s="1425" t="str">
        <f>'PLAN INDICATIVO'!M120</f>
        <v>EMSERPLA</v>
      </c>
      <c r="N120" s="1425" t="str">
        <f>'PLAN INDICATIVO'!N120</f>
        <v>MARIO MONTILLA CABRERA</v>
      </c>
      <c r="O120" s="1425" t="str">
        <f>'PLAN INDICATIVO'!O120</f>
        <v>Incremento</v>
      </c>
      <c r="P120" s="16" t="str">
        <f>'PLAN INDICATIVO'!P120</f>
        <v>Apoyar la implementación de 1 plan maestro de acueducto en la zona urbana durante el cuatrienio</v>
      </c>
      <c r="Q120" s="302" t="str">
        <f>'PLAN INDICATIVO'!Q120</f>
        <v>No. De planes maestros apoyados</v>
      </c>
      <c r="R120" s="303">
        <f>'PLAN INDICATIVO'!R120</f>
        <v>2015</v>
      </c>
      <c r="S120" s="304">
        <v>0</v>
      </c>
      <c r="T120" s="677">
        <v>1</v>
      </c>
      <c r="U120" s="844"/>
      <c r="V120" s="687">
        <v>0</v>
      </c>
      <c r="W120" s="304"/>
      <c r="X120" s="687"/>
      <c r="Y120" s="1237">
        <v>1</v>
      </c>
      <c r="Z120" s="1233"/>
      <c r="AA120" s="410">
        <v>0.6</v>
      </c>
      <c r="AB120" s="687">
        <v>500000000</v>
      </c>
      <c r="AC120" s="665"/>
      <c r="AD120" s="843"/>
      <c r="AE120" s="665">
        <v>0.4</v>
      </c>
      <c r="AF120" s="665"/>
      <c r="AG120" s="306" t="s">
        <v>4092</v>
      </c>
      <c r="AH120" s="987">
        <v>2018453960008</v>
      </c>
      <c r="AI120" s="307" t="s">
        <v>4093</v>
      </c>
      <c r="AJ120" s="308"/>
      <c r="AK120" s="308"/>
      <c r="AL120" s="308"/>
      <c r="AM120" s="308"/>
      <c r="AN120" s="267" t="s">
        <v>2604</v>
      </c>
      <c r="AO120" s="507">
        <v>230310</v>
      </c>
      <c r="AP120" s="729"/>
      <c r="AQ120" s="730"/>
      <c r="AR120" s="730"/>
      <c r="AS120" s="730"/>
      <c r="AT120" s="730"/>
      <c r="AU120" s="730"/>
      <c r="AV120" s="730"/>
      <c r="AW120" s="731"/>
      <c r="AX120" s="525"/>
      <c r="AY120" s="310"/>
      <c r="AZ120" s="310"/>
      <c r="BA120" s="310"/>
      <c r="BB120" s="310"/>
      <c r="BC120" s="310"/>
      <c r="BD120" s="310"/>
      <c r="BE120" s="544">
        <f t="shared" si="58"/>
        <v>0</v>
      </c>
      <c r="BF120" s="525"/>
      <c r="BG120" s="310"/>
      <c r="BH120" s="310"/>
      <c r="BI120" s="310"/>
      <c r="BJ120" s="310"/>
      <c r="BK120" s="310"/>
      <c r="BL120" s="310"/>
      <c r="BM120" s="544">
        <f t="shared" si="59"/>
        <v>0</v>
      </c>
      <c r="BN120" s="525"/>
      <c r="BO120" s="310"/>
      <c r="BP120" s="310"/>
      <c r="BQ120" s="310"/>
      <c r="BR120" s="310"/>
      <c r="BS120" s="310"/>
      <c r="BT120" s="310"/>
      <c r="BU120" s="544">
        <f t="shared" si="60"/>
        <v>0</v>
      </c>
      <c r="BV120" s="556"/>
      <c r="BW120" s="663">
        <f t="shared" si="70"/>
        <v>0.4</v>
      </c>
      <c r="BX120" s="1047">
        <f t="shared" si="50"/>
        <v>0.4</v>
      </c>
      <c r="BY120" s="1047" t="str">
        <f t="shared" ref="BY120:BY133" si="80">IF(U120&gt;=0.1,AC120/U120,IF(ISBLANK(U120),"No Programada","Aplazada"))</f>
        <v>No Programada</v>
      </c>
      <c r="BZ120" s="1047" t="str">
        <f t="shared" ref="BZ120:BZ133" si="81">IF(W120&gt;=0.1,AD120/W120,IF(ISBLANK(W120),"No Programada","Aplazada"))</f>
        <v>No Programada</v>
      </c>
      <c r="CA120" s="1047">
        <f t="shared" ref="CA120:CA133" si="82">IF(Y120&gt;=0.1,AE120/Y120,IF(ISBLANK(Y120),"No Programada","Aplazada"))</f>
        <v>0.4</v>
      </c>
      <c r="CB120" s="1047">
        <f t="shared" ref="CB120:CB133" si="83">IF(AA120&gt;=0.1,AF120/AA120,IF(ISBLANK(AA120),"No Programada","Aplazada"))</f>
        <v>0</v>
      </c>
      <c r="CD120" t="str">
        <f t="shared" ref="CD120:CG133" si="84">IF(BY120="PARA MODIFICAR","M",IF(BY120="PARA ELIMINAR","E",IF(BY120="aplazada","AZ",IF(BY120="no programada","NP",IF(BY120&gt;=85%,"VE",IF(BY120&gt;70%,"VEB",IF(BY120&gt;60%,"AM",IF(BY120&gt;40%,"AMB",IF(BY120&gt;20%,"RO",IF(BY120&gt;=0%,"ROB",""))))))))))</f>
        <v>NP</v>
      </c>
      <c r="CE120" t="str">
        <f t="shared" si="84"/>
        <v>NP</v>
      </c>
      <c r="CF120" t="str">
        <f t="shared" si="84"/>
        <v>RO</v>
      </c>
      <c r="CG120" t="str">
        <f t="shared" si="84"/>
        <v>ROB</v>
      </c>
    </row>
    <row r="121" spans="1:85" ht="60" hidden="1" customHeight="1" x14ac:dyDescent="0.25">
      <c r="A121" s="298" t="s">
        <v>386</v>
      </c>
      <c r="B121" s="299" t="str">
        <f>'PLAN INDICATIVO'!B121</f>
        <v>APSB</v>
      </c>
      <c r="C121" s="1547"/>
      <c r="D121" s="1549"/>
      <c r="E121" s="1549"/>
      <c r="F121" s="1559"/>
      <c r="G121" s="1560"/>
      <c r="H121" s="1561"/>
      <c r="I121" s="300">
        <f>'PLAN INDICATIVO'!I121</f>
        <v>0</v>
      </c>
      <c r="J121" s="300">
        <f>'PLAN INDICATIVO'!J121</f>
        <v>0</v>
      </c>
      <c r="K121" s="1425" t="str">
        <f>'PLAN INDICATIVO'!K121</f>
        <v>A.3.1.2</v>
      </c>
      <c r="L121" s="1425" t="str">
        <f>'PLAN INDICATIVO'!L121</f>
        <v>6. Agua limplia y saneamiento</v>
      </c>
      <c r="M121" s="1425" t="str">
        <f>'PLAN INDICATIVO'!M121</f>
        <v>EMSERPLA</v>
      </c>
      <c r="N121" s="1425" t="str">
        <f>'PLAN INDICATIVO'!N121</f>
        <v>MARIO MONTILLA CABRERA</v>
      </c>
      <c r="O121" s="1425" t="str">
        <f>'PLAN INDICATIVO'!O121</f>
        <v>Mantenimiento</v>
      </c>
      <c r="P121" s="16" t="str">
        <f>'PLAN INDICATIVO'!P121</f>
        <v>Mantener 1 Sistema de acueducto urbano operando cada año</v>
      </c>
      <c r="Q121" s="302" t="str">
        <f>'PLAN INDICATIVO'!Q121</f>
        <v>No. De Sistemas de Acueducto operando cada año</v>
      </c>
      <c r="R121" s="303">
        <f>'PLAN INDICATIVO'!R121</f>
        <v>2015</v>
      </c>
      <c r="S121" s="304">
        <v>1</v>
      </c>
      <c r="T121" s="677">
        <v>1</v>
      </c>
      <c r="U121" s="304">
        <v>0.25</v>
      </c>
      <c r="V121" s="687">
        <v>19700000</v>
      </c>
      <c r="W121" s="304">
        <v>0.25</v>
      </c>
      <c r="X121" s="687">
        <v>19700000</v>
      </c>
      <c r="Y121" s="1237">
        <v>0.25</v>
      </c>
      <c r="Z121" s="687">
        <v>20390000</v>
      </c>
      <c r="AA121" s="410">
        <v>0.25</v>
      </c>
      <c r="AB121" s="687">
        <v>21100000</v>
      </c>
      <c r="AC121" s="665">
        <v>0.25</v>
      </c>
      <c r="AD121" s="665">
        <v>0.25</v>
      </c>
      <c r="AE121" s="665">
        <v>0.25</v>
      </c>
      <c r="AF121" s="665"/>
      <c r="AG121" s="306" t="s">
        <v>4092</v>
      </c>
      <c r="AH121" s="987">
        <v>2018453960008</v>
      </c>
      <c r="AI121" s="307" t="s">
        <v>4094</v>
      </c>
      <c r="AJ121" s="335">
        <v>43102</v>
      </c>
      <c r="AK121" s="335">
        <v>43464</v>
      </c>
      <c r="AL121" s="308"/>
      <c r="AM121" s="308"/>
      <c r="AN121" s="267" t="s">
        <v>2598</v>
      </c>
      <c r="AO121" s="507">
        <v>230310</v>
      </c>
      <c r="AP121" s="729"/>
      <c r="AQ121" s="730"/>
      <c r="AR121" s="730"/>
      <c r="AS121" s="730"/>
      <c r="AT121" s="730"/>
      <c r="AU121" s="730"/>
      <c r="AV121" s="730"/>
      <c r="AW121" s="736"/>
      <c r="AX121" s="525"/>
      <c r="AY121" s="310"/>
      <c r="AZ121" s="310"/>
      <c r="BA121" s="310"/>
      <c r="BB121" s="310"/>
      <c r="BC121" s="310"/>
      <c r="BD121" s="310"/>
      <c r="BE121" s="544">
        <f t="shared" si="58"/>
        <v>0</v>
      </c>
      <c r="BF121" s="525"/>
      <c r="BG121" s="310"/>
      <c r="BH121" s="310"/>
      <c r="BI121" s="310"/>
      <c r="BJ121" s="310"/>
      <c r="BK121" s="310"/>
      <c r="BL121" s="310">
        <v>100100000</v>
      </c>
      <c r="BM121" s="544">
        <f t="shared" si="59"/>
        <v>100100000</v>
      </c>
      <c r="BN121" s="525"/>
      <c r="BO121" s="310"/>
      <c r="BP121" s="310"/>
      <c r="BQ121" s="310"/>
      <c r="BR121" s="310"/>
      <c r="BS121" s="310"/>
      <c r="BT121" s="310"/>
      <c r="BU121" s="544">
        <f t="shared" si="60"/>
        <v>0</v>
      </c>
      <c r="BV121" s="556"/>
      <c r="BW121" s="663">
        <f t="shared" si="70"/>
        <v>0.75</v>
      </c>
      <c r="BX121" s="1047">
        <f t="shared" si="50"/>
        <v>0.75</v>
      </c>
      <c r="BY121" s="1047">
        <f t="shared" si="80"/>
        <v>1</v>
      </c>
      <c r="BZ121" s="1047">
        <f t="shared" si="81"/>
        <v>1</v>
      </c>
      <c r="CA121" s="1047">
        <f t="shared" si="82"/>
        <v>1</v>
      </c>
      <c r="CB121" s="1047">
        <f t="shared" si="83"/>
        <v>0</v>
      </c>
      <c r="CD121" t="str">
        <f t="shared" si="84"/>
        <v>VE</v>
      </c>
      <c r="CE121" t="str">
        <f t="shared" si="84"/>
        <v>VE</v>
      </c>
      <c r="CF121" t="str">
        <f t="shared" si="84"/>
        <v>VE</v>
      </c>
      <c r="CG121" t="str">
        <f t="shared" si="84"/>
        <v>ROB</v>
      </c>
    </row>
    <row r="122" spans="1:85" ht="59.25" hidden="1" customHeight="1" x14ac:dyDescent="0.25">
      <c r="A122" s="298" t="s">
        <v>386</v>
      </c>
      <c r="B122" s="299" t="str">
        <f>'PLAN INDICATIVO'!B122</f>
        <v>APSB</v>
      </c>
      <c r="C122" s="1547"/>
      <c r="D122" s="1549"/>
      <c r="E122" s="1549"/>
      <c r="F122" s="1559"/>
      <c r="G122" s="1560"/>
      <c r="H122" s="1561"/>
      <c r="I122" s="300">
        <f>'PLAN INDICATIVO'!I122</f>
        <v>0</v>
      </c>
      <c r="J122" s="300">
        <f>'PLAN INDICATIVO'!J122</f>
        <v>0</v>
      </c>
      <c r="K122" s="1425" t="str">
        <f>'PLAN INDICATIVO'!K122</f>
        <v>A.3.1.3</v>
      </c>
      <c r="L122" s="1425" t="str">
        <f>'PLAN INDICATIVO'!L122</f>
        <v>6. Agua limplia y saneamiento</v>
      </c>
      <c r="M122" s="1425" t="str">
        <f>'PLAN INDICATIVO'!M122</f>
        <v>EMSERPLA</v>
      </c>
      <c r="N122" s="1425" t="str">
        <f>'PLAN INDICATIVO'!N122</f>
        <v>MARIO MONTILLA CABRERA</v>
      </c>
      <c r="O122" s="1425" t="str">
        <f>'PLAN INDICATIVO'!O122</f>
        <v>Incremento</v>
      </c>
      <c r="P122" s="16" t="str">
        <f>'PLAN INDICATIVO'!P122</f>
        <v>Presentar 1 Plan de uso eficiente y Ahorro del Agua (PUEA) para aprobación por parte de la CAM durante el cuatrienio.</v>
      </c>
      <c r="Q122" s="302" t="str">
        <f>'PLAN INDICATIVO'!Q122</f>
        <v xml:space="preserve">No. De PUEA presentados </v>
      </c>
      <c r="R122" s="303">
        <f>'PLAN INDICATIVO'!R122</f>
        <v>2015</v>
      </c>
      <c r="S122" s="304">
        <v>0</v>
      </c>
      <c r="T122" s="677">
        <v>1</v>
      </c>
      <c r="U122" s="304">
        <v>0.25</v>
      </c>
      <c r="V122" s="687">
        <v>1000000</v>
      </c>
      <c r="W122" s="304">
        <v>0.25</v>
      </c>
      <c r="X122" s="687">
        <v>1000000</v>
      </c>
      <c r="Y122" s="1237">
        <v>0.25</v>
      </c>
      <c r="Z122" s="687"/>
      <c r="AA122" s="409">
        <v>0.25</v>
      </c>
      <c r="AB122" s="687">
        <v>10000000</v>
      </c>
      <c r="AC122" s="665">
        <v>0.25</v>
      </c>
      <c r="AD122" s="665">
        <v>0.25</v>
      </c>
      <c r="AE122" s="667">
        <v>0.25</v>
      </c>
      <c r="AF122" s="667"/>
      <c r="AG122" s="306" t="s">
        <v>4092</v>
      </c>
      <c r="AH122" s="987">
        <v>2018453960008</v>
      </c>
      <c r="AI122" s="336" t="s">
        <v>4095</v>
      </c>
      <c r="AJ122" s="335">
        <v>43102</v>
      </c>
      <c r="AK122" s="335">
        <v>43281</v>
      </c>
      <c r="AL122" s="337"/>
      <c r="AM122" s="337"/>
      <c r="AN122" s="267" t="s">
        <v>2598</v>
      </c>
      <c r="AO122" s="507">
        <v>230310</v>
      </c>
      <c r="AP122" s="732"/>
      <c r="AQ122" s="733"/>
      <c r="AR122" s="733"/>
      <c r="AS122" s="733"/>
      <c r="AT122" s="733"/>
      <c r="AU122" s="733"/>
      <c r="AV122" s="733"/>
      <c r="AW122" s="731"/>
      <c r="AX122" s="528"/>
      <c r="AY122" s="472"/>
      <c r="AZ122" s="472"/>
      <c r="BA122" s="472"/>
      <c r="BB122" s="472"/>
      <c r="BC122" s="472"/>
      <c r="BD122" s="472"/>
      <c r="BE122" s="544">
        <f t="shared" si="58"/>
        <v>0</v>
      </c>
      <c r="BF122" s="528"/>
      <c r="BG122" s="472"/>
      <c r="BH122" s="472"/>
      <c r="BI122" s="472"/>
      <c r="BJ122" s="472"/>
      <c r="BK122" s="472"/>
      <c r="BL122" s="472">
        <v>200000</v>
      </c>
      <c r="BM122" s="544">
        <f t="shared" si="59"/>
        <v>200000</v>
      </c>
      <c r="BN122" s="528"/>
      <c r="BO122" s="472"/>
      <c r="BP122" s="472"/>
      <c r="BQ122" s="472"/>
      <c r="BR122" s="472"/>
      <c r="BS122" s="472"/>
      <c r="BT122" s="472"/>
      <c r="BU122" s="544">
        <f t="shared" si="60"/>
        <v>0</v>
      </c>
      <c r="BV122" s="556"/>
      <c r="BW122" s="663">
        <f t="shared" si="70"/>
        <v>0.75</v>
      </c>
      <c r="BX122" s="1047">
        <f t="shared" si="50"/>
        <v>0.75</v>
      </c>
      <c r="BY122" s="1047">
        <f t="shared" si="80"/>
        <v>1</v>
      </c>
      <c r="BZ122" s="1047">
        <f t="shared" si="81"/>
        <v>1</v>
      </c>
      <c r="CA122" s="1047">
        <f t="shared" si="82"/>
        <v>1</v>
      </c>
      <c r="CB122" s="1047">
        <f t="shared" si="83"/>
        <v>0</v>
      </c>
      <c r="CD122" t="str">
        <f t="shared" si="84"/>
        <v>VE</v>
      </c>
      <c r="CE122" t="str">
        <f t="shared" si="84"/>
        <v>VE</v>
      </c>
      <c r="CF122" t="str">
        <f t="shared" si="84"/>
        <v>VE</v>
      </c>
      <c r="CG122" t="str">
        <f t="shared" si="84"/>
        <v>ROB</v>
      </c>
    </row>
    <row r="123" spans="1:85" ht="63.75" hidden="1" customHeight="1" x14ac:dyDescent="0.25">
      <c r="A123" s="298" t="s">
        <v>386</v>
      </c>
      <c r="B123" s="299" t="str">
        <f>'PLAN INDICATIVO'!B123</f>
        <v>APSB</v>
      </c>
      <c r="C123" s="1547"/>
      <c r="D123" s="1549"/>
      <c r="E123" s="1549"/>
      <c r="F123" s="1559"/>
      <c r="G123" s="1560"/>
      <c r="H123" s="1561"/>
      <c r="I123" s="1425" t="str">
        <f>'PLAN INDICATIVO'!I123</f>
        <v>SI</v>
      </c>
      <c r="J123" s="1425">
        <f>'PLAN INDICATIVO'!J123</f>
        <v>0</v>
      </c>
      <c r="K123" s="1425" t="str">
        <f>'PLAN INDICATIVO'!K123</f>
        <v>A.3.1.4</v>
      </c>
      <c r="L123" s="1425" t="str">
        <f>'PLAN INDICATIVO'!L123</f>
        <v>6. Agua limplia y saneamiento</v>
      </c>
      <c r="M123" s="1425" t="str">
        <f>'PLAN INDICATIVO'!M123</f>
        <v>EMSERPLA</v>
      </c>
      <c r="N123" s="1425" t="str">
        <f>'PLAN INDICATIVO'!N123</f>
        <v>MARIO MONTILLA CABRERA</v>
      </c>
      <c r="O123" s="1425" t="str">
        <f>'PLAN INDICATIVO'!O123</f>
        <v>Incremento</v>
      </c>
      <c r="P123" s="16" t="str">
        <f>'PLAN INDICATIVO'!P123</f>
        <v>Apoyar 1 estudio y diseño para una fuente alterna de captación, durante el cuatrienio.</v>
      </c>
      <c r="Q123" s="302" t="str">
        <f>'PLAN INDICATIVO'!Q123</f>
        <v>No. De apoyos para estudios y diseños</v>
      </c>
      <c r="R123" s="303">
        <f>'PLAN INDICATIVO'!R123</f>
        <v>2015</v>
      </c>
      <c r="S123" s="304">
        <v>1</v>
      </c>
      <c r="T123" s="677">
        <v>1</v>
      </c>
      <c r="U123" s="844"/>
      <c r="V123" s="687">
        <v>0</v>
      </c>
      <c r="W123" s="304"/>
      <c r="X123" s="687"/>
      <c r="Y123" s="1237"/>
      <c r="Z123" s="687">
        <v>99000000</v>
      </c>
      <c r="AA123" s="410"/>
      <c r="AB123" s="687"/>
      <c r="AC123" s="665"/>
      <c r="AD123" s="843">
        <v>1</v>
      </c>
      <c r="AE123" s="665"/>
      <c r="AF123" s="665"/>
      <c r="AG123" s="306" t="s">
        <v>4092</v>
      </c>
      <c r="AH123" s="987">
        <v>2018453960008</v>
      </c>
      <c r="AI123" s="307"/>
      <c r="AJ123" s="308"/>
      <c r="AK123" s="308"/>
      <c r="AL123" s="308"/>
      <c r="AM123" s="308"/>
      <c r="AN123" s="267" t="s">
        <v>2594</v>
      </c>
      <c r="AO123" s="507">
        <v>230310</v>
      </c>
      <c r="AP123" s="729"/>
      <c r="AQ123" s="730"/>
      <c r="AR123" s="730"/>
      <c r="AS123" s="730"/>
      <c r="AT123" s="730"/>
      <c r="AU123" s="730"/>
      <c r="AV123" s="730"/>
      <c r="AW123" s="731"/>
      <c r="AX123" s="525"/>
      <c r="AY123" s="310"/>
      <c r="AZ123" s="310"/>
      <c r="BA123" s="310"/>
      <c r="BB123" s="310"/>
      <c r="BC123" s="310"/>
      <c r="BD123" s="310"/>
      <c r="BE123" s="544">
        <f t="shared" si="58"/>
        <v>0</v>
      </c>
      <c r="BF123" s="525"/>
      <c r="BG123" s="310">
        <v>349146000</v>
      </c>
      <c r="BH123" s="310"/>
      <c r="BI123" s="310"/>
      <c r="BJ123" s="310"/>
      <c r="BK123" s="310"/>
      <c r="BL123" s="310"/>
      <c r="BM123" s="544">
        <f t="shared" si="59"/>
        <v>349146000</v>
      </c>
      <c r="BN123" s="525"/>
      <c r="BO123" s="310"/>
      <c r="BP123" s="310"/>
      <c r="BQ123" s="310"/>
      <c r="BR123" s="310"/>
      <c r="BS123" s="310"/>
      <c r="BT123" s="310"/>
      <c r="BU123" s="544">
        <f t="shared" si="60"/>
        <v>0</v>
      </c>
      <c r="BV123" s="556"/>
      <c r="BW123" s="663">
        <f t="shared" si="70"/>
        <v>1</v>
      </c>
      <c r="BX123" s="1047">
        <f t="shared" si="50"/>
        <v>1</v>
      </c>
      <c r="BY123" s="1047" t="str">
        <f t="shared" si="80"/>
        <v>No Programada</v>
      </c>
      <c r="BZ123" s="1047" t="str">
        <f t="shared" si="81"/>
        <v>No Programada</v>
      </c>
      <c r="CA123" s="1047" t="str">
        <f t="shared" si="82"/>
        <v>No Programada</v>
      </c>
      <c r="CB123" s="1047" t="str">
        <f t="shared" si="83"/>
        <v>No Programada</v>
      </c>
      <c r="CD123" t="str">
        <f t="shared" si="84"/>
        <v>NP</v>
      </c>
      <c r="CE123" t="str">
        <f t="shared" si="84"/>
        <v>NP</v>
      </c>
      <c r="CF123" t="str">
        <f t="shared" si="84"/>
        <v>NP</v>
      </c>
      <c r="CG123" t="str">
        <f t="shared" si="84"/>
        <v>NP</v>
      </c>
    </row>
    <row r="124" spans="1:85" ht="92.25" hidden="1" customHeight="1" x14ac:dyDescent="0.25">
      <c r="A124" s="298" t="s">
        <v>2458</v>
      </c>
      <c r="B124" s="299" t="str">
        <f>'PLAN INDICATIVO'!B124</f>
        <v>APSB</v>
      </c>
      <c r="C124" s="1547"/>
      <c r="D124" s="1549"/>
      <c r="E124" s="1549"/>
      <c r="F124" s="1559"/>
      <c r="G124" s="1560"/>
      <c r="H124" s="1561"/>
      <c r="I124" s="300">
        <f>'PLAN INDICATIVO'!I124</f>
        <v>0</v>
      </c>
      <c r="J124" s="300">
        <f>'PLAN INDICATIVO'!J124</f>
        <v>0</v>
      </c>
      <c r="K124" s="1425" t="str">
        <f>'PLAN INDICATIVO'!K124</f>
        <v>A.3.1.5</v>
      </c>
      <c r="L124" s="1425" t="str">
        <f>'PLAN INDICATIVO'!L124</f>
        <v>6. Agua limplia y saneamiento</v>
      </c>
      <c r="M124" s="1425" t="str">
        <f>'PLAN INDICATIVO'!M124</f>
        <v>EMSERPLA</v>
      </c>
      <c r="N124" s="1425" t="str">
        <f>'PLAN INDICATIVO'!N124</f>
        <v>MARIO MONTILLA CABRERA</v>
      </c>
      <c r="O124" s="1425" t="str">
        <f>'PLAN INDICATIVO'!O124</f>
        <v>Incremento</v>
      </c>
      <c r="P124" s="1198" t="str">
        <f>'PLAN INDICATIVO'!P124</f>
        <v>Construcción de 1900 ML de nueva Red de acueducto en el cuatrienio durante el cuatrienio.</v>
      </c>
      <c r="Q124" s="302" t="str">
        <f>'PLAN INDICATIVO'!Q124</f>
        <v>No. De metros lineales construidos.</v>
      </c>
      <c r="R124" s="303">
        <f>'PLAN INDICATIVO'!R124</f>
        <v>2015</v>
      </c>
      <c r="S124" s="304">
        <v>250</v>
      </c>
      <c r="T124" s="677">
        <v>1900</v>
      </c>
      <c r="U124" s="304">
        <v>250</v>
      </c>
      <c r="V124" s="687">
        <v>71930000</v>
      </c>
      <c r="W124" s="304">
        <v>250</v>
      </c>
      <c r="X124" s="687">
        <v>56930000</v>
      </c>
      <c r="Y124" s="1237">
        <v>400</v>
      </c>
      <c r="Z124" s="1237">
        <v>58920000</v>
      </c>
      <c r="AA124" s="410">
        <v>47</v>
      </c>
      <c r="AB124" s="687">
        <v>60980000</v>
      </c>
      <c r="AC124" s="665">
        <v>853</v>
      </c>
      <c r="AD124" s="665">
        <v>600</v>
      </c>
      <c r="AE124" s="665">
        <v>400</v>
      </c>
      <c r="AF124" s="665"/>
      <c r="AG124" s="306" t="s">
        <v>4092</v>
      </c>
      <c r="AH124" s="987">
        <v>2018453960008</v>
      </c>
      <c r="AI124" s="307" t="s">
        <v>4096</v>
      </c>
      <c r="AJ124" s="838"/>
      <c r="AK124" s="838"/>
      <c r="AL124" s="308"/>
      <c r="AM124" s="308"/>
      <c r="AN124" s="267" t="s">
        <v>2598</v>
      </c>
      <c r="AO124" s="507">
        <v>230310</v>
      </c>
      <c r="AP124" s="729"/>
      <c r="AQ124" s="730"/>
      <c r="AR124" s="730"/>
      <c r="AS124" s="730"/>
      <c r="AT124" s="730"/>
      <c r="AU124" s="730"/>
      <c r="AV124" s="730"/>
      <c r="AW124" s="731"/>
      <c r="AX124" s="525"/>
      <c r="AY124" s="310"/>
      <c r="AZ124" s="310"/>
      <c r="BA124" s="310"/>
      <c r="BB124" s="310"/>
      <c r="BC124" s="310"/>
      <c r="BD124" s="310"/>
      <c r="BE124" s="544">
        <f t="shared" si="58"/>
        <v>0</v>
      </c>
      <c r="BF124" s="525"/>
      <c r="BG124" s="310">
        <v>277635478</v>
      </c>
      <c r="BH124" s="310"/>
      <c r="BI124" s="310"/>
      <c r="BJ124" s="310"/>
      <c r="BK124" s="310"/>
      <c r="BL124" s="310"/>
      <c r="BM124" s="544">
        <f t="shared" si="59"/>
        <v>277635478</v>
      </c>
      <c r="BN124" s="525"/>
      <c r="BO124" s="310"/>
      <c r="BP124" s="310"/>
      <c r="BQ124" s="310"/>
      <c r="BR124" s="310"/>
      <c r="BS124" s="310"/>
      <c r="BT124" s="310"/>
      <c r="BU124" s="544">
        <f t="shared" si="60"/>
        <v>0</v>
      </c>
      <c r="BV124" s="556"/>
      <c r="BW124" s="663">
        <f t="shared" si="70"/>
        <v>1853</v>
      </c>
      <c r="BX124" s="1047">
        <f t="shared" si="50"/>
        <v>0.97526315789473683</v>
      </c>
      <c r="BY124" s="1047">
        <f t="shared" si="80"/>
        <v>3.4119999999999999</v>
      </c>
      <c r="BZ124" s="1047">
        <f t="shared" si="81"/>
        <v>2.4</v>
      </c>
      <c r="CA124" s="1047">
        <f t="shared" si="82"/>
        <v>1</v>
      </c>
      <c r="CB124" s="1047">
        <f t="shared" si="83"/>
        <v>0</v>
      </c>
      <c r="CD124" t="str">
        <f t="shared" si="84"/>
        <v>VE</v>
      </c>
      <c r="CE124" t="str">
        <f t="shared" si="84"/>
        <v>VE</v>
      </c>
      <c r="CF124" t="str">
        <f t="shared" si="84"/>
        <v>VE</v>
      </c>
      <c r="CG124" t="str">
        <f t="shared" si="84"/>
        <v>ROB</v>
      </c>
    </row>
    <row r="125" spans="1:85" ht="74.25" hidden="1" customHeight="1" x14ac:dyDescent="0.25">
      <c r="A125" s="298" t="s">
        <v>386</v>
      </c>
      <c r="B125" s="299" t="str">
        <f>'PLAN INDICATIVO'!B125</f>
        <v>APSB</v>
      </c>
      <c r="C125" s="1547"/>
      <c r="D125" s="1549"/>
      <c r="E125" s="1549"/>
      <c r="F125" s="1559"/>
      <c r="G125" s="1560"/>
      <c r="H125" s="1561"/>
      <c r="I125" s="300">
        <f>'PLAN INDICATIVO'!I125</f>
        <v>0</v>
      </c>
      <c r="J125" s="300">
        <f>'PLAN INDICATIVO'!J125</f>
        <v>0</v>
      </c>
      <c r="K125" s="1425" t="str">
        <f>'PLAN INDICATIVO'!K125</f>
        <v>A.3.1.6</v>
      </c>
      <c r="L125" s="1425" t="str">
        <f>'PLAN INDICATIVO'!L125</f>
        <v>6. Agua limplia y saneamiento</v>
      </c>
      <c r="M125" s="1425" t="str">
        <f>'PLAN INDICATIVO'!M125</f>
        <v>EMSERPLA</v>
      </c>
      <c r="N125" s="1425" t="str">
        <f>'PLAN INDICATIVO'!N125</f>
        <v>MARIO MONTILLA CABRERA</v>
      </c>
      <c r="O125" s="1425" t="str">
        <f>'PLAN INDICATIVO'!O125</f>
        <v>Mantenimiento</v>
      </c>
      <c r="P125" s="16" t="str">
        <f>'PLAN INDICATIVO'!P125</f>
        <v>Mantener el 100% de los subsidios de acueducto a la totalidad de usuarios  de estratos 1 y 2 durante el cuatrienio.</v>
      </c>
      <c r="Q125" s="302" t="str">
        <f>'PLAN INDICATIVO'!Q125</f>
        <v>Porcentaje de Subsidios entregados cada año</v>
      </c>
      <c r="R125" s="303">
        <f>'PLAN INDICATIVO'!R125</f>
        <v>2015</v>
      </c>
      <c r="S125" s="304">
        <v>100</v>
      </c>
      <c r="T125" s="677">
        <v>100</v>
      </c>
      <c r="U125" s="304">
        <v>100</v>
      </c>
      <c r="V125" s="687">
        <v>137550000</v>
      </c>
      <c r="W125" s="304">
        <v>100</v>
      </c>
      <c r="X125" s="687">
        <v>157320000</v>
      </c>
      <c r="Y125" s="1237">
        <v>100</v>
      </c>
      <c r="Z125" s="687">
        <v>162830000</v>
      </c>
      <c r="AA125" s="410">
        <v>100</v>
      </c>
      <c r="AB125" s="687">
        <v>168520000</v>
      </c>
      <c r="AC125" s="665">
        <v>100</v>
      </c>
      <c r="AD125" s="665">
        <v>100</v>
      </c>
      <c r="AE125" s="665">
        <v>100</v>
      </c>
      <c r="AF125" s="665"/>
      <c r="AG125" s="306" t="s">
        <v>4092</v>
      </c>
      <c r="AH125" s="987">
        <v>2018453960008</v>
      </c>
      <c r="AI125" s="307" t="s">
        <v>4097</v>
      </c>
      <c r="AJ125" s="838">
        <v>43102</v>
      </c>
      <c r="AK125" s="838" t="s">
        <v>4098</v>
      </c>
      <c r="AL125" s="308"/>
      <c r="AM125" s="308"/>
      <c r="AN125" s="267" t="s">
        <v>2598</v>
      </c>
      <c r="AO125" s="507">
        <v>230310</v>
      </c>
      <c r="AP125" s="729"/>
      <c r="AQ125" s="730"/>
      <c r="AR125" s="730"/>
      <c r="AS125" s="730"/>
      <c r="AT125" s="730"/>
      <c r="AU125" s="730"/>
      <c r="AV125" s="730"/>
      <c r="AW125" s="731"/>
      <c r="AX125" s="525"/>
      <c r="AY125" s="310"/>
      <c r="AZ125" s="310"/>
      <c r="BA125" s="310"/>
      <c r="BB125" s="310"/>
      <c r="BC125" s="310"/>
      <c r="BD125" s="310"/>
      <c r="BE125" s="544">
        <f t="shared" si="58"/>
        <v>0</v>
      </c>
      <c r="BF125" s="525"/>
      <c r="BG125" s="310">
        <v>163385101</v>
      </c>
      <c r="BH125" s="310"/>
      <c r="BI125" s="310"/>
      <c r="BJ125" s="310"/>
      <c r="BK125" s="310"/>
      <c r="BL125" s="310"/>
      <c r="BM125" s="544">
        <f t="shared" si="59"/>
        <v>163385101</v>
      </c>
      <c r="BN125" s="525"/>
      <c r="BO125" s="310"/>
      <c r="BP125" s="310"/>
      <c r="BQ125" s="310"/>
      <c r="BR125" s="310"/>
      <c r="BS125" s="310"/>
      <c r="BT125" s="310"/>
      <c r="BU125" s="544">
        <f t="shared" si="60"/>
        <v>0</v>
      </c>
      <c r="BV125" s="556"/>
      <c r="BW125" s="663">
        <f t="shared" si="70"/>
        <v>300</v>
      </c>
      <c r="BX125" s="1047">
        <f t="shared" si="50"/>
        <v>3</v>
      </c>
      <c r="BY125" s="1047">
        <f t="shared" si="80"/>
        <v>1</v>
      </c>
      <c r="BZ125" s="1047">
        <f t="shared" si="81"/>
        <v>1</v>
      </c>
      <c r="CA125" s="1047">
        <f t="shared" si="82"/>
        <v>1</v>
      </c>
      <c r="CB125" s="1047">
        <f t="shared" si="83"/>
        <v>0</v>
      </c>
      <c r="CD125" t="str">
        <f t="shared" si="84"/>
        <v>VE</v>
      </c>
      <c r="CE125" t="str">
        <f t="shared" si="84"/>
        <v>VE</v>
      </c>
      <c r="CF125" t="str">
        <f t="shared" si="84"/>
        <v>VE</v>
      </c>
      <c r="CG125" t="str">
        <f t="shared" si="84"/>
        <v>ROB</v>
      </c>
    </row>
    <row r="126" spans="1:85" ht="65.25" hidden="1" customHeight="1" x14ac:dyDescent="0.25">
      <c r="A126" s="298" t="s">
        <v>386</v>
      </c>
      <c r="B126" s="299" t="str">
        <f>'PLAN INDICATIVO'!B126</f>
        <v>APSB</v>
      </c>
      <c r="C126" s="1547"/>
      <c r="D126" s="1549"/>
      <c r="E126" s="1549"/>
      <c r="F126" s="1559"/>
      <c r="G126" s="1560"/>
      <c r="H126" s="1561"/>
      <c r="I126" s="300">
        <f>'PLAN INDICATIVO'!I126</f>
        <v>0</v>
      </c>
      <c r="J126" s="300">
        <f>'PLAN INDICATIVO'!J126</f>
        <v>0</v>
      </c>
      <c r="K126" s="1425" t="str">
        <f>'PLAN INDICATIVO'!K126</f>
        <v>A.3.1.7</v>
      </c>
      <c r="L126" s="1425" t="str">
        <f>'PLAN INDICATIVO'!L126</f>
        <v>6. Agua limplia y saneamiento</v>
      </c>
      <c r="M126" s="1425" t="str">
        <f>'PLAN INDICATIVO'!M126</f>
        <v>EMSERPLA</v>
      </c>
      <c r="N126" s="1425" t="str">
        <f>'PLAN INDICATIVO'!N126</f>
        <v>MARIO MONTILLA CABRERA</v>
      </c>
      <c r="O126" s="1425" t="str">
        <f>'PLAN INDICATIVO'!O126</f>
        <v>Mantenimiento</v>
      </c>
      <c r="P126" s="16" t="str">
        <f>'PLAN INDICATIVO'!P126</f>
        <v>Realizar 2 campañas anuales  durante el cuatrienio para uso racional de agua</v>
      </c>
      <c r="Q126" s="302" t="str">
        <f>'PLAN INDICATIVO'!Q126</f>
        <v>No. De campañas realizadas por año</v>
      </c>
      <c r="R126" s="303">
        <f>'PLAN INDICATIVO'!R126</f>
        <v>2015</v>
      </c>
      <c r="S126" s="304">
        <v>1</v>
      </c>
      <c r="T126" s="677">
        <v>8</v>
      </c>
      <c r="U126" s="304">
        <v>2</v>
      </c>
      <c r="V126" s="687">
        <v>700000</v>
      </c>
      <c r="W126" s="304">
        <v>2</v>
      </c>
      <c r="X126" s="687">
        <v>10350000</v>
      </c>
      <c r="Y126" s="1237">
        <v>2</v>
      </c>
      <c r="Z126" s="687">
        <v>10700000</v>
      </c>
      <c r="AA126" s="410">
        <v>2</v>
      </c>
      <c r="AB126" s="687">
        <v>11090000</v>
      </c>
      <c r="AC126" s="665">
        <v>2</v>
      </c>
      <c r="AD126" s="665">
        <v>2</v>
      </c>
      <c r="AE126" s="665">
        <v>2</v>
      </c>
      <c r="AF126" s="665"/>
      <c r="AG126" s="306" t="s">
        <v>4092</v>
      </c>
      <c r="AH126" s="987">
        <v>2018453960008</v>
      </c>
      <c r="AI126" s="340" t="s">
        <v>4099</v>
      </c>
      <c r="AJ126" s="335">
        <v>43102</v>
      </c>
      <c r="AK126" s="335">
        <v>43281</v>
      </c>
      <c r="AL126" s="308"/>
      <c r="AM126" s="308"/>
      <c r="AN126" s="1328" t="s">
        <v>2598</v>
      </c>
      <c r="AO126" s="507">
        <v>230310</v>
      </c>
      <c r="AP126" s="729"/>
      <c r="AQ126" s="730"/>
      <c r="AR126" s="730"/>
      <c r="AS126" s="730"/>
      <c r="AT126" s="730"/>
      <c r="AU126" s="730"/>
      <c r="AV126" s="730"/>
      <c r="AW126" s="731"/>
      <c r="AX126" s="525"/>
      <c r="AY126" s="310"/>
      <c r="AZ126" s="310"/>
      <c r="BA126" s="310"/>
      <c r="BB126" s="310"/>
      <c r="BC126" s="310"/>
      <c r="BD126" s="310"/>
      <c r="BE126" s="544">
        <f t="shared" si="58"/>
        <v>0</v>
      </c>
      <c r="BF126" s="525"/>
      <c r="BG126" s="310"/>
      <c r="BH126" s="310"/>
      <c r="BI126" s="310"/>
      <c r="BJ126" s="310"/>
      <c r="BK126" s="310"/>
      <c r="BL126" s="310">
        <v>6300000</v>
      </c>
      <c r="BM126" s="544">
        <f t="shared" si="59"/>
        <v>6300000</v>
      </c>
      <c r="BN126" s="525"/>
      <c r="BO126" s="310"/>
      <c r="BP126" s="310"/>
      <c r="BQ126" s="310"/>
      <c r="BR126" s="310"/>
      <c r="BS126" s="310"/>
      <c r="BT126" s="310"/>
      <c r="BU126" s="544">
        <f t="shared" si="60"/>
        <v>0</v>
      </c>
      <c r="BV126" s="556"/>
      <c r="BW126" s="663">
        <f t="shared" si="70"/>
        <v>6</v>
      </c>
      <c r="BX126" s="1047">
        <f t="shared" si="50"/>
        <v>0.75</v>
      </c>
      <c r="BY126" s="1047">
        <f t="shared" si="80"/>
        <v>1</v>
      </c>
      <c r="BZ126" s="1047">
        <f t="shared" si="81"/>
        <v>1</v>
      </c>
      <c r="CA126" s="1047">
        <f t="shared" si="82"/>
        <v>1</v>
      </c>
      <c r="CB126" s="1047">
        <f t="shared" si="83"/>
        <v>0</v>
      </c>
      <c r="CD126" t="str">
        <f t="shared" si="84"/>
        <v>VE</v>
      </c>
      <c r="CE126" t="str">
        <f t="shared" si="84"/>
        <v>VE</v>
      </c>
      <c r="CF126" t="str">
        <f t="shared" si="84"/>
        <v>VE</v>
      </c>
      <c r="CG126" t="str">
        <f t="shared" si="84"/>
        <v>ROB</v>
      </c>
    </row>
    <row r="127" spans="1:85" ht="73.5" hidden="1" customHeight="1" x14ac:dyDescent="0.25">
      <c r="A127" s="298" t="s">
        <v>386</v>
      </c>
      <c r="B127" s="299" t="str">
        <f>'PLAN INDICATIVO'!B127</f>
        <v>APSB</v>
      </c>
      <c r="C127" s="1547"/>
      <c r="D127" s="1549"/>
      <c r="E127" s="1549"/>
      <c r="F127" s="1559"/>
      <c r="G127" s="1560"/>
      <c r="H127" s="1561"/>
      <c r="I127" s="300">
        <f>'PLAN INDICATIVO'!I127</f>
        <v>0</v>
      </c>
      <c r="J127" s="300">
        <f>'PLAN INDICATIVO'!J127</f>
        <v>0</v>
      </c>
      <c r="K127" s="1425" t="str">
        <f>'PLAN INDICATIVO'!K127</f>
        <v>A.3.1.8</v>
      </c>
      <c r="L127" s="1425" t="str">
        <f>'PLAN INDICATIVO'!L127</f>
        <v>6. Agua limplia y saneamiento</v>
      </c>
      <c r="M127" s="1425" t="str">
        <f>'PLAN INDICATIVO'!M127</f>
        <v>EMSERPLA</v>
      </c>
      <c r="N127" s="1425" t="str">
        <f>'PLAN INDICATIVO'!N127</f>
        <v>MARIO MONTILLA CABRERA</v>
      </c>
      <c r="O127" s="1425" t="str">
        <f>'PLAN INDICATIVO'!O127</f>
        <v>Incremento</v>
      </c>
      <c r="P127" s="16" t="str">
        <f>'PLAN INDICATIVO'!P127</f>
        <v>Incrementar  los servicios públicos  a 1.200 nuevos usuarios en servicio de acueducto, durante el cuatrienio</v>
      </c>
      <c r="Q127" s="302" t="str">
        <f>'PLAN INDICATIVO'!Q127</f>
        <v>No. De nuevos usuarios</v>
      </c>
      <c r="R127" s="303">
        <f>'PLAN INDICATIVO'!R127</f>
        <v>2015</v>
      </c>
      <c r="S127" s="304">
        <v>287</v>
      </c>
      <c r="T127" s="677">
        <v>1200</v>
      </c>
      <c r="U127" s="304">
        <v>300</v>
      </c>
      <c r="V127" s="687">
        <v>10650000</v>
      </c>
      <c r="W127" s="304">
        <v>300</v>
      </c>
      <c r="X127" s="687">
        <v>1000000</v>
      </c>
      <c r="Y127" s="1237">
        <v>266</v>
      </c>
      <c r="Z127" s="687">
        <v>1000000</v>
      </c>
      <c r="AA127" s="410">
        <v>225</v>
      </c>
      <c r="AB127" s="687">
        <v>25000000</v>
      </c>
      <c r="AC127" s="665">
        <v>354</v>
      </c>
      <c r="AD127" s="667">
        <v>315</v>
      </c>
      <c r="AE127" s="665">
        <v>306</v>
      </c>
      <c r="AF127" s="665"/>
      <c r="AG127" s="306" t="s">
        <v>4092</v>
      </c>
      <c r="AH127" s="987">
        <v>2018453960008</v>
      </c>
      <c r="AI127" s="307" t="s">
        <v>4100</v>
      </c>
      <c r="AJ127" s="335">
        <v>43102</v>
      </c>
      <c r="AK127" s="335">
        <v>43464</v>
      </c>
      <c r="AL127" s="308"/>
      <c r="AM127" s="308"/>
      <c r="AN127" s="267" t="s">
        <v>2598</v>
      </c>
      <c r="AO127" s="507">
        <v>230310</v>
      </c>
      <c r="AP127" s="729"/>
      <c r="AQ127" s="730"/>
      <c r="AR127" s="730"/>
      <c r="AS127" s="730"/>
      <c r="AT127" s="730"/>
      <c r="AU127" s="730"/>
      <c r="AV127" s="730"/>
      <c r="AW127" s="731"/>
      <c r="AX127" s="525"/>
      <c r="AY127" s="310"/>
      <c r="AZ127" s="310"/>
      <c r="BA127" s="310"/>
      <c r="BB127" s="310"/>
      <c r="BC127" s="310"/>
      <c r="BD127" s="310"/>
      <c r="BE127" s="544">
        <f t="shared" si="58"/>
        <v>0</v>
      </c>
      <c r="BF127" s="525"/>
      <c r="BG127" s="310"/>
      <c r="BH127" s="310"/>
      <c r="BI127" s="310"/>
      <c r="BJ127" s="310"/>
      <c r="BK127" s="310"/>
      <c r="BL127" s="310">
        <v>3200000</v>
      </c>
      <c r="BM127" s="544">
        <f t="shared" si="59"/>
        <v>3200000</v>
      </c>
      <c r="BN127" s="525"/>
      <c r="BO127" s="310"/>
      <c r="BP127" s="310"/>
      <c r="BQ127" s="310"/>
      <c r="BR127" s="310"/>
      <c r="BS127" s="310"/>
      <c r="BT127" s="310"/>
      <c r="BU127" s="544">
        <f t="shared" si="60"/>
        <v>0</v>
      </c>
      <c r="BV127" s="556"/>
      <c r="BW127" s="663">
        <f t="shared" si="70"/>
        <v>975</v>
      </c>
      <c r="BX127" s="1047">
        <f t="shared" si="50"/>
        <v>0.8125</v>
      </c>
      <c r="BY127" s="1047">
        <f t="shared" si="80"/>
        <v>1.18</v>
      </c>
      <c r="BZ127" s="1047">
        <f t="shared" si="81"/>
        <v>1.05</v>
      </c>
      <c r="CA127" s="1047">
        <f t="shared" si="82"/>
        <v>1.1503759398496241</v>
      </c>
      <c r="CB127" s="1047">
        <f t="shared" si="83"/>
        <v>0</v>
      </c>
      <c r="CD127" t="str">
        <f t="shared" si="84"/>
        <v>VE</v>
      </c>
      <c r="CE127" t="str">
        <f t="shared" si="84"/>
        <v>VE</v>
      </c>
      <c r="CF127" t="str">
        <f t="shared" si="84"/>
        <v>VE</v>
      </c>
      <c r="CG127" t="str">
        <f t="shared" si="84"/>
        <v>ROB</v>
      </c>
    </row>
    <row r="128" spans="1:85" ht="60" hidden="1" customHeight="1" x14ac:dyDescent="0.25">
      <c r="A128" s="298" t="s">
        <v>386</v>
      </c>
      <c r="B128" s="299" t="str">
        <f>'PLAN INDICATIVO'!B128</f>
        <v>APSB</v>
      </c>
      <c r="C128" s="1547"/>
      <c r="D128" s="1549"/>
      <c r="E128" s="1549"/>
      <c r="F128" s="1559"/>
      <c r="G128" s="1560"/>
      <c r="H128" s="1561"/>
      <c r="I128" s="300">
        <f>'PLAN INDICATIVO'!I128</f>
        <v>0</v>
      </c>
      <c r="J128" s="300">
        <f>'PLAN INDICATIVO'!J128</f>
        <v>0</v>
      </c>
      <c r="K128" s="1425" t="str">
        <f>'PLAN INDICATIVO'!K128</f>
        <v>A.3.1.9</v>
      </c>
      <c r="L128" s="1425" t="str">
        <f>'PLAN INDICATIVO'!L128</f>
        <v>6. Agua limplia y saneamiento</v>
      </c>
      <c r="M128" s="1425" t="str">
        <f>'PLAN INDICATIVO'!M128</f>
        <v>EMSERPLA</v>
      </c>
      <c r="N128" s="1425" t="str">
        <f>'PLAN INDICATIVO'!N128</f>
        <v>MARIO MONTILLA CABRERA</v>
      </c>
      <c r="O128" s="1425" t="str">
        <f>'PLAN INDICATIVO'!O128</f>
        <v>Incremento</v>
      </c>
      <c r="P128" s="16" t="str">
        <f>'PLAN INDICATIVO'!P128</f>
        <v>Realizar 8 controles para disminuir las conexiones fraudulentas de domiciliarias de acueducto durante el cuatrienio</v>
      </c>
      <c r="Q128" s="302" t="str">
        <f>'PLAN INDICATIVO'!Q128</f>
        <v>No. De controles realizados</v>
      </c>
      <c r="R128" s="303">
        <f>'PLAN INDICATIVO'!R128</f>
        <v>2015</v>
      </c>
      <c r="S128" s="304">
        <v>0</v>
      </c>
      <c r="T128" s="677">
        <v>8</v>
      </c>
      <c r="U128" s="304">
        <v>2</v>
      </c>
      <c r="V128" s="687">
        <v>1000000</v>
      </c>
      <c r="W128" s="304">
        <v>2</v>
      </c>
      <c r="X128" s="687">
        <v>1000000</v>
      </c>
      <c r="Y128" s="1237">
        <v>2</v>
      </c>
      <c r="Z128" s="687">
        <v>1000000</v>
      </c>
      <c r="AA128" s="410">
        <v>2</v>
      </c>
      <c r="AB128" s="687">
        <v>10000000</v>
      </c>
      <c r="AC128" s="665">
        <f>1+1</f>
        <v>2</v>
      </c>
      <c r="AD128" s="665">
        <v>3</v>
      </c>
      <c r="AE128" s="665">
        <v>2</v>
      </c>
      <c r="AF128" s="665"/>
      <c r="AG128" s="306" t="s">
        <v>4092</v>
      </c>
      <c r="AH128" s="987">
        <v>2018453960008</v>
      </c>
      <c r="AI128" s="307" t="s">
        <v>4101</v>
      </c>
      <c r="AJ128" s="335">
        <v>43102</v>
      </c>
      <c r="AK128" s="335">
        <v>43464</v>
      </c>
      <c r="AL128" s="308"/>
      <c r="AM128" s="308"/>
      <c r="AN128" s="267" t="s">
        <v>2598</v>
      </c>
      <c r="AO128" s="507">
        <v>230310</v>
      </c>
      <c r="AP128" s="729"/>
      <c r="AQ128" s="730"/>
      <c r="AR128" s="730"/>
      <c r="AS128" s="730"/>
      <c r="AT128" s="730"/>
      <c r="AU128" s="730"/>
      <c r="AV128" s="730"/>
      <c r="AW128" s="731"/>
      <c r="AX128" s="525"/>
      <c r="AY128" s="310"/>
      <c r="AZ128" s="310"/>
      <c r="BA128" s="310"/>
      <c r="BB128" s="310"/>
      <c r="BC128" s="310"/>
      <c r="BD128" s="310"/>
      <c r="BE128" s="544">
        <f t="shared" si="58"/>
        <v>0</v>
      </c>
      <c r="BF128" s="525"/>
      <c r="BG128" s="310"/>
      <c r="BH128" s="310"/>
      <c r="BI128" s="310"/>
      <c r="BJ128" s="310"/>
      <c r="BK128" s="310"/>
      <c r="BL128" s="310">
        <v>300000</v>
      </c>
      <c r="BM128" s="544">
        <f t="shared" si="59"/>
        <v>300000</v>
      </c>
      <c r="BN128" s="525"/>
      <c r="BO128" s="310"/>
      <c r="BP128" s="310"/>
      <c r="BQ128" s="310"/>
      <c r="BR128" s="310"/>
      <c r="BS128" s="310"/>
      <c r="BT128" s="310"/>
      <c r="BU128" s="544">
        <f t="shared" si="60"/>
        <v>0</v>
      </c>
      <c r="BV128" s="556"/>
      <c r="BW128" s="663">
        <f t="shared" si="70"/>
        <v>7</v>
      </c>
      <c r="BX128" s="1047">
        <f t="shared" si="50"/>
        <v>0.875</v>
      </c>
      <c r="BY128" s="1047">
        <f t="shared" si="80"/>
        <v>1</v>
      </c>
      <c r="BZ128" s="1047">
        <f t="shared" si="81"/>
        <v>1.5</v>
      </c>
      <c r="CA128" s="1047">
        <f t="shared" si="82"/>
        <v>1</v>
      </c>
      <c r="CB128" s="1047">
        <f t="shared" si="83"/>
        <v>0</v>
      </c>
      <c r="CD128" t="str">
        <f t="shared" si="84"/>
        <v>VE</v>
      </c>
      <c r="CE128" t="str">
        <f t="shared" si="84"/>
        <v>VE</v>
      </c>
      <c r="CF128" t="str">
        <f t="shared" si="84"/>
        <v>VE</v>
      </c>
      <c r="CG128" t="str">
        <f t="shared" si="84"/>
        <v>ROB</v>
      </c>
    </row>
    <row r="129" spans="1:85" ht="61.5" hidden="1" customHeight="1" x14ac:dyDescent="0.25">
      <c r="A129" s="298" t="s">
        <v>2458</v>
      </c>
      <c r="B129" s="299" t="str">
        <f>'PLAN INDICATIVO'!B129</f>
        <v>APSB</v>
      </c>
      <c r="C129" s="1547"/>
      <c r="D129" s="1549"/>
      <c r="E129" s="1549"/>
      <c r="F129" s="1559"/>
      <c r="G129" s="1560"/>
      <c r="H129" s="1561"/>
      <c r="I129" s="1425" t="str">
        <f>'PLAN INDICATIVO'!I129</f>
        <v>SI</v>
      </c>
      <c r="J129" s="1425">
        <f>'PLAN INDICATIVO'!J129</f>
        <v>0</v>
      </c>
      <c r="K129" s="1425" t="str">
        <f>'PLAN INDICATIVO'!K129</f>
        <v>A.3.1.10</v>
      </c>
      <c r="L129" s="1425" t="str">
        <f>'PLAN INDICATIVO'!L129</f>
        <v>6. Agua limplia y saneamiento</v>
      </c>
      <c r="M129" s="1425" t="str">
        <f>'PLAN INDICATIVO'!M129</f>
        <v>EMSERPLA</v>
      </c>
      <c r="N129" s="1425" t="str">
        <f>'PLAN INDICATIVO'!N129</f>
        <v>MARIO MONTILLA CABRERA</v>
      </c>
      <c r="O129" s="1425" t="str">
        <f>'PLAN INDICATIVO'!O129</f>
        <v>Incremento</v>
      </c>
      <c r="P129" s="1198" t="str">
        <f>'PLAN INDICATIVO'!P129</f>
        <v>Reposición de 2700 ML de redes de acueducto en el cuatrienio</v>
      </c>
      <c r="Q129" s="302" t="str">
        <f>'PLAN INDICATIVO'!Q129</f>
        <v xml:space="preserve">No. De metros lineales en reposición </v>
      </c>
      <c r="R129" s="303">
        <f>'PLAN INDICATIVO'!R129</f>
        <v>2015</v>
      </c>
      <c r="S129" s="304">
        <v>1145</v>
      </c>
      <c r="T129" s="677">
        <v>2700</v>
      </c>
      <c r="U129" s="304">
        <v>600</v>
      </c>
      <c r="V129" s="687">
        <v>267550000</v>
      </c>
      <c r="W129" s="304">
        <v>600</v>
      </c>
      <c r="X129" s="687">
        <v>326030000</v>
      </c>
      <c r="Y129" s="1296">
        <v>58.92</v>
      </c>
      <c r="Z129" s="687">
        <v>337440000</v>
      </c>
      <c r="AA129" s="1329">
        <v>4.08</v>
      </c>
      <c r="AB129" s="687">
        <v>349250000</v>
      </c>
      <c r="AC129" s="665">
        <v>1548</v>
      </c>
      <c r="AD129" s="665">
        <v>1089</v>
      </c>
      <c r="AE129" s="665">
        <v>58.92</v>
      </c>
      <c r="AF129" s="665"/>
      <c r="AG129" s="306" t="s">
        <v>4092</v>
      </c>
      <c r="AH129" s="987">
        <v>2018453960008</v>
      </c>
      <c r="AI129" s="307"/>
      <c r="AJ129" s="335"/>
      <c r="AK129" s="335"/>
      <c r="AL129" s="308"/>
      <c r="AM129" s="308"/>
      <c r="AN129" s="267" t="s">
        <v>2598</v>
      </c>
      <c r="AO129" s="507">
        <v>230310</v>
      </c>
      <c r="AP129" s="729"/>
      <c r="AQ129" s="730"/>
      <c r="AR129" s="730"/>
      <c r="AS129" s="730"/>
      <c r="AT129" s="730"/>
      <c r="AU129" s="730"/>
      <c r="AV129" s="730"/>
      <c r="AW129" s="731"/>
      <c r="AX129" s="525"/>
      <c r="AY129" s="310"/>
      <c r="AZ129" s="310"/>
      <c r="BA129" s="310"/>
      <c r="BB129" s="310"/>
      <c r="BC129" s="310"/>
      <c r="BD129" s="310"/>
      <c r="BE129" s="544">
        <f t="shared" si="58"/>
        <v>0</v>
      </c>
      <c r="BF129" s="525"/>
      <c r="BG129" s="310"/>
      <c r="BH129" s="310"/>
      <c r="BI129" s="310"/>
      <c r="BJ129" s="310"/>
      <c r="BK129" s="310"/>
      <c r="BL129" s="310">
        <v>27488000</v>
      </c>
      <c r="BM129" s="544">
        <f t="shared" si="59"/>
        <v>27488000</v>
      </c>
      <c r="BN129" s="525"/>
      <c r="BO129" s="310"/>
      <c r="BP129" s="310"/>
      <c r="BQ129" s="310"/>
      <c r="BR129" s="310"/>
      <c r="BS129" s="310"/>
      <c r="BT129" s="310"/>
      <c r="BU129" s="544">
        <f t="shared" si="60"/>
        <v>0</v>
      </c>
      <c r="BV129" s="556"/>
      <c r="BW129" s="663">
        <f t="shared" si="70"/>
        <v>2695.92</v>
      </c>
      <c r="BX129" s="1047">
        <f t="shared" si="50"/>
        <v>0.99848888888888887</v>
      </c>
      <c r="BY129" s="1047">
        <f t="shared" si="80"/>
        <v>2.58</v>
      </c>
      <c r="BZ129" s="1047">
        <f t="shared" si="81"/>
        <v>1.8149999999999999</v>
      </c>
      <c r="CA129" s="1047">
        <f t="shared" si="82"/>
        <v>1</v>
      </c>
      <c r="CB129" s="1047">
        <f t="shared" si="83"/>
        <v>0</v>
      </c>
      <c r="CD129" t="str">
        <f t="shared" si="84"/>
        <v>VE</v>
      </c>
      <c r="CE129" t="str">
        <f t="shared" si="84"/>
        <v>VE</v>
      </c>
      <c r="CF129" t="str">
        <f t="shared" si="84"/>
        <v>VE</v>
      </c>
      <c r="CG129" t="str">
        <f t="shared" si="84"/>
        <v>ROB</v>
      </c>
    </row>
    <row r="130" spans="1:85" ht="64.5" hidden="1" customHeight="1" x14ac:dyDescent="0.25">
      <c r="A130" s="298" t="s">
        <v>386</v>
      </c>
      <c r="B130" s="299" t="str">
        <f>'PLAN INDICATIVO'!B130</f>
        <v>APSB</v>
      </c>
      <c r="C130" s="1547"/>
      <c r="D130" s="1549"/>
      <c r="E130" s="1549"/>
      <c r="F130" s="1559"/>
      <c r="G130" s="1560"/>
      <c r="H130" s="1561"/>
      <c r="I130" s="300">
        <f>'PLAN INDICATIVO'!I130</f>
        <v>0</v>
      </c>
      <c r="J130" s="300">
        <f>'PLAN INDICATIVO'!J130</f>
        <v>0</v>
      </c>
      <c r="K130" s="1425" t="str">
        <f>'PLAN INDICATIVO'!K130</f>
        <v>A.3.1.11</v>
      </c>
      <c r="L130" s="1425" t="str">
        <f>'PLAN INDICATIVO'!L130</f>
        <v>6. Agua limplia y saneamiento</v>
      </c>
      <c r="M130" s="1425" t="str">
        <f>'PLAN INDICATIVO'!M130</f>
        <v>EMSERPLA</v>
      </c>
      <c r="N130" s="1425" t="str">
        <f>'PLAN INDICATIVO'!N130</f>
        <v>MARIO MONTILLA CABRERA</v>
      </c>
      <c r="O130" s="1425" t="str">
        <f>'PLAN INDICATIVO'!O130</f>
        <v>Incremento</v>
      </c>
      <c r="P130" s="16" t="str">
        <f>'PLAN INDICATIVO'!P130</f>
        <v>Implementar 1 programa durante el cuatrienio  para la disminución de agua no contabilizada en la zona urbana</v>
      </c>
      <c r="Q130" s="302" t="str">
        <f>'PLAN INDICATIVO'!Q130</f>
        <v>No. Programa implementado</v>
      </c>
      <c r="R130" s="303">
        <f>'PLAN INDICATIVO'!R130</f>
        <v>2015</v>
      </c>
      <c r="S130" s="304">
        <v>0</v>
      </c>
      <c r="T130" s="677">
        <v>1</v>
      </c>
      <c r="U130" s="844"/>
      <c r="V130" s="687">
        <v>0</v>
      </c>
      <c r="W130" s="304"/>
      <c r="X130" s="687"/>
      <c r="Y130" s="1237">
        <v>1</v>
      </c>
      <c r="Z130" s="687"/>
      <c r="AA130" s="410">
        <v>0.05</v>
      </c>
      <c r="AB130" s="687">
        <v>10180000</v>
      </c>
      <c r="AC130" s="665"/>
      <c r="AD130" s="843"/>
      <c r="AE130" s="665">
        <v>0.95</v>
      </c>
      <c r="AF130" s="665"/>
      <c r="AG130" s="306" t="s">
        <v>4092</v>
      </c>
      <c r="AH130" s="987">
        <v>2018453960008</v>
      </c>
      <c r="AI130" s="307" t="s">
        <v>4102</v>
      </c>
      <c r="AJ130" s="335">
        <v>43102</v>
      </c>
      <c r="AK130" s="335">
        <v>43464</v>
      </c>
      <c r="AL130" s="308"/>
      <c r="AM130" s="308"/>
      <c r="AN130" s="267" t="s">
        <v>2598</v>
      </c>
      <c r="AO130" s="507">
        <v>230310</v>
      </c>
      <c r="AP130" s="729"/>
      <c r="AQ130" s="730"/>
      <c r="AR130" s="730"/>
      <c r="AS130" s="730"/>
      <c r="AT130" s="730"/>
      <c r="AU130" s="730"/>
      <c r="AV130" s="730"/>
      <c r="AW130" s="731"/>
      <c r="AX130" s="525"/>
      <c r="AY130" s="310"/>
      <c r="AZ130" s="310"/>
      <c r="BA130" s="310"/>
      <c r="BB130" s="310"/>
      <c r="BC130" s="310"/>
      <c r="BD130" s="310"/>
      <c r="BE130" s="544">
        <f t="shared" si="58"/>
        <v>0</v>
      </c>
      <c r="BF130" s="525"/>
      <c r="BG130" s="310"/>
      <c r="BH130" s="310"/>
      <c r="BI130" s="310"/>
      <c r="BJ130" s="310"/>
      <c r="BK130" s="310"/>
      <c r="BL130" s="310">
        <v>201000</v>
      </c>
      <c r="BM130" s="544">
        <f t="shared" si="59"/>
        <v>201000</v>
      </c>
      <c r="BN130" s="525"/>
      <c r="BO130" s="310"/>
      <c r="BP130" s="310"/>
      <c r="BQ130" s="310"/>
      <c r="BR130" s="310"/>
      <c r="BS130" s="310"/>
      <c r="BT130" s="310"/>
      <c r="BU130" s="544">
        <f t="shared" si="60"/>
        <v>0</v>
      </c>
      <c r="BV130" s="556"/>
      <c r="BW130" s="663">
        <f t="shared" si="70"/>
        <v>0.95</v>
      </c>
      <c r="BX130" s="1047">
        <f t="shared" si="50"/>
        <v>0.95</v>
      </c>
      <c r="BY130" s="1047" t="str">
        <f t="shared" si="80"/>
        <v>No Programada</v>
      </c>
      <c r="BZ130" s="1047" t="str">
        <f t="shared" si="81"/>
        <v>No Programada</v>
      </c>
      <c r="CA130" s="1047">
        <f t="shared" si="82"/>
        <v>0.95</v>
      </c>
      <c r="CB130" s="1047" t="str">
        <f t="shared" si="83"/>
        <v>Aplazada</v>
      </c>
      <c r="CD130" t="str">
        <f t="shared" si="84"/>
        <v>NP</v>
      </c>
      <c r="CE130" t="str">
        <f t="shared" si="84"/>
        <v>NP</v>
      </c>
      <c r="CF130" t="str">
        <f t="shared" si="84"/>
        <v>VE</v>
      </c>
      <c r="CG130" t="str">
        <f t="shared" si="84"/>
        <v>AZ</v>
      </c>
    </row>
    <row r="131" spans="1:85" ht="56.25" hidden="1" customHeight="1" x14ac:dyDescent="0.25">
      <c r="A131" s="298" t="s">
        <v>386</v>
      </c>
      <c r="B131" s="299" t="str">
        <f>'PLAN INDICATIVO'!B131</f>
        <v>APSB</v>
      </c>
      <c r="C131" s="1547"/>
      <c r="D131" s="1549"/>
      <c r="E131" s="1549"/>
      <c r="F131" s="1559"/>
      <c r="G131" s="1560"/>
      <c r="H131" s="1561"/>
      <c r="I131" s="300">
        <f>'PLAN INDICATIVO'!I131</f>
        <v>0</v>
      </c>
      <c r="J131" s="300">
        <f>'PLAN INDICATIVO'!J131</f>
        <v>0</v>
      </c>
      <c r="K131" s="1425" t="str">
        <f>'PLAN INDICATIVO'!K131</f>
        <v>A.3.1.12</v>
      </c>
      <c r="L131" s="1425" t="str">
        <f>'PLAN INDICATIVO'!L131</f>
        <v>6. Agua limplia y saneamiento</v>
      </c>
      <c r="M131" s="1425" t="str">
        <f>'PLAN INDICATIVO'!M131</f>
        <v>EMSERPLA</v>
      </c>
      <c r="N131" s="1425" t="str">
        <f>'PLAN INDICATIVO'!N131</f>
        <v>MAURICIO LEGARDA GONZALEZ</v>
      </c>
      <c r="O131" s="1425" t="str">
        <f>'PLAN INDICATIVO'!O131</f>
        <v>Incremento</v>
      </c>
      <c r="P131" s="883" t="str">
        <f>'PLAN INDICATIVO'!P131</f>
        <v>Beneficiar a 1200 familias con servicio de acueducto en la zona rural, durante el cuatrienio</v>
      </c>
      <c r="Q131" s="302" t="str">
        <f>'PLAN INDICATIVO'!Q131</f>
        <v>No. De familias beneficiadas.</v>
      </c>
      <c r="R131" s="303">
        <f>'PLAN INDICATIVO'!R131</f>
        <v>2015</v>
      </c>
      <c r="S131" s="304">
        <v>0</v>
      </c>
      <c r="T131" s="677">
        <v>1200</v>
      </c>
      <c r="U131" s="304">
        <v>400</v>
      </c>
      <c r="V131" s="687">
        <v>48000000</v>
      </c>
      <c r="W131" s="270">
        <v>226</v>
      </c>
      <c r="X131" s="687">
        <v>224200000</v>
      </c>
      <c r="Y131" s="1237">
        <v>44</v>
      </c>
      <c r="Z131" s="687">
        <v>220010000</v>
      </c>
      <c r="AA131" s="410">
        <v>905</v>
      </c>
      <c r="AB131" s="687">
        <v>50000000</v>
      </c>
      <c r="AC131" s="667">
        <v>25</v>
      </c>
      <c r="AD131" s="667">
        <f>25+165+36</f>
        <v>226</v>
      </c>
      <c r="AE131" s="667">
        <v>44</v>
      </c>
      <c r="AF131" s="667"/>
      <c r="AG131" s="306" t="s">
        <v>4092</v>
      </c>
      <c r="AH131" s="987">
        <v>2018453960008</v>
      </c>
      <c r="AI131" s="336" t="s">
        <v>4103</v>
      </c>
      <c r="AJ131" s="339">
        <v>43146</v>
      </c>
      <c r="AK131" s="339">
        <v>43449</v>
      </c>
      <c r="AL131" s="337"/>
      <c r="AM131" s="337"/>
      <c r="AN131" s="267" t="s">
        <v>2598</v>
      </c>
      <c r="AO131" s="507">
        <v>230310</v>
      </c>
      <c r="AP131" s="528"/>
      <c r="AQ131" s="472"/>
      <c r="AR131" s="472"/>
      <c r="AS131" s="472"/>
      <c r="AT131" s="472"/>
      <c r="AU131" s="472"/>
      <c r="AV131" s="472"/>
      <c r="AW131" s="544"/>
      <c r="AX131" s="528"/>
      <c r="AY131" s="472"/>
      <c r="AZ131" s="472"/>
      <c r="BA131" s="472"/>
      <c r="BB131" s="472"/>
      <c r="BC131" s="472"/>
      <c r="BD131" s="472"/>
      <c r="BE131" s="544">
        <f t="shared" si="58"/>
        <v>0</v>
      </c>
      <c r="BF131" s="528"/>
      <c r="BG131" s="472"/>
      <c r="BH131" s="472"/>
      <c r="BI131" s="472"/>
      <c r="BJ131" s="472"/>
      <c r="BK131" s="472"/>
      <c r="BL131" s="472"/>
      <c r="BM131" s="544">
        <f t="shared" si="59"/>
        <v>0</v>
      </c>
      <c r="BN131" s="528"/>
      <c r="BO131" s="472"/>
      <c r="BP131" s="472"/>
      <c r="BQ131" s="472"/>
      <c r="BR131" s="472"/>
      <c r="BS131" s="472"/>
      <c r="BT131" s="472"/>
      <c r="BU131" s="544">
        <f t="shared" si="60"/>
        <v>0</v>
      </c>
      <c r="BV131" s="556"/>
      <c r="BW131" s="663">
        <f t="shared" si="70"/>
        <v>295</v>
      </c>
      <c r="BX131" s="1047">
        <f t="shared" si="50"/>
        <v>0.24583333333333332</v>
      </c>
      <c r="BY131" s="1047">
        <f t="shared" si="80"/>
        <v>6.25E-2</v>
      </c>
      <c r="BZ131" s="1047">
        <f t="shared" si="81"/>
        <v>1</v>
      </c>
      <c r="CA131" s="1047">
        <f t="shared" si="82"/>
        <v>1</v>
      </c>
      <c r="CB131" s="1047">
        <f t="shared" si="83"/>
        <v>0</v>
      </c>
      <c r="CD131" t="str">
        <f t="shared" si="84"/>
        <v>ROB</v>
      </c>
      <c r="CE131" t="str">
        <f t="shared" si="84"/>
        <v>VE</v>
      </c>
      <c r="CF131" t="str">
        <f t="shared" si="84"/>
        <v>VE</v>
      </c>
      <c r="CG131" t="str">
        <f t="shared" si="84"/>
        <v>ROB</v>
      </c>
    </row>
    <row r="132" spans="1:85" ht="50.25" hidden="1" customHeight="1" x14ac:dyDescent="0.25">
      <c r="A132" s="298" t="s">
        <v>386</v>
      </c>
      <c r="B132" s="299" t="str">
        <f>'PLAN INDICATIVO'!B132</f>
        <v>APSB</v>
      </c>
      <c r="C132" s="1547"/>
      <c r="D132" s="1549"/>
      <c r="E132" s="1549"/>
      <c r="F132" s="1559"/>
      <c r="G132" s="1560"/>
      <c r="H132" s="1561"/>
      <c r="I132" s="300">
        <f>'PLAN INDICATIVO'!I132</f>
        <v>0</v>
      </c>
      <c r="J132" s="300">
        <f>'PLAN INDICATIVO'!J132</f>
        <v>0</v>
      </c>
      <c r="K132" s="1425" t="str">
        <f>'PLAN INDICATIVO'!K132</f>
        <v>A.3.1.13</v>
      </c>
      <c r="L132" s="1425" t="str">
        <f>'PLAN INDICATIVO'!L132</f>
        <v>6. Agua limplia y saneamiento</v>
      </c>
      <c r="M132" s="1425" t="str">
        <f>'PLAN INDICATIVO'!M132</f>
        <v>EMSERPLA</v>
      </c>
      <c r="N132" s="1425" t="str">
        <f>'PLAN INDICATIVO'!N132</f>
        <v>MAURICIO LEGARDA GONZALEZ</v>
      </c>
      <c r="O132" s="1425" t="str">
        <f>'PLAN INDICATIVO'!O132</f>
        <v>Incremento</v>
      </c>
      <c r="P132" s="883" t="str">
        <f>'PLAN INDICATIVO'!P132</f>
        <v>Beneficiar 1000 familias con potabilización de agua en la zona rural, durante el cuatrienio</v>
      </c>
      <c r="Q132" s="302" t="str">
        <f>'PLAN INDICATIVO'!Q132</f>
        <v>No. De familias beneficiadas.</v>
      </c>
      <c r="R132" s="303">
        <f>'PLAN INDICATIVO'!R132</f>
        <v>2015</v>
      </c>
      <c r="S132" s="304">
        <v>0</v>
      </c>
      <c r="T132" s="677">
        <v>1000</v>
      </c>
      <c r="U132" s="304">
        <v>500</v>
      </c>
      <c r="V132" s="687">
        <v>224200000</v>
      </c>
      <c r="W132" s="270"/>
      <c r="X132" s="687">
        <v>224200000</v>
      </c>
      <c r="Y132" s="1237"/>
      <c r="Z132" s="687">
        <v>220010000</v>
      </c>
      <c r="AA132" s="410">
        <v>1000</v>
      </c>
      <c r="AB132" s="687">
        <v>50000000</v>
      </c>
      <c r="AC132" s="879"/>
      <c r="AD132" s="667"/>
      <c r="AE132" s="667"/>
      <c r="AF132" s="667"/>
      <c r="AG132" s="306" t="s">
        <v>4092</v>
      </c>
      <c r="AH132" s="987">
        <v>2018453960008</v>
      </c>
      <c r="AI132" s="336" t="s">
        <v>4103</v>
      </c>
      <c r="AJ132" s="339">
        <v>43146</v>
      </c>
      <c r="AK132" s="339">
        <v>43449</v>
      </c>
      <c r="AL132" s="337"/>
      <c r="AM132" s="337"/>
      <c r="AN132" s="267" t="s">
        <v>2604</v>
      </c>
      <c r="AO132" s="507">
        <v>230310</v>
      </c>
      <c r="AP132" s="528"/>
      <c r="AQ132" s="472"/>
      <c r="AR132" s="472"/>
      <c r="AS132" s="472"/>
      <c r="AT132" s="472"/>
      <c r="AU132" s="472"/>
      <c r="AV132" s="472"/>
      <c r="AW132" s="544"/>
      <c r="AX132" s="528"/>
      <c r="AY132" s="472"/>
      <c r="AZ132" s="472"/>
      <c r="BA132" s="472"/>
      <c r="BB132" s="472"/>
      <c r="BC132" s="472"/>
      <c r="BD132" s="472"/>
      <c r="BE132" s="544">
        <f t="shared" si="58"/>
        <v>0</v>
      </c>
      <c r="BF132" s="528"/>
      <c r="BG132" s="472"/>
      <c r="BH132" s="472"/>
      <c r="BI132" s="472"/>
      <c r="BJ132" s="472"/>
      <c r="BK132" s="472"/>
      <c r="BL132" s="472"/>
      <c r="BM132" s="544">
        <f t="shared" si="59"/>
        <v>0</v>
      </c>
      <c r="BN132" s="528"/>
      <c r="BO132" s="472"/>
      <c r="BP132" s="472"/>
      <c r="BQ132" s="472"/>
      <c r="BR132" s="472"/>
      <c r="BS132" s="472"/>
      <c r="BT132" s="472"/>
      <c r="BU132" s="544">
        <f t="shared" si="60"/>
        <v>0</v>
      </c>
      <c r="BV132" s="556"/>
      <c r="BW132" s="663">
        <f t="shared" si="70"/>
        <v>0</v>
      </c>
      <c r="BX132" s="1047">
        <f t="shared" si="50"/>
        <v>0</v>
      </c>
      <c r="BY132" s="1047">
        <f t="shared" si="80"/>
        <v>0</v>
      </c>
      <c r="BZ132" s="1047" t="str">
        <f t="shared" si="81"/>
        <v>No Programada</v>
      </c>
      <c r="CA132" s="1047" t="str">
        <f t="shared" si="82"/>
        <v>No Programada</v>
      </c>
      <c r="CB132" s="1047">
        <f t="shared" si="83"/>
        <v>0</v>
      </c>
      <c r="CD132" t="str">
        <f t="shared" si="84"/>
        <v>ROB</v>
      </c>
      <c r="CE132" t="str">
        <f t="shared" si="84"/>
        <v>NP</v>
      </c>
      <c r="CF132" t="str">
        <f t="shared" si="84"/>
        <v>NP</v>
      </c>
      <c r="CG132" t="str">
        <f t="shared" si="84"/>
        <v>ROB</v>
      </c>
    </row>
    <row r="133" spans="1:85" ht="63.75" hidden="1" customHeight="1" x14ac:dyDescent="0.25">
      <c r="A133" s="298" t="s">
        <v>386</v>
      </c>
      <c r="B133" s="299" t="str">
        <f>'PLAN INDICATIVO'!B133</f>
        <v>APSB</v>
      </c>
      <c r="C133" s="1548"/>
      <c r="D133" s="1549"/>
      <c r="E133" s="1549"/>
      <c r="F133" s="1559"/>
      <c r="G133" s="1560"/>
      <c r="H133" s="1561"/>
      <c r="I133" s="300">
        <f>'PLAN INDICATIVO'!I133</f>
        <v>0</v>
      </c>
      <c r="J133" s="300">
        <f>'PLAN INDICATIVO'!J133</f>
        <v>0</v>
      </c>
      <c r="K133" s="1425" t="str">
        <f>'PLAN INDICATIVO'!K133</f>
        <v>A.3.1.14</v>
      </c>
      <c r="L133" s="1425" t="str">
        <f>'PLAN INDICATIVO'!L133</f>
        <v>6. Agua limplia y saneamiento</v>
      </c>
      <c r="M133" s="1425" t="str">
        <f>'PLAN INDICATIVO'!M133</f>
        <v>EMSERPLA</v>
      </c>
      <c r="N133" s="1425" t="str">
        <f>'PLAN INDICATIVO'!N133</f>
        <v>MARIO MONTILLA CABRERA</v>
      </c>
      <c r="O133" s="1425" t="str">
        <f>'PLAN INDICATIVO'!O133</f>
        <v>Mantenimiento</v>
      </c>
      <c r="P133" s="883" t="str">
        <f>'PLAN INDICATIVO'!P133</f>
        <v>Apoyar anualmete 1 PDA con transferencia de recursos para Acueducto y alcantarillado municipal</v>
      </c>
      <c r="Q133" s="302" t="str">
        <f>'PLAN INDICATIVO'!Q133</f>
        <v>No. De apoyos realizados por año</v>
      </c>
      <c r="R133" s="303">
        <f>'PLAN INDICATIVO'!R133</f>
        <v>2015</v>
      </c>
      <c r="S133" s="304">
        <v>1</v>
      </c>
      <c r="T133" s="677">
        <v>1</v>
      </c>
      <c r="U133" s="304">
        <v>1</v>
      </c>
      <c r="V133" s="687">
        <v>141700000</v>
      </c>
      <c r="W133" s="304">
        <v>1</v>
      </c>
      <c r="X133" s="687">
        <v>200000000</v>
      </c>
      <c r="Y133" s="1237">
        <v>1</v>
      </c>
      <c r="Z133" s="687">
        <v>271770000</v>
      </c>
      <c r="AA133" s="410">
        <v>1</v>
      </c>
      <c r="AB133" s="687">
        <v>281280000</v>
      </c>
      <c r="AC133" s="667">
        <v>1</v>
      </c>
      <c r="AD133" s="667">
        <v>1</v>
      </c>
      <c r="AE133" s="667"/>
      <c r="AF133" s="667"/>
      <c r="AG133" s="306" t="s">
        <v>4092</v>
      </c>
      <c r="AH133" s="987">
        <v>2018453960008</v>
      </c>
      <c r="AI133" s="336" t="s">
        <v>4104</v>
      </c>
      <c r="AJ133" s="339">
        <v>43146</v>
      </c>
      <c r="AK133" s="339">
        <v>43189</v>
      </c>
      <c r="AL133" s="337"/>
      <c r="AM133" s="337"/>
      <c r="AN133" s="267" t="s">
        <v>2600</v>
      </c>
      <c r="AO133" s="507">
        <v>230310</v>
      </c>
      <c r="AP133" s="529"/>
      <c r="AQ133" s="729"/>
      <c r="AR133" s="473"/>
      <c r="AS133" s="473"/>
      <c r="AT133" s="473"/>
      <c r="AU133" s="473"/>
      <c r="AV133" s="473"/>
      <c r="AW133" s="901"/>
      <c r="AX133" s="529"/>
      <c r="AY133" s="473"/>
      <c r="AZ133" s="473"/>
      <c r="BA133" s="473"/>
      <c r="BB133" s="473"/>
      <c r="BC133" s="473"/>
      <c r="BD133" s="473"/>
      <c r="BE133" s="544">
        <f t="shared" si="58"/>
        <v>0</v>
      </c>
      <c r="BF133" s="529"/>
      <c r="BG133" s="473"/>
      <c r="BH133" s="473"/>
      <c r="BI133" s="473"/>
      <c r="BJ133" s="473"/>
      <c r="BK133" s="473"/>
      <c r="BL133" s="473"/>
      <c r="BM133" s="544">
        <f t="shared" si="59"/>
        <v>0</v>
      </c>
      <c r="BN133" s="529"/>
      <c r="BO133" s="473"/>
      <c r="BP133" s="473"/>
      <c r="BQ133" s="473"/>
      <c r="BR133" s="473"/>
      <c r="BS133" s="473"/>
      <c r="BT133" s="473"/>
      <c r="BU133" s="544">
        <f t="shared" si="60"/>
        <v>0</v>
      </c>
      <c r="BV133" s="556"/>
      <c r="BW133" s="663">
        <f t="shared" si="70"/>
        <v>2</v>
      </c>
      <c r="BX133" s="1047">
        <f t="shared" si="50"/>
        <v>2</v>
      </c>
      <c r="BY133" s="1047">
        <f t="shared" si="80"/>
        <v>1</v>
      </c>
      <c r="BZ133" s="1047">
        <f t="shared" si="81"/>
        <v>1</v>
      </c>
      <c r="CA133" s="1047">
        <f t="shared" si="82"/>
        <v>0</v>
      </c>
      <c r="CB133" s="1047">
        <f t="shared" si="83"/>
        <v>0</v>
      </c>
      <c r="CD133" t="str">
        <f t="shared" si="84"/>
        <v>VE</v>
      </c>
      <c r="CE133" t="str">
        <f t="shared" si="84"/>
        <v>VE</v>
      </c>
      <c r="CF133" t="str">
        <f t="shared" si="84"/>
        <v>ROB</v>
      </c>
      <c r="CG133" t="str">
        <f t="shared" si="84"/>
        <v>ROB</v>
      </c>
    </row>
    <row r="134" spans="1:85" ht="17.25" hidden="1" customHeight="1" x14ac:dyDescent="0.25">
      <c r="A134" s="295"/>
      <c r="B134" s="24" t="str">
        <f>'PLAN INDICATIVO'!B134</f>
        <v>APSB</v>
      </c>
      <c r="C134" s="1574" t="s">
        <v>434</v>
      </c>
      <c r="D134" s="1575"/>
      <c r="E134" s="1575"/>
      <c r="F134" s="1575"/>
      <c r="G134" s="1575"/>
      <c r="H134" s="1575"/>
      <c r="I134" s="1575"/>
      <c r="J134" s="1575"/>
      <c r="K134" s="1575"/>
      <c r="L134" s="1575"/>
      <c r="M134" s="1575"/>
      <c r="N134" s="1575"/>
      <c r="O134" s="1576"/>
      <c r="P134" s="22"/>
      <c r="Q134" s="22"/>
      <c r="R134" s="1"/>
      <c r="S134" s="261"/>
      <c r="T134" s="681"/>
      <c r="U134" s="261"/>
      <c r="V134" s="693">
        <f>SUM(V135:V143)</f>
        <v>767840000</v>
      </c>
      <c r="W134" s="691"/>
      <c r="X134" s="693">
        <f>SUM(X135:X143)</f>
        <v>797620000</v>
      </c>
      <c r="Y134" s="691"/>
      <c r="Z134" s="693">
        <f>SUM(Z135:Z143)</f>
        <v>6866230000</v>
      </c>
      <c r="AA134" s="692"/>
      <c r="AB134" s="693">
        <f>SUM(AB135:AB143)</f>
        <v>977810000</v>
      </c>
      <c r="AC134" s="262"/>
      <c r="AD134" s="262"/>
      <c r="AE134" s="262"/>
      <c r="AF134" s="262"/>
      <c r="AG134" s="263"/>
      <c r="AH134" s="263"/>
      <c r="AI134" s="263"/>
      <c r="AJ134" s="262"/>
      <c r="AK134" s="262"/>
      <c r="AL134" s="262"/>
      <c r="AM134" s="262"/>
      <c r="AN134" s="262"/>
      <c r="AO134" s="612"/>
      <c r="AP134" s="616"/>
      <c r="AQ134" s="616"/>
      <c r="AR134" s="616"/>
      <c r="AS134" s="616"/>
      <c r="AT134" s="616"/>
      <c r="AU134" s="616"/>
      <c r="AV134" s="616"/>
      <c r="AW134" s="617"/>
      <c r="AX134" s="616" t="e">
        <f>(AX135:AX143)</f>
        <v>#VALUE!</v>
      </c>
      <c r="AY134" s="616" t="e">
        <f t="shared" ref="AY134:BD134" si="85">(AY135:AY143)</f>
        <v>#VALUE!</v>
      </c>
      <c r="AZ134" s="616" t="e">
        <f t="shared" si="85"/>
        <v>#VALUE!</v>
      </c>
      <c r="BA134" s="616" t="e">
        <f t="shared" si="85"/>
        <v>#VALUE!</v>
      </c>
      <c r="BB134" s="616" t="e">
        <f t="shared" si="85"/>
        <v>#VALUE!</v>
      </c>
      <c r="BC134" s="616" t="e">
        <f t="shared" si="85"/>
        <v>#VALUE!</v>
      </c>
      <c r="BD134" s="616" t="e">
        <f t="shared" si="85"/>
        <v>#VALUE!</v>
      </c>
      <c r="BE134" s="617" t="e">
        <f t="shared" si="58"/>
        <v>#VALUE!</v>
      </c>
      <c r="BF134" s="616"/>
      <c r="BG134" s="616"/>
      <c r="BH134" s="616"/>
      <c r="BI134" s="616"/>
      <c r="BJ134" s="616"/>
      <c r="BK134" s="616"/>
      <c r="BL134" s="616"/>
      <c r="BM134" s="617">
        <f t="shared" si="59"/>
        <v>0</v>
      </c>
      <c r="BN134" s="616" t="e">
        <f>(BN135:BN143)</f>
        <v>#VALUE!</v>
      </c>
      <c r="BO134" s="616" t="e">
        <f t="shared" ref="BO134:BT134" si="86">(BO135:BO143)</f>
        <v>#VALUE!</v>
      </c>
      <c r="BP134" s="616" t="e">
        <f t="shared" si="86"/>
        <v>#VALUE!</v>
      </c>
      <c r="BQ134" s="616" t="e">
        <f t="shared" si="86"/>
        <v>#VALUE!</v>
      </c>
      <c r="BR134" s="616" t="e">
        <f t="shared" si="86"/>
        <v>#VALUE!</v>
      </c>
      <c r="BS134" s="616" t="e">
        <f t="shared" si="86"/>
        <v>#VALUE!</v>
      </c>
      <c r="BT134" s="616" t="e">
        <f t="shared" si="86"/>
        <v>#VALUE!</v>
      </c>
      <c r="BU134" s="617" t="e">
        <f t="shared" si="60"/>
        <v>#VALUE!</v>
      </c>
      <c r="BV134" s="556"/>
      <c r="BW134" s="663" t="s">
        <v>2717</v>
      </c>
      <c r="BX134" s="617" t="s">
        <v>2717</v>
      </c>
      <c r="BY134" s="617" t="s">
        <v>2717</v>
      </c>
      <c r="BZ134" s="617" t="s">
        <v>2717</v>
      </c>
      <c r="CA134" s="617" t="s">
        <v>2717</v>
      </c>
      <c r="CB134" s="1047" t="s">
        <v>2717</v>
      </c>
      <c r="CD134" t="str">
        <f>IF(BY134="PARA MODIFICAR","M",IF(BY134="PARA ELIMINAR","E",IF(BY134="aplazada","AZ",IF(BY134="no programada","NP",IF(BY134&gt;=85%,"VE",IF(BY134&gt;70%,"VEB",IF(BY134&gt;60%,"AM",IF(BY134&gt;20%,"RO",IF(BY134&gt;40%,"AMB",IF(BY134&gt;=0%,"ROB",""))))))))))</f>
        <v>VE</v>
      </c>
    </row>
    <row r="135" spans="1:85" ht="9" hidden="1" customHeight="1" x14ac:dyDescent="0.25">
      <c r="A135" s="298" t="s">
        <v>386</v>
      </c>
      <c r="B135" s="299" t="str">
        <f>'PLAN INDICATIVO'!B135</f>
        <v>APSB</v>
      </c>
      <c r="C135" s="1546" t="s">
        <v>435</v>
      </c>
      <c r="D135" s="1549" t="s">
        <v>436</v>
      </c>
      <c r="E135" s="1549" t="s">
        <v>437</v>
      </c>
      <c r="F135" s="1549">
        <v>2005</v>
      </c>
      <c r="G135" s="1549">
        <v>53</v>
      </c>
      <c r="H135" s="1549">
        <v>55</v>
      </c>
      <c r="I135" s="300">
        <f>'PLAN INDICATIVO'!I135</f>
        <v>0</v>
      </c>
      <c r="J135" s="300">
        <f>'PLAN INDICATIVO'!J135</f>
        <v>0</v>
      </c>
      <c r="K135" s="1425" t="str">
        <f>'PLAN INDICATIVO'!K135</f>
        <v>A.3.2.1</v>
      </c>
      <c r="L135" s="1425" t="str">
        <f>'PLAN INDICATIVO'!L135</f>
        <v>6. Agua limplia y saneamiento</v>
      </c>
      <c r="M135" s="1425" t="str">
        <f>'PLAN INDICATIVO'!M135</f>
        <v>EMSERPLA</v>
      </c>
      <c r="N135" s="1425" t="str">
        <f>'PLAN INDICATIVO'!N135</f>
        <v>MARIO MONTILLA CABRERA</v>
      </c>
      <c r="O135" s="1425" t="str">
        <f>'PLAN INDICATIVO'!O135</f>
        <v>Incremento</v>
      </c>
      <c r="P135" s="16" t="str">
        <f>'PLAN INDICATIVO'!P135</f>
        <v>Inscribir 1 proyecto para gestionar recursos para la implementación de 1 plan maestro de alcantarillado durante el cuatrienio.</v>
      </c>
      <c r="Q135" s="302" t="str">
        <f>'PLAN INDICATIVO'!Q135</f>
        <v>No. De proyectos inscritos</v>
      </c>
      <c r="R135" s="303">
        <f>'PLAN INDICATIVO'!R135</f>
        <v>2015</v>
      </c>
      <c r="S135" s="304">
        <v>0</v>
      </c>
      <c r="T135" s="677">
        <v>1</v>
      </c>
      <c r="U135" s="304"/>
      <c r="V135" s="687">
        <v>25000000</v>
      </c>
      <c r="W135" s="270"/>
      <c r="X135" s="687">
        <v>100000000</v>
      </c>
      <c r="Y135" s="1237"/>
      <c r="Z135" s="687"/>
      <c r="AA135" s="410"/>
      <c r="AB135" s="687"/>
      <c r="AC135" s="665" t="s">
        <v>2717</v>
      </c>
      <c r="AD135" s="665">
        <v>1</v>
      </c>
      <c r="AE135" s="665"/>
      <c r="AF135" s="665"/>
      <c r="AG135" s="306" t="s">
        <v>4105</v>
      </c>
      <c r="AH135" s="987">
        <v>2018413960026</v>
      </c>
      <c r="AI135" s="307"/>
      <c r="AJ135" s="308"/>
      <c r="AK135" s="308"/>
      <c r="AL135" s="308"/>
      <c r="AM135" s="308"/>
      <c r="AN135" s="267" t="s">
        <v>2604</v>
      </c>
      <c r="AO135" s="507">
        <v>230311</v>
      </c>
      <c r="AP135" s="734"/>
      <c r="AQ135" s="735"/>
      <c r="AR135" s="735"/>
      <c r="AS135" s="735"/>
      <c r="AT135" s="735"/>
      <c r="AU135" s="735"/>
      <c r="AV135" s="735"/>
      <c r="AW135" s="731"/>
      <c r="AX135" s="526"/>
      <c r="AY135" s="470"/>
      <c r="AZ135" s="470"/>
      <c r="BA135" s="470"/>
      <c r="BB135" s="470"/>
      <c r="BC135" s="470"/>
      <c r="BD135" s="470"/>
      <c r="BE135" s="544">
        <f t="shared" si="58"/>
        <v>0</v>
      </c>
      <c r="BF135" s="526"/>
      <c r="BG135" s="470"/>
      <c r="BH135" s="470"/>
      <c r="BI135" s="470"/>
      <c r="BJ135" s="470"/>
      <c r="BK135" s="470"/>
      <c r="BL135" s="470"/>
      <c r="BM135" s="544">
        <f t="shared" si="59"/>
        <v>0</v>
      </c>
      <c r="BN135" s="526"/>
      <c r="BO135" s="470"/>
      <c r="BP135" s="470"/>
      <c r="BQ135" s="470"/>
      <c r="BR135" s="470"/>
      <c r="BS135" s="470"/>
      <c r="BT135" s="470"/>
      <c r="BU135" s="544">
        <f t="shared" si="60"/>
        <v>0</v>
      </c>
      <c r="BV135" s="556"/>
      <c r="BW135" s="663">
        <v>1</v>
      </c>
      <c r="BX135" s="1047">
        <f t="shared" si="50"/>
        <v>1</v>
      </c>
      <c r="BY135" s="1047" t="str">
        <f t="shared" ref="BY135:BY143" si="87">IF(U135&gt;=0.1,AC135/U135,IF(ISBLANK(U135),"No Programada","Aplazada"))</f>
        <v>No Programada</v>
      </c>
      <c r="BZ135" s="1047">
        <v>1</v>
      </c>
      <c r="CA135" s="1047" t="str">
        <f t="shared" ref="CA135:CA143" si="88">IF(Y135&gt;=0.1,AE135/Y135,IF(ISBLANK(Y135),"No Programada","Aplazada"))</f>
        <v>No Programada</v>
      </c>
      <c r="CB135" s="1047" t="str">
        <f t="shared" ref="CB135:CB143" si="89">IF(AA135&gt;=0.1,AF135/AA135,IF(ISBLANK(AA135),"No Programada","Aplazada"))</f>
        <v>No Programada</v>
      </c>
      <c r="CD135" t="str">
        <f t="shared" ref="CD135:CG143" si="90">IF(BY135="PARA MODIFICAR","M",IF(BY135="PARA ELIMINAR","E",IF(BY135="aplazada","AZ",IF(BY135="no programada","NP",IF(BY135&gt;=85%,"VE",IF(BY135&gt;70%,"VEB",IF(BY135&gt;60%,"AM",IF(BY135&gt;40%,"AMB",IF(BY135&gt;20%,"RO",IF(BY135&gt;=0%,"ROB",""))))))))))</f>
        <v>NP</v>
      </c>
      <c r="CE135" t="str">
        <f t="shared" si="90"/>
        <v>VE</v>
      </c>
      <c r="CF135" t="str">
        <f t="shared" si="90"/>
        <v>NP</v>
      </c>
      <c r="CG135" t="str">
        <f t="shared" si="90"/>
        <v>NP</v>
      </c>
    </row>
    <row r="136" spans="1:85" ht="6" hidden="1" customHeight="1" x14ac:dyDescent="0.25">
      <c r="A136" s="298" t="s">
        <v>386</v>
      </c>
      <c r="B136" s="299" t="str">
        <f>'PLAN INDICATIVO'!B136</f>
        <v>APSB</v>
      </c>
      <c r="C136" s="1547"/>
      <c r="D136" s="1549"/>
      <c r="E136" s="1549"/>
      <c r="F136" s="1549"/>
      <c r="G136" s="1549"/>
      <c r="H136" s="1549"/>
      <c r="I136" s="1425" t="str">
        <f>'PLAN INDICATIVO'!I136</f>
        <v>SI</v>
      </c>
      <c r="J136" s="1425">
        <f>'PLAN INDICATIVO'!J136</f>
        <v>0</v>
      </c>
      <c r="K136" s="1425" t="str">
        <f>'PLAN INDICATIVO'!K136</f>
        <v>A.3.2.2</v>
      </c>
      <c r="L136" s="1425" t="str">
        <f>'PLAN INDICATIVO'!L136</f>
        <v>6. Agua limplia y saneamiento</v>
      </c>
      <c r="M136" s="1425" t="str">
        <f>'PLAN INDICATIVO'!M136</f>
        <v>EMSERPLA</v>
      </c>
      <c r="N136" s="1425" t="str">
        <f>'PLAN INDICATIVO'!N136</f>
        <v>MARIO MONTILLA CABRERA</v>
      </c>
      <c r="O136" s="1425" t="str">
        <f>'PLAN INDICATIVO'!O136</f>
        <v>Incremento</v>
      </c>
      <c r="P136" s="16" t="str">
        <f>'PLAN INDICATIVO'!P136</f>
        <v>Inscribir y gestionar 1 proyecto para la construcción de una (1) planta de tratamiento de aguas residuales (PTAR), durante el cuatrienio.</v>
      </c>
      <c r="Q136" s="302" t="str">
        <f>'PLAN INDICATIVO'!Q136</f>
        <v xml:space="preserve">No. De proyectos inscritos y gestionados </v>
      </c>
      <c r="R136" s="303">
        <f>'PLAN INDICATIVO'!R136</f>
        <v>2015</v>
      </c>
      <c r="S136" s="304">
        <v>0</v>
      </c>
      <c r="T136" s="677">
        <v>1</v>
      </c>
      <c r="U136" s="304">
        <v>0</v>
      </c>
      <c r="V136" s="687">
        <v>35000000</v>
      </c>
      <c r="W136" s="270">
        <v>0</v>
      </c>
      <c r="X136" s="687">
        <v>50000000</v>
      </c>
      <c r="Y136" s="1237">
        <v>0.5</v>
      </c>
      <c r="Z136" s="687">
        <v>800000000</v>
      </c>
      <c r="AA136" s="410">
        <v>0.5</v>
      </c>
      <c r="AB136" s="687"/>
      <c r="AC136" s="665"/>
      <c r="AD136" s="665"/>
      <c r="AE136" s="665">
        <v>0.5</v>
      </c>
      <c r="AF136" s="665"/>
      <c r="AG136" s="306" t="s">
        <v>4105</v>
      </c>
      <c r="AH136" s="987">
        <v>2018413960026</v>
      </c>
      <c r="AI136" s="307" t="s">
        <v>4106</v>
      </c>
      <c r="AJ136" s="308"/>
      <c r="AK136" s="308"/>
      <c r="AL136" s="308"/>
      <c r="AM136" s="308"/>
      <c r="AN136" s="267" t="s">
        <v>2598</v>
      </c>
      <c r="AO136" s="507">
        <v>230311</v>
      </c>
      <c r="AP136" s="729"/>
      <c r="AQ136" s="730"/>
      <c r="AR136" s="730"/>
      <c r="AS136" s="730"/>
      <c r="AT136" s="730"/>
      <c r="AU136" s="730"/>
      <c r="AV136" s="730"/>
      <c r="AW136" s="731"/>
      <c r="AX136" s="525"/>
      <c r="AY136" s="310"/>
      <c r="AZ136" s="310"/>
      <c r="BA136" s="310"/>
      <c r="BB136" s="310"/>
      <c r="BC136" s="310"/>
      <c r="BD136" s="310"/>
      <c r="BE136" s="544">
        <f t="shared" si="58"/>
        <v>0</v>
      </c>
      <c r="BF136" s="525"/>
      <c r="BG136" s="310"/>
      <c r="BH136" s="310"/>
      <c r="BI136" s="310"/>
      <c r="BJ136" s="310"/>
      <c r="BK136" s="310"/>
      <c r="BL136" s="310"/>
      <c r="BM136" s="544">
        <f t="shared" si="59"/>
        <v>0</v>
      </c>
      <c r="BN136" s="525"/>
      <c r="BO136" s="310"/>
      <c r="BP136" s="310"/>
      <c r="BQ136" s="310"/>
      <c r="BR136" s="310"/>
      <c r="BS136" s="310"/>
      <c r="BT136" s="310"/>
      <c r="BU136" s="544">
        <f t="shared" si="60"/>
        <v>0</v>
      </c>
      <c r="BV136" s="556"/>
      <c r="BW136" s="663">
        <f t="shared" ref="BW136:BW201" si="91">AC136+AD136+AE136+AF136</f>
        <v>0.5</v>
      </c>
      <c r="BX136" s="1047">
        <f t="shared" si="50"/>
        <v>0.5</v>
      </c>
      <c r="BY136" s="1047" t="str">
        <f t="shared" si="87"/>
        <v>Aplazada</v>
      </c>
      <c r="BZ136" s="1047" t="str">
        <f t="shared" ref="BZ136:BZ143" si="92">IF(W136&gt;=0.1,AD136/W136,IF(ISBLANK(W136),"No Programada","Aplazada"))</f>
        <v>Aplazada</v>
      </c>
      <c r="CA136" s="1047">
        <f t="shared" si="88"/>
        <v>1</v>
      </c>
      <c r="CB136" s="1047">
        <f t="shared" si="89"/>
        <v>0</v>
      </c>
      <c r="CD136" t="str">
        <f t="shared" si="90"/>
        <v>AZ</v>
      </c>
      <c r="CE136" t="str">
        <f t="shared" si="90"/>
        <v>AZ</v>
      </c>
      <c r="CF136" t="str">
        <f t="shared" si="90"/>
        <v>VE</v>
      </c>
      <c r="CG136" t="str">
        <f t="shared" si="90"/>
        <v>ROB</v>
      </c>
    </row>
    <row r="137" spans="1:85" ht="9.75" hidden="1" customHeight="1" x14ac:dyDescent="0.25">
      <c r="A137" s="298" t="s">
        <v>386</v>
      </c>
      <c r="B137" s="299" t="str">
        <f>'PLAN INDICATIVO'!B137</f>
        <v>APSB</v>
      </c>
      <c r="C137" s="1547"/>
      <c r="D137" s="1549"/>
      <c r="E137" s="1549"/>
      <c r="F137" s="1549"/>
      <c r="G137" s="1549"/>
      <c r="H137" s="1549"/>
      <c r="I137" s="300">
        <f>'PLAN INDICATIVO'!I137</f>
        <v>0</v>
      </c>
      <c r="J137" s="300">
        <f>'PLAN INDICATIVO'!J137</f>
        <v>0</v>
      </c>
      <c r="K137" s="1425" t="str">
        <f>'PLAN INDICATIVO'!K137</f>
        <v>A.3.2.3</v>
      </c>
      <c r="L137" s="1425" t="str">
        <f>'PLAN INDICATIVO'!L137</f>
        <v>6. Agua limplia y saneamiento</v>
      </c>
      <c r="M137" s="1425" t="str">
        <f>'PLAN INDICATIVO'!M137</f>
        <v>EMSERPLA</v>
      </c>
      <c r="N137" s="1425" t="str">
        <f>'PLAN INDICATIVO'!N137</f>
        <v>MARIO MONTILLA CABRERA</v>
      </c>
      <c r="O137" s="1425" t="str">
        <f>'PLAN INDICATIVO'!O137</f>
        <v>Incremento</v>
      </c>
      <c r="P137" s="16" t="str">
        <f>'PLAN INDICATIVO'!P137</f>
        <v>Instalar y poner en marcha 1 planta de tratamiento de aguas residuales modular para el centro de operaciones de emergencias, durante el cuatrienio.</v>
      </c>
      <c r="Q137" s="302" t="str">
        <f>'PLAN INDICATIVO'!Q137</f>
        <v>No. PTAR instaladas y funcionando</v>
      </c>
      <c r="R137" s="303">
        <f>'PLAN INDICATIVO'!R137</f>
        <v>2015</v>
      </c>
      <c r="S137" s="304">
        <v>0</v>
      </c>
      <c r="T137" s="677">
        <v>1</v>
      </c>
      <c r="U137" s="304">
        <v>1</v>
      </c>
      <c r="V137" s="687">
        <v>152000000</v>
      </c>
      <c r="W137" s="304">
        <v>1</v>
      </c>
      <c r="X137" s="687">
        <v>52000000</v>
      </c>
      <c r="Y137" s="1237"/>
      <c r="Z137" s="687">
        <v>100000000</v>
      </c>
      <c r="AA137" s="410"/>
      <c r="AB137" s="687">
        <v>2000000</v>
      </c>
      <c r="AC137" s="665">
        <v>1</v>
      </c>
      <c r="AD137" s="665">
        <v>1</v>
      </c>
      <c r="AE137" s="665"/>
      <c r="AF137" s="665"/>
      <c r="AG137" s="306" t="s">
        <v>4105</v>
      </c>
      <c r="AH137" s="987">
        <v>2018413960026</v>
      </c>
      <c r="AI137" s="307"/>
      <c r="AJ137" s="335"/>
      <c r="AK137" s="335"/>
      <c r="AL137" s="308"/>
      <c r="AM137" s="308"/>
      <c r="AN137" s="267" t="s">
        <v>2594</v>
      </c>
      <c r="AO137" s="507">
        <v>230311</v>
      </c>
      <c r="AP137" s="729"/>
      <c r="AQ137" s="730"/>
      <c r="AR137" s="730"/>
      <c r="AS137" s="730"/>
      <c r="AT137" s="730"/>
      <c r="AU137" s="730"/>
      <c r="AV137" s="730"/>
      <c r="AW137" s="731"/>
      <c r="AX137" s="525"/>
      <c r="AY137" s="310"/>
      <c r="AZ137" s="310"/>
      <c r="BA137" s="310"/>
      <c r="BB137" s="310"/>
      <c r="BC137" s="310"/>
      <c r="BD137" s="310"/>
      <c r="BE137" s="544">
        <f t="shared" si="58"/>
        <v>0</v>
      </c>
      <c r="BF137" s="525"/>
      <c r="BG137" s="310"/>
      <c r="BH137" s="310"/>
      <c r="BI137" s="310"/>
      <c r="BJ137" s="310"/>
      <c r="BK137" s="310"/>
      <c r="BL137" s="310"/>
      <c r="BM137" s="544">
        <f t="shared" si="59"/>
        <v>0</v>
      </c>
      <c r="BN137" s="525"/>
      <c r="BO137" s="310"/>
      <c r="BP137" s="310"/>
      <c r="BQ137" s="310"/>
      <c r="BR137" s="310"/>
      <c r="BS137" s="310"/>
      <c r="BT137" s="310"/>
      <c r="BU137" s="544">
        <f t="shared" si="60"/>
        <v>0</v>
      </c>
      <c r="BV137" s="556"/>
      <c r="BW137" s="663">
        <f t="shared" si="91"/>
        <v>2</v>
      </c>
      <c r="BX137" s="1047">
        <f t="shared" si="50"/>
        <v>2</v>
      </c>
      <c r="BY137" s="1047">
        <f t="shared" si="87"/>
        <v>1</v>
      </c>
      <c r="BZ137" s="1047">
        <f t="shared" si="92"/>
        <v>1</v>
      </c>
      <c r="CA137" s="1047" t="str">
        <f t="shared" si="88"/>
        <v>No Programada</v>
      </c>
      <c r="CB137" s="1047" t="str">
        <f t="shared" si="89"/>
        <v>No Programada</v>
      </c>
      <c r="CD137" t="str">
        <f t="shared" si="90"/>
        <v>VE</v>
      </c>
      <c r="CE137" t="str">
        <f t="shared" si="90"/>
        <v>VE</v>
      </c>
      <c r="CF137" t="str">
        <f t="shared" si="90"/>
        <v>NP</v>
      </c>
      <c r="CG137" t="str">
        <f t="shared" si="90"/>
        <v>NP</v>
      </c>
    </row>
    <row r="138" spans="1:85" ht="9" hidden="1" customHeight="1" x14ac:dyDescent="0.25">
      <c r="A138" s="298" t="s">
        <v>386</v>
      </c>
      <c r="B138" s="299" t="str">
        <f>'PLAN INDICATIVO'!B138</f>
        <v>APSB</v>
      </c>
      <c r="C138" s="1547"/>
      <c r="D138" s="1549"/>
      <c r="E138" s="1549"/>
      <c r="F138" s="1549"/>
      <c r="G138" s="1549"/>
      <c r="H138" s="1549"/>
      <c r="I138" s="300">
        <f>'PLAN INDICATIVO'!I138</f>
        <v>0</v>
      </c>
      <c r="J138" s="300">
        <f>'PLAN INDICATIVO'!J138</f>
        <v>0</v>
      </c>
      <c r="K138" s="1425" t="str">
        <f>'PLAN INDICATIVO'!K138</f>
        <v>A.3.2.4</v>
      </c>
      <c r="L138" s="1425" t="str">
        <f>'PLAN INDICATIVO'!L138</f>
        <v>6. Agua limplia y saneamiento</v>
      </c>
      <c r="M138" s="1425" t="str">
        <f>'PLAN INDICATIVO'!M138</f>
        <v>EMSERPLA</v>
      </c>
      <c r="N138" s="1425" t="str">
        <f>'PLAN INDICATIVO'!N138</f>
        <v>MARIO MONTILLA CABRERA</v>
      </c>
      <c r="O138" s="1425" t="str">
        <f>'PLAN INDICATIVO'!O138</f>
        <v>Incremento</v>
      </c>
      <c r="P138" s="16" t="str">
        <f>'PLAN INDICATIVO'!P138</f>
        <v>Actualizar 1 Plan de Saneamiento y Manejo de Vertimientos (PSMV), durante el cuatrienio.</v>
      </c>
      <c r="Q138" s="302" t="str">
        <f>'PLAN INDICATIVO'!Q138</f>
        <v>No. De PSMV Actualizados</v>
      </c>
      <c r="R138" s="303">
        <f>'PLAN INDICATIVO'!R138</f>
        <v>2015</v>
      </c>
      <c r="S138" s="304">
        <v>0</v>
      </c>
      <c r="T138" s="677">
        <v>1</v>
      </c>
      <c r="U138" s="844">
        <v>1</v>
      </c>
      <c r="V138" s="687">
        <v>0</v>
      </c>
      <c r="W138" s="304"/>
      <c r="X138" s="304"/>
      <c r="Y138" s="1237"/>
      <c r="Z138" s="304"/>
      <c r="AA138" s="410"/>
      <c r="AB138" s="687"/>
      <c r="AC138" s="665">
        <v>1</v>
      </c>
      <c r="AD138" s="843"/>
      <c r="AE138" s="665"/>
      <c r="AF138" s="665"/>
      <c r="AG138" s="306" t="s">
        <v>4105</v>
      </c>
      <c r="AH138" s="987">
        <v>2018413960026</v>
      </c>
      <c r="AI138" s="307"/>
      <c r="AJ138" s="335"/>
      <c r="AK138" s="308"/>
      <c r="AL138" s="308"/>
      <c r="AM138" s="308"/>
      <c r="AN138" s="267" t="s">
        <v>2594</v>
      </c>
      <c r="AO138" s="507">
        <v>230311</v>
      </c>
      <c r="AP138" s="729"/>
      <c r="AQ138" s="730"/>
      <c r="AR138" s="730"/>
      <c r="AS138" s="730"/>
      <c r="AT138" s="730"/>
      <c r="AU138" s="730"/>
      <c r="AV138" s="730"/>
      <c r="AW138" s="731"/>
      <c r="AX138" s="525"/>
      <c r="AY138" s="310"/>
      <c r="AZ138" s="310"/>
      <c r="BA138" s="310"/>
      <c r="BB138" s="310"/>
      <c r="BC138" s="310"/>
      <c r="BD138" s="310"/>
      <c r="BE138" s="544">
        <f t="shared" si="58"/>
        <v>0</v>
      </c>
      <c r="BF138" s="525"/>
      <c r="BG138" s="310"/>
      <c r="BH138" s="310"/>
      <c r="BI138" s="310"/>
      <c r="BJ138" s="310"/>
      <c r="BK138" s="310"/>
      <c r="BL138" s="310"/>
      <c r="BM138" s="544">
        <f t="shared" si="59"/>
        <v>0</v>
      </c>
      <c r="BN138" s="525"/>
      <c r="BO138" s="310"/>
      <c r="BP138" s="310"/>
      <c r="BQ138" s="310"/>
      <c r="BR138" s="310"/>
      <c r="BS138" s="310"/>
      <c r="BT138" s="310"/>
      <c r="BU138" s="544">
        <f t="shared" si="60"/>
        <v>0</v>
      </c>
      <c r="BV138" s="556"/>
      <c r="BW138" s="663">
        <f t="shared" si="91"/>
        <v>1</v>
      </c>
      <c r="BX138" s="1047">
        <f t="shared" si="50"/>
        <v>1</v>
      </c>
      <c r="BY138" s="1047">
        <f t="shared" si="87"/>
        <v>1</v>
      </c>
      <c r="BZ138" s="1047" t="str">
        <f t="shared" si="92"/>
        <v>No Programada</v>
      </c>
      <c r="CA138" s="1047" t="str">
        <f t="shared" si="88"/>
        <v>No Programada</v>
      </c>
      <c r="CB138" s="1047" t="str">
        <f t="shared" si="89"/>
        <v>No Programada</v>
      </c>
      <c r="CD138" t="str">
        <f t="shared" si="90"/>
        <v>VE</v>
      </c>
      <c r="CE138" t="str">
        <f t="shared" si="90"/>
        <v>NP</v>
      </c>
      <c r="CF138" t="str">
        <f t="shared" si="90"/>
        <v>NP</v>
      </c>
      <c r="CG138" t="str">
        <f t="shared" si="90"/>
        <v>NP</v>
      </c>
    </row>
    <row r="139" spans="1:85" ht="18.75" hidden="1" customHeight="1" x14ac:dyDescent="0.25">
      <c r="A139" s="298" t="s">
        <v>2458</v>
      </c>
      <c r="B139" s="299" t="str">
        <f>'PLAN INDICATIVO'!B139</f>
        <v>APSB</v>
      </c>
      <c r="C139" s="1547"/>
      <c r="D139" s="1549"/>
      <c r="E139" s="1549"/>
      <c r="F139" s="1549"/>
      <c r="G139" s="1549"/>
      <c r="H139" s="1549"/>
      <c r="I139" s="1425" t="str">
        <f>'PLAN INDICATIVO'!I139</f>
        <v>SI</v>
      </c>
      <c r="J139" s="1425">
        <f>'PLAN INDICATIVO'!J139</f>
        <v>0</v>
      </c>
      <c r="K139" s="1425" t="str">
        <f>'PLAN INDICATIVO'!K139</f>
        <v>A.3.2.5</v>
      </c>
      <c r="L139" s="1425" t="str">
        <f>'PLAN INDICATIVO'!L139</f>
        <v>6. Agua limplia y saneamiento</v>
      </c>
      <c r="M139" s="1425" t="str">
        <f>'PLAN INDICATIVO'!M139</f>
        <v>EMSERPLA</v>
      </c>
      <c r="N139" s="1425" t="str">
        <f>'PLAN INDICATIVO'!N139</f>
        <v>MARIO MONTILLA CABRERA</v>
      </c>
      <c r="O139" s="1425" t="str">
        <f>'PLAN INDICATIVO'!O139</f>
        <v>Incremento</v>
      </c>
      <c r="P139" s="1198" t="str">
        <f>'PLAN INDICATIVO'!P139</f>
        <v>Construir y/o reponer 3,200 ml de alcantarillado durante el cuatrienio</v>
      </c>
      <c r="Q139" s="302" t="str">
        <f>'PLAN INDICATIVO'!Q139</f>
        <v>No. De metros lineales construidos</v>
      </c>
      <c r="R139" s="303">
        <f>'PLAN INDICATIVO'!R139</f>
        <v>2015</v>
      </c>
      <c r="S139" s="304">
        <v>738</v>
      </c>
      <c r="T139" s="1293">
        <v>3200</v>
      </c>
      <c r="U139" s="304">
        <v>700</v>
      </c>
      <c r="V139" s="687">
        <v>389420000</v>
      </c>
      <c r="W139" s="304">
        <v>700</v>
      </c>
      <c r="X139" s="687">
        <v>389420000</v>
      </c>
      <c r="Y139" s="1330">
        <v>100</v>
      </c>
      <c r="Z139" s="1298">
        <v>626620000</v>
      </c>
      <c r="AA139" s="1329">
        <v>8</v>
      </c>
      <c r="AB139" s="687">
        <v>767550000</v>
      </c>
      <c r="AC139" s="665">
        <v>1045</v>
      </c>
      <c r="AD139" s="899">
        <v>2263</v>
      </c>
      <c r="AE139" s="667">
        <v>100</v>
      </c>
      <c r="AF139" s="665"/>
      <c r="AG139" s="306" t="s">
        <v>4105</v>
      </c>
      <c r="AH139" s="987">
        <v>2018413960026</v>
      </c>
      <c r="AI139" s="307" t="s">
        <v>4107</v>
      </c>
      <c r="AJ139" s="335"/>
      <c r="AK139" s="335"/>
      <c r="AL139" s="308"/>
      <c r="AM139" s="308"/>
      <c r="AN139" s="267" t="s">
        <v>2598</v>
      </c>
      <c r="AO139" s="507">
        <v>230311</v>
      </c>
      <c r="AP139" s="729"/>
      <c r="AQ139" s="730"/>
      <c r="AR139" s="730"/>
      <c r="AS139" s="730"/>
      <c r="AT139" s="730"/>
      <c r="AU139" s="730"/>
      <c r="AV139" s="729"/>
      <c r="AW139" s="731"/>
      <c r="AX139" s="525"/>
      <c r="AY139" s="310"/>
      <c r="AZ139" s="310"/>
      <c r="BA139" s="310"/>
      <c r="BB139" s="310"/>
      <c r="BC139" s="310"/>
      <c r="BD139" s="310"/>
      <c r="BE139" s="544">
        <f t="shared" si="58"/>
        <v>0</v>
      </c>
      <c r="BF139" s="525"/>
      <c r="BG139" s="310">
        <v>430000000</v>
      </c>
      <c r="BH139" s="310"/>
      <c r="BI139" s="310"/>
      <c r="BJ139" s="310"/>
      <c r="BK139" s="310"/>
      <c r="BL139" s="310"/>
      <c r="BM139" s="544">
        <f t="shared" si="59"/>
        <v>430000000</v>
      </c>
      <c r="BN139" s="525"/>
      <c r="BO139" s="310"/>
      <c r="BP139" s="310"/>
      <c r="BQ139" s="310"/>
      <c r="BR139" s="310"/>
      <c r="BS139" s="310"/>
      <c r="BT139" s="310"/>
      <c r="BU139" s="544">
        <f t="shared" si="60"/>
        <v>0</v>
      </c>
      <c r="BV139" s="556"/>
      <c r="BW139" s="663">
        <f t="shared" si="91"/>
        <v>3408</v>
      </c>
      <c r="BX139" s="1047">
        <f t="shared" si="50"/>
        <v>1.0649999999999999</v>
      </c>
      <c r="BY139" s="1047">
        <f t="shared" si="87"/>
        <v>1.4928571428571429</v>
      </c>
      <c r="BZ139" s="1047">
        <f t="shared" si="92"/>
        <v>3.2328571428571427</v>
      </c>
      <c r="CA139" s="1047">
        <f t="shared" si="88"/>
        <v>1</v>
      </c>
      <c r="CB139" s="1047">
        <f t="shared" si="89"/>
        <v>0</v>
      </c>
      <c r="CD139" t="str">
        <f t="shared" si="90"/>
        <v>VE</v>
      </c>
      <c r="CE139" t="str">
        <f t="shared" si="90"/>
        <v>VE</v>
      </c>
      <c r="CF139" t="str">
        <f t="shared" si="90"/>
        <v>VE</v>
      </c>
      <c r="CG139" t="str">
        <f t="shared" si="90"/>
        <v>ROB</v>
      </c>
    </row>
    <row r="140" spans="1:85" ht="32.25" hidden="1" customHeight="1" x14ac:dyDescent="0.25">
      <c r="A140" s="298" t="s">
        <v>386</v>
      </c>
      <c r="B140" s="299" t="str">
        <f>'PLAN INDICATIVO'!B140</f>
        <v>APSB</v>
      </c>
      <c r="C140" s="1547"/>
      <c r="D140" s="1549"/>
      <c r="E140" s="1549"/>
      <c r="F140" s="1549"/>
      <c r="G140" s="1549"/>
      <c r="H140" s="1549"/>
      <c r="I140" s="300">
        <f>'PLAN INDICATIVO'!I140</f>
        <v>0</v>
      </c>
      <c r="J140" s="300">
        <f>'PLAN INDICATIVO'!J140</f>
        <v>0</v>
      </c>
      <c r="K140" s="1425" t="str">
        <f>'PLAN INDICATIVO'!K140</f>
        <v>A.3.2.6</v>
      </c>
      <c r="L140" s="1425" t="str">
        <f>'PLAN INDICATIVO'!L140</f>
        <v>6. Agua limplia y saneamiento</v>
      </c>
      <c r="M140" s="1425" t="str">
        <f>'PLAN INDICATIVO'!M140</f>
        <v>EMSERPLA</v>
      </c>
      <c r="N140" s="1425" t="str">
        <f>'PLAN INDICATIVO'!N140</f>
        <v>MARIO MONTILLA CABRERA</v>
      </c>
      <c r="O140" s="1425" t="str">
        <f>'PLAN INDICATIVO'!O140</f>
        <v>Incremento</v>
      </c>
      <c r="P140" s="16" t="str">
        <f>'PLAN INDICATIVO'!P140</f>
        <v>Incrementar anualmente los servicios públicos  a 270 nuevos usuarios en servicio de alcantarillado durante el cuatrienio.</v>
      </c>
      <c r="Q140" s="302" t="str">
        <f>'PLAN INDICATIVO'!Q140</f>
        <v>No. De nuevos usuarios por año</v>
      </c>
      <c r="R140" s="303">
        <f>'PLAN INDICATIVO'!R140</f>
        <v>2015</v>
      </c>
      <c r="S140" s="304">
        <v>257</v>
      </c>
      <c r="T140" s="677">
        <v>1080</v>
      </c>
      <c r="U140" s="304">
        <v>270</v>
      </c>
      <c r="V140" s="687">
        <v>3000000</v>
      </c>
      <c r="W140" s="304">
        <v>270</v>
      </c>
      <c r="X140" s="687">
        <v>3000000</v>
      </c>
      <c r="Y140" s="1237">
        <v>270</v>
      </c>
      <c r="Z140" s="687">
        <v>3000000</v>
      </c>
      <c r="AA140" s="410">
        <v>213</v>
      </c>
      <c r="AB140" s="687">
        <v>5000000</v>
      </c>
      <c r="AC140" s="665">
        <v>332</v>
      </c>
      <c r="AD140" s="899">
        <v>285</v>
      </c>
      <c r="AE140" s="665">
        <v>250</v>
      </c>
      <c r="AF140" s="665"/>
      <c r="AG140" s="306" t="s">
        <v>4105</v>
      </c>
      <c r="AH140" s="987">
        <v>2018413960026</v>
      </c>
      <c r="AI140" s="307" t="s">
        <v>4108</v>
      </c>
      <c r="AJ140" s="335">
        <v>43102</v>
      </c>
      <c r="AK140" s="335">
        <v>43464</v>
      </c>
      <c r="AL140" s="308"/>
      <c r="AM140" s="308"/>
      <c r="AN140" s="267" t="s">
        <v>2598</v>
      </c>
      <c r="AO140" s="507">
        <v>230311</v>
      </c>
      <c r="AP140" s="729"/>
      <c r="AQ140" s="730"/>
      <c r="AR140" s="730"/>
      <c r="AS140" s="730"/>
      <c r="AT140" s="730"/>
      <c r="AU140" s="730"/>
      <c r="AV140" s="730"/>
      <c r="AW140" s="731"/>
      <c r="AX140" s="525"/>
      <c r="AY140" s="310"/>
      <c r="AZ140" s="310"/>
      <c r="BA140" s="310"/>
      <c r="BB140" s="310"/>
      <c r="BC140" s="310"/>
      <c r="BD140" s="310"/>
      <c r="BE140" s="544">
        <f t="shared" si="58"/>
        <v>0</v>
      </c>
      <c r="BF140" s="525"/>
      <c r="BG140" s="310"/>
      <c r="BH140" s="310"/>
      <c r="BI140" s="310"/>
      <c r="BJ140" s="310"/>
      <c r="BK140" s="310"/>
      <c r="BL140" s="310">
        <v>1000000</v>
      </c>
      <c r="BM140" s="544">
        <f t="shared" si="59"/>
        <v>1000000</v>
      </c>
      <c r="BN140" s="525"/>
      <c r="BO140" s="310"/>
      <c r="BP140" s="310"/>
      <c r="BQ140" s="310"/>
      <c r="BR140" s="310"/>
      <c r="BS140" s="310"/>
      <c r="BT140" s="310"/>
      <c r="BU140" s="544">
        <f t="shared" si="60"/>
        <v>0</v>
      </c>
      <c r="BV140" s="556"/>
      <c r="BW140" s="663">
        <f t="shared" si="91"/>
        <v>867</v>
      </c>
      <c r="BX140" s="1047">
        <f t="shared" si="50"/>
        <v>0.80277777777777781</v>
      </c>
      <c r="BY140" s="1047">
        <f t="shared" si="87"/>
        <v>1.2296296296296296</v>
      </c>
      <c r="BZ140" s="1047">
        <f t="shared" si="92"/>
        <v>1.0555555555555556</v>
      </c>
      <c r="CA140" s="1047">
        <f t="shared" si="88"/>
        <v>0.92592592592592593</v>
      </c>
      <c r="CB140" s="1047">
        <f t="shared" si="89"/>
        <v>0</v>
      </c>
      <c r="CD140" t="str">
        <f t="shared" si="90"/>
        <v>VE</v>
      </c>
      <c r="CE140" t="str">
        <f t="shared" si="90"/>
        <v>VE</v>
      </c>
      <c r="CF140" t="str">
        <f t="shared" si="90"/>
        <v>VE</v>
      </c>
      <c r="CG140" t="str">
        <f t="shared" si="90"/>
        <v>ROB</v>
      </c>
    </row>
    <row r="141" spans="1:85" ht="37.5" hidden="1" customHeight="1" x14ac:dyDescent="0.25">
      <c r="A141" s="298" t="s">
        <v>386</v>
      </c>
      <c r="B141" s="299" t="str">
        <f>'PLAN INDICATIVO'!B141</f>
        <v>APSB</v>
      </c>
      <c r="C141" s="1547"/>
      <c r="D141" s="1549"/>
      <c r="E141" s="1549"/>
      <c r="F141" s="1549"/>
      <c r="G141" s="1549"/>
      <c r="H141" s="1549"/>
      <c r="I141" s="300">
        <f>'PLAN INDICATIVO'!I141</f>
        <v>0</v>
      </c>
      <c r="J141" s="300">
        <f>'PLAN INDICATIVO'!J141</f>
        <v>0</v>
      </c>
      <c r="K141" s="1425" t="str">
        <f>'PLAN INDICATIVO'!K141</f>
        <v>A.3.2.7</v>
      </c>
      <c r="L141" s="1425" t="str">
        <f>'PLAN INDICATIVO'!L141</f>
        <v>6. Agua limplia y saneamiento</v>
      </c>
      <c r="M141" s="1425" t="str">
        <f>'PLAN INDICATIVO'!M141</f>
        <v>EMSERPLA</v>
      </c>
      <c r="N141" s="1425" t="str">
        <f>'PLAN INDICATIVO'!N141</f>
        <v>MARIO MONTILLA CABRERA</v>
      </c>
      <c r="O141" s="1425" t="str">
        <f>'PLAN INDICATIVO'!O141</f>
        <v>Incremento</v>
      </c>
      <c r="P141" s="16" t="str">
        <f>'PLAN INDICATIVO'!P141</f>
        <v>Apoyar la construcción de un (1) colector de alcantarillado del barrio Transportadores, en la quebrada de Los Muertos, durante el cuatrienio</v>
      </c>
      <c r="Q141" s="302" t="str">
        <f>'PLAN INDICATIVO'!Q141</f>
        <v>No. De apoyos realizados para la construccion del colector</v>
      </c>
      <c r="R141" s="303">
        <f>'PLAN INDICATIVO'!R141</f>
        <v>2015</v>
      </c>
      <c r="S141" s="304">
        <v>0</v>
      </c>
      <c r="T141" s="677">
        <v>1</v>
      </c>
      <c r="U141" s="844">
        <v>0</v>
      </c>
      <c r="V141" s="687">
        <v>0</v>
      </c>
      <c r="W141" s="304">
        <v>0</v>
      </c>
      <c r="X141" s="304"/>
      <c r="Y141" s="1237">
        <v>0.5</v>
      </c>
      <c r="Z141" s="687">
        <v>5050000000</v>
      </c>
      <c r="AA141" s="410">
        <v>0.5</v>
      </c>
      <c r="AB141" s="687">
        <v>5000000</v>
      </c>
      <c r="AC141" s="665"/>
      <c r="AD141" s="843"/>
      <c r="AE141" s="1326">
        <v>0.5</v>
      </c>
      <c r="AF141" s="665"/>
      <c r="AG141" s="306" t="s">
        <v>4105</v>
      </c>
      <c r="AH141" s="987">
        <v>2018413960026</v>
      </c>
      <c r="AI141" s="1324" t="s">
        <v>4109</v>
      </c>
      <c r="AJ141" s="308"/>
      <c r="AK141" s="308"/>
      <c r="AL141" s="308"/>
      <c r="AM141" s="308"/>
      <c r="AN141" s="267" t="s">
        <v>2598</v>
      </c>
      <c r="AO141" s="507">
        <v>230311</v>
      </c>
      <c r="AP141" s="729"/>
      <c r="AQ141" s="730"/>
      <c r="AR141" s="730"/>
      <c r="AS141" s="730"/>
      <c r="AT141" s="730"/>
      <c r="AU141" s="730"/>
      <c r="AV141" s="730"/>
      <c r="AW141" s="731"/>
      <c r="AX141" s="525"/>
      <c r="AY141" s="310"/>
      <c r="AZ141" s="310"/>
      <c r="BA141" s="310"/>
      <c r="BB141" s="310"/>
      <c r="BC141" s="310"/>
      <c r="BD141" s="310"/>
      <c r="BE141" s="544">
        <f t="shared" si="58"/>
        <v>0</v>
      </c>
      <c r="BF141" s="1331"/>
      <c r="BG141" s="1332"/>
      <c r="BH141" s="1332"/>
      <c r="BI141" s="1332"/>
      <c r="BJ141" s="1332"/>
      <c r="BK141" s="1332"/>
      <c r="BL141" s="1332"/>
      <c r="BM141" s="1333">
        <f t="shared" si="59"/>
        <v>0</v>
      </c>
      <c r="BN141" s="525"/>
      <c r="BO141" s="310"/>
      <c r="BP141" s="310"/>
      <c r="BQ141" s="310"/>
      <c r="BR141" s="310"/>
      <c r="BS141" s="310"/>
      <c r="BT141" s="310"/>
      <c r="BU141" s="544">
        <f t="shared" si="60"/>
        <v>0</v>
      </c>
      <c r="BV141" s="556"/>
      <c r="BW141" s="663">
        <f t="shared" si="91"/>
        <v>0.5</v>
      </c>
      <c r="BX141" s="1047">
        <f t="shared" si="50"/>
        <v>0.5</v>
      </c>
      <c r="BY141" s="1047" t="str">
        <f t="shared" si="87"/>
        <v>Aplazada</v>
      </c>
      <c r="BZ141" s="1047" t="str">
        <f t="shared" si="92"/>
        <v>Aplazada</v>
      </c>
      <c r="CA141" s="1047">
        <f t="shared" si="88"/>
        <v>1</v>
      </c>
      <c r="CB141" s="1047">
        <f t="shared" si="89"/>
        <v>0</v>
      </c>
      <c r="CD141" t="str">
        <f t="shared" si="90"/>
        <v>AZ</v>
      </c>
      <c r="CE141" t="str">
        <f t="shared" si="90"/>
        <v>AZ</v>
      </c>
      <c r="CF141" t="str">
        <f t="shared" si="90"/>
        <v>VE</v>
      </c>
      <c r="CG141" t="str">
        <f t="shared" si="90"/>
        <v>ROB</v>
      </c>
    </row>
    <row r="142" spans="1:85" ht="24.75" hidden="1" customHeight="1" x14ac:dyDescent="0.25">
      <c r="A142" s="298" t="s">
        <v>386</v>
      </c>
      <c r="B142" s="299" t="str">
        <f>'PLAN INDICATIVO'!B142</f>
        <v>APSB</v>
      </c>
      <c r="C142" s="1547"/>
      <c r="D142" s="1549"/>
      <c r="E142" s="1549"/>
      <c r="F142" s="1549"/>
      <c r="G142" s="1549"/>
      <c r="H142" s="1549"/>
      <c r="I142" s="300">
        <f>'PLAN INDICATIVO'!I142</f>
        <v>0</v>
      </c>
      <c r="J142" s="300">
        <f>'PLAN INDICATIVO'!J142</f>
        <v>0</v>
      </c>
      <c r="K142" s="1425" t="str">
        <f>'PLAN INDICATIVO'!K142</f>
        <v>A.3.2.8</v>
      </c>
      <c r="L142" s="1425" t="str">
        <f>'PLAN INDICATIVO'!L142</f>
        <v>6. Agua limplia y saneamiento</v>
      </c>
      <c r="M142" s="1425" t="str">
        <f>'PLAN INDICATIVO'!M142</f>
        <v>EMSERPLA</v>
      </c>
      <c r="N142" s="1425" t="str">
        <f>'PLAN INDICATIVO'!N142</f>
        <v>MARIO MONTILLA CABRERA</v>
      </c>
      <c r="O142" s="1425" t="str">
        <f>'PLAN INDICATIVO'!O142</f>
        <v>Mantenimiento</v>
      </c>
      <c r="P142" s="16" t="str">
        <f>'PLAN INDICATIVO'!P142</f>
        <v>Mantener 100% los subsidios de alcantarillado a la totalidad de usuarios  de estratos 1 y 2, durante el cuatrienio.</v>
      </c>
      <c r="Q142" s="302" t="str">
        <f>'PLAN INDICATIVO'!Q142</f>
        <v>Porcentaje de Subsidios entregados cada año</v>
      </c>
      <c r="R142" s="303">
        <f>'PLAN INDICATIVO'!R142</f>
        <v>2015</v>
      </c>
      <c r="S142" s="304">
        <v>100</v>
      </c>
      <c r="T142" s="677">
        <v>100</v>
      </c>
      <c r="U142" s="304">
        <v>100</v>
      </c>
      <c r="V142" s="687">
        <v>83420000</v>
      </c>
      <c r="W142" s="304">
        <v>100</v>
      </c>
      <c r="X142" s="687">
        <v>183200000</v>
      </c>
      <c r="Y142" s="1237">
        <v>100</v>
      </c>
      <c r="Z142" s="687">
        <v>189610000</v>
      </c>
      <c r="AA142" s="410">
        <v>100</v>
      </c>
      <c r="AB142" s="687">
        <v>196240000</v>
      </c>
      <c r="AC142" s="665">
        <v>100</v>
      </c>
      <c r="AD142" s="902">
        <v>100</v>
      </c>
      <c r="AE142" s="665">
        <v>100</v>
      </c>
      <c r="AF142" s="665"/>
      <c r="AG142" s="306" t="s">
        <v>4105</v>
      </c>
      <c r="AH142" s="987">
        <v>2018413960026</v>
      </c>
      <c r="AI142" s="307"/>
      <c r="AJ142" s="335"/>
      <c r="AK142" s="335"/>
      <c r="AL142" s="308"/>
      <c r="AM142" s="308"/>
      <c r="AN142" s="267" t="s">
        <v>2598</v>
      </c>
      <c r="AO142" s="507">
        <v>230311</v>
      </c>
      <c r="AP142" s="729"/>
      <c r="AQ142" s="730"/>
      <c r="AR142" s="730"/>
      <c r="AS142" s="730"/>
      <c r="AT142" s="730"/>
      <c r="AU142" s="730"/>
      <c r="AV142" s="730"/>
      <c r="AW142" s="731"/>
      <c r="AX142" s="525"/>
      <c r="AY142" s="310"/>
      <c r="AZ142" s="310"/>
      <c r="BA142" s="310"/>
      <c r="BB142" s="310"/>
      <c r="BC142" s="310"/>
      <c r="BD142" s="310"/>
      <c r="BE142" s="544">
        <f t="shared" si="58"/>
        <v>0</v>
      </c>
      <c r="BF142" s="525"/>
      <c r="BG142" s="310">
        <v>98942302</v>
      </c>
      <c r="BH142" s="310"/>
      <c r="BI142" s="310"/>
      <c r="BJ142" s="310"/>
      <c r="BK142" s="310"/>
      <c r="BL142" s="310"/>
      <c r="BM142" s="544">
        <f t="shared" si="59"/>
        <v>98942302</v>
      </c>
      <c r="BN142" s="525"/>
      <c r="BO142" s="310"/>
      <c r="BP142" s="310"/>
      <c r="BQ142" s="310"/>
      <c r="BR142" s="310"/>
      <c r="BS142" s="310"/>
      <c r="BT142" s="310"/>
      <c r="BU142" s="544">
        <f t="shared" si="60"/>
        <v>0</v>
      </c>
      <c r="BV142" s="556"/>
      <c r="BW142" s="663">
        <f t="shared" si="91"/>
        <v>300</v>
      </c>
      <c r="BX142" s="1047">
        <f t="shared" si="50"/>
        <v>3</v>
      </c>
      <c r="BY142" s="1047">
        <f t="shared" si="87"/>
        <v>1</v>
      </c>
      <c r="BZ142" s="1047">
        <f t="shared" si="92"/>
        <v>1</v>
      </c>
      <c r="CA142" s="1047">
        <f t="shared" si="88"/>
        <v>1</v>
      </c>
      <c r="CB142" s="1047">
        <f t="shared" si="89"/>
        <v>0</v>
      </c>
      <c r="CD142" t="str">
        <f t="shared" si="90"/>
        <v>VE</v>
      </c>
      <c r="CE142" t="str">
        <f t="shared" si="90"/>
        <v>VE</v>
      </c>
      <c r="CF142" t="str">
        <f t="shared" si="90"/>
        <v>VE</v>
      </c>
      <c r="CG142" t="str">
        <f t="shared" si="90"/>
        <v>ROB</v>
      </c>
    </row>
    <row r="143" spans="1:85" ht="54.75" hidden="1" customHeight="1" x14ac:dyDescent="0.25">
      <c r="A143" s="298" t="s">
        <v>386</v>
      </c>
      <c r="B143" s="299" t="str">
        <f>'PLAN INDICATIVO'!B143</f>
        <v>APSB</v>
      </c>
      <c r="C143" s="1548"/>
      <c r="D143" s="1549"/>
      <c r="E143" s="1549"/>
      <c r="F143" s="1549"/>
      <c r="G143" s="1549"/>
      <c r="H143" s="1549"/>
      <c r="I143" s="300">
        <f>'PLAN INDICATIVO'!I143</f>
        <v>0</v>
      </c>
      <c r="J143" s="300">
        <f>'PLAN INDICATIVO'!J143</f>
        <v>0</v>
      </c>
      <c r="K143" s="1425" t="str">
        <f>'PLAN INDICATIVO'!K143</f>
        <v>A.3.2.9</v>
      </c>
      <c r="L143" s="1425" t="str">
        <f>'PLAN INDICATIVO'!L143</f>
        <v>6. Agua limplia y saneamiento</v>
      </c>
      <c r="M143" s="1425" t="str">
        <f>'PLAN INDICATIVO'!M143</f>
        <v>EMSERPLA</v>
      </c>
      <c r="N143" s="1425" t="str">
        <f>'PLAN INDICATIVO'!N143</f>
        <v>MAURICIO LEGARDA GONZALEZ</v>
      </c>
      <c r="O143" s="1425" t="str">
        <f>'PLAN INDICATIVO'!O143</f>
        <v>Incremento</v>
      </c>
      <c r="P143" s="883" t="str">
        <f>'PLAN INDICATIVO'!P143</f>
        <v>Construir 250 baterías sanitarias en el cuatrienio</v>
      </c>
      <c r="Q143" s="302" t="str">
        <f>'PLAN INDICATIVO'!Q143</f>
        <v>No. De baterías sanitarias construidas</v>
      </c>
      <c r="R143" s="303">
        <f>'PLAN INDICATIVO'!R143</f>
        <v>2015</v>
      </c>
      <c r="S143" s="304">
        <v>0</v>
      </c>
      <c r="T143" s="677">
        <v>250</v>
      </c>
      <c r="U143" s="304">
        <v>50</v>
      </c>
      <c r="V143" s="687">
        <v>80000000</v>
      </c>
      <c r="W143" s="270">
        <v>52</v>
      </c>
      <c r="X143" s="687">
        <v>20000000</v>
      </c>
      <c r="Y143" s="270">
        <v>120</v>
      </c>
      <c r="Z143" s="687">
        <v>97000000</v>
      </c>
      <c r="AA143" s="410">
        <v>1</v>
      </c>
      <c r="AB143" s="687">
        <v>2020000</v>
      </c>
      <c r="AC143" s="667">
        <v>6</v>
      </c>
      <c r="AD143" s="936">
        <v>147</v>
      </c>
      <c r="AE143" s="667">
        <f>123+16</f>
        <v>139</v>
      </c>
      <c r="AF143" s="667"/>
      <c r="AG143" s="306" t="s">
        <v>4105</v>
      </c>
      <c r="AH143" s="987">
        <v>2018413960026</v>
      </c>
      <c r="AI143" s="1213" t="s">
        <v>4873</v>
      </c>
      <c r="AJ143" s="339">
        <v>43146</v>
      </c>
      <c r="AK143" s="339">
        <v>43449</v>
      </c>
      <c r="AL143" s="308"/>
      <c r="AM143" s="308"/>
      <c r="AN143" s="267" t="s">
        <v>2598</v>
      </c>
      <c r="AO143" s="507">
        <v>230311</v>
      </c>
      <c r="AP143" s="525"/>
      <c r="AQ143" s="310"/>
      <c r="AR143" s="310"/>
      <c r="AS143" s="310"/>
      <c r="AT143" s="310"/>
      <c r="AU143" s="380"/>
      <c r="AV143" s="310"/>
      <c r="AW143" s="544"/>
      <c r="AX143" s="525"/>
      <c r="AY143" s="310"/>
      <c r="AZ143" s="310"/>
      <c r="BA143" s="310"/>
      <c r="BB143" s="310"/>
      <c r="BC143" s="380"/>
      <c r="BD143" s="310"/>
      <c r="BE143" s="544">
        <f t="shared" si="58"/>
        <v>0</v>
      </c>
      <c r="BF143" s="525"/>
      <c r="BG143" s="310">
        <v>141684994</v>
      </c>
      <c r="BH143" s="310"/>
      <c r="BI143" s="310"/>
      <c r="BJ143" s="310"/>
      <c r="BK143" s="380"/>
      <c r="BL143" s="310"/>
      <c r="BM143" s="544">
        <f t="shared" si="59"/>
        <v>141684994</v>
      </c>
      <c r="BN143" s="525"/>
      <c r="BO143" s="310"/>
      <c r="BP143" s="310"/>
      <c r="BQ143" s="310"/>
      <c r="BR143" s="310"/>
      <c r="BS143" s="380"/>
      <c r="BT143" s="310"/>
      <c r="BU143" s="544">
        <f t="shared" si="60"/>
        <v>0</v>
      </c>
      <c r="BV143" s="556"/>
      <c r="BW143" s="663">
        <f t="shared" si="91"/>
        <v>292</v>
      </c>
      <c r="BX143" s="1047">
        <f t="shared" si="50"/>
        <v>1.1679999999999999</v>
      </c>
      <c r="BY143" s="1047">
        <f t="shared" si="87"/>
        <v>0.12</v>
      </c>
      <c r="BZ143" s="1047">
        <f t="shared" si="92"/>
        <v>2.8269230769230771</v>
      </c>
      <c r="CA143" s="1047">
        <f t="shared" si="88"/>
        <v>1.1583333333333334</v>
      </c>
      <c r="CB143" s="1047">
        <f t="shared" si="89"/>
        <v>0</v>
      </c>
      <c r="CD143" t="str">
        <f t="shared" si="90"/>
        <v>ROB</v>
      </c>
      <c r="CE143" t="str">
        <f t="shared" si="90"/>
        <v>VE</v>
      </c>
      <c r="CF143" t="str">
        <f t="shared" si="90"/>
        <v>VE</v>
      </c>
      <c r="CG143" t="str">
        <f t="shared" si="90"/>
        <v>ROB</v>
      </c>
    </row>
    <row r="144" spans="1:85" ht="10.5" hidden="1" customHeight="1" x14ac:dyDescent="0.25">
      <c r="A144" s="295"/>
      <c r="B144" s="24" t="str">
        <f>'PLAN INDICATIVO'!B144</f>
        <v>APSB</v>
      </c>
      <c r="C144" s="1574" t="s">
        <v>464</v>
      </c>
      <c r="D144" s="1575"/>
      <c r="E144" s="1575"/>
      <c r="F144" s="1575"/>
      <c r="G144" s="1575"/>
      <c r="H144" s="1575"/>
      <c r="I144" s="1575"/>
      <c r="J144" s="1575"/>
      <c r="K144" s="1575"/>
      <c r="L144" s="1575"/>
      <c r="M144" s="1575"/>
      <c r="N144" s="1575"/>
      <c r="O144" s="1576"/>
      <c r="P144" s="22"/>
      <c r="Q144" s="22"/>
      <c r="R144" s="1"/>
      <c r="S144" s="261"/>
      <c r="T144" s="681"/>
      <c r="U144" s="261"/>
      <c r="V144" s="693">
        <f>SUM(V145:V151)</f>
        <v>499950000</v>
      </c>
      <c r="W144" s="691"/>
      <c r="X144" s="693">
        <f>SUM(X145:X151)</f>
        <v>347250000</v>
      </c>
      <c r="Y144" s="691"/>
      <c r="Z144" s="693">
        <f>SUM(Z145:Z151)</f>
        <v>461520000</v>
      </c>
      <c r="AA144" s="692"/>
      <c r="AB144" s="693">
        <f>SUM(AB145:AB151)</f>
        <v>481640000</v>
      </c>
      <c r="AC144" s="262"/>
      <c r="AD144" s="845"/>
      <c r="AE144" s="262"/>
      <c r="AF144" s="262"/>
      <c r="AG144" s="263"/>
      <c r="AH144" s="263"/>
      <c r="AI144" s="263"/>
      <c r="AJ144" s="262"/>
      <c r="AK144" s="262"/>
      <c r="AL144" s="262"/>
      <c r="AM144" s="262"/>
      <c r="AN144" s="262"/>
      <c r="AO144" s="612"/>
      <c r="AP144" s="616"/>
      <c r="AQ144" s="616"/>
      <c r="AR144" s="616"/>
      <c r="AS144" s="616"/>
      <c r="AT144" s="616"/>
      <c r="AU144" s="616"/>
      <c r="AV144" s="616"/>
      <c r="AW144" s="617"/>
      <c r="AX144" s="616" t="e">
        <f>(AX145:AX151)</f>
        <v>#VALUE!</v>
      </c>
      <c r="AY144" s="616" t="e">
        <f t="shared" ref="AY144:BD144" si="93">(AY145:AY151)</f>
        <v>#VALUE!</v>
      </c>
      <c r="AZ144" s="616" t="e">
        <f t="shared" si="93"/>
        <v>#VALUE!</v>
      </c>
      <c r="BA144" s="616" t="e">
        <f t="shared" si="93"/>
        <v>#VALUE!</v>
      </c>
      <c r="BB144" s="616" t="e">
        <f t="shared" si="93"/>
        <v>#VALUE!</v>
      </c>
      <c r="BC144" s="616" t="e">
        <f t="shared" si="93"/>
        <v>#VALUE!</v>
      </c>
      <c r="BD144" s="616" t="e">
        <f t="shared" si="93"/>
        <v>#VALUE!</v>
      </c>
      <c r="BE144" s="617" t="e">
        <f t="shared" si="58"/>
        <v>#VALUE!</v>
      </c>
      <c r="BF144" s="616"/>
      <c r="BG144" s="616"/>
      <c r="BH144" s="616"/>
      <c r="BI144" s="616"/>
      <c r="BJ144" s="616"/>
      <c r="BK144" s="616"/>
      <c r="BL144" s="616"/>
      <c r="BM144" s="617">
        <f t="shared" si="59"/>
        <v>0</v>
      </c>
      <c r="BN144" s="616" t="e">
        <f>(BN145:BN151)</f>
        <v>#VALUE!</v>
      </c>
      <c r="BO144" s="616" t="e">
        <f t="shared" ref="BO144:BT144" si="94">(BO145:BO151)</f>
        <v>#VALUE!</v>
      </c>
      <c r="BP144" s="616" t="e">
        <f t="shared" si="94"/>
        <v>#VALUE!</v>
      </c>
      <c r="BQ144" s="616" t="e">
        <f t="shared" si="94"/>
        <v>#VALUE!</v>
      </c>
      <c r="BR144" s="616" t="e">
        <f t="shared" si="94"/>
        <v>#VALUE!</v>
      </c>
      <c r="BS144" s="616" t="e">
        <f t="shared" si="94"/>
        <v>#VALUE!</v>
      </c>
      <c r="BT144" s="616" t="e">
        <f t="shared" si="94"/>
        <v>#VALUE!</v>
      </c>
      <c r="BU144" s="617" t="e">
        <f t="shared" si="60"/>
        <v>#VALUE!</v>
      </c>
      <c r="BV144" s="556"/>
      <c r="BW144" s="663" t="s">
        <v>2717</v>
      </c>
      <c r="BX144" s="617" t="s">
        <v>2717</v>
      </c>
      <c r="BY144" s="617" t="s">
        <v>2717</v>
      </c>
      <c r="BZ144" s="617" t="s">
        <v>2717</v>
      </c>
      <c r="CA144" s="617" t="s">
        <v>2717</v>
      </c>
      <c r="CB144" s="1047" t="s">
        <v>2717</v>
      </c>
      <c r="CD144" t="str">
        <f>IF(BY144="PARA MODIFICAR","M",IF(BY144="PARA ELIMINAR","E",IF(BY144="aplazada","AZ",IF(BY144="no programada","NP",IF(BY144&gt;=85%,"VE",IF(BY144&gt;70%,"VEB",IF(BY144&gt;60%,"AM",IF(BY144&gt;20%,"RO",IF(BY144&gt;40%,"AMB",IF(BY144&gt;=0%,"ROB",""))))))))))</f>
        <v>VE</v>
      </c>
    </row>
    <row r="145" spans="1:85" ht="21" hidden="1" customHeight="1" x14ac:dyDescent="0.25">
      <c r="A145" s="298" t="s">
        <v>386</v>
      </c>
      <c r="B145" s="299" t="str">
        <f>'PLAN INDICATIVO'!B145</f>
        <v>APSB</v>
      </c>
      <c r="C145" s="1546" t="s">
        <v>465</v>
      </c>
      <c r="D145" s="1549" t="s">
        <v>466</v>
      </c>
      <c r="E145" s="1549" t="s">
        <v>467</v>
      </c>
      <c r="F145" s="1549">
        <v>2015</v>
      </c>
      <c r="G145" s="1549">
        <v>98</v>
      </c>
      <c r="H145" s="1549">
        <v>100</v>
      </c>
      <c r="I145" s="1425" t="str">
        <f>'PLAN INDICATIVO'!I145</f>
        <v>SI</v>
      </c>
      <c r="J145" s="1425">
        <f>'PLAN INDICATIVO'!J145</f>
        <v>0</v>
      </c>
      <c r="K145" s="1425" t="str">
        <f>'PLAN INDICATIVO'!K145</f>
        <v>A.3.3.1</v>
      </c>
      <c r="L145" s="1425" t="str">
        <f>'PLAN INDICATIVO'!L145</f>
        <v>6. Agua limplia y saneamiento</v>
      </c>
      <c r="M145" s="1425" t="str">
        <f>'PLAN INDICATIVO'!M145</f>
        <v>EMSERPLA</v>
      </c>
      <c r="N145" s="1425" t="str">
        <f>'PLAN INDICATIVO'!N145</f>
        <v>MARIO MONTILLA CABRERA</v>
      </c>
      <c r="O145" s="1425" t="str">
        <f>'PLAN INDICATIVO'!O145</f>
        <v>Incremento</v>
      </c>
      <c r="P145" s="16" t="str">
        <f>'PLAN INDICATIVO'!P145</f>
        <v>Adquirir 1 vehículo compactador para mejorar la prestación del servicio de recolección de residuos sólidos en sector urbano y rural, durante el cuatrienio</v>
      </c>
      <c r="Q145" s="302" t="str">
        <f>'PLAN INDICATIVO'!Q145</f>
        <v xml:space="preserve">No. De vehículos adquiridos </v>
      </c>
      <c r="R145" s="303">
        <f>'PLAN INDICATIVO'!R145</f>
        <v>2015</v>
      </c>
      <c r="S145" s="304">
        <v>0</v>
      </c>
      <c r="T145" s="677">
        <v>1</v>
      </c>
      <c r="U145" s="844">
        <v>1</v>
      </c>
      <c r="V145" s="687">
        <v>0</v>
      </c>
      <c r="W145" s="304"/>
      <c r="X145" s="687"/>
      <c r="Y145" s="1237"/>
      <c r="Z145" s="687"/>
      <c r="AA145" s="410"/>
      <c r="AB145" s="687"/>
      <c r="AC145" s="667">
        <v>1</v>
      </c>
      <c r="AD145" s="845"/>
      <c r="AE145" s="667"/>
      <c r="AF145" s="667"/>
      <c r="AG145" s="338" t="s">
        <v>4110</v>
      </c>
      <c r="AH145" s="987">
        <v>2018413960026</v>
      </c>
      <c r="AI145" s="880"/>
      <c r="AJ145" s="339"/>
      <c r="AK145" s="339"/>
      <c r="AL145" s="337"/>
      <c r="AM145" s="337"/>
      <c r="AN145" s="267" t="s">
        <v>2594</v>
      </c>
      <c r="AO145" s="510">
        <v>230312</v>
      </c>
      <c r="AP145" s="730"/>
      <c r="AQ145" s="730"/>
      <c r="AR145" s="730"/>
      <c r="AS145" s="730"/>
      <c r="AT145" s="730"/>
      <c r="AU145" s="730"/>
      <c r="AV145" s="730"/>
      <c r="AW145" s="730"/>
      <c r="AX145" s="529"/>
      <c r="AY145" s="473"/>
      <c r="AZ145" s="473"/>
      <c r="BA145" s="473"/>
      <c r="BB145" s="473"/>
      <c r="BC145" s="473"/>
      <c r="BD145" s="473"/>
      <c r="BE145" s="544">
        <f t="shared" si="58"/>
        <v>0</v>
      </c>
      <c r="BF145" s="529"/>
      <c r="BG145" s="473"/>
      <c r="BH145" s="473"/>
      <c r="BI145" s="473"/>
      <c r="BJ145" s="473"/>
      <c r="BK145" s="473"/>
      <c r="BL145" s="473"/>
      <c r="BM145" s="544">
        <f t="shared" si="59"/>
        <v>0</v>
      </c>
      <c r="BN145" s="529"/>
      <c r="BO145" s="473"/>
      <c r="BP145" s="473"/>
      <c r="BQ145" s="473"/>
      <c r="BR145" s="473"/>
      <c r="BS145" s="473"/>
      <c r="BT145" s="473"/>
      <c r="BU145" s="544">
        <f t="shared" si="60"/>
        <v>0</v>
      </c>
      <c r="BV145" s="556"/>
      <c r="BW145" s="663">
        <f t="shared" si="91"/>
        <v>1</v>
      </c>
      <c r="BX145" s="1047">
        <f t="shared" ref="BX145:BX209" si="95">BW145/T145</f>
        <v>1</v>
      </c>
      <c r="BY145" s="1047">
        <f t="shared" ref="BY145:BY151" si="96">IF(U145&gt;=0.1,AC145/U145,IF(ISBLANK(U145),"No Programada","Aplazada"))</f>
        <v>1</v>
      </c>
      <c r="BZ145" s="1047" t="str">
        <f t="shared" ref="BZ145:BZ151" si="97">IF(W145&gt;=0.1,AD145/W145,IF(ISBLANK(W145),"No Programada","Aplazada"))</f>
        <v>No Programada</v>
      </c>
      <c r="CA145" s="1047" t="str">
        <f t="shared" ref="CA145:CA151" si="98">IF(Y145&gt;=0.1,AE145/Y145,IF(ISBLANK(Y145),"No Programada","Aplazada"))</f>
        <v>No Programada</v>
      </c>
      <c r="CB145" s="1047" t="str">
        <f t="shared" ref="CB145:CB151" si="99">IF(AA145&gt;=0.1,AF145/AA145,IF(ISBLANK(AA145),"No Programada","Aplazada"))</f>
        <v>No Programada</v>
      </c>
      <c r="CD145" t="str">
        <f t="shared" ref="CD145:CG151" si="100">IF(BY145="PARA MODIFICAR","M",IF(BY145="PARA ELIMINAR","E",IF(BY145="aplazada","AZ",IF(BY145="no programada","NP",IF(BY145&gt;=85%,"VE",IF(BY145&gt;70%,"VEB",IF(BY145&gt;60%,"AM",IF(BY145&gt;40%,"AMB",IF(BY145&gt;20%,"RO",IF(BY145&gt;=0%,"ROB",""))))))))))</f>
        <v>VE</v>
      </c>
      <c r="CE145" t="str">
        <f t="shared" si="100"/>
        <v>NP</v>
      </c>
      <c r="CF145" t="str">
        <f t="shared" si="100"/>
        <v>NP</v>
      </c>
      <c r="CG145" t="str">
        <f t="shared" si="100"/>
        <v>NP</v>
      </c>
    </row>
    <row r="146" spans="1:85" ht="16.5" hidden="1" customHeight="1" x14ac:dyDescent="0.25">
      <c r="A146" s="298" t="s">
        <v>386</v>
      </c>
      <c r="B146" s="299" t="str">
        <f>'PLAN INDICATIVO'!B146</f>
        <v>APSB</v>
      </c>
      <c r="C146" s="1547"/>
      <c r="D146" s="1549"/>
      <c r="E146" s="1549"/>
      <c r="F146" s="1549"/>
      <c r="G146" s="1549"/>
      <c r="H146" s="1549"/>
      <c r="I146" s="300">
        <f>'PLAN INDICATIVO'!I146</f>
        <v>0</v>
      </c>
      <c r="J146" s="300">
        <f>'PLAN INDICATIVO'!J146</f>
        <v>0</v>
      </c>
      <c r="K146" s="1425" t="str">
        <f>'PLAN INDICATIVO'!K146</f>
        <v>A.3.3.2</v>
      </c>
      <c r="L146" s="1425" t="str">
        <f>'PLAN INDICATIVO'!L146</f>
        <v>6. Agua limplia y saneamiento</v>
      </c>
      <c r="M146" s="1425" t="str">
        <f>'PLAN INDICATIVO'!M146</f>
        <v>EMSERPLA</v>
      </c>
      <c r="N146" s="1425" t="str">
        <f>'PLAN INDICATIVO'!N146</f>
        <v>MARIO MONTILLA CABRERA</v>
      </c>
      <c r="O146" s="1425" t="str">
        <f>'PLAN INDICATIVO'!O146</f>
        <v>Mantenimiento</v>
      </c>
      <c r="P146" s="16" t="str">
        <f>'PLAN INDICATIVO'!P146</f>
        <v xml:space="preserve">Ejecutar 1 programa "reciclamos para el cambio" cada año </v>
      </c>
      <c r="Q146" s="302" t="str">
        <f>'PLAN INDICATIVO'!Q146</f>
        <v>No. Programa ejecutados cada año</v>
      </c>
      <c r="R146" s="303">
        <f>'PLAN INDICATIVO'!R146</f>
        <v>2015</v>
      </c>
      <c r="S146" s="304">
        <v>0</v>
      </c>
      <c r="T146" s="677">
        <v>1</v>
      </c>
      <c r="U146" s="304">
        <v>1</v>
      </c>
      <c r="V146" s="687">
        <v>174920000</v>
      </c>
      <c r="W146" s="304">
        <v>1</v>
      </c>
      <c r="X146" s="687">
        <v>114760000</v>
      </c>
      <c r="Y146" s="1237">
        <v>1</v>
      </c>
      <c r="Z146" s="687">
        <v>222280000</v>
      </c>
      <c r="AA146" s="410">
        <v>1</v>
      </c>
      <c r="AB146" s="687">
        <v>230060000</v>
      </c>
      <c r="AC146" s="665">
        <v>1</v>
      </c>
      <c r="AD146" s="665">
        <v>1</v>
      </c>
      <c r="AE146" s="665">
        <v>1</v>
      </c>
      <c r="AF146" s="665"/>
      <c r="AG146" s="338" t="s">
        <v>4110</v>
      </c>
      <c r="AH146" s="987">
        <v>2018413960026</v>
      </c>
      <c r="AI146" s="900" t="s">
        <v>4111</v>
      </c>
      <c r="AJ146" s="335"/>
      <c r="AK146" s="335"/>
      <c r="AL146" s="308"/>
      <c r="AM146" s="308"/>
      <c r="AN146" s="267" t="s">
        <v>2598</v>
      </c>
      <c r="AO146" s="510">
        <v>230312</v>
      </c>
      <c r="AP146" s="730"/>
      <c r="AQ146" s="730"/>
      <c r="AR146" s="730"/>
      <c r="AS146" s="730"/>
      <c r="AT146" s="730"/>
      <c r="AU146" s="730"/>
      <c r="AV146" s="730"/>
      <c r="AW146" s="730"/>
      <c r="AX146" s="530"/>
      <c r="AY146" s="474"/>
      <c r="AZ146" s="474"/>
      <c r="BA146" s="474"/>
      <c r="BB146" s="474"/>
      <c r="BC146" s="474"/>
      <c r="BD146" s="474"/>
      <c r="BE146" s="544">
        <f t="shared" si="58"/>
        <v>0</v>
      </c>
      <c r="BF146" s="530"/>
      <c r="BG146" s="1334">
        <v>294760000</v>
      </c>
      <c r="BH146" s="474"/>
      <c r="BI146" s="474"/>
      <c r="BJ146" s="474"/>
      <c r="BK146" s="474"/>
      <c r="BL146" s="474">
        <v>17508854</v>
      </c>
      <c r="BM146" s="544">
        <f t="shared" si="59"/>
        <v>312268854</v>
      </c>
      <c r="BN146" s="530"/>
      <c r="BO146" s="474"/>
      <c r="BP146" s="474"/>
      <c r="BQ146" s="474"/>
      <c r="BR146" s="474"/>
      <c r="BS146" s="474"/>
      <c r="BT146" s="474"/>
      <c r="BU146" s="544">
        <f t="shared" si="60"/>
        <v>0</v>
      </c>
      <c r="BV146" s="556"/>
      <c r="BW146" s="663">
        <f t="shared" si="91"/>
        <v>3</v>
      </c>
      <c r="BX146" s="1047">
        <f t="shared" si="95"/>
        <v>3</v>
      </c>
      <c r="BY146" s="1047">
        <f t="shared" si="96"/>
        <v>1</v>
      </c>
      <c r="BZ146" s="1047">
        <f t="shared" si="97"/>
        <v>1</v>
      </c>
      <c r="CA146" s="1047">
        <f t="shared" si="98"/>
        <v>1</v>
      </c>
      <c r="CB146" s="1047">
        <f t="shared" si="99"/>
        <v>0</v>
      </c>
      <c r="CD146" t="str">
        <f t="shared" si="100"/>
        <v>VE</v>
      </c>
      <c r="CE146" t="str">
        <f t="shared" si="100"/>
        <v>VE</v>
      </c>
      <c r="CF146" t="str">
        <f t="shared" si="100"/>
        <v>VE</v>
      </c>
      <c r="CG146" t="str">
        <f t="shared" si="100"/>
        <v>ROB</v>
      </c>
    </row>
    <row r="147" spans="1:85" ht="50.25" hidden="1" customHeight="1" x14ac:dyDescent="0.25">
      <c r="A147" s="298" t="s">
        <v>386</v>
      </c>
      <c r="B147" s="299" t="str">
        <f>'PLAN INDICATIVO'!B147</f>
        <v>APSB</v>
      </c>
      <c r="C147" s="1547"/>
      <c r="D147" s="1549"/>
      <c r="E147" s="1549"/>
      <c r="F147" s="1549"/>
      <c r="G147" s="1549"/>
      <c r="H147" s="1549"/>
      <c r="I147" s="300">
        <f>'PLAN INDICATIVO'!I147</f>
        <v>0</v>
      </c>
      <c r="J147" s="300">
        <f>'PLAN INDICATIVO'!J147</f>
        <v>0</v>
      </c>
      <c r="K147" s="1425" t="str">
        <f>'PLAN INDICATIVO'!K147</f>
        <v>A.3.3.3</v>
      </c>
      <c r="L147" s="1425" t="str">
        <f>'PLAN INDICATIVO'!L147</f>
        <v>6. Agua limplia y saneamiento</v>
      </c>
      <c r="M147" s="1425" t="str">
        <f>'PLAN INDICATIVO'!M147</f>
        <v>EMSERPLA</v>
      </c>
      <c r="N147" s="1425" t="str">
        <f>'PLAN INDICATIVO'!N147</f>
        <v>MAURICIO LEGARDA GONZALEZ</v>
      </c>
      <c r="O147" s="1425" t="str">
        <f>'PLAN INDICATIVO'!O147</f>
        <v>Mantenimiento</v>
      </c>
      <c r="P147" s="883" t="str">
        <f>'PLAN INDICATIVO'!P147</f>
        <v>Mantener 1 programa de recolección de residuos sólidos en  centros poblados cada año</v>
      </c>
      <c r="Q147" s="302" t="str">
        <f>'PLAN INDICATIVO'!Q147</f>
        <v>No. De programas de recolección de residuos sólidos rurales por año</v>
      </c>
      <c r="R147" s="303">
        <f>'PLAN INDICATIVO'!R147</f>
        <v>2015</v>
      </c>
      <c r="S147" s="304">
        <v>1</v>
      </c>
      <c r="T147" s="677">
        <v>1</v>
      </c>
      <c r="U147" s="304">
        <v>1</v>
      </c>
      <c r="V147" s="687">
        <v>50030000</v>
      </c>
      <c r="W147" s="304">
        <v>1</v>
      </c>
      <c r="X147" s="687">
        <v>51750000</v>
      </c>
      <c r="Y147" s="1237">
        <v>1</v>
      </c>
      <c r="Z147" s="687">
        <v>53560000</v>
      </c>
      <c r="AA147" s="410">
        <v>1</v>
      </c>
      <c r="AB147" s="687">
        <v>55430000</v>
      </c>
      <c r="AC147" s="665">
        <v>1</v>
      </c>
      <c r="AD147" s="665">
        <v>1</v>
      </c>
      <c r="AE147" s="665">
        <v>1</v>
      </c>
      <c r="AF147" s="665"/>
      <c r="AG147" s="338" t="s">
        <v>4110</v>
      </c>
      <c r="AH147" s="987">
        <v>2018413960026</v>
      </c>
      <c r="AI147" s="307" t="s">
        <v>4112</v>
      </c>
      <c r="AJ147" s="335" t="s">
        <v>4113</v>
      </c>
      <c r="AK147" s="335">
        <v>43464</v>
      </c>
      <c r="AL147" s="308"/>
      <c r="AM147" s="308"/>
      <c r="AN147" s="267" t="s">
        <v>2598</v>
      </c>
      <c r="AO147" s="510">
        <v>230312</v>
      </c>
      <c r="AP147" s="730"/>
      <c r="AQ147" s="730"/>
      <c r="AR147" s="730"/>
      <c r="AS147" s="730"/>
      <c r="AT147" s="730"/>
      <c r="AU147" s="730"/>
      <c r="AV147" s="730"/>
      <c r="AW147" s="730"/>
      <c r="AX147" s="530"/>
      <c r="AY147" s="474"/>
      <c r="AZ147" s="474"/>
      <c r="BA147" s="474"/>
      <c r="BB147" s="474"/>
      <c r="BC147" s="474"/>
      <c r="BD147" s="474"/>
      <c r="BE147" s="544">
        <f t="shared" si="58"/>
        <v>0</v>
      </c>
      <c r="BF147" s="530"/>
      <c r="BG147" s="474"/>
      <c r="BH147" s="474"/>
      <c r="BI147" s="474"/>
      <c r="BJ147" s="474"/>
      <c r="BK147" s="474"/>
      <c r="BL147" s="474">
        <v>11760000</v>
      </c>
      <c r="BM147" s="544">
        <f t="shared" si="59"/>
        <v>11760000</v>
      </c>
      <c r="BN147" s="530"/>
      <c r="BO147" s="474"/>
      <c r="BP147" s="474"/>
      <c r="BQ147" s="474"/>
      <c r="BR147" s="474"/>
      <c r="BS147" s="474"/>
      <c r="BT147" s="474"/>
      <c r="BU147" s="544">
        <f t="shared" si="60"/>
        <v>0</v>
      </c>
      <c r="BV147" s="556"/>
      <c r="BW147" s="663">
        <f t="shared" si="91"/>
        <v>3</v>
      </c>
      <c r="BX147" s="1047">
        <f t="shared" si="95"/>
        <v>3</v>
      </c>
      <c r="BY147" s="1047">
        <f t="shared" si="96"/>
        <v>1</v>
      </c>
      <c r="BZ147" s="1047">
        <f t="shared" si="97"/>
        <v>1</v>
      </c>
      <c r="CA147" s="1047">
        <f t="shared" si="98"/>
        <v>1</v>
      </c>
      <c r="CB147" s="1047">
        <f t="shared" si="99"/>
        <v>0</v>
      </c>
      <c r="CD147" t="str">
        <f t="shared" si="100"/>
        <v>VE</v>
      </c>
      <c r="CE147" t="str">
        <f t="shared" si="100"/>
        <v>VE</v>
      </c>
      <c r="CF147" t="str">
        <f t="shared" si="100"/>
        <v>VE</v>
      </c>
      <c r="CG147" t="str">
        <f t="shared" si="100"/>
        <v>ROB</v>
      </c>
    </row>
    <row r="148" spans="1:85" ht="81.75" hidden="1" customHeight="1" x14ac:dyDescent="0.25">
      <c r="A148" s="298" t="s">
        <v>386</v>
      </c>
      <c r="B148" s="299" t="str">
        <f>'PLAN INDICATIVO'!B148</f>
        <v>APSB</v>
      </c>
      <c r="C148" s="1547"/>
      <c r="D148" s="1549"/>
      <c r="E148" s="1549"/>
      <c r="F148" s="1549"/>
      <c r="G148" s="1549"/>
      <c r="H148" s="1549"/>
      <c r="I148" s="300">
        <f>'PLAN INDICATIVO'!I148</f>
        <v>0</v>
      </c>
      <c r="J148" s="300">
        <f>'PLAN INDICATIVO'!J148</f>
        <v>0</v>
      </c>
      <c r="K148" s="1425" t="str">
        <f>'PLAN INDICATIVO'!K148</f>
        <v>A.3.3.4</v>
      </c>
      <c r="L148" s="1425" t="str">
        <f>'PLAN INDICATIVO'!L148</f>
        <v>6. Agua limplia y saneamiento</v>
      </c>
      <c r="M148" s="1425" t="str">
        <f>'PLAN INDICATIVO'!M148</f>
        <v>EMSERPLA</v>
      </c>
      <c r="N148" s="1425" t="str">
        <f>'PLAN INDICATIVO'!N148</f>
        <v>MARIO MONTILLA CABRERA</v>
      </c>
      <c r="O148" s="1425" t="str">
        <f>'PLAN INDICATIVO'!O148</f>
        <v>Incremento</v>
      </c>
      <c r="P148" s="16" t="str">
        <f>'PLAN INDICATIVO'!P148</f>
        <v>Actualizar 1 Plan de Gestión Integral de Residuos sólidos (PGIRS)  durante el cuatrienio.</v>
      </c>
      <c r="Q148" s="302" t="str">
        <f>'PLAN INDICATIVO'!Q148</f>
        <v>No. De actualizaciones realizadas</v>
      </c>
      <c r="R148" s="303">
        <f>'PLAN INDICATIVO'!R148</f>
        <v>2015</v>
      </c>
      <c r="S148" s="304">
        <v>1</v>
      </c>
      <c r="T148" s="677">
        <v>1</v>
      </c>
      <c r="U148" s="304">
        <v>1</v>
      </c>
      <c r="V148" s="687">
        <v>0</v>
      </c>
      <c r="W148" s="304"/>
      <c r="X148" s="687"/>
      <c r="Y148" s="1237"/>
      <c r="Z148" s="687"/>
      <c r="AA148" s="410"/>
      <c r="AB148" s="687"/>
      <c r="AC148" s="665">
        <v>1</v>
      </c>
      <c r="AD148" s="843"/>
      <c r="AE148" s="665"/>
      <c r="AF148" s="665"/>
      <c r="AG148" s="338" t="s">
        <v>4110</v>
      </c>
      <c r="AH148" s="987">
        <v>2018413960026</v>
      </c>
      <c r="AI148" s="307"/>
      <c r="AJ148" s="335"/>
      <c r="AK148" s="335"/>
      <c r="AL148" s="308"/>
      <c r="AM148" s="308"/>
      <c r="AN148" s="267" t="s">
        <v>2594</v>
      </c>
      <c r="AO148" s="510">
        <v>230312</v>
      </c>
      <c r="AP148" s="730"/>
      <c r="AQ148" s="730"/>
      <c r="AR148" s="730"/>
      <c r="AS148" s="730"/>
      <c r="AT148" s="730"/>
      <c r="AU148" s="730"/>
      <c r="AV148" s="730"/>
      <c r="AW148" s="730"/>
      <c r="AX148" s="530"/>
      <c r="AY148" s="474"/>
      <c r="AZ148" s="474"/>
      <c r="BA148" s="474"/>
      <c r="BB148" s="474"/>
      <c r="BC148" s="474"/>
      <c r="BD148" s="474"/>
      <c r="BE148" s="544">
        <f t="shared" si="58"/>
        <v>0</v>
      </c>
      <c r="BF148" s="530"/>
      <c r="BG148" s="474"/>
      <c r="BH148" s="474"/>
      <c r="BI148" s="474"/>
      <c r="BJ148" s="474"/>
      <c r="BK148" s="474"/>
      <c r="BL148" s="474"/>
      <c r="BM148" s="544">
        <f t="shared" si="59"/>
        <v>0</v>
      </c>
      <c r="BN148" s="530"/>
      <c r="BO148" s="474"/>
      <c r="BP148" s="474"/>
      <c r="BQ148" s="474"/>
      <c r="BR148" s="474"/>
      <c r="BS148" s="474"/>
      <c r="BT148" s="474"/>
      <c r="BU148" s="544">
        <f t="shared" si="60"/>
        <v>0</v>
      </c>
      <c r="BV148" s="556"/>
      <c r="BW148" s="663">
        <f t="shared" si="91"/>
        <v>1</v>
      </c>
      <c r="BX148" s="1047">
        <f t="shared" si="95"/>
        <v>1</v>
      </c>
      <c r="BY148" s="1047">
        <f t="shared" si="96"/>
        <v>1</v>
      </c>
      <c r="BZ148" s="1047" t="str">
        <f t="shared" si="97"/>
        <v>No Programada</v>
      </c>
      <c r="CA148" s="1047" t="str">
        <f t="shared" si="98"/>
        <v>No Programada</v>
      </c>
      <c r="CB148" s="1047" t="str">
        <f t="shared" si="99"/>
        <v>No Programada</v>
      </c>
      <c r="CD148" t="str">
        <f t="shared" si="100"/>
        <v>VE</v>
      </c>
      <c r="CE148" t="str">
        <f t="shared" si="100"/>
        <v>NP</v>
      </c>
      <c r="CF148" t="str">
        <f t="shared" si="100"/>
        <v>NP</v>
      </c>
      <c r="CG148" t="str">
        <f t="shared" si="100"/>
        <v>NP</v>
      </c>
    </row>
    <row r="149" spans="1:85" ht="89.25" hidden="1" customHeight="1" x14ac:dyDescent="0.25">
      <c r="A149" s="298" t="s">
        <v>386</v>
      </c>
      <c r="B149" s="299" t="str">
        <f>'PLAN INDICATIVO'!B149</f>
        <v>APSB</v>
      </c>
      <c r="C149" s="1547"/>
      <c r="D149" s="1549"/>
      <c r="E149" s="1549"/>
      <c r="F149" s="1549"/>
      <c r="G149" s="1549"/>
      <c r="H149" s="1549"/>
      <c r="I149" s="300">
        <f>'PLAN INDICATIVO'!I149</f>
        <v>0</v>
      </c>
      <c r="J149" s="300">
        <f>'PLAN INDICATIVO'!J149</f>
        <v>0</v>
      </c>
      <c r="K149" s="1425" t="str">
        <f>'PLAN INDICATIVO'!K149</f>
        <v>A.3.3.5</v>
      </c>
      <c r="L149" s="1425" t="str">
        <f>'PLAN INDICATIVO'!L149</f>
        <v>6. Agua limplia y saneamiento</v>
      </c>
      <c r="M149" s="1425" t="str">
        <f>'PLAN INDICATIVO'!M149</f>
        <v>EMSERPLA</v>
      </c>
      <c r="N149" s="1425" t="str">
        <f>'PLAN INDICATIVO'!N149</f>
        <v>MARIO MONTILLA CABRERA</v>
      </c>
      <c r="O149" s="1425" t="str">
        <f>'PLAN INDICATIVO'!O149</f>
        <v>Mantenimiento</v>
      </c>
      <c r="P149" s="16" t="str">
        <f>'PLAN INDICATIVO'!P149</f>
        <v>Mantener los subsidios de aseo a la totalidad de usuarios  de estratos 1 y 2, durante el cuatrienio.</v>
      </c>
      <c r="Q149" s="302" t="str">
        <f>'PLAN INDICATIVO'!Q149</f>
        <v>Porcentaje de usuarios con subsidio.</v>
      </c>
      <c r="R149" s="303">
        <f>'PLAN INDICATIVO'!R149</f>
        <v>2015</v>
      </c>
      <c r="S149" s="304">
        <v>100</v>
      </c>
      <c r="T149" s="677">
        <v>100</v>
      </c>
      <c r="U149" s="304">
        <v>100</v>
      </c>
      <c r="V149" s="687">
        <v>225000000</v>
      </c>
      <c r="W149" s="304">
        <v>100</v>
      </c>
      <c r="X149" s="687">
        <v>169740000</v>
      </c>
      <c r="Y149" s="1237">
        <v>100</v>
      </c>
      <c r="Z149" s="687">
        <v>175680000</v>
      </c>
      <c r="AA149" s="410">
        <v>100</v>
      </c>
      <c r="AB149" s="687">
        <v>181830000</v>
      </c>
      <c r="AC149" s="665">
        <v>100</v>
      </c>
      <c r="AD149" s="665">
        <v>100</v>
      </c>
      <c r="AE149" s="665">
        <v>100</v>
      </c>
      <c r="AF149" s="665"/>
      <c r="AG149" s="338" t="s">
        <v>4110</v>
      </c>
      <c r="AH149" s="987">
        <v>2018413960026</v>
      </c>
      <c r="AI149" s="307"/>
      <c r="AJ149" s="335"/>
      <c r="AK149" s="335"/>
      <c r="AL149" s="308"/>
      <c r="AM149" s="308"/>
      <c r="AN149" s="267" t="s">
        <v>2598</v>
      </c>
      <c r="AO149" s="507"/>
      <c r="AP149" s="730"/>
      <c r="AQ149" s="730"/>
      <c r="AR149" s="730"/>
      <c r="AS149" s="730"/>
      <c r="AT149" s="730"/>
      <c r="AU149" s="730"/>
      <c r="AV149" s="730"/>
      <c r="AW149" s="730"/>
      <c r="AX149" s="530"/>
      <c r="AY149" s="474"/>
      <c r="AZ149" s="474"/>
      <c r="BA149" s="474"/>
      <c r="BB149" s="474"/>
      <c r="BC149" s="474"/>
      <c r="BD149" s="474"/>
      <c r="BE149" s="544">
        <f t="shared" ref="BE149:BE214" si="101">SUM(AX149:BD149)</f>
        <v>0</v>
      </c>
      <c r="BF149" s="530"/>
      <c r="BG149" s="474">
        <v>292631182</v>
      </c>
      <c r="BH149" s="474"/>
      <c r="BI149" s="474"/>
      <c r="BJ149" s="474"/>
      <c r="BK149" s="474"/>
      <c r="BL149" s="474"/>
      <c r="BM149" s="544">
        <f t="shared" ref="BM149:BM214" si="102">SUM(BF149:BL149)</f>
        <v>292631182</v>
      </c>
      <c r="BN149" s="530"/>
      <c r="BO149" s="474"/>
      <c r="BP149" s="474"/>
      <c r="BQ149" s="474"/>
      <c r="BR149" s="474"/>
      <c r="BS149" s="474"/>
      <c r="BT149" s="474"/>
      <c r="BU149" s="544">
        <f t="shared" ref="BU149:BU214" si="103">SUM(BN149:BT149)</f>
        <v>0</v>
      </c>
      <c r="BV149" s="556"/>
      <c r="BW149" s="663">
        <f t="shared" si="91"/>
        <v>300</v>
      </c>
      <c r="BX149" s="1047">
        <f t="shared" si="95"/>
        <v>3</v>
      </c>
      <c r="BY149" s="1047">
        <f t="shared" si="96"/>
        <v>1</v>
      </c>
      <c r="BZ149" s="1047">
        <f t="shared" si="97"/>
        <v>1</v>
      </c>
      <c r="CA149" s="1047">
        <f t="shared" si="98"/>
        <v>1</v>
      </c>
      <c r="CB149" s="1047">
        <f t="shared" si="99"/>
        <v>0</v>
      </c>
      <c r="CD149" t="str">
        <f t="shared" si="100"/>
        <v>VE</v>
      </c>
      <c r="CE149" t="str">
        <f t="shared" si="100"/>
        <v>VE</v>
      </c>
      <c r="CF149" t="str">
        <f t="shared" si="100"/>
        <v>VE</v>
      </c>
      <c r="CG149" t="str">
        <f t="shared" si="100"/>
        <v>ROB</v>
      </c>
    </row>
    <row r="150" spans="1:85" ht="81" hidden="1" customHeight="1" x14ac:dyDescent="0.25">
      <c r="A150" s="298" t="s">
        <v>386</v>
      </c>
      <c r="B150" s="299" t="str">
        <f>'PLAN INDICATIVO'!B150</f>
        <v>APSB</v>
      </c>
      <c r="C150" s="1547"/>
      <c r="D150" s="1549"/>
      <c r="E150" s="1549"/>
      <c r="F150" s="1549"/>
      <c r="G150" s="1549"/>
      <c r="H150" s="1549"/>
      <c r="I150" s="300">
        <f>'PLAN INDICATIVO'!I150</f>
        <v>0</v>
      </c>
      <c r="J150" s="300">
        <f>'PLAN INDICATIVO'!J150</f>
        <v>0</v>
      </c>
      <c r="K150" s="1425" t="str">
        <f>'PLAN INDICATIVO'!K150</f>
        <v>A.3.3.6</v>
      </c>
      <c r="L150" s="1425" t="str">
        <f>'PLAN INDICATIVO'!L150</f>
        <v>6. Agua limplia y saneamiento</v>
      </c>
      <c r="M150" s="1425" t="str">
        <f>'PLAN INDICATIVO'!M150</f>
        <v>EMSERPLA</v>
      </c>
      <c r="N150" s="1425" t="str">
        <f>'PLAN INDICATIVO'!N150</f>
        <v>MARIO MONTILLA CABRERA</v>
      </c>
      <c r="O150" s="1425" t="str">
        <f>'PLAN INDICATIVO'!O150</f>
        <v>Mantenimiento</v>
      </c>
      <c r="P150" s="16" t="str">
        <f>'PLAN INDICATIVO'!P150</f>
        <v>Incrementar  anualmente los servicios públicos  a 275 nuevos usuarios en el servicio de aseo, durante el cuatrienio.</v>
      </c>
      <c r="Q150" s="302" t="str">
        <f>'PLAN INDICATIVO'!Q150</f>
        <v>No. De nuevos usuarios con servicios públicos de aseo por año</v>
      </c>
      <c r="R150" s="303">
        <f>'PLAN INDICATIVO'!R150</f>
        <v>2015</v>
      </c>
      <c r="S150" s="304">
        <v>275</v>
      </c>
      <c r="T150" s="677">
        <v>1100</v>
      </c>
      <c r="U150" s="304">
        <v>275</v>
      </c>
      <c r="V150" s="687">
        <v>1000000</v>
      </c>
      <c r="W150" s="304">
        <v>275</v>
      </c>
      <c r="X150" s="687">
        <v>1000000</v>
      </c>
      <c r="Y150" s="1237">
        <v>275</v>
      </c>
      <c r="Z150" s="687">
        <v>1000000</v>
      </c>
      <c r="AA150" s="410">
        <f>T150-BW150</f>
        <v>179</v>
      </c>
      <c r="AB150" s="687">
        <v>5000000</v>
      </c>
      <c r="AC150" s="665">
        <v>318</v>
      </c>
      <c r="AD150" s="899">
        <v>302</v>
      </c>
      <c r="AE150" s="665">
        <v>301</v>
      </c>
      <c r="AF150" s="665"/>
      <c r="AG150" s="338" t="s">
        <v>4110</v>
      </c>
      <c r="AH150" s="987">
        <v>2018413960026</v>
      </c>
      <c r="AI150" s="307" t="s">
        <v>4108</v>
      </c>
      <c r="AJ150" s="335">
        <v>43102</v>
      </c>
      <c r="AK150" s="335">
        <v>43464</v>
      </c>
      <c r="AL150" s="308"/>
      <c r="AM150" s="308"/>
      <c r="AN150" s="267" t="s">
        <v>2598</v>
      </c>
      <c r="AO150" s="507"/>
      <c r="AP150" s="730"/>
      <c r="AQ150" s="730"/>
      <c r="AR150" s="730"/>
      <c r="AS150" s="730"/>
      <c r="AT150" s="730"/>
      <c r="AU150" s="730"/>
      <c r="AV150" s="730"/>
      <c r="AW150" s="730"/>
      <c r="AX150" s="530"/>
      <c r="AY150" s="474"/>
      <c r="AZ150" s="474"/>
      <c r="BA150" s="474"/>
      <c r="BB150" s="474"/>
      <c r="BC150" s="474"/>
      <c r="BD150" s="474"/>
      <c r="BE150" s="544">
        <f t="shared" si="101"/>
        <v>0</v>
      </c>
      <c r="BF150" s="530"/>
      <c r="BG150" s="474"/>
      <c r="BH150" s="474"/>
      <c r="BI150" s="474"/>
      <c r="BJ150" s="474"/>
      <c r="BK150" s="474"/>
      <c r="BL150" s="474">
        <v>8000000</v>
      </c>
      <c r="BM150" s="544">
        <f t="shared" si="102"/>
        <v>8000000</v>
      </c>
      <c r="BN150" s="530"/>
      <c r="BO150" s="474"/>
      <c r="BP150" s="474"/>
      <c r="BQ150" s="474"/>
      <c r="BR150" s="474"/>
      <c r="BS150" s="474"/>
      <c r="BT150" s="474"/>
      <c r="BU150" s="544">
        <f t="shared" si="103"/>
        <v>0</v>
      </c>
      <c r="BV150" s="556"/>
      <c r="BW150" s="663">
        <f t="shared" si="91"/>
        <v>921</v>
      </c>
      <c r="BX150" s="1047">
        <f t="shared" si="95"/>
        <v>0.83727272727272728</v>
      </c>
      <c r="BY150" s="1047">
        <f t="shared" si="96"/>
        <v>1.1563636363636363</v>
      </c>
      <c r="BZ150" s="1047">
        <f t="shared" si="97"/>
        <v>1.0981818181818181</v>
      </c>
      <c r="CA150" s="1047">
        <f t="shared" si="98"/>
        <v>1.0945454545454545</v>
      </c>
      <c r="CB150" s="1047">
        <f t="shared" si="99"/>
        <v>0</v>
      </c>
      <c r="CD150" t="str">
        <f t="shared" si="100"/>
        <v>VE</v>
      </c>
      <c r="CE150" t="str">
        <f t="shared" si="100"/>
        <v>VE</v>
      </c>
      <c r="CF150" t="str">
        <f t="shared" si="100"/>
        <v>VE</v>
      </c>
      <c r="CG150" t="str">
        <f t="shared" si="100"/>
        <v>ROB</v>
      </c>
    </row>
    <row r="151" spans="1:85" ht="101.25" hidden="1" customHeight="1" thickBot="1" x14ac:dyDescent="0.3">
      <c r="A151" s="393" t="s">
        <v>2464</v>
      </c>
      <c r="B151" s="394" t="str">
        <f>'PLAN INDICATIVO'!B151</f>
        <v>APSB</v>
      </c>
      <c r="C151" s="1547"/>
      <c r="D151" s="1550"/>
      <c r="E151" s="1550"/>
      <c r="F151" s="1550"/>
      <c r="G151" s="1550"/>
      <c r="H151" s="1550"/>
      <c r="I151" s="395">
        <f>'PLAN INDICATIVO'!I151</f>
        <v>0</v>
      </c>
      <c r="J151" s="395">
        <f>'PLAN INDICATIVO'!J151</f>
        <v>0</v>
      </c>
      <c r="K151" s="1426" t="str">
        <f>'PLAN INDICATIVO'!K151</f>
        <v>A.3.3.7</v>
      </c>
      <c r="L151" s="1426" t="str">
        <f>'PLAN INDICATIVO'!L151</f>
        <v>6. Agua limplia y saneamiento</v>
      </c>
      <c r="M151" s="1426" t="str">
        <f>'PLAN INDICATIVO'!M151</f>
        <v>EMSERPLA</v>
      </c>
      <c r="N151" s="1426" t="str">
        <f>'PLAN INDICATIVO'!N151</f>
        <v>MARIO MONTILLA CABRERA</v>
      </c>
      <c r="O151" s="1426" t="str">
        <f>'PLAN INDICATIVO'!O151</f>
        <v>Incremento</v>
      </c>
      <c r="P151" s="1231" t="str">
        <f>'PLAN INDICATIVO'!P151</f>
        <v>Gestionar  esfuerzos con entidades públicas o privadas para formulación de un proyecto de  1 relleno sanitario regional en el occidente del Huila, durante el cuatrienio</v>
      </c>
      <c r="Q151" s="350" t="str">
        <f>'PLAN INDICATIVO'!Q151</f>
        <v>No. De proyecto gestionado</v>
      </c>
      <c r="R151" s="397">
        <f>'PLAN INDICATIVO'!R151</f>
        <v>2015</v>
      </c>
      <c r="S151" s="1433">
        <v>0</v>
      </c>
      <c r="T151" s="682">
        <v>1</v>
      </c>
      <c r="U151" s="1433">
        <v>1</v>
      </c>
      <c r="V151" s="687">
        <v>49000000</v>
      </c>
      <c r="W151" s="1433">
        <v>1</v>
      </c>
      <c r="X151" s="687">
        <v>10000000</v>
      </c>
      <c r="Y151" s="1433"/>
      <c r="Z151" s="687">
        <v>9000000</v>
      </c>
      <c r="AA151" s="418">
        <v>1</v>
      </c>
      <c r="AB151" s="687">
        <v>9320000</v>
      </c>
      <c r="AC151" s="668"/>
      <c r="AD151" s="668"/>
      <c r="AE151" s="668"/>
      <c r="AF151" s="668"/>
      <c r="AG151" s="338" t="s">
        <v>4110</v>
      </c>
      <c r="AH151" s="987">
        <v>2018413960026</v>
      </c>
      <c r="AI151" s="456"/>
      <c r="AJ151" s="457"/>
      <c r="AK151" s="457"/>
      <c r="AL151" s="457"/>
      <c r="AM151" s="457"/>
      <c r="AN151" s="436" t="s">
        <v>2594</v>
      </c>
      <c r="AO151" s="636"/>
      <c r="AP151" s="730"/>
      <c r="AQ151" s="730"/>
      <c r="AR151" s="730"/>
      <c r="AS151" s="730"/>
      <c r="AT151" s="730"/>
      <c r="AU151" s="730"/>
      <c r="AV151" s="730"/>
      <c r="AW151" s="730"/>
      <c r="AX151" s="637"/>
      <c r="AY151" s="638"/>
      <c r="AZ151" s="638"/>
      <c r="BA151" s="638"/>
      <c r="BB151" s="638"/>
      <c r="BC151" s="638"/>
      <c r="BD151" s="638"/>
      <c r="BE151" s="625">
        <f t="shared" si="101"/>
        <v>0</v>
      </c>
      <c r="BF151" s="637"/>
      <c r="BG151" s="638"/>
      <c r="BH151" s="638"/>
      <c r="BI151" s="638"/>
      <c r="BJ151" s="638"/>
      <c r="BK151" s="638"/>
      <c r="BL151" s="638"/>
      <c r="BM151" s="625">
        <f t="shared" si="102"/>
        <v>0</v>
      </c>
      <c r="BN151" s="637"/>
      <c r="BO151" s="638"/>
      <c r="BP151" s="638"/>
      <c r="BQ151" s="638"/>
      <c r="BR151" s="638"/>
      <c r="BS151" s="638"/>
      <c r="BT151" s="638"/>
      <c r="BU151" s="625">
        <f t="shared" si="103"/>
        <v>0</v>
      </c>
      <c r="BV151" s="556"/>
      <c r="BW151" s="663">
        <f t="shared" si="91"/>
        <v>0</v>
      </c>
      <c r="BX151" s="1047">
        <f t="shared" si="95"/>
        <v>0</v>
      </c>
      <c r="BY151" s="1047">
        <f t="shared" si="96"/>
        <v>0</v>
      </c>
      <c r="BZ151" s="1047">
        <f t="shared" si="97"/>
        <v>0</v>
      </c>
      <c r="CA151" s="1047" t="str">
        <f t="shared" si="98"/>
        <v>No Programada</v>
      </c>
      <c r="CB151" s="1047">
        <f t="shared" si="99"/>
        <v>0</v>
      </c>
      <c r="CD151" t="str">
        <f t="shared" si="100"/>
        <v>ROB</v>
      </c>
      <c r="CE151" t="str">
        <f t="shared" si="100"/>
        <v>ROB</v>
      </c>
      <c r="CF151" t="str">
        <f t="shared" si="100"/>
        <v>NP</v>
      </c>
      <c r="CG151" t="str">
        <f t="shared" si="100"/>
        <v>ROB</v>
      </c>
    </row>
    <row r="152" spans="1:85" ht="64.5" hidden="1" customHeight="1" thickBot="1" x14ac:dyDescent="0.3">
      <c r="A152" s="428"/>
      <c r="B152" s="439" t="str">
        <f>'PLAN INDICATIVO'!B152</f>
        <v>Atención a grupos vulnerables - promoción social</v>
      </c>
      <c r="C152" s="1635" t="s">
        <v>2733</v>
      </c>
      <c r="D152" s="1609"/>
      <c r="E152" s="1609"/>
      <c r="F152" s="1609"/>
      <c r="G152" s="1609"/>
      <c r="H152" s="1609"/>
      <c r="I152" s="1609"/>
      <c r="J152" s="1609"/>
      <c r="K152" s="1609"/>
      <c r="L152" s="1609"/>
      <c r="M152" s="1609"/>
      <c r="N152" s="1609"/>
      <c r="O152" s="1609"/>
      <c r="P152" s="1609"/>
      <c r="Q152" s="1609"/>
      <c r="R152" s="1609"/>
      <c r="S152" s="1609"/>
      <c r="T152" s="1609"/>
      <c r="U152" s="1609"/>
      <c r="V152" s="1609"/>
      <c r="W152" s="1609"/>
      <c r="X152" s="1609"/>
      <c r="Y152" s="1609"/>
      <c r="Z152" s="1609"/>
      <c r="AA152" s="1609"/>
      <c r="AB152" s="1609"/>
      <c r="AC152" s="1609"/>
      <c r="AD152" s="1609"/>
      <c r="AE152" s="1609"/>
      <c r="AF152" s="1609"/>
      <c r="AG152" s="1609"/>
      <c r="AH152" s="1609"/>
      <c r="AI152" s="1609"/>
      <c r="AJ152" s="1609"/>
      <c r="AK152" s="1609"/>
      <c r="AL152" s="1609"/>
      <c r="AM152" s="1610"/>
      <c r="AN152" s="640"/>
      <c r="AO152" s="626"/>
      <c r="AP152" s="627"/>
      <c r="AQ152" s="628"/>
      <c r="AR152" s="628"/>
      <c r="AS152" s="628"/>
      <c r="AT152" s="628"/>
      <c r="AU152" s="628"/>
      <c r="AV152" s="628"/>
      <c r="AW152" s="634"/>
      <c r="AX152" s="627"/>
      <c r="AY152" s="628"/>
      <c r="AZ152" s="628"/>
      <c r="BA152" s="628"/>
      <c r="BB152" s="628"/>
      <c r="BC152" s="628"/>
      <c r="BD152" s="628"/>
      <c r="BE152" s="634">
        <f t="shared" si="101"/>
        <v>0</v>
      </c>
      <c r="BF152" s="627"/>
      <c r="BG152" s="628"/>
      <c r="BH152" s="628"/>
      <c r="BI152" s="628"/>
      <c r="BJ152" s="628"/>
      <c r="BK152" s="628"/>
      <c r="BL152" s="628"/>
      <c r="BM152" s="634">
        <f t="shared" si="102"/>
        <v>0</v>
      </c>
      <c r="BN152" s="627"/>
      <c r="BO152" s="628"/>
      <c r="BP152" s="628"/>
      <c r="BQ152" s="628"/>
      <c r="BR152" s="628"/>
      <c r="BS152" s="628"/>
      <c r="BT152" s="628"/>
      <c r="BU152" s="634">
        <f t="shared" si="103"/>
        <v>0</v>
      </c>
      <c r="BV152" s="652"/>
      <c r="BW152" s="634" t="s">
        <v>2717</v>
      </c>
      <c r="BX152" s="634" t="s">
        <v>2717</v>
      </c>
      <c r="BY152" s="634" t="s">
        <v>2717</v>
      </c>
      <c r="BZ152" s="634" t="s">
        <v>2717</v>
      </c>
      <c r="CA152" s="634" t="s">
        <v>2717</v>
      </c>
      <c r="CB152" s="1047" t="s">
        <v>2717</v>
      </c>
      <c r="CD152" t="str">
        <f>IF(BY152="PARA MODIFICAR","M",IF(BY152="PARA ELIMINAR","E",IF(BY152="aplazada","AZ",IF(BY152="no programada","NP",IF(BY152&gt;=85%,"VE",IF(BY152&gt;70%,"VEB",IF(BY152&gt;60%,"AM",IF(BY152&gt;20%,"RO",IF(BY152&gt;40%,"AMB",IF(BY152&gt;=0%,"ROB",""))))))))))</f>
        <v>VE</v>
      </c>
    </row>
    <row r="153" spans="1:85" ht="63.75" hidden="1" customHeight="1" x14ac:dyDescent="0.25">
      <c r="A153" s="391"/>
      <c r="B153" s="331" t="str">
        <f>'PLAN INDICATIVO'!B153</f>
        <v>Atención a grupos vulnerables - promoción social</v>
      </c>
      <c r="C153" s="1611" t="s">
        <v>2734</v>
      </c>
      <c r="D153" s="1612"/>
      <c r="E153" s="1612"/>
      <c r="F153" s="1612"/>
      <c r="G153" s="1612"/>
      <c r="H153" s="1612"/>
      <c r="I153" s="1612"/>
      <c r="J153" s="1612"/>
      <c r="K153" s="1612"/>
      <c r="L153" s="1612"/>
      <c r="M153" s="1612"/>
      <c r="N153" s="1612"/>
      <c r="O153" s="1612"/>
      <c r="P153" s="1613"/>
      <c r="Q153" s="318"/>
      <c r="R153" s="317"/>
      <c r="S153" s="319"/>
      <c r="T153" s="676"/>
      <c r="U153" s="319"/>
      <c r="V153" s="695">
        <f>SUM(V154:V177)</f>
        <v>95200000</v>
      </c>
      <c r="W153" s="319"/>
      <c r="X153" s="695">
        <f>SUM(X154:X177)</f>
        <v>95570000</v>
      </c>
      <c r="Y153" s="319"/>
      <c r="Z153" s="695">
        <f>SUM(Z154:Z177)</f>
        <v>98840000</v>
      </c>
      <c r="AA153" s="319"/>
      <c r="AB153" s="695">
        <f>SUM(AB154:AB177)</f>
        <v>102300000</v>
      </c>
      <c r="AC153" s="319"/>
      <c r="AD153" s="319"/>
      <c r="AE153" s="319"/>
      <c r="AF153" s="319"/>
      <c r="AG153" s="458"/>
      <c r="AH153" s="458"/>
      <c r="AI153" s="458"/>
      <c r="AJ153" s="319"/>
      <c r="AK153" s="319"/>
      <c r="AL153" s="319"/>
      <c r="AM153" s="319"/>
      <c r="AN153" s="319"/>
      <c r="AO153" s="639"/>
      <c r="AP153" s="631"/>
      <c r="AQ153" s="631"/>
      <c r="AR153" s="631"/>
      <c r="AS153" s="631"/>
      <c r="AT153" s="631"/>
      <c r="AU153" s="631"/>
      <c r="AV153" s="631"/>
      <c r="AW153" s="617"/>
      <c r="AX153" s="631" t="e">
        <f>(AX154:AX177)</f>
        <v>#VALUE!</v>
      </c>
      <c r="AY153" s="631" t="e">
        <f t="shared" ref="AY153:BD153" si="104">(AY154:AY177)</f>
        <v>#VALUE!</v>
      </c>
      <c r="AZ153" s="631" t="e">
        <f t="shared" si="104"/>
        <v>#VALUE!</v>
      </c>
      <c r="BA153" s="631" t="e">
        <f t="shared" si="104"/>
        <v>#VALUE!</v>
      </c>
      <c r="BB153" s="631" t="e">
        <f t="shared" si="104"/>
        <v>#VALUE!</v>
      </c>
      <c r="BC153" s="631" t="e">
        <f t="shared" si="104"/>
        <v>#VALUE!</v>
      </c>
      <c r="BD153" s="631" t="e">
        <f t="shared" si="104"/>
        <v>#VALUE!</v>
      </c>
      <c r="BE153" s="617" t="e">
        <f t="shared" si="101"/>
        <v>#VALUE!</v>
      </c>
      <c r="BF153" s="631"/>
      <c r="BG153" s="631"/>
      <c r="BH153" s="631"/>
      <c r="BI153" s="631"/>
      <c r="BJ153" s="631"/>
      <c r="BK153" s="631"/>
      <c r="BL153" s="631"/>
      <c r="BM153" s="617">
        <f t="shared" si="102"/>
        <v>0</v>
      </c>
      <c r="BN153" s="631" t="e">
        <f>(BN154:BN177)</f>
        <v>#VALUE!</v>
      </c>
      <c r="BO153" s="631" t="e">
        <f t="shared" ref="BO153:BT153" si="105">(BO154:BO177)</f>
        <v>#VALUE!</v>
      </c>
      <c r="BP153" s="631" t="e">
        <f t="shared" si="105"/>
        <v>#VALUE!</v>
      </c>
      <c r="BQ153" s="631" t="e">
        <f t="shared" si="105"/>
        <v>#VALUE!</v>
      </c>
      <c r="BR153" s="631" t="e">
        <f t="shared" si="105"/>
        <v>#VALUE!</v>
      </c>
      <c r="BS153" s="631" t="e">
        <f t="shared" si="105"/>
        <v>#VALUE!</v>
      </c>
      <c r="BT153" s="631" t="e">
        <f t="shared" si="105"/>
        <v>#VALUE!</v>
      </c>
      <c r="BU153" s="617" t="e">
        <f t="shared" si="103"/>
        <v>#VALUE!</v>
      </c>
      <c r="BV153" s="556"/>
      <c r="BW153" s="617" t="s">
        <v>2717</v>
      </c>
      <c r="BX153" s="617" t="s">
        <v>2717</v>
      </c>
      <c r="BY153" s="617" t="s">
        <v>2717</v>
      </c>
      <c r="BZ153" s="617" t="s">
        <v>2717</v>
      </c>
      <c r="CA153" s="617" t="s">
        <v>2717</v>
      </c>
      <c r="CB153" s="1047" t="s">
        <v>2717</v>
      </c>
      <c r="CD153" t="str">
        <f>IF(BY153="PARA MODIFICAR","M",IF(BY153="PARA ELIMINAR","E",IF(BY153="aplazada","AZ",IF(BY153="no programada","NP",IF(BY153&gt;=85%,"VE",IF(BY153&gt;70%,"VEB",IF(BY153&gt;60%,"AM",IF(BY153&gt;20%,"RO",IF(BY153&gt;40%,"AMB",IF(BY153&gt;=0%,"ROB",""))))))))))</f>
        <v>VE</v>
      </c>
    </row>
    <row r="154" spans="1:85" ht="81" hidden="1" customHeight="1" x14ac:dyDescent="0.25">
      <c r="A154" s="298" t="s">
        <v>491</v>
      </c>
      <c r="B154" s="299" t="str">
        <f>'PLAN INDICATIVO'!B154</f>
        <v>Atención a grupos vulnerables - promoción social</v>
      </c>
      <c r="C154" s="1546" t="s">
        <v>492</v>
      </c>
      <c r="D154" s="1550" t="s">
        <v>493</v>
      </c>
      <c r="E154" s="1550" t="s">
        <v>494</v>
      </c>
      <c r="F154" s="1550">
        <v>2015</v>
      </c>
      <c r="G154" s="1550" t="s">
        <v>177</v>
      </c>
      <c r="H154" s="1550">
        <v>50</v>
      </c>
      <c r="I154" s="300">
        <f>'PLAN INDICATIVO'!I154</f>
        <v>0</v>
      </c>
      <c r="J154" s="300">
        <f>'PLAN INDICATIVO'!J154</f>
        <v>0</v>
      </c>
      <c r="K154" s="1425" t="str">
        <f>'PLAN INDICATIVO'!K154</f>
        <v>A.14.1.1</v>
      </c>
      <c r="L154" s="1425" t="str">
        <f>'PLAN INDICATIVO'!L154</f>
        <v>10. Reducción de las desigualdades</v>
      </c>
      <c r="M154" s="1425" t="s">
        <v>2735</v>
      </c>
      <c r="N154" s="1425" t="s">
        <v>2736</v>
      </c>
      <c r="O154" s="1425" t="str">
        <f>'PLAN INDICATIVO'!O154</f>
        <v>Mantenimiento</v>
      </c>
      <c r="P154" s="16" t="str">
        <f>'PLAN INDICATIVO'!P154</f>
        <v>Realizar 4 campañas anuales para incentivar la asistencia a controles de crecimiento y desarrollo de la población infantil.</v>
      </c>
      <c r="Q154" s="302" t="str">
        <f>'PLAN INDICATIVO'!Q154</f>
        <v>No. De Campañas implementadas por año</v>
      </c>
      <c r="R154" s="303">
        <f>'PLAN INDICATIVO'!R154</f>
        <v>2015</v>
      </c>
      <c r="S154" s="304">
        <v>0</v>
      </c>
      <c r="T154" s="677">
        <v>16</v>
      </c>
      <c r="U154" s="303">
        <v>4</v>
      </c>
      <c r="V154" s="687">
        <v>3000000</v>
      </c>
      <c r="W154" s="303">
        <v>4</v>
      </c>
      <c r="X154" s="687">
        <v>1000000</v>
      </c>
      <c r="Y154" s="286">
        <v>4</v>
      </c>
      <c r="Z154" s="687">
        <v>1000000</v>
      </c>
      <c r="AA154" s="291">
        <v>4</v>
      </c>
      <c r="AB154" s="687">
        <v>1000000</v>
      </c>
      <c r="AC154" s="669">
        <f>1+1+1+1</f>
        <v>4</v>
      </c>
      <c r="AD154" s="669">
        <v>4</v>
      </c>
      <c r="AE154" s="669">
        <v>4</v>
      </c>
      <c r="AF154" s="669"/>
      <c r="AG154" s="752" t="s">
        <v>3581</v>
      </c>
      <c r="AH154" s="1001">
        <v>2017413960012</v>
      </c>
      <c r="AI154" s="985" t="s">
        <v>4830</v>
      </c>
      <c r="AJ154" s="363">
        <v>43133</v>
      </c>
      <c r="AK154" s="363">
        <v>43434</v>
      </c>
      <c r="AL154" s="357"/>
      <c r="AM154" s="358"/>
      <c r="AN154" s="267" t="s">
        <v>2598</v>
      </c>
      <c r="AO154" s="997" t="s">
        <v>5021</v>
      </c>
      <c r="AP154" s="525"/>
      <c r="AQ154" s="721"/>
      <c r="AR154" s="310"/>
      <c r="AS154" s="310"/>
      <c r="AT154" s="310"/>
      <c r="AU154" s="310"/>
      <c r="AV154" s="310"/>
      <c r="AW154" s="544">
        <f>AP154+AQ154+AR154+AS154+AT154+AU154+AV154</f>
        <v>0</v>
      </c>
      <c r="AX154" s="525"/>
      <c r="AY154" s="310"/>
      <c r="AZ154" s="310"/>
      <c r="BA154" s="310"/>
      <c r="BB154" s="310"/>
      <c r="BC154" s="310"/>
      <c r="BD154" s="310"/>
      <c r="BE154" s="544">
        <f t="shared" si="101"/>
        <v>0</v>
      </c>
      <c r="BF154" s="525">
        <v>4962150</v>
      </c>
      <c r="BG154" s="310"/>
      <c r="BH154" s="310"/>
      <c r="BI154" s="310"/>
      <c r="BJ154" s="310"/>
      <c r="BK154" s="310"/>
      <c r="BL154" s="310"/>
      <c r="BM154" s="544">
        <f t="shared" si="102"/>
        <v>4962150</v>
      </c>
      <c r="BN154" s="525"/>
      <c r="BO154" s="310"/>
      <c r="BP154" s="310"/>
      <c r="BQ154" s="310"/>
      <c r="BR154" s="310"/>
      <c r="BS154" s="310"/>
      <c r="BT154" s="310"/>
      <c r="BU154" s="544">
        <f t="shared" si="103"/>
        <v>0</v>
      </c>
      <c r="BV154" s="556"/>
      <c r="BW154" s="663">
        <f t="shared" si="91"/>
        <v>12</v>
      </c>
      <c r="BX154" s="1047">
        <f t="shared" si="95"/>
        <v>0.75</v>
      </c>
      <c r="BY154" s="1047">
        <f t="shared" ref="BY154:BY177" si="106">IF(U154&gt;=0.1,AC154/U154,IF(ISBLANK(U154),"No Programada","Aplazada"))</f>
        <v>1</v>
      </c>
      <c r="BZ154" s="1047">
        <f t="shared" ref="BZ154:BZ177" si="107">IF(W154&gt;=0.1,AD154/W154,IF(ISBLANK(W154),"No Programada","Aplazada"))</f>
        <v>1</v>
      </c>
      <c r="CA154" s="1047">
        <f t="shared" ref="CA154:CA177" si="108">IF(Y154&gt;=0.1,AE154/Y154,IF(ISBLANK(Y154),"No Programada","Aplazada"))</f>
        <v>1</v>
      </c>
      <c r="CB154" s="1047">
        <f t="shared" ref="CB154:CB177" si="109">IF(AA154&gt;=0.1,AF154/AA154,IF(ISBLANK(AA154),"No Programada","Aplazada"))</f>
        <v>0</v>
      </c>
      <c r="CD154" t="str">
        <f t="shared" ref="CD154:CG177" si="110">IF(BY154="PARA MODIFICAR","M",IF(BY154="PARA ELIMINAR","E",IF(BY154="aplazada","AZ",IF(BY154="no programada","NP",IF(BY154&gt;=85%,"VE",IF(BY154&gt;70%,"VEB",IF(BY154&gt;60%,"AM",IF(BY154&gt;40%,"AMB",IF(BY154&gt;20%,"RO",IF(BY154&gt;=0%,"ROB",""))))))))))</f>
        <v>VE</v>
      </c>
      <c r="CE154" t="str">
        <f t="shared" si="110"/>
        <v>VE</v>
      </c>
      <c r="CF154" t="str">
        <f t="shared" si="110"/>
        <v>VE</v>
      </c>
      <c r="CG154" t="str">
        <f t="shared" si="110"/>
        <v>ROB</v>
      </c>
    </row>
    <row r="155" spans="1:85" ht="67.5" hidden="1" customHeight="1" x14ac:dyDescent="0.25">
      <c r="A155" s="298" t="s">
        <v>491</v>
      </c>
      <c r="B155" s="299" t="str">
        <f>'PLAN INDICATIVO'!B155</f>
        <v>Atención a grupos vulnerables - promoción social</v>
      </c>
      <c r="C155" s="1547"/>
      <c r="D155" s="1551"/>
      <c r="E155" s="1551"/>
      <c r="F155" s="1551"/>
      <c r="G155" s="1551"/>
      <c r="H155" s="1551"/>
      <c r="I155" s="300">
        <f>'PLAN INDICATIVO'!I155</f>
        <v>0</v>
      </c>
      <c r="J155" s="300">
        <f>'PLAN INDICATIVO'!J155</f>
        <v>0</v>
      </c>
      <c r="K155" s="1425" t="str">
        <f>'PLAN INDICATIVO'!K155</f>
        <v>A.14.1.2</v>
      </c>
      <c r="L155" s="1425" t="str">
        <f>'PLAN INDICATIVO'!L155</f>
        <v>10. Reducción de las desigualdades</v>
      </c>
      <c r="M155" s="1425" t="s">
        <v>2735</v>
      </c>
      <c r="N155" s="1425" t="s">
        <v>2736</v>
      </c>
      <c r="O155" s="1425" t="str">
        <f>'PLAN INDICATIVO'!O155</f>
        <v>Mantenimiento</v>
      </c>
      <c r="P155" s="16" t="str">
        <f>'PLAN INDICATIVO'!P155</f>
        <v>Implementar 1 política de infancia y adolescencia durante el cuatrienio</v>
      </c>
      <c r="Q155" s="302" t="str">
        <f>'PLAN INDICATIVO'!Q155</f>
        <v>No. De Política de infancia implementada</v>
      </c>
      <c r="R155" s="303">
        <f>'PLAN INDICATIVO'!R155</f>
        <v>2015</v>
      </c>
      <c r="S155" s="304">
        <v>0</v>
      </c>
      <c r="T155" s="677">
        <v>1</v>
      </c>
      <c r="U155" s="303">
        <v>1</v>
      </c>
      <c r="V155" s="687">
        <v>200000</v>
      </c>
      <c r="W155" s="303">
        <v>1</v>
      </c>
      <c r="X155" s="687">
        <v>500000</v>
      </c>
      <c r="Y155" s="286">
        <v>0.3</v>
      </c>
      <c r="Z155" s="687">
        <v>500000</v>
      </c>
      <c r="AA155" s="291">
        <v>0.3</v>
      </c>
      <c r="AB155" s="687">
        <v>20000000</v>
      </c>
      <c r="AC155" s="669"/>
      <c r="AD155" s="669">
        <v>0.4</v>
      </c>
      <c r="AE155" s="669">
        <v>0.3</v>
      </c>
      <c r="AF155" s="669"/>
      <c r="AG155" s="752" t="s">
        <v>3581</v>
      </c>
      <c r="AH155" s="1001">
        <v>2017413960012</v>
      </c>
      <c r="AI155" s="985" t="s">
        <v>5011</v>
      </c>
      <c r="AJ155" s="363">
        <v>43133</v>
      </c>
      <c r="AK155" s="363">
        <v>43434</v>
      </c>
      <c r="AL155" s="360"/>
      <c r="AM155" s="360"/>
      <c r="AN155" s="267" t="s">
        <v>2598</v>
      </c>
      <c r="AO155" s="997" t="s">
        <v>5022</v>
      </c>
      <c r="AP155" s="525"/>
      <c r="AQ155" s="310"/>
      <c r="AR155" s="310"/>
      <c r="AS155" s="310"/>
      <c r="AT155" s="310"/>
      <c r="AU155" s="310"/>
      <c r="AV155" s="310"/>
      <c r="AW155" s="544">
        <f t="shared" ref="AW155:AW177" si="111">SUM(AP155:AV155)</f>
        <v>0</v>
      </c>
      <c r="AX155" s="531"/>
      <c r="AY155" s="310"/>
      <c r="AZ155" s="310"/>
      <c r="BA155" s="310"/>
      <c r="BB155" s="310"/>
      <c r="BC155" s="310"/>
      <c r="BD155" s="310"/>
      <c r="BE155" s="544">
        <f t="shared" si="101"/>
        <v>0</v>
      </c>
      <c r="BF155" s="531"/>
      <c r="BG155" s="310">
        <v>9945000</v>
      </c>
      <c r="BH155" s="310"/>
      <c r="BI155" s="310"/>
      <c r="BJ155" s="310"/>
      <c r="BK155" s="310"/>
      <c r="BL155" s="310"/>
      <c r="BM155" s="544">
        <f t="shared" si="102"/>
        <v>9945000</v>
      </c>
      <c r="BN155" s="531"/>
      <c r="BO155" s="310"/>
      <c r="BP155" s="310"/>
      <c r="BQ155" s="310"/>
      <c r="BR155" s="310"/>
      <c r="BS155" s="310"/>
      <c r="BT155" s="310"/>
      <c r="BU155" s="544">
        <f t="shared" si="103"/>
        <v>0</v>
      </c>
      <c r="BV155" s="556"/>
      <c r="BW155" s="663">
        <f t="shared" si="91"/>
        <v>0.7</v>
      </c>
      <c r="BX155" s="1047">
        <f t="shared" si="95"/>
        <v>0.7</v>
      </c>
      <c r="BY155" s="1047">
        <f t="shared" si="106"/>
        <v>0</v>
      </c>
      <c r="BZ155" s="1047">
        <f t="shared" si="107"/>
        <v>0.4</v>
      </c>
      <c r="CA155" s="1047">
        <f t="shared" si="108"/>
        <v>1</v>
      </c>
      <c r="CB155" s="1047">
        <f t="shared" si="109"/>
        <v>0</v>
      </c>
      <c r="CD155" t="str">
        <f t="shared" si="110"/>
        <v>ROB</v>
      </c>
      <c r="CE155" t="str">
        <f t="shared" si="110"/>
        <v>RO</v>
      </c>
      <c r="CF155" t="str">
        <f t="shared" si="110"/>
        <v>VE</v>
      </c>
      <c r="CG155" t="str">
        <f t="shared" si="110"/>
        <v>ROB</v>
      </c>
    </row>
    <row r="156" spans="1:85" ht="80.25" hidden="1" customHeight="1" x14ac:dyDescent="0.25">
      <c r="A156" s="298" t="s">
        <v>491</v>
      </c>
      <c r="B156" s="299" t="str">
        <f>'PLAN INDICATIVO'!B156</f>
        <v>Atención a grupos vulnerables - promoción social</v>
      </c>
      <c r="C156" s="1547"/>
      <c r="D156" s="1551"/>
      <c r="E156" s="1551"/>
      <c r="F156" s="1551"/>
      <c r="G156" s="1551"/>
      <c r="H156" s="1551"/>
      <c r="I156" s="300">
        <f>'PLAN INDICATIVO'!I156</f>
        <v>0</v>
      </c>
      <c r="J156" s="300">
        <f>'PLAN INDICATIVO'!J156</f>
        <v>0</v>
      </c>
      <c r="K156" s="1425" t="str">
        <f>'PLAN INDICATIVO'!K156</f>
        <v>A.14.1.3</v>
      </c>
      <c r="L156" s="1425" t="str">
        <f>'PLAN INDICATIVO'!L156</f>
        <v>10. Reducción de las desigualdades</v>
      </c>
      <c r="M156" s="1425" t="s">
        <v>2735</v>
      </c>
      <c r="N156" s="1425" t="s">
        <v>2736</v>
      </c>
      <c r="O156" s="1425" t="str">
        <f>'PLAN INDICATIVO'!O156</f>
        <v>Mantenimiento</v>
      </c>
      <c r="P156" s="16" t="str">
        <f>'PLAN INDICATIVO'!P156</f>
        <v>Crear 1 mesa intersectorial de primera infancia, infancia y adolescencia del municipio y lograr su operativización cada año</v>
      </c>
      <c r="Q156" s="302" t="str">
        <f>'PLAN INDICATIVO'!Q156</f>
        <v>Mesa intersectorial creada y funcionando por año</v>
      </c>
      <c r="R156" s="303">
        <f>'PLAN INDICATIVO'!R156</f>
        <v>2015</v>
      </c>
      <c r="S156" s="304">
        <v>1</v>
      </c>
      <c r="T156" s="677">
        <v>4</v>
      </c>
      <c r="U156" s="303">
        <v>1</v>
      </c>
      <c r="V156" s="687">
        <v>100000</v>
      </c>
      <c r="W156" s="303">
        <v>1</v>
      </c>
      <c r="X156" s="687">
        <v>500000</v>
      </c>
      <c r="Y156" s="286">
        <v>1</v>
      </c>
      <c r="Z156" s="687">
        <v>500000</v>
      </c>
      <c r="AA156" s="291">
        <v>1</v>
      </c>
      <c r="AB156" s="687">
        <v>500000</v>
      </c>
      <c r="AC156" s="669">
        <v>1</v>
      </c>
      <c r="AD156" s="669">
        <v>1</v>
      </c>
      <c r="AE156" s="669">
        <v>1</v>
      </c>
      <c r="AF156" s="669"/>
      <c r="AG156" s="752" t="s">
        <v>3581</v>
      </c>
      <c r="AH156" s="1001">
        <v>2017413960012</v>
      </c>
      <c r="AI156" s="985" t="s">
        <v>5012</v>
      </c>
      <c r="AJ156" s="363">
        <v>43110</v>
      </c>
      <c r="AK156" s="363">
        <v>43434</v>
      </c>
      <c r="AL156" s="357"/>
      <c r="AM156" s="358"/>
      <c r="AN156" s="267" t="s">
        <v>2598</v>
      </c>
      <c r="AO156" s="512" t="s">
        <v>2742</v>
      </c>
      <c r="AP156" s="525"/>
      <c r="AQ156" s="721"/>
      <c r="AR156" s="310"/>
      <c r="AS156" s="310"/>
      <c r="AT156" s="310"/>
      <c r="AU156" s="310"/>
      <c r="AV156" s="310"/>
      <c r="AW156" s="544">
        <f>AP156+AQ156+AR156+AS156+AT156+AU156+AV156</f>
        <v>0</v>
      </c>
      <c r="AX156" s="753"/>
      <c r="AY156" s="754"/>
      <c r="AZ156" s="754"/>
      <c r="BA156" s="754"/>
      <c r="BB156" s="754"/>
      <c r="BC156" s="754"/>
      <c r="BD156" s="754"/>
      <c r="BE156" s="755">
        <f t="shared" si="101"/>
        <v>0</v>
      </c>
      <c r="BF156" s="525"/>
      <c r="BG156" s="310">
        <v>3640000</v>
      </c>
      <c r="BH156" s="310"/>
      <c r="BI156" s="310"/>
      <c r="BJ156" s="310"/>
      <c r="BK156" s="310"/>
      <c r="BL156" s="310"/>
      <c r="BM156" s="544">
        <f t="shared" si="102"/>
        <v>3640000</v>
      </c>
      <c r="BN156" s="753"/>
      <c r="BO156" s="754"/>
      <c r="BP156" s="754"/>
      <c r="BQ156" s="754"/>
      <c r="BR156" s="754"/>
      <c r="BS156" s="754"/>
      <c r="BT156" s="754"/>
      <c r="BU156" s="544">
        <f t="shared" si="103"/>
        <v>0</v>
      </c>
      <c r="BV156" s="556"/>
      <c r="BW156" s="663">
        <f t="shared" si="91"/>
        <v>3</v>
      </c>
      <c r="BX156" s="1047">
        <f t="shared" si="95"/>
        <v>0.75</v>
      </c>
      <c r="BY156" s="1047">
        <f t="shared" si="106"/>
        <v>1</v>
      </c>
      <c r="BZ156" s="1047">
        <f t="shared" si="107"/>
        <v>1</v>
      </c>
      <c r="CA156" s="1047">
        <f t="shared" si="108"/>
        <v>1</v>
      </c>
      <c r="CB156" s="1047">
        <f t="shared" si="109"/>
        <v>0</v>
      </c>
      <c r="CD156" t="str">
        <f t="shared" si="110"/>
        <v>VE</v>
      </c>
      <c r="CE156" t="str">
        <f t="shared" si="110"/>
        <v>VE</v>
      </c>
      <c r="CF156" t="str">
        <f t="shared" si="110"/>
        <v>VE</v>
      </c>
      <c r="CG156" t="str">
        <f t="shared" si="110"/>
        <v>ROB</v>
      </c>
    </row>
    <row r="157" spans="1:85" ht="75" hidden="1" customHeight="1" x14ac:dyDescent="0.25">
      <c r="A157" s="298" t="s">
        <v>491</v>
      </c>
      <c r="B157" s="299" t="str">
        <f>'PLAN INDICATIVO'!B157</f>
        <v>Atención a grupos vulnerables - promoción social</v>
      </c>
      <c r="C157" s="1547"/>
      <c r="D157" s="1551"/>
      <c r="E157" s="1551"/>
      <c r="F157" s="1551"/>
      <c r="G157" s="1551"/>
      <c r="H157" s="1551"/>
      <c r="I157" s="300">
        <f>'PLAN INDICATIVO'!I157</f>
        <v>0</v>
      </c>
      <c r="J157" s="300">
        <f>'PLAN INDICATIVO'!J157</f>
        <v>0</v>
      </c>
      <c r="K157" s="1425" t="str">
        <f>'PLAN INDICATIVO'!K157</f>
        <v>A.14.1.4</v>
      </c>
      <c r="L157" s="1425" t="str">
        <f>'PLAN INDICATIVO'!L157</f>
        <v>10. Reducción de las desigualdades</v>
      </c>
      <c r="M157" s="1425" t="s">
        <v>2735</v>
      </c>
      <c r="N157" s="1425" t="s">
        <v>2736</v>
      </c>
      <c r="O157" s="1425" t="str">
        <f>'PLAN INDICATIVO'!O157</f>
        <v>Mantenimiento</v>
      </c>
      <c r="P157" s="16" t="str">
        <f>'PLAN INDICATIVO'!P157</f>
        <v>Mantener en funcionamiento 1 hogar de paso modalidad familiar cada año</v>
      </c>
      <c r="Q157" s="302" t="str">
        <f>'PLAN INDICATIVO'!Q157</f>
        <v>No. De Hogar de paso en funcionamiento por año</v>
      </c>
      <c r="R157" s="303">
        <f>'PLAN INDICATIVO'!R157</f>
        <v>2015</v>
      </c>
      <c r="S157" s="304">
        <v>1</v>
      </c>
      <c r="T157" s="677">
        <v>1</v>
      </c>
      <c r="U157" s="303">
        <v>1</v>
      </c>
      <c r="V157" s="687">
        <v>21000000</v>
      </c>
      <c r="W157" s="303">
        <v>1</v>
      </c>
      <c r="X157" s="687">
        <v>10330000</v>
      </c>
      <c r="Y157" s="286">
        <v>1</v>
      </c>
      <c r="Z157" s="687">
        <v>10240000</v>
      </c>
      <c r="AA157" s="291">
        <v>1</v>
      </c>
      <c r="AB157" s="687">
        <v>8500000</v>
      </c>
      <c r="AC157" s="669">
        <v>1</v>
      </c>
      <c r="AD157" s="669">
        <v>1</v>
      </c>
      <c r="AE157" s="669">
        <v>1</v>
      </c>
      <c r="AF157" s="669"/>
      <c r="AG157" s="752" t="s">
        <v>3581</v>
      </c>
      <c r="AH157" s="1001">
        <v>2017413960012</v>
      </c>
      <c r="AI157" s="985" t="s">
        <v>4114</v>
      </c>
      <c r="AJ157" s="363">
        <v>43110</v>
      </c>
      <c r="AK157" s="363">
        <v>43434</v>
      </c>
      <c r="AL157" s="358"/>
      <c r="AM157" s="358"/>
      <c r="AN157" s="267" t="s">
        <v>2598</v>
      </c>
      <c r="AO157" s="997" t="s">
        <v>5023</v>
      </c>
      <c r="AP157" s="720"/>
      <c r="AQ157" s="759"/>
      <c r="AR157" s="310"/>
      <c r="AS157" s="310"/>
      <c r="AT157" s="310"/>
      <c r="AU157" s="310"/>
      <c r="AV157" s="310"/>
      <c r="AW157" s="544">
        <f>AP157+AQ157+AR157+AS157+AT157+AU157+AV157</f>
        <v>0</v>
      </c>
      <c r="AX157" s="525"/>
      <c r="AY157" s="310"/>
      <c r="AZ157" s="310"/>
      <c r="BA157" s="310"/>
      <c r="BB157" s="310"/>
      <c r="BC157" s="310"/>
      <c r="BD157" s="310"/>
      <c r="BE157" s="544">
        <f t="shared" si="101"/>
        <v>0</v>
      </c>
      <c r="BF157" s="525"/>
      <c r="BG157" s="310">
        <v>20596750</v>
      </c>
      <c r="BH157" s="310"/>
      <c r="BI157" s="310"/>
      <c r="BJ157" s="310"/>
      <c r="BK157" s="310"/>
      <c r="BL157" s="310"/>
      <c r="BM157" s="544">
        <f t="shared" si="102"/>
        <v>20596750</v>
      </c>
      <c r="BN157" s="525"/>
      <c r="BO157" s="310"/>
      <c r="BP157" s="310"/>
      <c r="BQ157" s="310"/>
      <c r="BR157" s="310"/>
      <c r="BS157" s="310"/>
      <c r="BT157" s="310"/>
      <c r="BU157" s="544">
        <f t="shared" si="103"/>
        <v>0</v>
      </c>
      <c r="BV157" s="556"/>
      <c r="BW157" s="663">
        <f t="shared" si="91"/>
        <v>3</v>
      </c>
      <c r="BX157" s="1047">
        <f t="shared" si="95"/>
        <v>3</v>
      </c>
      <c r="BY157" s="1047">
        <f t="shared" si="106"/>
        <v>1</v>
      </c>
      <c r="BZ157" s="1047">
        <f t="shared" si="107"/>
        <v>1</v>
      </c>
      <c r="CA157" s="1047">
        <f t="shared" si="108"/>
        <v>1</v>
      </c>
      <c r="CB157" s="1047">
        <f t="shared" si="109"/>
        <v>0</v>
      </c>
      <c r="CD157" t="str">
        <f t="shared" si="110"/>
        <v>VE</v>
      </c>
      <c r="CE157" t="str">
        <f t="shared" si="110"/>
        <v>VE</v>
      </c>
      <c r="CF157" t="str">
        <f t="shared" si="110"/>
        <v>VE</v>
      </c>
      <c r="CG157" t="str">
        <f t="shared" si="110"/>
        <v>ROB</v>
      </c>
    </row>
    <row r="158" spans="1:85" ht="94.5" hidden="1" customHeight="1" x14ac:dyDescent="0.25">
      <c r="A158" s="298" t="s">
        <v>491</v>
      </c>
      <c r="B158" s="299" t="str">
        <f>'PLAN INDICATIVO'!B158</f>
        <v>Atención a grupos vulnerables - promoción social</v>
      </c>
      <c r="C158" s="1547"/>
      <c r="D158" s="1551"/>
      <c r="E158" s="1551"/>
      <c r="F158" s="1551"/>
      <c r="G158" s="1551"/>
      <c r="H158" s="1551"/>
      <c r="I158" s="300">
        <f>'PLAN INDICATIVO'!I158</f>
        <v>0</v>
      </c>
      <c r="J158" s="300">
        <f>'PLAN INDICATIVO'!J158</f>
        <v>0</v>
      </c>
      <c r="K158" s="1425" t="str">
        <f>'PLAN INDICATIVO'!K158</f>
        <v>A.14.1.5</v>
      </c>
      <c r="L158" s="1425" t="str">
        <f>'PLAN INDICATIVO'!L158</f>
        <v>10. Reducción de las desigualdades</v>
      </c>
      <c r="M158" s="1425" t="s">
        <v>2735</v>
      </c>
      <c r="N158" s="1425" t="s">
        <v>2736</v>
      </c>
      <c r="O158" s="1425" t="str">
        <f>'PLAN INDICATIVO'!O158</f>
        <v>Mantenimiento</v>
      </c>
      <c r="P158" s="16" t="str">
        <f>'PLAN INDICATIVO'!P158</f>
        <v xml:space="preserve">Mantener cada año 1 centro transitorio para ubicación provisional para adolescentes infractores de la ley penal funcionando y dotado </v>
      </c>
      <c r="Q158" s="302" t="str">
        <f>'PLAN INDICATIVO'!Q158</f>
        <v>centro transitorio para ubicación provisional para adolescentes infractores de la ley penal  funcionando y dotado, por año</v>
      </c>
      <c r="R158" s="303">
        <f>'PLAN INDICATIVO'!R158</f>
        <v>2015</v>
      </c>
      <c r="S158" s="304">
        <v>1</v>
      </c>
      <c r="T158" s="677">
        <v>1</v>
      </c>
      <c r="U158" s="303">
        <v>1</v>
      </c>
      <c r="V158" s="687">
        <v>10000000</v>
      </c>
      <c r="W158" s="303">
        <v>1</v>
      </c>
      <c r="X158" s="687">
        <v>1000000</v>
      </c>
      <c r="Y158" s="286">
        <v>1</v>
      </c>
      <c r="Z158" s="687">
        <v>4600000</v>
      </c>
      <c r="AA158" s="291">
        <v>1</v>
      </c>
      <c r="AB158" s="687">
        <v>18910000</v>
      </c>
      <c r="AC158" s="669">
        <v>1</v>
      </c>
      <c r="AD158" s="669">
        <v>1</v>
      </c>
      <c r="AE158" s="669">
        <v>1</v>
      </c>
      <c r="AF158" s="669"/>
      <c r="AG158" s="752" t="s">
        <v>3581</v>
      </c>
      <c r="AH158" s="1001">
        <v>2017413960012</v>
      </c>
      <c r="AI158" s="985" t="s">
        <v>2747</v>
      </c>
      <c r="AJ158" s="363">
        <v>43110</v>
      </c>
      <c r="AK158" s="363">
        <v>43434</v>
      </c>
      <c r="AL158" s="358"/>
      <c r="AM158" s="358"/>
      <c r="AN158" s="267" t="s">
        <v>2598</v>
      </c>
      <c r="AO158" s="997" t="s">
        <v>5024</v>
      </c>
      <c r="AP158" s="525"/>
      <c r="AQ158" s="759"/>
      <c r="AR158" s="310"/>
      <c r="AS158" s="310"/>
      <c r="AT158" s="310"/>
      <c r="AU158" s="310"/>
      <c r="AV158" s="310"/>
      <c r="AW158" s="544">
        <f>AP158+AQ158+AR158+AS158+AT158+AU158+AV158</f>
        <v>0</v>
      </c>
      <c r="AX158" s="525"/>
      <c r="AY158" s="310"/>
      <c r="AZ158" s="310"/>
      <c r="BA158" s="310"/>
      <c r="BB158" s="310"/>
      <c r="BC158" s="310"/>
      <c r="BD158" s="310"/>
      <c r="BE158" s="544">
        <f t="shared" si="101"/>
        <v>0</v>
      </c>
      <c r="BF158" s="525"/>
      <c r="BG158" s="310">
        <v>36303250</v>
      </c>
      <c r="BH158" s="310"/>
      <c r="BI158" s="310"/>
      <c r="BJ158" s="310"/>
      <c r="BK158" s="310"/>
      <c r="BL158" s="310">
        <v>10318500</v>
      </c>
      <c r="BM158" s="544">
        <f t="shared" si="102"/>
        <v>46621750</v>
      </c>
      <c r="BN158" s="525"/>
      <c r="BO158" s="310"/>
      <c r="BP158" s="310"/>
      <c r="BQ158" s="310"/>
      <c r="BR158" s="310"/>
      <c r="BS158" s="310"/>
      <c r="BT158" s="310"/>
      <c r="BU158" s="544">
        <f t="shared" si="103"/>
        <v>0</v>
      </c>
      <c r="BV158" s="556"/>
      <c r="BW158" s="663">
        <f t="shared" si="91"/>
        <v>3</v>
      </c>
      <c r="BX158" s="1047">
        <f t="shared" si="95"/>
        <v>3</v>
      </c>
      <c r="BY158" s="1047">
        <f t="shared" si="106"/>
        <v>1</v>
      </c>
      <c r="BZ158" s="1047">
        <f t="shared" si="107"/>
        <v>1</v>
      </c>
      <c r="CA158" s="1047">
        <f t="shared" si="108"/>
        <v>1</v>
      </c>
      <c r="CB158" s="1047">
        <f t="shared" si="109"/>
        <v>0</v>
      </c>
      <c r="CD158" t="str">
        <f t="shared" si="110"/>
        <v>VE</v>
      </c>
      <c r="CE158" t="str">
        <f t="shared" si="110"/>
        <v>VE</v>
      </c>
      <c r="CF158" t="str">
        <f t="shared" si="110"/>
        <v>VE</v>
      </c>
      <c r="CG158" t="str">
        <f t="shared" si="110"/>
        <v>ROB</v>
      </c>
    </row>
    <row r="159" spans="1:85" ht="78" hidden="1" customHeight="1" x14ac:dyDescent="0.25">
      <c r="A159" s="298"/>
      <c r="B159" s="299" t="str">
        <f>'PLAN INDICATIVO'!B159</f>
        <v>Atención a grupos vulnerables - promoción social</v>
      </c>
      <c r="C159" s="1547"/>
      <c r="D159" s="1551"/>
      <c r="E159" s="1551"/>
      <c r="F159" s="1551"/>
      <c r="G159" s="1551"/>
      <c r="H159" s="1551"/>
      <c r="I159" s="300">
        <f>'PLAN INDICATIVO'!I159</f>
        <v>0</v>
      </c>
      <c r="J159" s="300">
        <f>'PLAN INDICATIVO'!J159</f>
        <v>0</v>
      </c>
      <c r="K159" s="1425" t="str">
        <f>'PLAN INDICATIVO'!K159</f>
        <v>A.14.1.6</v>
      </c>
      <c r="L159" s="1425" t="str">
        <f>'PLAN INDICATIVO'!L159</f>
        <v>10. Reducción de las desigualdades</v>
      </c>
      <c r="M159" s="1425" t="s">
        <v>2735</v>
      </c>
      <c r="N159" s="1425" t="s">
        <v>2736</v>
      </c>
      <c r="O159" s="1425" t="str">
        <f>'PLAN INDICATIVO'!O159</f>
        <v>Incremento</v>
      </c>
      <c r="P159" s="16" t="str">
        <f>'PLAN INDICATIVO'!P159</f>
        <v>Realizar 12 capacitaciones de sensibilización en pro de mejorar la calidad de vida de los NNA, durante el cuatrienio.</v>
      </c>
      <c r="Q159" s="302" t="str">
        <f>'PLAN INDICATIVO'!Q159</f>
        <v>No. De capacitaciones realizadas</v>
      </c>
      <c r="R159" s="303">
        <f>'PLAN INDICATIVO'!R159</f>
        <v>2015</v>
      </c>
      <c r="S159" s="304">
        <v>0</v>
      </c>
      <c r="T159" s="677">
        <v>12</v>
      </c>
      <c r="U159" s="303">
        <v>3</v>
      </c>
      <c r="V159" s="687">
        <v>11000000</v>
      </c>
      <c r="W159" s="303">
        <v>3</v>
      </c>
      <c r="X159" s="687">
        <v>500000</v>
      </c>
      <c r="Y159" s="286">
        <v>3</v>
      </c>
      <c r="Z159" s="687">
        <v>500000</v>
      </c>
      <c r="AA159" s="291">
        <v>3</v>
      </c>
      <c r="AB159" s="687">
        <v>500000</v>
      </c>
      <c r="AC159" s="665">
        <v>3</v>
      </c>
      <c r="AD159" s="665">
        <v>3</v>
      </c>
      <c r="AE159" s="665">
        <v>3</v>
      </c>
      <c r="AF159" s="665"/>
      <c r="AG159" s="752" t="s">
        <v>3581</v>
      </c>
      <c r="AH159" s="1001">
        <v>2017413960012</v>
      </c>
      <c r="AI159" s="985" t="s">
        <v>4831</v>
      </c>
      <c r="AJ159" s="363">
        <v>43133</v>
      </c>
      <c r="AK159" s="363">
        <v>43434</v>
      </c>
      <c r="AL159" s="358"/>
      <c r="AM159" s="358"/>
      <c r="AN159" s="267" t="s">
        <v>2598</v>
      </c>
      <c r="AO159" s="903" t="s">
        <v>5025</v>
      </c>
      <c r="AP159" s="525"/>
      <c r="AQ159" s="310"/>
      <c r="AR159" s="310"/>
      <c r="AS159" s="310"/>
      <c r="AT159" s="310"/>
      <c r="AU159" s="310"/>
      <c r="AV159" s="310"/>
      <c r="AW159" s="544">
        <f t="shared" si="111"/>
        <v>0</v>
      </c>
      <c r="AX159" s="525"/>
      <c r="AY159" s="310"/>
      <c r="AZ159" s="310"/>
      <c r="BA159" s="310"/>
      <c r="BB159" s="310"/>
      <c r="BC159" s="310"/>
      <c r="BD159" s="310"/>
      <c r="BE159" s="544">
        <f t="shared" si="101"/>
        <v>0</v>
      </c>
      <c r="BF159" s="525">
        <v>2778750</v>
      </c>
      <c r="BG159" s="310">
        <v>2730000</v>
      </c>
      <c r="BH159" s="310"/>
      <c r="BI159" s="310"/>
      <c r="BJ159" s="310"/>
      <c r="BK159" s="310"/>
      <c r="BL159" s="310"/>
      <c r="BM159" s="544">
        <f t="shared" si="102"/>
        <v>5508750</v>
      </c>
      <c r="BN159" s="525"/>
      <c r="BO159" s="310"/>
      <c r="BP159" s="310"/>
      <c r="BQ159" s="310"/>
      <c r="BR159" s="310"/>
      <c r="BS159" s="310"/>
      <c r="BT159" s="310"/>
      <c r="BU159" s="544">
        <f t="shared" si="103"/>
        <v>0</v>
      </c>
      <c r="BV159" s="556"/>
      <c r="BW159" s="663">
        <f t="shared" si="91"/>
        <v>9</v>
      </c>
      <c r="BX159" s="1047">
        <f t="shared" si="95"/>
        <v>0.75</v>
      </c>
      <c r="BY159" s="1047">
        <f t="shared" si="106"/>
        <v>1</v>
      </c>
      <c r="BZ159" s="1047">
        <f t="shared" si="107"/>
        <v>1</v>
      </c>
      <c r="CA159" s="1047">
        <f t="shared" si="108"/>
        <v>1</v>
      </c>
      <c r="CB159" s="1047">
        <f t="shared" si="109"/>
        <v>0</v>
      </c>
      <c r="CD159" t="str">
        <f t="shared" si="110"/>
        <v>VE</v>
      </c>
      <c r="CE159" t="str">
        <f t="shared" si="110"/>
        <v>VE</v>
      </c>
      <c r="CF159" t="str">
        <f t="shared" si="110"/>
        <v>VE</v>
      </c>
      <c r="CG159" t="str">
        <f t="shared" si="110"/>
        <v>ROB</v>
      </c>
    </row>
    <row r="160" spans="1:85" ht="107.25" hidden="1" customHeight="1" x14ac:dyDescent="0.25">
      <c r="A160" s="298" t="s">
        <v>491</v>
      </c>
      <c r="B160" s="299" t="str">
        <f>'PLAN INDICATIVO'!B160</f>
        <v>Atención a grupos vulnerables - promoción social</v>
      </c>
      <c r="C160" s="1547"/>
      <c r="D160" s="1551"/>
      <c r="E160" s="1551"/>
      <c r="F160" s="1551"/>
      <c r="G160" s="1551"/>
      <c r="H160" s="1551"/>
      <c r="I160" s="300">
        <f>'PLAN INDICATIVO'!I160</f>
        <v>0</v>
      </c>
      <c r="J160" s="300">
        <f>'PLAN INDICATIVO'!J160</f>
        <v>0</v>
      </c>
      <c r="K160" s="1425" t="str">
        <f>'PLAN INDICATIVO'!K160</f>
        <v>A.14.1.7</v>
      </c>
      <c r="L160" s="1425" t="str">
        <f>'PLAN INDICATIVO'!L160</f>
        <v>10. Reducción de las desigualdades</v>
      </c>
      <c r="M160" s="1425" t="s">
        <v>2735</v>
      </c>
      <c r="N160" s="1425" t="s">
        <v>2736</v>
      </c>
      <c r="O160" s="1425" t="str">
        <f>'PLAN INDICATIVO'!O160</f>
        <v>Incremento</v>
      </c>
      <c r="P160" s="16" t="str">
        <f>'PLAN INDICATIVO'!P160</f>
        <v xml:space="preserve">Realizar 12 acciones institucionales en pro de evitar el reclutamiento, lograr la desvinculación del conflicto armado y atender  a NNA afectados por conflicto armado, durante el cuatrienio. </v>
      </c>
      <c r="Q160" s="302" t="str">
        <f>'PLAN INDICATIVO'!Q160</f>
        <v>No. De acciones institucionales realizadas</v>
      </c>
      <c r="R160" s="303">
        <f>'PLAN INDICATIVO'!R160</f>
        <v>2015</v>
      </c>
      <c r="S160" s="304">
        <v>0</v>
      </c>
      <c r="T160" s="677">
        <v>12</v>
      </c>
      <c r="U160" s="303">
        <v>3</v>
      </c>
      <c r="V160" s="687">
        <v>500000</v>
      </c>
      <c r="W160" s="303">
        <v>3</v>
      </c>
      <c r="X160" s="687">
        <v>500000</v>
      </c>
      <c r="Y160" s="286">
        <v>3</v>
      </c>
      <c r="Z160" s="687">
        <v>500000</v>
      </c>
      <c r="AA160" s="291">
        <v>3</v>
      </c>
      <c r="AB160" s="687">
        <v>500000</v>
      </c>
      <c r="AC160" s="669">
        <v>3</v>
      </c>
      <c r="AD160" s="669">
        <v>3</v>
      </c>
      <c r="AE160" s="669">
        <v>3</v>
      </c>
      <c r="AF160" s="669"/>
      <c r="AG160" s="752" t="s">
        <v>3581</v>
      </c>
      <c r="AH160" s="1001">
        <v>2017413960012</v>
      </c>
      <c r="AI160" s="985" t="s">
        <v>5013</v>
      </c>
      <c r="AJ160" s="363">
        <v>43133</v>
      </c>
      <c r="AK160" s="363">
        <v>43434</v>
      </c>
      <c r="AL160" s="358"/>
      <c r="AM160" s="358"/>
      <c r="AN160" s="267" t="s">
        <v>2598</v>
      </c>
      <c r="AO160" s="997" t="s">
        <v>5026</v>
      </c>
      <c r="AP160" s="525"/>
      <c r="AQ160" s="759"/>
      <c r="AR160" s="310"/>
      <c r="AS160" s="310"/>
      <c r="AT160" s="310"/>
      <c r="AU160" s="310"/>
      <c r="AV160" s="310"/>
      <c r="AW160" s="544">
        <f t="shared" si="111"/>
        <v>0</v>
      </c>
      <c r="AX160" s="525"/>
      <c r="AY160" s="310"/>
      <c r="AZ160" s="310"/>
      <c r="BA160" s="310"/>
      <c r="BB160" s="310"/>
      <c r="BC160" s="310"/>
      <c r="BD160" s="310"/>
      <c r="BE160" s="544">
        <f t="shared" si="101"/>
        <v>0</v>
      </c>
      <c r="BF160" s="525"/>
      <c r="BG160" s="310">
        <v>7184000</v>
      </c>
      <c r="BH160" s="310"/>
      <c r="BI160" s="310"/>
      <c r="BJ160" s="310"/>
      <c r="BK160" s="310"/>
      <c r="BL160" s="310"/>
      <c r="BM160" s="544">
        <f t="shared" si="102"/>
        <v>7184000</v>
      </c>
      <c r="BN160" s="525"/>
      <c r="BO160" s="310"/>
      <c r="BP160" s="310"/>
      <c r="BQ160" s="310"/>
      <c r="BR160" s="310"/>
      <c r="BS160" s="310"/>
      <c r="BT160" s="310"/>
      <c r="BU160" s="544">
        <f t="shared" si="103"/>
        <v>0</v>
      </c>
      <c r="BV160" s="556"/>
      <c r="BW160" s="663">
        <f t="shared" si="91"/>
        <v>9</v>
      </c>
      <c r="BX160" s="1047">
        <f t="shared" si="95"/>
        <v>0.75</v>
      </c>
      <c r="BY160" s="1047">
        <f t="shared" si="106"/>
        <v>1</v>
      </c>
      <c r="BZ160" s="1047">
        <f t="shared" si="107"/>
        <v>1</v>
      </c>
      <c r="CA160" s="1047">
        <f t="shared" si="108"/>
        <v>1</v>
      </c>
      <c r="CB160" s="1047">
        <f t="shared" si="109"/>
        <v>0</v>
      </c>
      <c r="CD160" t="str">
        <f t="shared" si="110"/>
        <v>VE</v>
      </c>
      <c r="CE160" t="str">
        <f t="shared" si="110"/>
        <v>VE</v>
      </c>
      <c r="CF160" t="str">
        <f t="shared" si="110"/>
        <v>VE</v>
      </c>
      <c r="CG160" t="str">
        <f t="shared" si="110"/>
        <v>ROB</v>
      </c>
    </row>
    <row r="161" spans="1:85" ht="86.25" hidden="1" customHeight="1" x14ac:dyDescent="0.25">
      <c r="A161" s="298" t="s">
        <v>491</v>
      </c>
      <c r="B161" s="299" t="str">
        <f>'PLAN INDICATIVO'!B161</f>
        <v>Atención a grupos vulnerables - promoción social</v>
      </c>
      <c r="C161" s="1547"/>
      <c r="D161" s="1551"/>
      <c r="E161" s="1551"/>
      <c r="F161" s="1551"/>
      <c r="G161" s="1551"/>
      <c r="H161" s="1551"/>
      <c r="I161" s="300">
        <f>'PLAN INDICATIVO'!I161</f>
        <v>0</v>
      </c>
      <c r="J161" s="300">
        <f>'PLAN INDICATIVO'!J161</f>
        <v>0</v>
      </c>
      <c r="K161" s="1425" t="str">
        <f>'PLAN INDICATIVO'!K161</f>
        <v>A.14.1.8</v>
      </c>
      <c r="L161" s="1425" t="str">
        <f>'PLAN INDICATIVO'!L161</f>
        <v>10. Reducción de las desigualdades</v>
      </c>
      <c r="M161" s="1425" t="s">
        <v>2735</v>
      </c>
      <c r="N161" s="1425" t="s">
        <v>2736</v>
      </c>
      <c r="O161" s="1425" t="str">
        <f>'PLAN INDICATIVO'!O161</f>
        <v>Incremento</v>
      </c>
      <c r="P161" s="16" t="str">
        <f>'PLAN INDICATIVO'!P161</f>
        <v>Realizar 12 campañas  para prevenir cualquier tipo de maltrato y abuso sexual en NNA, durante el cuatrienio</v>
      </c>
      <c r="Q161" s="302" t="str">
        <f>'PLAN INDICATIVO'!Q161</f>
        <v>No. De Campañas implementadas</v>
      </c>
      <c r="R161" s="303">
        <f>'PLAN INDICATIVO'!R161</f>
        <v>2015</v>
      </c>
      <c r="S161" s="304">
        <v>2</v>
      </c>
      <c r="T161" s="677">
        <v>12</v>
      </c>
      <c r="U161" s="303">
        <v>3</v>
      </c>
      <c r="V161" s="687">
        <v>15000000</v>
      </c>
      <c r="W161" s="303">
        <v>3</v>
      </c>
      <c r="X161" s="687">
        <v>4000000</v>
      </c>
      <c r="Y161" s="286">
        <v>3</v>
      </c>
      <c r="Z161" s="687">
        <v>4000000</v>
      </c>
      <c r="AA161" s="291">
        <v>3</v>
      </c>
      <c r="AB161" s="687">
        <v>4000000</v>
      </c>
      <c r="AC161" s="669">
        <v>3</v>
      </c>
      <c r="AD161" s="669">
        <v>3</v>
      </c>
      <c r="AE161" s="669">
        <v>3</v>
      </c>
      <c r="AF161" s="669"/>
      <c r="AG161" s="752" t="s">
        <v>3581</v>
      </c>
      <c r="AH161" s="1001">
        <v>2017413960012</v>
      </c>
      <c r="AI161" s="985" t="s">
        <v>4899</v>
      </c>
      <c r="AJ161" s="363">
        <v>43133</v>
      </c>
      <c r="AK161" s="363">
        <v>43434</v>
      </c>
      <c r="AL161" s="358"/>
      <c r="AM161" s="358"/>
      <c r="AN161" s="267" t="s">
        <v>2598</v>
      </c>
      <c r="AO161" s="903" t="s">
        <v>5027</v>
      </c>
      <c r="AP161" s="525"/>
      <c r="AQ161" s="759"/>
      <c r="AR161" s="310"/>
      <c r="AS161" s="310"/>
      <c r="AT161" s="310"/>
      <c r="AU161" s="310"/>
      <c r="AV161" s="310"/>
      <c r="AW161" s="544">
        <f t="shared" si="111"/>
        <v>0</v>
      </c>
      <c r="AX161" s="525"/>
      <c r="AY161" s="310"/>
      <c r="AZ161" s="310"/>
      <c r="BA161" s="310"/>
      <c r="BB161" s="310"/>
      <c r="BC161" s="310"/>
      <c r="BD161" s="310"/>
      <c r="BE161" s="544">
        <f t="shared" si="101"/>
        <v>0</v>
      </c>
      <c r="BF161" s="525">
        <v>2778750</v>
      </c>
      <c r="BG161" s="310">
        <v>2730000</v>
      </c>
      <c r="BH161" s="310"/>
      <c r="BI161" s="310"/>
      <c r="BJ161" s="310"/>
      <c r="BK161" s="310"/>
      <c r="BL161" s="310"/>
      <c r="BM161" s="544">
        <f t="shared" si="102"/>
        <v>5508750</v>
      </c>
      <c r="BN161" s="525"/>
      <c r="BO161" s="310"/>
      <c r="BP161" s="310"/>
      <c r="BQ161" s="310"/>
      <c r="BR161" s="310"/>
      <c r="BS161" s="310"/>
      <c r="BT161" s="310"/>
      <c r="BU161" s="544">
        <f t="shared" si="103"/>
        <v>0</v>
      </c>
      <c r="BV161" s="556"/>
      <c r="BW161" s="663">
        <f t="shared" si="91"/>
        <v>9</v>
      </c>
      <c r="BX161" s="1047">
        <f t="shared" si="95"/>
        <v>0.75</v>
      </c>
      <c r="BY161" s="1047">
        <f t="shared" si="106"/>
        <v>1</v>
      </c>
      <c r="BZ161" s="1047">
        <f t="shared" si="107"/>
        <v>1</v>
      </c>
      <c r="CA161" s="1047">
        <f t="shared" si="108"/>
        <v>1</v>
      </c>
      <c r="CB161" s="1047">
        <f t="shared" si="109"/>
        <v>0</v>
      </c>
      <c r="CD161" t="str">
        <f t="shared" si="110"/>
        <v>VE</v>
      </c>
      <c r="CE161" t="str">
        <f t="shared" si="110"/>
        <v>VE</v>
      </c>
      <c r="CF161" t="str">
        <f t="shared" si="110"/>
        <v>VE</v>
      </c>
      <c r="CG161" t="str">
        <f t="shared" si="110"/>
        <v>ROB</v>
      </c>
    </row>
    <row r="162" spans="1:85" ht="93.75" hidden="1" customHeight="1" x14ac:dyDescent="0.25">
      <c r="A162" s="298" t="s">
        <v>491</v>
      </c>
      <c r="B162" s="299" t="str">
        <f>'PLAN INDICATIVO'!B162</f>
        <v>Atención a grupos vulnerables - promoción social</v>
      </c>
      <c r="C162" s="1547"/>
      <c r="D162" s="1551"/>
      <c r="E162" s="1551"/>
      <c r="F162" s="1551"/>
      <c r="G162" s="1551"/>
      <c r="H162" s="1551"/>
      <c r="I162" s="300">
        <f>'PLAN INDICATIVO'!I162</f>
        <v>0</v>
      </c>
      <c r="J162" s="300">
        <f>'PLAN INDICATIVO'!J162</f>
        <v>0</v>
      </c>
      <c r="K162" s="1425" t="str">
        <f>'PLAN INDICATIVO'!K162</f>
        <v>A.14.1.9</v>
      </c>
      <c r="L162" s="1425" t="str">
        <f>'PLAN INDICATIVO'!L162</f>
        <v>10. Reducción de las desigualdades</v>
      </c>
      <c r="M162" s="1425" t="s">
        <v>2735</v>
      </c>
      <c r="N162" s="1425" t="s">
        <v>2736</v>
      </c>
      <c r="O162" s="1425" t="str">
        <f>'PLAN INDICATIVO'!O162</f>
        <v>Mantenimiento</v>
      </c>
      <c r="P162" s="16" t="str">
        <f>'PLAN INDICATIVO'!P162</f>
        <v xml:space="preserve">Implementar 1 estrategia para buscar rehabilitación, resocialización y protección NNA, en articulación con el ICBF, en el cuatrienio </v>
      </c>
      <c r="Q162" s="302" t="str">
        <f>'PLAN INDICATIVO'!Q162</f>
        <v>No. De Estrategias implementadas</v>
      </c>
      <c r="R162" s="303">
        <f>'PLAN INDICATIVO'!R162</f>
        <v>2015</v>
      </c>
      <c r="S162" s="304">
        <v>0</v>
      </c>
      <c r="T162" s="677">
        <v>1</v>
      </c>
      <c r="U162" s="1337">
        <v>1</v>
      </c>
      <c r="V162" s="687">
        <v>3000000</v>
      </c>
      <c r="W162" s="303">
        <v>1</v>
      </c>
      <c r="X162" s="687">
        <v>500000</v>
      </c>
      <c r="Y162" s="286">
        <v>1</v>
      </c>
      <c r="Z162" s="687">
        <v>500000</v>
      </c>
      <c r="AA162" s="291">
        <v>1</v>
      </c>
      <c r="AB162" s="687">
        <v>520000</v>
      </c>
      <c r="AC162" s="669">
        <v>1</v>
      </c>
      <c r="AD162" s="669"/>
      <c r="AE162" s="669">
        <v>1</v>
      </c>
      <c r="AF162" s="669"/>
      <c r="AG162" s="752" t="s">
        <v>3581</v>
      </c>
      <c r="AH162" s="1001">
        <v>2017413960012</v>
      </c>
      <c r="AI162" s="985" t="s">
        <v>4900</v>
      </c>
      <c r="AJ162" s="363">
        <v>43133</v>
      </c>
      <c r="AK162" s="363">
        <v>43434</v>
      </c>
      <c r="AL162" s="358"/>
      <c r="AM162" s="358"/>
      <c r="AN162" s="267" t="s">
        <v>2598</v>
      </c>
      <c r="AO162" s="997" t="s">
        <v>5021</v>
      </c>
      <c r="AP162" s="525"/>
      <c r="AQ162" s="310"/>
      <c r="AR162" s="310"/>
      <c r="AS162" s="310"/>
      <c r="AT162" s="310"/>
      <c r="AU162" s="310"/>
      <c r="AV162" s="310"/>
      <c r="AW162" s="544">
        <f>SUM(AP162:AV162)</f>
        <v>0</v>
      </c>
      <c r="AX162" s="525"/>
      <c r="AY162" s="310"/>
      <c r="AZ162" s="310"/>
      <c r="BA162" s="310"/>
      <c r="BB162" s="310"/>
      <c r="BC162" s="310"/>
      <c r="BD162" s="310"/>
      <c r="BE162" s="544">
        <f t="shared" si="101"/>
        <v>0</v>
      </c>
      <c r="BF162" s="525">
        <v>4962750</v>
      </c>
      <c r="BG162" s="310"/>
      <c r="BH162" s="310"/>
      <c r="BI162" s="310"/>
      <c r="BJ162" s="310"/>
      <c r="BK162" s="310"/>
      <c r="BL162" s="310"/>
      <c r="BM162" s="544">
        <f t="shared" si="102"/>
        <v>4962750</v>
      </c>
      <c r="BN162" s="525"/>
      <c r="BO162" s="310"/>
      <c r="BP162" s="310"/>
      <c r="BQ162" s="310"/>
      <c r="BR162" s="310"/>
      <c r="BS162" s="310"/>
      <c r="BT162" s="310"/>
      <c r="BU162" s="544">
        <f t="shared" si="103"/>
        <v>0</v>
      </c>
      <c r="BV162" s="556"/>
      <c r="BW162" s="663">
        <f t="shared" si="91"/>
        <v>2</v>
      </c>
      <c r="BX162" s="1047">
        <f t="shared" si="95"/>
        <v>2</v>
      </c>
      <c r="BY162" s="1047">
        <f t="shared" si="106"/>
        <v>1</v>
      </c>
      <c r="BZ162" s="1047">
        <f t="shared" si="107"/>
        <v>0</v>
      </c>
      <c r="CA162" s="1047">
        <f t="shared" si="108"/>
        <v>1</v>
      </c>
      <c r="CB162" s="1047">
        <f t="shared" si="109"/>
        <v>0</v>
      </c>
      <c r="CD162" t="str">
        <f t="shared" si="110"/>
        <v>VE</v>
      </c>
      <c r="CE162" t="str">
        <f t="shared" si="110"/>
        <v>ROB</v>
      </c>
      <c r="CF162" t="str">
        <f t="shared" si="110"/>
        <v>VE</v>
      </c>
      <c r="CG162" t="str">
        <f t="shared" si="110"/>
        <v>ROB</v>
      </c>
    </row>
    <row r="163" spans="1:85" ht="102.75" hidden="1" customHeight="1" x14ac:dyDescent="0.25">
      <c r="A163" s="298" t="s">
        <v>491</v>
      </c>
      <c r="B163" s="299" t="str">
        <f>'PLAN INDICATIVO'!B163</f>
        <v>Atención a grupos vulnerables - promoción social</v>
      </c>
      <c r="C163" s="1547"/>
      <c r="D163" s="1551"/>
      <c r="E163" s="1551"/>
      <c r="F163" s="1551"/>
      <c r="G163" s="1551"/>
      <c r="H163" s="1551"/>
      <c r="I163" s="300">
        <f>'PLAN INDICATIVO'!I163</f>
        <v>0</v>
      </c>
      <c r="J163" s="300">
        <f>'PLAN INDICATIVO'!J163</f>
        <v>0</v>
      </c>
      <c r="K163" s="1425" t="str">
        <f>'PLAN INDICATIVO'!K163</f>
        <v>A.14.1.10</v>
      </c>
      <c r="L163" s="1425" t="str">
        <f>'PLAN INDICATIVO'!L163</f>
        <v>10. Reducción de las desigualdades</v>
      </c>
      <c r="M163" s="1425" t="s">
        <v>2735</v>
      </c>
      <c r="N163" s="1425" t="s">
        <v>2736</v>
      </c>
      <c r="O163" s="1425" t="str">
        <f>'PLAN INDICATIVO'!O163</f>
        <v>Incremento</v>
      </c>
      <c r="P163" s="16" t="str">
        <f>'PLAN INDICATIVO'!P163</f>
        <v>Articular 2 estrategias con el ICBF y la gobernación del Huila, conducentes a lograr la inclusión al sistema educativo de NNA en situación de discapacidad y la Inclusión a programas de educación inicial, durante el cuatrienio</v>
      </c>
      <c r="Q163" s="302" t="str">
        <f>'PLAN INDICATIVO'!Q163</f>
        <v>No. De estrategias articuladas</v>
      </c>
      <c r="R163" s="303">
        <f>'PLAN INDICATIVO'!R163</f>
        <v>2015</v>
      </c>
      <c r="S163" s="304">
        <v>0</v>
      </c>
      <c r="T163" s="677">
        <v>2</v>
      </c>
      <c r="U163" s="846"/>
      <c r="V163" s="687">
        <v>500000</v>
      </c>
      <c r="W163" s="303"/>
      <c r="X163" s="687">
        <v>0</v>
      </c>
      <c r="Y163" s="286">
        <v>1</v>
      </c>
      <c r="Z163" s="687">
        <v>500000</v>
      </c>
      <c r="AA163" s="291">
        <v>0.5</v>
      </c>
      <c r="AB163" s="687">
        <v>0</v>
      </c>
      <c r="AC163" s="669">
        <v>1</v>
      </c>
      <c r="AD163" s="669"/>
      <c r="AE163" s="669">
        <v>0.5</v>
      </c>
      <c r="AF163" s="669"/>
      <c r="AG163" s="752" t="s">
        <v>3581</v>
      </c>
      <c r="AH163" s="1001">
        <v>2017413960012</v>
      </c>
      <c r="AI163" s="985" t="s">
        <v>4832</v>
      </c>
      <c r="AJ163" s="363">
        <v>43133</v>
      </c>
      <c r="AK163" s="363">
        <v>43434</v>
      </c>
      <c r="AL163" s="358"/>
      <c r="AM163" s="358"/>
      <c r="AN163" s="267" t="s">
        <v>2604</v>
      </c>
      <c r="AO163" s="997" t="s">
        <v>5028</v>
      </c>
      <c r="AP163" s="525"/>
      <c r="AQ163" s="759"/>
      <c r="AR163" s="310"/>
      <c r="AS163" s="310"/>
      <c r="AT163" s="310"/>
      <c r="AU163" s="310"/>
      <c r="AV163" s="310"/>
      <c r="AW163" s="544">
        <f t="shared" si="111"/>
        <v>0</v>
      </c>
      <c r="AX163" s="525"/>
      <c r="AY163" s="310"/>
      <c r="AZ163" s="310"/>
      <c r="BA163" s="310"/>
      <c r="BB163" s="310"/>
      <c r="BC163" s="310"/>
      <c r="BD163" s="310"/>
      <c r="BE163" s="544">
        <f t="shared" si="101"/>
        <v>0</v>
      </c>
      <c r="BF163" s="525"/>
      <c r="BG163" s="310">
        <v>1820000</v>
      </c>
      <c r="BH163" s="310"/>
      <c r="BI163" s="310"/>
      <c r="BJ163" s="310"/>
      <c r="BK163" s="310"/>
      <c r="BL163" s="310"/>
      <c r="BM163" s="544">
        <f t="shared" si="102"/>
        <v>1820000</v>
      </c>
      <c r="BN163" s="525"/>
      <c r="BO163" s="310"/>
      <c r="BP163" s="310"/>
      <c r="BQ163" s="310"/>
      <c r="BR163" s="310"/>
      <c r="BS163" s="310"/>
      <c r="BT163" s="310"/>
      <c r="BU163" s="544">
        <f t="shared" si="103"/>
        <v>0</v>
      </c>
      <c r="BV163" s="556"/>
      <c r="BW163" s="663">
        <f t="shared" si="91"/>
        <v>1.5</v>
      </c>
      <c r="BX163" s="1047">
        <f t="shared" si="95"/>
        <v>0.75</v>
      </c>
      <c r="BY163" s="1047" t="str">
        <f t="shared" si="106"/>
        <v>No Programada</v>
      </c>
      <c r="BZ163" s="1047" t="str">
        <f t="shared" si="107"/>
        <v>No Programada</v>
      </c>
      <c r="CA163" s="1047">
        <f t="shared" si="108"/>
        <v>0.5</v>
      </c>
      <c r="CB163" s="1047">
        <f t="shared" si="109"/>
        <v>0</v>
      </c>
      <c r="CD163" t="str">
        <f t="shared" si="110"/>
        <v>NP</v>
      </c>
      <c r="CE163" t="str">
        <f t="shared" si="110"/>
        <v>NP</v>
      </c>
      <c r="CF163" t="str">
        <f t="shared" si="110"/>
        <v>AMB</v>
      </c>
      <c r="CG163" t="str">
        <f t="shared" si="110"/>
        <v>ROB</v>
      </c>
    </row>
    <row r="164" spans="1:85" ht="105.75" hidden="1" customHeight="1" x14ac:dyDescent="0.25">
      <c r="A164" s="298" t="s">
        <v>491</v>
      </c>
      <c r="B164" s="299" t="str">
        <f>'PLAN INDICATIVO'!B164</f>
        <v>Atención a grupos vulnerables - promoción social</v>
      </c>
      <c r="C164" s="1547"/>
      <c r="D164" s="1551"/>
      <c r="E164" s="1551"/>
      <c r="F164" s="1551"/>
      <c r="G164" s="1551"/>
      <c r="H164" s="1551"/>
      <c r="I164" s="300">
        <f>'PLAN INDICATIVO'!I164</f>
        <v>0</v>
      </c>
      <c r="J164" s="300">
        <f>'PLAN INDICATIVO'!J164</f>
        <v>0</v>
      </c>
      <c r="K164" s="1425" t="str">
        <f>'PLAN INDICATIVO'!K164</f>
        <v>A.14.1.11</v>
      </c>
      <c r="L164" s="1425" t="str">
        <f>'PLAN INDICATIVO'!L164</f>
        <v>10. Reducción de las desigualdades</v>
      </c>
      <c r="M164" s="1425" t="s">
        <v>2735</v>
      </c>
      <c r="N164" s="1425" t="s">
        <v>2736</v>
      </c>
      <c r="O164" s="1425" t="str">
        <f>'PLAN INDICATIVO'!O164</f>
        <v>Incremento</v>
      </c>
      <c r="P164" s="16" t="str">
        <f>'PLAN INDICATIVO'!P164</f>
        <v>Realizar 16  capacitaciones en IE durante el cuatrienio para fomentar los derechos de protección del los NNA.</v>
      </c>
      <c r="Q164" s="302" t="str">
        <f>'PLAN INDICATIVO'!Q164</f>
        <v>No. De capacitaciones realizadas</v>
      </c>
      <c r="R164" s="303">
        <f>'PLAN INDICATIVO'!R164</f>
        <v>2015</v>
      </c>
      <c r="S164" s="304">
        <v>0</v>
      </c>
      <c r="T164" s="677">
        <v>16</v>
      </c>
      <c r="U164" s="303">
        <v>4</v>
      </c>
      <c r="V164" s="687">
        <v>1000000</v>
      </c>
      <c r="W164" s="303">
        <v>4</v>
      </c>
      <c r="X164" s="687">
        <v>500000</v>
      </c>
      <c r="Y164" s="286">
        <v>4</v>
      </c>
      <c r="Z164" s="687">
        <v>500000</v>
      </c>
      <c r="AA164" s="291">
        <v>4</v>
      </c>
      <c r="AB164" s="687">
        <v>500000</v>
      </c>
      <c r="AC164" s="669">
        <v>4</v>
      </c>
      <c r="AD164" s="669">
        <v>4</v>
      </c>
      <c r="AE164" s="669">
        <v>4</v>
      </c>
      <c r="AF164" s="669"/>
      <c r="AG164" s="752" t="s">
        <v>3581</v>
      </c>
      <c r="AH164" s="1001">
        <v>2017413960012</v>
      </c>
      <c r="AI164" s="985" t="s">
        <v>4833</v>
      </c>
      <c r="AJ164" s="363">
        <v>43133</v>
      </c>
      <c r="AK164" s="363">
        <v>43434</v>
      </c>
      <c r="AL164" s="358"/>
      <c r="AM164" s="358"/>
      <c r="AN164" s="267" t="s">
        <v>2598</v>
      </c>
      <c r="AO164" s="903" t="s">
        <v>5029</v>
      </c>
      <c r="AP164" s="525"/>
      <c r="AQ164" s="760"/>
      <c r="AR164" s="470"/>
      <c r="AS164" s="470"/>
      <c r="AT164" s="470"/>
      <c r="AU164" s="470"/>
      <c r="AV164" s="470"/>
      <c r="AW164" s="544">
        <f t="shared" si="111"/>
        <v>0</v>
      </c>
      <c r="AX164" s="526"/>
      <c r="AY164" s="470"/>
      <c r="AZ164" s="470"/>
      <c r="BA164" s="470"/>
      <c r="BB164" s="470"/>
      <c r="BC164" s="470"/>
      <c r="BD164" s="470"/>
      <c r="BE164" s="544">
        <f t="shared" si="101"/>
        <v>0</v>
      </c>
      <c r="BF164" s="526">
        <v>2778750</v>
      </c>
      <c r="BG164" s="470">
        <v>2730000</v>
      </c>
      <c r="BH164" s="470"/>
      <c r="BI164" s="470"/>
      <c r="BJ164" s="470"/>
      <c r="BK164" s="470"/>
      <c r="BL164" s="470"/>
      <c r="BM164" s="544">
        <f t="shared" si="102"/>
        <v>5508750</v>
      </c>
      <c r="BN164" s="526"/>
      <c r="BO164" s="470"/>
      <c r="BP164" s="470"/>
      <c r="BQ164" s="470"/>
      <c r="BR164" s="470"/>
      <c r="BS164" s="470"/>
      <c r="BT164" s="470"/>
      <c r="BU164" s="544">
        <f t="shared" si="103"/>
        <v>0</v>
      </c>
      <c r="BV164" s="556"/>
      <c r="BW164" s="663">
        <f t="shared" si="91"/>
        <v>12</v>
      </c>
      <c r="BX164" s="1047">
        <f t="shared" si="95"/>
        <v>0.75</v>
      </c>
      <c r="BY164" s="1047">
        <f t="shared" si="106"/>
        <v>1</v>
      </c>
      <c r="BZ164" s="1047">
        <f t="shared" si="107"/>
        <v>1</v>
      </c>
      <c r="CA164" s="1047">
        <f t="shared" si="108"/>
        <v>1</v>
      </c>
      <c r="CB164" s="1047">
        <f t="shared" si="109"/>
        <v>0</v>
      </c>
      <c r="CD164" t="str">
        <f t="shared" si="110"/>
        <v>VE</v>
      </c>
      <c r="CE164" t="str">
        <f t="shared" si="110"/>
        <v>VE</v>
      </c>
      <c r="CF164" t="str">
        <f t="shared" si="110"/>
        <v>VE</v>
      </c>
      <c r="CG164" t="str">
        <f t="shared" si="110"/>
        <v>ROB</v>
      </c>
    </row>
    <row r="165" spans="1:85" ht="104.25" hidden="1" customHeight="1" x14ac:dyDescent="0.25">
      <c r="A165" s="298" t="s">
        <v>491</v>
      </c>
      <c r="B165" s="299" t="str">
        <f>'PLAN INDICATIVO'!B165</f>
        <v>Atención a grupos vulnerables - promoción social</v>
      </c>
      <c r="C165" s="1547"/>
      <c r="D165" s="1551"/>
      <c r="E165" s="1551"/>
      <c r="F165" s="1551"/>
      <c r="G165" s="1551"/>
      <c r="H165" s="1551"/>
      <c r="I165" s="300">
        <f>'PLAN INDICATIVO'!I165</f>
        <v>0</v>
      </c>
      <c r="J165" s="300">
        <f>'PLAN INDICATIVO'!J165</f>
        <v>0</v>
      </c>
      <c r="K165" s="1425" t="str">
        <f>'PLAN INDICATIVO'!K165</f>
        <v>A.14.1.12</v>
      </c>
      <c r="L165" s="1425" t="str">
        <f>'PLAN INDICATIVO'!L165</f>
        <v>10. Reducción de las desigualdades</v>
      </c>
      <c r="M165" s="1425" t="s">
        <v>2735</v>
      </c>
      <c r="N165" s="1425" t="s">
        <v>2736</v>
      </c>
      <c r="O165" s="1425" t="str">
        <f>'PLAN INDICATIVO'!O165</f>
        <v>Mantenimiento</v>
      </c>
      <c r="P165" s="16" t="str">
        <f>'PLAN INDICATIVO'!P165</f>
        <v xml:space="preserve">Realizar 1 seguimiento al programa nutricional desarrollado por la ESE municipal para NNA cada año. </v>
      </c>
      <c r="Q165" s="302" t="str">
        <f>'PLAN INDICATIVO'!Q165</f>
        <v>No. De seguimientos al programa nutricional realizados por año</v>
      </c>
      <c r="R165" s="303">
        <f>'PLAN INDICATIVO'!R165</f>
        <v>2015</v>
      </c>
      <c r="S165" s="304">
        <v>0</v>
      </c>
      <c r="T165" s="677">
        <v>4</v>
      </c>
      <c r="U165" s="303">
        <v>1</v>
      </c>
      <c r="V165" s="687">
        <v>500000</v>
      </c>
      <c r="W165" s="303">
        <v>1</v>
      </c>
      <c r="X165" s="687">
        <v>500000</v>
      </c>
      <c r="Y165" s="286"/>
      <c r="Z165" s="687">
        <v>500000</v>
      </c>
      <c r="AA165" s="291">
        <v>3</v>
      </c>
      <c r="AB165" s="687">
        <v>500000</v>
      </c>
      <c r="AC165" s="669">
        <v>1</v>
      </c>
      <c r="AD165" s="669"/>
      <c r="AE165" s="669"/>
      <c r="AF165" s="669"/>
      <c r="AG165" s="752" t="s">
        <v>3581</v>
      </c>
      <c r="AH165" s="1001">
        <v>2017413960012</v>
      </c>
      <c r="AI165" s="985" t="s">
        <v>5014</v>
      </c>
      <c r="AJ165" s="363">
        <v>43133</v>
      </c>
      <c r="AK165" s="363">
        <v>43189</v>
      </c>
      <c r="AL165" s="358"/>
      <c r="AM165" s="358"/>
      <c r="AN165" s="267" t="s">
        <v>2594</v>
      </c>
      <c r="AO165" s="512"/>
      <c r="AP165" s="525"/>
      <c r="AQ165" s="759"/>
      <c r="AR165" s="310"/>
      <c r="AS165" s="310"/>
      <c r="AT165" s="310"/>
      <c r="AU165" s="310"/>
      <c r="AV165" s="310"/>
      <c r="AW165" s="544">
        <f t="shared" si="111"/>
        <v>0</v>
      </c>
      <c r="AX165" s="525"/>
      <c r="AY165" s="310"/>
      <c r="AZ165" s="310"/>
      <c r="BA165" s="310"/>
      <c r="BB165" s="310"/>
      <c r="BC165" s="310"/>
      <c r="BD165" s="310"/>
      <c r="BE165" s="544">
        <f t="shared" si="101"/>
        <v>0</v>
      </c>
      <c r="BF165" s="525"/>
      <c r="BG165" s="310"/>
      <c r="BH165" s="310"/>
      <c r="BI165" s="310"/>
      <c r="BJ165" s="310"/>
      <c r="BK165" s="310"/>
      <c r="BL165" s="310"/>
      <c r="BM165" s="544">
        <f t="shared" si="102"/>
        <v>0</v>
      </c>
      <c r="BN165" s="525"/>
      <c r="BO165" s="310"/>
      <c r="BP165" s="310"/>
      <c r="BQ165" s="310"/>
      <c r="BR165" s="310"/>
      <c r="BS165" s="310"/>
      <c r="BT165" s="310"/>
      <c r="BU165" s="544">
        <f t="shared" si="103"/>
        <v>0</v>
      </c>
      <c r="BV165" s="556"/>
      <c r="BW165" s="663">
        <f t="shared" si="91"/>
        <v>1</v>
      </c>
      <c r="BX165" s="1047">
        <f t="shared" si="95"/>
        <v>0.25</v>
      </c>
      <c r="BY165" s="1047">
        <f t="shared" si="106"/>
        <v>1</v>
      </c>
      <c r="BZ165" s="1047">
        <f t="shared" si="107"/>
        <v>0</v>
      </c>
      <c r="CA165" s="1047" t="str">
        <f t="shared" si="108"/>
        <v>No Programada</v>
      </c>
      <c r="CB165" s="1047">
        <f t="shared" si="109"/>
        <v>0</v>
      </c>
      <c r="CD165" t="str">
        <f t="shared" si="110"/>
        <v>VE</v>
      </c>
      <c r="CE165" t="str">
        <f t="shared" si="110"/>
        <v>ROB</v>
      </c>
      <c r="CF165" t="str">
        <f t="shared" si="110"/>
        <v>NP</v>
      </c>
      <c r="CG165" t="str">
        <f t="shared" si="110"/>
        <v>ROB</v>
      </c>
    </row>
    <row r="166" spans="1:85" ht="100.5" hidden="1" customHeight="1" x14ac:dyDescent="0.25">
      <c r="A166" s="298" t="s">
        <v>491</v>
      </c>
      <c r="B166" s="299" t="str">
        <f>'PLAN INDICATIVO'!B166</f>
        <v>Atención a grupos vulnerables - promoción social</v>
      </c>
      <c r="C166" s="1547"/>
      <c r="D166" s="1551"/>
      <c r="E166" s="1551"/>
      <c r="F166" s="1551"/>
      <c r="G166" s="1551"/>
      <c r="H166" s="1551"/>
      <c r="I166" s="300">
        <f>'PLAN INDICATIVO'!I166</f>
        <v>0</v>
      </c>
      <c r="J166" s="300">
        <f>'PLAN INDICATIVO'!J166</f>
        <v>0</v>
      </c>
      <c r="K166" s="1425" t="str">
        <f>'PLAN INDICATIVO'!K166</f>
        <v>A.14.1.13</v>
      </c>
      <c r="L166" s="1425" t="str">
        <f>'PLAN INDICATIVO'!L166</f>
        <v>10. Reducción de las desigualdades</v>
      </c>
      <c r="M166" s="1425" t="s">
        <v>2735</v>
      </c>
      <c r="N166" s="1425" t="s">
        <v>2736</v>
      </c>
      <c r="O166" s="1425" t="str">
        <f>'PLAN INDICATIVO'!O166</f>
        <v>Incremento</v>
      </c>
      <c r="P166" s="16" t="str">
        <f>'PLAN INDICATIVO'!P166</f>
        <v>Realizar 2 jornadas de identificación de NNA, articulada con la Registraduría, durante el cuatrienio</v>
      </c>
      <c r="Q166" s="302" t="str">
        <f>'PLAN INDICATIVO'!Q166</f>
        <v>No. De jornadas de identificación realizadas</v>
      </c>
      <c r="R166" s="303">
        <f>'PLAN INDICATIVO'!R166</f>
        <v>2015</v>
      </c>
      <c r="S166" s="304">
        <v>0</v>
      </c>
      <c r="T166" s="677">
        <v>2</v>
      </c>
      <c r="U166" s="303">
        <v>1</v>
      </c>
      <c r="V166" s="687">
        <v>300000</v>
      </c>
      <c r="W166" s="303">
        <v>1</v>
      </c>
      <c r="X166" s="687">
        <v>500000</v>
      </c>
      <c r="Y166" s="1235"/>
      <c r="Z166" s="687">
        <v>0</v>
      </c>
      <c r="AA166" s="291"/>
      <c r="AB166" s="687">
        <v>500000</v>
      </c>
      <c r="AC166" s="669">
        <v>1</v>
      </c>
      <c r="AD166" s="669">
        <v>1</v>
      </c>
      <c r="AE166" s="669"/>
      <c r="AF166" s="669"/>
      <c r="AG166" s="752" t="s">
        <v>3581</v>
      </c>
      <c r="AH166" s="1001">
        <v>2017413960012</v>
      </c>
      <c r="AI166" s="985" t="s">
        <v>4115</v>
      </c>
      <c r="AJ166" s="356"/>
      <c r="AK166" s="356"/>
      <c r="AL166" s="358"/>
      <c r="AM166" s="358"/>
      <c r="AN166" s="267" t="s">
        <v>2594</v>
      </c>
      <c r="AO166" s="512"/>
      <c r="AP166" s="525"/>
      <c r="AQ166" s="310"/>
      <c r="AR166" s="310"/>
      <c r="AS166" s="310"/>
      <c r="AT166" s="310"/>
      <c r="AU166" s="310"/>
      <c r="AV166" s="310"/>
      <c r="AW166" s="544">
        <f t="shared" si="111"/>
        <v>0</v>
      </c>
      <c r="AX166" s="525"/>
      <c r="AY166" s="310"/>
      <c r="AZ166" s="310"/>
      <c r="BA166" s="310"/>
      <c r="BB166" s="310"/>
      <c r="BC166" s="310"/>
      <c r="BD166" s="310"/>
      <c r="BE166" s="544">
        <f t="shared" si="101"/>
        <v>0</v>
      </c>
      <c r="BF166" s="525"/>
      <c r="BG166" s="310"/>
      <c r="BH166" s="310"/>
      <c r="BI166" s="310"/>
      <c r="BJ166" s="310"/>
      <c r="BK166" s="310"/>
      <c r="BL166" s="310"/>
      <c r="BM166" s="544">
        <f t="shared" si="102"/>
        <v>0</v>
      </c>
      <c r="BN166" s="525"/>
      <c r="BO166" s="310"/>
      <c r="BP166" s="310"/>
      <c r="BQ166" s="310"/>
      <c r="BR166" s="310"/>
      <c r="BS166" s="310"/>
      <c r="BT166" s="310"/>
      <c r="BU166" s="544">
        <f t="shared" si="103"/>
        <v>0</v>
      </c>
      <c r="BV166" s="556"/>
      <c r="BW166" s="663">
        <f t="shared" si="91"/>
        <v>2</v>
      </c>
      <c r="BX166" s="1047">
        <f t="shared" si="95"/>
        <v>1</v>
      </c>
      <c r="BY166" s="1047">
        <f t="shared" si="106"/>
        <v>1</v>
      </c>
      <c r="BZ166" s="1047">
        <f t="shared" si="107"/>
        <v>1</v>
      </c>
      <c r="CA166" s="1047" t="str">
        <f t="shared" si="108"/>
        <v>No Programada</v>
      </c>
      <c r="CB166" s="1047" t="str">
        <f t="shared" si="109"/>
        <v>No Programada</v>
      </c>
      <c r="CD166" t="str">
        <f t="shared" si="110"/>
        <v>VE</v>
      </c>
      <c r="CE166" t="str">
        <f t="shared" si="110"/>
        <v>VE</v>
      </c>
      <c r="CF166" t="str">
        <f t="shared" si="110"/>
        <v>NP</v>
      </c>
      <c r="CG166" t="str">
        <f t="shared" si="110"/>
        <v>NP</v>
      </c>
    </row>
    <row r="167" spans="1:85" ht="95.25" hidden="1" customHeight="1" x14ac:dyDescent="0.25">
      <c r="A167" s="298" t="s">
        <v>491</v>
      </c>
      <c r="B167" s="299" t="str">
        <f>'PLAN INDICATIVO'!B167</f>
        <v>Atención a grupos vulnerables - promoción social</v>
      </c>
      <c r="C167" s="1547"/>
      <c r="D167" s="1551"/>
      <c r="E167" s="1551"/>
      <c r="F167" s="1551"/>
      <c r="G167" s="1551"/>
      <c r="H167" s="1551"/>
      <c r="I167" s="300">
        <f>'PLAN INDICATIVO'!I167</f>
        <v>0</v>
      </c>
      <c r="J167" s="300">
        <f>'PLAN INDICATIVO'!J167</f>
        <v>0</v>
      </c>
      <c r="K167" s="1425" t="str">
        <f>'PLAN INDICATIVO'!K167</f>
        <v>A.14.1.14</v>
      </c>
      <c r="L167" s="1425" t="str">
        <f>'PLAN INDICATIVO'!L167</f>
        <v>10. Reducción de las desigualdades</v>
      </c>
      <c r="M167" s="1425" t="s">
        <v>2735</v>
      </c>
      <c r="N167" s="1425" t="s">
        <v>2736</v>
      </c>
      <c r="O167" s="1425" t="str">
        <f>'PLAN INDICATIVO'!O167</f>
        <v>Incremento</v>
      </c>
      <c r="P167" s="16" t="str">
        <f>'PLAN INDICATIVO'!P167</f>
        <v>Garantizar la participación de NNA en los 15 Consejos de Política Social, durante el cuatrienio</v>
      </c>
      <c r="Q167" s="302" t="str">
        <f>'PLAN INDICATIVO'!Q167</f>
        <v xml:space="preserve">No. de consejos de política social realizados en que participan los NNA. </v>
      </c>
      <c r="R167" s="303">
        <f>'PLAN INDICATIVO'!R167</f>
        <v>2015</v>
      </c>
      <c r="S167" s="304">
        <v>0</v>
      </c>
      <c r="T167" s="677">
        <v>15</v>
      </c>
      <c r="U167" s="303">
        <v>4</v>
      </c>
      <c r="V167" s="687">
        <v>200000</v>
      </c>
      <c r="W167" s="303">
        <v>4</v>
      </c>
      <c r="X167" s="687">
        <v>500000</v>
      </c>
      <c r="Y167" s="286">
        <v>4</v>
      </c>
      <c r="Z167" s="687">
        <v>500000</v>
      </c>
      <c r="AA167" s="291">
        <f>T167-BW167</f>
        <v>6</v>
      </c>
      <c r="AB167" s="687">
        <v>520000</v>
      </c>
      <c r="AC167" s="669">
        <v>3</v>
      </c>
      <c r="AD167" s="669">
        <v>4</v>
      </c>
      <c r="AE167" s="669">
        <v>2</v>
      </c>
      <c r="AF167" s="669"/>
      <c r="AG167" s="752" t="s">
        <v>3581</v>
      </c>
      <c r="AH167" s="1001">
        <v>2017413960012</v>
      </c>
      <c r="AI167" s="985" t="s">
        <v>4834</v>
      </c>
      <c r="AJ167" s="363">
        <v>43161</v>
      </c>
      <c r="AK167" s="363">
        <v>43434</v>
      </c>
      <c r="AL167" s="358"/>
      <c r="AM167" s="358"/>
      <c r="AN167" s="267" t="s">
        <v>2604</v>
      </c>
      <c r="AO167" s="512" t="s">
        <v>5030</v>
      </c>
      <c r="AP167" s="525"/>
      <c r="AQ167" s="310"/>
      <c r="AR167" s="310"/>
      <c r="AS167" s="310"/>
      <c r="AT167" s="310"/>
      <c r="AU167" s="310"/>
      <c r="AV167" s="310"/>
      <c r="AW167" s="544">
        <f t="shared" si="111"/>
        <v>0</v>
      </c>
      <c r="AX167" s="525"/>
      <c r="AY167" s="310"/>
      <c r="AZ167" s="310"/>
      <c r="BA167" s="310"/>
      <c r="BB167" s="310"/>
      <c r="BC167" s="310"/>
      <c r="BD167" s="310"/>
      <c r="BE167" s="544">
        <f t="shared" si="101"/>
        <v>0</v>
      </c>
      <c r="BF167" s="525"/>
      <c r="BG167" s="310">
        <v>2184000</v>
      </c>
      <c r="BH167" s="310"/>
      <c r="BI167" s="310"/>
      <c r="BJ167" s="310"/>
      <c r="BK167" s="310"/>
      <c r="BL167" s="310"/>
      <c r="BM167" s="544">
        <f t="shared" si="102"/>
        <v>2184000</v>
      </c>
      <c r="BN167" s="525"/>
      <c r="BO167" s="310"/>
      <c r="BP167" s="310"/>
      <c r="BQ167" s="310"/>
      <c r="BR167" s="310"/>
      <c r="BS167" s="310"/>
      <c r="BT167" s="310"/>
      <c r="BU167" s="544">
        <f t="shared" si="103"/>
        <v>0</v>
      </c>
      <c r="BV167" s="556"/>
      <c r="BW167" s="663">
        <f t="shared" si="91"/>
        <v>9</v>
      </c>
      <c r="BX167" s="1047">
        <f t="shared" si="95"/>
        <v>0.6</v>
      </c>
      <c r="BY167" s="1047">
        <f t="shared" si="106"/>
        <v>0.75</v>
      </c>
      <c r="BZ167" s="1047">
        <f t="shared" si="107"/>
        <v>1</v>
      </c>
      <c r="CA167" s="1047">
        <f t="shared" si="108"/>
        <v>0.5</v>
      </c>
      <c r="CB167" s="1047">
        <f t="shared" si="109"/>
        <v>0</v>
      </c>
      <c r="CD167" t="str">
        <f t="shared" si="110"/>
        <v>VEB</v>
      </c>
      <c r="CE167" t="str">
        <f t="shared" si="110"/>
        <v>VE</v>
      </c>
      <c r="CF167" t="str">
        <f t="shared" si="110"/>
        <v>AMB</v>
      </c>
      <c r="CG167" t="str">
        <f t="shared" si="110"/>
        <v>ROB</v>
      </c>
    </row>
    <row r="168" spans="1:85" s="231" customFormat="1" ht="82.5" hidden="1" customHeight="1" x14ac:dyDescent="0.25">
      <c r="A168" s="354" t="s">
        <v>491</v>
      </c>
      <c r="B168" s="299" t="str">
        <f>'PLAN INDICATIVO'!B168</f>
        <v>Atención a grupos vulnerables - promoción social</v>
      </c>
      <c r="C168" s="1547"/>
      <c r="D168" s="1551"/>
      <c r="E168" s="1551"/>
      <c r="F168" s="1599"/>
      <c r="G168" s="1551"/>
      <c r="H168" s="1551"/>
      <c r="I168" s="300">
        <f>'PLAN INDICATIVO'!I168</f>
        <v>0</v>
      </c>
      <c r="J168" s="300">
        <f>'PLAN INDICATIVO'!J168</f>
        <v>0</v>
      </c>
      <c r="K168" s="1425" t="str">
        <f>'PLAN INDICATIVO'!K168</f>
        <v>A.14.1.15</v>
      </c>
      <c r="L168" s="1425" t="str">
        <f>'PLAN INDICATIVO'!L168</f>
        <v>10. Reducción de las desigualdades</v>
      </c>
      <c r="M168" s="1425" t="s">
        <v>2735</v>
      </c>
      <c r="N168" s="1425" t="s">
        <v>2736</v>
      </c>
      <c r="O168" s="1425" t="str">
        <f>'PLAN INDICATIVO'!O168</f>
        <v>Mantenimiento</v>
      </c>
      <c r="P168" s="16" t="str">
        <f>'PLAN INDICATIVO'!P168</f>
        <v>Realizar 1 Celebración del día de la niñez cada año</v>
      </c>
      <c r="Q168" s="302" t="str">
        <f>'PLAN INDICATIVO'!Q168</f>
        <v>No. De celebraciones realizadas por año</v>
      </c>
      <c r="R168" s="303">
        <f>'PLAN INDICATIVO'!R168</f>
        <v>2015</v>
      </c>
      <c r="S168" s="304">
        <v>1</v>
      </c>
      <c r="T168" s="677">
        <v>4</v>
      </c>
      <c r="U168" s="303">
        <v>1</v>
      </c>
      <c r="V168" s="687">
        <v>5000000</v>
      </c>
      <c r="W168" s="303">
        <v>1</v>
      </c>
      <c r="X168" s="687">
        <v>9000000</v>
      </c>
      <c r="Y168" s="286">
        <v>1</v>
      </c>
      <c r="Z168" s="687">
        <v>9000000</v>
      </c>
      <c r="AA168" s="291">
        <v>1</v>
      </c>
      <c r="AB168" s="687">
        <v>10000000</v>
      </c>
      <c r="AC168" s="670">
        <v>1</v>
      </c>
      <c r="AD168" s="670">
        <v>1</v>
      </c>
      <c r="AE168" s="670">
        <v>1</v>
      </c>
      <c r="AF168" s="670"/>
      <c r="AG168" s="752" t="s">
        <v>3581</v>
      </c>
      <c r="AH168" s="1001">
        <v>2017413960012</v>
      </c>
      <c r="AI168" s="985" t="s">
        <v>4835</v>
      </c>
      <c r="AJ168" s="363">
        <v>43161</v>
      </c>
      <c r="AK168" s="363">
        <v>43220</v>
      </c>
      <c r="AL168" s="362"/>
      <c r="AM168" s="362"/>
      <c r="AN168" s="267" t="s">
        <v>2598</v>
      </c>
      <c r="AO168" s="997" t="s">
        <v>5031</v>
      </c>
      <c r="AP168" s="1009"/>
      <c r="AQ168" s="761"/>
      <c r="AR168" s="472"/>
      <c r="AS168" s="472"/>
      <c r="AT168" s="472"/>
      <c r="AU168" s="472"/>
      <c r="AV168" s="472"/>
      <c r="AW168" s="544">
        <f t="shared" si="111"/>
        <v>0</v>
      </c>
      <c r="AX168" s="528"/>
      <c r="AY168" s="472"/>
      <c r="AZ168" s="472"/>
      <c r="BA168" s="472"/>
      <c r="BB168" s="472"/>
      <c r="BC168" s="472"/>
      <c r="BD168" s="472"/>
      <c r="BE168" s="544">
        <f t="shared" si="101"/>
        <v>0</v>
      </c>
      <c r="BF168" s="528">
        <v>9000000</v>
      </c>
      <c r="BG168" s="472">
        <v>9434000</v>
      </c>
      <c r="BH168" s="472"/>
      <c r="BI168" s="472"/>
      <c r="BJ168" s="472"/>
      <c r="BK168" s="472"/>
      <c r="BL168" s="472"/>
      <c r="BM168" s="544">
        <f t="shared" si="102"/>
        <v>18434000</v>
      </c>
      <c r="BN168" s="528"/>
      <c r="BO168" s="472"/>
      <c r="BP168" s="472"/>
      <c r="BQ168" s="472"/>
      <c r="BR168" s="472"/>
      <c r="BS168" s="472"/>
      <c r="BT168" s="472"/>
      <c r="BU168" s="544">
        <f t="shared" si="103"/>
        <v>0</v>
      </c>
      <c r="BV168" s="653"/>
      <c r="BW168" s="663">
        <f t="shared" si="91"/>
        <v>3</v>
      </c>
      <c r="BX168" s="1047">
        <f t="shared" si="95"/>
        <v>0.75</v>
      </c>
      <c r="BY168" s="1047">
        <f t="shared" si="106"/>
        <v>1</v>
      </c>
      <c r="BZ168" s="1047">
        <f t="shared" si="107"/>
        <v>1</v>
      </c>
      <c r="CA168" s="1047">
        <f t="shared" si="108"/>
        <v>1</v>
      </c>
      <c r="CB168" s="1047">
        <f t="shared" si="109"/>
        <v>0</v>
      </c>
      <c r="CD168" t="str">
        <f t="shared" si="110"/>
        <v>VE</v>
      </c>
      <c r="CE168" t="str">
        <f t="shared" si="110"/>
        <v>VE</v>
      </c>
      <c r="CF168" t="str">
        <f t="shared" si="110"/>
        <v>VE</v>
      </c>
      <c r="CG168" t="str">
        <f t="shared" si="110"/>
        <v>ROB</v>
      </c>
    </row>
    <row r="169" spans="1:85" ht="89.25" hidden="1" customHeight="1" x14ac:dyDescent="0.25">
      <c r="A169" s="298" t="s">
        <v>491</v>
      </c>
      <c r="B169" s="299" t="str">
        <f>'PLAN INDICATIVO'!B169</f>
        <v>Atención a grupos vulnerables - promoción social</v>
      </c>
      <c r="C169" s="1547"/>
      <c r="D169" s="1551"/>
      <c r="E169" s="1551"/>
      <c r="F169" s="1551"/>
      <c r="G169" s="1551"/>
      <c r="H169" s="1551"/>
      <c r="I169" s="300">
        <f>'PLAN INDICATIVO'!I169</f>
        <v>0</v>
      </c>
      <c r="J169" s="300">
        <f>'PLAN INDICATIVO'!J169</f>
        <v>0</v>
      </c>
      <c r="K169" s="1425" t="str">
        <f>'PLAN INDICATIVO'!K169</f>
        <v>A.14.1.16</v>
      </c>
      <c r="L169" s="1425" t="str">
        <f>'PLAN INDICATIVO'!L169</f>
        <v>10. Reducción de las desigualdades</v>
      </c>
      <c r="M169" s="1425" t="s">
        <v>2735</v>
      </c>
      <c r="N169" s="1425" t="s">
        <v>2736</v>
      </c>
      <c r="O169" s="1425" t="str">
        <f>'PLAN INDICATIVO'!O169</f>
        <v>Mantenimiento</v>
      </c>
      <c r="P169" s="16" t="str">
        <f>'PLAN INDICATIVO'!P169</f>
        <v xml:space="preserve">Realizar 1 Celebración de la navidad a niños y niñas "caravana navideña por la paz", cada año. </v>
      </c>
      <c r="Q169" s="302" t="str">
        <f>'PLAN INDICATIVO'!Q169</f>
        <v>No. de celebraciones realizadas por año</v>
      </c>
      <c r="R169" s="303">
        <f>'PLAN INDICATIVO'!R169</f>
        <v>2015</v>
      </c>
      <c r="S169" s="304">
        <v>0</v>
      </c>
      <c r="T169" s="677">
        <v>4</v>
      </c>
      <c r="U169" s="303">
        <v>1</v>
      </c>
      <c r="V169" s="687">
        <v>3000000</v>
      </c>
      <c r="W169" s="303">
        <v>1</v>
      </c>
      <c r="X169" s="687">
        <v>9240000</v>
      </c>
      <c r="Y169" s="286">
        <v>1</v>
      </c>
      <c r="Z169" s="687">
        <v>9000000</v>
      </c>
      <c r="AA169" s="291">
        <v>1</v>
      </c>
      <c r="AB169" s="687">
        <v>10350000</v>
      </c>
      <c r="AC169" s="669">
        <v>1</v>
      </c>
      <c r="AD169" s="669">
        <v>1</v>
      </c>
      <c r="AE169" s="669">
        <v>1</v>
      </c>
      <c r="AF169" s="669"/>
      <c r="AG169" s="752" t="s">
        <v>3581</v>
      </c>
      <c r="AH169" s="1001">
        <v>2017413960012</v>
      </c>
      <c r="AI169" s="985" t="s">
        <v>5015</v>
      </c>
      <c r="AJ169" s="363">
        <v>43434</v>
      </c>
      <c r="AK169" s="363">
        <v>43464</v>
      </c>
      <c r="AL169" s="358"/>
      <c r="AM169" s="358"/>
      <c r="AN169" s="267" t="s">
        <v>2598</v>
      </c>
      <c r="AO169" s="512" t="s">
        <v>5032</v>
      </c>
      <c r="AP169" s="525"/>
      <c r="AQ169" s="310"/>
      <c r="AR169" s="310"/>
      <c r="AS169" s="310"/>
      <c r="AT169" s="310"/>
      <c r="AU169" s="310"/>
      <c r="AV169" s="310"/>
      <c r="AW169" s="544">
        <f t="shared" si="111"/>
        <v>0</v>
      </c>
      <c r="AX169" s="525"/>
      <c r="AY169" s="310"/>
      <c r="AZ169" s="310"/>
      <c r="BA169" s="310"/>
      <c r="BB169" s="310"/>
      <c r="BC169" s="310"/>
      <c r="BD169" s="310"/>
      <c r="BE169" s="544">
        <f t="shared" si="101"/>
        <v>0</v>
      </c>
      <c r="BF169" s="525">
        <f>2184000+15250000</f>
        <v>17434000</v>
      </c>
      <c r="BG169" s="310">
        <v>2750000</v>
      </c>
      <c r="BH169" s="310"/>
      <c r="BI169" s="310"/>
      <c r="BJ169" s="310"/>
      <c r="BK169" s="310"/>
      <c r="BL169" s="310"/>
      <c r="BM169" s="544">
        <f t="shared" si="102"/>
        <v>20184000</v>
      </c>
      <c r="BN169" s="525"/>
      <c r="BO169" s="310"/>
      <c r="BP169" s="310"/>
      <c r="BQ169" s="310"/>
      <c r="BR169" s="310"/>
      <c r="BS169" s="310"/>
      <c r="BT169" s="310"/>
      <c r="BU169" s="544">
        <f t="shared" si="103"/>
        <v>0</v>
      </c>
      <c r="BV169" s="556"/>
      <c r="BW169" s="663">
        <f t="shared" si="91"/>
        <v>3</v>
      </c>
      <c r="BX169" s="1047">
        <f t="shared" si="95"/>
        <v>0.75</v>
      </c>
      <c r="BY169" s="1047">
        <f t="shared" si="106"/>
        <v>1</v>
      </c>
      <c r="BZ169" s="1047">
        <f t="shared" si="107"/>
        <v>1</v>
      </c>
      <c r="CA169" s="1047">
        <f t="shared" si="108"/>
        <v>1</v>
      </c>
      <c r="CB169" s="1047">
        <f t="shared" si="109"/>
        <v>0</v>
      </c>
      <c r="CD169" t="str">
        <f t="shared" si="110"/>
        <v>VE</v>
      </c>
      <c r="CE169" t="str">
        <f t="shared" si="110"/>
        <v>VE</v>
      </c>
      <c r="CF169" t="str">
        <f t="shared" si="110"/>
        <v>VE</v>
      </c>
      <c r="CG169" t="str">
        <f t="shared" si="110"/>
        <v>ROB</v>
      </c>
    </row>
    <row r="170" spans="1:85" ht="93.75" hidden="1" customHeight="1" x14ac:dyDescent="0.25">
      <c r="A170" s="298" t="s">
        <v>491</v>
      </c>
      <c r="B170" s="299" t="str">
        <f>'PLAN INDICATIVO'!B170</f>
        <v>Atención a grupos vulnerables - promoción social</v>
      </c>
      <c r="C170" s="1547"/>
      <c r="D170" s="1551"/>
      <c r="E170" s="1551"/>
      <c r="F170" s="1551"/>
      <c r="G170" s="1551"/>
      <c r="H170" s="1551"/>
      <c r="I170" s="300">
        <f>'PLAN INDICATIVO'!I170</f>
        <v>0</v>
      </c>
      <c r="J170" s="300">
        <f>'PLAN INDICATIVO'!J170</f>
        <v>0</v>
      </c>
      <c r="K170" s="1425" t="str">
        <f>'PLAN INDICATIVO'!K170</f>
        <v>A.14.1.17</v>
      </c>
      <c r="L170" s="1425" t="str">
        <f>'PLAN INDICATIVO'!L170</f>
        <v>10. Reducción de las desigualdades</v>
      </c>
      <c r="M170" s="1425" t="s">
        <v>2735</v>
      </c>
      <c r="N170" s="1425" t="s">
        <v>2736</v>
      </c>
      <c r="O170" s="1425" t="str">
        <f>'PLAN INDICATIVO'!O170</f>
        <v>Incremento</v>
      </c>
      <c r="P170" s="16" t="str">
        <f>'PLAN INDICATIVO'!P170</f>
        <v>Realizar 12 programas  radiales de promoción de derechos y deberes en los NNA,  durante el cuatrienio</v>
      </c>
      <c r="Q170" s="302" t="str">
        <f>'PLAN INDICATIVO'!Q170</f>
        <v>No. De programas radiales realizados</v>
      </c>
      <c r="R170" s="303">
        <f>'PLAN INDICATIVO'!R170</f>
        <v>2015</v>
      </c>
      <c r="S170" s="304">
        <v>0</v>
      </c>
      <c r="T170" s="677">
        <v>12</v>
      </c>
      <c r="U170" s="303">
        <v>3</v>
      </c>
      <c r="V170" s="687">
        <v>500000</v>
      </c>
      <c r="W170" s="303">
        <v>3</v>
      </c>
      <c r="X170" s="687">
        <v>500000</v>
      </c>
      <c r="Y170" s="286">
        <v>3</v>
      </c>
      <c r="Z170" s="687">
        <v>500000</v>
      </c>
      <c r="AA170" s="291">
        <v>3</v>
      </c>
      <c r="AB170" s="687">
        <v>500000</v>
      </c>
      <c r="AC170" s="669">
        <v>3</v>
      </c>
      <c r="AD170" s="669">
        <v>3</v>
      </c>
      <c r="AE170" s="669">
        <v>3</v>
      </c>
      <c r="AF170" s="669"/>
      <c r="AG170" s="752" t="s">
        <v>3581</v>
      </c>
      <c r="AH170" s="1001">
        <v>2017413960012</v>
      </c>
      <c r="AI170" s="985" t="s">
        <v>4836</v>
      </c>
      <c r="AJ170" s="363">
        <v>43146</v>
      </c>
      <c r="AK170" s="363">
        <v>43434</v>
      </c>
      <c r="AL170" s="358"/>
      <c r="AM170" s="358"/>
      <c r="AN170" s="267" t="s">
        <v>2598</v>
      </c>
      <c r="AO170" s="997" t="s">
        <v>5021</v>
      </c>
      <c r="AP170" s="525"/>
      <c r="AQ170" s="310"/>
      <c r="AR170" s="310"/>
      <c r="AS170" s="310"/>
      <c r="AT170" s="310"/>
      <c r="AU170" s="310"/>
      <c r="AV170" s="310"/>
      <c r="AW170" s="544">
        <f t="shared" si="111"/>
        <v>0</v>
      </c>
      <c r="AX170" s="525"/>
      <c r="AY170" s="310"/>
      <c r="AZ170" s="310"/>
      <c r="BA170" s="310"/>
      <c r="BB170" s="310"/>
      <c r="BC170" s="310"/>
      <c r="BD170" s="310"/>
      <c r="BE170" s="544">
        <f t="shared" si="101"/>
        <v>0</v>
      </c>
      <c r="BF170" s="525">
        <v>4962750</v>
      </c>
      <c r="BG170" s="310"/>
      <c r="BH170" s="310"/>
      <c r="BI170" s="310"/>
      <c r="BJ170" s="310"/>
      <c r="BK170" s="310"/>
      <c r="BL170" s="310"/>
      <c r="BM170" s="544">
        <f t="shared" si="102"/>
        <v>4962750</v>
      </c>
      <c r="BN170" s="525"/>
      <c r="BO170" s="310"/>
      <c r="BP170" s="310"/>
      <c r="BQ170" s="310"/>
      <c r="BR170" s="310"/>
      <c r="BS170" s="310"/>
      <c r="BT170" s="310"/>
      <c r="BU170" s="544">
        <f t="shared" si="103"/>
        <v>0</v>
      </c>
      <c r="BV170" s="556"/>
      <c r="BW170" s="663">
        <f t="shared" si="91"/>
        <v>9</v>
      </c>
      <c r="BX170" s="1047">
        <f t="shared" si="95"/>
        <v>0.75</v>
      </c>
      <c r="BY170" s="1047">
        <f t="shared" si="106"/>
        <v>1</v>
      </c>
      <c r="BZ170" s="1047">
        <f t="shared" si="107"/>
        <v>1</v>
      </c>
      <c r="CA170" s="1047">
        <f t="shared" si="108"/>
        <v>1</v>
      </c>
      <c r="CB170" s="1047">
        <f t="shared" si="109"/>
        <v>0</v>
      </c>
      <c r="CD170" t="str">
        <f t="shared" si="110"/>
        <v>VE</v>
      </c>
      <c r="CE170" t="str">
        <f t="shared" si="110"/>
        <v>VE</v>
      </c>
      <c r="CF170" t="str">
        <f t="shared" si="110"/>
        <v>VE</v>
      </c>
      <c r="CG170" t="str">
        <f t="shared" si="110"/>
        <v>ROB</v>
      </c>
    </row>
    <row r="171" spans="1:85" ht="87" hidden="1" customHeight="1" x14ac:dyDescent="0.25">
      <c r="A171" s="298" t="s">
        <v>491</v>
      </c>
      <c r="B171" s="299" t="str">
        <f>'PLAN INDICATIVO'!B171</f>
        <v>Atención a grupos vulnerables - promoción social</v>
      </c>
      <c r="C171" s="1547"/>
      <c r="D171" s="1551"/>
      <c r="E171" s="1551"/>
      <c r="F171" s="1551"/>
      <c r="G171" s="1551"/>
      <c r="H171" s="1551"/>
      <c r="I171" s="300">
        <f>'PLAN INDICATIVO'!I171</f>
        <v>0</v>
      </c>
      <c r="J171" s="300">
        <f>'PLAN INDICATIVO'!J171</f>
        <v>0</v>
      </c>
      <c r="K171" s="1425" t="str">
        <f>'PLAN INDICATIVO'!K171</f>
        <v>A.14.1.18</v>
      </c>
      <c r="L171" s="1425" t="str">
        <f>'PLAN INDICATIVO'!L171</f>
        <v>10. Reducción de las desigualdades</v>
      </c>
      <c r="M171" s="1425" t="s">
        <v>2735</v>
      </c>
      <c r="N171" s="1425" t="s">
        <v>2736</v>
      </c>
      <c r="O171" s="1425" t="str">
        <f>'PLAN INDICATIVO'!O171</f>
        <v>Mantenimiento</v>
      </c>
      <c r="P171" s="16" t="str">
        <f>'PLAN INDICATIVO'!P171</f>
        <v>Ejecutar 1 programa "No te madures biche, los niños, niñas y adolescentes unidos por el cambio", encaminado a disminuir el delito, y prevenir el consumo de alcohol y de Sustancias Psicoactivas cada año</v>
      </c>
      <c r="Q171" s="302" t="str">
        <f>'PLAN INDICATIVO'!Q171</f>
        <v>No. de programa ejecutado por año</v>
      </c>
      <c r="R171" s="303">
        <f>'PLAN INDICATIVO'!R171</f>
        <v>2015</v>
      </c>
      <c r="S171" s="304">
        <v>0</v>
      </c>
      <c r="T171" s="677">
        <v>4</v>
      </c>
      <c r="U171" s="303">
        <v>1</v>
      </c>
      <c r="V171" s="687">
        <v>5000000</v>
      </c>
      <c r="W171" s="303">
        <v>1</v>
      </c>
      <c r="X171" s="687">
        <v>500000</v>
      </c>
      <c r="Y171" s="286">
        <v>1</v>
      </c>
      <c r="Z171" s="687">
        <v>500000</v>
      </c>
      <c r="AA171" s="291">
        <v>1</v>
      </c>
      <c r="AB171" s="687">
        <v>500000</v>
      </c>
      <c r="AC171" s="669">
        <v>1</v>
      </c>
      <c r="AD171" s="669">
        <v>1</v>
      </c>
      <c r="AE171" s="669">
        <v>1</v>
      </c>
      <c r="AF171" s="669"/>
      <c r="AG171" s="752" t="s">
        <v>3581</v>
      </c>
      <c r="AH171" s="1001">
        <v>2017413960012</v>
      </c>
      <c r="AI171" s="985" t="s">
        <v>4901</v>
      </c>
      <c r="AJ171" s="363">
        <v>43146</v>
      </c>
      <c r="AK171" s="363">
        <v>43434</v>
      </c>
      <c r="AL171" s="358"/>
      <c r="AM171" s="358"/>
      <c r="AN171" s="709" t="s">
        <v>2598</v>
      </c>
      <c r="AO171" s="997" t="s">
        <v>5033</v>
      </c>
      <c r="AP171" s="525"/>
      <c r="AQ171" s="310"/>
      <c r="AR171" s="310"/>
      <c r="AS171" s="310"/>
      <c r="AT171" s="310"/>
      <c r="AU171" s="310"/>
      <c r="AV171" s="310"/>
      <c r="AW171" s="544">
        <f t="shared" si="111"/>
        <v>0</v>
      </c>
      <c r="AX171" s="525"/>
      <c r="AY171" s="310"/>
      <c r="AZ171" s="310"/>
      <c r="BA171" s="310"/>
      <c r="BB171" s="310"/>
      <c r="BC171" s="310"/>
      <c r="BD171" s="310"/>
      <c r="BE171" s="544">
        <f t="shared" si="101"/>
        <v>0</v>
      </c>
      <c r="BF171" s="525">
        <v>2778750</v>
      </c>
      <c r="BG171" s="310">
        <v>2184000</v>
      </c>
      <c r="BH171" s="310"/>
      <c r="BI171" s="310"/>
      <c r="BJ171" s="310"/>
      <c r="BK171" s="310"/>
      <c r="BL171" s="310"/>
      <c r="BM171" s="544">
        <f t="shared" si="102"/>
        <v>4962750</v>
      </c>
      <c r="BN171" s="525"/>
      <c r="BO171" s="310"/>
      <c r="BP171" s="310"/>
      <c r="BQ171" s="310"/>
      <c r="BR171" s="310"/>
      <c r="BS171" s="310"/>
      <c r="BT171" s="310"/>
      <c r="BU171" s="544">
        <f t="shared" si="103"/>
        <v>0</v>
      </c>
      <c r="BV171" s="556"/>
      <c r="BW171" s="663">
        <f t="shared" si="91"/>
        <v>3</v>
      </c>
      <c r="BX171" s="1047">
        <f t="shared" si="95"/>
        <v>0.75</v>
      </c>
      <c r="BY171" s="1047">
        <f t="shared" si="106"/>
        <v>1</v>
      </c>
      <c r="BZ171" s="1047">
        <f t="shared" si="107"/>
        <v>1</v>
      </c>
      <c r="CA171" s="1047">
        <f t="shared" si="108"/>
        <v>1</v>
      </c>
      <c r="CB171" s="1047">
        <f t="shared" si="109"/>
        <v>0</v>
      </c>
      <c r="CD171" t="str">
        <f t="shared" si="110"/>
        <v>VE</v>
      </c>
      <c r="CE171" t="str">
        <f t="shared" si="110"/>
        <v>VE</v>
      </c>
      <c r="CF171" t="str">
        <f t="shared" si="110"/>
        <v>VE</v>
      </c>
      <c r="CG171" t="str">
        <f t="shared" si="110"/>
        <v>ROB</v>
      </c>
    </row>
    <row r="172" spans="1:85" ht="57" hidden="1" customHeight="1" x14ac:dyDescent="0.25">
      <c r="A172" s="298" t="s">
        <v>491</v>
      </c>
      <c r="B172" s="299" t="str">
        <f>'PLAN INDICATIVO'!B172</f>
        <v>Atención a grupos vulnerables - promoción social</v>
      </c>
      <c r="C172" s="1547"/>
      <c r="D172" s="1551"/>
      <c r="E172" s="1551"/>
      <c r="F172" s="1551"/>
      <c r="G172" s="1551"/>
      <c r="H172" s="1551"/>
      <c r="I172" s="300">
        <f>'PLAN INDICATIVO'!I172</f>
        <v>0</v>
      </c>
      <c r="J172" s="300">
        <f>'PLAN INDICATIVO'!J172</f>
        <v>0</v>
      </c>
      <c r="K172" s="1425" t="str">
        <f>'PLAN INDICATIVO'!K172</f>
        <v>A.14.1.19</v>
      </c>
      <c r="L172" s="1425" t="str">
        <f>'PLAN INDICATIVO'!L172</f>
        <v>10. Reducción de las desigualdades</v>
      </c>
      <c r="M172" s="1425" t="s">
        <v>2735</v>
      </c>
      <c r="N172" s="1425" t="s">
        <v>2736</v>
      </c>
      <c r="O172" s="1425" t="str">
        <f>'PLAN INDICATIVO'!O172</f>
        <v>Incremento</v>
      </c>
      <c r="P172" s="16" t="str">
        <f>'PLAN INDICATIVO'!P172</f>
        <v xml:space="preserve">Realizar 96 operativos de control de NNA en situación de calle o establecimientos de comercio, bares, discotecas, entre otros, que ofrezcan espectáculos para mayores de edad, en el cuatrienio. </v>
      </c>
      <c r="Q172" s="302" t="str">
        <f>'PLAN INDICATIVO'!Q172</f>
        <v xml:space="preserve">Número de operativos de control realizados a NNA en sitios para mayores de edad. </v>
      </c>
      <c r="R172" s="303">
        <f>'PLAN INDICATIVO'!R172</f>
        <v>2015</v>
      </c>
      <c r="S172" s="304">
        <v>48</v>
      </c>
      <c r="T172" s="677">
        <v>96</v>
      </c>
      <c r="U172" s="303">
        <v>24</v>
      </c>
      <c r="V172" s="687">
        <v>4500000</v>
      </c>
      <c r="W172" s="303">
        <v>24</v>
      </c>
      <c r="X172" s="687">
        <v>500000</v>
      </c>
      <c r="Y172" s="286">
        <v>24</v>
      </c>
      <c r="Z172" s="687">
        <v>500000</v>
      </c>
      <c r="AA172" s="291">
        <f>T172-BW172</f>
        <v>29</v>
      </c>
      <c r="AB172" s="687">
        <v>500000</v>
      </c>
      <c r="AC172" s="669">
        <f>16+6+2</f>
        <v>24</v>
      </c>
      <c r="AD172" s="669">
        <v>24</v>
      </c>
      <c r="AE172" s="669">
        <v>19</v>
      </c>
      <c r="AF172" s="669"/>
      <c r="AG172" s="752" t="s">
        <v>3581</v>
      </c>
      <c r="AH172" s="1001">
        <v>2017413960012</v>
      </c>
      <c r="AI172" s="985" t="s">
        <v>5016</v>
      </c>
      <c r="AJ172" s="363">
        <v>43133</v>
      </c>
      <c r="AK172" s="363">
        <v>43434</v>
      </c>
      <c r="AL172" s="358"/>
      <c r="AM172" s="358"/>
      <c r="AN172" s="267" t="s">
        <v>2604</v>
      </c>
      <c r="AO172" s="997" t="s">
        <v>5034</v>
      </c>
      <c r="AP172" s="525"/>
      <c r="AQ172" s="310"/>
      <c r="AR172" s="310"/>
      <c r="AS172" s="310"/>
      <c r="AT172" s="310"/>
      <c r="AU172" s="310"/>
      <c r="AV172" s="310"/>
      <c r="AW172" s="544">
        <f t="shared" si="111"/>
        <v>0</v>
      </c>
      <c r="AX172" s="525"/>
      <c r="AY172" s="310"/>
      <c r="AZ172" s="310"/>
      <c r="BA172" s="310"/>
      <c r="BB172" s="310"/>
      <c r="BC172" s="310"/>
      <c r="BD172" s="310"/>
      <c r="BE172" s="544">
        <f t="shared" si="101"/>
        <v>0</v>
      </c>
      <c r="BF172" s="525"/>
      <c r="BG172" s="310">
        <v>9945000</v>
      </c>
      <c r="BH172" s="310"/>
      <c r="BI172" s="310"/>
      <c r="BJ172" s="310"/>
      <c r="BK172" s="310"/>
      <c r="BL172" s="310"/>
      <c r="BM172" s="544">
        <f t="shared" si="102"/>
        <v>9945000</v>
      </c>
      <c r="BN172" s="525"/>
      <c r="BO172" s="310"/>
      <c r="BP172" s="310"/>
      <c r="BQ172" s="310"/>
      <c r="BR172" s="310"/>
      <c r="BS172" s="310"/>
      <c r="BT172" s="310"/>
      <c r="BU172" s="544">
        <f t="shared" si="103"/>
        <v>0</v>
      </c>
      <c r="BV172" s="556"/>
      <c r="BW172" s="663">
        <f t="shared" si="91"/>
        <v>67</v>
      </c>
      <c r="BX172" s="1047">
        <f t="shared" si="95"/>
        <v>0.69791666666666663</v>
      </c>
      <c r="BY172" s="1047">
        <f t="shared" si="106"/>
        <v>1</v>
      </c>
      <c r="BZ172" s="1047">
        <f t="shared" si="107"/>
        <v>1</v>
      </c>
      <c r="CA172" s="1047">
        <f t="shared" si="108"/>
        <v>0.79166666666666663</v>
      </c>
      <c r="CB172" s="1047">
        <f t="shared" si="109"/>
        <v>0</v>
      </c>
      <c r="CD172" t="str">
        <f t="shared" si="110"/>
        <v>VE</v>
      </c>
      <c r="CE172" t="str">
        <f t="shared" si="110"/>
        <v>VE</v>
      </c>
      <c r="CF172" t="str">
        <f t="shared" si="110"/>
        <v>VEB</v>
      </c>
      <c r="CG172" t="str">
        <f t="shared" si="110"/>
        <v>ROB</v>
      </c>
    </row>
    <row r="173" spans="1:85" ht="60" hidden="1" customHeight="1" x14ac:dyDescent="0.25">
      <c r="A173" s="298" t="s">
        <v>491</v>
      </c>
      <c r="B173" s="299" t="str">
        <f>'PLAN INDICATIVO'!B173</f>
        <v>Atención a grupos vulnerables - promoción social</v>
      </c>
      <c r="C173" s="1547"/>
      <c r="D173" s="1551"/>
      <c r="E173" s="1551"/>
      <c r="F173" s="1551"/>
      <c r="G173" s="1551"/>
      <c r="H173" s="1551"/>
      <c r="I173" s="300">
        <f>'PLAN INDICATIVO'!I173</f>
        <v>0</v>
      </c>
      <c r="J173" s="300">
        <f>'PLAN INDICATIVO'!J173</f>
        <v>0</v>
      </c>
      <c r="K173" s="1425" t="str">
        <f>'PLAN INDICATIVO'!K173</f>
        <v>A.14.1.20</v>
      </c>
      <c r="L173" s="1425" t="str">
        <f>'PLAN INDICATIVO'!L173</f>
        <v>10. Reducción de las desigualdades</v>
      </c>
      <c r="M173" s="1425" t="s">
        <v>2735</v>
      </c>
      <c r="N173" s="1425" t="s">
        <v>2736</v>
      </c>
      <c r="O173" s="1425" t="str">
        <f>'PLAN INDICATIVO'!O173</f>
        <v>Mantenimiento</v>
      </c>
      <c r="P173" s="16" t="str">
        <f>'PLAN INDICATIVO'!P173</f>
        <v>Realizar 3 jornadas al año, de prevención de la violencia y control del delito, en establecimientos educativos, a través de operativos institucionales.</v>
      </c>
      <c r="Q173" s="302" t="str">
        <f>'PLAN INDICATIVO'!Q173</f>
        <v>No. De jornadas realizadas por año</v>
      </c>
      <c r="R173" s="303">
        <f>'PLAN INDICATIVO'!R173</f>
        <v>2015</v>
      </c>
      <c r="S173" s="304">
        <v>3</v>
      </c>
      <c r="T173" s="677">
        <v>12</v>
      </c>
      <c r="U173" s="303">
        <v>3</v>
      </c>
      <c r="V173" s="687">
        <v>3000000</v>
      </c>
      <c r="W173" s="303">
        <v>3</v>
      </c>
      <c r="X173" s="687">
        <v>500000</v>
      </c>
      <c r="Y173" s="286">
        <v>3</v>
      </c>
      <c r="Z173" s="687">
        <v>500000</v>
      </c>
      <c r="AA173" s="291">
        <v>3</v>
      </c>
      <c r="AB173" s="687">
        <v>500000</v>
      </c>
      <c r="AC173" s="669">
        <v>3</v>
      </c>
      <c r="AD173" s="669">
        <v>3</v>
      </c>
      <c r="AE173" s="669">
        <v>3</v>
      </c>
      <c r="AF173" s="669"/>
      <c r="AG173" s="752" t="s">
        <v>3581</v>
      </c>
      <c r="AH173" s="1001">
        <v>2017413960012</v>
      </c>
      <c r="AI173" s="985" t="s">
        <v>4837</v>
      </c>
      <c r="AJ173" s="363">
        <v>43133</v>
      </c>
      <c r="AK173" s="363">
        <v>43434</v>
      </c>
      <c r="AL173" s="358"/>
      <c r="AM173" s="358"/>
      <c r="AN173" s="267" t="s">
        <v>2598</v>
      </c>
      <c r="AO173" s="997" t="s">
        <v>5035</v>
      </c>
      <c r="AP173" s="1010"/>
      <c r="AQ173" s="310"/>
      <c r="AR173" s="310"/>
      <c r="AS173" s="310"/>
      <c r="AT173" s="310"/>
      <c r="AU173" s="310"/>
      <c r="AV173" s="310"/>
      <c r="AW173" s="544">
        <f t="shared" si="111"/>
        <v>0</v>
      </c>
      <c r="AX173" s="525"/>
      <c r="AY173" s="310"/>
      <c r="AZ173" s="310"/>
      <c r="BA173" s="310"/>
      <c r="BB173" s="310"/>
      <c r="BC173" s="310"/>
      <c r="BD173" s="310"/>
      <c r="BE173" s="544">
        <f t="shared" si="101"/>
        <v>0</v>
      </c>
      <c r="BF173" s="525">
        <v>5557500</v>
      </c>
      <c r="BG173" s="310">
        <v>1820000</v>
      </c>
      <c r="BH173" s="310"/>
      <c r="BI173" s="310"/>
      <c r="BJ173" s="310"/>
      <c r="BK173" s="310"/>
      <c r="BL173" s="310"/>
      <c r="BM173" s="544">
        <f t="shared" si="102"/>
        <v>7377500</v>
      </c>
      <c r="BN173" s="525"/>
      <c r="BO173" s="310"/>
      <c r="BP173" s="310"/>
      <c r="BQ173" s="310"/>
      <c r="BR173" s="310"/>
      <c r="BS173" s="310"/>
      <c r="BT173" s="310"/>
      <c r="BU173" s="544">
        <f t="shared" si="103"/>
        <v>0</v>
      </c>
      <c r="BV173" s="556"/>
      <c r="BW173" s="663">
        <f t="shared" si="91"/>
        <v>9</v>
      </c>
      <c r="BX173" s="1047">
        <f t="shared" si="95"/>
        <v>0.75</v>
      </c>
      <c r="BY173" s="1047">
        <f t="shared" si="106"/>
        <v>1</v>
      </c>
      <c r="BZ173" s="1047">
        <f t="shared" si="107"/>
        <v>1</v>
      </c>
      <c r="CA173" s="1047">
        <f t="shared" si="108"/>
        <v>1</v>
      </c>
      <c r="CB173" s="1047">
        <f t="shared" si="109"/>
        <v>0</v>
      </c>
      <c r="CD173" t="str">
        <f t="shared" si="110"/>
        <v>VE</v>
      </c>
      <c r="CE173" t="str">
        <f t="shared" si="110"/>
        <v>VE</v>
      </c>
      <c r="CF173" t="str">
        <f t="shared" si="110"/>
        <v>VE</v>
      </c>
      <c r="CG173" t="str">
        <f t="shared" si="110"/>
        <v>ROB</v>
      </c>
    </row>
    <row r="174" spans="1:85" ht="78.75" hidden="1" customHeight="1" x14ac:dyDescent="0.25">
      <c r="A174" s="298" t="s">
        <v>491</v>
      </c>
      <c r="B174" s="299" t="str">
        <f>'PLAN INDICATIVO'!B174</f>
        <v>Atención a grupos vulnerables - promoción social</v>
      </c>
      <c r="C174" s="1547"/>
      <c r="D174" s="1551"/>
      <c r="E174" s="1551"/>
      <c r="F174" s="1551"/>
      <c r="G174" s="1551"/>
      <c r="H174" s="1551"/>
      <c r="I174" s="300">
        <f>'PLAN INDICATIVO'!I174</f>
        <v>0</v>
      </c>
      <c r="J174" s="300">
        <f>'PLAN INDICATIVO'!J174</f>
        <v>0</v>
      </c>
      <c r="K174" s="1425" t="str">
        <f>'PLAN INDICATIVO'!K174</f>
        <v>A.14.1.21</v>
      </c>
      <c r="L174" s="1425" t="str">
        <f>'PLAN INDICATIVO'!L174</f>
        <v>10. Reducción de las desigualdades</v>
      </c>
      <c r="M174" s="1425" t="s">
        <v>2735</v>
      </c>
      <c r="N174" s="1425" t="s">
        <v>2736</v>
      </c>
      <c r="O174" s="1425" t="str">
        <f>'PLAN INDICATIVO'!O174</f>
        <v>Mantenimiento</v>
      </c>
      <c r="P174" s="16" t="str">
        <f>'PLAN INDICATIVO'!P174</f>
        <v>Implementar 1 campaña para prevenir las peores formas de trabajo infantil, cada año</v>
      </c>
      <c r="Q174" s="302" t="str">
        <f>'PLAN INDICATIVO'!Q174</f>
        <v>Número de campañas implementadas por año</v>
      </c>
      <c r="R174" s="303">
        <f>'PLAN INDICATIVO'!R174</f>
        <v>2015</v>
      </c>
      <c r="S174" s="304">
        <v>1</v>
      </c>
      <c r="T174" s="677">
        <v>4</v>
      </c>
      <c r="U174" s="303">
        <v>1</v>
      </c>
      <c r="V174" s="687">
        <v>2700000</v>
      </c>
      <c r="W174" s="303">
        <v>1</v>
      </c>
      <c r="X174" s="687">
        <v>500000</v>
      </c>
      <c r="Y174" s="286">
        <v>1</v>
      </c>
      <c r="Z174" s="687">
        <v>500000</v>
      </c>
      <c r="AA174" s="291">
        <v>1</v>
      </c>
      <c r="AB174" s="687">
        <v>500000</v>
      </c>
      <c r="AC174" s="669">
        <v>1</v>
      </c>
      <c r="AD174" s="669">
        <v>1</v>
      </c>
      <c r="AE174" s="669">
        <v>1</v>
      </c>
      <c r="AF174" s="669"/>
      <c r="AG174" s="752" t="s">
        <v>3581</v>
      </c>
      <c r="AH174" s="1001">
        <v>2017413960012</v>
      </c>
      <c r="AI174" s="985" t="s">
        <v>5017</v>
      </c>
      <c r="AJ174" s="363">
        <v>43133</v>
      </c>
      <c r="AK174" s="363">
        <v>43434</v>
      </c>
      <c r="AL174" s="358"/>
      <c r="AM174" s="358"/>
      <c r="AN174" s="267" t="s">
        <v>2598</v>
      </c>
      <c r="AO174" s="997" t="s">
        <v>5036</v>
      </c>
      <c r="AP174" s="1010"/>
      <c r="AQ174" s="310"/>
      <c r="AR174" s="310"/>
      <c r="AS174" s="310"/>
      <c r="AT174" s="310"/>
      <c r="AU174" s="310"/>
      <c r="AV174" s="310"/>
      <c r="AW174" s="544">
        <f t="shared" si="111"/>
        <v>0</v>
      </c>
      <c r="AX174" s="525"/>
      <c r="AY174" s="310"/>
      <c r="AZ174" s="310"/>
      <c r="BA174" s="310"/>
      <c r="BB174" s="310"/>
      <c r="BC174" s="310"/>
      <c r="BD174" s="310"/>
      <c r="BE174" s="544">
        <f t="shared" si="101"/>
        <v>0</v>
      </c>
      <c r="BF174" s="525">
        <v>5557500</v>
      </c>
      <c r="BG174" s="310">
        <v>3640000</v>
      </c>
      <c r="BH174" s="310"/>
      <c r="BI174" s="310"/>
      <c r="BJ174" s="310"/>
      <c r="BK174" s="310"/>
      <c r="BL174" s="310"/>
      <c r="BM174" s="544">
        <f t="shared" si="102"/>
        <v>9197500</v>
      </c>
      <c r="BN174" s="525"/>
      <c r="BO174" s="310"/>
      <c r="BP174" s="310"/>
      <c r="BQ174" s="310"/>
      <c r="BR174" s="310"/>
      <c r="BS174" s="310"/>
      <c r="BT174" s="310"/>
      <c r="BU174" s="544">
        <f t="shared" si="103"/>
        <v>0</v>
      </c>
      <c r="BV174" s="556"/>
      <c r="BW174" s="663">
        <f t="shared" si="91"/>
        <v>3</v>
      </c>
      <c r="BX174" s="1047">
        <f t="shared" si="95"/>
        <v>0.75</v>
      </c>
      <c r="BY174" s="1047">
        <f t="shared" si="106"/>
        <v>1</v>
      </c>
      <c r="BZ174" s="1047">
        <f t="shared" si="107"/>
        <v>1</v>
      </c>
      <c r="CA174" s="1047">
        <f t="shared" si="108"/>
        <v>1</v>
      </c>
      <c r="CB174" s="1047">
        <f t="shared" si="109"/>
        <v>0</v>
      </c>
      <c r="CD174" t="str">
        <f t="shared" si="110"/>
        <v>VE</v>
      </c>
      <c r="CE174" t="str">
        <f t="shared" si="110"/>
        <v>VE</v>
      </c>
      <c r="CF174" t="str">
        <f t="shared" si="110"/>
        <v>VE</v>
      </c>
      <c r="CG174" t="str">
        <f t="shared" si="110"/>
        <v>ROB</v>
      </c>
    </row>
    <row r="175" spans="1:85" ht="53.25" hidden="1" customHeight="1" x14ac:dyDescent="0.25">
      <c r="A175" s="298" t="s">
        <v>491</v>
      </c>
      <c r="B175" s="299" t="str">
        <f>'PLAN INDICATIVO'!B175</f>
        <v>Atención a grupos vulnerables - promoción social</v>
      </c>
      <c r="C175" s="1547"/>
      <c r="D175" s="1551"/>
      <c r="E175" s="1551"/>
      <c r="F175" s="1551"/>
      <c r="G175" s="1551"/>
      <c r="H175" s="1551"/>
      <c r="I175" s="300">
        <f>'PLAN INDICATIVO'!I175</f>
        <v>0</v>
      </c>
      <c r="J175" s="300">
        <f>'PLAN INDICATIVO'!J175</f>
        <v>0</v>
      </c>
      <c r="K175" s="1425" t="str">
        <f>'PLAN INDICATIVO'!K175</f>
        <v>A.14.1.22</v>
      </c>
      <c r="L175" s="1425" t="str">
        <f>'PLAN INDICATIVO'!L175</f>
        <v>10. Reducción de las desigualdades</v>
      </c>
      <c r="M175" s="1425" t="s">
        <v>2735</v>
      </c>
      <c r="N175" s="1425" t="s">
        <v>2736</v>
      </c>
      <c r="O175" s="1425" t="str">
        <f>'PLAN INDICATIVO'!O175</f>
        <v>Mantenimiento</v>
      </c>
      <c r="P175" s="16" t="str">
        <f>'PLAN INDICATIVO'!P175</f>
        <v>Realizar 1 celebración del día de la familia cada año, para el fomento y la consolidación de la unidad y convivencia pacifica familiar.</v>
      </c>
      <c r="Q175" s="302" t="str">
        <f>'PLAN INDICATIVO'!Q175</f>
        <v>No. De celebraciones anuales realizadas</v>
      </c>
      <c r="R175" s="303">
        <f>'PLAN INDICATIVO'!R175</f>
        <v>2015</v>
      </c>
      <c r="S175" s="304">
        <v>1</v>
      </c>
      <c r="T175" s="677">
        <v>4</v>
      </c>
      <c r="U175" s="303">
        <v>1</v>
      </c>
      <c r="V175" s="687">
        <v>3000000</v>
      </c>
      <c r="W175" s="303">
        <v>1</v>
      </c>
      <c r="X175" s="687">
        <v>4000000</v>
      </c>
      <c r="Y175" s="286">
        <v>1</v>
      </c>
      <c r="Z175" s="687">
        <v>4000000</v>
      </c>
      <c r="AA175" s="291">
        <v>1</v>
      </c>
      <c r="AB175" s="687">
        <v>4000000</v>
      </c>
      <c r="AC175" s="669">
        <v>1</v>
      </c>
      <c r="AD175" s="669">
        <v>1</v>
      </c>
      <c r="AE175" s="669">
        <v>1</v>
      </c>
      <c r="AF175" s="669"/>
      <c r="AG175" s="752" t="s">
        <v>3581</v>
      </c>
      <c r="AH175" s="1001">
        <v>2017413960012</v>
      </c>
      <c r="AI175" s="985" t="s">
        <v>4902</v>
      </c>
      <c r="AJ175" s="363">
        <v>43133</v>
      </c>
      <c r="AK175" s="363">
        <v>43250</v>
      </c>
      <c r="AL175" s="358"/>
      <c r="AM175" s="358"/>
      <c r="AN175" s="267" t="s">
        <v>2598</v>
      </c>
      <c r="AO175" s="512" t="s">
        <v>5037</v>
      </c>
      <c r="AP175" s="525"/>
      <c r="AQ175" s="310"/>
      <c r="AR175" s="310"/>
      <c r="AS175" s="310"/>
      <c r="AT175" s="310"/>
      <c r="AU175" s="310"/>
      <c r="AV175" s="310"/>
      <c r="AW175" s="544">
        <f t="shared" si="111"/>
        <v>0</v>
      </c>
      <c r="AX175" s="525"/>
      <c r="AY175" s="310"/>
      <c r="AZ175" s="310"/>
      <c r="BA175" s="310"/>
      <c r="BB175" s="310"/>
      <c r="BC175" s="310"/>
      <c r="BD175" s="310"/>
      <c r="BE175" s="544">
        <f t="shared" si="101"/>
        <v>0</v>
      </c>
      <c r="BF175" s="525">
        <f>2184000+15000000</f>
        <v>17184000</v>
      </c>
      <c r="BG175" s="310"/>
      <c r="BH175" s="310"/>
      <c r="BI175" s="310"/>
      <c r="BJ175" s="310"/>
      <c r="BK175" s="310"/>
      <c r="BL175" s="310"/>
      <c r="BM175" s="544">
        <f t="shared" si="102"/>
        <v>17184000</v>
      </c>
      <c r="BN175" s="525"/>
      <c r="BO175" s="310"/>
      <c r="BP175" s="310"/>
      <c r="BQ175" s="310"/>
      <c r="BR175" s="310"/>
      <c r="BS175" s="310"/>
      <c r="BT175" s="310"/>
      <c r="BU175" s="544">
        <f t="shared" si="103"/>
        <v>0</v>
      </c>
      <c r="BV175" s="556"/>
      <c r="BW175" s="663">
        <f t="shared" si="91"/>
        <v>3</v>
      </c>
      <c r="BX175" s="1047">
        <f t="shared" si="95"/>
        <v>0.75</v>
      </c>
      <c r="BY175" s="1047">
        <f t="shared" si="106"/>
        <v>1</v>
      </c>
      <c r="BZ175" s="1047">
        <f t="shared" si="107"/>
        <v>1</v>
      </c>
      <c r="CA175" s="1047">
        <f t="shared" si="108"/>
        <v>1</v>
      </c>
      <c r="CB175" s="1047">
        <f t="shared" si="109"/>
        <v>0</v>
      </c>
      <c r="CD175" t="str">
        <f t="shared" si="110"/>
        <v>VE</v>
      </c>
      <c r="CE175" t="str">
        <f t="shared" si="110"/>
        <v>VE</v>
      </c>
      <c r="CF175" t="str">
        <f t="shared" si="110"/>
        <v>VE</v>
      </c>
      <c r="CG175" t="str">
        <f t="shared" si="110"/>
        <v>ROB</v>
      </c>
    </row>
    <row r="176" spans="1:85" ht="93.75" hidden="1" customHeight="1" x14ac:dyDescent="0.25">
      <c r="A176" s="298" t="s">
        <v>491</v>
      </c>
      <c r="B176" s="299" t="str">
        <f>'PLAN INDICATIVO'!B176</f>
        <v>Atención a grupos vulnerables - promoción social</v>
      </c>
      <c r="C176" s="1547"/>
      <c r="D176" s="1551"/>
      <c r="E176" s="1551"/>
      <c r="F176" s="1551"/>
      <c r="G176" s="1551"/>
      <c r="H176" s="1551"/>
      <c r="I176" s="300">
        <f>'PLAN INDICATIVO'!I176</f>
        <v>0</v>
      </c>
      <c r="J176" s="300">
        <f>'PLAN INDICATIVO'!J176</f>
        <v>0</v>
      </c>
      <c r="K176" s="1425" t="str">
        <f>'PLAN INDICATIVO'!K176</f>
        <v>A.14.1.23</v>
      </c>
      <c r="L176" s="1425" t="str">
        <f>'PLAN INDICATIVO'!L176</f>
        <v>10. Reducción de las desigualdades</v>
      </c>
      <c r="M176" s="1425" t="s">
        <v>2735</v>
      </c>
      <c r="N176" s="1425" t="s">
        <v>2736</v>
      </c>
      <c r="O176" s="1425" t="str">
        <f>'PLAN INDICATIVO'!O176</f>
        <v>Mantenimiento</v>
      </c>
      <c r="P176" s="16" t="str">
        <f>'PLAN INDICATIVO'!P176</f>
        <v>Ejecutar 1 plan de apoyo al personal que presta sus servicios en los programas de población vulnerable, como la infancia, adolescencia, juventud,  el adulto mayor, la población desplazada, los reintegrados, grupos étnicos, madres cabeza de hogar, víctimas del conflicto armado, entre otros.</v>
      </c>
      <c r="Q176" s="302" t="str">
        <f>'PLAN INDICATIVO'!Q176</f>
        <v>No. de planes de apoyo ejecutados por año</v>
      </c>
      <c r="R176" s="303">
        <f>'PLAN INDICATIVO'!R176</f>
        <v>2015</v>
      </c>
      <c r="S176" s="304">
        <v>1</v>
      </c>
      <c r="T176" s="677">
        <v>4</v>
      </c>
      <c r="U176" s="303">
        <v>1</v>
      </c>
      <c r="V176" s="687">
        <v>2000000</v>
      </c>
      <c r="W176" s="303">
        <v>1</v>
      </c>
      <c r="X176" s="687">
        <v>50000000</v>
      </c>
      <c r="Y176" s="286">
        <v>1</v>
      </c>
      <c r="Z176" s="687">
        <v>50000000</v>
      </c>
      <c r="AA176" s="291">
        <v>1</v>
      </c>
      <c r="AB176" s="687">
        <v>19000000</v>
      </c>
      <c r="AC176" s="669">
        <v>1</v>
      </c>
      <c r="AD176" s="669">
        <v>1</v>
      </c>
      <c r="AE176" s="669">
        <v>1</v>
      </c>
      <c r="AF176" s="669"/>
      <c r="AG176" s="752" t="s">
        <v>3581</v>
      </c>
      <c r="AH176" s="1001">
        <v>2017413960012</v>
      </c>
      <c r="AI176" s="985" t="s">
        <v>5018</v>
      </c>
      <c r="AJ176" s="363">
        <v>43133</v>
      </c>
      <c r="AK176" s="363">
        <v>43250</v>
      </c>
      <c r="AL176" s="358"/>
      <c r="AM176" s="358"/>
      <c r="AN176" s="267" t="s">
        <v>2598</v>
      </c>
      <c r="AO176" s="512" t="s">
        <v>5038</v>
      </c>
      <c r="AP176" s="525"/>
      <c r="AQ176" s="310"/>
      <c r="AR176" s="310"/>
      <c r="AS176" s="310"/>
      <c r="AT176" s="310"/>
      <c r="AU176" s="310"/>
      <c r="AV176" s="310"/>
      <c r="AW176" s="544">
        <f t="shared" si="111"/>
        <v>0</v>
      </c>
      <c r="AX176" s="525"/>
      <c r="AY176" s="310"/>
      <c r="AZ176" s="310"/>
      <c r="BA176" s="310"/>
      <c r="BB176" s="310"/>
      <c r="BC176" s="310"/>
      <c r="BD176" s="310"/>
      <c r="BE176" s="544">
        <f t="shared" si="101"/>
        <v>0</v>
      </c>
      <c r="BF176" s="525">
        <v>2730000</v>
      </c>
      <c r="BG176" s="310"/>
      <c r="BH176" s="310"/>
      <c r="BI176" s="310"/>
      <c r="BJ176" s="310"/>
      <c r="BK176" s="310"/>
      <c r="BL176" s="310"/>
      <c r="BM176" s="544">
        <f t="shared" si="102"/>
        <v>2730000</v>
      </c>
      <c r="BN176" s="525"/>
      <c r="BO176" s="310"/>
      <c r="BP176" s="310"/>
      <c r="BQ176" s="310"/>
      <c r="BR176" s="310"/>
      <c r="BS176" s="310"/>
      <c r="BT176" s="310"/>
      <c r="BU176" s="544">
        <f t="shared" si="103"/>
        <v>0</v>
      </c>
      <c r="BV176" s="556"/>
      <c r="BW176" s="663">
        <f t="shared" si="91"/>
        <v>3</v>
      </c>
      <c r="BX176" s="1047">
        <f t="shared" si="95"/>
        <v>0.75</v>
      </c>
      <c r="BY176" s="1047">
        <f t="shared" si="106"/>
        <v>1</v>
      </c>
      <c r="BZ176" s="1047">
        <f t="shared" si="107"/>
        <v>1</v>
      </c>
      <c r="CA176" s="1047">
        <f t="shared" si="108"/>
        <v>1</v>
      </c>
      <c r="CB176" s="1047">
        <f t="shared" si="109"/>
        <v>0</v>
      </c>
      <c r="CD176" t="str">
        <f t="shared" si="110"/>
        <v>VE</v>
      </c>
      <c r="CE176" t="str">
        <f t="shared" si="110"/>
        <v>VE</v>
      </c>
      <c r="CF176" t="str">
        <f t="shared" si="110"/>
        <v>VE</v>
      </c>
      <c r="CG176" t="str">
        <f t="shared" si="110"/>
        <v>ROB</v>
      </c>
    </row>
    <row r="177" spans="1:85" ht="74.25" hidden="1" customHeight="1" x14ac:dyDescent="0.25">
      <c r="A177" s="298" t="s">
        <v>491</v>
      </c>
      <c r="B177" s="299" t="str">
        <f>'PLAN INDICATIVO'!B177</f>
        <v>Atención a grupos vulnerables - promoción social</v>
      </c>
      <c r="C177" s="1547"/>
      <c r="D177" s="1551"/>
      <c r="E177" s="1551"/>
      <c r="F177" s="1552"/>
      <c r="G177" s="1551"/>
      <c r="H177" s="1551"/>
      <c r="I177" s="300">
        <f>'PLAN INDICATIVO'!I177</f>
        <v>0</v>
      </c>
      <c r="J177" s="300">
        <f>'PLAN INDICATIVO'!J177</f>
        <v>0</v>
      </c>
      <c r="K177" s="1425" t="str">
        <f>'PLAN INDICATIVO'!K177</f>
        <v>A.14.1.24</v>
      </c>
      <c r="L177" s="1425" t="str">
        <f>'PLAN INDICATIVO'!L177</f>
        <v>10. Reducción de las desigualdades</v>
      </c>
      <c r="M177" s="1425" t="s">
        <v>2735</v>
      </c>
      <c r="N177" s="1425" t="s">
        <v>2736</v>
      </c>
      <c r="O177" s="1425" t="str">
        <f>'PLAN INDICATIVO'!O177</f>
        <v>Incremento</v>
      </c>
      <c r="P177" s="1198" t="str">
        <f>'PLAN INDICATIVO'!P177</f>
        <v xml:space="preserve">Construir 8 parques infantiles, durante el cuatrienio. </v>
      </c>
      <c r="Q177" s="302" t="str">
        <f>'PLAN INDICATIVO'!Q177</f>
        <v xml:space="preserve">No. de parques construidos </v>
      </c>
      <c r="R177" s="303">
        <f>'PLAN INDICATIVO'!R177</f>
        <v>2015</v>
      </c>
      <c r="S177" s="304" t="s">
        <v>177</v>
      </c>
      <c r="T177" s="1293">
        <v>8</v>
      </c>
      <c r="U177" s="303">
        <v>0.7</v>
      </c>
      <c r="V177" s="687">
        <v>200000</v>
      </c>
      <c r="W177" s="303">
        <v>0.7</v>
      </c>
      <c r="X177" s="687">
        <v>0</v>
      </c>
      <c r="Y177" s="286">
        <v>7</v>
      </c>
      <c r="Z177" s="687">
        <v>0</v>
      </c>
      <c r="AA177" s="291"/>
      <c r="AB177" s="687">
        <v>0</v>
      </c>
      <c r="AC177" s="669">
        <v>0.3</v>
      </c>
      <c r="AD177" s="669">
        <v>1</v>
      </c>
      <c r="AE177" s="669">
        <v>7</v>
      </c>
      <c r="AF177" s="669"/>
      <c r="AG177" s="752" t="s">
        <v>3581</v>
      </c>
      <c r="AH177" s="1001">
        <v>2017413960012</v>
      </c>
      <c r="AI177" s="985" t="s">
        <v>3610</v>
      </c>
      <c r="AJ177" s="358"/>
      <c r="AK177" s="358"/>
      <c r="AL177" s="358"/>
      <c r="AM177" s="358"/>
      <c r="AN177" s="267" t="s">
        <v>2598</v>
      </c>
      <c r="AO177" s="512" t="s">
        <v>5039</v>
      </c>
      <c r="AP177" s="525"/>
      <c r="AQ177" s="310"/>
      <c r="AR177" s="310"/>
      <c r="AS177" s="310"/>
      <c r="AT177" s="310"/>
      <c r="AU177" s="310"/>
      <c r="AV177" s="310"/>
      <c r="AW177" s="544">
        <f t="shared" si="111"/>
        <v>0</v>
      </c>
      <c r="AX177" s="525"/>
      <c r="AY177" s="310"/>
      <c r="AZ177" s="310"/>
      <c r="BA177" s="310"/>
      <c r="BB177" s="310"/>
      <c r="BC177" s="310"/>
      <c r="BD177" s="310"/>
      <c r="BE177" s="544">
        <f t="shared" si="101"/>
        <v>0</v>
      </c>
      <c r="BF177" s="525"/>
      <c r="BG177" s="310">
        <v>247703629</v>
      </c>
      <c r="BH177" s="310"/>
      <c r="BI177" s="310"/>
      <c r="BJ177" s="310"/>
      <c r="BK177" s="310"/>
      <c r="BL177" s="310"/>
      <c r="BM177" s="544">
        <f t="shared" si="102"/>
        <v>247703629</v>
      </c>
      <c r="BN177" s="525"/>
      <c r="BO177" s="310"/>
      <c r="BP177" s="310"/>
      <c r="BQ177" s="310"/>
      <c r="BR177" s="310"/>
      <c r="BS177" s="310"/>
      <c r="BT177" s="310"/>
      <c r="BU177" s="544">
        <f t="shared" si="103"/>
        <v>0</v>
      </c>
      <c r="BV177" s="556"/>
      <c r="BW177" s="663">
        <f t="shared" si="91"/>
        <v>8.3000000000000007</v>
      </c>
      <c r="BX177" s="1047">
        <f t="shared" si="95"/>
        <v>1.0375000000000001</v>
      </c>
      <c r="BY177" s="1047">
        <f t="shared" si="106"/>
        <v>0.4285714285714286</v>
      </c>
      <c r="BZ177" s="1047">
        <f t="shared" si="107"/>
        <v>1.4285714285714286</v>
      </c>
      <c r="CA177" s="1047">
        <f t="shared" si="108"/>
        <v>1</v>
      </c>
      <c r="CB177" s="1047" t="str">
        <f t="shared" si="109"/>
        <v>No Programada</v>
      </c>
      <c r="CD177" t="str">
        <f t="shared" si="110"/>
        <v>AMB</v>
      </c>
      <c r="CE177" t="str">
        <f t="shared" si="110"/>
        <v>VE</v>
      </c>
      <c r="CF177" t="str">
        <f t="shared" si="110"/>
        <v>VE</v>
      </c>
      <c r="CG177" t="str">
        <f t="shared" si="110"/>
        <v>NP</v>
      </c>
    </row>
    <row r="178" spans="1:85" ht="74.25" hidden="1" customHeight="1" x14ac:dyDescent="0.25">
      <c r="A178" s="298" t="s">
        <v>491</v>
      </c>
      <c r="B178" s="299">
        <f>'PLAN INDICATIVO'!B178</f>
        <v>0</v>
      </c>
      <c r="C178" s="1548"/>
      <c r="D178" s="1552"/>
      <c r="E178" s="1552"/>
      <c r="F178" s="1427"/>
      <c r="G178" s="1552"/>
      <c r="H178" s="1552"/>
      <c r="I178" s="300">
        <f>'PLAN INDICATIVO'!I178</f>
        <v>0</v>
      </c>
      <c r="J178" s="300">
        <f>'PLAN INDICATIVO'!J178</f>
        <v>0</v>
      </c>
      <c r="K178" s="67" t="str">
        <f>'PLAN INDICATIVO'!K178</f>
        <v>A.14.1.25</v>
      </c>
      <c r="L178" s="67" t="str">
        <f>'PLAN INDICATIVO'!L178</f>
        <v>10. Reducción de las desigualdades</v>
      </c>
      <c r="M178" s="67" t="s">
        <v>2735</v>
      </c>
      <c r="N178" s="67" t="s">
        <v>2736</v>
      </c>
      <c r="O178" s="67"/>
      <c r="P178" s="1364" t="str">
        <f>'PLAN INDICATIVO'!P178</f>
        <v>Suministrar dotación a los 6 CDI del municipio de La Plata, durante el cuatrenio</v>
      </c>
      <c r="Q178" s="302" t="str">
        <f>'PLAN INDICATIVO'!Q178</f>
        <v xml:space="preserve">No. CDI dotación </v>
      </c>
      <c r="R178" s="303"/>
      <c r="S178" s="304"/>
      <c r="T178" s="1293">
        <v>6</v>
      </c>
      <c r="U178" s="303"/>
      <c r="V178" s="687"/>
      <c r="W178" s="303"/>
      <c r="X178" s="687"/>
      <c r="Y178" s="286"/>
      <c r="Z178" s="687"/>
      <c r="AA178" s="291">
        <v>6</v>
      </c>
      <c r="AB178" s="687"/>
      <c r="AC178" s="669"/>
      <c r="AD178" s="669"/>
      <c r="AE178" s="669"/>
      <c r="AF178" s="669"/>
      <c r="AG178" s="752"/>
      <c r="AH178" s="1001"/>
      <c r="AI178" s="1494" t="s">
        <v>5019</v>
      </c>
      <c r="AJ178" s="358"/>
      <c r="AK178" s="358"/>
      <c r="AL178" s="358"/>
      <c r="AM178" s="358"/>
      <c r="AN178" s="267"/>
      <c r="AO178" s="512"/>
      <c r="AP178" s="525"/>
      <c r="AQ178" s="766"/>
      <c r="AR178" s="766"/>
      <c r="AS178" s="766"/>
      <c r="AT178" s="766"/>
      <c r="AU178" s="766"/>
      <c r="AV178" s="766"/>
      <c r="AW178" s="544"/>
      <c r="AX178" s="525"/>
      <c r="AY178" s="766"/>
      <c r="AZ178" s="766"/>
      <c r="BA178" s="766"/>
      <c r="BB178" s="766"/>
      <c r="BC178" s="766"/>
      <c r="BD178" s="766"/>
      <c r="BE178" s="544"/>
      <c r="BF178" s="525"/>
      <c r="BG178" s="766"/>
      <c r="BH178" s="766"/>
      <c r="BI178" s="766"/>
      <c r="BJ178" s="766"/>
      <c r="BK178" s="766"/>
      <c r="BL178" s="766"/>
      <c r="BM178" s="544">
        <f>BF178+BG178+BH178+BI178+BJ178+BK178+BL178</f>
        <v>0</v>
      </c>
      <c r="BN178" s="525"/>
      <c r="BO178" s="766"/>
      <c r="BP178" s="766"/>
      <c r="BQ178" s="766"/>
      <c r="BR178" s="766"/>
      <c r="BS178" s="766"/>
      <c r="BT178" s="766"/>
      <c r="BU178" s="544"/>
      <c r="BV178" s="556"/>
      <c r="BW178" s="1362"/>
      <c r="BX178" s="1363"/>
      <c r="BY178" s="1363"/>
      <c r="BZ178" s="1363"/>
      <c r="CA178" s="1363"/>
      <c r="CB178" s="1047"/>
    </row>
    <row r="179" spans="1:85" ht="9" hidden="1" customHeight="1" x14ac:dyDescent="0.25">
      <c r="A179" s="295"/>
      <c r="B179" s="24" t="str">
        <f>'PLAN INDICATIVO'!B179</f>
        <v>Atención a grupos vulnerables - promoción social</v>
      </c>
      <c r="C179" s="154"/>
      <c r="D179" s="2" t="s">
        <v>567</v>
      </c>
      <c r="E179" s="1"/>
      <c r="F179" s="1"/>
      <c r="G179" s="1"/>
      <c r="H179" s="1"/>
      <c r="I179" s="1"/>
      <c r="J179" s="1"/>
      <c r="K179" s="1"/>
      <c r="L179" s="1"/>
      <c r="M179" s="1"/>
      <c r="N179" s="17"/>
      <c r="O179" s="1"/>
      <c r="P179" s="22" t="s">
        <v>568</v>
      </c>
      <c r="Q179" s="22"/>
      <c r="R179" s="1"/>
      <c r="S179" s="261"/>
      <c r="T179" s="681"/>
      <c r="U179" s="261"/>
      <c r="V179" s="702">
        <f>SUM(V180:V189)</f>
        <v>21500000</v>
      </c>
      <c r="W179" s="261"/>
      <c r="X179" s="689">
        <f>SUM(X180:X189)</f>
        <v>17000000</v>
      </c>
      <c r="Y179" s="261"/>
      <c r="Z179" s="689">
        <f>SUM(Z180:Z189)</f>
        <v>17000000</v>
      </c>
      <c r="AA179" s="261"/>
      <c r="AB179" s="698">
        <f>SUM(AB180:AB189)</f>
        <v>17000000</v>
      </c>
      <c r="AC179" s="261"/>
      <c r="AD179" s="261"/>
      <c r="AE179" s="261"/>
      <c r="AF179" s="261"/>
      <c r="AG179" s="273"/>
      <c r="AH179" s="273"/>
      <c r="AI179" s="273"/>
      <c r="AJ179" s="261"/>
      <c r="AK179" s="261"/>
      <c r="AL179" s="261"/>
      <c r="AM179" s="261"/>
      <c r="AN179" s="261"/>
      <c r="AO179" s="635"/>
      <c r="AP179" s="616"/>
      <c r="AQ179" s="616"/>
      <c r="AR179" s="616"/>
      <c r="AS179" s="616"/>
      <c r="AT179" s="616"/>
      <c r="AU179" s="616"/>
      <c r="AV179" s="616"/>
      <c r="AW179" s="617"/>
      <c r="AX179" s="616" t="e">
        <f>(AX180:AX189)</f>
        <v>#VALUE!</v>
      </c>
      <c r="AY179" s="616" t="e">
        <f t="shared" ref="AY179:BD179" si="112">(AY180:AY189)</f>
        <v>#VALUE!</v>
      </c>
      <c r="AZ179" s="616" t="e">
        <f t="shared" si="112"/>
        <v>#VALUE!</v>
      </c>
      <c r="BA179" s="616" t="e">
        <f t="shared" si="112"/>
        <v>#VALUE!</v>
      </c>
      <c r="BB179" s="616" t="e">
        <f t="shared" si="112"/>
        <v>#VALUE!</v>
      </c>
      <c r="BC179" s="616" t="e">
        <f t="shared" si="112"/>
        <v>#VALUE!</v>
      </c>
      <c r="BD179" s="616" t="e">
        <f t="shared" si="112"/>
        <v>#VALUE!</v>
      </c>
      <c r="BE179" s="617" t="e">
        <f t="shared" si="101"/>
        <v>#VALUE!</v>
      </c>
      <c r="BF179" s="616"/>
      <c r="BG179" s="616"/>
      <c r="BH179" s="616"/>
      <c r="BI179" s="616"/>
      <c r="BJ179" s="616"/>
      <c r="BK179" s="616"/>
      <c r="BL179" s="616"/>
      <c r="BM179" s="617">
        <f t="shared" si="102"/>
        <v>0</v>
      </c>
      <c r="BN179" s="616" t="e">
        <f>(BN180:BN189)</f>
        <v>#VALUE!</v>
      </c>
      <c r="BO179" s="616" t="e">
        <f t="shared" ref="BO179:BT179" si="113">(BO180:BO189)</f>
        <v>#VALUE!</v>
      </c>
      <c r="BP179" s="616" t="e">
        <f t="shared" si="113"/>
        <v>#VALUE!</v>
      </c>
      <c r="BQ179" s="616" t="e">
        <f t="shared" si="113"/>
        <v>#VALUE!</v>
      </c>
      <c r="BR179" s="616" t="e">
        <f t="shared" si="113"/>
        <v>#VALUE!</v>
      </c>
      <c r="BS179" s="616" t="e">
        <f t="shared" si="113"/>
        <v>#VALUE!</v>
      </c>
      <c r="BT179" s="616" t="e">
        <f t="shared" si="113"/>
        <v>#VALUE!</v>
      </c>
      <c r="BU179" s="617" t="e">
        <f t="shared" si="103"/>
        <v>#VALUE!</v>
      </c>
      <c r="BV179" s="556"/>
      <c r="BW179" s="617" t="s">
        <v>2717</v>
      </c>
      <c r="BX179" s="617" t="s">
        <v>2717</v>
      </c>
      <c r="BY179" s="617" t="s">
        <v>2717</v>
      </c>
      <c r="BZ179" s="617" t="s">
        <v>2717</v>
      </c>
      <c r="CA179" s="617" t="s">
        <v>2717</v>
      </c>
      <c r="CB179" s="1047" t="s">
        <v>2717</v>
      </c>
    </row>
    <row r="180" spans="1:85" ht="97.5" hidden="1" customHeight="1" x14ac:dyDescent="0.25">
      <c r="A180" s="298" t="s">
        <v>491</v>
      </c>
      <c r="B180" s="299" t="str">
        <f>'PLAN INDICATIVO'!B180</f>
        <v>Atención a grupos vulnerables - promoción social</v>
      </c>
      <c r="C180" s="1559" t="s">
        <v>569</v>
      </c>
      <c r="D180" s="1549" t="s">
        <v>570</v>
      </c>
      <c r="E180" s="1549" t="s">
        <v>571</v>
      </c>
      <c r="F180" s="1549">
        <v>2015</v>
      </c>
      <c r="G180" s="1549" t="s">
        <v>177</v>
      </c>
      <c r="H180" s="1549">
        <v>10</v>
      </c>
      <c r="I180" s="300">
        <f>'PLAN INDICATIVO'!I180</f>
        <v>0</v>
      </c>
      <c r="J180" s="300">
        <f>'PLAN INDICATIVO'!J180</f>
        <v>0</v>
      </c>
      <c r="K180" s="1425" t="str">
        <f>'PLAN INDICATIVO'!K180</f>
        <v>A.14.2.1</v>
      </c>
      <c r="L180" s="1425" t="str">
        <f>'PLAN INDICATIVO'!L180</f>
        <v>10. Reducción de las desigualdades</v>
      </c>
      <c r="M180" s="1425" t="str">
        <f>'PLAN INDICATIVO'!M180</f>
        <v>Secretaría de Gobierno</v>
      </c>
      <c r="N180" s="1425" t="str">
        <f>'PLAN INDICATIVO'!N180</f>
        <v>HERNAN RODRIGUEZ FALLA</v>
      </c>
      <c r="O180" s="1425" t="str">
        <f>'PLAN INDICATIVO'!O180</f>
        <v>Mantenimiento</v>
      </c>
      <c r="P180" s="16" t="str">
        <f>'PLAN INDICATIVO'!P180</f>
        <v>implementar 1 plataforma de juventudes conformada y funcionando cada año</v>
      </c>
      <c r="Q180" s="302" t="str">
        <f>'PLAN INDICATIVO'!Q180</f>
        <v>1 plataforma implementada por año</v>
      </c>
      <c r="R180" s="303">
        <f>'PLAN INDICATIVO'!R180</f>
        <v>2015</v>
      </c>
      <c r="S180" s="304">
        <v>0</v>
      </c>
      <c r="T180" s="699">
        <v>4</v>
      </c>
      <c r="U180" s="303">
        <v>1</v>
      </c>
      <c r="V180" s="687">
        <v>9000000</v>
      </c>
      <c r="W180" s="303">
        <v>1</v>
      </c>
      <c r="X180" s="687">
        <v>3000000</v>
      </c>
      <c r="Y180" s="286">
        <v>1</v>
      </c>
      <c r="Z180" s="1233">
        <v>3000000</v>
      </c>
      <c r="AA180" s="291">
        <v>1</v>
      </c>
      <c r="AB180" s="687">
        <v>3000000</v>
      </c>
      <c r="AC180" s="669">
        <v>1</v>
      </c>
      <c r="AD180" s="669">
        <v>1</v>
      </c>
      <c r="AE180" s="669">
        <v>1</v>
      </c>
      <c r="AF180" s="669"/>
      <c r="AG180" s="344" t="s">
        <v>4116</v>
      </c>
      <c r="AH180" s="987">
        <v>2015413960015</v>
      </c>
      <c r="AI180" s="355" t="s">
        <v>4117</v>
      </c>
      <c r="AJ180" s="356"/>
      <c r="AK180" s="356"/>
      <c r="AL180" s="358"/>
      <c r="AM180" s="358"/>
      <c r="AN180" s="267" t="s">
        <v>2598</v>
      </c>
      <c r="AO180" s="512"/>
      <c r="AP180" s="724"/>
      <c r="AQ180" s="725"/>
      <c r="AR180" s="725"/>
      <c r="AS180" s="725"/>
      <c r="AT180" s="725"/>
      <c r="AU180" s="725"/>
      <c r="AV180" s="725"/>
      <c r="AW180" s="726"/>
      <c r="AX180" s="525"/>
      <c r="AY180" s="310"/>
      <c r="AZ180" s="310"/>
      <c r="BA180" s="310"/>
      <c r="BB180" s="310"/>
      <c r="BC180" s="310"/>
      <c r="BD180" s="310"/>
      <c r="BE180" s="544">
        <f t="shared" si="101"/>
        <v>0</v>
      </c>
      <c r="BF180" s="525"/>
      <c r="BG180" s="310"/>
      <c r="BH180" s="310"/>
      <c r="BI180" s="310"/>
      <c r="BJ180" s="310"/>
      <c r="BK180" s="310"/>
      <c r="BL180" s="310"/>
      <c r="BM180" s="544">
        <f t="shared" si="102"/>
        <v>0</v>
      </c>
      <c r="BN180" s="525"/>
      <c r="BO180" s="310"/>
      <c r="BP180" s="310"/>
      <c r="BQ180" s="310"/>
      <c r="BR180" s="310"/>
      <c r="BS180" s="310"/>
      <c r="BT180" s="310"/>
      <c r="BU180" s="544">
        <f t="shared" si="103"/>
        <v>0</v>
      </c>
      <c r="BV180" s="556"/>
      <c r="BW180" s="663">
        <f t="shared" si="91"/>
        <v>3</v>
      </c>
      <c r="BX180" s="1047">
        <f t="shared" si="95"/>
        <v>0.75</v>
      </c>
      <c r="BY180" s="1047">
        <f t="shared" ref="BY180:BY189" si="114">IF(U180&gt;=0.1,AC180/U180,IF(ISBLANK(U180),"No Programada","Aplazada"))</f>
        <v>1</v>
      </c>
      <c r="BZ180" s="1047">
        <f t="shared" ref="BZ180:BZ189" si="115">IF(W180&gt;=0.1,AD180/W180,IF(ISBLANK(W180),"No Programada","Aplazada"))</f>
        <v>1</v>
      </c>
      <c r="CA180" s="1047">
        <f t="shared" ref="CA180:CA189" si="116">IF(Y180&gt;=0.1,AE180/Y180,IF(ISBLANK(Y180),"No Programada","Aplazada"))</f>
        <v>1</v>
      </c>
      <c r="CB180" s="1047">
        <f t="shared" ref="CB180:CB190" si="117">IF(AA180&gt;=0.1,AF180/AA180,IF(ISBLANK(AA180),"No Programada","Aplazada"))</f>
        <v>0</v>
      </c>
      <c r="CD180" t="str">
        <f t="shared" ref="CD180:CG190" si="118">IF(BY180="PARA MODIFICAR","M",IF(BY180="PARA ELIMINAR","E",IF(BY180="aplazada","AZ",IF(BY180="no programada","NP",IF(BY180&gt;=85%,"VE",IF(BY180&gt;70%,"VEB",IF(BY180&gt;60%,"AM",IF(BY180&gt;40%,"AMB",IF(BY180&gt;20%,"RO",IF(BY180&gt;=0%,"ROB",""))))))))))</f>
        <v>VE</v>
      </c>
      <c r="CE180" t="str">
        <f t="shared" si="118"/>
        <v>VE</v>
      </c>
      <c r="CF180" t="str">
        <f t="shared" si="118"/>
        <v>VE</v>
      </c>
      <c r="CG180" t="str">
        <f t="shared" si="118"/>
        <v>ROB</v>
      </c>
    </row>
    <row r="181" spans="1:85" ht="66" hidden="1" customHeight="1" x14ac:dyDescent="0.25">
      <c r="A181" s="298" t="s">
        <v>491</v>
      </c>
      <c r="B181" s="299" t="str">
        <f>'PLAN INDICATIVO'!B181</f>
        <v>Atención a grupos vulnerables - promoción social</v>
      </c>
      <c r="C181" s="1559"/>
      <c r="D181" s="1549"/>
      <c r="E181" s="1549"/>
      <c r="F181" s="1549"/>
      <c r="G181" s="1549"/>
      <c r="H181" s="1549"/>
      <c r="I181" s="300">
        <f>'PLAN INDICATIVO'!I181</f>
        <v>0</v>
      </c>
      <c r="J181" s="300">
        <f>'PLAN INDICATIVO'!J181</f>
        <v>0</v>
      </c>
      <c r="K181" s="1425" t="str">
        <f>'PLAN INDICATIVO'!K181</f>
        <v>A.14.2.2</v>
      </c>
      <c r="L181" s="1425" t="str">
        <f>'PLAN INDICATIVO'!L181</f>
        <v>10. Reducción de las desigualdades</v>
      </c>
      <c r="M181" s="1425" t="str">
        <f>'PLAN INDICATIVO'!M181</f>
        <v>Secretaría de Gobierno</v>
      </c>
      <c r="N181" s="1425" t="str">
        <f>'PLAN INDICATIVO'!N181</f>
        <v>HERNAN RODRIGUEZ FALLA</v>
      </c>
      <c r="O181" s="1425" t="str">
        <f>'PLAN INDICATIVO'!O181</f>
        <v>Incremento</v>
      </c>
      <c r="P181" s="16" t="str">
        <f>'PLAN INDICATIVO'!P181</f>
        <v xml:space="preserve">Realizar 8 asambleas de juventudes conforme a la Ley 1622/2013, durante el cuatrienio. </v>
      </c>
      <c r="Q181" s="302" t="str">
        <f>'PLAN INDICATIVO'!Q181</f>
        <v xml:space="preserve">No. de asambleas realizadas </v>
      </c>
      <c r="R181" s="303">
        <f>'PLAN INDICATIVO'!R181</f>
        <v>2015</v>
      </c>
      <c r="S181" s="304">
        <v>0</v>
      </c>
      <c r="T181" s="699">
        <v>8</v>
      </c>
      <c r="U181" s="303">
        <v>2</v>
      </c>
      <c r="V181" s="687">
        <v>1500000</v>
      </c>
      <c r="W181" s="303">
        <v>2</v>
      </c>
      <c r="X181" s="687">
        <v>500000</v>
      </c>
      <c r="Y181" s="286">
        <v>2</v>
      </c>
      <c r="Z181" s="1233">
        <v>500000</v>
      </c>
      <c r="AA181" s="291">
        <v>2</v>
      </c>
      <c r="AB181" s="687">
        <v>500000</v>
      </c>
      <c r="AC181" s="669">
        <v>2</v>
      </c>
      <c r="AD181" s="669">
        <v>2</v>
      </c>
      <c r="AE181" s="669">
        <v>2</v>
      </c>
      <c r="AF181" s="669"/>
      <c r="AG181" s="344" t="s">
        <v>4116</v>
      </c>
      <c r="AH181" s="987">
        <v>2015413960015</v>
      </c>
      <c r="AI181" s="355" t="s">
        <v>4118</v>
      </c>
      <c r="AJ181" s="356"/>
      <c r="AK181" s="356"/>
      <c r="AL181" s="358"/>
      <c r="AM181" s="358"/>
      <c r="AN181" s="267" t="s">
        <v>2598</v>
      </c>
      <c r="AO181" s="512"/>
      <c r="AP181" s="724"/>
      <c r="AQ181" s="725"/>
      <c r="AR181" s="725"/>
      <c r="AS181" s="725"/>
      <c r="AT181" s="725"/>
      <c r="AU181" s="725"/>
      <c r="AV181" s="725"/>
      <c r="AW181" s="726"/>
      <c r="AX181" s="525"/>
      <c r="AY181" s="310"/>
      <c r="AZ181" s="310"/>
      <c r="BA181" s="310"/>
      <c r="BB181" s="310"/>
      <c r="BC181" s="310"/>
      <c r="BD181" s="310"/>
      <c r="BE181" s="544">
        <f t="shared" si="101"/>
        <v>0</v>
      </c>
      <c r="BF181" s="525"/>
      <c r="BG181" s="310"/>
      <c r="BH181" s="310"/>
      <c r="BI181" s="310"/>
      <c r="BJ181" s="310"/>
      <c r="BK181" s="310"/>
      <c r="BL181" s="310"/>
      <c r="BM181" s="544">
        <f t="shared" si="102"/>
        <v>0</v>
      </c>
      <c r="BN181" s="525"/>
      <c r="BO181" s="310"/>
      <c r="BP181" s="310"/>
      <c r="BQ181" s="310"/>
      <c r="BR181" s="310"/>
      <c r="BS181" s="310"/>
      <c r="BT181" s="310"/>
      <c r="BU181" s="544">
        <f t="shared" si="103"/>
        <v>0</v>
      </c>
      <c r="BV181" s="556"/>
      <c r="BW181" s="663">
        <f t="shared" si="91"/>
        <v>6</v>
      </c>
      <c r="BX181" s="1047">
        <f t="shared" si="95"/>
        <v>0.75</v>
      </c>
      <c r="BY181" s="1047">
        <f t="shared" si="114"/>
        <v>1</v>
      </c>
      <c r="BZ181" s="1047">
        <f t="shared" si="115"/>
        <v>1</v>
      </c>
      <c r="CA181" s="1047">
        <f t="shared" si="116"/>
        <v>1</v>
      </c>
      <c r="CB181" s="1047">
        <f t="shared" si="117"/>
        <v>0</v>
      </c>
      <c r="CD181" t="str">
        <f t="shared" si="118"/>
        <v>VE</v>
      </c>
      <c r="CE181" t="str">
        <f t="shared" si="118"/>
        <v>VE</v>
      </c>
      <c r="CF181" t="str">
        <f t="shared" si="118"/>
        <v>VE</v>
      </c>
      <c r="CG181" t="str">
        <f t="shared" si="118"/>
        <v>ROB</v>
      </c>
    </row>
    <row r="182" spans="1:85" ht="63.75" hidden="1" customHeight="1" x14ac:dyDescent="0.25">
      <c r="A182" s="298" t="s">
        <v>2458</v>
      </c>
      <c r="B182" s="299" t="str">
        <f>'PLAN INDICATIVO'!B182</f>
        <v>Atención a grupos vulnerables - promoción social</v>
      </c>
      <c r="C182" s="1559"/>
      <c r="D182" s="1549"/>
      <c r="E182" s="1549"/>
      <c r="F182" s="1549"/>
      <c r="G182" s="1549"/>
      <c r="H182" s="1549"/>
      <c r="I182" s="300">
        <f>'PLAN INDICATIVO'!I182</f>
        <v>0</v>
      </c>
      <c r="J182" s="300">
        <f>'PLAN INDICATIVO'!J182</f>
        <v>0</v>
      </c>
      <c r="K182" s="1425" t="str">
        <f>'PLAN INDICATIVO'!K182</f>
        <v>A.14.2.3</v>
      </c>
      <c r="L182" s="1425" t="str">
        <f>'PLAN INDICATIVO'!L182</f>
        <v>10. Reducción de las desigualdades</v>
      </c>
      <c r="M182" s="1425" t="str">
        <f>'PLAN INDICATIVO'!M182</f>
        <v>Secretaría de Gobierno</v>
      </c>
      <c r="N182" s="1425" t="str">
        <f>'PLAN INDICATIVO'!N182</f>
        <v>HERNAN RODRIGUEZ FALLA</v>
      </c>
      <c r="O182" s="1425" t="str">
        <f>'PLAN INDICATIVO'!O182</f>
        <v>Incremento</v>
      </c>
      <c r="P182" s="1198" t="str">
        <f>'PLAN INDICATIVO'!P182</f>
        <v xml:space="preserve">Realizar 4 reuniones de concertación entre el plataforma juvenil y el gabinete municipal, durante el cuatrienio. </v>
      </c>
      <c r="Q182" s="302" t="str">
        <f>'PLAN INDICATIVO'!Q182</f>
        <v>No. de reuniones de concertación realizadas.</v>
      </c>
      <c r="R182" s="303">
        <f>'PLAN INDICATIVO'!R182</f>
        <v>2015</v>
      </c>
      <c r="S182" s="304">
        <v>0</v>
      </c>
      <c r="T182" s="699">
        <v>4</v>
      </c>
      <c r="U182" s="303">
        <v>1</v>
      </c>
      <c r="V182" s="687">
        <v>1000000</v>
      </c>
      <c r="W182" s="17">
        <v>0</v>
      </c>
      <c r="X182" s="687">
        <v>500000</v>
      </c>
      <c r="Y182" s="286"/>
      <c r="Z182" s="1233">
        <v>500000</v>
      </c>
      <c r="AA182" s="291">
        <v>3</v>
      </c>
      <c r="AB182" s="687">
        <v>500000</v>
      </c>
      <c r="AC182" s="669">
        <v>1</v>
      </c>
      <c r="AD182" s="669"/>
      <c r="AE182" s="669"/>
      <c r="AF182" s="669"/>
      <c r="AG182" s="344" t="s">
        <v>4116</v>
      </c>
      <c r="AH182" s="987">
        <v>2015413960015</v>
      </c>
      <c r="AI182" s="355"/>
      <c r="AJ182" s="358"/>
      <c r="AK182" s="358"/>
      <c r="AL182" s="358"/>
      <c r="AM182" s="358"/>
      <c r="AN182" s="267" t="s">
        <v>2594</v>
      </c>
      <c r="AO182" s="512"/>
      <c r="AP182" s="724"/>
      <c r="AQ182" s="725"/>
      <c r="AR182" s="725"/>
      <c r="AS182" s="725"/>
      <c r="AT182" s="725"/>
      <c r="AU182" s="725"/>
      <c r="AV182" s="725"/>
      <c r="AW182" s="726"/>
      <c r="AX182" s="525"/>
      <c r="AY182" s="310"/>
      <c r="AZ182" s="310"/>
      <c r="BA182" s="310"/>
      <c r="BB182" s="310"/>
      <c r="BC182" s="310"/>
      <c r="BD182" s="310"/>
      <c r="BE182" s="544">
        <f t="shared" si="101"/>
        <v>0</v>
      </c>
      <c r="BF182" s="525"/>
      <c r="BG182" s="310"/>
      <c r="BH182" s="310"/>
      <c r="BI182" s="310"/>
      <c r="BJ182" s="310"/>
      <c r="BK182" s="310"/>
      <c r="BL182" s="310"/>
      <c r="BM182" s="544">
        <f t="shared" si="102"/>
        <v>0</v>
      </c>
      <c r="BN182" s="525"/>
      <c r="BO182" s="310"/>
      <c r="BP182" s="310"/>
      <c r="BQ182" s="310"/>
      <c r="BR182" s="310"/>
      <c r="BS182" s="310"/>
      <c r="BT182" s="310"/>
      <c r="BU182" s="544">
        <f t="shared" si="103"/>
        <v>0</v>
      </c>
      <c r="BV182" s="556"/>
      <c r="BW182" s="663">
        <f t="shared" si="91"/>
        <v>1</v>
      </c>
      <c r="BX182" s="1047">
        <f t="shared" si="95"/>
        <v>0.25</v>
      </c>
      <c r="BY182" s="1047">
        <f t="shared" si="114"/>
        <v>1</v>
      </c>
      <c r="BZ182" s="1047" t="str">
        <f t="shared" si="115"/>
        <v>Aplazada</v>
      </c>
      <c r="CA182" s="1047" t="str">
        <f t="shared" si="116"/>
        <v>No Programada</v>
      </c>
      <c r="CB182" s="1047">
        <f t="shared" si="117"/>
        <v>0</v>
      </c>
      <c r="CD182" t="str">
        <f t="shared" si="118"/>
        <v>VE</v>
      </c>
      <c r="CE182" t="str">
        <f t="shared" si="118"/>
        <v>AZ</v>
      </c>
      <c r="CF182" t="str">
        <f t="shared" si="118"/>
        <v>NP</v>
      </c>
      <c r="CG182" t="str">
        <f t="shared" si="118"/>
        <v>ROB</v>
      </c>
    </row>
    <row r="183" spans="1:85" ht="62.25" hidden="1" customHeight="1" x14ac:dyDescent="0.25">
      <c r="A183" s="298" t="s">
        <v>491</v>
      </c>
      <c r="B183" s="299" t="str">
        <f>'PLAN INDICATIVO'!B183</f>
        <v>Atención a grupos vulnerables - promoción social</v>
      </c>
      <c r="C183" s="1559"/>
      <c r="D183" s="1549"/>
      <c r="E183" s="1549"/>
      <c r="F183" s="1549"/>
      <c r="G183" s="1549"/>
      <c r="H183" s="1549"/>
      <c r="I183" s="300">
        <f>'PLAN INDICATIVO'!I183</f>
        <v>0</v>
      </c>
      <c r="J183" s="300">
        <f>'PLAN INDICATIVO'!J183</f>
        <v>0</v>
      </c>
      <c r="K183" s="1425" t="str">
        <f>'PLAN INDICATIVO'!K183</f>
        <v>A.14.2.4</v>
      </c>
      <c r="L183" s="1425" t="str">
        <f>'PLAN INDICATIVO'!L183</f>
        <v>10. Reducción de las desigualdades</v>
      </c>
      <c r="M183" s="1425" t="str">
        <f>'PLAN INDICATIVO'!M183</f>
        <v>Secretaría de Gobierno</v>
      </c>
      <c r="N183" s="1425" t="str">
        <f>'PLAN INDICATIVO'!N183</f>
        <v>HERNAN RODRIGUEZ FALLA</v>
      </c>
      <c r="O183" s="1425" t="str">
        <f>'PLAN INDICATIVO'!O183</f>
        <v>Incremento</v>
      </c>
      <c r="P183" s="16" t="str">
        <f>'PLAN INDICATIVO'!P183</f>
        <v xml:space="preserve">Realizar 4 festivales "Arte más conciencia por la dignidad y la paz", durante el cuatrienio. </v>
      </c>
      <c r="Q183" s="302" t="str">
        <f>'PLAN INDICATIVO'!Q183</f>
        <v>No. de festivales realizados</v>
      </c>
      <c r="R183" s="303">
        <f>'PLAN INDICATIVO'!R183</f>
        <v>2015</v>
      </c>
      <c r="S183" s="304">
        <v>0</v>
      </c>
      <c r="T183" s="699">
        <v>4</v>
      </c>
      <c r="U183" s="303">
        <v>1</v>
      </c>
      <c r="V183" s="687">
        <v>6000000</v>
      </c>
      <c r="W183" s="303">
        <v>1</v>
      </c>
      <c r="X183" s="687">
        <v>2000000</v>
      </c>
      <c r="Y183" s="286">
        <v>1</v>
      </c>
      <c r="Z183" s="1233">
        <v>2000000</v>
      </c>
      <c r="AA183" s="291">
        <v>1</v>
      </c>
      <c r="AB183" s="687">
        <v>2000000</v>
      </c>
      <c r="AC183" s="669">
        <v>1</v>
      </c>
      <c r="AD183" s="669">
        <v>1</v>
      </c>
      <c r="AE183" s="669">
        <v>1</v>
      </c>
      <c r="AF183" s="669"/>
      <c r="AG183" s="344" t="s">
        <v>4116</v>
      </c>
      <c r="AH183" s="987">
        <v>2015413960015</v>
      </c>
      <c r="AI183" s="355" t="s">
        <v>4119</v>
      </c>
      <c r="AJ183" s="356"/>
      <c r="AK183" s="356"/>
      <c r="AL183" s="358"/>
      <c r="AM183" s="358"/>
      <c r="AN183" s="267" t="s">
        <v>2604</v>
      </c>
      <c r="AO183" s="512"/>
      <c r="AP183" s="724"/>
      <c r="AQ183" s="725"/>
      <c r="AR183" s="725"/>
      <c r="AS183" s="725"/>
      <c r="AT183" s="725"/>
      <c r="AU183" s="725"/>
      <c r="AV183" s="725"/>
      <c r="AW183" s="726"/>
      <c r="AX183" s="531"/>
      <c r="AY183" s="310"/>
      <c r="AZ183" s="310"/>
      <c r="BA183" s="310"/>
      <c r="BB183" s="310"/>
      <c r="BC183" s="310"/>
      <c r="BD183" s="310"/>
      <c r="BE183" s="544">
        <f t="shared" si="101"/>
        <v>0</v>
      </c>
      <c r="BF183" s="531"/>
      <c r="BG183" s="310"/>
      <c r="BH183" s="310"/>
      <c r="BI183" s="310"/>
      <c r="BJ183" s="310"/>
      <c r="BK183" s="310"/>
      <c r="BL183" s="310"/>
      <c r="BM183" s="544">
        <f t="shared" si="102"/>
        <v>0</v>
      </c>
      <c r="BN183" s="531"/>
      <c r="BO183" s="310"/>
      <c r="BP183" s="310"/>
      <c r="BQ183" s="310"/>
      <c r="BR183" s="310"/>
      <c r="BS183" s="310"/>
      <c r="BT183" s="310"/>
      <c r="BU183" s="544">
        <f t="shared" si="103"/>
        <v>0</v>
      </c>
      <c r="BV183" s="556"/>
      <c r="BW183" s="663">
        <f t="shared" si="91"/>
        <v>3</v>
      </c>
      <c r="BX183" s="1047">
        <f t="shared" si="95"/>
        <v>0.75</v>
      </c>
      <c r="BY183" s="1047">
        <f t="shared" si="114"/>
        <v>1</v>
      </c>
      <c r="BZ183" s="1047">
        <f t="shared" si="115"/>
        <v>1</v>
      </c>
      <c r="CA183" s="1047">
        <f t="shared" si="116"/>
        <v>1</v>
      </c>
      <c r="CB183" s="1047">
        <f t="shared" si="117"/>
        <v>0</v>
      </c>
      <c r="CD183" t="str">
        <f t="shared" si="118"/>
        <v>VE</v>
      </c>
      <c r="CE183" t="str">
        <f t="shared" si="118"/>
        <v>VE</v>
      </c>
      <c r="CF183" t="str">
        <f t="shared" si="118"/>
        <v>VE</v>
      </c>
      <c r="CG183" t="str">
        <f t="shared" si="118"/>
        <v>ROB</v>
      </c>
    </row>
    <row r="184" spans="1:85" ht="63" hidden="1" customHeight="1" x14ac:dyDescent="0.25">
      <c r="A184" s="298" t="s">
        <v>2464</v>
      </c>
      <c r="B184" s="299" t="str">
        <f>'PLAN INDICATIVO'!B184</f>
        <v>Atención a grupos vulnerables - promoción social</v>
      </c>
      <c r="C184" s="1559"/>
      <c r="D184" s="1549"/>
      <c r="E184" s="1549"/>
      <c r="F184" s="1549"/>
      <c r="G184" s="1549"/>
      <c r="H184" s="1549"/>
      <c r="I184" s="300">
        <f>'PLAN INDICATIVO'!I184</f>
        <v>0</v>
      </c>
      <c r="J184" s="300">
        <f>'PLAN INDICATIVO'!J184</f>
        <v>0</v>
      </c>
      <c r="K184" s="1425" t="str">
        <f>'PLAN INDICATIVO'!K184</f>
        <v>A.14.2.5</v>
      </c>
      <c r="L184" s="1425" t="str">
        <f>'PLAN INDICATIVO'!L184</f>
        <v>10. Reducción de las desigualdades</v>
      </c>
      <c r="M184" s="1425" t="str">
        <f>'PLAN INDICATIVO'!M184</f>
        <v>Secretaría de Gobierno</v>
      </c>
      <c r="N184" s="1425" t="str">
        <f>'PLAN INDICATIVO'!N184</f>
        <v>HERNAN RODRIGUEZ FALLA</v>
      </c>
      <c r="O184" s="1425" t="str">
        <f>'PLAN INDICATIVO'!O184</f>
        <v>Mantenimiento</v>
      </c>
      <c r="P184" s="16" t="str">
        <f>'PLAN INDICATIVO'!P184</f>
        <v>implementar 1 Política municipal de juventud formulada durante el cuatrienio</v>
      </c>
      <c r="Q184" s="302" t="str">
        <f>'PLAN INDICATIVO'!Q184</f>
        <v>No. De políticas implementadas</v>
      </c>
      <c r="R184" s="303">
        <f>'PLAN INDICATIVO'!R184</f>
        <v>2015</v>
      </c>
      <c r="S184" s="304">
        <v>0</v>
      </c>
      <c r="T184" s="699">
        <v>1</v>
      </c>
      <c r="U184" s="303">
        <v>1</v>
      </c>
      <c r="V184" s="687">
        <v>1000000</v>
      </c>
      <c r="W184" s="303">
        <v>1</v>
      </c>
      <c r="X184" s="687">
        <v>5500000</v>
      </c>
      <c r="Y184" s="286"/>
      <c r="Z184" s="687">
        <v>5500000</v>
      </c>
      <c r="AA184" s="291">
        <v>0.8</v>
      </c>
      <c r="AB184" s="687">
        <v>6000000</v>
      </c>
      <c r="AC184" s="669"/>
      <c r="AD184" s="669">
        <v>0.2</v>
      </c>
      <c r="AE184" s="669"/>
      <c r="AF184" s="669"/>
      <c r="AG184" s="344" t="s">
        <v>4116</v>
      </c>
      <c r="AH184" s="987">
        <v>2015413960015</v>
      </c>
      <c r="AI184" s="355"/>
      <c r="AJ184" s="358"/>
      <c r="AK184" s="358"/>
      <c r="AL184" s="358"/>
      <c r="AM184" s="358"/>
      <c r="AN184" s="267" t="s">
        <v>2594</v>
      </c>
      <c r="AO184" s="512"/>
      <c r="AP184" s="724"/>
      <c r="AQ184" s="725"/>
      <c r="AR184" s="725"/>
      <c r="AS184" s="725"/>
      <c r="AT184" s="725"/>
      <c r="AU184" s="725"/>
      <c r="AV184" s="725"/>
      <c r="AW184" s="726"/>
      <c r="AX184" s="525"/>
      <c r="AY184" s="310"/>
      <c r="AZ184" s="310"/>
      <c r="BA184" s="310"/>
      <c r="BB184" s="310"/>
      <c r="BC184" s="310"/>
      <c r="BD184" s="310"/>
      <c r="BE184" s="544">
        <f t="shared" si="101"/>
        <v>0</v>
      </c>
      <c r="BF184" s="525"/>
      <c r="BG184" s="310"/>
      <c r="BH184" s="310"/>
      <c r="BI184" s="310"/>
      <c r="BJ184" s="310"/>
      <c r="BK184" s="310"/>
      <c r="BL184" s="310"/>
      <c r="BM184" s="544">
        <f t="shared" si="102"/>
        <v>0</v>
      </c>
      <c r="BN184" s="525"/>
      <c r="BO184" s="310"/>
      <c r="BP184" s="310"/>
      <c r="BQ184" s="310"/>
      <c r="BR184" s="310"/>
      <c r="BS184" s="310"/>
      <c r="BT184" s="310"/>
      <c r="BU184" s="544">
        <f t="shared" si="103"/>
        <v>0</v>
      </c>
      <c r="BV184" s="556"/>
      <c r="BW184" s="663">
        <f t="shared" si="91"/>
        <v>0.2</v>
      </c>
      <c r="BX184" s="1047">
        <f t="shared" si="95"/>
        <v>0.2</v>
      </c>
      <c r="BY184" s="1047">
        <f t="shared" si="114"/>
        <v>0</v>
      </c>
      <c r="BZ184" s="1047">
        <f t="shared" si="115"/>
        <v>0.2</v>
      </c>
      <c r="CA184" s="1047" t="str">
        <f t="shared" si="116"/>
        <v>No Programada</v>
      </c>
      <c r="CB184" s="1047">
        <f t="shared" si="117"/>
        <v>0</v>
      </c>
      <c r="CD184" t="str">
        <f t="shared" si="118"/>
        <v>ROB</v>
      </c>
      <c r="CE184" t="str">
        <f t="shared" si="118"/>
        <v>ROB</v>
      </c>
      <c r="CF184" t="str">
        <f t="shared" si="118"/>
        <v>NP</v>
      </c>
      <c r="CG184" t="str">
        <f t="shared" si="118"/>
        <v>ROB</v>
      </c>
    </row>
    <row r="185" spans="1:85" ht="92.25" hidden="1" customHeight="1" x14ac:dyDescent="0.25">
      <c r="A185" s="298" t="s">
        <v>2464</v>
      </c>
      <c r="B185" s="299" t="str">
        <f>'PLAN INDICATIVO'!B185</f>
        <v>Atención a grupos vulnerables - promoción social</v>
      </c>
      <c r="C185" s="1559"/>
      <c r="D185" s="1549"/>
      <c r="E185" s="1549"/>
      <c r="F185" s="1549"/>
      <c r="G185" s="1549"/>
      <c r="H185" s="1549"/>
      <c r="I185" s="300">
        <f>'PLAN INDICATIVO'!I185</f>
        <v>0</v>
      </c>
      <c r="J185" s="300">
        <f>'PLAN INDICATIVO'!J185</f>
        <v>0</v>
      </c>
      <c r="K185" s="1425" t="str">
        <f>'PLAN INDICATIVO'!K185</f>
        <v>A.14.2.6</v>
      </c>
      <c r="L185" s="1425" t="str">
        <f>'PLAN INDICATIVO'!L185</f>
        <v>10. Reducción de las desigualdades</v>
      </c>
      <c r="M185" s="1425" t="str">
        <f>'PLAN INDICATIVO'!M185</f>
        <v>Secretaría de Gobierno</v>
      </c>
      <c r="N185" s="1425" t="str">
        <f>'PLAN INDICATIVO'!N185</f>
        <v>HERNAN RODRIGUEZ FALLA</v>
      </c>
      <c r="O185" s="1425" t="str">
        <f>'PLAN INDICATIVO'!O185</f>
        <v>Mantenimiento</v>
      </c>
      <c r="P185" s="1199" t="str">
        <f>'PLAN INDICATIVO'!P185</f>
        <v>mantener 1 consejo municipal de juventud elegido, sesionando y gestionando, conforme a la Ley 1622/2013  durante el cuatrienio</v>
      </c>
      <c r="Q185" s="302" t="str">
        <f>'PLAN INDICATIVO'!Q185</f>
        <v xml:space="preserve">No. de consejos municipales sesionando y gestionando. </v>
      </c>
      <c r="R185" s="303">
        <f>'PLAN INDICATIVO'!R185</f>
        <v>2015</v>
      </c>
      <c r="S185" s="304">
        <v>0</v>
      </c>
      <c r="T185" s="699">
        <v>1</v>
      </c>
      <c r="U185" s="303">
        <v>0</v>
      </c>
      <c r="V185" s="687">
        <v>500000</v>
      </c>
      <c r="W185" s="303">
        <v>0</v>
      </c>
      <c r="X185" s="687">
        <v>500000</v>
      </c>
      <c r="Y185" s="286"/>
      <c r="Z185" s="1233">
        <v>500000</v>
      </c>
      <c r="AA185" s="291">
        <v>1</v>
      </c>
      <c r="AB185" s="687">
        <v>500000</v>
      </c>
      <c r="AC185" s="669"/>
      <c r="AD185" s="669"/>
      <c r="AE185" s="669"/>
      <c r="AF185" s="669"/>
      <c r="AG185" s="344" t="s">
        <v>4116</v>
      </c>
      <c r="AH185" s="987">
        <v>2015413960015</v>
      </c>
      <c r="AI185" s="355" t="s">
        <v>4120</v>
      </c>
      <c r="AJ185" s="358"/>
      <c r="AK185" s="358"/>
      <c r="AL185" s="358"/>
      <c r="AM185" s="358"/>
      <c r="AN185" s="267" t="s">
        <v>2594</v>
      </c>
      <c r="AO185" s="512"/>
      <c r="AP185" s="724"/>
      <c r="AQ185" s="725"/>
      <c r="AR185" s="725"/>
      <c r="AS185" s="725"/>
      <c r="AT185" s="725"/>
      <c r="AU185" s="725"/>
      <c r="AV185" s="725"/>
      <c r="AW185" s="726"/>
      <c r="AX185" s="525"/>
      <c r="AY185" s="310"/>
      <c r="AZ185" s="310"/>
      <c r="BA185" s="310"/>
      <c r="BB185" s="310"/>
      <c r="BC185" s="310"/>
      <c r="BD185" s="310"/>
      <c r="BE185" s="544">
        <f t="shared" si="101"/>
        <v>0</v>
      </c>
      <c r="BF185" s="525"/>
      <c r="BG185" s="310"/>
      <c r="BH185" s="310"/>
      <c r="BI185" s="310"/>
      <c r="BJ185" s="310"/>
      <c r="BK185" s="310"/>
      <c r="BL185" s="310"/>
      <c r="BM185" s="544">
        <f t="shared" si="102"/>
        <v>0</v>
      </c>
      <c r="BN185" s="525"/>
      <c r="BO185" s="310"/>
      <c r="BP185" s="310"/>
      <c r="BQ185" s="310"/>
      <c r="BR185" s="310"/>
      <c r="BS185" s="310"/>
      <c r="BT185" s="310"/>
      <c r="BU185" s="544">
        <f t="shared" si="103"/>
        <v>0</v>
      </c>
      <c r="BV185" s="556"/>
      <c r="BW185" s="663">
        <f t="shared" si="91"/>
        <v>0</v>
      </c>
      <c r="BX185" s="1047">
        <f t="shared" si="95"/>
        <v>0</v>
      </c>
      <c r="BY185" s="1047" t="str">
        <f t="shared" si="114"/>
        <v>Aplazada</v>
      </c>
      <c r="BZ185" s="1047" t="str">
        <f t="shared" si="115"/>
        <v>Aplazada</v>
      </c>
      <c r="CA185" s="1047" t="str">
        <f t="shared" si="116"/>
        <v>No Programada</v>
      </c>
      <c r="CB185" s="1047">
        <f t="shared" si="117"/>
        <v>0</v>
      </c>
      <c r="CD185" t="str">
        <f t="shared" si="118"/>
        <v>AZ</v>
      </c>
      <c r="CE185" t="str">
        <f t="shared" si="118"/>
        <v>AZ</v>
      </c>
      <c r="CF185" t="str">
        <f t="shared" si="118"/>
        <v>NP</v>
      </c>
      <c r="CG185" t="str">
        <f t="shared" si="118"/>
        <v>ROB</v>
      </c>
    </row>
    <row r="186" spans="1:85" ht="90" hidden="1" customHeight="1" x14ac:dyDescent="0.25">
      <c r="A186" s="298" t="s">
        <v>491</v>
      </c>
      <c r="B186" s="299" t="str">
        <f>'PLAN INDICATIVO'!B186</f>
        <v>Atención a grupos vulnerables - promoción social</v>
      </c>
      <c r="C186" s="1559"/>
      <c r="D186" s="1549"/>
      <c r="E186" s="1549"/>
      <c r="F186" s="1549"/>
      <c r="G186" s="1549"/>
      <c r="H186" s="1549"/>
      <c r="I186" s="300">
        <f>'PLAN INDICATIVO'!I186</f>
        <v>0</v>
      </c>
      <c r="J186" s="300">
        <f>'PLAN INDICATIVO'!J186</f>
        <v>0</v>
      </c>
      <c r="K186" s="1425" t="str">
        <f>'PLAN INDICATIVO'!K186</f>
        <v>A.14.2.7</v>
      </c>
      <c r="L186" s="1425" t="str">
        <f>'PLAN INDICATIVO'!L186</f>
        <v>10. Reducción de las desigualdades</v>
      </c>
      <c r="M186" s="1425" t="str">
        <f>'PLAN INDICATIVO'!M186</f>
        <v>Secretaría de Gobierno</v>
      </c>
      <c r="N186" s="1425" t="str">
        <f>'PLAN INDICATIVO'!N186</f>
        <v>HERNAN RODRIGUEZ FALLA</v>
      </c>
      <c r="O186" s="1425" t="str">
        <f>'PLAN INDICATIVO'!O186</f>
        <v>Incremento</v>
      </c>
      <c r="P186" s="16" t="str">
        <f>'PLAN INDICATIVO'!P186</f>
        <v>Realizar 2 ofertas institucionales a población juvenil, para acceso a programas de desarrollo económico durante el cuatrienio</v>
      </c>
      <c r="Q186" s="302" t="str">
        <f>'PLAN INDICATIVO'!Q186</f>
        <v>Oferta realizada</v>
      </c>
      <c r="R186" s="303">
        <f>'PLAN INDICATIVO'!R186</f>
        <v>2015</v>
      </c>
      <c r="S186" s="304">
        <v>0</v>
      </c>
      <c r="T186" s="699">
        <v>2</v>
      </c>
      <c r="U186" s="303">
        <v>1</v>
      </c>
      <c r="V186" s="687">
        <v>500000</v>
      </c>
      <c r="W186" s="303">
        <v>1</v>
      </c>
      <c r="X186" s="687">
        <v>500000</v>
      </c>
      <c r="Y186" s="286">
        <v>1</v>
      </c>
      <c r="Z186" s="1233">
        <v>500000</v>
      </c>
      <c r="AA186" s="291"/>
      <c r="AB186" s="687"/>
      <c r="AC186" s="669"/>
      <c r="AD186" s="669">
        <v>1</v>
      </c>
      <c r="AE186" s="669">
        <v>1</v>
      </c>
      <c r="AF186" s="669"/>
      <c r="AG186" s="344" t="s">
        <v>4116</v>
      </c>
      <c r="AH186" s="987">
        <v>2015413960015</v>
      </c>
      <c r="AI186" s="355" t="s">
        <v>4121</v>
      </c>
      <c r="AJ186" s="358"/>
      <c r="AK186" s="358"/>
      <c r="AL186" s="358"/>
      <c r="AM186" s="358"/>
      <c r="AN186" s="267" t="s">
        <v>2598</v>
      </c>
      <c r="AO186" s="512"/>
      <c r="AP186" s="724"/>
      <c r="AQ186" s="725"/>
      <c r="AR186" s="725"/>
      <c r="AS186" s="725"/>
      <c r="AT186" s="725"/>
      <c r="AU186" s="725"/>
      <c r="AV186" s="725"/>
      <c r="AW186" s="726"/>
      <c r="AX186" s="525"/>
      <c r="AY186" s="310"/>
      <c r="AZ186" s="310"/>
      <c r="BA186" s="310"/>
      <c r="BB186" s="310"/>
      <c r="BC186" s="310"/>
      <c r="BD186" s="310"/>
      <c r="BE186" s="544">
        <f t="shared" si="101"/>
        <v>0</v>
      </c>
      <c r="BF186" s="525"/>
      <c r="BG186" s="310"/>
      <c r="BH186" s="310"/>
      <c r="BI186" s="310"/>
      <c r="BJ186" s="310"/>
      <c r="BK186" s="310"/>
      <c r="BL186" s="310"/>
      <c r="BM186" s="544">
        <f t="shared" si="102"/>
        <v>0</v>
      </c>
      <c r="BN186" s="525"/>
      <c r="BO186" s="310"/>
      <c r="BP186" s="310"/>
      <c r="BQ186" s="310"/>
      <c r="BR186" s="310"/>
      <c r="BS186" s="310"/>
      <c r="BT186" s="310"/>
      <c r="BU186" s="544">
        <f t="shared" si="103"/>
        <v>0</v>
      </c>
      <c r="BV186" s="556"/>
      <c r="BW186" s="663">
        <f t="shared" si="91"/>
        <v>2</v>
      </c>
      <c r="BX186" s="1047">
        <f t="shared" si="95"/>
        <v>1</v>
      </c>
      <c r="BY186" s="1047">
        <f t="shared" si="114"/>
        <v>0</v>
      </c>
      <c r="BZ186" s="1047">
        <f t="shared" si="115"/>
        <v>1</v>
      </c>
      <c r="CA186" s="1047">
        <f t="shared" si="116"/>
        <v>1</v>
      </c>
      <c r="CB186" s="1047" t="str">
        <f t="shared" si="117"/>
        <v>No Programada</v>
      </c>
      <c r="CD186" t="str">
        <f t="shared" si="118"/>
        <v>ROB</v>
      </c>
      <c r="CE186" t="str">
        <f t="shared" si="118"/>
        <v>VE</v>
      </c>
      <c r="CF186" t="str">
        <f t="shared" si="118"/>
        <v>VE</v>
      </c>
      <c r="CG186" t="str">
        <f t="shared" si="118"/>
        <v>NP</v>
      </c>
    </row>
    <row r="187" spans="1:85" ht="55.5" hidden="1" customHeight="1" x14ac:dyDescent="0.25">
      <c r="A187" s="298" t="s">
        <v>491</v>
      </c>
      <c r="B187" s="299" t="str">
        <f>'PLAN INDICATIVO'!B187</f>
        <v>Atención a grupos vulnerables - promoción social</v>
      </c>
      <c r="C187" s="1559"/>
      <c r="D187" s="1549"/>
      <c r="E187" s="1549"/>
      <c r="F187" s="1549"/>
      <c r="G187" s="1549"/>
      <c r="H187" s="1549"/>
      <c r="I187" s="300">
        <f>'PLAN INDICATIVO'!I187</f>
        <v>0</v>
      </c>
      <c r="J187" s="300">
        <f>'PLAN INDICATIVO'!J187</f>
        <v>0</v>
      </c>
      <c r="K187" s="1425" t="str">
        <f>'PLAN INDICATIVO'!K187</f>
        <v>A.14.2.8</v>
      </c>
      <c r="L187" s="1425" t="str">
        <f>'PLAN INDICATIVO'!L187</f>
        <v>10. Reducción de las desigualdades</v>
      </c>
      <c r="M187" s="1425" t="str">
        <f>'PLAN INDICATIVO'!M187</f>
        <v>Secretaría de Gobierno</v>
      </c>
      <c r="N187" s="1425" t="str">
        <f>'PLAN INDICATIVO'!N187</f>
        <v>HERNAN RODRIGUEZ FALLA</v>
      </c>
      <c r="O187" s="1425" t="str">
        <f>'PLAN INDICATIVO'!O187</f>
        <v>Incremento</v>
      </c>
      <c r="P187" s="16" t="str">
        <f>'PLAN INDICATIVO'!P187</f>
        <v>Realizar 4 encuentros municipales de juventudes, durante el cuatrienio.</v>
      </c>
      <c r="Q187" s="302" t="str">
        <f>'PLAN INDICATIVO'!Q187</f>
        <v>No. de encuentros realizados</v>
      </c>
      <c r="R187" s="303">
        <f>'PLAN INDICATIVO'!R187</f>
        <v>2015</v>
      </c>
      <c r="S187" s="304">
        <v>0</v>
      </c>
      <c r="T187" s="699">
        <v>4</v>
      </c>
      <c r="U187" s="303">
        <v>1</v>
      </c>
      <c r="V187" s="687">
        <v>1000000</v>
      </c>
      <c r="W187" s="303">
        <v>1</v>
      </c>
      <c r="X187" s="687">
        <v>1000000</v>
      </c>
      <c r="Y187" s="286">
        <v>1</v>
      </c>
      <c r="Z187" s="1233">
        <v>1000000</v>
      </c>
      <c r="AA187" s="291">
        <v>1</v>
      </c>
      <c r="AB187" s="687">
        <v>1000000</v>
      </c>
      <c r="AC187" s="669">
        <v>1</v>
      </c>
      <c r="AD187" s="669">
        <v>1</v>
      </c>
      <c r="AE187" s="669">
        <v>1</v>
      </c>
      <c r="AF187" s="669"/>
      <c r="AG187" s="344" t="s">
        <v>4116</v>
      </c>
      <c r="AH187" s="987">
        <v>2015413960015</v>
      </c>
      <c r="AI187" s="150" t="s">
        <v>4122</v>
      </c>
      <c r="AJ187" s="356"/>
      <c r="AK187" s="356"/>
      <c r="AL187" s="358"/>
      <c r="AM187" s="358"/>
      <c r="AN187" s="267" t="s">
        <v>2598</v>
      </c>
      <c r="AO187" s="512"/>
      <c r="AP187" s="724"/>
      <c r="AQ187" s="725"/>
      <c r="AR187" s="725"/>
      <c r="AS187" s="725"/>
      <c r="AT187" s="725"/>
      <c r="AU187" s="725"/>
      <c r="AV187" s="725"/>
      <c r="AW187" s="726"/>
      <c r="AX187" s="525"/>
      <c r="AY187" s="310"/>
      <c r="AZ187" s="310"/>
      <c r="BA187" s="310"/>
      <c r="BB187" s="310"/>
      <c r="BC187" s="310"/>
      <c r="BD187" s="310"/>
      <c r="BE187" s="544">
        <f t="shared" si="101"/>
        <v>0</v>
      </c>
      <c r="BF187" s="525"/>
      <c r="BG187" s="794"/>
      <c r="BH187" s="794"/>
      <c r="BI187" s="794"/>
      <c r="BJ187" s="794"/>
      <c r="BK187" s="794"/>
      <c r="BL187" s="310"/>
      <c r="BM187" s="544">
        <f t="shared" si="102"/>
        <v>0</v>
      </c>
      <c r="BN187" s="525"/>
      <c r="BO187" s="310"/>
      <c r="BP187" s="310"/>
      <c r="BQ187" s="310"/>
      <c r="BR187" s="310"/>
      <c r="BS187" s="310"/>
      <c r="BT187" s="310"/>
      <c r="BU187" s="544">
        <f t="shared" si="103"/>
        <v>0</v>
      </c>
      <c r="BV187" s="556"/>
      <c r="BW187" s="663">
        <f t="shared" si="91"/>
        <v>3</v>
      </c>
      <c r="BX187" s="1047">
        <f t="shared" si="95"/>
        <v>0.75</v>
      </c>
      <c r="BY187" s="1047">
        <f t="shared" si="114"/>
        <v>1</v>
      </c>
      <c r="BZ187" s="1047">
        <f t="shared" si="115"/>
        <v>1</v>
      </c>
      <c r="CA187" s="1047">
        <f t="shared" si="116"/>
        <v>1</v>
      </c>
      <c r="CB187" s="1047">
        <f t="shared" si="117"/>
        <v>0</v>
      </c>
      <c r="CD187" t="str">
        <f t="shared" si="118"/>
        <v>VE</v>
      </c>
      <c r="CE187" t="str">
        <f t="shared" si="118"/>
        <v>VE</v>
      </c>
      <c r="CF187" t="str">
        <f t="shared" si="118"/>
        <v>VE</v>
      </c>
      <c r="CG187" t="str">
        <f t="shared" si="118"/>
        <v>ROB</v>
      </c>
    </row>
    <row r="188" spans="1:85" ht="61.5" hidden="1" customHeight="1" x14ac:dyDescent="0.25">
      <c r="A188" s="298" t="s">
        <v>491</v>
      </c>
      <c r="B188" s="299" t="str">
        <f>'PLAN INDICATIVO'!B188</f>
        <v>Atención a grupos vulnerables - promoción social</v>
      </c>
      <c r="C188" s="1559"/>
      <c r="D188" s="1549"/>
      <c r="E188" s="1549"/>
      <c r="F188" s="1549"/>
      <c r="G188" s="1549"/>
      <c r="H188" s="1549"/>
      <c r="I188" s="300">
        <f>'PLAN INDICATIVO'!I188</f>
        <v>0</v>
      </c>
      <c r="J188" s="300">
        <f>'PLAN INDICATIVO'!J188</f>
        <v>0</v>
      </c>
      <c r="K188" s="1425" t="str">
        <f>'PLAN INDICATIVO'!K188</f>
        <v>A.14.2.9</v>
      </c>
      <c r="L188" s="1425" t="str">
        <f>'PLAN INDICATIVO'!L188</f>
        <v>10. Reducción de las desigualdades</v>
      </c>
      <c r="M188" s="1425" t="str">
        <f>'PLAN INDICATIVO'!M188</f>
        <v>Secretaría de Gobierno</v>
      </c>
      <c r="N188" s="1425" t="str">
        <f>'PLAN INDICATIVO'!N188</f>
        <v>HERNAN RODRIGUEZ FALLA</v>
      </c>
      <c r="O188" s="1425" t="str">
        <f>'PLAN INDICATIVO'!O188</f>
        <v>Incremento</v>
      </c>
      <c r="P188" s="820" t="str">
        <f>'PLAN INDICATIVO'!P188</f>
        <v>Jóvenes participando en 15 consejos de política social en el cuatrienio</v>
      </c>
      <c r="Q188" s="302" t="str">
        <f>'PLAN INDICATIVO'!Q188</f>
        <v>Consejos de Política económica y social</v>
      </c>
      <c r="R188" s="303">
        <f>'PLAN INDICATIVO'!R188</f>
        <v>2015</v>
      </c>
      <c r="S188" s="304">
        <v>0</v>
      </c>
      <c r="T188" s="699">
        <v>15</v>
      </c>
      <c r="U188" s="303">
        <v>4</v>
      </c>
      <c r="V188" s="687">
        <v>500000</v>
      </c>
      <c r="W188" s="303">
        <v>4</v>
      </c>
      <c r="X188" s="687">
        <v>500000</v>
      </c>
      <c r="Y188" s="286">
        <v>4</v>
      </c>
      <c r="Z188" s="1233">
        <v>500000</v>
      </c>
      <c r="AA188" s="291">
        <v>4</v>
      </c>
      <c r="AB188" s="687">
        <v>500000</v>
      </c>
      <c r="AC188" s="669">
        <f>1+1+1+1</f>
        <v>4</v>
      </c>
      <c r="AD188" s="669">
        <v>4</v>
      </c>
      <c r="AE188" s="669">
        <v>4</v>
      </c>
      <c r="AF188" s="669"/>
      <c r="AG188" s="344" t="s">
        <v>4116</v>
      </c>
      <c r="AH188" s="987">
        <v>2015413960015</v>
      </c>
      <c r="AI188" s="355" t="s">
        <v>4123</v>
      </c>
      <c r="AJ188" s="356"/>
      <c r="AK188" s="356"/>
      <c r="AL188" s="358"/>
      <c r="AM188" s="358"/>
      <c r="AN188" s="267" t="s">
        <v>2598</v>
      </c>
      <c r="AO188" s="512"/>
      <c r="AP188" s="724"/>
      <c r="AQ188" s="725"/>
      <c r="AR188" s="725"/>
      <c r="AS188" s="725"/>
      <c r="AT188" s="725"/>
      <c r="AU188" s="725"/>
      <c r="AV188" s="725"/>
      <c r="AW188" s="726"/>
      <c r="AX188" s="525"/>
      <c r="AY188" s="310"/>
      <c r="AZ188" s="310"/>
      <c r="BA188" s="310"/>
      <c r="BB188" s="310"/>
      <c r="BC188" s="310"/>
      <c r="BD188" s="310"/>
      <c r="BE188" s="544">
        <f t="shared" si="101"/>
        <v>0</v>
      </c>
      <c r="BF188" s="525"/>
      <c r="BG188" s="310"/>
      <c r="BH188" s="310"/>
      <c r="BI188" s="310"/>
      <c r="BJ188" s="310"/>
      <c r="BK188" s="310"/>
      <c r="BL188" s="310"/>
      <c r="BM188" s="544">
        <f t="shared" si="102"/>
        <v>0</v>
      </c>
      <c r="BN188" s="525"/>
      <c r="BO188" s="310"/>
      <c r="BP188" s="310"/>
      <c r="BQ188" s="310"/>
      <c r="BR188" s="310"/>
      <c r="BS188" s="310"/>
      <c r="BT188" s="310"/>
      <c r="BU188" s="544">
        <f t="shared" si="103"/>
        <v>0</v>
      </c>
      <c r="BV188" s="556"/>
      <c r="BW188" s="663">
        <f t="shared" si="91"/>
        <v>12</v>
      </c>
      <c r="BX188" s="1047">
        <f t="shared" si="95"/>
        <v>0.8</v>
      </c>
      <c r="BY188" s="1047">
        <f t="shared" si="114"/>
        <v>1</v>
      </c>
      <c r="BZ188" s="1047">
        <f t="shared" si="115"/>
        <v>1</v>
      </c>
      <c r="CA188" s="1047">
        <f t="shared" si="116"/>
        <v>1</v>
      </c>
      <c r="CB188" s="1047">
        <f t="shared" si="117"/>
        <v>0</v>
      </c>
      <c r="CD188" t="str">
        <f t="shared" si="118"/>
        <v>VE</v>
      </c>
      <c r="CE188" t="str">
        <f t="shared" si="118"/>
        <v>VE</v>
      </c>
      <c r="CF188" t="str">
        <f t="shared" si="118"/>
        <v>VE</v>
      </c>
      <c r="CG188" t="str">
        <f t="shared" si="118"/>
        <v>ROB</v>
      </c>
    </row>
    <row r="189" spans="1:85" ht="53.25" hidden="1" customHeight="1" x14ac:dyDescent="0.25">
      <c r="A189" s="298" t="s">
        <v>491</v>
      </c>
      <c r="B189" s="299" t="str">
        <f>'PLAN INDICATIVO'!B189</f>
        <v>Atención a grupos vulnerables - promoción social</v>
      </c>
      <c r="C189" s="1559"/>
      <c r="D189" s="1549"/>
      <c r="E189" s="1549"/>
      <c r="F189" s="1549"/>
      <c r="G189" s="1549"/>
      <c r="H189" s="1549"/>
      <c r="I189" s="300">
        <f>'PLAN INDICATIVO'!I189</f>
        <v>0</v>
      </c>
      <c r="J189" s="300">
        <f>'PLAN INDICATIVO'!J189</f>
        <v>0</v>
      </c>
      <c r="K189" s="1425" t="str">
        <f>'PLAN INDICATIVO'!K189</f>
        <v>A.14.2.10</v>
      </c>
      <c r="L189" s="1425" t="str">
        <f>'PLAN INDICATIVO'!L189</f>
        <v>10. Reducción de las desigualdades</v>
      </c>
      <c r="M189" s="1425" t="str">
        <f>'PLAN INDICATIVO'!M189</f>
        <v>Secretaría de Gobierno</v>
      </c>
      <c r="N189" s="1425" t="str">
        <f>'PLAN INDICATIVO'!N189</f>
        <v>HERNAN RODRIGUEZ FALLA</v>
      </c>
      <c r="O189" s="1425" t="str">
        <f>'PLAN INDICATIVO'!O189</f>
        <v>Incremento</v>
      </c>
      <c r="P189" s="16" t="str">
        <f>'PLAN INDICATIVO'!P189</f>
        <v xml:space="preserve">Realizar 4 encuentros con personeros estudiantiles, durante el cuatrienio. </v>
      </c>
      <c r="Q189" s="302" t="str">
        <f>'PLAN INDICATIVO'!Q189</f>
        <v>No. de encuentros con personeros estudiantiles</v>
      </c>
      <c r="R189" s="303">
        <f>'PLAN INDICATIVO'!R189</f>
        <v>2015</v>
      </c>
      <c r="S189" s="304">
        <v>0</v>
      </c>
      <c r="T189" s="699">
        <v>4</v>
      </c>
      <c r="U189" s="303">
        <v>1</v>
      </c>
      <c r="V189" s="687">
        <v>500000</v>
      </c>
      <c r="W189" s="303">
        <v>1</v>
      </c>
      <c r="X189" s="687">
        <v>3000000</v>
      </c>
      <c r="Y189" s="286">
        <v>1</v>
      </c>
      <c r="Z189" s="1233">
        <v>3000000</v>
      </c>
      <c r="AA189" s="291">
        <v>1</v>
      </c>
      <c r="AB189" s="687">
        <v>3000000</v>
      </c>
      <c r="AC189" s="669">
        <v>1</v>
      </c>
      <c r="AD189" s="669">
        <v>1</v>
      </c>
      <c r="AE189" s="669">
        <v>1</v>
      </c>
      <c r="AF189" s="669"/>
      <c r="AG189" s="344" t="s">
        <v>4116</v>
      </c>
      <c r="AH189" s="987">
        <v>2015413960015</v>
      </c>
      <c r="AI189" s="355" t="s">
        <v>4124</v>
      </c>
      <c r="AJ189" s="358"/>
      <c r="AK189" s="358"/>
      <c r="AL189" s="358"/>
      <c r="AM189" s="358"/>
      <c r="AN189" s="267" t="s">
        <v>2598</v>
      </c>
      <c r="AO189" s="512"/>
      <c r="AP189" s="724"/>
      <c r="AQ189" s="725"/>
      <c r="AR189" s="725"/>
      <c r="AS189" s="725"/>
      <c r="AT189" s="725"/>
      <c r="AU189" s="727"/>
      <c r="AV189" s="725"/>
      <c r="AW189" s="726"/>
      <c r="AX189" s="525"/>
      <c r="AY189" s="310"/>
      <c r="AZ189" s="310"/>
      <c r="BA189" s="310"/>
      <c r="BB189" s="310"/>
      <c r="BC189" s="380"/>
      <c r="BD189" s="310"/>
      <c r="BE189" s="544">
        <f t="shared" si="101"/>
        <v>0</v>
      </c>
      <c r="BF189" s="525">
        <v>1000000</v>
      </c>
      <c r="BG189" s="310"/>
      <c r="BH189" s="310"/>
      <c r="BI189" s="310"/>
      <c r="BJ189" s="310"/>
      <c r="BK189" s="380"/>
      <c r="BL189" s="310"/>
      <c r="BM189" s="544">
        <f t="shared" si="102"/>
        <v>1000000</v>
      </c>
      <c r="BN189" s="525"/>
      <c r="BO189" s="310"/>
      <c r="BP189" s="310"/>
      <c r="BQ189" s="310"/>
      <c r="BR189" s="310"/>
      <c r="BS189" s="380"/>
      <c r="BT189" s="310"/>
      <c r="BU189" s="544">
        <f t="shared" si="103"/>
        <v>0</v>
      </c>
      <c r="BV189" s="556"/>
      <c r="BW189" s="663">
        <f t="shared" si="91"/>
        <v>3</v>
      </c>
      <c r="BX189" s="1047">
        <f t="shared" si="95"/>
        <v>0.75</v>
      </c>
      <c r="BY189" s="1047">
        <f t="shared" si="114"/>
        <v>1</v>
      </c>
      <c r="BZ189" s="1047">
        <f t="shared" si="115"/>
        <v>1</v>
      </c>
      <c r="CA189" s="1047">
        <f t="shared" si="116"/>
        <v>1</v>
      </c>
      <c r="CB189" s="1047">
        <f t="shared" si="117"/>
        <v>0</v>
      </c>
      <c r="CD189" t="str">
        <f t="shared" si="118"/>
        <v>VE</v>
      </c>
      <c r="CE189" t="str">
        <f t="shared" si="118"/>
        <v>VE</v>
      </c>
      <c r="CF189" t="str">
        <f t="shared" si="118"/>
        <v>VE</v>
      </c>
      <c r="CG189" t="str">
        <f t="shared" si="118"/>
        <v>ROB</v>
      </c>
    </row>
    <row r="190" spans="1:85" ht="53.25" hidden="1" customHeight="1" x14ac:dyDescent="0.25">
      <c r="A190" s="298" t="s">
        <v>491</v>
      </c>
      <c r="B190" s="299" t="str">
        <f>'PLAN INDICATIVO'!B190</f>
        <v>Atención a grupos vulnerables - promoción social</v>
      </c>
      <c r="C190" s="1559"/>
      <c r="D190" s="1549"/>
      <c r="E190" s="1549"/>
      <c r="F190" s="1425"/>
      <c r="G190" s="1549"/>
      <c r="H190" s="1549"/>
      <c r="I190" s="300">
        <f>'PLAN INDICATIVO'!I190</f>
        <v>0</v>
      </c>
      <c r="J190" s="300">
        <f>'PLAN INDICATIVO'!J190</f>
        <v>0</v>
      </c>
      <c r="K190" s="67" t="str">
        <f>'PLAN INDICATIVO'!K190</f>
        <v>A.14.2.11</v>
      </c>
      <c r="L190" s="67" t="str">
        <f>'PLAN INDICATIVO'!L190</f>
        <v>10. Reducción de las desigualdades</v>
      </c>
      <c r="M190" s="67" t="str">
        <f>'PLAN INDICATIVO'!M190</f>
        <v>Secretaría de Gobierno</v>
      </c>
      <c r="N190" s="67" t="str">
        <f>'PLAN INDICATIVO'!N190</f>
        <v>HERNAN RODRIGUEZ FALLA</v>
      </c>
      <c r="O190" s="1378"/>
      <c r="P190" s="1364" t="str">
        <f>'PLAN INDICATIVO'!P190</f>
        <v xml:space="preserve">Una estrategia implementada cada año mediante los enlaces municipales, para atención integral de la población Juvenir </v>
      </c>
      <c r="Q190" s="302" t="str">
        <f>'PLAN INDICATIVO'!Q190</f>
        <v>Estrategia Implementada</v>
      </c>
      <c r="R190" s="303"/>
      <c r="S190" s="304"/>
      <c r="T190" s="699">
        <v>1</v>
      </c>
      <c r="U190" s="303"/>
      <c r="V190" s="687"/>
      <c r="W190" s="303"/>
      <c r="X190" s="687"/>
      <c r="Y190" s="286"/>
      <c r="Z190" s="1233"/>
      <c r="AA190" s="291">
        <v>1</v>
      </c>
      <c r="AB190" s="687"/>
      <c r="AC190" s="669"/>
      <c r="AD190" s="669"/>
      <c r="AE190" s="669"/>
      <c r="AF190" s="669"/>
      <c r="AG190" s="344"/>
      <c r="AH190" s="987"/>
      <c r="AI190" s="355"/>
      <c r="AJ190" s="358"/>
      <c r="AK190" s="358"/>
      <c r="AL190" s="358"/>
      <c r="AM190" s="358"/>
      <c r="AN190" s="267"/>
      <c r="AO190" s="512"/>
      <c r="AP190" s="724"/>
      <c r="AQ190" s="1373"/>
      <c r="AR190" s="1373"/>
      <c r="AS190" s="1373"/>
      <c r="AT190" s="1373"/>
      <c r="AU190" s="1374"/>
      <c r="AV190" s="1373"/>
      <c r="AW190" s="726"/>
      <c r="AX190" s="525"/>
      <c r="AY190" s="766"/>
      <c r="AZ190" s="766"/>
      <c r="BA190" s="766"/>
      <c r="BB190" s="766"/>
      <c r="BC190" s="1375"/>
      <c r="BD190" s="766"/>
      <c r="BE190" s="544"/>
      <c r="BF190" s="525"/>
      <c r="BG190" s="766"/>
      <c r="BH190" s="766"/>
      <c r="BI190" s="766"/>
      <c r="BJ190" s="766"/>
      <c r="BK190" s="1375"/>
      <c r="BL190" s="766"/>
      <c r="BM190" s="544"/>
      <c r="BN190" s="525"/>
      <c r="BO190" s="766"/>
      <c r="BP190" s="766"/>
      <c r="BQ190" s="766"/>
      <c r="BR190" s="766"/>
      <c r="BS190" s="1375"/>
      <c r="BT190" s="766"/>
      <c r="BU190" s="544"/>
      <c r="BV190" s="556"/>
      <c r="BW190" s="1362"/>
      <c r="BX190" s="1363"/>
      <c r="BY190" s="1363"/>
      <c r="BZ190" s="1363"/>
      <c r="CA190" s="1363"/>
      <c r="CB190" s="1047">
        <f t="shared" si="117"/>
        <v>0</v>
      </c>
      <c r="CG190" t="str">
        <f t="shared" si="118"/>
        <v>ROB</v>
      </c>
    </row>
    <row r="191" spans="1:85" ht="9.75" hidden="1" customHeight="1" x14ac:dyDescent="0.25">
      <c r="A191" s="295"/>
      <c r="B191" s="24" t="str">
        <f>'PLAN INDICATIVO'!B191</f>
        <v>Atención a grupos vulnerables - promoción social</v>
      </c>
      <c r="C191" s="1602" t="s">
        <v>602</v>
      </c>
      <c r="D191" s="1603"/>
      <c r="E191" s="1603"/>
      <c r="F191" s="1603"/>
      <c r="G191" s="1603"/>
      <c r="H191" s="1603"/>
      <c r="I191" s="1603"/>
      <c r="J191" s="1603"/>
      <c r="K191" s="1603"/>
      <c r="L191" s="1603"/>
      <c r="M191" s="1603"/>
      <c r="N191" s="1603"/>
      <c r="O191" s="1604"/>
      <c r="P191" s="365" t="s">
        <v>603</v>
      </c>
      <c r="Q191" s="62"/>
      <c r="R191" s="53"/>
      <c r="S191" s="275"/>
      <c r="T191" s="683"/>
      <c r="U191" s="275"/>
      <c r="V191" s="703">
        <f>SUM(V192:V198)</f>
        <v>10000000</v>
      </c>
      <c r="W191" s="275"/>
      <c r="X191" s="703">
        <f>SUM(X192:X198)</f>
        <v>14550000</v>
      </c>
      <c r="Y191" s="275"/>
      <c r="Z191" s="703">
        <f>SUM(Z192:Z198)</f>
        <v>19860000</v>
      </c>
      <c r="AA191" s="275"/>
      <c r="AB191" s="703">
        <f>SUM(AB192:AB198)</f>
        <v>10200000</v>
      </c>
      <c r="AC191" s="275"/>
      <c r="AD191" s="275"/>
      <c r="AE191" s="275"/>
      <c r="AF191" s="275"/>
      <c r="AG191" s="276"/>
      <c r="AH191" s="276"/>
      <c r="AI191" s="276"/>
      <c r="AJ191" s="275"/>
      <c r="AK191" s="275"/>
      <c r="AL191" s="275"/>
      <c r="AM191" s="275"/>
      <c r="AN191" s="275"/>
      <c r="AO191" s="642"/>
      <c r="AP191" s="643"/>
      <c r="AQ191" s="643"/>
      <c r="AR191" s="643"/>
      <c r="AS191" s="643"/>
      <c r="AT191" s="643"/>
      <c r="AU191" s="643"/>
      <c r="AV191" s="643"/>
      <c r="AW191" s="617"/>
      <c r="AX191" s="643" t="e">
        <f>(AX192:AX198)</f>
        <v>#VALUE!</v>
      </c>
      <c r="AY191" s="643" t="e">
        <f t="shared" ref="AY191:BD191" si="119">(AY192:AY198)</f>
        <v>#VALUE!</v>
      </c>
      <c r="AZ191" s="643" t="e">
        <f t="shared" si="119"/>
        <v>#VALUE!</v>
      </c>
      <c r="BA191" s="643" t="e">
        <f t="shared" si="119"/>
        <v>#VALUE!</v>
      </c>
      <c r="BB191" s="643" t="e">
        <f t="shared" si="119"/>
        <v>#VALUE!</v>
      </c>
      <c r="BC191" s="643" t="e">
        <f t="shared" si="119"/>
        <v>#VALUE!</v>
      </c>
      <c r="BD191" s="643" t="e">
        <f t="shared" si="119"/>
        <v>#VALUE!</v>
      </c>
      <c r="BE191" s="617" t="e">
        <f t="shared" si="101"/>
        <v>#VALUE!</v>
      </c>
      <c r="BF191" s="643"/>
      <c r="BG191" s="643"/>
      <c r="BH191" s="643"/>
      <c r="BI191" s="643"/>
      <c r="BJ191" s="643"/>
      <c r="BK191" s="643"/>
      <c r="BL191" s="643"/>
      <c r="BM191" s="617">
        <f t="shared" si="102"/>
        <v>0</v>
      </c>
      <c r="BN191" s="643" t="e">
        <f>(BN192:BN198)</f>
        <v>#VALUE!</v>
      </c>
      <c r="BO191" s="643" t="e">
        <f t="shared" ref="BO191:BT191" si="120">(BO192:BO198)</f>
        <v>#VALUE!</v>
      </c>
      <c r="BP191" s="643" t="e">
        <f t="shared" si="120"/>
        <v>#VALUE!</v>
      </c>
      <c r="BQ191" s="643" t="e">
        <f t="shared" si="120"/>
        <v>#VALUE!</v>
      </c>
      <c r="BR191" s="643" t="e">
        <f t="shared" si="120"/>
        <v>#VALUE!</v>
      </c>
      <c r="BS191" s="643" t="e">
        <f t="shared" si="120"/>
        <v>#VALUE!</v>
      </c>
      <c r="BT191" s="643" t="e">
        <f t="shared" si="120"/>
        <v>#VALUE!</v>
      </c>
      <c r="BU191" s="617" t="e">
        <f t="shared" si="103"/>
        <v>#VALUE!</v>
      </c>
      <c r="BV191" s="556"/>
      <c r="BW191" s="617" t="s">
        <v>2717</v>
      </c>
      <c r="BX191" s="617" t="s">
        <v>2717</v>
      </c>
      <c r="BY191" s="617" t="s">
        <v>2717</v>
      </c>
      <c r="BZ191" s="617" t="s">
        <v>2717</v>
      </c>
      <c r="CA191" s="617" t="s">
        <v>2717</v>
      </c>
      <c r="CB191" s="1047" t="s">
        <v>2717</v>
      </c>
    </row>
    <row r="192" spans="1:85" ht="74.25" hidden="1" customHeight="1" x14ac:dyDescent="0.25">
      <c r="A192" s="298" t="s">
        <v>491</v>
      </c>
      <c r="B192" s="299" t="str">
        <f>'PLAN INDICATIVO'!B192</f>
        <v>Atención a grupos vulnerables - promoción social</v>
      </c>
      <c r="C192" s="1546" t="s">
        <v>604</v>
      </c>
      <c r="D192" s="1549" t="s">
        <v>605</v>
      </c>
      <c r="E192" s="1549" t="s">
        <v>606</v>
      </c>
      <c r="F192" s="1549">
        <v>2015</v>
      </c>
      <c r="G192" s="1549" t="s">
        <v>177</v>
      </c>
      <c r="H192" s="1549">
        <v>12</v>
      </c>
      <c r="I192" s="300">
        <f>'PLAN INDICATIVO'!I192</f>
        <v>0</v>
      </c>
      <c r="J192" s="300">
        <f>'PLAN INDICATIVO'!J192</f>
        <v>0</v>
      </c>
      <c r="K192" s="1425" t="str">
        <f>'PLAN INDICATIVO'!K192</f>
        <v>A.14.3.1</v>
      </c>
      <c r="L192" s="301" t="str">
        <f>'PLAN INDICATIVO'!L192</f>
        <v>5. Igualdad de Género</v>
      </c>
      <c r="M192" s="301" t="str">
        <f>'PLAN INDICATIVO'!M192</f>
        <v>Secretaría de Gobierno</v>
      </c>
      <c r="N192" s="1425" t="str">
        <f>'PLAN INDICATIVO'!N192</f>
        <v>HERNAN RODRIGUEZ FALLA</v>
      </c>
      <c r="O192" s="1425" t="str">
        <f>'PLAN INDICATIVO'!O192</f>
        <v>Incremento</v>
      </c>
      <c r="P192" s="820" t="str">
        <f>'PLAN INDICATIVO'!P192</f>
        <v>Crear e implementar 1 política municipal de equidad de género, durante el cuatrienio, para la mujer líder y emprendedora</v>
      </c>
      <c r="Q192" s="302" t="str">
        <f>'PLAN INDICATIVO'!Q192</f>
        <v>No. De políticas de equidad creadas</v>
      </c>
      <c r="R192" s="303">
        <f>'PLAN INDICATIVO'!R192</f>
        <v>2015</v>
      </c>
      <c r="S192" s="304">
        <v>0</v>
      </c>
      <c r="T192" s="699">
        <v>1</v>
      </c>
      <c r="U192" s="303">
        <v>1</v>
      </c>
      <c r="V192" s="548">
        <v>3000000</v>
      </c>
      <c r="W192" s="815">
        <v>0</v>
      </c>
      <c r="X192" s="687">
        <v>3000000</v>
      </c>
      <c r="Y192" s="286"/>
      <c r="Z192" s="1233"/>
      <c r="AA192" s="291">
        <v>0.5</v>
      </c>
      <c r="AB192" s="687"/>
      <c r="AC192" s="669"/>
      <c r="AD192" s="669">
        <v>0.5</v>
      </c>
      <c r="AE192" s="669"/>
      <c r="AF192" s="669"/>
      <c r="AG192" s="341" t="s">
        <v>3649</v>
      </c>
      <c r="AH192" s="987">
        <v>2018413960018</v>
      </c>
      <c r="AI192" s="355"/>
      <c r="AJ192" s="359">
        <v>43160</v>
      </c>
      <c r="AK192" s="359">
        <v>43434</v>
      </c>
      <c r="AL192" s="358"/>
      <c r="AM192" s="358"/>
      <c r="AN192" s="267" t="s">
        <v>2594</v>
      </c>
      <c r="AO192" s="512"/>
      <c r="AP192" s="525"/>
      <c r="AQ192" s="310"/>
      <c r="AR192" s="310"/>
      <c r="AS192" s="310"/>
      <c r="AT192" s="310"/>
      <c r="AU192" s="310"/>
      <c r="AV192" s="310"/>
      <c r="AW192" s="544"/>
      <c r="AX192" s="525"/>
      <c r="AY192" s="310"/>
      <c r="AZ192" s="310"/>
      <c r="BA192" s="310"/>
      <c r="BB192" s="310"/>
      <c r="BC192" s="310"/>
      <c r="BD192" s="310"/>
      <c r="BE192" s="544">
        <f t="shared" si="101"/>
        <v>0</v>
      </c>
      <c r="BF192" s="525"/>
      <c r="BG192" s="310"/>
      <c r="BH192" s="310"/>
      <c r="BI192" s="310"/>
      <c r="BJ192" s="310"/>
      <c r="BK192" s="310"/>
      <c r="BL192" s="310"/>
      <c r="BM192" s="544">
        <f t="shared" si="102"/>
        <v>0</v>
      </c>
      <c r="BN192" s="525"/>
      <c r="BO192" s="310"/>
      <c r="BP192" s="310"/>
      <c r="BQ192" s="310"/>
      <c r="BR192" s="310"/>
      <c r="BS192" s="310"/>
      <c r="BT192" s="310"/>
      <c r="BU192" s="544">
        <f t="shared" si="103"/>
        <v>0</v>
      </c>
      <c r="BV192" s="556"/>
      <c r="BW192" s="663">
        <f t="shared" si="91"/>
        <v>0.5</v>
      </c>
      <c r="BX192" s="1047">
        <f t="shared" si="95"/>
        <v>0.5</v>
      </c>
      <c r="BY192" s="1047">
        <f t="shared" ref="BY192:BY198" si="121">IF(U192&gt;=0.1,AC192/U192,IF(ISBLANK(U192),"No Programada","Aplazada"))</f>
        <v>0</v>
      </c>
      <c r="BZ192" s="1047" t="str">
        <f t="shared" ref="BZ192:BZ198" si="122">IF(W192&gt;=0.1,AD192/W192,IF(ISBLANK(W192),"No Programada","Aplazada"))</f>
        <v>Aplazada</v>
      </c>
      <c r="CA192" s="1047" t="str">
        <f t="shared" ref="CA192:CA198" si="123">IF(Y192&gt;=0.1,AE192/Y192,IF(ISBLANK(Y192),"No Programada","Aplazada"))</f>
        <v>No Programada</v>
      </c>
      <c r="CB192" s="1047">
        <f t="shared" ref="CB192:CB198" si="124">IF(AA192&gt;=0.1,AF192/AA192,IF(ISBLANK(AA192),"No Programada","Aplazada"))</f>
        <v>0</v>
      </c>
      <c r="CD192" t="str">
        <f t="shared" ref="CD192:CG198" si="125">IF(BY192="PARA MODIFICAR","M",IF(BY192="PARA ELIMINAR","E",IF(BY192="aplazada","AZ",IF(BY192="no programada","NP",IF(BY192&gt;=85%,"VE",IF(BY192&gt;70%,"VEB",IF(BY192&gt;60%,"AM",IF(BY192&gt;40%,"AMB",IF(BY192&gt;20%,"RO",IF(BY192&gt;=0%,"ROB",""))))))))))</f>
        <v>ROB</v>
      </c>
      <c r="CE192" t="str">
        <f t="shared" si="125"/>
        <v>AZ</v>
      </c>
      <c r="CF192" t="str">
        <f t="shared" si="125"/>
        <v>NP</v>
      </c>
      <c r="CG192" t="str">
        <f t="shared" si="125"/>
        <v>ROB</v>
      </c>
    </row>
    <row r="193" spans="1:85" ht="79.5" hidden="1" customHeight="1" x14ac:dyDescent="0.25">
      <c r="A193" s="298" t="s">
        <v>491</v>
      </c>
      <c r="B193" s="299" t="str">
        <f>'PLAN INDICATIVO'!B193</f>
        <v>Atención a grupos vulnerables - promoción social</v>
      </c>
      <c r="C193" s="1547"/>
      <c r="D193" s="1549"/>
      <c r="E193" s="1549"/>
      <c r="F193" s="1549"/>
      <c r="G193" s="1549"/>
      <c r="H193" s="1549"/>
      <c r="I193" s="300">
        <f>'PLAN INDICATIVO'!I193</f>
        <v>0</v>
      </c>
      <c r="J193" s="300">
        <f>'PLAN INDICATIVO'!J193</f>
        <v>0</v>
      </c>
      <c r="K193" s="1425" t="str">
        <f>'PLAN INDICATIVO'!K193</f>
        <v>A.14.3.2</v>
      </c>
      <c r="L193" s="301" t="str">
        <f>'PLAN INDICATIVO'!L193</f>
        <v>5. Igualdad de Género</v>
      </c>
      <c r="M193" s="301" t="str">
        <f>'PLAN INDICATIVO'!M193</f>
        <v>Secretaría de Gobierno</v>
      </c>
      <c r="N193" s="1425" t="str">
        <f>'PLAN INDICATIVO'!N193</f>
        <v>HERNAN RODRIGUEZ FALLA</v>
      </c>
      <c r="O193" s="1425" t="str">
        <f>'PLAN INDICATIVO'!O193</f>
        <v>Incremento</v>
      </c>
      <c r="P193" s="16" t="str">
        <f>'PLAN INDICATIVO'!P193</f>
        <v>Reaizar 4 ferias de la mujer microempresaria  durante el cuatrienio</v>
      </c>
      <c r="Q193" s="302" t="str">
        <f>'PLAN INDICATIVO'!Q193</f>
        <v>No. De ferias realizadas</v>
      </c>
      <c r="R193" s="303">
        <f>'PLAN INDICATIVO'!R193</f>
        <v>2015</v>
      </c>
      <c r="S193" s="304">
        <v>0</v>
      </c>
      <c r="T193" s="699">
        <v>4</v>
      </c>
      <c r="U193" s="303">
        <v>1</v>
      </c>
      <c r="V193" s="548">
        <v>3000000</v>
      </c>
      <c r="W193" s="303">
        <v>1</v>
      </c>
      <c r="X193" s="687">
        <v>5000000</v>
      </c>
      <c r="Y193" s="286">
        <v>1</v>
      </c>
      <c r="Z193" s="1233">
        <v>5360000</v>
      </c>
      <c r="AA193" s="291">
        <v>2</v>
      </c>
      <c r="AB193" s="687">
        <v>5440000</v>
      </c>
      <c r="AC193" s="669">
        <v>1</v>
      </c>
      <c r="AD193" s="669"/>
      <c r="AE193" s="669">
        <v>1</v>
      </c>
      <c r="AF193" s="669"/>
      <c r="AG193" s="341" t="s">
        <v>3649</v>
      </c>
      <c r="AH193" s="987">
        <v>2018413960018</v>
      </c>
      <c r="AI193" s="750" t="s">
        <v>4125</v>
      </c>
      <c r="AJ193" s="363">
        <v>43252</v>
      </c>
      <c r="AK193" s="363">
        <v>43281</v>
      </c>
      <c r="AL193" s="358"/>
      <c r="AM193" s="358"/>
      <c r="AN193" s="267" t="s">
        <v>2598</v>
      </c>
      <c r="AO193" s="512"/>
      <c r="AP193" s="720"/>
      <c r="AQ193" s="310"/>
      <c r="AR193" s="310"/>
      <c r="AS193" s="310"/>
      <c r="AT193" s="310"/>
      <c r="AU193" s="310"/>
      <c r="AV193" s="310"/>
      <c r="AW193" s="544"/>
      <c r="AX193" s="525"/>
      <c r="AY193" s="310"/>
      <c r="AZ193" s="310"/>
      <c r="BA193" s="310"/>
      <c r="BB193" s="310"/>
      <c r="BC193" s="310"/>
      <c r="BD193" s="310"/>
      <c r="BE193" s="544">
        <f t="shared" si="101"/>
        <v>0</v>
      </c>
      <c r="BF193" s="525"/>
      <c r="BG193" s="310"/>
      <c r="BH193" s="310"/>
      <c r="BI193" s="310"/>
      <c r="BJ193" s="310"/>
      <c r="BK193" s="310"/>
      <c r="BL193" s="310"/>
      <c r="BM193" s="544">
        <f t="shared" si="102"/>
        <v>0</v>
      </c>
      <c r="BN193" s="525"/>
      <c r="BO193" s="310"/>
      <c r="BP193" s="310"/>
      <c r="BQ193" s="310"/>
      <c r="BR193" s="310"/>
      <c r="BS193" s="310"/>
      <c r="BT193" s="310"/>
      <c r="BU193" s="544">
        <f t="shared" si="103"/>
        <v>0</v>
      </c>
      <c r="BV193" s="556"/>
      <c r="BW193" s="663">
        <f t="shared" si="91"/>
        <v>2</v>
      </c>
      <c r="BX193" s="1047">
        <f t="shared" si="95"/>
        <v>0.5</v>
      </c>
      <c r="BY193" s="1047">
        <f t="shared" si="121"/>
        <v>1</v>
      </c>
      <c r="BZ193" s="1047">
        <f t="shared" si="122"/>
        <v>0</v>
      </c>
      <c r="CA193" s="1047">
        <f t="shared" si="123"/>
        <v>1</v>
      </c>
      <c r="CB193" s="1047">
        <f t="shared" si="124"/>
        <v>0</v>
      </c>
      <c r="CD193" t="str">
        <f t="shared" si="125"/>
        <v>VE</v>
      </c>
      <c r="CE193" t="str">
        <f t="shared" si="125"/>
        <v>ROB</v>
      </c>
      <c r="CF193" t="str">
        <f t="shared" si="125"/>
        <v>VE</v>
      </c>
      <c r="CG193" t="str">
        <f t="shared" si="125"/>
        <v>ROB</v>
      </c>
    </row>
    <row r="194" spans="1:85" ht="72" hidden="1" customHeight="1" x14ac:dyDescent="0.25">
      <c r="A194" s="298" t="s">
        <v>491</v>
      </c>
      <c r="B194" s="299" t="str">
        <f>'PLAN INDICATIVO'!B194</f>
        <v>Atención a grupos vulnerables - promoción social</v>
      </c>
      <c r="C194" s="1547"/>
      <c r="D194" s="1549"/>
      <c r="E194" s="1549"/>
      <c r="F194" s="1549"/>
      <c r="G194" s="1549"/>
      <c r="H194" s="1549"/>
      <c r="I194" s="300">
        <f>'PLAN INDICATIVO'!I194</f>
        <v>0</v>
      </c>
      <c r="J194" s="300">
        <f>'PLAN INDICATIVO'!J194</f>
        <v>0</v>
      </c>
      <c r="K194" s="1425" t="str">
        <f>'PLAN INDICATIVO'!K194</f>
        <v>A.14.3.3</v>
      </c>
      <c r="L194" s="301" t="str">
        <f>'PLAN INDICATIVO'!L194</f>
        <v>5. Igualdad de Género</v>
      </c>
      <c r="M194" s="301" t="str">
        <f>'PLAN INDICATIVO'!M194</f>
        <v>Secretaría de Gobierno</v>
      </c>
      <c r="N194" s="1425" t="str">
        <f>'PLAN INDICATIVO'!N194</f>
        <v>HERNAN RODRIGUEZ FALLA</v>
      </c>
      <c r="O194" s="1425" t="str">
        <f>'PLAN INDICATIVO'!O194</f>
        <v>Incremento</v>
      </c>
      <c r="P194" s="16" t="str">
        <f>'PLAN INDICATIVO'!P194</f>
        <v>Realizar 1 oferta mediante el programa capital semilla a la mujer Plateña, para acceso a proyectos de desarrollo económico, durante el cuatrienio</v>
      </c>
      <c r="Q194" s="302" t="str">
        <f>'PLAN INDICATIVO'!Q194</f>
        <v>No. De ofertas realizadas</v>
      </c>
      <c r="R194" s="303">
        <f>'PLAN INDICATIVO'!R194</f>
        <v>2015</v>
      </c>
      <c r="S194" s="304">
        <v>0</v>
      </c>
      <c r="T194" s="699">
        <v>1</v>
      </c>
      <c r="U194" s="303">
        <v>0</v>
      </c>
      <c r="V194" s="548"/>
      <c r="W194" s="303">
        <v>1</v>
      </c>
      <c r="X194" s="687"/>
      <c r="Y194" s="286"/>
      <c r="Z194" s="1233">
        <v>10000000</v>
      </c>
      <c r="AA194" s="291"/>
      <c r="AB194" s="687"/>
      <c r="AC194" s="669"/>
      <c r="AD194" s="669">
        <v>1</v>
      </c>
      <c r="AE194" s="669"/>
      <c r="AF194" s="669"/>
      <c r="AG194" s="341" t="s">
        <v>3649</v>
      </c>
      <c r="AH194" s="987">
        <v>2018413960018</v>
      </c>
      <c r="AI194" s="355"/>
      <c r="AJ194" s="359"/>
      <c r="AK194" s="359"/>
      <c r="AL194" s="358"/>
      <c r="AM194" s="358"/>
      <c r="AN194" s="267" t="s">
        <v>2594</v>
      </c>
      <c r="AO194" s="512"/>
      <c r="AP194" s="525"/>
      <c r="AQ194" s="310"/>
      <c r="AR194" s="310"/>
      <c r="AS194" s="310"/>
      <c r="AT194" s="310"/>
      <c r="AU194" s="310"/>
      <c r="AV194" s="310"/>
      <c r="AW194" s="544"/>
      <c r="AX194" s="525"/>
      <c r="AY194" s="310"/>
      <c r="AZ194" s="310"/>
      <c r="BA194" s="310"/>
      <c r="BB194" s="310"/>
      <c r="BC194" s="310"/>
      <c r="BD194" s="310"/>
      <c r="BE194" s="544">
        <f t="shared" si="101"/>
        <v>0</v>
      </c>
      <c r="BF194" s="525"/>
      <c r="BG194" s="310"/>
      <c r="BH194" s="310"/>
      <c r="BI194" s="310"/>
      <c r="BJ194" s="310"/>
      <c r="BK194" s="310"/>
      <c r="BL194" s="310"/>
      <c r="BM194" s="544">
        <f t="shared" si="102"/>
        <v>0</v>
      </c>
      <c r="BN194" s="525"/>
      <c r="BO194" s="310"/>
      <c r="BP194" s="310"/>
      <c r="BQ194" s="310"/>
      <c r="BR194" s="310"/>
      <c r="BS194" s="310"/>
      <c r="BT194" s="310"/>
      <c r="BU194" s="544">
        <f t="shared" si="103"/>
        <v>0</v>
      </c>
      <c r="BV194" s="556"/>
      <c r="BW194" s="663">
        <f t="shared" si="91"/>
        <v>1</v>
      </c>
      <c r="BX194" s="1047">
        <f t="shared" si="95"/>
        <v>1</v>
      </c>
      <c r="BY194" s="1047" t="str">
        <f t="shared" si="121"/>
        <v>Aplazada</v>
      </c>
      <c r="BZ194" s="1047">
        <f t="shared" si="122"/>
        <v>1</v>
      </c>
      <c r="CA194" s="1047" t="str">
        <f t="shared" si="123"/>
        <v>No Programada</v>
      </c>
      <c r="CB194" s="1047" t="str">
        <f t="shared" si="124"/>
        <v>No Programada</v>
      </c>
      <c r="CD194" t="str">
        <f t="shared" si="125"/>
        <v>AZ</v>
      </c>
      <c r="CE194" t="str">
        <f t="shared" si="125"/>
        <v>VE</v>
      </c>
      <c r="CF194" t="str">
        <f t="shared" si="125"/>
        <v>NP</v>
      </c>
      <c r="CG194" t="str">
        <f t="shared" si="125"/>
        <v>NP</v>
      </c>
    </row>
    <row r="195" spans="1:85" ht="83.25" hidden="1" customHeight="1" x14ac:dyDescent="0.25">
      <c r="A195" s="298" t="s">
        <v>491</v>
      </c>
      <c r="B195" s="299" t="str">
        <f>'PLAN INDICATIVO'!B195</f>
        <v>Atención a grupos vulnerables - promoción social</v>
      </c>
      <c r="C195" s="1547"/>
      <c r="D195" s="1549"/>
      <c r="E195" s="1549"/>
      <c r="F195" s="1549"/>
      <c r="G195" s="1549"/>
      <c r="H195" s="1549"/>
      <c r="I195" s="300">
        <f>'PLAN INDICATIVO'!I195</f>
        <v>0</v>
      </c>
      <c r="J195" s="300">
        <f>'PLAN INDICATIVO'!J195</f>
        <v>0</v>
      </c>
      <c r="K195" s="1425" t="str">
        <f>'PLAN INDICATIVO'!K195</f>
        <v>A.14.3.4</v>
      </c>
      <c r="L195" s="301" t="str">
        <f>'PLAN INDICATIVO'!L195</f>
        <v>5. Igualdad de Género</v>
      </c>
      <c r="M195" s="301" t="str">
        <f>'PLAN INDICATIVO'!M195</f>
        <v>Secretaría de Gobierno</v>
      </c>
      <c r="N195" s="1425" t="str">
        <f>'PLAN INDICATIVO'!N195</f>
        <v>HERNAN RODRIGUEZ FALLA</v>
      </c>
      <c r="O195" s="1425" t="str">
        <f>'PLAN INDICATIVO'!O195</f>
        <v>Incremento</v>
      </c>
      <c r="P195" s="16" t="str">
        <f>'PLAN INDICATIVO'!P195</f>
        <v>Apoyo a un (1) programa para potencializar a la mujer plateña, como generadora de fuente de ingresos a partir de proyectos sociales y productivos.</v>
      </c>
      <c r="Q195" s="302" t="str">
        <f>'PLAN INDICATIVO'!Q195</f>
        <v>No. De apoyos realizados</v>
      </c>
      <c r="R195" s="303">
        <f>'PLAN INDICATIVO'!R195</f>
        <v>2015</v>
      </c>
      <c r="S195" s="304">
        <v>0</v>
      </c>
      <c r="T195" s="699">
        <v>1</v>
      </c>
      <c r="U195" s="303">
        <v>1</v>
      </c>
      <c r="V195" s="548">
        <v>1000000</v>
      </c>
      <c r="W195" s="303">
        <v>1</v>
      </c>
      <c r="X195" s="687">
        <v>1000000</v>
      </c>
      <c r="Y195" s="286"/>
      <c r="Z195" s="1233"/>
      <c r="AA195" s="291"/>
      <c r="AB195" s="687"/>
      <c r="AC195" s="669"/>
      <c r="AD195" s="669">
        <v>1</v>
      </c>
      <c r="AE195" s="669"/>
      <c r="AF195" s="669"/>
      <c r="AG195" s="341" t="s">
        <v>3649</v>
      </c>
      <c r="AH195" s="987">
        <v>2018413960018</v>
      </c>
      <c r="AI195" s="355"/>
      <c r="AJ195" s="359"/>
      <c r="AK195" s="359"/>
      <c r="AL195" s="358"/>
      <c r="AM195" s="358"/>
      <c r="AN195" s="267" t="s">
        <v>2594</v>
      </c>
      <c r="AO195" s="512"/>
      <c r="AP195" s="525"/>
      <c r="AQ195" s="310"/>
      <c r="AR195" s="310"/>
      <c r="AS195" s="310"/>
      <c r="AT195" s="310"/>
      <c r="AU195" s="310"/>
      <c r="AV195" s="310"/>
      <c r="AW195" s="544"/>
      <c r="AX195" s="525"/>
      <c r="AY195" s="310"/>
      <c r="AZ195" s="310"/>
      <c r="BA195" s="310"/>
      <c r="BB195" s="310"/>
      <c r="BC195" s="310"/>
      <c r="BD195" s="310"/>
      <c r="BE195" s="544">
        <f t="shared" si="101"/>
        <v>0</v>
      </c>
      <c r="BF195" s="525"/>
      <c r="BG195" s="310"/>
      <c r="BH195" s="310"/>
      <c r="BI195" s="310"/>
      <c r="BJ195" s="310"/>
      <c r="BK195" s="310"/>
      <c r="BL195" s="310"/>
      <c r="BM195" s="544">
        <f t="shared" si="102"/>
        <v>0</v>
      </c>
      <c r="BN195" s="525"/>
      <c r="BO195" s="310"/>
      <c r="BP195" s="310"/>
      <c r="BQ195" s="310"/>
      <c r="BR195" s="310"/>
      <c r="BS195" s="310"/>
      <c r="BT195" s="310"/>
      <c r="BU195" s="544">
        <f t="shared" si="103"/>
        <v>0</v>
      </c>
      <c r="BV195" s="556"/>
      <c r="BW195" s="663">
        <f t="shared" si="91"/>
        <v>1</v>
      </c>
      <c r="BX195" s="1047">
        <f t="shared" si="95"/>
        <v>1</v>
      </c>
      <c r="BY195" s="1047">
        <f t="shared" si="121"/>
        <v>0</v>
      </c>
      <c r="BZ195" s="1047">
        <f t="shared" si="122"/>
        <v>1</v>
      </c>
      <c r="CA195" s="1047" t="str">
        <f t="shared" si="123"/>
        <v>No Programada</v>
      </c>
      <c r="CB195" s="1047" t="str">
        <f t="shared" si="124"/>
        <v>No Programada</v>
      </c>
      <c r="CD195" t="str">
        <f t="shared" si="125"/>
        <v>ROB</v>
      </c>
      <c r="CE195" t="str">
        <f t="shared" si="125"/>
        <v>VE</v>
      </c>
      <c r="CF195" t="str">
        <f t="shared" si="125"/>
        <v>NP</v>
      </c>
      <c r="CG195" t="str">
        <f t="shared" si="125"/>
        <v>NP</v>
      </c>
    </row>
    <row r="196" spans="1:85" ht="72" hidden="1" customHeight="1" x14ac:dyDescent="0.25">
      <c r="A196" s="298" t="s">
        <v>491</v>
      </c>
      <c r="B196" s="299" t="str">
        <f>'PLAN INDICATIVO'!B196</f>
        <v>Atención a grupos vulnerables - promoción social</v>
      </c>
      <c r="C196" s="1547"/>
      <c r="D196" s="1549"/>
      <c r="E196" s="1549"/>
      <c r="F196" s="1549"/>
      <c r="G196" s="1549"/>
      <c r="H196" s="1549"/>
      <c r="I196" s="300">
        <f>'PLAN INDICATIVO'!I196</f>
        <v>0</v>
      </c>
      <c r="J196" s="300">
        <f>'PLAN INDICATIVO'!J196</f>
        <v>0</v>
      </c>
      <c r="K196" s="1425" t="str">
        <f>'PLAN INDICATIVO'!K196</f>
        <v>A.14.3.5</v>
      </c>
      <c r="L196" s="301" t="str">
        <f>'PLAN INDICATIVO'!L196</f>
        <v>5. Igualdad de Género</v>
      </c>
      <c r="M196" s="301" t="str">
        <f>'PLAN INDICATIVO'!M196</f>
        <v>Secretaría de Gobierno</v>
      </c>
      <c r="N196" s="1425" t="str">
        <f>'PLAN INDICATIVO'!N196</f>
        <v>HERNAN RODRIGUEZ FALLA</v>
      </c>
      <c r="O196" s="1425" t="str">
        <f>'PLAN INDICATIVO'!O196</f>
        <v>Incremento</v>
      </c>
      <c r="P196" s="16" t="str">
        <f>'PLAN INDICATIVO'!P196</f>
        <v>Implementar 1 campaña cada año para prevenir violencia contra la mujer</v>
      </c>
      <c r="Q196" s="302" t="str">
        <f>'PLAN INDICATIVO'!Q196</f>
        <v>Campaña implementada</v>
      </c>
      <c r="R196" s="303">
        <f>'PLAN INDICATIVO'!R196</f>
        <v>2015</v>
      </c>
      <c r="S196" s="304">
        <v>1</v>
      </c>
      <c r="T196" s="699">
        <v>4</v>
      </c>
      <c r="U196" s="303">
        <v>1</v>
      </c>
      <c r="V196" s="548">
        <v>2000000</v>
      </c>
      <c r="W196" s="303">
        <v>1</v>
      </c>
      <c r="X196" s="687">
        <v>4550000</v>
      </c>
      <c r="Y196" s="286">
        <v>1</v>
      </c>
      <c r="Z196" s="1233">
        <v>3500000</v>
      </c>
      <c r="AA196" s="291">
        <v>1</v>
      </c>
      <c r="AB196" s="687">
        <v>3760000</v>
      </c>
      <c r="AC196" s="669">
        <v>1</v>
      </c>
      <c r="AD196" s="669">
        <v>1</v>
      </c>
      <c r="AE196" s="669">
        <v>1</v>
      </c>
      <c r="AF196" s="669"/>
      <c r="AG196" s="341" t="s">
        <v>3649</v>
      </c>
      <c r="AH196" s="987">
        <v>2018413960018</v>
      </c>
      <c r="AI196" s="355" t="s">
        <v>4126</v>
      </c>
      <c r="AJ196" s="359">
        <v>43160</v>
      </c>
      <c r="AK196" s="359">
        <v>43189</v>
      </c>
      <c r="AL196" s="358"/>
      <c r="AM196" s="358"/>
      <c r="AN196" s="267" t="s">
        <v>2598</v>
      </c>
      <c r="AO196" s="512"/>
      <c r="AP196" s="720"/>
      <c r="AQ196" s="310"/>
      <c r="AR196" s="310"/>
      <c r="AS196" s="310"/>
      <c r="AT196" s="310"/>
      <c r="AU196" s="310"/>
      <c r="AV196" s="310"/>
      <c r="AW196" s="544"/>
      <c r="AX196" s="525"/>
      <c r="AY196" s="310"/>
      <c r="AZ196" s="310"/>
      <c r="BA196" s="310"/>
      <c r="BB196" s="310"/>
      <c r="BC196" s="310"/>
      <c r="BD196" s="310"/>
      <c r="BE196" s="544">
        <f t="shared" si="101"/>
        <v>0</v>
      </c>
      <c r="BF196" s="525"/>
      <c r="BG196" s="310"/>
      <c r="BH196" s="310"/>
      <c r="BI196" s="310"/>
      <c r="BJ196" s="310"/>
      <c r="BK196" s="310"/>
      <c r="BL196" s="310"/>
      <c r="BM196" s="544">
        <f t="shared" si="102"/>
        <v>0</v>
      </c>
      <c r="BN196" s="525"/>
      <c r="BO196" s="310"/>
      <c r="BP196" s="310"/>
      <c r="BQ196" s="310"/>
      <c r="BR196" s="310"/>
      <c r="BS196" s="310"/>
      <c r="BT196" s="310"/>
      <c r="BU196" s="544">
        <f t="shared" si="103"/>
        <v>0</v>
      </c>
      <c r="BV196" s="556"/>
      <c r="BW196" s="663">
        <f t="shared" si="91"/>
        <v>3</v>
      </c>
      <c r="BX196" s="1047">
        <f t="shared" si="95"/>
        <v>0.75</v>
      </c>
      <c r="BY196" s="1047">
        <f t="shared" si="121"/>
        <v>1</v>
      </c>
      <c r="BZ196" s="1047">
        <f t="shared" si="122"/>
        <v>1</v>
      </c>
      <c r="CA196" s="1047">
        <f t="shared" si="123"/>
        <v>1</v>
      </c>
      <c r="CB196" s="1047">
        <f t="shared" si="124"/>
        <v>0</v>
      </c>
      <c r="CD196" t="str">
        <f t="shared" si="125"/>
        <v>VE</v>
      </c>
      <c r="CE196" t="str">
        <f t="shared" si="125"/>
        <v>VE</v>
      </c>
      <c r="CF196" t="str">
        <f t="shared" si="125"/>
        <v>VE</v>
      </c>
      <c r="CG196" t="str">
        <f t="shared" si="125"/>
        <v>ROB</v>
      </c>
    </row>
    <row r="197" spans="1:85" ht="51.75" hidden="1" customHeight="1" x14ac:dyDescent="0.25">
      <c r="A197" s="298" t="s">
        <v>491</v>
      </c>
      <c r="B197" s="299" t="str">
        <f>'PLAN INDICATIVO'!B197</f>
        <v>Atención a grupos vulnerables - promoción social</v>
      </c>
      <c r="C197" s="1547"/>
      <c r="D197" s="1549"/>
      <c r="E197" s="1549"/>
      <c r="F197" s="1549"/>
      <c r="G197" s="1549"/>
      <c r="H197" s="1549"/>
      <c r="I197" s="300">
        <f>'PLAN INDICATIVO'!I197</f>
        <v>0</v>
      </c>
      <c r="J197" s="300">
        <f>'PLAN INDICATIVO'!J197</f>
        <v>0</v>
      </c>
      <c r="K197" s="1425" t="str">
        <f>'PLAN INDICATIVO'!K197</f>
        <v>A.14.3.6</v>
      </c>
      <c r="L197" s="301" t="str">
        <f>'PLAN INDICATIVO'!L197</f>
        <v>5. Igualdad de Género</v>
      </c>
      <c r="M197" s="301" t="str">
        <f>'PLAN INDICATIVO'!M197</f>
        <v>Secretaría de Gobierno</v>
      </c>
      <c r="N197" s="1425" t="str">
        <f>'PLAN INDICATIVO'!N197</f>
        <v>HERNAN RODRIGUEZ FALLA</v>
      </c>
      <c r="O197" s="1425" t="str">
        <f>'PLAN INDICATIVO'!O197</f>
        <v>Mantenimiento</v>
      </c>
      <c r="P197" s="16" t="str">
        <f>'PLAN INDICATIVO'!P197</f>
        <v>Realizar 2 sesiones del Consejo Comunitario de Mujeres por año</v>
      </c>
      <c r="Q197" s="302" t="str">
        <f>'PLAN INDICATIVO'!Q197</f>
        <v>No. De sesiones del consejo Comunitario de mujeres por año</v>
      </c>
      <c r="R197" s="303">
        <f>'PLAN INDICATIVO'!R197</f>
        <v>2015</v>
      </c>
      <c r="S197" s="304">
        <v>2</v>
      </c>
      <c r="T197" s="699">
        <v>8</v>
      </c>
      <c r="U197" s="303">
        <v>2</v>
      </c>
      <c r="V197" s="548">
        <v>500000</v>
      </c>
      <c r="W197" s="303">
        <v>2</v>
      </c>
      <c r="X197" s="687">
        <v>500000</v>
      </c>
      <c r="Y197" s="284">
        <v>2</v>
      </c>
      <c r="Z197" s="1233">
        <v>500000</v>
      </c>
      <c r="AA197" s="291">
        <v>3</v>
      </c>
      <c r="AB197" s="687">
        <v>500000</v>
      </c>
      <c r="AC197" s="669">
        <v>2</v>
      </c>
      <c r="AD197" s="669">
        <v>1</v>
      </c>
      <c r="AE197" s="669">
        <v>2</v>
      </c>
      <c r="AF197" s="669"/>
      <c r="AG197" s="341" t="s">
        <v>3649</v>
      </c>
      <c r="AH197" s="987">
        <v>2018413960018</v>
      </c>
      <c r="AI197" s="355" t="s">
        <v>4127</v>
      </c>
      <c r="AJ197" s="359">
        <v>43160</v>
      </c>
      <c r="AK197" s="363">
        <v>43250</v>
      </c>
      <c r="AL197" s="358"/>
      <c r="AM197" s="358"/>
      <c r="AN197" s="267" t="s">
        <v>2598</v>
      </c>
      <c r="AO197" s="512"/>
      <c r="AP197" s="525"/>
      <c r="AQ197" s="721"/>
      <c r="AR197" s="310"/>
      <c r="AS197" s="310"/>
      <c r="AT197" s="310"/>
      <c r="AU197" s="310"/>
      <c r="AV197" s="310"/>
      <c r="AW197" s="544"/>
      <c r="AX197" s="525"/>
      <c r="AY197" s="310"/>
      <c r="AZ197" s="310"/>
      <c r="BA197" s="310"/>
      <c r="BB197" s="310"/>
      <c r="BC197" s="310"/>
      <c r="BD197" s="310"/>
      <c r="BE197" s="544">
        <f t="shared" si="101"/>
        <v>0</v>
      </c>
      <c r="BF197" s="525"/>
      <c r="BG197" s="310"/>
      <c r="BH197" s="310"/>
      <c r="BI197" s="310"/>
      <c r="BJ197" s="310"/>
      <c r="BK197" s="310"/>
      <c r="BL197" s="310"/>
      <c r="BM197" s="544">
        <f t="shared" si="102"/>
        <v>0</v>
      </c>
      <c r="BN197" s="525"/>
      <c r="BO197" s="310"/>
      <c r="BP197" s="310"/>
      <c r="BQ197" s="310"/>
      <c r="BR197" s="310"/>
      <c r="BS197" s="310"/>
      <c r="BT197" s="310"/>
      <c r="BU197" s="544">
        <f t="shared" si="103"/>
        <v>0</v>
      </c>
      <c r="BV197" s="556"/>
      <c r="BW197" s="663">
        <f t="shared" si="91"/>
        <v>5</v>
      </c>
      <c r="BX197" s="1047">
        <f t="shared" si="95"/>
        <v>0.625</v>
      </c>
      <c r="BY197" s="1047">
        <f t="shared" si="121"/>
        <v>1</v>
      </c>
      <c r="BZ197" s="1047">
        <f t="shared" si="122"/>
        <v>0.5</v>
      </c>
      <c r="CA197" s="1047">
        <f t="shared" si="123"/>
        <v>1</v>
      </c>
      <c r="CB197" s="1047">
        <f t="shared" si="124"/>
        <v>0</v>
      </c>
      <c r="CD197" t="str">
        <f t="shared" si="125"/>
        <v>VE</v>
      </c>
      <c r="CE197" t="str">
        <f t="shared" si="125"/>
        <v>AMB</v>
      </c>
      <c r="CF197" t="str">
        <f t="shared" si="125"/>
        <v>VE</v>
      </c>
      <c r="CG197" t="str">
        <f t="shared" si="125"/>
        <v>ROB</v>
      </c>
    </row>
    <row r="198" spans="1:85" ht="81" hidden="1" customHeight="1" x14ac:dyDescent="0.25">
      <c r="A198" s="298" t="s">
        <v>491</v>
      </c>
      <c r="B198" s="299" t="str">
        <f>'PLAN INDICATIVO'!B198</f>
        <v>Atención a grupos vulnerables - promoción social</v>
      </c>
      <c r="C198" s="1548"/>
      <c r="D198" s="1549"/>
      <c r="E198" s="1549"/>
      <c r="F198" s="1549"/>
      <c r="G198" s="1549"/>
      <c r="H198" s="1549"/>
      <c r="I198" s="300">
        <f>'PLAN INDICATIVO'!I198</f>
        <v>0</v>
      </c>
      <c r="J198" s="300">
        <f>'PLAN INDICATIVO'!J198</f>
        <v>0</v>
      </c>
      <c r="K198" s="1425" t="str">
        <f>'PLAN INDICATIVO'!K198</f>
        <v>A.14.3.7</v>
      </c>
      <c r="L198" s="301" t="str">
        <f>'PLAN INDICATIVO'!L198</f>
        <v>5. Igualdad de Género</v>
      </c>
      <c r="M198" s="301" t="str">
        <f>'PLAN INDICATIVO'!M198</f>
        <v>Secretaría de Gobierno</v>
      </c>
      <c r="N198" s="1425" t="s">
        <v>2736</v>
      </c>
      <c r="O198" s="1425" t="str">
        <f>'PLAN INDICATIVO'!O198</f>
        <v>Mantenimiento</v>
      </c>
      <c r="P198" s="16" t="str">
        <f>'PLAN INDICATIVO'!P198</f>
        <v>Establecer 1 ruta de atención para el restablecimiento del derecho de las menores embarazadas y divulgarla</v>
      </c>
      <c r="Q198" s="302" t="str">
        <f>'PLAN INDICATIVO'!Q198</f>
        <v>No. De Ruta de atención establecida por año</v>
      </c>
      <c r="R198" s="303">
        <f>'PLAN INDICATIVO'!R198</f>
        <v>2015</v>
      </c>
      <c r="S198" s="304">
        <v>0</v>
      </c>
      <c r="T198" s="699">
        <v>1</v>
      </c>
      <c r="U198" s="303">
        <v>1</v>
      </c>
      <c r="V198" s="548">
        <v>500000</v>
      </c>
      <c r="W198" s="303">
        <v>1</v>
      </c>
      <c r="X198" s="687">
        <v>500000</v>
      </c>
      <c r="Y198" s="286">
        <v>0.5</v>
      </c>
      <c r="Z198" s="687">
        <v>500000</v>
      </c>
      <c r="AA198" s="291">
        <v>0.5</v>
      </c>
      <c r="AB198" s="687">
        <v>500000</v>
      </c>
      <c r="AC198" s="848">
        <v>0</v>
      </c>
      <c r="AD198" s="669">
        <v>0.5</v>
      </c>
      <c r="AE198" s="669">
        <v>0.45</v>
      </c>
      <c r="AF198" s="669"/>
      <c r="AG198" s="341" t="s">
        <v>3649</v>
      </c>
      <c r="AH198" s="987">
        <v>2018413960018</v>
      </c>
      <c r="AI198" s="985" t="s">
        <v>4838</v>
      </c>
      <c r="AJ198" s="363">
        <v>43133</v>
      </c>
      <c r="AK198" s="363">
        <v>43250</v>
      </c>
      <c r="AL198" s="358"/>
      <c r="AM198" s="358"/>
      <c r="AN198" s="267" t="s">
        <v>2598</v>
      </c>
      <c r="AO198" s="997" t="s">
        <v>5040</v>
      </c>
      <c r="AP198" s="525"/>
      <c r="AQ198" s="310"/>
      <c r="AR198" s="310"/>
      <c r="AS198" s="310"/>
      <c r="AT198" s="310"/>
      <c r="AU198" s="310"/>
      <c r="AV198" s="310"/>
      <c r="AW198" s="544"/>
      <c r="AX198" s="525"/>
      <c r="AY198" s="310"/>
      <c r="AZ198" s="310"/>
      <c r="BA198" s="310"/>
      <c r="BB198" s="310"/>
      <c r="BC198" s="310"/>
      <c r="BD198" s="310"/>
      <c r="BE198" s="544">
        <f t="shared" si="101"/>
        <v>0</v>
      </c>
      <c r="BF198" s="1495"/>
      <c r="BG198" s="310">
        <v>2184000</v>
      </c>
      <c r="BH198" s="310"/>
      <c r="BI198" s="310"/>
      <c r="BJ198" s="310"/>
      <c r="BK198" s="310"/>
      <c r="BL198" s="310"/>
      <c r="BM198" s="544">
        <f t="shared" si="102"/>
        <v>2184000</v>
      </c>
      <c r="BN198" s="525"/>
      <c r="BO198" s="310"/>
      <c r="BP198" s="310"/>
      <c r="BQ198" s="310"/>
      <c r="BR198" s="310"/>
      <c r="BS198" s="310"/>
      <c r="BT198" s="310"/>
      <c r="BU198" s="544">
        <f t="shared" si="103"/>
        <v>0</v>
      </c>
      <c r="BV198" s="556"/>
      <c r="BW198" s="663">
        <f t="shared" si="91"/>
        <v>0.95</v>
      </c>
      <c r="BX198" s="1047">
        <f t="shared" si="95"/>
        <v>0.95</v>
      </c>
      <c r="BY198" s="1047">
        <f t="shared" si="121"/>
        <v>0</v>
      </c>
      <c r="BZ198" s="1047">
        <f t="shared" si="122"/>
        <v>0.5</v>
      </c>
      <c r="CA198" s="1047">
        <f t="shared" si="123"/>
        <v>0.9</v>
      </c>
      <c r="CB198" s="1047">
        <f t="shared" si="124"/>
        <v>0</v>
      </c>
      <c r="CD198" t="str">
        <f t="shared" si="125"/>
        <v>ROB</v>
      </c>
      <c r="CE198" t="str">
        <f t="shared" si="125"/>
        <v>AMB</v>
      </c>
      <c r="CF198" t="str">
        <f t="shared" si="125"/>
        <v>VE</v>
      </c>
      <c r="CG198" t="str">
        <f t="shared" si="125"/>
        <v>ROB</v>
      </c>
    </row>
    <row r="199" spans="1:85" ht="15.75" hidden="1" customHeight="1" x14ac:dyDescent="0.25">
      <c r="A199" s="295"/>
      <c r="B199" s="24" t="str">
        <f>'PLAN INDICATIVO'!B199</f>
        <v>Atención a grupos vulnerables - promoción social</v>
      </c>
      <c r="C199" s="366"/>
      <c r="D199" s="367" t="s">
        <v>628</v>
      </c>
      <c r="E199" s="368"/>
      <c r="F199" s="368"/>
      <c r="G199" s="368"/>
      <c r="H199" s="368"/>
      <c r="I199" s="368"/>
      <c r="J199" s="368"/>
      <c r="K199" s="368"/>
      <c r="L199" s="368"/>
      <c r="M199" s="368"/>
      <c r="N199" s="364"/>
      <c r="O199" s="368"/>
      <c r="P199" s="365" t="s">
        <v>629</v>
      </c>
      <c r="Q199" s="22"/>
      <c r="R199" s="1"/>
      <c r="S199" s="261"/>
      <c r="T199" s="681"/>
      <c r="U199" s="261"/>
      <c r="V199" s="689">
        <f>SUM(V200:V209)</f>
        <v>56000000</v>
      </c>
      <c r="W199" s="261"/>
      <c r="X199" s="689">
        <f>SUM(X200:X209)</f>
        <v>56000000</v>
      </c>
      <c r="Y199" s="261"/>
      <c r="Z199" s="689">
        <f>SUM(Z200:Z209)</f>
        <v>56000000</v>
      </c>
      <c r="AA199" s="261"/>
      <c r="AB199" s="689">
        <f>SUM(AB200:AB209)</f>
        <v>56000000</v>
      </c>
      <c r="AC199" s="261"/>
      <c r="AD199" s="261"/>
      <c r="AE199" s="261"/>
      <c r="AF199" s="261"/>
      <c r="AG199" s="273"/>
      <c r="AH199" s="273"/>
      <c r="AI199" s="273"/>
      <c r="AJ199" s="261"/>
      <c r="AK199" s="261"/>
      <c r="AL199" s="261"/>
      <c r="AM199" s="261"/>
      <c r="AN199" s="261"/>
      <c r="AO199" s="635"/>
      <c r="AP199" s="758"/>
      <c r="AQ199" s="616"/>
      <c r="AR199" s="616"/>
      <c r="AS199" s="616"/>
      <c r="AT199" s="616"/>
      <c r="AU199" s="616"/>
      <c r="AV199" s="616"/>
      <c r="AW199" s="757"/>
      <c r="AX199" s="616" t="e">
        <f>(AX200:AX209)</f>
        <v>#VALUE!</v>
      </c>
      <c r="AY199" s="616" t="e">
        <f t="shared" ref="AY199:BD199" si="126">(AY200:AY209)</f>
        <v>#VALUE!</v>
      </c>
      <c r="AZ199" s="616" t="e">
        <f t="shared" si="126"/>
        <v>#VALUE!</v>
      </c>
      <c r="BA199" s="616" t="e">
        <f t="shared" si="126"/>
        <v>#VALUE!</v>
      </c>
      <c r="BB199" s="616" t="e">
        <f t="shared" si="126"/>
        <v>#VALUE!</v>
      </c>
      <c r="BC199" s="616" t="e">
        <f t="shared" si="126"/>
        <v>#VALUE!</v>
      </c>
      <c r="BD199" s="616" t="e">
        <f t="shared" si="126"/>
        <v>#VALUE!</v>
      </c>
      <c r="BE199" s="617" t="e">
        <f t="shared" si="101"/>
        <v>#VALUE!</v>
      </c>
      <c r="BF199" s="616"/>
      <c r="BG199" s="616"/>
      <c r="BH199" s="616"/>
      <c r="BI199" s="616"/>
      <c r="BJ199" s="616"/>
      <c r="BK199" s="616"/>
      <c r="BL199" s="616"/>
      <c r="BM199" s="617">
        <f t="shared" si="102"/>
        <v>0</v>
      </c>
      <c r="BN199" s="616" t="e">
        <f>(BN200:BN209)</f>
        <v>#VALUE!</v>
      </c>
      <c r="BO199" s="616" t="e">
        <f t="shared" ref="BO199:BT199" si="127">(BO200:BO209)</f>
        <v>#VALUE!</v>
      </c>
      <c r="BP199" s="616" t="e">
        <f t="shared" si="127"/>
        <v>#VALUE!</v>
      </c>
      <c r="BQ199" s="616" t="e">
        <f t="shared" si="127"/>
        <v>#VALUE!</v>
      </c>
      <c r="BR199" s="616" t="e">
        <f t="shared" si="127"/>
        <v>#VALUE!</v>
      </c>
      <c r="BS199" s="616" t="e">
        <f t="shared" si="127"/>
        <v>#VALUE!</v>
      </c>
      <c r="BT199" s="616" t="e">
        <f t="shared" si="127"/>
        <v>#VALUE!</v>
      </c>
      <c r="BU199" s="617" t="e">
        <f t="shared" si="103"/>
        <v>#VALUE!</v>
      </c>
      <c r="BV199" s="556"/>
      <c r="BW199" s="663" t="s">
        <v>2717</v>
      </c>
      <c r="BX199" s="261" t="s">
        <v>2717</v>
      </c>
      <c r="BY199" s="261" t="s">
        <v>2717</v>
      </c>
      <c r="BZ199" s="261" t="s">
        <v>2717</v>
      </c>
      <c r="CA199" s="261" t="s">
        <v>2717</v>
      </c>
      <c r="CB199" s="261" t="s">
        <v>2717</v>
      </c>
    </row>
    <row r="200" spans="1:85" ht="117" hidden="1" customHeight="1" x14ac:dyDescent="0.25">
      <c r="A200" s="298" t="s">
        <v>491</v>
      </c>
      <c r="B200" s="299" t="str">
        <f>'PLAN INDICATIVO'!B200</f>
        <v>Atención a grupos vulnerables - promoción social</v>
      </c>
      <c r="C200" s="1546" t="s">
        <v>630</v>
      </c>
      <c r="D200" s="1549" t="s">
        <v>631</v>
      </c>
      <c r="E200" s="1549" t="s">
        <v>632</v>
      </c>
      <c r="F200" s="1549">
        <v>2015</v>
      </c>
      <c r="G200" s="1549" t="s">
        <v>177</v>
      </c>
      <c r="H200" s="1549">
        <v>35</v>
      </c>
      <c r="I200" s="300">
        <f>'PLAN INDICATIVO'!I200</f>
        <v>0</v>
      </c>
      <c r="J200" s="300">
        <f>'PLAN INDICATIVO'!J200</f>
        <v>0</v>
      </c>
      <c r="K200" s="1425" t="str">
        <f>'PLAN INDICATIVO'!K200</f>
        <v>A.14.4.1</v>
      </c>
      <c r="L200" s="301" t="str">
        <f>'PLAN INDICATIVO'!L200</f>
        <v>10. Reducción de las desigualdades</v>
      </c>
      <c r="M200" s="301" t="str">
        <f>'PLAN INDICATIVO'!M200</f>
        <v>Secretaría de Gobierno</v>
      </c>
      <c r="N200" s="1425" t="str">
        <f>'PLAN INDICATIVO'!N200</f>
        <v>HERNAN RODRIGUEZ FALLA</v>
      </c>
      <c r="O200" s="1425" t="str">
        <f>'PLAN INDICATIVO'!O200</f>
        <v>Incremento</v>
      </c>
      <c r="P200" s="16" t="str">
        <f>'PLAN INDICATIVO'!P200</f>
        <v xml:space="preserve">Realizar 8 jornadas de sensibilización para comunicar los derechos de las personas mayores, dirigidas a servidores públicos, instituciones educativas y comunidad en general del municipio, en el cuatrienio. </v>
      </c>
      <c r="Q200" s="302" t="str">
        <f>'PLAN INDICATIVO'!Q200</f>
        <v xml:space="preserve">No. de jornadas realizadas </v>
      </c>
      <c r="R200" s="303">
        <f>'PLAN INDICATIVO'!R200</f>
        <v>2015</v>
      </c>
      <c r="S200" s="304">
        <v>0</v>
      </c>
      <c r="T200" s="699">
        <v>8</v>
      </c>
      <c r="U200" s="303">
        <v>2</v>
      </c>
      <c r="V200" s="687">
        <v>3000000</v>
      </c>
      <c r="W200" s="303">
        <v>2</v>
      </c>
      <c r="X200" s="687">
        <v>3500000</v>
      </c>
      <c r="Y200" s="286">
        <v>2</v>
      </c>
      <c r="Z200" s="1233">
        <v>2000000</v>
      </c>
      <c r="AA200" s="291">
        <v>2</v>
      </c>
      <c r="AB200" s="687">
        <v>3500000</v>
      </c>
      <c r="AC200" s="669">
        <v>2</v>
      </c>
      <c r="AD200" s="669">
        <v>2</v>
      </c>
      <c r="AE200" s="669">
        <v>2</v>
      </c>
      <c r="AF200" s="669"/>
      <c r="AG200" s="341" t="s">
        <v>3649</v>
      </c>
      <c r="AH200" s="987">
        <v>2018413960018</v>
      </c>
      <c r="AI200" s="355" t="s">
        <v>4128</v>
      </c>
      <c r="AJ200" s="363">
        <v>43221</v>
      </c>
      <c r="AK200" s="363">
        <v>43342</v>
      </c>
      <c r="AL200" s="358"/>
      <c r="AM200" s="358"/>
      <c r="AN200" s="756" t="s">
        <v>2598</v>
      </c>
      <c r="AO200" s="512" t="s">
        <v>4129</v>
      </c>
      <c r="AP200" s="525">
        <v>525000</v>
      </c>
      <c r="AQ200" s="310"/>
      <c r="AR200" s="310"/>
      <c r="AS200" s="310"/>
      <c r="AT200" s="310"/>
      <c r="AU200" s="310"/>
      <c r="AV200" s="310"/>
      <c r="AW200" s="544"/>
      <c r="AX200" s="525"/>
      <c r="AY200" s="310"/>
      <c r="AZ200" s="310"/>
      <c r="BA200" s="310"/>
      <c r="BB200" s="310"/>
      <c r="BC200" s="310"/>
      <c r="BD200" s="310"/>
      <c r="BE200" s="544">
        <f t="shared" si="101"/>
        <v>0</v>
      </c>
      <c r="BF200" s="525"/>
      <c r="BG200" s="310"/>
      <c r="BH200" s="310"/>
      <c r="BI200" s="310"/>
      <c r="BJ200" s="310"/>
      <c r="BK200" s="310"/>
      <c r="BL200" s="310"/>
      <c r="BM200" s="544">
        <f t="shared" si="102"/>
        <v>0</v>
      </c>
      <c r="BN200" s="525"/>
      <c r="BO200" s="310"/>
      <c r="BP200" s="310"/>
      <c r="BQ200" s="310"/>
      <c r="BR200" s="310"/>
      <c r="BS200" s="310"/>
      <c r="BT200" s="310"/>
      <c r="BU200" s="544">
        <f t="shared" si="103"/>
        <v>0</v>
      </c>
      <c r="BV200" s="556"/>
      <c r="BW200" s="663">
        <f t="shared" si="91"/>
        <v>6</v>
      </c>
      <c r="BX200" s="1047">
        <f t="shared" si="95"/>
        <v>0.75</v>
      </c>
      <c r="BY200" s="1047">
        <f t="shared" ref="BY200:BY209" si="128">IF(U200&gt;=0.1,AC200/U200,IF(ISBLANK(U200),"No Programada","Aplazada"))</f>
        <v>1</v>
      </c>
      <c r="BZ200" s="1047">
        <f t="shared" ref="BZ200:BZ209" si="129">IF(W200&gt;=0.1,AD200/W200,IF(ISBLANK(W200),"No Programada","Aplazada"))</f>
        <v>1</v>
      </c>
      <c r="CA200" s="1047">
        <f t="shared" ref="CA200:CA209" si="130">IF(Y200&gt;=0.1,AE200/Y200,IF(ISBLANK(Y200),"No Programada","Aplazada"))</f>
        <v>1</v>
      </c>
      <c r="CB200" s="1047">
        <f t="shared" ref="CB200:CB209" si="131">IF(AA200&gt;=0.1,AF200/AA200,IF(ISBLANK(AA200),"No Programada","Aplazada"))</f>
        <v>0</v>
      </c>
      <c r="CD200" t="str">
        <f t="shared" ref="CD200:CG209" si="132">IF(BY200="PARA MODIFICAR","M",IF(BY200="PARA ELIMINAR","E",IF(BY200="aplazada","AZ",IF(BY200="no programada","NP",IF(BY200&gt;=85%,"VE",IF(BY200&gt;70%,"VEB",IF(BY200&gt;60%,"AM",IF(BY200&gt;40%,"AMB",IF(BY200&gt;20%,"RO",IF(BY200&gt;=0%,"ROB",""))))))))))</f>
        <v>VE</v>
      </c>
      <c r="CE200" t="str">
        <f t="shared" si="132"/>
        <v>VE</v>
      </c>
      <c r="CF200" t="str">
        <f t="shared" si="132"/>
        <v>VE</v>
      </c>
      <c r="CG200" t="str">
        <f t="shared" si="132"/>
        <v>ROB</v>
      </c>
    </row>
    <row r="201" spans="1:85" ht="65.25" hidden="1" customHeight="1" x14ac:dyDescent="0.25">
      <c r="A201" s="298" t="s">
        <v>491</v>
      </c>
      <c r="B201" s="299" t="str">
        <f>'PLAN INDICATIVO'!B201</f>
        <v>Atención a grupos vulnerables - promoción social</v>
      </c>
      <c r="C201" s="1547"/>
      <c r="D201" s="1549"/>
      <c r="E201" s="1549"/>
      <c r="F201" s="1549"/>
      <c r="G201" s="1549"/>
      <c r="H201" s="1549"/>
      <c r="I201" s="300">
        <f>'PLAN INDICATIVO'!I201</f>
        <v>0</v>
      </c>
      <c r="J201" s="300">
        <f>'PLAN INDICATIVO'!J201</f>
        <v>0</v>
      </c>
      <c r="K201" s="1425" t="str">
        <f>'PLAN INDICATIVO'!K201</f>
        <v>A.14.4.2</v>
      </c>
      <c r="L201" s="301" t="str">
        <f>'PLAN INDICATIVO'!L201</f>
        <v>10. Reducción de las desigualdades</v>
      </c>
      <c r="M201" s="301" t="str">
        <f>'PLAN INDICATIVO'!M201</f>
        <v>Secretaría de Gobierno</v>
      </c>
      <c r="N201" s="1425" t="str">
        <f>'PLAN INDICATIVO'!N201</f>
        <v>HERNAN RODRIGUEZ FALLA</v>
      </c>
      <c r="O201" s="1425" t="str">
        <f>'PLAN INDICATIVO'!O201</f>
        <v>Incremento</v>
      </c>
      <c r="P201" s="25" t="str">
        <f>'PLAN INDICATIVO'!P201</f>
        <v xml:space="preserve">Realizar 1 Mejoramiento de la infraestructura y dotación de la Casa Centro día durante cuatrienio.  </v>
      </c>
      <c r="Q201" s="302" t="str">
        <f>'PLAN INDICATIVO'!Q201</f>
        <v>No. de mejoramientos realizados</v>
      </c>
      <c r="R201" s="303">
        <f>'PLAN INDICATIVO'!R201</f>
        <v>2015</v>
      </c>
      <c r="S201" s="304">
        <v>0</v>
      </c>
      <c r="T201" s="699">
        <v>1</v>
      </c>
      <c r="U201" s="303">
        <v>0.5</v>
      </c>
      <c r="V201" s="687">
        <v>3000000</v>
      </c>
      <c r="W201" s="17">
        <v>0</v>
      </c>
      <c r="X201" s="687"/>
      <c r="Y201" s="286">
        <v>0.1</v>
      </c>
      <c r="Z201" s="1233"/>
      <c r="AA201" s="291">
        <v>0.1</v>
      </c>
      <c r="AB201" s="687"/>
      <c r="AC201" s="669">
        <v>0.5</v>
      </c>
      <c r="AD201" s="669">
        <v>0.4</v>
      </c>
      <c r="AE201" s="669"/>
      <c r="AF201" s="669"/>
      <c r="AG201" s="341" t="s">
        <v>3649</v>
      </c>
      <c r="AH201" s="987">
        <v>2018413960018</v>
      </c>
      <c r="AI201" s="355" t="s">
        <v>4130</v>
      </c>
      <c r="AJ201" s="363">
        <v>43132</v>
      </c>
      <c r="AK201" s="363">
        <v>43250</v>
      </c>
      <c r="AL201" s="358"/>
      <c r="AM201" s="358"/>
      <c r="AN201" s="267" t="s">
        <v>2600</v>
      </c>
      <c r="AO201" s="728"/>
      <c r="AP201" s="525"/>
      <c r="AQ201" s="310"/>
      <c r="AR201" s="310"/>
      <c r="AS201" s="310"/>
      <c r="AT201" s="310"/>
      <c r="AU201" s="310"/>
      <c r="AV201" s="310"/>
      <c r="AW201" s="544"/>
      <c r="AX201" s="525"/>
      <c r="AY201" s="310"/>
      <c r="AZ201" s="310"/>
      <c r="BA201" s="310"/>
      <c r="BB201" s="310"/>
      <c r="BC201" s="310"/>
      <c r="BD201" s="310"/>
      <c r="BE201" s="544">
        <f t="shared" si="101"/>
        <v>0</v>
      </c>
      <c r="BF201" s="525"/>
      <c r="BG201" s="310"/>
      <c r="BH201" s="310"/>
      <c r="BI201" s="310"/>
      <c r="BJ201" s="310"/>
      <c r="BK201" s="310"/>
      <c r="BL201" s="310"/>
      <c r="BM201" s="544">
        <f t="shared" si="102"/>
        <v>0</v>
      </c>
      <c r="BN201" s="525"/>
      <c r="BO201" s="310"/>
      <c r="BP201" s="310"/>
      <c r="BQ201" s="310"/>
      <c r="BR201" s="310"/>
      <c r="BS201" s="310"/>
      <c r="BT201" s="310"/>
      <c r="BU201" s="544">
        <f t="shared" si="103"/>
        <v>0</v>
      </c>
      <c r="BV201" s="556"/>
      <c r="BW201" s="663">
        <f t="shared" si="91"/>
        <v>0.9</v>
      </c>
      <c r="BX201" s="1047">
        <f t="shared" si="95"/>
        <v>0.9</v>
      </c>
      <c r="BY201" s="1047">
        <f t="shared" si="128"/>
        <v>1</v>
      </c>
      <c r="BZ201" s="1047" t="str">
        <f t="shared" si="129"/>
        <v>Aplazada</v>
      </c>
      <c r="CA201" s="1047">
        <f t="shared" si="130"/>
        <v>0</v>
      </c>
      <c r="CB201" s="1047">
        <f t="shared" si="131"/>
        <v>0</v>
      </c>
      <c r="CD201" t="str">
        <f t="shared" si="132"/>
        <v>VE</v>
      </c>
      <c r="CE201" t="str">
        <f t="shared" si="132"/>
        <v>AZ</v>
      </c>
      <c r="CF201" t="str">
        <f t="shared" si="132"/>
        <v>ROB</v>
      </c>
      <c r="CG201" t="str">
        <f t="shared" si="132"/>
        <v>ROB</v>
      </c>
    </row>
    <row r="202" spans="1:85" ht="77.25" hidden="1" customHeight="1" x14ac:dyDescent="0.25">
      <c r="A202" s="298" t="s">
        <v>491</v>
      </c>
      <c r="B202" s="299" t="str">
        <f>'PLAN INDICATIVO'!B202</f>
        <v>Atención a grupos vulnerables - promoción social</v>
      </c>
      <c r="C202" s="1547"/>
      <c r="D202" s="1549"/>
      <c r="E202" s="1549"/>
      <c r="F202" s="1549"/>
      <c r="G202" s="1549"/>
      <c r="H202" s="1549"/>
      <c r="I202" s="300">
        <f>'PLAN INDICATIVO'!I202</f>
        <v>0</v>
      </c>
      <c r="J202" s="300">
        <f>'PLAN INDICATIVO'!J202</f>
        <v>0</v>
      </c>
      <c r="K202" s="1425" t="str">
        <f>'PLAN INDICATIVO'!K202</f>
        <v>A.14.4.3</v>
      </c>
      <c r="L202" s="301" t="str">
        <f>'PLAN INDICATIVO'!L202</f>
        <v>10. Reducción de las desigualdades</v>
      </c>
      <c r="M202" s="301" t="str">
        <f>'PLAN INDICATIVO'!M202</f>
        <v>Secretaría de Gobierno</v>
      </c>
      <c r="N202" s="1425" t="str">
        <f>'PLAN INDICATIVO'!N202</f>
        <v>HERNAN RODRIGUEZ FALLA</v>
      </c>
      <c r="O202" s="1425" t="str">
        <f>'PLAN INDICATIVO'!O202</f>
        <v>Incremento</v>
      </c>
      <c r="P202" s="16" t="str">
        <f>'PLAN INDICATIVO'!P202</f>
        <v xml:space="preserve">Realizar 2 jornadas de caracterización de adultos mayores por fuera del sistema de salud, para lograr su inclusión durante el cuatrienio. </v>
      </c>
      <c r="Q202" s="302" t="str">
        <f>'PLAN INDICATIVO'!Q202</f>
        <v xml:space="preserve">No. de jornadas de caracterización realizadas </v>
      </c>
      <c r="R202" s="303">
        <f>'PLAN INDICATIVO'!R202</f>
        <v>2015</v>
      </c>
      <c r="S202" s="304">
        <v>0</v>
      </c>
      <c r="T202" s="699">
        <v>2</v>
      </c>
      <c r="U202" s="303">
        <v>1</v>
      </c>
      <c r="V202" s="687">
        <v>1000000</v>
      </c>
      <c r="W202" s="303">
        <v>0</v>
      </c>
      <c r="X202" s="687"/>
      <c r="Y202" s="286"/>
      <c r="Z202" s="1233">
        <v>1500000</v>
      </c>
      <c r="AA202" s="291"/>
      <c r="AB202" s="687"/>
      <c r="AC202" s="669">
        <v>1</v>
      </c>
      <c r="AD202" s="669">
        <v>1</v>
      </c>
      <c r="AE202" s="669">
        <v>1</v>
      </c>
      <c r="AF202" s="669"/>
      <c r="AG202" s="341" t="s">
        <v>3649</v>
      </c>
      <c r="AH202" s="987">
        <v>2018413960018</v>
      </c>
      <c r="AI202" s="355" t="s">
        <v>4131</v>
      </c>
      <c r="AJ202" s="363"/>
      <c r="AK202" s="363"/>
      <c r="AL202" s="358"/>
      <c r="AM202" s="358"/>
      <c r="AN202" s="267" t="s">
        <v>2594</v>
      </c>
      <c r="AO202" s="512"/>
      <c r="AP202" s="720"/>
      <c r="AQ202" s="310"/>
      <c r="AR202" s="310"/>
      <c r="AS202" s="310"/>
      <c r="AT202" s="310"/>
      <c r="AU202" s="310"/>
      <c r="AV202" s="310"/>
      <c r="AW202" s="544"/>
      <c r="AX202" s="525"/>
      <c r="AY202" s="310"/>
      <c r="AZ202" s="310"/>
      <c r="BA202" s="310"/>
      <c r="BB202" s="310"/>
      <c r="BC202" s="310"/>
      <c r="BD202" s="310"/>
      <c r="BE202" s="544">
        <f t="shared" si="101"/>
        <v>0</v>
      </c>
      <c r="BF202" s="525"/>
      <c r="BG202" s="310"/>
      <c r="BH202" s="310"/>
      <c r="BI202" s="310"/>
      <c r="BJ202" s="310"/>
      <c r="BK202" s="310"/>
      <c r="BL202" s="310"/>
      <c r="BM202" s="544">
        <f t="shared" si="102"/>
        <v>0</v>
      </c>
      <c r="BN202" s="525"/>
      <c r="BO202" s="310"/>
      <c r="BP202" s="310"/>
      <c r="BQ202" s="310"/>
      <c r="BR202" s="310"/>
      <c r="BS202" s="310"/>
      <c r="BT202" s="310"/>
      <c r="BU202" s="544">
        <f t="shared" si="103"/>
        <v>0</v>
      </c>
      <c r="BV202" s="556"/>
      <c r="BW202" s="663">
        <f t="shared" ref="BW202:BW264" si="133">AC202+AD202+AE202+AF202</f>
        <v>3</v>
      </c>
      <c r="BX202" s="1047">
        <f t="shared" si="95"/>
        <v>1.5</v>
      </c>
      <c r="BY202" s="1047">
        <f t="shared" si="128"/>
        <v>1</v>
      </c>
      <c r="BZ202" s="1047" t="str">
        <f t="shared" si="129"/>
        <v>Aplazada</v>
      </c>
      <c r="CA202" s="1047" t="str">
        <f t="shared" si="130"/>
        <v>No Programada</v>
      </c>
      <c r="CB202" s="1047" t="str">
        <f t="shared" si="131"/>
        <v>No Programada</v>
      </c>
      <c r="CD202" t="str">
        <f t="shared" si="132"/>
        <v>VE</v>
      </c>
      <c r="CE202" t="str">
        <f t="shared" si="132"/>
        <v>AZ</v>
      </c>
      <c r="CF202" t="str">
        <f t="shared" si="132"/>
        <v>NP</v>
      </c>
      <c r="CG202" t="str">
        <f t="shared" si="132"/>
        <v>NP</v>
      </c>
    </row>
    <row r="203" spans="1:85" ht="78.75" hidden="1" customHeight="1" x14ac:dyDescent="0.25">
      <c r="A203" s="298" t="s">
        <v>491</v>
      </c>
      <c r="B203" s="299" t="str">
        <f>'PLAN INDICATIVO'!B203</f>
        <v>Atención a grupos vulnerables - promoción social</v>
      </c>
      <c r="C203" s="1547"/>
      <c r="D203" s="1549"/>
      <c r="E203" s="1549"/>
      <c r="F203" s="1549"/>
      <c r="G203" s="1549"/>
      <c r="H203" s="1549"/>
      <c r="I203" s="300">
        <f>'PLAN INDICATIVO'!I203</f>
        <v>0</v>
      </c>
      <c r="J203" s="300">
        <f>'PLAN INDICATIVO'!J203</f>
        <v>0</v>
      </c>
      <c r="K203" s="1425" t="str">
        <f>'PLAN INDICATIVO'!K203</f>
        <v>A.14.4.4</v>
      </c>
      <c r="L203" s="301" t="str">
        <f>'PLAN INDICATIVO'!L203</f>
        <v>10. Reducción de las desigualdades</v>
      </c>
      <c r="M203" s="301" t="str">
        <f>'PLAN INDICATIVO'!M203</f>
        <v>Secretaría de Gobierno</v>
      </c>
      <c r="N203" s="1425" t="str">
        <f>'PLAN INDICATIVO'!N203</f>
        <v>HERNAN RODRIGUEZ FALLA</v>
      </c>
      <c r="O203" s="1425" t="str">
        <f>'PLAN INDICATIVO'!O203</f>
        <v>Incremento</v>
      </c>
      <c r="P203" s="16" t="str">
        <f>'PLAN INDICATIVO'!P203</f>
        <v xml:space="preserve">Realizar 4 actividades durante el cuatrienio, dirigidas a adultos mayores para lograr mejorar condiciones alimenticias. </v>
      </c>
      <c r="Q203" s="302" t="str">
        <f>'PLAN INDICATIVO'!Q203</f>
        <v xml:space="preserve">No. de actividades realizadas </v>
      </c>
      <c r="R203" s="303">
        <f>'PLAN INDICATIVO'!R203</f>
        <v>2015</v>
      </c>
      <c r="S203" s="304">
        <v>0</v>
      </c>
      <c r="T203" s="699">
        <v>4</v>
      </c>
      <c r="U203" s="303">
        <v>1</v>
      </c>
      <c r="V203" s="687">
        <v>1000000</v>
      </c>
      <c r="W203" s="303">
        <v>1</v>
      </c>
      <c r="X203" s="687">
        <v>5000000</v>
      </c>
      <c r="Y203" s="286">
        <v>1</v>
      </c>
      <c r="Z203" s="1233">
        <v>5000000</v>
      </c>
      <c r="AA203" s="291">
        <v>1</v>
      </c>
      <c r="AB203" s="687">
        <v>5000000</v>
      </c>
      <c r="AC203" s="669">
        <v>1</v>
      </c>
      <c r="AD203" s="669">
        <v>1</v>
      </c>
      <c r="AE203" s="669">
        <v>1</v>
      </c>
      <c r="AF203" s="669"/>
      <c r="AG203" s="341" t="s">
        <v>3649</v>
      </c>
      <c r="AH203" s="987">
        <v>2018413960018</v>
      </c>
      <c r="AI203" s="355" t="s">
        <v>4132</v>
      </c>
      <c r="AJ203" s="363">
        <v>43132</v>
      </c>
      <c r="AK203" s="363" t="s">
        <v>4133</v>
      </c>
      <c r="AL203" s="358"/>
      <c r="AM203" s="358"/>
      <c r="AN203" s="267" t="s">
        <v>2598</v>
      </c>
      <c r="AO203" s="512"/>
      <c r="AP203" s="720"/>
      <c r="AQ203" s="310"/>
      <c r="AR203" s="310"/>
      <c r="AS203" s="310"/>
      <c r="AT203" s="310"/>
      <c r="AU203" s="310"/>
      <c r="AV203" s="310"/>
      <c r="AW203" s="544"/>
      <c r="AX203" s="525"/>
      <c r="AY203" s="310"/>
      <c r="AZ203" s="310"/>
      <c r="BA203" s="310"/>
      <c r="BB203" s="310"/>
      <c r="BC203" s="310"/>
      <c r="BD203" s="310"/>
      <c r="BE203" s="544">
        <f t="shared" si="101"/>
        <v>0</v>
      </c>
      <c r="BF203" s="525"/>
      <c r="BG203" s="310"/>
      <c r="BH203" s="310"/>
      <c r="BI203" s="310"/>
      <c r="BJ203" s="310"/>
      <c r="BK203" s="310"/>
      <c r="BL203" s="310"/>
      <c r="BM203" s="544">
        <f t="shared" si="102"/>
        <v>0</v>
      </c>
      <c r="BN203" s="525"/>
      <c r="BO203" s="310"/>
      <c r="BP203" s="310"/>
      <c r="BQ203" s="310"/>
      <c r="BR203" s="310"/>
      <c r="BS203" s="310"/>
      <c r="BT203" s="310"/>
      <c r="BU203" s="544">
        <f t="shared" si="103"/>
        <v>0</v>
      </c>
      <c r="BV203" s="556"/>
      <c r="BW203" s="663">
        <f t="shared" si="133"/>
        <v>3</v>
      </c>
      <c r="BX203" s="1047">
        <f t="shared" si="95"/>
        <v>0.75</v>
      </c>
      <c r="BY203" s="1047">
        <f t="shared" si="128"/>
        <v>1</v>
      </c>
      <c r="BZ203" s="1047">
        <f t="shared" si="129"/>
        <v>1</v>
      </c>
      <c r="CA203" s="1047">
        <f t="shared" si="130"/>
        <v>1</v>
      </c>
      <c r="CB203" s="1047">
        <f t="shared" si="131"/>
        <v>0</v>
      </c>
      <c r="CD203" t="str">
        <f t="shared" si="132"/>
        <v>VE</v>
      </c>
      <c r="CE203" t="str">
        <f t="shared" si="132"/>
        <v>VE</v>
      </c>
      <c r="CF203" t="str">
        <f t="shared" si="132"/>
        <v>VE</v>
      </c>
      <c r="CG203" t="str">
        <f t="shared" si="132"/>
        <v>ROB</v>
      </c>
    </row>
    <row r="204" spans="1:85" ht="85.5" hidden="1" customHeight="1" x14ac:dyDescent="0.25">
      <c r="A204" s="298" t="s">
        <v>491</v>
      </c>
      <c r="B204" s="299" t="str">
        <f>'PLAN INDICATIVO'!B204</f>
        <v>Atención a grupos vulnerables - promoción social</v>
      </c>
      <c r="C204" s="1547"/>
      <c r="D204" s="1549"/>
      <c r="E204" s="1549"/>
      <c r="F204" s="1549"/>
      <c r="G204" s="1549"/>
      <c r="H204" s="1549"/>
      <c r="I204" s="300">
        <f>'PLAN INDICATIVO'!I204</f>
        <v>0</v>
      </c>
      <c r="J204" s="300">
        <f>'PLAN INDICATIVO'!J204</f>
        <v>0</v>
      </c>
      <c r="K204" s="1425" t="str">
        <f>'PLAN INDICATIVO'!K204</f>
        <v>A.14.4.5</v>
      </c>
      <c r="L204" s="301" t="str">
        <f>'PLAN INDICATIVO'!L204</f>
        <v>10. Reducción de las desigualdades</v>
      </c>
      <c r="M204" s="301" t="str">
        <f>'PLAN INDICATIVO'!M204</f>
        <v>Secretaría de Gobierno</v>
      </c>
      <c r="N204" s="1425" t="str">
        <f>'PLAN INDICATIVO'!N204</f>
        <v>HERNAN RODRIGUEZ FALLA</v>
      </c>
      <c r="O204" s="1425" t="str">
        <f>'PLAN INDICATIVO'!O204</f>
        <v>Mantenimiento</v>
      </c>
      <c r="P204" s="16" t="str">
        <f>'PLAN INDICATIVO'!P204</f>
        <v xml:space="preserve">Realizar 4 jornadas al año, articuladas con secretaria de cultura y con deporte, para brindar espacios de recreación y entornos de hábitos saludables para adultos mayores. </v>
      </c>
      <c r="Q204" s="302" t="str">
        <f>'PLAN INDICATIVO'!Q204</f>
        <v>No. de jornadas realizadas por año</v>
      </c>
      <c r="R204" s="303">
        <f>'PLAN INDICATIVO'!R204</f>
        <v>2015</v>
      </c>
      <c r="S204" s="304">
        <v>0</v>
      </c>
      <c r="T204" s="699">
        <v>16</v>
      </c>
      <c r="U204" s="303">
        <v>4</v>
      </c>
      <c r="V204" s="687">
        <v>4000000</v>
      </c>
      <c r="W204" s="303">
        <v>4</v>
      </c>
      <c r="X204" s="687">
        <v>16000000</v>
      </c>
      <c r="Y204" s="286">
        <v>4</v>
      </c>
      <c r="Z204" s="1233">
        <v>16000000</v>
      </c>
      <c r="AA204" s="291">
        <v>4</v>
      </c>
      <c r="AB204" s="687">
        <v>16000000</v>
      </c>
      <c r="AC204" s="669">
        <v>4</v>
      </c>
      <c r="AD204" s="669">
        <v>16</v>
      </c>
      <c r="AE204" s="669">
        <v>6</v>
      </c>
      <c r="AF204" s="669"/>
      <c r="AG204" s="341" t="s">
        <v>3649</v>
      </c>
      <c r="AH204" s="987">
        <v>2018413960018</v>
      </c>
      <c r="AI204" s="355" t="s">
        <v>4134</v>
      </c>
      <c r="AJ204" s="363">
        <v>43132</v>
      </c>
      <c r="AK204" s="363" t="s">
        <v>4133</v>
      </c>
      <c r="AL204" s="358"/>
      <c r="AM204" s="358"/>
      <c r="AN204" s="267" t="s">
        <v>2598</v>
      </c>
      <c r="AO204" s="512"/>
      <c r="AP204" s="720"/>
      <c r="AQ204" s="310"/>
      <c r="AR204" s="310"/>
      <c r="AS204" s="310"/>
      <c r="AT204" s="310"/>
      <c r="AU204" s="310"/>
      <c r="AV204" s="310"/>
      <c r="AW204" s="544"/>
      <c r="AX204" s="525"/>
      <c r="AY204" s="310"/>
      <c r="AZ204" s="310"/>
      <c r="BA204" s="310"/>
      <c r="BB204" s="310"/>
      <c r="BC204" s="310"/>
      <c r="BD204" s="310"/>
      <c r="BE204" s="544">
        <f t="shared" si="101"/>
        <v>0</v>
      </c>
      <c r="BF204" s="525"/>
      <c r="BG204" s="310"/>
      <c r="BH204" s="310"/>
      <c r="BI204" s="310"/>
      <c r="BJ204" s="310"/>
      <c r="BK204" s="310"/>
      <c r="BL204" s="310"/>
      <c r="BM204" s="544">
        <f t="shared" si="102"/>
        <v>0</v>
      </c>
      <c r="BN204" s="525"/>
      <c r="BO204" s="310"/>
      <c r="BP204" s="310"/>
      <c r="BQ204" s="310"/>
      <c r="BR204" s="310"/>
      <c r="BS204" s="310"/>
      <c r="BT204" s="310"/>
      <c r="BU204" s="544">
        <f t="shared" si="103"/>
        <v>0</v>
      </c>
      <c r="BV204" s="556"/>
      <c r="BW204" s="663">
        <f t="shared" si="133"/>
        <v>26</v>
      </c>
      <c r="BX204" s="1047">
        <f t="shared" si="95"/>
        <v>1.625</v>
      </c>
      <c r="BY204" s="1047">
        <f t="shared" si="128"/>
        <v>1</v>
      </c>
      <c r="BZ204" s="1047">
        <f t="shared" si="129"/>
        <v>4</v>
      </c>
      <c r="CA204" s="1047">
        <f t="shared" si="130"/>
        <v>1.5</v>
      </c>
      <c r="CB204" s="1047">
        <f t="shared" si="131"/>
        <v>0</v>
      </c>
      <c r="CD204" t="str">
        <f t="shared" si="132"/>
        <v>VE</v>
      </c>
      <c r="CE204" t="str">
        <f t="shared" si="132"/>
        <v>VE</v>
      </c>
      <c r="CF204" t="str">
        <f t="shared" si="132"/>
        <v>VE</v>
      </c>
      <c r="CG204" t="str">
        <f t="shared" si="132"/>
        <v>ROB</v>
      </c>
    </row>
    <row r="205" spans="1:85" ht="82.5" hidden="1" customHeight="1" x14ac:dyDescent="0.25">
      <c r="A205" s="298" t="s">
        <v>491</v>
      </c>
      <c r="B205" s="299" t="str">
        <f>'PLAN INDICATIVO'!B205</f>
        <v>Atención a grupos vulnerables - promoción social</v>
      </c>
      <c r="C205" s="1547"/>
      <c r="D205" s="1549"/>
      <c r="E205" s="1549"/>
      <c r="F205" s="1549"/>
      <c r="G205" s="1549"/>
      <c r="H205" s="1549"/>
      <c r="I205" s="1425" t="str">
        <f>'PLAN INDICATIVO'!I205</f>
        <v>SI</v>
      </c>
      <c r="J205" s="1425">
        <f>'PLAN INDICATIVO'!J205</f>
        <v>0</v>
      </c>
      <c r="K205" s="1425" t="str">
        <f>'PLAN INDICATIVO'!K205</f>
        <v>A.14.4.6</v>
      </c>
      <c r="L205" s="301" t="str">
        <f>'PLAN INDICATIVO'!L205</f>
        <v>10. Reducción de las desigualdades</v>
      </c>
      <c r="M205" s="301" t="str">
        <f>'PLAN INDICATIVO'!M205</f>
        <v>Secretaría de Gobierno</v>
      </c>
      <c r="N205" s="1425" t="str">
        <f>'PLAN INDICATIVO'!N205</f>
        <v>HERNAN RODRIGUEZ FALLA</v>
      </c>
      <c r="O205" s="1425" t="str">
        <f>'PLAN INDICATIVO'!O205</f>
        <v>Incremento</v>
      </c>
      <c r="P205" s="25" t="str">
        <f>'PLAN INDICATIVO'!P205</f>
        <v>Inscribir 1 proyecto para la construir de centro de atención para el adulto mayor "Villa de la sabiduría" durante el cuatrienio.</v>
      </c>
      <c r="Q205" s="302" t="str">
        <f>'PLAN INDICATIVO'!Q205</f>
        <v>No. de proyectos inscritos</v>
      </c>
      <c r="R205" s="303">
        <f>'PLAN INDICATIVO'!R205</f>
        <v>2015</v>
      </c>
      <c r="S205" s="304">
        <v>0</v>
      </c>
      <c r="T205" s="699">
        <v>1</v>
      </c>
      <c r="U205" s="303">
        <v>0.5</v>
      </c>
      <c r="V205" s="687">
        <v>500000</v>
      </c>
      <c r="W205" s="17">
        <v>0</v>
      </c>
      <c r="X205" s="687"/>
      <c r="Y205" s="286">
        <v>0.5</v>
      </c>
      <c r="Z205" s="1233"/>
      <c r="AA205" s="291">
        <v>0.5</v>
      </c>
      <c r="AB205" s="687"/>
      <c r="AC205" s="669">
        <v>0.5</v>
      </c>
      <c r="AD205" s="669"/>
      <c r="AE205" s="669"/>
      <c r="AF205" s="669"/>
      <c r="AG205" s="341" t="s">
        <v>3649</v>
      </c>
      <c r="AH205" s="987">
        <v>2018413960018</v>
      </c>
      <c r="AI205" s="355" t="s">
        <v>4135</v>
      </c>
      <c r="AJ205" s="363">
        <v>43132</v>
      </c>
      <c r="AK205" s="363">
        <v>43132</v>
      </c>
      <c r="AL205" s="358"/>
      <c r="AM205" s="358"/>
      <c r="AN205" s="267" t="s">
        <v>2600</v>
      </c>
      <c r="AO205" s="512"/>
      <c r="AP205" s="720"/>
      <c r="AQ205" s="310"/>
      <c r="AR205" s="310"/>
      <c r="AS205" s="310"/>
      <c r="AT205" s="310"/>
      <c r="AU205" s="310"/>
      <c r="AV205" s="310"/>
      <c r="AW205" s="544"/>
      <c r="AX205" s="525"/>
      <c r="AY205" s="310"/>
      <c r="AZ205" s="310"/>
      <c r="BA205" s="310"/>
      <c r="BB205" s="310"/>
      <c r="BC205" s="310"/>
      <c r="BD205" s="310"/>
      <c r="BE205" s="544">
        <f t="shared" si="101"/>
        <v>0</v>
      </c>
      <c r="BF205" s="525"/>
      <c r="BG205" s="310"/>
      <c r="BH205" s="310"/>
      <c r="BI205" s="310"/>
      <c r="BJ205" s="310"/>
      <c r="BK205" s="310"/>
      <c r="BL205" s="310"/>
      <c r="BM205" s="544">
        <f t="shared" si="102"/>
        <v>0</v>
      </c>
      <c r="BN205" s="525"/>
      <c r="BO205" s="310"/>
      <c r="BP205" s="310"/>
      <c r="BQ205" s="310"/>
      <c r="BR205" s="310"/>
      <c r="BS205" s="310"/>
      <c r="BT205" s="310"/>
      <c r="BU205" s="544">
        <f t="shared" si="103"/>
        <v>0</v>
      </c>
      <c r="BV205" s="556"/>
      <c r="BW205" s="663">
        <f t="shared" si="133"/>
        <v>0.5</v>
      </c>
      <c r="BX205" s="1047">
        <f t="shared" si="95"/>
        <v>0.5</v>
      </c>
      <c r="BY205" s="1047">
        <f t="shared" si="128"/>
        <v>1</v>
      </c>
      <c r="BZ205" s="1047" t="str">
        <f t="shared" si="129"/>
        <v>Aplazada</v>
      </c>
      <c r="CA205" s="1047">
        <f t="shared" si="130"/>
        <v>0</v>
      </c>
      <c r="CB205" s="1047">
        <f t="shared" si="131"/>
        <v>0</v>
      </c>
      <c r="CD205" t="str">
        <f t="shared" si="132"/>
        <v>VE</v>
      </c>
      <c r="CE205" t="str">
        <f t="shared" si="132"/>
        <v>AZ</v>
      </c>
      <c r="CF205" t="str">
        <f t="shared" si="132"/>
        <v>ROB</v>
      </c>
      <c r="CG205" t="str">
        <f t="shared" si="132"/>
        <v>ROB</v>
      </c>
    </row>
    <row r="206" spans="1:85" ht="83.25" hidden="1" customHeight="1" x14ac:dyDescent="0.25">
      <c r="A206" s="298" t="s">
        <v>491</v>
      </c>
      <c r="B206" s="299" t="str">
        <f>'PLAN INDICATIVO'!B206</f>
        <v>Atención a grupos vulnerables - promoción social</v>
      </c>
      <c r="C206" s="1547"/>
      <c r="D206" s="1549"/>
      <c r="E206" s="1549"/>
      <c r="F206" s="1549"/>
      <c r="G206" s="1549"/>
      <c r="H206" s="1549"/>
      <c r="I206" s="300">
        <f>'PLAN INDICATIVO'!I206</f>
        <v>0</v>
      </c>
      <c r="J206" s="300">
        <f>'PLAN INDICATIVO'!J206</f>
        <v>0</v>
      </c>
      <c r="K206" s="1425" t="str">
        <f>'PLAN INDICATIVO'!K206</f>
        <v>A.14.4.7</v>
      </c>
      <c r="L206" s="301" t="str">
        <f>'PLAN INDICATIVO'!L206</f>
        <v>10. Reducción de las desigualdades</v>
      </c>
      <c r="M206" s="301" t="str">
        <f>'PLAN INDICATIVO'!M206</f>
        <v>Secretaría de Gobierno</v>
      </c>
      <c r="N206" s="1425" t="str">
        <f>'PLAN INDICATIVO'!N206</f>
        <v>HERNAN RODRIGUEZ FALLA</v>
      </c>
      <c r="O206" s="1425" t="str">
        <f>'PLAN INDICATIVO'!O206</f>
        <v>Mantenimiento</v>
      </c>
      <c r="P206" s="71" t="str">
        <f>'PLAN INDICATIVO'!P206</f>
        <v>Implementar 1 programa de manualidades para el adulto mayor, cada año</v>
      </c>
      <c r="Q206" s="302" t="str">
        <f>'PLAN INDICATIVO'!Q206</f>
        <v>No. de programas implementados por año</v>
      </c>
      <c r="R206" s="303">
        <f>'PLAN INDICATIVO'!R206</f>
        <v>2015</v>
      </c>
      <c r="S206" s="304">
        <v>0</v>
      </c>
      <c r="T206" s="699">
        <v>4</v>
      </c>
      <c r="U206" s="303">
        <v>1</v>
      </c>
      <c r="V206" s="687">
        <v>8500000</v>
      </c>
      <c r="W206" s="303">
        <v>1</v>
      </c>
      <c r="X206" s="687">
        <v>1000000</v>
      </c>
      <c r="Y206" s="286">
        <v>1</v>
      </c>
      <c r="Z206" s="1233">
        <v>1000000</v>
      </c>
      <c r="AA206" s="291">
        <v>1</v>
      </c>
      <c r="AB206" s="687">
        <v>1000000</v>
      </c>
      <c r="AC206" s="669">
        <v>1</v>
      </c>
      <c r="AD206" s="669">
        <v>1</v>
      </c>
      <c r="AE206" s="669">
        <v>1</v>
      </c>
      <c r="AF206" s="669"/>
      <c r="AG206" s="341" t="s">
        <v>3649</v>
      </c>
      <c r="AH206" s="987">
        <v>2018413960018</v>
      </c>
      <c r="AI206" s="355" t="s">
        <v>4136</v>
      </c>
      <c r="AJ206" s="363">
        <v>43132</v>
      </c>
      <c r="AK206" s="363">
        <v>43434</v>
      </c>
      <c r="AL206" s="358"/>
      <c r="AM206" s="358"/>
      <c r="AN206" s="267" t="s">
        <v>2598</v>
      </c>
      <c r="AO206" s="512" t="s">
        <v>4129</v>
      </c>
      <c r="AP206" s="720">
        <v>2965500</v>
      </c>
      <c r="AQ206" s="310"/>
      <c r="AR206" s="310"/>
      <c r="AS206" s="310"/>
      <c r="AT206" s="310"/>
      <c r="AU206" s="310"/>
      <c r="AV206" s="310"/>
      <c r="AW206" s="544"/>
      <c r="AX206" s="525"/>
      <c r="AY206" s="310"/>
      <c r="AZ206" s="310"/>
      <c r="BA206" s="310"/>
      <c r="BB206" s="310"/>
      <c r="BC206" s="310"/>
      <c r="BD206" s="310"/>
      <c r="BE206" s="544">
        <f t="shared" si="101"/>
        <v>0</v>
      </c>
      <c r="BF206" s="525"/>
      <c r="BG206" s="310"/>
      <c r="BH206" s="310"/>
      <c r="BI206" s="310"/>
      <c r="BJ206" s="310"/>
      <c r="BK206" s="310"/>
      <c r="BL206" s="310"/>
      <c r="BM206" s="544">
        <f t="shared" si="102"/>
        <v>0</v>
      </c>
      <c r="BN206" s="525"/>
      <c r="BO206" s="310"/>
      <c r="BP206" s="310"/>
      <c r="BQ206" s="310"/>
      <c r="BR206" s="310"/>
      <c r="BS206" s="310"/>
      <c r="BT206" s="310"/>
      <c r="BU206" s="544">
        <f t="shared" si="103"/>
        <v>0</v>
      </c>
      <c r="BV206" s="556"/>
      <c r="BW206" s="663">
        <f t="shared" si="133"/>
        <v>3</v>
      </c>
      <c r="BX206" s="1047">
        <f t="shared" si="95"/>
        <v>0.75</v>
      </c>
      <c r="BY206" s="1047">
        <f t="shared" si="128"/>
        <v>1</v>
      </c>
      <c r="BZ206" s="1047">
        <f t="shared" si="129"/>
        <v>1</v>
      </c>
      <c r="CA206" s="1047">
        <f t="shared" si="130"/>
        <v>1</v>
      </c>
      <c r="CB206" s="1047">
        <f t="shared" si="131"/>
        <v>0</v>
      </c>
      <c r="CD206" t="str">
        <f t="shared" si="132"/>
        <v>VE</v>
      </c>
      <c r="CE206" t="str">
        <f t="shared" si="132"/>
        <v>VE</v>
      </c>
      <c r="CF206" t="str">
        <f t="shared" si="132"/>
        <v>VE</v>
      </c>
      <c r="CG206" t="str">
        <f t="shared" si="132"/>
        <v>ROB</v>
      </c>
    </row>
    <row r="207" spans="1:85" ht="93" hidden="1" customHeight="1" x14ac:dyDescent="0.25">
      <c r="A207" s="298" t="s">
        <v>491</v>
      </c>
      <c r="B207" s="299" t="str">
        <f>'PLAN INDICATIVO'!B207</f>
        <v>Atención a grupos vulnerables - promoción social</v>
      </c>
      <c r="C207" s="1547"/>
      <c r="D207" s="1549"/>
      <c r="E207" s="1549"/>
      <c r="F207" s="1549"/>
      <c r="G207" s="1549"/>
      <c r="H207" s="1549"/>
      <c r="I207" s="300">
        <f>'PLAN INDICATIVO'!I207</f>
        <v>0</v>
      </c>
      <c r="J207" s="300">
        <f>'PLAN INDICATIVO'!J207</f>
        <v>0</v>
      </c>
      <c r="K207" s="1425" t="str">
        <f>'PLAN INDICATIVO'!K207</f>
        <v>A.14.4.8</v>
      </c>
      <c r="L207" s="301" t="str">
        <f>'PLAN INDICATIVO'!L207</f>
        <v>10. Reducción de las desigualdades</v>
      </c>
      <c r="M207" s="301" t="str">
        <f>'PLAN INDICATIVO'!M207</f>
        <v>Secretaría de Gobierno</v>
      </c>
      <c r="N207" s="1425" t="str">
        <f>'PLAN INDICATIVO'!N207</f>
        <v>HERNAN RODRIGUEZ FALLA</v>
      </c>
      <c r="O207" s="1425" t="str">
        <f>'PLAN INDICATIVO'!O207</f>
        <v>Incremento</v>
      </c>
      <c r="P207" s="71" t="str">
        <f>'PLAN INDICATIVO'!P207</f>
        <v xml:space="preserve">Realizar 8 celebraciones al adulto mayor, durante el cuatrienio. (día del adulto mayor y navidad) </v>
      </c>
      <c r="Q207" s="302" t="str">
        <f>'PLAN INDICATIVO'!Q207</f>
        <v xml:space="preserve">No. de celebraciones realizadas </v>
      </c>
      <c r="R207" s="303">
        <f>'PLAN INDICATIVO'!R207</f>
        <v>2015</v>
      </c>
      <c r="S207" s="304">
        <v>0</v>
      </c>
      <c r="T207" s="699">
        <v>8</v>
      </c>
      <c r="U207" s="303">
        <v>2</v>
      </c>
      <c r="V207" s="687">
        <v>12000000</v>
      </c>
      <c r="W207" s="303">
        <v>2</v>
      </c>
      <c r="X207" s="687">
        <v>4000000</v>
      </c>
      <c r="Y207" s="286">
        <v>2</v>
      </c>
      <c r="Z207" s="1233">
        <v>4000000</v>
      </c>
      <c r="AA207" s="291">
        <v>2</v>
      </c>
      <c r="AB207" s="687">
        <v>4000000</v>
      </c>
      <c r="AC207" s="669">
        <v>2</v>
      </c>
      <c r="AD207" s="669">
        <v>2</v>
      </c>
      <c r="AE207" s="669">
        <v>1</v>
      </c>
      <c r="AF207" s="669"/>
      <c r="AG207" s="341" t="s">
        <v>3649</v>
      </c>
      <c r="AH207" s="987">
        <v>2018413960018</v>
      </c>
      <c r="AI207" s="355" t="s">
        <v>4137</v>
      </c>
      <c r="AJ207" s="363">
        <v>43313</v>
      </c>
      <c r="AK207" s="363">
        <v>43464</v>
      </c>
      <c r="AL207" s="358"/>
      <c r="AM207" s="358"/>
      <c r="AN207" s="267" t="s">
        <v>2604</v>
      </c>
      <c r="AO207" s="512" t="s">
        <v>4129</v>
      </c>
      <c r="AP207" s="720">
        <v>4900000</v>
      </c>
      <c r="AQ207" s="310"/>
      <c r="AR207" s="310"/>
      <c r="AS207" s="310"/>
      <c r="AT207" s="310"/>
      <c r="AU207" s="310"/>
      <c r="AV207" s="310"/>
      <c r="AW207" s="544"/>
      <c r="AX207" s="525"/>
      <c r="AY207" s="310"/>
      <c r="AZ207" s="310"/>
      <c r="BA207" s="310"/>
      <c r="BB207" s="310"/>
      <c r="BC207" s="310"/>
      <c r="BD207" s="310"/>
      <c r="BE207" s="544">
        <f t="shared" si="101"/>
        <v>0</v>
      </c>
      <c r="BF207" s="525"/>
      <c r="BG207" s="310"/>
      <c r="BH207" s="310"/>
      <c r="BI207" s="310"/>
      <c r="BJ207" s="310"/>
      <c r="BK207" s="310"/>
      <c r="BL207" s="310"/>
      <c r="BM207" s="544">
        <f t="shared" si="102"/>
        <v>0</v>
      </c>
      <c r="BN207" s="525"/>
      <c r="BO207" s="310"/>
      <c r="BP207" s="310"/>
      <c r="BQ207" s="310"/>
      <c r="BR207" s="310"/>
      <c r="BS207" s="310"/>
      <c r="BT207" s="310"/>
      <c r="BU207" s="544">
        <f t="shared" si="103"/>
        <v>0</v>
      </c>
      <c r="BV207" s="556"/>
      <c r="BW207" s="663">
        <f t="shared" si="133"/>
        <v>5</v>
      </c>
      <c r="BX207" s="1047">
        <f t="shared" si="95"/>
        <v>0.625</v>
      </c>
      <c r="BY207" s="1047">
        <f t="shared" si="128"/>
        <v>1</v>
      </c>
      <c r="BZ207" s="1047">
        <f t="shared" si="129"/>
        <v>1</v>
      </c>
      <c r="CA207" s="1047">
        <f t="shared" si="130"/>
        <v>0.5</v>
      </c>
      <c r="CB207" s="1047">
        <f t="shared" si="131"/>
        <v>0</v>
      </c>
      <c r="CD207" t="str">
        <f t="shared" si="132"/>
        <v>VE</v>
      </c>
      <c r="CE207" t="str">
        <f t="shared" si="132"/>
        <v>VE</v>
      </c>
      <c r="CF207" t="str">
        <f t="shared" si="132"/>
        <v>AMB</v>
      </c>
      <c r="CG207" t="str">
        <f t="shared" si="132"/>
        <v>ROB</v>
      </c>
    </row>
    <row r="208" spans="1:85" ht="81" hidden="1" customHeight="1" x14ac:dyDescent="0.25">
      <c r="A208" s="298" t="s">
        <v>491</v>
      </c>
      <c r="B208" s="299" t="str">
        <f>'PLAN INDICATIVO'!B208</f>
        <v>Atención a grupos vulnerables - promoción social</v>
      </c>
      <c r="C208" s="1547"/>
      <c r="D208" s="1549"/>
      <c r="E208" s="1549"/>
      <c r="F208" s="1549"/>
      <c r="G208" s="1549"/>
      <c r="H208" s="1549"/>
      <c r="I208" s="300">
        <f>'PLAN INDICATIVO'!I208</f>
        <v>0</v>
      </c>
      <c r="J208" s="300">
        <f>'PLAN INDICATIVO'!J208</f>
        <v>0</v>
      </c>
      <c r="K208" s="1425" t="str">
        <f>'PLAN INDICATIVO'!K208</f>
        <v>A.14.4.9</v>
      </c>
      <c r="L208" s="301" t="str">
        <f>'PLAN INDICATIVO'!L208</f>
        <v>10. Reducción de las desigualdades</v>
      </c>
      <c r="M208" s="301" t="str">
        <f>'PLAN INDICATIVO'!M208</f>
        <v>Secretaría de Gobierno</v>
      </c>
      <c r="N208" s="1425" t="str">
        <f>'PLAN INDICATIVO'!N208</f>
        <v>HERNAN RODRIGUEZ FALLA</v>
      </c>
      <c r="O208" s="1425" t="str">
        <f>'PLAN INDICATIVO'!O208</f>
        <v>Mantenimiento</v>
      </c>
      <c r="P208" s="71" t="str">
        <f>'PLAN INDICATIVO'!P208</f>
        <v>Ejecutar 1 plan de apoyo para al talento humano que desarrolla funciones de atención y apoyo al adulto mayor, cada año</v>
      </c>
      <c r="Q208" s="302" t="str">
        <f>'PLAN INDICATIVO'!Q208</f>
        <v>No. de apoyos realizados por año</v>
      </c>
      <c r="R208" s="303">
        <f>'PLAN INDICATIVO'!R208</f>
        <v>2015</v>
      </c>
      <c r="S208" s="304">
        <v>1</v>
      </c>
      <c r="T208" s="699">
        <v>4</v>
      </c>
      <c r="U208" s="303">
        <v>1</v>
      </c>
      <c r="V208" s="687">
        <v>4500000</v>
      </c>
      <c r="W208" s="303">
        <v>1</v>
      </c>
      <c r="X208" s="687">
        <v>12000000</v>
      </c>
      <c r="Y208" s="286">
        <v>1</v>
      </c>
      <c r="Z208" s="1233">
        <v>12000000</v>
      </c>
      <c r="AA208" s="291">
        <v>1</v>
      </c>
      <c r="AB208" s="687">
        <v>12000000</v>
      </c>
      <c r="AC208" s="669">
        <v>1</v>
      </c>
      <c r="AD208" s="669">
        <v>1</v>
      </c>
      <c r="AE208" s="669">
        <v>1</v>
      </c>
      <c r="AF208" s="669"/>
      <c r="AG208" s="341" t="s">
        <v>3649</v>
      </c>
      <c r="AH208" s="987">
        <v>2018413960018</v>
      </c>
      <c r="AI208" s="355" t="s">
        <v>4137</v>
      </c>
      <c r="AJ208" s="363">
        <v>43115</v>
      </c>
      <c r="AK208" s="363">
        <v>43464</v>
      </c>
      <c r="AL208" s="358"/>
      <c r="AM208" s="358"/>
      <c r="AN208" s="267" t="s">
        <v>2598</v>
      </c>
      <c r="AO208" s="512"/>
      <c r="AP208" s="720"/>
      <c r="AQ208" s="310"/>
      <c r="AR208" s="310"/>
      <c r="AS208" s="310"/>
      <c r="AT208" s="310"/>
      <c r="AU208" s="310"/>
      <c r="AV208" s="310"/>
      <c r="AW208" s="544"/>
      <c r="AX208" s="525"/>
      <c r="AY208" s="310"/>
      <c r="AZ208" s="310"/>
      <c r="BA208" s="310"/>
      <c r="BB208" s="310"/>
      <c r="BC208" s="310"/>
      <c r="BD208" s="310"/>
      <c r="BE208" s="544">
        <f t="shared" si="101"/>
        <v>0</v>
      </c>
      <c r="BF208" s="525"/>
      <c r="BG208" s="310"/>
      <c r="BH208" s="310"/>
      <c r="BI208" s="310"/>
      <c r="BJ208" s="310"/>
      <c r="BK208" s="310"/>
      <c r="BL208" s="310"/>
      <c r="BM208" s="544">
        <f t="shared" si="102"/>
        <v>0</v>
      </c>
      <c r="BN208" s="525"/>
      <c r="BO208" s="310"/>
      <c r="BP208" s="310"/>
      <c r="BQ208" s="310"/>
      <c r="BR208" s="310"/>
      <c r="BS208" s="310"/>
      <c r="BT208" s="310"/>
      <c r="BU208" s="544">
        <f t="shared" si="103"/>
        <v>0</v>
      </c>
      <c r="BV208" s="556"/>
      <c r="BW208" s="663">
        <f t="shared" si="133"/>
        <v>3</v>
      </c>
      <c r="BX208" s="1047">
        <f t="shared" si="95"/>
        <v>0.75</v>
      </c>
      <c r="BY208" s="1047">
        <f t="shared" si="128"/>
        <v>1</v>
      </c>
      <c r="BZ208" s="1047">
        <f t="shared" si="129"/>
        <v>1</v>
      </c>
      <c r="CA208" s="1047">
        <f t="shared" si="130"/>
        <v>1</v>
      </c>
      <c r="CB208" s="1047">
        <f t="shared" si="131"/>
        <v>0</v>
      </c>
      <c r="CD208" t="str">
        <f t="shared" si="132"/>
        <v>VE</v>
      </c>
      <c r="CE208" t="str">
        <f t="shared" si="132"/>
        <v>VE</v>
      </c>
      <c r="CF208" t="str">
        <f t="shared" si="132"/>
        <v>VE</v>
      </c>
      <c r="CG208" t="str">
        <f t="shared" si="132"/>
        <v>ROB</v>
      </c>
    </row>
    <row r="209" spans="1:85" ht="72" hidden="1" customHeight="1" x14ac:dyDescent="0.25">
      <c r="A209" s="298" t="s">
        <v>2464</v>
      </c>
      <c r="B209" s="299" t="str">
        <f>'PLAN INDICATIVO'!B209</f>
        <v>Atención a grupos vulnerables - promoción social</v>
      </c>
      <c r="C209" s="1548"/>
      <c r="D209" s="1549"/>
      <c r="E209" s="1549"/>
      <c r="F209" s="1549"/>
      <c r="G209" s="1549"/>
      <c r="H209" s="1549"/>
      <c r="I209" s="300">
        <f>'PLAN INDICATIVO'!I209</f>
        <v>0</v>
      </c>
      <c r="J209" s="300">
        <f>'PLAN INDICATIVO'!J209</f>
        <v>0</v>
      </c>
      <c r="K209" s="1425" t="str">
        <f>'PLAN INDICATIVO'!K209</f>
        <v>A.14.4.10</v>
      </c>
      <c r="L209" s="301" t="str">
        <f>'PLAN INDICATIVO'!L209</f>
        <v>10. Reducción de las desigualdades</v>
      </c>
      <c r="M209" s="301" t="str">
        <f>'PLAN INDICATIVO'!M209</f>
        <v>Secretaría de Gobierno</v>
      </c>
      <c r="N209" s="1425" t="str">
        <f>'PLAN INDICATIVO'!N209</f>
        <v>HERNAN RODRIGUEZ FALLA</v>
      </c>
      <c r="O209" s="1425" t="str">
        <f>'PLAN INDICATIVO'!O209</f>
        <v>Mantenimiento</v>
      </c>
      <c r="P209" s="1202" t="str">
        <f>'PLAN INDICATIVO'!P209</f>
        <v>Realizar 1 apoyo al hogar de paso del adulto mayor del municipio de la Plata Huila, cada año</v>
      </c>
      <c r="Q209" s="302" t="str">
        <f>'PLAN INDICATIVO'!Q209</f>
        <v>No. de apoyos realizados por año</v>
      </c>
      <c r="R209" s="303">
        <f>'PLAN INDICATIVO'!R209</f>
        <v>2015</v>
      </c>
      <c r="S209" s="304">
        <v>1</v>
      </c>
      <c r="T209" s="699">
        <v>1</v>
      </c>
      <c r="U209" s="303">
        <v>0.25</v>
      </c>
      <c r="V209" s="687">
        <v>18500000</v>
      </c>
      <c r="W209" s="303">
        <v>0.25</v>
      </c>
      <c r="X209" s="687">
        <v>14500000</v>
      </c>
      <c r="Y209" s="303">
        <v>0.25</v>
      </c>
      <c r="Z209" s="687">
        <v>14500000</v>
      </c>
      <c r="AA209" s="291">
        <v>0.25</v>
      </c>
      <c r="AB209" s="687">
        <v>14500000</v>
      </c>
      <c r="AC209" s="669">
        <v>0</v>
      </c>
      <c r="AD209" s="669"/>
      <c r="AE209" s="669">
        <v>0.25</v>
      </c>
      <c r="AF209" s="669"/>
      <c r="AG209" s="341" t="s">
        <v>3649</v>
      </c>
      <c r="AH209" s="987">
        <v>2018413960018</v>
      </c>
      <c r="AI209" s="832" t="s">
        <v>4138</v>
      </c>
      <c r="AJ209" s="363"/>
      <c r="AK209" s="363"/>
      <c r="AL209" s="358"/>
      <c r="AM209" s="358"/>
      <c r="AN209" s="954" t="s">
        <v>2598</v>
      </c>
      <c r="AO209" s="512" t="s">
        <v>4129</v>
      </c>
      <c r="AP209" s="525">
        <v>200000</v>
      </c>
      <c r="AQ209" s="310"/>
      <c r="AR209" s="310"/>
      <c r="AS209" s="310"/>
      <c r="AT209" s="310"/>
      <c r="AU209" s="310"/>
      <c r="AV209" s="310"/>
      <c r="AW209" s="544"/>
      <c r="AX209" s="525"/>
      <c r="AY209" s="310"/>
      <c r="AZ209" s="310"/>
      <c r="BA209" s="310"/>
      <c r="BB209" s="310"/>
      <c r="BC209" s="310"/>
      <c r="BD209" s="310"/>
      <c r="BE209" s="544">
        <f t="shared" si="101"/>
        <v>0</v>
      </c>
      <c r="BF209" s="525"/>
      <c r="BG209" s="310"/>
      <c r="BH209" s="310"/>
      <c r="BI209" s="310"/>
      <c r="BJ209" s="310"/>
      <c r="BK209" s="310"/>
      <c r="BL209" s="310"/>
      <c r="BM209" s="544">
        <f t="shared" si="102"/>
        <v>0</v>
      </c>
      <c r="BN209" s="525"/>
      <c r="BO209" s="310"/>
      <c r="BP209" s="310"/>
      <c r="BQ209" s="310"/>
      <c r="BR209" s="310"/>
      <c r="BS209" s="310"/>
      <c r="BT209" s="310"/>
      <c r="BU209" s="544">
        <f t="shared" si="103"/>
        <v>0</v>
      </c>
      <c r="BV209" s="556"/>
      <c r="BW209" s="663">
        <f t="shared" si="133"/>
        <v>0.25</v>
      </c>
      <c r="BX209" s="1047">
        <f t="shared" si="95"/>
        <v>0.25</v>
      </c>
      <c r="BY209" s="1047">
        <f t="shared" si="128"/>
        <v>0</v>
      </c>
      <c r="BZ209" s="1047">
        <f t="shared" si="129"/>
        <v>0</v>
      </c>
      <c r="CA209" s="1047">
        <f t="shared" si="130"/>
        <v>1</v>
      </c>
      <c r="CB209" s="1047">
        <f t="shared" si="131"/>
        <v>0</v>
      </c>
      <c r="CD209" t="str">
        <f t="shared" si="132"/>
        <v>ROB</v>
      </c>
      <c r="CE209" t="str">
        <f t="shared" si="132"/>
        <v>ROB</v>
      </c>
      <c r="CF209" t="str">
        <f t="shared" si="132"/>
        <v>VE</v>
      </c>
      <c r="CG209" t="str">
        <f t="shared" si="132"/>
        <v>ROB</v>
      </c>
    </row>
    <row r="210" spans="1:85" ht="12.75" hidden="1" customHeight="1" x14ac:dyDescent="0.25">
      <c r="A210" s="295"/>
      <c r="B210" s="24" t="str">
        <f>'PLAN INDICATIVO'!B210</f>
        <v>Atención a grupos vulnerables - promoción social</v>
      </c>
      <c r="C210" s="1574" t="s">
        <v>662</v>
      </c>
      <c r="D210" s="1575"/>
      <c r="E210" s="1575"/>
      <c r="F210" s="1575"/>
      <c r="G210" s="1575"/>
      <c r="H210" s="1575"/>
      <c r="I210" s="1575"/>
      <c r="J210" s="1575"/>
      <c r="K210" s="1575"/>
      <c r="L210" s="1575"/>
      <c r="M210" s="1575"/>
      <c r="N210" s="1575"/>
      <c r="O210" s="1576"/>
      <c r="P210" s="369" t="s">
        <v>663</v>
      </c>
      <c r="Q210" s="22"/>
      <c r="R210" s="1"/>
      <c r="S210" s="261"/>
      <c r="T210" s="681"/>
      <c r="U210" s="261"/>
      <c r="V210" s="689">
        <f>SUM(V211:V218)</f>
        <v>12000000</v>
      </c>
      <c r="W210" s="261"/>
      <c r="X210" s="689">
        <f>SUM(X211:X218)</f>
        <v>12660000</v>
      </c>
      <c r="Y210" s="261"/>
      <c r="Z210" s="689">
        <f>SUM(Z211:Z218)</f>
        <v>12660000</v>
      </c>
      <c r="AA210" s="261"/>
      <c r="AB210" s="689">
        <f>SUM(AB211:AB218)</f>
        <v>12660000</v>
      </c>
      <c r="AC210" s="261"/>
      <c r="AD210" s="261"/>
      <c r="AE210" s="261"/>
      <c r="AF210" s="261"/>
      <c r="AG210" s="273"/>
      <c r="AH210" s="273"/>
      <c r="AI210" s="273"/>
      <c r="AJ210" s="261"/>
      <c r="AK210" s="261"/>
      <c r="AL210" s="261"/>
      <c r="AM210" s="261"/>
      <c r="AN210" s="261"/>
      <c r="AO210" s="635"/>
      <c r="AP210" s="616"/>
      <c r="AQ210" s="616"/>
      <c r="AR210" s="616"/>
      <c r="AS210" s="616"/>
      <c r="AT210" s="616"/>
      <c r="AU210" s="616"/>
      <c r="AV210" s="616"/>
      <c r="AW210" s="617"/>
      <c r="AX210" s="616" t="e">
        <f>(AX211:AX218)</f>
        <v>#VALUE!</v>
      </c>
      <c r="AY210" s="616" t="e">
        <f t="shared" ref="AY210:BD210" si="134">(AY211:AY218)</f>
        <v>#VALUE!</v>
      </c>
      <c r="AZ210" s="616" t="e">
        <f t="shared" si="134"/>
        <v>#VALUE!</v>
      </c>
      <c r="BA210" s="616" t="e">
        <f t="shared" si="134"/>
        <v>#VALUE!</v>
      </c>
      <c r="BB210" s="616" t="e">
        <f t="shared" si="134"/>
        <v>#VALUE!</v>
      </c>
      <c r="BC210" s="616" t="e">
        <f t="shared" si="134"/>
        <v>#VALUE!</v>
      </c>
      <c r="BD210" s="616" t="e">
        <f t="shared" si="134"/>
        <v>#VALUE!</v>
      </c>
      <c r="BE210" s="617" t="e">
        <f t="shared" si="101"/>
        <v>#VALUE!</v>
      </c>
      <c r="BF210" s="616"/>
      <c r="BG210" s="616"/>
      <c r="BH210" s="616"/>
      <c r="BI210" s="616"/>
      <c r="BJ210" s="616"/>
      <c r="BK210" s="616"/>
      <c r="BL210" s="616"/>
      <c r="BM210" s="617">
        <f t="shared" si="102"/>
        <v>0</v>
      </c>
      <c r="BN210" s="616" t="e">
        <f>(BN211:BN218)</f>
        <v>#VALUE!</v>
      </c>
      <c r="BO210" s="616" t="e">
        <f t="shared" ref="BO210:BT210" si="135">(BO211:BO218)</f>
        <v>#VALUE!</v>
      </c>
      <c r="BP210" s="616" t="e">
        <f t="shared" si="135"/>
        <v>#VALUE!</v>
      </c>
      <c r="BQ210" s="616" t="e">
        <f t="shared" si="135"/>
        <v>#VALUE!</v>
      </c>
      <c r="BR210" s="616" t="e">
        <f t="shared" si="135"/>
        <v>#VALUE!</v>
      </c>
      <c r="BS210" s="616" t="e">
        <f t="shared" si="135"/>
        <v>#VALUE!</v>
      </c>
      <c r="BT210" s="616" t="e">
        <f t="shared" si="135"/>
        <v>#VALUE!</v>
      </c>
      <c r="BU210" s="617" t="e">
        <f t="shared" si="103"/>
        <v>#VALUE!</v>
      </c>
      <c r="BV210" s="556"/>
      <c r="BW210" s="617" t="s">
        <v>2717</v>
      </c>
      <c r="BX210" s="617" t="s">
        <v>2717</v>
      </c>
      <c r="BY210" s="617" t="s">
        <v>2717</v>
      </c>
      <c r="BZ210" s="617" t="s">
        <v>2717</v>
      </c>
      <c r="CA210" s="617" t="s">
        <v>2717</v>
      </c>
      <c r="CB210" s="1047" t="s">
        <v>2717</v>
      </c>
    </row>
    <row r="211" spans="1:85" ht="68.25" hidden="1" customHeight="1" x14ac:dyDescent="0.25">
      <c r="A211" s="298" t="s">
        <v>491</v>
      </c>
      <c r="B211" s="299" t="str">
        <f>'PLAN INDICATIVO'!B211</f>
        <v>Atención a grupos vulnerables - promoción social</v>
      </c>
      <c r="C211" s="1559" t="s">
        <v>664</v>
      </c>
      <c r="D211" s="1549" t="s">
        <v>665</v>
      </c>
      <c r="E211" s="1549" t="s">
        <v>252</v>
      </c>
      <c r="F211" s="1549">
        <v>2015</v>
      </c>
      <c r="G211" s="1562">
        <v>11672</v>
      </c>
      <c r="H211" s="1562">
        <v>13500</v>
      </c>
      <c r="I211" s="300">
        <f>'PLAN INDICATIVO'!I211</f>
        <v>0</v>
      </c>
      <c r="J211" s="300">
        <f>'PLAN INDICATIVO'!J211</f>
        <v>0</v>
      </c>
      <c r="K211" s="1428" t="str">
        <f>'PLAN INDICATIVO'!K211</f>
        <v>A.14.5.1</v>
      </c>
      <c r="L211" s="301" t="str">
        <f>'PLAN INDICATIVO'!L211</f>
        <v>10. Reducción de las desigualdades</v>
      </c>
      <c r="M211" s="301" t="str">
        <f>'PLAN INDICATIVO'!M211</f>
        <v>Secretaría de Gobierno</v>
      </c>
      <c r="N211" s="1425" t="str">
        <f>'PLAN INDICATIVO'!N211</f>
        <v>HERNAN RODRIGUEZ FALLA</v>
      </c>
      <c r="O211" s="1425" t="str">
        <f>'PLAN INDICATIVO'!O211</f>
        <v>Mantenimiento</v>
      </c>
      <c r="P211" s="16" t="str">
        <f>'PLAN INDICATIVO'!P211</f>
        <v>Mantener actualizada 1 caracterización de la población indígena cada año</v>
      </c>
      <c r="Q211" s="302" t="str">
        <f>'PLAN INDICATIVO'!Q211</f>
        <v>No. De Caracterización realizada por año</v>
      </c>
      <c r="R211" s="303">
        <f>'PLAN INDICATIVO'!R211</f>
        <v>2015</v>
      </c>
      <c r="S211" s="304">
        <v>0</v>
      </c>
      <c r="T211" s="699">
        <v>1</v>
      </c>
      <c r="U211" s="934">
        <v>0.25</v>
      </c>
      <c r="V211" s="687">
        <v>7000000</v>
      </c>
      <c r="W211" s="934">
        <v>0.25</v>
      </c>
      <c r="X211" s="687">
        <v>2660000</v>
      </c>
      <c r="Y211" s="1238">
        <v>0.25</v>
      </c>
      <c r="Z211" s="1233">
        <v>2660000</v>
      </c>
      <c r="AA211" s="1311">
        <v>0.25</v>
      </c>
      <c r="AB211" s="687">
        <v>2660000</v>
      </c>
      <c r="AC211" s="669">
        <v>0.25</v>
      </c>
      <c r="AD211" s="669">
        <v>0.25</v>
      </c>
      <c r="AE211" s="669">
        <v>0.25</v>
      </c>
      <c r="AF211" s="669"/>
      <c r="AG211" s="341" t="s">
        <v>3649</v>
      </c>
      <c r="AH211" s="987">
        <v>2018413960018</v>
      </c>
      <c r="AI211" s="962"/>
      <c r="AJ211" s="962">
        <v>43115</v>
      </c>
      <c r="AK211" s="363">
        <v>43434</v>
      </c>
      <c r="AL211" s="358"/>
      <c r="AM211" s="358"/>
      <c r="AN211" s="267" t="s">
        <v>2598</v>
      </c>
      <c r="AO211" s="512" t="s">
        <v>4139</v>
      </c>
      <c r="AP211" s="525"/>
      <c r="AQ211" s="310"/>
      <c r="AR211" s="310"/>
      <c r="AS211" s="310"/>
      <c r="AT211" s="310"/>
      <c r="AU211" s="310"/>
      <c r="AV211" s="310"/>
      <c r="AW211" s="544"/>
      <c r="AX211" s="525"/>
      <c r="AY211" s="310"/>
      <c r="AZ211" s="310"/>
      <c r="BA211" s="310"/>
      <c r="BB211" s="310"/>
      <c r="BC211" s="310"/>
      <c r="BD211" s="310"/>
      <c r="BE211" s="544">
        <f t="shared" si="101"/>
        <v>0</v>
      </c>
      <c r="BF211" s="525"/>
      <c r="BG211" s="310">
        <v>2658000</v>
      </c>
      <c r="BH211" s="310"/>
      <c r="BI211" s="310"/>
      <c r="BJ211" s="310"/>
      <c r="BK211" s="310"/>
      <c r="BL211" s="310"/>
      <c r="BM211" s="544">
        <f t="shared" si="102"/>
        <v>2658000</v>
      </c>
      <c r="BN211" s="525"/>
      <c r="BO211" s="310"/>
      <c r="BP211" s="310"/>
      <c r="BQ211" s="310"/>
      <c r="BR211" s="310"/>
      <c r="BS211" s="310"/>
      <c r="BT211" s="310"/>
      <c r="BU211" s="544">
        <f t="shared" si="103"/>
        <v>0</v>
      </c>
      <c r="BV211" s="556"/>
      <c r="BW211" s="663">
        <f t="shared" si="133"/>
        <v>0.75</v>
      </c>
      <c r="BX211" s="1047">
        <f t="shared" ref="BX211:BX275" si="136">BW211/T211</f>
        <v>0.75</v>
      </c>
      <c r="BY211" s="1047">
        <f t="shared" ref="BY211:BY218" si="137">IF(U211&gt;=0.1,AC211/U211,IF(ISBLANK(U211),"No Programada","Aplazada"))</f>
        <v>1</v>
      </c>
      <c r="BZ211" s="1047">
        <f t="shared" ref="BZ211:BZ218" si="138">IF(W211&gt;=0.1,AD211/W211,IF(ISBLANK(W211),"No Programada","Aplazada"))</f>
        <v>1</v>
      </c>
      <c r="CA211" s="1047">
        <f t="shared" ref="CA211:CA218" si="139">IF(Y211&gt;=0.1,AE211/Y211,IF(ISBLANK(Y211),"No Programada","Aplazada"))</f>
        <v>1</v>
      </c>
      <c r="CB211" s="1047">
        <f t="shared" ref="CB211:CB218" si="140">IF(AA211&gt;=0.1,AF211/AA211,IF(ISBLANK(AA211),"No Programada","Aplazada"))</f>
        <v>0</v>
      </c>
      <c r="CD211" t="str">
        <f t="shared" ref="CD211:CG218" si="141">IF(BY211="PARA MODIFICAR","M",IF(BY211="PARA ELIMINAR","E",IF(BY211="aplazada","AZ",IF(BY211="no programada","NP",IF(BY211&gt;=85%,"VE",IF(BY211&gt;70%,"VEB",IF(BY211&gt;60%,"AM",IF(BY211&gt;40%,"AMB",IF(BY211&gt;20%,"RO",IF(BY211&gt;=0%,"ROB",""))))))))))</f>
        <v>VE</v>
      </c>
      <c r="CE211" t="str">
        <f t="shared" si="141"/>
        <v>VE</v>
      </c>
      <c r="CF211" t="str">
        <f t="shared" si="141"/>
        <v>VE</v>
      </c>
      <c r="CG211" t="str">
        <f t="shared" si="141"/>
        <v>ROB</v>
      </c>
    </row>
    <row r="212" spans="1:85" ht="63" hidden="1" customHeight="1" x14ac:dyDescent="0.25">
      <c r="A212" s="298" t="s">
        <v>491</v>
      </c>
      <c r="B212" s="299" t="str">
        <f>'PLAN INDICATIVO'!B212</f>
        <v>Atención a grupos vulnerables - promoción social</v>
      </c>
      <c r="C212" s="1559"/>
      <c r="D212" s="1549"/>
      <c r="E212" s="1549"/>
      <c r="F212" s="1549"/>
      <c r="G212" s="1562"/>
      <c r="H212" s="1562"/>
      <c r="I212" s="300">
        <f>'PLAN INDICATIVO'!I212</f>
        <v>0</v>
      </c>
      <c r="J212" s="300">
        <f>'PLAN INDICATIVO'!J212</f>
        <v>0</v>
      </c>
      <c r="K212" s="1428" t="str">
        <f>'PLAN INDICATIVO'!K212</f>
        <v>A.14.5.2</v>
      </c>
      <c r="L212" s="301" t="str">
        <f>'PLAN INDICATIVO'!L212</f>
        <v>10. Reducción de las desigualdades</v>
      </c>
      <c r="M212" s="301" t="str">
        <f>'PLAN INDICATIVO'!M212</f>
        <v>Secretaría de Gobierno</v>
      </c>
      <c r="N212" s="1425" t="str">
        <f>'PLAN INDICATIVO'!N212</f>
        <v>HERNAN RODRIGUEZ FALLA</v>
      </c>
      <c r="O212" s="1425" t="str">
        <f>'PLAN INDICATIVO'!O212</f>
        <v>Incremento</v>
      </c>
      <c r="P212" s="940" t="str">
        <f>'PLAN INDICATIVO'!P212</f>
        <v>Realizar 2 Capacitaciones dirigidas a funcionarios municipales sobre promoción de derechos étnicos durante el cuatrienio</v>
      </c>
      <c r="Q212" s="302" t="str">
        <f>'PLAN INDICATIVO'!Q212</f>
        <v>No. De capacitaciones realizadas</v>
      </c>
      <c r="R212" s="303">
        <f>'PLAN INDICATIVO'!R212</f>
        <v>2015</v>
      </c>
      <c r="S212" s="304">
        <v>0</v>
      </c>
      <c r="T212" s="699">
        <v>2</v>
      </c>
      <c r="U212" s="303">
        <v>0</v>
      </c>
      <c r="V212" s="687">
        <v>0</v>
      </c>
      <c r="W212" s="303">
        <v>0</v>
      </c>
      <c r="X212" s="687"/>
      <c r="Y212" s="286">
        <v>1</v>
      </c>
      <c r="Z212" s="1233">
        <v>500000</v>
      </c>
      <c r="AA212" s="291"/>
      <c r="AB212" s="687"/>
      <c r="AC212" s="669">
        <v>1</v>
      </c>
      <c r="AD212" s="669"/>
      <c r="AE212" s="669">
        <v>1</v>
      </c>
      <c r="AF212" s="669"/>
      <c r="AG212" s="341" t="s">
        <v>3649</v>
      </c>
      <c r="AH212" s="987">
        <v>2018413960018</v>
      </c>
      <c r="AI212" s="355"/>
      <c r="AJ212" s="359">
        <v>43221</v>
      </c>
      <c r="AK212" s="359">
        <v>43250</v>
      </c>
      <c r="AL212" s="358"/>
      <c r="AM212" s="358"/>
      <c r="AN212" s="267" t="s">
        <v>2598</v>
      </c>
      <c r="AO212" s="512"/>
      <c r="AP212" s="525"/>
      <c r="AQ212" s="310"/>
      <c r="AR212" s="310"/>
      <c r="AS212" s="310"/>
      <c r="AT212" s="310"/>
      <c r="AU212" s="310"/>
      <c r="AV212" s="310"/>
      <c r="AW212" s="544"/>
      <c r="AX212" s="525"/>
      <c r="AY212" s="310"/>
      <c r="AZ212" s="310"/>
      <c r="BA212" s="310"/>
      <c r="BB212" s="310"/>
      <c r="BC212" s="310"/>
      <c r="BD212" s="310"/>
      <c r="BE212" s="544">
        <f t="shared" si="101"/>
        <v>0</v>
      </c>
      <c r="BF212" s="525"/>
      <c r="BG212" s="310"/>
      <c r="BH212" s="310"/>
      <c r="BI212" s="310"/>
      <c r="BJ212" s="310"/>
      <c r="BK212" s="310"/>
      <c r="BL212" s="310"/>
      <c r="BM212" s="544">
        <f t="shared" si="102"/>
        <v>0</v>
      </c>
      <c r="BN212" s="525"/>
      <c r="BO212" s="310"/>
      <c r="BP212" s="310"/>
      <c r="BQ212" s="310"/>
      <c r="BR212" s="310"/>
      <c r="BS212" s="310"/>
      <c r="BT212" s="310"/>
      <c r="BU212" s="544">
        <f t="shared" si="103"/>
        <v>0</v>
      </c>
      <c r="BV212" s="556"/>
      <c r="BW212" s="663">
        <f t="shared" si="133"/>
        <v>2</v>
      </c>
      <c r="BX212" s="1047">
        <f t="shared" si="136"/>
        <v>1</v>
      </c>
      <c r="BY212" s="1047" t="str">
        <f t="shared" si="137"/>
        <v>Aplazada</v>
      </c>
      <c r="BZ212" s="1047" t="str">
        <f t="shared" si="138"/>
        <v>Aplazada</v>
      </c>
      <c r="CA212" s="1047">
        <f t="shared" si="139"/>
        <v>1</v>
      </c>
      <c r="CB212" s="1047" t="str">
        <f t="shared" si="140"/>
        <v>No Programada</v>
      </c>
      <c r="CD212" t="str">
        <f t="shared" si="141"/>
        <v>AZ</v>
      </c>
      <c r="CE212" t="str">
        <f t="shared" si="141"/>
        <v>AZ</v>
      </c>
      <c r="CF212" t="str">
        <f t="shared" si="141"/>
        <v>VE</v>
      </c>
      <c r="CG212" t="str">
        <f t="shared" si="141"/>
        <v>NP</v>
      </c>
    </row>
    <row r="213" spans="1:85" ht="89.25" hidden="1" customHeight="1" x14ac:dyDescent="0.25">
      <c r="A213" s="298" t="s">
        <v>491</v>
      </c>
      <c r="B213" s="299" t="str">
        <f>'PLAN INDICATIVO'!B213</f>
        <v>Atención a grupos vulnerables - promoción social</v>
      </c>
      <c r="C213" s="1559"/>
      <c r="D213" s="1549"/>
      <c r="E213" s="1549"/>
      <c r="F213" s="1549"/>
      <c r="G213" s="1562"/>
      <c r="H213" s="1562"/>
      <c r="I213" s="300">
        <f>'PLAN INDICATIVO'!I213</f>
        <v>0</v>
      </c>
      <c r="J213" s="300">
        <f>'PLAN INDICATIVO'!J213</f>
        <v>0</v>
      </c>
      <c r="K213" s="1428" t="str">
        <f>'PLAN INDICATIVO'!K213</f>
        <v>A.14.5.3</v>
      </c>
      <c r="L213" s="301" t="str">
        <f>'PLAN INDICATIVO'!L213</f>
        <v>10. Reducción de las desigualdades</v>
      </c>
      <c r="M213" s="301" t="str">
        <f>'PLAN INDICATIVO'!M213</f>
        <v>Secretaría de Gobierno</v>
      </c>
      <c r="N213" s="1425" t="str">
        <f>'PLAN INDICATIVO'!N213</f>
        <v>HERNAN RODRIGUEZ FALLA</v>
      </c>
      <c r="O213" s="1425" t="str">
        <f>'PLAN INDICATIVO'!O213</f>
        <v>Incremento</v>
      </c>
      <c r="P213" s="25" t="str">
        <f>'PLAN INDICATIVO'!P213</f>
        <v>Adelantar 2 procesos en el cuatrienio  para que la población Étnica obtengan recursos  para el fortalecimiento de los sectores</v>
      </c>
      <c r="Q213" s="302" t="str">
        <f>'PLAN INDICATIVO'!Q213</f>
        <v>No. De procesos ejecutados</v>
      </c>
      <c r="R213" s="303">
        <f>'PLAN INDICATIVO'!R213</f>
        <v>2015</v>
      </c>
      <c r="S213" s="304">
        <v>0</v>
      </c>
      <c r="T213" s="699">
        <v>2</v>
      </c>
      <c r="U213" s="303">
        <v>1</v>
      </c>
      <c r="V213" s="687">
        <v>1000000</v>
      </c>
      <c r="W213" s="303">
        <v>1</v>
      </c>
      <c r="X213" s="687">
        <v>1000000</v>
      </c>
      <c r="Y213" s="286">
        <v>1</v>
      </c>
      <c r="Z213" s="1233">
        <v>500000</v>
      </c>
      <c r="AA213" s="291">
        <v>0</v>
      </c>
      <c r="AB213" s="687"/>
      <c r="AC213" s="669"/>
      <c r="AD213" s="669">
        <v>1</v>
      </c>
      <c r="AE213" s="669">
        <v>1</v>
      </c>
      <c r="AF213" s="669"/>
      <c r="AG213" s="341" t="s">
        <v>3649</v>
      </c>
      <c r="AH213" s="987">
        <v>2018413960018</v>
      </c>
      <c r="AI213" s="355" t="s">
        <v>4140</v>
      </c>
      <c r="AJ213" s="363">
        <v>43252</v>
      </c>
      <c r="AK213" s="363">
        <v>43281</v>
      </c>
      <c r="AL213" s="358"/>
      <c r="AM213" s="358"/>
      <c r="AN213" s="267" t="s">
        <v>2598</v>
      </c>
      <c r="AO213" s="512"/>
      <c r="AP213" s="525"/>
      <c r="AQ213" s="310"/>
      <c r="AR213" s="310"/>
      <c r="AS213" s="310"/>
      <c r="AT213" s="310"/>
      <c r="AU213" s="310"/>
      <c r="AV213" s="310"/>
      <c r="AW213" s="544"/>
      <c r="AX213" s="525"/>
      <c r="AY213" s="310"/>
      <c r="AZ213" s="310"/>
      <c r="BA213" s="310"/>
      <c r="BB213" s="310"/>
      <c r="BC213" s="310"/>
      <c r="BD213" s="310"/>
      <c r="BE213" s="544">
        <f t="shared" si="101"/>
        <v>0</v>
      </c>
      <c r="BF213" s="525"/>
      <c r="BG213" s="310"/>
      <c r="BH213" s="310"/>
      <c r="BI213" s="310"/>
      <c r="BJ213" s="310"/>
      <c r="BK213" s="310"/>
      <c r="BL213" s="310"/>
      <c r="BM213" s="544">
        <f t="shared" si="102"/>
        <v>0</v>
      </c>
      <c r="BN213" s="525"/>
      <c r="BO213" s="310"/>
      <c r="BP213" s="310"/>
      <c r="BQ213" s="310"/>
      <c r="BR213" s="310"/>
      <c r="BS213" s="310"/>
      <c r="BT213" s="310"/>
      <c r="BU213" s="544">
        <f t="shared" si="103"/>
        <v>0</v>
      </c>
      <c r="BV213" s="556"/>
      <c r="BW213" s="663">
        <f t="shared" si="133"/>
        <v>2</v>
      </c>
      <c r="BX213" s="1047">
        <f t="shared" si="136"/>
        <v>1</v>
      </c>
      <c r="BY213" s="1047">
        <f t="shared" si="137"/>
        <v>0</v>
      </c>
      <c r="BZ213" s="1047">
        <f t="shared" si="138"/>
        <v>1</v>
      </c>
      <c r="CA213" s="1047">
        <f t="shared" si="139"/>
        <v>1</v>
      </c>
      <c r="CB213" s="1047" t="str">
        <f t="shared" si="140"/>
        <v>Aplazada</v>
      </c>
      <c r="CD213" t="str">
        <f t="shared" si="141"/>
        <v>ROB</v>
      </c>
      <c r="CE213" t="str">
        <f t="shared" si="141"/>
        <v>VE</v>
      </c>
      <c r="CF213" t="str">
        <f t="shared" si="141"/>
        <v>VE</v>
      </c>
      <c r="CG213" t="str">
        <f t="shared" si="141"/>
        <v>AZ</v>
      </c>
    </row>
    <row r="214" spans="1:85" ht="71.25" hidden="1" customHeight="1" x14ac:dyDescent="0.25">
      <c r="A214" s="298" t="s">
        <v>491</v>
      </c>
      <c r="B214" s="299" t="str">
        <f>'PLAN INDICATIVO'!B214</f>
        <v>Atención a grupos vulnerables - promoción social</v>
      </c>
      <c r="C214" s="1559"/>
      <c r="D214" s="1549"/>
      <c r="E214" s="1549"/>
      <c r="F214" s="1549"/>
      <c r="G214" s="1562"/>
      <c r="H214" s="1562"/>
      <c r="I214" s="300">
        <f>'PLAN INDICATIVO'!I214</f>
        <v>0</v>
      </c>
      <c r="J214" s="300">
        <f>'PLAN INDICATIVO'!J214</f>
        <v>0</v>
      </c>
      <c r="K214" s="1428" t="str">
        <f>'PLAN INDICATIVO'!K214</f>
        <v>A.14.5.4</v>
      </c>
      <c r="L214" s="301" t="str">
        <f>'PLAN INDICATIVO'!L214</f>
        <v>10. Reducción de las desigualdades</v>
      </c>
      <c r="M214" s="301" t="str">
        <f>'PLAN INDICATIVO'!M214</f>
        <v>Secretaría de Gobierno</v>
      </c>
      <c r="N214" s="1425" t="str">
        <f>'PLAN INDICATIVO'!N214</f>
        <v>HERNAN RODRIGUEZ FALLA</v>
      </c>
      <c r="O214" s="1425" t="str">
        <f>'PLAN INDICATIVO'!O214</f>
        <v>Incremento</v>
      </c>
      <c r="P214" s="16" t="str">
        <f>'PLAN INDICATIVO'!P214</f>
        <v>implementar 2 estrategias durante el cuatrienio para fortalecer costumbres y vivencias de la población indígena y afro</v>
      </c>
      <c r="Q214" s="302" t="str">
        <f>'PLAN INDICATIVO'!Q214</f>
        <v>No. De Estrategia Implementada</v>
      </c>
      <c r="R214" s="303">
        <f>'PLAN INDICATIVO'!R214</f>
        <v>2015</v>
      </c>
      <c r="S214" s="304">
        <v>0</v>
      </c>
      <c r="T214" s="699">
        <v>2</v>
      </c>
      <c r="U214" s="303">
        <v>1</v>
      </c>
      <c r="V214" s="687">
        <v>0</v>
      </c>
      <c r="W214" s="303">
        <v>1</v>
      </c>
      <c r="X214" s="687"/>
      <c r="Y214" s="286"/>
      <c r="Z214" s="1233">
        <v>500000</v>
      </c>
      <c r="AA214" s="291"/>
      <c r="AB214" s="687"/>
      <c r="AC214" s="669">
        <v>1</v>
      </c>
      <c r="AD214" s="669">
        <v>1</v>
      </c>
      <c r="AE214" s="669"/>
      <c r="AF214" s="669"/>
      <c r="AG214" s="341" t="s">
        <v>3649</v>
      </c>
      <c r="AH214" s="987">
        <v>2018413960018</v>
      </c>
      <c r="AI214" s="355"/>
      <c r="AJ214" s="363"/>
      <c r="AK214" s="363"/>
      <c r="AL214" s="358"/>
      <c r="AM214" s="358"/>
      <c r="AN214" s="267" t="s">
        <v>2594</v>
      </c>
      <c r="AO214" s="512"/>
      <c r="AP214" s="525"/>
      <c r="AQ214" s="310"/>
      <c r="AR214" s="310"/>
      <c r="AS214" s="310"/>
      <c r="AT214" s="310"/>
      <c r="AU214" s="310"/>
      <c r="AV214" s="310"/>
      <c r="AW214" s="544"/>
      <c r="AX214" s="525"/>
      <c r="AY214" s="310"/>
      <c r="AZ214" s="310"/>
      <c r="BA214" s="310"/>
      <c r="BB214" s="310"/>
      <c r="BC214" s="310"/>
      <c r="BD214" s="310"/>
      <c r="BE214" s="544">
        <f t="shared" si="101"/>
        <v>0</v>
      </c>
      <c r="BF214" s="525"/>
      <c r="BG214" s="310"/>
      <c r="BH214" s="310"/>
      <c r="BI214" s="310"/>
      <c r="BJ214" s="310"/>
      <c r="BK214" s="310"/>
      <c r="BL214" s="310"/>
      <c r="BM214" s="544">
        <f t="shared" si="102"/>
        <v>0</v>
      </c>
      <c r="BN214" s="525"/>
      <c r="BO214" s="310"/>
      <c r="BP214" s="310"/>
      <c r="BQ214" s="310"/>
      <c r="BR214" s="310"/>
      <c r="BS214" s="310"/>
      <c r="BT214" s="310"/>
      <c r="BU214" s="544">
        <f t="shared" si="103"/>
        <v>0</v>
      </c>
      <c r="BV214" s="556"/>
      <c r="BW214" s="663">
        <f t="shared" si="133"/>
        <v>2</v>
      </c>
      <c r="BX214" s="1047">
        <f t="shared" si="136"/>
        <v>1</v>
      </c>
      <c r="BY214" s="1047">
        <f t="shared" si="137"/>
        <v>1</v>
      </c>
      <c r="BZ214" s="1047">
        <f t="shared" si="138"/>
        <v>1</v>
      </c>
      <c r="CA214" s="1047" t="str">
        <f t="shared" si="139"/>
        <v>No Programada</v>
      </c>
      <c r="CB214" s="1047" t="str">
        <f t="shared" si="140"/>
        <v>No Programada</v>
      </c>
      <c r="CD214" t="str">
        <f t="shared" si="141"/>
        <v>VE</v>
      </c>
      <c r="CE214" t="str">
        <f t="shared" si="141"/>
        <v>VE</v>
      </c>
      <c r="CF214" t="str">
        <f t="shared" si="141"/>
        <v>NP</v>
      </c>
      <c r="CG214" t="str">
        <f t="shared" si="141"/>
        <v>NP</v>
      </c>
    </row>
    <row r="215" spans="1:85" ht="72" hidden="1" customHeight="1" x14ac:dyDescent="0.25">
      <c r="A215" s="298" t="s">
        <v>491</v>
      </c>
      <c r="B215" s="299" t="str">
        <f>'PLAN INDICATIVO'!B215</f>
        <v>Atención a grupos vulnerables - promoción social</v>
      </c>
      <c r="C215" s="1559"/>
      <c r="D215" s="1549"/>
      <c r="E215" s="1549"/>
      <c r="F215" s="1549"/>
      <c r="G215" s="1562"/>
      <c r="H215" s="1562"/>
      <c r="I215" s="300">
        <f>'PLAN INDICATIVO'!I215</f>
        <v>0</v>
      </c>
      <c r="J215" s="300">
        <f>'PLAN INDICATIVO'!J215</f>
        <v>0</v>
      </c>
      <c r="K215" s="1428" t="str">
        <f>'PLAN INDICATIVO'!K215</f>
        <v>A.14.5.5</v>
      </c>
      <c r="L215" s="301" t="str">
        <f>'PLAN INDICATIVO'!L215</f>
        <v>10. Reducción de las desigualdades</v>
      </c>
      <c r="M215" s="301" t="str">
        <f>'PLAN INDICATIVO'!M215</f>
        <v>Secretaría de Gobierno</v>
      </c>
      <c r="N215" s="1425" t="str">
        <f>'PLAN INDICATIVO'!N215</f>
        <v>HERNAN RODRIGUEZ FALLA</v>
      </c>
      <c r="O215" s="1425" t="str">
        <f>'PLAN INDICATIVO'!O215</f>
        <v>Incremento</v>
      </c>
      <c r="P215" s="25" t="str">
        <f>'PLAN INDICATIVO'!P215</f>
        <v>Realizar 2 planes de capacitación con enfoque diferencial étnico para cualificación del recurso humano durante el cuatrienio</v>
      </c>
      <c r="Q215" s="302" t="str">
        <f>'PLAN INDICATIVO'!Q215</f>
        <v>No. De planes de Capacitación realizadas</v>
      </c>
      <c r="R215" s="303">
        <f>'PLAN INDICATIVO'!R215</f>
        <v>2015</v>
      </c>
      <c r="S215" s="304">
        <v>0</v>
      </c>
      <c r="T215" s="699">
        <v>2</v>
      </c>
      <c r="U215" s="303">
        <v>1</v>
      </c>
      <c r="V215" s="687">
        <v>1000000</v>
      </c>
      <c r="W215" s="303">
        <v>0</v>
      </c>
      <c r="X215" s="687">
        <v>1000000</v>
      </c>
      <c r="Y215" s="286">
        <v>1</v>
      </c>
      <c r="Z215" s="1233"/>
      <c r="AA215" s="291">
        <v>1</v>
      </c>
      <c r="AB215" s="687">
        <v>8000000</v>
      </c>
      <c r="AC215" s="669"/>
      <c r="AD215" s="669">
        <v>1</v>
      </c>
      <c r="AE215" s="669">
        <v>1</v>
      </c>
      <c r="AF215" s="669"/>
      <c r="AG215" s="341" t="s">
        <v>3649</v>
      </c>
      <c r="AH215" s="987">
        <v>2018413960018</v>
      </c>
      <c r="AI215" s="355"/>
      <c r="AJ215" s="363">
        <v>43313</v>
      </c>
      <c r="AK215" s="363">
        <v>43342</v>
      </c>
      <c r="AL215" s="358"/>
      <c r="AM215" s="358"/>
      <c r="AN215" s="267" t="s">
        <v>2598</v>
      </c>
      <c r="AO215" s="512"/>
      <c r="AP215" s="525"/>
      <c r="AQ215" s="310"/>
      <c r="AR215" s="310"/>
      <c r="AS215" s="310"/>
      <c r="AT215" s="310"/>
      <c r="AU215" s="310"/>
      <c r="AV215" s="310"/>
      <c r="AW215" s="544"/>
      <c r="AX215" s="525"/>
      <c r="AY215" s="310"/>
      <c r="AZ215" s="310"/>
      <c r="BA215" s="310"/>
      <c r="BB215" s="310"/>
      <c r="BC215" s="310"/>
      <c r="BD215" s="310"/>
      <c r="BE215" s="544">
        <f t="shared" ref="BE215:BE277" si="142">SUM(AX215:BD215)</f>
        <v>0</v>
      </c>
      <c r="BF215" s="525"/>
      <c r="BG215" s="310"/>
      <c r="BH215" s="310"/>
      <c r="BI215" s="310"/>
      <c r="BJ215" s="310"/>
      <c r="BK215" s="310"/>
      <c r="BL215" s="310"/>
      <c r="BM215" s="544">
        <f t="shared" ref="BM215:BM277" si="143">SUM(BF215:BL215)</f>
        <v>0</v>
      </c>
      <c r="BN215" s="525"/>
      <c r="BO215" s="310"/>
      <c r="BP215" s="310"/>
      <c r="BQ215" s="310"/>
      <c r="BR215" s="310"/>
      <c r="BS215" s="310"/>
      <c r="BT215" s="310"/>
      <c r="BU215" s="544">
        <f t="shared" ref="BU215:BU277" si="144">SUM(BN215:BT215)</f>
        <v>0</v>
      </c>
      <c r="BV215" s="556"/>
      <c r="BW215" s="663">
        <f t="shared" si="133"/>
        <v>2</v>
      </c>
      <c r="BX215" s="1047">
        <f t="shared" si="136"/>
        <v>1</v>
      </c>
      <c r="BY215" s="1047">
        <f t="shared" si="137"/>
        <v>0</v>
      </c>
      <c r="BZ215" s="1047" t="str">
        <f t="shared" si="138"/>
        <v>Aplazada</v>
      </c>
      <c r="CA215" s="1047">
        <f t="shared" si="139"/>
        <v>1</v>
      </c>
      <c r="CB215" s="1047">
        <f t="shared" si="140"/>
        <v>0</v>
      </c>
      <c r="CD215" t="str">
        <f t="shared" si="141"/>
        <v>ROB</v>
      </c>
      <c r="CE215" t="str">
        <f t="shared" si="141"/>
        <v>AZ</v>
      </c>
      <c r="CF215" t="str">
        <f t="shared" si="141"/>
        <v>VE</v>
      </c>
      <c r="CG215" t="str">
        <f t="shared" si="141"/>
        <v>ROB</v>
      </c>
    </row>
    <row r="216" spans="1:85" ht="55.5" hidden="1" customHeight="1" x14ac:dyDescent="0.25">
      <c r="A216" s="298" t="s">
        <v>491</v>
      </c>
      <c r="B216" s="299" t="str">
        <f>'PLAN INDICATIVO'!B216</f>
        <v>Atención a grupos vulnerables - promoción social</v>
      </c>
      <c r="C216" s="1559"/>
      <c r="D216" s="1549"/>
      <c r="E216" s="1549"/>
      <c r="F216" s="1549"/>
      <c r="G216" s="1562"/>
      <c r="H216" s="1562"/>
      <c r="I216" s="300">
        <f>'PLAN INDICATIVO'!I216</f>
        <v>0</v>
      </c>
      <c r="J216" s="300">
        <f>'PLAN INDICATIVO'!J216</f>
        <v>0</v>
      </c>
      <c r="K216" s="1428" t="str">
        <f>'PLAN INDICATIVO'!K216</f>
        <v>A.14.5.6</v>
      </c>
      <c r="L216" s="301" t="str">
        <f>'PLAN INDICATIVO'!L216</f>
        <v>10. Reducción de las desigualdades</v>
      </c>
      <c r="M216" s="301" t="str">
        <f>'PLAN INDICATIVO'!M216</f>
        <v>Secretaría de Gobierno</v>
      </c>
      <c r="N216" s="1425" t="str">
        <f>'PLAN INDICATIVO'!N216</f>
        <v>HERNAN RODRIGUEZ FALLA</v>
      </c>
      <c r="O216" s="1425" t="str">
        <f>'PLAN INDICATIVO'!O216</f>
        <v>Mantenimiento</v>
      </c>
      <c r="P216" s="16" t="str">
        <f>'PLAN INDICATIVO'!P216</f>
        <v>Realizar 1 actividad anual de enriquecimiento de la cultura ancestral</v>
      </c>
      <c r="Q216" s="302" t="str">
        <f>'PLAN INDICATIVO'!Q216</f>
        <v>No. De Actividad realizada por año</v>
      </c>
      <c r="R216" s="303">
        <f>'PLAN INDICATIVO'!R216</f>
        <v>2015</v>
      </c>
      <c r="S216" s="304">
        <v>0</v>
      </c>
      <c r="T216" s="699">
        <v>1</v>
      </c>
      <c r="U216" s="934">
        <v>0.25</v>
      </c>
      <c r="V216" s="687">
        <v>2000000</v>
      </c>
      <c r="W216" s="934">
        <v>0.25</v>
      </c>
      <c r="X216" s="687">
        <v>2000000</v>
      </c>
      <c r="Y216" s="1238">
        <v>0.25</v>
      </c>
      <c r="Z216" s="1233">
        <v>2000000</v>
      </c>
      <c r="AA216" s="1311">
        <v>0.25</v>
      </c>
      <c r="AB216" s="687">
        <v>2000000</v>
      </c>
      <c r="AC216" s="669">
        <v>0.25</v>
      </c>
      <c r="AD216" s="669">
        <v>0.25</v>
      </c>
      <c r="AE216" s="669">
        <v>0.25</v>
      </c>
      <c r="AF216" s="669"/>
      <c r="AG216" s="341" t="s">
        <v>3649</v>
      </c>
      <c r="AH216" s="987">
        <v>2018413960018</v>
      </c>
      <c r="AI216" s="355" t="s">
        <v>4141</v>
      </c>
      <c r="AJ216" s="363">
        <v>43405</v>
      </c>
      <c r="AK216" s="363">
        <v>43434</v>
      </c>
      <c r="AL216" s="358"/>
      <c r="AM216" s="358"/>
      <c r="AN216" s="267" t="s">
        <v>2598</v>
      </c>
      <c r="AO216" s="512"/>
      <c r="AP216" s="525"/>
      <c r="AQ216" s="310"/>
      <c r="AR216" s="310"/>
      <c r="AS216" s="310"/>
      <c r="AT216" s="310"/>
      <c r="AU216" s="310"/>
      <c r="AV216" s="310"/>
      <c r="AW216" s="544"/>
      <c r="AX216" s="525"/>
      <c r="AY216" s="310"/>
      <c r="AZ216" s="310"/>
      <c r="BA216" s="310"/>
      <c r="BB216" s="310"/>
      <c r="BC216" s="310"/>
      <c r="BD216" s="310"/>
      <c r="BE216" s="544">
        <f t="shared" si="142"/>
        <v>0</v>
      </c>
      <c r="BF216" s="525"/>
      <c r="BG216" s="310">
        <v>2659000</v>
      </c>
      <c r="BH216" s="310"/>
      <c r="BI216" s="310"/>
      <c r="BJ216" s="310"/>
      <c r="BK216" s="310"/>
      <c r="BL216" s="310"/>
      <c r="BM216" s="544">
        <f t="shared" si="143"/>
        <v>2659000</v>
      </c>
      <c r="BN216" s="525"/>
      <c r="BO216" s="310"/>
      <c r="BP216" s="310"/>
      <c r="BQ216" s="310"/>
      <c r="BR216" s="310"/>
      <c r="BS216" s="310"/>
      <c r="BT216" s="310"/>
      <c r="BU216" s="544">
        <f t="shared" si="144"/>
        <v>0</v>
      </c>
      <c r="BV216" s="556"/>
      <c r="BW216" s="663">
        <f t="shared" si="133"/>
        <v>0.75</v>
      </c>
      <c r="BX216" s="1047">
        <f t="shared" si="136"/>
        <v>0.75</v>
      </c>
      <c r="BY216" s="1047">
        <f t="shared" si="137"/>
        <v>1</v>
      </c>
      <c r="BZ216" s="1047">
        <f t="shared" si="138"/>
        <v>1</v>
      </c>
      <c r="CA216" s="1047">
        <f t="shared" si="139"/>
        <v>1</v>
      </c>
      <c r="CB216" s="1047">
        <f t="shared" si="140"/>
        <v>0</v>
      </c>
      <c r="CD216" t="str">
        <f t="shared" si="141"/>
        <v>VE</v>
      </c>
      <c r="CE216" t="str">
        <f t="shared" si="141"/>
        <v>VE</v>
      </c>
      <c r="CF216" t="str">
        <f t="shared" si="141"/>
        <v>VE</v>
      </c>
      <c r="CG216" t="str">
        <f t="shared" si="141"/>
        <v>ROB</v>
      </c>
    </row>
    <row r="217" spans="1:85" ht="75.75" hidden="1" customHeight="1" x14ac:dyDescent="0.25">
      <c r="A217" s="298" t="s">
        <v>491</v>
      </c>
      <c r="B217" s="299" t="str">
        <f>'PLAN INDICATIVO'!B217</f>
        <v>Atención a grupos vulnerables - promoción social</v>
      </c>
      <c r="C217" s="1559"/>
      <c r="D217" s="1549"/>
      <c r="E217" s="1549"/>
      <c r="F217" s="1549"/>
      <c r="G217" s="1562"/>
      <c r="H217" s="1562"/>
      <c r="I217" s="371">
        <f>'PLAN INDICATIVO'!I217</f>
        <v>0</v>
      </c>
      <c r="J217" s="371">
        <f>'PLAN INDICATIVO'!J217</f>
        <v>0</v>
      </c>
      <c r="K217" s="1428" t="str">
        <f>'PLAN INDICATIVO'!K217</f>
        <v>A.14.5.7</v>
      </c>
      <c r="L217" s="301" t="str">
        <f>'PLAN INDICATIVO'!L217</f>
        <v>10. Reducción de las desigualdades</v>
      </c>
      <c r="M217" s="301" t="str">
        <f>'PLAN INDICATIVO'!M217</f>
        <v>Secretaría de Gobierno</v>
      </c>
      <c r="N217" s="1425" t="str">
        <f>'PLAN INDICATIVO'!N217</f>
        <v>HERNAN RODRIGUEZ FALLA</v>
      </c>
      <c r="O217" s="1425" t="str">
        <f>'PLAN INDICATIVO'!O217</f>
        <v>Incremento</v>
      </c>
      <c r="P217" s="71" t="str">
        <f>'PLAN INDICATIVO'!P217</f>
        <v>Realizar 2 proyectos de infraestructura durante el cuatrienio con destino a la población indígena</v>
      </c>
      <c r="Q217" s="345" t="str">
        <f>'PLAN INDICATIVO'!Q217</f>
        <v>No. De proyectos realizados</v>
      </c>
      <c r="R217" s="346">
        <f>'PLAN INDICATIVO'!R217</f>
        <v>2015</v>
      </c>
      <c r="S217" s="342">
        <v>0</v>
      </c>
      <c r="T217" s="704">
        <v>2</v>
      </c>
      <c r="U217" s="346">
        <v>1</v>
      </c>
      <c r="V217" s="687">
        <v>1000000</v>
      </c>
      <c r="W217" s="346">
        <v>1</v>
      </c>
      <c r="X217" s="687">
        <v>6000000</v>
      </c>
      <c r="Y217" s="1240">
        <v>1</v>
      </c>
      <c r="Z217" s="1233">
        <v>6000000</v>
      </c>
      <c r="AA217" s="1312">
        <v>0</v>
      </c>
      <c r="AB217" s="687"/>
      <c r="AC217" s="670"/>
      <c r="AD217" s="670">
        <v>1</v>
      </c>
      <c r="AE217" s="670">
        <v>1</v>
      </c>
      <c r="AF217" s="670"/>
      <c r="AG217" s="341" t="s">
        <v>3649</v>
      </c>
      <c r="AH217" s="987">
        <v>2018413960018</v>
      </c>
      <c r="AI217" s="361" t="s">
        <v>4142</v>
      </c>
      <c r="AJ217" s="363">
        <v>43133</v>
      </c>
      <c r="AK217" s="363">
        <v>43266</v>
      </c>
      <c r="AL217" s="362"/>
      <c r="AM217" s="362"/>
      <c r="AN217" s="267" t="s">
        <v>2598</v>
      </c>
      <c r="AO217" s="513"/>
      <c r="AP217" s="528"/>
      <c r="AQ217" s="472"/>
      <c r="AR217" s="472"/>
      <c r="AS217" s="472"/>
      <c r="AT217" s="472"/>
      <c r="AU217" s="472"/>
      <c r="AV217" s="472"/>
      <c r="AW217" s="544"/>
      <c r="AX217" s="528"/>
      <c r="AY217" s="472"/>
      <c r="AZ217" s="472"/>
      <c r="BA217" s="472"/>
      <c r="BB217" s="472"/>
      <c r="BC217" s="472"/>
      <c r="BD217" s="472"/>
      <c r="BE217" s="544">
        <f t="shared" si="142"/>
        <v>0</v>
      </c>
      <c r="BF217" s="528"/>
      <c r="BG217" s="310">
        <v>2658000</v>
      </c>
      <c r="BH217" s="472"/>
      <c r="BI217" s="472"/>
      <c r="BJ217" s="472"/>
      <c r="BK217" s="472"/>
      <c r="BL217" s="472"/>
      <c r="BM217" s="544">
        <f t="shared" si="143"/>
        <v>2658000</v>
      </c>
      <c r="BN217" s="528"/>
      <c r="BO217" s="472"/>
      <c r="BP217" s="472"/>
      <c r="BQ217" s="472"/>
      <c r="BR217" s="472"/>
      <c r="BS217" s="472"/>
      <c r="BT217" s="472"/>
      <c r="BU217" s="544">
        <f t="shared" si="144"/>
        <v>0</v>
      </c>
      <c r="BV217" s="556"/>
      <c r="BW217" s="663">
        <f t="shared" si="133"/>
        <v>2</v>
      </c>
      <c r="BX217" s="1047">
        <f t="shared" si="136"/>
        <v>1</v>
      </c>
      <c r="BY217" s="1047">
        <f t="shared" si="137"/>
        <v>0</v>
      </c>
      <c r="BZ217" s="1047">
        <f t="shared" si="138"/>
        <v>1</v>
      </c>
      <c r="CA217" s="1047">
        <f t="shared" si="139"/>
        <v>1</v>
      </c>
      <c r="CB217" s="1047" t="str">
        <f t="shared" si="140"/>
        <v>Aplazada</v>
      </c>
      <c r="CD217" t="str">
        <f t="shared" si="141"/>
        <v>ROB</v>
      </c>
      <c r="CE217" t="str">
        <f t="shared" si="141"/>
        <v>VE</v>
      </c>
      <c r="CF217" t="str">
        <f t="shared" si="141"/>
        <v>VE</v>
      </c>
      <c r="CG217" t="str">
        <f t="shared" si="141"/>
        <v>AZ</v>
      </c>
    </row>
    <row r="218" spans="1:85" ht="80.25" hidden="1" customHeight="1" x14ac:dyDescent="0.25">
      <c r="A218" s="298" t="s">
        <v>491</v>
      </c>
      <c r="B218" s="299" t="str">
        <f>'PLAN INDICATIVO'!B218</f>
        <v>Atención a grupos vulnerables - promoción social</v>
      </c>
      <c r="C218" s="1559"/>
      <c r="D218" s="1549"/>
      <c r="E218" s="1549"/>
      <c r="F218" s="1549"/>
      <c r="G218" s="1562"/>
      <c r="H218" s="1562"/>
      <c r="I218" s="300">
        <f>'PLAN INDICATIVO'!I218</f>
        <v>0</v>
      </c>
      <c r="J218" s="300">
        <f>'PLAN INDICATIVO'!J218</f>
        <v>0</v>
      </c>
      <c r="K218" s="1428" t="str">
        <f>'PLAN INDICATIVO'!K218</f>
        <v>A.14.5.8</v>
      </c>
      <c r="L218" s="301" t="str">
        <f>'PLAN INDICATIVO'!L218</f>
        <v>10. Reducción de las desigualdades</v>
      </c>
      <c r="M218" s="301" t="str">
        <f>'PLAN INDICATIVO'!M218</f>
        <v>Secretaría de Gobierno</v>
      </c>
      <c r="N218" s="1425" t="str">
        <f>'PLAN INDICATIVO'!N218</f>
        <v>HERNAN RODRIGUEZ FALLA</v>
      </c>
      <c r="O218" s="1425" t="str">
        <f>'PLAN INDICATIVO'!O218</f>
        <v>Incremento</v>
      </c>
      <c r="P218" s="16" t="str">
        <f>'PLAN INDICATIVO'!P218</f>
        <v>Realizar 1 foro educativo indígena durante el cuatrienio</v>
      </c>
      <c r="Q218" s="302" t="str">
        <f>'PLAN INDICATIVO'!Q218</f>
        <v>No. De foros realizados</v>
      </c>
      <c r="R218" s="303">
        <f>'PLAN INDICATIVO'!R218</f>
        <v>2015</v>
      </c>
      <c r="S218" s="304">
        <v>0</v>
      </c>
      <c r="T218" s="699">
        <v>1</v>
      </c>
      <c r="U218" s="303">
        <v>0</v>
      </c>
      <c r="V218" s="687">
        <v>0</v>
      </c>
      <c r="W218" s="303">
        <v>0</v>
      </c>
      <c r="X218" s="687"/>
      <c r="Y218" s="286">
        <v>1</v>
      </c>
      <c r="Z218" s="1233">
        <v>500000</v>
      </c>
      <c r="AA218" s="291">
        <v>0</v>
      </c>
      <c r="AB218" s="687"/>
      <c r="AC218" s="669"/>
      <c r="AD218" s="669"/>
      <c r="AE218" s="669">
        <v>1</v>
      </c>
      <c r="AF218" s="669"/>
      <c r="AG218" s="341" t="s">
        <v>3649</v>
      </c>
      <c r="AH218" s="987">
        <v>2018413960018</v>
      </c>
      <c r="AI218" s="355" t="s">
        <v>4143</v>
      </c>
      <c r="AJ218" s="359">
        <v>43160</v>
      </c>
      <c r="AK218" s="359">
        <v>43189</v>
      </c>
      <c r="AL218" s="358"/>
      <c r="AM218" s="358"/>
      <c r="AN218" s="267" t="s">
        <v>2598</v>
      </c>
      <c r="AO218" s="512"/>
      <c r="AP218" s="525"/>
      <c r="AQ218" s="310"/>
      <c r="AR218" s="310"/>
      <c r="AS218" s="310"/>
      <c r="AT218" s="310"/>
      <c r="AU218" s="310"/>
      <c r="AV218" s="310"/>
      <c r="AW218" s="544"/>
      <c r="AX218" s="525"/>
      <c r="AY218" s="310"/>
      <c r="AZ218" s="310"/>
      <c r="BA218" s="310"/>
      <c r="BB218" s="310"/>
      <c r="BC218" s="310"/>
      <c r="BD218" s="310"/>
      <c r="BE218" s="544">
        <f t="shared" si="142"/>
        <v>0</v>
      </c>
      <c r="BF218" s="525"/>
      <c r="BG218" s="310"/>
      <c r="BH218" s="310"/>
      <c r="BI218" s="310"/>
      <c r="BJ218" s="310"/>
      <c r="BK218" s="310"/>
      <c r="BL218" s="310"/>
      <c r="BM218" s="544">
        <f t="shared" si="143"/>
        <v>0</v>
      </c>
      <c r="BN218" s="525"/>
      <c r="BO218" s="310"/>
      <c r="BP218" s="310"/>
      <c r="BQ218" s="310"/>
      <c r="BR218" s="310"/>
      <c r="BS218" s="310"/>
      <c r="BT218" s="310"/>
      <c r="BU218" s="544">
        <f t="shared" si="144"/>
        <v>0</v>
      </c>
      <c r="BV218" s="556"/>
      <c r="BW218" s="663">
        <f t="shared" si="133"/>
        <v>1</v>
      </c>
      <c r="BX218" s="1047">
        <f t="shared" si="136"/>
        <v>1</v>
      </c>
      <c r="BY218" s="1047" t="str">
        <f t="shared" si="137"/>
        <v>Aplazada</v>
      </c>
      <c r="BZ218" s="1047" t="str">
        <f t="shared" si="138"/>
        <v>Aplazada</v>
      </c>
      <c r="CA218" s="1047">
        <f t="shared" si="139"/>
        <v>1</v>
      </c>
      <c r="CB218" s="1047" t="str">
        <f t="shared" si="140"/>
        <v>Aplazada</v>
      </c>
      <c r="CD218" t="str">
        <f t="shared" si="141"/>
        <v>AZ</v>
      </c>
      <c r="CE218" t="str">
        <f t="shared" si="141"/>
        <v>AZ</v>
      </c>
      <c r="CF218" t="str">
        <f t="shared" si="141"/>
        <v>VE</v>
      </c>
      <c r="CG218" t="str">
        <f t="shared" si="141"/>
        <v>AZ</v>
      </c>
    </row>
    <row r="219" spans="1:85" ht="7.5" hidden="1" customHeight="1" x14ac:dyDescent="0.25">
      <c r="A219" s="298" t="s">
        <v>491</v>
      </c>
      <c r="B219" s="299" t="str">
        <f>'PLAN INDICATIVO'!B219</f>
        <v>Atención a grupos vulnerables - promoción social</v>
      </c>
      <c r="C219" s="1559"/>
      <c r="D219" s="1549"/>
      <c r="E219" s="1549"/>
      <c r="F219" s="1549"/>
      <c r="G219" s="1562"/>
      <c r="H219" s="1562"/>
      <c r="I219" s="1"/>
      <c r="J219" s="1"/>
      <c r="K219" s="370"/>
      <c r="L219" s="1"/>
      <c r="M219" s="1"/>
      <c r="N219" s="17"/>
      <c r="O219" s="1"/>
      <c r="P219" s="365" t="s">
        <v>689</v>
      </c>
      <c r="Q219" s="22"/>
      <c r="R219" s="1"/>
      <c r="S219" s="261"/>
      <c r="T219" s="681"/>
      <c r="U219" s="261"/>
      <c r="V219" s="689">
        <f>SUM(V220:V224)</f>
        <v>6000000</v>
      </c>
      <c r="W219" s="261"/>
      <c r="X219" s="689">
        <f>SUM(X220:X224)</f>
        <v>3000000</v>
      </c>
      <c r="Y219" s="261"/>
      <c r="Z219" s="689">
        <f>SUM(Z220:Z224)</f>
        <v>3000000</v>
      </c>
      <c r="AA219" s="261"/>
      <c r="AB219" s="689">
        <f>SUM(AB220:AB224)</f>
        <v>3000000</v>
      </c>
      <c r="AC219" s="261"/>
      <c r="AD219" s="261"/>
      <c r="AE219" s="261"/>
      <c r="AF219" s="261"/>
      <c r="AG219" s="273"/>
      <c r="AH219" s="273"/>
      <c r="AI219" s="273"/>
      <c r="AJ219" s="261"/>
      <c r="AK219" s="261"/>
      <c r="AL219" s="261"/>
      <c r="AM219" s="261"/>
      <c r="AN219" s="261"/>
      <c r="AO219" s="635"/>
      <c r="AP219" s="616"/>
      <c r="AQ219" s="616"/>
      <c r="AR219" s="616"/>
      <c r="AS219" s="616"/>
      <c r="AT219" s="616"/>
      <c r="AU219" s="616"/>
      <c r="AV219" s="616"/>
      <c r="AW219" s="617"/>
      <c r="AX219" s="616" t="e">
        <f>(AX220:AX224)</f>
        <v>#VALUE!</v>
      </c>
      <c r="AY219" s="616" t="e">
        <f t="shared" ref="AY219:BD219" si="145">(AY220:AY224)</f>
        <v>#VALUE!</v>
      </c>
      <c r="AZ219" s="616" t="e">
        <f t="shared" si="145"/>
        <v>#VALUE!</v>
      </c>
      <c r="BA219" s="616" t="e">
        <f t="shared" si="145"/>
        <v>#VALUE!</v>
      </c>
      <c r="BB219" s="616" t="e">
        <f t="shared" si="145"/>
        <v>#VALUE!</v>
      </c>
      <c r="BC219" s="616" t="e">
        <f t="shared" si="145"/>
        <v>#VALUE!</v>
      </c>
      <c r="BD219" s="616" t="e">
        <f t="shared" si="145"/>
        <v>#VALUE!</v>
      </c>
      <c r="BE219" s="617" t="e">
        <f t="shared" si="142"/>
        <v>#VALUE!</v>
      </c>
      <c r="BF219" s="616"/>
      <c r="BG219" s="616"/>
      <c r="BH219" s="616"/>
      <c r="BI219" s="616"/>
      <c r="BJ219" s="616"/>
      <c r="BK219" s="616"/>
      <c r="BL219" s="616"/>
      <c r="BM219" s="617">
        <f t="shared" si="143"/>
        <v>0</v>
      </c>
      <c r="BN219" s="616" t="e">
        <f>(BN220:BN224)</f>
        <v>#VALUE!</v>
      </c>
      <c r="BO219" s="616" t="e">
        <f t="shared" ref="BO219:BT219" si="146">(BO220:BO224)</f>
        <v>#VALUE!</v>
      </c>
      <c r="BP219" s="616" t="e">
        <f t="shared" si="146"/>
        <v>#VALUE!</v>
      </c>
      <c r="BQ219" s="616" t="e">
        <f t="shared" si="146"/>
        <v>#VALUE!</v>
      </c>
      <c r="BR219" s="616" t="e">
        <f t="shared" si="146"/>
        <v>#VALUE!</v>
      </c>
      <c r="BS219" s="616" t="e">
        <f t="shared" si="146"/>
        <v>#VALUE!</v>
      </c>
      <c r="BT219" s="616" t="e">
        <f t="shared" si="146"/>
        <v>#VALUE!</v>
      </c>
      <c r="BU219" s="617" t="e">
        <f t="shared" si="144"/>
        <v>#VALUE!</v>
      </c>
      <c r="BV219" s="556"/>
      <c r="BW219" s="617" t="s">
        <v>2717</v>
      </c>
      <c r="BX219" s="617" t="s">
        <v>2717</v>
      </c>
      <c r="BY219" s="617" t="s">
        <v>2717</v>
      </c>
      <c r="BZ219" s="617" t="s">
        <v>2717</v>
      </c>
      <c r="CA219" s="617" t="s">
        <v>2717</v>
      </c>
      <c r="CB219" s="1047" t="s">
        <v>2717</v>
      </c>
    </row>
    <row r="220" spans="1:85" ht="64.5" hidden="1" customHeight="1" x14ac:dyDescent="0.25">
      <c r="A220" s="298" t="s">
        <v>491</v>
      </c>
      <c r="B220" s="299" t="str">
        <f>'PLAN INDICATIVO'!B220</f>
        <v>Atención a grupos vulnerables - promoción social</v>
      </c>
      <c r="C220" s="1559"/>
      <c r="D220" s="1549"/>
      <c r="E220" s="1549"/>
      <c r="F220" s="1549"/>
      <c r="G220" s="1562"/>
      <c r="H220" s="1562"/>
      <c r="I220" s="300">
        <f>'PLAN INDICATIVO'!I220</f>
        <v>0</v>
      </c>
      <c r="J220" s="300">
        <f>'PLAN INDICATIVO'!J220</f>
        <v>0</v>
      </c>
      <c r="K220" s="1428" t="str">
        <f>'PLAN INDICATIVO'!K220</f>
        <v>A.14.5.9</v>
      </c>
      <c r="L220" s="301" t="str">
        <f>'PLAN INDICATIVO'!L220</f>
        <v>10. Reducción de las desigualdades</v>
      </c>
      <c r="M220" s="301" t="str">
        <f>'PLAN INDICATIVO'!M220</f>
        <v>Secretaría de Gobierno</v>
      </c>
      <c r="N220" s="1425" t="str">
        <f>'PLAN INDICATIVO'!N220</f>
        <v>HERNAN RODRIGUEZ FALLA</v>
      </c>
      <c r="O220" s="1425" t="str">
        <f>'PLAN INDICATIVO'!O220</f>
        <v>Incremento</v>
      </c>
      <c r="P220" s="16" t="str">
        <f>'PLAN INDICATIVO'!P220</f>
        <v>Realizar 4 capacitaciones durante el cuatrienio para mejorar cultura sobre derechos de población LGTBI</v>
      </c>
      <c r="Q220" s="302" t="str">
        <f>'PLAN INDICATIVO'!Q220</f>
        <v>No. De capacitaciones realizadas</v>
      </c>
      <c r="R220" s="303">
        <f>'PLAN INDICATIVO'!R220</f>
        <v>2015</v>
      </c>
      <c r="S220" s="304">
        <v>0</v>
      </c>
      <c r="T220" s="699">
        <v>4</v>
      </c>
      <c r="U220" s="303">
        <v>1</v>
      </c>
      <c r="V220" s="687">
        <v>600000</v>
      </c>
      <c r="W220" s="303">
        <v>1</v>
      </c>
      <c r="X220" s="687">
        <v>600000</v>
      </c>
      <c r="Y220" s="286">
        <v>1</v>
      </c>
      <c r="Z220" s="1233">
        <v>1000000</v>
      </c>
      <c r="AA220" s="291">
        <v>1</v>
      </c>
      <c r="AB220" s="687">
        <v>1000000</v>
      </c>
      <c r="AC220" s="669">
        <v>1</v>
      </c>
      <c r="AD220" s="669">
        <v>1</v>
      </c>
      <c r="AE220" s="669">
        <v>1</v>
      </c>
      <c r="AF220" s="669"/>
      <c r="AG220" s="341" t="s">
        <v>3649</v>
      </c>
      <c r="AH220" s="987">
        <v>2018413960018</v>
      </c>
      <c r="AI220" s="355" t="s">
        <v>4144</v>
      </c>
      <c r="AJ220" s="359">
        <v>43191</v>
      </c>
      <c r="AK220" s="359">
        <v>43220</v>
      </c>
      <c r="AL220" s="358"/>
      <c r="AM220" s="358"/>
      <c r="AN220" s="267" t="s">
        <v>2598</v>
      </c>
      <c r="AO220" s="512"/>
      <c r="AP220" s="544"/>
      <c r="AQ220" s="544"/>
      <c r="AR220" s="544"/>
      <c r="AS220" s="544"/>
      <c r="AT220" s="544"/>
      <c r="AU220" s="544"/>
      <c r="AV220" s="544"/>
      <c r="AW220" s="544"/>
      <c r="AX220" s="525"/>
      <c r="AY220" s="310"/>
      <c r="AZ220" s="310"/>
      <c r="BA220" s="310"/>
      <c r="BB220" s="310"/>
      <c r="BC220" s="310"/>
      <c r="BD220" s="310"/>
      <c r="BE220" s="544">
        <f t="shared" si="142"/>
        <v>0</v>
      </c>
      <c r="BF220" s="525"/>
      <c r="BG220" s="1313"/>
      <c r="BH220" s="310"/>
      <c r="BI220" s="310"/>
      <c r="BJ220" s="310"/>
      <c r="BK220" s="310"/>
      <c r="BL220" s="310"/>
      <c r="BM220" s="544">
        <f t="shared" si="143"/>
        <v>0</v>
      </c>
      <c r="BN220" s="525"/>
      <c r="BO220" s="310"/>
      <c r="BP220" s="310"/>
      <c r="BQ220" s="310"/>
      <c r="BR220" s="310"/>
      <c r="BS220" s="310"/>
      <c r="BT220" s="310"/>
      <c r="BU220" s="544">
        <f t="shared" si="144"/>
        <v>0</v>
      </c>
      <c r="BV220" s="556"/>
      <c r="BW220" s="663">
        <f t="shared" si="133"/>
        <v>3</v>
      </c>
      <c r="BX220" s="1047">
        <f t="shared" si="136"/>
        <v>0.75</v>
      </c>
      <c r="BY220" s="1047">
        <f>IF(U220&gt;=0.1,AC220/U220,IF(ISBLANK(U220),"No Programada","Aplazada"))</f>
        <v>1</v>
      </c>
      <c r="BZ220" s="1047">
        <f>IF(W220&gt;=0.1,AD220/W220,IF(ISBLANK(W220),"No Programada","Aplazada"))</f>
        <v>1</v>
      </c>
      <c r="CA220" s="1047">
        <f>IF(Y220&gt;=0.1,AE220/Y220,IF(ISBLANK(Y220),"No Programada","Aplazada"))</f>
        <v>1</v>
      </c>
      <c r="CB220" s="1047">
        <f>IF(AA220&gt;=0.1,AF220/AA220,IF(ISBLANK(AA220),"No Programada","Aplazada"))</f>
        <v>0</v>
      </c>
      <c r="CD220" t="str">
        <f t="shared" ref="CD220:CG224" si="147">IF(BY220="PARA MODIFICAR","M",IF(BY220="PARA ELIMINAR","E",IF(BY220="aplazada","AZ",IF(BY220="no programada","NP",IF(BY220&gt;=85%,"VE",IF(BY220&gt;70%,"VEB",IF(BY220&gt;60%,"AM",IF(BY220&gt;40%,"AMB",IF(BY220&gt;20%,"RO",IF(BY220&gt;=0%,"ROB",""))))))))))</f>
        <v>VE</v>
      </c>
      <c r="CE220" t="str">
        <f t="shared" si="147"/>
        <v>VE</v>
      </c>
      <c r="CF220" t="str">
        <f t="shared" si="147"/>
        <v>VE</v>
      </c>
      <c r="CG220" t="str">
        <f t="shared" si="147"/>
        <v>ROB</v>
      </c>
    </row>
    <row r="221" spans="1:85" ht="75" hidden="1" customHeight="1" x14ac:dyDescent="0.25">
      <c r="A221" s="298" t="s">
        <v>491</v>
      </c>
      <c r="B221" s="299" t="str">
        <f>'PLAN INDICATIVO'!B221</f>
        <v>Atención a grupos vulnerables - promoción social</v>
      </c>
      <c r="C221" s="1559"/>
      <c r="D221" s="1549"/>
      <c r="E221" s="1549"/>
      <c r="F221" s="1549"/>
      <c r="G221" s="1562"/>
      <c r="H221" s="1562"/>
      <c r="I221" s="300">
        <f>'PLAN INDICATIVO'!I221</f>
        <v>0</v>
      </c>
      <c r="J221" s="300">
        <f>'PLAN INDICATIVO'!J221</f>
        <v>0</v>
      </c>
      <c r="K221" s="1428" t="str">
        <f>'PLAN INDICATIVO'!K221</f>
        <v>A.14.5.10</v>
      </c>
      <c r="L221" s="301" t="str">
        <f>'PLAN INDICATIVO'!L221</f>
        <v>10. Reducción de las desigualdades</v>
      </c>
      <c r="M221" s="301" t="str">
        <f>'PLAN INDICATIVO'!M221</f>
        <v>Secretaría de Gobierno</v>
      </c>
      <c r="N221" s="1425" t="str">
        <f>'PLAN INDICATIVO'!N221</f>
        <v>HERNAN RODRIGUEZ FALLA</v>
      </c>
      <c r="O221" s="1425" t="str">
        <f>'PLAN INDICATIVO'!O221</f>
        <v>Incremento</v>
      </c>
      <c r="P221" s="16" t="str">
        <f>'PLAN INDICATIVO'!P221</f>
        <v>Realizar 4 Capacitaciones dirigidas a funcionarios municipales sobre promoción de derechos de población LGTBI durante el cuatrienio</v>
      </c>
      <c r="Q221" s="302" t="str">
        <f>'PLAN INDICATIVO'!Q221</f>
        <v>No. De capacitaciones realizadas</v>
      </c>
      <c r="R221" s="303">
        <f>'PLAN INDICATIVO'!R221</f>
        <v>2015</v>
      </c>
      <c r="S221" s="304">
        <v>0</v>
      </c>
      <c r="T221" s="699">
        <v>4</v>
      </c>
      <c r="U221" s="303">
        <v>1</v>
      </c>
      <c r="V221" s="687">
        <v>1000000</v>
      </c>
      <c r="W221" s="303">
        <v>1</v>
      </c>
      <c r="X221" s="687">
        <v>600000</v>
      </c>
      <c r="Y221" s="286">
        <v>1</v>
      </c>
      <c r="Z221" s="1233">
        <v>1000000</v>
      </c>
      <c r="AA221" s="291">
        <v>1</v>
      </c>
      <c r="AB221" s="687">
        <v>1000000</v>
      </c>
      <c r="AC221" s="669">
        <v>1</v>
      </c>
      <c r="AD221" s="669">
        <v>1</v>
      </c>
      <c r="AE221" s="669">
        <v>1</v>
      </c>
      <c r="AF221" s="669"/>
      <c r="AG221" s="341" t="s">
        <v>3649</v>
      </c>
      <c r="AH221" s="987">
        <v>2018413960018</v>
      </c>
      <c r="AI221" s="355" t="s">
        <v>4145</v>
      </c>
      <c r="AJ221" s="363">
        <v>43160</v>
      </c>
      <c r="AK221" s="359">
        <v>43189</v>
      </c>
      <c r="AL221" s="358"/>
      <c r="AM221" s="358"/>
      <c r="AN221" s="267" t="s">
        <v>2598</v>
      </c>
      <c r="AO221" s="512"/>
      <c r="AP221" s="544"/>
      <c r="AQ221" s="544"/>
      <c r="AR221" s="544"/>
      <c r="AS221" s="544"/>
      <c r="AT221" s="544"/>
      <c r="AU221" s="544"/>
      <c r="AV221" s="544"/>
      <c r="AW221" s="544"/>
      <c r="AX221" s="525"/>
      <c r="AY221" s="310"/>
      <c r="AZ221" s="310"/>
      <c r="BA221" s="310"/>
      <c r="BB221" s="310"/>
      <c r="BC221" s="310"/>
      <c r="BD221" s="310"/>
      <c r="BE221" s="544">
        <f t="shared" si="142"/>
        <v>0</v>
      </c>
      <c r="BF221" s="525"/>
      <c r="BG221" s="1313"/>
      <c r="BH221" s="310"/>
      <c r="BI221" s="310"/>
      <c r="BJ221" s="310"/>
      <c r="BK221" s="310"/>
      <c r="BL221" s="310"/>
      <c r="BM221" s="544">
        <f t="shared" si="143"/>
        <v>0</v>
      </c>
      <c r="BN221" s="525"/>
      <c r="BO221" s="310"/>
      <c r="BP221" s="310"/>
      <c r="BQ221" s="310"/>
      <c r="BR221" s="310"/>
      <c r="BS221" s="310"/>
      <c r="BT221" s="310"/>
      <c r="BU221" s="544">
        <f t="shared" si="144"/>
        <v>0</v>
      </c>
      <c r="BV221" s="556"/>
      <c r="BW221" s="663">
        <f t="shared" si="133"/>
        <v>3</v>
      </c>
      <c r="BX221" s="1047">
        <f t="shared" si="136"/>
        <v>0.75</v>
      </c>
      <c r="BY221" s="1047">
        <f>IF(U221&gt;=0.1,AC221/U221,IF(ISBLANK(U221),"No Programada","Aplazada"))</f>
        <v>1</v>
      </c>
      <c r="BZ221" s="1047">
        <f>IF(W221&gt;=0.1,AD221/W221,IF(ISBLANK(W221),"No Programada","Aplazada"))</f>
        <v>1</v>
      </c>
      <c r="CA221" s="1047">
        <f>IF(Y221&gt;=0.1,AE221/Y221,IF(ISBLANK(Y221),"No Programada","Aplazada"))</f>
        <v>1</v>
      </c>
      <c r="CB221" s="1047">
        <f>IF(AA221&gt;=0.1,AF221/AA221,IF(ISBLANK(AA221),"No Programada","Aplazada"))</f>
        <v>0</v>
      </c>
      <c r="CD221" t="str">
        <f t="shared" si="147"/>
        <v>VE</v>
      </c>
      <c r="CE221" t="str">
        <f t="shared" si="147"/>
        <v>VE</v>
      </c>
      <c r="CF221" t="str">
        <f t="shared" si="147"/>
        <v>VE</v>
      </c>
      <c r="CG221" t="str">
        <f t="shared" si="147"/>
        <v>ROB</v>
      </c>
    </row>
    <row r="222" spans="1:85" ht="64.5" hidden="1" customHeight="1" x14ac:dyDescent="0.25">
      <c r="A222" s="298" t="s">
        <v>491</v>
      </c>
      <c r="B222" s="299" t="str">
        <f>'PLAN INDICATIVO'!B222</f>
        <v>Atención a grupos vulnerables - promoción social</v>
      </c>
      <c r="C222" s="1559"/>
      <c r="D222" s="1549"/>
      <c r="E222" s="1549"/>
      <c r="F222" s="1549"/>
      <c r="G222" s="1562"/>
      <c r="H222" s="1562"/>
      <c r="I222" s="300">
        <f>'PLAN INDICATIVO'!I222</f>
        <v>0</v>
      </c>
      <c r="J222" s="300">
        <f>'PLAN INDICATIVO'!J222</f>
        <v>0</v>
      </c>
      <c r="K222" s="1428" t="str">
        <f>'PLAN INDICATIVO'!K222</f>
        <v>A.14.5.11</v>
      </c>
      <c r="L222" s="301" t="str">
        <f>'PLAN INDICATIVO'!L222</f>
        <v>10. Reducción de las desigualdades</v>
      </c>
      <c r="M222" s="301" t="str">
        <f>'PLAN INDICATIVO'!M222</f>
        <v>Secretaría de Gobierno</v>
      </c>
      <c r="N222" s="1425" t="str">
        <f>'PLAN INDICATIVO'!N222</f>
        <v>HERNAN RODRIGUEZ FALLA</v>
      </c>
      <c r="O222" s="1425" t="str">
        <f>'PLAN INDICATIVO'!O222</f>
        <v>Incremento</v>
      </c>
      <c r="P222" s="25" t="str">
        <f>'PLAN INDICATIVO'!P222</f>
        <v>Establecer 1 protocolo de atención a población LGTBI y con divulgación durante el cuatrienio</v>
      </c>
      <c r="Q222" s="302" t="str">
        <f>'PLAN INDICATIVO'!Q222</f>
        <v>No. De Protocolos de atención establecidos</v>
      </c>
      <c r="R222" s="303">
        <f>'PLAN INDICATIVO'!R222</f>
        <v>2015</v>
      </c>
      <c r="S222" s="304">
        <v>0</v>
      </c>
      <c r="T222" s="699">
        <v>1</v>
      </c>
      <c r="U222" s="303">
        <v>1</v>
      </c>
      <c r="V222" s="687">
        <v>1600000</v>
      </c>
      <c r="W222" s="17">
        <v>0</v>
      </c>
      <c r="X222" s="687">
        <v>600000</v>
      </c>
      <c r="Y222" s="286"/>
      <c r="Z222" s="1233"/>
      <c r="AA222" s="291">
        <v>0.5</v>
      </c>
      <c r="AB222" s="687"/>
      <c r="AC222" s="669"/>
      <c r="AD222" s="669"/>
      <c r="AE222" s="669">
        <v>0.5</v>
      </c>
      <c r="AF222" s="669"/>
      <c r="AG222" s="341" t="s">
        <v>3649</v>
      </c>
      <c r="AH222" s="987">
        <v>2018413960018</v>
      </c>
      <c r="AI222" s="355" t="s">
        <v>4146</v>
      </c>
      <c r="AJ222" s="363">
        <v>43221</v>
      </c>
      <c r="AK222" s="359">
        <v>43311</v>
      </c>
      <c r="AL222" s="358"/>
      <c r="AM222" s="358"/>
      <c r="AN222" s="267" t="s">
        <v>2598</v>
      </c>
      <c r="AO222" s="512"/>
      <c r="AP222" s="544"/>
      <c r="AQ222" s="544"/>
      <c r="AR222" s="544"/>
      <c r="AS222" s="544"/>
      <c r="AT222" s="544"/>
      <c r="AU222" s="544"/>
      <c r="AV222" s="544"/>
      <c r="AW222" s="544"/>
      <c r="AX222" s="525"/>
      <c r="AY222" s="310"/>
      <c r="AZ222" s="310"/>
      <c r="BA222" s="310"/>
      <c r="BB222" s="310"/>
      <c r="BC222" s="310"/>
      <c r="BD222" s="310"/>
      <c r="BE222" s="544">
        <f t="shared" si="142"/>
        <v>0</v>
      </c>
      <c r="BF222" s="525"/>
      <c r="BG222" s="310"/>
      <c r="BH222" s="310"/>
      <c r="BI222" s="310"/>
      <c r="BJ222" s="310"/>
      <c r="BK222" s="310"/>
      <c r="BL222" s="310"/>
      <c r="BM222" s="544">
        <f t="shared" si="143"/>
        <v>0</v>
      </c>
      <c r="BN222" s="525"/>
      <c r="BO222" s="310"/>
      <c r="BP222" s="310"/>
      <c r="BQ222" s="310"/>
      <c r="BR222" s="310"/>
      <c r="BS222" s="310"/>
      <c r="BT222" s="310"/>
      <c r="BU222" s="544">
        <f t="shared" si="144"/>
        <v>0</v>
      </c>
      <c r="BV222" s="556"/>
      <c r="BW222" s="663">
        <f t="shared" si="133"/>
        <v>0.5</v>
      </c>
      <c r="BX222" s="1047">
        <f t="shared" si="136"/>
        <v>0.5</v>
      </c>
      <c r="BY222" s="1047">
        <f>IF(U222&gt;=0.1,AC222/U222,IF(ISBLANK(U222),"No Programada","Aplazada"))</f>
        <v>0</v>
      </c>
      <c r="BZ222" s="1047" t="str">
        <f>IF(W222&gt;=0.1,AD222/W222,IF(ISBLANK(W222),"No Programada","Aplazada"))</f>
        <v>Aplazada</v>
      </c>
      <c r="CA222" s="1047" t="str">
        <f>IF(Y222&gt;=0.1,AE222/Y222,IF(ISBLANK(Y222),"No Programada","Aplazada"))</f>
        <v>No Programada</v>
      </c>
      <c r="CB222" s="1047">
        <f>IF(AA222&gt;=0.1,AF222/AA222,IF(ISBLANK(AA222),"No Programada","Aplazada"))</f>
        <v>0</v>
      </c>
      <c r="CD222" t="str">
        <f t="shared" si="147"/>
        <v>ROB</v>
      </c>
      <c r="CE222" t="str">
        <f t="shared" si="147"/>
        <v>AZ</v>
      </c>
      <c r="CF222" t="str">
        <f t="shared" si="147"/>
        <v>NP</v>
      </c>
      <c r="CG222" t="str">
        <f t="shared" si="147"/>
        <v>ROB</v>
      </c>
    </row>
    <row r="223" spans="1:85" ht="11.25" hidden="1" customHeight="1" x14ac:dyDescent="0.25">
      <c r="A223" s="298" t="s">
        <v>2464</v>
      </c>
      <c r="B223" s="299" t="str">
        <f>'PLAN INDICATIVO'!B223</f>
        <v>Atención a grupos vulnerables - promoción social</v>
      </c>
      <c r="C223" s="1559"/>
      <c r="D223" s="1549"/>
      <c r="E223" s="1549"/>
      <c r="F223" s="1549"/>
      <c r="G223" s="1562"/>
      <c r="H223" s="1562"/>
      <c r="I223" s="300">
        <f>'PLAN INDICATIVO'!I223</f>
        <v>0</v>
      </c>
      <c r="J223" s="300">
        <f>'PLAN INDICATIVO'!J223</f>
        <v>0</v>
      </c>
      <c r="K223" s="1428" t="str">
        <f>'PLAN INDICATIVO'!K223</f>
        <v>A.14.5.12</v>
      </c>
      <c r="L223" s="301" t="str">
        <f>'PLAN INDICATIVO'!L223</f>
        <v>10. Reducción de las desigualdades</v>
      </c>
      <c r="M223" s="301" t="str">
        <f>'PLAN INDICATIVO'!M223</f>
        <v>Secretaría de Gobierno</v>
      </c>
      <c r="N223" s="1425" t="str">
        <f>'PLAN INDICATIVO'!N223</f>
        <v>HERNAN RODRIGUEZ FALLA</v>
      </c>
      <c r="O223" s="1425" t="str">
        <f>'PLAN INDICATIVO'!O223</f>
        <v>Incremento</v>
      </c>
      <c r="P223" s="1199" t="str">
        <f>'PLAN INDICATIVO'!P223</f>
        <v>Realizar 1 oferta mediante el programa capital semilla a población LGTBI, para acceso a programas de desarrollo económico durante el cuatrienio</v>
      </c>
      <c r="Q223" s="302" t="str">
        <f>'PLAN INDICATIVO'!Q223</f>
        <v xml:space="preserve">No. de ofertas realizadas </v>
      </c>
      <c r="R223" s="303">
        <f>'PLAN INDICATIVO'!R223</f>
        <v>2015</v>
      </c>
      <c r="S223" s="304">
        <v>0</v>
      </c>
      <c r="T223" s="699">
        <v>1</v>
      </c>
      <c r="U223" s="1463">
        <v>1</v>
      </c>
      <c r="V223" s="1234">
        <v>2200000</v>
      </c>
      <c r="W223" s="1463">
        <v>0</v>
      </c>
      <c r="X223" s="1234">
        <v>600000</v>
      </c>
      <c r="Y223" s="1463"/>
      <c r="Z223" s="1234"/>
      <c r="AA223" s="1463">
        <v>1</v>
      </c>
      <c r="AB223" s="1234"/>
      <c r="AC223" s="795"/>
      <c r="AD223" s="795">
        <v>0.3</v>
      </c>
      <c r="AE223" s="795">
        <v>1</v>
      </c>
      <c r="AF223" s="669"/>
      <c r="AG223" s="341" t="s">
        <v>3649</v>
      </c>
      <c r="AH223" s="987">
        <v>2018413960018</v>
      </c>
      <c r="AI223" s="1261" t="s">
        <v>4147</v>
      </c>
      <c r="AJ223" s="363">
        <v>43221</v>
      </c>
      <c r="AK223" s="359">
        <v>43311</v>
      </c>
      <c r="AL223" s="358"/>
      <c r="AM223" s="358"/>
      <c r="AN223" s="267" t="s">
        <v>2604</v>
      </c>
      <c r="AO223" s="512"/>
      <c r="AP223" s="544"/>
      <c r="AQ223" s="544"/>
      <c r="AR223" s="544"/>
      <c r="AS223" s="544"/>
      <c r="AT223" s="544"/>
      <c r="AU223" s="544"/>
      <c r="AV223" s="544"/>
      <c r="AW223" s="544"/>
      <c r="AX223" s="525"/>
      <c r="AY223" s="310"/>
      <c r="AZ223" s="310"/>
      <c r="BA223" s="310"/>
      <c r="BB223" s="310"/>
      <c r="BC223" s="310"/>
      <c r="BD223" s="310"/>
      <c r="BE223" s="544">
        <f t="shared" si="142"/>
        <v>0</v>
      </c>
      <c r="BF223" s="525"/>
      <c r="BG223" s="310"/>
      <c r="BH223" s="310"/>
      <c r="BI223" s="310"/>
      <c r="BJ223" s="310"/>
      <c r="BK223" s="310"/>
      <c r="BL223" s="310"/>
      <c r="BM223" s="544">
        <f t="shared" si="143"/>
        <v>0</v>
      </c>
      <c r="BN223" s="525"/>
      <c r="BO223" s="310"/>
      <c r="BP223" s="310"/>
      <c r="BQ223" s="310"/>
      <c r="BR223" s="310"/>
      <c r="BS223" s="310"/>
      <c r="BT223" s="310"/>
      <c r="BU223" s="544">
        <f t="shared" si="144"/>
        <v>0</v>
      </c>
      <c r="BV223" s="556"/>
      <c r="BW223" s="663">
        <f t="shared" si="133"/>
        <v>1.3</v>
      </c>
      <c r="BX223" s="1047">
        <f t="shared" si="136"/>
        <v>1.3</v>
      </c>
      <c r="BY223" s="1047">
        <f>IF(U223&gt;=0.1,AC223/U223,IF(ISBLANK(U223),"No Programada","Aplazada"))</f>
        <v>0</v>
      </c>
      <c r="BZ223" s="1047" t="str">
        <f>IF(W223&gt;=0.1,AD223/W223,IF(ISBLANK(W223),"No Programada","Aplazada"))</f>
        <v>Aplazada</v>
      </c>
      <c r="CA223" s="1047"/>
      <c r="CB223" s="1047">
        <f>IF(AA223&gt;=0.1,AF223/AA223,IF(ISBLANK(AA223),"No Programada","Aplazada"))</f>
        <v>0</v>
      </c>
      <c r="CD223" t="str">
        <f t="shared" si="147"/>
        <v>ROB</v>
      </c>
      <c r="CE223" t="str">
        <f t="shared" si="147"/>
        <v>AZ</v>
      </c>
      <c r="CF223" t="str">
        <f t="shared" si="147"/>
        <v>ROB</v>
      </c>
      <c r="CG223" t="str">
        <f t="shared" si="147"/>
        <v>ROB</v>
      </c>
    </row>
    <row r="224" spans="1:85" ht="81" hidden="1" customHeight="1" x14ac:dyDescent="0.25">
      <c r="A224" s="298" t="s">
        <v>2464</v>
      </c>
      <c r="B224" s="299" t="str">
        <f>'PLAN INDICATIVO'!B224</f>
        <v>Atención a grupos vulnerables - promoción social</v>
      </c>
      <c r="C224" s="1559"/>
      <c r="D224" s="1549"/>
      <c r="E224" s="1549"/>
      <c r="F224" s="1549"/>
      <c r="G224" s="1562"/>
      <c r="H224" s="1562"/>
      <c r="I224" s="300">
        <f>'PLAN INDICATIVO'!I224</f>
        <v>0</v>
      </c>
      <c r="J224" s="300">
        <f>'PLAN INDICATIVO'!J224</f>
        <v>0</v>
      </c>
      <c r="K224" s="1428" t="str">
        <f>'PLAN INDICATIVO'!K224</f>
        <v>A.14.5.13</v>
      </c>
      <c r="L224" s="301" t="str">
        <f>'PLAN INDICATIVO'!L224</f>
        <v>10. Reducción de las desigualdades</v>
      </c>
      <c r="M224" s="301" t="str">
        <f>'PLAN INDICATIVO'!M224</f>
        <v>Secretaría de Gobierno</v>
      </c>
      <c r="N224" s="1425" t="str">
        <f>'PLAN INDICATIVO'!N224</f>
        <v>HERNAN RODRIGUEZ FALLA</v>
      </c>
      <c r="O224" s="1425" t="str">
        <f>'PLAN INDICATIVO'!O224</f>
        <v>Incremento</v>
      </c>
      <c r="P224" s="820" t="str">
        <f>'PLAN INDICATIVO'!P224</f>
        <v>Realizar 8 socializaciones en Articulación con la secretaria de salud sobre la realidades de la población LGTBI    durante  el cuatrienio</v>
      </c>
      <c r="Q224" s="302" t="str">
        <f>'PLAN INDICATIVO'!Q224</f>
        <v>No.  De socializaciones realizadas</v>
      </c>
      <c r="R224" s="303">
        <f>'PLAN INDICATIVO'!R224</f>
        <v>2015</v>
      </c>
      <c r="S224" s="304">
        <v>0</v>
      </c>
      <c r="T224" s="699">
        <v>8</v>
      </c>
      <c r="U224" s="303">
        <v>2</v>
      </c>
      <c r="V224" s="687">
        <v>600000</v>
      </c>
      <c r="W224" s="815">
        <v>1</v>
      </c>
      <c r="X224" s="687">
        <v>600000</v>
      </c>
      <c r="Y224" s="303">
        <v>2</v>
      </c>
      <c r="Z224" s="687">
        <v>1000000</v>
      </c>
      <c r="AA224" s="291">
        <v>2</v>
      </c>
      <c r="AB224" s="687">
        <v>1000000</v>
      </c>
      <c r="AC224" s="669">
        <v>2</v>
      </c>
      <c r="AD224" s="669">
        <v>2</v>
      </c>
      <c r="AE224" s="669">
        <v>2</v>
      </c>
      <c r="AF224" s="669"/>
      <c r="AG224" s="341" t="s">
        <v>3649</v>
      </c>
      <c r="AH224" s="987">
        <v>2018413960018</v>
      </c>
      <c r="AI224" s="355"/>
      <c r="AJ224" s="359">
        <v>43313</v>
      </c>
      <c r="AK224" s="359">
        <v>43342</v>
      </c>
      <c r="AL224" s="358"/>
      <c r="AM224" s="358"/>
      <c r="AN224" s="267" t="s">
        <v>2598</v>
      </c>
      <c r="AO224" s="512"/>
      <c r="AP224" s="793"/>
      <c r="AQ224" s="794"/>
      <c r="AR224" s="794"/>
      <c r="AS224" s="794"/>
      <c r="AT224" s="794"/>
      <c r="AU224" s="794"/>
      <c r="AV224" s="794"/>
      <c r="AW224" s="544"/>
      <c r="AX224" s="525"/>
      <c r="AY224" s="310"/>
      <c r="AZ224" s="310"/>
      <c r="BA224" s="310"/>
      <c r="BB224" s="310"/>
      <c r="BC224" s="310"/>
      <c r="BD224" s="310"/>
      <c r="BE224" s="544">
        <f t="shared" si="142"/>
        <v>0</v>
      </c>
      <c r="BF224" s="525"/>
      <c r="BG224" s="310"/>
      <c r="BH224" s="310"/>
      <c r="BI224" s="310"/>
      <c r="BJ224" s="310"/>
      <c r="BK224" s="310"/>
      <c r="BL224" s="310"/>
      <c r="BM224" s="544">
        <f t="shared" si="143"/>
        <v>0</v>
      </c>
      <c r="BN224" s="525"/>
      <c r="BO224" s="310"/>
      <c r="BP224" s="310"/>
      <c r="BQ224" s="310"/>
      <c r="BR224" s="310"/>
      <c r="BS224" s="310"/>
      <c r="BT224" s="310"/>
      <c r="BU224" s="544">
        <f t="shared" si="144"/>
        <v>0</v>
      </c>
      <c r="BV224" s="556"/>
      <c r="BW224" s="663">
        <f t="shared" si="133"/>
        <v>6</v>
      </c>
      <c r="BX224" s="1047">
        <f t="shared" si="136"/>
        <v>0.75</v>
      </c>
      <c r="BY224" s="1047">
        <f>IF(U224&gt;=0.1,AC224/U224,IF(ISBLANK(U224),"No Programada","Aplazada"))</f>
        <v>1</v>
      </c>
      <c r="BZ224" s="1047">
        <f>IF(W224&gt;=0.1,AD224/W224,IF(ISBLANK(W224),"No Programada","Aplazada"))</f>
        <v>2</v>
      </c>
      <c r="CA224" s="1047">
        <f>AE224/Y224</f>
        <v>1</v>
      </c>
      <c r="CB224" s="1047">
        <f>IF(AA224&gt;=0.1,AF224/AA224,IF(ISBLANK(AA224),"No Programada","Aplazada"))</f>
        <v>0</v>
      </c>
      <c r="CD224" t="str">
        <f t="shared" si="147"/>
        <v>VE</v>
      </c>
      <c r="CE224" t="str">
        <f t="shared" si="147"/>
        <v>VE</v>
      </c>
      <c r="CF224" t="str">
        <f t="shared" si="147"/>
        <v>VE</v>
      </c>
      <c r="CG224" t="str">
        <f t="shared" si="147"/>
        <v>ROB</v>
      </c>
    </row>
    <row r="225" spans="1:85" ht="17.25" hidden="1" customHeight="1" x14ac:dyDescent="0.25">
      <c r="A225" s="298" t="s">
        <v>491</v>
      </c>
      <c r="B225" s="299" t="str">
        <f>'PLAN INDICATIVO'!B225</f>
        <v>Atención a grupos vulnerables - promoción social</v>
      </c>
      <c r="C225" s="1559"/>
      <c r="D225" s="1549"/>
      <c r="E225" s="1549"/>
      <c r="F225" s="1549"/>
      <c r="G225" s="1562"/>
      <c r="H225" s="1562"/>
      <c r="I225" s="17"/>
      <c r="J225" s="17"/>
      <c r="K225" s="370"/>
      <c r="L225" s="17"/>
      <c r="M225" s="17"/>
      <c r="N225" s="17"/>
      <c r="O225" s="17"/>
      <c r="P225" s="369" t="s">
        <v>703</v>
      </c>
      <c r="Q225" s="25"/>
      <c r="R225" s="17"/>
      <c r="S225" s="270"/>
      <c r="T225" s="677"/>
      <c r="U225" s="270"/>
      <c r="V225" s="705">
        <f>SUM(V226:V232)</f>
        <v>25</v>
      </c>
      <c r="W225" s="270"/>
      <c r="X225" s="705">
        <f>SUM(X226:X232)</f>
        <v>40000000</v>
      </c>
      <c r="Y225" s="270"/>
      <c r="Z225" s="705">
        <f>SUM(Z226:Z232)</f>
        <v>40000000</v>
      </c>
      <c r="AA225" s="270"/>
      <c r="AB225" s="705">
        <f>SUM(AB226:AB232)</f>
        <v>40000000</v>
      </c>
      <c r="AC225" s="270"/>
      <c r="AD225" s="270"/>
      <c r="AE225" s="270"/>
      <c r="AF225" s="270"/>
      <c r="AG225" s="279"/>
      <c r="AH225" s="279"/>
      <c r="AI225" s="279"/>
      <c r="AJ225" s="270"/>
      <c r="AK225" s="270"/>
      <c r="AL225" s="270"/>
      <c r="AM225" s="270"/>
      <c r="AN225" s="270"/>
      <c r="AO225" s="644"/>
      <c r="AP225" s="616"/>
      <c r="AQ225" s="616"/>
      <c r="AR225" s="616"/>
      <c r="AS225" s="616"/>
      <c r="AT225" s="616"/>
      <c r="AU225" s="616"/>
      <c r="AV225" s="616"/>
      <c r="AW225" s="617"/>
      <c r="AX225" s="616" t="e">
        <f>(AX226:AX232)</f>
        <v>#VALUE!</v>
      </c>
      <c r="AY225" s="616" t="e">
        <f t="shared" ref="AY225:BD225" si="148">(AY226:AY232)</f>
        <v>#VALUE!</v>
      </c>
      <c r="AZ225" s="616" t="e">
        <f t="shared" si="148"/>
        <v>#VALUE!</v>
      </c>
      <c r="BA225" s="616" t="e">
        <f t="shared" si="148"/>
        <v>#VALUE!</v>
      </c>
      <c r="BB225" s="616" t="e">
        <f t="shared" si="148"/>
        <v>#VALUE!</v>
      </c>
      <c r="BC225" s="616" t="e">
        <f t="shared" si="148"/>
        <v>#VALUE!</v>
      </c>
      <c r="BD225" s="616" t="e">
        <f t="shared" si="148"/>
        <v>#VALUE!</v>
      </c>
      <c r="BE225" s="617" t="e">
        <f t="shared" si="142"/>
        <v>#VALUE!</v>
      </c>
      <c r="BF225" s="616"/>
      <c r="BG225" s="616"/>
      <c r="BH225" s="616"/>
      <c r="BI225" s="616"/>
      <c r="BJ225" s="616"/>
      <c r="BK225" s="616"/>
      <c r="BL225" s="616"/>
      <c r="BM225" s="617">
        <f t="shared" si="143"/>
        <v>0</v>
      </c>
      <c r="BN225" s="616" t="e">
        <f>(BN226:BN232)</f>
        <v>#VALUE!</v>
      </c>
      <c r="BO225" s="616" t="e">
        <f t="shared" ref="BO225:BT225" si="149">(BO226:BO232)</f>
        <v>#VALUE!</v>
      </c>
      <c r="BP225" s="616" t="e">
        <f t="shared" si="149"/>
        <v>#VALUE!</v>
      </c>
      <c r="BQ225" s="616" t="e">
        <f t="shared" si="149"/>
        <v>#VALUE!</v>
      </c>
      <c r="BR225" s="616" t="e">
        <f t="shared" si="149"/>
        <v>#VALUE!</v>
      </c>
      <c r="BS225" s="616" t="e">
        <f t="shared" si="149"/>
        <v>#VALUE!</v>
      </c>
      <c r="BT225" s="616" t="e">
        <f t="shared" si="149"/>
        <v>#VALUE!</v>
      </c>
      <c r="BU225" s="617" t="e">
        <f t="shared" si="144"/>
        <v>#VALUE!</v>
      </c>
      <c r="BV225" s="556"/>
      <c r="BW225" s="617" t="s">
        <v>2717</v>
      </c>
      <c r="BX225" s="617" t="s">
        <v>2717</v>
      </c>
      <c r="BY225" s="617" t="s">
        <v>2717</v>
      </c>
      <c r="BZ225" s="617" t="s">
        <v>2717</v>
      </c>
      <c r="CA225" s="617" t="s">
        <v>2717</v>
      </c>
      <c r="CB225" s="1047" t="s">
        <v>2717</v>
      </c>
    </row>
    <row r="226" spans="1:85" ht="87" hidden="1" customHeight="1" x14ac:dyDescent="0.25">
      <c r="A226" s="298" t="s">
        <v>491</v>
      </c>
      <c r="B226" s="299" t="str">
        <f>'PLAN INDICATIVO'!B226</f>
        <v>Atención a grupos vulnerables - promoción social</v>
      </c>
      <c r="C226" s="1559"/>
      <c r="D226" s="1549"/>
      <c r="E226" s="1549"/>
      <c r="F226" s="1549"/>
      <c r="G226" s="1562"/>
      <c r="H226" s="1562"/>
      <c r="I226" s="300">
        <f>'PLAN INDICATIVO'!I226</f>
        <v>0</v>
      </c>
      <c r="J226" s="300">
        <f>'PLAN INDICATIVO'!J226</f>
        <v>0</v>
      </c>
      <c r="K226" s="1428" t="str">
        <f>'PLAN INDICATIVO'!K226</f>
        <v>A.14.5.14</v>
      </c>
      <c r="L226" s="301" t="str">
        <f>'PLAN INDICATIVO'!L226</f>
        <v>10. Reducción de las desigualdades</v>
      </c>
      <c r="M226" s="301" t="str">
        <f>'PLAN INDICATIVO'!M226</f>
        <v>Secretaría de Gobierno</v>
      </c>
      <c r="N226" s="1425" t="str">
        <f>'PLAN INDICATIVO'!N226</f>
        <v>HERNAN RODRIGUEZ FALLA</v>
      </c>
      <c r="O226" s="1425" t="str">
        <f>'PLAN INDICATIVO'!O226</f>
        <v>Incremento</v>
      </c>
      <c r="P226" s="16" t="str">
        <f>'PLAN INDICATIVO'!P226</f>
        <v xml:space="preserve">Realizar 4 seguimientos y evaluación de la política pública para personas con discapacidad, durante el cuatrienio </v>
      </c>
      <c r="Q226" s="302" t="str">
        <f>'PLAN INDICATIVO'!Q226</f>
        <v xml:space="preserve">No. de seguimientos realizados </v>
      </c>
      <c r="R226" s="303">
        <f>'PLAN INDICATIVO'!R226</f>
        <v>2015</v>
      </c>
      <c r="S226" s="304">
        <v>0</v>
      </c>
      <c r="T226" s="699">
        <v>4</v>
      </c>
      <c r="U226" s="303">
        <v>1</v>
      </c>
      <c r="V226" s="833">
        <v>10</v>
      </c>
      <c r="W226" s="303">
        <v>1</v>
      </c>
      <c r="X226" s="687">
        <v>20000000</v>
      </c>
      <c r="Y226" s="286">
        <v>1</v>
      </c>
      <c r="Z226" s="1233">
        <v>20000000</v>
      </c>
      <c r="AA226" s="291">
        <v>1</v>
      </c>
      <c r="AB226" s="687">
        <v>20000000</v>
      </c>
      <c r="AC226" s="669">
        <v>1</v>
      </c>
      <c r="AD226" s="669">
        <v>1</v>
      </c>
      <c r="AE226" s="669">
        <v>1</v>
      </c>
      <c r="AF226" s="669"/>
      <c r="AG226" s="341" t="s">
        <v>3649</v>
      </c>
      <c r="AH226" s="987">
        <v>2018413960018</v>
      </c>
      <c r="AI226" s="355" t="s">
        <v>4148</v>
      </c>
      <c r="AJ226" s="363">
        <v>43435</v>
      </c>
      <c r="AK226" s="363">
        <v>43435</v>
      </c>
      <c r="AL226" s="358"/>
      <c r="AM226" s="358"/>
      <c r="AN226" s="267" t="s">
        <v>2598</v>
      </c>
      <c r="AO226" s="512" t="s">
        <v>4149</v>
      </c>
      <c r="AP226" s="720"/>
      <c r="AQ226" s="310"/>
      <c r="AR226" s="310"/>
      <c r="AS226" s="310"/>
      <c r="AT226" s="310"/>
      <c r="AU226" s="310"/>
      <c r="AV226" s="310"/>
      <c r="AW226" s="544"/>
      <c r="AX226" s="525"/>
      <c r="AY226" s="310"/>
      <c r="AZ226" s="310"/>
      <c r="BA226" s="310"/>
      <c r="BB226" s="310"/>
      <c r="BC226" s="310"/>
      <c r="BD226" s="310"/>
      <c r="BE226" s="544">
        <f t="shared" si="142"/>
        <v>0</v>
      </c>
      <c r="BF226" s="525">
        <v>15983800</v>
      </c>
      <c r="BG226" s="310"/>
      <c r="BH226" s="310"/>
      <c r="BI226" s="310"/>
      <c r="BJ226" s="310"/>
      <c r="BK226" s="310"/>
      <c r="BL226" s="310"/>
      <c r="BM226" s="544">
        <f t="shared" si="143"/>
        <v>15983800</v>
      </c>
      <c r="BN226" s="525"/>
      <c r="BO226" s="310"/>
      <c r="BP226" s="310"/>
      <c r="BQ226" s="310"/>
      <c r="BR226" s="310"/>
      <c r="BS226" s="310"/>
      <c r="BT226" s="310"/>
      <c r="BU226" s="544">
        <f t="shared" si="144"/>
        <v>0</v>
      </c>
      <c r="BV226" s="556"/>
      <c r="BW226" s="663">
        <f t="shared" si="133"/>
        <v>3</v>
      </c>
      <c r="BX226" s="1047">
        <f t="shared" si="136"/>
        <v>0.75</v>
      </c>
      <c r="BY226" s="1047">
        <f t="shared" ref="BY226:BY232" si="150">IF(U226&gt;=0.1,AC226/U226,IF(ISBLANK(U226),"No Programada","Aplazada"))</f>
        <v>1</v>
      </c>
      <c r="BZ226" s="1047">
        <f t="shared" ref="BZ226:BZ232" si="151">IF(W226&gt;=0.1,AD226/W226,IF(ISBLANK(W226),"No Programada","Aplazada"))</f>
        <v>1</v>
      </c>
      <c r="CA226" s="1047">
        <f t="shared" ref="CA226:CA232" si="152">IF(Y226&gt;=0.1,AE226/Y226,IF(ISBLANK(Y226),"No Programada","Aplazada"))</f>
        <v>1</v>
      </c>
      <c r="CB226" s="1047">
        <f t="shared" ref="CB226:CB232" si="153">IF(AA226&gt;=0.1,AF226/AA226,IF(ISBLANK(AA226),"No Programada","Aplazada"))</f>
        <v>0</v>
      </c>
      <c r="CD226" t="str">
        <f t="shared" ref="CD226:CG232" si="154">IF(BY226="PARA MODIFICAR","M",IF(BY226="PARA ELIMINAR","E",IF(BY226="aplazada","AZ",IF(BY226="no programada","NP",IF(BY226&gt;=85%,"VE",IF(BY226&gt;70%,"VEB",IF(BY226&gt;60%,"AM",IF(BY226&gt;40%,"AMB",IF(BY226&gt;20%,"RO",IF(BY226&gt;=0%,"ROB",""))))))))))</f>
        <v>VE</v>
      </c>
      <c r="CE226" t="str">
        <f t="shared" si="154"/>
        <v>VE</v>
      </c>
      <c r="CF226" t="str">
        <f t="shared" si="154"/>
        <v>VE</v>
      </c>
      <c r="CG226" t="str">
        <f t="shared" si="154"/>
        <v>ROB</v>
      </c>
    </row>
    <row r="227" spans="1:85" ht="97.5" hidden="1" customHeight="1" x14ac:dyDescent="0.25">
      <c r="A227" s="298" t="s">
        <v>491</v>
      </c>
      <c r="B227" s="299" t="str">
        <f>'PLAN INDICATIVO'!B227</f>
        <v>Atención a grupos vulnerables - promoción social</v>
      </c>
      <c r="C227" s="1559"/>
      <c r="D227" s="1549"/>
      <c r="E227" s="1549"/>
      <c r="F227" s="1549"/>
      <c r="G227" s="1562"/>
      <c r="H227" s="1562"/>
      <c r="I227" s="300">
        <f>'PLAN INDICATIVO'!I227</f>
        <v>0</v>
      </c>
      <c r="J227" s="300">
        <f>'PLAN INDICATIVO'!J227</f>
        <v>0</v>
      </c>
      <c r="K227" s="1428" t="str">
        <f>'PLAN INDICATIVO'!K227</f>
        <v>A.14.5.15</v>
      </c>
      <c r="L227" s="301" t="str">
        <f>'PLAN INDICATIVO'!L227</f>
        <v>10. Reducción de las desigualdades</v>
      </c>
      <c r="M227" s="301" t="str">
        <f>'PLAN INDICATIVO'!M227</f>
        <v>Secretaría de Gobierno</v>
      </c>
      <c r="N227" s="1425" t="str">
        <f>'PLAN INDICATIVO'!N227</f>
        <v>HERNAN RODRIGUEZ FALLA</v>
      </c>
      <c r="O227" s="1425" t="str">
        <f>'PLAN INDICATIVO'!O227</f>
        <v>Incremento</v>
      </c>
      <c r="P227" s="16" t="str">
        <f>'PLAN INDICATIVO'!P227</f>
        <v>Desarrollar 2 campañas durante el cuatrienio dirigido a promoción de la participación de la población con discapacidad en oferta institucional con enfoque diferencial</v>
      </c>
      <c r="Q227" s="302" t="str">
        <f>'PLAN INDICATIVO'!Q227</f>
        <v xml:space="preserve">No. de campañas realizadas </v>
      </c>
      <c r="R227" s="303">
        <f>'PLAN INDICATIVO'!R227</f>
        <v>2015</v>
      </c>
      <c r="S227" s="304">
        <v>0</v>
      </c>
      <c r="T227" s="699">
        <v>2</v>
      </c>
      <c r="U227" s="303">
        <v>0</v>
      </c>
      <c r="V227" s="833">
        <v>5</v>
      </c>
      <c r="W227" s="303">
        <v>1</v>
      </c>
      <c r="X227" s="687"/>
      <c r="Y227" s="286"/>
      <c r="Z227" s="1233"/>
      <c r="AA227" s="291"/>
      <c r="AB227" s="687">
        <v>10000000</v>
      </c>
      <c r="AC227" s="669">
        <v>2</v>
      </c>
      <c r="AD227" s="669">
        <v>3</v>
      </c>
      <c r="AE227" s="669"/>
      <c r="AF227" s="669"/>
      <c r="AG227" s="341" t="s">
        <v>3649</v>
      </c>
      <c r="AH227" s="987">
        <v>2018413960018</v>
      </c>
      <c r="AI227" s="361"/>
      <c r="AJ227" s="359"/>
      <c r="AK227" s="359"/>
      <c r="AL227" s="358"/>
      <c r="AM227" s="358"/>
      <c r="AN227" s="267" t="s">
        <v>2594</v>
      </c>
      <c r="AO227" s="512"/>
      <c r="AP227" s="525"/>
      <c r="AQ227" s="310"/>
      <c r="AR227" s="310"/>
      <c r="AS227" s="310"/>
      <c r="AT227" s="310"/>
      <c r="AU227" s="310"/>
      <c r="AV227" s="310"/>
      <c r="AW227" s="544"/>
      <c r="AX227" s="525"/>
      <c r="AY227" s="310"/>
      <c r="AZ227" s="310"/>
      <c r="BA227" s="310"/>
      <c r="BB227" s="310"/>
      <c r="BC227" s="310"/>
      <c r="BD227" s="310"/>
      <c r="BE227" s="544">
        <f t="shared" si="142"/>
        <v>0</v>
      </c>
      <c r="BF227" s="525"/>
      <c r="BG227" s="310"/>
      <c r="BH227" s="310"/>
      <c r="BI227" s="310"/>
      <c r="BJ227" s="310"/>
      <c r="BK227" s="310"/>
      <c r="BL227" s="310"/>
      <c r="BM227" s="544">
        <f t="shared" si="143"/>
        <v>0</v>
      </c>
      <c r="BN227" s="525"/>
      <c r="BO227" s="310"/>
      <c r="BP227" s="310"/>
      <c r="BQ227" s="310"/>
      <c r="BR227" s="310"/>
      <c r="BS227" s="310"/>
      <c r="BT227" s="310"/>
      <c r="BU227" s="544">
        <f t="shared" si="144"/>
        <v>0</v>
      </c>
      <c r="BV227" s="556"/>
      <c r="BW227" s="663">
        <f t="shared" si="133"/>
        <v>5</v>
      </c>
      <c r="BX227" s="1047">
        <f t="shared" si="136"/>
        <v>2.5</v>
      </c>
      <c r="BY227" s="1047" t="str">
        <f t="shared" si="150"/>
        <v>Aplazada</v>
      </c>
      <c r="BZ227" s="1047">
        <f t="shared" si="151"/>
        <v>3</v>
      </c>
      <c r="CA227" s="1047" t="str">
        <f t="shared" si="152"/>
        <v>No Programada</v>
      </c>
      <c r="CB227" s="1047" t="str">
        <f t="shared" si="153"/>
        <v>No Programada</v>
      </c>
      <c r="CD227" t="str">
        <f t="shared" si="154"/>
        <v>AZ</v>
      </c>
      <c r="CE227" t="str">
        <f t="shared" si="154"/>
        <v>VE</v>
      </c>
      <c r="CF227" t="str">
        <f t="shared" si="154"/>
        <v>NP</v>
      </c>
      <c r="CG227" t="str">
        <f t="shared" si="154"/>
        <v>NP</v>
      </c>
    </row>
    <row r="228" spans="1:85" ht="77.25" hidden="1" customHeight="1" x14ac:dyDescent="0.25">
      <c r="A228" s="298" t="s">
        <v>491</v>
      </c>
      <c r="B228" s="299" t="str">
        <f>'PLAN INDICATIVO'!B228</f>
        <v>Atención a grupos vulnerables - promoción social</v>
      </c>
      <c r="C228" s="1559"/>
      <c r="D228" s="1549"/>
      <c r="E228" s="1549"/>
      <c r="F228" s="1549"/>
      <c r="G228" s="1562"/>
      <c r="H228" s="1562"/>
      <c r="I228" s="300">
        <f>'PLAN INDICATIVO'!I228</f>
        <v>0</v>
      </c>
      <c r="J228" s="300">
        <f>'PLAN INDICATIVO'!J228</f>
        <v>0</v>
      </c>
      <c r="K228" s="1428" t="str">
        <f>'PLAN INDICATIVO'!K228</f>
        <v>A.14.5.16</v>
      </c>
      <c r="L228" s="301" t="str">
        <f>'PLAN INDICATIVO'!L228</f>
        <v>10. Reducción de las desigualdades</v>
      </c>
      <c r="M228" s="301" t="str">
        <f>'PLAN INDICATIVO'!M228</f>
        <v>Secretaría de Gobierno</v>
      </c>
      <c r="N228" s="1425" t="str">
        <f>'PLAN INDICATIVO'!N228</f>
        <v>HERNAN RODRIGUEZ FALLA</v>
      </c>
      <c r="O228" s="1425" t="str">
        <f>'PLAN INDICATIVO'!O228</f>
        <v>Incremento</v>
      </c>
      <c r="P228" s="941" t="str">
        <f>'PLAN INDICATIVO'!P228</f>
        <v>Realizar 1 proyecto para ayudas técnicas durante el cuatrienio para fortalecer la atención a la población en situación de discapacidad</v>
      </c>
      <c r="Q228" s="302" t="str">
        <f>'PLAN INDICATIVO'!Q228</f>
        <v xml:space="preserve">No. de proyectos realizados </v>
      </c>
      <c r="R228" s="303">
        <f>'PLAN INDICATIVO'!R228</f>
        <v>2015</v>
      </c>
      <c r="S228" s="304">
        <v>0</v>
      </c>
      <c r="T228" s="699">
        <v>1</v>
      </c>
      <c r="U228" s="303">
        <v>0</v>
      </c>
      <c r="V228" s="833">
        <v>0</v>
      </c>
      <c r="W228" s="303">
        <v>0</v>
      </c>
      <c r="X228" s="687"/>
      <c r="Y228" s="286"/>
      <c r="Z228" s="1233">
        <v>10000000</v>
      </c>
      <c r="AA228" s="291"/>
      <c r="AB228" s="687"/>
      <c r="AC228" s="669"/>
      <c r="AD228" s="669"/>
      <c r="AE228" s="669">
        <v>1</v>
      </c>
      <c r="AF228" s="669"/>
      <c r="AG228" s="341" t="s">
        <v>3649</v>
      </c>
      <c r="AH228" s="987">
        <v>2018413960018</v>
      </c>
      <c r="AI228" s="355" t="s">
        <v>4150</v>
      </c>
      <c r="AJ228" s="359">
        <v>43405</v>
      </c>
      <c r="AK228" s="359">
        <v>43449</v>
      </c>
      <c r="AL228" s="358"/>
      <c r="AM228" s="358"/>
      <c r="AN228" s="267" t="s">
        <v>2598</v>
      </c>
      <c r="AO228" s="512">
        <v>231407041</v>
      </c>
      <c r="AP228" s="525"/>
      <c r="AQ228" s="310"/>
      <c r="AR228" s="310"/>
      <c r="AS228" s="310"/>
      <c r="AT228" s="310"/>
      <c r="AU228" s="310"/>
      <c r="AV228" s="310"/>
      <c r="AW228" s="544"/>
      <c r="AX228" s="525"/>
      <c r="AY228" s="310"/>
      <c r="AZ228" s="310"/>
      <c r="BA228" s="310"/>
      <c r="BB228" s="310"/>
      <c r="BC228" s="310"/>
      <c r="BD228" s="310"/>
      <c r="BE228" s="544">
        <f t="shared" si="142"/>
        <v>0</v>
      </c>
      <c r="BF228" s="525"/>
      <c r="BG228" s="310">
        <v>6875000</v>
      </c>
      <c r="BH228" s="310"/>
      <c r="BI228" s="310"/>
      <c r="BJ228" s="310"/>
      <c r="BK228" s="310"/>
      <c r="BL228" s="310"/>
      <c r="BM228" s="544">
        <f t="shared" si="143"/>
        <v>6875000</v>
      </c>
      <c r="BN228" s="525"/>
      <c r="BO228" s="310"/>
      <c r="BP228" s="310"/>
      <c r="BQ228" s="310"/>
      <c r="BR228" s="310"/>
      <c r="BS228" s="310"/>
      <c r="BT228" s="310"/>
      <c r="BU228" s="544">
        <f t="shared" si="144"/>
        <v>0</v>
      </c>
      <c r="BV228" s="556"/>
      <c r="BW228" s="663">
        <f t="shared" si="133"/>
        <v>1</v>
      </c>
      <c r="BX228" s="1047">
        <f t="shared" si="136"/>
        <v>1</v>
      </c>
      <c r="BY228" s="1047" t="str">
        <f t="shared" si="150"/>
        <v>Aplazada</v>
      </c>
      <c r="BZ228" s="1047" t="str">
        <f t="shared" si="151"/>
        <v>Aplazada</v>
      </c>
      <c r="CA228" s="1047">
        <v>1</v>
      </c>
      <c r="CB228" s="1047" t="str">
        <f t="shared" si="153"/>
        <v>No Programada</v>
      </c>
      <c r="CD228" t="str">
        <f t="shared" si="154"/>
        <v>AZ</v>
      </c>
      <c r="CE228" t="str">
        <f t="shared" si="154"/>
        <v>AZ</v>
      </c>
      <c r="CF228" t="str">
        <f t="shared" si="154"/>
        <v>VE</v>
      </c>
      <c r="CG228" t="str">
        <f t="shared" si="154"/>
        <v>NP</v>
      </c>
    </row>
    <row r="229" spans="1:85" ht="61.5" hidden="1" customHeight="1" x14ac:dyDescent="0.25">
      <c r="A229" s="298" t="s">
        <v>2458</v>
      </c>
      <c r="B229" s="299" t="str">
        <f>'PLAN INDICATIVO'!B229</f>
        <v>Atención a grupos vulnerables - promoción social</v>
      </c>
      <c r="C229" s="1559"/>
      <c r="D229" s="1549"/>
      <c r="E229" s="1549"/>
      <c r="F229" s="1549"/>
      <c r="G229" s="1562"/>
      <c r="H229" s="1562"/>
      <c r="I229" s="300">
        <f>'PLAN INDICATIVO'!I229</f>
        <v>0</v>
      </c>
      <c r="J229" s="300">
        <f>'PLAN INDICATIVO'!J229</f>
        <v>0</v>
      </c>
      <c r="K229" s="1428" t="str">
        <f>'PLAN INDICATIVO'!K229</f>
        <v>A.14.5.17</v>
      </c>
      <c r="L229" s="301" t="str">
        <f>'PLAN INDICATIVO'!L229</f>
        <v>10. Reducción de las desigualdades</v>
      </c>
      <c r="M229" s="301" t="str">
        <f>'PLAN INDICATIVO'!M229</f>
        <v>Secretaría de Gobierno</v>
      </c>
      <c r="N229" s="1425" t="str">
        <f>'PLAN INDICATIVO'!N229</f>
        <v>HERNAN RODRIGUEZ FALLA</v>
      </c>
      <c r="O229" s="1425" t="str">
        <f>'PLAN INDICATIVO'!O229</f>
        <v>Incremento</v>
      </c>
      <c r="P229" s="1201" t="str">
        <f>'PLAN INDICATIVO'!P229</f>
        <v xml:space="preserve">Realizar 4 celebraciones del día de la discapacidad, 2 de las fiestas tradicionales sampedrinas durante el cuatrienio. </v>
      </c>
      <c r="Q229" s="302" t="str">
        <f>'PLAN INDICATIVO'!Q229</f>
        <v xml:space="preserve">No. de celebraciones realizadas </v>
      </c>
      <c r="R229" s="303">
        <f>'PLAN INDICATIVO'!R229</f>
        <v>2015</v>
      </c>
      <c r="S229" s="304">
        <v>0</v>
      </c>
      <c r="T229" s="1304">
        <v>6</v>
      </c>
      <c r="U229" s="303">
        <v>1</v>
      </c>
      <c r="V229" s="833">
        <v>8</v>
      </c>
      <c r="W229" s="303">
        <v>1</v>
      </c>
      <c r="X229" s="687">
        <v>20000000</v>
      </c>
      <c r="Y229" s="286">
        <v>1</v>
      </c>
      <c r="Z229" s="1233">
        <v>10000000</v>
      </c>
      <c r="AA229" s="291">
        <v>1</v>
      </c>
      <c r="AB229" s="687">
        <v>5000000</v>
      </c>
      <c r="AC229" s="669">
        <v>0</v>
      </c>
      <c r="AD229" s="669">
        <v>1</v>
      </c>
      <c r="AE229" s="669">
        <v>0.5</v>
      </c>
      <c r="AF229" s="669"/>
      <c r="AG229" s="341" t="s">
        <v>3649</v>
      </c>
      <c r="AH229" s="987">
        <v>2018413960018</v>
      </c>
      <c r="AI229" s="355" t="s">
        <v>4151</v>
      </c>
      <c r="AJ229" s="363" t="s">
        <v>4152</v>
      </c>
      <c r="AK229" s="363" t="s">
        <v>4152</v>
      </c>
      <c r="AL229" s="358"/>
      <c r="AM229" s="358"/>
      <c r="AN229" s="267" t="s">
        <v>2600</v>
      </c>
      <c r="AO229" s="512" t="s">
        <v>4153</v>
      </c>
      <c r="AP229" s="525"/>
      <c r="AQ229" s="310"/>
      <c r="AR229" s="310"/>
      <c r="AS229" s="310"/>
      <c r="AT229" s="310"/>
      <c r="AU229" s="310"/>
      <c r="AV229" s="310"/>
      <c r="AW229" s="544"/>
      <c r="AX229" s="525"/>
      <c r="AY229" s="310"/>
      <c r="AZ229" s="310"/>
      <c r="BA229" s="310"/>
      <c r="BB229" s="310"/>
      <c r="BC229" s="310"/>
      <c r="BD229" s="310"/>
      <c r="BE229" s="544">
        <f t="shared" si="142"/>
        <v>0</v>
      </c>
      <c r="BF229" s="525">
        <v>2000000</v>
      </c>
      <c r="BG229" s="310"/>
      <c r="BH229" s="310"/>
      <c r="BI229" s="310"/>
      <c r="BJ229" s="310"/>
      <c r="BK229" s="310"/>
      <c r="BL229" s="310"/>
      <c r="BM229" s="544">
        <f t="shared" si="143"/>
        <v>2000000</v>
      </c>
      <c r="BN229" s="525"/>
      <c r="BO229" s="310"/>
      <c r="BP229" s="310"/>
      <c r="BQ229" s="310"/>
      <c r="BR229" s="310"/>
      <c r="BS229" s="310"/>
      <c r="BT229" s="310"/>
      <c r="BU229" s="544">
        <f t="shared" si="144"/>
        <v>0</v>
      </c>
      <c r="BV229" s="556"/>
      <c r="BW229" s="663">
        <f t="shared" si="133"/>
        <v>1.5</v>
      </c>
      <c r="BX229" s="1047">
        <f t="shared" si="136"/>
        <v>0.25</v>
      </c>
      <c r="BY229" s="1047">
        <f t="shared" si="150"/>
        <v>0</v>
      </c>
      <c r="BZ229" s="1047">
        <f t="shared" si="151"/>
        <v>1</v>
      </c>
      <c r="CA229" s="1047">
        <f t="shared" si="152"/>
        <v>0.5</v>
      </c>
      <c r="CB229" s="1047">
        <f t="shared" si="153"/>
        <v>0</v>
      </c>
      <c r="CD229" t="str">
        <f t="shared" si="154"/>
        <v>ROB</v>
      </c>
      <c r="CE229" t="str">
        <f t="shared" si="154"/>
        <v>VE</v>
      </c>
      <c r="CF229" t="str">
        <f t="shared" si="154"/>
        <v>AMB</v>
      </c>
      <c r="CG229" t="str">
        <f t="shared" si="154"/>
        <v>ROB</v>
      </c>
    </row>
    <row r="230" spans="1:85" ht="72.75" hidden="1" customHeight="1" x14ac:dyDescent="0.25">
      <c r="A230" s="298" t="s">
        <v>2464</v>
      </c>
      <c r="B230" s="299" t="str">
        <f>'PLAN INDICATIVO'!B230</f>
        <v>Atención a grupos vulnerables - promoción social</v>
      </c>
      <c r="C230" s="1559"/>
      <c r="D230" s="1549"/>
      <c r="E230" s="1549"/>
      <c r="F230" s="1549"/>
      <c r="G230" s="1562"/>
      <c r="H230" s="1562"/>
      <c r="I230" s="300">
        <f>'PLAN INDICATIVO'!I230</f>
        <v>0</v>
      </c>
      <c r="J230" s="300">
        <f>'PLAN INDICATIVO'!J230</f>
        <v>0</v>
      </c>
      <c r="K230" s="1428" t="str">
        <f>'PLAN INDICATIVO'!K230</f>
        <v>A.14.5.18</v>
      </c>
      <c r="L230" s="301" t="str">
        <f>'PLAN INDICATIVO'!L230</f>
        <v>10. Reducción de las desigualdades</v>
      </c>
      <c r="M230" s="301" t="str">
        <f>'PLAN INDICATIVO'!M230</f>
        <v>Secretaría de Gobierno</v>
      </c>
      <c r="N230" s="1425" t="str">
        <f>'PLAN INDICATIVO'!N230</f>
        <v>HERNAN RODRIGUEZ FALLA</v>
      </c>
      <c r="O230" s="1425" t="str">
        <f>'PLAN INDICATIVO'!O230</f>
        <v>Incremento</v>
      </c>
      <c r="P230" s="1202" t="str">
        <f>'PLAN INDICATIVO'!P230</f>
        <v xml:space="preserve">Realizar 1 estudio para la reubicación de la unidad de atención integral UAI, durante el cuatrienio. </v>
      </c>
      <c r="Q230" s="302" t="str">
        <f>'PLAN INDICATIVO'!Q230</f>
        <v xml:space="preserve">No. de estudios realizados </v>
      </c>
      <c r="R230" s="303">
        <f>'PLAN INDICATIVO'!R230</f>
        <v>2015</v>
      </c>
      <c r="S230" s="304">
        <v>0</v>
      </c>
      <c r="T230" s="699">
        <v>1</v>
      </c>
      <c r="U230" s="303">
        <v>0</v>
      </c>
      <c r="V230" s="833">
        <v>0</v>
      </c>
      <c r="W230" s="303">
        <v>0</v>
      </c>
      <c r="X230" s="687"/>
      <c r="Y230" s="286"/>
      <c r="Z230" s="1233"/>
      <c r="AA230" s="291">
        <v>1</v>
      </c>
      <c r="AB230" s="687"/>
      <c r="AC230" s="669"/>
      <c r="AD230" s="669"/>
      <c r="AE230" s="669"/>
      <c r="AF230" s="669"/>
      <c r="AG230" s="341" t="s">
        <v>3649</v>
      </c>
      <c r="AH230" s="987">
        <v>2018413960018</v>
      </c>
      <c r="AI230" s="355" t="s">
        <v>4154</v>
      </c>
      <c r="AJ230" s="358"/>
      <c r="AK230" s="358"/>
      <c r="AL230" s="358"/>
      <c r="AM230" s="358"/>
      <c r="AN230" s="267" t="s">
        <v>2594</v>
      </c>
      <c r="AO230" s="512"/>
      <c r="AP230" s="525"/>
      <c r="AQ230" s="310"/>
      <c r="AR230" s="310"/>
      <c r="AS230" s="310"/>
      <c r="AT230" s="310"/>
      <c r="AU230" s="310"/>
      <c r="AV230" s="310"/>
      <c r="AW230" s="544"/>
      <c r="AX230" s="525"/>
      <c r="AY230" s="310"/>
      <c r="AZ230" s="310"/>
      <c r="BA230" s="310"/>
      <c r="BB230" s="310"/>
      <c r="BC230" s="310"/>
      <c r="BD230" s="310"/>
      <c r="BE230" s="544">
        <f t="shared" si="142"/>
        <v>0</v>
      </c>
      <c r="BF230" s="525"/>
      <c r="BG230" s="310"/>
      <c r="BH230" s="310"/>
      <c r="BI230" s="310"/>
      <c r="BJ230" s="310"/>
      <c r="BK230" s="310"/>
      <c r="BL230" s="310"/>
      <c r="BM230" s="544">
        <f t="shared" si="143"/>
        <v>0</v>
      </c>
      <c r="BN230" s="525"/>
      <c r="BO230" s="310"/>
      <c r="BP230" s="310"/>
      <c r="BQ230" s="310"/>
      <c r="BR230" s="310"/>
      <c r="BS230" s="310"/>
      <c r="BT230" s="310"/>
      <c r="BU230" s="544">
        <f t="shared" si="144"/>
        <v>0</v>
      </c>
      <c r="BV230" s="556"/>
      <c r="BW230" s="663">
        <f t="shared" si="133"/>
        <v>0</v>
      </c>
      <c r="BX230" s="1047">
        <f t="shared" si="136"/>
        <v>0</v>
      </c>
      <c r="BY230" s="1047" t="str">
        <f t="shared" si="150"/>
        <v>Aplazada</v>
      </c>
      <c r="BZ230" s="1047" t="str">
        <f t="shared" si="151"/>
        <v>Aplazada</v>
      </c>
      <c r="CA230" s="1047" t="str">
        <f t="shared" si="152"/>
        <v>No Programada</v>
      </c>
      <c r="CB230" s="1047">
        <f t="shared" si="153"/>
        <v>0</v>
      </c>
      <c r="CD230" t="str">
        <f t="shared" si="154"/>
        <v>AZ</v>
      </c>
      <c r="CE230" t="str">
        <f t="shared" si="154"/>
        <v>AZ</v>
      </c>
      <c r="CF230" t="str">
        <f t="shared" si="154"/>
        <v>NP</v>
      </c>
      <c r="CG230" t="str">
        <f t="shared" si="154"/>
        <v>ROB</v>
      </c>
    </row>
    <row r="231" spans="1:85" ht="69.75" hidden="1" customHeight="1" x14ac:dyDescent="0.25">
      <c r="A231" s="298" t="s">
        <v>491</v>
      </c>
      <c r="B231" s="299" t="str">
        <f>'PLAN INDICATIVO'!B231</f>
        <v>Atención a grupos vulnerables - promoción social</v>
      </c>
      <c r="C231" s="1559"/>
      <c r="D231" s="1549"/>
      <c r="E231" s="1549"/>
      <c r="F231" s="1549"/>
      <c r="G231" s="1562"/>
      <c r="H231" s="1562"/>
      <c r="I231" s="300">
        <f>'PLAN INDICATIVO'!I231</f>
        <v>0</v>
      </c>
      <c r="J231" s="300">
        <f>'PLAN INDICATIVO'!J231</f>
        <v>0</v>
      </c>
      <c r="K231" s="1428" t="str">
        <f>'PLAN INDICATIVO'!K231</f>
        <v>A.14.5.19</v>
      </c>
      <c r="L231" s="301" t="str">
        <f>'PLAN INDICATIVO'!L231</f>
        <v>10. Reducción de las desigualdades</v>
      </c>
      <c r="M231" s="301" t="str">
        <f>'PLAN INDICATIVO'!M231</f>
        <v>Secretaría de Gobierno</v>
      </c>
      <c r="N231" s="1425" t="str">
        <f>'PLAN INDICATIVO'!N231</f>
        <v>HERNAN RODRIGUEZ FALLA</v>
      </c>
      <c r="O231" s="1425" t="str">
        <f>'PLAN INDICATIVO'!O231</f>
        <v>Incremento</v>
      </c>
      <c r="P231" s="71" t="str">
        <f>'PLAN INDICATIVO'!P231</f>
        <v>Realizar 1 caracterización de la población con discapacidad, durante el cuatrienio.</v>
      </c>
      <c r="Q231" s="302" t="str">
        <f>'PLAN INDICATIVO'!Q231</f>
        <v xml:space="preserve">No. de caracterizaciones realizadas </v>
      </c>
      <c r="R231" s="303">
        <f>'PLAN INDICATIVO'!R231</f>
        <v>2015</v>
      </c>
      <c r="S231" s="304">
        <v>0</v>
      </c>
      <c r="T231" s="699">
        <v>1</v>
      </c>
      <c r="U231" s="303">
        <v>0</v>
      </c>
      <c r="V231" s="833">
        <v>1</v>
      </c>
      <c r="W231" s="303">
        <v>1</v>
      </c>
      <c r="X231" s="687"/>
      <c r="Y231" s="286"/>
      <c r="Z231" s="1233"/>
      <c r="AA231" s="291"/>
      <c r="AB231" s="687"/>
      <c r="AC231" s="669"/>
      <c r="AD231" s="669">
        <v>1</v>
      </c>
      <c r="AE231" s="669"/>
      <c r="AF231" s="669"/>
      <c r="AG231" s="341" t="s">
        <v>3649</v>
      </c>
      <c r="AH231" s="987">
        <v>2018413960018</v>
      </c>
      <c r="AI231" s="355"/>
      <c r="AJ231" s="359"/>
      <c r="AK231" s="359"/>
      <c r="AL231" s="358"/>
      <c r="AM231" s="358"/>
      <c r="AN231" s="834" t="s">
        <v>2594</v>
      </c>
      <c r="AO231" s="512"/>
      <c r="AP231" s="525"/>
      <c r="AQ231" s="310"/>
      <c r="AR231" s="310"/>
      <c r="AS231" s="310"/>
      <c r="AT231" s="310"/>
      <c r="AU231" s="310"/>
      <c r="AV231" s="310"/>
      <c r="AW231" s="544"/>
      <c r="AX231" s="525"/>
      <c r="AY231" s="310"/>
      <c r="AZ231" s="310"/>
      <c r="BA231" s="310"/>
      <c r="BB231" s="310"/>
      <c r="BC231" s="310"/>
      <c r="BD231" s="310"/>
      <c r="BE231" s="544">
        <f t="shared" si="142"/>
        <v>0</v>
      </c>
      <c r="BF231" s="525"/>
      <c r="BG231" s="310"/>
      <c r="BH231" s="310"/>
      <c r="BI231" s="310"/>
      <c r="BJ231" s="310"/>
      <c r="BK231" s="310"/>
      <c r="BL231" s="310"/>
      <c r="BM231" s="544">
        <f t="shared" si="143"/>
        <v>0</v>
      </c>
      <c r="BN231" s="525"/>
      <c r="BO231" s="310"/>
      <c r="BP231" s="310"/>
      <c r="BQ231" s="310"/>
      <c r="BR231" s="310"/>
      <c r="BS231" s="310"/>
      <c r="BT231" s="310"/>
      <c r="BU231" s="544">
        <f t="shared" si="144"/>
        <v>0</v>
      </c>
      <c r="BV231" s="556"/>
      <c r="BW231" s="663">
        <f t="shared" si="133"/>
        <v>1</v>
      </c>
      <c r="BX231" s="1047">
        <f t="shared" si="136"/>
        <v>1</v>
      </c>
      <c r="BY231" s="1047" t="str">
        <f t="shared" si="150"/>
        <v>Aplazada</v>
      </c>
      <c r="BZ231" s="1047">
        <f t="shared" si="151"/>
        <v>1</v>
      </c>
      <c r="CA231" s="1047" t="str">
        <f t="shared" si="152"/>
        <v>No Programada</v>
      </c>
      <c r="CB231" s="1047" t="str">
        <f t="shared" si="153"/>
        <v>No Programada</v>
      </c>
      <c r="CD231" t="str">
        <f t="shared" si="154"/>
        <v>AZ</v>
      </c>
      <c r="CE231" t="str">
        <f t="shared" si="154"/>
        <v>VE</v>
      </c>
      <c r="CF231" t="str">
        <f t="shared" si="154"/>
        <v>NP</v>
      </c>
      <c r="CG231" t="str">
        <f t="shared" si="154"/>
        <v>NP</v>
      </c>
    </row>
    <row r="232" spans="1:85" ht="113.25" hidden="1" customHeight="1" x14ac:dyDescent="0.25">
      <c r="A232" s="298" t="s">
        <v>491</v>
      </c>
      <c r="B232" s="299" t="str">
        <f>'PLAN INDICATIVO'!B232</f>
        <v>Atención a grupos vulnerables - promoción social</v>
      </c>
      <c r="C232" s="1559"/>
      <c r="D232" s="1549"/>
      <c r="E232" s="1549"/>
      <c r="F232" s="1549"/>
      <c r="G232" s="1562"/>
      <c r="H232" s="1562"/>
      <c r="I232" s="300">
        <f>'PLAN INDICATIVO'!I232</f>
        <v>0</v>
      </c>
      <c r="J232" s="300">
        <f>'PLAN INDICATIVO'!J232</f>
        <v>0</v>
      </c>
      <c r="K232" s="1428" t="str">
        <f>'PLAN INDICATIVO'!K232</f>
        <v>A.14.5.20</v>
      </c>
      <c r="L232" s="301" t="str">
        <f>'PLAN INDICATIVO'!L232</f>
        <v>10. Reducción de las desigualdades</v>
      </c>
      <c r="M232" s="301" t="str">
        <f>'PLAN INDICATIVO'!M232</f>
        <v>Secretaría de Gobierno</v>
      </c>
      <c r="N232" s="1425" t="str">
        <f>'PLAN INDICATIVO'!N232</f>
        <v>HERNAN RODRIGUEZ FALLA</v>
      </c>
      <c r="O232" s="1425" t="str">
        <f>'PLAN INDICATIVO'!O232</f>
        <v>Incremento</v>
      </c>
      <c r="P232" s="16" t="str">
        <f>'PLAN INDICATIVO'!P232</f>
        <v>Realizar 2 ofertas institucionales  a población con discapacidad, para acceso a programas de desarrollo económico durante el cuatrienio</v>
      </c>
      <c r="Q232" s="302" t="str">
        <f>'PLAN INDICATIVO'!Q232</f>
        <v xml:space="preserve">No. de ofertas realizadas </v>
      </c>
      <c r="R232" s="303">
        <f>'PLAN INDICATIVO'!R232</f>
        <v>2015</v>
      </c>
      <c r="S232" s="304">
        <v>0</v>
      </c>
      <c r="T232" s="699">
        <v>2</v>
      </c>
      <c r="U232" s="303">
        <v>0</v>
      </c>
      <c r="V232" s="833">
        <v>1</v>
      </c>
      <c r="W232" s="303">
        <v>1</v>
      </c>
      <c r="X232" s="687"/>
      <c r="Y232" s="286">
        <v>0.5</v>
      </c>
      <c r="Z232" s="1233"/>
      <c r="AA232" s="291">
        <v>1</v>
      </c>
      <c r="AB232" s="687">
        <v>5000000</v>
      </c>
      <c r="AC232" s="669"/>
      <c r="AD232" s="669">
        <v>0.5</v>
      </c>
      <c r="AE232" s="669">
        <v>0.5</v>
      </c>
      <c r="AF232" s="669"/>
      <c r="AG232" s="341" t="s">
        <v>3649</v>
      </c>
      <c r="AH232" s="987">
        <v>2018413960018</v>
      </c>
      <c r="AI232" s="355" t="s">
        <v>4155</v>
      </c>
      <c r="AJ232" s="359"/>
      <c r="AK232" s="359"/>
      <c r="AL232" s="358"/>
      <c r="AM232" s="358"/>
      <c r="AN232" s="267" t="s">
        <v>2598</v>
      </c>
      <c r="AO232" s="512" t="s">
        <v>4156</v>
      </c>
      <c r="AP232" s="525"/>
      <c r="AQ232" s="310"/>
      <c r="AR232" s="310"/>
      <c r="AS232" s="310"/>
      <c r="AT232" s="310"/>
      <c r="AU232" s="310"/>
      <c r="AV232" s="310"/>
      <c r="AW232" s="544"/>
      <c r="AX232" s="525"/>
      <c r="AY232" s="310"/>
      <c r="AZ232" s="310"/>
      <c r="BA232" s="310"/>
      <c r="BB232" s="310"/>
      <c r="BC232" s="310"/>
      <c r="BD232" s="310"/>
      <c r="BE232" s="544">
        <f t="shared" si="142"/>
        <v>0</v>
      </c>
      <c r="BF232" s="525"/>
      <c r="BG232" s="310">
        <v>7041600</v>
      </c>
      <c r="BH232" s="310"/>
      <c r="BI232" s="310"/>
      <c r="BJ232" s="310"/>
      <c r="BK232" s="310"/>
      <c r="BL232" s="310"/>
      <c r="BM232" s="544">
        <f t="shared" si="143"/>
        <v>7041600</v>
      </c>
      <c r="BN232" s="525"/>
      <c r="BO232" s="310"/>
      <c r="BP232" s="310"/>
      <c r="BQ232" s="310"/>
      <c r="BR232" s="310"/>
      <c r="BS232" s="310"/>
      <c r="BT232" s="310"/>
      <c r="BU232" s="544">
        <f t="shared" si="144"/>
        <v>0</v>
      </c>
      <c r="BV232" s="556"/>
      <c r="BW232" s="663">
        <f t="shared" si="133"/>
        <v>1</v>
      </c>
      <c r="BX232" s="1047">
        <f t="shared" si="136"/>
        <v>0.5</v>
      </c>
      <c r="BY232" s="1047" t="str">
        <f t="shared" si="150"/>
        <v>Aplazada</v>
      </c>
      <c r="BZ232" s="1047">
        <f t="shared" si="151"/>
        <v>0.5</v>
      </c>
      <c r="CA232" s="1047">
        <f t="shared" si="152"/>
        <v>1</v>
      </c>
      <c r="CB232" s="1047">
        <f t="shared" si="153"/>
        <v>0</v>
      </c>
      <c r="CD232" t="str">
        <f t="shared" si="154"/>
        <v>AZ</v>
      </c>
      <c r="CE232" t="str">
        <f t="shared" si="154"/>
        <v>AMB</v>
      </c>
      <c r="CF232" t="str">
        <f t="shared" si="154"/>
        <v>VE</v>
      </c>
      <c r="CG232" t="str">
        <f t="shared" si="154"/>
        <v>ROB</v>
      </c>
    </row>
    <row r="233" spans="1:85" ht="17.25" hidden="1" customHeight="1" x14ac:dyDescent="0.25">
      <c r="A233" s="298" t="s">
        <v>491</v>
      </c>
      <c r="B233" s="299" t="str">
        <f>'PLAN INDICATIVO'!B233</f>
        <v>Atención a grupos vulnerables - promoción social</v>
      </c>
      <c r="C233" s="1559"/>
      <c r="D233" s="1549"/>
      <c r="E233" s="1549"/>
      <c r="F233" s="1549"/>
      <c r="G233" s="1562"/>
      <c r="H233" s="1562"/>
      <c r="I233" s="17"/>
      <c r="J233" s="17"/>
      <c r="K233" s="370"/>
      <c r="L233" s="17"/>
      <c r="M233" s="17"/>
      <c r="N233" s="17"/>
      <c r="O233" s="17"/>
      <c r="P233" s="62" t="s">
        <v>723</v>
      </c>
      <c r="Q233" s="25"/>
      <c r="R233" s="17"/>
      <c r="S233" s="270"/>
      <c r="T233" s="677"/>
      <c r="U233" s="270"/>
      <c r="V233" s="705">
        <f>SUM(V234:V239)</f>
        <v>66500000</v>
      </c>
      <c r="W233" s="270"/>
      <c r="X233" s="705">
        <f>SUM(X234:X239)</f>
        <v>52000000</v>
      </c>
      <c r="Y233" s="270"/>
      <c r="Z233" s="705">
        <f>SUM(Z234:Z239)</f>
        <v>52000000</v>
      </c>
      <c r="AA233" s="270"/>
      <c r="AB233" s="705">
        <f>SUM(AB234:AB239)</f>
        <v>52000000</v>
      </c>
      <c r="AC233" s="270"/>
      <c r="AD233" s="270"/>
      <c r="AE233" s="270"/>
      <c r="AF233" s="270"/>
      <c r="AG233" s="279"/>
      <c r="AH233" s="279"/>
      <c r="AI233" s="279"/>
      <c r="AJ233" s="270"/>
      <c r="AK233" s="270"/>
      <c r="AL233" s="270"/>
      <c r="AM233" s="270"/>
      <c r="AN233" s="270"/>
      <c r="AO233" s="644"/>
      <c r="AP233" s="619"/>
      <c r="AQ233" s="619"/>
      <c r="AR233" s="619"/>
      <c r="AS233" s="619"/>
      <c r="AT233" s="619"/>
      <c r="AU233" s="619"/>
      <c r="AV233" s="619"/>
      <c r="AW233" s="617"/>
      <c r="AX233" s="619" t="e">
        <f>(AX234:AX239)</f>
        <v>#VALUE!</v>
      </c>
      <c r="AY233" s="619" t="e">
        <f t="shared" ref="AY233:BD233" si="155">(AY234:AY239)</f>
        <v>#VALUE!</v>
      </c>
      <c r="AZ233" s="619" t="e">
        <f t="shared" si="155"/>
        <v>#VALUE!</v>
      </c>
      <c r="BA233" s="619" t="e">
        <f t="shared" si="155"/>
        <v>#VALUE!</v>
      </c>
      <c r="BB233" s="619" t="e">
        <f t="shared" si="155"/>
        <v>#VALUE!</v>
      </c>
      <c r="BC233" s="619" t="e">
        <f t="shared" si="155"/>
        <v>#VALUE!</v>
      </c>
      <c r="BD233" s="619" t="e">
        <f t="shared" si="155"/>
        <v>#VALUE!</v>
      </c>
      <c r="BE233" s="617" t="e">
        <f t="shared" si="142"/>
        <v>#VALUE!</v>
      </c>
      <c r="BF233" s="619"/>
      <c r="BG233" s="619"/>
      <c r="BH233" s="619"/>
      <c r="BI233" s="619"/>
      <c r="BJ233" s="619"/>
      <c r="BK233" s="619"/>
      <c r="BL233" s="619"/>
      <c r="BM233" s="617">
        <f t="shared" si="143"/>
        <v>0</v>
      </c>
      <c r="BN233" s="619" t="e">
        <f>(BN234:BN239)</f>
        <v>#VALUE!</v>
      </c>
      <c r="BO233" s="619" t="e">
        <f t="shared" ref="BO233:BT233" si="156">(BO234:BO239)</f>
        <v>#VALUE!</v>
      </c>
      <c r="BP233" s="619" t="e">
        <f t="shared" si="156"/>
        <v>#VALUE!</v>
      </c>
      <c r="BQ233" s="619" t="e">
        <f t="shared" si="156"/>
        <v>#VALUE!</v>
      </c>
      <c r="BR233" s="619" t="e">
        <f t="shared" si="156"/>
        <v>#VALUE!</v>
      </c>
      <c r="BS233" s="619" t="e">
        <f t="shared" si="156"/>
        <v>#VALUE!</v>
      </c>
      <c r="BT233" s="619" t="e">
        <f t="shared" si="156"/>
        <v>#VALUE!</v>
      </c>
      <c r="BU233" s="617" t="e">
        <f t="shared" si="144"/>
        <v>#VALUE!</v>
      </c>
      <c r="BV233" s="556"/>
      <c r="BW233" s="617" t="s">
        <v>2717</v>
      </c>
      <c r="BX233" s="617" t="s">
        <v>2717</v>
      </c>
      <c r="BY233" s="617" t="s">
        <v>2717</v>
      </c>
      <c r="BZ233" s="617" t="s">
        <v>2717</v>
      </c>
      <c r="CA233" s="617" t="s">
        <v>2717</v>
      </c>
      <c r="CB233" s="1047" t="s">
        <v>2717</v>
      </c>
    </row>
    <row r="234" spans="1:85" ht="60.75" hidden="1" customHeight="1" x14ac:dyDescent="0.25">
      <c r="A234" s="298" t="s">
        <v>491</v>
      </c>
      <c r="B234" s="299" t="str">
        <f>'PLAN INDICATIVO'!B234</f>
        <v>Atención a grupos vulnerables - promoción social</v>
      </c>
      <c r="C234" s="1559"/>
      <c r="D234" s="1549"/>
      <c r="E234" s="1549"/>
      <c r="F234" s="1549"/>
      <c r="G234" s="1562"/>
      <c r="H234" s="1562"/>
      <c r="I234" s="300">
        <f>'PLAN INDICATIVO'!I234</f>
        <v>0</v>
      </c>
      <c r="J234" s="300">
        <f>'PLAN INDICATIVO'!J234</f>
        <v>0</v>
      </c>
      <c r="K234" s="1428" t="str">
        <f>'PLAN INDICATIVO'!K234</f>
        <v>A.14.5.21</v>
      </c>
      <c r="L234" s="301" t="str">
        <f>'PLAN INDICATIVO'!L234</f>
        <v>10. Reducción de las desigualdades</v>
      </c>
      <c r="M234" s="301" t="str">
        <f>'PLAN INDICATIVO'!M234</f>
        <v>Secretaría de Gobierno</v>
      </c>
      <c r="N234" s="1425" t="str">
        <f>'PLAN INDICATIVO'!N234</f>
        <v>HERNAN RODRIGUEZ FALLA</v>
      </c>
      <c r="O234" s="1425" t="str">
        <f>'PLAN INDICATIVO'!O234</f>
        <v>Incremento</v>
      </c>
      <c r="P234" s="16" t="str">
        <f>'PLAN INDICATIVO'!P234</f>
        <v>Realizar 8 capacitaciones en el cuatrienio para la promoción de derechos de los afro descendiente</v>
      </c>
      <c r="Q234" s="302" t="str">
        <f>'PLAN INDICATIVO'!Q234</f>
        <v>No. De Capacitaciones realizadas</v>
      </c>
      <c r="R234" s="303">
        <f>'PLAN INDICATIVO'!R234</f>
        <v>2015</v>
      </c>
      <c r="S234" s="304">
        <v>0</v>
      </c>
      <c r="T234" s="699">
        <v>8</v>
      </c>
      <c r="U234" s="303">
        <v>2</v>
      </c>
      <c r="V234" s="687">
        <v>8000000</v>
      </c>
      <c r="W234" s="303">
        <v>2</v>
      </c>
      <c r="X234" s="687">
        <v>5000000</v>
      </c>
      <c r="Y234" s="286">
        <v>2</v>
      </c>
      <c r="Z234" s="1233">
        <v>5000000</v>
      </c>
      <c r="AA234" s="291">
        <v>2</v>
      </c>
      <c r="AB234" s="687">
        <v>10000000</v>
      </c>
      <c r="AC234" s="669">
        <f>1+1</f>
        <v>2</v>
      </c>
      <c r="AD234" s="669">
        <v>2</v>
      </c>
      <c r="AE234" s="669">
        <v>2</v>
      </c>
      <c r="AF234" s="669"/>
      <c r="AG234" s="341" t="s">
        <v>3649</v>
      </c>
      <c r="AH234" s="987">
        <v>2018413960018</v>
      </c>
      <c r="AI234" s="355" t="s">
        <v>4157</v>
      </c>
      <c r="AJ234" s="363">
        <v>43191</v>
      </c>
      <c r="AK234" s="363">
        <v>43342</v>
      </c>
      <c r="AL234" s="358"/>
      <c r="AM234" s="358"/>
      <c r="AN234" s="267" t="s">
        <v>2598</v>
      </c>
      <c r="AO234" s="512"/>
      <c r="AP234" s="724"/>
      <c r="AQ234" s="721"/>
      <c r="AR234" s="721"/>
      <c r="AS234" s="721"/>
      <c r="AT234" s="721"/>
      <c r="AU234" s="721"/>
      <c r="AV234" s="721"/>
      <c r="AW234" s="544"/>
      <c r="AX234" s="525"/>
      <c r="AY234" s="310"/>
      <c r="AZ234" s="310"/>
      <c r="BA234" s="310"/>
      <c r="BB234" s="310"/>
      <c r="BC234" s="310"/>
      <c r="BD234" s="310"/>
      <c r="BE234" s="544">
        <f t="shared" si="142"/>
        <v>0</v>
      </c>
      <c r="BF234" s="525">
        <v>1832300</v>
      </c>
      <c r="BG234" s="310"/>
      <c r="BH234" s="310"/>
      <c r="BI234" s="310"/>
      <c r="BJ234" s="310"/>
      <c r="BK234" s="310"/>
      <c r="BL234" s="310"/>
      <c r="BM234" s="544">
        <f t="shared" si="143"/>
        <v>1832300</v>
      </c>
      <c r="BN234" s="525"/>
      <c r="BO234" s="310"/>
      <c r="BP234" s="310"/>
      <c r="BQ234" s="310"/>
      <c r="BR234" s="310"/>
      <c r="BS234" s="310"/>
      <c r="BT234" s="310"/>
      <c r="BU234" s="544">
        <f t="shared" si="144"/>
        <v>0</v>
      </c>
      <c r="BV234" s="556"/>
      <c r="BW234" s="663">
        <f t="shared" si="133"/>
        <v>6</v>
      </c>
      <c r="BX234" s="1047">
        <f t="shared" si="136"/>
        <v>0.75</v>
      </c>
      <c r="BY234" s="1047">
        <f t="shared" ref="BY234:BY239" si="157">IF(U234&gt;=0.1,AC234/U234,IF(ISBLANK(U234),"No Programada","Aplazada"))</f>
        <v>1</v>
      </c>
      <c r="BZ234" s="1047">
        <f t="shared" ref="BZ234:BZ239" si="158">IF(W234&gt;=0.1,AD234/W234,IF(ISBLANK(W234),"No Programada","Aplazada"))</f>
        <v>1</v>
      </c>
      <c r="CA234" s="1047">
        <f t="shared" ref="CA234:CA239" si="159">IF(Y234&gt;=0.1,AE234/Y234,IF(ISBLANK(Y234),"No Programada","Aplazada"))</f>
        <v>1</v>
      </c>
      <c r="CB234" s="1047">
        <f t="shared" ref="CB234:CB239" si="160">IF(AA234&gt;=0.1,AF234/AA234,IF(ISBLANK(AA234),"No Programada","Aplazada"))</f>
        <v>0</v>
      </c>
      <c r="CD234" t="str">
        <f t="shared" ref="CD234:CG239" si="161">IF(BY234="PARA MODIFICAR","M",IF(BY234="PARA ELIMINAR","E",IF(BY234="aplazada","AZ",IF(BY234="no programada","NP",IF(BY234&gt;=85%,"VE",IF(BY234&gt;70%,"VEB",IF(BY234&gt;60%,"AM",IF(BY234&gt;40%,"AMB",IF(BY234&gt;20%,"RO",IF(BY234&gt;=0%,"ROB",""))))))))))</f>
        <v>VE</v>
      </c>
      <c r="CE234" t="str">
        <f t="shared" si="161"/>
        <v>VE</v>
      </c>
      <c r="CF234" t="str">
        <f t="shared" si="161"/>
        <v>VE</v>
      </c>
      <c r="CG234" t="str">
        <f t="shared" si="161"/>
        <v>ROB</v>
      </c>
    </row>
    <row r="235" spans="1:85" ht="14.25" hidden="1" customHeight="1" x14ac:dyDescent="0.25">
      <c r="A235" s="298" t="s">
        <v>491</v>
      </c>
      <c r="B235" s="299">
        <f>'PLAN INDICATIVO'!B235</f>
        <v>0</v>
      </c>
      <c r="C235" s="1559"/>
      <c r="D235" s="1549"/>
      <c r="E235" s="1549"/>
      <c r="F235" s="1549"/>
      <c r="G235" s="1562"/>
      <c r="H235" s="1562"/>
      <c r="I235" s="300">
        <f>'PLAN INDICATIVO'!I235</f>
        <v>0</v>
      </c>
      <c r="J235" s="300">
        <f>'PLAN INDICATIVO'!J235</f>
        <v>0</v>
      </c>
      <c r="K235" s="1428" t="str">
        <f>'PLAN INDICATIVO'!K235</f>
        <v>A.14.5.22</v>
      </c>
      <c r="L235" s="301" t="str">
        <f>'PLAN INDICATIVO'!L235</f>
        <v>10. Reducción de las desigualdades</v>
      </c>
      <c r="M235" s="301" t="str">
        <f>'PLAN INDICATIVO'!M235</f>
        <v>Secretaría de Gobierno</v>
      </c>
      <c r="N235" s="1425"/>
      <c r="O235" s="1425" t="str">
        <f>'PLAN INDICATIVO'!O235</f>
        <v>Incremento</v>
      </c>
      <c r="P235" s="1199" t="str">
        <f>'PLAN INDICATIVO'!P235</f>
        <v xml:space="preserve">Realizar la Construcción, Adecuación y/o mantenimiento  de 3 espacios públicos, zonas verdes, parques, plazoletas o plazas de mercado, durante el cuatrienio </v>
      </c>
      <c r="Q235" s="1199" t="str">
        <f>'PLAN INDICATIVO'!Q235</f>
        <v>No. De Planes Integrales afro implementados</v>
      </c>
      <c r="R235" s="1463">
        <f>'PLAN INDICATIVO'!R235</f>
        <v>2015</v>
      </c>
      <c r="S235" s="795">
        <v>0</v>
      </c>
      <c r="T235" s="1463">
        <v>1</v>
      </c>
      <c r="U235" s="1463">
        <v>0</v>
      </c>
      <c r="V235" s="1234">
        <v>5000000</v>
      </c>
      <c r="W235" s="1463">
        <v>1</v>
      </c>
      <c r="X235" s="1234">
        <v>5000000</v>
      </c>
      <c r="Y235" s="1463">
        <v>0.5</v>
      </c>
      <c r="Z235" s="1234"/>
      <c r="AA235" s="1463">
        <v>0</v>
      </c>
      <c r="AB235" s="1234"/>
      <c r="AC235" s="795"/>
      <c r="AD235" s="795">
        <v>0.5</v>
      </c>
      <c r="AE235" s="795">
        <v>0.1</v>
      </c>
      <c r="AF235" s="795"/>
      <c r="AG235" s="1339" t="s">
        <v>3649</v>
      </c>
      <c r="AH235" s="1340">
        <v>2018413960018</v>
      </c>
      <c r="AI235" s="1339"/>
      <c r="AJ235" s="1341"/>
      <c r="AK235" s="1341"/>
      <c r="AL235" s="795"/>
      <c r="AM235" s="795"/>
      <c r="AN235" s="1342" t="s">
        <v>2604</v>
      </c>
      <c r="AO235" s="1343"/>
      <c r="AP235" s="801"/>
      <c r="AQ235" s="1344"/>
      <c r="AR235" s="1344"/>
      <c r="AS235" s="1344"/>
      <c r="AT235" s="1344"/>
      <c r="AU235" s="1344"/>
      <c r="AV235" s="1344"/>
      <c r="AW235" s="800"/>
      <c r="AX235" s="1323"/>
      <c r="AY235" s="1313"/>
      <c r="AZ235" s="1313"/>
      <c r="BA235" s="1313"/>
      <c r="BB235" s="1313"/>
      <c r="BC235" s="1313"/>
      <c r="BD235" s="1313"/>
      <c r="BE235" s="800">
        <f t="shared" si="142"/>
        <v>0</v>
      </c>
      <c r="BF235" s="1323"/>
      <c r="BG235" s="1313"/>
      <c r="BH235" s="1313"/>
      <c r="BI235" s="1313"/>
      <c r="BJ235" s="1313"/>
      <c r="BK235" s="1313"/>
      <c r="BL235" s="1313"/>
      <c r="BM235" s="800">
        <f t="shared" si="143"/>
        <v>0</v>
      </c>
      <c r="BN235" s="525"/>
      <c r="BO235" s="310"/>
      <c r="BP235" s="310"/>
      <c r="BQ235" s="310"/>
      <c r="BR235" s="310"/>
      <c r="BS235" s="310"/>
      <c r="BT235" s="310"/>
      <c r="BU235" s="544">
        <f t="shared" si="144"/>
        <v>0</v>
      </c>
      <c r="BV235" s="556"/>
      <c r="BW235" s="663">
        <f t="shared" si="133"/>
        <v>0.6</v>
      </c>
      <c r="BX235" s="1047">
        <f t="shared" si="136"/>
        <v>0.6</v>
      </c>
      <c r="BY235" s="1047" t="str">
        <f t="shared" si="157"/>
        <v>Aplazada</v>
      </c>
      <c r="BZ235" s="1047">
        <f t="shared" si="158"/>
        <v>0.5</v>
      </c>
      <c r="CA235" s="1047">
        <f t="shared" si="159"/>
        <v>0.2</v>
      </c>
      <c r="CB235" s="1047" t="str">
        <f t="shared" si="160"/>
        <v>Aplazada</v>
      </c>
      <c r="CD235" t="str">
        <f t="shared" si="161"/>
        <v>AZ</v>
      </c>
      <c r="CE235" t="str">
        <f t="shared" si="161"/>
        <v>AMB</v>
      </c>
      <c r="CF235" t="str">
        <f t="shared" si="161"/>
        <v>ROB</v>
      </c>
      <c r="CG235" t="str">
        <f t="shared" si="161"/>
        <v>AZ</v>
      </c>
    </row>
    <row r="236" spans="1:85" ht="72" hidden="1" customHeight="1" x14ac:dyDescent="0.25">
      <c r="A236" s="298" t="s">
        <v>491</v>
      </c>
      <c r="B236" s="299" t="str">
        <f>'PLAN INDICATIVO'!B236</f>
        <v>Atención a grupos vulnerables - promoción social</v>
      </c>
      <c r="C236" s="1559"/>
      <c r="D236" s="1549"/>
      <c r="E236" s="1549"/>
      <c r="F236" s="1549"/>
      <c r="G236" s="1562"/>
      <c r="H236" s="1562"/>
      <c r="I236" s="300">
        <f>'PLAN INDICATIVO'!I236</f>
        <v>0</v>
      </c>
      <c r="J236" s="300">
        <f>'PLAN INDICATIVO'!J236</f>
        <v>0</v>
      </c>
      <c r="K236" s="1428" t="str">
        <f>'PLAN INDICATIVO'!K236</f>
        <v>A.14.5.23</v>
      </c>
      <c r="L236" s="301" t="str">
        <f>'PLAN INDICATIVO'!L236</f>
        <v>10. Reducción de las desigualdades</v>
      </c>
      <c r="M236" s="301" t="str">
        <f>'PLAN INDICATIVO'!M236</f>
        <v>Secretaría de Gobierno</v>
      </c>
      <c r="N236" s="1425" t="str">
        <f>'PLAN INDICATIVO'!N236</f>
        <v>HERNAN RODRIGUEZ FALLA</v>
      </c>
      <c r="O236" s="1425" t="str">
        <f>'PLAN INDICATIVO'!O236</f>
        <v>Incremento</v>
      </c>
      <c r="P236" s="16" t="str">
        <f>'PLAN INDICATIVO'!P236</f>
        <v>Fortalecer 1 escuela artística con enfoque diferencial afro  durante el cuatrienio.</v>
      </c>
      <c r="Q236" s="302" t="str">
        <f>'PLAN INDICATIVO'!Q236</f>
        <v>No. De escuelas artísticas fortalecidas</v>
      </c>
      <c r="R236" s="303">
        <f>'PLAN INDICATIVO'!R236</f>
        <v>2015</v>
      </c>
      <c r="S236" s="304">
        <v>0</v>
      </c>
      <c r="T236" s="699">
        <v>1</v>
      </c>
      <c r="U236" s="303">
        <v>0</v>
      </c>
      <c r="V236" s="687">
        <v>0</v>
      </c>
      <c r="W236" s="303">
        <v>0</v>
      </c>
      <c r="X236" s="687"/>
      <c r="Y236" s="286">
        <v>0.5</v>
      </c>
      <c r="Z236" s="1233">
        <v>5000000</v>
      </c>
      <c r="AA236" s="291">
        <v>0.5</v>
      </c>
      <c r="AB236" s="687"/>
      <c r="AC236" s="669"/>
      <c r="AD236" s="669"/>
      <c r="AE236" s="669">
        <v>0.5</v>
      </c>
      <c r="AF236" s="669"/>
      <c r="AG236" s="341" t="s">
        <v>3649</v>
      </c>
      <c r="AH236" s="987">
        <v>2018413960018</v>
      </c>
      <c r="AI236" s="355"/>
      <c r="AJ236" s="359">
        <v>43160</v>
      </c>
      <c r="AK236" s="359">
        <v>43403</v>
      </c>
      <c r="AL236" s="358"/>
      <c r="AM236" s="358"/>
      <c r="AN236" s="267" t="s">
        <v>2598</v>
      </c>
      <c r="AO236" s="512"/>
      <c r="AP236" s="720"/>
      <c r="AQ236" s="721"/>
      <c r="AR236" s="721"/>
      <c r="AS236" s="721"/>
      <c r="AT236" s="721"/>
      <c r="AU236" s="721"/>
      <c r="AV236" s="721"/>
      <c r="AW236" s="544"/>
      <c r="AX236" s="525"/>
      <c r="AY236" s="310"/>
      <c r="AZ236" s="310"/>
      <c r="BA236" s="310"/>
      <c r="BB236" s="310"/>
      <c r="BC236" s="310"/>
      <c r="BD236" s="310"/>
      <c r="BE236" s="544">
        <f t="shared" si="142"/>
        <v>0</v>
      </c>
      <c r="BF236" s="525"/>
      <c r="BG236" s="310"/>
      <c r="BH236" s="310"/>
      <c r="BI236" s="310"/>
      <c r="BJ236" s="310"/>
      <c r="BK236" s="310"/>
      <c r="BL236" s="310"/>
      <c r="BM236" s="544">
        <f t="shared" si="143"/>
        <v>0</v>
      </c>
      <c r="BN236" s="525"/>
      <c r="BO236" s="310"/>
      <c r="BP236" s="310"/>
      <c r="BQ236" s="310"/>
      <c r="BR236" s="310"/>
      <c r="BS236" s="310"/>
      <c r="BT236" s="310"/>
      <c r="BU236" s="544">
        <f t="shared" si="144"/>
        <v>0</v>
      </c>
      <c r="BV236" s="556"/>
      <c r="BW236" s="663">
        <f t="shared" si="133"/>
        <v>0.5</v>
      </c>
      <c r="BX236" s="1047">
        <f t="shared" si="136"/>
        <v>0.5</v>
      </c>
      <c r="BY236" s="1047" t="str">
        <f t="shared" si="157"/>
        <v>Aplazada</v>
      </c>
      <c r="BZ236" s="1047" t="str">
        <f t="shared" si="158"/>
        <v>Aplazada</v>
      </c>
      <c r="CA236" s="1047">
        <f>AE236/Y236</f>
        <v>1</v>
      </c>
      <c r="CB236" s="1047">
        <f t="shared" si="160"/>
        <v>0</v>
      </c>
      <c r="CD236" t="str">
        <f t="shared" si="161"/>
        <v>AZ</v>
      </c>
      <c r="CE236" t="str">
        <f t="shared" si="161"/>
        <v>AZ</v>
      </c>
      <c r="CF236" t="str">
        <f t="shared" si="161"/>
        <v>VE</v>
      </c>
      <c r="CG236" t="str">
        <f t="shared" si="161"/>
        <v>ROB</v>
      </c>
    </row>
    <row r="237" spans="1:85" ht="60" hidden="1" customHeight="1" x14ac:dyDescent="0.25">
      <c r="A237" s="298" t="s">
        <v>491</v>
      </c>
      <c r="B237" s="299" t="str">
        <f>'PLAN INDICATIVO'!B237</f>
        <v>Atención a grupos vulnerables - promoción social</v>
      </c>
      <c r="C237" s="1559"/>
      <c r="D237" s="1549"/>
      <c r="E237" s="1549"/>
      <c r="F237" s="1549"/>
      <c r="G237" s="1562"/>
      <c r="H237" s="1562"/>
      <c r="I237" s="300">
        <f>'PLAN INDICATIVO'!I237</f>
        <v>0</v>
      </c>
      <c r="J237" s="300">
        <f>'PLAN INDICATIVO'!J237</f>
        <v>0</v>
      </c>
      <c r="K237" s="1428" t="str">
        <f>'PLAN INDICATIVO'!K237</f>
        <v>A.14.5.24</v>
      </c>
      <c r="L237" s="301" t="str">
        <f>'PLAN INDICATIVO'!L237</f>
        <v>10. Reducción de las desigualdades</v>
      </c>
      <c r="M237" s="301" t="str">
        <f>'PLAN INDICATIVO'!M237</f>
        <v>Secretaría de Gobierno</v>
      </c>
      <c r="N237" s="1425" t="str">
        <f>'PLAN INDICATIVO'!N237</f>
        <v>HERNAN RODRIGUEZ FALLA</v>
      </c>
      <c r="O237" s="1425" t="str">
        <f>'PLAN INDICATIVO'!O237</f>
        <v>Incremento</v>
      </c>
      <c r="P237" s="25" t="str">
        <f>'PLAN INDICATIVO'!P237</f>
        <v>Crear 1 política municipal para la población afro, durante el cuatrienio</v>
      </c>
      <c r="Q237" s="302" t="str">
        <f>'PLAN INDICATIVO'!Q237</f>
        <v>No. De Políticas municipales creadas</v>
      </c>
      <c r="R237" s="303">
        <f>'PLAN INDICATIVO'!R237</f>
        <v>2015</v>
      </c>
      <c r="S237" s="304">
        <v>0</v>
      </c>
      <c r="T237" s="699">
        <v>1</v>
      </c>
      <c r="U237" s="303">
        <v>0.5</v>
      </c>
      <c r="V237" s="687">
        <v>500000</v>
      </c>
      <c r="W237" s="17">
        <v>0</v>
      </c>
      <c r="X237" s="687"/>
      <c r="Y237" s="286">
        <v>0.1</v>
      </c>
      <c r="Z237" s="1233"/>
      <c r="AA237" s="291">
        <v>0.1</v>
      </c>
      <c r="AB237" s="687"/>
      <c r="AC237" s="669">
        <v>0.25</v>
      </c>
      <c r="AD237" s="669">
        <v>0.55000000000000004</v>
      </c>
      <c r="AE237" s="669">
        <v>0.1</v>
      </c>
      <c r="AF237" s="669"/>
      <c r="AG237" s="341" t="s">
        <v>3649</v>
      </c>
      <c r="AH237" s="987">
        <v>2018413960018</v>
      </c>
      <c r="AI237" s="355" t="s">
        <v>4158</v>
      </c>
      <c r="AJ237" s="363">
        <v>43160</v>
      </c>
      <c r="AK237" s="363">
        <v>43189</v>
      </c>
      <c r="AL237" s="358"/>
      <c r="AM237" s="358"/>
      <c r="AN237" s="267" t="s">
        <v>2598</v>
      </c>
      <c r="AO237" s="512"/>
      <c r="AP237" s="720"/>
      <c r="AQ237" s="721"/>
      <c r="AR237" s="721"/>
      <c r="AS237" s="721"/>
      <c r="AT237" s="721"/>
      <c r="AU237" s="721"/>
      <c r="AV237" s="721"/>
      <c r="AW237" s="544"/>
      <c r="AX237" s="525"/>
      <c r="AY237" s="310"/>
      <c r="AZ237" s="310"/>
      <c r="BA237" s="310"/>
      <c r="BB237" s="310"/>
      <c r="BC237" s="310"/>
      <c r="BD237" s="310"/>
      <c r="BE237" s="544">
        <f t="shared" si="142"/>
        <v>0</v>
      </c>
      <c r="BF237" s="525"/>
      <c r="BG237" s="310"/>
      <c r="BH237" s="310"/>
      <c r="BI237" s="310"/>
      <c r="BJ237" s="310"/>
      <c r="BK237" s="310"/>
      <c r="BL237" s="310"/>
      <c r="BM237" s="544">
        <f t="shared" si="143"/>
        <v>0</v>
      </c>
      <c r="BN237" s="525"/>
      <c r="BO237" s="310"/>
      <c r="BP237" s="310"/>
      <c r="BQ237" s="310"/>
      <c r="BR237" s="310"/>
      <c r="BS237" s="310"/>
      <c r="BT237" s="310"/>
      <c r="BU237" s="544">
        <f t="shared" si="144"/>
        <v>0</v>
      </c>
      <c r="BV237" s="556"/>
      <c r="BW237" s="663">
        <f t="shared" si="133"/>
        <v>0.9</v>
      </c>
      <c r="BX237" s="1047">
        <f t="shared" si="136"/>
        <v>0.9</v>
      </c>
      <c r="BY237" s="1047">
        <f t="shared" si="157"/>
        <v>0.5</v>
      </c>
      <c r="BZ237" s="1047" t="str">
        <f t="shared" si="158"/>
        <v>Aplazada</v>
      </c>
      <c r="CA237" s="1047">
        <f t="shared" si="159"/>
        <v>1</v>
      </c>
      <c r="CB237" s="1047">
        <f t="shared" si="160"/>
        <v>0</v>
      </c>
      <c r="CD237" t="str">
        <f t="shared" si="161"/>
        <v>AMB</v>
      </c>
      <c r="CE237" t="str">
        <f t="shared" si="161"/>
        <v>AZ</v>
      </c>
      <c r="CF237" t="str">
        <f t="shared" si="161"/>
        <v>VE</v>
      </c>
      <c r="CG237" t="str">
        <f t="shared" si="161"/>
        <v>ROB</v>
      </c>
    </row>
    <row r="238" spans="1:85" ht="65.25" hidden="1" customHeight="1" x14ac:dyDescent="0.25">
      <c r="A238" s="298" t="s">
        <v>491</v>
      </c>
      <c r="B238" s="299" t="str">
        <f>'PLAN INDICATIVO'!B238</f>
        <v>Atención a grupos vulnerables - promoción social</v>
      </c>
      <c r="C238" s="1559"/>
      <c r="D238" s="1549"/>
      <c r="E238" s="1549"/>
      <c r="F238" s="1549"/>
      <c r="G238" s="1562"/>
      <c r="H238" s="1562"/>
      <c r="I238" s="300">
        <f>'PLAN INDICATIVO'!I238</f>
        <v>0</v>
      </c>
      <c r="J238" s="300">
        <f>'PLAN INDICATIVO'!J238</f>
        <v>0</v>
      </c>
      <c r="K238" s="1428" t="str">
        <f>'PLAN INDICATIVO'!K238</f>
        <v>A.14.5.25</v>
      </c>
      <c r="L238" s="301" t="str">
        <f>'PLAN INDICATIVO'!L238</f>
        <v>10. Reducción de las desigualdades</v>
      </c>
      <c r="M238" s="301" t="str">
        <f>'PLAN INDICATIVO'!M238</f>
        <v>Secretaría de Gobierno</v>
      </c>
      <c r="N238" s="1425" t="str">
        <f>'PLAN INDICATIVO'!N238</f>
        <v>HERNAN RODRIGUEZ FALLA</v>
      </c>
      <c r="O238" s="1425" t="str">
        <f>'PLAN INDICATIVO'!O238</f>
        <v>Mantenimiento</v>
      </c>
      <c r="P238" s="74" t="str">
        <f>'PLAN INDICATIVO'!P238</f>
        <v>Implementar 1 programa de apoyo a otros grupos de población vulnerable, cada año</v>
      </c>
      <c r="Q238" s="302" t="str">
        <f>'PLAN INDICATIVO'!Q238</f>
        <v>No. de programas de aopoyo implementados por año</v>
      </c>
      <c r="R238" s="303">
        <f>'PLAN INDICATIVO'!R238</f>
        <v>2015</v>
      </c>
      <c r="S238" s="304">
        <v>1</v>
      </c>
      <c r="T238" s="699">
        <v>1</v>
      </c>
      <c r="U238" s="934">
        <v>0.25</v>
      </c>
      <c r="V238" s="687">
        <v>18000000</v>
      </c>
      <c r="W238" s="934">
        <v>0.25</v>
      </c>
      <c r="X238" s="687">
        <v>1000000</v>
      </c>
      <c r="Y238" s="934">
        <v>0.25</v>
      </c>
      <c r="Z238" s="687">
        <v>1000000</v>
      </c>
      <c r="AA238" s="1311">
        <v>0.36</v>
      </c>
      <c r="AB238" s="687">
        <v>1000000</v>
      </c>
      <c r="AC238" s="669">
        <v>0.25</v>
      </c>
      <c r="AD238" s="669">
        <v>0.14000000000000001</v>
      </c>
      <c r="AE238" s="669">
        <v>0.25</v>
      </c>
      <c r="AF238" s="669"/>
      <c r="AG238" s="341" t="s">
        <v>3649</v>
      </c>
      <c r="AH238" s="987">
        <v>2018413960018</v>
      </c>
      <c r="AI238" s="150" t="s">
        <v>4159</v>
      </c>
      <c r="AJ238" s="363"/>
      <c r="AK238" s="363"/>
      <c r="AL238" s="358"/>
      <c r="AM238" s="358"/>
      <c r="AN238" s="267" t="s">
        <v>2598</v>
      </c>
      <c r="AO238" s="512"/>
      <c r="AP238" s="720"/>
      <c r="AQ238" s="721"/>
      <c r="AR238" s="721"/>
      <c r="AS238" s="721"/>
      <c r="AT238" s="721"/>
      <c r="AU238" s="721"/>
      <c r="AV238" s="721"/>
      <c r="AW238" s="544"/>
      <c r="AX238" s="525"/>
      <c r="AY238" s="310"/>
      <c r="AZ238" s="310"/>
      <c r="BA238" s="310"/>
      <c r="BB238" s="310"/>
      <c r="BC238" s="310"/>
      <c r="BD238" s="310"/>
      <c r="BE238" s="544">
        <f t="shared" si="142"/>
        <v>0</v>
      </c>
      <c r="BF238" s="525"/>
      <c r="BG238" s="310"/>
      <c r="BH238" s="310"/>
      <c r="BI238" s="310"/>
      <c r="BJ238" s="310"/>
      <c r="BK238" s="310"/>
      <c r="BL238" s="310"/>
      <c r="BM238" s="544">
        <f t="shared" si="143"/>
        <v>0</v>
      </c>
      <c r="BN238" s="525"/>
      <c r="BO238" s="310"/>
      <c r="BP238" s="310"/>
      <c r="BQ238" s="310"/>
      <c r="BR238" s="310"/>
      <c r="BS238" s="310"/>
      <c r="BT238" s="310"/>
      <c r="BU238" s="544">
        <f t="shared" si="144"/>
        <v>0</v>
      </c>
      <c r="BV238" s="556"/>
      <c r="BW238" s="663">
        <f t="shared" si="133"/>
        <v>0.64</v>
      </c>
      <c r="BX238" s="1047">
        <f t="shared" si="136"/>
        <v>0.64</v>
      </c>
      <c r="BY238" s="1047">
        <f t="shared" si="157"/>
        <v>1</v>
      </c>
      <c r="BZ238" s="1047">
        <f t="shared" si="158"/>
        <v>0.56000000000000005</v>
      </c>
      <c r="CA238" s="1047">
        <f t="shared" si="159"/>
        <v>1</v>
      </c>
      <c r="CB238" s="1047">
        <f t="shared" si="160"/>
        <v>0</v>
      </c>
      <c r="CD238" t="str">
        <f t="shared" si="161"/>
        <v>VE</v>
      </c>
      <c r="CE238" t="str">
        <f t="shared" si="161"/>
        <v>AMB</v>
      </c>
      <c r="CF238" t="str">
        <f t="shared" si="161"/>
        <v>VE</v>
      </c>
      <c r="CG238" t="str">
        <f t="shared" si="161"/>
        <v>ROB</v>
      </c>
    </row>
    <row r="239" spans="1:85" ht="79.5" hidden="1" customHeight="1" x14ac:dyDescent="0.25">
      <c r="A239" s="298" t="s">
        <v>491</v>
      </c>
      <c r="B239" s="299" t="str">
        <f>'PLAN INDICATIVO'!B239</f>
        <v>Atención a grupos vulnerables - promoción social</v>
      </c>
      <c r="C239" s="1559"/>
      <c r="D239" s="1549"/>
      <c r="E239" s="1549"/>
      <c r="F239" s="1549"/>
      <c r="G239" s="1562"/>
      <c r="H239" s="1562"/>
      <c r="I239" s="300">
        <f>'PLAN INDICATIVO'!I239</f>
        <v>0</v>
      </c>
      <c r="J239" s="300">
        <f>'PLAN INDICATIVO'!J239</f>
        <v>0</v>
      </c>
      <c r="K239" s="1428" t="str">
        <f>'PLAN INDICATIVO'!K239</f>
        <v>A.14.5.26</v>
      </c>
      <c r="L239" s="301" t="str">
        <f>'PLAN INDICATIVO'!L239</f>
        <v>1. Fin de la Pobreza</v>
      </c>
      <c r="M239" s="301" t="str">
        <f>'PLAN INDICATIVO'!M239</f>
        <v>Secretaría de Gobierno</v>
      </c>
      <c r="N239" s="1425" t="str">
        <f>'PLAN INDICATIVO'!N239</f>
        <v>HERNAN RODRIGUEZ FALLA</v>
      </c>
      <c r="O239" s="1425" t="str">
        <f>'PLAN INDICATIVO'!O239</f>
        <v>Mantenimiento</v>
      </c>
      <c r="P239" s="74" t="str">
        <f>'PLAN INDICATIVO'!P239</f>
        <v>Implementar 1 programa  para la superación de la pobreza  extrema en el marco de la red unidos y más familias en acción, entre otros, cada año</v>
      </c>
      <c r="Q239" s="302" t="str">
        <f>'PLAN INDICATIVO'!Q239</f>
        <v>No. de programas implementados</v>
      </c>
      <c r="R239" s="303">
        <f>'PLAN INDICATIVO'!R239</f>
        <v>2015</v>
      </c>
      <c r="S239" s="304">
        <v>1</v>
      </c>
      <c r="T239" s="699">
        <v>1</v>
      </c>
      <c r="U239" s="934">
        <v>0.25</v>
      </c>
      <c r="V239" s="687">
        <v>35000000</v>
      </c>
      <c r="W239" s="934">
        <v>0.25</v>
      </c>
      <c r="X239" s="687">
        <v>41000000</v>
      </c>
      <c r="Y239" s="934">
        <v>0.25</v>
      </c>
      <c r="Z239" s="687">
        <v>41000000</v>
      </c>
      <c r="AA239" s="1311">
        <v>0.36</v>
      </c>
      <c r="AB239" s="687">
        <v>41000000</v>
      </c>
      <c r="AC239" s="669">
        <v>0.25</v>
      </c>
      <c r="AD239" s="669">
        <v>0.25</v>
      </c>
      <c r="AE239" s="669">
        <v>0.25</v>
      </c>
      <c r="AF239" s="669"/>
      <c r="AG239" s="341" t="s">
        <v>3649</v>
      </c>
      <c r="AH239" s="987">
        <v>2018413960018</v>
      </c>
      <c r="AI239" s="355"/>
      <c r="AJ239" s="363"/>
      <c r="AK239" s="363"/>
      <c r="AL239" s="358"/>
      <c r="AM239" s="358"/>
      <c r="AN239" s="267" t="s">
        <v>2598</v>
      </c>
      <c r="AO239" s="512"/>
      <c r="AP239" s="720"/>
      <c r="AQ239" s="721"/>
      <c r="AR239" s="721"/>
      <c r="AS239" s="721"/>
      <c r="AT239" s="721"/>
      <c r="AU239" s="721"/>
      <c r="AV239" s="721"/>
      <c r="AW239" s="544"/>
      <c r="AX239" s="525"/>
      <c r="AY239" s="310"/>
      <c r="AZ239" s="310"/>
      <c r="BA239" s="310"/>
      <c r="BB239" s="310"/>
      <c r="BC239" s="310"/>
      <c r="BD239" s="310"/>
      <c r="BE239" s="544">
        <f t="shared" si="142"/>
        <v>0</v>
      </c>
      <c r="BF239" s="525"/>
      <c r="BG239" s="310"/>
      <c r="BH239" s="310"/>
      <c r="BI239" s="310"/>
      <c r="BJ239" s="310"/>
      <c r="BK239" s="310"/>
      <c r="BL239" s="310"/>
      <c r="BM239" s="544">
        <f t="shared" si="143"/>
        <v>0</v>
      </c>
      <c r="BN239" s="525"/>
      <c r="BO239" s="310"/>
      <c r="BP239" s="310"/>
      <c r="BQ239" s="310"/>
      <c r="BR239" s="310"/>
      <c r="BS239" s="310"/>
      <c r="BT239" s="310"/>
      <c r="BU239" s="544">
        <f t="shared" si="144"/>
        <v>0</v>
      </c>
      <c r="BV239" s="556"/>
      <c r="BW239" s="663">
        <f t="shared" si="133"/>
        <v>0.75</v>
      </c>
      <c r="BX239" s="1047">
        <f t="shared" si="136"/>
        <v>0.75</v>
      </c>
      <c r="BY239" s="1047">
        <f t="shared" si="157"/>
        <v>1</v>
      </c>
      <c r="BZ239" s="1047">
        <f t="shared" si="158"/>
        <v>1</v>
      </c>
      <c r="CA239" s="1047">
        <f t="shared" si="159"/>
        <v>1</v>
      </c>
      <c r="CB239" s="1047">
        <f t="shared" si="160"/>
        <v>0</v>
      </c>
      <c r="CD239" t="str">
        <f t="shared" si="161"/>
        <v>VE</v>
      </c>
      <c r="CE239" t="str">
        <f t="shared" si="161"/>
        <v>VE</v>
      </c>
      <c r="CF239" t="str">
        <f t="shared" si="161"/>
        <v>VE</v>
      </c>
      <c r="CG239" t="str">
        <f t="shared" si="161"/>
        <v>ROB</v>
      </c>
    </row>
    <row r="240" spans="1:85" ht="79.5" hidden="1" customHeight="1" x14ac:dyDescent="0.25">
      <c r="A240" s="298" t="s">
        <v>491</v>
      </c>
      <c r="B240" s="299" t="str">
        <f>'PLAN INDICATIVO'!B240</f>
        <v>Atención a grupos vulnerables - promoción social</v>
      </c>
      <c r="C240" s="1429"/>
      <c r="D240" s="1549"/>
      <c r="E240" s="1549"/>
      <c r="F240" s="1425"/>
      <c r="G240" s="1562"/>
      <c r="H240" s="1562"/>
      <c r="I240" s="300">
        <f>'PLAN INDICATIVO'!I240</f>
        <v>0</v>
      </c>
      <c r="J240" s="300">
        <f>'PLAN INDICATIVO'!J240</f>
        <v>0</v>
      </c>
      <c r="K240" s="1371" t="str">
        <f>'PLAN INDICATIVO'!K240</f>
        <v>A.14.5.27</v>
      </c>
      <c r="L240" s="1368" t="str">
        <f>'PLAN INDICATIVO'!L240</f>
        <v>1. Fin de la Pobreza</v>
      </c>
      <c r="M240" s="1368" t="str">
        <f>'PLAN INDICATIVO'!M240</f>
        <v>Secretaría de Gobierno</v>
      </c>
      <c r="N240" s="67" t="str">
        <f>'PLAN INDICATIVO'!N240</f>
        <v>HERNAN RODRIGUEZ FALLA</v>
      </c>
      <c r="O240" s="1378"/>
      <c r="P240" s="1397" t="str">
        <f>'PLAN INDICATIVO'!P240</f>
        <v>Celebrar el día de la Afrocolombianidad cada año</v>
      </c>
      <c r="Q240" s="302" t="str">
        <f>'PLAN INDICATIVO'!Q240</f>
        <v>Dia de la afrocolombianidad celebrado</v>
      </c>
      <c r="R240" s="303"/>
      <c r="S240" s="304"/>
      <c r="T240" s="699">
        <v>2</v>
      </c>
      <c r="U240" s="934"/>
      <c r="V240" s="687"/>
      <c r="W240" s="934"/>
      <c r="X240" s="687"/>
      <c r="Y240" s="934"/>
      <c r="Z240" s="687"/>
      <c r="AA240" s="1311"/>
      <c r="AB240" s="687"/>
      <c r="AC240" s="669"/>
      <c r="AD240" s="669"/>
      <c r="AE240" s="669"/>
      <c r="AF240" s="669"/>
      <c r="AG240" s="341"/>
      <c r="AH240" s="987"/>
      <c r="AI240" s="355"/>
      <c r="AJ240" s="363"/>
      <c r="AK240" s="363"/>
      <c r="AL240" s="358"/>
      <c r="AM240" s="358"/>
      <c r="AN240" s="267"/>
      <c r="AO240" s="512"/>
      <c r="AP240" s="720"/>
      <c r="AQ240" s="1394"/>
      <c r="AR240" s="1394"/>
      <c r="AS240" s="1394"/>
      <c r="AT240" s="1394"/>
      <c r="AU240" s="1394"/>
      <c r="AV240" s="1394"/>
      <c r="AW240" s="544"/>
      <c r="AX240" s="525"/>
      <c r="AY240" s="766"/>
      <c r="AZ240" s="766"/>
      <c r="BA240" s="766"/>
      <c r="BB240" s="766"/>
      <c r="BC240" s="766"/>
      <c r="BD240" s="766"/>
      <c r="BE240" s="544"/>
      <c r="BF240" s="525"/>
      <c r="BG240" s="766"/>
      <c r="BH240" s="766"/>
      <c r="BI240" s="766"/>
      <c r="BJ240" s="766"/>
      <c r="BK240" s="766"/>
      <c r="BL240" s="766"/>
      <c r="BM240" s="544"/>
      <c r="BN240" s="525"/>
      <c r="BO240" s="766"/>
      <c r="BP240" s="766"/>
      <c r="BQ240" s="766"/>
      <c r="BR240" s="766"/>
      <c r="BS240" s="766"/>
      <c r="BT240" s="766"/>
      <c r="BU240" s="544"/>
      <c r="BV240" s="556"/>
      <c r="BW240" s="1362"/>
      <c r="BX240" s="1363"/>
      <c r="BY240" s="1363"/>
      <c r="BZ240" s="1363"/>
      <c r="CA240" s="1363"/>
      <c r="CB240" s="1047"/>
    </row>
    <row r="241" spans="1:85" ht="13.5" hidden="1" customHeight="1" x14ac:dyDescent="0.25">
      <c r="A241" s="295"/>
      <c r="B241" s="24" t="str">
        <f>'PLAN INDICATIVO'!B241</f>
        <v>Atención a grupos vulnerables - promoción social</v>
      </c>
      <c r="C241" s="1574" t="s">
        <v>743</v>
      </c>
      <c r="D241" s="1575"/>
      <c r="E241" s="1575"/>
      <c r="F241" s="1575"/>
      <c r="G241" s="1575"/>
      <c r="H241" s="1575"/>
      <c r="I241" s="1575"/>
      <c r="J241" s="1575"/>
      <c r="K241" s="1575"/>
      <c r="L241" s="1575"/>
      <c r="M241" s="1575"/>
      <c r="N241" s="1575"/>
      <c r="O241" s="1576"/>
      <c r="P241" s="369" t="s">
        <v>744</v>
      </c>
      <c r="Q241" s="22"/>
      <c r="R241" s="1"/>
      <c r="S241" s="261"/>
      <c r="T241" s="681"/>
      <c r="U241" s="261"/>
      <c r="V241" s="689">
        <f>SUM(V242:V258)</f>
        <v>47400000</v>
      </c>
      <c r="W241" s="261"/>
      <c r="X241" s="689">
        <f>SUM(X242:X258)</f>
        <v>49030000</v>
      </c>
      <c r="Y241" s="261"/>
      <c r="Z241" s="689">
        <f>SUM(Z242:Z258)</f>
        <v>49700000</v>
      </c>
      <c r="AA241" s="261"/>
      <c r="AB241" s="689">
        <f>SUM(AB242:AB258)</f>
        <v>51600000</v>
      </c>
      <c r="AC241" s="261"/>
      <c r="AD241" s="261"/>
      <c r="AE241" s="261"/>
      <c r="AF241" s="261"/>
      <c r="AG241" s="273"/>
      <c r="AH241" s="273"/>
      <c r="AI241" s="273"/>
      <c r="AJ241" s="261"/>
      <c r="AK241" s="261"/>
      <c r="AL241" s="261"/>
      <c r="AM241" s="261"/>
      <c r="AN241" s="261"/>
      <c r="AO241" s="635"/>
      <c r="AP241" s="616"/>
      <c r="AQ241" s="616"/>
      <c r="AR241" s="616"/>
      <c r="AS241" s="616"/>
      <c r="AT241" s="616"/>
      <c r="AU241" s="616"/>
      <c r="AV241" s="616"/>
      <c r="AW241" s="617"/>
      <c r="AX241" s="616" t="e">
        <f>(AX242:AX258)</f>
        <v>#VALUE!</v>
      </c>
      <c r="AY241" s="616" t="e">
        <f t="shared" ref="AY241:BD241" si="162">(AY242:AY258)</f>
        <v>#VALUE!</v>
      </c>
      <c r="AZ241" s="616" t="e">
        <f t="shared" si="162"/>
        <v>#VALUE!</v>
      </c>
      <c r="BA241" s="616" t="e">
        <f t="shared" si="162"/>
        <v>#VALUE!</v>
      </c>
      <c r="BB241" s="616" t="e">
        <f t="shared" si="162"/>
        <v>#VALUE!</v>
      </c>
      <c r="BC241" s="616" t="e">
        <f t="shared" si="162"/>
        <v>#VALUE!</v>
      </c>
      <c r="BD241" s="616" t="e">
        <f t="shared" si="162"/>
        <v>#VALUE!</v>
      </c>
      <c r="BE241" s="617" t="e">
        <f t="shared" si="142"/>
        <v>#VALUE!</v>
      </c>
      <c r="BF241" s="616"/>
      <c r="BG241" s="616"/>
      <c r="BH241" s="616"/>
      <c r="BI241" s="616"/>
      <c r="BJ241" s="616"/>
      <c r="BK241" s="616"/>
      <c r="BL241" s="616"/>
      <c r="BM241" s="617">
        <f t="shared" si="143"/>
        <v>0</v>
      </c>
      <c r="BN241" s="616" t="e">
        <f>(BN242:BN258)</f>
        <v>#VALUE!</v>
      </c>
      <c r="BO241" s="616" t="e">
        <f t="shared" ref="BO241:BT241" si="163">(BO242:BO258)</f>
        <v>#VALUE!</v>
      </c>
      <c r="BP241" s="616" t="e">
        <f t="shared" si="163"/>
        <v>#VALUE!</v>
      </c>
      <c r="BQ241" s="616" t="e">
        <f t="shared" si="163"/>
        <v>#VALUE!</v>
      </c>
      <c r="BR241" s="616" t="e">
        <f t="shared" si="163"/>
        <v>#VALUE!</v>
      </c>
      <c r="BS241" s="616" t="e">
        <f t="shared" si="163"/>
        <v>#VALUE!</v>
      </c>
      <c r="BT241" s="616" t="e">
        <f t="shared" si="163"/>
        <v>#VALUE!</v>
      </c>
      <c r="BU241" s="617" t="e">
        <f t="shared" si="144"/>
        <v>#VALUE!</v>
      </c>
      <c r="BV241" s="556"/>
      <c r="BW241" s="617" t="s">
        <v>2717</v>
      </c>
      <c r="BX241" s="617" t="s">
        <v>2717</v>
      </c>
      <c r="BY241" s="617" t="s">
        <v>2717</v>
      </c>
      <c r="BZ241" s="617" t="s">
        <v>2717</v>
      </c>
      <c r="CA241" s="617" t="s">
        <v>2717</v>
      </c>
      <c r="CB241" s="1047" t="s">
        <v>2717</v>
      </c>
    </row>
    <row r="242" spans="1:85" ht="97.5" hidden="1" customHeight="1" x14ac:dyDescent="0.25">
      <c r="A242" s="298" t="s">
        <v>491</v>
      </c>
      <c r="B242" s="299" t="str">
        <f>'PLAN INDICATIVO'!B242</f>
        <v>Atención a grupos vulnerables - promoción social</v>
      </c>
      <c r="C242" s="1546" t="s">
        <v>745</v>
      </c>
      <c r="D242" s="1550" t="s">
        <v>746</v>
      </c>
      <c r="E242" s="1550" t="s">
        <v>747</v>
      </c>
      <c r="F242" s="1550">
        <v>2015</v>
      </c>
      <c r="G242" s="1550">
        <v>1</v>
      </c>
      <c r="H242" s="1550">
        <v>1</v>
      </c>
      <c r="I242" s="300">
        <f>'PLAN INDICATIVO'!I242</f>
        <v>0</v>
      </c>
      <c r="J242" s="300">
        <f>'PLAN INDICATIVO'!J242</f>
        <v>0</v>
      </c>
      <c r="K242" s="1425" t="str">
        <f>'PLAN INDICATIVO'!K242</f>
        <v>A.14.6.1</v>
      </c>
      <c r="L242" s="301" t="str">
        <f>'PLAN INDICATIVO'!L242</f>
        <v>10. Reducción de las desigualdades</v>
      </c>
      <c r="M242" s="301" t="str">
        <f>'PLAN INDICATIVO'!M242</f>
        <v>Secretaría de Gobierno</v>
      </c>
      <c r="N242" s="1425" t="str">
        <f>'PLAN INDICATIVO'!N242</f>
        <v>HERNAN RODRIGUEZ FALLA</v>
      </c>
      <c r="O242" s="1425" t="str">
        <f>'PLAN INDICATIVO'!O242</f>
        <v>Incremento</v>
      </c>
      <c r="P242" s="16" t="str">
        <f>'PLAN INDICATIVO'!P242</f>
        <v>Realizar 16  plenarias de mesa de trabajo para garantizar la participación de la construcción política de victimas durante el cuatrienio</v>
      </c>
      <c r="Q242" s="302" t="str">
        <f>'PLAN INDICATIVO'!Q242</f>
        <v>No. De mesa de trabajo realizadas</v>
      </c>
      <c r="R242" s="303">
        <f>'PLAN INDICATIVO'!R242</f>
        <v>2015</v>
      </c>
      <c r="S242" s="304">
        <v>4</v>
      </c>
      <c r="T242" s="699">
        <v>16</v>
      </c>
      <c r="U242" s="303">
        <v>4</v>
      </c>
      <c r="V242" s="687">
        <v>6500000</v>
      </c>
      <c r="W242" s="303">
        <v>4</v>
      </c>
      <c r="X242" s="687">
        <v>2500000</v>
      </c>
      <c r="Y242" s="286">
        <v>4</v>
      </c>
      <c r="Z242" s="1233">
        <v>4000000</v>
      </c>
      <c r="AA242" s="291">
        <v>4</v>
      </c>
      <c r="AB242" s="687">
        <v>4500000</v>
      </c>
      <c r="AC242" s="669">
        <v>4</v>
      </c>
      <c r="AD242" s="669">
        <v>4</v>
      </c>
      <c r="AE242" s="669">
        <v>4</v>
      </c>
      <c r="AF242" s="669"/>
      <c r="AG242" s="341" t="s">
        <v>3649</v>
      </c>
      <c r="AH242" s="987">
        <v>2018413960018</v>
      </c>
      <c r="AI242" s="355" t="s">
        <v>4160</v>
      </c>
      <c r="AJ242" s="363">
        <v>43160</v>
      </c>
      <c r="AK242" s="363">
        <v>43449</v>
      </c>
      <c r="AL242" s="358"/>
      <c r="AM242" s="358"/>
      <c r="AN242" s="267" t="s">
        <v>2598</v>
      </c>
      <c r="AO242" s="512" t="s">
        <v>4161</v>
      </c>
      <c r="AP242" s="528"/>
      <c r="AQ242" s="472"/>
      <c r="AR242" s="472"/>
      <c r="AS242" s="472"/>
      <c r="AT242" s="472"/>
      <c r="AU242" s="472"/>
      <c r="AV242" s="472"/>
      <c r="AW242" s="544"/>
      <c r="AX242" s="528"/>
      <c r="AY242" s="472"/>
      <c r="AZ242" s="472"/>
      <c r="BA242" s="472"/>
      <c r="BB242" s="472"/>
      <c r="BC242" s="472"/>
      <c r="BD242" s="472"/>
      <c r="BE242" s="544">
        <f t="shared" si="142"/>
        <v>0</v>
      </c>
      <c r="BF242" s="528">
        <f>3408000+839833+820302</f>
        <v>5068135</v>
      </c>
      <c r="BG242" s="472"/>
      <c r="BH242" s="472"/>
      <c r="BI242" s="472"/>
      <c r="BJ242" s="472"/>
      <c r="BK242" s="472"/>
      <c r="BL242" s="472"/>
      <c r="BM242" s="544">
        <f t="shared" si="143"/>
        <v>5068135</v>
      </c>
      <c r="BN242" s="528"/>
      <c r="BO242" s="472"/>
      <c r="BP242" s="472"/>
      <c r="BQ242" s="472"/>
      <c r="BR242" s="472"/>
      <c r="BS242" s="472"/>
      <c r="BT242" s="472"/>
      <c r="BU242" s="544">
        <f t="shared" si="144"/>
        <v>0</v>
      </c>
      <c r="BV242" s="556"/>
      <c r="BW242" s="663">
        <f t="shared" si="133"/>
        <v>12</v>
      </c>
      <c r="BX242" s="1047">
        <f t="shared" si="136"/>
        <v>0.75</v>
      </c>
      <c r="BY242" s="1047">
        <f t="shared" ref="BY242:BY258" si="164">IF(U242&gt;=0.1,AC242/U242,IF(ISBLANK(U242),"No Programada","Aplazada"))</f>
        <v>1</v>
      </c>
      <c r="BZ242" s="1047">
        <f t="shared" ref="BZ242:BZ258" si="165">IF(W242&gt;=0.1,AD242/W242,IF(ISBLANK(W242),"No Programada","Aplazada"))</f>
        <v>1</v>
      </c>
      <c r="CA242" s="1047">
        <f t="shared" ref="CA242:CA258" si="166">IF(Y242&gt;=0.1,AE242/Y242,IF(ISBLANK(Y242),"No Programada","Aplazada"))</f>
        <v>1</v>
      </c>
      <c r="CB242" s="1047">
        <f t="shared" ref="CB242:CB258" si="167">IF(AA242&gt;=0.1,AF242/AA242,IF(ISBLANK(AA242),"No Programada","Aplazada"))</f>
        <v>0</v>
      </c>
      <c r="CD242" t="str">
        <f t="shared" ref="CD242:CG258" si="168">IF(BY242="PARA MODIFICAR","M",IF(BY242="PARA ELIMINAR","E",IF(BY242="aplazada","AZ",IF(BY242="no programada","NP",IF(BY242&gt;=85%,"VE",IF(BY242&gt;70%,"VEB",IF(BY242&gt;60%,"AM",IF(BY242&gt;40%,"AMB",IF(BY242&gt;20%,"RO",IF(BY242&gt;=0%,"ROB",""))))))))))</f>
        <v>VE</v>
      </c>
      <c r="CE242" t="str">
        <f t="shared" si="168"/>
        <v>VE</v>
      </c>
      <c r="CF242" t="str">
        <f t="shared" si="168"/>
        <v>VE</v>
      </c>
      <c r="CG242" t="str">
        <f t="shared" si="168"/>
        <v>ROB</v>
      </c>
    </row>
    <row r="243" spans="1:85" ht="62.25" hidden="1" customHeight="1" x14ac:dyDescent="0.25">
      <c r="A243" s="298" t="s">
        <v>491</v>
      </c>
      <c r="B243" s="299" t="str">
        <f>'PLAN INDICATIVO'!B243</f>
        <v>Atención a grupos vulnerables - promoción social</v>
      </c>
      <c r="C243" s="1547"/>
      <c r="D243" s="1551"/>
      <c r="E243" s="1551"/>
      <c r="F243" s="1551"/>
      <c r="G243" s="1551"/>
      <c r="H243" s="1551"/>
      <c r="I243" s="300">
        <f>'PLAN INDICATIVO'!I243</f>
        <v>0</v>
      </c>
      <c r="J243" s="300">
        <f>'PLAN INDICATIVO'!J243</f>
        <v>0</v>
      </c>
      <c r="K243" s="1425" t="str">
        <f>'PLAN INDICATIVO'!K243</f>
        <v>A.14.6.2</v>
      </c>
      <c r="L243" s="301" t="str">
        <f>'PLAN INDICATIVO'!L243</f>
        <v>10. Reducción de las desigualdades</v>
      </c>
      <c r="M243" s="301" t="str">
        <f>'PLAN INDICATIVO'!M243</f>
        <v>Secretaría de Gobierno</v>
      </c>
      <c r="N243" s="1425" t="str">
        <f>'PLAN INDICATIVO'!N243</f>
        <v>HERNAN RODRIGUEZ FALLA</v>
      </c>
      <c r="O243" s="1425" t="str">
        <f>'PLAN INDICATIVO'!O243</f>
        <v>Mantenimiento</v>
      </c>
      <c r="P243" s="16" t="str">
        <f>'PLAN INDICATIVO'!P243</f>
        <v>1 estrategia implementada cada año mediante los enlaces municipales, para atención integral de la población víctima</v>
      </c>
      <c r="Q243" s="302" t="str">
        <f>'PLAN INDICATIVO'!Q243</f>
        <v>No. De estrategias implementadas por año</v>
      </c>
      <c r="R243" s="303">
        <f>'PLAN INDICATIVO'!R243</f>
        <v>2015</v>
      </c>
      <c r="S243" s="304">
        <v>1</v>
      </c>
      <c r="T243" s="699">
        <v>1</v>
      </c>
      <c r="U243" s="303">
        <v>1</v>
      </c>
      <c r="V243" s="687">
        <v>11600000</v>
      </c>
      <c r="W243" s="303">
        <v>1</v>
      </c>
      <c r="X243" s="687">
        <v>12500000</v>
      </c>
      <c r="Y243" s="286">
        <v>1</v>
      </c>
      <c r="Z243" s="1233">
        <v>12500000</v>
      </c>
      <c r="AA243" s="291">
        <v>1</v>
      </c>
      <c r="AB243" s="687">
        <v>13000000</v>
      </c>
      <c r="AC243" s="669">
        <v>1</v>
      </c>
      <c r="AD243" s="669">
        <v>1</v>
      </c>
      <c r="AE243" s="669">
        <v>1</v>
      </c>
      <c r="AF243" s="669"/>
      <c r="AG243" s="341" t="s">
        <v>3649</v>
      </c>
      <c r="AH243" s="987">
        <v>2018413960018</v>
      </c>
      <c r="AI243" s="355" t="s">
        <v>4162</v>
      </c>
      <c r="AJ243" s="363">
        <v>43116</v>
      </c>
      <c r="AK243" s="363">
        <v>43449</v>
      </c>
      <c r="AL243" s="358"/>
      <c r="AM243" s="358"/>
      <c r="AN243" s="267" t="s">
        <v>2598</v>
      </c>
      <c r="AO243" s="512" t="s">
        <v>4163</v>
      </c>
      <c r="AP243" s="528"/>
      <c r="AQ243" s="472"/>
      <c r="AR243" s="472"/>
      <c r="AS243" s="472"/>
      <c r="AT243" s="472"/>
      <c r="AU243" s="472"/>
      <c r="AV243" s="472"/>
      <c r="AW243" s="544"/>
      <c r="AX243" s="528"/>
      <c r="AY243" s="472"/>
      <c r="AZ243" s="472"/>
      <c r="BA243" s="472"/>
      <c r="BB243" s="472"/>
      <c r="BC243" s="472"/>
      <c r="BD243" s="472"/>
      <c r="BE243" s="544">
        <f t="shared" si="142"/>
        <v>0</v>
      </c>
      <c r="BF243" s="528">
        <f>3076700+1500000+1500000</f>
        <v>6076700</v>
      </c>
      <c r="BG243" s="472">
        <v>1500000</v>
      </c>
      <c r="BH243" s="472"/>
      <c r="BI243" s="472"/>
      <c r="BJ243" s="472"/>
      <c r="BK243" s="472"/>
      <c r="BL243" s="472"/>
      <c r="BM243" s="544">
        <f t="shared" si="143"/>
        <v>7576700</v>
      </c>
      <c r="BN243" s="528"/>
      <c r="BO243" s="472"/>
      <c r="BP243" s="472"/>
      <c r="BQ243" s="472"/>
      <c r="BR243" s="472"/>
      <c r="BS243" s="472"/>
      <c r="BT243" s="472"/>
      <c r="BU243" s="544">
        <f t="shared" si="144"/>
        <v>0</v>
      </c>
      <c r="BV243" s="556"/>
      <c r="BW243" s="663">
        <f t="shared" si="133"/>
        <v>3</v>
      </c>
      <c r="BX243" s="1047">
        <f t="shared" si="136"/>
        <v>3</v>
      </c>
      <c r="BY243" s="1047">
        <f t="shared" si="164"/>
        <v>1</v>
      </c>
      <c r="BZ243" s="1047">
        <f t="shared" si="165"/>
        <v>1</v>
      </c>
      <c r="CA243" s="1047">
        <f t="shared" si="166"/>
        <v>1</v>
      </c>
      <c r="CB243" s="1047">
        <f t="shared" si="167"/>
        <v>0</v>
      </c>
      <c r="CD243" t="str">
        <f t="shared" si="168"/>
        <v>VE</v>
      </c>
      <c r="CE243" t="str">
        <f t="shared" si="168"/>
        <v>VE</v>
      </c>
      <c r="CF243" t="str">
        <f t="shared" si="168"/>
        <v>VE</v>
      </c>
      <c r="CG243" t="str">
        <f t="shared" si="168"/>
        <v>ROB</v>
      </c>
    </row>
    <row r="244" spans="1:85" ht="72.75" hidden="1" customHeight="1" x14ac:dyDescent="0.25">
      <c r="A244" s="298" t="s">
        <v>491</v>
      </c>
      <c r="B244" s="299" t="str">
        <f>'PLAN INDICATIVO'!B244</f>
        <v>Atención a grupos vulnerables - promoción social</v>
      </c>
      <c r="C244" s="1547"/>
      <c r="D244" s="1551"/>
      <c r="E244" s="1551"/>
      <c r="F244" s="1551"/>
      <c r="G244" s="1551"/>
      <c r="H244" s="1551"/>
      <c r="I244" s="300">
        <f>'PLAN INDICATIVO'!I244</f>
        <v>0</v>
      </c>
      <c r="J244" s="300">
        <f>'PLAN INDICATIVO'!J244</f>
        <v>0</v>
      </c>
      <c r="K244" s="1425" t="str">
        <f>'PLAN INDICATIVO'!K244</f>
        <v>A.14.6.3</v>
      </c>
      <c r="L244" s="301" t="str">
        <f>'PLAN INDICATIVO'!L244</f>
        <v>10. Reducción de las desigualdades</v>
      </c>
      <c r="M244" s="301" t="str">
        <f>'PLAN INDICATIVO'!M244</f>
        <v>Secretaría de Gobierno</v>
      </c>
      <c r="N244" s="1425" t="str">
        <f>'PLAN INDICATIVO'!N244</f>
        <v>HERNAN RODRIGUEZ FALLA</v>
      </c>
      <c r="O244" s="1425" t="str">
        <f>'PLAN INDICATIVO'!O244</f>
        <v>Mantenimiento</v>
      </c>
      <c r="P244" s="16" t="str">
        <f>'PLAN INDICATIVO'!P244</f>
        <v>Implementar 2 jornadas al año para brindar servicios de salud y vacunación infantil a la población victima</v>
      </c>
      <c r="Q244" s="302" t="str">
        <f>'PLAN INDICATIVO'!Q244</f>
        <v>No. De Jornadas de vacunación realizadas por año</v>
      </c>
      <c r="R244" s="303">
        <f>'PLAN INDICATIVO'!R244</f>
        <v>2015</v>
      </c>
      <c r="S244" s="304">
        <v>0</v>
      </c>
      <c r="T244" s="699">
        <v>2</v>
      </c>
      <c r="U244" s="303">
        <v>2</v>
      </c>
      <c r="V244" s="687">
        <v>8000000</v>
      </c>
      <c r="W244" s="303">
        <v>2</v>
      </c>
      <c r="X244" s="687">
        <v>500000</v>
      </c>
      <c r="Y244" s="286">
        <v>2</v>
      </c>
      <c r="Z244" s="1233">
        <v>500000</v>
      </c>
      <c r="AA244" s="291">
        <v>2</v>
      </c>
      <c r="AB244" s="687">
        <v>500000</v>
      </c>
      <c r="AC244" s="669">
        <v>2</v>
      </c>
      <c r="AD244" s="669">
        <v>2</v>
      </c>
      <c r="AE244" s="669">
        <v>2</v>
      </c>
      <c r="AF244" s="669"/>
      <c r="AG244" s="341" t="s">
        <v>3649</v>
      </c>
      <c r="AH244" s="987">
        <v>2018413960018</v>
      </c>
      <c r="AI244" s="355" t="s">
        <v>4164</v>
      </c>
      <c r="AJ244" s="363" t="s">
        <v>4165</v>
      </c>
      <c r="AK244" s="363">
        <v>43342</v>
      </c>
      <c r="AL244" s="358"/>
      <c r="AM244" s="358"/>
      <c r="AN244" s="267" t="s">
        <v>2598</v>
      </c>
      <c r="AO244" s="512" t="s">
        <v>4166</v>
      </c>
      <c r="AP244" s="528"/>
      <c r="AQ244" s="472"/>
      <c r="AR244" s="472"/>
      <c r="AS244" s="472"/>
      <c r="AT244" s="472"/>
      <c r="AU244" s="472"/>
      <c r="AV244" s="472"/>
      <c r="AW244" s="544"/>
      <c r="AX244" s="528"/>
      <c r="AY244" s="472"/>
      <c r="AZ244" s="472"/>
      <c r="BA244" s="472"/>
      <c r="BB244" s="472"/>
      <c r="BC244" s="472"/>
      <c r="BD244" s="472"/>
      <c r="BE244" s="544">
        <f t="shared" si="142"/>
        <v>0</v>
      </c>
      <c r="BF244" s="528">
        <v>2000000</v>
      </c>
      <c r="BG244" s="472"/>
      <c r="BH244" s="472"/>
      <c r="BI244" s="472"/>
      <c r="BJ244" s="472"/>
      <c r="BK244" s="472"/>
      <c r="BL244" s="472"/>
      <c r="BM244" s="544">
        <f t="shared" si="143"/>
        <v>2000000</v>
      </c>
      <c r="BN244" s="528"/>
      <c r="BO244" s="472"/>
      <c r="BP244" s="472"/>
      <c r="BQ244" s="472"/>
      <c r="BR244" s="472"/>
      <c r="BS244" s="472"/>
      <c r="BT244" s="472"/>
      <c r="BU244" s="544">
        <f t="shared" si="144"/>
        <v>0</v>
      </c>
      <c r="BV244" s="556"/>
      <c r="BW244" s="663">
        <f t="shared" si="133"/>
        <v>6</v>
      </c>
      <c r="BX244" s="1047">
        <f t="shared" si="136"/>
        <v>3</v>
      </c>
      <c r="BY244" s="1047">
        <f t="shared" si="164"/>
        <v>1</v>
      </c>
      <c r="BZ244" s="1047">
        <f t="shared" si="165"/>
        <v>1</v>
      </c>
      <c r="CA244" s="1047">
        <f t="shared" si="166"/>
        <v>1</v>
      </c>
      <c r="CB244" s="1047">
        <f t="shared" si="167"/>
        <v>0</v>
      </c>
      <c r="CD244" t="str">
        <f t="shared" si="168"/>
        <v>VE</v>
      </c>
      <c r="CE244" t="str">
        <f t="shared" si="168"/>
        <v>VE</v>
      </c>
      <c r="CF244" t="str">
        <f t="shared" si="168"/>
        <v>VE</v>
      </c>
      <c r="CG244" t="str">
        <f t="shared" si="168"/>
        <v>ROB</v>
      </c>
    </row>
    <row r="245" spans="1:85" ht="69" hidden="1" customHeight="1" x14ac:dyDescent="0.25">
      <c r="A245" s="298" t="s">
        <v>491</v>
      </c>
      <c r="B245" s="299" t="str">
        <f>'PLAN INDICATIVO'!B245</f>
        <v>Atención a grupos vulnerables - promoción social</v>
      </c>
      <c r="C245" s="1547"/>
      <c r="D245" s="1551"/>
      <c r="E245" s="1551"/>
      <c r="F245" s="1551"/>
      <c r="G245" s="1551"/>
      <c r="H245" s="1551"/>
      <c r="I245" s="300">
        <f>'PLAN INDICATIVO'!I245</f>
        <v>0</v>
      </c>
      <c r="J245" s="300">
        <f>'PLAN INDICATIVO'!J245</f>
        <v>0</v>
      </c>
      <c r="K245" s="1425" t="str">
        <f>'PLAN INDICATIVO'!K245</f>
        <v>A.14.6.4</v>
      </c>
      <c r="L245" s="301" t="str">
        <f>'PLAN INDICATIVO'!L245</f>
        <v>10. Reducción de las desigualdades</v>
      </c>
      <c r="M245" s="301" t="str">
        <f>'PLAN INDICATIVO'!M245</f>
        <v>Secretaría de Gobierno</v>
      </c>
      <c r="N245" s="1425" t="str">
        <f>'PLAN INDICATIVO'!N245</f>
        <v>HERNAN RODRIGUEZ FALLA</v>
      </c>
      <c r="O245" s="1425" t="str">
        <f>'PLAN INDICATIVO'!O245</f>
        <v>Mantenimiento</v>
      </c>
      <c r="P245" s="16" t="str">
        <f>'PLAN INDICATIVO'!P245</f>
        <v>Participar en 2 consejos educativos en el año para proteger y fiscalizar que se brinden los servicios educativos a las víctimas</v>
      </c>
      <c r="Q245" s="302" t="str">
        <f>'PLAN INDICATIVO'!Q245</f>
        <v>No. de consejo educativos realizados por año</v>
      </c>
      <c r="R245" s="303">
        <f>'PLAN INDICATIVO'!R245</f>
        <v>2015</v>
      </c>
      <c r="S245" s="304">
        <v>0</v>
      </c>
      <c r="T245" s="699">
        <v>2</v>
      </c>
      <c r="U245" s="303">
        <v>2</v>
      </c>
      <c r="V245" s="687">
        <v>2800000</v>
      </c>
      <c r="W245" s="303">
        <v>2</v>
      </c>
      <c r="X245" s="687">
        <v>500000</v>
      </c>
      <c r="Y245" s="286">
        <v>2</v>
      </c>
      <c r="Z245" s="1233">
        <v>500000</v>
      </c>
      <c r="AA245" s="291">
        <v>2</v>
      </c>
      <c r="AB245" s="687">
        <v>500000</v>
      </c>
      <c r="AC245" s="669">
        <v>2</v>
      </c>
      <c r="AD245" s="669">
        <v>2</v>
      </c>
      <c r="AE245" s="669">
        <v>2</v>
      </c>
      <c r="AF245" s="669"/>
      <c r="AG245" s="341" t="s">
        <v>3649</v>
      </c>
      <c r="AH245" s="987">
        <v>2018413960018</v>
      </c>
      <c r="AI245" s="355" t="s">
        <v>4167</v>
      </c>
      <c r="AJ245" s="363">
        <v>43160</v>
      </c>
      <c r="AK245" s="363">
        <v>43403</v>
      </c>
      <c r="AL245" s="358"/>
      <c r="AM245" s="358"/>
      <c r="AN245" s="267" t="s">
        <v>2598</v>
      </c>
      <c r="AO245" s="512"/>
      <c r="AP245" s="528"/>
      <c r="AQ245" s="472"/>
      <c r="AR245" s="472"/>
      <c r="AS245" s="472"/>
      <c r="AT245" s="472"/>
      <c r="AU245" s="472"/>
      <c r="AV245" s="472"/>
      <c r="AW245" s="544"/>
      <c r="AX245" s="528"/>
      <c r="AY245" s="472"/>
      <c r="AZ245" s="472"/>
      <c r="BA245" s="472"/>
      <c r="BB245" s="472"/>
      <c r="BC245" s="472"/>
      <c r="BD245" s="472"/>
      <c r="BE245" s="544">
        <f t="shared" si="142"/>
        <v>0</v>
      </c>
      <c r="BF245" s="528"/>
      <c r="BG245" s="472"/>
      <c r="BH245" s="472"/>
      <c r="BI245" s="472"/>
      <c r="BJ245" s="472"/>
      <c r="BK245" s="472"/>
      <c r="BL245" s="472"/>
      <c r="BM245" s="544">
        <f t="shared" si="143"/>
        <v>0</v>
      </c>
      <c r="BN245" s="528"/>
      <c r="BO245" s="472"/>
      <c r="BP245" s="472"/>
      <c r="BQ245" s="472"/>
      <c r="BR245" s="472"/>
      <c r="BS245" s="472"/>
      <c r="BT245" s="472"/>
      <c r="BU245" s="544">
        <f t="shared" si="144"/>
        <v>0</v>
      </c>
      <c r="BV245" s="556"/>
      <c r="BW245" s="663">
        <f t="shared" si="133"/>
        <v>6</v>
      </c>
      <c r="BX245" s="1047">
        <f t="shared" si="136"/>
        <v>3</v>
      </c>
      <c r="BY245" s="1047">
        <f t="shared" si="164"/>
        <v>1</v>
      </c>
      <c r="BZ245" s="1047">
        <f t="shared" si="165"/>
        <v>1</v>
      </c>
      <c r="CA245" s="1047">
        <f t="shared" si="166"/>
        <v>1</v>
      </c>
      <c r="CB245" s="1047">
        <f t="shared" si="167"/>
        <v>0</v>
      </c>
      <c r="CD245" t="str">
        <f t="shared" si="168"/>
        <v>VE</v>
      </c>
      <c r="CE245" t="str">
        <f t="shared" si="168"/>
        <v>VE</v>
      </c>
      <c r="CF245" t="str">
        <f t="shared" si="168"/>
        <v>VE</v>
      </c>
      <c r="CG245" t="str">
        <f t="shared" si="168"/>
        <v>ROB</v>
      </c>
    </row>
    <row r="246" spans="1:85" ht="122.25" hidden="1" customHeight="1" x14ac:dyDescent="0.25">
      <c r="A246" s="298" t="s">
        <v>491</v>
      </c>
      <c r="B246" s="299" t="str">
        <f>'PLAN INDICATIVO'!B246</f>
        <v>Atención a grupos vulnerables - promoción social</v>
      </c>
      <c r="C246" s="1547"/>
      <c r="D246" s="1551"/>
      <c r="E246" s="1551"/>
      <c r="F246" s="1551"/>
      <c r="G246" s="1551"/>
      <c r="H246" s="1551"/>
      <c r="I246" s="300">
        <f>'PLAN INDICATIVO'!I246</f>
        <v>0</v>
      </c>
      <c r="J246" s="300">
        <f>'PLAN INDICATIVO'!J246</f>
        <v>0</v>
      </c>
      <c r="K246" s="1425" t="str">
        <f>'PLAN INDICATIVO'!K246</f>
        <v>A.14.6.5</v>
      </c>
      <c r="L246" s="301" t="str">
        <f>'PLAN INDICATIVO'!L246</f>
        <v>10. Reducción de las desigualdades</v>
      </c>
      <c r="M246" s="301" t="str">
        <f>'PLAN INDICATIVO'!M246</f>
        <v>Secretaría de Gobierno</v>
      </c>
      <c r="N246" s="1425" t="str">
        <f>'PLAN INDICATIVO'!N246</f>
        <v>HERNAN RODRIGUEZ FALLA</v>
      </c>
      <c r="O246" s="1425" t="str">
        <f>'PLAN INDICATIVO'!O246</f>
        <v>Incremento</v>
      </c>
      <c r="P246" s="16" t="str">
        <f>'PLAN INDICATIVO'!P246</f>
        <v>Realizar 2 campañas de  sensibilización y fortalecimiento a las iniciativas del gobierno nacional con las víctimas del conflicto donde se busque el retorno y la reunificación familiar durante el cuatrienio</v>
      </c>
      <c r="Q246" s="302" t="str">
        <f>'PLAN INDICATIVO'!Q246</f>
        <v>No. De Campañas realizadas</v>
      </c>
      <c r="R246" s="303">
        <f>'PLAN INDICATIVO'!R246</f>
        <v>2015</v>
      </c>
      <c r="S246" s="304">
        <v>0</v>
      </c>
      <c r="T246" s="699">
        <v>2</v>
      </c>
      <c r="U246" s="303">
        <v>0</v>
      </c>
      <c r="V246" s="687"/>
      <c r="W246" s="303">
        <v>1</v>
      </c>
      <c r="X246" s="687">
        <v>500000</v>
      </c>
      <c r="Y246" s="286">
        <v>1</v>
      </c>
      <c r="Z246" s="1233">
        <v>500000</v>
      </c>
      <c r="AA246" s="291"/>
      <c r="AB246" s="687"/>
      <c r="AC246" s="669">
        <v>2</v>
      </c>
      <c r="AD246" s="669">
        <v>1</v>
      </c>
      <c r="AE246" s="669">
        <v>1</v>
      </c>
      <c r="AF246" s="669"/>
      <c r="AG246" s="341" t="s">
        <v>3649</v>
      </c>
      <c r="AH246" s="987">
        <v>2018413960018</v>
      </c>
      <c r="AI246" s="355" t="s">
        <v>4168</v>
      </c>
      <c r="AJ246" s="363">
        <v>43221</v>
      </c>
      <c r="AK246" s="363">
        <v>43373</v>
      </c>
      <c r="AL246" s="358"/>
      <c r="AM246" s="358"/>
      <c r="AN246" s="267" t="s">
        <v>2598</v>
      </c>
      <c r="AO246" s="512" t="s">
        <v>4169</v>
      </c>
      <c r="AP246" s="528"/>
      <c r="AQ246" s="472"/>
      <c r="AR246" s="472"/>
      <c r="AS246" s="472"/>
      <c r="AT246" s="472"/>
      <c r="AU246" s="472"/>
      <c r="AV246" s="472"/>
      <c r="AW246" s="544"/>
      <c r="AX246" s="528"/>
      <c r="AY246" s="472"/>
      <c r="AZ246" s="472"/>
      <c r="BA246" s="472"/>
      <c r="BB246" s="472"/>
      <c r="BC246" s="472"/>
      <c r="BD246" s="472"/>
      <c r="BE246" s="544">
        <f t="shared" si="142"/>
        <v>0</v>
      </c>
      <c r="BF246" s="528">
        <v>900000</v>
      </c>
      <c r="BG246" s="472"/>
      <c r="BH246" s="472"/>
      <c r="BI246" s="472"/>
      <c r="BJ246" s="472"/>
      <c r="BK246" s="472"/>
      <c r="BL246" s="472"/>
      <c r="BM246" s="544">
        <f t="shared" si="143"/>
        <v>900000</v>
      </c>
      <c r="BN246" s="528"/>
      <c r="BO246" s="472"/>
      <c r="BP246" s="472"/>
      <c r="BQ246" s="472"/>
      <c r="BR246" s="472"/>
      <c r="BS246" s="472"/>
      <c r="BT246" s="472"/>
      <c r="BU246" s="544">
        <f t="shared" si="144"/>
        <v>0</v>
      </c>
      <c r="BV246" s="556"/>
      <c r="BW246" s="663">
        <f t="shared" si="133"/>
        <v>4</v>
      </c>
      <c r="BX246" s="1047">
        <f t="shared" si="136"/>
        <v>2</v>
      </c>
      <c r="BY246" s="1047" t="str">
        <f t="shared" si="164"/>
        <v>Aplazada</v>
      </c>
      <c r="BZ246" s="1047">
        <f t="shared" si="165"/>
        <v>1</v>
      </c>
      <c r="CA246" s="1047">
        <f t="shared" si="166"/>
        <v>1</v>
      </c>
      <c r="CB246" s="1047" t="str">
        <f t="shared" si="167"/>
        <v>No Programada</v>
      </c>
      <c r="CD246" t="str">
        <f t="shared" si="168"/>
        <v>AZ</v>
      </c>
      <c r="CE246" t="str">
        <f t="shared" si="168"/>
        <v>VE</v>
      </c>
      <c r="CF246" t="str">
        <f t="shared" si="168"/>
        <v>VE</v>
      </c>
      <c r="CG246" t="str">
        <f t="shared" si="168"/>
        <v>NP</v>
      </c>
    </row>
    <row r="247" spans="1:85" ht="121.5" hidden="1" customHeight="1" x14ac:dyDescent="0.25">
      <c r="A247" s="298" t="s">
        <v>491</v>
      </c>
      <c r="B247" s="299" t="str">
        <f>'PLAN INDICATIVO'!B247</f>
        <v>Atención a grupos vulnerables - promoción social</v>
      </c>
      <c r="C247" s="1547"/>
      <c r="D247" s="1551"/>
      <c r="E247" s="1551"/>
      <c r="F247" s="1551"/>
      <c r="G247" s="1551"/>
      <c r="H247" s="1551"/>
      <c r="I247" s="300">
        <f>'PLAN INDICATIVO'!I247</f>
        <v>0</v>
      </c>
      <c r="J247" s="300">
        <f>'PLAN INDICATIVO'!J247</f>
        <v>0</v>
      </c>
      <c r="K247" s="1425" t="str">
        <f>'PLAN INDICATIVO'!K247</f>
        <v>A.14.6.6</v>
      </c>
      <c r="L247" s="301" t="str">
        <f>'PLAN INDICATIVO'!L247</f>
        <v>10. Reducción de las desigualdades</v>
      </c>
      <c r="M247" s="301" t="str">
        <f>'PLAN INDICATIVO'!M247</f>
        <v>Secretaría de Gobierno</v>
      </c>
      <c r="N247" s="1425" t="str">
        <f>'PLAN INDICATIVO'!N247</f>
        <v>HERNAN RODRIGUEZ FALLA</v>
      </c>
      <c r="O247" s="1425" t="str">
        <f>'PLAN INDICATIVO'!O247</f>
        <v>Incremento</v>
      </c>
      <c r="P247" s="16" t="str">
        <f>'PLAN INDICATIVO'!P247</f>
        <v xml:space="preserve">Realizar 3 jornadas de articulación institucional  entre la Registraduría, ejército nacional y funcionarios del SISBEN para lograr identidad de población víctima del conflicto armado, durante el cuatrienio. </v>
      </c>
      <c r="Q247" s="302" t="str">
        <f>'PLAN INDICATIVO'!Q247</f>
        <v>No. De Jornadas de oferta realizadas</v>
      </c>
      <c r="R247" s="303">
        <f>'PLAN INDICATIVO'!R247</f>
        <v>2015</v>
      </c>
      <c r="S247" s="304">
        <v>0</v>
      </c>
      <c r="T247" s="699">
        <v>3</v>
      </c>
      <c r="U247" s="303">
        <v>1</v>
      </c>
      <c r="V247" s="687"/>
      <c r="W247" s="303">
        <v>1</v>
      </c>
      <c r="X247" s="687">
        <v>500000</v>
      </c>
      <c r="Y247" s="286">
        <v>1</v>
      </c>
      <c r="Z247" s="1233">
        <v>500000</v>
      </c>
      <c r="AA247" s="291">
        <v>1</v>
      </c>
      <c r="AB247" s="687">
        <v>500000</v>
      </c>
      <c r="AC247" s="669"/>
      <c r="AD247" s="669">
        <v>1</v>
      </c>
      <c r="AE247" s="669">
        <v>1</v>
      </c>
      <c r="AF247" s="669"/>
      <c r="AG247" s="341" t="s">
        <v>3649</v>
      </c>
      <c r="AH247" s="987">
        <v>2018413960018</v>
      </c>
      <c r="AI247" s="355" t="s">
        <v>4170</v>
      </c>
      <c r="AJ247" s="363">
        <v>43252</v>
      </c>
      <c r="AK247" s="363" t="s">
        <v>4171</v>
      </c>
      <c r="AL247" s="358"/>
      <c r="AM247" s="358"/>
      <c r="AN247" s="267" t="s">
        <v>2598</v>
      </c>
      <c r="AO247" s="512" t="s">
        <v>4172</v>
      </c>
      <c r="AP247" s="528"/>
      <c r="AQ247" s="472"/>
      <c r="AR247" s="472"/>
      <c r="AS247" s="472"/>
      <c r="AT247" s="472"/>
      <c r="AU247" s="472"/>
      <c r="AV247" s="472"/>
      <c r="AW247" s="544"/>
      <c r="AX247" s="528"/>
      <c r="AY247" s="472"/>
      <c r="AZ247" s="472"/>
      <c r="BA247" s="472"/>
      <c r="BB247" s="472"/>
      <c r="BC247" s="472"/>
      <c r="BD247" s="472"/>
      <c r="BE247" s="544">
        <f t="shared" si="142"/>
        <v>0</v>
      </c>
      <c r="BF247" s="528">
        <v>800000</v>
      </c>
      <c r="BG247" s="472"/>
      <c r="BH247" s="472"/>
      <c r="BI247" s="472"/>
      <c r="BJ247" s="472"/>
      <c r="BK247" s="472"/>
      <c r="BL247" s="472"/>
      <c r="BM247" s="544">
        <f t="shared" si="143"/>
        <v>800000</v>
      </c>
      <c r="BN247" s="528"/>
      <c r="BO247" s="472"/>
      <c r="BP247" s="472"/>
      <c r="BQ247" s="472"/>
      <c r="BR247" s="472"/>
      <c r="BS247" s="472"/>
      <c r="BT247" s="472"/>
      <c r="BU247" s="544">
        <f t="shared" si="144"/>
        <v>0</v>
      </c>
      <c r="BV247" s="556"/>
      <c r="BW247" s="663">
        <f t="shared" si="133"/>
        <v>2</v>
      </c>
      <c r="BX247" s="1047">
        <f t="shared" si="136"/>
        <v>0.66666666666666663</v>
      </c>
      <c r="BY247" s="1047">
        <f t="shared" si="164"/>
        <v>0</v>
      </c>
      <c r="BZ247" s="1047">
        <f t="shared" si="165"/>
        <v>1</v>
      </c>
      <c r="CA247" s="1047">
        <f t="shared" si="166"/>
        <v>1</v>
      </c>
      <c r="CB247" s="1047">
        <f t="shared" si="167"/>
        <v>0</v>
      </c>
      <c r="CD247" t="str">
        <f t="shared" si="168"/>
        <v>ROB</v>
      </c>
      <c r="CE247" t="str">
        <f t="shared" si="168"/>
        <v>VE</v>
      </c>
      <c r="CF247" t="str">
        <f t="shared" si="168"/>
        <v>VE</v>
      </c>
      <c r="CG247" t="str">
        <f t="shared" si="168"/>
        <v>ROB</v>
      </c>
    </row>
    <row r="248" spans="1:85" ht="112.5" hidden="1" customHeight="1" x14ac:dyDescent="0.25">
      <c r="A248" s="298" t="s">
        <v>491</v>
      </c>
      <c r="B248" s="299" t="str">
        <f>'PLAN INDICATIVO'!B248</f>
        <v>Atención a grupos vulnerables - promoción social</v>
      </c>
      <c r="C248" s="1547"/>
      <c r="D248" s="1551"/>
      <c r="E248" s="1551"/>
      <c r="F248" s="1551"/>
      <c r="G248" s="1551"/>
      <c r="H248" s="1551"/>
      <c r="I248" s="300">
        <f>'PLAN INDICATIVO'!I248</f>
        <v>0</v>
      </c>
      <c r="J248" s="300">
        <f>'PLAN INDICATIVO'!J248</f>
        <v>0</v>
      </c>
      <c r="K248" s="1425" t="str">
        <f>'PLAN INDICATIVO'!K248</f>
        <v>A.14.6.7</v>
      </c>
      <c r="L248" s="301" t="str">
        <f>'PLAN INDICATIVO'!L248</f>
        <v>10. Reducción de las desigualdades</v>
      </c>
      <c r="M248" s="301" t="str">
        <f>'PLAN INDICATIVO'!M248</f>
        <v>Secretaría de Gobierno</v>
      </c>
      <c r="N248" s="1425" t="str">
        <f>'PLAN INDICATIVO'!N248</f>
        <v>HERNAN RODRIGUEZ FALLA</v>
      </c>
      <c r="O248" s="1425" t="str">
        <f>'PLAN INDICATIVO'!O248</f>
        <v>Incremento</v>
      </c>
      <c r="P248" s="820" t="str">
        <f>'PLAN INDICATIVO'!P248</f>
        <v>Desarrollar 3 proyectos productivos articulados con el programa  capital semilla para generar unidades productivas y mejorar ingresos de población víctima del conflicto armado,  durante el cuatrienio</v>
      </c>
      <c r="Q248" s="302" t="str">
        <f>'PLAN INDICATIVO'!Q248</f>
        <v>No. De Proyectos productivos articulados</v>
      </c>
      <c r="R248" s="303">
        <f>'PLAN INDICATIVO'!R248</f>
        <v>2015</v>
      </c>
      <c r="S248" s="304">
        <v>0</v>
      </c>
      <c r="T248" s="699">
        <v>3</v>
      </c>
      <c r="U248" s="303">
        <v>1</v>
      </c>
      <c r="V248" s="687"/>
      <c r="W248" s="815">
        <v>0</v>
      </c>
      <c r="X248" s="687">
        <v>16330000</v>
      </c>
      <c r="Y248" s="286">
        <v>3</v>
      </c>
      <c r="Z248" s="1233">
        <v>16700000</v>
      </c>
      <c r="AA248" s="291"/>
      <c r="AB248" s="687">
        <v>17100000</v>
      </c>
      <c r="AC248" s="669">
        <v>1</v>
      </c>
      <c r="AD248" s="669"/>
      <c r="AE248" s="669">
        <v>3</v>
      </c>
      <c r="AF248" s="669"/>
      <c r="AG248" s="341" t="s">
        <v>3649</v>
      </c>
      <c r="AH248" s="987">
        <v>2018413960018</v>
      </c>
      <c r="AI248" s="355" t="s">
        <v>4173</v>
      </c>
      <c r="AJ248" s="363">
        <v>43405</v>
      </c>
      <c r="AK248" s="363">
        <v>43434</v>
      </c>
      <c r="AL248" s="358"/>
      <c r="AM248" s="358"/>
      <c r="AN248" s="267" t="s">
        <v>2598</v>
      </c>
      <c r="AO248" s="512" t="s">
        <v>4174</v>
      </c>
      <c r="AP248" s="528"/>
      <c r="AQ248" s="472"/>
      <c r="AR248" s="472"/>
      <c r="AS248" s="472"/>
      <c r="AT248" s="472"/>
      <c r="AU248" s="472"/>
      <c r="AV248" s="472"/>
      <c r="AW248" s="544"/>
      <c r="AX248" s="528"/>
      <c r="AY248" s="472"/>
      <c r="AZ248" s="472"/>
      <c r="BA248" s="472"/>
      <c r="BB248" s="472"/>
      <c r="BC248" s="472"/>
      <c r="BD248" s="472"/>
      <c r="BE248" s="544">
        <f t="shared" si="142"/>
        <v>0</v>
      </c>
      <c r="BF248" s="528">
        <f>15000000+5000000</f>
        <v>20000000</v>
      </c>
      <c r="BG248" s="472"/>
      <c r="BH248" s="472"/>
      <c r="BI248" s="472"/>
      <c r="BJ248" s="472"/>
      <c r="BK248" s="472"/>
      <c r="BL248" s="472"/>
      <c r="BM248" s="544">
        <f t="shared" si="143"/>
        <v>20000000</v>
      </c>
      <c r="BN248" s="528"/>
      <c r="BO248" s="472"/>
      <c r="BP248" s="472"/>
      <c r="BQ248" s="472"/>
      <c r="BR248" s="472"/>
      <c r="BS248" s="472"/>
      <c r="BT248" s="472"/>
      <c r="BU248" s="544">
        <f t="shared" si="144"/>
        <v>0</v>
      </c>
      <c r="BV248" s="556"/>
      <c r="BW248" s="663">
        <f t="shared" si="133"/>
        <v>4</v>
      </c>
      <c r="BX248" s="1047">
        <f t="shared" si="136"/>
        <v>1.3333333333333333</v>
      </c>
      <c r="BY248" s="1047">
        <f t="shared" si="164"/>
        <v>1</v>
      </c>
      <c r="BZ248" s="1047" t="str">
        <f t="shared" si="165"/>
        <v>Aplazada</v>
      </c>
      <c r="CA248" s="1047">
        <f t="shared" si="166"/>
        <v>1</v>
      </c>
      <c r="CB248" s="1047" t="str">
        <f t="shared" si="167"/>
        <v>No Programada</v>
      </c>
      <c r="CD248" t="str">
        <f t="shared" si="168"/>
        <v>VE</v>
      </c>
      <c r="CE248" t="str">
        <f t="shared" si="168"/>
        <v>AZ</v>
      </c>
      <c r="CF248" t="str">
        <f t="shared" si="168"/>
        <v>VE</v>
      </c>
      <c r="CG248" t="str">
        <f t="shared" si="168"/>
        <v>NP</v>
      </c>
    </row>
    <row r="249" spans="1:85" ht="111.75" hidden="1" customHeight="1" x14ac:dyDescent="0.25">
      <c r="A249" s="298" t="s">
        <v>491</v>
      </c>
      <c r="B249" s="299" t="str">
        <f>'PLAN INDICATIVO'!B249</f>
        <v>Atención a grupos vulnerables - promoción social</v>
      </c>
      <c r="C249" s="1547"/>
      <c r="D249" s="1551"/>
      <c r="E249" s="1551"/>
      <c r="F249" s="1551"/>
      <c r="G249" s="1551"/>
      <c r="H249" s="1551"/>
      <c r="I249" s="300">
        <f>'PLAN INDICATIVO'!I249</f>
        <v>0</v>
      </c>
      <c r="J249" s="300">
        <f>'PLAN INDICATIVO'!J249</f>
        <v>0</v>
      </c>
      <c r="K249" s="1425" t="str">
        <f>'PLAN INDICATIVO'!K249</f>
        <v>A.14.6.8</v>
      </c>
      <c r="L249" s="301" t="str">
        <f>'PLAN INDICATIVO'!L249</f>
        <v>10. Reducción de las desigualdades</v>
      </c>
      <c r="M249" s="301" t="str">
        <f>'PLAN INDICATIVO'!M249</f>
        <v>Secretaría de Gobierno</v>
      </c>
      <c r="N249" s="1425" t="str">
        <f>'PLAN INDICATIVO'!N249</f>
        <v>HERNAN RODRIGUEZ FALLA</v>
      </c>
      <c r="O249" s="1425" t="str">
        <f>'PLAN INDICATIVO'!O249</f>
        <v>Incremento</v>
      </c>
      <c r="P249" s="25" t="str">
        <f>'PLAN INDICATIVO'!P249</f>
        <v>Apoyar 3 unidades de negocio establecidas por las personas en proceso de reintegración, a través del beneficio de inserción económica brindado por la Agencia Colombiana Para La Reintegración, durante el cuatrienio</v>
      </c>
      <c r="Q249" s="302" t="str">
        <f>'PLAN INDICATIVO'!Q249</f>
        <v>No. De Unidades de negocio apoyadas</v>
      </c>
      <c r="R249" s="303">
        <f>'PLAN INDICATIVO'!R249</f>
        <v>2015</v>
      </c>
      <c r="S249" s="304">
        <v>0</v>
      </c>
      <c r="T249" s="699">
        <v>3</v>
      </c>
      <c r="U249" s="303">
        <v>1</v>
      </c>
      <c r="V249" s="687"/>
      <c r="W249" s="303">
        <v>0</v>
      </c>
      <c r="X249" s="687">
        <v>3200000</v>
      </c>
      <c r="Y249" s="286"/>
      <c r="Z249" s="1233">
        <v>3500000</v>
      </c>
      <c r="AA249" s="291">
        <v>3</v>
      </c>
      <c r="AB249" s="687">
        <v>3500000</v>
      </c>
      <c r="AC249" s="669"/>
      <c r="AD249" s="669"/>
      <c r="AE249" s="669"/>
      <c r="AF249" s="669"/>
      <c r="AG249" s="341" t="s">
        <v>3649</v>
      </c>
      <c r="AH249" s="987">
        <v>2018413960018</v>
      </c>
      <c r="AI249" s="355"/>
      <c r="AJ249" s="363">
        <v>43405</v>
      </c>
      <c r="AK249" s="363">
        <v>43434</v>
      </c>
      <c r="AL249" s="358"/>
      <c r="AM249" s="358"/>
      <c r="AN249" s="267" t="s">
        <v>2604</v>
      </c>
      <c r="AO249" s="512"/>
      <c r="AP249" s="528"/>
      <c r="AQ249" s="472"/>
      <c r="AR249" s="472"/>
      <c r="AS249" s="472"/>
      <c r="AT249" s="472"/>
      <c r="AU249" s="472"/>
      <c r="AV249" s="472"/>
      <c r="AW249" s="544"/>
      <c r="AX249" s="528"/>
      <c r="AY249" s="472"/>
      <c r="AZ249" s="472"/>
      <c r="BA249" s="472"/>
      <c r="BB249" s="472"/>
      <c r="BC249" s="472"/>
      <c r="BD249" s="472"/>
      <c r="BE249" s="544">
        <f t="shared" si="142"/>
        <v>0</v>
      </c>
      <c r="BF249" s="528"/>
      <c r="BG249" s="472"/>
      <c r="BH249" s="472"/>
      <c r="BI249" s="472"/>
      <c r="BJ249" s="472"/>
      <c r="BK249" s="472"/>
      <c r="BL249" s="472"/>
      <c r="BM249" s="544">
        <f t="shared" si="143"/>
        <v>0</v>
      </c>
      <c r="BN249" s="528"/>
      <c r="BO249" s="472"/>
      <c r="BP249" s="472"/>
      <c r="BQ249" s="472"/>
      <c r="BR249" s="472"/>
      <c r="BS249" s="472"/>
      <c r="BT249" s="472"/>
      <c r="BU249" s="544">
        <f t="shared" si="144"/>
        <v>0</v>
      </c>
      <c r="BV249" s="556"/>
      <c r="BW249" s="663">
        <f t="shared" si="133"/>
        <v>0</v>
      </c>
      <c r="BX249" s="1047">
        <f t="shared" si="136"/>
        <v>0</v>
      </c>
      <c r="BY249" s="1047">
        <f t="shared" si="164"/>
        <v>0</v>
      </c>
      <c r="BZ249" s="1047" t="str">
        <f t="shared" si="165"/>
        <v>Aplazada</v>
      </c>
      <c r="CA249" s="1047" t="str">
        <f t="shared" si="166"/>
        <v>No Programada</v>
      </c>
      <c r="CB249" s="1047">
        <f t="shared" si="167"/>
        <v>0</v>
      </c>
      <c r="CD249" t="str">
        <f t="shared" si="168"/>
        <v>ROB</v>
      </c>
      <c r="CE249" t="str">
        <f t="shared" si="168"/>
        <v>AZ</v>
      </c>
      <c r="CF249" t="str">
        <f t="shared" si="168"/>
        <v>NP</v>
      </c>
      <c r="CG249" t="str">
        <f t="shared" si="168"/>
        <v>ROB</v>
      </c>
    </row>
    <row r="250" spans="1:85" ht="114.75" hidden="1" customHeight="1" x14ac:dyDescent="0.25">
      <c r="A250" s="298" t="s">
        <v>2464</v>
      </c>
      <c r="B250" s="299" t="str">
        <f>'PLAN INDICATIVO'!B250</f>
        <v>Atención a grupos vulnerables - promoción social</v>
      </c>
      <c r="C250" s="1547"/>
      <c r="D250" s="1551"/>
      <c r="E250" s="1551"/>
      <c r="F250" s="1551"/>
      <c r="G250" s="1551"/>
      <c r="H250" s="1551"/>
      <c r="I250" s="300">
        <f>'PLAN INDICATIVO'!I250</f>
        <v>0</v>
      </c>
      <c r="J250" s="300">
        <f>'PLAN INDICATIVO'!J250</f>
        <v>0</v>
      </c>
      <c r="K250" s="1425" t="str">
        <f>'PLAN INDICATIVO'!K250</f>
        <v>A.14.6.9</v>
      </c>
      <c r="L250" s="301" t="str">
        <f>'PLAN INDICATIVO'!L250</f>
        <v>10. Reducción de las desigualdades</v>
      </c>
      <c r="M250" s="301" t="str">
        <f>'PLAN INDICATIVO'!M250</f>
        <v>Secretaría de Gobierno</v>
      </c>
      <c r="N250" s="1425" t="str">
        <f>'PLAN INDICATIVO'!N250</f>
        <v>HERNAN RODRIGUEZ FALLA</v>
      </c>
      <c r="O250" s="1425" t="str">
        <f>'PLAN INDICATIVO'!O250</f>
        <v>Incremento</v>
      </c>
      <c r="P250" s="1199" t="str">
        <f>'PLAN INDICATIVO'!P250</f>
        <v xml:space="preserve">Realizar 1 oferta institucional a la población víctima del conflicto armado  para acceso a programas de vivienda nueva o mejoramiento de las mismas, durante el cuatrienio. </v>
      </c>
      <c r="Q250" s="302" t="str">
        <f>'PLAN INDICATIVO'!Q250</f>
        <v xml:space="preserve">No. de ofertas realizadas </v>
      </c>
      <c r="R250" s="303">
        <f>'PLAN INDICATIVO'!R250</f>
        <v>2015</v>
      </c>
      <c r="S250" s="304">
        <v>0</v>
      </c>
      <c r="T250" s="699">
        <v>1</v>
      </c>
      <c r="U250" s="303">
        <v>1</v>
      </c>
      <c r="V250" s="687"/>
      <c r="W250" s="17">
        <v>0</v>
      </c>
      <c r="X250" s="687">
        <v>500000</v>
      </c>
      <c r="Y250" s="286">
        <v>0.7</v>
      </c>
      <c r="Z250" s="1233"/>
      <c r="AA250" s="291"/>
      <c r="AB250" s="687"/>
      <c r="AC250" s="669"/>
      <c r="AD250" s="669">
        <v>0.3</v>
      </c>
      <c r="AE250" s="669">
        <v>0.7</v>
      </c>
      <c r="AF250" s="669"/>
      <c r="AG250" s="341" t="s">
        <v>3649</v>
      </c>
      <c r="AH250" s="987">
        <v>2018413960018</v>
      </c>
      <c r="AI250" s="355" t="s">
        <v>4175</v>
      </c>
      <c r="AJ250" s="363">
        <v>43132</v>
      </c>
      <c r="AK250" s="363">
        <v>43464</v>
      </c>
      <c r="AL250" s="358"/>
      <c r="AM250" s="358"/>
      <c r="AN250" s="267" t="s">
        <v>2598</v>
      </c>
      <c r="AO250" s="512" t="s">
        <v>4176</v>
      </c>
      <c r="AP250" s="528"/>
      <c r="AQ250" s="472"/>
      <c r="AR250" s="472"/>
      <c r="AS250" s="472"/>
      <c r="AT250" s="472"/>
      <c r="AU250" s="472"/>
      <c r="AV250" s="472"/>
      <c r="AW250" s="544"/>
      <c r="AX250" s="528"/>
      <c r="AY250" s="472"/>
      <c r="AZ250" s="472"/>
      <c r="BA250" s="472"/>
      <c r="BB250" s="472"/>
      <c r="BC250" s="472"/>
      <c r="BD250" s="472"/>
      <c r="BE250" s="544">
        <f t="shared" si="142"/>
        <v>0</v>
      </c>
      <c r="BF250" s="528">
        <v>2000000</v>
      </c>
      <c r="BG250" s="472"/>
      <c r="BH250" s="472"/>
      <c r="BI250" s="472"/>
      <c r="BJ250" s="472"/>
      <c r="BK250" s="472"/>
      <c r="BL250" s="472"/>
      <c r="BM250" s="544">
        <f t="shared" si="143"/>
        <v>2000000</v>
      </c>
      <c r="BN250" s="528"/>
      <c r="BO250" s="472"/>
      <c r="BP250" s="472"/>
      <c r="BQ250" s="472"/>
      <c r="BR250" s="472"/>
      <c r="BS250" s="472"/>
      <c r="BT250" s="472"/>
      <c r="BU250" s="544">
        <f t="shared" si="144"/>
        <v>0</v>
      </c>
      <c r="BV250" s="556"/>
      <c r="BW250" s="663">
        <f t="shared" si="133"/>
        <v>1</v>
      </c>
      <c r="BX250" s="1047">
        <f t="shared" si="136"/>
        <v>1</v>
      </c>
      <c r="BY250" s="1047">
        <f t="shared" si="164"/>
        <v>0</v>
      </c>
      <c r="BZ250" s="1047" t="str">
        <f t="shared" si="165"/>
        <v>Aplazada</v>
      </c>
      <c r="CA250" s="1047">
        <f t="shared" si="166"/>
        <v>1</v>
      </c>
      <c r="CB250" s="1047" t="str">
        <f t="shared" si="167"/>
        <v>No Programada</v>
      </c>
      <c r="CD250" t="str">
        <f t="shared" si="168"/>
        <v>ROB</v>
      </c>
      <c r="CE250" t="str">
        <f t="shared" si="168"/>
        <v>AZ</v>
      </c>
      <c r="CF250" t="str">
        <f t="shared" si="168"/>
        <v>VE</v>
      </c>
      <c r="CG250" t="str">
        <f t="shared" si="168"/>
        <v>NP</v>
      </c>
    </row>
    <row r="251" spans="1:85" ht="66" hidden="1" customHeight="1" x14ac:dyDescent="0.25">
      <c r="A251" s="298" t="s">
        <v>491</v>
      </c>
      <c r="B251" s="299" t="str">
        <f>'PLAN INDICATIVO'!B251</f>
        <v>Atención a grupos vulnerables - promoción social</v>
      </c>
      <c r="C251" s="1547"/>
      <c r="D251" s="1551"/>
      <c r="E251" s="1551"/>
      <c r="F251" s="1551"/>
      <c r="G251" s="1551"/>
      <c r="H251" s="1551"/>
      <c r="I251" s="300">
        <f>'PLAN INDICATIVO'!I251</f>
        <v>0</v>
      </c>
      <c r="J251" s="300">
        <f>'PLAN INDICATIVO'!J251</f>
        <v>0</v>
      </c>
      <c r="K251" s="1425" t="str">
        <f>'PLAN INDICATIVO'!K251</f>
        <v>A.14.6.10</v>
      </c>
      <c r="L251" s="301" t="str">
        <f>'PLAN INDICATIVO'!L251</f>
        <v>10. Reducción de las desigualdades</v>
      </c>
      <c r="M251" s="301" t="str">
        <f>'PLAN INDICATIVO'!M251</f>
        <v>Secretaría de Gobierno</v>
      </c>
      <c r="N251" s="1425" t="str">
        <f>'PLAN INDICATIVO'!N251</f>
        <v>HERNAN RODRIGUEZ FALLA</v>
      </c>
      <c r="O251" s="1425" t="str">
        <f>'PLAN INDICATIVO'!O251</f>
        <v>Incremento</v>
      </c>
      <c r="P251" s="16" t="str">
        <f>'PLAN INDICATIVO'!P251</f>
        <v xml:space="preserve">Realizar 4 conmemoraciones del día de las víctimas, durante el cuatrienio. </v>
      </c>
      <c r="Q251" s="302" t="str">
        <f>'PLAN INDICATIVO'!Q251</f>
        <v xml:space="preserve">No. De Conmemoraciones realizadas </v>
      </c>
      <c r="R251" s="303">
        <f>'PLAN INDICATIVO'!R251</f>
        <v>2015</v>
      </c>
      <c r="S251" s="304">
        <v>1</v>
      </c>
      <c r="T251" s="699">
        <v>4</v>
      </c>
      <c r="U251" s="303">
        <v>1</v>
      </c>
      <c r="V251" s="687">
        <v>1500000</v>
      </c>
      <c r="W251" s="303">
        <v>1</v>
      </c>
      <c r="X251" s="687">
        <v>1500000</v>
      </c>
      <c r="Y251" s="286">
        <v>1</v>
      </c>
      <c r="Z251" s="1233">
        <v>1500000</v>
      </c>
      <c r="AA251" s="291">
        <v>1</v>
      </c>
      <c r="AB251" s="687">
        <v>1500000</v>
      </c>
      <c r="AC251" s="669">
        <v>1</v>
      </c>
      <c r="AD251" s="669">
        <v>1</v>
      </c>
      <c r="AE251" s="669">
        <v>1</v>
      </c>
      <c r="AF251" s="669"/>
      <c r="AG251" s="341" t="s">
        <v>3649</v>
      </c>
      <c r="AH251" s="987">
        <v>2018413960018</v>
      </c>
      <c r="AI251" s="355" t="s">
        <v>4177</v>
      </c>
      <c r="AJ251" s="363">
        <v>43191</v>
      </c>
      <c r="AK251" s="363">
        <v>43342</v>
      </c>
      <c r="AL251" s="358"/>
      <c r="AM251" s="358"/>
      <c r="AN251" s="267" t="s">
        <v>2598</v>
      </c>
      <c r="AO251" s="512" t="s">
        <v>4178</v>
      </c>
      <c r="AP251" s="528"/>
      <c r="AQ251" s="852"/>
      <c r="AR251" s="472"/>
      <c r="AS251" s="472"/>
      <c r="AT251" s="472"/>
      <c r="AU251" s="472"/>
      <c r="AV251" s="472"/>
      <c r="AW251" s="544"/>
      <c r="AX251" s="528"/>
      <c r="AY251" s="472"/>
      <c r="AZ251" s="472"/>
      <c r="BA251" s="472"/>
      <c r="BB251" s="472"/>
      <c r="BC251" s="472"/>
      <c r="BD251" s="472"/>
      <c r="BE251" s="544">
        <f t="shared" si="142"/>
        <v>0</v>
      </c>
      <c r="BF251" s="528">
        <v>3833000</v>
      </c>
      <c r="BG251" s="472"/>
      <c r="BH251" s="472"/>
      <c r="BI251" s="472"/>
      <c r="BJ251" s="472"/>
      <c r="BK251" s="472"/>
      <c r="BL251" s="472"/>
      <c r="BM251" s="544">
        <f t="shared" si="143"/>
        <v>3833000</v>
      </c>
      <c r="BN251" s="528"/>
      <c r="BO251" s="472"/>
      <c r="BP251" s="472"/>
      <c r="BQ251" s="472"/>
      <c r="BR251" s="472"/>
      <c r="BS251" s="472"/>
      <c r="BT251" s="472"/>
      <c r="BU251" s="544">
        <f t="shared" si="144"/>
        <v>0</v>
      </c>
      <c r="BV251" s="556"/>
      <c r="BW251" s="663">
        <f t="shared" si="133"/>
        <v>3</v>
      </c>
      <c r="BX251" s="1047">
        <f t="shared" si="136"/>
        <v>0.75</v>
      </c>
      <c r="BY251" s="1047">
        <f t="shared" si="164"/>
        <v>1</v>
      </c>
      <c r="BZ251" s="1047">
        <f t="shared" si="165"/>
        <v>1</v>
      </c>
      <c r="CA251" s="1047">
        <f t="shared" si="166"/>
        <v>1</v>
      </c>
      <c r="CB251" s="1047">
        <f t="shared" si="167"/>
        <v>0</v>
      </c>
      <c r="CD251" t="str">
        <f t="shared" si="168"/>
        <v>VE</v>
      </c>
      <c r="CE251" t="str">
        <f t="shared" si="168"/>
        <v>VE</v>
      </c>
      <c r="CF251" t="str">
        <f t="shared" si="168"/>
        <v>VE</v>
      </c>
      <c r="CG251" t="str">
        <f t="shared" si="168"/>
        <v>ROB</v>
      </c>
    </row>
    <row r="252" spans="1:85" ht="114.75" hidden="1" customHeight="1" x14ac:dyDescent="0.25">
      <c r="A252" s="298" t="s">
        <v>491</v>
      </c>
      <c r="B252" s="299" t="str">
        <f>'PLAN INDICATIVO'!B252</f>
        <v>Atención a grupos vulnerables - promoción social</v>
      </c>
      <c r="C252" s="1547"/>
      <c r="D252" s="1551"/>
      <c r="E252" s="1551"/>
      <c r="F252" s="1551"/>
      <c r="G252" s="1551"/>
      <c r="H252" s="1551"/>
      <c r="I252" s="300">
        <f>'PLAN INDICATIVO'!I252</f>
        <v>0</v>
      </c>
      <c r="J252" s="300">
        <f>'PLAN INDICATIVO'!J252</f>
        <v>0</v>
      </c>
      <c r="K252" s="1425" t="str">
        <f>'PLAN INDICATIVO'!K252</f>
        <v>A.14.6.11</v>
      </c>
      <c r="L252" s="301" t="str">
        <f>'PLAN INDICATIVO'!L252</f>
        <v>10. Reducción de las desigualdades</v>
      </c>
      <c r="M252" s="301" t="str">
        <f>'PLAN INDICATIVO'!M252</f>
        <v>Secretaría de Gobierno</v>
      </c>
      <c r="N252" s="1425" t="str">
        <f>'PLAN INDICATIVO'!N252</f>
        <v>HERNAN RODRIGUEZ FALLA</v>
      </c>
      <c r="O252" s="1425" t="str">
        <f>'PLAN INDICATIVO'!O252</f>
        <v>Mantenimiento</v>
      </c>
      <c r="P252" s="16" t="str">
        <f>'PLAN INDICATIVO'!P252</f>
        <v>Realizar cada año 1 apoyo a las diferentes instituciones del gobierno departamental y nacional donde se coadyuve en los procesos de reparación integral de las victimas del conflicto armado.</v>
      </c>
      <c r="Q252" s="302" t="str">
        <f>'PLAN INDICATIVO'!Q252</f>
        <v>No. De Jornadas Realizadas por año</v>
      </c>
      <c r="R252" s="303">
        <f>'PLAN INDICATIVO'!R252</f>
        <v>2015</v>
      </c>
      <c r="S252" s="304">
        <v>0</v>
      </c>
      <c r="T252" s="699">
        <v>4</v>
      </c>
      <c r="U252" s="303">
        <v>1</v>
      </c>
      <c r="V252" s="687">
        <v>2630000</v>
      </c>
      <c r="W252" s="303">
        <v>1</v>
      </c>
      <c r="X252" s="687">
        <v>500000</v>
      </c>
      <c r="Y252" s="286">
        <v>1</v>
      </c>
      <c r="Z252" s="1233">
        <v>500000</v>
      </c>
      <c r="AA252" s="291">
        <v>1</v>
      </c>
      <c r="AB252" s="687">
        <v>500000</v>
      </c>
      <c r="AC252" s="669">
        <v>1</v>
      </c>
      <c r="AD252" s="669">
        <v>1</v>
      </c>
      <c r="AE252" s="669">
        <v>1</v>
      </c>
      <c r="AF252" s="669"/>
      <c r="AG252" s="341" t="s">
        <v>3649</v>
      </c>
      <c r="AH252" s="987">
        <v>2018413960018</v>
      </c>
      <c r="AI252" s="355" t="s">
        <v>4179</v>
      </c>
      <c r="AJ252" s="363">
        <v>43282</v>
      </c>
      <c r="AK252" s="363">
        <v>43311</v>
      </c>
      <c r="AL252" s="358"/>
      <c r="AM252" s="358"/>
      <c r="AN252" s="267" t="s">
        <v>2598</v>
      </c>
      <c r="AO252" s="512" t="s">
        <v>4178</v>
      </c>
      <c r="AP252" s="528"/>
      <c r="AQ252" s="472"/>
      <c r="AR252" s="472"/>
      <c r="AS252" s="472"/>
      <c r="AT252" s="472"/>
      <c r="AU252" s="472"/>
      <c r="AV252" s="472"/>
      <c r="AW252" s="544"/>
      <c r="AX252" s="528"/>
      <c r="AY252" s="472"/>
      <c r="AZ252" s="472"/>
      <c r="BA252" s="472"/>
      <c r="BB252" s="472"/>
      <c r="BC252" s="472"/>
      <c r="BD252" s="472"/>
      <c r="BE252" s="544">
        <f t="shared" si="142"/>
        <v>0</v>
      </c>
      <c r="BF252" s="528">
        <v>1500000</v>
      </c>
      <c r="BG252" s="472"/>
      <c r="BH252" s="472"/>
      <c r="BI252" s="472"/>
      <c r="BJ252" s="472"/>
      <c r="BK252" s="472"/>
      <c r="BL252" s="472"/>
      <c r="BM252" s="544">
        <f t="shared" si="143"/>
        <v>1500000</v>
      </c>
      <c r="BN252" s="528"/>
      <c r="BO252" s="472"/>
      <c r="BP252" s="472"/>
      <c r="BQ252" s="472"/>
      <c r="BR252" s="472"/>
      <c r="BS252" s="472"/>
      <c r="BT252" s="472"/>
      <c r="BU252" s="544">
        <f t="shared" si="144"/>
        <v>0</v>
      </c>
      <c r="BV252" s="556"/>
      <c r="BW252" s="663">
        <f t="shared" si="133"/>
        <v>3</v>
      </c>
      <c r="BX252" s="1047">
        <f t="shared" si="136"/>
        <v>0.75</v>
      </c>
      <c r="BY252" s="1047">
        <f t="shared" si="164"/>
        <v>1</v>
      </c>
      <c r="BZ252" s="1047">
        <f t="shared" si="165"/>
        <v>1</v>
      </c>
      <c r="CA252" s="1047">
        <f t="shared" si="166"/>
        <v>1</v>
      </c>
      <c r="CB252" s="1047">
        <f t="shared" si="167"/>
        <v>0</v>
      </c>
      <c r="CD252" t="str">
        <f t="shared" si="168"/>
        <v>VE</v>
      </c>
      <c r="CE252" t="str">
        <f t="shared" si="168"/>
        <v>VE</v>
      </c>
      <c r="CF252" t="str">
        <f t="shared" si="168"/>
        <v>VE</v>
      </c>
      <c r="CG252" t="str">
        <f t="shared" si="168"/>
        <v>ROB</v>
      </c>
    </row>
    <row r="253" spans="1:85" ht="75" hidden="1" customHeight="1" x14ac:dyDescent="0.25">
      <c r="A253" s="298" t="s">
        <v>491</v>
      </c>
      <c r="B253" s="299" t="str">
        <f>'PLAN INDICATIVO'!B253</f>
        <v>Atención a grupos vulnerables - promoción social</v>
      </c>
      <c r="C253" s="1547"/>
      <c r="D253" s="1551"/>
      <c r="E253" s="1551"/>
      <c r="F253" s="1551"/>
      <c r="G253" s="1551"/>
      <c r="H253" s="1551"/>
      <c r="I253" s="300">
        <f>'PLAN INDICATIVO'!I253</f>
        <v>0</v>
      </c>
      <c r="J253" s="300">
        <f>'PLAN INDICATIVO'!J253</f>
        <v>0</v>
      </c>
      <c r="K253" s="1425" t="str">
        <f>'PLAN INDICATIVO'!K253</f>
        <v>A.14.6.12</v>
      </c>
      <c r="L253" s="301" t="str">
        <f>'PLAN INDICATIVO'!L253</f>
        <v>10. Reducción de las desigualdades</v>
      </c>
      <c r="M253" s="301" t="str">
        <f>'PLAN INDICATIVO'!M253</f>
        <v>Secretaría de Gobierno</v>
      </c>
      <c r="N253" s="1425" t="str">
        <f>'PLAN INDICATIVO'!N253</f>
        <v>HERNAN RODRIGUEZ FALLA</v>
      </c>
      <c r="O253" s="1425" t="str">
        <f>'PLAN INDICATIVO'!O253</f>
        <v>Mantenimiento</v>
      </c>
      <c r="P253" s="16" t="str">
        <f>'PLAN INDICATIVO'!P253</f>
        <v>Realizar 1 plan de apoyo a las mujeres victimas residentes en el municipio, cada año</v>
      </c>
      <c r="Q253" s="302" t="str">
        <f>'PLAN INDICATIVO'!Q253</f>
        <v>No. de apoyos otorgados por año</v>
      </c>
      <c r="R253" s="303">
        <f>'PLAN INDICATIVO'!R253</f>
        <v>2015</v>
      </c>
      <c r="S253" s="304">
        <v>1</v>
      </c>
      <c r="T253" s="699">
        <v>1</v>
      </c>
      <c r="U253" s="303">
        <v>0.25</v>
      </c>
      <c r="V253" s="687">
        <v>1370000</v>
      </c>
      <c r="W253" s="303">
        <v>0.25</v>
      </c>
      <c r="X253" s="687">
        <v>1000000</v>
      </c>
      <c r="Y253" s="286">
        <v>0.25</v>
      </c>
      <c r="Z253" s="1233">
        <v>1500000</v>
      </c>
      <c r="AA253" s="291">
        <v>0.25</v>
      </c>
      <c r="AB253" s="687">
        <v>1500000</v>
      </c>
      <c r="AC253" s="669">
        <v>0.25</v>
      </c>
      <c r="AD253" s="669">
        <v>0.25</v>
      </c>
      <c r="AE253" s="669">
        <v>0.25</v>
      </c>
      <c r="AF253" s="669"/>
      <c r="AG253" s="341" t="s">
        <v>3649</v>
      </c>
      <c r="AH253" s="987">
        <v>2018413960018</v>
      </c>
      <c r="AI253" s="355" t="s">
        <v>4180</v>
      </c>
      <c r="AJ253" s="363">
        <v>43344</v>
      </c>
      <c r="AK253" s="363">
        <v>43373</v>
      </c>
      <c r="AL253" s="358"/>
      <c r="AM253" s="358"/>
      <c r="AN253" s="267" t="s">
        <v>2598</v>
      </c>
      <c r="AO253" s="512" t="s">
        <v>4181</v>
      </c>
      <c r="AP253" s="528"/>
      <c r="AQ253" s="852"/>
      <c r="AR253" s="472"/>
      <c r="AS253" s="472"/>
      <c r="AT253" s="472"/>
      <c r="AU253" s="472"/>
      <c r="AV253" s="472"/>
      <c r="AW253" s="544"/>
      <c r="AX253" s="528"/>
      <c r="AY253" s="472"/>
      <c r="AZ253" s="472"/>
      <c r="BA253" s="472"/>
      <c r="BB253" s="472"/>
      <c r="BC253" s="472"/>
      <c r="BD253" s="472"/>
      <c r="BE253" s="544">
        <f t="shared" si="142"/>
        <v>0</v>
      </c>
      <c r="BF253" s="528"/>
      <c r="BG253" s="472">
        <v>742233</v>
      </c>
      <c r="BH253" s="472"/>
      <c r="BI253" s="472"/>
      <c r="BJ253" s="472"/>
      <c r="BK253" s="472"/>
      <c r="BL253" s="472"/>
      <c r="BM253" s="544">
        <f t="shared" si="143"/>
        <v>742233</v>
      </c>
      <c r="BN253" s="528"/>
      <c r="BO253" s="472"/>
      <c r="BP253" s="472"/>
      <c r="BQ253" s="472"/>
      <c r="BR253" s="472"/>
      <c r="BS253" s="472"/>
      <c r="BT253" s="472"/>
      <c r="BU253" s="544">
        <f t="shared" si="144"/>
        <v>0</v>
      </c>
      <c r="BV253" s="556"/>
      <c r="BW253" s="663">
        <f t="shared" si="133"/>
        <v>0.75</v>
      </c>
      <c r="BX253" s="1047">
        <f t="shared" si="136"/>
        <v>0.75</v>
      </c>
      <c r="BY253" s="1047">
        <f t="shared" si="164"/>
        <v>1</v>
      </c>
      <c r="BZ253" s="1047">
        <f t="shared" si="165"/>
        <v>1</v>
      </c>
      <c r="CA253" s="1047">
        <f t="shared" si="166"/>
        <v>1</v>
      </c>
      <c r="CB253" s="1047">
        <f t="shared" si="167"/>
        <v>0</v>
      </c>
      <c r="CD253" t="str">
        <f t="shared" si="168"/>
        <v>VE</v>
      </c>
      <c r="CE253" t="str">
        <f t="shared" si="168"/>
        <v>VE</v>
      </c>
      <c r="CF253" t="str">
        <f t="shared" si="168"/>
        <v>VE</v>
      </c>
      <c r="CG253" t="str">
        <f t="shared" si="168"/>
        <v>ROB</v>
      </c>
    </row>
    <row r="254" spans="1:85" ht="83.25" hidden="1" customHeight="1" x14ac:dyDescent="0.25">
      <c r="A254" s="298" t="s">
        <v>491</v>
      </c>
      <c r="B254" s="299" t="str">
        <f>'PLAN INDICATIVO'!B254</f>
        <v>Atención a grupos vulnerables - promoción social</v>
      </c>
      <c r="C254" s="1547"/>
      <c r="D254" s="1551"/>
      <c r="E254" s="1551"/>
      <c r="F254" s="1551"/>
      <c r="G254" s="1551"/>
      <c r="H254" s="1551"/>
      <c r="I254" s="300">
        <f>'PLAN INDICATIVO'!I254</f>
        <v>0</v>
      </c>
      <c r="J254" s="300">
        <f>'PLAN INDICATIVO'!J254</f>
        <v>0</v>
      </c>
      <c r="K254" s="1425" t="str">
        <f>'PLAN INDICATIVO'!K254</f>
        <v>A.14.6.13</v>
      </c>
      <c r="L254" s="301" t="str">
        <f>'PLAN INDICATIVO'!L254</f>
        <v>10. Reducción de las desigualdades</v>
      </c>
      <c r="M254" s="301" t="str">
        <f>'PLAN INDICATIVO'!M254</f>
        <v>Secretaría de Gobierno</v>
      </c>
      <c r="N254" s="1425" t="str">
        <f>'PLAN INDICATIVO'!N254</f>
        <v>HERNAN RODRIGUEZ FALLA</v>
      </c>
      <c r="O254" s="1425" t="str">
        <f>'PLAN INDICATIVO'!O254</f>
        <v>Incremento</v>
      </c>
      <c r="P254" s="16" t="str">
        <f>'PLAN INDICATIVO'!P254</f>
        <v xml:space="preserve">Realizar 1 caracterización de la población víctima del conflicto armado, durante el cuatrienio. </v>
      </c>
      <c r="Q254" s="302" t="str">
        <f>'PLAN INDICATIVO'!Q254</f>
        <v xml:space="preserve">No. de caracterizaciones realizadas </v>
      </c>
      <c r="R254" s="303">
        <f>'PLAN INDICATIVO'!R254</f>
        <v>2015</v>
      </c>
      <c r="S254" s="304">
        <v>0</v>
      </c>
      <c r="T254" s="699">
        <v>1</v>
      </c>
      <c r="U254" s="303">
        <v>1</v>
      </c>
      <c r="V254" s="687"/>
      <c r="W254" s="303">
        <v>1</v>
      </c>
      <c r="X254" s="687">
        <v>500000</v>
      </c>
      <c r="Y254" s="286">
        <v>0.5</v>
      </c>
      <c r="Z254" s="1233"/>
      <c r="AA254" s="291"/>
      <c r="AB254" s="687"/>
      <c r="AC254" s="669"/>
      <c r="AD254" s="669">
        <v>0.5</v>
      </c>
      <c r="AE254" s="669">
        <v>0.5</v>
      </c>
      <c r="AF254" s="669"/>
      <c r="AG254" s="341" t="s">
        <v>3649</v>
      </c>
      <c r="AH254" s="987">
        <v>2018413960018</v>
      </c>
      <c r="AI254" s="355" t="s">
        <v>4182</v>
      </c>
      <c r="AJ254" s="363">
        <v>43252</v>
      </c>
      <c r="AK254" s="363">
        <v>43449</v>
      </c>
      <c r="AL254" s="358"/>
      <c r="AM254" s="358"/>
      <c r="AN254" s="267" t="s">
        <v>2598</v>
      </c>
      <c r="AO254" s="512"/>
      <c r="AP254" s="528"/>
      <c r="AQ254" s="472"/>
      <c r="AR254" s="472"/>
      <c r="AS254" s="472"/>
      <c r="AT254" s="472"/>
      <c r="AU254" s="472"/>
      <c r="AV254" s="472"/>
      <c r="AW254" s="544"/>
      <c r="AX254" s="528"/>
      <c r="AY254" s="472"/>
      <c r="AZ254" s="472"/>
      <c r="BA254" s="472"/>
      <c r="BB254" s="472"/>
      <c r="BC254" s="472"/>
      <c r="BD254" s="472"/>
      <c r="BE254" s="544">
        <f t="shared" si="142"/>
        <v>0</v>
      </c>
      <c r="BF254" s="528"/>
      <c r="BG254" s="472"/>
      <c r="BH254" s="472"/>
      <c r="BI254" s="472"/>
      <c r="BJ254" s="472"/>
      <c r="BK254" s="472"/>
      <c r="BL254" s="472"/>
      <c r="BM254" s="544">
        <f t="shared" si="143"/>
        <v>0</v>
      </c>
      <c r="BN254" s="528"/>
      <c r="BO254" s="472"/>
      <c r="BP254" s="472"/>
      <c r="BQ254" s="472"/>
      <c r="BR254" s="472"/>
      <c r="BS254" s="472"/>
      <c r="BT254" s="472"/>
      <c r="BU254" s="544">
        <f t="shared" si="144"/>
        <v>0</v>
      </c>
      <c r="BV254" s="556"/>
      <c r="BW254" s="663">
        <f t="shared" si="133"/>
        <v>1</v>
      </c>
      <c r="BX254" s="1047">
        <f t="shared" si="136"/>
        <v>1</v>
      </c>
      <c r="BY254" s="1047">
        <f t="shared" si="164"/>
        <v>0</v>
      </c>
      <c r="BZ254" s="1047">
        <f t="shared" si="165"/>
        <v>0.5</v>
      </c>
      <c r="CA254" s="1047">
        <f t="shared" si="166"/>
        <v>1</v>
      </c>
      <c r="CB254" s="1047" t="str">
        <f t="shared" si="167"/>
        <v>No Programada</v>
      </c>
      <c r="CD254" t="str">
        <f t="shared" si="168"/>
        <v>ROB</v>
      </c>
      <c r="CE254" t="str">
        <f t="shared" si="168"/>
        <v>AMB</v>
      </c>
      <c r="CF254" t="str">
        <f t="shared" si="168"/>
        <v>VE</v>
      </c>
      <c r="CG254" t="str">
        <f t="shared" si="168"/>
        <v>NP</v>
      </c>
    </row>
    <row r="255" spans="1:85" ht="51.75" hidden="1" customHeight="1" x14ac:dyDescent="0.25">
      <c r="A255" s="298" t="s">
        <v>491</v>
      </c>
      <c r="B255" s="299" t="str">
        <f>'PLAN INDICATIVO'!B255</f>
        <v>Atención a grupos vulnerables - promoción social</v>
      </c>
      <c r="C255" s="1547"/>
      <c r="D255" s="1551"/>
      <c r="E255" s="1551"/>
      <c r="F255" s="1551"/>
      <c r="G255" s="1551"/>
      <c r="H255" s="1551"/>
      <c r="I255" s="300">
        <f>'PLAN INDICATIVO'!I255</f>
        <v>0</v>
      </c>
      <c r="J255" s="300">
        <f>'PLAN INDICATIVO'!J255</f>
        <v>0</v>
      </c>
      <c r="K255" s="1425" t="str">
        <f>'PLAN INDICATIVO'!K255</f>
        <v>A.14.6.14</v>
      </c>
      <c r="L255" s="301" t="str">
        <f>'PLAN INDICATIVO'!L255</f>
        <v>10. Reducción de las desigualdades</v>
      </c>
      <c r="M255" s="301" t="str">
        <f>'PLAN INDICATIVO'!M255</f>
        <v>Secretaría de Gobierno</v>
      </c>
      <c r="N255" s="1425" t="str">
        <f>'PLAN INDICATIVO'!N255</f>
        <v>HERNAN RODRIGUEZ FALLA</v>
      </c>
      <c r="O255" s="1425" t="str">
        <f>'PLAN INDICATIVO'!O255</f>
        <v>Mantenimiento</v>
      </c>
      <c r="P255" s="16" t="str">
        <f>'PLAN INDICATIVO'!P255</f>
        <v xml:space="preserve">Ejecutar 1 plan de auxilio funerario a la población víctima del conflicto armado cada año </v>
      </c>
      <c r="Q255" s="302" t="str">
        <f>'PLAN INDICATIVO'!Q255</f>
        <v>No. de planes implementados por año</v>
      </c>
      <c r="R255" s="303">
        <f>'PLAN INDICATIVO'!R255</f>
        <v>2015</v>
      </c>
      <c r="S255" s="304">
        <v>1</v>
      </c>
      <c r="T255" s="699">
        <v>1</v>
      </c>
      <c r="U255" s="303">
        <v>1</v>
      </c>
      <c r="V255" s="687">
        <v>2000000</v>
      </c>
      <c r="W255" s="303">
        <v>1</v>
      </c>
      <c r="X255" s="687">
        <v>2000000</v>
      </c>
      <c r="Y255" s="286">
        <v>1</v>
      </c>
      <c r="Z255" s="1233">
        <v>2000000</v>
      </c>
      <c r="AA255" s="291">
        <v>1</v>
      </c>
      <c r="AB255" s="687">
        <v>2000000</v>
      </c>
      <c r="AC255" s="669">
        <v>1</v>
      </c>
      <c r="AD255" s="669">
        <v>6</v>
      </c>
      <c r="AE255" s="669">
        <v>1</v>
      </c>
      <c r="AF255" s="669"/>
      <c r="AG255" s="341" t="s">
        <v>3649</v>
      </c>
      <c r="AH255" s="987">
        <v>2018413960018</v>
      </c>
      <c r="AI255" s="355" t="s">
        <v>4183</v>
      </c>
      <c r="AJ255" s="363">
        <v>43115</v>
      </c>
      <c r="AK255" s="363">
        <v>43464</v>
      </c>
      <c r="AL255" s="358"/>
      <c r="AM255" s="358"/>
      <c r="AN255" s="267" t="s">
        <v>2598</v>
      </c>
      <c r="AO255" s="512" t="s">
        <v>4184</v>
      </c>
      <c r="AP255" s="528"/>
      <c r="AQ255" s="472"/>
      <c r="AR255" s="472"/>
      <c r="AS255" s="472"/>
      <c r="AT255" s="472"/>
      <c r="AU255" s="472"/>
      <c r="AV255" s="472"/>
      <c r="AW255" s="544"/>
      <c r="AX255" s="528"/>
      <c r="AY255" s="472"/>
      <c r="AZ255" s="472"/>
      <c r="BA255" s="472"/>
      <c r="BB255" s="472"/>
      <c r="BC255" s="472"/>
      <c r="BD255" s="472"/>
      <c r="BE255" s="544">
        <f t="shared" si="142"/>
        <v>0</v>
      </c>
      <c r="BF255" s="528">
        <f>600000+450000</f>
        <v>1050000</v>
      </c>
      <c r="BG255" s="472"/>
      <c r="BH255" s="472"/>
      <c r="BI255" s="472"/>
      <c r="BJ255" s="472"/>
      <c r="BK255" s="472"/>
      <c r="BL255" s="472"/>
      <c r="BM255" s="544">
        <f t="shared" si="143"/>
        <v>1050000</v>
      </c>
      <c r="BN255" s="528"/>
      <c r="BO255" s="472"/>
      <c r="BP255" s="472"/>
      <c r="BQ255" s="472"/>
      <c r="BR255" s="472"/>
      <c r="BS255" s="472"/>
      <c r="BT255" s="472"/>
      <c r="BU255" s="544">
        <f t="shared" si="144"/>
        <v>0</v>
      </c>
      <c r="BV255" s="556"/>
      <c r="BW255" s="663">
        <f t="shared" si="133"/>
        <v>8</v>
      </c>
      <c r="BX255" s="1047">
        <f t="shared" si="136"/>
        <v>8</v>
      </c>
      <c r="BY255" s="1047">
        <f t="shared" si="164"/>
        <v>1</v>
      </c>
      <c r="BZ255" s="1047">
        <f t="shared" si="165"/>
        <v>6</v>
      </c>
      <c r="CA255" s="1047">
        <f t="shared" si="166"/>
        <v>1</v>
      </c>
      <c r="CB255" s="1047">
        <f t="shared" si="167"/>
        <v>0</v>
      </c>
      <c r="CD255" t="str">
        <f t="shared" si="168"/>
        <v>VE</v>
      </c>
      <c r="CE255" t="str">
        <f t="shared" si="168"/>
        <v>VE</v>
      </c>
      <c r="CF255" t="str">
        <f t="shared" si="168"/>
        <v>VE</v>
      </c>
      <c r="CG255" t="str">
        <f t="shared" si="168"/>
        <v>ROB</v>
      </c>
    </row>
    <row r="256" spans="1:85" ht="63.75" hidden="1" customHeight="1" x14ac:dyDescent="0.25">
      <c r="A256" s="298" t="s">
        <v>491</v>
      </c>
      <c r="B256" s="299" t="str">
        <f>'PLAN INDICATIVO'!B256</f>
        <v>Atención a grupos vulnerables - promoción social</v>
      </c>
      <c r="C256" s="1547"/>
      <c r="D256" s="1551"/>
      <c r="E256" s="1551"/>
      <c r="F256" s="1551"/>
      <c r="G256" s="1551"/>
      <c r="H256" s="1551"/>
      <c r="I256" s="300">
        <f>'PLAN INDICATIVO'!I256</f>
        <v>0</v>
      </c>
      <c r="J256" s="300">
        <f>'PLAN INDICATIVO'!J256</f>
        <v>0</v>
      </c>
      <c r="K256" s="1425" t="str">
        <f>'PLAN INDICATIVO'!K256</f>
        <v>A.14.6.15</v>
      </c>
      <c r="L256" s="301" t="str">
        <f>'PLAN INDICATIVO'!L256</f>
        <v>10. Reducción de las desigualdades</v>
      </c>
      <c r="M256" s="301" t="str">
        <f>'PLAN INDICATIVO'!M256</f>
        <v>Secretaría de Gobierno</v>
      </c>
      <c r="N256" s="1425" t="str">
        <f>'PLAN INDICATIVO'!N256</f>
        <v>HERNAN RODRIGUEZ FALLA</v>
      </c>
      <c r="O256" s="1425" t="str">
        <f>'PLAN INDICATIVO'!O256</f>
        <v>Mantenimiento</v>
      </c>
      <c r="P256" s="16" t="str">
        <f>'PLAN INDICATIVO'!P256</f>
        <v>Ejecutar 1 programa de atención en ayuda humanitaria de inmediatez a la población víctima del conflicto armado cada año</v>
      </c>
      <c r="Q256" s="302" t="str">
        <f>'PLAN INDICATIVO'!Q256</f>
        <v>No. de programas implementados  por año</v>
      </c>
      <c r="R256" s="303">
        <f>'PLAN INDICATIVO'!R256</f>
        <v>2015</v>
      </c>
      <c r="S256" s="304">
        <v>1</v>
      </c>
      <c r="T256" s="699">
        <v>1</v>
      </c>
      <c r="U256" s="934">
        <v>0.25</v>
      </c>
      <c r="V256" s="687">
        <v>5000000</v>
      </c>
      <c r="W256" s="934">
        <v>0.25</v>
      </c>
      <c r="X256" s="687">
        <v>5000000</v>
      </c>
      <c r="Y256" s="1238">
        <v>0.25</v>
      </c>
      <c r="Z256" s="1233">
        <v>5000000</v>
      </c>
      <c r="AA256" s="1311">
        <v>0.25</v>
      </c>
      <c r="AB256" s="687">
        <v>5000000</v>
      </c>
      <c r="AC256" s="669">
        <v>0.25</v>
      </c>
      <c r="AD256" s="669">
        <v>0.25</v>
      </c>
      <c r="AE256" s="669">
        <v>0.25</v>
      </c>
      <c r="AF256" s="669"/>
      <c r="AG256" s="341" t="s">
        <v>3649</v>
      </c>
      <c r="AH256" s="987">
        <v>2018413960018</v>
      </c>
      <c r="AI256" s="355" t="s">
        <v>4185</v>
      </c>
      <c r="AJ256" s="363">
        <v>43435</v>
      </c>
      <c r="AK256" s="363">
        <v>43464</v>
      </c>
      <c r="AL256" s="358"/>
      <c r="AM256" s="358"/>
      <c r="AN256" s="267" t="s">
        <v>2604</v>
      </c>
      <c r="AO256" s="512" t="s">
        <v>4181</v>
      </c>
      <c r="AP256" s="528"/>
      <c r="AQ256" s="472"/>
      <c r="AR256" s="472"/>
      <c r="AS256" s="472"/>
      <c r="AT256" s="472"/>
      <c r="AU256" s="472"/>
      <c r="AV256" s="472"/>
      <c r="AW256" s="544"/>
      <c r="AX256" s="528"/>
      <c r="AY256" s="472"/>
      <c r="AZ256" s="472"/>
      <c r="BA256" s="472"/>
      <c r="BB256" s="472"/>
      <c r="BC256" s="472"/>
      <c r="BD256" s="472"/>
      <c r="BE256" s="544">
        <f t="shared" si="142"/>
        <v>0</v>
      </c>
      <c r="BF256" s="528"/>
      <c r="BG256" s="472">
        <v>742233</v>
      </c>
      <c r="BH256" s="472"/>
      <c r="BI256" s="472"/>
      <c r="BJ256" s="472"/>
      <c r="BK256" s="472"/>
      <c r="BL256" s="472"/>
      <c r="BM256" s="544">
        <f t="shared" si="143"/>
        <v>742233</v>
      </c>
      <c r="BN256" s="528"/>
      <c r="BO256" s="472"/>
      <c r="BP256" s="472"/>
      <c r="BQ256" s="472"/>
      <c r="BR256" s="472"/>
      <c r="BS256" s="472"/>
      <c r="BT256" s="472"/>
      <c r="BU256" s="544">
        <f t="shared" si="144"/>
        <v>0</v>
      </c>
      <c r="BV256" s="556"/>
      <c r="BW256" s="663">
        <f t="shared" si="133"/>
        <v>0.75</v>
      </c>
      <c r="BX256" s="1047">
        <f t="shared" si="136"/>
        <v>0.75</v>
      </c>
      <c r="BY256" s="1047">
        <f t="shared" si="164"/>
        <v>1</v>
      </c>
      <c r="BZ256" s="1047">
        <f t="shared" si="165"/>
        <v>1</v>
      </c>
      <c r="CA256" s="1047">
        <f t="shared" si="166"/>
        <v>1</v>
      </c>
      <c r="CB256" s="1047">
        <f t="shared" si="167"/>
        <v>0</v>
      </c>
      <c r="CD256" t="str">
        <f t="shared" si="168"/>
        <v>VE</v>
      </c>
      <c r="CE256" t="str">
        <f t="shared" si="168"/>
        <v>VE</v>
      </c>
      <c r="CF256" t="str">
        <f t="shared" si="168"/>
        <v>VE</v>
      </c>
      <c r="CG256" t="str">
        <f t="shared" si="168"/>
        <v>ROB</v>
      </c>
    </row>
    <row r="257" spans="1:85" ht="86.25" hidden="1" customHeight="1" x14ac:dyDescent="0.25">
      <c r="A257" s="298" t="s">
        <v>491</v>
      </c>
      <c r="B257" s="299" t="str">
        <f>'PLAN INDICATIVO'!B257</f>
        <v>Atención a grupos vulnerables - promoción social</v>
      </c>
      <c r="C257" s="1547"/>
      <c r="D257" s="1551"/>
      <c r="E257" s="1551"/>
      <c r="F257" s="1551"/>
      <c r="G257" s="1551"/>
      <c r="H257" s="1551"/>
      <c r="I257" s="300">
        <f>'PLAN INDICATIVO'!I257</f>
        <v>0</v>
      </c>
      <c r="J257" s="300">
        <f>'PLAN INDICATIVO'!J257</f>
        <v>0</v>
      </c>
      <c r="K257" s="1425" t="str">
        <f>'PLAN INDICATIVO'!K257</f>
        <v>A.14.6.16</v>
      </c>
      <c r="L257" s="301" t="str">
        <f>'PLAN INDICATIVO'!L257</f>
        <v>10. Reducción de las desigualdades</v>
      </c>
      <c r="M257" s="301" t="str">
        <f>'PLAN INDICATIVO'!M257</f>
        <v>Secretaría de Gobierno</v>
      </c>
      <c r="N257" s="1425" t="str">
        <f>'PLAN INDICATIVO'!N257</f>
        <v>HERNAN RODRIGUEZ FALLA</v>
      </c>
      <c r="O257" s="1425" t="str">
        <f>'PLAN INDICATIVO'!O257</f>
        <v>Incremento</v>
      </c>
      <c r="P257" s="16" t="str">
        <f>'PLAN INDICATIVO'!P257</f>
        <v xml:space="preserve">Realizar 4 jornadas de sensibilización para comunicar los derechos de la población víctima del conflicto armado, dirigidas a servidores públicos, instituciones educativas y comunidad en general del municipio, en el cuatrienio. </v>
      </c>
      <c r="Q257" s="302" t="str">
        <f>'PLAN INDICATIVO'!Q257</f>
        <v>No. de jornadas de sensibilización realizadas</v>
      </c>
      <c r="R257" s="303">
        <f>'PLAN INDICATIVO'!R257</f>
        <v>2015</v>
      </c>
      <c r="S257" s="304">
        <v>1</v>
      </c>
      <c r="T257" s="699">
        <v>4</v>
      </c>
      <c r="U257" s="303">
        <v>1</v>
      </c>
      <c r="V257" s="687">
        <v>5000000</v>
      </c>
      <c r="W257" s="303">
        <v>1</v>
      </c>
      <c r="X257" s="687">
        <v>500000</v>
      </c>
      <c r="Y257" s="286">
        <v>1</v>
      </c>
      <c r="Z257" s="1233">
        <v>500000</v>
      </c>
      <c r="AA257" s="291"/>
      <c r="AB257" s="687">
        <v>1500000</v>
      </c>
      <c r="AC257" s="669">
        <v>1</v>
      </c>
      <c r="AD257" s="669">
        <v>3</v>
      </c>
      <c r="AE257" s="669">
        <v>1</v>
      </c>
      <c r="AF257" s="669"/>
      <c r="AG257" s="341" t="s">
        <v>3649</v>
      </c>
      <c r="AH257" s="987">
        <v>2018413960018</v>
      </c>
      <c r="AI257" s="1335">
        <v>43827</v>
      </c>
      <c r="AJ257" s="363"/>
      <c r="AK257" s="363"/>
      <c r="AL257" s="358"/>
      <c r="AM257" s="358"/>
      <c r="AN257" s="267" t="s">
        <v>2598</v>
      </c>
      <c r="AO257" s="512" t="s">
        <v>4186</v>
      </c>
      <c r="AP257" s="528"/>
      <c r="AQ257" s="472"/>
      <c r="AR257" s="472"/>
      <c r="AS257" s="472"/>
      <c r="AT257" s="472"/>
      <c r="AU257" s="472"/>
      <c r="AV257" s="472"/>
      <c r="AW257" s="544"/>
      <c r="AX257" s="528"/>
      <c r="AY257" s="472"/>
      <c r="AZ257" s="472"/>
      <c r="BA257" s="472"/>
      <c r="BB257" s="472"/>
      <c r="BC257" s="472"/>
      <c r="BD257" s="472"/>
      <c r="BE257" s="544">
        <f t="shared" si="142"/>
        <v>0</v>
      </c>
      <c r="BF257" s="528">
        <f>753400+1411000</f>
        <v>2164400</v>
      </c>
      <c r="BG257" s="472"/>
      <c r="BH257" s="472"/>
      <c r="BI257" s="472"/>
      <c r="BJ257" s="472"/>
      <c r="BK257" s="472"/>
      <c r="BL257" s="472"/>
      <c r="BM257" s="544">
        <f t="shared" si="143"/>
        <v>2164400</v>
      </c>
      <c r="BN257" s="528"/>
      <c r="BO257" s="472"/>
      <c r="BP257" s="472"/>
      <c r="BQ257" s="472"/>
      <c r="BR257" s="472"/>
      <c r="BS257" s="472"/>
      <c r="BT257" s="472"/>
      <c r="BU257" s="544">
        <f t="shared" si="144"/>
        <v>0</v>
      </c>
      <c r="BV257" s="556"/>
      <c r="BW257" s="663">
        <f t="shared" si="133"/>
        <v>5</v>
      </c>
      <c r="BX257" s="1047">
        <f t="shared" si="136"/>
        <v>1.25</v>
      </c>
      <c r="BY257" s="1047">
        <f t="shared" si="164"/>
        <v>1</v>
      </c>
      <c r="BZ257" s="1047">
        <f t="shared" si="165"/>
        <v>3</v>
      </c>
      <c r="CA257" s="1047">
        <f t="shared" si="166"/>
        <v>1</v>
      </c>
      <c r="CB257" s="1047" t="str">
        <f t="shared" si="167"/>
        <v>No Programada</v>
      </c>
      <c r="CD257" t="str">
        <f t="shared" si="168"/>
        <v>VE</v>
      </c>
      <c r="CE257" t="str">
        <f t="shared" si="168"/>
        <v>VE</v>
      </c>
      <c r="CF257" t="str">
        <f t="shared" si="168"/>
        <v>VE</v>
      </c>
      <c r="CG257" t="str">
        <f t="shared" si="168"/>
        <v>NP</v>
      </c>
    </row>
    <row r="258" spans="1:85" ht="69.75" hidden="1" customHeight="1" thickBot="1" x14ac:dyDescent="0.3">
      <c r="A258" s="393" t="s">
        <v>491</v>
      </c>
      <c r="B258" s="394" t="str">
        <f>'PLAN INDICATIVO'!B258</f>
        <v>Atención a grupos vulnerables - promoción social</v>
      </c>
      <c r="C258" s="1547"/>
      <c r="D258" s="1551"/>
      <c r="E258" s="1551"/>
      <c r="F258" s="1551"/>
      <c r="G258" s="1551"/>
      <c r="H258" s="1551"/>
      <c r="I258" s="395">
        <f>'PLAN INDICATIVO'!I258</f>
        <v>0</v>
      </c>
      <c r="J258" s="395">
        <f>'PLAN INDICATIVO'!J258</f>
        <v>0</v>
      </c>
      <c r="K258" s="1426" t="str">
        <f>'PLAN INDICATIVO'!K258</f>
        <v>A.14.6.17</v>
      </c>
      <c r="L258" s="396" t="str">
        <f>'PLAN INDICATIVO'!L258</f>
        <v>10. Reducción de las desigualdades</v>
      </c>
      <c r="M258" s="396" t="str">
        <f>'PLAN INDICATIVO'!M258</f>
        <v>Secretaría de Gobierno</v>
      </c>
      <c r="N258" s="1425" t="str">
        <f>'PLAN INDICATIVO'!N258</f>
        <v>HERNAN RODRIGUEZ FALLA</v>
      </c>
      <c r="O258" s="1426" t="str">
        <f>'PLAN INDICATIVO'!O258</f>
        <v>Incremento</v>
      </c>
      <c r="P258" s="70" t="str">
        <f>'PLAN INDICATIVO'!P258</f>
        <v>Apoyar 1 proceso de reintegración comunitaria (MAMBRÚ) en el municipio de la Plata, liderado por la Agencia Colombiana Para La Reintegración, durante el cuatrienio</v>
      </c>
      <c r="Q258" s="350" t="str">
        <f>'PLAN INDICATIVO'!Q258</f>
        <v>No. de apoyos a procesos de reintegración realizados</v>
      </c>
      <c r="R258" s="397">
        <f>'PLAN INDICATIVO'!R258</f>
        <v>2015</v>
      </c>
      <c r="S258" s="1433">
        <v>0</v>
      </c>
      <c r="T258" s="699">
        <v>1</v>
      </c>
      <c r="U258" s="67">
        <v>0</v>
      </c>
      <c r="V258" s="687">
        <v>1000000</v>
      </c>
      <c r="W258" s="303">
        <v>0</v>
      </c>
      <c r="X258" s="687">
        <v>1000000</v>
      </c>
      <c r="Y258" s="286"/>
      <c r="Z258" s="1233"/>
      <c r="AA258" s="291"/>
      <c r="AB258" s="687"/>
      <c r="AC258" s="671">
        <v>1</v>
      </c>
      <c r="AD258" s="671"/>
      <c r="AE258" s="671">
        <v>1</v>
      </c>
      <c r="AF258" s="671"/>
      <c r="AG258" s="341" t="s">
        <v>3649</v>
      </c>
      <c r="AH258" s="987">
        <v>2018413960018</v>
      </c>
      <c r="AI258" s="399" t="s">
        <v>4187</v>
      </c>
      <c r="AJ258" s="363"/>
      <c r="AK258" s="363"/>
      <c r="AL258" s="358"/>
      <c r="AM258" s="358"/>
      <c r="AN258" s="267" t="s">
        <v>2594</v>
      </c>
      <c r="AO258" s="512" t="s">
        <v>4181</v>
      </c>
      <c r="AP258" s="525"/>
      <c r="AQ258" s="310"/>
      <c r="AR258" s="310"/>
      <c r="AS258" s="310"/>
      <c r="AT258" s="310"/>
      <c r="AU258" s="310"/>
      <c r="AV258" s="310"/>
      <c r="AW258" s="544"/>
      <c r="AX258" s="525"/>
      <c r="AY258" s="310"/>
      <c r="AZ258" s="310"/>
      <c r="BA258" s="310"/>
      <c r="BB258" s="310"/>
      <c r="BC258" s="310"/>
      <c r="BD258" s="310"/>
      <c r="BE258" s="544">
        <f t="shared" si="142"/>
        <v>0</v>
      </c>
      <c r="BF258" s="525"/>
      <c r="BG258" s="310">
        <v>742233</v>
      </c>
      <c r="BH258" s="310"/>
      <c r="BI258" s="310"/>
      <c r="BJ258" s="310"/>
      <c r="BK258" s="310"/>
      <c r="BL258" s="310"/>
      <c r="BM258" s="544">
        <f t="shared" si="143"/>
        <v>742233</v>
      </c>
      <c r="BN258" s="525"/>
      <c r="BO258" s="310"/>
      <c r="BP258" s="310"/>
      <c r="BQ258" s="310"/>
      <c r="BR258" s="310"/>
      <c r="BS258" s="310"/>
      <c r="BT258" s="310"/>
      <c r="BU258" s="544">
        <f t="shared" si="144"/>
        <v>0</v>
      </c>
      <c r="BV258" s="556"/>
      <c r="BW258" s="663">
        <f t="shared" si="133"/>
        <v>2</v>
      </c>
      <c r="BX258" s="1047">
        <f t="shared" si="136"/>
        <v>2</v>
      </c>
      <c r="BY258" s="1047" t="str">
        <f t="shared" si="164"/>
        <v>Aplazada</v>
      </c>
      <c r="BZ258" s="1047" t="str">
        <f t="shared" si="165"/>
        <v>Aplazada</v>
      </c>
      <c r="CA258" s="1047" t="str">
        <f t="shared" si="166"/>
        <v>No Programada</v>
      </c>
      <c r="CB258" s="1047" t="str">
        <f t="shared" si="167"/>
        <v>No Programada</v>
      </c>
      <c r="CD258" t="str">
        <f t="shared" si="168"/>
        <v>AZ</v>
      </c>
      <c r="CE258" t="str">
        <f t="shared" si="168"/>
        <v>AZ</v>
      </c>
      <c r="CF258" t="str">
        <f t="shared" si="168"/>
        <v>NP</v>
      </c>
      <c r="CG258" t="str">
        <f t="shared" si="168"/>
        <v>NP</v>
      </c>
    </row>
    <row r="259" spans="1:85" ht="19.5" hidden="1" customHeight="1" thickBot="1" x14ac:dyDescent="0.3">
      <c r="A259" s="1563" t="str">
        <f>'PLAN INDICATIVO'!A259:N259</f>
        <v>DIMENSIÓN ECONOMICA</v>
      </c>
      <c r="B259" s="1563"/>
      <c r="C259" s="1563"/>
      <c r="D259" s="1563"/>
      <c r="E259" s="1563"/>
      <c r="F259" s="1563"/>
      <c r="G259" s="1563"/>
      <c r="H259" s="1563"/>
      <c r="I259" s="1563"/>
      <c r="J259" s="1563"/>
      <c r="K259" s="1563"/>
      <c r="L259" s="1563"/>
      <c r="M259" s="1563"/>
      <c r="N259" s="1564"/>
      <c r="O259" s="1426">
        <f>'PLAN INDICATIVO'!O259</f>
        <v>0</v>
      </c>
      <c r="P259" s="70">
        <f>'PLAN INDICATIVO'!P259</f>
        <v>0</v>
      </c>
      <c r="Q259" s="350">
        <f>'PLAN INDICATIVO'!Q259</f>
        <v>0</v>
      </c>
      <c r="R259" s="397">
        <f>'PLAN INDICATIVO'!R259</f>
        <v>0</v>
      </c>
      <c r="S259" s="762"/>
      <c r="T259" s="762"/>
      <c r="U259" s="762"/>
      <c r="V259" s="762"/>
      <c r="W259" s="762"/>
      <c r="X259" s="762"/>
      <c r="Y259" s="762"/>
      <c r="Z259" s="762"/>
      <c r="AA259" s="762"/>
      <c r="AB259" s="762"/>
      <c r="AC259" s="762"/>
      <c r="AD259" s="762"/>
      <c r="AE259" s="762"/>
      <c r="AF259" s="762"/>
      <c r="AG259" s="762"/>
      <c r="AH259" s="984"/>
      <c r="AI259" s="454"/>
      <c r="AJ259" s="322"/>
      <c r="AK259" s="292"/>
      <c r="AL259" s="292"/>
      <c r="AM259" s="292"/>
      <c r="AN259" s="292"/>
      <c r="AO259" s="504"/>
      <c r="AP259" s="632"/>
      <c r="AQ259" s="633"/>
      <c r="AR259" s="633"/>
      <c r="AS259" s="633"/>
      <c r="AT259" s="633"/>
      <c r="AU259" s="633"/>
      <c r="AV259" s="633"/>
      <c r="AW259" s="555"/>
      <c r="AX259" s="632"/>
      <c r="AY259" s="633"/>
      <c r="AZ259" s="633"/>
      <c r="BA259" s="633"/>
      <c r="BB259" s="633"/>
      <c r="BC259" s="633"/>
      <c r="BD259" s="633"/>
      <c r="BE259" s="555">
        <f t="shared" si="142"/>
        <v>0</v>
      </c>
      <c r="BF259" s="632"/>
      <c r="BG259" s="633"/>
      <c r="BH259" s="633"/>
      <c r="BI259" s="633"/>
      <c r="BJ259" s="633"/>
      <c r="BK259" s="633"/>
      <c r="BL259" s="633"/>
      <c r="BM259" s="555">
        <f t="shared" si="143"/>
        <v>0</v>
      </c>
      <c r="BN259" s="632"/>
      <c r="BO259" s="633"/>
      <c r="BP259" s="633"/>
      <c r="BQ259" s="633"/>
      <c r="BR259" s="633"/>
      <c r="BS259" s="633"/>
      <c r="BT259" s="633"/>
      <c r="BU259" s="555">
        <f t="shared" si="144"/>
        <v>0</v>
      </c>
      <c r="BV259" s="556"/>
      <c r="BW259" s="555" t="s">
        <v>2717</v>
      </c>
      <c r="BX259" s="555" t="s">
        <v>2717</v>
      </c>
      <c r="BY259" s="555" t="s">
        <v>2717</v>
      </c>
      <c r="BZ259" s="555" t="s">
        <v>2717</v>
      </c>
      <c r="CA259" s="555" t="s">
        <v>2717</v>
      </c>
      <c r="CB259" s="1047" t="s">
        <v>2717</v>
      </c>
    </row>
    <row r="260" spans="1:85" ht="21" hidden="1" customHeight="1" x14ac:dyDescent="0.25">
      <c r="A260" s="423"/>
      <c r="B260" s="293" t="str">
        <f>'PLAN INDICATIVO'!B260</f>
        <v>Promoción del desarrollo</v>
      </c>
      <c r="C260" s="1595" t="s">
        <v>2863</v>
      </c>
      <c r="D260" s="1596"/>
      <c r="E260" s="1596"/>
      <c r="F260" s="1596"/>
      <c r="G260" s="1596"/>
      <c r="H260" s="1596"/>
      <c r="I260" s="1596"/>
      <c r="J260" s="1596"/>
      <c r="K260" s="1596"/>
      <c r="L260" s="1596"/>
      <c r="M260" s="1596"/>
      <c r="N260" s="1596"/>
      <c r="O260" s="1596"/>
      <c r="P260" s="1596"/>
      <c r="Q260" s="1596"/>
      <c r="R260" s="1596"/>
      <c r="S260" s="1596"/>
      <c r="T260" s="1596"/>
      <c r="U260" s="1596"/>
      <c r="V260" s="1596"/>
      <c r="W260" s="1596"/>
      <c r="X260" s="1596"/>
      <c r="Y260" s="1596"/>
      <c r="Z260" s="1596"/>
      <c r="AA260" s="1596"/>
      <c r="AB260" s="1596"/>
      <c r="AC260" s="1596"/>
      <c r="AD260" s="1596"/>
      <c r="AE260" s="1596"/>
      <c r="AF260" s="1596"/>
      <c r="AG260" s="1596"/>
      <c r="AH260" s="1596"/>
      <c r="AI260" s="1596"/>
      <c r="AJ260" s="1596"/>
      <c r="AK260" s="1596"/>
      <c r="AL260" s="1596"/>
      <c r="AM260" s="1597"/>
      <c r="AN260" s="294"/>
      <c r="AO260" s="506"/>
      <c r="AP260" s="524"/>
      <c r="AQ260" s="374"/>
      <c r="AR260" s="374"/>
      <c r="AS260" s="374"/>
      <c r="AT260" s="374"/>
      <c r="AU260" s="374"/>
      <c r="AV260" s="374"/>
      <c r="AW260" s="544"/>
      <c r="AX260" s="524"/>
      <c r="AY260" s="374"/>
      <c r="AZ260" s="374"/>
      <c r="BA260" s="374"/>
      <c r="BB260" s="374"/>
      <c r="BC260" s="374"/>
      <c r="BD260" s="374"/>
      <c r="BE260" s="544">
        <f t="shared" si="142"/>
        <v>0</v>
      </c>
      <c r="BF260" s="541"/>
      <c r="BG260" s="542"/>
      <c r="BH260" s="542"/>
      <c r="BI260" s="542"/>
      <c r="BJ260" s="542"/>
      <c r="BK260" s="542"/>
      <c r="BL260" s="542"/>
      <c r="BM260" s="543">
        <f t="shared" si="143"/>
        <v>0</v>
      </c>
      <c r="BN260" s="541"/>
      <c r="BO260" s="542"/>
      <c r="BP260" s="542"/>
      <c r="BQ260" s="542"/>
      <c r="BR260" s="542"/>
      <c r="BS260" s="542"/>
      <c r="BT260" s="542"/>
      <c r="BU260" s="543">
        <f t="shared" si="144"/>
        <v>0</v>
      </c>
      <c r="BV260" s="620"/>
      <c r="BW260" s="876" t="s">
        <v>2717</v>
      </c>
      <c r="BX260" s="876" t="s">
        <v>2717</v>
      </c>
      <c r="BY260" s="876" t="s">
        <v>2717</v>
      </c>
      <c r="BZ260" s="876" t="s">
        <v>2717</v>
      </c>
      <c r="CA260" s="876" t="s">
        <v>2717</v>
      </c>
      <c r="CB260" s="1047" t="s">
        <v>2717</v>
      </c>
    </row>
    <row r="261" spans="1:85" ht="10.5" hidden="1" customHeight="1" x14ac:dyDescent="0.25">
      <c r="A261" s="296"/>
      <c r="B261" s="24" t="str">
        <f>'PLAN INDICATIVO'!B261</f>
        <v>Promoción del desarrollo</v>
      </c>
      <c r="C261" s="1574" t="s">
        <v>799</v>
      </c>
      <c r="D261" s="1575"/>
      <c r="E261" s="1575"/>
      <c r="F261" s="1575"/>
      <c r="G261" s="1575"/>
      <c r="H261" s="1575"/>
      <c r="I261" s="1575"/>
      <c r="J261" s="1575"/>
      <c r="K261" s="1575"/>
      <c r="L261" s="1575"/>
      <c r="M261" s="1575"/>
      <c r="N261" s="1575"/>
      <c r="O261" s="1576"/>
      <c r="P261" s="22"/>
      <c r="Q261" s="22"/>
      <c r="R261" s="1"/>
      <c r="S261" s="261"/>
      <c r="T261" s="681"/>
      <c r="U261" s="261"/>
      <c r="V261" s="689">
        <f>SUM(V262:V272)</f>
        <v>45000000</v>
      </c>
      <c r="W261" s="261"/>
      <c r="X261" s="689">
        <f>SUM(X262:X272)</f>
        <v>59000000</v>
      </c>
      <c r="Y261" s="261"/>
      <c r="Z261" s="689">
        <f>SUM(Z262:Z272)</f>
        <v>40000000</v>
      </c>
      <c r="AA261" s="262"/>
      <c r="AB261" s="690">
        <f>SUM(AB262:AB272)</f>
        <v>40000000</v>
      </c>
      <c r="AC261" s="262"/>
      <c r="AD261" s="262"/>
      <c r="AE261" s="262"/>
      <c r="AF261" s="262"/>
      <c r="AG261" s="263"/>
      <c r="AH261" s="263"/>
      <c r="AI261" s="263"/>
      <c r="AJ261" s="262"/>
      <c r="AK261" s="262"/>
      <c r="AL261" s="262"/>
      <c r="AM261" s="262"/>
      <c r="AN261" s="262"/>
      <c r="AO261" s="612"/>
      <c r="AP261" s="616"/>
      <c r="AQ261" s="616"/>
      <c r="AR261" s="616"/>
      <c r="AS261" s="616"/>
      <c r="AT261" s="616"/>
      <c r="AU261" s="616"/>
      <c r="AV261" s="616"/>
      <c r="AW261" s="617"/>
      <c r="AX261" s="616" t="e">
        <f>(AX262:AX272)</f>
        <v>#VALUE!</v>
      </c>
      <c r="AY261" s="616" t="e">
        <f t="shared" ref="AY261:BD261" si="169">(AY262:AY272)</f>
        <v>#VALUE!</v>
      </c>
      <c r="AZ261" s="616" t="e">
        <f t="shared" si="169"/>
        <v>#VALUE!</v>
      </c>
      <c r="BA261" s="616" t="e">
        <f t="shared" si="169"/>
        <v>#VALUE!</v>
      </c>
      <c r="BB261" s="616" t="e">
        <f t="shared" si="169"/>
        <v>#VALUE!</v>
      </c>
      <c r="BC261" s="616" t="e">
        <f t="shared" si="169"/>
        <v>#VALUE!</v>
      </c>
      <c r="BD261" s="616" t="e">
        <f t="shared" si="169"/>
        <v>#VALUE!</v>
      </c>
      <c r="BE261" s="617" t="e">
        <f t="shared" si="142"/>
        <v>#VALUE!</v>
      </c>
      <c r="BF261" s="616"/>
      <c r="BG261" s="616"/>
      <c r="BH261" s="616"/>
      <c r="BI261" s="616"/>
      <c r="BJ261" s="616"/>
      <c r="BK261" s="616"/>
      <c r="BL261" s="616"/>
      <c r="BM261" s="617">
        <f t="shared" si="143"/>
        <v>0</v>
      </c>
      <c r="BN261" s="616" t="e">
        <f>(BN262:BN272)</f>
        <v>#VALUE!</v>
      </c>
      <c r="BO261" s="616" t="e">
        <f t="shared" ref="BO261:BT261" si="170">(BO262:BO272)</f>
        <v>#VALUE!</v>
      </c>
      <c r="BP261" s="616" t="e">
        <f t="shared" si="170"/>
        <v>#VALUE!</v>
      </c>
      <c r="BQ261" s="616" t="e">
        <f t="shared" si="170"/>
        <v>#VALUE!</v>
      </c>
      <c r="BR261" s="616" t="e">
        <f t="shared" si="170"/>
        <v>#VALUE!</v>
      </c>
      <c r="BS261" s="616" t="e">
        <f t="shared" si="170"/>
        <v>#VALUE!</v>
      </c>
      <c r="BT261" s="616" t="e">
        <f t="shared" si="170"/>
        <v>#VALUE!</v>
      </c>
      <c r="BU261" s="617" t="e">
        <f t="shared" si="144"/>
        <v>#VALUE!</v>
      </c>
      <c r="BV261" s="556"/>
      <c r="BW261" s="617" t="s">
        <v>2717</v>
      </c>
      <c r="BX261" s="617" t="s">
        <v>2717</v>
      </c>
      <c r="BY261" s="617" t="s">
        <v>2717</v>
      </c>
      <c r="BZ261" s="617" t="s">
        <v>2717</v>
      </c>
      <c r="CA261" s="617" t="s">
        <v>2717</v>
      </c>
      <c r="CB261" s="1047" t="s">
        <v>2717</v>
      </c>
    </row>
    <row r="262" spans="1:85" ht="70.5" hidden="1" customHeight="1" x14ac:dyDescent="0.25">
      <c r="A262" s="298" t="s">
        <v>800</v>
      </c>
      <c r="B262" s="299" t="str">
        <f>'PLAN INDICATIVO'!B262</f>
        <v>Desarrollo Económico/Promoción del desarrollo</v>
      </c>
      <c r="C262" s="1546" t="s">
        <v>802</v>
      </c>
      <c r="D262" s="1549" t="s">
        <v>803</v>
      </c>
      <c r="E262" s="1549" t="s">
        <v>804</v>
      </c>
      <c r="F262" s="1549">
        <v>2015</v>
      </c>
      <c r="G262" s="1549">
        <v>696</v>
      </c>
      <c r="H262" s="1549">
        <v>800</v>
      </c>
      <c r="I262" s="300">
        <f>'PLAN INDICATIVO'!I262</f>
        <v>0</v>
      </c>
      <c r="J262" s="300">
        <f>'PLAN INDICATIVO'!J262</f>
        <v>0</v>
      </c>
      <c r="K262" s="1425" t="str">
        <f>'PLAN INDICATIVO'!K262</f>
        <v>A.13.1.1</v>
      </c>
      <c r="L262" s="301" t="str">
        <f>'PLAN INDICATIVO'!L262</f>
        <v>8. Trabajo decente y crecimiento económico</v>
      </c>
      <c r="M262" s="301" t="str">
        <f>'PLAN INDICATIVO'!M262</f>
        <v>Secretaría de Gobierno</v>
      </c>
      <c r="N262" s="1425" t="str">
        <f>'PLAN INDICATIVO'!N262</f>
        <v>HERNAN RODRIGUEZ FALLA</v>
      </c>
      <c r="O262" s="1425" t="str">
        <f>'PLAN INDICATIVO'!O262</f>
        <v>Incremento</v>
      </c>
      <c r="P262" s="16" t="str">
        <f>'PLAN INDICATIVO'!P262</f>
        <v>Implementar 1 Plan local de productividad y competitividad durante el cuatrienio</v>
      </c>
      <c r="Q262" s="302" t="str">
        <f>'PLAN INDICATIVO'!Q262</f>
        <v>No. De Planes implementados</v>
      </c>
      <c r="R262" s="303">
        <f>'PLAN INDICATIVO'!R262</f>
        <v>2015</v>
      </c>
      <c r="S262" s="304">
        <v>0</v>
      </c>
      <c r="T262" s="498">
        <v>1</v>
      </c>
      <c r="U262" s="303">
        <v>0</v>
      </c>
      <c r="V262" s="687">
        <v>5000000</v>
      </c>
      <c r="W262" s="572">
        <v>1</v>
      </c>
      <c r="X262" s="687">
        <v>16000000</v>
      </c>
      <c r="Y262" s="1232"/>
      <c r="Z262" s="687"/>
      <c r="AA262" s="1310">
        <v>0.3</v>
      </c>
      <c r="AB262" s="687"/>
      <c r="AC262" s="665"/>
      <c r="AD262" s="665">
        <v>0.7</v>
      </c>
      <c r="AE262" s="665"/>
      <c r="AF262" s="665"/>
      <c r="AG262" s="306" t="s">
        <v>4188</v>
      </c>
      <c r="AH262" s="987">
        <v>2018453960022</v>
      </c>
      <c r="AI262" s="986" t="s">
        <v>4189</v>
      </c>
      <c r="AJ262" s="986">
        <v>43282</v>
      </c>
      <c r="AK262" s="838">
        <v>43449</v>
      </c>
      <c r="AL262" s="308"/>
      <c r="AM262" s="308"/>
      <c r="AN262" s="267" t="s">
        <v>2594</v>
      </c>
      <c r="AO262" s="507">
        <v>2317</v>
      </c>
      <c r="AP262" s="525"/>
      <c r="AQ262" s="310"/>
      <c r="AR262" s="310"/>
      <c r="AS262" s="310"/>
      <c r="AT262" s="310"/>
      <c r="AU262" s="310"/>
      <c r="AV262" s="310"/>
      <c r="AW262" s="544"/>
      <c r="AX262" s="525"/>
      <c r="AY262" s="310"/>
      <c r="AZ262" s="310"/>
      <c r="BA262" s="310"/>
      <c r="BB262" s="310"/>
      <c r="BC262" s="310"/>
      <c r="BD262" s="310"/>
      <c r="BE262" s="544">
        <f t="shared" si="142"/>
        <v>0</v>
      </c>
      <c r="BF262" s="525"/>
      <c r="BG262" s="310"/>
      <c r="BH262" s="310"/>
      <c r="BI262" s="310"/>
      <c r="BJ262" s="310"/>
      <c r="BK262" s="310"/>
      <c r="BL262" s="310"/>
      <c r="BM262" s="544">
        <f t="shared" si="143"/>
        <v>0</v>
      </c>
      <c r="BN262" s="525"/>
      <c r="BO262" s="310"/>
      <c r="BP262" s="310"/>
      <c r="BQ262" s="310"/>
      <c r="BR262" s="310"/>
      <c r="BS262" s="310"/>
      <c r="BT262" s="310"/>
      <c r="BU262" s="544">
        <f t="shared" si="144"/>
        <v>0</v>
      </c>
      <c r="BV262" s="556"/>
      <c r="BW262" s="663">
        <f t="shared" si="133"/>
        <v>0.7</v>
      </c>
      <c r="BX262" s="1047">
        <f t="shared" si="136"/>
        <v>0.7</v>
      </c>
      <c r="BY262" s="1047" t="str">
        <f t="shared" ref="BY262:BY272" si="171">IF(U262&gt;=0.1,AC262/U262,IF(ISBLANK(U262),"No Programada","Aplazada"))</f>
        <v>Aplazada</v>
      </c>
      <c r="BZ262" s="1047">
        <f t="shared" ref="BZ262:BZ272" si="172">IF(W262&gt;=0.1,AD262/W262,IF(ISBLANK(W262),"No Programada","Aplazada"))</f>
        <v>0.7</v>
      </c>
      <c r="CA262" s="1047" t="str">
        <f>IF(Y262&gt;=0.1,AE262/Y262,IF(ISBLANK(Y262),"No Programada","Aplazada"))</f>
        <v>No Programada</v>
      </c>
      <c r="CB262" s="1047">
        <f t="shared" ref="CB262:CB272" si="173">IF(AA262&gt;=0.1,AF262/AA262,IF(ISBLANK(AA262),"No Programada","Aplazada"))</f>
        <v>0</v>
      </c>
      <c r="CD262" t="str">
        <f t="shared" ref="CD262:CG272" si="174">IF(BY262="PARA MODIFICAR","M",IF(BY262="PARA ELIMINAR","E",IF(BY262="aplazada","AZ",IF(BY262="no programada","NP",IF(BY262&gt;=85%,"VE",IF(BY262&gt;70%,"VEB",IF(BY262&gt;60%,"AM",IF(BY262&gt;40%,"AMB",IF(BY262&gt;20%,"RO",IF(BY262&gt;=0%,"ROB",""))))))))))</f>
        <v>AZ</v>
      </c>
      <c r="CE262" t="str">
        <f t="shared" si="174"/>
        <v>AM</v>
      </c>
      <c r="CF262" t="str">
        <f t="shared" si="174"/>
        <v>NP</v>
      </c>
      <c r="CG262" t="str">
        <f t="shared" si="174"/>
        <v>ROB</v>
      </c>
    </row>
    <row r="263" spans="1:85" ht="87" hidden="1" customHeight="1" x14ac:dyDescent="0.25">
      <c r="A263" s="298" t="s">
        <v>800</v>
      </c>
      <c r="B263" s="299" t="str">
        <f>'PLAN INDICATIVO'!B263</f>
        <v>Desarrollo Económico/Promoción del desarrollo</v>
      </c>
      <c r="C263" s="1547"/>
      <c r="D263" s="1549"/>
      <c r="E263" s="1549"/>
      <c r="F263" s="1549"/>
      <c r="G263" s="1549"/>
      <c r="H263" s="1549"/>
      <c r="I263" s="300">
        <f>'PLAN INDICATIVO'!I263</f>
        <v>0</v>
      </c>
      <c r="J263" s="300">
        <f>'PLAN INDICATIVO'!J263</f>
        <v>0</v>
      </c>
      <c r="K263" s="1425" t="str">
        <f>'PLAN INDICATIVO'!K263</f>
        <v>A.13.1.2</v>
      </c>
      <c r="L263" s="301" t="str">
        <f>'PLAN INDICATIVO'!L263</f>
        <v>8. Trabajo decente y crecimiento económico</v>
      </c>
      <c r="M263" s="301" t="str">
        <f>'PLAN INDICATIVO'!M263</f>
        <v>Secretaría de Gobierno</v>
      </c>
      <c r="N263" s="1425" t="str">
        <f>'PLAN INDICATIVO'!N263</f>
        <v>HERNAN RODRIGUEZ FALLA</v>
      </c>
      <c r="O263" s="1425" t="str">
        <f>'PLAN INDICATIVO'!O263</f>
        <v>Incremento</v>
      </c>
      <c r="P263" s="25" t="str">
        <f>'PLAN INDICATIVO'!P263</f>
        <v xml:space="preserve">Lograr 1 proyecto de acuerdo aprobado para otorgar incentivos tributarios para la instalación de nuevas empresas durante el cuatrienio </v>
      </c>
      <c r="Q263" s="302" t="str">
        <f>'PLAN INDICATIVO'!Q263</f>
        <v xml:space="preserve">No. De Proyecto Logrados </v>
      </c>
      <c r="R263" s="303">
        <f>'PLAN INDICATIVO'!R263</f>
        <v>2015</v>
      </c>
      <c r="S263" s="304">
        <v>0</v>
      </c>
      <c r="T263" s="498">
        <v>1</v>
      </c>
      <c r="U263" s="303">
        <v>1</v>
      </c>
      <c r="V263" s="687">
        <v>500000</v>
      </c>
      <c r="W263" s="66">
        <v>0</v>
      </c>
      <c r="X263" s="687">
        <v>500000</v>
      </c>
      <c r="Y263" s="1232">
        <v>1</v>
      </c>
      <c r="Z263" s="687"/>
      <c r="AA263" s="1310">
        <v>0.7</v>
      </c>
      <c r="AB263" s="687"/>
      <c r="AC263" s="665"/>
      <c r="AD263" s="665"/>
      <c r="AE263" s="665">
        <v>0.3</v>
      </c>
      <c r="AF263" s="665"/>
      <c r="AG263" s="306" t="s">
        <v>4188</v>
      </c>
      <c r="AH263" s="987">
        <v>2018453960022</v>
      </c>
      <c r="AI263" s="307" t="s">
        <v>4190</v>
      </c>
      <c r="AJ263" s="838">
        <v>43313</v>
      </c>
      <c r="AK263" s="838">
        <v>43342</v>
      </c>
      <c r="AL263" s="308"/>
      <c r="AM263" s="308"/>
      <c r="AN263" s="267" t="s">
        <v>2604</v>
      </c>
      <c r="AO263" s="507">
        <v>2317</v>
      </c>
      <c r="AP263" s="525"/>
      <c r="AQ263" s="310"/>
      <c r="AR263" s="310"/>
      <c r="AS263" s="310"/>
      <c r="AT263" s="310"/>
      <c r="AU263" s="310"/>
      <c r="AV263" s="310"/>
      <c r="AW263" s="544"/>
      <c r="AX263" s="525"/>
      <c r="AY263" s="310"/>
      <c r="AZ263" s="310"/>
      <c r="BA263" s="310"/>
      <c r="BB263" s="310"/>
      <c r="BC263" s="310"/>
      <c r="BD263" s="310"/>
      <c r="BE263" s="544">
        <f t="shared" si="142"/>
        <v>0</v>
      </c>
      <c r="BF263" s="525"/>
      <c r="BG263" s="310"/>
      <c r="BH263" s="310"/>
      <c r="BI263" s="310"/>
      <c r="BJ263" s="310"/>
      <c r="BK263" s="310"/>
      <c r="BL263" s="310"/>
      <c r="BM263" s="544">
        <f t="shared" si="143"/>
        <v>0</v>
      </c>
      <c r="BN263" s="525"/>
      <c r="BO263" s="310"/>
      <c r="BP263" s="310"/>
      <c r="BQ263" s="310"/>
      <c r="BR263" s="310"/>
      <c r="BS263" s="310"/>
      <c r="BT263" s="310"/>
      <c r="BU263" s="544">
        <f t="shared" si="144"/>
        <v>0</v>
      </c>
      <c r="BV263" s="556"/>
      <c r="BW263" s="663">
        <f t="shared" si="133"/>
        <v>0.3</v>
      </c>
      <c r="BX263" s="1047">
        <f t="shared" si="136"/>
        <v>0.3</v>
      </c>
      <c r="BY263" s="1047">
        <f t="shared" si="171"/>
        <v>0</v>
      </c>
      <c r="BZ263" s="1047" t="str">
        <f t="shared" si="172"/>
        <v>Aplazada</v>
      </c>
      <c r="CA263" s="1047">
        <f>IF(Y263&gt;=0.1,AE263/Y263,IF(ISBLANK(Y263),"No Programada","Aplazada"))</f>
        <v>0.3</v>
      </c>
      <c r="CB263" s="1047">
        <f t="shared" si="173"/>
        <v>0</v>
      </c>
      <c r="CD263" t="str">
        <f t="shared" si="174"/>
        <v>ROB</v>
      </c>
      <c r="CE263" t="str">
        <f t="shared" si="174"/>
        <v>AZ</v>
      </c>
      <c r="CF263" t="str">
        <f t="shared" si="174"/>
        <v>RO</v>
      </c>
      <c r="CG263" t="str">
        <f t="shared" si="174"/>
        <v>ROB</v>
      </c>
    </row>
    <row r="264" spans="1:85" ht="59.25" hidden="1" customHeight="1" x14ac:dyDescent="0.25">
      <c r="A264" s="298" t="s">
        <v>800</v>
      </c>
      <c r="B264" s="299" t="str">
        <f>'PLAN INDICATIVO'!B264</f>
        <v>Desarrollo Económico/Promoción del desarrollo</v>
      </c>
      <c r="C264" s="1547"/>
      <c r="D264" s="1549"/>
      <c r="E264" s="1549"/>
      <c r="F264" s="1549"/>
      <c r="G264" s="1549"/>
      <c r="H264" s="1549"/>
      <c r="I264" s="300">
        <f>'PLAN INDICATIVO'!I264</f>
        <v>0</v>
      </c>
      <c r="J264" s="300">
        <f>'PLAN INDICATIVO'!J264</f>
        <v>0</v>
      </c>
      <c r="K264" s="1425" t="str">
        <f>'PLAN INDICATIVO'!K264</f>
        <v>A.13.1.3</v>
      </c>
      <c r="L264" s="301" t="str">
        <f>'PLAN INDICATIVO'!L264</f>
        <v>8. Trabajo decente y crecimiento económico</v>
      </c>
      <c r="M264" s="301" t="str">
        <f>'PLAN INDICATIVO'!M264</f>
        <v>Secretaría de Gobierno</v>
      </c>
      <c r="N264" s="1425" t="str">
        <f>'PLAN INDICATIVO'!N264</f>
        <v>HERNAN RODRIGUEZ FALLA</v>
      </c>
      <c r="O264" s="1425" t="str">
        <f>'PLAN INDICATIVO'!O264</f>
        <v>Incremento</v>
      </c>
      <c r="P264" s="25" t="str">
        <f>'PLAN INDICATIVO'!P264</f>
        <v>Implementar 1 estrategia para el manejo de vendedores ambulantes durante  del cuatrienio</v>
      </c>
      <c r="Q264" s="302" t="str">
        <f>'PLAN INDICATIVO'!Q264</f>
        <v xml:space="preserve">No. De Estrategias implementada </v>
      </c>
      <c r="R264" s="303">
        <f>'PLAN INDICATIVO'!R264</f>
        <v>2015</v>
      </c>
      <c r="S264" s="304">
        <v>0</v>
      </c>
      <c r="T264" s="498">
        <v>1</v>
      </c>
      <c r="U264" s="303">
        <v>1</v>
      </c>
      <c r="V264" s="687">
        <v>10000000</v>
      </c>
      <c r="W264" s="66">
        <v>0</v>
      </c>
      <c r="X264" s="687">
        <v>10000000</v>
      </c>
      <c r="Y264" s="1232"/>
      <c r="Z264" s="687"/>
      <c r="AA264" s="1310">
        <v>1</v>
      </c>
      <c r="AB264" s="687"/>
      <c r="AC264" s="665"/>
      <c r="AD264" s="665"/>
      <c r="AE264" s="665"/>
      <c r="AF264" s="665"/>
      <c r="AG264" s="306" t="s">
        <v>4188</v>
      </c>
      <c r="AH264" s="987">
        <v>2018453960022</v>
      </c>
      <c r="AI264" s="307" t="s">
        <v>4191</v>
      </c>
      <c r="AJ264" s="986">
        <v>43132</v>
      </c>
      <c r="AK264" s="838">
        <v>43403</v>
      </c>
      <c r="AL264" s="308"/>
      <c r="AM264" s="308"/>
      <c r="AN264" s="267" t="s">
        <v>2594</v>
      </c>
      <c r="AO264" s="507">
        <v>2317</v>
      </c>
      <c r="AP264" s="525"/>
      <c r="AQ264" s="310"/>
      <c r="AR264" s="310"/>
      <c r="AS264" s="310"/>
      <c r="AT264" s="310"/>
      <c r="AU264" s="310"/>
      <c r="AV264" s="310"/>
      <c r="AW264" s="544"/>
      <c r="AX264" s="525"/>
      <c r="AY264" s="310"/>
      <c r="AZ264" s="310"/>
      <c r="BA264" s="310"/>
      <c r="BB264" s="310"/>
      <c r="BC264" s="310"/>
      <c r="BD264" s="310"/>
      <c r="BE264" s="544">
        <f t="shared" si="142"/>
        <v>0</v>
      </c>
      <c r="BF264" s="525"/>
      <c r="BG264" s="310"/>
      <c r="BH264" s="310"/>
      <c r="BI264" s="310"/>
      <c r="BJ264" s="310"/>
      <c r="BK264" s="310"/>
      <c r="BL264" s="310"/>
      <c r="BM264" s="544">
        <f t="shared" si="143"/>
        <v>0</v>
      </c>
      <c r="BN264" s="525"/>
      <c r="BO264" s="310"/>
      <c r="BP264" s="310"/>
      <c r="BQ264" s="310"/>
      <c r="BR264" s="310"/>
      <c r="BS264" s="310"/>
      <c r="BT264" s="310"/>
      <c r="BU264" s="544">
        <f t="shared" si="144"/>
        <v>0</v>
      </c>
      <c r="BV264" s="556"/>
      <c r="BW264" s="663">
        <f t="shared" si="133"/>
        <v>0</v>
      </c>
      <c r="BX264" s="1047">
        <f t="shared" si="136"/>
        <v>0</v>
      </c>
      <c r="BY264" s="1047">
        <f t="shared" si="171"/>
        <v>0</v>
      </c>
      <c r="BZ264" s="1047" t="str">
        <f t="shared" si="172"/>
        <v>Aplazada</v>
      </c>
      <c r="CA264" s="1047" t="str">
        <f>IF(Y264&gt;=0.1,AE264/Y264,IF(ISBLANK(Y264),"No Programada","Aplazada"))</f>
        <v>No Programada</v>
      </c>
      <c r="CB264" s="1047">
        <f t="shared" si="173"/>
        <v>0</v>
      </c>
      <c r="CD264" t="str">
        <f t="shared" si="174"/>
        <v>ROB</v>
      </c>
      <c r="CE264" t="str">
        <f t="shared" si="174"/>
        <v>AZ</v>
      </c>
      <c r="CF264" t="str">
        <f t="shared" si="174"/>
        <v>NP</v>
      </c>
      <c r="CG264" t="str">
        <f t="shared" si="174"/>
        <v>ROB</v>
      </c>
    </row>
    <row r="265" spans="1:85" ht="81.75" hidden="1" customHeight="1" x14ac:dyDescent="0.25">
      <c r="A265" s="298" t="s">
        <v>800</v>
      </c>
      <c r="B265" s="299" t="str">
        <f>'PLAN INDICATIVO'!B265</f>
        <v>Desarrollo Económico/Promoción del desarrollo</v>
      </c>
      <c r="C265" s="1547"/>
      <c r="D265" s="1549"/>
      <c r="E265" s="1549"/>
      <c r="F265" s="1549"/>
      <c r="G265" s="1549"/>
      <c r="H265" s="1549"/>
      <c r="I265" s="300">
        <f>'PLAN INDICATIVO'!I265</f>
        <v>0</v>
      </c>
      <c r="J265" s="300">
        <f>'PLAN INDICATIVO'!J265</f>
        <v>0</v>
      </c>
      <c r="K265" s="1425" t="str">
        <f>'PLAN INDICATIVO'!K265</f>
        <v>A.13.1.4</v>
      </c>
      <c r="L265" s="301" t="str">
        <f>'PLAN INDICATIVO'!L265</f>
        <v>8. Trabajo decente y crecimiento económico</v>
      </c>
      <c r="M265" s="301" t="str">
        <f>'PLAN INDICATIVO'!M265</f>
        <v>Secretaría de Gobierno</v>
      </c>
      <c r="N265" s="1425" t="str">
        <f>'PLAN INDICATIVO'!N265</f>
        <v>HERNAN RODRIGUEZ FALLA</v>
      </c>
      <c r="O265" s="1425" t="str">
        <f>'PLAN INDICATIVO'!O265</f>
        <v>Incremento</v>
      </c>
      <c r="P265" s="25" t="str">
        <f>'PLAN INDICATIVO'!P265</f>
        <v>Realizar 2 convenios interadministrativos dirigidos a disminuir la informalidad durante el cuatrienio</v>
      </c>
      <c r="Q265" s="302" t="str">
        <f>'PLAN INDICATIVO'!Q265</f>
        <v>No. De convenios interadministrativos suscritos</v>
      </c>
      <c r="R265" s="303">
        <f>'PLAN INDICATIVO'!R265</f>
        <v>2015</v>
      </c>
      <c r="S265" s="304">
        <v>0</v>
      </c>
      <c r="T265" s="498">
        <v>2</v>
      </c>
      <c r="U265" s="303">
        <v>1</v>
      </c>
      <c r="V265" s="687">
        <v>500000</v>
      </c>
      <c r="W265" s="66">
        <v>0</v>
      </c>
      <c r="X265" s="687">
        <v>500000</v>
      </c>
      <c r="Y265" s="1232"/>
      <c r="Z265" s="687">
        <v>5000000</v>
      </c>
      <c r="AA265" s="1310">
        <v>2</v>
      </c>
      <c r="AB265" s="687"/>
      <c r="AC265" s="665"/>
      <c r="AD265" s="665"/>
      <c r="AE265" s="665"/>
      <c r="AF265" s="665"/>
      <c r="AG265" s="306" t="s">
        <v>4188</v>
      </c>
      <c r="AH265" s="987">
        <v>2018453960022</v>
      </c>
      <c r="AI265" s="307" t="s">
        <v>4192</v>
      </c>
      <c r="AJ265" s="838">
        <v>43282</v>
      </c>
      <c r="AK265" s="838">
        <v>43342</v>
      </c>
      <c r="AL265" s="308"/>
      <c r="AM265" s="308"/>
      <c r="AN265" s="267" t="s">
        <v>2594</v>
      </c>
      <c r="AO265" s="507">
        <v>2317</v>
      </c>
      <c r="AP265" s="525"/>
      <c r="AQ265" s="310"/>
      <c r="AR265" s="310"/>
      <c r="AS265" s="310"/>
      <c r="AT265" s="310"/>
      <c r="AU265" s="310"/>
      <c r="AV265" s="310"/>
      <c r="AW265" s="544"/>
      <c r="AX265" s="525"/>
      <c r="AY265" s="310"/>
      <c r="AZ265" s="310"/>
      <c r="BA265" s="310"/>
      <c r="BB265" s="310"/>
      <c r="BC265" s="310"/>
      <c r="BD265" s="310"/>
      <c r="BE265" s="544">
        <f t="shared" si="142"/>
        <v>0</v>
      </c>
      <c r="BF265" s="525"/>
      <c r="BG265" s="310"/>
      <c r="BH265" s="310"/>
      <c r="BI265" s="310"/>
      <c r="BJ265" s="310"/>
      <c r="BK265" s="310"/>
      <c r="BL265" s="310"/>
      <c r="BM265" s="544">
        <f t="shared" si="143"/>
        <v>0</v>
      </c>
      <c r="BN265" s="525"/>
      <c r="BO265" s="310"/>
      <c r="BP265" s="310"/>
      <c r="BQ265" s="310"/>
      <c r="BR265" s="310"/>
      <c r="BS265" s="310"/>
      <c r="BT265" s="310"/>
      <c r="BU265" s="544">
        <f t="shared" si="144"/>
        <v>0</v>
      </c>
      <c r="BV265" s="556"/>
      <c r="BW265" s="663">
        <f t="shared" ref="BW265:BW325" si="175">AC265+AD265+AE265+AF265</f>
        <v>0</v>
      </c>
      <c r="BX265" s="1047">
        <f t="shared" si="136"/>
        <v>0</v>
      </c>
      <c r="BY265" s="1047">
        <f t="shared" si="171"/>
        <v>0</v>
      </c>
      <c r="BZ265" s="1047" t="str">
        <f t="shared" si="172"/>
        <v>Aplazada</v>
      </c>
      <c r="CA265" s="1047" t="str">
        <f>IF(Y265&gt;=0.1,AE265/Y265,IF(ISBLANK(Y265),"No Programada","Aplazada"))</f>
        <v>No Programada</v>
      </c>
      <c r="CB265" s="1047">
        <f t="shared" si="173"/>
        <v>0</v>
      </c>
      <c r="CD265" t="str">
        <f t="shared" si="174"/>
        <v>ROB</v>
      </c>
      <c r="CE265" t="str">
        <f t="shared" si="174"/>
        <v>AZ</v>
      </c>
      <c r="CF265" t="str">
        <f t="shared" si="174"/>
        <v>NP</v>
      </c>
      <c r="CG265" t="str">
        <f t="shared" si="174"/>
        <v>ROB</v>
      </c>
    </row>
    <row r="266" spans="1:85" ht="41.25" hidden="1" customHeight="1" x14ac:dyDescent="0.25">
      <c r="A266" s="298" t="s">
        <v>800</v>
      </c>
      <c r="B266" s="299" t="str">
        <f>'PLAN INDICATIVO'!B266</f>
        <v>Desarrollo Económico/Promoción del desarrollo</v>
      </c>
      <c r="C266" s="1547"/>
      <c r="D266" s="1549"/>
      <c r="E266" s="1549"/>
      <c r="F266" s="1549"/>
      <c r="G266" s="1549"/>
      <c r="H266" s="1549"/>
      <c r="I266" s="300">
        <f>'PLAN INDICATIVO'!I266</f>
        <v>0</v>
      </c>
      <c r="J266" s="300">
        <f>'PLAN INDICATIVO'!J266</f>
        <v>0</v>
      </c>
      <c r="K266" s="1425" t="str">
        <f>'PLAN INDICATIVO'!K266</f>
        <v>A.13.1.5</v>
      </c>
      <c r="L266" s="301" t="str">
        <f>'PLAN INDICATIVO'!L266</f>
        <v>8. Trabajo decente y crecimiento económico</v>
      </c>
      <c r="M266" s="301" t="str">
        <f>'PLAN INDICATIVO'!M266</f>
        <v>Secretaría de Gobierno</v>
      </c>
      <c r="N266" s="1425" t="str">
        <f>'PLAN INDICATIVO'!N266</f>
        <v>HERNAN RODRIGUEZ FALLA</v>
      </c>
      <c r="O266" s="1425" t="str">
        <f>'PLAN INDICATIVO'!O266</f>
        <v>Incremento</v>
      </c>
      <c r="P266" s="16" t="str">
        <f>'PLAN INDICATIVO'!P266</f>
        <v>Apoyar 20 empresas  para su formalización durante el cuatrienio</v>
      </c>
      <c r="Q266" s="302" t="str">
        <f>'PLAN INDICATIVO'!Q266</f>
        <v>No. De empresas apoyadas</v>
      </c>
      <c r="R266" s="303">
        <f>'PLAN INDICATIVO'!R266</f>
        <v>2015</v>
      </c>
      <c r="S266" s="304">
        <v>0</v>
      </c>
      <c r="T266" s="498">
        <v>20</v>
      </c>
      <c r="U266" s="303">
        <v>5</v>
      </c>
      <c r="V266" s="687">
        <v>9500000</v>
      </c>
      <c r="W266" s="572">
        <v>5</v>
      </c>
      <c r="X266" s="687">
        <v>10000000</v>
      </c>
      <c r="Y266" s="1232"/>
      <c r="Z266" s="687">
        <v>7000000</v>
      </c>
      <c r="AA266" s="1310"/>
      <c r="AB266" s="687">
        <v>10000000</v>
      </c>
      <c r="AC266" s="665"/>
      <c r="AD266" s="665">
        <v>212</v>
      </c>
      <c r="AE266" s="665"/>
      <c r="AF266" s="665"/>
      <c r="AG266" s="306" t="s">
        <v>4188</v>
      </c>
      <c r="AH266" s="987">
        <v>2018453960022</v>
      </c>
      <c r="AI266" s="307"/>
      <c r="AJ266" s="308"/>
      <c r="AK266" s="308"/>
      <c r="AL266" s="308"/>
      <c r="AM266" s="308"/>
      <c r="AN266" s="267" t="s">
        <v>2594</v>
      </c>
      <c r="AO266" s="507"/>
      <c r="AP266" s="525"/>
      <c r="AQ266" s="310"/>
      <c r="AR266" s="310"/>
      <c r="AS266" s="310"/>
      <c r="AT266" s="310"/>
      <c r="AU266" s="310"/>
      <c r="AV266" s="310"/>
      <c r="AW266" s="544"/>
      <c r="AX266" s="525"/>
      <c r="AY266" s="310"/>
      <c r="AZ266" s="310"/>
      <c r="BA266" s="310"/>
      <c r="BB266" s="310"/>
      <c r="BC266" s="310"/>
      <c r="BD266" s="310"/>
      <c r="BE266" s="544">
        <f t="shared" si="142"/>
        <v>0</v>
      </c>
      <c r="BF266" s="525"/>
      <c r="BG266" s="310"/>
      <c r="BH266" s="310"/>
      <c r="BI266" s="310"/>
      <c r="BJ266" s="310"/>
      <c r="BK266" s="310"/>
      <c r="BL266" s="310"/>
      <c r="BM266" s="544">
        <f t="shared" si="143"/>
        <v>0</v>
      </c>
      <c r="BN266" s="525"/>
      <c r="BO266" s="310"/>
      <c r="BP266" s="310"/>
      <c r="BQ266" s="310"/>
      <c r="BR266" s="310"/>
      <c r="BS266" s="310"/>
      <c r="BT266" s="310"/>
      <c r="BU266" s="544">
        <f t="shared" si="144"/>
        <v>0</v>
      </c>
      <c r="BV266" s="556"/>
      <c r="BW266" s="663">
        <f t="shared" si="175"/>
        <v>212</v>
      </c>
      <c r="BX266" s="1047">
        <f t="shared" si="136"/>
        <v>10.6</v>
      </c>
      <c r="BY266" s="1047">
        <f t="shared" si="171"/>
        <v>0</v>
      </c>
      <c r="BZ266" s="1047">
        <f t="shared" si="172"/>
        <v>42.4</v>
      </c>
      <c r="CA266" s="1047" t="str">
        <f t="shared" ref="CA266:CA272" si="176">IF(Y266&gt;=0.1,AE266/Y266,IF(ISBLANK(Y266),"No Programada","Aplazada"))</f>
        <v>No Programada</v>
      </c>
      <c r="CB266" s="1047" t="str">
        <f t="shared" si="173"/>
        <v>No Programada</v>
      </c>
      <c r="CD266" t="str">
        <f t="shared" si="174"/>
        <v>ROB</v>
      </c>
      <c r="CE266" t="str">
        <f t="shared" si="174"/>
        <v>VE</v>
      </c>
      <c r="CF266" t="str">
        <f t="shared" si="174"/>
        <v>NP</v>
      </c>
      <c r="CG266" t="str">
        <f t="shared" si="174"/>
        <v>NP</v>
      </c>
    </row>
    <row r="267" spans="1:85" s="231" customFormat="1" ht="81" hidden="1" customHeight="1" x14ac:dyDescent="0.25">
      <c r="A267" s="298" t="s">
        <v>800</v>
      </c>
      <c r="B267" s="299" t="str">
        <f>'PLAN INDICATIVO'!B267</f>
        <v>Desarrollo Económico/Promoción del desarrollo</v>
      </c>
      <c r="C267" s="1599"/>
      <c r="D267" s="1601"/>
      <c r="E267" s="1601"/>
      <c r="F267" s="1601"/>
      <c r="G267" s="1601"/>
      <c r="H267" s="1601"/>
      <c r="I267" s="371">
        <f>'PLAN INDICATIVO'!I267</f>
        <v>0</v>
      </c>
      <c r="J267" s="371">
        <f>'PLAN INDICATIVO'!J267</f>
        <v>0</v>
      </c>
      <c r="K267" s="1432" t="str">
        <f>'PLAN INDICATIVO'!K267</f>
        <v>A.13.1.6</v>
      </c>
      <c r="L267" s="372" t="str">
        <f>'PLAN INDICATIVO'!L267</f>
        <v>8. Trabajo decente y crecimiento económico</v>
      </c>
      <c r="M267" s="372" t="str">
        <f>'PLAN INDICATIVO'!M267</f>
        <v>Secretaría de Gobierno</v>
      </c>
      <c r="N267" s="1425" t="str">
        <f>'PLAN INDICATIVO'!N267</f>
        <v>HERNAN RODRIGUEZ FALLA</v>
      </c>
      <c r="O267" s="1432" t="str">
        <f>'PLAN INDICATIVO'!O267</f>
        <v>Incremento</v>
      </c>
      <c r="P267" s="71" t="str">
        <f>'PLAN INDICATIVO'!P267</f>
        <v>Capacitar 2.000 jóvenes  para desarrollar actividades laborales durante el cuatrienio</v>
      </c>
      <c r="Q267" s="302" t="str">
        <f>'PLAN INDICATIVO'!Q267</f>
        <v>No. De jóvenes capacitados</v>
      </c>
      <c r="R267" s="303">
        <f>'PLAN INDICATIVO'!R267</f>
        <v>2015</v>
      </c>
      <c r="S267" s="304" t="s">
        <v>177</v>
      </c>
      <c r="T267" s="498">
        <v>2000</v>
      </c>
      <c r="U267" s="303">
        <v>500</v>
      </c>
      <c r="V267" s="687">
        <v>9000000</v>
      </c>
      <c r="W267" s="572">
        <v>500</v>
      </c>
      <c r="X267" s="687">
        <v>10000000</v>
      </c>
      <c r="Y267" s="1232">
        <v>975</v>
      </c>
      <c r="Z267" s="687">
        <v>10000000</v>
      </c>
      <c r="AA267" s="1310">
        <v>675</v>
      </c>
      <c r="AB267" s="687">
        <v>10000000</v>
      </c>
      <c r="AC267" s="667">
        <v>0</v>
      </c>
      <c r="AD267" s="667">
        <v>350</v>
      </c>
      <c r="AE267" s="667">
        <v>975</v>
      </c>
      <c r="AF267" s="667"/>
      <c r="AG267" s="306" t="s">
        <v>4188</v>
      </c>
      <c r="AH267" s="987">
        <v>2018453960022</v>
      </c>
      <c r="AI267" s="336" t="s">
        <v>4193</v>
      </c>
      <c r="AJ267" s="339">
        <v>43160</v>
      </c>
      <c r="AK267" s="339">
        <v>43403</v>
      </c>
      <c r="AL267" s="337"/>
      <c r="AM267" s="337"/>
      <c r="AN267" s="267" t="s">
        <v>2598</v>
      </c>
      <c r="AO267" s="510"/>
      <c r="AP267" s="528"/>
      <c r="AQ267" s="472"/>
      <c r="AR267" s="472"/>
      <c r="AS267" s="472"/>
      <c r="AT267" s="472"/>
      <c r="AU267" s="472"/>
      <c r="AV267" s="472"/>
      <c r="AW267" s="544"/>
      <c r="AX267" s="528"/>
      <c r="AY267" s="472"/>
      <c r="AZ267" s="472"/>
      <c r="BA267" s="472"/>
      <c r="BB267" s="472"/>
      <c r="BC267" s="472"/>
      <c r="BD267" s="472"/>
      <c r="BE267" s="544">
        <f t="shared" si="142"/>
        <v>0</v>
      </c>
      <c r="BF267" s="528"/>
      <c r="BG267" s="472"/>
      <c r="BH267" s="472"/>
      <c r="BI267" s="472"/>
      <c r="BJ267" s="472"/>
      <c r="BK267" s="472"/>
      <c r="BL267" s="472"/>
      <c r="BM267" s="544">
        <f t="shared" si="143"/>
        <v>0</v>
      </c>
      <c r="BN267" s="528"/>
      <c r="BO267" s="472"/>
      <c r="BP267" s="472"/>
      <c r="BQ267" s="472"/>
      <c r="BR267" s="472"/>
      <c r="BS267" s="472"/>
      <c r="BT267" s="472"/>
      <c r="BU267" s="544">
        <f t="shared" si="144"/>
        <v>0</v>
      </c>
      <c r="BV267" s="653"/>
      <c r="BW267" s="663">
        <f t="shared" si="175"/>
        <v>1325</v>
      </c>
      <c r="BX267" s="1047">
        <f t="shared" si="136"/>
        <v>0.66249999999999998</v>
      </c>
      <c r="BY267" s="1047">
        <f t="shared" si="171"/>
        <v>0</v>
      </c>
      <c r="BZ267" s="1047">
        <f t="shared" si="172"/>
        <v>0.7</v>
      </c>
      <c r="CA267" s="1047">
        <f t="shared" si="176"/>
        <v>1</v>
      </c>
      <c r="CB267" s="1047">
        <f t="shared" si="173"/>
        <v>0</v>
      </c>
      <c r="CC267"/>
      <c r="CD267" t="str">
        <f t="shared" si="174"/>
        <v>ROB</v>
      </c>
      <c r="CE267" t="str">
        <f t="shared" si="174"/>
        <v>AM</v>
      </c>
      <c r="CF267" t="str">
        <f t="shared" si="174"/>
        <v>VE</v>
      </c>
      <c r="CG267" t="str">
        <f t="shared" si="174"/>
        <v>ROB</v>
      </c>
    </row>
    <row r="268" spans="1:85" ht="54.75" hidden="1" customHeight="1" x14ac:dyDescent="0.25">
      <c r="A268" s="298" t="s">
        <v>800</v>
      </c>
      <c r="B268" s="299" t="str">
        <f>'PLAN INDICATIVO'!B268</f>
        <v>Desarrollo Económico/Promoción del desarrollo</v>
      </c>
      <c r="C268" s="1547"/>
      <c r="D268" s="1549"/>
      <c r="E268" s="1549"/>
      <c r="F268" s="1549"/>
      <c r="G268" s="1549"/>
      <c r="H268" s="1549"/>
      <c r="I268" s="300">
        <f>'PLAN INDICATIVO'!I268</f>
        <v>0</v>
      </c>
      <c r="J268" s="300">
        <f>'PLAN INDICATIVO'!J268</f>
        <v>0</v>
      </c>
      <c r="K268" s="1425" t="str">
        <f>'PLAN INDICATIVO'!K268</f>
        <v>A.13.1.7</v>
      </c>
      <c r="L268" s="301" t="str">
        <f>'PLAN INDICATIVO'!L268</f>
        <v>8. Trabajo decente y crecimiento económico</v>
      </c>
      <c r="M268" s="301" t="str">
        <f>'PLAN INDICATIVO'!M268</f>
        <v>Secretaría de Gobierno</v>
      </c>
      <c r="N268" s="1425" t="str">
        <f>'PLAN INDICATIVO'!N268</f>
        <v>HERNAN RODRIGUEZ FALLA</v>
      </c>
      <c r="O268" s="1425" t="str">
        <f>'PLAN INDICATIVO'!O268</f>
        <v>Incremento</v>
      </c>
      <c r="P268" s="25" t="str">
        <f>'PLAN INDICATIVO'!P268</f>
        <v>Suscribir 4 convenios para apoyo a MIPYMES durante el cuatrienio</v>
      </c>
      <c r="Q268" s="302" t="str">
        <f>'PLAN INDICATIVO'!Q268</f>
        <v>No. De convenios  suscritos</v>
      </c>
      <c r="R268" s="303">
        <f>'PLAN INDICATIVO'!R268</f>
        <v>2015</v>
      </c>
      <c r="S268" s="304">
        <v>0</v>
      </c>
      <c r="T268" s="498">
        <v>4</v>
      </c>
      <c r="U268" s="303">
        <v>1</v>
      </c>
      <c r="V268" s="687">
        <v>1000000</v>
      </c>
      <c r="W268" s="572">
        <v>0</v>
      </c>
      <c r="X268" s="687">
        <v>500000</v>
      </c>
      <c r="Y268" s="1232"/>
      <c r="Z268" s="687">
        <v>1000000</v>
      </c>
      <c r="AA268" s="1310"/>
      <c r="AB268" s="687">
        <v>5000000</v>
      </c>
      <c r="AC268" s="665">
        <v>3</v>
      </c>
      <c r="AD268" s="665">
        <v>1</v>
      </c>
      <c r="AE268" s="665"/>
      <c r="AF268" s="665"/>
      <c r="AG268" s="306" t="s">
        <v>4188</v>
      </c>
      <c r="AH268" s="987">
        <v>2018453960022</v>
      </c>
      <c r="AI268" s="307" t="s">
        <v>4194</v>
      </c>
      <c r="AJ268" s="339">
        <v>43313</v>
      </c>
      <c r="AK268" s="339">
        <v>43342</v>
      </c>
      <c r="AL268" s="308"/>
      <c r="AM268" s="308"/>
      <c r="AN268" s="267" t="s">
        <v>2594</v>
      </c>
      <c r="AO268" s="507"/>
      <c r="AP268" s="525"/>
      <c r="AQ268" s="310"/>
      <c r="AR268" s="310"/>
      <c r="AS268" s="310"/>
      <c r="AT268" s="310"/>
      <c r="AU268" s="310"/>
      <c r="AV268" s="310"/>
      <c r="AW268" s="544"/>
      <c r="AX268" s="525"/>
      <c r="AY268" s="310"/>
      <c r="AZ268" s="310"/>
      <c r="BA268" s="310"/>
      <c r="BB268" s="310"/>
      <c r="BC268" s="310"/>
      <c r="BD268" s="310"/>
      <c r="BE268" s="544">
        <f t="shared" si="142"/>
        <v>0</v>
      </c>
      <c r="BF268" s="525"/>
      <c r="BG268" s="310"/>
      <c r="BH268" s="310"/>
      <c r="BI268" s="310"/>
      <c r="BJ268" s="310"/>
      <c r="BK268" s="310"/>
      <c r="BL268" s="310"/>
      <c r="BM268" s="544">
        <f t="shared" si="143"/>
        <v>0</v>
      </c>
      <c r="BN268" s="525"/>
      <c r="BO268" s="310"/>
      <c r="BP268" s="310"/>
      <c r="BQ268" s="310"/>
      <c r="BR268" s="310"/>
      <c r="BS268" s="310"/>
      <c r="BT268" s="310"/>
      <c r="BU268" s="544">
        <f t="shared" si="144"/>
        <v>0</v>
      </c>
      <c r="BV268" s="556"/>
      <c r="BW268" s="663">
        <f t="shared" si="175"/>
        <v>4</v>
      </c>
      <c r="BX268" s="1047">
        <f t="shared" si="136"/>
        <v>1</v>
      </c>
      <c r="BY268" s="1047">
        <f t="shared" si="171"/>
        <v>3</v>
      </c>
      <c r="BZ268" s="1047" t="str">
        <f t="shared" si="172"/>
        <v>Aplazada</v>
      </c>
      <c r="CA268" s="1047" t="str">
        <f t="shared" si="176"/>
        <v>No Programada</v>
      </c>
      <c r="CB268" s="1047" t="str">
        <f t="shared" si="173"/>
        <v>No Programada</v>
      </c>
      <c r="CD268" t="str">
        <f t="shared" si="174"/>
        <v>VE</v>
      </c>
      <c r="CE268" t="str">
        <f t="shared" si="174"/>
        <v>AZ</v>
      </c>
      <c r="CF268" t="str">
        <f t="shared" si="174"/>
        <v>NP</v>
      </c>
      <c r="CG268" t="str">
        <f t="shared" si="174"/>
        <v>NP</v>
      </c>
    </row>
    <row r="269" spans="1:85" ht="60.75" hidden="1" customHeight="1" x14ac:dyDescent="0.25">
      <c r="A269" s="298" t="s">
        <v>800</v>
      </c>
      <c r="B269" s="299" t="str">
        <f>'PLAN INDICATIVO'!B269</f>
        <v>Desarrollo Económico/Promoción del desarrollo</v>
      </c>
      <c r="C269" s="1547"/>
      <c r="D269" s="1549"/>
      <c r="E269" s="1549"/>
      <c r="F269" s="1549"/>
      <c r="G269" s="1549"/>
      <c r="H269" s="1549"/>
      <c r="I269" s="300">
        <f>'PLAN INDICATIVO'!I269</f>
        <v>0</v>
      </c>
      <c r="J269" s="300">
        <f>'PLAN INDICATIVO'!J269</f>
        <v>0</v>
      </c>
      <c r="K269" s="1425" t="str">
        <f>'PLAN INDICATIVO'!K269</f>
        <v>A.13.1.8</v>
      </c>
      <c r="L269" s="301" t="str">
        <f>'PLAN INDICATIVO'!L269</f>
        <v>8. Trabajo decente y crecimiento económico</v>
      </c>
      <c r="M269" s="301" t="str">
        <f>'PLAN INDICATIVO'!M269</f>
        <v>Secretaría de Gobierno</v>
      </c>
      <c r="N269" s="1425" t="str">
        <f>'PLAN INDICATIVO'!N269</f>
        <v>HERNAN RODRIGUEZ FALLA</v>
      </c>
      <c r="O269" s="1425" t="str">
        <f>'PLAN INDICATIVO'!O269</f>
        <v>Incremento</v>
      </c>
      <c r="P269" s="16" t="str">
        <f>'PLAN INDICATIVO'!P269</f>
        <v>Realizar 4 ruedas de negocio para mejorar comercialización de producción local, durante el cuatrienio</v>
      </c>
      <c r="Q269" s="302" t="str">
        <f>'PLAN INDICATIVO'!Q269</f>
        <v>No. De ruedas de negocios realizadas</v>
      </c>
      <c r="R269" s="303">
        <f>'PLAN INDICATIVO'!R269</f>
        <v>2015</v>
      </c>
      <c r="S269" s="304">
        <v>0</v>
      </c>
      <c r="T269" s="498">
        <v>4</v>
      </c>
      <c r="U269" s="303">
        <v>1</v>
      </c>
      <c r="V269" s="687">
        <v>500000</v>
      </c>
      <c r="W269" s="572">
        <v>1</v>
      </c>
      <c r="X269" s="687">
        <v>500000</v>
      </c>
      <c r="Y269" s="1232">
        <v>2</v>
      </c>
      <c r="Z269" s="687">
        <v>1000000</v>
      </c>
      <c r="AA269" s="1310">
        <v>2</v>
      </c>
      <c r="AB269" s="687">
        <v>1000000</v>
      </c>
      <c r="AC269" s="665">
        <v>1</v>
      </c>
      <c r="AD269" s="665">
        <v>1</v>
      </c>
      <c r="AE269" s="665"/>
      <c r="AF269" s="665"/>
      <c r="AG269" s="306" t="s">
        <v>4188</v>
      </c>
      <c r="AH269" s="987">
        <v>2018453960022</v>
      </c>
      <c r="AI269" s="307" t="s">
        <v>4195</v>
      </c>
      <c r="AJ269" s="339">
        <v>43191</v>
      </c>
      <c r="AK269" s="339">
        <v>43373</v>
      </c>
      <c r="AL269" s="308"/>
      <c r="AM269" s="308"/>
      <c r="AN269" s="267" t="s">
        <v>2600</v>
      </c>
      <c r="AO269" s="507"/>
      <c r="AP269" s="525"/>
      <c r="AQ269" s="310"/>
      <c r="AR269" s="310"/>
      <c r="AS269" s="310"/>
      <c r="AT269" s="310"/>
      <c r="AU269" s="310"/>
      <c r="AV269" s="310"/>
      <c r="AW269" s="544"/>
      <c r="AX269" s="525"/>
      <c r="AY269" s="310"/>
      <c r="AZ269" s="310"/>
      <c r="BA269" s="310"/>
      <c r="BB269" s="310"/>
      <c r="BC269" s="310"/>
      <c r="BD269" s="310"/>
      <c r="BE269" s="544">
        <f t="shared" si="142"/>
        <v>0</v>
      </c>
      <c r="BF269" s="525"/>
      <c r="BG269" s="310"/>
      <c r="BH269" s="310"/>
      <c r="BI269" s="310"/>
      <c r="BJ269" s="310"/>
      <c r="BK269" s="310"/>
      <c r="BL269" s="310"/>
      <c r="BM269" s="544">
        <f t="shared" si="143"/>
        <v>0</v>
      </c>
      <c r="BN269" s="525"/>
      <c r="BO269" s="310"/>
      <c r="BP269" s="310"/>
      <c r="BQ269" s="310"/>
      <c r="BR269" s="310"/>
      <c r="BS269" s="310"/>
      <c r="BT269" s="310"/>
      <c r="BU269" s="544">
        <f t="shared" si="144"/>
        <v>0</v>
      </c>
      <c r="BV269" s="556"/>
      <c r="BW269" s="663">
        <f t="shared" si="175"/>
        <v>2</v>
      </c>
      <c r="BX269" s="1047">
        <f t="shared" si="136"/>
        <v>0.5</v>
      </c>
      <c r="BY269" s="1047">
        <f t="shared" si="171"/>
        <v>1</v>
      </c>
      <c r="BZ269" s="1047">
        <f t="shared" si="172"/>
        <v>1</v>
      </c>
      <c r="CA269" s="1047">
        <f t="shared" si="176"/>
        <v>0</v>
      </c>
      <c r="CB269" s="1047">
        <f t="shared" si="173"/>
        <v>0</v>
      </c>
      <c r="CD269" t="str">
        <f t="shared" si="174"/>
        <v>VE</v>
      </c>
      <c r="CE269" t="str">
        <f t="shared" si="174"/>
        <v>VE</v>
      </c>
      <c r="CF269" t="str">
        <f t="shared" si="174"/>
        <v>ROB</v>
      </c>
      <c r="CG269" t="str">
        <f t="shared" si="174"/>
        <v>ROB</v>
      </c>
    </row>
    <row r="270" spans="1:85" s="231" customFormat="1" ht="69" hidden="1" customHeight="1" x14ac:dyDescent="0.25">
      <c r="A270" s="354" t="s">
        <v>800</v>
      </c>
      <c r="B270" s="299" t="str">
        <f>'PLAN INDICATIVO'!B270</f>
        <v>Desarrollo Económico/Promoción del desarrollo</v>
      </c>
      <c r="C270" s="1599"/>
      <c r="D270" s="1601"/>
      <c r="E270" s="1601"/>
      <c r="F270" s="1601"/>
      <c r="G270" s="1601"/>
      <c r="H270" s="1601"/>
      <c r="I270" s="371">
        <f>'PLAN INDICATIVO'!I270</f>
        <v>0</v>
      </c>
      <c r="J270" s="371">
        <f>'PLAN INDICATIVO'!J270</f>
        <v>0</v>
      </c>
      <c r="K270" s="1432" t="str">
        <f>'PLAN INDICATIVO'!K270</f>
        <v>A.13.1.9</v>
      </c>
      <c r="L270" s="372" t="str">
        <f>'PLAN INDICATIVO'!L270</f>
        <v>8. Trabajo decente y crecimiento económico</v>
      </c>
      <c r="M270" s="372" t="str">
        <f>'PLAN INDICATIVO'!M270</f>
        <v>Secretaría de Gobierno</v>
      </c>
      <c r="N270" s="1425" t="str">
        <f>'PLAN INDICATIVO'!N270</f>
        <v>HERNAN RODRIGUEZ FALLA</v>
      </c>
      <c r="O270" s="1432" t="str">
        <f>'PLAN INDICATIVO'!O270</f>
        <v>Mantenimiento</v>
      </c>
      <c r="P270" s="71" t="str">
        <f>'PLAN INDICATIVO'!P270</f>
        <v>Realizar 3 eventos cada año para promoción y fomento empresarial</v>
      </c>
      <c r="Q270" s="302" t="str">
        <f>'PLAN INDICATIVO'!Q270</f>
        <v>No. De eventos realizados por año</v>
      </c>
      <c r="R270" s="303">
        <f>'PLAN INDICATIVO'!R270</f>
        <v>2015</v>
      </c>
      <c r="S270" s="304">
        <v>2</v>
      </c>
      <c r="T270" s="498">
        <v>3</v>
      </c>
      <c r="U270" s="303">
        <v>3</v>
      </c>
      <c r="V270" s="687">
        <v>1000000</v>
      </c>
      <c r="W270" s="572">
        <v>3</v>
      </c>
      <c r="X270" s="687">
        <v>10000000</v>
      </c>
      <c r="Y270" s="1232">
        <v>3</v>
      </c>
      <c r="Z270" s="687">
        <v>10000000</v>
      </c>
      <c r="AA270" s="1310"/>
      <c r="AB270" s="687">
        <v>10000000</v>
      </c>
      <c r="AC270" s="667">
        <v>1</v>
      </c>
      <c r="AD270" s="667">
        <v>0</v>
      </c>
      <c r="AE270" s="667">
        <v>3</v>
      </c>
      <c r="AF270" s="667"/>
      <c r="AG270" s="306" t="s">
        <v>4188</v>
      </c>
      <c r="AH270" s="987">
        <v>2018453960022</v>
      </c>
      <c r="AI270" s="336" t="s">
        <v>4196</v>
      </c>
      <c r="AJ270" s="339">
        <v>43191</v>
      </c>
      <c r="AK270" s="339">
        <v>43373</v>
      </c>
      <c r="AL270" s="337"/>
      <c r="AM270" s="337"/>
      <c r="AN270" s="280" t="s">
        <v>2598</v>
      </c>
      <c r="AO270" s="507"/>
      <c r="AP270" s="528"/>
      <c r="AQ270" s="472"/>
      <c r="AR270" s="472"/>
      <c r="AS270" s="472"/>
      <c r="AT270" s="472"/>
      <c r="AU270" s="472"/>
      <c r="AV270" s="472"/>
      <c r="AW270" s="544"/>
      <c r="AX270" s="528"/>
      <c r="AY270" s="472"/>
      <c r="AZ270" s="472"/>
      <c r="BA270" s="472"/>
      <c r="BB270" s="472"/>
      <c r="BC270" s="472"/>
      <c r="BD270" s="472"/>
      <c r="BE270" s="544">
        <f t="shared" si="142"/>
        <v>0</v>
      </c>
      <c r="BF270" s="528"/>
      <c r="BG270" s="472"/>
      <c r="BH270" s="472"/>
      <c r="BI270" s="472"/>
      <c r="BJ270" s="472"/>
      <c r="BK270" s="472"/>
      <c r="BL270" s="472"/>
      <c r="BM270" s="544">
        <f t="shared" si="143"/>
        <v>0</v>
      </c>
      <c r="BN270" s="528"/>
      <c r="BO270" s="472"/>
      <c r="BP270" s="472"/>
      <c r="BQ270" s="472"/>
      <c r="BR270" s="472"/>
      <c r="BS270" s="472"/>
      <c r="BT270" s="472"/>
      <c r="BU270" s="544">
        <f t="shared" si="144"/>
        <v>0</v>
      </c>
      <c r="BV270" s="653"/>
      <c r="BW270" s="663">
        <f t="shared" si="175"/>
        <v>4</v>
      </c>
      <c r="BX270" s="1047">
        <f t="shared" si="136"/>
        <v>1.3333333333333333</v>
      </c>
      <c r="BY270" s="1047">
        <f t="shared" si="171"/>
        <v>0.33333333333333331</v>
      </c>
      <c r="BZ270" s="1047">
        <f t="shared" si="172"/>
        <v>0</v>
      </c>
      <c r="CA270" s="1047">
        <f t="shared" si="176"/>
        <v>1</v>
      </c>
      <c r="CB270" s="1047" t="str">
        <f t="shared" si="173"/>
        <v>No Programada</v>
      </c>
      <c r="CC270"/>
      <c r="CD270" t="str">
        <f t="shared" si="174"/>
        <v>RO</v>
      </c>
      <c r="CE270" t="str">
        <f t="shared" si="174"/>
        <v>ROB</v>
      </c>
      <c r="CF270" t="str">
        <f t="shared" si="174"/>
        <v>VE</v>
      </c>
      <c r="CG270" t="str">
        <f t="shared" si="174"/>
        <v>NP</v>
      </c>
    </row>
    <row r="271" spans="1:85" s="231" customFormat="1" ht="63" hidden="1" customHeight="1" x14ac:dyDescent="0.25">
      <c r="A271" s="354" t="s">
        <v>800</v>
      </c>
      <c r="B271" s="299" t="str">
        <f>'PLAN INDICATIVO'!B271</f>
        <v>Desarrollo Económico/Promoción del desarrollo</v>
      </c>
      <c r="C271" s="1599"/>
      <c r="D271" s="1601"/>
      <c r="E271" s="1601"/>
      <c r="F271" s="1601"/>
      <c r="G271" s="1601"/>
      <c r="H271" s="1601"/>
      <c r="I271" s="371">
        <f>'PLAN INDICATIVO'!I271</f>
        <v>0</v>
      </c>
      <c r="J271" s="371">
        <f>'PLAN INDICATIVO'!J271</f>
        <v>0</v>
      </c>
      <c r="K271" s="1432" t="str">
        <f>'PLAN INDICATIVO'!K271</f>
        <v>A.13.1.10</v>
      </c>
      <c r="L271" s="372" t="str">
        <f>'PLAN INDICATIVO'!L271</f>
        <v>8. Trabajo decente y crecimiento económico</v>
      </c>
      <c r="M271" s="372" t="str">
        <f>'PLAN INDICATIVO'!M271</f>
        <v>Secretaría de Gobierno</v>
      </c>
      <c r="N271" s="1425" t="str">
        <f>'PLAN INDICATIVO'!N271</f>
        <v>HERNAN RODRIGUEZ FALLA</v>
      </c>
      <c r="O271" s="1432" t="str">
        <f>'PLAN INDICATIVO'!O271</f>
        <v>Incremento</v>
      </c>
      <c r="P271" s="941" t="str">
        <f>'PLAN INDICATIVO'!P271</f>
        <v>Implementar 1 programa de formación para el empleo cada año</v>
      </c>
      <c r="Q271" s="302" t="str">
        <f>'PLAN INDICATIVO'!Q271</f>
        <v>No. De Programa implementado por año</v>
      </c>
      <c r="R271" s="303">
        <f>'PLAN INDICATIVO'!R271</f>
        <v>2015</v>
      </c>
      <c r="S271" s="304">
        <v>1</v>
      </c>
      <c r="T271" s="498">
        <v>4</v>
      </c>
      <c r="U271" s="303">
        <v>1</v>
      </c>
      <c r="V271" s="687">
        <v>6000000</v>
      </c>
      <c r="W271" s="572">
        <v>1</v>
      </c>
      <c r="X271" s="687">
        <v>500000</v>
      </c>
      <c r="Y271" s="1232">
        <v>1</v>
      </c>
      <c r="Z271" s="687">
        <v>1000000</v>
      </c>
      <c r="AA271" s="1310">
        <v>4</v>
      </c>
      <c r="AB271" s="687">
        <v>1000000</v>
      </c>
      <c r="AC271" s="667">
        <v>0</v>
      </c>
      <c r="AD271" s="667">
        <v>0</v>
      </c>
      <c r="AE271" s="667"/>
      <c r="AF271" s="667"/>
      <c r="AG271" s="306" t="s">
        <v>4188</v>
      </c>
      <c r="AH271" s="987">
        <v>2018453960022</v>
      </c>
      <c r="AI271" s="336" t="s">
        <v>4197</v>
      </c>
      <c r="AJ271" s="339">
        <v>43221</v>
      </c>
      <c r="AK271" s="339">
        <v>43250</v>
      </c>
      <c r="AL271" s="337"/>
      <c r="AM271" s="337"/>
      <c r="AN271" s="280" t="s">
        <v>2600</v>
      </c>
      <c r="AO271" s="510"/>
      <c r="AP271" s="528"/>
      <c r="AQ271" s="472"/>
      <c r="AR271" s="472"/>
      <c r="AS271" s="472"/>
      <c r="AT271" s="472"/>
      <c r="AU271" s="472"/>
      <c r="AV271" s="472"/>
      <c r="AW271" s="544"/>
      <c r="AX271" s="528"/>
      <c r="AY271" s="472"/>
      <c r="AZ271" s="472"/>
      <c r="BA271" s="472"/>
      <c r="BB271" s="472"/>
      <c r="BC271" s="472"/>
      <c r="BD271" s="472"/>
      <c r="BE271" s="544">
        <f t="shared" si="142"/>
        <v>0</v>
      </c>
      <c r="BF271" s="528"/>
      <c r="BG271" s="472"/>
      <c r="BH271" s="472"/>
      <c r="BI271" s="472"/>
      <c r="BJ271" s="472"/>
      <c r="BK271" s="472"/>
      <c r="BL271" s="472"/>
      <c r="BM271" s="544">
        <f t="shared" si="143"/>
        <v>0</v>
      </c>
      <c r="BN271" s="528"/>
      <c r="BO271" s="472"/>
      <c r="BP271" s="472"/>
      <c r="BQ271" s="472"/>
      <c r="BR271" s="472"/>
      <c r="BS271" s="472"/>
      <c r="BT271" s="472"/>
      <c r="BU271" s="544">
        <f t="shared" si="144"/>
        <v>0</v>
      </c>
      <c r="BV271" s="653"/>
      <c r="BW271" s="663">
        <f t="shared" si="175"/>
        <v>0</v>
      </c>
      <c r="BX271" s="1047">
        <f t="shared" si="136"/>
        <v>0</v>
      </c>
      <c r="BY271" s="1047">
        <f t="shared" si="171"/>
        <v>0</v>
      </c>
      <c r="BZ271" s="1047">
        <f t="shared" si="172"/>
        <v>0</v>
      </c>
      <c r="CA271" s="1047">
        <f t="shared" si="176"/>
        <v>0</v>
      </c>
      <c r="CB271" s="1047">
        <f t="shared" si="173"/>
        <v>0</v>
      </c>
      <c r="CC271"/>
      <c r="CD271" t="str">
        <f t="shared" si="174"/>
        <v>ROB</v>
      </c>
      <c r="CE271" t="str">
        <f t="shared" si="174"/>
        <v>ROB</v>
      </c>
      <c r="CF271" t="str">
        <f t="shared" si="174"/>
        <v>ROB</v>
      </c>
      <c r="CG271" t="str">
        <f t="shared" si="174"/>
        <v>ROB</v>
      </c>
    </row>
    <row r="272" spans="1:85" ht="51" hidden="1" customHeight="1" x14ac:dyDescent="0.25">
      <c r="A272" s="298" t="s">
        <v>800</v>
      </c>
      <c r="B272" s="299" t="str">
        <f>'PLAN INDICATIVO'!B272</f>
        <v>Desarrollo Económico/Promoción del desarrollo</v>
      </c>
      <c r="C272" s="1548"/>
      <c r="D272" s="1549"/>
      <c r="E272" s="1549"/>
      <c r="F272" s="1549"/>
      <c r="G272" s="1549"/>
      <c r="H272" s="1549"/>
      <c r="I272" s="300">
        <f>'PLAN INDICATIVO'!I272</f>
        <v>0</v>
      </c>
      <c r="J272" s="300">
        <f>'PLAN INDICATIVO'!J272</f>
        <v>0</v>
      </c>
      <c r="K272" s="1425" t="str">
        <f>'PLAN INDICATIVO'!K272</f>
        <v>A.13.1.11</v>
      </c>
      <c r="L272" s="301" t="str">
        <f>'PLAN INDICATIVO'!L272</f>
        <v>8. Trabajo decente y crecimiento económico</v>
      </c>
      <c r="M272" s="301" t="str">
        <f>'PLAN INDICATIVO'!M272</f>
        <v>Secretaría de Gobierno</v>
      </c>
      <c r="N272" s="1425" t="str">
        <f>'PLAN INDICATIVO'!N272</f>
        <v>HERNAN RODRIGUEZ FALLA</v>
      </c>
      <c r="O272" s="1425" t="str">
        <f>'PLAN INDICATIVO'!O272</f>
        <v>Mantenimiento</v>
      </c>
      <c r="P272" s="16" t="str">
        <f>'PLAN INDICATIVO'!P272</f>
        <v>Implementar 1 programa para generación de empleo cada año</v>
      </c>
      <c r="Q272" s="302" t="str">
        <f>'PLAN INDICATIVO'!Q272</f>
        <v>Programa implementado por año</v>
      </c>
      <c r="R272" s="303">
        <f>'PLAN INDICATIVO'!R272</f>
        <v>2015</v>
      </c>
      <c r="S272" s="304">
        <v>1</v>
      </c>
      <c r="T272" s="498">
        <v>1</v>
      </c>
      <c r="U272" s="303">
        <v>1</v>
      </c>
      <c r="V272" s="687">
        <v>2000000</v>
      </c>
      <c r="W272" s="572">
        <v>1</v>
      </c>
      <c r="X272" s="687">
        <v>500000</v>
      </c>
      <c r="Y272" s="1232"/>
      <c r="Z272" s="687">
        <v>5000000</v>
      </c>
      <c r="AA272" s="1310">
        <v>1</v>
      </c>
      <c r="AB272" s="687">
        <v>3000000</v>
      </c>
      <c r="AC272" s="665"/>
      <c r="AD272" s="665">
        <v>1</v>
      </c>
      <c r="AE272" s="665">
        <v>1</v>
      </c>
      <c r="AF272" s="665"/>
      <c r="AG272" s="306" t="s">
        <v>4188</v>
      </c>
      <c r="AH272" s="987">
        <v>2018453960022</v>
      </c>
      <c r="AI272" s="307" t="s">
        <v>4198</v>
      </c>
      <c r="AJ272" s="339">
        <v>43405</v>
      </c>
      <c r="AK272" s="339">
        <v>43449</v>
      </c>
      <c r="AL272" s="308"/>
      <c r="AM272" s="308"/>
      <c r="AN272" s="281" t="s">
        <v>2598</v>
      </c>
      <c r="AO272" s="507"/>
      <c r="AP272" s="525"/>
      <c r="AQ272" s="310"/>
      <c r="AR272" s="310"/>
      <c r="AS272" s="310"/>
      <c r="AT272" s="310"/>
      <c r="AU272" s="310"/>
      <c r="AV272" s="310"/>
      <c r="AW272" s="544"/>
      <c r="AX272" s="525"/>
      <c r="AY272" s="310"/>
      <c r="AZ272" s="310"/>
      <c r="BA272" s="310"/>
      <c r="BB272" s="310"/>
      <c r="BC272" s="310"/>
      <c r="BD272" s="310"/>
      <c r="BE272" s="544">
        <f t="shared" si="142"/>
        <v>0</v>
      </c>
      <c r="BF272" s="525"/>
      <c r="BG272" s="310"/>
      <c r="BH272" s="310"/>
      <c r="BI272" s="310"/>
      <c r="BJ272" s="310"/>
      <c r="BK272" s="310"/>
      <c r="BL272" s="310"/>
      <c r="BM272" s="544">
        <f t="shared" si="143"/>
        <v>0</v>
      </c>
      <c r="BN272" s="525"/>
      <c r="BO272" s="310"/>
      <c r="BP272" s="310"/>
      <c r="BQ272" s="310"/>
      <c r="BR272" s="310"/>
      <c r="BS272" s="310"/>
      <c r="BT272" s="310"/>
      <c r="BU272" s="544">
        <f t="shared" si="144"/>
        <v>0</v>
      </c>
      <c r="BV272" s="556"/>
      <c r="BW272" s="663">
        <f t="shared" si="175"/>
        <v>2</v>
      </c>
      <c r="BX272" s="1047">
        <f t="shared" si="136"/>
        <v>2</v>
      </c>
      <c r="BY272" s="1047">
        <f t="shared" si="171"/>
        <v>0</v>
      </c>
      <c r="BZ272" s="1047">
        <f t="shared" si="172"/>
        <v>1</v>
      </c>
      <c r="CA272" s="1047" t="str">
        <f t="shared" si="176"/>
        <v>No Programada</v>
      </c>
      <c r="CB272" s="1047">
        <f t="shared" si="173"/>
        <v>0</v>
      </c>
      <c r="CD272" t="str">
        <f t="shared" si="174"/>
        <v>ROB</v>
      </c>
      <c r="CE272" t="str">
        <f t="shared" si="174"/>
        <v>VE</v>
      </c>
      <c r="CF272" t="str">
        <f t="shared" si="174"/>
        <v>NP</v>
      </c>
      <c r="CG272" t="str">
        <f t="shared" si="174"/>
        <v>ROB</v>
      </c>
    </row>
    <row r="273" spans="1:85" ht="7.5" hidden="1" customHeight="1" x14ac:dyDescent="0.25">
      <c r="A273" s="295"/>
      <c r="B273" s="24" t="str">
        <f>'PLAN INDICATIVO'!B273</f>
        <v>Promoción del desarrollo</v>
      </c>
      <c r="C273" s="1574" t="s">
        <v>839</v>
      </c>
      <c r="D273" s="1575"/>
      <c r="E273" s="1575"/>
      <c r="F273" s="1575"/>
      <c r="G273" s="1575"/>
      <c r="H273" s="1575"/>
      <c r="I273" s="1575"/>
      <c r="J273" s="1575"/>
      <c r="K273" s="1575"/>
      <c r="L273" s="1575"/>
      <c r="M273" s="1575"/>
      <c r="N273" s="1575"/>
      <c r="O273" s="1576"/>
      <c r="P273" s="22"/>
      <c r="Q273" s="22"/>
      <c r="R273" s="1"/>
      <c r="S273" s="261"/>
      <c r="T273" s="681"/>
      <c r="U273" s="261"/>
      <c r="V273" s="689">
        <f>SUM(V274:V285)</f>
        <v>3500000</v>
      </c>
      <c r="W273" s="261"/>
      <c r="X273" s="689">
        <f>SUM(X274:X285)</f>
        <v>10000000</v>
      </c>
      <c r="Y273" s="261"/>
      <c r="Z273" s="689">
        <f>SUM(Z274:Z285)</f>
        <v>14500000</v>
      </c>
      <c r="AA273" s="262"/>
      <c r="AB273" s="690">
        <f>SUM(AB274:AB285)</f>
        <v>15000000</v>
      </c>
      <c r="AC273" s="262"/>
      <c r="AD273" s="262"/>
      <c r="AE273" s="262"/>
      <c r="AF273" s="262"/>
      <c r="AG273" s="263"/>
      <c r="AH273" s="263"/>
      <c r="AI273" s="263"/>
      <c r="AJ273" s="262"/>
      <c r="AK273" s="262"/>
      <c r="AL273" s="262"/>
      <c r="AM273" s="262"/>
      <c r="AN273" s="262"/>
      <c r="AO273" s="612"/>
      <c r="AP273" s="616"/>
      <c r="AQ273" s="616"/>
      <c r="AR273" s="616"/>
      <c r="AS273" s="616"/>
      <c r="AT273" s="616"/>
      <c r="AU273" s="616"/>
      <c r="AV273" s="616"/>
      <c r="AW273" s="617"/>
      <c r="AX273" s="616" t="e">
        <f>(AX274:AX285)</f>
        <v>#VALUE!</v>
      </c>
      <c r="AY273" s="616" t="e">
        <f t="shared" ref="AY273:BD273" si="177">(AY274:AY285)</f>
        <v>#VALUE!</v>
      </c>
      <c r="AZ273" s="616" t="e">
        <f t="shared" si="177"/>
        <v>#VALUE!</v>
      </c>
      <c r="BA273" s="616" t="e">
        <f t="shared" si="177"/>
        <v>#VALUE!</v>
      </c>
      <c r="BB273" s="616" t="e">
        <f t="shared" si="177"/>
        <v>#VALUE!</v>
      </c>
      <c r="BC273" s="616" t="e">
        <f t="shared" si="177"/>
        <v>#VALUE!</v>
      </c>
      <c r="BD273" s="616" t="e">
        <f t="shared" si="177"/>
        <v>#VALUE!</v>
      </c>
      <c r="BE273" s="617" t="e">
        <f t="shared" si="142"/>
        <v>#VALUE!</v>
      </c>
      <c r="BF273" s="616"/>
      <c r="BG273" s="616"/>
      <c r="BH273" s="616"/>
      <c r="BI273" s="616"/>
      <c r="BJ273" s="616"/>
      <c r="BK273" s="616"/>
      <c r="BL273" s="616"/>
      <c r="BM273" s="617">
        <f t="shared" si="143"/>
        <v>0</v>
      </c>
      <c r="BN273" s="616" t="e">
        <f>(BN274:BN285)</f>
        <v>#VALUE!</v>
      </c>
      <c r="BO273" s="616" t="e">
        <f t="shared" ref="BO273:BT273" si="178">(BO274:BO285)</f>
        <v>#VALUE!</v>
      </c>
      <c r="BP273" s="616" t="e">
        <f t="shared" si="178"/>
        <v>#VALUE!</v>
      </c>
      <c r="BQ273" s="616" t="e">
        <f t="shared" si="178"/>
        <v>#VALUE!</v>
      </c>
      <c r="BR273" s="616" t="e">
        <f t="shared" si="178"/>
        <v>#VALUE!</v>
      </c>
      <c r="BS273" s="616" t="e">
        <f t="shared" si="178"/>
        <v>#VALUE!</v>
      </c>
      <c r="BT273" s="616" t="e">
        <f t="shared" si="178"/>
        <v>#VALUE!</v>
      </c>
      <c r="BU273" s="617" t="e">
        <f t="shared" si="144"/>
        <v>#VALUE!</v>
      </c>
      <c r="BV273" s="556"/>
      <c r="BW273" s="663" t="s">
        <v>2717</v>
      </c>
      <c r="BX273" s="617" t="s">
        <v>2717</v>
      </c>
      <c r="BY273" s="617" t="s">
        <v>2717</v>
      </c>
      <c r="BZ273" s="617" t="s">
        <v>2717</v>
      </c>
      <c r="CA273" s="617" t="s">
        <v>2717</v>
      </c>
      <c r="CB273" s="1047" t="s">
        <v>2717</v>
      </c>
    </row>
    <row r="274" spans="1:85" ht="48.75" hidden="1" customHeight="1" x14ac:dyDescent="0.25">
      <c r="A274" s="298" t="s">
        <v>800</v>
      </c>
      <c r="B274" s="299" t="str">
        <f>'PLAN INDICATIVO'!B274</f>
        <v>Desarrollo Económico/Promoción del desarrollo</v>
      </c>
      <c r="C274" s="1546" t="s">
        <v>840</v>
      </c>
      <c r="D274" s="1549" t="s">
        <v>841</v>
      </c>
      <c r="E274" s="1549" t="s">
        <v>842</v>
      </c>
      <c r="F274" s="1549">
        <v>2015</v>
      </c>
      <c r="G274" s="1562">
        <v>20000</v>
      </c>
      <c r="H274" s="1562">
        <v>22000</v>
      </c>
      <c r="I274" s="300">
        <f>'PLAN INDICATIVO'!I274</f>
        <v>0</v>
      </c>
      <c r="J274" s="300">
        <f>'PLAN INDICATIVO'!J274</f>
        <v>0</v>
      </c>
      <c r="K274" s="1428" t="str">
        <f>'PLAN INDICATIVO'!K274</f>
        <v>A.13.2.1</v>
      </c>
      <c r="L274" s="301" t="str">
        <f>'PLAN INDICATIVO'!L274</f>
        <v>8. Trabajo decente y crecimiento económico</v>
      </c>
      <c r="M274" s="301" t="str">
        <f>'PLAN INDICATIVO'!M274</f>
        <v>Secretaría de Educación, Cultura, deporte y Turismo</v>
      </c>
      <c r="N274" s="1425" t="str">
        <f>'PLAN INDICATIVO'!N274</f>
        <v>YIMI FERNANDO LOSADA PAYA</v>
      </c>
      <c r="O274" s="1425" t="str">
        <f>'PLAN INDICATIVO'!O274</f>
        <v>Incremento</v>
      </c>
      <c r="P274" s="16" t="str">
        <f>'PLAN INDICATIVO'!P274</f>
        <v>Crear 1 plan estratégico de  turismo para el Municipio de la Plata, durante el cuatrienio</v>
      </c>
      <c r="Q274" s="302" t="str">
        <f>'PLAN INDICATIVO'!Q274</f>
        <v>No. De planes estratégicos creados</v>
      </c>
      <c r="R274" s="303">
        <f>'PLAN INDICATIVO'!R274</f>
        <v>2015</v>
      </c>
      <c r="S274" s="304">
        <v>0</v>
      </c>
      <c r="T274" s="498">
        <v>1</v>
      </c>
      <c r="U274" s="303"/>
      <c r="V274" s="687"/>
      <c r="W274" s="572"/>
      <c r="X274" s="687"/>
      <c r="Y274" s="1232"/>
      <c r="Z274" s="1233">
        <v>500000</v>
      </c>
      <c r="AA274" s="1310"/>
      <c r="AB274" s="687">
        <v>500000</v>
      </c>
      <c r="AC274" s="665">
        <v>1</v>
      </c>
      <c r="AD274" s="665"/>
      <c r="AE274" s="665"/>
      <c r="AF274" s="665"/>
      <c r="AG274" s="306" t="s">
        <v>4188</v>
      </c>
      <c r="AH274" s="987">
        <v>2018453960022</v>
      </c>
      <c r="AI274" s="1007" t="s">
        <v>4199</v>
      </c>
      <c r="AJ274" s="838"/>
      <c r="AK274" s="838"/>
      <c r="AL274" s="308"/>
      <c r="AM274" s="308"/>
      <c r="AN274" s="267" t="s">
        <v>2594</v>
      </c>
      <c r="AO274" s="507"/>
      <c r="AP274" s="525"/>
      <c r="AQ274" s="310"/>
      <c r="AR274" s="310"/>
      <c r="AS274" s="310"/>
      <c r="AT274" s="310"/>
      <c r="AU274" s="310"/>
      <c r="AV274" s="310"/>
      <c r="AW274" s="544"/>
      <c r="AX274" s="525"/>
      <c r="AY274" s="310"/>
      <c r="AZ274" s="310"/>
      <c r="BA274" s="310"/>
      <c r="BB274" s="310"/>
      <c r="BC274" s="310"/>
      <c r="BD274" s="310"/>
      <c r="BE274" s="544">
        <f t="shared" si="142"/>
        <v>0</v>
      </c>
      <c r="BF274" s="525"/>
      <c r="BG274" s="310"/>
      <c r="BH274" s="310"/>
      <c r="BI274" s="310"/>
      <c r="BJ274" s="310"/>
      <c r="BK274" s="310"/>
      <c r="BL274" s="310"/>
      <c r="BM274" s="544">
        <f t="shared" si="143"/>
        <v>0</v>
      </c>
      <c r="BN274" s="525"/>
      <c r="BO274" s="310"/>
      <c r="BP274" s="310"/>
      <c r="BQ274" s="310"/>
      <c r="BR274" s="310"/>
      <c r="BS274" s="310"/>
      <c r="BT274" s="310"/>
      <c r="BU274" s="544">
        <f t="shared" si="144"/>
        <v>0</v>
      </c>
      <c r="BV274" s="556"/>
      <c r="BW274" s="663">
        <f t="shared" si="175"/>
        <v>1</v>
      </c>
      <c r="BX274" s="1047">
        <f t="shared" si="136"/>
        <v>1</v>
      </c>
      <c r="BY274" s="1047" t="str">
        <f t="shared" ref="BY274:BY285" si="179">IF(U274&gt;=0.1,AC274/U274,IF(ISBLANK(U274),"No Programada","Aplazada"))</f>
        <v>No Programada</v>
      </c>
      <c r="BZ274" s="1047" t="str">
        <f t="shared" ref="BZ274:CA285" si="180">IF(W274&gt;=0.1,AD274/W274,IF(ISBLANK(W274),"No Programada","Aplazada"))</f>
        <v>No Programada</v>
      </c>
      <c r="CA274" s="1047" t="str">
        <f t="shared" ref="CA274:CA285" si="181">IF(Y274&gt;=0.1,AE274/Y274,IF(ISBLANK(Y274),"No Programada","Aplazada"))</f>
        <v>No Programada</v>
      </c>
      <c r="CB274" s="1047" t="str">
        <f t="shared" ref="CB274:CB285" si="182">IF(AA274&gt;=0.1,AF274/AA274,IF(ISBLANK(AA274),"No Programada","Aplazada"))</f>
        <v>No Programada</v>
      </c>
      <c r="CD274" t="str">
        <f t="shared" ref="CD274:CG285" si="183">IF(BY274="PARA MODIFICAR","M",IF(BY274="PARA ELIMINAR","E",IF(BY274="aplazada","AZ",IF(BY274="no programada","NP",IF(BY274&gt;=85%,"VE",IF(BY274&gt;70%,"VEB",IF(BY274&gt;60%,"AM",IF(BY274&gt;40%,"AMB",IF(BY274&gt;20%,"RO",IF(BY274&gt;=0%,"ROB",""))))))))))</f>
        <v>NP</v>
      </c>
      <c r="CE274" t="str">
        <f t="shared" si="183"/>
        <v>NP</v>
      </c>
      <c r="CF274" t="str">
        <f t="shared" si="183"/>
        <v>NP</v>
      </c>
      <c r="CG274" t="str">
        <f t="shared" si="183"/>
        <v>NP</v>
      </c>
    </row>
    <row r="275" spans="1:85" ht="75.75" hidden="1" customHeight="1" x14ac:dyDescent="0.25">
      <c r="A275" s="298" t="s">
        <v>800</v>
      </c>
      <c r="B275" s="299" t="str">
        <f>'PLAN INDICATIVO'!B275</f>
        <v>Desarrollo Económico/Promoción del desarrollo</v>
      </c>
      <c r="C275" s="1547"/>
      <c r="D275" s="1549"/>
      <c r="E275" s="1549"/>
      <c r="F275" s="1549"/>
      <c r="G275" s="1549"/>
      <c r="H275" s="1549"/>
      <c r="I275" s="300">
        <f>'PLAN INDICATIVO'!I275</f>
        <v>0</v>
      </c>
      <c r="J275" s="300">
        <f>'PLAN INDICATIVO'!J275</f>
        <v>0</v>
      </c>
      <c r="K275" s="1428" t="str">
        <f>'PLAN INDICATIVO'!K275</f>
        <v>A.13.2.2</v>
      </c>
      <c r="L275" s="301" t="str">
        <f>'PLAN INDICATIVO'!L275</f>
        <v>8. Trabajo decente y crecimiento económico</v>
      </c>
      <c r="M275" s="301" t="str">
        <f>'PLAN INDICATIVO'!M275</f>
        <v>Secretaría de Educación, Cultura, deporte y Turismo</v>
      </c>
      <c r="N275" s="1425" t="str">
        <f>'PLAN INDICATIVO'!N275</f>
        <v>YIMI FERNANDO LOSADA PAYA</v>
      </c>
      <c r="O275" s="1425" t="str">
        <f>'PLAN INDICATIVO'!O275</f>
        <v>Incremento</v>
      </c>
      <c r="P275" s="16" t="str">
        <f>'PLAN INDICATIVO'!P275</f>
        <v>Realizar 8 capacitaciones durante el cuatrienio, en temas de interés para el fortalecimiento del sector del turismo</v>
      </c>
      <c r="Q275" s="302" t="str">
        <f>'PLAN INDICATIVO'!Q275</f>
        <v>No. De capacitaciones realizadas</v>
      </c>
      <c r="R275" s="303">
        <f>'PLAN INDICATIVO'!R275</f>
        <v>2015</v>
      </c>
      <c r="S275" s="304">
        <v>0</v>
      </c>
      <c r="T275" s="498">
        <v>8</v>
      </c>
      <c r="U275" s="303">
        <v>1</v>
      </c>
      <c r="V275" s="687"/>
      <c r="W275" s="572">
        <v>2</v>
      </c>
      <c r="X275" s="687">
        <v>5000000</v>
      </c>
      <c r="Y275" s="1232">
        <v>2</v>
      </c>
      <c r="Z275" s="1233">
        <v>5000000</v>
      </c>
      <c r="AA275" s="1310">
        <v>2</v>
      </c>
      <c r="AB275" s="687">
        <v>5000000</v>
      </c>
      <c r="AC275" s="665">
        <v>1</v>
      </c>
      <c r="AD275" s="665">
        <v>2</v>
      </c>
      <c r="AE275" s="665">
        <v>3</v>
      </c>
      <c r="AF275" s="665"/>
      <c r="AG275" s="306" t="s">
        <v>4188</v>
      </c>
      <c r="AH275" s="987">
        <v>2018453960022</v>
      </c>
      <c r="AI275" s="1007" t="s">
        <v>4200</v>
      </c>
      <c r="AJ275" s="339">
        <v>43130</v>
      </c>
      <c r="AK275" s="339" t="s">
        <v>4201</v>
      </c>
      <c r="AL275" s="308"/>
      <c r="AM275" s="308"/>
      <c r="AN275" s="267" t="s">
        <v>2598</v>
      </c>
      <c r="AO275" s="507" t="s">
        <v>2627</v>
      </c>
      <c r="AP275" s="525"/>
      <c r="AQ275" s="310"/>
      <c r="AR275" s="310"/>
      <c r="AS275" s="310"/>
      <c r="AT275" s="310"/>
      <c r="AU275" s="310"/>
      <c r="AV275" s="310"/>
      <c r="AW275" s="544"/>
      <c r="AX275" s="525"/>
      <c r="AY275" s="310"/>
      <c r="AZ275" s="310"/>
      <c r="BA275" s="310"/>
      <c r="BB275" s="310"/>
      <c r="BC275" s="310"/>
      <c r="BD275" s="310"/>
      <c r="BE275" s="544">
        <f t="shared" si="142"/>
        <v>0</v>
      </c>
      <c r="BF275" s="525"/>
      <c r="BG275" s="310"/>
      <c r="BH275" s="310"/>
      <c r="BI275" s="310"/>
      <c r="BJ275" s="310"/>
      <c r="BK275" s="310"/>
      <c r="BL275" s="310">
        <v>500000</v>
      </c>
      <c r="BM275" s="544">
        <f t="shared" si="143"/>
        <v>500000</v>
      </c>
      <c r="BN275" s="525"/>
      <c r="BO275" s="310"/>
      <c r="BP275" s="310"/>
      <c r="BQ275" s="310"/>
      <c r="BR275" s="310"/>
      <c r="BS275" s="310"/>
      <c r="BT275" s="310"/>
      <c r="BU275" s="544">
        <f t="shared" si="144"/>
        <v>0</v>
      </c>
      <c r="BV275" s="556"/>
      <c r="BW275" s="663">
        <f t="shared" si="175"/>
        <v>6</v>
      </c>
      <c r="BX275" s="1047">
        <f t="shared" si="136"/>
        <v>0.75</v>
      </c>
      <c r="BY275" s="1047">
        <f t="shared" si="179"/>
        <v>1</v>
      </c>
      <c r="BZ275" s="1047">
        <f t="shared" si="180"/>
        <v>1</v>
      </c>
      <c r="CA275" s="1047">
        <f t="shared" si="181"/>
        <v>1.5</v>
      </c>
      <c r="CB275" s="1047">
        <f t="shared" si="182"/>
        <v>0</v>
      </c>
      <c r="CD275" t="str">
        <f t="shared" si="183"/>
        <v>VE</v>
      </c>
      <c r="CE275" t="str">
        <f t="shared" si="183"/>
        <v>VE</v>
      </c>
      <c r="CF275" t="str">
        <f t="shared" si="183"/>
        <v>VE</v>
      </c>
      <c r="CG275" t="str">
        <f t="shared" si="183"/>
        <v>ROB</v>
      </c>
    </row>
    <row r="276" spans="1:85" ht="88.5" hidden="1" customHeight="1" x14ac:dyDescent="0.25">
      <c r="A276" s="298" t="s">
        <v>2464</v>
      </c>
      <c r="B276" s="299" t="str">
        <f>'PLAN INDICATIVO'!B276</f>
        <v>Desarrollo Económico/Promoción del desarrollo</v>
      </c>
      <c r="C276" s="1547"/>
      <c r="D276" s="1549"/>
      <c r="E276" s="1549"/>
      <c r="F276" s="1549"/>
      <c r="G276" s="1549"/>
      <c r="H276" s="1549"/>
      <c r="I276" s="300">
        <f>'PLAN INDICATIVO'!I276</f>
        <v>0</v>
      </c>
      <c r="J276" s="300">
        <f>'PLAN INDICATIVO'!J276</f>
        <v>0</v>
      </c>
      <c r="K276" s="1428" t="str">
        <f>'PLAN INDICATIVO'!K276</f>
        <v>A.13.2.3</v>
      </c>
      <c r="L276" s="301" t="str">
        <f>'PLAN INDICATIVO'!L276</f>
        <v>8. Trabajo decente y crecimiento económico</v>
      </c>
      <c r="M276" s="301" t="str">
        <f>'PLAN INDICATIVO'!M276</f>
        <v>Secretaría de Educación, Cultura, deporte y Turismo</v>
      </c>
      <c r="N276" s="1425" t="str">
        <f>'PLAN INDICATIVO'!N276</f>
        <v>YIMI FERNANDO LOSADA PAYA</v>
      </c>
      <c r="O276" s="1425" t="str">
        <f>'PLAN INDICATIVO'!O276</f>
        <v>Incremento</v>
      </c>
      <c r="P276" s="1198" t="str">
        <f>'PLAN INDICATIVO'!P276</f>
        <v>Buscar una alternativa para ofertar líneas de crédito blando con bajas tasas de interés dirigidas al mejoramiento de la planta turística, durante el cuatrienio.</v>
      </c>
      <c r="Q276" s="302" t="str">
        <f>'PLAN INDICATIVO'!Q276</f>
        <v>No. De alternativas para líneas de crédito gestionadas</v>
      </c>
      <c r="R276" s="303">
        <f>'PLAN INDICATIVO'!R276</f>
        <v>2015</v>
      </c>
      <c r="S276" s="304">
        <v>0</v>
      </c>
      <c r="T276" s="1299">
        <v>1</v>
      </c>
      <c r="U276" s="303"/>
      <c r="V276" s="687"/>
      <c r="W276" s="572"/>
      <c r="X276" s="687"/>
      <c r="Y276" s="1232">
        <v>1</v>
      </c>
      <c r="Z276" s="1233">
        <v>500000</v>
      </c>
      <c r="AA276" s="1310"/>
      <c r="AB276" s="687">
        <v>500000</v>
      </c>
      <c r="AC276" s="665"/>
      <c r="AD276" s="665"/>
      <c r="AE276" s="665">
        <v>1</v>
      </c>
      <c r="AF276" s="665"/>
      <c r="AG276" s="306" t="s">
        <v>4188</v>
      </c>
      <c r="AH276" s="987">
        <v>2018453960022</v>
      </c>
      <c r="AI276" s="1007" t="s">
        <v>4202</v>
      </c>
      <c r="AJ276" s="308"/>
      <c r="AK276" s="308"/>
      <c r="AL276" s="308"/>
      <c r="AM276" s="308"/>
      <c r="AN276" s="267" t="s">
        <v>2598</v>
      </c>
      <c r="AO276" s="507"/>
      <c r="AP276" s="525"/>
      <c r="AQ276" s="310"/>
      <c r="AR276" s="310"/>
      <c r="AS276" s="310"/>
      <c r="AT276" s="310"/>
      <c r="AU276" s="310"/>
      <c r="AV276" s="310"/>
      <c r="AW276" s="544"/>
      <c r="AX276" s="525"/>
      <c r="AY276" s="310"/>
      <c r="AZ276" s="310"/>
      <c r="BA276" s="310"/>
      <c r="BB276" s="310"/>
      <c r="BC276" s="310"/>
      <c r="BD276" s="310"/>
      <c r="BE276" s="544">
        <f t="shared" si="142"/>
        <v>0</v>
      </c>
      <c r="BF276" s="525"/>
      <c r="BG276" s="310"/>
      <c r="BH276" s="310"/>
      <c r="BI276" s="310"/>
      <c r="BJ276" s="310"/>
      <c r="BK276" s="310"/>
      <c r="BL276" s="310"/>
      <c r="BM276" s="544">
        <f t="shared" si="143"/>
        <v>0</v>
      </c>
      <c r="BN276" s="525"/>
      <c r="BO276" s="310"/>
      <c r="BP276" s="310"/>
      <c r="BQ276" s="310"/>
      <c r="BR276" s="310"/>
      <c r="BS276" s="310"/>
      <c r="BT276" s="310"/>
      <c r="BU276" s="544">
        <f t="shared" si="144"/>
        <v>0</v>
      </c>
      <c r="BV276" s="556"/>
      <c r="BW276" s="663">
        <f t="shared" si="175"/>
        <v>1</v>
      </c>
      <c r="BX276" s="1047">
        <f t="shared" ref="BX276:BX339" si="184">BW276/T276</f>
        <v>1</v>
      </c>
      <c r="BY276" s="1047" t="str">
        <f t="shared" si="179"/>
        <v>No Programada</v>
      </c>
      <c r="BZ276" s="1047" t="str">
        <f t="shared" si="180"/>
        <v>No Programada</v>
      </c>
      <c r="CA276" s="1047">
        <f t="shared" si="181"/>
        <v>1</v>
      </c>
      <c r="CB276" s="1047" t="str">
        <f t="shared" si="182"/>
        <v>No Programada</v>
      </c>
      <c r="CD276" t="str">
        <f t="shared" si="183"/>
        <v>NP</v>
      </c>
      <c r="CE276" t="str">
        <f t="shared" si="183"/>
        <v>NP</v>
      </c>
      <c r="CF276" t="str">
        <f t="shared" si="183"/>
        <v>VE</v>
      </c>
      <c r="CG276" t="str">
        <f t="shared" si="183"/>
        <v>NP</v>
      </c>
    </row>
    <row r="277" spans="1:85" ht="84" hidden="1" customHeight="1" x14ac:dyDescent="0.25">
      <c r="A277" s="298" t="s">
        <v>2464</v>
      </c>
      <c r="B277" s="299" t="str">
        <f>'PLAN INDICATIVO'!B277</f>
        <v>Desarrollo Económico/Promoción del desarrollo</v>
      </c>
      <c r="C277" s="1547"/>
      <c r="D277" s="1549"/>
      <c r="E277" s="1549"/>
      <c r="F277" s="1549"/>
      <c r="G277" s="1549"/>
      <c r="H277" s="1549"/>
      <c r="I277" s="300">
        <f>'PLAN INDICATIVO'!I277</f>
        <v>0</v>
      </c>
      <c r="J277" s="300">
        <f>'PLAN INDICATIVO'!J277</f>
        <v>0</v>
      </c>
      <c r="K277" s="1428" t="str">
        <f>'PLAN INDICATIVO'!K277</f>
        <v>A.13.2.4</v>
      </c>
      <c r="L277" s="301" t="str">
        <f>'PLAN INDICATIVO'!L277</f>
        <v>8. Trabajo decente y crecimiento económico</v>
      </c>
      <c r="M277" s="301" t="str">
        <f>'PLAN INDICATIVO'!M277</f>
        <v>Secretaría de Educación, Cultura, deporte y Turismo</v>
      </c>
      <c r="N277" s="1425" t="str">
        <f>'PLAN INDICATIVO'!N277</f>
        <v>YIMI FERNANDO LOSADA PAYA</v>
      </c>
      <c r="O277" s="1425" t="str">
        <f>'PLAN INDICATIVO'!O277</f>
        <v>Incremento</v>
      </c>
      <c r="P277" s="1198" t="str">
        <f>'PLAN INDICATIVO'!P277</f>
        <v>Apoyar 2 proyectos de desarrollo económico que permitan el crecimiento acelerado de las empresas turísticas.</v>
      </c>
      <c r="Q277" s="302" t="str">
        <f>'PLAN INDICATIVO'!Q277</f>
        <v>No. De Proyectos apoyados</v>
      </c>
      <c r="R277" s="303">
        <f>'PLAN INDICATIVO'!R277</f>
        <v>2015</v>
      </c>
      <c r="S277" s="304">
        <v>0</v>
      </c>
      <c r="T277" s="1299">
        <v>2</v>
      </c>
      <c r="U277" s="303"/>
      <c r="V277" s="687"/>
      <c r="W277" s="572"/>
      <c r="X277" s="687"/>
      <c r="Y277" s="1232"/>
      <c r="Z277" s="1233">
        <v>500000</v>
      </c>
      <c r="AA277" s="1310">
        <v>2</v>
      </c>
      <c r="AB277" s="687">
        <v>500000</v>
      </c>
      <c r="AC277" s="665"/>
      <c r="AD277" s="665"/>
      <c r="AE277" s="665"/>
      <c r="AF277" s="665"/>
      <c r="AG277" s="306" t="s">
        <v>4188</v>
      </c>
      <c r="AH277" s="987">
        <v>2018453960022</v>
      </c>
      <c r="AI277" s="1007" t="s">
        <v>4203</v>
      </c>
      <c r="AJ277" s="308"/>
      <c r="AK277" s="308"/>
      <c r="AL277" s="308"/>
      <c r="AM277" s="308"/>
      <c r="AN277" s="267" t="s">
        <v>2594</v>
      </c>
      <c r="AO277" s="507"/>
      <c r="AP277" s="525"/>
      <c r="AQ277" s="310"/>
      <c r="AR277" s="310"/>
      <c r="AS277" s="310"/>
      <c r="AT277" s="310"/>
      <c r="AU277" s="310"/>
      <c r="AV277" s="310"/>
      <c r="AW277" s="544"/>
      <c r="AX277" s="525"/>
      <c r="AY277" s="310"/>
      <c r="AZ277" s="310"/>
      <c r="BA277" s="310"/>
      <c r="BB277" s="310"/>
      <c r="BC277" s="310"/>
      <c r="BD277" s="310"/>
      <c r="BE277" s="544">
        <f t="shared" si="142"/>
        <v>0</v>
      </c>
      <c r="BF277" s="525"/>
      <c r="BG277" s="310"/>
      <c r="BH277" s="310"/>
      <c r="BI277" s="310"/>
      <c r="BJ277" s="310"/>
      <c r="BK277" s="310"/>
      <c r="BL277" s="310"/>
      <c r="BM277" s="544">
        <f t="shared" si="143"/>
        <v>0</v>
      </c>
      <c r="BN277" s="525"/>
      <c r="BO277" s="310"/>
      <c r="BP277" s="310"/>
      <c r="BQ277" s="310"/>
      <c r="BR277" s="310"/>
      <c r="BS277" s="310"/>
      <c r="BT277" s="310"/>
      <c r="BU277" s="544">
        <f t="shared" si="144"/>
        <v>0</v>
      </c>
      <c r="BV277" s="556"/>
      <c r="BW277" s="663">
        <f t="shared" si="175"/>
        <v>0</v>
      </c>
      <c r="BX277" s="1047">
        <f t="shared" si="184"/>
        <v>0</v>
      </c>
      <c r="BY277" s="1047" t="str">
        <f t="shared" si="179"/>
        <v>No Programada</v>
      </c>
      <c r="BZ277" s="1047" t="str">
        <f t="shared" si="180"/>
        <v>No Programada</v>
      </c>
      <c r="CA277" s="1047" t="str">
        <f t="shared" si="180"/>
        <v>No Programada</v>
      </c>
      <c r="CB277" s="1047">
        <f t="shared" si="182"/>
        <v>0</v>
      </c>
      <c r="CD277" t="str">
        <f t="shared" si="183"/>
        <v>NP</v>
      </c>
      <c r="CE277" t="str">
        <f t="shared" si="183"/>
        <v>NP</v>
      </c>
      <c r="CF277" t="str">
        <f t="shared" si="183"/>
        <v>NP</v>
      </c>
      <c r="CG277" t="str">
        <f t="shared" si="183"/>
        <v>ROB</v>
      </c>
    </row>
    <row r="278" spans="1:85" ht="94.5" hidden="1" customHeight="1" x14ac:dyDescent="0.25">
      <c r="A278" s="298" t="s">
        <v>800</v>
      </c>
      <c r="B278" s="299" t="str">
        <f>'PLAN INDICATIVO'!B278</f>
        <v>Desarrollo Económico/Promoción del desarrollo</v>
      </c>
      <c r="C278" s="1547"/>
      <c r="D278" s="1549"/>
      <c r="E278" s="1549"/>
      <c r="F278" s="1549"/>
      <c r="G278" s="1549"/>
      <c r="H278" s="1549"/>
      <c r="I278" s="300">
        <f>'PLAN INDICATIVO'!I278</f>
        <v>0</v>
      </c>
      <c r="J278" s="300">
        <f>'PLAN INDICATIVO'!J278</f>
        <v>0</v>
      </c>
      <c r="K278" s="1428" t="str">
        <f>'PLAN INDICATIVO'!K278</f>
        <v>A.13.2.5</v>
      </c>
      <c r="L278" s="301" t="str">
        <f>'PLAN INDICATIVO'!L278</f>
        <v>8. Trabajo decente y crecimiento económico</v>
      </c>
      <c r="M278" s="301" t="str">
        <f>'PLAN INDICATIVO'!M278</f>
        <v>Secretaría de Educación, Cultura, deporte y Turismo</v>
      </c>
      <c r="N278" s="1425" t="str">
        <f>'PLAN INDICATIVO'!N278</f>
        <v>YIMI FERNANDO LOSADA PAYA</v>
      </c>
      <c r="O278" s="1425" t="str">
        <f>'PLAN INDICATIVO'!O278</f>
        <v>Incremento</v>
      </c>
      <c r="P278" s="16" t="str">
        <f>'PLAN INDICATIVO'!P278</f>
        <v>Implementar 4 proyectos para identificación de los atractivos que requieren intervención y Ejecutar obras para la recuperación y adecuación que permita la atención de público.</v>
      </c>
      <c r="Q278" s="302" t="str">
        <f>'PLAN INDICATIVO'!Q278</f>
        <v>No. De Proyectos implementados</v>
      </c>
      <c r="R278" s="303">
        <f>'PLAN INDICATIVO'!R278</f>
        <v>2015</v>
      </c>
      <c r="S278" s="304">
        <v>0</v>
      </c>
      <c r="T278" s="498">
        <v>4</v>
      </c>
      <c r="U278" s="303"/>
      <c r="V278" s="687">
        <v>500000</v>
      </c>
      <c r="W278" s="572">
        <v>2</v>
      </c>
      <c r="X278" s="687">
        <v>1000000</v>
      </c>
      <c r="Y278" s="1232">
        <v>1</v>
      </c>
      <c r="Z278" s="1233">
        <v>500000</v>
      </c>
      <c r="AA278" s="1310">
        <v>1</v>
      </c>
      <c r="AB278" s="687">
        <v>500000</v>
      </c>
      <c r="AC278" s="665"/>
      <c r="AD278" s="665">
        <v>2</v>
      </c>
      <c r="AE278" s="665">
        <v>1</v>
      </c>
      <c r="AF278" s="665"/>
      <c r="AG278" s="306" t="s">
        <v>4188</v>
      </c>
      <c r="AH278" s="987">
        <v>2018453960022</v>
      </c>
      <c r="AI278" s="1007" t="s">
        <v>4204</v>
      </c>
      <c r="AJ278" s="308" t="s">
        <v>4205</v>
      </c>
      <c r="AK278" s="881">
        <v>43465</v>
      </c>
      <c r="AL278" s="308"/>
      <c r="AM278" s="308"/>
      <c r="AN278" s="267" t="s">
        <v>2598</v>
      </c>
      <c r="AO278" s="507"/>
      <c r="AP278" s="525"/>
      <c r="AQ278" s="310"/>
      <c r="AR278" s="310"/>
      <c r="AS278" s="310"/>
      <c r="AT278" s="310"/>
      <c r="AU278" s="310"/>
      <c r="AV278" s="310"/>
      <c r="AW278" s="544"/>
      <c r="AX278" s="525"/>
      <c r="AY278" s="310"/>
      <c r="AZ278" s="310"/>
      <c r="BA278" s="310"/>
      <c r="BB278" s="310"/>
      <c r="BC278" s="310"/>
      <c r="BD278" s="310"/>
      <c r="BE278" s="544">
        <f t="shared" ref="BE278:BE339" si="185">SUM(AX278:BD278)</f>
        <v>0</v>
      </c>
      <c r="BF278" s="525"/>
      <c r="BG278" s="310"/>
      <c r="BH278" s="310"/>
      <c r="BI278" s="310"/>
      <c r="BJ278" s="310"/>
      <c r="BK278" s="310"/>
      <c r="BL278" s="310"/>
      <c r="BM278" s="544">
        <f t="shared" ref="BM278:BM338" si="186">SUM(BF278:BL278)</f>
        <v>0</v>
      </c>
      <c r="BN278" s="525"/>
      <c r="BO278" s="310"/>
      <c r="BP278" s="310"/>
      <c r="BQ278" s="310"/>
      <c r="BR278" s="310"/>
      <c r="BS278" s="310"/>
      <c r="BT278" s="310"/>
      <c r="BU278" s="544">
        <f t="shared" ref="BU278:BU339" si="187">SUM(BN278:BT278)</f>
        <v>0</v>
      </c>
      <c r="BV278" s="556"/>
      <c r="BW278" s="663">
        <f t="shared" si="175"/>
        <v>3</v>
      </c>
      <c r="BX278" s="1047">
        <f t="shared" si="184"/>
        <v>0.75</v>
      </c>
      <c r="BY278" s="1047" t="str">
        <f t="shared" si="179"/>
        <v>No Programada</v>
      </c>
      <c r="BZ278" s="1047">
        <f t="shared" si="180"/>
        <v>1</v>
      </c>
      <c r="CA278" s="1047">
        <f t="shared" si="181"/>
        <v>1</v>
      </c>
      <c r="CB278" s="1047">
        <f t="shared" si="182"/>
        <v>0</v>
      </c>
      <c r="CD278" t="str">
        <f t="shared" si="183"/>
        <v>NP</v>
      </c>
      <c r="CE278" t="str">
        <f t="shared" si="183"/>
        <v>VE</v>
      </c>
      <c r="CF278" t="str">
        <f t="shared" si="183"/>
        <v>VE</v>
      </c>
      <c r="CG278" t="str">
        <f t="shared" si="183"/>
        <v>ROB</v>
      </c>
    </row>
    <row r="279" spans="1:85" ht="54" hidden="1" customHeight="1" x14ac:dyDescent="0.25">
      <c r="A279" s="298" t="s">
        <v>2458</v>
      </c>
      <c r="B279" s="299" t="str">
        <f>'PLAN INDICATIVO'!B279</f>
        <v>Desarrollo Económico/Promoción del desarrollo</v>
      </c>
      <c r="C279" s="1547"/>
      <c r="D279" s="1549"/>
      <c r="E279" s="1549"/>
      <c r="F279" s="1549"/>
      <c r="G279" s="1549"/>
      <c r="H279" s="1549"/>
      <c r="I279" s="300">
        <f>'PLAN INDICATIVO'!I279</f>
        <v>0</v>
      </c>
      <c r="J279" s="300">
        <f>'PLAN INDICATIVO'!J279</f>
        <v>0</v>
      </c>
      <c r="K279" s="1428" t="str">
        <f>'PLAN INDICATIVO'!K279</f>
        <v>A.13.2.6</v>
      </c>
      <c r="L279" s="301" t="str">
        <f>'PLAN INDICATIVO'!L279</f>
        <v>8. Trabajo decente y crecimiento económico</v>
      </c>
      <c r="M279" s="301" t="str">
        <f>'PLAN INDICATIVO'!M279</f>
        <v>Secretaría de Educación, Cultura, deporte y Turismo</v>
      </c>
      <c r="N279" s="1425" t="str">
        <f>'PLAN INDICATIVO'!N279</f>
        <v>YIMI FERNANDO LOSADA PAYA</v>
      </c>
      <c r="O279" s="1425" t="str">
        <f>'PLAN INDICATIVO'!O279</f>
        <v>Incremento</v>
      </c>
      <c r="P279" s="1198" t="str">
        <f>'PLAN INDICATIVO'!P279</f>
        <v>Realizar la instalación de material informativo de los principales atractivos  y culturales del municipio.</v>
      </c>
      <c r="Q279" s="302" t="str">
        <f>'PLAN INDICATIVO'!Q279</f>
        <v>No. Material informativo instalado</v>
      </c>
      <c r="R279" s="303">
        <f>'PLAN INDICATIVO'!R279</f>
        <v>2015</v>
      </c>
      <c r="S279" s="304">
        <v>0</v>
      </c>
      <c r="T279" s="498">
        <v>1</v>
      </c>
      <c r="U279" s="303"/>
      <c r="V279" s="687"/>
      <c r="W279" s="572"/>
      <c r="X279" s="687"/>
      <c r="Y279" s="1232"/>
      <c r="Z279" s="1233">
        <v>500000</v>
      </c>
      <c r="AA279" s="1310">
        <v>1</v>
      </c>
      <c r="AB279" s="687">
        <v>500000</v>
      </c>
      <c r="AC279" s="665"/>
      <c r="AD279" s="665"/>
      <c r="AE279" s="665"/>
      <c r="AF279" s="665"/>
      <c r="AG279" s="306" t="s">
        <v>4188</v>
      </c>
      <c r="AH279" s="987">
        <v>2018453960022</v>
      </c>
      <c r="AI279" s="1007" t="s">
        <v>4206</v>
      </c>
      <c r="AJ279" s="881">
        <v>43160</v>
      </c>
      <c r="AK279" s="881">
        <v>43465</v>
      </c>
      <c r="AL279" s="308"/>
      <c r="AM279" s="308"/>
      <c r="AN279" s="267" t="s">
        <v>2594</v>
      </c>
      <c r="AO279" s="507"/>
      <c r="AP279" s="525"/>
      <c r="AQ279" s="310"/>
      <c r="AR279" s="310"/>
      <c r="AS279" s="310"/>
      <c r="AT279" s="310"/>
      <c r="AU279" s="310"/>
      <c r="AV279" s="310"/>
      <c r="AW279" s="544"/>
      <c r="AX279" s="525"/>
      <c r="AY279" s="310"/>
      <c r="AZ279" s="310"/>
      <c r="BA279" s="310"/>
      <c r="BB279" s="310"/>
      <c r="BC279" s="310"/>
      <c r="BD279" s="310"/>
      <c r="BE279" s="544">
        <f t="shared" si="185"/>
        <v>0</v>
      </c>
      <c r="BF279" s="525"/>
      <c r="BG279" s="310"/>
      <c r="BH279" s="310"/>
      <c r="BI279" s="310"/>
      <c r="BJ279" s="310"/>
      <c r="BK279" s="310"/>
      <c r="BL279" s="310"/>
      <c r="BM279" s="544">
        <f t="shared" si="186"/>
        <v>0</v>
      </c>
      <c r="BN279" s="525"/>
      <c r="BO279" s="310"/>
      <c r="BP279" s="310"/>
      <c r="BQ279" s="310"/>
      <c r="BR279" s="310"/>
      <c r="BS279" s="310"/>
      <c r="BT279" s="310"/>
      <c r="BU279" s="544">
        <f t="shared" si="187"/>
        <v>0</v>
      </c>
      <c r="BV279" s="556"/>
      <c r="BW279" s="663">
        <f t="shared" si="175"/>
        <v>0</v>
      </c>
      <c r="BX279" s="1047">
        <f t="shared" si="184"/>
        <v>0</v>
      </c>
      <c r="BY279" s="1047" t="str">
        <f t="shared" si="179"/>
        <v>No Programada</v>
      </c>
      <c r="BZ279" s="1047" t="str">
        <f t="shared" si="180"/>
        <v>No Programada</v>
      </c>
      <c r="CA279" s="1047" t="str">
        <f t="shared" si="181"/>
        <v>No Programada</v>
      </c>
      <c r="CB279" s="1047">
        <f t="shared" si="182"/>
        <v>0</v>
      </c>
      <c r="CD279" t="str">
        <f t="shared" si="183"/>
        <v>NP</v>
      </c>
      <c r="CE279" t="str">
        <f t="shared" si="183"/>
        <v>NP</v>
      </c>
      <c r="CF279" t="str">
        <f t="shared" si="183"/>
        <v>NP</v>
      </c>
      <c r="CG279" t="str">
        <f t="shared" si="183"/>
        <v>ROB</v>
      </c>
    </row>
    <row r="280" spans="1:85" ht="63.75" hidden="1" customHeight="1" x14ac:dyDescent="0.25">
      <c r="A280" s="298" t="s">
        <v>2464</v>
      </c>
      <c r="B280" s="299" t="str">
        <f>'PLAN INDICATIVO'!B280</f>
        <v>Desarrollo Económico/Promoción del desarrollo</v>
      </c>
      <c r="C280" s="1547"/>
      <c r="D280" s="1549"/>
      <c r="E280" s="1549"/>
      <c r="F280" s="1549"/>
      <c r="G280" s="1549"/>
      <c r="H280" s="1549"/>
      <c r="I280" s="300">
        <f>'PLAN INDICATIVO'!I280</f>
        <v>0</v>
      </c>
      <c r="J280" s="300">
        <f>'PLAN INDICATIVO'!J280</f>
        <v>0</v>
      </c>
      <c r="K280" s="1428" t="str">
        <f>'PLAN INDICATIVO'!K280</f>
        <v>A.13.2.7</v>
      </c>
      <c r="L280" s="301" t="str">
        <f>'PLAN INDICATIVO'!L280</f>
        <v>8. Trabajo decente y crecimiento económico</v>
      </c>
      <c r="M280" s="301" t="str">
        <f>'PLAN INDICATIVO'!M280</f>
        <v>Secretaría de Educación, Cultura, deporte y Turismo</v>
      </c>
      <c r="N280" s="1425" t="str">
        <f>'PLAN INDICATIVO'!N280</f>
        <v>YIMI FERNANDO LOSADA PAYA</v>
      </c>
      <c r="O280" s="1425" t="str">
        <f>'PLAN INDICATIVO'!O280</f>
        <v>Incremento</v>
      </c>
      <c r="P280" s="16" t="str">
        <f>'PLAN INDICATIVO'!P280</f>
        <v>Apoyar 2 proyectos de desarrollo turístico con capital semilla a nuevas empresas que por su nivel de innovación sean merecedoras de tal beneficio, durante el cuatrienio</v>
      </c>
      <c r="Q280" s="302" t="str">
        <f>'PLAN INDICATIVO'!Q280</f>
        <v>No. Proyectos apoyados</v>
      </c>
      <c r="R280" s="303">
        <f>'PLAN INDICATIVO'!R280</f>
        <v>2015</v>
      </c>
      <c r="S280" s="304">
        <v>0</v>
      </c>
      <c r="T280" s="498">
        <v>2</v>
      </c>
      <c r="U280" s="303"/>
      <c r="V280" s="687"/>
      <c r="W280" s="572"/>
      <c r="X280" s="687"/>
      <c r="Y280" s="1232"/>
      <c r="Z280" s="1233">
        <v>500000</v>
      </c>
      <c r="AA280" s="1310">
        <v>2</v>
      </c>
      <c r="AB280" s="687">
        <v>500000</v>
      </c>
      <c r="AC280" s="665"/>
      <c r="AD280" s="665"/>
      <c r="AE280" s="665"/>
      <c r="AF280" s="665"/>
      <c r="AG280" s="306" t="s">
        <v>4188</v>
      </c>
      <c r="AH280" s="987">
        <v>2018453960022</v>
      </c>
      <c r="AI280" s="1007" t="s">
        <v>4207</v>
      </c>
      <c r="AJ280" s="308"/>
      <c r="AK280" s="308"/>
      <c r="AL280" s="308"/>
      <c r="AM280" s="308"/>
      <c r="AN280" s="267" t="s">
        <v>2594</v>
      </c>
      <c r="AO280" s="507"/>
      <c r="AP280" s="525"/>
      <c r="AQ280" s="310"/>
      <c r="AR280" s="310"/>
      <c r="AS280" s="310"/>
      <c r="AT280" s="310"/>
      <c r="AU280" s="310"/>
      <c r="AV280" s="310"/>
      <c r="AW280" s="544"/>
      <c r="AX280" s="525"/>
      <c r="AY280" s="310"/>
      <c r="AZ280" s="310"/>
      <c r="BA280" s="310"/>
      <c r="BB280" s="310"/>
      <c r="BC280" s="310"/>
      <c r="BD280" s="310"/>
      <c r="BE280" s="544">
        <f t="shared" si="185"/>
        <v>0</v>
      </c>
      <c r="BF280" s="525"/>
      <c r="BG280" s="310"/>
      <c r="BH280" s="310"/>
      <c r="BI280" s="310"/>
      <c r="BJ280" s="310"/>
      <c r="BK280" s="310"/>
      <c r="BL280" s="310"/>
      <c r="BM280" s="544">
        <f t="shared" si="186"/>
        <v>0</v>
      </c>
      <c r="BN280" s="525"/>
      <c r="BO280" s="310"/>
      <c r="BP280" s="310"/>
      <c r="BQ280" s="310"/>
      <c r="BR280" s="310"/>
      <c r="BS280" s="310"/>
      <c r="BT280" s="310"/>
      <c r="BU280" s="544">
        <f t="shared" si="187"/>
        <v>0</v>
      </c>
      <c r="BV280" s="556"/>
      <c r="BW280" s="663">
        <f t="shared" si="175"/>
        <v>0</v>
      </c>
      <c r="BX280" s="1047">
        <f t="shared" si="184"/>
        <v>0</v>
      </c>
      <c r="BY280" s="1047" t="str">
        <f t="shared" si="179"/>
        <v>No Programada</v>
      </c>
      <c r="BZ280" s="1047" t="str">
        <f t="shared" si="180"/>
        <v>No Programada</v>
      </c>
      <c r="CA280" s="1047" t="str">
        <f t="shared" si="181"/>
        <v>No Programada</v>
      </c>
      <c r="CB280" s="1047">
        <f t="shared" si="182"/>
        <v>0</v>
      </c>
      <c r="CD280" t="str">
        <f t="shared" si="183"/>
        <v>NP</v>
      </c>
      <c r="CE280" t="str">
        <f t="shared" si="183"/>
        <v>NP</v>
      </c>
      <c r="CF280" t="str">
        <f t="shared" si="183"/>
        <v>NP</v>
      </c>
      <c r="CG280" t="str">
        <f t="shared" si="183"/>
        <v>ROB</v>
      </c>
    </row>
    <row r="281" spans="1:85" ht="75.75" hidden="1" customHeight="1" x14ac:dyDescent="0.25">
      <c r="A281" s="298" t="s">
        <v>800</v>
      </c>
      <c r="B281" s="299" t="str">
        <f>'PLAN INDICATIVO'!B281</f>
        <v>Desarrollo Económico/Promoción del desarrollo</v>
      </c>
      <c r="C281" s="1547"/>
      <c r="D281" s="1549"/>
      <c r="E281" s="1549"/>
      <c r="F281" s="1549"/>
      <c r="G281" s="1549"/>
      <c r="H281" s="1549"/>
      <c r="I281" s="300">
        <f>'PLAN INDICATIVO'!I281</f>
        <v>0</v>
      </c>
      <c r="J281" s="300">
        <f>'PLAN INDICATIVO'!J281</f>
        <v>0</v>
      </c>
      <c r="K281" s="1428" t="str">
        <f>'PLAN INDICATIVO'!K281</f>
        <v>A.13.2.8</v>
      </c>
      <c r="L281" s="301" t="str">
        <f>'PLAN INDICATIVO'!L281</f>
        <v>8. Trabajo decente y crecimiento económico</v>
      </c>
      <c r="M281" s="301" t="str">
        <f>'PLAN INDICATIVO'!M281</f>
        <v>Secretaría de Educación, Cultura, deporte y Turismo</v>
      </c>
      <c r="N281" s="1425" t="str">
        <f>'PLAN INDICATIVO'!N281</f>
        <v>YIMI FERNANDO LOSADA PAYA</v>
      </c>
      <c r="O281" s="1425" t="str">
        <f>'PLAN INDICATIVO'!O281</f>
        <v>Incremento</v>
      </c>
      <c r="P281" s="16" t="str">
        <f>'PLAN INDICATIVO'!P281</f>
        <v>Formular 2 proyectos durante el cuatrienio para buscar apoyo económico que permitan la creación de nuevas empresas.</v>
      </c>
      <c r="Q281" s="302" t="str">
        <f>'PLAN INDICATIVO'!Q281</f>
        <v>No. Proyectos formulados</v>
      </c>
      <c r="R281" s="303">
        <f>'PLAN INDICATIVO'!R281</f>
        <v>2015</v>
      </c>
      <c r="S281" s="304">
        <v>0</v>
      </c>
      <c r="T281" s="498">
        <v>2</v>
      </c>
      <c r="U281" s="303"/>
      <c r="V281" s="687"/>
      <c r="W281" s="572"/>
      <c r="X281" s="687"/>
      <c r="Y281" s="1232"/>
      <c r="Z281" s="1233">
        <v>500000</v>
      </c>
      <c r="AA281" s="1310">
        <v>2</v>
      </c>
      <c r="AB281" s="687">
        <v>500000</v>
      </c>
      <c r="AC281" s="665"/>
      <c r="AD281" s="665"/>
      <c r="AE281" s="665"/>
      <c r="AF281" s="665"/>
      <c r="AG281" s="306" t="s">
        <v>4188</v>
      </c>
      <c r="AH281" s="987">
        <v>2018453960022</v>
      </c>
      <c r="AI281" s="1007" t="s">
        <v>4208</v>
      </c>
      <c r="AJ281" s="308"/>
      <c r="AK281" s="308"/>
      <c r="AL281" s="308"/>
      <c r="AM281" s="308"/>
      <c r="AN281" s="267" t="s">
        <v>2594</v>
      </c>
      <c r="AO281" s="507"/>
      <c r="AP281" s="525"/>
      <c r="AQ281" s="310"/>
      <c r="AR281" s="310"/>
      <c r="AS281" s="310"/>
      <c r="AT281" s="310"/>
      <c r="AU281" s="310"/>
      <c r="AV281" s="310"/>
      <c r="AW281" s="544"/>
      <c r="AX281" s="525"/>
      <c r="AY281" s="310"/>
      <c r="AZ281" s="310"/>
      <c r="BA281" s="310"/>
      <c r="BB281" s="310"/>
      <c r="BC281" s="310"/>
      <c r="BD281" s="310"/>
      <c r="BE281" s="544">
        <f t="shared" si="185"/>
        <v>0</v>
      </c>
      <c r="BF281" s="525"/>
      <c r="BG281" s="310"/>
      <c r="BH281" s="310"/>
      <c r="BI281" s="310"/>
      <c r="BJ281" s="310"/>
      <c r="BK281" s="310"/>
      <c r="BL281" s="310"/>
      <c r="BM281" s="544">
        <f t="shared" si="186"/>
        <v>0</v>
      </c>
      <c r="BN281" s="525"/>
      <c r="BO281" s="310"/>
      <c r="BP281" s="310"/>
      <c r="BQ281" s="310"/>
      <c r="BR281" s="310"/>
      <c r="BS281" s="310"/>
      <c r="BT281" s="310"/>
      <c r="BU281" s="544">
        <f t="shared" si="187"/>
        <v>0</v>
      </c>
      <c r="BV281" s="556"/>
      <c r="BW281" s="663">
        <f t="shared" si="175"/>
        <v>0</v>
      </c>
      <c r="BX281" s="1047">
        <f t="shared" si="184"/>
        <v>0</v>
      </c>
      <c r="BY281" s="1047" t="str">
        <f t="shared" si="179"/>
        <v>No Programada</v>
      </c>
      <c r="BZ281" s="1047" t="str">
        <f t="shared" si="180"/>
        <v>No Programada</v>
      </c>
      <c r="CA281" s="1047" t="str">
        <f t="shared" si="181"/>
        <v>No Programada</v>
      </c>
      <c r="CB281" s="1047">
        <f t="shared" si="182"/>
        <v>0</v>
      </c>
      <c r="CD281" t="str">
        <f t="shared" si="183"/>
        <v>NP</v>
      </c>
      <c r="CE281" t="str">
        <f t="shared" si="183"/>
        <v>NP</v>
      </c>
      <c r="CF281" t="str">
        <f t="shared" si="183"/>
        <v>NP</v>
      </c>
      <c r="CG281" t="str">
        <f t="shared" si="183"/>
        <v>ROB</v>
      </c>
    </row>
    <row r="282" spans="1:85" ht="84" hidden="1" customHeight="1" x14ac:dyDescent="0.25">
      <c r="A282" s="298" t="s">
        <v>800</v>
      </c>
      <c r="B282" s="299" t="str">
        <f>'PLAN INDICATIVO'!B282</f>
        <v>Desarrollo Económico/Promoción del desarrollo</v>
      </c>
      <c r="C282" s="1547"/>
      <c r="D282" s="1549"/>
      <c r="E282" s="1549"/>
      <c r="F282" s="1549"/>
      <c r="G282" s="1549"/>
      <c r="H282" s="1549"/>
      <c r="I282" s="300">
        <f>'PLAN INDICATIVO'!I282</f>
        <v>0</v>
      </c>
      <c r="J282" s="300">
        <f>'PLAN INDICATIVO'!J282</f>
        <v>0</v>
      </c>
      <c r="K282" s="1428" t="str">
        <f>'PLAN INDICATIVO'!K282</f>
        <v>A.13.2.9</v>
      </c>
      <c r="L282" s="301" t="str">
        <f>'PLAN INDICATIVO'!L282</f>
        <v>8. Trabajo decente y crecimiento económico</v>
      </c>
      <c r="M282" s="301" t="str">
        <f>'PLAN INDICATIVO'!M282</f>
        <v>Secretaría de Educación, Cultura, deporte y Turismo</v>
      </c>
      <c r="N282" s="1425" t="str">
        <f>'PLAN INDICATIVO'!N282</f>
        <v>YIMI FERNANDO LOSADA PAYA</v>
      </c>
      <c r="O282" s="1425" t="str">
        <f>'PLAN INDICATIVO'!O282</f>
        <v>Incremento</v>
      </c>
      <c r="P282" s="16" t="str">
        <f>'PLAN INDICATIVO'!P282</f>
        <v>Crear 1 documento de cátedra plateña durante el cuatrienio, que permita a los pobladores conocer sobre los recursos, atractivos y actividades turísticas y culturales del Municipio.</v>
      </c>
      <c r="Q282" s="302" t="str">
        <f>'PLAN INDICATIVO'!Q282</f>
        <v>No. Documento creado</v>
      </c>
      <c r="R282" s="303">
        <f>'PLAN INDICATIVO'!R282</f>
        <v>2015</v>
      </c>
      <c r="S282" s="304">
        <v>0</v>
      </c>
      <c r="T282" s="498">
        <v>1</v>
      </c>
      <c r="U282" s="303"/>
      <c r="V282" s="687">
        <v>1500000</v>
      </c>
      <c r="W282" s="572">
        <v>0.33</v>
      </c>
      <c r="X282" s="687">
        <v>1000000</v>
      </c>
      <c r="Y282" s="1232"/>
      <c r="Z282" s="1233">
        <v>500000</v>
      </c>
      <c r="AA282" s="1310">
        <v>0.34</v>
      </c>
      <c r="AB282" s="687">
        <v>500000</v>
      </c>
      <c r="AC282" s="665"/>
      <c r="AD282" s="665">
        <v>0.33</v>
      </c>
      <c r="AE282" s="665">
        <v>0.33</v>
      </c>
      <c r="AF282" s="665"/>
      <c r="AG282" s="306" t="s">
        <v>4188</v>
      </c>
      <c r="AH282" s="987">
        <v>2018453960022</v>
      </c>
      <c r="AI282" s="1007" t="s">
        <v>4209</v>
      </c>
      <c r="AJ282" s="309"/>
      <c r="AK282" s="309"/>
      <c r="AL282" s="308"/>
      <c r="AM282" s="308"/>
      <c r="AN282" s="267" t="s">
        <v>2598</v>
      </c>
      <c r="AO282" s="507" t="s">
        <v>2635</v>
      </c>
      <c r="AP282" s="525"/>
      <c r="AQ282" s="310"/>
      <c r="AR282" s="310"/>
      <c r="AS282" s="310"/>
      <c r="AT282" s="310"/>
      <c r="AU282" s="310"/>
      <c r="AV282" s="310"/>
      <c r="AW282" s="544"/>
      <c r="AX282" s="525"/>
      <c r="AY282" s="310"/>
      <c r="AZ282" s="310"/>
      <c r="BA282" s="310"/>
      <c r="BB282" s="310"/>
      <c r="BC282" s="310"/>
      <c r="BD282" s="310"/>
      <c r="BE282" s="544">
        <f t="shared" si="185"/>
        <v>0</v>
      </c>
      <c r="BF282" s="525"/>
      <c r="BG282" s="310"/>
      <c r="BH282" s="310"/>
      <c r="BI282" s="310"/>
      <c r="BJ282" s="310"/>
      <c r="BK282" s="310"/>
      <c r="BL282" s="310">
        <v>500000</v>
      </c>
      <c r="BM282" s="544">
        <f t="shared" si="186"/>
        <v>500000</v>
      </c>
      <c r="BN282" s="525"/>
      <c r="BO282" s="310"/>
      <c r="BP282" s="310"/>
      <c r="BQ282" s="310"/>
      <c r="BR282" s="310"/>
      <c r="BS282" s="310"/>
      <c r="BT282" s="310"/>
      <c r="BU282" s="544">
        <f t="shared" si="187"/>
        <v>0</v>
      </c>
      <c r="BV282" s="556"/>
      <c r="BW282" s="663">
        <f t="shared" si="175"/>
        <v>0.66</v>
      </c>
      <c r="BX282" s="1047">
        <f t="shared" si="184"/>
        <v>0.66</v>
      </c>
      <c r="BY282" s="1047" t="str">
        <f t="shared" si="179"/>
        <v>No Programada</v>
      </c>
      <c r="BZ282" s="1047">
        <f t="shared" si="180"/>
        <v>1</v>
      </c>
      <c r="CA282" s="1047" t="str">
        <f t="shared" si="181"/>
        <v>No Programada</v>
      </c>
      <c r="CB282" s="1047">
        <f t="shared" si="182"/>
        <v>0</v>
      </c>
      <c r="CD282" t="str">
        <f t="shared" si="183"/>
        <v>NP</v>
      </c>
      <c r="CE282" t="str">
        <f t="shared" si="183"/>
        <v>VE</v>
      </c>
      <c r="CF282" t="str">
        <f t="shared" si="183"/>
        <v>NP</v>
      </c>
      <c r="CG282" t="str">
        <f t="shared" si="183"/>
        <v>ROB</v>
      </c>
    </row>
    <row r="283" spans="1:85" ht="77.25" hidden="1" customHeight="1" x14ac:dyDescent="0.25">
      <c r="A283" s="298" t="s">
        <v>800</v>
      </c>
      <c r="B283" s="299" t="str">
        <f>'PLAN INDICATIVO'!B283</f>
        <v>Desarrollo Económico/Promoción del desarrollo</v>
      </c>
      <c r="C283" s="1547"/>
      <c r="D283" s="1549"/>
      <c r="E283" s="1549"/>
      <c r="F283" s="1549"/>
      <c r="G283" s="1549"/>
      <c r="H283" s="1549"/>
      <c r="I283" s="300">
        <f>'PLAN INDICATIVO'!I283</f>
        <v>0</v>
      </c>
      <c r="J283" s="300">
        <f>'PLAN INDICATIVO'!J283</f>
        <v>0</v>
      </c>
      <c r="K283" s="1428" t="str">
        <f>'PLAN INDICATIVO'!K283</f>
        <v>A.13.2.10</v>
      </c>
      <c r="L283" s="301" t="str">
        <f>'PLAN INDICATIVO'!L283</f>
        <v>8. Trabajo decente y crecimiento económico</v>
      </c>
      <c r="M283" s="301" t="str">
        <f>'PLAN INDICATIVO'!M283</f>
        <v>Secretaría de Educación, Cultura, deporte y Turismo</v>
      </c>
      <c r="N283" s="1425" t="str">
        <f>'PLAN INDICATIVO'!N283</f>
        <v>YIMI FERNANDO LOSADA PAYA</v>
      </c>
      <c r="O283" s="1425" t="str">
        <f>'PLAN INDICATIVO'!O283</f>
        <v>Incremento</v>
      </c>
      <c r="P283" s="16" t="str">
        <f>'PLAN INDICATIVO'!P283</f>
        <v>Realizar 4 mingas comunitarias destinadas a la protección y conservación del patrimonio turístico del municipio</v>
      </c>
      <c r="Q283" s="302" t="str">
        <f>'PLAN INDICATIVO'!Q283</f>
        <v>No. de mingas realizadas</v>
      </c>
      <c r="R283" s="303">
        <f>'PLAN INDICATIVO'!R283</f>
        <v>2015</v>
      </c>
      <c r="S283" s="304">
        <v>0</v>
      </c>
      <c r="T283" s="498">
        <v>4</v>
      </c>
      <c r="U283" s="303">
        <v>1</v>
      </c>
      <c r="V283" s="687">
        <v>500000</v>
      </c>
      <c r="W283" s="572">
        <v>1</v>
      </c>
      <c r="X283" s="687">
        <v>1000000</v>
      </c>
      <c r="Y283" s="1232">
        <v>1</v>
      </c>
      <c r="Z283" s="1233">
        <v>500000</v>
      </c>
      <c r="AA283" s="1310">
        <v>1.5</v>
      </c>
      <c r="AB283" s="687">
        <v>500000</v>
      </c>
      <c r="AC283" s="665">
        <v>1</v>
      </c>
      <c r="AD283" s="665">
        <v>1</v>
      </c>
      <c r="AE283" s="665">
        <v>0.5</v>
      </c>
      <c r="AF283" s="665"/>
      <c r="AG283" s="306" t="s">
        <v>4188</v>
      </c>
      <c r="AH283" s="987">
        <v>2018453960022</v>
      </c>
      <c r="AI283" s="1007" t="s">
        <v>4210</v>
      </c>
      <c r="AJ283" s="309">
        <v>43189</v>
      </c>
      <c r="AK283" s="309">
        <v>43434</v>
      </c>
      <c r="AL283" s="308"/>
      <c r="AM283" s="308"/>
      <c r="AN283" s="267" t="s">
        <v>2604</v>
      </c>
      <c r="AO283" s="507" t="s">
        <v>2635</v>
      </c>
      <c r="AP283" s="310"/>
      <c r="AQ283" s="310"/>
      <c r="AR283" s="310"/>
      <c r="AS283" s="310"/>
      <c r="AT283" s="310"/>
      <c r="AU283" s="310"/>
      <c r="AV283" s="310"/>
      <c r="AW283" s="544"/>
      <c r="AX283" s="525"/>
      <c r="AY283" s="310"/>
      <c r="AZ283" s="310"/>
      <c r="BA283" s="310"/>
      <c r="BB283" s="310"/>
      <c r="BC283" s="310"/>
      <c r="BD283" s="310"/>
      <c r="BE283" s="544">
        <f t="shared" si="185"/>
        <v>0</v>
      </c>
      <c r="BF283" s="525"/>
      <c r="BG283" s="310"/>
      <c r="BH283" s="310"/>
      <c r="BI283" s="310"/>
      <c r="BJ283" s="310"/>
      <c r="BK283" s="310"/>
      <c r="BL283" s="310">
        <v>700000</v>
      </c>
      <c r="BM283" s="544">
        <f t="shared" si="186"/>
        <v>700000</v>
      </c>
      <c r="BN283" s="525"/>
      <c r="BO283" s="310"/>
      <c r="BP283" s="310"/>
      <c r="BQ283" s="310"/>
      <c r="BR283" s="310"/>
      <c r="BS283" s="310"/>
      <c r="BT283" s="310"/>
      <c r="BU283" s="544">
        <f t="shared" si="187"/>
        <v>0</v>
      </c>
      <c r="BV283" s="556"/>
      <c r="BW283" s="663">
        <f t="shared" si="175"/>
        <v>2.5</v>
      </c>
      <c r="BX283" s="1047">
        <f t="shared" si="184"/>
        <v>0.625</v>
      </c>
      <c r="BY283" s="1047">
        <f t="shared" si="179"/>
        <v>1</v>
      </c>
      <c r="BZ283" s="1047">
        <f t="shared" si="180"/>
        <v>1</v>
      </c>
      <c r="CA283" s="1047">
        <f t="shared" si="181"/>
        <v>0.5</v>
      </c>
      <c r="CB283" s="1047">
        <f t="shared" si="182"/>
        <v>0</v>
      </c>
      <c r="CD283" t="str">
        <f t="shared" si="183"/>
        <v>VE</v>
      </c>
      <c r="CE283" t="str">
        <f t="shared" si="183"/>
        <v>VE</v>
      </c>
      <c r="CF283" t="str">
        <f t="shared" si="183"/>
        <v>AMB</v>
      </c>
      <c r="CG283" t="str">
        <f t="shared" si="183"/>
        <v>ROB</v>
      </c>
    </row>
    <row r="284" spans="1:85" ht="77.25" hidden="1" customHeight="1" x14ac:dyDescent="0.25">
      <c r="A284" s="298" t="s">
        <v>800</v>
      </c>
      <c r="B284" s="299" t="str">
        <f>'PLAN INDICATIVO'!B284</f>
        <v>Desarrollo Económico/Promoción del desarrollo</v>
      </c>
      <c r="C284" s="1547"/>
      <c r="D284" s="1549"/>
      <c r="E284" s="1549"/>
      <c r="F284" s="1549"/>
      <c r="G284" s="1549"/>
      <c r="H284" s="1549"/>
      <c r="I284" s="300">
        <f>'PLAN INDICATIVO'!I284</f>
        <v>0</v>
      </c>
      <c r="J284" s="300">
        <f>'PLAN INDICATIVO'!J284</f>
        <v>0</v>
      </c>
      <c r="K284" s="1428" t="str">
        <f>'PLAN INDICATIVO'!K284</f>
        <v>A.13.2.11</v>
      </c>
      <c r="L284" s="301" t="str">
        <f>'PLAN INDICATIVO'!L284</f>
        <v>8. Trabajo decente y crecimiento económico</v>
      </c>
      <c r="M284" s="301" t="str">
        <f>'PLAN INDICATIVO'!M284</f>
        <v>Secretaría de Educación, Cultura, deporte y Turismo</v>
      </c>
      <c r="N284" s="1425" t="str">
        <f>'PLAN INDICATIVO'!N284</f>
        <v>YIMI FERNANDO LOSADA PAYA</v>
      </c>
      <c r="O284" s="1425" t="str">
        <f>'PLAN INDICATIVO'!O284</f>
        <v>Incremento</v>
      </c>
      <c r="P284" s="16" t="str">
        <f>'PLAN INDICATIVO'!P284</f>
        <v>Capacitar a 60  actores del sector turístico, en  estrategias de marketing relacional, social marketing y branding, durante el cuatrienio</v>
      </c>
      <c r="Q284" s="302" t="str">
        <f>'PLAN INDICATIVO'!Q284</f>
        <v>No. de  actores capacitados</v>
      </c>
      <c r="R284" s="303">
        <f>'PLAN INDICATIVO'!R284</f>
        <v>2015</v>
      </c>
      <c r="S284" s="304">
        <v>0</v>
      </c>
      <c r="T284" s="498">
        <v>60</v>
      </c>
      <c r="U284" s="303"/>
      <c r="V284" s="687">
        <v>500000</v>
      </c>
      <c r="W284" s="572">
        <v>30</v>
      </c>
      <c r="X284" s="687">
        <v>1000000</v>
      </c>
      <c r="Y284" s="1232"/>
      <c r="Z284" s="1233">
        <v>4500000</v>
      </c>
      <c r="AA284" s="1310"/>
      <c r="AB284" s="687">
        <v>5000000</v>
      </c>
      <c r="AC284" s="665"/>
      <c r="AD284" s="665">
        <v>60</v>
      </c>
      <c r="AE284" s="665">
        <v>30</v>
      </c>
      <c r="AF284" s="665"/>
      <c r="AG284" s="306" t="s">
        <v>4188</v>
      </c>
      <c r="AH284" s="987">
        <v>2018453960022</v>
      </c>
      <c r="AI284" s="1007" t="s">
        <v>4211</v>
      </c>
      <c r="AJ284" s="309">
        <v>43189</v>
      </c>
      <c r="AK284" s="309">
        <v>43434</v>
      </c>
      <c r="AL284" s="308"/>
      <c r="AM284" s="308"/>
      <c r="AN284" s="267" t="s">
        <v>2598</v>
      </c>
      <c r="AO284" s="507" t="s">
        <v>2635</v>
      </c>
      <c r="AP284" s="525"/>
      <c r="AQ284" s="310"/>
      <c r="AR284" s="310"/>
      <c r="AS284" s="310"/>
      <c r="AT284" s="310"/>
      <c r="AU284" s="310"/>
      <c r="AV284" s="310"/>
      <c r="AW284" s="544"/>
      <c r="AX284" s="525"/>
      <c r="AY284" s="310"/>
      <c r="AZ284" s="310"/>
      <c r="BA284" s="310"/>
      <c r="BB284" s="310"/>
      <c r="BC284" s="310"/>
      <c r="BD284" s="310"/>
      <c r="BE284" s="544">
        <f t="shared" si="185"/>
        <v>0</v>
      </c>
      <c r="BF284" s="525"/>
      <c r="BG284" s="310"/>
      <c r="BH284" s="310"/>
      <c r="BI284" s="310"/>
      <c r="BJ284" s="310"/>
      <c r="BK284" s="310"/>
      <c r="BL284" s="310">
        <v>500000</v>
      </c>
      <c r="BM284" s="544">
        <f t="shared" si="186"/>
        <v>500000</v>
      </c>
      <c r="BN284" s="525"/>
      <c r="BO284" s="310"/>
      <c r="BP284" s="310"/>
      <c r="BQ284" s="310"/>
      <c r="BR284" s="310"/>
      <c r="BS284" s="310"/>
      <c r="BT284" s="310"/>
      <c r="BU284" s="544">
        <f t="shared" si="187"/>
        <v>0</v>
      </c>
      <c r="BV284" s="556"/>
      <c r="BW284" s="663">
        <f t="shared" si="175"/>
        <v>90</v>
      </c>
      <c r="BX284" s="1047">
        <f t="shared" si="184"/>
        <v>1.5</v>
      </c>
      <c r="BY284" s="1047" t="str">
        <f t="shared" si="179"/>
        <v>No Programada</v>
      </c>
      <c r="BZ284" s="1047">
        <f t="shared" si="180"/>
        <v>2</v>
      </c>
      <c r="CA284" s="1047" t="str">
        <f t="shared" si="181"/>
        <v>No Programada</v>
      </c>
      <c r="CB284" s="1047" t="str">
        <f t="shared" si="182"/>
        <v>No Programada</v>
      </c>
      <c r="CD284" t="str">
        <f t="shared" si="183"/>
        <v>NP</v>
      </c>
      <c r="CE284" t="str">
        <f t="shared" si="183"/>
        <v>VE</v>
      </c>
      <c r="CF284" t="str">
        <f t="shared" si="183"/>
        <v>NP</v>
      </c>
      <c r="CG284" t="str">
        <f t="shared" si="183"/>
        <v>NP</v>
      </c>
    </row>
    <row r="285" spans="1:85" ht="114.75" hidden="1" customHeight="1" x14ac:dyDescent="0.25">
      <c r="A285" s="298" t="s">
        <v>800</v>
      </c>
      <c r="B285" s="299" t="str">
        <f>'PLAN INDICATIVO'!B285</f>
        <v>Desarrollo Económico/Promoción del desarrollo</v>
      </c>
      <c r="C285" s="1548"/>
      <c r="D285" s="1549"/>
      <c r="E285" s="1549"/>
      <c r="F285" s="1549"/>
      <c r="G285" s="1549"/>
      <c r="H285" s="1549"/>
      <c r="I285" s="300">
        <f>'PLAN INDICATIVO'!I285</f>
        <v>0</v>
      </c>
      <c r="J285" s="300">
        <f>'PLAN INDICATIVO'!J285</f>
        <v>0</v>
      </c>
      <c r="K285" s="1428" t="str">
        <f>'PLAN INDICATIVO'!K285</f>
        <v>A.13.2.12</v>
      </c>
      <c r="L285" s="301" t="str">
        <f>'PLAN INDICATIVO'!L285</f>
        <v>8. Trabajo decente y crecimiento económico</v>
      </c>
      <c r="M285" s="301" t="str">
        <f>'PLAN INDICATIVO'!M285</f>
        <v>Secretaría de Educación, Cultura, deporte y Turismo</v>
      </c>
      <c r="N285" s="1425" t="str">
        <f>'PLAN INDICATIVO'!N285</f>
        <v>YIMI FERNANDO LOSADA PAYA</v>
      </c>
      <c r="O285" s="1425" t="str">
        <f>'PLAN INDICATIVO'!O285</f>
        <v>Mantenimiento</v>
      </c>
      <c r="P285" s="16" t="str">
        <f>'PLAN INDICATIVO'!P285</f>
        <v>Realizar 1 Diseño de formas tradicionales de promoción, tales como revistas, página WEB, participación en ferias y eventos, ruedas de negocios y misiones o fam trips, entre otros</v>
      </c>
      <c r="Q285" s="302" t="str">
        <f>'PLAN INDICATIVO'!Q285</f>
        <v>No. De Diseño de promoción creado</v>
      </c>
      <c r="R285" s="303">
        <f>'PLAN INDICATIVO'!R285</f>
        <v>2015</v>
      </c>
      <c r="S285" s="304">
        <v>0</v>
      </c>
      <c r="T285" s="498">
        <v>1</v>
      </c>
      <c r="U285" s="303"/>
      <c r="V285" s="687">
        <v>500000</v>
      </c>
      <c r="W285" s="572">
        <v>0.33</v>
      </c>
      <c r="X285" s="687">
        <v>1000000</v>
      </c>
      <c r="Y285" s="572">
        <v>0.33</v>
      </c>
      <c r="Z285" s="687">
        <v>500000</v>
      </c>
      <c r="AA285" s="1310">
        <v>0.34</v>
      </c>
      <c r="AB285" s="687">
        <v>500000</v>
      </c>
      <c r="AC285" s="665"/>
      <c r="AD285" s="665">
        <v>0.33</v>
      </c>
      <c r="AE285" s="665">
        <v>0.33</v>
      </c>
      <c r="AF285" s="665"/>
      <c r="AG285" s="306" t="s">
        <v>4188</v>
      </c>
      <c r="AH285" s="987">
        <v>2018453960022</v>
      </c>
      <c r="AI285" s="1007" t="s">
        <v>4212</v>
      </c>
      <c r="AJ285" s="309">
        <v>43189</v>
      </c>
      <c r="AK285" s="309">
        <v>43434</v>
      </c>
      <c r="AL285" s="308"/>
      <c r="AM285" s="308"/>
      <c r="AN285" s="267" t="s">
        <v>2598</v>
      </c>
      <c r="AO285" s="507"/>
      <c r="AP285" s="525"/>
      <c r="AQ285" s="310"/>
      <c r="AR285" s="310"/>
      <c r="AS285" s="310"/>
      <c r="AT285" s="310"/>
      <c r="AU285" s="310"/>
      <c r="AV285" s="310"/>
      <c r="AW285" s="544"/>
      <c r="AX285" s="525"/>
      <c r="AY285" s="310"/>
      <c r="AZ285" s="310"/>
      <c r="BA285" s="310"/>
      <c r="BB285" s="310"/>
      <c r="BC285" s="310"/>
      <c r="BD285" s="310"/>
      <c r="BE285" s="544">
        <f t="shared" si="185"/>
        <v>0</v>
      </c>
      <c r="BF285" s="525"/>
      <c r="BG285" s="310"/>
      <c r="BH285" s="310"/>
      <c r="BI285" s="310"/>
      <c r="BJ285" s="310"/>
      <c r="BK285" s="310"/>
      <c r="BL285" s="310"/>
      <c r="BM285" s="544">
        <f t="shared" si="186"/>
        <v>0</v>
      </c>
      <c r="BN285" s="525"/>
      <c r="BO285" s="310"/>
      <c r="BP285" s="310"/>
      <c r="BQ285" s="310"/>
      <c r="BR285" s="310"/>
      <c r="BS285" s="310"/>
      <c r="BT285" s="310"/>
      <c r="BU285" s="544">
        <f t="shared" si="187"/>
        <v>0</v>
      </c>
      <c r="BV285" s="556"/>
      <c r="BW285" s="663">
        <f t="shared" si="175"/>
        <v>0.66</v>
      </c>
      <c r="BX285" s="1047">
        <f t="shared" si="184"/>
        <v>0.66</v>
      </c>
      <c r="BY285" s="1047" t="str">
        <f t="shared" si="179"/>
        <v>No Programada</v>
      </c>
      <c r="BZ285" s="1047">
        <f t="shared" si="180"/>
        <v>1</v>
      </c>
      <c r="CA285" s="1047">
        <f t="shared" si="181"/>
        <v>1</v>
      </c>
      <c r="CB285" s="1047">
        <f t="shared" si="182"/>
        <v>0</v>
      </c>
      <c r="CD285" t="str">
        <f t="shared" si="183"/>
        <v>NP</v>
      </c>
      <c r="CE285" t="str">
        <f t="shared" si="183"/>
        <v>VE</v>
      </c>
      <c r="CF285" t="str">
        <f t="shared" si="183"/>
        <v>VE</v>
      </c>
      <c r="CG285" t="str">
        <f t="shared" si="183"/>
        <v>ROB</v>
      </c>
    </row>
    <row r="286" spans="1:85" s="3" customFormat="1" ht="28.5" hidden="1" customHeight="1" x14ac:dyDescent="0.25">
      <c r="A286" s="295"/>
      <c r="B286" s="24" t="str">
        <f>'PLAN INDICATIVO'!B286</f>
        <v>Promoción del desarrollo</v>
      </c>
      <c r="C286" s="6"/>
      <c r="D286" s="2" t="s">
        <v>878</v>
      </c>
      <c r="E286" s="1"/>
      <c r="F286" s="1"/>
      <c r="G286" s="1"/>
      <c r="H286" s="1"/>
      <c r="I286" s="1"/>
      <c r="J286" s="1"/>
      <c r="K286" s="1"/>
      <c r="L286" s="1"/>
      <c r="M286" s="1"/>
      <c r="N286" s="17"/>
      <c r="O286" s="1"/>
      <c r="P286" s="22" t="s">
        <v>878</v>
      </c>
      <c r="Q286" s="22"/>
      <c r="R286" s="1"/>
      <c r="S286" s="261"/>
      <c r="T286" s="681"/>
      <c r="U286" s="261"/>
      <c r="V286" s="261"/>
      <c r="W286" s="261"/>
      <c r="X286" s="689">
        <f>SUM(X287:X290)</f>
        <v>1000000</v>
      </c>
      <c r="Y286" s="261"/>
      <c r="Z286" s="689">
        <f>SUM(Z289:Z290)</f>
        <v>1000000</v>
      </c>
      <c r="AA286" s="262"/>
      <c r="AB286" s="689">
        <f>SUM(AB287:AB290)</f>
        <v>500000</v>
      </c>
      <c r="AC286" s="262"/>
      <c r="AD286" s="262"/>
      <c r="AE286" s="262"/>
      <c r="AF286" s="262"/>
      <c r="AG286" s="263"/>
      <c r="AH286" s="263"/>
      <c r="AI286" s="263"/>
      <c r="AJ286" s="264"/>
      <c r="AK286" s="264"/>
      <c r="AL286" s="264">
        <f>SUM(AL291:AL301)</f>
        <v>0</v>
      </c>
      <c r="AM286" s="264">
        <f>SUM(AM291:AM301)</f>
        <v>0</v>
      </c>
      <c r="AN286" s="264">
        <f>SUM(AN291:AN301)</f>
        <v>0</v>
      </c>
      <c r="AO286" s="645"/>
      <c r="AP286" s="616"/>
      <c r="AQ286" s="616"/>
      <c r="AR286" s="616"/>
      <c r="AS286" s="616"/>
      <c r="AT286" s="616"/>
      <c r="AU286" s="616"/>
      <c r="AV286" s="616"/>
      <c r="AW286" s="617"/>
      <c r="AX286" s="616" t="e">
        <f>(AX287:AX290)</f>
        <v>#VALUE!</v>
      </c>
      <c r="AY286" s="616" t="e">
        <f t="shared" ref="AY286:BD286" si="188">(AY287:AY290)</f>
        <v>#VALUE!</v>
      </c>
      <c r="AZ286" s="616" t="e">
        <f t="shared" si="188"/>
        <v>#VALUE!</v>
      </c>
      <c r="BA286" s="616" t="e">
        <f t="shared" si="188"/>
        <v>#VALUE!</v>
      </c>
      <c r="BB286" s="616" t="e">
        <f t="shared" si="188"/>
        <v>#VALUE!</v>
      </c>
      <c r="BC286" s="616" t="e">
        <f t="shared" si="188"/>
        <v>#VALUE!</v>
      </c>
      <c r="BD286" s="616" t="e">
        <f t="shared" si="188"/>
        <v>#VALUE!</v>
      </c>
      <c r="BE286" s="617" t="e">
        <f t="shared" si="185"/>
        <v>#VALUE!</v>
      </c>
      <c r="BF286" s="616"/>
      <c r="BG286" s="616"/>
      <c r="BH286" s="616"/>
      <c r="BI286" s="616"/>
      <c r="BJ286" s="616"/>
      <c r="BK286" s="616"/>
      <c r="BL286" s="616"/>
      <c r="BM286" s="617">
        <f t="shared" si="186"/>
        <v>0</v>
      </c>
      <c r="BN286" s="616" t="e">
        <f>(BN287:BN290)</f>
        <v>#VALUE!</v>
      </c>
      <c r="BO286" s="616" t="e">
        <f t="shared" ref="BO286:BT286" si="189">(BO287:BO290)</f>
        <v>#VALUE!</v>
      </c>
      <c r="BP286" s="616" t="e">
        <f t="shared" si="189"/>
        <v>#VALUE!</v>
      </c>
      <c r="BQ286" s="616" t="e">
        <f t="shared" si="189"/>
        <v>#VALUE!</v>
      </c>
      <c r="BR286" s="616" t="e">
        <f t="shared" si="189"/>
        <v>#VALUE!</v>
      </c>
      <c r="BS286" s="616" t="e">
        <f t="shared" si="189"/>
        <v>#VALUE!</v>
      </c>
      <c r="BT286" s="616" t="e">
        <f t="shared" si="189"/>
        <v>#VALUE!</v>
      </c>
      <c r="BU286" s="617" t="e">
        <f t="shared" si="187"/>
        <v>#VALUE!</v>
      </c>
      <c r="BV286" s="600"/>
      <c r="BW286" s="617">
        <f t="shared" si="175"/>
        <v>0</v>
      </c>
      <c r="BX286" s="617" t="s">
        <v>2717</v>
      </c>
      <c r="BY286" s="617" t="s">
        <v>2717</v>
      </c>
      <c r="BZ286" s="617" t="s">
        <v>2717</v>
      </c>
      <c r="CA286" s="617" t="s">
        <v>2717</v>
      </c>
      <c r="CB286" s="1047" t="s">
        <v>2717</v>
      </c>
      <c r="CC286"/>
      <c r="CD286"/>
      <c r="CE286"/>
      <c r="CF286"/>
      <c r="CG286"/>
    </row>
    <row r="287" spans="1:85" s="3" customFormat="1" ht="69" hidden="1" customHeight="1" x14ac:dyDescent="0.25">
      <c r="A287" s="373" t="s">
        <v>800</v>
      </c>
      <c r="B287" s="299" t="str">
        <f>'PLAN INDICATIVO'!B287</f>
        <v>Desarrollo Económico/Promoción del desarrollo</v>
      </c>
      <c r="C287" s="1546" t="s">
        <v>879</v>
      </c>
      <c r="D287" s="1550" t="s">
        <v>880</v>
      </c>
      <c r="E287" s="1550" t="s">
        <v>881</v>
      </c>
      <c r="F287" s="1550">
        <v>2015</v>
      </c>
      <c r="G287" s="1550">
        <v>0</v>
      </c>
      <c r="H287" s="1550">
        <v>1</v>
      </c>
      <c r="I287" s="300">
        <f>'PLAN INDICATIVO'!I287</f>
        <v>0</v>
      </c>
      <c r="J287" s="300">
        <f>'PLAN INDICATIVO'!J287</f>
        <v>0</v>
      </c>
      <c r="K287" s="1428" t="str">
        <f>'PLAN INDICATIVO'!K287</f>
        <v>A.13.3.1</v>
      </c>
      <c r="L287" s="301" t="str">
        <f>'PLAN INDICATIVO'!L287</f>
        <v>9. Industria, innovación e infraestructura</v>
      </c>
      <c r="M287" s="301" t="s">
        <v>497</v>
      </c>
      <c r="N287" s="1425" t="str">
        <f>'PLAN INDICATIVO'!N287</f>
        <v>HERNAN RODRIGUEZ FALLA</v>
      </c>
      <c r="O287" s="1425" t="str">
        <f>'PLAN INDICATIVO'!O287</f>
        <v>Incremento</v>
      </c>
      <c r="P287" s="16" t="str">
        <f>'PLAN INDICATIVO'!P287</f>
        <v>Apoyar para la creación de un centro de investigación o desarrollo tecnológico</v>
      </c>
      <c r="Q287" s="302" t="str">
        <f>'PLAN INDICATIVO'!Q287</f>
        <v>No. De apoyos gestionados en el cuatrenio.</v>
      </c>
      <c r="R287" s="303">
        <f>'PLAN INDICATIVO'!R287</f>
        <v>2015</v>
      </c>
      <c r="S287" s="304">
        <v>0</v>
      </c>
      <c r="T287" s="498">
        <v>1</v>
      </c>
      <c r="U287" s="855">
        <v>0</v>
      </c>
      <c r="V287" s="687"/>
      <c r="W287" s="303">
        <v>0</v>
      </c>
      <c r="X287" s="687"/>
      <c r="Y287" s="286"/>
      <c r="Z287" s="1237"/>
      <c r="AA287" s="291"/>
      <c r="AB287" s="305"/>
      <c r="AC287" s="665">
        <v>1</v>
      </c>
      <c r="AD287" s="665">
        <v>1</v>
      </c>
      <c r="AE287" s="665"/>
      <c r="AF287" s="665"/>
      <c r="AG287" s="306"/>
      <c r="AH287" s="987"/>
      <c r="AI287" s="307" t="s">
        <v>4213</v>
      </c>
      <c r="AJ287" s="374"/>
      <c r="AK287" s="374"/>
      <c r="AL287" s="374"/>
      <c r="AM287" s="374"/>
      <c r="AN287" s="267" t="s">
        <v>2594</v>
      </c>
      <c r="AO287" s="509"/>
      <c r="AP287" s="524"/>
      <c r="AQ287" s="310"/>
      <c r="AR287" s="374"/>
      <c r="AS287" s="374"/>
      <c r="AT287" s="374"/>
      <c r="AU287" s="374"/>
      <c r="AV287" s="374"/>
      <c r="AW287" s="544"/>
      <c r="AX287" s="524"/>
      <c r="AY287" s="374"/>
      <c r="AZ287" s="374"/>
      <c r="BA287" s="374"/>
      <c r="BB287" s="374"/>
      <c r="BC287" s="374"/>
      <c r="BD287" s="374"/>
      <c r="BE287" s="544">
        <f t="shared" si="185"/>
        <v>0</v>
      </c>
      <c r="BF287" s="524"/>
      <c r="BG287" s="374"/>
      <c r="BH287" s="374"/>
      <c r="BI287" s="374"/>
      <c r="BJ287" s="374"/>
      <c r="BK287" s="374"/>
      <c r="BL287" s="374"/>
      <c r="BM287" s="544">
        <f t="shared" si="186"/>
        <v>0</v>
      </c>
      <c r="BN287" s="524"/>
      <c r="BO287" s="374"/>
      <c r="BP287" s="374"/>
      <c r="BQ287" s="374"/>
      <c r="BR287" s="374"/>
      <c r="BS287" s="374"/>
      <c r="BT287" s="374"/>
      <c r="BU287" s="544">
        <f t="shared" si="187"/>
        <v>0</v>
      </c>
      <c r="BV287" s="600"/>
      <c r="BW287" s="663">
        <f t="shared" si="175"/>
        <v>2</v>
      </c>
      <c r="BX287" s="1047">
        <f t="shared" si="184"/>
        <v>2</v>
      </c>
      <c r="BY287" s="1047" t="str">
        <f>IF(U287&gt;=0.1,AC287/U287,IF(ISBLANK(U287),"No Programada","Aplazada"))</f>
        <v>Aplazada</v>
      </c>
      <c r="BZ287" s="1047" t="str">
        <f>IF(W287&gt;=0.1,AD287/W287,IF(ISBLANK(W287),"No Programada","Aplazada"))</f>
        <v>Aplazada</v>
      </c>
      <c r="CA287" s="1047" t="str">
        <f>IF(Y287&gt;=0.1,AE287/Y287,IF(ISBLANK(Y287),"No Programada","Aplazada"))</f>
        <v>No Programada</v>
      </c>
      <c r="CB287" s="1047" t="str">
        <f>IF(AA287&gt;=0.1,AF287/AA287,IF(ISBLANK(AA287),"No Programada","Aplazada"))</f>
        <v>No Programada</v>
      </c>
      <c r="CC287" s="540"/>
      <c r="CD287" t="str">
        <f t="shared" ref="CD287:CG290" si="190">IF(BY287="PARA MODIFICAR","M",IF(BY287="PARA ELIMINAR","E",IF(BY287="aplazada","AZ",IF(BY287="no programada","NP",IF(BY287&gt;=85%,"VE",IF(BY287&gt;70%,"VEB",IF(BY287&gt;60%,"AM",IF(BY287&gt;40%,"AMB",IF(BY287&gt;20%,"RO",IF(BY287&gt;=0%,"ROB",""))))))))))</f>
        <v>AZ</v>
      </c>
      <c r="CE287" t="str">
        <f t="shared" si="190"/>
        <v>AZ</v>
      </c>
      <c r="CF287" t="str">
        <f t="shared" si="190"/>
        <v>NP</v>
      </c>
      <c r="CG287" t="str">
        <f t="shared" si="190"/>
        <v>NP</v>
      </c>
    </row>
    <row r="288" spans="1:85" s="3" customFormat="1" ht="45.75" hidden="1" customHeight="1" x14ac:dyDescent="0.25">
      <c r="A288" s="373" t="s">
        <v>800</v>
      </c>
      <c r="B288" s="299" t="str">
        <f>'PLAN INDICATIVO'!B288</f>
        <v>Desarrollo Económico/Promoción del desarrollo</v>
      </c>
      <c r="C288" s="1547"/>
      <c r="D288" s="1551"/>
      <c r="E288" s="1551"/>
      <c r="F288" s="1551"/>
      <c r="G288" s="1551"/>
      <c r="H288" s="1551"/>
      <c r="I288" s="300">
        <f>'PLAN INDICATIVO'!I288</f>
        <v>0</v>
      </c>
      <c r="J288" s="300">
        <f>'PLAN INDICATIVO'!J288</f>
        <v>0</v>
      </c>
      <c r="K288" s="1428" t="str">
        <f>'PLAN INDICATIVO'!K288</f>
        <v>A.13.3.2</v>
      </c>
      <c r="L288" s="301" t="str">
        <f>'PLAN INDICATIVO'!L288</f>
        <v>9. Industria, innovación e infraestructura</v>
      </c>
      <c r="M288" s="301" t="s">
        <v>497</v>
      </c>
      <c r="N288" s="1425" t="str">
        <f>'PLAN INDICATIVO'!N288</f>
        <v>HERNAN RODRIGUEZ FALLA</v>
      </c>
      <c r="O288" s="1425" t="str">
        <f>'PLAN INDICATIVO'!O288</f>
        <v>Incremento</v>
      </c>
      <c r="P288" s="16" t="str">
        <f>'PLAN INDICATIVO'!P288</f>
        <v>Apoyo para la creación de grupos de investigación categorizados por Colciencias.</v>
      </c>
      <c r="Q288" s="302" t="str">
        <f>'PLAN INDICATIVO'!Q288</f>
        <v>No. De apoyos gestionados en el cuatrienio.</v>
      </c>
      <c r="R288" s="303">
        <f>'PLAN INDICATIVO'!R288</f>
        <v>2015</v>
      </c>
      <c r="S288" s="304">
        <v>0</v>
      </c>
      <c r="T288" s="498">
        <v>1</v>
      </c>
      <c r="U288" s="304">
        <v>1</v>
      </c>
      <c r="V288" s="687">
        <v>1000000</v>
      </c>
      <c r="W288" s="303">
        <v>1</v>
      </c>
      <c r="X288" s="687">
        <v>500000</v>
      </c>
      <c r="Y288" s="286"/>
      <c r="Z288" s="1237"/>
      <c r="AA288" s="291"/>
      <c r="AB288" s="305"/>
      <c r="AC288" s="665">
        <v>0</v>
      </c>
      <c r="AD288" s="665">
        <v>1</v>
      </c>
      <c r="AE288" s="665"/>
      <c r="AF288" s="665"/>
      <c r="AG288" s="306"/>
      <c r="AH288" s="987"/>
      <c r="AI288" s="307"/>
      <c r="AJ288" s="374"/>
      <c r="AK288" s="374"/>
      <c r="AL288" s="374"/>
      <c r="AM288" s="374"/>
      <c r="AN288" s="267" t="s">
        <v>2594</v>
      </c>
      <c r="AO288" s="514"/>
      <c r="AP288" s="524"/>
      <c r="AQ288" s="374"/>
      <c r="AR288" s="374"/>
      <c r="AS288" s="374"/>
      <c r="AT288" s="374"/>
      <c r="AU288" s="374"/>
      <c r="AV288" s="374"/>
      <c r="AW288" s="544"/>
      <c r="AX288" s="524"/>
      <c r="AY288" s="374"/>
      <c r="AZ288" s="374"/>
      <c r="BA288" s="374"/>
      <c r="BB288" s="374"/>
      <c r="BC288" s="374"/>
      <c r="BD288" s="374"/>
      <c r="BE288" s="544">
        <f t="shared" si="185"/>
        <v>0</v>
      </c>
      <c r="BF288" s="524"/>
      <c r="BG288" s="374"/>
      <c r="BH288" s="374"/>
      <c r="BI288" s="374"/>
      <c r="BJ288" s="374"/>
      <c r="BK288" s="374"/>
      <c r="BL288" s="374"/>
      <c r="BM288" s="544">
        <f t="shared" si="186"/>
        <v>0</v>
      </c>
      <c r="BN288" s="524"/>
      <c r="BO288" s="374"/>
      <c r="BP288" s="374"/>
      <c r="BQ288" s="374"/>
      <c r="BR288" s="374"/>
      <c r="BS288" s="374"/>
      <c r="BT288" s="374"/>
      <c r="BU288" s="544">
        <f t="shared" si="187"/>
        <v>0</v>
      </c>
      <c r="BV288" s="600"/>
      <c r="BW288" s="663">
        <f t="shared" si="175"/>
        <v>1</v>
      </c>
      <c r="BX288" s="1047">
        <f t="shared" si="184"/>
        <v>1</v>
      </c>
      <c r="BY288" s="1047">
        <f>IF(U288&gt;=0.1,AC288/U288,IF(ISBLANK(U288),"No Programada","Aplazada"))</f>
        <v>0</v>
      </c>
      <c r="BZ288" s="1047">
        <f>IF(W288&gt;=0.1,AD288/W288,IF(ISBLANK(W288),"No Programada","Aplazada"))</f>
        <v>1</v>
      </c>
      <c r="CA288" s="1047" t="str">
        <f>IF(Y288&gt;=0.1,AE288/Y288,IF(ISBLANK(Y288),"No Programada","Aplazada"))</f>
        <v>No Programada</v>
      </c>
      <c r="CB288" s="1047" t="str">
        <f>IF(AA288&gt;=0.1,AF288/AA288,IF(ISBLANK(AA288),"No Programada","Aplazada"))</f>
        <v>No Programada</v>
      </c>
      <c r="CC288" s="540"/>
      <c r="CD288" t="str">
        <f t="shared" si="190"/>
        <v>ROB</v>
      </c>
      <c r="CE288" t="str">
        <f t="shared" si="190"/>
        <v>VE</v>
      </c>
      <c r="CF288" t="str">
        <f t="shared" si="190"/>
        <v>NP</v>
      </c>
      <c r="CG288" t="str">
        <f t="shared" si="190"/>
        <v>NP</v>
      </c>
    </row>
    <row r="289" spans="1:85" s="3" customFormat="1" ht="56.25" hidden="1" customHeight="1" x14ac:dyDescent="0.25">
      <c r="A289" s="298" t="s">
        <v>800</v>
      </c>
      <c r="B289" s="299" t="str">
        <f>'PLAN INDICATIVO'!B289</f>
        <v>Desarrollo Económico/Promoción del desarrollo</v>
      </c>
      <c r="C289" s="1547"/>
      <c r="D289" s="1551"/>
      <c r="E289" s="1551"/>
      <c r="F289" s="1551"/>
      <c r="G289" s="1551"/>
      <c r="H289" s="1551"/>
      <c r="I289" s="300">
        <f>'PLAN INDICATIVO'!I289</f>
        <v>0</v>
      </c>
      <c r="J289" s="300">
        <f>'PLAN INDICATIVO'!J289</f>
        <v>0</v>
      </c>
      <c r="K289" s="1428" t="str">
        <f>'PLAN INDICATIVO'!K289</f>
        <v>A.13.3.3</v>
      </c>
      <c r="L289" s="301" t="str">
        <f>'PLAN INDICATIVO'!L289</f>
        <v>9. Industria, innovación e infraestructura</v>
      </c>
      <c r="M289" s="301" t="s">
        <v>497</v>
      </c>
      <c r="N289" s="1425" t="str">
        <f>'PLAN INDICATIVO'!N289</f>
        <v>HERNAN RODRIGUEZ FALLA</v>
      </c>
      <c r="O289" s="1425" t="str">
        <f>'PLAN INDICATIVO'!O289</f>
        <v>Incremento</v>
      </c>
      <c r="P289" s="16" t="str">
        <f>'PLAN INDICATIVO'!P289</f>
        <v>Implementar 1 punto vive digital para mejorar acceso a competitividad local</v>
      </c>
      <c r="Q289" s="302" t="str">
        <f>'PLAN INDICATIVO'!Q289</f>
        <v>Punto vive digital implementado</v>
      </c>
      <c r="R289" s="303">
        <f>'PLAN INDICATIVO'!R289</f>
        <v>2015</v>
      </c>
      <c r="S289" s="304">
        <v>0</v>
      </c>
      <c r="T289" s="498">
        <v>1</v>
      </c>
      <c r="U289" s="855">
        <v>0</v>
      </c>
      <c r="V289" s="687"/>
      <c r="W289" s="303">
        <v>0</v>
      </c>
      <c r="X289" s="687"/>
      <c r="Y289" s="286"/>
      <c r="Z289" s="1233">
        <v>500000</v>
      </c>
      <c r="AA289" s="291"/>
      <c r="AB289" s="305"/>
      <c r="AC289" s="665">
        <v>4</v>
      </c>
      <c r="AD289" s="665">
        <v>1</v>
      </c>
      <c r="AE289" s="665"/>
      <c r="AF289" s="665"/>
      <c r="AG289" s="306"/>
      <c r="AH289" s="987"/>
      <c r="AI289" s="307"/>
      <c r="AJ289" s="310"/>
      <c r="AK289" s="310"/>
      <c r="AL289" s="310"/>
      <c r="AM289" s="310"/>
      <c r="AN289" s="267" t="s">
        <v>2594</v>
      </c>
      <c r="AO289" s="509"/>
      <c r="AP289" s="525"/>
      <c r="AQ289" s="310"/>
      <c r="AR289" s="310"/>
      <c r="AS289" s="310"/>
      <c r="AT289" s="310"/>
      <c r="AU289" s="310"/>
      <c r="AV289" s="310"/>
      <c r="AW289" s="544"/>
      <c r="AX289" s="525"/>
      <c r="AY289" s="310"/>
      <c r="AZ289" s="310"/>
      <c r="BA289" s="310"/>
      <c r="BB289" s="310"/>
      <c r="BC289" s="310"/>
      <c r="BD289" s="310"/>
      <c r="BE289" s="544">
        <f t="shared" si="185"/>
        <v>0</v>
      </c>
      <c r="BF289" s="525"/>
      <c r="BG289" s="310"/>
      <c r="BH289" s="310"/>
      <c r="BI289" s="310"/>
      <c r="BJ289" s="310"/>
      <c r="BK289" s="310"/>
      <c r="BL289" s="310"/>
      <c r="BM289" s="544">
        <f t="shared" si="186"/>
        <v>0</v>
      </c>
      <c r="BN289" s="525"/>
      <c r="BO289" s="310"/>
      <c r="BP289" s="310"/>
      <c r="BQ289" s="310"/>
      <c r="BR289" s="310"/>
      <c r="BS289" s="310"/>
      <c r="BT289" s="310"/>
      <c r="BU289" s="544">
        <f t="shared" si="187"/>
        <v>0</v>
      </c>
      <c r="BV289" s="648">
        <f>SUM(AR289:AW289)</f>
        <v>0</v>
      </c>
      <c r="BW289" s="663">
        <f t="shared" si="175"/>
        <v>5</v>
      </c>
      <c r="BX289" s="1047">
        <f t="shared" si="184"/>
        <v>5</v>
      </c>
      <c r="BY289" s="1047" t="str">
        <f>IF(U289&gt;=0.1,AC289/U289,IF(ISBLANK(U289),"No Programada","Aplazada"))</f>
        <v>Aplazada</v>
      </c>
      <c r="BZ289" s="1047" t="str">
        <f>IF(W289&gt;=0.1,AD289/W289,IF(ISBLANK(W289),"No Programada","Aplazada"))</f>
        <v>Aplazada</v>
      </c>
      <c r="CA289" s="1047" t="str">
        <f>IF(Y289&gt;=0.1,AE289/Y289,IF(ISBLANK(Y289),"No Programada","Aplazada"))</f>
        <v>No Programada</v>
      </c>
      <c r="CB289" s="1047" t="str">
        <f>IF(AA289&gt;=0.1,AF289/AA289,IF(ISBLANK(AA289),"No Programada","Aplazada"))</f>
        <v>No Programada</v>
      </c>
      <c r="CC289" s="540"/>
      <c r="CD289" t="str">
        <f t="shared" si="190"/>
        <v>AZ</v>
      </c>
      <c r="CE289" t="str">
        <f t="shared" si="190"/>
        <v>AZ</v>
      </c>
      <c r="CF289" t="str">
        <f t="shared" si="190"/>
        <v>NP</v>
      </c>
      <c r="CG289" t="str">
        <f t="shared" si="190"/>
        <v>NP</v>
      </c>
    </row>
    <row r="290" spans="1:85" s="3" customFormat="1" ht="109.5" hidden="1" customHeight="1" x14ac:dyDescent="0.25">
      <c r="A290" s="298" t="s">
        <v>800</v>
      </c>
      <c r="B290" s="299" t="str">
        <f>'PLAN INDICATIVO'!B290</f>
        <v>Desarrollo Económico/Promoción del desarrollo</v>
      </c>
      <c r="C290" s="1547"/>
      <c r="D290" s="1552"/>
      <c r="E290" s="1552"/>
      <c r="F290" s="1552"/>
      <c r="G290" s="1552"/>
      <c r="H290" s="1552"/>
      <c r="I290" s="300">
        <f>'PLAN INDICATIVO'!I290</f>
        <v>0</v>
      </c>
      <c r="J290" s="300">
        <f>'PLAN INDICATIVO'!J290</f>
        <v>0</v>
      </c>
      <c r="K290" s="1428" t="str">
        <f>'PLAN INDICATIVO'!K290</f>
        <v>A.13.3.4</v>
      </c>
      <c r="L290" s="301" t="str">
        <f>'PLAN INDICATIVO'!L290</f>
        <v>9. Industria, innovación e infraestructura</v>
      </c>
      <c r="M290" s="301" t="s">
        <v>497</v>
      </c>
      <c r="N290" s="1425" t="str">
        <f>'PLAN INDICATIVO'!N290</f>
        <v>HERNAN RODRIGUEZ FALLA</v>
      </c>
      <c r="O290" s="1425" t="str">
        <f>'PLAN INDICATIVO'!O290</f>
        <v>Incremento</v>
      </c>
      <c r="P290" s="16" t="str">
        <f>'PLAN INDICATIVO'!P290</f>
        <v>Formular 4 proyectos de ciencia, tecnología e imnovacion durante el cuatrienio, ante entidades del orden departamental, nacional e internacional</v>
      </c>
      <c r="Q290" s="302" t="str">
        <f>'PLAN INDICATIVO'!Q290</f>
        <v>No. De proyectos apoyados y/o gestionados en el cuatrenio.</v>
      </c>
      <c r="R290" s="303">
        <f>'PLAN INDICATIVO'!R290</f>
        <v>2015</v>
      </c>
      <c r="S290" s="304">
        <v>0</v>
      </c>
      <c r="T290" s="498">
        <v>4</v>
      </c>
      <c r="U290" s="304">
        <v>1</v>
      </c>
      <c r="V290" s="687">
        <v>1000000</v>
      </c>
      <c r="W290" s="303">
        <v>1</v>
      </c>
      <c r="X290" s="687">
        <v>500000</v>
      </c>
      <c r="Y290" s="286">
        <v>2</v>
      </c>
      <c r="Z290" s="1233">
        <v>500000</v>
      </c>
      <c r="AA290" s="291">
        <v>1</v>
      </c>
      <c r="AB290" s="687">
        <v>500000</v>
      </c>
      <c r="AC290" s="665">
        <v>0</v>
      </c>
      <c r="AD290" s="665">
        <v>0</v>
      </c>
      <c r="AE290" s="665">
        <v>3</v>
      </c>
      <c r="AF290" s="665"/>
      <c r="AG290" s="306" t="s">
        <v>4188</v>
      </c>
      <c r="AH290" s="987">
        <v>2018453960022</v>
      </c>
      <c r="AI290" s="307" t="s">
        <v>4868</v>
      </c>
      <c r="AJ290" s="838">
        <v>43282</v>
      </c>
      <c r="AK290" s="838">
        <v>43403</v>
      </c>
      <c r="AL290" s="374"/>
      <c r="AM290" s="374"/>
      <c r="AN290" s="267" t="s">
        <v>2598</v>
      </c>
      <c r="AO290" s="514"/>
      <c r="AP290" s="524"/>
      <c r="AQ290" s="374"/>
      <c r="AR290" s="374"/>
      <c r="AS290" s="374"/>
      <c r="AT290" s="374"/>
      <c r="AU290" s="374"/>
      <c r="AV290" s="374"/>
      <c r="AW290" s="544"/>
      <c r="AX290" s="524"/>
      <c r="AY290" s="374"/>
      <c r="AZ290" s="374"/>
      <c r="BA290" s="374"/>
      <c r="BB290" s="374"/>
      <c r="BC290" s="374"/>
      <c r="BD290" s="374"/>
      <c r="BE290" s="544">
        <f t="shared" si="185"/>
        <v>0</v>
      </c>
      <c r="BF290" s="524"/>
      <c r="BG290" s="374"/>
      <c r="BH290" s="374"/>
      <c r="BI290" s="374"/>
      <c r="BJ290" s="374"/>
      <c r="BK290" s="374"/>
      <c r="BL290" s="374"/>
      <c r="BM290" s="544">
        <f t="shared" si="186"/>
        <v>0</v>
      </c>
      <c r="BN290" s="524"/>
      <c r="BO290" s="374"/>
      <c r="BP290" s="374"/>
      <c r="BQ290" s="374"/>
      <c r="BR290" s="374"/>
      <c r="BS290" s="374"/>
      <c r="BT290" s="374"/>
      <c r="BU290" s="544">
        <f t="shared" si="187"/>
        <v>0</v>
      </c>
      <c r="BV290" s="600"/>
      <c r="BW290" s="663">
        <f t="shared" si="175"/>
        <v>3</v>
      </c>
      <c r="BX290" s="1047">
        <f t="shared" si="184"/>
        <v>0.75</v>
      </c>
      <c r="BY290" s="1047">
        <f>IF(U290&gt;=0.1,AC290/U290,IF(ISBLANK(U290),"No Programada","Aplazada"))</f>
        <v>0</v>
      </c>
      <c r="BZ290" s="1047">
        <f>IF(W290&gt;=0.1,AD290/W290,IF(ISBLANK(W290),"No Programada","Aplazada"))</f>
        <v>0</v>
      </c>
      <c r="CA290" s="1047">
        <f>IF(Y290&gt;=0.1,AE290/Y290,IF(ISBLANK(Y290),"No Programada","Aplazada"))</f>
        <v>1.5</v>
      </c>
      <c r="CB290" s="1047">
        <f>IF(AA290&gt;=0.1,AF290/AA290,IF(ISBLANK(AA290),"No Programada","Aplazada"))</f>
        <v>0</v>
      </c>
      <c r="CC290" s="540"/>
      <c r="CD290" t="str">
        <f t="shared" si="190"/>
        <v>ROB</v>
      </c>
      <c r="CE290" t="str">
        <f t="shared" si="190"/>
        <v>ROB</v>
      </c>
      <c r="CF290" t="str">
        <f t="shared" si="190"/>
        <v>VE</v>
      </c>
      <c r="CG290" t="str">
        <f t="shared" si="190"/>
        <v>ROB</v>
      </c>
    </row>
    <row r="291" spans="1:85" ht="38.25" hidden="1" customHeight="1" x14ac:dyDescent="0.25">
      <c r="A291" s="423"/>
      <c r="B291" s="293" t="str">
        <f>'PLAN INDICATIVO'!B291</f>
        <v>Agropecuario</v>
      </c>
      <c r="C291" s="1629" t="s">
        <v>2876</v>
      </c>
      <c r="D291" s="1630"/>
      <c r="E291" s="1630"/>
      <c r="F291" s="1630"/>
      <c r="G291" s="1630"/>
      <c r="H291" s="1630"/>
      <c r="I291" s="1630"/>
      <c r="J291" s="1630"/>
      <c r="K291" s="1630"/>
      <c r="L291" s="1630"/>
      <c r="M291" s="1630"/>
      <c r="N291" s="1630"/>
      <c r="O291" s="1630"/>
      <c r="P291" s="1630"/>
      <c r="Q291" s="1630"/>
      <c r="R291" s="1630"/>
      <c r="S291" s="1630"/>
      <c r="T291" s="1630"/>
      <c r="U291" s="1630"/>
      <c r="V291" s="1630"/>
      <c r="W291" s="1630"/>
      <c r="X291" s="1630"/>
      <c r="Y291" s="1630"/>
      <c r="Z291" s="1630"/>
      <c r="AA291" s="1630"/>
      <c r="AB291" s="1630"/>
      <c r="AC291" s="1630"/>
      <c r="AD291" s="1630"/>
      <c r="AE291" s="1630"/>
      <c r="AF291" s="1630"/>
      <c r="AG291" s="1630"/>
      <c r="AH291" s="1630"/>
      <c r="AI291" s="1630"/>
      <c r="AJ291" s="1630"/>
      <c r="AK291" s="1630"/>
      <c r="AL291" s="1630"/>
      <c r="AM291" s="1631"/>
      <c r="AN291" s="294"/>
      <c r="AO291" s="506"/>
      <c r="AP291" s="524"/>
      <c r="AQ291" s="374"/>
      <c r="AR291" s="374"/>
      <c r="AS291" s="374"/>
      <c r="AT291" s="374"/>
      <c r="AU291" s="374"/>
      <c r="AV291" s="374"/>
      <c r="AW291" s="544"/>
      <c r="AX291" s="524"/>
      <c r="AY291" s="374"/>
      <c r="AZ291" s="374"/>
      <c r="BA291" s="374"/>
      <c r="BB291" s="374"/>
      <c r="BC291" s="374"/>
      <c r="BD291" s="374"/>
      <c r="BE291" s="544">
        <f t="shared" si="185"/>
        <v>0</v>
      </c>
      <c r="BF291" s="524"/>
      <c r="BG291" s="374"/>
      <c r="BH291" s="374"/>
      <c r="BI291" s="374"/>
      <c r="BJ291" s="374"/>
      <c r="BK291" s="374"/>
      <c r="BL291" s="374"/>
      <c r="BM291" s="544">
        <f t="shared" si="186"/>
        <v>0</v>
      </c>
      <c r="BN291" s="524"/>
      <c r="BO291" s="374"/>
      <c r="BP291" s="374"/>
      <c r="BQ291" s="374"/>
      <c r="BR291" s="374"/>
      <c r="BS291" s="374"/>
      <c r="BT291" s="374"/>
      <c r="BU291" s="544">
        <f t="shared" si="187"/>
        <v>0</v>
      </c>
      <c r="BV291" s="556"/>
      <c r="BW291" s="294" t="s">
        <v>2717</v>
      </c>
      <c r="BX291" s="294" t="s">
        <v>2717</v>
      </c>
      <c r="BY291" s="294" t="s">
        <v>2717</v>
      </c>
      <c r="BZ291" s="294" t="s">
        <v>2717</v>
      </c>
      <c r="CA291" s="294" t="s">
        <v>2717</v>
      </c>
      <c r="CB291" s="1047" t="s">
        <v>2717</v>
      </c>
    </row>
    <row r="292" spans="1:85" ht="18" hidden="1" customHeight="1" x14ac:dyDescent="0.25">
      <c r="A292" s="296"/>
      <c r="B292" s="24" t="str">
        <f>'PLAN INDICATIVO'!B292</f>
        <v>Agropecuario</v>
      </c>
      <c r="C292" s="1574" t="s">
        <v>895</v>
      </c>
      <c r="D292" s="1575"/>
      <c r="E292" s="1575"/>
      <c r="F292" s="1575"/>
      <c r="G292" s="1575"/>
      <c r="H292" s="1575"/>
      <c r="I292" s="1575"/>
      <c r="J292" s="1575"/>
      <c r="K292" s="1575"/>
      <c r="L292" s="1575"/>
      <c r="M292" s="1575"/>
      <c r="N292" s="1575"/>
      <c r="O292" s="1576"/>
      <c r="P292" s="22"/>
      <c r="Q292" s="22"/>
      <c r="R292" s="1"/>
      <c r="S292" s="261"/>
      <c r="T292" s="681"/>
      <c r="U292" s="261"/>
      <c r="V292" s="689">
        <f>SUM(V293:V325)</f>
        <v>495000005</v>
      </c>
      <c r="W292" s="261"/>
      <c r="X292" s="689">
        <f>SUM(X293:X325)</f>
        <v>273000000</v>
      </c>
      <c r="Y292" s="261"/>
      <c r="Z292" s="689">
        <f>SUM(Z293:Z325)</f>
        <v>401000000</v>
      </c>
      <c r="AA292" s="262"/>
      <c r="AB292" s="690">
        <f>SUM(AB293:AB325)</f>
        <v>237000000</v>
      </c>
      <c r="AC292" s="262"/>
      <c r="AD292" s="262"/>
      <c r="AE292" s="262"/>
      <c r="AF292" s="262"/>
      <c r="AG292" s="263"/>
      <c r="AH292" s="263"/>
      <c r="AI292" s="263"/>
      <c r="AJ292" s="262"/>
      <c r="AK292" s="262"/>
      <c r="AL292" s="262"/>
      <c r="AM292" s="262"/>
      <c r="AN292" s="262"/>
      <c r="AO292" s="612"/>
      <c r="AP292" s="616"/>
      <c r="AQ292" s="616"/>
      <c r="AR292" s="616"/>
      <c r="AS292" s="616"/>
      <c r="AT292" s="616"/>
      <c r="AU292" s="616"/>
      <c r="AV292" s="616"/>
      <c r="AW292" s="617"/>
      <c r="AX292" s="616" t="e">
        <f>(AX293:AX325)</f>
        <v>#VALUE!</v>
      </c>
      <c r="AY292" s="616" t="e">
        <f t="shared" ref="AY292:BD292" si="191">(AY293:AY325)</f>
        <v>#VALUE!</v>
      </c>
      <c r="AZ292" s="616" t="e">
        <f t="shared" si="191"/>
        <v>#VALUE!</v>
      </c>
      <c r="BA292" s="616" t="e">
        <f t="shared" si="191"/>
        <v>#VALUE!</v>
      </c>
      <c r="BB292" s="616" t="e">
        <f t="shared" si="191"/>
        <v>#VALUE!</v>
      </c>
      <c r="BC292" s="616" t="e">
        <f t="shared" si="191"/>
        <v>#VALUE!</v>
      </c>
      <c r="BD292" s="616" t="e">
        <f t="shared" si="191"/>
        <v>#VALUE!</v>
      </c>
      <c r="BE292" s="617" t="e">
        <f t="shared" si="185"/>
        <v>#VALUE!</v>
      </c>
      <c r="BF292" s="616"/>
      <c r="BG292" s="616"/>
      <c r="BH292" s="616"/>
      <c r="BI292" s="616"/>
      <c r="BJ292" s="616"/>
      <c r="BK292" s="616"/>
      <c r="BL292" s="616"/>
      <c r="BM292" s="617">
        <f t="shared" si="186"/>
        <v>0</v>
      </c>
      <c r="BN292" s="616" t="e">
        <f>(BN293:BN325)</f>
        <v>#VALUE!</v>
      </c>
      <c r="BO292" s="616" t="e">
        <f t="shared" ref="BO292:BT292" si="192">(BO293:BO325)</f>
        <v>#VALUE!</v>
      </c>
      <c r="BP292" s="616" t="e">
        <f t="shared" si="192"/>
        <v>#VALUE!</v>
      </c>
      <c r="BQ292" s="616" t="e">
        <f t="shared" si="192"/>
        <v>#VALUE!</v>
      </c>
      <c r="BR292" s="616" t="e">
        <f t="shared" si="192"/>
        <v>#VALUE!</v>
      </c>
      <c r="BS292" s="616" t="e">
        <f t="shared" si="192"/>
        <v>#VALUE!</v>
      </c>
      <c r="BT292" s="616" t="e">
        <f t="shared" si="192"/>
        <v>#VALUE!</v>
      </c>
      <c r="BU292" s="617" t="e">
        <f t="shared" si="187"/>
        <v>#VALUE!</v>
      </c>
      <c r="BV292" s="556"/>
      <c r="BW292" s="617" t="s">
        <v>2717</v>
      </c>
      <c r="BX292" s="617" t="s">
        <v>2717</v>
      </c>
      <c r="BY292" s="617" t="s">
        <v>2717</v>
      </c>
      <c r="BZ292" s="617" t="s">
        <v>2717</v>
      </c>
      <c r="CA292" s="617" t="s">
        <v>2717</v>
      </c>
      <c r="CB292" s="1047" t="s">
        <v>2717</v>
      </c>
    </row>
    <row r="293" spans="1:85" ht="16.5" customHeight="1" x14ac:dyDescent="0.3">
      <c r="A293" s="298" t="s">
        <v>896</v>
      </c>
      <c r="B293" s="299" t="str">
        <f>'PLAN INDICATIVO'!B293</f>
        <v>Agropecuario</v>
      </c>
      <c r="C293" s="1546" t="s">
        <v>897</v>
      </c>
      <c r="D293" s="1549" t="s">
        <v>898</v>
      </c>
      <c r="E293" s="1549" t="s">
        <v>899</v>
      </c>
      <c r="F293" s="1549">
        <v>2015</v>
      </c>
      <c r="G293" s="1562">
        <v>3803</v>
      </c>
      <c r="H293" s="1562">
        <v>4200</v>
      </c>
      <c r="I293" s="1425" t="str">
        <f>'PLAN INDICATIVO'!I293</f>
        <v>SI</v>
      </c>
      <c r="J293" s="1425">
        <f>'PLAN INDICATIVO'!J293</f>
        <v>0</v>
      </c>
      <c r="K293" s="1428" t="str">
        <f>'PLAN INDICATIVO'!K293</f>
        <v>A.8.1.1</v>
      </c>
      <c r="L293" s="301" t="str">
        <f>'PLAN INDICATIVO'!L293</f>
        <v>12. Producción y consumo responsables</v>
      </c>
      <c r="M293" s="301" t="str">
        <f>'PLAN INDICATIVO'!M293</f>
        <v>Unidad de Desarrollo Rural</v>
      </c>
      <c r="N293" s="1425" t="str">
        <f>'PLAN INDICATIVO'!N293</f>
        <v>GABRIEL ERNESTO CAMPOS ALVIRA</v>
      </c>
      <c r="O293" s="1425" t="str">
        <f>'PLAN INDICATIVO'!O293</f>
        <v>Mantenimiento</v>
      </c>
      <c r="P293" s="1199" t="str">
        <f>'PLAN INDICATIVO'!P293</f>
        <v>Adecuar una planta de sacrificio con el objetivo de cumplir las políticas públicas nacionales, durante el cuatrienio</v>
      </c>
      <c r="Q293" s="1199" t="str">
        <f>'PLAN INDICATIVO'!Q293</f>
        <v>No. De planta de sacrificio adecuadas</v>
      </c>
      <c r="R293" s="1463">
        <f>'PLAN INDICATIVO'!R293</f>
        <v>2015</v>
      </c>
      <c r="S293" s="795">
        <v>0</v>
      </c>
      <c r="T293" s="715">
        <v>1</v>
      </c>
      <c r="U293" s="1463">
        <v>0</v>
      </c>
      <c r="V293" s="1234">
        <v>0</v>
      </c>
      <c r="W293" s="715">
        <v>0</v>
      </c>
      <c r="X293" s="1234"/>
      <c r="Y293" s="715"/>
      <c r="Z293" s="1234">
        <v>200000000</v>
      </c>
      <c r="AA293" s="715">
        <v>1</v>
      </c>
      <c r="AB293" s="1234">
        <v>3000000</v>
      </c>
      <c r="AC293" s="1305">
        <v>0</v>
      </c>
      <c r="AD293" s="1305">
        <v>0</v>
      </c>
      <c r="AE293" s="1305"/>
      <c r="AF293" s="1305"/>
      <c r="AG293" s="1306"/>
      <c r="AH293" s="307"/>
      <c r="AI293" s="308"/>
      <c r="AJ293" s="308"/>
      <c r="AK293" s="308"/>
      <c r="AL293" s="308"/>
      <c r="AM293" s="308"/>
      <c r="AN293" s="267" t="s">
        <v>2604</v>
      </c>
      <c r="AO293" s="507"/>
      <c r="AP293" s="729"/>
      <c r="AQ293" s="730"/>
      <c r="AR293" s="730"/>
      <c r="AS293" s="730"/>
      <c r="AT293" s="730"/>
      <c r="AU293" s="730"/>
      <c r="AV293" s="730"/>
      <c r="AW293" s="731">
        <f t="shared" ref="AW293:AW321" si="193">SUM(AP293:AV293)</f>
        <v>0</v>
      </c>
      <c r="AX293" s="525"/>
      <c r="AY293" s="310"/>
      <c r="AZ293" s="310"/>
      <c r="BA293" s="310"/>
      <c r="BB293" s="310"/>
      <c r="BC293" s="310"/>
      <c r="BD293" s="310"/>
      <c r="BE293" s="544">
        <f t="shared" si="185"/>
        <v>0</v>
      </c>
      <c r="BF293" s="525"/>
      <c r="BG293" s="310"/>
      <c r="BH293" s="310"/>
      <c r="BI293" s="310"/>
      <c r="BJ293" s="310"/>
      <c r="BK293" s="310"/>
      <c r="BL293" s="310"/>
      <c r="BM293" s="544">
        <f t="shared" si="186"/>
        <v>0</v>
      </c>
      <c r="BN293" s="525"/>
      <c r="BO293" s="310"/>
      <c r="BP293" s="310"/>
      <c r="BQ293" s="310"/>
      <c r="BR293" s="310"/>
      <c r="BS293" s="310"/>
      <c r="BT293" s="310"/>
      <c r="BU293" s="544">
        <f t="shared" si="187"/>
        <v>0</v>
      </c>
      <c r="BV293" s="556"/>
      <c r="BW293" s="663">
        <f t="shared" si="175"/>
        <v>0</v>
      </c>
      <c r="BX293" s="1047">
        <f t="shared" si="184"/>
        <v>0</v>
      </c>
      <c r="BY293" s="1047" t="str">
        <f t="shared" ref="BY293:BY325" si="194">IF(U293&gt;=0.1,AC293/U293,IF(ISBLANK(U293),"No Programada","Aplazada"))</f>
        <v>Aplazada</v>
      </c>
      <c r="BZ293" s="1047" t="str">
        <f t="shared" ref="BZ293:BZ325" si="195">IF(W293&gt;=0.1,AD293/W293,IF(ISBLANK(W293),"No Programada","Aplazada"))</f>
        <v>Aplazada</v>
      </c>
      <c r="CA293" s="1047" t="str">
        <f t="shared" ref="CA293:CA325" si="196">IF(Y293&gt;=0.1,AE293/Y293,IF(ISBLANK(Y293),"No Programada","Aplazada"))</f>
        <v>No Programada</v>
      </c>
      <c r="CB293" s="1047">
        <f t="shared" ref="CB293:CB325" si="197">IF(AA293&gt;=0.1,AF293/AA293,IF(ISBLANK(AA293),"No Programada","Aplazada"))</f>
        <v>0</v>
      </c>
      <c r="CD293" t="str">
        <f t="shared" ref="CD293:CG325" si="198">IF(BY293="PARA MODIFICAR","M",IF(BY293="PARA ELIMINAR","E",IF(BY293="aplazada","AZ",IF(BY293="no programada","NP",IF(BY293&gt;=85%,"VE",IF(BY293&gt;70%,"VEB",IF(BY293&gt;60%,"AM",IF(BY293&gt;40%,"AMB",IF(BY293&gt;20%,"RO",IF(BY293&gt;=0%,"ROB",""))))))))))</f>
        <v>AZ</v>
      </c>
      <c r="CE293" t="str">
        <f t="shared" si="198"/>
        <v>AZ</v>
      </c>
      <c r="CF293" t="str">
        <f t="shared" si="198"/>
        <v>NP</v>
      </c>
      <c r="CG293" t="str">
        <f t="shared" si="198"/>
        <v>ROB</v>
      </c>
    </row>
    <row r="294" spans="1:85" ht="75" customHeight="1" x14ac:dyDescent="0.3">
      <c r="A294" s="298" t="s">
        <v>896</v>
      </c>
      <c r="B294" s="299" t="str">
        <f>'PLAN INDICATIVO'!B294</f>
        <v>Agropecuario</v>
      </c>
      <c r="C294" s="1547"/>
      <c r="D294" s="1549"/>
      <c r="E294" s="1549"/>
      <c r="F294" s="1549"/>
      <c r="G294" s="1549"/>
      <c r="H294" s="1549"/>
      <c r="I294" s="300">
        <f>'PLAN INDICATIVO'!I294</f>
        <v>0</v>
      </c>
      <c r="J294" s="300">
        <f>'PLAN INDICATIVO'!J294</f>
        <v>0</v>
      </c>
      <c r="K294" s="1428" t="str">
        <f>'PLAN INDICATIVO'!K294</f>
        <v>A.8.1.2</v>
      </c>
      <c r="L294" s="301" t="str">
        <f>'PLAN INDICATIVO'!L294</f>
        <v>12. Producción y consumo responsables</v>
      </c>
      <c r="M294" s="301" t="str">
        <f>'PLAN INDICATIVO'!M294</f>
        <v>Unidad de Desarrollo Rural</v>
      </c>
      <c r="N294" s="1425" t="str">
        <f>'PLAN INDICATIVO'!N294</f>
        <v>GABRIEL ERNESTO CAMPOS ALVIRA</v>
      </c>
      <c r="O294" s="1425" t="str">
        <f>'PLAN INDICATIVO'!O294</f>
        <v>Incremento</v>
      </c>
      <c r="P294" s="16" t="str">
        <f>'PLAN INDICATIVO'!P294</f>
        <v>Presentar 14 proyectos productivos por grupos asociativos de mujer rural que permitan incorporarla a la equidad de género, con acompañamiento técnico y social, durante el cuatrienio</v>
      </c>
      <c r="Q294" s="302" t="str">
        <f>'PLAN INDICATIVO'!Q294</f>
        <v>No. De proyectos presentados</v>
      </c>
      <c r="R294" s="303">
        <f>'PLAN INDICATIVO'!R294</f>
        <v>2015</v>
      </c>
      <c r="S294" s="304">
        <v>0</v>
      </c>
      <c r="T294" s="498">
        <v>14</v>
      </c>
      <c r="U294" s="303">
        <v>5</v>
      </c>
      <c r="V294" s="687">
        <v>32000000</v>
      </c>
      <c r="W294" s="572">
        <v>5</v>
      </c>
      <c r="X294" s="687">
        <v>12000000</v>
      </c>
      <c r="Y294" s="1232">
        <v>3</v>
      </c>
      <c r="Z294" s="687">
        <v>2000000</v>
      </c>
      <c r="AA294" s="1310">
        <v>9</v>
      </c>
      <c r="AB294" s="687">
        <v>3000000</v>
      </c>
      <c r="AC294" s="665">
        <v>5</v>
      </c>
      <c r="AD294" s="665">
        <v>5</v>
      </c>
      <c r="AE294" s="665">
        <v>0</v>
      </c>
      <c r="AF294" s="665"/>
      <c r="AG294" s="919" t="s">
        <v>4214</v>
      </c>
      <c r="AH294" s="307" t="s">
        <v>4215</v>
      </c>
      <c r="AI294" s="307"/>
      <c r="AJ294" s="309"/>
      <c r="AK294" s="308"/>
      <c r="AL294" s="308"/>
      <c r="AM294" s="308"/>
      <c r="AN294" s="267" t="s">
        <v>2600</v>
      </c>
      <c r="AO294" s="507"/>
      <c r="AP294" s="965"/>
      <c r="AQ294" s="966"/>
      <c r="AR294" s="966"/>
      <c r="AS294" s="966"/>
      <c r="AT294" s="966"/>
      <c r="AU294" s="966"/>
      <c r="AV294" s="966"/>
      <c r="AW294" s="1215">
        <f t="shared" si="193"/>
        <v>0</v>
      </c>
      <c r="AX294" s="525"/>
      <c r="AY294" s="310"/>
      <c r="AZ294" s="310"/>
      <c r="BA294" s="310"/>
      <c r="BB294" s="310"/>
      <c r="BC294" s="310"/>
      <c r="BD294" s="310"/>
      <c r="BE294" s="544">
        <f t="shared" si="185"/>
        <v>0</v>
      </c>
      <c r="BF294" s="525"/>
      <c r="BG294" s="310"/>
      <c r="BH294" s="310"/>
      <c r="BI294" s="310"/>
      <c r="BJ294" s="310"/>
      <c r="BK294" s="310"/>
      <c r="BL294" s="310"/>
      <c r="BM294" s="544">
        <f t="shared" si="186"/>
        <v>0</v>
      </c>
      <c r="BN294" s="525"/>
      <c r="BO294" s="310"/>
      <c r="BP294" s="310"/>
      <c r="BQ294" s="310"/>
      <c r="BR294" s="310"/>
      <c r="BS294" s="310"/>
      <c r="BT294" s="310"/>
      <c r="BU294" s="544">
        <f t="shared" si="187"/>
        <v>0</v>
      </c>
      <c r="BV294" s="556"/>
      <c r="BW294" s="663">
        <f t="shared" si="175"/>
        <v>10</v>
      </c>
      <c r="BX294" s="1047">
        <f t="shared" si="184"/>
        <v>0.7142857142857143</v>
      </c>
      <c r="BY294" s="1047">
        <f t="shared" si="194"/>
        <v>1</v>
      </c>
      <c r="BZ294" s="1047">
        <f t="shared" si="195"/>
        <v>1</v>
      </c>
      <c r="CA294" s="1047">
        <f t="shared" si="196"/>
        <v>0</v>
      </c>
      <c r="CB294" s="1047">
        <f t="shared" si="197"/>
        <v>0</v>
      </c>
      <c r="CD294" t="str">
        <f t="shared" si="198"/>
        <v>VE</v>
      </c>
      <c r="CE294" t="str">
        <f t="shared" si="198"/>
        <v>VE</v>
      </c>
      <c r="CF294" t="str">
        <f t="shared" si="198"/>
        <v>ROB</v>
      </c>
      <c r="CG294" t="str">
        <f t="shared" si="198"/>
        <v>ROB</v>
      </c>
    </row>
    <row r="295" spans="1:85" ht="84" customHeight="1" x14ac:dyDescent="0.3">
      <c r="A295" s="298" t="s">
        <v>896</v>
      </c>
      <c r="B295" s="299" t="str">
        <f>'PLAN INDICATIVO'!B295</f>
        <v>Agropecuario</v>
      </c>
      <c r="C295" s="1547"/>
      <c r="D295" s="1549"/>
      <c r="E295" s="1549"/>
      <c r="F295" s="1549"/>
      <c r="G295" s="1549"/>
      <c r="H295" s="1549"/>
      <c r="I295" s="300">
        <f>'PLAN INDICATIVO'!I295</f>
        <v>0</v>
      </c>
      <c r="J295" s="300">
        <f>'PLAN INDICATIVO'!J295</f>
        <v>0</v>
      </c>
      <c r="K295" s="1428" t="str">
        <f>'PLAN INDICATIVO'!K295</f>
        <v>A.8.1.3</v>
      </c>
      <c r="L295" s="301" t="str">
        <f>'PLAN INDICATIVO'!L295</f>
        <v>12. Producción y consumo responsables</v>
      </c>
      <c r="M295" s="301" t="str">
        <f>'PLAN INDICATIVO'!M295</f>
        <v>Unidad de Desarrollo Rural</v>
      </c>
      <c r="N295" s="1425" t="str">
        <f>'PLAN INDICATIVO'!N295</f>
        <v>GABRIEL ERNESTO CAMPOS ALVIRA</v>
      </c>
      <c r="O295" s="1425" t="str">
        <f>'PLAN INDICATIVO'!O295</f>
        <v>Incremento</v>
      </c>
      <c r="P295" s="16" t="str">
        <f>'PLAN INDICATIVO'!P295</f>
        <v>Apoyar 3 proyectos de comercialización de productos agropecuarios con acompañamiento técnico y social durante el cuatrienio.</v>
      </c>
      <c r="Q295" s="302" t="str">
        <f>'PLAN INDICATIVO'!Q295</f>
        <v xml:space="preserve">No. De proyectos apoyados </v>
      </c>
      <c r="R295" s="303">
        <f>'PLAN INDICATIVO'!R295</f>
        <v>2015</v>
      </c>
      <c r="S295" s="304">
        <v>0</v>
      </c>
      <c r="T295" s="498">
        <v>3</v>
      </c>
      <c r="U295" s="303">
        <v>0</v>
      </c>
      <c r="V295" s="687">
        <v>2000000</v>
      </c>
      <c r="W295" s="572">
        <v>1</v>
      </c>
      <c r="X295" s="687">
        <v>2000000</v>
      </c>
      <c r="Y295" s="1232">
        <v>1</v>
      </c>
      <c r="Z295" s="1233">
        <v>2000000</v>
      </c>
      <c r="AA295" s="1310">
        <v>2</v>
      </c>
      <c r="AB295" s="687">
        <v>3000000</v>
      </c>
      <c r="AC295" s="665">
        <v>1</v>
      </c>
      <c r="AD295" s="665">
        <v>1</v>
      </c>
      <c r="AE295" s="665">
        <v>0</v>
      </c>
      <c r="AF295" s="665"/>
      <c r="AG295" s="919" t="s">
        <v>4214</v>
      </c>
      <c r="AH295" s="307" t="s">
        <v>4216</v>
      </c>
      <c r="AI295" s="307"/>
      <c r="AJ295" s="309">
        <v>43464</v>
      </c>
      <c r="AK295" s="308"/>
      <c r="AL295" s="308"/>
      <c r="AM295" s="308"/>
      <c r="AN295" s="267" t="s">
        <v>2600</v>
      </c>
      <c r="AO295" s="507"/>
      <c r="AP295" s="965"/>
      <c r="AQ295" s="966">
        <v>5000000</v>
      </c>
      <c r="AR295" s="966"/>
      <c r="AS295" s="966"/>
      <c r="AT295" s="966"/>
      <c r="AU295" s="966"/>
      <c r="AV295" s="966"/>
      <c r="AW295" s="1215"/>
      <c r="AX295" s="525"/>
      <c r="AY295" s="310"/>
      <c r="AZ295" s="310"/>
      <c r="BA295" s="310"/>
      <c r="BB295" s="310"/>
      <c r="BC295" s="310"/>
      <c r="BD295" s="310"/>
      <c r="BE295" s="544">
        <f t="shared" si="185"/>
        <v>0</v>
      </c>
      <c r="BF295" s="525"/>
      <c r="BG295" s="310"/>
      <c r="BH295" s="310"/>
      <c r="BI295" s="310"/>
      <c r="BJ295" s="310"/>
      <c r="BK295" s="310"/>
      <c r="BL295" s="310"/>
      <c r="BM295" s="544">
        <f t="shared" si="186"/>
        <v>0</v>
      </c>
      <c r="BN295" s="525"/>
      <c r="BO295" s="310"/>
      <c r="BP295" s="310"/>
      <c r="BQ295" s="310"/>
      <c r="BR295" s="310"/>
      <c r="BS295" s="310"/>
      <c r="BT295" s="310"/>
      <c r="BU295" s="544">
        <f t="shared" si="187"/>
        <v>0</v>
      </c>
      <c r="BV295" s="556"/>
      <c r="BW295" s="663">
        <f t="shared" si="175"/>
        <v>2</v>
      </c>
      <c r="BX295" s="1047">
        <f t="shared" si="184"/>
        <v>0.66666666666666663</v>
      </c>
      <c r="BY295" s="1047" t="str">
        <f t="shared" si="194"/>
        <v>Aplazada</v>
      </c>
      <c r="BZ295" s="1047">
        <f t="shared" si="195"/>
        <v>1</v>
      </c>
      <c r="CA295" s="1047">
        <f t="shared" si="196"/>
        <v>0</v>
      </c>
      <c r="CB295" s="1047">
        <f t="shared" si="197"/>
        <v>0</v>
      </c>
      <c r="CD295" t="str">
        <f t="shared" si="198"/>
        <v>AZ</v>
      </c>
      <c r="CE295" t="str">
        <f t="shared" si="198"/>
        <v>VE</v>
      </c>
      <c r="CF295" t="str">
        <f t="shared" si="198"/>
        <v>ROB</v>
      </c>
      <c r="CG295" t="str">
        <f t="shared" si="198"/>
        <v>ROB</v>
      </c>
    </row>
    <row r="296" spans="1:85" ht="97.5" customHeight="1" x14ac:dyDescent="0.3">
      <c r="A296" s="298" t="s">
        <v>896</v>
      </c>
      <c r="B296" s="299" t="str">
        <f>'PLAN INDICATIVO'!B296</f>
        <v>Agropecuario</v>
      </c>
      <c r="C296" s="1547"/>
      <c r="D296" s="1549"/>
      <c r="E296" s="1549"/>
      <c r="F296" s="1549"/>
      <c r="G296" s="1549"/>
      <c r="H296" s="1549"/>
      <c r="I296" s="300">
        <f>'PLAN INDICATIVO'!I296</f>
        <v>0</v>
      </c>
      <c r="J296" s="300">
        <f>'PLAN INDICATIVO'!J296</f>
        <v>0</v>
      </c>
      <c r="K296" s="1428" t="str">
        <f>'PLAN INDICATIVO'!K296</f>
        <v>A.8.1.4</v>
      </c>
      <c r="L296" s="301" t="str">
        <f>'PLAN INDICATIVO'!L296</f>
        <v>12. Producción y consumo responsables</v>
      </c>
      <c r="M296" s="301" t="str">
        <f>'PLAN INDICATIVO'!M296</f>
        <v>Unidad de Desarrollo Rural</v>
      </c>
      <c r="N296" s="1425" t="str">
        <f>'PLAN INDICATIVO'!N296</f>
        <v>GABRIEL ERNESTO CAMPOS ALVIRA</v>
      </c>
      <c r="O296" s="1425" t="str">
        <f>'PLAN INDICATIVO'!O296</f>
        <v>Incremento</v>
      </c>
      <c r="P296" s="16" t="str">
        <f>'PLAN INDICATIVO'!P296</f>
        <v>Realizar 4 campañas donde permita la sanidad agropecuaria e inocuidad de los alimentos en el Municipio durante el cuatrienio</v>
      </c>
      <c r="Q296" s="302" t="str">
        <f>'PLAN INDICATIVO'!Q296</f>
        <v>No. De campañas realizadas</v>
      </c>
      <c r="R296" s="303">
        <f>'PLAN INDICATIVO'!R296</f>
        <v>2015</v>
      </c>
      <c r="S296" s="304">
        <v>0</v>
      </c>
      <c r="T296" s="498">
        <v>4</v>
      </c>
      <c r="U296" s="303">
        <v>1</v>
      </c>
      <c r="V296" s="687">
        <v>2000000</v>
      </c>
      <c r="W296" s="572">
        <v>1</v>
      </c>
      <c r="X296" s="687">
        <v>1000000</v>
      </c>
      <c r="Y296" s="1232">
        <v>1</v>
      </c>
      <c r="Z296" s="1233">
        <v>1000000</v>
      </c>
      <c r="AA296" s="1310"/>
      <c r="AB296" s="687">
        <v>1000000</v>
      </c>
      <c r="AC296" s="665">
        <v>1</v>
      </c>
      <c r="AD296" s="665">
        <v>2</v>
      </c>
      <c r="AE296" s="665">
        <v>1</v>
      </c>
      <c r="AF296" s="665"/>
      <c r="AG296" s="919" t="s">
        <v>4214</v>
      </c>
      <c r="AH296" s="307" t="s">
        <v>4217</v>
      </c>
      <c r="AI296" s="335" t="s">
        <v>4218</v>
      </c>
      <c r="AJ296" s="335">
        <v>43281</v>
      </c>
      <c r="AK296" s="308"/>
      <c r="AL296" s="308"/>
      <c r="AM296" s="308"/>
      <c r="AN296" s="267" t="s">
        <v>2598</v>
      </c>
      <c r="AO296" s="507" t="s">
        <v>4219</v>
      </c>
      <c r="AP296" s="965"/>
      <c r="AQ296" s="966">
        <v>5466700</v>
      </c>
      <c r="AR296" s="966"/>
      <c r="AS296" s="966"/>
      <c r="AT296" s="966"/>
      <c r="AU296" s="966"/>
      <c r="AV296" s="966"/>
      <c r="AW296" s="1215">
        <f t="shared" si="193"/>
        <v>5466700</v>
      </c>
      <c r="AX296" s="525"/>
      <c r="AY296" s="310"/>
      <c r="AZ296" s="310"/>
      <c r="BA296" s="310"/>
      <c r="BB296" s="310"/>
      <c r="BC296" s="310"/>
      <c r="BD296" s="310"/>
      <c r="BE296" s="544">
        <f t="shared" si="185"/>
        <v>0</v>
      </c>
      <c r="BF296" s="525"/>
      <c r="BG296" s="310">
        <v>1033300</v>
      </c>
      <c r="BH296" s="310"/>
      <c r="BI296" s="310"/>
      <c r="BJ296" s="310"/>
      <c r="BK296" s="310"/>
      <c r="BL296" s="310"/>
      <c r="BM296" s="544">
        <f t="shared" si="186"/>
        <v>1033300</v>
      </c>
      <c r="BN296" s="525"/>
      <c r="BO296" s="310"/>
      <c r="BP296" s="310"/>
      <c r="BQ296" s="310"/>
      <c r="BR296" s="310"/>
      <c r="BS296" s="310"/>
      <c r="BT296" s="310"/>
      <c r="BU296" s="544">
        <f t="shared" si="187"/>
        <v>0</v>
      </c>
      <c r="BV296" s="556"/>
      <c r="BW296" s="663">
        <f t="shared" si="175"/>
        <v>4</v>
      </c>
      <c r="BX296" s="1047">
        <f t="shared" si="184"/>
        <v>1</v>
      </c>
      <c r="BY296" s="1047">
        <f t="shared" si="194"/>
        <v>1</v>
      </c>
      <c r="BZ296" s="1047">
        <f t="shared" si="195"/>
        <v>2</v>
      </c>
      <c r="CA296" s="1047">
        <f t="shared" si="196"/>
        <v>1</v>
      </c>
      <c r="CB296" s="1047" t="str">
        <f t="shared" si="197"/>
        <v>No Programada</v>
      </c>
      <c r="CD296" t="str">
        <f t="shared" si="198"/>
        <v>VE</v>
      </c>
      <c r="CE296" t="str">
        <f t="shared" si="198"/>
        <v>VE</v>
      </c>
      <c r="CF296" t="str">
        <f t="shared" si="198"/>
        <v>VE</v>
      </c>
      <c r="CG296" t="str">
        <f t="shared" si="198"/>
        <v>NP</v>
      </c>
    </row>
    <row r="297" spans="1:85" ht="63" customHeight="1" x14ac:dyDescent="0.3">
      <c r="A297" s="298" t="s">
        <v>896</v>
      </c>
      <c r="B297" s="299" t="str">
        <f>'PLAN INDICATIVO'!B297</f>
        <v>Agropecuario</v>
      </c>
      <c r="C297" s="1547"/>
      <c r="D297" s="1549"/>
      <c r="E297" s="1549"/>
      <c r="F297" s="1549"/>
      <c r="G297" s="1549"/>
      <c r="H297" s="1549"/>
      <c r="I297" s="300">
        <f>'PLAN INDICATIVO'!I297</f>
        <v>0</v>
      </c>
      <c r="J297" s="300">
        <f>'PLAN INDICATIVO'!J297</f>
        <v>0</v>
      </c>
      <c r="K297" s="1428" t="str">
        <f>'PLAN INDICATIVO'!K297</f>
        <v>A.8.1.5</v>
      </c>
      <c r="L297" s="301" t="str">
        <f>'PLAN INDICATIVO'!L297</f>
        <v>12. Producción y consumo responsables</v>
      </c>
      <c r="M297" s="301" t="str">
        <f>'PLAN INDICATIVO'!M297</f>
        <v>Unidad de Desarrollo Rural</v>
      </c>
      <c r="N297" s="1425" t="str">
        <f>'PLAN INDICATIVO'!N297</f>
        <v>GABRIEL ERNESTO CAMPOS ALVIRA</v>
      </c>
      <c r="O297" s="1425" t="str">
        <f>'PLAN INDICATIVO'!O297</f>
        <v>Incremento</v>
      </c>
      <c r="P297" s="16" t="str">
        <f>'PLAN INDICATIVO'!P297</f>
        <v xml:space="preserve">Mantener la frontera agrícola a 100 has de cultivos estacionarios y no estacionarios, durante el cuatrienio </v>
      </c>
      <c r="Q297" s="302" t="str">
        <f>'PLAN INDICATIVO'!Q297</f>
        <v>No. De hectáreas diversificadas con cultivos estacionarios y no estacionarios</v>
      </c>
      <c r="R297" s="303">
        <f>'PLAN INDICATIVO'!R297</f>
        <v>2015</v>
      </c>
      <c r="S297" s="304">
        <v>0</v>
      </c>
      <c r="T297" s="498">
        <v>100</v>
      </c>
      <c r="U297" s="303">
        <v>0</v>
      </c>
      <c r="V297" s="687">
        <v>5000000</v>
      </c>
      <c r="W297" s="572">
        <v>33</v>
      </c>
      <c r="X297" s="687">
        <v>5000000</v>
      </c>
      <c r="Y297" s="1232">
        <v>33</v>
      </c>
      <c r="Z297" s="1233">
        <v>5000000</v>
      </c>
      <c r="AA297" s="1310">
        <v>34</v>
      </c>
      <c r="AB297" s="687">
        <v>7000000</v>
      </c>
      <c r="AC297" s="665"/>
      <c r="AD297" s="665">
        <v>33</v>
      </c>
      <c r="AE297" s="665">
        <v>33</v>
      </c>
      <c r="AF297" s="665"/>
      <c r="AG297" s="919"/>
      <c r="AH297" s="307" t="s">
        <v>4220</v>
      </c>
      <c r="AI297" s="307" t="s">
        <v>4221</v>
      </c>
      <c r="AJ297" s="309">
        <v>43435</v>
      </c>
      <c r="AK297" s="308"/>
      <c r="AL297" s="308"/>
      <c r="AM297" s="308"/>
      <c r="AN297" s="267" t="s">
        <v>2598</v>
      </c>
      <c r="AO297" s="507" t="s">
        <v>4222</v>
      </c>
      <c r="AP297" s="965">
        <v>20000000</v>
      </c>
      <c r="AQ297" s="966"/>
      <c r="AR297" s="966"/>
      <c r="AS297" s="966"/>
      <c r="AT297" s="966"/>
      <c r="AU297" s="966"/>
      <c r="AV297" s="966"/>
      <c r="AW297" s="1215">
        <f t="shared" si="193"/>
        <v>20000000</v>
      </c>
      <c r="AX297" s="525"/>
      <c r="AY297" s="310"/>
      <c r="AZ297" s="310"/>
      <c r="BA297" s="310"/>
      <c r="BB297" s="310"/>
      <c r="BC297" s="310"/>
      <c r="BD297" s="310"/>
      <c r="BE297" s="544">
        <f t="shared" si="185"/>
        <v>0</v>
      </c>
      <c r="BF297" s="525">
        <f>10000000+30000000</f>
        <v>40000000</v>
      </c>
      <c r="BG297" s="310"/>
      <c r="BH297" s="310"/>
      <c r="BI297" s="310"/>
      <c r="BJ297" s="310"/>
      <c r="BK297" s="310"/>
      <c r="BL297" s="310"/>
      <c r="BM297" s="544">
        <f t="shared" si="186"/>
        <v>40000000</v>
      </c>
      <c r="BN297" s="525"/>
      <c r="BO297" s="310"/>
      <c r="BP297" s="310"/>
      <c r="BQ297" s="310"/>
      <c r="BR297" s="310"/>
      <c r="BS297" s="310"/>
      <c r="BT297" s="310"/>
      <c r="BU297" s="544">
        <f t="shared" si="187"/>
        <v>0</v>
      </c>
      <c r="BV297" s="556"/>
      <c r="BW297" s="663">
        <f t="shared" si="175"/>
        <v>66</v>
      </c>
      <c r="BX297" s="1047">
        <f t="shared" si="184"/>
        <v>0.66</v>
      </c>
      <c r="BY297" s="1047" t="str">
        <f t="shared" si="194"/>
        <v>Aplazada</v>
      </c>
      <c r="BZ297" s="1047">
        <f t="shared" si="195"/>
        <v>1</v>
      </c>
      <c r="CA297" s="1047">
        <f t="shared" si="196"/>
        <v>1</v>
      </c>
      <c r="CB297" s="1047">
        <f t="shared" si="197"/>
        <v>0</v>
      </c>
      <c r="CD297" t="str">
        <f t="shared" si="198"/>
        <v>AZ</v>
      </c>
      <c r="CE297" t="str">
        <f t="shared" si="198"/>
        <v>VE</v>
      </c>
      <c r="CF297" t="str">
        <f t="shared" si="198"/>
        <v>VE</v>
      </c>
      <c r="CG297" t="str">
        <f t="shared" si="198"/>
        <v>ROB</v>
      </c>
    </row>
    <row r="298" spans="1:85" ht="83.25" customHeight="1" x14ac:dyDescent="0.3">
      <c r="A298" s="298" t="s">
        <v>896</v>
      </c>
      <c r="B298" s="299" t="str">
        <f>'PLAN INDICATIVO'!B298</f>
        <v>Agropecuario</v>
      </c>
      <c r="C298" s="1547"/>
      <c r="D298" s="1549"/>
      <c r="E298" s="1549"/>
      <c r="F298" s="1549"/>
      <c r="G298" s="1549"/>
      <c r="H298" s="1549"/>
      <c r="I298" s="300">
        <f>'PLAN INDICATIVO'!I298</f>
        <v>0</v>
      </c>
      <c r="J298" s="300">
        <f>'PLAN INDICATIVO'!J298</f>
        <v>0</v>
      </c>
      <c r="K298" s="1428" t="str">
        <f>'PLAN INDICATIVO'!K298</f>
        <v>A.8.1.6</v>
      </c>
      <c r="L298" s="301" t="str">
        <f>'PLAN INDICATIVO'!L298</f>
        <v>12. Producción y consumo responsables</v>
      </c>
      <c r="M298" s="301" t="str">
        <f>'PLAN INDICATIVO'!M298</f>
        <v>Unidad de Desarrollo Rural</v>
      </c>
      <c r="N298" s="1425" t="str">
        <f>'PLAN INDICATIVO'!N298</f>
        <v>GABRIEL ERNESTO CAMPOS ALVIRA</v>
      </c>
      <c r="O298" s="1425" t="str">
        <f>'PLAN INDICATIVO'!O298</f>
        <v>Mantenimiento</v>
      </c>
      <c r="P298" s="16" t="str">
        <f>'PLAN INDICATIVO'!P298</f>
        <v xml:space="preserve">Mantener 1 convenio suscritos con el comité de cafeteros para el mejoramiento del sector cada año, durante el cuatrienio </v>
      </c>
      <c r="Q298" s="302" t="str">
        <f>'PLAN INDICATIVO'!Q298</f>
        <v>No. De convenios suscritos por año</v>
      </c>
      <c r="R298" s="303">
        <f>'PLAN INDICATIVO'!R298</f>
        <v>2015</v>
      </c>
      <c r="S298" s="304">
        <v>0</v>
      </c>
      <c r="T298" s="498">
        <v>1</v>
      </c>
      <c r="U298" s="303">
        <v>0.25</v>
      </c>
      <c r="V298" s="687">
        <v>10000000</v>
      </c>
      <c r="W298" s="572">
        <v>0.25</v>
      </c>
      <c r="X298" s="687">
        <v>35000000</v>
      </c>
      <c r="Y298" s="1232">
        <v>0.5</v>
      </c>
      <c r="Z298" s="1233">
        <v>35000000</v>
      </c>
      <c r="AA298" s="1310">
        <v>0.25</v>
      </c>
      <c r="AB298" s="687">
        <v>40000000</v>
      </c>
      <c r="AC298" s="665">
        <v>0</v>
      </c>
      <c r="AD298" s="665">
        <v>0.25</v>
      </c>
      <c r="AE298" s="665">
        <v>0.5</v>
      </c>
      <c r="AF298" s="665"/>
      <c r="AG298" s="919" t="s">
        <v>4214</v>
      </c>
      <c r="AH298" s="307" t="s">
        <v>4223</v>
      </c>
      <c r="AI298" s="307" t="s">
        <v>4224</v>
      </c>
      <c r="AJ298" s="335">
        <v>11293</v>
      </c>
      <c r="AK298" s="308"/>
      <c r="AL298" s="308"/>
      <c r="AM298" s="308"/>
      <c r="AN298" s="267" t="s">
        <v>2598</v>
      </c>
      <c r="AO298" s="510"/>
      <c r="AP298" s="969"/>
      <c r="AQ298" s="966"/>
      <c r="AR298" s="966"/>
      <c r="AS298" s="966"/>
      <c r="AT298" s="966"/>
      <c r="AU298" s="966"/>
      <c r="AV298" s="966">
        <v>9046700</v>
      </c>
      <c r="AW298" s="1216">
        <f t="shared" si="193"/>
        <v>9046700</v>
      </c>
      <c r="AX298" s="525"/>
      <c r="AY298" s="310"/>
      <c r="AZ298" s="310"/>
      <c r="BA298" s="310"/>
      <c r="BB298" s="310"/>
      <c r="BC298" s="310"/>
      <c r="BD298" s="310"/>
      <c r="BE298" s="544">
        <f t="shared" si="185"/>
        <v>0</v>
      </c>
      <c r="BF298" s="525"/>
      <c r="BG298" s="310"/>
      <c r="BH298" s="310"/>
      <c r="BI298" s="310"/>
      <c r="BJ298" s="310"/>
      <c r="BK298" s="310"/>
      <c r="BL298" s="310"/>
      <c r="BM298" s="544">
        <f t="shared" si="186"/>
        <v>0</v>
      </c>
      <c r="BN298" s="525"/>
      <c r="BO298" s="310"/>
      <c r="BP298" s="310"/>
      <c r="BQ298" s="310"/>
      <c r="BR298" s="310"/>
      <c r="BS298" s="310"/>
      <c r="BT298" s="310"/>
      <c r="BU298" s="544">
        <f t="shared" si="187"/>
        <v>0</v>
      </c>
      <c r="BV298" s="556"/>
      <c r="BW298" s="663">
        <f t="shared" si="175"/>
        <v>0.75</v>
      </c>
      <c r="BX298" s="1047">
        <f t="shared" si="184"/>
        <v>0.75</v>
      </c>
      <c r="BY298" s="1047">
        <f t="shared" si="194"/>
        <v>0</v>
      </c>
      <c r="BZ298" s="1047">
        <f t="shared" si="195"/>
        <v>1</v>
      </c>
      <c r="CA298" s="1047">
        <f t="shared" si="196"/>
        <v>1</v>
      </c>
      <c r="CB298" s="1047">
        <f t="shared" si="197"/>
        <v>0</v>
      </c>
      <c r="CD298" t="str">
        <f t="shared" si="198"/>
        <v>ROB</v>
      </c>
      <c r="CE298" t="str">
        <f t="shared" si="198"/>
        <v>VE</v>
      </c>
      <c r="CF298" t="str">
        <f t="shared" si="198"/>
        <v>VE</v>
      </c>
      <c r="CG298" t="str">
        <f t="shared" si="198"/>
        <v>ROB</v>
      </c>
    </row>
    <row r="299" spans="1:85" ht="82.5" customHeight="1" x14ac:dyDescent="0.3">
      <c r="A299" s="298" t="s">
        <v>896</v>
      </c>
      <c r="B299" s="299" t="str">
        <f>'PLAN INDICATIVO'!B299</f>
        <v>Agropecuario</v>
      </c>
      <c r="C299" s="1547"/>
      <c r="D299" s="1549"/>
      <c r="E299" s="1549"/>
      <c r="F299" s="1549"/>
      <c r="G299" s="1549"/>
      <c r="H299" s="1549"/>
      <c r="I299" s="300">
        <f>'PLAN INDICATIVO'!I299</f>
        <v>0</v>
      </c>
      <c r="J299" s="300">
        <f>'PLAN INDICATIVO'!J299</f>
        <v>0</v>
      </c>
      <c r="K299" s="1428" t="str">
        <f>'PLAN INDICATIVO'!K299</f>
        <v>A.8.1.7</v>
      </c>
      <c r="L299" s="301" t="str">
        <f>'PLAN INDICATIVO'!L299</f>
        <v>12. Producción y consumo responsables</v>
      </c>
      <c r="M299" s="301" t="str">
        <f>'PLAN INDICATIVO'!M299</f>
        <v>Unidad de Desarrollo Rural</v>
      </c>
      <c r="N299" s="1425" t="str">
        <f>'PLAN INDICATIVO'!N299</f>
        <v>GABRIEL ERNESTO CAMPOS ALVIRA</v>
      </c>
      <c r="O299" s="1425" t="str">
        <f>'PLAN INDICATIVO'!O299</f>
        <v>Incremento</v>
      </c>
      <c r="P299" s="16" t="str">
        <f>'PLAN INDICATIVO'!P299</f>
        <v>Otorgar 25 apoyos   a  las asociaciones o Empresarios del Campo del municipio de la Plata, durante el cuatrienio.</v>
      </c>
      <c r="Q299" s="302" t="str">
        <f>'PLAN INDICATIVO'!Q299</f>
        <v>No. De apoyos otorgados</v>
      </c>
      <c r="R299" s="303">
        <f>'PLAN INDICATIVO'!R299</f>
        <v>2015</v>
      </c>
      <c r="S299" s="304">
        <v>0</v>
      </c>
      <c r="T299" s="498">
        <v>25</v>
      </c>
      <c r="U299" s="303">
        <v>6</v>
      </c>
      <c r="V299" s="687">
        <v>3000000</v>
      </c>
      <c r="W299" s="572">
        <v>6</v>
      </c>
      <c r="X299" s="687">
        <v>2000000</v>
      </c>
      <c r="Y299" s="1232">
        <v>6</v>
      </c>
      <c r="Z299" s="1233">
        <v>5000000</v>
      </c>
      <c r="AA299" s="1310">
        <v>7</v>
      </c>
      <c r="AB299" s="687">
        <v>5000000</v>
      </c>
      <c r="AC299" s="665">
        <v>6</v>
      </c>
      <c r="AD299" s="899">
        <v>6</v>
      </c>
      <c r="AE299" s="665">
        <v>6</v>
      </c>
      <c r="AF299" s="665"/>
      <c r="AG299" s="919" t="s">
        <v>4214</v>
      </c>
      <c r="AH299" s="336" t="s">
        <v>4225</v>
      </c>
      <c r="AI299" s="336" t="s">
        <v>4226</v>
      </c>
      <c r="AJ299" s="309">
        <v>43464</v>
      </c>
      <c r="AK299" s="308"/>
      <c r="AL299" s="308"/>
      <c r="AM299" s="308"/>
      <c r="AN299" s="267" t="s">
        <v>2598</v>
      </c>
      <c r="AO299" s="924" t="s">
        <v>4227</v>
      </c>
      <c r="AP299" s="965">
        <v>20000000</v>
      </c>
      <c r="AQ299" s="966">
        <v>19000000</v>
      </c>
      <c r="AR299" s="966"/>
      <c r="AS299" s="966"/>
      <c r="AT299" s="966"/>
      <c r="AU299" s="966"/>
      <c r="AV299" s="966"/>
      <c r="AW299" s="1215">
        <f t="shared" si="193"/>
        <v>39000000</v>
      </c>
      <c r="AX299" s="525"/>
      <c r="AY299" s="310"/>
      <c r="AZ299" s="310"/>
      <c r="BA299" s="310"/>
      <c r="BB299" s="310"/>
      <c r="BC299" s="310"/>
      <c r="BD299" s="310"/>
      <c r="BE299" s="544">
        <f t="shared" si="185"/>
        <v>0</v>
      </c>
      <c r="BF299" s="525"/>
      <c r="BG299" s="310">
        <v>21000000</v>
      </c>
      <c r="BH299" s="310"/>
      <c r="BI299" s="310"/>
      <c r="BJ299" s="310"/>
      <c r="BK299" s="310"/>
      <c r="BL299" s="310"/>
      <c r="BM299" s="544">
        <f t="shared" si="186"/>
        <v>21000000</v>
      </c>
      <c r="BN299" s="525"/>
      <c r="BO299" s="310"/>
      <c r="BP299" s="310"/>
      <c r="BQ299" s="310"/>
      <c r="BR299" s="310"/>
      <c r="BS299" s="310"/>
      <c r="BT299" s="310"/>
      <c r="BU299" s="544">
        <f t="shared" si="187"/>
        <v>0</v>
      </c>
      <c r="BV299" s="556"/>
      <c r="BW299" s="663">
        <f t="shared" si="175"/>
        <v>18</v>
      </c>
      <c r="BX299" s="1047">
        <f t="shared" si="184"/>
        <v>0.72</v>
      </c>
      <c r="BY299" s="1047">
        <f t="shared" si="194"/>
        <v>1</v>
      </c>
      <c r="BZ299" s="1047">
        <f t="shared" si="195"/>
        <v>1</v>
      </c>
      <c r="CA299" s="1047">
        <f t="shared" si="196"/>
        <v>1</v>
      </c>
      <c r="CB299" s="1047">
        <f t="shared" si="197"/>
        <v>0</v>
      </c>
      <c r="CD299" t="str">
        <f t="shared" si="198"/>
        <v>VE</v>
      </c>
      <c r="CE299" t="str">
        <f t="shared" si="198"/>
        <v>VE</v>
      </c>
      <c r="CF299" t="str">
        <f t="shared" si="198"/>
        <v>VE</v>
      </c>
      <c r="CG299" t="str">
        <f t="shared" si="198"/>
        <v>ROB</v>
      </c>
    </row>
    <row r="300" spans="1:85" ht="101.25" customHeight="1" x14ac:dyDescent="0.3">
      <c r="A300" s="298" t="s">
        <v>896</v>
      </c>
      <c r="B300" s="299" t="str">
        <f>'PLAN INDICATIVO'!B300</f>
        <v>Agropecuario</v>
      </c>
      <c r="C300" s="1547"/>
      <c r="D300" s="1549"/>
      <c r="E300" s="1549"/>
      <c r="F300" s="1549"/>
      <c r="G300" s="1549"/>
      <c r="H300" s="1549"/>
      <c r="I300" s="300">
        <f>'PLAN INDICATIVO'!I300</f>
        <v>0</v>
      </c>
      <c r="J300" s="300">
        <f>'PLAN INDICATIVO'!J300</f>
        <v>0</v>
      </c>
      <c r="K300" s="1428" t="str">
        <f>'PLAN INDICATIVO'!K300</f>
        <v>A.8.1.8</v>
      </c>
      <c r="L300" s="301" t="str">
        <f>'PLAN INDICATIVO'!L300</f>
        <v>12. Producción y consumo responsables</v>
      </c>
      <c r="M300" s="301" t="str">
        <f>'PLAN INDICATIVO'!M300</f>
        <v>Unidad de Desarrollo Rural</v>
      </c>
      <c r="N300" s="1425" t="str">
        <f>'PLAN INDICATIVO'!N300</f>
        <v>GABRIEL ERNESTO CAMPOS ALVIRA</v>
      </c>
      <c r="O300" s="1425" t="str">
        <f>'PLAN INDICATIVO'!O300</f>
        <v>Incremento</v>
      </c>
      <c r="P300" s="16" t="str">
        <f>'PLAN INDICATIVO'!P300</f>
        <v>Brindar a 800 productores agropecuarios asistencia técnica para mejorar producción agropecuaria durante el cuatrienio</v>
      </c>
      <c r="Q300" s="302" t="str">
        <f>'PLAN INDICATIVO'!Q300</f>
        <v>No. De productores agropecuarios con asistencia técnica</v>
      </c>
      <c r="R300" s="303">
        <f>'PLAN INDICATIVO'!R300</f>
        <v>2015</v>
      </c>
      <c r="S300" s="304">
        <v>400</v>
      </c>
      <c r="T300" s="498">
        <v>800</v>
      </c>
      <c r="U300" s="303">
        <v>200</v>
      </c>
      <c r="V300" s="687">
        <v>10000000</v>
      </c>
      <c r="W300" s="572">
        <v>200</v>
      </c>
      <c r="X300" s="687">
        <v>5000000</v>
      </c>
      <c r="Y300" s="1232">
        <v>300</v>
      </c>
      <c r="Z300" s="1233">
        <v>5000000</v>
      </c>
      <c r="AA300" s="1310">
        <v>50</v>
      </c>
      <c r="AB300" s="687">
        <v>12000000</v>
      </c>
      <c r="AC300" s="665">
        <v>200</v>
      </c>
      <c r="AD300" s="665">
        <v>250</v>
      </c>
      <c r="AE300" s="665">
        <v>300</v>
      </c>
      <c r="AF300" s="665"/>
      <c r="AG300" s="919" t="s">
        <v>4214</v>
      </c>
      <c r="AH300" s="336" t="s">
        <v>4228</v>
      </c>
      <c r="AI300" s="336" t="s">
        <v>4229</v>
      </c>
      <c r="AJ300" s="309">
        <v>43435</v>
      </c>
      <c r="AK300" s="308"/>
      <c r="AL300" s="308"/>
      <c r="AM300" s="308"/>
      <c r="AN300" s="267" t="s">
        <v>2598</v>
      </c>
      <c r="AO300" s="507" t="s">
        <v>4230</v>
      </c>
      <c r="AP300" s="965">
        <v>10000000</v>
      </c>
      <c r="AQ300" s="966"/>
      <c r="AR300" s="966"/>
      <c r="AS300" s="966"/>
      <c r="AT300" s="966"/>
      <c r="AU300" s="966"/>
      <c r="AV300" s="966"/>
      <c r="AW300" s="1215">
        <f t="shared" si="193"/>
        <v>10000000</v>
      </c>
      <c r="AX300" s="525"/>
      <c r="AY300" s="310"/>
      <c r="AZ300" s="310"/>
      <c r="BA300" s="310"/>
      <c r="BB300" s="310"/>
      <c r="BC300" s="310"/>
      <c r="BD300" s="310"/>
      <c r="BE300" s="544">
        <f t="shared" si="185"/>
        <v>0</v>
      </c>
      <c r="BF300" s="525">
        <v>20000000</v>
      </c>
      <c r="BG300" s="310"/>
      <c r="BH300" s="310"/>
      <c r="BI300" s="310"/>
      <c r="BJ300" s="310"/>
      <c r="BK300" s="310"/>
      <c r="BL300" s="310"/>
      <c r="BM300" s="544">
        <f t="shared" si="186"/>
        <v>20000000</v>
      </c>
      <c r="BN300" s="525"/>
      <c r="BO300" s="310"/>
      <c r="BP300" s="310"/>
      <c r="BQ300" s="310"/>
      <c r="BR300" s="310"/>
      <c r="BS300" s="310"/>
      <c r="BT300" s="310"/>
      <c r="BU300" s="544">
        <f t="shared" si="187"/>
        <v>0</v>
      </c>
      <c r="BV300" s="556"/>
      <c r="BW300" s="663">
        <f t="shared" si="175"/>
        <v>750</v>
      </c>
      <c r="BX300" s="1047">
        <f t="shared" si="184"/>
        <v>0.9375</v>
      </c>
      <c r="BY300" s="1047">
        <f t="shared" si="194"/>
        <v>1</v>
      </c>
      <c r="BZ300" s="1047">
        <f t="shared" si="195"/>
        <v>1.25</v>
      </c>
      <c r="CA300" s="1047">
        <f t="shared" si="196"/>
        <v>1</v>
      </c>
      <c r="CB300" s="1047">
        <f t="shared" si="197"/>
        <v>0</v>
      </c>
      <c r="CD300" t="str">
        <f t="shared" si="198"/>
        <v>VE</v>
      </c>
      <c r="CE300" t="str">
        <f t="shared" si="198"/>
        <v>VE</v>
      </c>
      <c r="CF300" t="str">
        <f t="shared" si="198"/>
        <v>VE</v>
      </c>
      <c r="CG300" t="str">
        <f t="shared" si="198"/>
        <v>ROB</v>
      </c>
    </row>
    <row r="301" spans="1:85" ht="75" customHeight="1" x14ac:dyDescent="0.3">
      <c r="A301" s="298" t="s">
        <v>896</v>
      </c>
      <c r="B301" s="299" t="str">
        <f>'PLAN INDICATIVO'!B301</f>
        <v>Agropecuario</v>
      </c>
      <c r="C301" s="1547"/>
      <c r="D301" s="1549"/>
      <c r="E301" s="1549"/>
      <c r="F301" s="1549"/>
      <c r="G301" s="1549"/>
      <c r="H301" s="1549"/>
      <c r="I301" s="300">
        <f>'PLAN INDICATIVO'!I301</f>
        <v>0</v>
      </c>
      <c r="J301" s="300">
        <f>'PLAN INDICATIVO'!J301</f>
        <v>0</v>
      </c>
      <c r="K301" s="1428" t="str">
        <f>'PLAN INDICATIVO'!K301</f>
        <v>A.8.1.9</v>
      </c>
      <c r="L301" s="301" t="str">
        <f>'PLAN INDICATIVO'!L301</f>
        <v>12. Producción y consumo responsables</v>
      </c>
      <c r="M301" s="301" t="str">
        <f>'PLAN INDICATIVO'!M301</f>
        <v>Unidad de Desarrollo Rural</v>
      </c>
      <c r="N301" s="1425" t="str">
        <f>'PLAN INDICATIVO'!N301</f>
        <v>GABRIEL ERNESTO CAMPOS ALVIRA</v>
      </c>
      <c r="O301" s="1425" t="str">
        <f>'PLAN INDICATIVO'!O301</f>
        <v>Incremento</v>
      </c>
      <c r="P301" s="16" t="str">
        <f>'PLAN INDICATIVO'!P301</f>
        <v>Realizar acompañamiento técnico y social a 2.000  familias vulnerables   en la implementación de agricultura rural durante el cuatrienio.</v>
      </c>
      <c r="Q301" s="302" t="str">
        <f>'PLAN INDICATIVO'!Q301</f>
        <v>No. De familias con acompañamiento técnico</v>
      </c>
      <c r="R301" s="303">
        <f>'PLAN INDICATIVO'!R301</f>
        <v>2015</v>
      </c>
      <c r="S301" s="304" t="s">
        <v>177</v>
      </c>
      <c r="T301" s="498">
        <v>2000</v>
      </c>
      <c r="U301" s="303">
        <v>500</v>
      </c>
      <c r="V301" s="687">
        <v>5000000</v>
      </c>
      <c r="W301" s="572">
        <v>500</v>
      </c>
      <c r="X301" s="687">
        <v>5000000</v>
      </c>
      <c r="Y301" s="1232">
        <v>300</v>
      </c>
      <c r="Z301" s="1233">
        <v>14000000</v>
      </c>
      <c r="AA301" s="1310">
        <v>600</v>
      </c>
      <c r="AB301" s="687">
        <v>16000000</v>
      </c>
      <c r="AC301" s="665">
        <f>300+300</f>
        <v>600</v>
      </c>
      <c r="AD301" s="667">
        <v>500</v>
      </c>
      <c r="AE301" s="665">
        <v>300</v>
      </c>
      <c r="AF301" s="665"/>
      <c r="AG301" s="919" t="s">
        <v>4214</v>
      </c>
      <c r="AH301" s="336"/>
      <c r="AI301" s="309" t="s">
        <v>4231</v>
      </c>
      <c r="AJ301" s="309"/>
      <c r="AK301" s="308"/>
      <c r="AL301" s="308"/>
      <c r="AM301" s="308"/>
      <c r="AN301" s="267" t="s">
        <v>2598</v>
      </c>
      <c r="AO301" s="507" t="s">
        <v>4232</v>
      </c>
      <c r="AP301" s="965"/>
      <c r="AQ301" s="966"/>
      <c r="AR301" s="966"/>
      <c r="AS301" s="966"/>
      <c r="AT301" s="966"/>
      <c r="AU301" s="966"/>
      <c r="AV301" s="966"/>
      <c r="AW301" s="1215">
        <f t="shared" si="193"/>
        <v>0</v>
      </c>
      <c r="AX301" s="525"/>
      <c r="AY301" s="310"/>
      <c r="AZ301" s="310"/>
      <c r="BA301" s="310"/>
      <c r="BB301" s="310"/>
      <c r="BC301" s="310"/>
      <c r="BD301" s="310"/>
      <c r="BE301" s="544">
        <f t="shared" si="185"/>
        <v>0</v>
      </c>
      <c r="BF301" s="525">
        <v>3504488</v>
      </c>
      <c r="BG301" s="310"/>
      <c r="BH301" s="310"/>
      <c r="BI301" s="310"/>
      <c r="BJ301" s="310"/>
      <c r="BK301" s="310"/>
      <c r="BL301" s="310"/>
      <c r="BM301" s="544">
        <f t="shared" si="186"/>
        <v>3504488</v>
      </c>
      <c r="BN301" s="525"/>
      <c r="BO301" s="310"/>
      <c r="BP301" s="310"/>
      <c r="BQ301" s="310"/>
      <c r="BR301" s="310"/>
      <c r="BS301" s="310"/>
      <c r="BT301" s="310"/>
      <c r="BU301" s="544">
        <f t="shared" si="187"/>
        <v>0</v>
      </c>
      <c r="BV301" s="556"/>
      <c r="BW301" s="663">
        <f t="shared" si="175"/>
        <v>1400</v>
      </c>
      <c r="BX301" s="1047">
        <f t="shared" si="184"/>
        <v>0.7</v>
      </c>
      <c r="BY301" s="1047">
        <f t="shared" si="194"/>
        <v>1.2</v>
      </c>
      <c r="BZ301" s="1047">
        <f t="shared" si="195"/>
        <v>1</v>
      </c>
      <c r="CA301" s="1047">
        <f t="shared" si="196"/>
        <v>1</v>
      </c>
      <c r="CB301" s="1047">
        <f t="shared" si="197"/>
        <v>0</v>
      </c>
      <c r="CD301" t="str">
        <f t="shared" si="198"/>
        <v>VE</v>
      </c>
      <c r="CE301" t="str">
        <f t="shared" si="198"/>
        <v>VE</v>
      </c>
      <c r="CF301" t="str">
        <f t="shared" si="198"/>
        <v>VE</v>
      </c>
      <c r="CG301" t="str">
        <f t="shared" si="198"/>
        <v>ROB</v>
      </c>
    </row>
    <row r="302" spans="1:85" ht="72" customHeight="1" x14ac:dyDescent="0.3">
      <c r="A302" s="298" t="s">
        <v>896</v>
      </c>
      <c r="B302" s="299" t="str">
        <f>'PLAN INDICATIVO'!B302</f>
        <v>Agropecuario</v>
      </c>
      <c r="C302" s="1547"/>
      <c r="D302" s="1549"/>
      <c r="E302" s="1549"/>
      <c r="F302" s="1549"/>
      <c r="G302" s="1549"/>
      <c r="H302" s="1549"/>
      <c r="I302" s="300">
        <f>'PLAN INDICATIVO'!I302</f>
        <v>0</v>
      </c>
      <c r="J302" s="300">
        <f>'PLAN INDICATIVO'!J302</f>
        <v>0</v>
      </c>
      <c r="K302" s="1428" t="str">
        <f>'PLAN INDICATIVO'!K302</f>
        <v>A.8.1.10</v>
      </c>
      <c r="L302" s="301" t="str">
        <f>'PLAN INDICATIVO'!L302</f>
        <v>12. Producción y consumo responsables</v>
      </c>
      <c r="M302" s="301" t="str">
        <f>'PLAN INDICATIVO'!M302</f>
        <v>Unidad de Desarrollo Rural</v>
      </c>
      <c r="N302" s="1425" t="str">
        <f>'PLAN INDICATIVO'!N302</f>
        <v>GABRIEL ERNESTO CAMPOS ALVIRA</v>
      </c>
      <c r="O302" s="1425" t="str">
        <f>'PLAN INDICATIVO'!O302</f>
        <v>Incremento</v>
      </c>
      <c r="P302" s="16" t="str">
        <f>'PLAN INDICATIVO'!P302</f>
        <v>Realizar acompañamiento técnico y social a 1.000  familias en la implementación de agricultura en la zona urbana durante el cuatrienio.</v>
      </c>
      <c r="Q302" s="302" t="str">
        <f>'PLAN INDICATIVO'!Q302</f>
        <v>No. De familias beneficiadas</v>
      </c>
      <c r="R302" s="303">
        <f>'PLAN INDICATIVO'!R302</f>
        <v>2015</v>
      </c>
      <c r="S302" s="304" t="s">
        <v>177</v>
      </c>
      <c r="T302" s="498">
        <v>1000</v>
      </c>
      <c r="U302" s="303">
        <v>250</v>
      </c>
      <c r="V302" s="687">
        <v>4000000</v>
      </c>
      <c r="W302" s="572">
        <v>250</v>
      </c>
      <c r="X302" s="687">
        <v>3000000</v>
      </c>
      <c r="Y302" s="1239">
        <v>250</v>
      </c>
      <c r="Z302" s="1233">
        <v>14000000</v>
      </c>
      <c r="AA302" s="1310"/>
      <c r="AB302" s="687">
        <v>15000000</v>
      </c>
      <c r="AC302" s="665">
        <f>100+400</f>
        <v>500</v>
      </c>
      <c r="AD302" s="667">
        <v>250</v>
      </c>
      <c r="AE302" s="667">
        <v>250</v>
      </c>
      <c r="AF302" s="667"/>
      <c r="AG302" s="919" t="s">
        <v>4214</v>
      </c>
      <c r="AH302" s="336"/>
      <c r="AI302" s="309" t="s">
        <v>4231</v>
      </c>
      <c r="AJ302" s="890"/>
      <c r="AK302" s="337"/>
      <c r="AL302" s="337"/>
      <c r="AM302" s="308"/>
      <c r="AN302" s="267" t="s">
        <v>2598</v>
      </c>
      <c r="AO302" s="507" t="s">
        <v>4233</v>
      </c>
      <c r="AP302" s="969"/>
      <c r="AQ302" s="970"/>
      <c r="AR302" s="970"/>
      <c r="AS302" s="970"/>
      <c r="AT302" s="970"/>
      <c r="AU302" s="970"/>
      <c r="AV302" s="970"/>
      <c r="AW302" s="1217">
        <f t="shared" si="193"/>
        <v>0</v>
      </c>
      <c r="AX302" s="525"/>
      <c r="AY302" s="310"/>
      <c r="AZ302" s="310"/>
      <c r="BA302" s="310"/>
      <c r="BB302" s="310"/>
      <c r="BC302" s="310"/>
      <c r="BD302" s="310"/>
      <c r="BE302" s="544">
        <f t="shared" si="185"/>
        <v>0</v>
      </c>
      <c r="BF302" s="525">
        <v>4000000</v>
      </c>
      <c r="BG302" s="310"/>
      <c r="BH302" s="310"/>
      <c r="BI302" s="310"/>
      <c r="BJ302" s="310"/>
      <c r="BK302" s="310"/>
      <c r="BL302" s="310"/>
      <c r="BM302" s="544">
        <f t="shared" si="186"/>
        <v>4000000</v>
      </c>
      <c r="BN302" s="525"/>
      <c r="BO302" s="310"/>
      <c r="BP302" s="310"/>
      <c r="BQ302" s="310"/>
      <c r="BR302" s="310"/>
      <c r="BS302" s="310"/>
      <c r="BT302" s="310"/>
      <c r="BU302" s="544">
        <f t="shared" si="187"/>
        <v>0</v>
      </c>
      <c r="BV302" s="556"/>
      <c r="BW302" s="663">
        <f t="shared" si="175"/>
        <v>1000</v>
      </c>
      <c r="BX302" s="1047">
        <f t="shared" si="184"/>
        <v>1</v>
      </c>
      <c r="BY302" s="1047">
        <f t="shared" si="194"/>
        <v>2</v>
      </c>
      <c r="BZ302" s="1047">
        <f t="shared" si="195"/>
        <v>1</v>
      </c>
      <c r="CA302" s="1047">
        <f t="shared" si="196"/>
        <v>1</v>
      </c>
      <c r="CB302" s="1047" t="str">
        <f t="shared" si="197"/>
        <v>No Programada</v>
      </c>
      <c r="CD302" t="str">
        <f t="shared" si="198"/>
        <v>VE</v>
      </c>
      <c r="CE302" t="str">
        <f t="shared" si="198"/>
        <v>VE</v>
      </c>
      <c r="CF302" t="str">
        <f t="shared" si="198"/>
        <v>VE</v>
      </c>
      <c r="CG302" t="str">
        <f t="shared" si="198"/>
        <v>NP</v>
      </c>
    </row>
    <row r="303" spans="1:85" ht="78" customHeight="1" x14ac:dyDescent="0.3">
      <c r="A303" s="298" t="s">
        <v>896</v>
      </c>
      <c r="B303" s="299" t="str">
        <f>'PLAN INDICATIVO'!B303</f>
        <v>Agropecuario</v>
      </c>
      <c r="C303" s="1547"/>
      <c r="D303" s="1549"/>
      <c r="E303" s="1549"/>
      <c r="F303" s="1549"/>
      <c r="G303" s="1549"/>
      <c r="H303" s="1549"/>
      <c r="I303" s="300">
        <f>'PLAN INDICATIVO'!I303</f>
        <v>0</v>
      </c>
      <c r="J303" s="300">
        <f>'PLAN INDICATIVO'!J303</f>
        <v>0</v>
      </c>
      <c r="K303" s="1428" t="str">
        <f>'PLAN INDICATIVO'!K303</f>
        <v>A.8.1.11</v>
      </c>
      <c r="L303" s="301" t="str">
        <f>'PLAN INDICATIVO'!L303</f>
        <v>12. Producción y consumo responsables</v>
      </c>
      <c r="M303" s="301" t="str">
        <f>'PLAN INDICATIVO'!M303</f>
        <v>Unidad de Desarrollo Rural</v>
      </c>
      <c r="N303" s="1425" t="str">
        <f>'PLAN INDICATIVO'!N303</f>
        <v>GABRIEL ERNESTO CAMPOS ALVIRA</v>
      </c>
      <c r="O303" s="1425" t="str">
        <f>'PLAN INDICATIVO'!O303</f>
        <v>Incremento</v>
      </c>
      <c r="P303" s="16" t="str">
        <f>'PLAN INDICATIVO'!P303</f>
        <v>Realizar 6 actividades cada año, para fortalecimiento de mercados campesinos "María Helena Cortes"</v>
      </c>
      <c r="Q303" s="302" t="str">
        <f>'PLAN INDICATIVO'!Q303</f>
        <v>No. De actividades realizadas por año</v>
      </c>
      <c r="R303" s="303">
        <f>'PLAN INDICATIVO'!R303</f>
        <v>2015</v>
      </c>
      <c r="S303" s="304">
        <v>0</v>
      </c>
      <c r="T303" s="498">
        <v>24</v>
      </c>
      <c r="U303" s="572">
        <v>6</v>
      </c>
      <c r="V303" s="687">
        <v>2000000</v>
      </c>
      <c r="W303" s="572">
        <v>6</v>
      </c>
      <c r="X303" s="687">
        <v>2000000</v>
      </c>
      <c r="Y303" s="1232">
        <v>6</v>
      </c>
      <c r="Z303" s="1233">
        <v>9000000</v>
      </c>
      <c r="AA303" s="1310">
        <v>6</v>
      </c>
      <c r="AB303" s="687">
        <v>10000000</v>
      </c>
      <c r="AC303" s="665">
        <v>1</v>
      </c>
      <c r="AD303" s="665">
        <v>6</v>
      </c>
      <c r="AE303" s="665">
        <v>6</v>
      </c>
      <c r="AF303" s="665"/>
      <c r="AG303" s="919" t="s">
        <v>4214</v>
      </c>
      <c r="AH303" s="307" t="s">
        <v>4234</v>
      </c>
      <c r="AI303" s="307" t="s">
        <v>4235</v>
      </c>
      <c r="AJ303" s="309">
        <v>43465</v>
      </c>
      <c r="AK303" s="308"/>
      <c r="AL303" s="308"/>
      <c r="AM303" s="308"/>
      <c r="AN303" s="267" t="s">
        <v>2598</v>
      </c>
      <c r="AO303" s="507" t="s">
        <v>4236</v>
      </c>
      <c r="AP303" s="965"/>
      <c r="AQ303" s="966"/>
      <c r="AR303" s="966"/>
      <c r="AS303" s="966"/>
      <c r="AT303" s="966"/>
      <c r="AU303" s="966"/>
      <c r="AV303" s="966"/>
      <c r="AW303" s="1215"/>
      <c r="AX303" s="525"/>
      <c r="AY303" s="310"/>
      <c r="AZ303" s="310"/>
      <c r="BA303" s="310"/>
      <c r="BB303" s="310"/>
      <c r="BC303" s="310"/>
      <c r="BD303" s="310"/>
      <c r="BE303" s="544">
        <f t="shared" si="185"/>
        <v>0</v>
      </c>
      <c r="BF303" s="525">
        <v>2000000</v>
      </c>
      <c r="BG303" s="310"/>
      <c r="BH303" s="310"/>
      <c r="BI303" s="310"/>
      <c r="BJ303" s="310"/>
      <c r="BK303" s="310"/>
      <c r="BL303" s="310"/>
      <c r="BM303" s="544">
        <f t="shared" si="186"/>
        <v>2000000</v>
      </c>
      <c r="BN303" s="525"/>
      <c r="BO303" s="310"/>
      <c r="BP303" s="310"/>
      <c r="BQ303" s="310"/>
      <c r="BR303" s="310"/>
      <c r="BS303" s="310"/>
      <c r="BT303" s="310"/>
      <c r="BU303" s="544">
        <f t="shared" si="187"/>
        <v>0</v>
      </c>
      <c r="BV303" s="556"/>
      <c r="BW303" s="663">
        <f t="shared" si="175"/>
        <v>13</v>
      </c>
      <c r="BX303" s="1047">
        <f t="shared" si="184"/>
        <v>0.54166666666666663</v>
      </c>
      <c r="BY303" s="1047">
        <f t="shared" si="194"/>
        <v>0.16666666666666666</v>
      </c>
      <c r="BZ303" s="1047">
        <f t="shared" si="195"/>
        <v>1</v>
      </c>
      <c r="CA303" s="1047">
        <f t="shared" si="196"/>
        <v>1</v>
      </c>
      <c r="CB303" s="1047">
        <f t="shared" si="197"/>
        <v>0</v>
      </c>
      <c r="CD303" t="str">
        <f t="shared" si="198"/>
        <v>ROB</v>
      </c>
      <c r="CE303" t="str">
        <f t="shared" si="198"/>
        <v>VE</v>
      </c>
      <c r="CF303" t="str">
        <f t="shared" si="198"/>
        <v>VE</v>
      </c>
      <c r="CG303" t="str">
        <f t="shared" si="198"/>
        <v>ROB</v>
      </c>
    </row>
    <row r="304" spans="1:85" ht="72" customHeight="1" x14ac:dyDescent="0.3">
      <c r="A304" s="298" t="s">
        <v>896</v>
      </c>
      <c r="B304" s="299" t="str">
        <f>'PLAN INDICATIVO'!B304</f>
        <v>Agropecuario</v>
      </c>
      <c r="C304" s="1547"/>
      <c r="D304" s="1549"/>
      <c r="E304" s="1549"/>
      <c r="F304" s="1549"/>
      <c r="G304" s="1549"/>
      <c r="H304" s="1549"/>
      <c r="I304" s="300">
        <f>'PLAN INDICATIVO'!I304</f>
        <v>0</v>
      </c>
      <c r="J304" s="300">
        <f>'PLAN INDICATIVO'!J304</f>
        <v>0</v>
      </c>
      <c r="K304" s="1428" t="str">
        <f>'PLAN INDICATIVO'!K304</f>
        <v>A.8.1.12</v>
      </c>
      <c r="L304" s="301" t="str">
        <f>'PLAN INDICATIVO'!L304</f>
        <v>12. Producción y consumo responsables</v>
      </c>
      <c r="M304" s="301" t="str">
        <f>'PLAN INDICATIVO'!M304</f>
        <v>Unidad de Desarrollo Rural</v>
      </c>
      <c r="N304" s="1425" t="str">
        <f>'PLAN INDICATIVO'!N304</f>
        <v>GABRIEL ERNESTO CAMPOS ALVIRA</v>
      </c>
      <c r="O304" s="1425" t="str">
        <f>'PLAN INDICATIVO'!O304</f>
        <v>Incremento</v>
      </c>
      <c r="P304" s="16" t="str">
        <f>'PLAN INDICATIVO'!P304</f>
        <v>Realizar 10 capacitaciones en busca del fortalecimiento en la agricultura, cada año</v>
      </c>
      <c r="Q304" s="302" t="str">
        <f>'PLAN INDICATIVO'!Q304</f>
        <v>No. De capacitaciones realizadas por año</v>
      </c>
      <c r="R304" s="303">
        <f>'PLAN INDICATIVO'!R304</f>
        <v>2015</v>
      </c>
      <c r="S304" s="304">
        <v>0</v>
      </c>
      <c r="T304" s="498">
        <v>40</v>
      </c>
      <c r="U304" s="572">
        <v>10</v>
      </c>
      <c r="V304" s="687">
        <v>1000000</v>
      </c>
      <c r="W304" s="572">
        <v>10</v>
      </c>
      <c r="X304" s="687">
        <v>1500000</v>
      </c>
      <c r="Y304" s="1232">
        <v>10</v>
      </c>
      <c r="Z304" s="1233">
        <v>4000000</v>
      </c>
      <c r="AA304" s="1310">
        <v>10</v>
      </c>
      <c r="AB304" s="687">
        <v>4000000</v>
      </c>
      <c r="AC304" s="665">
        <f>3+7</f>
        <v>10</v>
      </c>
      <c r="AD304" s="665">
        <v>10</v>
      </c>
      <c r="AE304" s="665">
        <v>10</v>
      </c>
      <c r="AF304" s="665"/>
      <c r="AG304" s="919" t="s">
        <v>4214</v>
      </c>
      <c r="AH304" s="307" t="s">
        <v>4237</v>
      </c>
      <c r="AI304" s="307" t="s">
        <v>4238</v>
      </c>
      <c r="AJ304" s="309">
        <v>43465</v>
      </c>
      <c r="AK304" s="308"/>
      <c r="AL304" s="308"/>
      <c r="AM304" s="308"/>
      <c r="AN304" s="267" t="s">
        <v>2598</v>
      </c>
      <c r="AO304" s="507" t="s">
        <v>4239</v>
      </c>
      <c r="AP304" s="965"/>
      <c r="AQ304" s="966">
        <v>2000000</v>
      </c>
      <c r="AR304" s="966"/>
      <c r="AS304" s="966"/>
      <c r="AT304" s="966"/>
      <c r="AU304" s="966"/>
      <c r="AV304" s="966"/>
      <c r="AW304" s="1215"/>
      <c r="AX304" s="525"/>
      <c r="AY304" s="310"/>
      <c r="AZ304" s="310"/>
      <c r="BA304" s="310"/>
      <c r="BB304" s="310"/>
      <c r="BC304" s="310"/>
      <c r="BD304" s="310"/>
      <c r="BE304" s="544">
        <f t="shared" si="185"/>
        <v>0</v>
      </c>
      <c r="BF304" s="525">
        <v>4000000</v>
      </c>
      <c r="BG304" s="310"/>
      <c r="BH304" s="310"/>
      <c r="BI304" s="310"/>
      <c r="BJ304" s="310"/>
      <c r="BK304" s="310"/>
      <c r="BL304" s="310"/>
      <c r="BM304" s="544">
        <f t="shared" si="186"/>
        <v>4000000</v>
      </c>
      <c r="BN304" s="525"/>
      <c r="BO304" s="310"/>
      <c r="BP304" s="310"/>
      <c r="BQ304" s="310"/>
      <c r="BR304" s="310"/>
      <c r="BS304" s="310"/>
      <c r="BT304" s="310"/>
      <c r="BU304" s="544">
        <f t="shared" si="187"/>
        <v>0</v>
      </c>
      <c r="BV304" s="556"/>
      <c r="BW304" s="663">
        <f t="shared" si="175"/>
        <v>30</v>
      </c>
      <c r="BX304" s="1047">
        <f t="shared" si="184"/>
        <v>0.75</v>
      </c>
      <c r="BY304" s="1047">
        <f t="shared" si="194"/>
        <v>1</v>
      </c>
      <c r="BZ304" s="1047">
        <f t="shared" si="195"/>
        <v>1</v>
      </c>
      <c r="CA304" s="1047">
        <f t="shared" si="196"/>
        <v>1</v>
      </c>
      <c r="CB304" s="1047">
        <f t="shared" si="197"/>
        <v>0</v>
      </c>
      <c r="CD304" t="str">
        <f t="shared" si="198"/>
        <v>VE</v>
      </c>
      <c r="CE304" t="str">
        <f t="shared" si="198"/>
        <v>VE</v>
      </c>
      <c r="CF304" t="str">
        <f t="shared" si="198"/>
        <v>VE</v>
      </c>
      <c r="CG304" t="str">
        <f t="shared" si="198"/>
        <v>ROB</v>
      </c>
    </row>
    <row r="305" spans="1:85" ht="124.5" customHeight="1" x14ac:dyDescent="0.3">
      <c r="A305" s="298" t="s">
        <v>896</v>
      </c>
      <c r="B305" s="299" t="str">
        <f>'PLAN INDICATIVO'!B305</f>
        <v>Agropecuario</v>
      </c>
      <c r="C305" s="1547"/>
      <c r="D305" s="1549"/>
      <c r="E305" s="1549"/>
      <c r="F305" s="1549"/>
      <c r="G305" s="1549"/>
      <c r="H305" s="1549"/>
      <c r="I305" s="300">
        <f>'PLAN INDICATIVO'!I305</f>
        <v>0</v>
      </c>
      <c r="J305" s="300">
        <f>'PLAN INDICATIVO'!J305</f>
        <v>0</v>
      </c>
      <c r="K305" s="1428" t="str">
        <f>'PLAN INDICATIVO'!K305</f>
        <v>A.8.1.13</v>
      </c>
      <c r="L305" s="301" t="str">
        <f>'PLAN INDICATIVO'!L305</f>
        <v>12. Producción y consumo responsables</v>
      </c>
      <c r="M305" s="301" t="str">
        <f>'PLAN INDICATIVO'!M305</f>
        <v>Unidad de Desarrollo Rural</v>
      </c>
      <c r="N305" s="1425" t="str">
        <f>'PLAN INDICATIVO'!N305</f>
        <v>GABRIEL ERNESTO CAMPOS ALVIRA</v>
      </c>
      <c r="O305" s="1425" t="str">
        <f>'PLAN INDICATIVO'!O305</f>
        <v>Incremento</v>
      </c>
      <c r="P305" s="16" t="str">
        <f>'PLAN INDICATIVO'!P305</f>
        <v>Asegurar 100 has cultivadas con frutales y cultivos permanentes con garantía de sostenibilidad técnica y comercial en el municipio de La Plata, durante el cuatrienio</v>
      </c>
      <c r="Q305" s="302" t="str">
        <f>'PLAN INDICATIVO'!Q305</f>
        <v>No. De hectáreas cultivadas</v>
      </c>
      <c r="R305" s="303">
        <f>'PLAN INDICATIVO'!R305</f>
        <v>2015</v>
      </c>
      <c r="S305" s="304">
        <v>0</v>
      </c>
      <c r="T305" s="498">
        <v>100</v>
      </c>
      <c r="U305" s="572">
        <v>25</v>
      </c>
      <c r="V305" s="687">
        <v>3000000</v>
      </c>
      <c r="W305" s="572">
        <v>25</v>
      </c>
      <c r="X305" s="687">
        <v>3000000</v>
      </c>
      <c r="Y305" s="1232">
        <v>25</v>
      </c>
      <c r="Z305" s="1233">
        <v>12000000</v>
      </c>
      <c r="AA305" s="1310">
        <v>20</v>
      </c>
      <c r="AB305" s="687">
        <v>15000000</v>
      </c>
      <c r="AC305" s="665">
        <v>30</v>
      </c>
      <c r="AD305" s="665">
        <v>25</v>
      </c>
      <c r="AE305" s="665">
        <v>25</v>
      </c>
      <c r="AF305" s="665"/>
      <c r="AG305" s="919" t="s">
        <v>4214</v>
      </c>
      <c r="AH305" s="336" t="s">
        <v>4240</v>
      </c>
      <c r="AI305" s="307" t="s">
        <v>4229</v>
      </c>
      <c r="AJ305" s="309">
        <v>43435</v>
      </c>
      <c r="AK305" s="308"/>
      <c r="AL305" s="308"/>
      <c r="AM305" s="308"/>
      <c r="AN305" s="267" t="s">
        <v>2598</v>
      </c>
      <c r="AO305" s="507" t="s">
        <v>4241</v>
      </c>
      <c r="AP305" s="965">
        <v>10000000</v>
      </c>
      <c r="AQ305" s="966"/>
      <c r="AR305" s="966"/>
      <c r="AS305" s="966"/>
      <c r="AT305" s="966"/>
      <c r="AU305" s="966"/>
      <c r="AV305" s="966"/>
      <c r="AW305" s="1215"/>
      <c r="AX305" s="525"/>
      <c r="AY305" s="310"/>
      <c r="AZ305" s="310"/>
      <c r="BA305" s="310"/>
      <c r="BB305" s="310"/>
      <c r="BC305" s="310"/>
      <c r="BD305" s="310"/>
      <c r="BE305" s="544">
        <f t="shared" si="185"/>
        <v>0</v>
      </c>
      <c r="BF305" s="525">
        <v>10000000</v>
      </c>
      <c r="BG305" s="310"/>
      <c r="BH305" s="310"/>
      <c r="BI305" s="310"/>
      <c r="BJ305" s="310"/>
      <c r="BK305" s="310"/>
      <c r="BL305" s="310"/>
      <c r="BM305" s="544">
        <f t="shared" si="186"/>
        <v>10000000</v>
      </c>
      <c r="BN305" s="525"/>
      <c r="BO305" s="310"/>
      <c r="BP305" s="310"/>
      <c r="BQ305" s="310"/>
      <c r="BR305" s="310"/>
      <c r="BS305" s="310"/>
      <c r="BT305" s="310"/>
      <c r="BU305" s="544">
        <f t="shared" si="187"/>
        <v>0</v>
      </c>
      <c r="BV305" s="556"/>
      <c r="BW305" s="663">
        <f t="shared" si="175"/>
        <v>80</v>
      </c>
      <c r="BX305" s="1047">
        <f t="shared" si="184"/>
        <v>0.8</v>
      </c>
      <c r="BY305" s="1047">
        <f t="shared" si="194"/>
        <v>1.2</v>
      </c>
      <c r="BZ305" s="1047">
        <f t="shared" si="195"/>
        <v>1</v>
      </c>
      <c r="CA305" s="1047">
        <f t="shared" si="196"/>
        <v>1</v>
      </c>
      <c r="CB305" s="1047">
        <f t="shared" si="197"/>
        <v>0</v>
      </c>
      <c r="CD305" t="str">
        <f t="shared" si="198"/>
        <v>VE</v>
      </c>
      <c r="CE305" t="str">
        <f t="shared" si="198"/>
        <v>VE</v>
      </c>
      <c r="CF305" t="str">
        <f t="shared" si="198"/>
        <v>VE</v>
      </c>
      <c r="CG305" t="str">
        <f t="shared" si="198"/>
        <v>ROB</v>
      </c>
    </row>
    <row r="306" spans="1:85" ht="92.25" customHeight="1" x14ac:dyDescent="0.3">
      <c r="A306" s="298" t="s">
        <v>896</v>
      </c>
      <c r="B306" s="299" t="str">
        <f>'PLAN INDICATIVO'!B306</f>
        <v>Agropecuario</v>
      </c>
      <c r="C306" s="1547"/>
      <c r="D306" s="1549"/>
      <c r="E306" s="1549"/>
      <c r="F306" s="1549"/>
      <c r="G306" s="1549"/>
      <c r="H306" s="1549"/>
      <c r="I306" s="300">
        <f>'PLAN INDICATIVO'!I306</f>
        <v>0</v>
      </c>
      <c r="J306" s="300">
        <f>'PLAN INDICATIVO'!J306</f>
        <v>0</v>
      </c>
      <c r="K306" s="1428" t="str">
        <f>'PLAN INDICATIVO'!K306</f>
        <v>A.8.1.14</v>
      </c>
      <c r="L306" s="301" t="str">
        <f>'PLAN INDICATIVO'!L306</f>
        <v>12. Producción y consumo responsables</v>
      </c>
      <c r="M306" s="301" t="str">
        <f>'PLAN INDICATIVO'!M306</f>
        <v>Unidad de Desarrollo Rural</v>
      </c>
      <c r="N306" s="1425" t="str">
        <f>'PLAN INDICATIVO'!N306</f>
        <v>GABRIEL ERNESTO CAMPOS ALVIRA</v>
      </c>
      <c r="O306" s="1425" t="str">
        <f>'PLAN INDICATIVO'!O306</f>
        <v>Incremento</v>
      </c>
      <c r="P306" s="16" t="str">
        <f>'PLAN INDICATIVO'!P306</f>
        <v xml:space="preserve">Capacitar 200 grupos productores de cafés  en compañía con Sena y cámara de comercio, con objetivo de garantizar su calidad, durante el cuatrienio </v>
      </c>
      <c r="Q306" s="302" t="str">
        <f>'PLAN INDICATIVO'!Q306</f>
        <v>No. De grupos capacitados</v>
      </c>
      <c r="R306" s="303">
        <f>'PLAN INDICATIVO'!R306</f>
        <v>2015</v>
      </c>
      <c r="S306" s="304">
        <v>0</v>
      </c>
      <c r="T306" s="498">
        <v>200</v>
      </c>
      <c r="U306" s="572">
        <v>50</v>
      </c>
      <c r="V306" s="687">
        <v>5000000</v>
      </c>
      <c r="W306" s="572">
        <v>50</v>
      </c>
      <c r="X306" s="687">
        <v>5000000</v>
      </c>
      <c r="Y306" s="1232">
        <v>50</v>
      </c>
      <c r="Z306" s="1233">
        <v>9000000</v>
      </c>
      <c r="AA306" s="1310">
        <v>50</v>
      </c>
      <c r="AB306" s="687">
        <v>10000000</v>
      </c>
      <c r="AC306" s="665">
        <v>50</v>
      </c>
      <c r="AD306" s="665">
        <v>50</v>
      </c>
      <c r="AE306" s="665">
        <v>50</v>
      </c>
      <c r="AF306" s="665"/>
      <c r="AG306" s="919" t="s">
        <v>4214</v>
      </c>
      <c r="AH306" s="307" t="s">
        <v>4242</v>
      </c>
      <c r="AI306" s="307" t="s">
        <v>4243</v>
      </c>
      <c r="AJ306" s="838">
        <v>43313</v>
      </c>
      <c r="AK306" s="308"/>
      <c r="AL306" s="308"/>
      <c r="AM306" s="308"/>
      <c r="AN306" s="267" t="s">
        <v>2598</v>
      </c>
      <c r="AO306" s="507" t="s">
        <v>4236</v>
      </c>
      <c r="AP306" s="967"/>
      <c r="AQ306" s="966"/>
      <c r="AR306" s="966"/>
      <c r="AS306" s="966"/>
      <c r="AT306" s="966"/>
      <c r="AU306" s="966"/>
      <c r="AV306" s="966"/>
      <c r="AW306" s="1215"/>
      <c r="AX306" s="531"/>
      <c r="AY306" s="310"/>
      <c r="AZ306" s="310"/>
      <c r="BA306" s="310"/>
      <c r="BB306" s="310"/>
      <c r="BC306" s="310"/>
      <c r="BD306" s="310"/>
      <c r="BE306" s="544">
        <f t="shared" si="185"/>
        <v>0</v>
      </c>
      <c r="BF306" s="531">
        <v>4000000</v>
      </c>
      <c r="BG306" s="310"/>
      <c r="BH306" s="310"/>
      <c r="BI306" s="310"/>
      <c r="BJ306" s="310"/>
      <c r="BK306" s="310"/>
      <c r="BL306" s="310"/>
      <c r="BM306" s="544">
        <f t="shared" si="186"/>
        <v>4000000</v>
      </c>
      <c r="BN306" s="531"/>
      <c r="BO306" s="310"/>
      <c r="BP306" s="310"/>
      <c r="BQ306" s="310"/>
      <c r="BR306" s="310"/>
      <c r="BS306" s="310"/>
      <c r="BT306" s="310"/>
      <c r="BU306" s="544">
        <f t="shared" si="187"/>
        <v>0</v>
      </c>
      <c r="BV306" s="556"/>
      <c r="BW306" s="663">
        <f t="shared" si="175"/>
        <v>150</v>
      </c>
      <c r="BX306" s="1047">
        <f t="shared" si="184"/>
        <v>0.75</v>
      </c>
      <c r="BY306" s="1047">
        <f t="shared" si="194"/>
        <v>1</v>
      </c>
      <c r="BZ306" s="1047">
        <f t="shared" si="195"/>
        <v>1</v>
      </c>
      <c r="CA306" s="1047">
        <f t="shared" si="196"/>
        <v>1</v>
      </c>
      <c r="CB306" s="1047">
        <f t="shared" si="197"/>
        <v>0</v>
      </c>
      <c r="CD306" t="str">
        <f t="shared" si="198"/>
        <v>VE</v>
      </c>
      <c r="CE306" t="str">
        <f t="shared" si="198"/>
        <v>VE</v>
      </c>
      <c r="CF306" t="str">
        <f t="shared" si="198"/>
        <v>VE</v>
      </c>
      <c r="CG306" t="str">
        <f t="shared" si="198"/>
        <v>ROB</v>
      </c>
    </row>
    <row r="307" spans="1:85" ht="87.75" customHeight="1" x14ac:dyDescent="0.3">
      <c r="A307" s="298" t="s">
        <v>2458</v>
      </c>
      <c r="B307" s="299" t="str">
        <f>'PLAN INDICATIVO'!B307</f>
        <v>Agropecuario</v>
      </c>
      <c r="C307" s="1547"/>
      <c r="D307" s="1549"/>
      <c r="E307" s="1549"/>
      <c r="F307" s="1549"/>
      <c r="G307" s="1549"/>
      <c r="H307" s="1549"/>
      <c r="I307" s="300">
        <f>'PLAN INDICATIVO'!I307</f>
        <v>0</v>
      </c>
      <c r="J307" s="300">
        <f>'PLAN INDICATIVO'!J307</f>
        <v>0</v>
      </c>
      <c r="K307" s="1428" t="str">
        <f>'PLAN INDICATIVO'!K307</f>
        <v>A.8.1.15</v>
      </c>
      <c r="L307" s="301" t="str">
        <f>'PLAN INDICATIVO'!L307</f>
        <v>12. Producción y consumo responsables</v>
      </c>
      <c r="M307" s="301" t="str">
        <f>'PLAN INDICATIVO'!M307</f>
        <v>Unidad de Desarrollo Rural</v>
      </c>
      <c r="N307" s="1425" t="str">
        <f>'PLAN INDICATIVO'!N307</f>
        <v>GABRIEL ERNESTO CAMPOS ALVIRA</v>
      </c>
      <c r="O307" s="1425" t="str">
        <f>'PLAN INDICATIVO'!O307</f>
        <v>Incremento</v>
      </c>
      <c r="P307" s="1198" t="str">
        <f>'PLAN INDICATIVO'!P307</f>
        <v>Realizar 1  certámenes anuales  feriales de apoyo al desarrollo agropecuario</v>
      </c>
      <c r="Q307" s="302" t="str">
        <f>'PLAN INDICATIVO'!Q307</f>
        <v>No. De certámenes realizados por año</v>
      </c>
      <c r="R307" s="303">
        <f>'PLAN INDICATIVO'!R307</f>
        <v>2015</v>
      </c>
      <c r="S307" s="304">
        <v>1</v>
      </c>
      <c r="T307" s="1299">
        <v>1</v>
      </c>
      <c r="U307" s="572">
        <v>2</v>
      </c>
      <c r="V307" s="687">
        <v>12000000</v>
      </c>
      <c r="W307" s="572">
        <v>1</v>
      </c>
      <c r="X307" s="687">
        <v>15000000</v>
      </c>
      <c r="Y307" s="572">
        <v>1</v>
      </c>
      <c r="Z307" s="687">
        <v>20000000</v>
      </c>
      <c r="AA307" s="1310">
        <v>1</v>
      </c>
      <c r="AB307" s="687">
        <v>20000000</v>
      </c>
      <c r="AC307" s="665">
        <f>1+1</f>
        <v>2</v>
      </c>
      <c r="AD307" s="665">
        <v>1</v>
      </c>
      <c r="AE307" s="665">
        <v>1</v>
      </c>
      <c r="AF307" s="665"/>
      <c r="AG307" s="919" t="s">
        <v>4214</v>
      </c>
      <c r="AH307" s="307" t="s">
        <v>4244</v>
      </c>
      <c r="AI307" s="307" t="s">
        <v>4245</v>
      </c>
      <c r="AJ307" s="838">
        <v>43313</v>
      </c>
      <c r="AK307" s="308"/>
      <c r="AL307" s="308"/>
      <c r="AM307" s="308"/>
      <c r="AN307" s="267" t="s">
        <v>2598</v>
      </c>
      <c r="AO307" s="507" t="s">
        <v>4246</v>
      </c>
      <c r="AP307" s="967"/>
      <c r="AQ307" s="966"/>
      <c r="AR307" s="966"/>
      <c r="AS307" s="966"/>
      <c r="AT307" s="966"/>
      <c r="AU307" s="966"/>
      <c r="AV307" s="966"/>
      <c r="AW307" s="1218">
        <f t="shared" si="193"/>
        <v>0</v>
      </c>
      <c r="AX307" s="531"/>
      <c r="AY307" s="310"/>
      <c r="AZ307" s="310"/>
      <c r="BA307" s="310"/>
      <c r="BB307" s="310"/>
      <c r="BC307" s="310"/>
      <c r="BD307" s="310"/>
      <c r="BE307" s="544">
        <f t="shared" si="185"/>
        <v>0</v>
      </c>
      <c r="BF307" s="531"/>
      <c r="BG307" s="310">
        <f>15250000+3750000</f>
        <v>19000000</v>
      </c>
      <c r="BH307" s="310"/>
      <c r="BI307" s="310"/>
      <c r="BJ307" s="310"/>
      <c r="BK307" s="310"/>
      <c r="BL307" s="310"/>
      <c r="BM307" s="544">
        <f t="shared" si="186"/>
        <v>19000000</v>
      </c>
      <c r="BN307" s="531"/>
      <c r="BO307" s="310"/>
      <c r="BP307" s="310"/>
      <c r="BQ307" s="310"/>
      <c r="BR307" s="310"/>
      <c r="BS307" s="310"/>
      <c r="BT307" s="310"/>
      <c r="BU307" s="544">
        <f t="shared" si="187"/>
        <v>0</v>
      </c>
      <c r="BV307" s="556"/>
      <c r="BW307" s="663">
        <f t="shared" si="175"/>
        <v>4</v>
      </c>
      <c r="BX307" s="1047">
        <f t="shared" si="184"/>
        <v>4</v>
      </c>
      <c r="BY307" s="1047">
        <f t="shared" si="194"/>
        <v>1</v>
      </c>
      <c r="BZ307" s="1047">
        <f t="shared" si="195"/>
        <v>1</v>
      </c>
      <c r="CA307" s="1047">
        <f t="shared" si="196"/>
        <v>1</v>
      </c>
      <c r="CB307" s="1047">
        <f t="shared" si="197"/>
        <v>0</v>
      </c>
      <c r="CD307" t="str">
        <f t="shared" si="198"/>
        <v>VE</v>
      </c>
      <c r="CE307" t="str">
        <f t="shared" si="198"/>
        <v>VE</v>
      </c>
      <c r="CF307" t="str">
        <f t="shared" si="198"/>
        <v>VE</v>
      </c>
      <c r="CG307" t="str">
        <f t="shared" si="198"/>
        <v>ROB</v>
      </c>
    </row>
    <row r="308" spans="1:85" ht="45.75" customHeight="1" x14ac:dyDescent="0.3">
      <c r="A308" s="298" t="s">
        <v>2464</v>
      </c>
      <c r="B308" s="299" t="str">
        <f>'PLAN INDICATIVO'!B308</f>
        <v>Agropecuario</v>
      </c>
      <c r="C308" s="1547"/>
      <c r="D308" s="1549"/>
      <c r="E308" s="1549"/>
      <c r="F308" s="1549"/>
      <c r="G308" s="1549"/>
      <c r="H308" s="1549"/>
      <c r="I308" s="300">
        <f>'PLAN INDICATIVO'!I308</f>
        <v>0</v>
      </c>
      <c r="J308" s="300">
        <f>'PLAN INDICATIVO'!J308</f>
        <v>0</v>
      </c>
      <c r="K308" s="1428" t="str">
        <f>'PLAN INDICATIVO'!K308</f>
        <v>A.8.1.16</v>
      </c>
      <c r="L308" s="301" t="str">
        <f>'PLAN INDICATIVO'!L308</f>
        <v>12. Producción y consumo responsables</v>
      </c>
      <c r="M308" s="301" t="str">
        <f>'PLAN INDICATIVO'!M308</f>
        <v>Unidad de Desarrollo Rural</v>
      </c>
      <c r="N308" s="1425" t="str">
        <f>'PLAN INDICATIVO'!N308</f>
        <v>GABRIEL ERNESTO CAMPOS ALVIRA</v>
      </c>
      <c r="O308" s="1425" t="str">
        <f>'PLAN INDICATIVO'!O308</f>
        <v>Incremento</v>
      </c>
      <c r="P308" s="1199" t="str">
        <f>'PLAN INDICATIVO'!P308</f>
        <v>Realizar  2 actividades que permita  mejorar producción agropecuaria</v>
      </c>
      <c r="Q308" s="302" t="str">
        <f>'PLAN INDICATIVO'!Q308</f>
        <v>No. Actividades realizadas</v>
      </c>
      <c r="R308" s="303">
        <f>'PLAN INDICATIVO'!R308</f>
        <v>2015</v>
      </c>
      <c r="S308" s="304">
        <v>0</v>
      </c>
      <c r="T308" s="498">
        <v>2</v>
      </c>
      <c r="U308" s="572">
        <v>0</v>
      </c>
      <c r="V308" s="687">
        <v>0</v>
      </c>
      <c r="W308" s="572">
        <v>0</v>
      </c>
      <c r="X308" s="687"/>
      <c r="Y308" s="572">
        <v>2</v>
      </c>
      <c r="Z308" s="687">
        <v>3000000</v>
      </c>
      <c r="AA308" s="1310"/>
      <c r="AB308" s="687">
        <v>3000000</v>
      </c>
      <c r="AC308" s="665">
        <v>2</v>
      </c>
      <c r="AD308" s="665">
        <v>0</v>
      </c>
      <c r="AE308" s="1203"/>
      <c r="AF308" s="1203"/>
      <c r="AG308" s="1204"/>
      <c r="AH308" s="1204"/>
      <c r="AI308" s="1203"/>
      <c r="AJ308" s="1203"/>
      <c r="AK308" s="1203"/>
      <c r="AL308" s="1203"/>
      <c r="AM308" s="308"/>
      <c r="AN308" s="267" t="s">
        <v>2594</v>
      </c>
      <c r="AO308" s="1219"/>
      <c r="AP308" s="1220"/>
      <c r="AQ308" s="885"/>
      <c r="AR308" s="885"/>
      <c r="AS308" s="885"/>
      <c r="AT308" s="885"/>
      <c r="AU308" s="885"/>
      <c r="AV308" s="885"/>
      <c r="AW308" s="1221">
        <f t="shared" si="193"/>
        <v>0</v>
      </c>
      <c r="AX308" s="525"/>
      <c r="AY308" s="310"/>
      <c r="AZ308" s="310"/>
      <c r="BA308" s="310"/>
      <c r="BB308" s="310"/>
      <c r="BC308" s="310"/>
      <c r="BD308" s="310"/>
      <c r="BE308" s="544">
        <f t="shared" si="185"/>
        <v>0</v>
      </c>
      <c r="BF308" s="525"/>
      <c r="BG308" s="310"/>
      <c r="BH308" s="310"/>
      <c r="BI308" s="310"/>
      <c r="BJ308" s="310"/>
      <c r="BK308" s="310"/>
      <c r="BL308" s="310"/>
      <c r="BM308" s="544">
        <f t="shared" si="186"/>
        <v>0</v>
      </c>
      <c r="BN308" s="525"/>
      <c r="BO308" s="310"/>
      <c r="BP308" s="310"/>
      <c r="BQ308" s="310"/>
      <c r="BR308" s="310"/>
      <c r="BS308" s="310"/>
      <c r="BT308" s="310"/>
      <c r="BU308" s="544">
        <f t="shared" si="187"/>
        <v>0</v>
      </c>
      <c r="BV308" s="556"/>
      <c r="BW308" s="663">
        <f t="shared" si="175"/>
        <v>2</v>
      </c>
      <c r="BX308" s="1047">
        <f t="shared" si="184"/>
        <v>1</v>
      </c>
      <c r="BY308" s="1047" t="str">
        <f t="shared" si="194"/>
        <v>Aplazada</v>
      </c>
      <c r="BZ308" s="1047" t="str">
        <f t="shared" si="195"/>
        <v>Aplazada</v>
      </c>
      <c r="CA308" s="1047" t="s">
        <v>4000</v>
      </c>
      <c r="CB308" s="1047" t="str">
        <f t="shared" si="197"/>
        <v>No Programada</v>
      </c>
      <c r="CD308" t="str">
        <f t="shared" si="198"/>
        <v>AZ</v>
      </c>
      <c r="CE308" t="str">
        <f t="shared" si="198"/>
        <v>AZ</v>
      </c>
      <c r="CF308" t="str">
        <f t="shared" si="198"/>
        <v>E</v>
      </c>
      <c r="CG308" t="str">
        <f t="shared" si="198"/>
        <v>NP</v>
      </c>
    </row>
    <row r="309" spans="1:85" ht="61.5" customHeight="1" x14ac:dyDescent="0.3">
      <c r="A309" s="298" t="s">
        <v>896</v>
      </c>
      <c r="B309" s="299" t="str">
        <f>'PLAN INDICATIVO'!B309</f>
        <v>Agropecuario</v>
      </c>
      <c r="C309" s="1547"/>
      <c r="D309" s="1549"/>
      <c r="E309" s="1549"/>
      <c r="F309" s="1549"/>
      <c r="G309" s="1549"/>
      <c r="H309" s="1549"/>
      <c r="I309" s="300">
        <f>'PLAN INDICATIVO'!I309</f>
        <v>0</v>
      </c>
      <c r="J309" s="300">
        <f>'PLAN INDICATIVO'!J309</f>
        <v>0</v>
      </c>
      <c r="K309" s="1428" t="str">
        <f>'PLAN INDICATIVO'!K309</f>
        <v>A.8.1.17</v>
      </c>
      <c r="L309" s="301" t="str">
        <f>'PLAN INDICATIVO'!L309</f>
        <v>12. Producción y consumo responsables</v>
      </c>
      <c r="M309" s="301" t="str">
        <f>'PLAN INDICATIVO'!M309</f>
        <v>Unidad de Desarrollo Rural</v>
      </c>
      <c r="N309" s="1425" t="str">
        <f>'PLAN INDICATIVO'!N309</f>
        <v>GABRIEL ERNESTO CAMPOS ALVIRA</v>
      </c>
      <c r="O309" s="1425" t="str">
        <f>'PLAN INDICATIVO'!O309</f>
        <v>Incremento</v>
      </c>
      <c r="P309" s="25" t="str">
        <f>'PLAN INDICATIVO'!P309</f>
        <v>Apoyar 1 proyecto para implementar la infraestructura de secado y beneficio de café, durante cuatrienio</v>
      </c>
      <c r="Q309" s="302" t="str">
        <f>'PLAN INDICATIVO'!Q309</f>
        <v>No. De proyectos elaborados</v>
      </c>
      <c r="R309" s="303">
        <f>'PLAN INDICATIVO'!R309</f>
        <v>2015</v>
      </c>
      <c r="S309" s="304">
        <v>0</v>
      </c>
      <c r="T309" s="498">
        <v>1</v>
      </c>
      <c r="U309" s="572">
        <v>0</v>
      </c>
      <c r="V309" s="687">
        <v>5000000</v>
      </c>
      <c r="W309" s="66">
        <v>0.33</v>
      </c>
      <c r="X309" s="687">
        <v>5000000</v>
      </c>
      <c r="Y309" s="1232"/>
      <c r="Z309" s="1233">
        <v>2000000</v>
      </c>
      <c r="AA309" s="1310">
        <v>0.67</v>
      </c>
      <c r="AB309" s="687">
        <v>7000000</v>
      </c>
      <c r="AC309" s="665"/>
      <c r="AD309" s="665">
        <v>0.33</v>
      </c>
      <c r="AE309" s="665"/>
      <c r="AF309" s="665"/>
      <c r="AG309" s="919"/>
      <c r="AH309" s="307"/>
      <c r="AI309" s="838"/>
      <c r="AJ309" s="838"/>
      <c r="AK309" s="308"/>
      <c r="AL309" s="308"/>
      <c r="AM309" s="308"/>
      <c r="AN309" s="267" t="s">
        <v>2594</v>
      </c>
      <c r="AO309" s="507"/>
      <c r="AP309" s="965" t="s">
        <v>2717</v>
      </c>
      <c r="AQ309" s="966"/>
      <c r="AR309" s="966"/>
      <c r="AS309" s="966"/>
      <c r="AT309" s="966"/>
      <c r="AU309" s="966"/>
      <c r="AV309" s="966"/>
      <c r="AW309" s="1215">
        <f t="shared" si="193"/>
        <v>0</v>
      </c>
      <c r="AX309" s="525"/>
      <c r="AY309" s="310"/>
      <c r="AZ309" s="310"/>
      <c r="BA309" s="310"/>
      <c r="BB309" s="310"/>
      <c r="BC309" s="310"/>
      <c r="BD309" s="310"/>
      <c r="BE309" s="544">
        <f t="shared" si="185"/>
        <v>0</v>
      </c>
      <c r="BF309" s="525"/>
      <c r="BG309" s="310"/>
      <c r="BH309" s="310"/>
      <c r="BI309" s="310"/>
      <c r="BJ309" s="310"/>
      <c r="BK309" s="310"/>
      <c r="BL309" s="310"/>
      <c r="BM309" s="544">
        <f t="shared" si="186"/>
        <v>0</v>
      </c>
      <c r="BN309" s="525"/>
      <c r="BO309" s="310"/>
      <c r="BP309" s="310"/>
      <c r="BQ309" s="310"/>
      <c r="BR309" s="310"/>
      <c r="BS309" s="310"/>
      <c r="BT309" s="310"/>
      <c r="BU309" s="544">
        <f t="shared" si="187"/>
        <v>0</v>
      </c>
      <c r="BV309" s="556"/>
      <c r="BW309" s="663">
        <f t="shared" si="175"/>
        <v>0.33</v>
      </c>
      <c r="BX309" s="1047">
        <f t="shared" si="184"/>
        <v>0.33</v>
      </c>
      <c r="BY309" s="1047" t="str">
        <f t="shared" si="194"/>
        <v>Aplazada</v>
      </c>
      <c r="BZ309" s="1047">
        <f t="shared" si="195"/>
        <v>1</v>
      </c>
      <c r="CA309" s="1047" t="str">
        <f t="shared" si="196"/>
        <v>No Programada</v>
      </c>
      <c r="CB309" s="1047">
        <f t="shared" si="197"/>
        <v>0</v>
      </c>
      <c r="CD309" t="str">
        <f t="shared" si="198"/>
        <v>AZ</v>
      </c>
      <c r="CE309" t="str">
        <f t="shared" si="198"/>
        <v>VE</v>
      </c>
      <c r="CF309" t="str">
        <f t="shared" si="198"/>
        <v>NP</v>
      </c>
      <c r="CG309" t="str">
        <f t="shared" si="198"/>
        <v>ROB</v>
      </c>
    </row>
    <row r="310" spans="1:85" ht="88.5" customHeight="1" x14ac:dyDescent="0.3">
      <c r="A310" s="298" t="s">
        <v>896</v>
      </c>
      <c r="B310" s="299" t="str">
        <f>'PLAN INDICATIVO'!B310</f>
        <v>Agropecuario</v>
      </c>
      <c r="C310" s="1547"/>
      <c r="D310" s="1549"/>
      <c r="E310" s="1549"/>
      <c r="F310" s="1549"/>
      <c r="G310" s="1549"/>
      <c r="H310" s="1549"/>
      <c r="I310" s="300">
        <f>'PLAN INDICATIVO'!I310</f>
        <v>0</v>
      </c>
      <c r="J310" s="300">
        <f>'PLAN INDICATIVO'!J310</f>
        <v>0</v>
      </c>
      <c r="K310" s="1428" t="str">
        <f>'PLAN INDICATIVO'!K310</f>
        <v>A.8.1.18</v>
      </c>
      <c r="L310" s="301" t="str">
        <f>'PLAN INDICATIVO'!L310</f>
        <v>12. Producción y consumo responsables</v>
      </c>
      <c r="M310" s="301" t="str">
        <f>'PLAN INDICATIVO'!M310</f>
        <v>Unidad de Desarrollo Rural</v>
      </c>
      <c r="N310" s="1425" t="str">
        <f>'PLAN INDICATIVO'!N310</f>
        <v>GABRIEL ERNESTO CAMPOS ALVIRA</v>
      </c>
      <c r="O310" s="1425" t="str">
        <f>'PLAN INDICATIVO'!O310</f>
        <v>Incremento</v>
      </c>
      <c r="P310" s="16" t="str">
        <f>'PLAN INDICATIVO'!P310</f>
        <v>Apoyar 3 alianzas productivas, para el sector agroindustrial, durante el cuatrenio</v>
      </c>
      <c r="Q310" s="302" t="str">
        <f>'PLAN INDICATIVO'!Q310</f>
        <v>No. De alianzas productivas apoyadas</v>
      </c>
      <c r="R310" s="303">
        <f>'PLAN INDICATIVO'!R310</f>
        <v>2015</v>
      </c>
      <c r="S310" s="304">
        <v>0</v>
      </c>
      <c r="T310" s="498">
        <v>3</v>
      </c>
      <c r="U310" s="572">
        <v>0</v>
      </c>
      <c r="V310" s="687">
        <v>5000000</v>
      </c>
      <c r="W310" s="572">
        <v>1</v>
      </c>
      <c r="X310" s="687">
        <v>5000000</v>
      </c>
      <c r="Y310" s="1232"/>
      <c r="Z310" s="1233">
        <v>8000000</v>
      </c>
      <c r="AA310" s="1310">
        <v>1</v>
      </c>
      <c r="AB310" s="687">
        <v>10000000</v>
      </c>
      <c r="AC310" s="665"/>
      <c r="AD310" s="665">
        <v>1</v>
      </c>
      <c r="AE310" s="665">
        <v>1</v>
      </c>
      <c r="AF310" s="665"/>
      <c r="AG310" s="919" t="s">
        <v>4214</v>
      </c>
      <c r="AH310" s="307" t="s">
        <v>4247</v>
      </c>
      <c r="AI310" s="307" t="s">
        <v>4248</v>
      </c>
      <c r="AJ310" s="838">
        <v>43464</v>
      </c>
      <c r="AK310" s="308"/>
      <c r="AL310" s="308"/>
      <c r="AM310" s="308"/>
      <c r="AN310" s="267" t="s">
        <v>2598</v>
      </c>
      <c r="AO310" s="507" t="s">
        <v>4249</v>
      </c>
      <c r="AP310" s="965">
        <v>5000000</v>
      </c>
      <c r="AQ310" s="966"/>
      <c r="AR310" s="966"/>
      <c r="AS310" s="966"/>
      <c r="AT310" s="966"/>
      <c r="AU310" s="966"/>
      <c r="AV310" s="966"/>
      <c r="AW310" s="1215">
        <f t="shared" si="193"/>
        <v>5000000</v>
      </c>
      <c r="AX310" s="525"/>
      <c r="AY310" s="310"/>
      <c r="AZ310" s="310"/>
      <c r="BA310" s="310"/>
      <c r="BB310" s="310"/>
      <c r="BC310" s="310"/>
      <c r="BD310" s="310"/>
      <c r="BE310" s="544">
        <f t="shared" si="185"/>
        <v>0</v>
      </c>
      <c r="BF310" s="525">
        <v>5000000</v>
      </c>
      <c r="BG310" s="310"/>
      <c r="BH310" s="310"/>
      <c r="BI310" s="310"/>
      <c r="BJ310" s="310"/>
      <c r="BK310" s="310"/>
      <c r="BL310" s="310"/>
      <c r="BM310" s="544">
        <f t="shared" si="186"/>
        <v>5000000</v>
      </c>
      <c r="BN310" s="525"/>
      <c r="BO310" s="310"/>
      <c r="BP310" s="310"/>
      <c r="BQ310" s="310"/>
      <c r="BR310" s="310"/>
      <c r="BS310" s="310"/>
      <c r="BT310" s="310"/>
      <c r="BU310" s="544">
        <f t="shared" si="187"/>
        <v>0</v>
      </c>
      <c r="BV310" s="556"/>
      <c r="BW310" s="663">
        <f t="shared" si="175"/>
        <v>2</v>
      </c>
      <c r="BX310" s="1047">
        <f t="shared" si="184"/>
        <v>0.66666666666666663</v>
      </c>
      <c r="BY310" s="1047" t="str">
        <f t="shared" si="194"/>
        <v>Aplazada</v>
      </c>
      <c r="BZ310" s="1047">
        <f t="shared" si="195"/>
        <v>1</v>
      </c>
      <c r="CA310" s="1047" t="str">
        <f t="shared" si="196"/>
        <v>No Programada</v>
      </c>
      <c r="CB310" s="1047">
        <f t="shared" si="197"/>
        <v>0</v>
      </c>
      <c r="CD310" t="str">
        <f t="shared" si="198"/>
        <v>AZ</v>
      </c>
      <c r="CE310" t="str">
        <f t="shared" si="198"/>
        <v>VE</v>
      </c>
      <c r="CF310" t="str">
        <f t="shared" si="198"/>
        <v>NP</v>
      </c>
      <c r="CG310" t="str">
        <f t="shared" si="198"/>
        <v>ROB</v>
      </c>
    </row>
    <row r="311" spans="1:85" ht="76.5" customHeight="1" x14ac:dyDescent="0.3">
      <c r="A311" s="298" t="s">
        <v>896</v>
      </c>
      <c r="B311" s="299" t="str">
        <f>'PLAN INDICATIVO'!B311</f>
        <v>Agropecuario</v>
      </c>
      <c r="C311" s="1547"/>
      <c r="D311" s="1549"/>
      <c r="E311" s="1549"/>
      <c r="F311" s="1549"/>
      <c r="G311" s="1549"/>
      <c r="H311" s="1549"/>
      <c r="I311" s="300">
        <f>'PLAN INDICATIVO'!I311</f>
        <v>0</v>
      </c>
      <c r="J311" s="300">
        <f>'PLAN INDICATIVO'!J311</f>
        <v>0</v>
      </c>
      <c r="K311" s="1428" t="str">
        <f>'PLAN INDICATIVO'!K311</f>
        <v>A.8.1.19</v>
      </c>
      <c r="L311" s="301" t="str">
        <f>'PLAN INDICATIVO'!L311</f>
        <v>12. Producción y consumo responsables</v>
      </c>
      <c r="M311" s="301" t="str">
        <f>'PLAN INDICATIVO'!M311</f>
        <v>Unidad de Desarrollo Rural</v>
      </c>
      <c r="N311" s="1425" t="str">
        <f>'PLAN INDICATIVO'!N311</f>
        <v>GABRIEL ERNESTO CAMPOS ALVIRA</v>
      </c>
      <c r="O311" s="1425" t="str">
        <f>'PLAN INDICATIVO'!O311</f>
        <v>Incremento</v>
      </c>
      <c r="P311" s="16" t="str">
        <f>'PLAN INDICATIVO'!P311</f>
        <v>Realizar 4 jornadas, para la divulgación de oferta institucional para la  financiación en proyectos productivos.</v>
      </c>
      <c r="Q311" s="302" t="str">
        <f>'PLAN INDICATIVO'!Q311</f>
        <v>No. De jornadas realizadas</v>
      </c>
      <c r="R311" s="303">
        <f>'PLAN INDICATIVO'!R311</f>
        <v>2015</v>
      </c>
      <c r="S311" s="304">
        <v>0</v>
      </c>
      <c r="T311" s="498">
        <v>4</v>
      </c>
      <c r="U311" s="572">
        <v>1</v>
      </c>
      <c r="V311" s="687">
        <v>500000</v>
      </c>
      <c r="W311" s="572">
        <v>1</v>
      </c>
      <c r="X311" s="687">
        <v>500000</v>
      </c>
      <c r="Y311" s="1232">
        <v>2</v>
      </c>
      <c r="Z311" s="1233">
        <v>500000</v>
      </c>
      <c r="AA311" s="1310"/>
      <c r="AB311" s="687">
        <v>1000000</v>
      </c>
      <c r="AC311" s="665">
        <v>1</v>
      </c>
      <c r="AD311" s="665">
        <v>6</v>
      </c>
      <c r="AE311" s="665">
        <v>1</v>
      </c>
      <c r="AF311" s="665"/>
      <c r="AG311" s="919"/>
      <c r="AH311" s="307"/>
      <c r="AI311" s="307" t="s">
        <v>4250</v>
      </c>
      <c r="AJ311" s="309"/>
      <c r="AK311" s="308"/>
      <c r="AL311" s="308"/>
      <c r="AM311" s="308"/>
      <c r="AN311" s="267" t="s">
        <v>2604</v>
      </c>
      <c r="AO311" s="507" t="s">
        <v>4251</v>
      </c>
      <c r="AP311" s="965"/>
      <c r="AQ311" s="966"/>
      <c r="AR311" s="966"/>
      <c r="AS311" s="966"/>
      <c r="AT311" s="966"/>
      <c r="AU311" s="966"/>
      <c r="AV311" s="966"/>
      <c r="AW311" s="1215">
        <f t="shared" si="193"/>
        <v>0</v>
      </c>
      <c r="AX311" s="525"/>
      <c r="AY311" s="310"/>
      <c r="AZ311" s="310"/>
      <c r="BA311" s="310"/>
      <c r="BB311" s="310"/>
      <c r="BC311" s="310"/>
      <c r="BD311" s="310"/>
      <c r="BE311" s="544">
        <f t="shared" si="185"/>
        <v>0</v>
      </c>
      <c r="BF311" s="525">
        <v>3000000</v>
      </c>
      <c r="BG311" s="310"/>
      <c r="BH311" s="310"/>
      <c r="BI311" s="310"/>
      <c r="BJ311" s="310"/>
      <c r="BK311" s="310"/>
      <c r="BL311" s="310"/>
      <c r="BM311" s="544">
        <f t="shared" si="186"/>
        <v>3000000</v>
      </c>
      <c r="BN311" s="525"/>
      <c r="BO311" s="310"/>
      <c r="BP311" s="310"/>
      <c r="BQ311" s="310"/>
      <c r="BR311" s="310"/>
      <c r="BS311" s="310"/>
      <c r="BT311" s="310"/>
      <c r="BU311" s="544">
        <f t="shared" si="187"/>
        <v>0</v>
      </c>
      <c r="BV311" s="556"/>
      <c r="BW311" s="663">
        <f t="shared" si="175"/>
        <v>8</v>
      </c>
      <c r="BX311" s="1047">
        <f t="shared" si="184"/>
        <v>2</v>
      </c>
      <c r="BY311" s="1047">
        <f t="shared" si="194"/>
        <v>1</v>
      </c>
      <c r="BZ311" s="1047">
        <f t="shared" si="195"/>
        <v>6</v>
      </c>
      <c r="CA311" s="1047">
        <f t="shared" si="196"/>
        <v>0.5</v>
      </c>
      <c r="CB311" s="1047" t="str">
        <f t="shared" si="197"/>
        <v>No Programada</v>
      </c>
      <c r="CD311" t="str">
        <f t="shared" si="198"/>
        <v>VE</v>
      </c>
      <c r="CE311" t="str">
        <f t="shared" si="198"/>
        <v>VE</v>
      </c>
      <c r="CF311" t="str">
        <f t="shared" si="198"/>
        <v>AMB</v>
      </c>
      <c r="CG311" t="str">
        <f t="shared" si="198"/>
        <v>NP</v>
      </c>
    </row>
    <row r="312" spans="1:85" ht="72.75" customHeight="1" x14ac:dyDescent="0.3">
      <c r="A312" s="298" t="s">
        <v>896</v>
      </c>
      <c r="B312" s="299" t="str">
        <f>'PLAN INDICATIVO'!B312</f>
        <v>Agropecuario</v>
      </c>
      <c r="C312" s="1547"/>
      <c r="D312" s="1549"/>
      <c r="E312" s="1549"/>
      <c r="F312" s="1549"/>
      <c r="G312" s="1549"/>
      <c r="H312" s="1549"/>
      <c r="I312" s="1425" t="str">
        <f>'PLAN INDICATIVO'!I312</f>
        <v>SI</v>
      </c>
      <c r="J312" s="1425">
        <f>'PLAN INDICATIVO'!J312</f>
        <v>0</v>
      </c>
      <c r="K312" s="1428" t="str">
        <f>'PLAN INDICATIVO'!K312</f>
        <v>A.8.1.20</v>
      </c>
      <c r="L312" s="301" t="str">
        <f>'PLAN INDICATIVO'!L312</f>
        <v>12. Producción y consumo responsables</v>
      </c>
      <c r="M312" s="301" t="str">
        <f>'PLAN INDICATIVO'!M312</f>
        <v>Unidad de Desarrollo Rural</v>
      </c>
      <c r="N312" s="1425" t="str">
        <f>'PLAN INDICATIVO'!N312</f>
        <v>GABRIEL ERNESTO CAMPOS ALVIRA</v>
      </c>
      <c r="O312" s="1425" t="str">
        <f>'PLAN INDICATIVO'!O312</f>
        <v>Incremento</v>
      </c>
      <c r="P312" s="16" t="str">
        <f>'PLAN INDICATIVO'!P312</f>
        <v>Apoyar la construcción de 1 instalación para el fortalecimiento de los moreros de Santa Martha, en el cuatrienio</v>
      </c>
      <c r="Q312" s="302" t="str">
        <f>'PLAN INDICATIVO'!Q312</f>
        <v>No. De instalaciones apoyadas</v>
      </c>
      <c r="R312" s="303">
        <f>'PLAN INDICATIVO'!R312</f>
        <v>2015</v>
      </c>
      <c r="S312" s="304">
        <v>0</v>
      </c>
      <c r="T312" s="498">
        <v>1</v>
      </c>
      <c r="U312" s="572">
        <v>0</v>
      </c>
      <c r="V312" s="687">
        <v>123000000</v>
      </c>
      <c r="W312" s="572">
        <v>0.5</v>
      </c>
      <c r="X312" s="687">
        <v>100000000</v>
      </c>
      <c r="Y312" s="1232">
        <v>0.7</v>
      </c>
      <c r="Z312" s="1233">
        <v>500000</v>
      </c>
      <c r="AA312" s="1310">
        <v>0.7</v>
      </c>
      <c r="AB312" s="687">
        <v>1000000</v>
      </c>
      <c r="AC312" s="665"/>
      <c r="AD312" s="665">
        <v>0.3</v>
      </c>
      <c r="AE312" s="665"/>
      <c r="AF312" s="665"/>
      <c r="AG312" s="897"/>
      <c r="AH312" s="307" t="s">
        <v>4252</v>
      </c>
      <c r="AI312" s="838" t="s">
        <v>4253</v>
      </c>
      <c r="AJ312" s="838">
        <v>43099</v>
      </c>
      <c r="AK312" s="308"/>
      <c r="AL312" s="308"/>
      <c r="AM312" s="308"/>
      <c r="AN312" s="267" t="s">
        <v>2600</v>
      </c>
      <c r="AO312" s="507"/>
      <c r="AP312" s="965"/>
      <c r="AQ312" s="966"/>
      <c r="AR312" s="966"/>
      <c r="AS312" s="966"/>
      <c r="AT312" s="966"/>
      <c r="AU312" s="966"/>
      <c r="AV312" s="966"/>
      <c r="AW312" s="1215">
        <f t="shared" si="193"/>
        <v>0</v>
      </c>
      <c r="AX312" s="525"/>
      <c r="AY312" s="310"/>
      <c r="AZ312" s="310"/>
      <c r="BA312" s="310"/>
      <c r="BB312" s="310"/>
      <c r="BC312" s="310"/>
      <c r="BD312" s="310"/>
      <c r="BE312" s="544">
        <f t="shared" si="185"/>
        <v>0</v>
      </c>
      <c r="BF312" s="525"/>
      <c r="BG312" s="310"/>
      <c r="BH312" s="310"/>
      <c r="BI312" s="310"/>
      <c r="BJ312" s="310"/>
      <c r="BK312" s="310"/>
      <c r="BL312" s="310"/>
      <c r="BM312" s="544">
        <f t="shared" si="186"/>
        <v>0</v>
      </c>
      <c r="BN312" s="525"/>
      <c r="BO312" s="310"/>
      <c r="BP312" s="310"/>
      <c r="BQ312" s="310"/>
      <c r="BR312" s="310"/>
      <c r="BS312" s="310"/>
      <c r="BT312" s="310"/>
      <c r="BU312" s="544">
        <f t="shared" si="187"/>
        <v>0</v>
      </c>
      <c r="BV312" s="556"/>
      <c r="BW312" s="663">
        <f t="shared" si="175"/>
        <v>0.3</v>
      </c>
      <c r="BX312" s="1047">
        <f t="shared" si="184"/>
        <v>0.3</v>
      </c>
      <c r="BY312" s="1047" t="str">
        <f t="shared" si="194"/>
        <v>Aplazada</v>
      </c>
      <c r="BZ312" s="1047">
        <f t="shared" si="195"/>
        <v>0.6</v>
      </c>
      <c r="CA312" s="1047">
        <f t="shared" si="196"/>
        <v>0</v>
      </c>
      <c r="CB312" s="1047">
        <f t="shared" si="197"/>
        <v>0</v>
      </c>
      <c r="CD312" t="str">
        <f t="shared" si="198"/>
        <v>AZ</v>
      </c>
      <c r="CE312" t="str">
        <f t="shared" si="198"/>
        <v>AMB</v>
      </c>
      <c r="CF312" t="str">
        <f t="shared" si="198"/>
        <v>ROB</v>
      </c>
      <c r="CG312" t="str">
        <f t="shared" si="198"/>
        <v>ROB</v>
      </c>
    </row>
    <row r="313" spans="1:85" ht="93" customHeight="1" x14ac:dyDescent="0.3">
      <c r="A313" s="298" t="s">
        <v>896</v>
      </c>
      <c r="B313" s="299" t="str">
        <f>'PLAN INDICATIVO'!B313</f>
        <v>Agropecuario</v>
      </c>
      <c r="C313" s="1547"/>
      <c r="D313" s="1549"/>
      <c r="E313" s="1549"/>
      <c r="F313" s="1549"/>
      <c r="G313" s="1549"/>
      <c r="H313" s="1549"/>
      <c r="I313" s="1425" t="str">
        <f>'PLAN INDICATIVO'!I313</f>
        <v>SI</v>
      </c>
      <c r="J313" s="1425">
        <f>'PLAN INDICATIVO'!J313</f>
        <v>0</v>
      </c>
      <c r="K313" s="1428" t="str">
        <f>'PLAN INDICATIVO'!K313</f>
        <v>A.8.1.21</v>
      </c>
      <c r="L313" s="301" t="str">
        <f>'PLAN INDICATIVO'!L313</f>
        <v>12. Producción y consumo responsables</v>
      </c>
      <c r="M313" s="301" t="str">
        <f>'PLAN INDICATIVO'!M313</f>
        <v>Unidad de Desarrollo Rural</v>
      </c>
      <c r="N313" s="1425" t="str">
        <f>'PLAN INDICATIVO'!N313</f>
        <v>GABRIEL ERNESTO CAMPOS ALVIRA</v>
      </c>
      <c r="O313" s="1425" t="str">
        <f>'PLAN INDICATIVO'!O313</f>
        <v>Incremento</v>
      </c>
      <c r="P313" s="16" t="str">
        <f>'PLAN INDICATIVO'!P313</f>
        <v>Apoyar la construcción de 1 centro de acopio agrícola en el sector urbano, durante el cuatrienio</v>
      </c>
      <c r="Q313" s="302" t="str">
        <f>'PLAN INDICATIVO'!Q313</f>
        <v>No. De centros de acopio construidos</v>
      </c>
      <c r="R313" s="303">
        <f>'PLAN INDICATIVO'!R313</f>
        <v>2015</v>
      </c>
      <c r="S313" s="304">
        <v>0</v>
      </c>
      <c r="T313" s="498">
        <v>1</v>
      </c>
      <c r="U313" s="572">
        <v>0.25</v>
      </c>
      <c r="V313" s="687">
        <v>500000</v>
      </c>
      <c r="W313" s="572">
        <v>0.75</v>
      </c>
      <c r="X313" s="687">
        <v>500000</v>
      </c>
      <c r="Y313" s="1232"/>
      <c r="Z313" s="1233">
        <v>500000</v>
      </c>
      <c r="AA313" s="1310"/>
      <c r="AB313" s="687">
        <v>1000000</v>
      </c>
      <c r="AC313" s="665">
        <v>1</v>
      </c>
      <c r="AD313" s="665">
        <v>1</v>
      </c>
      <c r="AE313" s="665"/>
      <c r="AF313" s="665"/>
      <c r="AG313" s="897"/>
      <c r="AH313" s="307" t="s">
        <v>4254</v>
      </c>
      <c r="AI313" s="309" t="s">
        <v>4255</v>
      </c>
      <c r="AJ313" s="309" t="s">
        <v>4256</v>
      </c>
      <c r="AK313" s="308"/>
      <c r="AL313" s="308"/>
      <c r="AM313" s="308"/>
      <c r="AN313" s="267" t="s">
        <v>2594</v>
      </c>
      <c r="AO313" s="507" t="s">
        <v>4257</v>
      </c>
      <c r="AP313" s="965">
        <v>571382336</v>
      </c>
      <c r="AQ313" s="966"/>
      <c r="AR313" s="966"/>
      <c r="AS313" s="966"/>
      <c r="AT313" s="966"/>
      <c r="AU313" s="966"/>
      <c r="AV313" s="966"/>
      <c r="AW313" s="1215">
        <f>AP313+AQ313+AR313+AS313+AT313+AU313+AV313</f>
        <v>571382336</v>
      </c>
      <c r="AX313" s="525"/>
      <c r="AY313" s="310"/>
      <c r="AZ313" s="310"/>
      <c r="BA313" s="310"/>
      <c r="BB313" s="310"/>
      <c r="BC313" s="310"/>
      <c r="BD313" s="310"/>
      <c r="BE313" s="544">
        <f t="shared" si="185"/>
        <v>0</v>
      </c>
      <c r="BF313" s="525"/>
      <c r="BG313" s="310"/>
      <c r="BH313" s="310"/>
      <c r="BI313" s="310"/>
      <c r="BJ313" s="310"/>
      <c r="BK313" s="310"/>
      <c r="BL313" s="310"/>
      <c r="BM313" s="544">
        <f t="shared" si="186"/>
        <v>0</v>
      </c>
      <c r="BN313" s="525"/>
      <c r="BO313" s="310"/>
      <c r="BP313" s="310"/>
      <c r="BQ313" s="310"/>
      <c r="BR313" s="310"/>
      <c r="BS313" s="310"/>
      <c r="BT313" s="310"/>
      <c r="BU313" s="544">
        <f t="shared" si="187"/>
        <v>0</v>
      </c>
      <c r="BV313" s="556"/>
      <c r="BW313" s="663">
        <f t="shared" si="175"/>
        <v>2</v>
      </c>
      <c r="BX313" s="1047">
        <f t="shared" si="184"/>
        <v>2</v>
      </c>
      <c r="BY313" s="1047">
        <f t="shared" si="194"/>
        <v>4</v>
      </c>
      <c r="BZ313" s="1047">
        <f t="shared" si="195"/>
        <v>1.3333333333333333</v>
      </c>
      <c r="CA313" s="1047" t="str">
        <f t="shared" si="196"/>
        <v>No Programada</v>
      </c>
      <c r="CB313" s="1047" t="str">
        <f t="shared" si="197"/>
        <v>No Programada</v>
      </c>
      <c r="CD313" t="str">
        <f t="shared" si="198"/>
        <v>VE</v>
      </c>
      <c r="CE313" t="str">
        <f t="shared" si="198"/>
        <v>VE</v>
      </c>
      <c r="CF313" t="str">
        <f t="shared" si="198"/>
        <v>NP</v>
      </c>
      <c r="CG313" t="str">
        <f t="shared" si="198"/>
        <v>NP</v>
      </c>
    </row>
    <row r="314" spans="1:85" ht="58.5" customHeight="1" x14ac:dyDescent="0.3">
      <c r="A314" s="298" t="s">
        <v>896</v>
      </c>
      <c r="B314" s="299" t="str">
        <f>'PLAN INDICATIVO'!B314</f>
        <v>Agropecuario</v>
      </c>
      <c r="C314" s="1547"/>
      <c r="D314" s="1549"/>
      <c r="E314" s="1549"/>
      <c r="F314" s="1549"/>
      <c r="G314" s="1549"/>
      <c r="H314" s="1549"/>
      <c r="I314" s="300">
        <f>'PLAN INDICATIVO'!I314</f>
        <v>0</v>
      </c>
      <c r="J314" s="300">
        <f>'PLAN INDICATIVO'!J314</f>
        <v>0</v>
      </c>
      <c r="K314" s="1428" t="str">
        <f>'PLAN INDICATIVO'!K314</f>
        <v>A.8.1.22</v>
      </c>
      <c r="L314" s="301" t="str">
        <f>'PLAN INDICATIVO'!L314</f>
        <v>12. Producción y consumo responsables</v>
      </c>
      <c r="M314" s="301" t="str">
        <f>'PLAN INDICATIVO'!M314</f>
        <v>Unidad de Desarrollo Rural</v>
      </c>
      <c r="N314" s="1425" t="str">
        <f>'PLAN INDICATIVO'!N314</f>
        <v>GABRIEL ERNESTO CAMPOS ALVIRA</v>
      </c>
      <c r="O314" s="1425" t="str">
        <f>'PLAN INDICATIVO'!O314</f>
        <v>Incremento</v>
      </c>
      <c r="P314" s="16" t="str">
        <f>'PLAN INDICATIVO'!P314</f>
        <v>Apoyar 2 proyectos para Fincas Demostrativas, durante el cuatrienio</v>
      </c>
      <c r="Q314" s="302" t="str">
        <f>'PLAN INDICATIVO'!Q314</f>
        <v>No. De proyectos apoyados</v>
      </c>
      <c r="R314" s="303">
        <f>'PLAN INDICATIVO'!R314</f>
        <v>2015</v>
      </c>
      <c r="S314" s="304">
        <v>0</v>
      </c>
      <c r="T314" s="498">
        <v>2</v>
      </c>
      <c r="U314" s="572">
        <v>0.5</v>
      </c>
      <c r="V314" s="687">
        <v>2500000</v>
      </c>
      <c r="W314" s="572">
        <v>0.5</v>
      </c>
      <c r="X314" s="687">
        <v>2500000</v>
      </c>
      <c r="Y314" s="572"/>
      <c r="Z314" s="687">
        <v>1000000</v>
      </c>
      <c r="AA314" s="1310"/>
      <c r="AB314" s="687">
        <v>2000000</v>
      </c>
      <c r="AC314" s="665">
        <v>0.5</v>
      </c>
      <c r="AD314" s="665">
        <v>1.5</v>
      </c>
      <c r="AE314" s="665"/>
      <c r="AF314" s="665"/>
      <c r="AG314" s="919"/>
      <c r="AH314" s="307" t="s">
        <v>4258</v>
      </c>
      <c r="AI314" s="307" t="s">
        <v>4259</v>
      </c>
      <c r="AJ314" s="309"/>
      <c r="AK314" s="308"/>
      <c r="AL314" s="308"/>
      <c r="AM314" s="308"/>
      <c r="AN314" s="267" t="s">
        <v>2594</v>
      </c>
      <c r="AO314" s="507"/>
      <c r="AP314" s="967"/>
      <c r="AQ314" s="966"/>
      <c r="AR314" s="966"/>
      <c r="AS314" s="966"/>
      <c r="AT314" s="966"/>
      <c r="AU314" s="966"/>
      <c r="AV314" s="968"/>
      <c r="AW314" s="1215">
        <f>AP314+AQ314+AR314+AS314+AT314+AU314+AV314</f>
        <v>0</v>
      </c>
      <c r="AX314" s="531"/>
      <c r="AY314" s="310"/>
      <c r="AZ314" s="310"/>
      <c r="BA314" s="310"/>
      <c r="BB314" s="310"/>
      <c r="BC314" s="310"/>
      <c r="BD314" s="380"/>
      <c r="BE314" s="544">
        <f t="shared" si="185"/>
        <v>0</v>
      </c>
      <c r="BF314" s="531"/>
      <c r="BG314" s="310"/>
      <c r="BH314" s="310"/>
      <c r="BI314" s="310"/>
      <c r="BJ314" s="310"/>
      <c r="BK314" s="310"/>
      <c r="BL314" s="380"/>
      <c r="BM314" s="544">
        <f t="shared" si="186"/>
        <v>0</v>
      </c>
      <c r="BN314" s="531"/>
      <c r="BO314" s="310"/>
      <c r="BP314" s="310"/>
      <c r="BQ314" s="310"/>
      <c r="BR314" s="310"/>
      <c r="BS314" s="310"/>
      <c r="BT314" s="380"/>
      <c r="BU314" s="544">
        <f t="shared" si="187"/>
        <v>0</v>
      </c>
      <c r="BV314" s="556"/>
      <c r="BW314" s="663">
        <f t="shared" si="175"/>
        <v>2</v>
      </c>
      <c r="BX314" s="1047">
        <f t="shared" si="184"/>
        <v>1</v>
      </c>
      <c r="BY314" s="1047">
        <f t="shared" si="194"/>
        <v>1</v>
      </c>
      <c r="BZ314" s="1047">
        <f t="shared" si="195"/>
        <v>3</v>
      </c>
      <c r="CA314" s="1047" t="str">
        <f t="shared" si="196"/>
        <v>No Programada</v>
      </c>
      <c r="CB314" s="1047" t="str">
        <f t="shared" si="197"/>
        <v>No Programada</v>
      </c>
      <c r="CD314" t="str">
        <f t="shared" si="198"/>
        <v>VE</v>
      </c>
      <c r="CE314" t="str">
        <f t="shared" si="198"/>
        <v>VE</v>
      </c>
      <c r="CF314" t="str">
        <f t="shared" si="198"/>
        <v>NP</v>
      </c>
      <c r="CG314" t="str">
        <f t="shared" si="198"/>
        <v>NP</v>
      </c>
    </row>
    <row r="315" spans="1:85" ht="69" customHeight="1" x14ac:dyDescent="0.3">
      <c r="A315" s="298" t="s">
        <v>896</v>
      </c>
      <c r="B315" s="299" t="str">
        <f>'PLAN INDICATIVO'!B315</f>
        <v>Agropecuario</v>
      </c>
      <c r="C315" s="1547"/>
      <c r="D315" s="1549"/>
      <c r="E315" s="1549"/>
      <c r="F315" s="1549"/>
      <c r="G315" s="1549"/>
      <c r="H315" s="1549"/>
      <c r="I315" s="300">
        <f>'PLAN INDICATIVO'!I315</f>
        <v>0</v>
      </c>
      <c r="J315" s="375">
        <f>'PLAN INDICATIVO'!J315</f>
        <v>0</v>
      </c>
      <c r="K315" s="1428" t="str">
        <f>'PLAN INDICATIVO'!K315</f>
        <v>A.8.1.23</v>
      </c>
      <c r="L315" s="301" t="str">
        <f>'PLAN INDICATIVO'!L315</f>
        <v>12. Producción y consumo responsables</v>
      </c>
      <c r="M315" s="301" t="str">
        <f>'PLAN INDICATIVO'!M315</f>
        <v>Unidad de Desarrollo Rural</v>
      </c>
      <c r="N315" s="1425" t="str">
        <f>'PLAN INDICATIVO'!N315</f>
        <v>GABRIEL ERNESTO CAMPOS ALVIRA</v>
      </c>
      <c r="O315" s="1425" t="str">
        <f>'PLAN INDICATIVO'!O315</f>
        <v>Incremento</v>
      </c>
      <c r="P315" s="16" t="str">
        <f>'PLAN INDICATIVO'!P315</f>
        <v>Apoyar 1 proyecto para la implantación de una planta pasteurizadora en el municipio durante el cuatrienio</v>
      </c>
      <c r="Q315" s="348" t="str">
        <f>'PLAN INDICATIVO'!Q315</f>
        <v>No. De proyectos apoyados</v>
      </c>
      <c r="R315" s="303">
        <f>'PLAN INDICATIVO'!R315</f>
        <v>2015</v>
      </c>
      <c r="S315" s="304">
        <v>0</v>
      </c>
      <c r="T315" s="498">
        <v>1</v>
      </c>
      <c r="U315" s="895">
        <v>0</v>
      </c>
      <c r="V315" s="687">
        <v>500000</v>
      </c>
      <c r="W315" s="572">
        <v>1</v>
      </c>
      <c r="X315" s="687">
        <v>500000</v>
      </c>
      <c r="Y315" s="1232"/>
      <c r="Z315" s="1233"/>
      <c r="AA315" s="1310"/>
      <c r="AB315" s="687"/>
      <c r="AC315" s="665">
        <v>1</v>
      </c>
      <c r="AD315" s="665">
        <v>1</v>
      </c>
      <c r="AE315" s="665"/>
      <c r="AF315" s="665"/>
      <c r="AG315" s="919"/>
      <c r="AH315" s="764"/>
      <c r="AI315" s="308"/>
      <c r="AJ315" s="308"/>
      <c r="AK315" s="308"/>
      <c r="AL315" s="308"/>
      <c r="AM315" s="308"/>
      <c r="AN315" s="267" t="s">
        <v>2594</v>
      </c>
      <c r="AO315" s="507" t="s">
        <v>2910</v>
      </c>
      <c r="AP315" s="965"/>
      <c r="AQ315" s="966"/>
      <c r="AR315" s="966"/>
      <c r="AS315" s="966"/>
      <c r="AT315" s="966"/>
      <c r="AU315" s="966"/>
      <c r="AV315" s="966"/>
      <c r="AW315" s="1215"/>
      <c r="AX315" s="525"/>
      <c r="AY315" s="310"/>
      <c r="AZ315" s="310"/>
      <c r="BA315" s="310"/>
      <c r="BB315" s="310"/>
      <c r="BC315" s="310"/>
      <c r="BD315" s="310"/>
      <c r="BE315" s="544">
        <f t="shared" si="185"/>
        <v>0</v>
      </c>
      <c r="BF315" s="525"/>
      <c r="BG315" s="310"/>
      <c r="BH315" s="310"/>
      <c r="BI315" s="310"/>
      <c r="BJ315" s="310"/>
      <c r="BK315" s="310"/>
      <c r="BL315" s="310"/>
      <c r="BM315" s="544">
        <f t="shared" si="186"/>
        <v>0</v>
      </c>
      <c r="BN315" s="525"/>
      <c r="BO315" s="310"/>
      <c r="BP315" s="310"/>
      <c r="BQ315" s="310"/>
      <c r="BR315" s="310"/>
      <c r="BS315" s="310"/>
      <c r="BT315" s="310"/>
      <c r="BU315" s="544">
        <f t="shared" si="187"/>
        <v>0</v>
      </c>
      <c r="BV315" s="556"/>
      <c r="BW315" s="663">
        <f t="shared" si="175"/>
        <v>2</v>
      </c>
      <c r="BX315" s="1047">
        <f t="shared" si="184"/>
        <v>2</v>
      </c>
      <c r="BY315" s="1047" t="str">
        <f t="shared" si="194"/>
        <v>Aplazada</v>
      </c>
      <c r="BZ315" s="1047">
        <f t="shared" si="195"/>
        <v>1</v>
      </c>
      <c r="CA315" s="1047" t="str">
        <f t="shared" si="196"/>
        <v>No Programada</v>
      </c>
      <c r="CB315" s="1047" t="str">
        <f t="shared" si="197"/>
        <v>No Programada</v>
      </c>
      <c r="CD315" t="str">
        <f t="shared" si="198"/>
        <v>AZ</v>
      </c>
      <c r="CE315" t="str">
        <f t="shared" si="198"/>
        <v>VE</v>
      </c>
      <c r="CF315" t="str">
        <f t="shared" si="198"/>
        <v>NP</v>
      </c>
      <c r="CG315" t="str">
        <f t="shared" si="198"/>
        <v>NP</v>
      </c>
    </row>
    <row r="316" spans="1:85" ht="82.5" customHeight="1" x14ac:dyDescent="0.3">
      <c r="A316" s="298" t="s">
        <v>896</v>
      </c>
      <c r="B316" s="299" t="str">
        <f>'PLAN INDICATIVO'!B316</f>
        <v>Agropecuario</v>
      </c>
      <c r="C316" s="1547"/>
      <c r="D316" s="1549"/>
      <c r="E316" s="1549"/>
      <c r="F316" s="1549"/>
      <c r="G316" s="1549"/>
      <c r="H316" s="1549"/>
      <c r="I316" s="300">
        <f>'PLAN INDICATIVO'!I316</f>
        <v>0</v>
      </c>
      <c r="J316" s="375">
        <f>'PLAN INDICATIVO'!J316</f>
        <v>0</v>
      </c>
      <c r="K316" s="1428" t="str">
        <f>'PLAN INDICATIVO'!K316</f>
        <v>A.8.1.24</v>
      </c>
      <c r="L316" s="301" t="str">
        <f>'PLAN INDICATIVO'!L316</f>
        <v>2. Hambre cero</v>
      </c>
      <c r="M316" s="301" t="str">
        <f>'PLAN INDICATIVO'!M316</f>
        <v>Unidad de Desarrollo Rural</v>
      </c>
      <c r="N316" s="1425" t="str">
        <f>'PLAN INDICATIVO'!N316</f>
        <v>GABRIEL ERNESTO CAMPOS ALVIRA</v>
      </c>
      <c r="O316" s="1425" t="str">
        <f>'PLAN INDICATIVO'!O316</f>
        <v>Incremento</v>
      </c>
      <c r="P316" s="71" t="str">
        <f>'PLAN INDICATIVO'!P316</f>
        <v>Apoyar a 600  familias en seguridad alimentaria durante el cuatrienio.</v>
      </c>
      <c r="Q316" s="348" t="str">
        <f>'PLAN INDICATIVO'!Q316</f>
        <v xml:space="preserve">No. De familias apoyadas </v>
      </c>
      <c r="R316" s="303" t="str">
        <f>'PLAN INDICATIVO'!R316</f>
        <v>2012 -2015</v>
      </c>
      <c r="S316" s="304">
        <v>750</v>
      </c>
      <c r="T316" s="498">
        <v>600</v>
      </c>
      <c r="U316" s="303">
        <v>0</v>
      </c>
      <c r="V316" s="687">
        <v>206000000</v>
      </c>
      <c r="W316" s="572">
        <v>600</v>
      </c>
      <c r="X316" s="687">
        <v>4500000</v>
      </c>
      <c r="Y316" s="1240">
        <v>200</v>
      </c>
      <c r="Z316" s="1233">
        <v>2000000</v>
      </c>
      <c r="AA316" s="1310">
        <v>200</v>
      </c>
      <c r="AB316" s="687">
        <v>1000000</v>
      </c>
      <c r="AC316" s="665"/>
      <c r="AD316" s="665">
        <v>200</v>
      </c>
      <c r="AE316" s="665">
        <v>200</v>
      </c>
      <c r="AF316" s="665"/>
      <c r="AG316" s="919" t="s">
        <v>4214</v>
      </c>
      <c r="AH316" s="336" t="s">
        <v>4260</v>
      </c>
      <c r="AI316" s="307" t="s">
        <v>4261</v>
      </c>
      <c r="AJ316" s="890"/>
      <c r="AK316" s="308"/>
      <c r="AL316" s="308"/>
      <c r="AM316" s="308"/>
      <c r="AN316" s="267" t="s">
        <v>2598</v>
      </c>
      <c r="AO316" s="507" t="s">
        <v>4233</v>
      </c>
      <c r="AP316" s="969"/>
      <c r="AQ316" s="970"/>
      <c r="AR316" s="970"/>
      <c r="AS316" s="970"/>
      <c r="AT316" s="970"/>
      <c r="AU316" s="970"/>
      <c r="AV316" s="970"/>
      <c r="AW316" s="1217">
        <f t="shared" ref="AW316" si="199">SUM(AP316:AV316)</f>
        <v>0</v>
      </c>
      <c r="AX316" s="525"/>
      <c r="AY316" s="310"/>
      <c r="AZ316" s="310"/>
      <c r="BA316" s="310"/>
      <c r="BB316" s="310"/>
      <c r="BC316" s="310"/>
      <c r="BD316" s="310"/>
      <c r="BE316" s="544">
        <f t="shared" ref="BE316" si="200">SUM(AX316:BD316)</f>
        <v>0</v>
      </c>
      <c r="BF316" s="525">
        <v>2000000</v>
      </c>
      <c r="BG316" s="310"/>
      <c r="BH316" s="310"/>
      <c r="BI316" s="310"/>
      <c r="BJ316" s="310"/>
      <c r="BK316" s="310"/>
      <c r="BL316" s="310"/>
      <c r="BM316" s="544">
        <f t="shared" si="186"/>
        <v>2000000</v>
      </c>
      <c r="BN316" s="525"/>
      <c r="BO316" s="310"/>
      <c r="BP316" s="310"/>
      <c r="BQ316" s="310"/>
      <c r="BR316" s="310"/>
      <c r="BS316" s="310"/>
      <c r="BT316" s="310"/>
      <c r="BU316" s="544">
        <f t="shared" si="187"/>
        <v>0</v>
      </c>
      <c r="BV316" s="556"/>
      <c r="BW316" s="663">
        <f t="shared" si="175"/>
        <v>400</v>
      </c>
      <c r="BX316" s="1047">
        <f t="shared" si="184"/>
        <v>0.66666666666666663</v>
      </c>
      <c r="BY316" s="1047" t="str">
        <f t="shared" si="194"/>
        <v>Aplazada</v>
      </c>
      <c r="BZ316" s="1047">
        <f t="shared" si="195"/>
        <v>0.33333333333333331</v>
      </c>
      <c r="CA316" s="1047">
        <f t="shared" si="196"/>
        <v>1</v>
      </c>
      <c r="CB316" s="1047">
        <f t="shared" si="197"/>
        <v>0</v>
      </c>
      <c r="CD316" t="str">
        <f t="shared" si="198"/>
        <v>AZ</v>
      </c>
      <c r="CE316" t="str">
        <f t="shared" si="198"/>
        <v>RO</v>
      </c>
      <c r="CF316" t="str">
        <f t="shared" si="198"/>
        <v>VE</v>
      </c>
      <c r="CG316" t="str">
        <f t="shared" si="198"/>
        <v>ROB</v>
      </c>
    </row>
    <row r="317" spans="1:85" ht="81" customHeight="1" x14ac:dyDescent="0.3">
      <c r="A317" s="298" t="s">
        <v>896</v>
      </c>
      <c r="B317" s="299" t="str">
        <f>'PLAN INDICATIVO'!B317</f>
        <v>Agropecuario</v>
      </c>
      <c r="C317" s="1547"/>
      <c r="D317" s="1549"/>
      <c r="E317" s="1549"/>
      <c r="F317" s="1549"/>
      <c r="G317" s="1549"/>
      <c r="H317" s="1549"/>
      <c r="I317" s="300">
        <f>'PLAN INDICATIVO'!I317</f>
        <v>0</v>
      </c>
      <c r="J317" s="375">
        <f>'PLAN INDICATIVO'!J317</f>
        <v>0</v>
      </c>
      <c r="K317" s="1428" t="str">
        <f>'PLAN INDICATIVO'!K317</f>
        <v>A.8.1.25</v>
      </c>
      <c r="L317" s="301" t="str">
        <f>'PLAN INDICATIVO'!L317</f>
        <v>12. Producción y consumo responsables</v>
      </c>
      <c r="M317" s="301" t="str">
        <f>'PLAN INDICATIVO'!M317</f>
        <v>Unidad de Desarrollo Rural</v>
      </c>
      <c r="N317" s="1425" t="str">
        <f>'PLAN INDICATIVO'!N317</f>
        <v>GABRIEL ERNESTO CAMPOS ALVIRA</v>
      </c>
      <c r="O317" s="1425" t="str">
        <f>'PLAN INDICATIVO'!O317</f>
        <v>Incremento</v>
      </c>
      <c r="P317" s="25" t="str">
        <f>'PLAN INDICATIVO'!P317</f>
        <v>Realizar 100 Mejoramientos genéticos bovinos en el Municipio de La Plata durante el cuatrienio.</v>
      </c>
      <c r="Q317" s="348" t="str">
        <f>'PLAN INDICATIVO'!Q317</f>
        <v>No. De mejoramientos genéticos realizados.</v>
      </c>
      <c r="R317" s="303" t="str">
        <f>'PLAN INDICATIVO'!R317</f>
        <v>2012 -2015</v>
      </c>
      <c r="S317" s="304">
        <v>450</v>
      </c>
      <c r="T317" s="498">
        <v>100</v>
      </c>
      <c r="U317" s="572">
        <v>0</v>
      </c>
      <c r="V317" s="687">
        <v>0</v>
      </c>
      <c r="W317" s="572">
        <v>0</v>
      </c>
      <c r="X317" s="687"/>
      <c r="Y317" s="1232">
        <v>100</v>
      </c>
      <c r="Z317" s="1233">
        <v>4000000</v>
      </c>
      <c r="AA317" s="1310"/>
      <c r="AB317" s="687">
        <v>6000000</v>
      </c>
      <c r="AC317" s="665"/>
      <c r="AD317" s="665">
        <v>0</v>
      </c>
      <c r="AE317" s="665">
        <v>100</v>
      </c>
      <c r="AF317" s="665"/>
      <c r="AG317" s="266"/>
      <c r="AH317" s="307" t="s">
        <v>4262</v>
      </c>
      <c r="AI317" s="838"/>
      <c r="AJ317" s="838" t="s">
        <v>4263</v>
      </c>
      <c r="AK317" s="308"/>
      <c r="AL317" s="308"/>
      <c r="AM317" s="308"/>
      <c r="AN317" s="267" t="s">
        <v>2598</v>
      </c>
      <c r="AO317" s="1314"/>
      <c r="AP317" s="1315"/>
      <c r="AQ317" s="1316"/>
      <c r="AR317" s="1317"/>
      <c r="AS317" s="1317"/>
      <c r="AT317" s="1317"/>
      <c r="AU317" s="1317"/>
      <c r="AV317" s="1317"/>
      <c r="AW317" s="1318"/>
      <c r="AX317" s="1319"/>
      <c r="AY317" s="1320"/>
      <c r="AZ317" s="1320"/>
      <c r="BA317" s="1320"/>
      <c r="BB317" s="1320"/>
      <c r="BC317" s="1320"/>
      <c r="BD317" s="1320"/>
      <c r="BE317" s="1321"/>
      <c r="BF317" s="1319"/>
      <c r="BG317" s="1320"/>
      <c r="BH317" s="310"/>
      <c r="BI317" s="310"/>
      <c r="BJ317" s="310"/>
      <c r="BK317" s="310">
        <v>115646000</v>
      </c>
      <c r="BL317" s="310"/>
      <c r="BM317" s="544">
        <f t="shared" si="186"/>
        <v>115646000</v>
      </c>
      <c r="BN317" s="525"/>
      <c r="BO317" s="310"/>
      <c r="BP317" s="310"/>
      <c r="BQ317" s="310"/>
      <c r="BR317" s="310"/>
      <c r="BS317" s="310"/>
      <c r="BT317" s="310"/>
      <c r="BU317" s="544">
        <f t="shared" si="187"/>
        <v>0</v>
      </c>
      <c r="BV317" s="556"/>
      <c r="BW317" s="663">
        <f t="shared" si="175"/>
        <v>100</v>
      </c>
      <c r="BX317" s="1047">
        <f t="shared" si="184"/>
        <v>1</v>
      </c>
      <c r="BY317" s="1047" t="str">
        <f t="shared" si="194"/>
        <v>Aplazada</v>
      </c>
      <c r="BZ317" s="1047" t="str">
        <f t="shared" si="195"/>
        <v>Aplazada</v>
      </c>
      <c r="CA317" s="1047">
        <f t="shared" si="196"/>
        <v>1</v>
      </c>
      <c r="CB317" s="1047" t="str">
        <f t="shared" si="197"/>
        <v>No Programada</v>
      </c>
      <c r="CD317" t="str">
        <f t="shared" si="198"/>
        <v>AZ</v>
      </c>
      <c r="CE317" t="str">
        <f t="shared" si="198"/>
        <v>AZ</v>
      </c>
      <c r="CF317" t="str">
        <f t="shared" si="198"/>
        <v>VE</v>
      </c>
      <c r="CG317" t="str">
        <f t="shared" si="198"/>
        <v>NP</v>
      </c>
    </row>
    <row r="318" spans="1:85" ht="82.5" customHeight="1" x14ac:dyDescent="0.3">
      <c r="A318" s="298" t="s">
        <v>896</v>
      </c>
      <c r="B318" s="299" t="str">
        <f>'PLAN INDICATIVO'!B318</f>
        <v>Agropecuario</v>
      </c>
      <c r="C318" s="1547"/>
      <c r="D318" s="1549"/>
      <c r="E318" s="1549"/>
      <c r="F318" s="1549"/>
      <c r="G318" s="1549"/>
      <c r="H318" s="1549"/>
      <c r="I318" s="300">
        <f>'PLAN INDICATIVO'!I318</f>
        <v>0</v>
      </c>
      <c r="J318" s="375">
        <f>'PLAN INDICATIVO'!J318</f>
        <v>0</v>
      </c>
      <c r="K318" s="1428" t="str">
        <f>'PLAN INDICATIVO'!K318</f>
        <v>A.8.1.26</v>
      </c>
      <c r="L318" s="301" t="str">
        <f>'PLAN INDICATIVO'!L318</f>
        <v>12. Producción y consumo responsables</v>
      </c>
      <c r="M318" s="301" t="str">
        <f>'PLAN INDICATIVO'!M318</f>
        <v>Unidad de Desarrollo Rural</v>
      </c>
      <c r="N318" s="1425" t="str">
        <f>'PLAN INDICATIVO'!N318</f>
        <v>GABRIEL ERNESTO CAMPOS ALVIRA</v>
      </c>
      <c r="O318" s="1425" t="str">
        <f>'PLAN INDICATIVO'!O318</f>
        <v>Incremento</v>
      </c>
      <c r="P318" s="25" t="str">
        <f>'PLAN INDICATIVO'!P318</f>
        <v>Instalar 10 secaderos de café tipo invernadero durante el cuatrienio</v>
      </c>
      <c r="Q318" s="348" t="str">
        <f>'PLAN INDICATIVO'!Q318</f>
        <v xml:space="preserve">No. De Secaderos instalados </v>
      </c>
      <c r="R318" s="303">
        <f>'PLAN INDICATIVO'!R318</f>
        <v>2015</v>
      </c>
      <c r="S318" s="304">
        <v>0</v>
      </c>
      <c r="T318" s="498">
        <v>10</v>
      </c>
      <c r="U318" s="572">
        <v>0</v>
      </c>
      <c r="V318" s="687">
        <v>3000000</v>
      </c>
      <c r="W318" s="572">
        <v>0</v>
      </c>
      <c r="X318" s="687">
        <v>5000000</v>
      </c>
      <c r="Y318" s="1232"/>
      <c r="Z318" s="1233">
        <v>5000000</v>
      </c>
      <c r="AA318" s="1310">
        <v>10</v>
      </c>
      <c r="AB318" s="687">
        <v>1000000</v>
      </c>
      <c r="AC318" s="665"/>
      <c r="AD318" s="665">
        <v>0</v>
      </c>
      <c r="AE318" s="665"/>
      <c r="AF318" s="665"/>
      <c r="AG318" s="897"/>
      <c r="AH318" s="307" t="s">
        <v>4264</v>
      </c>
      <c r="AI318" s="838"/>
      <c r="AJ318" s="838"/>
      <c r="AK318" s="308"/>
      <c r="AL318" s="308"/>
      <c r="AM318" s="308"/>
      <c r="AN318" s="267" t="s">
        <v>2594</v>
      </c>
      <c r="AO318" s="507"/>
      <c r="AP318" s="965"/>
      <c r="AQ318" s="966"/>
      <c r="AR318" s="966"/>
      <c r="AS318" s="966"/>
      <c r="AT318" s="966"/>
      <c r="AU318" s="966"/>
      <c r="AV318" s="966"/>
      <c r="AW318" s="1215">
        <f t="shared" si="193"/>
        <v>0</v>
      </c>
      <c r="AX318" s="525"/>
      <c r="AY318" s="310"/>
      <c r="AZ318" s="310"/>
      <c r="BA318" s="310"/>
      <c r="BB318" s="310"/>
      <c r="BC318" s="310"/>
      <c r="BD318" s="310"/>
      <c r="BE318" s="544">
        <f t="shared" si="185"/>
        <v>0</v>
      </c>
      <c r="BF318" s="525"/>
      <c r="BG318" s="310"/>
      <c r="BH318" s="310"/>
      <c r="BI318" s="310"/>
      <c r="BJ318" s="310"/>
      <c r="BK318" s="310"/>
      <c r="BL318" s="310"/>
      <c r="BM318" s="544">
        <f t="shared" si="186"/>
        <v>0</v>
      </c>
      <c r="BN318" s="525"/>
      <c r="BO318" s="310"/>
      <c r="BP318" s="310"/>
      <c r="BQ318" s="310"/>
      <c r="BR318" s="310"/>
      <c r="BS318" s="310"/>
      <c r="BT318" s="310"/>
      <c r="BU318" s="544">
        <f t="shared" si="187"/>
        <v>0</v>
      </c>
      <c r="BV318" s="556"/>
      <c r="BW318" s="663">
        <f t="shared" si="175"/>
        <v>0</v>
      </c>
      <c r="BX318" s="1047">
        <f t="shared" si="184"/>
        <v>0</v>
      </c>
      <c r="BY318" s="1047" t="str">
        <f t="shared" si="194"/>
        <v>Aplazada</v>
      </c>
      <c r="BZ318" s="1047" t="str">
        <f t="shared" si="195"/>
        <v>Aplazada</v>
      </c>
      <c r="CA318" s="1047" t="str">
        <f t="shared" si="196"/>
        <v>No Programada</v>
      </c>
      <c r="CB318" s="1047">
        <f t="shared" si="197"/>
        <v>0</v>
      </c>
      <c r="CD318" t="str">
        <f t="shared" si="198"/>
        <v>AZ</v>
      </c>
      <c r="CE318" t="str">
        <f t="shared" si="198"/>
        <v>AZ</v>
      </c>
      <c r="CF318" t="str">
        <f t="shared" si="198"/>
        <v>NP</v>
      </c>
      <c r="CG318" t="str">
        <f t="shared" si="198"/>
        <v>ROB</v>
      </c>
    </row>
    <row r="319" spans="1:85" ht="74.25" customHeight="1" x14ac:dyDescent="0.3">
      <c r="A319" s="298" t="s">
        <v>896</v>
      </c>
      <c r="B319" s="299" t="str">
        <f>'PLAN INDICATIVO'!B319</f>
        <v>Agropecuario</v>
      </c>
      <c r="C319" s="1547"/>
      <c r="D319" s="1549"/>
      <c r="E319" s="1549"/>
      <c r="F319" s="1549"/>
      <c r="G319" s="1549"/>
      <c r="H319" s="1549"/>
      <c r="I319" s="300">
        <f>'PLAN INDICATIVO'!I319</f>
        <v>0</v>
      </c>
      <c r="J319" s="375">
        <f>'PLAN INDICATIVO'!J319</f>
        <v>0</v>
      </c>
      <c r="K319" s="1428" t="str">
        <f>'PLAN INDICATIVO'!K319</f>
        <v>A.8.1.27</v>
      </c>
      <c r="L319" s="301" t="str">
        <f>'PLAN INDICATIVO'!L319</f>
        <v>12. Producción y consumo responsables</v>
      </c>
      <c r="M319" s="301" t="str">
        <f>'PLAN INDICATIVO'!M319</f>
        <v>Unidad de Desarrollo Rural</v>
      </c>
      <c r="N319" s="1425" t="str">
        <f>'PLAN INDICATIVO'!N319</f>
        <v>GABRIEL ERNESTO CAMPOS ALVIRA</v>
      </c>
      <c r="O319" s="1425" t="str">
        <f>'PLAN INDICATIVO'!O319</f>
        <v>Incremento</v>
      </c>
      <c r="P319" s="16" t="str">
        <f>'PLAN INDICATIVO'!P319</f>
        <v>Apoyar la Implementación de una (1)  microcentral de beneficio para productores de café en el Municipio durante el cuatrenio.</v>
      </c>
      <c r="Q319" s="348" t="str">
        <f>'PLAN INDICATIVO'!Q319</f>
        <v>No. De apoyos ofrecidos microcentral implementada</v>
      </c>
      <c r="R319" s="303">
        <f>'PLAN INDICATIVO'!R319</f>
        <v>2015</v>
      </c>
      <c r="S319" s="304">
        <v>0</v>
      </c>
      <c r="T319" s="498">
        <v>1</v>
      </c>
      <c r="U319" s="572">
        <v>0</v>
      </c>
      <c r="V319" s="687">
        <v>7000000</v>
      </c>
      <c r="W319" s="572">
        <v>0.33</v>
      </c>
      <c r="X319" s="687">
        <v>3000000</v>
      </c>
      <c r="Y319" s="1232"/>
      <c r="Z319" s="1233">
        <v>500000</v>
      </c>
      <c r="AA319" s="1310">
        <v>0.67</v>
      </c>
      <c r="AB319" s="687">
        <v>1000000</v>
      </c>
      <c r="AC319" s="665"/>
      <c r="AD319" s="665">
        <v>0.33</v>
      </c>
      <c r="AE319" s="665"/>
      <c r="AF319" s="665"/>
      <c r="AG319" s="897"/>
      <c r="AH319" s="307"/>
      <c r="AI319" s="838"/>
      <c r="AJ319" s="838"/>
      <c r="AK319" s="308"/>
      <c r="AL319" s="308"/>
      <c r="AM319" s="308"/>
      <c r="AN319" s="267" t="s">
        <v>2594</v>
      </c>
      <c r="AO319" s="507"/>
      <c r="AP319" s="965"/>
      <c r="AQ319" s="966"/>
      <c r="AR319" s="966"/>
      <c r="AS319" s="966"/>
      <c r="AT319" s="966"/>
      <c r="AU319" s="966"/>
      <c r="AV319" s="966"/>
      <c r="AW319" s="1215">
        <f t="shared" si="193"/>
        <v>0</v>
      </c>
      <c r="AX319" s="525"/>
      <c r="AY319" s="310"/>
      <c r="AZ319" s="310"/>
      <c r="BA319" s="310"/>
      <c r="BB319" s="310"/>
      <c r="BC319" s="310"/>
      <c r="BD319" s="310"/>
      <c r="BE319" s="544">
        <f t="shared" si="185"/>
        <v>0</v>
      </c>
      <c r="BF319" s="525"/>
      <c r="BG319" s="310"/>
      <c r="BH319" s="310"/>
      <c r="BI319" s="310"/>
      <c r="BJ319" s="310"/>
      <c r="BK319" s="310"/>
      <c r="BL319" s="310"/>
      <c r="BM319" s="544">
        <f t="shared" si="186"/>
        <v>0</v>
      </c>
      <c r="BN319" s="525"/>
      <c r="BO319" s="310"/>
      <c r="BP319" s="310"/>
      <c r="BQ319" s="310"/>
      <c r="BR319" s="310"/>
      <c r="BS319" s="310"/>
      <c r="BT319" s="310"/>
      <c r="BU319" s="544">
        <f t="shared" si="187"/>
        <v>0</v>
      </c>
      <c r="BV319" s="556"/>
      <c r="BW319" s="663">
        <f t="shared" si="175"/>
        <v>0.33</v>
      </c>
      <c r="BX319" s="1047">
        <f t="shared" si="184"/>
        <v>0.33</v>
      </c>
      <c r="BY319" s="1047" t="str">
        <f t="shared" si="194"/>
        <v>Aplazada</v>
      </c>
      <c r="BZ319" s="1047">
        <f t="shared" si="195"/>
        <v>1</v>
      </c>
      <c r="CA319" s="1047" t="str">
        <f t="shared" si="196"/>
        <v>No Programada</v>
      </c>
      <c r="CB319" s="1047">
        <f t="shared" si="197"/>
        <v>0</v>
      </c>
      <c r="CD319" t="str">
        <f t="shared" si="198"/>
        <v>AZ</v>
      </c>
      <c r="CE319" t="str">
        <f t="shared" si="198"/>
        <v>VE</v>
      </c>
      <c r="CF319" t="str">
        <f t="shared" si="198"/>
        <v>NP</v>
      </c>
      <c r="CG319" t="str">
        <f t="shared" si="198"/>
        <v>ROB</v>
      </c>
    </row>
    <row r="320" spans="1:85" ht="92.25" customHeight="1" x14ac:dyDescent="0.3">
      <c r="A320" s="298" t="s">
        <v>896</v>
      </c>
      <c r="B320" s="299" t="str">
        <f>'PLAN INDICATIVO'!B320</f>
        <v>Agropecuario</v>
      </c>
      <c r="C320" s="1547"/>
      <c r="D320" s="1549"/>
      <c r="E320" s="1549"/>
      <c r="F320" s="1549"/>
      <c r="G320" s="1549"/>
      <c r="H320" s="1549"/>
      <c r="I320" s="300">
        <f>'PLAN INDICATIVO'!I320</f>
        <v>0</v>
      </c>
      <c r="J320" s="375">
        <f>'PLAN INDICATIVO'!J320</f>
        <v>0</v>
      </c>
      <c r="K320" s="1428" t="str">
        <f>'PLAN INDICATIVO'!K320</f>
        <v>A.8.1.28</v>
      </c>
      <c r="L320" s="301" t="str">
        <f>'PLAN INDICATIVO'!L320</f>
        <v>12. Producción y consumo responsables</v>
      </c>
      <c r="M320" s="301" t="str">
        <f>'PLAN INDICATIVO'!M320</f>
        <v>Unidad de Desarrollo Rural</v>
      </c>
      <c r="N320" s="1425" t="str">
        <f>'PLAN INDICATIVO'!N320</f>
        <v>GABRIEL ERNESTO CAMPOS ALVIRA</v>
      </c>
      <c r="O320" s="1425" t="str">
        <f>'PLAN INDICATIVO'!O320</f>
        <v>Incremento</v>
      </c>
      <c r="P320" s="16" t="str">
        <f>'PLAN INDICATIVO'!P320</f>
        <v>Implementar 1 Proyecto de cofinanciación agropecuario en convenio con entidades financiera durante el cuatrienio</v>
      </c>
      <c r="Q320" s="348" t="str">
        <f>'PLAN INDICATIVO'!Q320</f>
        <v xml:space="preserve">No. De Proyectos implementados </v>
      </c>
      <c r="R320" s="303">
        <f>'PLAN INDICATIVO'!R320</f>
        <v>2015</v>
      </c>
      <c r="S320" s="304">
        <v>1</v>
      </c>
      <c r="T320" s="498">
        <v>1</v>
      </c>
      <c r="U320" s="572">
        <v>0</v>
      </c>
      <c r="V320" s="687">
        <v>0</v>
      </c>
      <c r="W320" s="572">
        <v>0</v>
      </c>
      <c r="X320" s="687"/>
      <c r="Y320" s="1232"/>
      <c r="Z320" s="1233">
        <v>4000000</v>
      </c>
      <c r="AA320" s="1310"/>
      <c r="AB320" s="687"/>
      <c r="AC320" s="665"/>
      <c r="AD320" s="665">
        <v>1</v>
      </c>
      <c r="AE320" s="665"/>
      <c r="AF320" s="665"/>
      <c r="AG320" s="266"/>
      <c r="AH320" s="307"/>
      <c r="AI320" s="308" t="s">
        <v>4265</v>
      </c>
      <c r="AJ320" s="308"/>
      <c r="AK320" s="308"/>
      <c r="AL320" s="308"/>
      <c r="AM320" s="308"/>
      <c r="AN320" s="267" t="s">
        <v>2594</v>
      </c>
      <c r="AO320" s="507"/>
      <c r="AP320" s="729"/>
      <c r="AQ320" s="730"/>
      <c r="AR320" s="730"/>
      <c r="AS320" s="730"/>
      <c r="AT320" s="730"/>
      <c r="AU320" s="730"/>
      <c r="AV320" s="730"/>
      <c r="AW320" s="731">
        <f t="shared" si="193"/>
        <v>0</v>
      </c>
      <c r="AX320" s="525"/>
      <c r="AY320" s="310"/>
      <c r="AZ320" s="310"/>
      <c r="BA320" s="310"/>
      <c r="BB320" s="310"/>
      <c r="BC320" s="310"/>
      <c r="BD320" s="310"/>
      <c r="BE320" s="544">
        <f t="shared" si="185"/>
        <v>0</v>
      </c>
      <c r="BF320" s="525"/>
      <c r="BG320" s="310"/>
      <c r="BH320" s="310"/>
      <c r="BI320" s="310"/>
      <c r="BJ320" s="310"/>
      <c r="BK320" s="310"/>
      <c r="BL320" s="310"/>
      <c r="BM320" s="544">
        <f t="shared" si="186"/>
        <v>0</v>
      </c>
      <c r="BN320" s="525"/>
      <c r="BO320" s="310"/>
      <c r="BP320" s="310"/>
      <c r="BQ320" s="310"/>
      <c r="BR320" s="310"/>
      <c r="BS320" s="310"/>
      <c r="BT320" s="310"/>
      <c r="BU320" s="544">
        <f t="shared" si="187"/>
        <v>0</v>
      </c>
      <c r="BV320" s="556"/>
      <c r="BW320" s="663">
        <f t="shared" si="175"/>
        <v>1</v>
      </c>
      <c r="BX320" s="1047">
        <f t="shared" si="184"/>
        <v>1</v>
      </c>
      <c r="BY320" s="1047" t="str">
        <f t="shared" si="194"/>
        <v>Aplazada</v>
      </c>
      <c r="BZ320" s="1047" t="str">
        <f t="shared" si="195"/>
        <v>Aplazada</v>
      </c>
      <c r="CA320" s="1047" t="str">
        <f t="shared" si="196"/>
        <v>No Programada</v>
      </c>
      <c r="CB320" s="1047" t="str">
        <f t="shared" si="197"/>
        <v>No Programada</v>
      </c>
      <c r="CD320" t="str">
        <f t="shared" si="198"/>
        <v>AZ</v>
      </c>
      <c r="CE320" t="str">
        <f t="shared" si="198"/>
        <v>AZ</v>
      </c>
      <c r="CF320" t="str">
        <f t="shared" si="198"/>
        <v>NP</v>
      </c>
      <c r="CG320" t="str">
        <f t="shared" si="198"/>
        <v>NP</v>
      </c>
    </row>
    <row r="321" spans="1:85" ht="95.25" customHeight="1" x14ac:dyDescent="0.3">
      <c r="A321" s="298" t="s">
        <v>2458</v>
      </c>
      <c r="B321" s="299" t="str">
        <f>'PLAN INDICATIVO'!B321</f>
        <v>Agropecuario</v>
      </c>
      <c r="C321" s="1547"/>
      <c r="D321" s="1549"/>
      <c r="E321" s="1549"/>
      <c r="F321" s="1549"/>
      <c r="G321" s="1549"/>
      <c r="H321" s="1549"/>
      <c r="I321" s="300">
        <f>'PLAN INDICATIVO'!I321</f>
        <v>0</v>
      </c>
      <c r="J321" s="375">
        <f>'PLAN INDICATIVO'!J321</f>
        <v>0</v>
      </c>
      <c r="K321" s="1428" t="str">
        <f>'PLAN INDICATIVO'!K321</f>
        <v>A.8.1.29</v>
      </c>
      <c r="L321" s="301" t="str">
        <f>'PLAN INDICATIVO'!L321</f>
        <v>12. Producción y consumo responsables</v>
      </c>
      <c r="M321" s="301" t="str">
        <f>'PLAN INDICATIVO'!M321</f>
        <v>Unidad de Desarrollo Rural</v>
      </c>
      <c r="N321" s="1425" t="str">
        <f>'PLAN INDICATIVO'!N321</f>
        <v>GABRIEL ERNESTO CAMPOS ALVIRA</v>
      </c>
      <c r="O321" s="1425" t="str">
        <f>'PLAN INDICATIVO'!O321</f>
        <v>Mantenimiento</v>
      </c>
      <c r="P321" s="1198" t="str">
        <f>'PLAN INDICATIVO'!P321</f>
        <v>Realizar 1 Celebración anual del día del campesino  durante el cuatrienio.</v>
      </c>
      <c r="Q321" s="348" t="str">
        <f>'PLAN INDICATIVO'!Q321</f>
        <v>No. De celebraciones realizadas por año</v>
      </c>
      <c r="R321" s="303">
        <f>'PLAN INDICATIVO'!R321</f>
        <v>2015</v>
      </c>
      <c r="S321" s="304">
        <v>1</v>
      </c>
      <c r="T321" s="498">
        <v>1</v>
      </c>
      <c r="U321" s="572">
        <v>0.25</v>
      </c>
      <c r="V321" s="687">
        <v>8000000</v>
      </c>
      <c r="W321" s="572">
        <v>0.25</v>
      </c>
      <c r="X321" s="687">
        <v>2000000</v>
      </c>
      <c r="Y321" s="1232">
        <v>0.25</v>
      </c>
      <c r="Z321" s="1233">
        <v>500000</v>
      </c>
      <c r="AA321" s="1232">
        <v>0.25</v>
      </c>
      <c r="AB321" s="687">
        <v>1000000</v>
      </c>
      <c r="AC321" s="665">
        <v>0.25</v>
      </c>
      <c r="AD321" s="665">
        <v>0.25</v>
      </c>
      <c r="AE321" s="665">
        <v>0.25</v>
      </c>
      <c r="AF321" s="665"/>
      <c r="AG321" s="919" t="s">
        <v>4214</v>
      </c>
      <c r="AH321" s="307" t="s">
        <v>4266</v>
      </c>
      <c r="AI321" s="309" t="s">
        <v>4267</v>
      </c>
      <c r="AJ321" s="309">
        <v>43464</v>
      </c>
      <c r="AK321" s="308"/>
      <c r="AL321" s="308"/>
      <c r="AM321" s="308"/>
      <c r="AN321" s="267" t="s">
        <v>2598</v>
      </c>
      <c r="AO321" s="507" t="s">
        <v>4268</v>
      </c>
      <c r="AP321" s="965"/>
      <c r="AQ321" s="966"/>
      <c r="AR321" s="966"/>
      <c r="AS321" s="966"/>
      <c r="AT321" s="966"/>
      <c r="AU321" s="966"/>
      <c r="AV321" s="966"/>
      <c r="AW321" s="1215">
        <f t="shared" si="193"/>
        <v>0</v>
      </c>
      <c r="AX321" s="525"/>
      <c r="AY321" s="310"/>
      <c r="AZ321" s="310"/>
      <c r="BA321" s="310"/>
      <c r="BB321" s="310"/>
      <c r="BC321" s="310"/>
      <c r="BD321" s="310"/>
      <c r="BE321" s="544">
        <f t="shared" si="185"/>
        <v>0</v>
      </c>
      <c r="BF321" s="525">
        <v>20000000</v>
      </c>
      <c r="BG321" s="310"/>
      <c r="BH321" s="310"/>
      <c r="BI321" s="310"/>
      <c r="BJ321" s="310"/>
      <c r="BK321" s="310"/>
      <c r="BL321" s="310"/>
      <c r="BM321" s="544">
        <f t="shared" si="186"/>
        <v>20000000</v>
      </c>
      <c r="BN321" s="525"/>
      <c r="BO321" s="310"/>
      <c r="BP321" s="310"/>
      <c r="BQ321" s="310"/>
      <c r="BR321" s="310"/>
      <c r="BS321" s="310"/>
      <c r="BT321" s="310"/>
      <c r="BU321" s="544">
        <f t="shared" si="187"/>
        <v>0</v>
      </c>
      <c r="BV321" s="556"/>
      <c r="BW321" s="663">
        <f t="shared" si="175"/>
        <v>0.75</v>
      </c>
      <c r="BX321" s="1047">
        <f t="shared" si="184"/>
        <v>0.75</v>
      </c>
      <c r="BY321" s="1047">
        <f t="shared" si="194"/>
        <v>1</v>
      </c>
      <c r="BZ321" s="1047">
        <f t="shared" si="195"/>
        <v>1</v>
      </c>
      <c r="CA321" s="1047">
        <f t="shared" si="196"/>
        <v>1</v>
      </c>
      <c r="CB321" s="1047">
        <f t="shared" si="197"/>
        <v>0</v>
      </c>
      <c r="CD321" t="str">
        <f t="shared" si="198"/>
        <v>VE</v>
      </c>
      <c r="CE321" t="str">
        <f t="shared" si="198"/>
        <v>VE</v>
      </c>
      <c r="CF321" t="str">
        <f t="shared" si="198"/>
        <v>VE</v>
      </c>
      <c r="CG321" t="str">
        <f t="shared" si="198"/>
        <v>ROB</v>
      </c>
    </row>
    <row r="322" spans="1:85" ht="9.75" customHeight="1" x14ac:dyDescent="0.3">
      <c r="A322" s="298" t="s">
        <v>2464</v>
      </c>
      <c r="B322" s="299" t="str">
        <f>'PLAN INDICATIVO'!B322</f>
        <v>Agropecuario</v>
      </c>
      <c r="C322" s="1547"/>
      <c r="D322" s="1549"/>
      <c r="E322" s="1549"/>
      <c r="F322" s="1549"/>
      <c r="G322" s="1549"/>
      <c r="H322" s="1549"/>
      <c r="I322" s="300">
        <f>'PLAN INDICATIVO'!I322</f>
        <v>0</v>
      </c>
      <c r="J322" s="375">
        <f>'PLAN INDICATIVO'!J322</f>
        <v>0</v>
      </c>
      <c r="K322" s="1428" t="str">
        <f>'PLAN INDICATIVO'!K322</f>
        <v>A.8.1.30</v>
      </c>
      <c r="L322" s="301" t="str">
        <f>'PLAN INDICATIVO'!L322</f>
        <v>12. Producción y consumo responsables</v>
      </c>
      <c r="M322" s="301" t="str">
        <f>'PLAN INDICATIVO'!M322</f>
        <v>Unidad de Desarrollo Rural</v>
      </c>
      <c r="N322" s="1425" t="str">
        <f>'PLAN INDICATIVO'!N322</f>
        <v>GABRIEL ERNESTO CAMPOS ALVIRA</v>
      </c>
      <c r="O322" s="1425" t="str">
        <f>'PLAN INDICATIVO'!O322</f>
        <v>Incremento</v>
      </c>
      <c r="P322" s="1199" t="str">
        <f>'PLAN INDICATIVO'!P322</f>
        <v>Apoyar la construcción y/o mejoramiento de 1 distrito de riego, durante el cuatrienio</v>
      </c>
      <c r="Q322" s="1307" t="str">
        <f>'PLAN INDICATIVO'!Q322</f>
        <v>No. distrito de riego apoyado
para su construcción y/o
mejoramiento</v>
      </c>
      <c r="R322" s="1463">
        <f>'PLAN INDICATIVO'!R322</f>
        <v>2015</v>
      </c>
      <c r="S322" s="795">
        <v>0</v>
      </c>
      <c r="T322" s="715">
        <v>1</v>
      </c>
      <c r="U322" s="715">
        <v>0</v>
      </c>
      <c r="V322" s="1234">
        <v>19000000</v>
      </c>
      <c r="W322" s="715">
        <v>0</v>
      </c>
      <c r="X322" s="1234">
        <v>19000000</v>
      </c>
      <c r="Y322" s="715"/>
      <c r="Z322" s="1234">
        <v>500000</v>
      </c>
      <c r="AA322" s="715">
        <v>1</v>
      </c>
      <c r="AB322" s="1234">
        <v>5000000</v>
      </c>
      <c r="AC322" s="1305"/>
      <c r="AD322" s="1305"/>
      <c r="AE322" s="1305"/>
      <c r="AF322" s="1305"/>
      <c r="AG322" s="921"/>
      <c r="AH322" s="307"/>
      <c r="AI322" s="1262" t="s">
        <v>4269</v>
      </c>
      <c r="AJ322" s="308"/>
      <c r="AK322" s="308"/>
      <c r="AL322" s="308"/>
      <c r="AM322" s="308"/>
      <c r="AN322" s="267" t="s">
        <v>2604</v>
      </c>
      <c r="AO322" s="507"/>
      <c r="AP322" s="965"/>
      <c r="AQ322" s="966"/>
      <c r="AR322" s="966"/>
      <c r="AS322" s="966"/>
      <c r="AT322" s="966"/>
      <c r="AU322" s="966"/>
      <c r="AV322" s="966"/>
      <c r="AW322" s="1215">
        <f>SUM(AP322:AV322)</f>
        <v>0</v>
      </c>
      <c r="AX322" s="525"/>
      <c r="AY322" s="310"/>
      <c r="AZ322" s="310"/>
      <c r="BA322" s="310"/>
      <c r="BB322" s="310"/>
      <c r="BC322" s="310"/>
      <c r="BD322" s="310"/>
      <c r="BE322" s="544">
        <f t="shared" si="185"/>
        <v>0</v>
      </c>
      <c r="BF322" s="525"/>
      <c r="BG322" s="310"/>
      <c r="BH322" s="310"/>
      <c r="BI322" s="310"/>
      <c r="BJ322" s="310"/>
      <c r="BK322" s="310"/>
      <c r="BL322" s="310"/>
      <c r="BM322" s="544">
        <f t="shared" si="186"/>
        <v>0</v>
      </c>
      <c r="BN322" s="525"/>
      <c r="BO322" s="310"/>
      <c r="BP322" s="310"/>
      <c r="BQ322" s="310"/>
      <c r="BR322" s="310"/>
      <c r="BS322" s="310"/>
      <c r="BT322" s="310"/>
      <c r="BU322" s="544">
        <f t="shared" si="187"/>
        <v>0</v>
      </c>
      <c r="BV322" s="556"/>
      <c r="BW322" s="663">
        <f t="shared" si="175"/>
        <v>0</v>
      </c>
      <c r="BX322" s="1047">
        <f t="shared" si="184"/>
        <v>0</v>
      </c>
      <c r="BY322" s="1047" t="str">
        <f t="shared" si="194"/>
        <v>Aplazada</v>
      </c>
      <c r="BZ322" s="1047" t="str">
        <f t="shared" si="195"/>
        <v>Aplazada</v>
      </c>
      <c r="CA322" s="1047" t="str">
        <f t="shared" si="196"/>
        <v>No Programada</v>
      </c>
      <c r="CB322" s="1047">
        <f t="shared" si="197"/>
        <v>0</v>
      </c>
      <c r="CD322" t="str">
        <f t="shared" si="198"/>
        <v>AZ</v>
      </c>
      <c r="CE322" t="str">
        <f t="shared" si="198"/>
        <v>AZ</v>
      </c>
      <c r="CF322" t="str">
        <f t="shared" si="198"/>
        <v>NP</v>
      </c>
      <c r="CG322" t="str">
        <f t="shared" si="198"/>
        <v>ROB</v>
      </c>
    </row>
    <row r="323" spans="1:85" ht="75" customHeight="1" x14ac:dyDescent="0.3">
      <c r="A323" s="298" t="s">
        <v>896</v>
      </c>
      <c r="B323" s="299" t="str">
        <f>'PLAN INDICATIVO'!B323</f>
        <v>Agropecuario</v>
      </c>
      <c r="C323" s="1547"/>
      <c r="D323" s="1549"/>
      <c r="E323" s="1549"/>
      <c r="F323" s="1549"/>
      <c r="G323" s="1549"/>
      <c r="H323" s="1549"/>
      <c r="I323" s="300">
        <f>'PLAN INDICATIVO'!I323</f>
        <v>0</v>
      </c>
      <c r="J323" s="375">
        <f>'PLAN INDICATIVO'!J323</f>
        <v>0</v>
      </c>
      <c r="K323" s="1428" t="str">
        <f>'PLAN INDICATIVO'!K323</f>
        <v>A.8.1.31</v>
      </c>
      <c r="L323" s="301" t="str">
        <f>'PLAN INDICATIVO'!L323</f>
        <v>12. Producción y consumo responsables</v>
      </c>
      <c r="M323" s="301" t="str">
        <f>'PLAN INDICATIVO'!M323</f>
        <v>Unidad de Desarrollo Rural</v>
      </c>
      <c r="N323" s="1425" t="str">
        <f>'PLAN INDICATIVO'!N323</f>
        <v>GABRIEL ERNESTO CAMPOS ALVIRA</v>
      </c>
      <c r="O323" s="1425" t="str">
        <f>'PLAN INDICATIVO'!O323</f>
        <v>Incremento</v>
      </c>
      <c r="P323" s="25" t="str">
        <f>'PLAN INDICATIVO'!P323</f>
        <v>Apoyar lo construcción de 20 reservorios de agua para mejorar producción agropecuario, durante el cuatrienio</v>
      </c>
      <c r="Q323" s="348" t="str">
        <f>'PLAN INDICATIVO'!Q323</f>
        <v>No. De reservorios apoyados</v>
      </c>
      <c r="R323" s="303">
        <f>'PLAN INDICATIVO'!R323</f>
        <v>2015</v>
      </c>
      <c r="S323" s="304">
        <v>0</v>
      </c>
      <c r="T323" s="498">
        <v>20</v>
      </c>
      <c r="U323" s="572">
        <v>5</v>
      </c>
      <c r="V323" s="687">
        <v>5</v>
      </c>
      <c r="W323" s="572">
        <v>0</v>
      </c>
      <c r="X323" s="687">
        <v>3000000</v>
      </c>
      <c r="Y323" s="1232"/>
      <c r="Z323" s="1233">
        <v>3000000</v>
      </c>
      <c r="AA323" s="1310">
        <v>7</v>
      </c>
      <c r="AB323" s="687">
        <v>3000000</v>
      </c>
      <c r="AC323" s="665">
        <v>13</v>
      </c>
      <c r="AD323" s="665">
        <v>0</v>
      </c>
      <c r="AE323" s="665"/>
      <c r="AF323" s="665"/>
      <c r="AG323" s="306" t="s">
        <v>3770</v>
      </c>
      <c r="AH323" s="307" t="s">
        <v>4270</v>
      </c>
      <c r="AI323" s="309">
        <v>43191</v>
      </c>
      <c r="AJ323" s="309">
        <v>43464</v>
      </c>
      <c r="AK323" s="308"/>
      <c r="AL323" s="308"/>
      <c r="AM323" s="308"/>
      <c r="AN323" s="267" t="s">
        <v>2594</v>
      </c>
      <c r="AO323" s="507" t="s">
        <v>4271</v>
      </c>
      <c r="AP323" s="965">
        <v>1500000</v>
      </c>
      <c r="AQ323" s="966"/>
      <c r="AR323" s="966"/>
      <c r="AS323" s="966"/>
      <c r="AT323" s="966"/>
      <c r="AU323" s="966"/>
      <c r="AV323" s="966"/>
      <c r="AW323" s="1215">
        <f>SUM(AP323:AV323)</f>
        <v>1500000</v>
      </c>
      <c r="AX323" s="525"/>
      <c r="AY323" s="310"/>
      <c r="AZ323" s="310"/>
      <c r="BA323" s="310"/>
      <c r="BB323" s="310"/>
      <c r="BC323" s="310"/>
      <c r="BD323" s="310"/>
      <c r="BE323" s="544">
        <f t="shared" si="185"/>
        <v>0</v>
      </c>
      <c r="BF323" s="525"/>
      <c r="BG323" s="310"/>
      <c r="BH323" s="310"/>
      <c r="BI323" s="310"/>
      <c r="BJ323" s="310"/>
      <c r="BK323" s="310"/>
      <c r="BL323" s="310"/>
      <c r="BM323" s="544">
        <f t="shared" si="186"/>
        <v>0</v>
      </c>
      <c r="BN323" s="525"/>
      <c r="BO323" s="310"/>
      <c r="BP323" s="310"/>
      <c r="BQ323" s="310"/>
      <c r="BR323" s="310"/>
      <c r="BS323" s="310"/>
      <c r="BT323" s="310"/>
      <c r="BU323" s="544">
        <f t="shared" si="187"/>
        <v>0</v>
      </c>
      <c r="BV323" s="556"/>
      <c r="BW323" s="663">
        <f t="shared" si="175"/>
        <v>13</v>
      </c>
      <c r="BX323" s="1047">
        <f t="shared" si="184"/>
        <v>0.65</v>
      </c>
      <c r="BY323" s="1047">
        <f t="shared" si="194"/>
        <v>2.6</v>
      </c>
      <c r="BZ323" s="1047" t="str">
        <f t="shared" si="195"/>
        <v>Aplazada</v>
      </c>
      <c r="CA323" s="1047" t="str">
        <f t="shared" si="196"/>
        <v>No Programada</v>
      </c>
      <c r="CB323" s="1047">
        <f t="shared" si="197"/>
        <v>0</v>
      </c>
      <c r="CD323" t="str">
        <f t="shared" si="198"/>
        <v>VE</v>
      </c>
      <c r="CE323" t="str">
        <f t="shared" si="198"/>
        <v>AZ</v>
      </c>
      <c r="CF323" t="str">
        <f t="shared" si="198"/>
        <v>NP</v>
      </c>
      <c r="CG323" t="str">
        <f t="shared" si="198"/>
        <v>ROB</v>
      </c>
    </row>
    <row r="324" spans="1:85" ht="90" customHeight="1" x14ac:dyDescent="0.3">
      <c r="A324" s="298" t="s">
        <v>896</v>
      </c>
      <c r="B324" s="299" t="str">
        <f>'PLAN INDICATIVO'!B324</f>
        <v>Agropecuario</v>
      </c>
      <c r="C324" s="1547"/>
      <c r="D324" s="1549"/>
      <c r="E324" s="1549"/>
      <c r="F324" s="1549"/>
      <c r="G324" s="1549"/>
      <c r="H324" s="1549"/>
      <c r="I324" s="300">
        <f>'PLAN INDICATIVO'!I324</f>
        <v>0</v>
      </c>
      <c r="J324" s="375">
        <f>'PLAN INDICATIVO'!J324</f>
        <v>0</v>
      </c>
      <c r="K324" s="1428" t="str">
        <f>'PLAN INDICATIVO'!K324</f>
        <v>A.8.1.32</v>
      </c>
      <c r="L324" s="301" t="str">
        <f>'PLAN INDICATIVO'!L324</f>
        <v>12. Producción y consumo responsables</v>
      </c>
      <c r="M324" s="301" t="str">
        <f>'PLAN INDICATIVO'!M324</f>
        <v>Unidad de Desarrollo Rural</v>
      </c>
      <c r="N324" s="1425" t="str">
        <f>'PLAN INDICATIVO'!N324</f>
        <v>GABRIEL ERNESTO CAMPOS ALVIRA</v>
      </c>
      <c r="O324" s="1425" t="str">
        <f>'PLAN INDICATIVO'!O324</f>
        <v>Incremento</v>
      </c>
      <c r="P324" s="16" t="str">
        <f>'PLAN INDICATIVO'!P324</f>
        <v>Otorgar 30 incentivos de capital semilla para pequeños empresarios rurales, durante el cuatrienio</v>
      </c>
      <c r="Q324" s="348" t="str">
        <f>'PLAN INDICATIVO'!Q324</f>
        <v xml:space="preserve">No. De incentivos otorgados </v>
      </c>
      <c r="R324" s="303">
        <f>'PLAN INDICATIVO'!R324</f>
        <v>2015</v>
      </c>
      <c r="S324" s="304">
        <v>0</v>
      </c>
      <c r="T324" s="498">
        <v>30</v>
      </c>
      <c r="U324" s="572">
        <v>0</v>
      </c>
      <c r="V324" s="687">
        <v>9000000</v>
      </c>
      <c r="W324" s="572">
        <v>10</v>
      </c>
      <c r="X324" s="687">
        <v>18000000</v>
      </c>
      <c r="Y324" s="1232">
        <v>10</v>
      </c>
      <c r="Z324" s="1233">
        <v>19000000</v>
      </c>
      <c r="AA324" s="1310"/>
      <c r="AB324" s="687">
        <v>20000000</v>
      </c>
      <c r="AC324" s="665">
        <v>10</v>
      </c>
      <c r="AD324" s="665">
        <v>10</v>
      </c>
      <c r="AE324" s="672">
        <v>10</v>
      </c>
      <c r="AF324" s="672"/>
      <c r="AG324" s="1205"/>
      <c r="AH324" s="426" t="s">
        <v>4272</v>
      </c>
      <c r="AI324" s="307" t="s">
        <v>4259</v>
      </c>
      <c r="AJ324" s="427"/>
      <c r="AK324" s="427"/>
      <c r="AL324" s="427"/>
      <c r="AM324" s="308"/>
      <c r="AN324" s="267" t="s">
        <v>2598</v>
      </c>
      <c r="AO324" s="516" t="s">
        <v>4273</v>
      </c>
      <c r="AP324" s="1222"/>
      <c r="AQ324" s="1222"/>
      <c r="AR324" s="1223"/>
      <c r="AS324" s="1223"/>
      <c r="AT324" s="1223"/>
      <c r="AU324" s="1223"/>
      <c r="AV324" s="1223"/>
      <c r="AW324" s="1224">
        <f>SUM(AP324:AV324)</f>
        <v>0</v>
      </c>
      <c r="AX324" s="525"/>
      <c r="AY324" s="310"/>
      <c r="AZ324" s="310"/>
      <c r="BA324" s="310"/>
      <c r="BB324" s="310"/>
      <c r="BC324" s="310"/>
      <c r="BD324" s="310"/>
      <c r="BE324" s="544">
        <f t="shared" si="185"/>
        <v>0</v>
      </c>
      <c r="BF324" s="525"/>
      <c r="BG324" s="310">
        <v>1000000</v>
      </c>
      <c r="BH324" s="310"/>
      <c r="BI324" s="310"/>
      <c r="BJ324" s="310"/>
      <c r="BK324" s="310"/>
      <c r="BL324" s="310"/>
      <c r="BM324" s="544">
        <f t="shared" si="186"/>
        <v>1000000</v>
      </c>
      <c r="BN324" s="525"/>
      <c r="BO324" s="310"/>
      <c r="BP324" s="310"/>
      <c r="BQ324" s="310"/>
      <c r="BR324" s="310"/>
      <c r="BS324" s="310"/>
      <c r="BT324" s="310"/>
      <c r="BU324" s="544">
        <f t="shared" si="187"/>
        <v>0</v>
      </c>
      <c r="BV324" s="556"/>
      <c r="BW324" s="663">
        <f t="shared" si="175"/>
        <v>30</v>
      </c>
      <c r="BX324" s="1047">
        <f t="shared" si="184"/>
        <v>1</v>
      </c>
      <c r="BY324" s="1047" t="str">
        <f t="shared" si="194"/>
        <v>Aplazada</v>
      </c>
      <c r="BZ324" s="1047">
        <f t="shared" si="195"/>
        <v>1</v>
      </c>
      <c r="CA324" s="1047">
        <f t="shared" si="196"/>
        <v>1</v>
      </c>
      <c r="CB324" s="1047" t="str">
        <f t="shared" si="197"/>
        <v>No Programada</v>
      </c>
      <c r="CD324" t="str">
        <f t="shared" si="198"/>
        <v>AZ</v>
      </c>
      <c r="CE324" t="str">
        <f t="shared" si="198"/>
        <v>VE</v>
      </c>
      <c r="CF324" t="str">
        <f t="shared" si="198"/>
        <v>VE</v>
      </c>
      <c r="CG324" t="str">
        <f t="shared" si="198"/>
        <v>NP</v>
      </c>
    </row>
    <row r="325" spans="1:85" ht="69.75" customHeight="1" thickBot="1" x14ac:dyDescent="0.35">
      <c r="A325" s="298" t="s">
        <v>896</v>
      </c>
      <c r="B325" s="299" t="str">
        <f>'PLAN INDICATIVO'!B325</f>
        <v>Agropecuario</v>
      </c>
      <c r="C325" s="1548"/>
      <c r="D325" s="1549"/>
      <c r="E325" s="1549"/>
      <c r="F325" s="1549"/>
      <c r="G325" s="1549"/>
      <c r="H325" s="1549"/>
      <c r="I325" s="300">
        <f>'PLAN INDICATIVO'!I325</f>
        <v>0</v>
      </c>
      <c r="J325" s="300">
        <f>'PLAN INDICATIVO'!J325</f>
        <v>0</v>
      </c>
      <c r="K325" s="1428" t="str">
        <f>'PLAN INDICATIVO'!K325</f>
        <v>A.8.1.33</v>
      </c>
      <c r="L325" s="301" t="str">
        <f>'PLAN INDICATIVO'!L325</f>
        <v>12. Producción y consumo responsables</v>
      </c>
      <c r="M325" s="301" t="str">
        <f>'PLAN INDICATIVO'!M325</f>
        <v>Unidad de Desarrollo Rural</v>
      </c>
      <c r="N325" s="1425" t="str">
        <f>'PLAN INDICATIVO'!N325</f>
        <v>GABRIEL ERNESTO CAMPOS ALVIRA</v>
      </c>
      <c r="O325" s="1425" t="str">
        <f>'PLAN INDICATIVO'!O325</f>
        <v>Incremento</v>
      </c>
      <c r="P325" s="16" t="str">
        <f>'PLAN INDICATIVO'!P325</f>
        <v>Otorgar 40 incentivos de capital semilla para personas  víctimas del conflicto, con acompañamiento técnico y social, durante el cuatrienio</v>
      </c>
      <c r="Q325" s="348" t="str">
        <f>'PLAN INDICATIVO'!Q325</f>
        <v xml:space="preserve">No. De incentivos otorgados </v>
      </c>
      <c r="R325" s="303">
        <f>'PLAN INDICATIVO'!R325</f>
        <v>2015</v>
      </c>
      <c r="S325" s="304">
        <v>19</v>
      </c>
      <c r="T325" s="498">
        <v>40</v>
      </c>
      <c r="U325" s="572">
        <v>10</v>
      </c>
      <c r="V325" s="687">
        <v>10000000</v>
      </c>
      <c r="W325" s="572">
        <v>10</v>
      </c>
      <c r="X325" s="687">
        <v>8000000</v>
      </c>
      <c r="Y325" s="1232">
        <v>19</v>
      </c>
      <c r="Z325" s="1233">
        <v>10000000</v>
      </c>
      <c r="AA325" s="1310"/>
      <c r="AB325" s="687">
        <v>10000000</v>
      </c>
      <c r="AC325" s="665">
        <v>10</v>
      </c>
      <c r="AD325" s="665">
        <v>10</v>
      </c>
      <c r="AE325" s="1206">
        <v>20</v>
      </c>
      <c r="AF325" s="1206"/>
      <c r="AG325" s="1207"/>
      <c r="AH325" s="1208" t="s">
        <v>4274</v>
      </c>
      <c r="AI325" s="1209" t="s">
        <v>4275</v>
      </c>
      <c r="AJ325" s="1209"/>
      <c r="AK325" s="1210"/>
      <c r="AL325" s="1210"/>
      <c r="AM325" s="308"/>
      <c r="AN325" s="267" t="s">
        <v>2598</v>
      </c>
      <c r="AO325" s="516" t="s">
        <v>4273</v>
      </c>
      <c r="AP325" s="1225"/>
      <c r="AQ325" s="1226"/>
      <c r="AR325" s="1226"/>
      <c r="AS325" s="1226"/>
      <c r="AT325" s="1226"/>
      <c r="AU325" s="1226"/>
      <c r="AV325" s="1226"/>
      <c r="AW325" s="1227">
        <f>SUM(AP325:AV325)</f>
        <v>0</v>
      </c>
      <c r="AX325" s="525"/>
      <c r="AY325" s="310"/>
      <c r="AZ325" s="310"/>
      <c r="BA325" s="310"/>
      <c r="BB325" s="310"/>
      <c r="BC325" s="310"/>
      <c r="BD325" s="310"/>
      <c r="BE325" s="544">
        <f t="shared" si="185"/>
        <v>0</v>
      </c>
      <c r="BF325" s="525"/>
      <c r="BG325" s="310">
        <v>1004920</v>
      </c>
      <c r="BH325" s="310"/>
      <c r="BI325" s="310"/>
      <c r="BJ325" s="310"/>
      <c r="BK325" s="310"/>
      <c r="BL325" s="310"/>
      <c r="BM325" s="544">
        <f t="shared" si="186"/>
        <v>1004920</v>
      </c>
      <c r="BN325" s="525"/>
      <c r="BO325" s="310"/>
      <c r="BP325" s="310"/>
      <c r="BQ325" s="310"/>
      <c r="BR325" s="310"/>
      <c r="BS325" s="310"/>
      <c r="BT325" s="310"/>
      <c r="BU325" s="544">
        <f t="shared" si="187"/>
        <v>0</v>
      </c>
      <c r="BV325" s="556"/>
      <c r="BW325" s="663">
        <f t="shared" si="175"/>
        <v>40</v>
      </c>
      <c r="BX325" s="1047">
        <f t="shared" si="184"/>
        <v>1</v>
      </c>
      <c r="BY325" s="1047">
        <f t="shared" si="194"/>
        <v>1</v>
      </c>
      <c r="BZ325" s="1047">
        <f t="shared" si="195"/>
        <v>1</v>
      </c>
      <c r="CA325" s="1047">
        <f t="shared" si="196"/>
        <v>1.0526315789473684</v>
      </c>
      <c r="CB325" s="1047" t="str">
        <f t="shared" si="197"/>
        <v>No Programada</v>
      </c>
      <c r="CD325" t="str">
        <f t="shared" si="198"/>
        <v>VE</v>
      </c>
      <c r="CE325" t="str">
        <f t="shared" si="198"/>
        <v>VE</v>
      </c>
      <c r="CF325" t="str">
        <f t="shared" si="198"/>
        <v>VE</v>
      </c>
      <c r="CG325" t="str">
        <f t="shared" si="198"/>
        <v>NP</v>
      </c>
    </row>
    <row r="326" spans="1:85" ht="35.25" hidden="1" customHeight="1" thickBot="1" x14ac:dyDescent="0.3">
      <c r="A326" s="428"/>
      <c r="B326" s="429" t="str">
        <f>'PLAN INDICATIVO'!B326</f>
        <v>TRANSPORTE</v>
      </c>
      <c r="C326" s="1627" t="s">
        <v>2918</v>
      </c>
      <c r="D326" s="1627"/>
      <c r="E326" s="1627"/>
      <c r="F326" s="1627"/>
      <c r="G326" s="1627"/>
      <c r="H326" s="1627"/>
      <c r="I326" s="1627"/>
      <c r="J326" s="1627"/>
      <c r="K326" s="1627"/>
      <c r="L326" s="1627"/>
      <c r="M326" s="1627"/>
      <c r="N326" s="1627"/>
      <c r="O326" s="1627"/>
      <c r="P326" s="1627"/>
      <c r="Q326" s="1627"/>
      <c r="R326" s="1627"/>
      <c r="S326" s="1627"/>
      <c r="T326" s="1627"/>
      <c r="U326" s="1627"/>
      <c r="V326" s="1627"/>
      <c r="W326" s="1627"/>
      <c r="X326" s="1627"/>
      <c r="Y326" s="1627"/>
      <c r="Z326" s="1627"/>
      <c r="AA326" s="1627"/>
      <c r="AB326" s="1627"/>
      <c r="AC326" s="1627"/>
      <c r="AD326" s="1627"/>
      <c r="AE326" s="1627"/>
      <c r="AF326" s="1627"/>
      <c r="AG326" s="1627"/>
      <c r="AH326" s="1627"/>
      <c r="AI326" s="1627"/>
      <c r="AJ326" s="1627"/>
      <c r="AK326" s="1627"/>
      <c r="AL326" s="1627"/>
      <c r="AM326" s="1628"/>
      <c r="AN326" s="294"/>
      <c r="AO326" s="1322"/>
      <c r="AP326" s="741"/>
      <c r="AQ326" s="742"/>
      <c r="AR326" s="742"/>
      <c r="AS326" s="742"/>
      <c r="AT326" s="742"/>
      <c r="AU326" s="742"/>
      <c r="AV326" s="742"/>
      <c r="AW326" s="731"/>
      <c r="AX326" s="524"/>
      <c r="AY326" s="374"/>
      <c r="AZ326" s="374"/>
      <c r="BA326" s="374"/>
      <c r="BB326" s="374"/>
      <c r="BC326" s="374"/>
      <c r="BD326" s="374"/>
      <c r="BE326" s="544">
        <f t="shared" si="185"/>
        <v>0</v>
      </c>
      <c r="BF326" s="524"/>
      <c r="BG326" s="374"/>
      <c r="BH326" s="374"/>
      <c r="BI326" s="374"/>
      <c r="BJ326" s="374"/>
      <c r="BK326" s="374"/>
      <c r="BL326" s="374"/>
      <c r="BM326" s="544">
        <f t="shared" si="186"/>
        <v>0</v>
      </c>
      <c r="BN326" s="524"/>
      <c r="BO326" s="374"/>
      <c r="BP326" s="374"/>
      <c r="BQ326" s="374"/>
      <c r="BR326" s="374"/>
      <c r="BS326" s="374"/>
      <c r="BT326" s="374"/>
      <c r="BU326" s="544">
        <f t="shared" si="187"/>
        <v>0</v>
      </c>
      <c r="BV326" s="595"/>
      <c r="BW326" s="544" t="s">
        <v>2717</v>
      </c>
      <c r="BX326" s="544" t="s">
        <v>2717</v>
      </c>
      <c r="BY326" s="544" t="s">
        <v>2717</v>
      </c>
      <c r="BZ326" s="544" t="s">
        <v>2717</v>
      </c>
      <c r="CA326" s="544" t="s">
        <v>2717</v>
      </c>
      <c r="CB326" s="1047" t="s">
        <v>2717</v>
      </c>
    </row>
    <row r="327" spans="1:85" ht="18" hidden="1" customHeight="1" x14ac:dyDescent="0.25">
      <c r="A327" s="296"/>
      <c r="B327" s="331" t="str">
        <f>'PLAN INDICATIVO'!B327</f>
        <v>Transporte</v>
      </c>
      <c r="C327" s="1574" t="s">
        <v>1001</v>
      </c>
      <c r="D327" s="1575"/>
      <c r="E327" s="1575"/>
      <c r="F327" s="1575"/>
      <c r="G327" s="1575"/>
      <c r="H327" s="1575"/>
      <c r="I327" s="1575"/>
      <c r="J327" s="1575"/>
      <c r="K327" s="1575"/>
      <c r="L327" s="1575"/>
      <c r="M327" s="1575"/>
      <c r="N327" s="1575"/>
      <c r="O327" s="1576"/>
      <c r="P327" s="22"/>
      <c r="Q327" s="22"/>
      <c r="R327" s="1"/>
      <c r="S327" s="261"/>
      <c r="T327" s="681"/>
      <c r="U327" s="261"/>
      <c r="V327" s="707">
        <f>SUM(V328:V348)</f>
        <v>3064000000</v>
      </c>
      <c r="W327" s="261"/>
      <c r="X327" s="689">
        <f>SUM(X328:X348)</f>
        <v>3074000000</v>
      </c>
      <c r="Y327" s="261"/>
      <c r="Z327" s="689">
        <f>SUM(Z328:Z348)</f>
        <v>1901000000</v>
      </c>
      <c r="AA327" s="262"/>
      <c r="AB327" s="690">
        <f>SUM(AB328:AB348)</f>
        <v>716000000</v>
      </c>
      <c r="AC327" s="262"/>
      <c r="AD327" s="262"/>
      <c r="AE327" s="262"/>
      <c r="AF327" s="262"/>
      <c r="AG327" s="263"/>
      <c r="AH327" s="263"/>
      <c r="AI327" s="263"/>
      <c r="AJ327" s="262"/>
      <c r="AK327" s="262"/>
      <c r="AL327" s="262"/>
      <c r="AM327" s="262"/>
      <c r="AN327" s="262"/>
      <c r="AO327" s="612"/>
      <c r="AP327" s="616"/>
      <c r="AQ327" s="616"/>
      <c r="AR327" s="616"/>
      <c r="AS327" s="616"/>
      <c r="AT327" s="616"/>
      <c r="AU327" s="616"/>
      <c r="AV327" s="616"/>
      <c r="AW327" s="617"/>
      <c r="AX327" s="616" t="e">
        <f t="shared" ref="AX327:BD327" si="201">(AX328:AX348)</f>
        <v>#VALUE!</v>
      </c>
      <c r="AY327" s="616" t="e">
        <f t="shared" si="201"/>
        <v>#VALUE!</v>
      </c>
      <c r="AZ327" s="616" t="e">
        <f t="shared" si="201"/>
        <v>#VALUE!</v>
      </c>
      <c r="BA327" s="616" t="e">
        <f t="shared" si="201"/>
        <v>#VALUE!</v>
      </c>
      <c r="BB327" s="616" t="e">
        <f t="shared" si="201"/>
        <v>#VALUE!</v>
      </c>
      <c r="BC327" s="616" t="e">
        <f t="shared" si="201"/>
        <v>#VALUE!</v>
      </c>
      <c r="BD327" s="616" t="e">
        <f t="shared" si="201"/>
        <v>#VALUE!</v>
      </c>
      <c r="BE327" s="617" t="e">
        <f t="shared" si="185"/>
        <v>#VALUE!</v>
      </c>
      <c r="BF327" s="616"/>
      <c r="BG327" s="616"/>
      <c r="BH327" s="616"/>
      <c r="BI327" s="616"/>
      <c r="BJ327" s="616"/>
      <c r="BK327" s="616"/>
      <c r="BL327" s="616"/>
      <c r="BM327" s="617">
        <f t="shared" si="186"/>
        <v>0</v>
      </c>
      <c r="BN327" s="616" t="e">
        <f t="shared" ref="BN327:BT327" si="202">(BN328:BN348)</f>
        <v>#VALUE!</v>
      </c>
      <c r="BO327" s="616" t="e">
        <f t="shared" si="202"/>
        <v>#VALUE!</v>
      </c>
      <c r="BP327" s="616" t="e">
        <f t="shared" si="202"/>
        <v>#VALUE!</v>
      </c>
      <c r="BQ327" s="616" t="e">
        <f t="shared" si="202"/>
        <v>#VALUE!</v>
      </c>
      <c r="BR327" s="616" t="e">
        <f t="shared" si="202"/>
        <v>#VALUE!</v>
      </c>
      <c r="BS327" s="616" t="e">
        <f t="shared" si="202"/>
        <v>#VALUE!</v>
      </c>
      <c r="BT327" s="616" t="e">
        <f t="shared" si="202"/>
        <v>#VALUE!</v>
      </c>
      <c r="BU327" s="617" t="e">
        <f t="shared" si="187"/>
        <v>#VALUE!</v>
      </c>
      <c r="BV327" s="556"/>
      <c r="BW327" s="663" t="s">
        <v>2717</v>
      </c>
      <c r="BX327" s="262" t="s">
        <v>2717</v>
      </c>
      <c r="BY327" s="262" t="s">
        <v>2717</v>
      </c>
      <c r="BZ327" s="262" t="s">
        <v>2717</v>
      </c>
      <c r="CA327" s="262" t="s">
        <v>2717</v>
      </c>
      <c r="CB327" s="262" t="s">
        <v>2717</v>
      </c>
    </row>
    <row r="328" spans="1:85" ht="86.25" hidden="1" customHeight="1" x14ac:dyDescent="0.25">
      <c r="A328" s="298" t="s">
        <v>1002</v>
      </c>
      <c r="B328" s="299" t="str">
        <f>'PLAN INDICATIVO'!B328</f>
        <v>Transporte</v>
      </c>
      <c r="C328" s="1546" t="s">
        <v>1003</v>
      </c>
      <c r="D328" s="1550" t="s">
        <v>1004</v>
      </c>
      <c r="E328" s="1550" t="s">
        <v>1005</v>
      </c>
      <c r="F328" s="1550">
        <v>2015</v>
      </c>
      <c r="G328" s="1550">
        <v>98</v>
      </c>
      <c r="H328" s="1550">
        <v>98</v>
      </c>
      <c r="I328" s="300">
        <f>'PLAN INDICATIVO'!I328</f>
        <v>0</v>
      </c>
      <c r="J328" s="300">
        <f>'PLAN INDICATIVO'!J328</f>
        <v>0</v>
      </c>
      <c r="K328" s="1425" t="str">
        <f>'PLAN INDICATIVO'!K328</f>
        <v>A.9.1.1</v>
      </c>
      <c r="L328" s="301" t="str">
        <f>'PLAN INDICATIVO'!L328</f>
        <v>11. Ciudades y comunidades sostenibles</v>
      </c>
      <c r="M328" s="301" t="str">
        <f>'PLAN INDICATIVO'!M328</f>
        <v xml:space="preserve">Secretaría de Tránsito </v>
      </c>
      <c r="N328" s="1425" t="str">
        <f>'PLAN INDICATIVO'!N328</f>
        <v>LUIS ALFREDO GOMEZ CLAVIJO</v>
      </c>
      <c r="O328" s="1425" t="str">
        <f>'PLAN INDICATIVO'!O328</f>
        <v>Mantenimiento</v>
      </c>
      <c r="P328" s="16" t="str">
        <f>'PLAN INDICATIVO'!P328</f>
        <v>Implementar 1 observatorio de accidentalidad durante el cuatrienio</v>
      </c>
      <c r="Q328" s="302" t="str">
        <f>'PLAN INDICATIVO'!Q328</f>
        <v>No. Observatorio de accidental implementado</v>
      </c>
      <c r="R328" s="303">
        <f>'PLAN INDICATIVO'!R328</f>
        <v>2015</v>
      </c>
      <c r="S328" s="304">
        <v>0</v>
      </c>
      <c r="T328" s="498">
        <v>1</v>
      </c>
      <c r="U328" s="303">
        <v>1</v>
      </c>
      <c r="V328" s="687">
        <v>15000000</v>
      </c>
      <c r="W328" s="572">
        <v>1</v>
      </c>
      <c r="X328" s="687">
        <v>5000000</v>
      </c>
      <c r="Y328" s="1232">
        <v>0.3</v>
      </c>
      <c r="Z328" s="1233">
        <v>10000000</v>
      </c>
      <c r="AA328" s="1310">
        <v>0.3</v>
      </c>
      <c r="AB328" s="687">
        <v>10000000</v>
      </c>
      <c r="AC328" s="665"/>
      <c r="AD328" s="665">
        <v>0.7</v>
      </c>
      <c r="AE328" s="665"/>
      <c r="AF328" s="665"/>
      <c r="AG328" s="306" t="s">
        <v>4276</v>
      </c>
      <c r="AH328" s="991">
        <v>2018453960006</v>
      </c>
      <c r="AI328" s="307" t="s">
        <v>4277</v>
      </c>
      <c r="AJ328" s="838">
        <v>43160</v>
      </c>
      <c r="AK328" s="838">
        <v>43281</v>
      </c>
      <c r="AL328" s="838"/>
      <c r="AM328" s="308"/>
      <c r="AN328" s="1006" t="s">
        <v>2600</v>
      </c>
      <c r="AO328" s="507"/>
      <c r="AP328" s="525"/>
      <c r="AQ328" s="310"/>
      <c r="AR328" s="310"/>
      <c r="AS328" s="310"/>
      <c r="AT328" s="310"/>
      <c r="AU328" s="310"/>
      <c r="AV328" s="310"/>
      <c r="AW328" s="544"/>
      <c r="AX328" s="525"/>
      <c r="AY328" s="310"/>
      <c r="AZ328" s="310"/>
      <c r="BA328" s="310"/>
      <c r="BB328" s="310"/>
      <c r="BC328" s="310"/>
      <c r="BD328" s="310"/>
      <c r="BE328" s="544">
        <f t="shared" si="185"/>
        <v>0</v>
      </c>
      <c r="BF328" s="525"/>
      <c r="BG328" s="310"/>
      <c r="BH328" s="310"/>
      <c r="BI328" s="310"/>
      <c r="BJ328" s="310"/>
      <c r="BK328" s="310"/>
      <c r="BL328" s="310"/>
      <c r="BM328" s="544">
        <f t="shared" si="186"/>
        <v>0</v>
      </c>
      <c r="BN328" s="525"/>
      <c r="BO328" s="310"/>
      <c r="BP328" s="310"/>
      <c r="BQ328" s="310"/>
      <c r="BR328" s="310"/>
      <c r="BS328" s="310"/>
      <c r="BT328" s="310"/>
      <c r="BU328" s="544">
        <f t="shared" si="187"/>
        <v>0</v>
      </c>
      <c r="BV328" s="556"/>
      <c r="BW328" s="663">
        <f t="shared" ref="BW328:BW338" si="203">AC328+AD328+AE328+AF328</f>
        <v>0.7</v>
      </c>
      <c r="BX328" s="1047">
        <f t="shared" si="184"/>
        <v>0.7</v>
      </c>
      <c r="BY328" s="1047">
        <f t="shared" ref="BY328:BY348" si="204">IF(U328&gt;=0.1,AC328/U328,IF(ISBLANK(U328),"No Programada","Aplazada"))</f>
        <v>0</v>
      </c>
      <c r="BZ328" s="1047">
        <f t="shared" ref="BZ328:BZ348" si="205">IF(W328&gt;=0.1,AD328/W328,IF(ISBLANK(W328),"No Programada","Aplazada"))</f>
        <v>0.7</v>
      </c>
      <c r="CA328" s="1047">
        <f t="shared" ref="CA328:CA348" si="206">IF(Y328&gt;=0.1,AE328/Y328,IF(ISBLANK(Y328),"No Programada","Aplazada"))</f>
        <v>0</v>
      </c>
      <c r="CB328" s="1047">
        <f t="shared" ref="CB328:CB348" si="207">IF(AA328&gt;=0.1,AF328/AA328,IF(ISBLANK(AA328),"No Programada","Aplazada"))</f>
        <v>0</v>
      </c>
      <c r="CD328" t="str">
        <f t="shared" ref="CD328:CG348" si="208">IF(BY328="PARA MODIFICAR","M",IF(BY328="PARA ELIMINAR","E",IF(BY328="aplazada","AZ",IF(BY328="no programada","NP",IF(BY328&gt;=85%,"VE",IF(BY328&gt;70%,"VEB",IF(BY328&gt;60%,"AM",IF(BY328&gt;40%,"AMB",IF(BY328&gt;20%,"RO",IF(BY328&gt;=0%,"ROB",""))))))))))</f>
        <v>ROB</v>
      </c>
      <c r="CE328" t="str">
        <f t="shared" si="208"/>
        <v>AM</v>
      </c>
      <c r="CF328" t="str">
        <f t="shared" si="208"/>
        <v>ROB</v>
      </c>
      <c r="CG328" t="str">
        <f t="shared" si="208"/>
        <v>ROB</v>
      </c>
    </row>
    <row r="329" spans="1:85" ht="79.5" hidden="1" customHeight="1" x14ac:dyDescent="0.25">
      <c r="A329" s="298" t="s">
        <v>1002</v>
      </c>
      <c r="B329" s="299" t="str">
        <f>'PLAN INDICATIVO'!B329</f>
        <v>Transporte</v>
      </c>
      <c r="C329" s="1547"/>
      <c r="D329" s="1551"/>
      <c r="E329" s="1551"/>
      <c r="F329" s="1551"/>
      <c r="G329" s="1551"/>
      <c r="H329" s="1551"/>
      <c r="I329" s="300">
        <f>'PLAN INDICATIVO'!I329</f>
        <v>0</v>
      </c>
      <c r="J329" s="300">
        <f>'PLAN INDICATIVO'!J329</f>
        <v>0</v>
      </c>
      <c r="K329" s="1425" t="str">
        <f>'PLAN INDICATIVO'!K329</f>
        <v>A.9.1.2</v>
      </c>
      <c r="L329" s="301" t="str">
        <f>'PLAN INDICATIVO'!L329</f>
        <v>11. Ciudades y comunidades sostenibles</v>
      </c>
      <c r="M329" s="301" t="str">
        <f>'PLAN INDICATIVO'!M329</f>
        <v xml:space="preserve">Secretaría de Tránsito </v>
      </c>
      <c r="N329" s="1425" t="str">
        <f>'PLAN INDICATIVO'!N329</f>
        <v>LUIS ALFREDO GOMEZ CLAVIJO</v>
      </c>
      <c r="O329" s="1425" t="str">
        <f>'PLAN INDICATIVO'!O329</f>
        <v>Incremento</v>
      </c>
      <c r="P329" s="16" t="str">
        <f>'PLAN INDICATIVO'!P329</f>
        <v>Realizar 4 campañas de sensibilización sobre la importancia de utilizar garajes y así evitar el hurto de los vehículos en el cuatrienio</v>
      </c>
      <c r="Q329" s="302" t="str">
        <f>'PLAN INDICATIVO'!Q329</f>
        <v>No. Campañas realizadas</v>
      </c>
      <c r="R329" s="303">
        <f>'PLAN INDICATIVO'!R329</f>
        <v>2015</v>
      </c>
      <c r="S329" s="304">
        <v>0</v>
      </c>
      <c r="T329" s="498">
        <v>4</v>
      </c>
      <c r="U329" s="303">
        <v>1</v>
      </c>
      <c r="V329" s="687">
        <v>15000000</v>
      </c>
      <c r="W329" s="572">
        <v>1</v>
      </c>
      <c r="X329" s="687">
        <v>10000000</v>
      </c>
      <c r="Y329" s="1232"/>
      <c r="Z329" s="1233">
        <v>10000000</v>
      </c>
      <c r="AA329" s="1310"/>
      <c r="AB329" s="687">
        <v>15000000</v>
      </c>
      <c r="AC329" s="665">
        <v>4</v>
      </c>
      <c r="AD329" s="665">
        <v>1</v>
      </c>
      <c r="AE329" s="665"/>
      <c r="AF329" s="665"/>
      <c r="AG329" s="306" t="s">
        <v>4276</v>
      </c>
      <c r="AH329" s="991">
        <v>2018453960006</v>
      </c>
      <c r="AI329" s="307"/>
      <c r="AJ329" s="335">
        <v>43313</v>
      </c>
      <c r="AK329" s="335">
        <v>43434</v>
      </c>
      <c r="AL329" s="308"/>
      <c r="AM329" s="308"/>
      <c r="AN329" s="267" t="s">
        <v>2594</v>
      </c>
      <c r="AO329" s="507"/>
      <c r="AP329" s="525"/>
      <c r="AQ329" s="310"/>
      <c r="AR329" s="380"/>
      <c r="AS329" s="310"/>
      <c r="AT329" s="310"/>
      <c r="AU329" s="310"/>
      <c r="AV329" s="310"/>
      <c r="AW329" s="544"/>
      <c r="AX329" s="525"/>
      <c r="AY329" s="310"/>
      <c r="AZ329" s="380"/>
      <c r="BA329" s="310"/>
      <c r="BB329" s="310"/>
      <c r="BC329" s="310"/>
      <c r="BD329" s="310"/>
      <c r="BE329" s="544">
        <f t="shared" si="185"/>
        <v>0</v>
      </c>
      <c r="BF329" s="525"/>
      <c r="BG329" s="310"/>
      <c r="BH329" s="380"/>
      <c r="BI329" s="310"/>
      <c r="BJ329" s="310"/>
      <c r="BK329" s="310"/>
      <c r="BL329" s="310"/>
      <c r="BM329" s="544">
        <f t="shared" si="186"/>
        <v>0</v>
      </c>
      <c r="BN329" s="525"/>
      <c r="BO329" s="310"/>
      <c r="BP329" s="380"/>
      <c r="BQ329" s="310"/>
      <c r="BR329" s="310"/>
      <c r="BS329" s="310"/>
      <c r="BT329" s="310"/>
      <c r="BU329" s="544">
        <f t="shared" si="187"/>
        <v>0</v>
      </c>
      <c r="BV329" s="556"/>
      <c r="BW329" s="663">
        <f t="shared" si="203"/>
        <v>5</v>
      </c>
      <c r="BX329" s="1047">
        <f t="shared" si="184"/>
        <v>1.25</v>
      </c>
      <c r="BY329" s="1047">
        <f t="shared" si="204"/>
        <v>4</v>
      </c>
      <c r="BZ329" s="1047">
        <f t="shared" si="205"/>
        <v>1</v>
      </c>
      <c r="CA329" s="1047" t="str">
        <f t="shared" si="206"/>
        <v>No Programada</v>
      </c>
      <c r="CB329" s="1047" t="str">
        <f t="shared" si="207"/>
        <v>No Programada</v>
      </c>
      <c r="CD329" t="str">
        <f t="shared" si="208"/>
        <v>VE</v>
      </c>
      <c r="CE329" t="str">
        <f t="shared" si="208"/>
        <v>VE</v>
      </c>
      <c r="CF329" t="str">
        <f t="shared" si="208"/>
        <v>NP</v>
      </c>
      <c r="CG329" t="str">
        <f t="shared" si="208"/>
        <v>NP</v>
      </c>
    </row>
    <row r="330" spans="1:85" ht="93.75" hidden="1" customHeight="1" x14ac:dyDescent="0.25">
      <c r="A330" s="298" t="s">
        <v>1002</v>
      </c>
      <c r="B330" s="299" t="str">
        <f>'PLAN INDICATIVO'!B330</f>
        <v>Transporte</v>
      </c>
      <c r="C330" s="1547"/>
      <c r="D330" s="1551"/>
      <c r="E330" s="1551"/>
      <c r="F330" s="1551"/>
      <c r="G330" s="1551"/>
      <c r="H330" s="1551"/>
      <c r="I330" s="300">
        <f>'PLAN INDICATIVO'!I330</f>
        <v>0</v>
      </c>
      <c r="J330" s="300">
        <f>'PLAN INDICATIVO'!J330</f>
        <v>0</v>
      </c>
      <c r="K330" s="1425" t="str">
        <f>'PLAN INDICATIVO'!K330</f>
        <v>A.9.1.3</v>
      </c>
      <c r="L330" s="301" t="str">
        <f>'PLAN INDICATIVO'!L330</f>
        <v>11. Ciudades y comunidades sostenibles</v>
      </c>
      <c r="M330" s="301" t="str">
        <f>'PLAN INDICATIVO'!M330</f>
        <v xml:space="preserve">Secretaría de Tránsito </v>
      </c>
      <c r="N330" s="1425" t="str">
        <f>'PLAN INDICATIVO'!N330</f>
        <v>LUIS ALFREDO GOMEZ CLAVIJO</v>
      </c>
      <c r="O330" s="1425" t="str">
        <f>'PLAN INDICATIVO'!O330</f>
        <v>Incremento</v>
      </c>
      <c r="P330" s="16" t="str">
        <f>'PLAN INDICATIVO'!P330</f>
        <v xml:space="preserve">Implementar 1 estrategia para la ubicación de zonas azules en el municipio de La Plata, en el cuatrienio </v>
      </c>
      <c r="Q330" s="302" t="str">
        <f>'PLAN INDICATIVO'!Q330</f>
        <v>No. De estrategias implementadas</v>
      </c>
      <c r="R330" s="303">
        <f>'PLAN INDICATIVO'!R330</f>
        <v>2015</v>
      </c>
      <c r="S330" s="304">
        <v>0</v>
      </c>
      <c r="T330" s="498">
        <v>1</v>
      </c>
      <c r="U330" s="303">
        <v>0.5</v>
      </c>
      <c r="V330" s="687">
        <v>20000000</v>
      </c>
      <c r="W330" s="572">
        <v>1</v>
      </c>
      <c r="X330" s="687">
        <v>5000000</v>
      </c>
      <c r="Y330" s="1232">
        <v>0.1</v>
      </c>
      <c r="Z330" s="1233"/>
      <c r="AA330" s="1310">
        <v>0.02</v>
      </c>
      <c r="AB330" s="687"/>
      <c r="AC330" s="894">
        <v>0.5</v>
      </c>
      <c r="AD330" s="665">
        <v>0.4</v>
      </c>
      <c r="AE330" s="665">
        <v>0.08</v>
      </c>
      <c r="AF330" s="665"/>
      <c r="AG330" s="306" t="s">
        <v>4276</v>
      </c>
      <c r="AH330" s="991">
        <v>2018453960006</v>
      </c>
      <c r="AI330" s="307" t="s">
        <v>4278</v>
      </c>
      <c r="AJ330" s="838">
        <v>43160</v>
      </c>
      <c r="AK330" s="838">
        <v>43281</v>
      </c>
      <c r="AL330" s="308"/>
      <c r="AM330" s="308"/>
      <c r="AN330" s="267" t="s">
        <v>2604</v>
      </c>
      <c r="AO330" s="507"/>
      <c r="AP330" s="525"/>
      <c r="AQ330" s="310"/>
      <c r="AR330" s="380"/>
      <c r="AS330" s="310"/>
      <c r="AT330" s="310"/>
      <c r="AU330" s="310"/>
      <c r="AV330" s="310"/>
      <c r="AW330" s="544"/>
      <c r="AX330" s="525"/>
      <c r="AY330" s="310"/>
      <c r="AZ330" s="380"/>
      <c r="BA330" s="310"/>
      <c r="BB330" s="310"/>
      <c r="BC330" s="310"/>
      <c r="BD330" s="310"/>
      <c r="BE330" s="544">
        <f t="shared" si="185"/>
        <v>0</v>
      </c>
      <c r="BF330" s="525"/>
      <c r="BG330" s="310"/>
      <c r="BH330" s="380"/>
      <c r="BI330" s="310"/>
      <c r="BJ330" s="310"/>
      <c r="BK330" s="310"/>
      <c r="BL330" s="310"/>
      <c r="BM330" s="544">
        <f t="shared" si="186"/>
        <v>0</v>
      </c>
      <c r="BN330" s="525"/>
      <c r="BO330" s="310"/>
      <c r="BP330" s="380"/>
      <c r="BQ330" s="310"/>
      <c r="BR330" s="310"/>
      <c r="BS330" s="310"/>
      <c r="BT330" s="310"/>
      <c r="BU330" s="544">
        <f t="shared" si="187"/>
        <v>0</v>
      </c>
      <c r="BV330" s="556"/>
      <c r="BW330" s="663">
        <f t="shared" si="203"/>
        <v>0.98</v>
      </c>
      <c r="BX330" s="1047">
        <f t="shared" si="184"/>
        <v>0.98</v>
      </c>
      <c r="BY330" s="1047">
        <f t="shared" si="204"/>
        <v>1</v>
      </c>
      <c r="BZ330" s="1047">
        <f t="shared" si="205"/>
        <v>0.4</v>
      </c>
      <c r="CA330" s="1047">
        <f t="shared" si="206"/>
        <v>0.79999999999999993</v>
      </c>
      <c r="CB330" s="1047" t="str">
        <f t="shared" si="207"/>
        <v>Aplazada</v>
      </c>
      <c r="CD330" t="str">
        <f t="shared" si="208"/>
        <v>VE</v>
      </c>
      <c r="CE330" t="str">
        <f t="shared" si="208"/>
        <v>RO</v>
      </c>
      <c r="CF330" t="str">
        <f t="shared" si="208"/>
        <v>VEB</v>
      </c>
      <c r="CG330" t="str">
        <f t="shared" si="208"/>
        <v>AZ</v>
      </c>
    </row>
    <row r="331" spans="1:85" ht="97.5" hidden="1" customHeight="1" x14ac:dyDescent="0.25">
      <c r="A331" s="298" t="s">
        <v>1002</v>
      </c>
      <c r="B331" s="299" t="str">
        <f>'PLAN INDICATIVO'!B331</f>
        <v>Transporte</v>
      </c>
      <c r="C331" s="1547"/>
      <c r="D331" s="1551"/>
      <c r="E331" s="1551"/>
      <c r="F331" s="1551"/>
      <c r="G331" s="1551"/>
      <c r="H331" s="1551"/>
      <c r="I331" s="1425" t="str">
        <f>'PLAN INDICATIVO'!I331</f>
        <v>SI</v>
      </c>
      <c r="J331" s="1425">
        <f>'PLAN INDICATIVO'!J331</f>
        <v>0</v>
      </c>
      <c r="K331" s="1425" t="str">
        <f>'PLAN INDICATIVO'!K331</f>
        <v>A.9.1.4</v>
      </c>
      <c r="L331" s="301" t="str">
        <f>'PLAN INDICATIVO'!L331</f>
        <v>11. Ciudades y comunidades sostenibles</v>
      </c>
      <c r="M331" s="301" t="str">
        <f>'PLAN INDICATIVO'!M331</f>
        <v xml:space="preserve">Secretaría de Tránsito </v>
      </c>
      <c r="N331" s="1425" t="str">
        <f>'PLAN INDICATIVO'!N331</f>
        <v>LUIS ALFREDO GOMEZ CLAVIJO</v>
      </c>
      <c r="O331" s="1425" t="str">
        <f>'PLAN INDICATIVO'!O331</f>
        <v>Mantenimiento</v>
      </c>
      <c r="P331" s="16" t="str">
        <f>'PLAN INDICATIVO'!P331</f>
        <v>Implementar cada año 1 programa de optimización tecnológica y de sistema de semaforización de la secretaría de tránsito municipal, durante el cuatrienio</v>
      </c>
      <c r="Q331" s="302" t="str">
        <f>'PLAN INDICATIVO'!Q331</f>
        <v>No. De Programa implementado por año</v>
      </c>
      <c r="R331" s="303">
        <f>'PLAN INDICATIVO'!R331</f>
        <v>2015</v>
      </c>
      <c r="S331" s="304">
        <v>0</v>
      </c>
      <c r="T331" s="498">
        <v>1</v>
      </c>
      <c r="U331" s="303">
        <v>0.25</v>
      </c>
      <c r="V331" s="687">
        <v>40000000</v>
      </c>
      <c r="W331" s="572">
        <v>0.25</v>
      </c>
      <c r="X331" s="687">
        <v>5000000</v>
      </c>
      <c r="Y331" s="1232">
        <v>0.25</v>
      </c>
      <c r="Z331" s="1233">
        <v>20000000</v>
      </c>
      <c r="AA331" s="1310">
        <v>0.75</v>
      </c>
      <c r="AB331" s="687">
        <v>15000000</v>
      </c>
      <c r="AC331" s="665">
        <v>0</v>
      </c>
      <c r="AD331" s="665">
        <v>0.25</v>
      </c>
      <c r="AE331" s="665"/>
      <c r="AF331" s="665"/>
      <c r="AG331" s="306" t="s">
        <v>4276</v>
      </c>
      <c r="AH331" s="991">
        <v>2018453960006</v>
      </c>
      <c r="AI331" s="307"/>
      <c r="AJ331" s="335">
        <v>43132</v>
      </c>
      <c r="AK331" s="335">
        <v>43449</v>
      </c>
      <c r="AL331" s="308"/>
      <c r="AM331" s="308"/>
      <c r="AN331" s="267" t="s">
        <v>2600</v>
      </c>
      <c r="AO331" s="507"/>
      <c r="AP331" s="947"/>
      <c r="AQ331" s="310"/>
      <c r="AR331" s="380"/>
      <c r="AS331" s="310"/>
      <c r="AT331" s="310"/>
      <c r="AU331" s="310"/>
      <c r="AV331" s="310"/>
      <c r="AW331" s="544"/>
      <c r="AX331" s="525"/>
      <c r="AY331" s="310"/>
      <c r="AZ331" s="380"/>
      <c r="BA331" s="310"/>
      <c r="BB331" s="310"/>
      <c r="BC331" s="310"/>
      <c r="BD331" s="310"/>
      <c r="BE331" s="544">
        <f t="shared" si="185"/>
        <v>0</v>
      </c>
      <c r="BF331" s="525"/>
      <c r="BG331" s="310"/>
      <c r="BH331" s="380"/>
      <c r="BI331" s="310"/>
      <c r="BJ331" s="310"/>
      <c r="BK331" s="310"/>
      <c r="BL331" s="310"/>
      <c r="BM331" s="544">
        <f t="shared" si="186"/>
        <v>0</v>
      </c>
      <c r="BN331" s="525"/>
      <c r="BO331" s="310"/>
      <c r="BP331" s="380"/>
      <c r="BQ331" s="310"/>
      <c r="BR331" s="310"/>
      <c r="BS331" s="310"/>
      <c r="BT331" s="310"/>
      <c r="BU331" s="544">
        <f t="shared" si="187"/>
        <v>0</v>
      </c>
      <c r="BV331" s="556"/>
      <c r="BW331" s="663">
        <f t="shared" si="203"/>
        <v>0.25</v>
      </c>
      <c r="BX331" s="1047">
        <f t="shared" si="184"/>
        <v>0.25</v>
      </c>
      <c r="BY331" s="1047">
        <f t="shared" si="204"/>
        <v>0</v>
      </c>
      <c r="BZ331" s="1047">
        <f t="shared" si="205"/>
        <v>1</v>
      </c>
      <c r="CA331" s="1047">
        <f t="shared" si="206"/>
        <v>0</v>
      </c>
      <c r="CB331" s="1047">
        <f t="shared" si="207"/>
        <v>0</v>
      </c>
      <c r="CD331" t="str">
        <f t="shared" si="208"/>
        <v>ROB</v>
      </c>
      <c r="CE331" t="str">
        <f t="shared" si="208"/>
        <v>VE</v>
      </c>
      <c r="CF331" t="str">
        <f t="shared" si="208"/>
        <v>ROB</v>
      </c>
      <c r="CG331" t="str">
        <f t="shared" si="208"/>
        <v>ROB</v>
      </c>
    </row>
    <row r="332" spans="1:85" ht="71.25" hidden="1" customHeight="1" x14ac:dyDescent="0.25">
      <c r="A332" s="298" t="s">
        <v>1002</v>
      </c>
      <c r="B332" s="299" t="str">
        <f>'PLAN INDICATIVO'!B332</f>
        <v>Transporte</v>
      </c>
      <c r="C332" s="1547"/>
      <c r="D332" s="1551"/>
      <c r="E332" s="1551"/>
      <c r="F332" s="1551"/>
      <c r="G332" s="1551"/>
      <c r="H332" s="1551"/>
      <c r="I332" s="300">
        <f>'PLAN INDICATIVO'!I332</f>
        <v>0</v>
      </c>
      <c r="J332" s="300">
        <f>'PLAN INDICATIVO'!J332</f>
        <v>0</v>
      </c>
      <c r="K332" s="1425" t="str">
        <f>'PLAN INDICATIVO'!K332</f>
        <v>A.9.1.5</v>
      </c>
      <c r="L332" s="301" t="str">
        <f>'PLAN INDICATIVO'!L332</f>
        <v>11. Ciudades y comunidades sostenibles</v>
      </c>
      <c r="M332" s="301" t="str">
        <f>'PLAN INDICATIVO'!M332</f>
        <v xml:space="preserve">Secretaría de Tránsito </v>
      </c>
      <c r="N332" s="1425" t="str">
        <f>'PLAN INDICATIVO'!N332</f>
        <v>LUIS ALFREDO GOMEZ CLAVIJO</v>
      </c>
      <c r="O332" s="1425" t="str">
        <f>'PLAN INDICATIVO'!O332</f>
        <v>Mantenimiento</v>
      </c>
      <c r="P332" s="16" t="str">
        <f>'PLAN INDICATIVO'!P332</f>
        <v>Realizar 3 reuniones anuales con el consejo municipal de transporte</v>
      </c>
      <c r="Q332" s="302" t="str">
        <f>'PLAN INDICATIVO'!Q332</f>
        <v>No. de reuniones realizadas por año</v>
      </c>
      <c r="R332" s="303">
        <f>'PLAN INDICATIVO'!R332</f>
        <v>2015</v>
      </c>
      <c r="S332" s="304">
        <v>0</v>
      </c>
      <c r="T332" s="498">
        <v>12</v>
      </c>
      <c r="U332" s="303">
        <v>3</v>
      </c>
      <c r="V332" s="687">
        <v>5000000</v>
      </c>
      <c r="W332" s="572">
        <v>3</v>
      </c>
      <c r="X332" s="687">
        <v>5000000</v>
      </c>
      <c r="Y332" s="1232">
        <v>3</v>
      </c>
      <c r="Z332" s="1233">
        <v>10000000</v>
      </c>
      <c r="AA332" s="1310">
        <v>3</v>
      </c>
      <c r="AB332" s="687">
        <v>5000000</v>
      </c>
      <c r="AC332" s="665">
        <v>3</v>
      </c>
      <c r="AD332" s="665">
        <v>3</v>
      </c>
      <c r="AE332" s="1326">
        <v>1</v>
      </c>
      <c r="AF332" s="665"/>
      <c r="AG332" s="306" t="s">
        <v>4276</v>
      </c>
      <c r="AH332" s="991">
        <v>2018453960006</v>
      </c>
      <c r="AI332" s="307" t="s">
        <v>4279</v>
      </c>
      <c r="AJ332" s="335">
        <v>43132</v>
      </c>
      <c r="AK332" s="335">
        <v>43449</v>
      </c>
      <c r="AL332" s="308"/>
      <c r="AM332" s="308"/>
      <c r="AN332" s="267" t="s">
        <v>2604</v>
      </c>
      <c r="AO332" s="507"/>
      <c r="AP332" s="525"/>
      <c r="AQ332" s="310"/>
      <c r="AR332" s="310"/>
      <c r="AS332" s="310"/>
      <c r="AT332" s="310"/>
      <c r="AU332" s="310"/>
      <c r="AV332" s="310"/>
      <c r="AW332" s="544"/>
      <c r="AX332" s="525"/>
      <c r="AY332" s="310"/>
      <c r="AZ332" s="310"/>
      <c r="BA332" s="310"/>
      <c r="BB332" s="310"/>
      <c r="BC332" s="310"/>
      <c r="BD332" s="310"/>
      <c r="BE332" s="544">
        <f t="shared" si="185"/>
        <v>0</v>
      </c>
      <c r="BF332" s="525"/>
      <c r="BG332" s="310"/>
      <c r="BH332" s="310"/>
      <c r="BI332" s="310"/>
      <c r="BJ332" s="310"/>
      <c r="BK332" s="310"/>
      <c r="BL332" s="310"/>
      <c r="BM332" s="544">
        <f t="shared" si="186"/>
        <v>0</v>
      </c>
      <c r="BN332" s="525"/>
      <c r="BO332" s="310"/>
      <c r="BP332" s="310"/>
      <c r="BQ332" s="310"/>
      <c r="BR332" s="310"/>
      <c r="BS332" s="310"/>
      <c r="BT332" s="310"/>
      <c r="BU332" s="544">
        <f t="shared" si="187"/>
        <v>0</v>
      </c>
      <c r="BV332" s="556"/>
      <c r="BW332" s="663">
        <f t="shared" si="203"/>
        <v>7</v>
      </c>
      <c r="BX332" s="1047">
        <f t="shared" si="184"/>
        <v>0.58333333333333337</v>
      </c>
      <c r="BY332" s="1047">
        <f t="shared" si="204"/>
        <v>1</v>
      </c>
      <c r="BZ332" s="1047">
        <f t="shared" si="205"/>
        <v>1</v>
      </c>
      <c r="CA332" s="1047">
        <f t="shared" si="206"/>
        <v>0.33333333333333331</v>
      </c>
      <c r="CB332" s="1047">
        <f t="shared" si="207"/>
        <v>0</v>
      </c>
      <c r="CD332" t="str">
        <f t="shared" si="208"/>
        <v>VE</v>
      </c>
      <c r="CE332" t="str">
        <f t="shared" si="208"/>
        <v>VE</v>
      </c>
      <c r="CF332" t="str">
        <f t="shared" si="208"/>
        <v>RO</v>
      </c>
      <c r="CG332" t="str">
        <f t="shared" si="208"/>
        <v>ROB</v>
      </c>
    </row>
    <row r="333" spans="1:85" ht="94.5" hidden="1" customHeight="1" x14ac:dyDescent="0.25">
      <c r="A333" s="298" t="s">
        <v>1002</v>
      </c>
      <c r="B333" s="299" t="str">
        <f>'PLAN INDICATIVO'!B333</f>
        <v>Transporte</v>
      </c>
      <c r="C333" s="1547"/>
      <c r="D333" s="1551"/>
      <c r="E333" s="1551"/>
      <c r="F333" s="1551"/>
      <c r="G333" s="1551"/>
      <c r="H333" s="1551"/>
      <c r="I333" s="300">
        <f>'PLAN INDICATIVO'!I333</f>
        <v>0</v>
      </c>
      <c r="J333" s="300">
        <f>'PLAN INDICATIVO'!J333</f>
        <v>0</v>
      </c>
      <c r="K333" s="1425" t="str">
        <f>'PLAN INDICATIVO'!K333</f>
        <v>A.9.1.6</v>
      </c>
      <c r="L333" s="301" t="str">
        <f>'PLAN INDICATIVO'!L333</f>
        <v>11. Ciudades y comunidades sostenibles</v>
      </c>
      <c r="M333" s="301" t="str">
        <f>'PLAN INDICATIVO'!M333</f>
        <v xml:space="preserve">Secretaría de Tránsito </v>
      </c>
      <c r="N333" s="1425" t="str">
        <f>'PLAN INDICATIVO'!N333</f>
        <v>LUIS ALFREDO GOMEZ CLAVIJO</v>
      </c>
      <c r="O333" s="1425" t="str">
        <f>'PLAN INDICATIVO'!O333</f>
        <v>Mantenimiento</v>
      </c>
      <c r="P333" s="16" t="str">
        <f>'PLAN INDICATIVO'!P333</f>
        <v>Crear 1 plan de medios orientados a informar sobre los avances en materia de transporte y movilidad, y promover la seguridad vial cada año</v>
      </c>
      <c r="Q333" s="302" t="str">
        <f>'PLAN INDICATIVO'!Q333</f>
        <v>No. De Planes creados</v>
      </c>
      <c r="R333" s="303">
        <f>'PLAN INDICATIVO'!R333</f>
        <v>2015</v>
      </c>
      <c r="S333" s="304">
        <v>0</v>
      </c>
      <c r="T333" s="498">
        <v>1</v>
      </c>
      <c r="U333" s="303">
        <v>0.25</v>
      </c>
      <c r="V333" s="687">
        <v>15000000</v>
      </c>
      <c r="W333" s="572">
        <v>0.25</v>
      </c>
      <c r="X333" s="687">
        <v>10000000</v>
      </c>
      <c r="Y333" s="1232">
        <v>0.25</v>
      </c>
      <c r="Z333" s="1233">
        <v>20000000</v>
      </c>
      <c r="AA333" s="1310">
        <v>0.25</v>
      </c>
      <c r="AB333" s="687">
        <v>15000000</v>
      </c>
      <c r="AC333" s="665">
        <v>0.25</v>
      </c>
      <c r="AD333" s="665" t="s">
        <v>3783</v>
      </c>
      <c r="AE333" s="665">
        <v>0.25</v>
      </c>
      <c r="AF333" s="665"/>
      <c r="AG333" s="306" t="s">
        <v>4276</v>
      </c>
      <c r="AH333" s="991">
        <v>2018453960006</v>
      </c>
      <c r="AI333" s="307" t="s">
        <v>4280</v>
      </c>
      <c r="AJ333" s="335">
        <v>43115</v>
      </c>
      <c r="AK333" s="335">
        <v>43449</v>
      </c>
      <c r="AL333" s="308"/>
      <c r="AM333" s="308"/>
      <c r="AN333" s="267" t="s">
        <v>2598</v>
      </c>
      <c r="AO333" s="507"/>
      <c r="AP333" s="525"/>
      <c r="AQ333" s="310"/>
      <c r="AR333" s="310"/>
      <c r="AS333" s="310"/>
      <c r="AT333" s="310"/>
      <c r="AU333" s="310"/>
      <c r="AV333" s="310"/>
      <c r="AW333" s="544"/>
      <c r="AX333" s="525"/>
      <c r="AY333" s="310"/>
      <c r="AZ333" s="310"/>
      <c r="BA333" s="310"/>
      <c r="BB333" s="310"/>
      <c r="BC333" s="310"/>
      <c r="BD333" s="310"/>
      <c r="BE333" s="544">
        <f t="shared" si="185"/>
        <v>0</v>
      </c>
      <c r="BF333" s="525"/>
      <c r="BG333" s="310"/>
      <c r="BH333" s="310"/>
      <c r="BI333" s="310"/>
      <c r="BJ333" s="310"/>
      <c r="BK333" s="310"/>
      <c r="BL333" s="310"/>
      <c r="BM333" s="544">
        <f t="shared" si="186"/>
        <v>0</v>
      </c>
      <c r="BN333" s="525"/>
      <c r="BO333" s="310"/>
      <c r="BP333" s="310"/>
      <c r="BQ333" s="310"/>
      <c r="BR333" s="310"/>
      <c r="BS333" s="310"/>
      <c r="BT333" s="310"/>
      <c r="BU333" s="544">
        <f t="shared" si="187"/>
        <v>0</v>
      </c>
      <c r="BV333" s="556"/>
      <c r="BW333" s="663">
        <f t="shared" si="203"/>
        <v>0.75</v>
      </c>
      <c r="BX333" s="1047">
        <f t="shared" si="184"/>
        <v>0.75</v>
      </c>
      <c r="BY333" s="1047">
        <f t="shared" si="204"/>
        <v>1</v>
      </c>
      <c r="BZ333" s="1047">
        <f t="shared" si="205"/>
        <v>1</v>
      </c>
      <c r="CA333" s="1047">
        <f t="shared" si="206"/>
        <v>1</v>
      </c>
      <c r="CB333" s="1047">
        <f t="shared" si="207"/>
        <v>0</v>
      </c>
      <c r="CD333" t="str">
        <f t="shared" si="208"/>
        <v>VE</v>
      </c>
      <c r="CE333" t="str">
        <f t="shared" si="208"/>
        <v>VE</v>
      </c>
      <c r="CF333" t="str">
        <f t="shared" si="208"/>
        <v>VE</v>
      </c>
      <c r="CG333" t="str">
        <f t="shared" si="208"/>
        <v>ROB</v>
      </c>
    </row>
    <row r="334" spans="1:85" ht="97.5" hidden="1" customHeight="1" x14ac:dyDescent="0.25">
      <c r="A334" s="298" t="s">
        <v>1002</v>
      </c>
      <c r="B334" s="299" t="str">
        <f>'PLAN INDICATIVO'!B334</f>
        <v>Transporte</v>
      </c>
      <c r="C334" s="1547"/>
      <c r="D334" s="1551"/>
      <c r="E334" s="1551"/>
      <c r="F334" s="1551"/>
      <c r="G334" s="1551"/>
      <c r="H334" s="1551"/>
      <c r="I334" s="300">
        <f>'PLAN INDICATIVO'!I334</f>
        <v>0</v>
      </c>
      <c r="J334" s="300">
        <f>'PLAN INDICATIVO'!J334</f>
        <v>0</v>
      </c>
      <c r="K334" s="1425" t="str">
        <f>'PLAN INDICATIVO'!K334</f>
        <v>A.9.1.7</v>
      </c>
      <c r="L334" s="301" t="str">
        <f>'PLAN INDICATIVO'!L334</f>
        <v>11. Ciudades y comunidades sostenibles</v>
      </c>
      <c r="M334" s="301" t="str">
        <f>'PLAN INDICATIVO'!M334</f>
        <v xml:space="preserve">Secretaría de Tránsito </v>
      </c>
      <c r="N334" s="1425" t="str">
        <f>'PLAN INDICATIVO'!N334</f>
        <v>LUIS ALFREDO GOMEZ CLAVIJO</v>
      </c>
      <c r="O334" s="1425" t="str">
        <f>'PLAN INDICATIVO'!O334</f>
        <v>Incremento</v>
      </c>
      <c r="P334" s="16" t="str">
        <f>'PLAN INDICATIVO'!P334</f>
        <v>Implementar 1 estrategia encaminada a aumentar la matrícula y traspasos de vehículos, la seguridad vial y la eficiencia administrativa en la secretaria de tránsito, durante el cuatrienio</v>
      </c>
      <c r="Q334" s="302" t="str">
        <f>'PLAN INDICATIVO'!Q334</f>
        <v>No. Estrategias implementadas.</v>
      </c>
      <c r="R334" s="303">
        <f>'PLAN INDICATIVO'!R334</f>
        <v>2015</v>
      </c>
      <c r="S334" s="304">
        <v>0</v>
      </c>
      <c r="T334" s="498">
        <v>1</v>
      </c>
      <c r="U334" s="303">
        <v>1</v>
      </c>
      <c r="V334" s="687">
        <v>15000000</v>
      </c>
      <c r="W334" s="572">
        <v>0.7</v>
      </c>
      <c r="X334" s="687"/>
      <c r="Y334" s="1232">
        <v>0.2</v>
      </c>
      <c r="Z334" s="1233"/>
      <c r="AA334" s="1310"/>
      <c r="AB334" s="687"/>
      <c r="AC334" s="665">
        <v>0.1</v>
      </c>
      <c r="AD334" s="665">
        <v>0.7</v>
      </c>
      <c r="AE334" s="665">
        <v>0.2</v>
      </c>
      <c r="AF334" s="665"/>
      <c r="AG334" s="306" t="s">
        <v>4276</v>
      </c>
      <c r="AH334" s="991">
        <v>2018453960006</v>
      </c>
      <c r="AI334" s="307" t="s">
        <v>4281</v>
      </c>
      <c r="AJ334" s="335">
        <v>43115</v>
      </c>
      <c r="AK334" s="335">
        <v>43449</v>
      </c>
      <c r="AL334" s="308"/>
      <c r="AM334" s="308"/>
      <c r="AN334" s="267" t="s">
        <v>2598</v>
      </c>
      <c r="AO334" s="507"/>
      <c r="AP334" s="525"/>
      <c r="AQ334" s="310"/>
      <c r="AR334" s="310"/>
      <c r="AS334" s="310"/>
      <c r="AT334" s="310"/>
      <c r="AU334" s="310"/>
      <c r="AV334" s="310"/>
      <c r="AW334" s="544"/>
      <c r="AX334" s="525"/>
      <c r="AY334" s="310"/>
      <c r="AZ334" s="310"/>
      <c r="BA334" s="310"/>
      <c r="BB334" s="310"/>
      <c r="BC334" s="310"/>
      <c r="BD334" s="310"/>
      <c r="BE334" s="544">
        <f t="shared" si="185"/>
        <v>0</v>
      </c>
      <c r="BF334" s="525"/>
      <c r="BG334" s="310"/>
      <c r="BH334" s="310"/>
      <c r="BI334" s="310"/>
      <c r="BJ334" s="310"/>
      <c r="BK334" s="310"/>
      <c r="BL334" s="310"/>
      <c r="BM334" s="544">
        <f t="shared" si="186"/>
        <v>0</v>
      </c>
      <c r="BN334" s="525"/>
      <c r="BO334" s="310"/>
      <c r="BP334" s="310"/>
      <c r="BQ334" s="310"/>
      <c r="BR334" s="310"/>
      <c r="BS334" s="310"/>
      <c r="BT334" s="310"/>
      <c r="BU334" s="544">
        <f t="shared" si="187"/>
        <v>0</v>
      </c>
      <c r="BV334" s="556"/>
      <c r="BW334" s="663">
        <f t="shared" si="203"/>
        <v>1</v>
      </c>
      <c r="BX334" s="1047">
        <f t="shared" si="184"/>
        <v>1</v>
      </c>
      <c r="BY334" s="1047">
        <f t="shared" si="204"/>
        <v>0.1</v>
      </c>
      <c r="BZ334" s="1047">
        <f t="shared" si="205"/>
        <v>1</v>
      </c>
      <c r="CA334" s="1047">
        <f t="shared" si="206"/>
        <v>1</v>
      </c>
      <c r="CB334" s="1047" t="str">
        <f t="shared" si="207"/>
        <v>No Programada</v>
      </c>
      <c r="CD334" t="str">
        <f t="shared" si="208"/>
        <v>ROB</v>
      </c>
      <c r="CE334" t="str">
        <f t="shared" si="208"/>
        <v>VE</v>
      </c>
      <c r="CF334" t="str">
        <f t="shared" si="208"/>
        <v>VE</v>
      </c>
      <c r="CG334" t="str">
        <f t="shared" si="208"/>
        <v>NP</v>
      </c>
    </row>
    <row r="335" spans="1:85" ht="77.25" hidden="1" customHeight="1" x14ac:dyDescent="0.25">
      <c r="A335" s="298" t="s">
        <v>1002</v>
      </c>
      <c r="B335" s="299" t="str">
        <f>'PLAN INDICATIVO'!B335</f>
        <v>Transporte</v>
      </c>
      <c r="C335" s="1547"/>
      <c r="D335" s="1551"/>
      <c r="E335" s="1551"/>
      <c r="F335" s="1551"/>
      <c r="G335" s="1551"/>
      <c r="H335" s="1551"/>
      <c r="I335" s="300">
        <f>'PLAN INDICATIVO'!I335</f>
        <v>0</v>
      </c>
      <c r="J335" s="300">
        <f>'PLAN INDICATIVO'!J335</f>
        <v>0</v>
      </c>
      <c r="K335" s="1425" t="str">
        <f>'PLAN INDICATIVO'!K335</f>
        <v>A.9.1.8</v>
      </c>
      <c r="L335" s="301" t="str">
        <f>'PLAN INDICATIVO'!L335</f>
        <v>11. Ciudades y comunidades sostenibles</v>
      </c>
      <c r="M335" s="301" t="str">
        <f>'PLAN INDICATIVO'!M335</f>
        <v xml:space="preserve">Secretaría de Tránsito </v>
      </c>
      <c r="N335" s="1425" t="str">
        <f>'PLAN INDICATIVO'!N335</f>
        <v>LUIS ALFREDO GOMEZ CLAVIJO</v>
      </c>
      <c r="O335" s="1425" t="str">
        <f>'PLAN INDICATIVO'!O335</f>
        <v>Incremento</v>
      </c>
      <c r="P335" s="16" t="str">
        <f>'PLAN INDICATIVO'!P335</f>
        <v>Formulación e implementación de 2 programa de señalización y demarcación vial, durante el cuatrienio</v>
      </c>
      <c r="Q335" s="302" t="str">
        <f>'PLAN INDICATIVO'!Q335</f>
        <v xml:space="preserve">No. De programas formulados e implementados </v>
      </c>
      <c r="R335" s="303">
        <f>'PLAN INDICATIVO'!R335</f>
        <v>2015</v>
      </c>
      <c r="S335" s="304">
        <v>0</v>
      </c>
      <c r="T335" s="498">
        <v>2</v>
      </c>
      <c r="U335" s="303">
        <v>1</v>
      </c>
      <c r="V335" s="687">
        <v>70000000</v>
      </c>
      <c r="W335" s="572">
        <v>1</v>
      </c>
      <c r="X335" s="687">
        <v>10000000</v>
      </c>
      <c r="Y335" s="1232">
        <v>1</v>
      </c>
      <c r="Z335" s="1233"/>
      <c r="AA335" s="1310"/>
      <c r="AB335" s="687">
        <v>50000000</v>
      </c>
      <c r="AC335" s="665"/>
      <c r="AD335" s="665">
        <v>1</v>
      </c>
      <c r="AE335" s="665">
        <v>1</v>
      </c>
      <c r="AF335" s="665"/>
      <c r="AG335" s="306" t="s">
        <v>4276</v>
      </c>
      <c r="AH335" s="991">
        <v>2018453960006</v>
      </c>
      <c r="AI335" s="335" t="s">
        <v>4282</v>
      </c>
      <c r="AJ335" s="335">
        <v>43313</v>
      </c>
      <c r="AK335" s="335">
        <v>43449</v>
      </c>
      <c r="AL335" s="308"/>
      <c r="AM335" s="308"/>
      <c r="AN335" s="267" t="s">
        <v>2598</v>
      </c>
      <c r="AO335" s="507" t="s">
        <v>4283</v>
      </c>
      <c r="AP335" s="310"/>
      <c r="AQ335" s="310"/>
      <c r="AR335" s="310"/>
      <c r="AS335" s="310"/>
      <c r="AT335" s="310"/>
      <c r="AU335" s="310"/>
      <c r="AV335" s="310"/>
      <c r="AW335" s="310"/>
      <c r="AX335" s="310"/>
      <c r="AY335" s="310"/>
      <c r="AZ335" s="310"/>
      <c r="BA335" s="310"/>
      <c r="BB335" s="310"/>
      <c r="BC335" s="310"/>
      <c r="BD335" s="310"/>
      <c r="BE335" s="310">
        <f t="shared" si="185"/>
        <v>0</v>
      </c>
      <c r="BF335" s="310">
        <v>19223338</v>
      </c>
      <c r="BG335" s="310"/>
      <c r="BH335" s="310"/>
      <c r="BI335" s="310"/>
      <c r="BJ335" s="310"/>
      <c r="BK335" s="310"/>
      <c r="BL335" s="310"/>
      <c r="BM335" s="544">
        <f t="shared" si="186"/>
        <v>19223338</v>
      </c>
      <c r="BN335" s="525"/>
      <c r="BO335" s="310"/>
      <c r="BP335" s="310"/>
      <c r="BQ335" s="310"/>
      <c r="BR335" s="310"/>
      <c r="BS335" s="310"/>
      <c r="BT335" s="310"/>
      <c r="BU335" s="544">
        <f t="shared" si="187"/>
        <v>0</v>
      </c>
      <c r="BV335" s="556"/>
      <c r="BW335" s="663">
        <f t="shared" si="203"/>
        <v>2</v>
      </c>
      <c r="BX335" s="1047">
        <f t="shared" si="184"/>
        <v>1</v>
      </c>
      <c r="BY335" s="1047">
        <f t="shared" si="204"/>
        <v>0</v>
      </c>
      <c r="BZ335" s="1047">
        <f t="shared" si="205"/>
        <v>1</v>
      </c>
      <c r="CA335" s="1047">
        <f t="shared" si="206"/>
        <v>1</v>
      </c>
      <c r="CB335" s="1047" t="str">
        <f t="shared" si="207"/>
        <v>No Programada</v>
      </c>
      <c r="CD335" t="str">
        <f t="shared" si="208"/>
        <v>ROB</v>
      </c>
      <c r="CE335" t="str">
        <f t="shared" si="208"/>
        <v>VE</v>
      </c>
      <c r="CF335" t="str">
        <f t="shared" si="208"/>
        <v>VE</v>
      </c>
      <c r="CG335" t="str">
        <f t="shared" si="208"/>
        <v>NP</v>
      </c>
    </row>
    <row r="336" spans="1:85" ht="81" hidden="1" customHeight="1" x14ac:dyDescent="0.25">
      <c r="A336" s="298" t="s">
        <v>1002</v>
      </c>
      <c r="B336" s="299" t="str">
        <f>'PLAN INDICATIVO'!B336</f>
        <v>Transporte</v>
      </c>
      <c r="C336" s="1547"/>
      <c r="D336" s="1551"/>
      <c r="E336" s="1551"/>
      <c r="F336" s="1551"/>
      <c r="G336" s="1551"/>
      <c r="H336" s="1551"/>
      <c r="I336" s="300">
        <f>'PLAN INDICATIVO'!I336</f>
        <v>0</v>
      </c>
      <c r="J336" s="300">
        <f>'PLAN INDICATIVO'!J336</f>
        <v>0</v>
      </c>
      <c r="K336" s="1425" t="str">
        <f>'PLAN INDICATIVO'!K336</f>
        <v>A.9.1.9</v>
      </c>
      <c r="L336" s="301" t="str">
        <f>'PLAN INDICATIVO'!L336</f>
        <v>11. Ciudades y comunidades sostenibles</v>
      </c>
      <c r="M336" s="301" t="str">
        <f>'PLAN INDICATIVO'!M336</f>
        <v xml:space="preserve">Secretaría de Tránsito </v>
      </c>
      <c r="N336" s="1425" t="str">
        <f>'PLAN INDICATIVO'!N336</f>
        <v>LUIS ALFREDO GOMEZ CLAVIJO</v>
      </c>
      <c r="O336" s="1425" t="str">
        <f>'PLAN INDICATIVO'!O336</f>
        <v>Incremento</v>
      </c>
      <c r="P336" s="16" t="str">
        <f>'PLAN INDICATIVO'!P336</f>
        <v>Realizar 700 operativos en el sector urbano y rural para el control del cumplimiento de las normas de tránsito en el cuatrienio</v>
      </c>
      <c r="Q336" s="302" t="str">
        <f>'PLAN INDICATIVO'!Q336</f>
        <v>No. Operativos realizado</v>
      </c>
      <c r="R336" s="303">
        <f>'PLAN INDICATIVO'!R336</f>
        <v>2015</v>
      </c>
      <c r="S336" s="304">
        <v>0</v>
      </c>
      <c r="T336" s="498">
        <v>700</v>
      </c>
      <c r="U336" s="303">
        <v>100</v>
      </c>
      <c r="V336" s="687">
        <v>20000000</v>
      </c>
      <c r="W336" s="572">
        <v>84</v>
      </c>
      <c r="X336" s="687">
        <v>10000000</v>
      </c>
      <c r="Y336" s="1232">
        <v>84</v>
      </c>
      <c r="Z336" s="1233">
        <v>50000000</v>
      </c>
      <c r="AA336" s="1310">
        <v>1</v>
      </c>
      <c r="AB336" s="687">
        <v>20000000</v>
      </c>
      <c r="AC336" s="665">
        <v>448</v>
      </c>
      <c r="AD336" s="665">
        <v>670</v>
      </c>
      <c r="AE336" s="665">
        <v>90</v>
      </c>
      <c r="AF336" s="665"/>
      <c r="AG336" s="306" t="s">
        <v>4276</v>
      </c>
      <c r="AH336" s="991">
        <v>2018453960006</v>
      </c>
      <c r="AI336" s="307" t="s">
        <v>4284</v>
      </c>
      <c r="AJ336" s="335">
        <v>43115</v>
      </c>
      <c r="AK336" s="335">
        <v>43449</v>
      </c>
      <c r="AL336" s="308"/>
      <c r="AM336" s="308"/>
      <c r="AN336" s="267" t="s">
        <v>2598</v>
      </c>
      <c r="AO336" s="1327"/>
      <c r="AP336" s="1323"/>
      <c r="AQ336" s="1313"/>
      <c r="AR336" s="1313"/>
      <c r="AS336" s="1313"/>
      <c r="AT336" s="1313"/>
      <c r="AU336" s="1313"/>
      <c r="AV336" s="1313"/>
      <c r="AW336" s="800"/>
      <c r="AX336" s="1323"/>
      <c r="AY336" s="1313"/>
      <c r="AZ336" s="1313"/>
      <c r="BA336" s="1313"/>
      <c r="BB336" s="1313"/>
      <c r="BC336" s="1313"/>
      <c r="BD336" s="1313"/>
      <c r="BE336" s="800">
        <f t="shared" si="185"/>
        <v>0</v>
      </c>
      <c r="BF336" s="1323"/>
      <c r="BG336" s="1313"/>
      <c r="BH336" s="1313"/>
      <c r="BI336" s="1313"/>
      <c r="BJ336" s="1313"/>
      <c r="BK336" s="1313"/>
      <c r="BL336" s="1313"/>
      <c r="BM336" s="544">
        <f t="shared" si="186"/>
        <v>0</v>
      </c>
      <c r="BN336" s="525"/>
      <c r="BO336" s="310"/>
      <c r="BP336" s="310"/>
      <c r="BQ336" s="310"/>
      <c r="BR336" s="310"/>
      <c r="BS336" s="310"/>
      <c r="BT336" s="310"/>
      <c r="BU336" s="544">
        <f t="shared" si="187"/>
        <v>0</v>
      </c>
      <c r="BV336" s="556"/>
      <c r="BW336" s="663">
        <f t="shared" si="203"/>
        <v>1208</v>
      </c>
      <c r="BX336" s="1047">
        <f t="shared" si="184"/>
        <v>1.7257142857142858</v>
      </c>
      <c r="BY336" s="1047">
        <f t="shared" si="204"/>
        <v>4.4800000000000004</v>
      </c>
      <c r="BZ336" s="1047">
        <f t="shared" si="205"/>
        <v>7.9761904761904763</v>
      </c>
      <c r="CA336" s="1047">
        <f t="shared" si="206"/>
        <v>1.0714285714285714</v>
      </c>
      <c r="CB336" s="1047">
        <f t="shared" si="207"/>
        <v>0</v>
      </c>
      <c r="CD336" t="str">
        <f t="shared" si="208"/>
        <v>VE</v>
      </c>
      <c r="CE336" t="str">
        <f t="shared" si="208"/>
        <v>VE</v>
      </c>
      <c r="CF336" t="str">
        <f t="shared" si="208"/>
        <v>VE</v>
      </c>
      <c r="CG336" t="str">
        <f t="shared" si="208"/>
        <v>ROB</v>
      </c>
    </row>
    <row r="337" spans="1:85" ht="53.25" hidden="1" customHeight="1" x14ac:dyDescent="0.25">
      <c r="A337" s="298" t="s">
        <v>1002</v>
      </c>
      <c r="B337" s="299" t="str">
        <f>'PLAN INDICATIVO'!B337</f>
        <v>Transporte</v>
      </c>
      <c r="C337" s="1547"/>
      <c r="D337" s="1551"/>
      <c r="E337" s="1551"/>
      <c r="F337" s="1551"/>
      <c r="G337" s="1551"/>
      <c r="H337" s="1551"/>
      <c r="I337" s="300">
        <f>'PLAN INDICATIVO'!I337</f>
        <v>0</v>
      </c>
      <c r="J337" s="300">
        <f>'PLAN INDICATIVO'!J337</f>
        <v>0</v>
      </c>
      <c r="K337" s="1425" t="str">
        <f>'PLAN INDICATIVO'!K337</f>
        <v>A.9.1.10</v>
      </c>
      <c r="L337" s="301" t="str">
        <f>'PLAN INDICATIVO'!L337</f>
        <v>11. Ciudades y comunidades sostenibles</v>
      </c>
      <c r="M337" s="301" t="str">
        <f>'PLAN INDICATIVO'!M337</f>
        <v xml:space="preserve">Secretaría de Tránsito </v>
      </c>
      <c r="N337" s="1425" t="str">
        <f>'PLAN INDICATIVO'!N337</f>
        <v>LUIS ALFREDO GOMEZ CLAVIJO</v>
      </c>
      <c r="O337" s="1425" t="str">
        <f>'PLAN INDICATIVO'!O337</f>
        <v>Mantenimiento</v>
      </c>
      <c r="P337" s="16" t="str">
        <f>'PLAN INDICATIVO'!P337</f>
        <v>Contratar 17 nuevos agentes de tránsito durante el cuatrienio</v>
      </c>
      <c r="Q337" s="302" t="str">
        <f>'PLAN INDICATIVO'!Q337</f>
        <v>No. de Agentes contratados</v>
      </c>
      <c r="R337" s="303">
        <f>'PLAN INDICATIVO'!R337</f>
        <v>2015</v>
      </c>
      <c r="S337" s="304">
        <v>0</v>
      </c>
      <c r="T337" s="498">
        <v>67</v>
      </c>
      <c r="U337" s="303">
        <v>17</v>
      </c>
      <c r="V337" s="687">
        <v>60000000</v>
      </c>
      <c r="W337" s="715">
        <v>17</v>
      </c>
      <c r="X337" s="687">
        <v>30000000</v>
      </c>
      <c r="Y337" s="1232">
        <v>6</v>
      </c>
      <c r="Z337" s="1233">
        <v>130000000</v>
      </c>
      <c r="AA337" s="1310">
        <v>6</v>
      </c>
      <c r="AB337" s="687">
        <v>60000000</v>
      </c>
      <c r="AC337" s="665">
        <v>17</v>
      </c>
      <c r="AD337" s="665">
        <v>18</v>
      </c>
      <c r="AE337" s="665">
        <v>6</v>
      </c>
      <c r="AF337" s="665"/>
      <c r="AG337" s="306" t="s">
        <v>4276</v>
      </c>
      <c r="AH337" s="991">
        <v>2018453960006</v>
      </c>
      <c r="AI337" s="1306" t="s">
        <v>4285</v>
      </c>
      <c r="AJ337" s="335">
        <v>43115</v>
      </c>
      <c r="AK337" s="335">
        <v>43449</v>
      </c>
      <c r="AL337" s="308"/>
      <c r="AM337" s="308"/>
      <c r="AN337" s="267" t="s">
        <v>2598</v>
      </c>
      <c r="AO337" s="507">
        <v>230916</v>
      </c>
      <c r="AP337" s="525"/>
      <c r="AQ337" s="310"/>
      <c r="AR337" s="310"/>
      <c r="AS337" s="310"/>
      <c r="AT337" s="310"/>
      <c r="AU337" s="310"/>
      <c r="AV337" s="310"/>
      <c r="AW337" s="544"/>
      <c r="AX337" s="525"/>
      <c r="AY337" s="310"/>
      <c r="AZ337" s="310"/>
      <c r="BA337" s="310"/>
      <c r="BB337" s="310"/>
      <c r="BC337" s="310"/>
      <c r="BD337" s="310"/>
      <c r="BE337" s="544">
        <f t="shared" si="185"/>
        <v>0</v>
      </c>
      <c r="BF337" s="310">
        <v>138795878</v>
      </c>
      <c r="BG337" s="310"/>
      <c r="BH337" s="310"/>
      <c r="BI337" s="310"/>
      <c r="BJ337" s="310"/>
      <c r="BK337" s="310"/>
      <c r="BL337" s="310"/>
      <c r="BM337" s="544">
        <f t="shared" si="186"/>
        <v>138795878</v>
      </c>
      <c r="BN337" s="525"/>
      <c r="BO337" s="310"/>
      <c r="BP337" s="310"/>
      <c r="BQ337" s="310"/>
      <c r="BR337" s="310"/>
      <c r="BS337" s="310"/>
      <c r="BT337" s="310"/>
      <c r="BU337" s="544">
        <f t="shared" si="187"/>
        <v>0</v>
      </c>
      <c r="BV337" s="556"/>
      <c r="BW337" s="663">
        <f t="shared" si="203"/>
        <v>41</v>
      </c>
      <c r="BX337" s="1047">
        <f t="shared" si="184"/>
        <v>0.61194029850746268</v>
      </c>
      <c r="BY337" s="1047">
        <f t="shared" si="204"/>
        <v>1</v>
      </c>
      <c r="BZ337" s="1047">
        <f t="shared" si="205"/>
        <v>1.0588235294117647</v>
      </c>
      <c r="CA337" s="1047">
        <f t="shared" si="206"/>
        <v>1</v>
      </c>
      <c r="CB337" s="1047">
        <f t="shared" si="207"/>
        <v>0</v>
      </c>
      <c r="CD337" t="str">
        <f t="shared" si="208"/>
        <v>VE</v>
      </c>
      <c r="CE337" t="str">
        <f t="shared" si="208"/>
        <v>VE</v>
      </c>
      <c r="CF337" t="str">
        <f t="shared" si="208"/>
        <v>VE</v>
      </c>
      <c r="CG337" t="str">
        <f t="shared" si="208"/>
        <v>ROB</v>
      </c>
    </row>
    <row r="338" spans="1:85" ht="91.5" hidden="1" customHeight="1" x14ac:dyDescent="0.25">
      <c r="A338" s="298" t="s">
        <v>1002</v>
      </c>
      <c r="B338" s="299" t="str">
        <f>'PLAN INDICATIVO'!B338</f>
        <v>Transporte</v>
      </c>
      <c r="C338" s="1547"/>
      <c r="D338" s="1551"/>
      <c r="E338" s="1551"/>
      <c r="F338" s="1551"/>
      <c r="G338" s="1551"/>
      <c r="H338" s="1551"/>
      <c r="I338" s="300">
        <f>'PLAN INDICATIVO'!I338</f>
        <v>0</v>
      </c>
      <c r="J338" s="300">
        <f>'PLAN INDICATIVO'!J338</f>
        <v>0</v>
      </c>
      <c r="K338" s="1425" t="str">
        <f>'PLAN INDICATIVO'!K338</f>
        <v>A.9.1.11</v>
      </c>
      <c r="L338" s="301" t="str">
        <f>'PLAN INDICATIVO'!L338</f>
        <v>11. Ciudades y comunidades sostenibles</v>
      </c>
      <c r="M338" s="301" t="str">
        <f>'PLAN INDICATIVO'!M338</f>
        <v xml:space="preserve">Secretaría de Tránsito </v>
      </c>
      <c r="N338" s="1425" t="str">
        <f>'PLAN INDICATIVO'!N338</f>
        <v>LUIS ALFREDO GOMEZ CLAVIJO</v>
      </c>
      <c r="O338" s="1425" t="str">
        <f>'PLAN INDICATIVO'!O338</f>
        <v>Mantenimiento</v>
      </c>
      <c r="P338" s="16" t="str">
        <f>'PLAN INDICATIVO'!P338</f>
        <v>Implementar el plan maestro de movilidad y seguridad vial cada año</v>
      </c>
      <c r="Q338" s="302" t="str">
        <f>'PLAN INDICATIVO'!Q338</f>
        <v xml:space="preserve">Plan maestro de movilidad implementado por año. </v>
      </c>
      <c r="R338" s="303">
        <f>'PLAN INDICATIVO'!R338</f>
        <v>2015</v>
      </c>
      <c r="S338" s="304">
        <v>1</v>
      </c>
      <c r="T338" s="498">
        <v>1</v>
      </c>
      <c r="U338" s="303">
        <v>0.25</v>
      </c>
      <c r="V338" s="687">
        <v>25000000</v>
      </c>
      <c r="W338" s="572">
        <v>0.25</v>
      </c>
      <c r="X338" s="687">
        <v>10000000</v>
      </c>
      <c r="Y338" s="1232">
        <v>0.25</v>
      </c>
      <c r="Z338" s="1233">
        <v>10000000</v>
      </c>
      <c r="AA338" s="1310">
        <v>0.5</v>
      </c>
      <c r="AB338" s="687">
        <v>10000000</v>
      </c>
      <c r="AC338" s="665">
        <v>0.25</v>
      </c>
      <c r="AD338" s="665">
        <v>0.15</v>
      </c>
      <c r="AE338" s="665">
        <v>0.1</v>
      </c>
      <c r="AF338" s="665"/>
      <c r="AG338" s="306" t="s">
        <v>4276</v>
      </c>
      <c r="AH338" s="991">
        <v>2018453960006</v>
      </c>
      <c r="AI338" s="307" t="s">
        <v>4286</v>
      </c>
      <c r="AJ338" s="335">
        <v>43313</v>
      </c>
      <c r="AK338" s="335">
        <v>43449</v>
      </c>
      <c r="AL338" s="308"/>
      <c r="AM338" s="308"/>
      <c r="AN338" s="267" t="s">
        <v>2604</v>
      </c>
      <c r="AO338" s="507"/>
      <c r="AP338" s="525"/>
      <c r="AQ338" s="310"/>
      <c r="AR338" s="310"/>
      <c r="AS338" s="310"/>
      <c r="AT338" s="310"/>
      <c r="AU338" s="310"/>
      <c r="AV338" s="310"/>
      <c r="AW338" s="544"/>
      <c r="AX338" s="525"/>
      <c r="AY338" s="310"/>
      <c r="AZ338" s="310"/>
      <c r="BA338" s="310"/>
      <c r="BB338" s="310"/>
      <c r="BC338" s="310"/>
      <c r="BD338" s="310"/>
      <c r="BE338" s="544">
        <f t="shared" si="185"/>
        <v>0</v>
      </c>
      <c r="BF338" s="310"/>
      <c r="BG338" s="310"/>
      <c r="BH338" s="310"/>
      <c r="BI338" s="310"/>
      <c r="BJ338" s="310"/>
      <c r="BK338" s="310"/>
      <c r="BL338" s="310"/>
      <c r="BM338" s="544">
        <f t="shared" si="186"/>
        <v>0</v>
      </c>
      <c r="BN338" s="525"/>
      <c r="BO338" s="310"/>
      <c r="BP338" s="310"/>
      <c r="BQ338" s="310"/>
      <c r="BR338" s="310"/>
      <c r="BS338" s="310"/>
      <c r="BT338" s="310"/>
      <c r="BU338" s="544">
        <f t="shared" si="187"/>
        <v>0</v>
      </c>
      <c r="BV338" s="556"/>
      <c r="BW338" s="663">
        <f t="shared" si="203"/>
        <v>0.5</v>
      </c>
      <c r="BX338" s="1047">
        <f t="shared" si="184"/>
        <v>0.5</v>
      </c>
      <c r="BY338" s="1047">
        <f t="shared" si="204"/>
        <v>1</v>
      </c>
      <c r="BZ338" s="1047">
        <f t="shared" si="205"/>
        <v>0.6</v>
      </c>
      <c r="CA338" s="1047">
        <f t="shared" si="206"/>
        <v>0.4</v>
      </c>
      <c r="CB338" s="1047">
        <f t="shared" si="207"/>
        <v>0</v>
      </c>
      <c r="CD338" t="str">
        <f t="shared" si="208"/>
        <v>VE</v>
      </c>
      <c r="CE338" t="str">
        <f t="shared" si="208"/>
        <v>AMB</v>
      </c>
      <c r="CF338" t="str">
        <f t="shared" si="208"/>
        <v>RO</v>
      </c>
      <c r="CG338" t="str">
        <f t="shared" si="208"/>
        <v>ROB</v>
      </c>
    </row>
    <row r="339" spans="1:85" ht="92.25" hidden="1" customHeight="1" x14ac:dyDescent="0.25">
      <c r="A339" s="298" t="s">
        <v>1002</v>
      </c>
      <c r="B339" s="299" t="str">
        <f>'PLAN INDICATIVO'!B339</f>
        <v>Transporte</v>
      </c>
      <c r="C339" s="1547"/>
      <c r="D339" s="1551"/>
      <c r="E339" s="1551"/>
      <c r="F339" s="1551"/>
      <c r="G339" s="1551"/>
      <c r="H339" s="1551"/>
      <c r="I339" s="300">
        <f>'PLAN INDICATIVO'!I339</f>
        <v>0</v>
      </c>
      <c r="J339" s="300">
        <f>'PLAN INDICATIVO'!J339</f>
        <v>0</v>
      </c>
      <c r="K339" s="1425" t="str">
        <f>'PLAN INDICATIVO'!K339</f>
        <v>A.9.1.12</v>
      </c>
      <c r="L339" s="301" t="str">
        <f>'PLAN INDICATIVO'!L339</f>
        <v>11. Ciudades y comunidades sostenibles</v>
      </c>
      <c r="M339" s="301" t="str">
        <f>'PLAN INDICATIVO'!M339</f>
        <v>Secretaría de Obras Civiles</v>
      </c>
      <c r="N339" s="1425" t="str">
        <f>'PLAN INDICATIVO'!N339</f>
        <v>EDNUAR HIZNARDO RAMIREZ</v>
      </c>
      <c r="O339" s="1425" t="str">
        <f>'PLAN INDICATIVO'!O339</f>
        <v>Incremento</v>
      </c>
      <c r="P339" s="16" t="str">
        <f>'PLAN INDICATIVO'!P339</f>
        <v>Realizar 4 mantenimientos correctivos o preventivos a maquinaria pesada del municipio durante el cuatrienio.</v>
      </c>
      <c r="Q339" s="302" t="str">
        <f>'PLAN INDICATIVO'!Q339</f>
        <v xml:space="preserve">No. de mantenimientos realizados </v>
      </c>
      <c r="R339" s="303">
        <f>'PLAN INDICATIVO'!R339</f>
        <v>2015</v>
      </c>
      <c r="S339" s="304">
        <v>1</v>
      </c>
      <c r="T339" s="498">
        <v>4</v>
      </c>
      <c r="U339" s="303">
        <v>1</v>
      </c>
      <c r="V339" s="687">
        <v>55000000</v>
      </c>
      <c r="W339" s="572">
        <v>1</v>
      </c>
      <c r="X339" s="687">
        <v>60000000</v>
      </c>
      <c r="Y339" s="572">
        <v>1</v>
      </c>
      <c r="Z339" s="687">
        <v>30000000</v>
      </c>
      <c r="AA339" s="1310">
        <v>1</v>
      </c>
      <c r="AB339" s="687">
        <v>30000000</v>
      </c>
      <c r="AC339" s="665">
        <v>1</v>
      </c>
      <c r="AD339" s="665">
        <v>1</v>
      </c>
      <c r="AE339" s="665">
        <v>1</v>
      </c>
      <c r="AF339" s="665"/>
      <c r="AG339" s="665"/>
      <c r="AH339" s="306" t="s">
        <v>3792</v>
      </c>
      <c r="AI339" s="307" t="s">
        <v>4287</v>
      </c>
      <c r="AJ339" s="335">
        <v>43132</v>
      </c>
      <c r="AK339" s="335">
        <v>43281</v>
      </c>
      <c r="AL339" s="308"/>
      <c r="AM339" s="308"/>
      <c r="AN339" s="267" t="s">
        <v>2598</v>
      </c>
      <c r="AO339" s="507" t="s">
        <v>4288</v>
      </c>
      <c r="AP339" s="525">
        <v>30000000</v>
      </c>
      <c r="AQ339" s="310"/>
      <c r="AR339" s="380"/>
      <c r="AS339" s="310"/>
      <c r="AT339" s="310"/>
      <c r="AU339" s="310"/>
      <c r="AV339" s="310"/>
      <c r="AW339" s="544"/>
      <c r="AX339" s="525"/>
      <c r="AY339" s="310"/>
      <c r="AZ339" s="380"/>
      <c r="BA339" s="310"/>
      <c r="BB339" s="310"/>
      <c r="BC339" s="310"/>
      <c r="BD339" s="310"/>
      <c r="BE339" s="544">
        <f t="shared" si="185"/>
        <v>0</v>
      </c>
      <c r="BF339" s="525">
        <v>30000000</v>
      </c>
      <c r="BG339" s="310"/>
      <c r="BH339" s="380"/>
      <c r="BI339" s="310"/>
      <c r="BJ339" s="310"/>
      <c r="BK339" s="310"/>
      <c r="BL339" s="310"/>
      <c r="BM339" s="544"/>
      <c r="BN339" s="525"/>
      <c r="BO339" s="310"/>
      <c r="BP339" s="380"/>
      <c r="BQ339" s="310"/>
      <c r="BR339" s="310"/>
      <c r="BS339" s="310"/>
      <c r="BT339" s="310"/>
      <c r="BU339" s="544">
        <f t="shared" si="187"/>
        <v>0</v>
      </c>
      <c r="BV339" s="556"/>
      <c r="BW339" s="663">
        <f t="shared" ref="BW339:BW366" si="209">AC339+AD339+AE339+AF339</f>
        <v>3</v>
      </c>
      <c r="BX339" s="1047">
        <f t="shared" si="184"/>
        <v>0.75</v>
      </c>
      <c r="BY339" s="1047">
        <f t="shared" si="204"/>
        <v>1</v>
      </c>
      <c r="BZ339" s="1047">
        <f t="shared" si="205"/>
        <v>1</v>
      </c>
      <c r="CA339" s="1047">
        <f t="shared" si="206"/>
        <v>1</v>
      </c>
      <c r="CB339" s="1047">
        <f t="shared" si="207"/>
        <v>0</v>
      </c>
      <c r="CD339" t="str">
        <f t="shared" si="208"/>
        <v>VE</v>
      </c>
      <c r="CE339" t="str">
        <f t="shared" si="208"/>
        <v>VE</v>
      </c>
      <c r="CF339" t="str">
        <f t="shared" si="208"/>
        <v>VE</v>
      </c>
      <c r="CG339" t="str">
        <f t="shared" si="208"/>
        <v>ROB</v>
      </c>
    </row>
    <row r="340" spans="1:85" ht="81" hidden="1" customHeight="1" x14ac:dyDescent="0.25">
      <c r="A340" s="298" t="s">
        <v>2458</v>
      </c>
      <c r="B340" s="299" t="str">
        <f>'PLAN INDICATIVO'!B340</f>
        <v>Transporte</v>
      </c>
      <c r="C340" s="1547"/>
      <c r="D340" s="1551"/>
      <c r="E340" s="1551"/>
      <c r="F340" s="1551"/>
      <c r="G340" s="1551"/>
      <c r="H340" s="1551"/>
      <c r="I340" s="1425" t="str">
        <f>'PLAN INDICATIVO'!I340</f>
        <v>SI</v>
      </c>
      <c r="J340" s="1425">
        <f>'PLAN INDICATIVO'!J340</f>
        <v>0</v>
      </c>
      <c r="K340" s="1425" t="str">
        <f>'PLAN INDICATIVO'!K340</f>
        <v>A.9.1.13</v>
      </c>
      <c r="L340" s="301" t="str">
        <f>'PLAN INDICATIVO'!L340</f>
        <v>11. Ciudades y comunidades sostenibles</v>
      </c>
      <c r="M340" s="301" t="str">
        <f>'PLAN INDICATIVO'!M340</f>
        <v>Secretaría de Obras Civiles</v>
      </c>
      <c r="N340" s="1425" t="str">
        <f>'PLAN INDICATIVO'!N340</f>
        <v>EDNUAR HIZNARDO RAMIREZ</v>
      </c>
      <c r="O340" s="1425" t="str">
        <f>'PLAN INDICATIVO'!O340</f>
        <v>Incremento</v>
      </c>
      <c r="P340" s="1198" t="str">
        <f>'PLAN INDICATIVO'!P340</f>
        <v>Adquirir un kit de maquinaria para hacer el mantenimiento a la red vial, durante el cuatrienio.</v>
      </c>
      <c r="Q340" s="302" t="str">
        <f>'PLAN INDICATIVO'!Q340</f>
        <v>No. De Kit de maquinaria adquirido</v>
      </c>
      <c r="R340" s="303">
        <f>'PLAN INDICATIVO'!R340</f>
        <v>2015</v>
      </c>
      <c r="S340" s="304">
        <v>0</v>
      </c>
      <c r="T340" s="498">
        <v>1</v>
      </c>
      <c r="U340" s="303">
        <v>1</v>
      </c>
      <c r="V340" s="687">
        <v>1015000000</v>
      </c>
      <c r="W340" s="823"/>
      <c r="X340" s="687">
        <v>1000000000</v>
      </c>
      <c r="Y340" s="823">
        <v>1</v>
      </c>
      <c r="Z340" s="687"/>
      <c r="AA340" s="1310">
        <v>1</v>
      </c>
      <c r="AB340" s="687"/>
      <c r="AC340" s="665"/>
      <c r="AD340" s="665">
        <v>0</v>
      </c>
      <c r="AE340" s="665">
        <v>0</v>
      </c>
      <c r="AF340" s="665"/>
      <c r="AG340" s="665"/>
      <c r="AH340" s="306" t="s">
        <v>3792</v>
      </c>
      <c r="AI340" s="307" t="s">
        <v>4289</v>
      </c>
      <c r="AJ340" s="335"/>
      <c r="AK340" s="335"/>
      <c r="AL340" s="308"/>
      <c r="AM340" s="308"/>
      <c r="AN340" s="267" t="s">
        <v>2600</v>
      </c>
      <c r="AO340" s="507"/>
      <c r="AP340" s="525">
        <v>0</v>
      </c>
      <c r="AQ340" s="310"/>
      <c r="AR340" s="310"/>
      <c r="AS340" s="310"/>
      <c r="AT340" s="310"/>
      <c r="AU340" s="310"/>
      <c r="AV340" s="310"/>
      <c r="AW340" s="544">
        <f t="shared" ref="AW340:AW348" si="210">SUM(AP340:AV340)</f>
        <v>0</v>
      </c>
      <c r="AX340" s="525"/>
      <c r="AY340" s="310"/>
      <c r="AZ340" s="310"/>
      <c r="BA340" s="310"/>
      <c r="BB340" s="310"/>
      <c r="BC340" s="310"/>
      <c r="BD340" s="310"/>
      <c r="BE340" s="544">
        <f t="shared" ref="BE340:BE400" si="211">SUM(AX340:BD340)</f>
        <v>0</v>
      </c>
      <c r="BF340" s="525">
        <v>0</v>
      </c>
      <c r="BG340" s="310"/>
      <c r="BH340" s="310"/>
      <c r="BI340" s="310"/>
      <c r="BJ340" s="310"/>
      <c r="BK340" s="310"/>
      <c r="BL340" s="310"/>
      <c r="BM340" s="544">
        <f t="shared" ref="BM340:BM348" si="212">SUM(BF340:BL340)</f>
        <v>0</v>
      </c>
      <c r="BN340" s="525"/>
      <c r="BO340" s="310"/>
      <c r="BP340" s="310"/>
      <c r="BQ340" s="310"/>
      <c r="BR340" s="310"/>
      <c r="BS340" s="310"/>
      <c r="BT340" s="310"/>
      <c r="BU340" s="544">
        <f t="shared" ref="BU340:BU400" si="213">SUM(BN340:BT340)</f>
        <v>0</v>
      </c>
      <c r="BV340" s="556"/>
      <c r="BW340" s="663">
        <f t="shared" si="209"/>
        <v>0</v>
      </c>
      <c r="BX340" s="1047">
        <f t="shared" ref="BX340:BX403" si="214">BW340/T340</f>
        <v>0</v>
      </c>
      <c r="BY340" s="1047">
        <f t="shared" si="204"/>
        <v>0</v>
      </c>
      <c r="BZ340" s="1047" t="str">
        <f t="shared" si="205"/>
        <v>No Programada</v>
      </c>
      <c r="CA340" s="1047">
        <f t="shared" si="206"/>
        <v>0</v>
      </c>
      <c r="CB340" s="1047">
        <f t="shared" si="207"/>
        <v>0</v>
      </c>
      <c r="CD340" t="str">
        <f t="shared" si="208"/>
        <v>ROB</v>
      </c>
      <c r="CE340" t="str">
        <f t="shared" si="208"/>
        <v>NP</v>
      </c>
      <c r="CF340" t="str">
        <f t="shared" si="208"/>
        <v>ROB</v>
      </c>
      <c r="CG340" t="str">
        <f t="shared" si="208"/>
        <v>ROB</v>
      </c>
    </row>
    <row r="341" spans="1:85" ht="66.75" hidden="1" customHeight="1" x14ac:dyDescent="0.25">
      <c r="A341" s="298" t="s">
        <v>1002</v>
      </c>
      <c r="B341" s="299" t="str">
        <f>'PLAN INDICATIVO'!B341</f>
        <v>Transporte</v>
      </c>
      <c r="C341" s="1547"/>
      <c r="D341" s="1551"/>
      <c r="E341" s="1551"/>
      <c r="F341" s="1551"/>
      <c r="G341" s="1551"/>
      <c r="H341" s="1551"/>
      <c r="I341" s="1425" t="str">
        <f>'PLAN INDICATIVO'!I341</f>
        <v>SI</v>
      </c>
      <c r="J341" s="1425">
        <f>'PLAN INDICATIVO'!J341</f>
        <v>0</v>
      </c>
      <c r="K341" s="1425" t="str">
        <f>'PLAN INDICATIVO'!K341</f>
        <v>A.9.1.14</v>
      </c>
      <c r="L341" s="301" t="str">
        <f>'PLAN INDICATIVO'!L341</f>
        <v>11. Ciudades y comunidades sostenibles</v>
      </c>
      <c r="M341" s="301" t="str">
        <f>'PLAN INDICATIVO'!M341</f>
        <v>Secretaría de Obras Civiles</v>
      </c>
      <c r="N341" s="1425" t="str">
        <f>'PLAN INDICATIVO'!N341</f>
        <v>EDNUAR HIZNARDO RAMIREZ</v>
      </c>
      <c r="O341" s="1425" t="str">
        <f>'PLAN INDICATIVO'!O341</f>
        <v>Incremento</v>
      </c>
      <c r="P341" s="25" t="str">
        <f>'PLAN INDICATIVO'!P341</f>
        <v>Formular  de 1 diseño e ingeniería de detalle para la construcción de la vía circunvalar.</v>
      </c>
      <c r="Q341" s="302" t="str">
        <f>'PLAN INDICATIVO'!Q341</f>
        <v xml:space="preserve">No. De Estudios y diseños formulados </v>
      </c>
      <c r="R341" s="303">
        <f>'PLAN INDICATIVO'!R341</f>
        <v>2015</v>
      </c>
      <c r="S341" s="304">
        <v>0</v>
      </c>
      <c r="T341" s="498">
        <v>1</v>
      </c>
      <c r="U341" s="303">
        <v>0.7</v>
      </c>
      <c r="V341" s="687">
        <v>414000000</v>
      </c>
      <c r="W341" s="572">
        <v>0.7</v>
      </c>
      <c r="X341" s="687">
        <v>400000000</v>
      </c>
      <c r="Y341" s="964"/>
      <c r="Z341" s="687"/>
      <c r="AA341" s="1310"/>
      <c r="AB341" s="687"/>
      <c r="AC341" s="665">
        <v>0.3</v>
      </c>
      <c r="AD341" s="665">
        <v>1</v>
      </c>
      <c r="AE341" s="665"/>
      <c r="AF341" s="665"/>
      <c r="AG341" s="665"/>
      <c r="AH341" s="306" t="s">
        <v>3792</v>
      </c>
      <c r="AI341" s="307" t="s">
        <v>4290</v>
      </c>
      <c r="AJ341" s="335"/>
      <c r="AK341" s="335"/>
      <c r="AL341" s="308"/>
      <c r="AM341" s="308"/>
      <c r="AN341" s="267" t="s">
        <v>2594</v>
      </c>
      <c r="AO341" s="507"/>
      <c r="AP341" s="525"/>
      <c r="AQ341" s="310"/>
      <c r="AR341" s="310"/>
      <c r="AS341" s="310"/>
      <c r="AT341" s="310"/>
      <c r="AU341" s="310"/>
      <c r="AV341" s="310"/>
      <c r="AW341" s="544">
        <f t="shared" si="210"/>
        <v>0</v>
      </c>
      <c r="AX341" s="525"/>
      <c r="AY341" s="310"/>
      <c r="AZ341" s="310"/>
      <c r="BA341" s="310"/>
      <c r="BB341" s="310"/>
      <c r="BC341" s="310"/>
      <c r="BD341" s="310"/>
      <c r="BE341" s="544">
        <f t="shared" si="211"/>
        <v>0</v>
      </c>
      <c r="BF341" s="525"/>
      <c r="BG341" s="310"/>
      <c r="BH341" s="310"/>
      <c r="BI341" s="310"/>
      <c r="BJ341" s="310"/>
      <c r="BK341" s="310"/>
      <c r="BL341" s="310"/>
      <c r="BM341" s="544">
        <f t="shared" si="212"/>
        <v>0</v>
      </c>
      <c r="BN341" s="525"/>
      <c r="BO341" s="310"/>
      <c r="BP341" s="310"/>
      <c r="BQ341" s="310"/>
      <c r="BR341" s="310"/>
      <c r="BS341" s="310"/>
      <c r="BT341" s="310"/>
      <c r="BU341" s="544">
        <f t="shared" si="213"/>
        <v>0</v>
      </c>
      <c r="BV341" s="556"/>
      <c r="BW341" s="663">
        <f t="shared" si="209"/>
        <v>1.3</v>
      </c>
      <c r="BX341" s="1047">
        <f t="shared" si="214"/>
        <v>1.3</v>
      </c>
      <c r="BY341" s="1047">
        <f t="shared" si="204"/>
        <v>0.4285714285714286</v>
      </c>
      <c r="BZ341" s="1047">
        <f t="shared" si="205"/>
        <v>1.4285714285714286</v>
      </c>
      <c r="CA341" s="1047" t="str">
        <f t="shared" si="206"/>
        <v>No Programada</v>
      </c>
      <c r="CB341" s="1047" t="str">
        <f t="shared" si="207"/>
        <v>No Programada</v>
      </c>
      <c r="CD341" t="str">
        <f t="shared" si="208"/>
        <v>AMB</v>
      </c>
      <c r="CE341" t="str">
        <f t="shared" si="208"/>
        <v>VE</v>
      </c>
      <c r="CF341" t="str">
        <f t="shared" si="208"/>
        <v>NP</v>
      </c>
      <c r="CG341" t="str">
        <f t="shared" si="208"/>
        <v>NP</v>
      </c>
    </row>
    <row r="342" spans="1:85" ht="50.25" hidden="1" customHeight="1" x14ac:dyDescent="0.25">
      <c r="A342" s="298" t="s">
        <v>2458</v>
      </c>
      <c r="B342" s="299" t="str">
        <f>'PLAN INDICATIVO'!B342</f>
        <v>Transporte</v>
      </c>
      <c r="C342" s="1547"/>
      <c r="D342" s="1551"/>
      <c r="E342" s="1551"/>
      <c r="F342" s="1551"/>
      <c r="G342" s="1551"/>
      <c r="H342" s="1551"/>
      <c r="I342" s="1425" t="str">
        <f>'PLAN INDICATIVO'!I342</f>
        <v>SI</v>
      </c>
      <c r="J342" s="1425">
        <f>'PLAN INDICATIVO'!J342</f>
        <v>0</v>
      </c>
      <c r="K342" s="1425" t="str">
        <f>'PLAN INDICATIVO'!K342</f>
        <v>A.9.1.15</v>
      </c>
      <c r="L342" s="301" t="str">
        <f>'PLAN INDICATIVO'!L342</f>
        <v>11. Ciudades y comunidades sostenibles</v>
      </c>
      <c r="M342" s="301" t="str">
        <f>'PLAN INDICATIVO'!M342</f>
        <v>Secretaría de Obras Civiles</v>
      </c>
      <c r="N342" s="1425" t="str">
        <f>'PLAN INDICATIVO'!N342</f>
        <v>EDNUAR HIZNARDO RAMIREZ</v>
      </c>
      <c r="O342" s="1425" t="str">
        <f>'PLAN INDICATIVO'!O342</f>
        <v>Incremento</v>
      </c>
      <c r="P342" s="1198" t="str">
        <f>'PLAN INDICATIVO'!P342</f>
        <v>Pavimentar 34.000 m2 de vías en el sector urbano y/o centros poblados, durante el cuatrienio.</v>
      </c>
      <c r="Q342" s="302" t="str">
        <f>'PLAN INDICATIVO'!Q342</f>
        <v>No. de m2 de vías pavimentados</v>
      </c>
      <c r="R342" s="303">
        <f>'PLAN INDICATIVO'!R342</f>
        <v>2015</v>
      </c>
      <c r="S342" s="304">
        <v>0</v>
      </c>
      <c r="T342" s="1302">
        <v>34000</v>
      </c>
      <c r="U342" s="303">
        <v>9000</v>
      </c>
      <c r="V342" s="687">
        <v>899000000</v>
      </c>
      <c r="W342" s="572">
        <v>9000</v>
      </c>
      <c r="X342" s="687">
        <v>1064000000</v>
      </c>
      <c r="Y342" s="1232"/>
      <c r="Z342" s="1233">
        <v>1100000000</v>
      </c>
      <c r="AA342" s="1310">
        <f>T342-BW342</f>
        <v>463.84000000000378</v>
      </c>
      <c r="AB342" s="687">
        <v>150000000</v>
      </c>
      <c r="AC342" s="665">
        <f>6403+4542.3+1602.3+6553.02</f>
        <v>19100.62</v>
      </c>
      <c r="AD342" s="665">
        <v>11301.539999999999</v>
      </c>
      <c r="AE342" s="665">
        <v>3134</v>
      </c>
      <c r="AF342" s="665"/>
      <c r="AG342" s="665"/>
      <c r="AH342" s="306" t="s">
        <v>3792</v>
      </c>
      <c r="AI342" s="307" t="s">
        <v>4291</v>
      </c>
      <c r="AJ342" s="335">
        <v>43132</v>
      </c>
      <c r="AK342" s="335">
        <v>43281</v>
      </c>
      <c r="AL342" s="308"/>
      <c r="AM342" s="308"/>
      <c r="AN342" s="267" t="s">
        <v>2594</v>
      </c>
      <c r="AO342" s="507"/>
      <c r="AP342" s="525"/>
      <c r="AQ342" s="310"/>
      <c r="AR342" s="310">
        <v>2743585627</v>
      </c>
      <c r="AS342" s="310"/>
      <c r="AT342" s="310"/>
      <c r="AU342" s="310">
        <v>249869941</v>
      </c>
      <c r="AV342" s="310"/>
      <c r="AW342" s="544">
        <f t="shared" si="210"/>
        <v>2993455568</v>
      </c>
      <c r="AX342" s="525"/>
      <c r="AY342" s="310"/>
      <c r="AZ342" s="310"/>
      <c r="BA342" s="310"/>
      <c r="BB342" s="310"/>
      <c r="BC342" s="310"/>
      <c r="BD342" s="310"/>
      <c r="BE342" s="544">
        <f t="shared" si="211"/>
        <v>0</v>
      </c>
      <c r="BF342" s="525"/>
      <c r="BG342" s="310"/>
      <c r="BH342" s="310">
        <v>2743585627</v>
      </c>
      <c r="BI342" s="310"/>
      <c r="BJ342" s="310"/>
      <c r="BK342" s="310">
        <v>249869941</v>
      </c>
      <c r="BL342" s="310"/>
      <c r="BM342" s="544">
        <f t="shared" si="212"/>
        <v>2993455568</v>
      </c>
      <c r="BN342" s="525"/>
      <c r="BO342" s="310"/>
      <c r="BP342" s="310"/>
      <c r="BQ342" s="310"/>
      <c r="BR342" s="310"/>
      <c r="BS342" s="310"/>
      <c r="BT342" s="310"/>
      <c r="BU342" s="544">
        <f t="shared" si="213"/>
        <v>0</v>
      </c>
      <c r="BV342" s="556"/>
      <c r="BW342" s="663">
        <f t="shared" si="209"/>
        <v>33536.159999999996</v>
      </c>
      <c r="BX342" s="1047">
        <f t="shared" si="214"/>
        <v>0.98635764705882345</v>
      </c>
      <c r="BY342" s="1047">
        <f t="shared" si="204"/>
        <v>2.1222911111111111</v>
      </c>
      <c r="BZ342" s="1047">
        <f t="shared" si="205"/>
        <v>1.2557266666666667</v>
      </c>
      <c r="CA342" s="1047" t="str">
        <f t="shared" si="206"/>
        <v>No Programada</v>
      </c>
      <c r="CB342" s="1047">
        <f t="shared" si="207"/>
        <v>0</v>
      </c>
      <c r="CD342" t="str">
        <f t="shared" si="208"/>
        <v>VE</v>
      </c>
      <c r="CE342" t="str">
        <f t="shared" si="208"/>
        <v>VE</v>
      </c>
      <c r="CF342" t="str">
        <f t="shared" si="208"/>
        <v>NP</v>
      </c>
      <c r="CG342" t="str">
        <f t="shared" si="208"/>
        <v>ROB</v>
      </c>
    </row>
    <row r="343" spans="1:85" ht="74.25" hidden="1" customHeight="1" x14ac:dyDescent="0.25">
      <c r="A343" s="298" t="s">
        <v>1002</v>
      </c>
      <c r="B343" s="299" t="str">
        <f>'PLAN INDICATIVO'!B343</f>
        <v>Transporte</v>
      </c>
      <c r="C343" s="1547"/>
      <c r="D343" s="1551"/>
      <c r="E343" s="1551"/>
      <c r="F343" s="1551"/>
      <c r="G343" s="1551"/>
      <c r="H343" s="1551"/>
      <c r="I343" s="1425" t="str">
        <f>'PLAN INDICATIVO'!I343</f>
        <v>SI</v>
      </c>
      <c r="J343" s="1425">
        <f>'PLAN INDICATIVO'!J343</f>
        <v>0</v>
      </c>
      <c r="K343" s="1425" t="str">
        <f>'PLAN INDICATIVO'!K343</f>
        <v>A.9.1.16</v>
      </c>
      <c r="L343" s="301" t="str">
        <f>'PLAN INDICATIVO'!L343</f>
        <v>11. Ciudades y comunidades sostenibles</v>
      </c>
      <c r="M343" s="301" t="str">
        <f>'PLAN INDICATIVO'!M343</f>
        <v>Secretaría de Obras Civiles</v>
      </c>
      <c r="N343" s="1425" t="str">
        <f>'PLAN INDICATIVO'!N343</f>
        <v>EDNUAR HIZNARDO RAMIREZ</v>
      </c>
      <c r="O343" s="1425" t="str">
        <f>'PLAN INDICATIVO'!O343</f>
        <v>Incremento</v>
      </c>
      <c r="P343" s="25" t="str">
        <f>'PLAN INDICATIVO'!P343</f>
        <v>Construir 1200 ml de andenes en el sector urbano y/o los centros poblados, durante el cuatrienio.</v>
      </c>
      <c r="Q343" s="302" t="str">
        <f>'PLAN INDICATIVO'!Q343</f>
        <v>No. de metros lineales de andenes construidos</v>
      </c>
      <c r="R343" s="303">
        <f>'PLAN INDICATIVO'!R343</f>
        <v>2015</v>
      </c>
      <c r="S343" s="304">
        <v>0</v>
      </c>
      <c r="T343" s="1302">
        <v>1200</v>
      </c>
      <c r="U343" s="303">
        <v>400</v>
      </c>
      <c r="V343" s="687">
        <v>80000000</v>
      </c>
      <c r="W343" s="66"/>
      <c r="X343" s="687">
        <v>75000000</v>
      </c>
      <c r="Y343" s="1232">
        <v>496</v>
      </c>
      <c r="Z343" s="687">
        <v>15000000</v>
      </c>
      <c r="AA343" s="1310">
        <f>T343-BW343</f>
        <v>96</v>
      </c>
      <c r="AB343" s="687">
        <v>50000000</v>
      </c>
      <c r="AC343" s="665">
        <f>104+600</f>
        <v>704</v>
      </c>
      <c r="AD343" s="665">
        <v>0</v>
      </c>
      <c r="AE343" s="665">
        <v>400</v>
      </c>
      <c r="AF343" s="665"/>
      <c r="AG343" s="665"/>
      <c r="AH343" s="306" t="s">
        <v>3792</v>
      </c>
      <c r="AI343" s="307" t="s">
        <v>4292</v>
      </c>
      <c r="AJ343" s="335">
        <v>43132</v>
      </c>
      <c r="AK343" s="335">
        <v>43281</v>
      </c>
      <c r="AL343" s="308"/>
      <c r="AM343" s="308"/>
      <c r="AN343" s="267" t="s">
        <v>2600</v>
      </c>
      <c r="AO343" s="507"/>
      <c r="AP343" s="525"/>
      <c r="AQ343" s="310"/>
      <c r="AR343" s="310"/>
      <c r="AS343" s="310"/>
      <c r="AT343" s="310"/>
      <c r="AU343" s="310"/>
      <c r="AV343" s="310"/>
      <c r="AW343" s="544">
        <f t="shared" si="210"/>
        <v>0</v>
      </c>
      <c r="AX343" s="525"/>
      <c r="AY343" s="310"/>
      <c r="AZ343" s="310"/>
      <c r="BA343" s="310"/>
      <c r="BB343" s="310"/>
      <c r="BC343" s="310"/>
      <c r="BD343" s="310"/>
      <c r="BE343" s="544">
        <f t="shared" si="211"/>
        <v>0</v>
      </c>
      <c r="BF343" s="525"/>
      <c r="BG343" s="310"/>
      <c r="BH343" s="310"/>
      <c r="BI343" s="310"/>
      <c r="BJ343" s="310"/>
      <c r="BK343" s="310"/>
      <c r="BL343" s="310"/>
      <c r="BM343" s="544">
        <f t="shared" si="212"/>
        <v>0</v>
      </c>
      <c r="BN343" s="525"/>
      <c r="BO343" s="310"/>
      <c r="BP343" s="310"/>
      <c r="BQ343" s="310"/>
      <c r="BR343" s="310"/>
      <c r="BS343" s="310"/>
      <c r="BT343" s="310"/>
      <c r="BU343" s="544">
        <f t="shared" si="213"/>
        <v>0</v>
      </c>
      <c r="BV343" s="556"/>
      <c r="BW343" s="663">
        <f t="shared" si="209"/>
        <v>1104</v>
      </c>
      <c r="BX343" s="1047">
        <f t="shared" si="214"/>
        <v>0.92</v>
      </c>
      <c r="BY343" s="1047">
        <f t="shared" si="204"/>
        <v>1.76</v>
      </c>
      <c r="BZ343" s="1047" t="str">
        <f t="shared" si="205"/>
        <v>No Programada</v>
      </c>
      <c r="CA343" s="1047">
        <f t="shared" si="206"/>
        <v>0.80645161290322576</v>
      </c>
      <c r="CB343" s="1047">
        <f t="shared" si="207"/>
        <v>0</v>
      </c>
      <c r="CD343" t="str">
        <f t="shared" si="208"/>
        <v>VE</v>
      </c>
      <c r="CE343" t="str">
        <f t="shared" si="208"/>
        <v>NP</v>
      </c>
      <c r="CF343" t="str">
        <f t="shared" si="208"/>
        <v>VEB</v>
      </c>
      <c r="CG343" t="str">
        <f t="shared" si="208"/>
        <v>ROB</v>
      </c>
    </row>
    <row r="344" spans="1:85" ht="66.75" hidden="1" customHeight="1" x14ac:dyDescent="0.25">
      <c r="A344" s="298" t="s">
        <v>1002</v>
      </c>
      <c r="B344" s="299" t="str">
        <f>'PLAN INDICATIVO'!B344</f>
        <v>Transporte</v>
      </c>
      <c r="C344" s="1547"/>
      <c r="D344" s="1551"/>
      <c r="E344" s="1551"/>
      <c r="F344" s="1551"/>
      <c r="G344" s="1551"/>
      <c r="H344" s="1551"/>
      <c r="I344" s="300">
        <f>'PLAN INDICATIVO'!I344</f>
        <v>0</v>
      </c>
      <c r="J344" s="300">
        <f>'PLAN INDICATIVO'!J344</f>
        <v>0</v>
      </c>
      <c r="K344" s="1425" t="str">
        <f>'PLAN INDICATIVO'!K344</f>
        <v>A.9.1.17</v>
      </c>
      <c r="L344" s="301" t="str">
        <f>'PLAN INDICATIVO'!L344</f>
        <v>11. Ciudades y comunidades sostenibles</v>
      </c>
      <c r="M344" s="301" t="str">
        <f>'PLAN INDICATIVO'!M344</f>
        <v>Secretaría de Obras Civiles</v>
      </c>
      <c r="N344" s="1425" t="str">
        <f>'PLAN INDICATIVO'!N344</f>
        <v>EDNUAR HIZNARDO RAMIREZ</v>
      </c>
      <c r="O344" s="1425" t="str">
        <f>'PLAN INDICATIVO'!O344</f>
        <v>Incremento</v>
      </c>
      <c r="P344" s="16" t="str">
        <f>'PLAN INDICATIVO'!P344</f>
        <v>Realizar mantenimiento rutinario de 500 km  de la red vial terciaria rural y centros poblados, durante el cuatrienio.</v>
      </c>
      <c r="Q344" s="302" t="str">
        <f>'PLAN INDICATIVO'!Q344</f>
        <v>No. de Km de red vial mantenida</v>
      </c>
      <c r="R344" s="303">
        <f>'PLAN INDICATIVO'!R344</f>
        <v>2015</v>
      </c>
      <c r="S344" s="304">
        <v>0</v>
      </c>
      <c r="T344" s="498">
        <v>500</v>
      </c>
      <c r="U344" s="303">
        <v>125</v>
      </c>
      <c r="V344" s="687">
        <v>50000000</v>
      </c>
      <c r="W344" s="572">
        <v>125</v>
      </c>
      <c r="X344" s="687">
        <v>120000000</v>
      </c>
      <c r="Y344" s="1232">
        <v>125</v>
      </c>
      <c r="Z344" s="1233">
        <v>185000000</v>
      </c>
      <c r="AA344" s="1310">
        <f>T344-BW344</f>
        <v>141</v>
      </c>
      <c r="AB344" s="687">
        <v>150000000</v>
      </c>
      <c r="AC344" s="665">
        <v>130</v>
      </c>
      <c r="AD344" s="665">
        <v>144</v>
      </c>
      <c r="AE344" s="665">
        <v>85</v>
      </c>
      <c r="AF344" s="665"/>
      <c r="AG344" s="665"/>
      <c r="AH344" s="306" t="s">
        <v>3792</v>
      </c>
      <c r="AI344" s="307" t="s">
        <v>4293</v>
      </c>
      <c r="AJ344" s="335">
        <v>43132</v>
      </c>
      <c r="AK344" s="335">
        <v>43281</v>
      </c>
      <c r="AL344" s="308"/>
      <c r="AM344" s="308"/>
      <c r="AN344" s="267" t="s">
        <v>2604</v>
      </c>
      <c r="AO344" s="507" t="s">
        <v>4294</v>
      </c>
      <c r="AP344" s="525">
        <f>120446400+6399761</f>
        <v>126846161</v>
      </c>
      <c r="AQ344" s="310">
        <v>23153839</v>
      </c>
      <c r="AR344" s="310"/>
      <c r="AS344" s="310"/>
      <c r="AT344" s="310"/>
      <c r="AU344" s="310"/>
      <c r="AV344" s="310"/>
      <c r="AW344" s="544">
        <f t="shared" si="210"/>
        <v>150000000</v>
      </c>
      <c r="AX344" s="525"/>
      <c r="AY344" s="310"/>
      <c r="AZ344" s="310"/>
      <c r="BA344" s="310"/>
      <c r="BB344" s="310"/>
      <c r="BC344" s="310"/>
      <c r="BD344" s="310"/>
      <c r="BE344" s="544">
        <f t="shared" si="211"/>
        <v>0</v>
      </c>
      <c r="BF344" s="525">
        <f>120446400+6399761</f>
        <v>126846161</v>
      </c>
      <c r="BG344" s="310">
        <v>23153839</v>
      </c>
      <c r="BH344" s="310"/>
      <c r="BI344" s="310"/>
      <c r="BJ344" s="310"/>
      <c r="BK344" s="310"/>
      <c r="BL344" s="310"/>
      <c r="BM344" s="544">
        <f t="shared" si="212"/>
        <v>150000000</v>
      </c>
      <c r="BN344" s="525"/>
      <c r="BO344" s="310"/>
      <c r="BP344" s="310"/>
      <c r="BQ344" s="310"/>
      <c r="BR344" s="310"/>
      <c r="BS344" s="310"/>
      <c r="BT344" s="310"/>
      <c r="BU344" s="544">
        <f t="shared" si="213"/>
        <v>0</v>
      </c>
      <c r="BV344" s="556"/>
      <c r="BW344" s="663">
        <f t="shared" si="209"/>
        <v>359</v>
      </c>
      <c r="BX344" s="1047">
        <f t="shared" si="214"/>
        <v>0.71799999999999997</v>
      </c>
      <c r="BY344" s="1047">
        <f t="shared" si="204"/>
        <v>1.04</v>
      </c>
      <c r="BZ344" s="1047">
        <f t="shared" si="205"/>
        <v>1.1519999999999999</v>
      </c>
      <c r="CA344" s="1047">
        <f t="shared" si="206"/>
        <v>0.68</v>
      </c>
      <c r="CB344" s="1047">
        <f t="shared" si="207"/>
        <v>0</v>
      </c>
      <c r="CD344" t="str">
        <f t="shared" si="208"/>
        <v>VE</v>
      </c>
      <c r="CE344" t="str">
        <f t="shared" si="208"/>
        <v>VE</v>
      </c>
      <c r="CF344" t="str">
        <f t="shared" si="208"/>
        <v>AM</v>
      </c>
      <c r="CG344" t="str">
        <f t="shared" si="208"/>
        <v>ROB</v>
      </c>
    </row>
    <row r="345" spans="1:85" ht="53.25" hidden="1" customHeight="1" x14ac:dyDescent="0.25">
      <c r="A345" s="298" t="s">
        <v>1002</v>
      </c>
      <c r="B345" s="299" t="str">
        <f>'PLAN INDICATIVO'!B345</f>
        <v>Transporte</v>
      </c>
      <c r="C345" s="1547"/>
      <c r="D345" s="1551"/>
      <c r="E345" s="1551"/>
      <c r="F345" s="1551"/>
      <c r="G345" s="1551"/>
      <c r="H345" s="1551"/>
      <c r="I345" s="1425" t="str">
        <f>'PLAN INDICATIVO'!I345</f>
        <v>SI</v>
      </c>
      <c r="J345" s="1425">
        <f>'PLAN INDICATIVO'!J345</f>
        <v>0</v>
      </c>
      <c r="K345" s="1425" t="str">
        <f>'PLAN INDICATIVO'!K345</f>
        <v>A.9.1.18</v>
      </c>
      <c r="L345" s="301" t="str">
        <f>'PLAN INDICATIVO'!L345</f>
        <v>11. Ciudades y comunidades sostenibles</v>
      </c>
      <c r="M345" s="301" t="str">
        <f>'PLAN INDICATIVO'!M345</f>
        <v>Secretaría de Obras Civiles</v>
      </c>
      <c r="N345" s="1425" t="str">
        <f>'PLAN INDICATIVO'!N345</f>
        <v>EDNUAR HIZNARDO RAMIREZ</v>
      </c>
      <c r="O345" s="1425" t="str">
        <f>'PLAN INDICATIVO'!O345</f>
        <v>Incremento</v>
      </c>
      <c r="P345" s="1198" t="str">
        <f>'PLAN INDICATIVO'!P345</f>
        <v>Construir  3.500 ml en placa huella</v>
      </c>
      <c r="Q345" s="302" t="str">
        <f>'PLAN INDICATIVO'!Q345</f>
        <v>No. de Metros lineales de placa huella construida</v>
      </c>
      <c r="R345" s="303">
        <f>'PLAN INDICATIVO'!R345</f>
        <v>2015</v>
      </c>
      <c r="S345" s="304">
        <v>0</v>
      </c>
      <c r="T345" s="1299">
        <v>3500</v>
      </c>
      <c r="U345" s="303">
        <v>700</v>
      </c>
      <c r="V345" s="687">
        <v>111000000</v>
      </c>
      <c r="W345" s="572">
        <v>700</v>
      </c>
      <c r="X345" s="687">
        <v>130000000</v>
      </c>
      <c r="Y345" s="1232">
        <v>1457</v>
      </c>
      <c r="Z345" s="1233">
        <v>165000000</v>
      </c>
      <c r="AA345" s="1310">
        <f>T345-BW345</f>
        <v>98.699999999999818</v>
      </c>
      <c r="AB345" s="687">
        <v>35000000</v>
      </c>
      <c r="AC345" s="665">
        <v>493.5</v>
      </c>
      <c r="AD345" s="665">
        <v>1050</v>
      </c>
      <c r="AE345" s="665">
        <f>607.8+1250</f>
        <v>1857.8</v>
      </c>
      <c r="AF345" s="665"/>
      <c r="AG345" s="665"/>
      <c r="AH345" s="306" t="s">
        <v>3792</v>
      </c>
      <c r="AI345" s="307" t="s">
        <v>4295</v>
      </c>
      <c r="AJ345" s="335">
        <v>43132</v>
      </c>
      <c r="AK345" s="335">
        <v>43281</v>
      </c>
      <c r="AL345" s="308"/>
      <c r="AM345" s="308"/>
      <c r="AN345" s="267" t="s">
        <v>2604</v>
      </c>
      <c r="AO345" s="507"/>
      <c r="AP345" s="525"/>
      <c r="AQ345" s="310"/>
      <c r="AR345" s="310"/>
      <c r="AS345" s="310"/>
      <c r="AT345" s="310"/>
      <c r="AU345" s="310"/>
      <c r="AV345" s="310"/>
      <c r="AW345" s="544">
        <f t="shared" si="210"/>
        <v>0</v>
      </c>
      <c r="AX345" s="525"/>
      <c r="AY345" s="310"/>
      <c r="AZ345" s="310"/>
      <c r="BA345" s="310"/>
      <c r="BB345" s="310"/>
      <c r="BC345" s="310"/>
      <c r="BD345" s="310"/>
      <c r="BE345" s="544">
        <f t="shared" si="211"/>
        <v>0</v>
      </c>
      <c r="BF345" s="525"/>
      <c r="BG345" s="310"/>
      <c r="BH345" s="310"/>
      <c r="BI345" s="310"/>
      <c r="BJ345" s="310"/>
      <c r="BK345" s="310"/>
      <c r="BL345" s="310"/>
      <c r="BM345" s="544">
        <f t="shared" si="212"/>
        <v>0</v>
      </c>
      <c r="BN345" s="525"/>
      <c r="BO345" s="310"/>
      <c r="BP345" s="310"/>
      <c r="BQ345" s="310"/>
      <c r="BR345" s="310"/>
      <c r="BS345" s="310"/>
      <c r="BT345" s="310"/>
      <c r="BU345" s="544">
        <f t="shared" si="213"/>
        <v>0</v>
      </c>
      <c r="BV345" s="556"/>
      <c r="BW345" s="663">
        <f t="shared" si="209"/>
        <v>3401.3</v>
      </c>
      <c r="BX345" s="1047">
        <f t="shared" si="214"/>
        <v>0.9718</v>
      </c>
      <c r="BY345" s="1047">
        <f t="shared" si="204"/>
        <v>0.70499999999999996</v>
      </c>
      <c r="BZ345" s="1047">
        <f t="shared" si="205"/>
        <v>1.5</v>
      </c>
      <c r="CA345" s="1047">
        <f t="shared" si="206"/>
        <v>1.275085792724777</v>
      </c>
      <c r="CB345" s="1047">
        <f t="shared" si="207"/>
        <v>0</v>
      </c>
      <c r="CD345" t="str">
        <f t="shared" si="208"/>
        <v>VEB</v>
      </c>
      <c r="CE345" t="str">
        <f t="shared" si="208"/>
        <v>VE</v>
      </c>
      <c r="CF345" t="str">
        <f t="shared" si="208"/>
        <v>VE</v>
      </c>
      <c r="CG345" t="str">
        <f t="shared" si="208"/>
        <v>ROB</v>
      </c>
    </row>
    <row r="346" spans="1:85" ht="53.25" hidden="1" customHeight="1" x14ac:dyDescent="0.25">
      <c r="A346" s="298" t="s">
        <v>1002</v>
      </c>
      <c r="B346" s="299" t="str">
        <f>'PLAN INDICATIVO'!B346</f>
        <v>Transporte</v>
      </c>
      <c r="C346" s="1547"/>
      <c r="D346" s="1551"/>
      <c r="E346" s="1551"/>
      <c r="F346" s="1551"/>
      <c r="G346" s="1551"/>
      <c r="H346" s="1551"/>
      <c r="I346" s="1425" t="str">
        <f>'PLAN INDICATIVO'!I346</f>
        <v>SI</v>
      </c>
      <c r="J346" s="1425">
        <f>'PLAN INDICATIVO'!J346</f>
        <v>0</v>
      </c>
      <c r="K346" s="1425" t="str">
        <f>'PLAN INDICATIVO'!K346</f>
        <v>A.9.1.19</v>
      </c>
      <c r="L346" s="301" t="str">
        <f>'PLAN INDICATIVO'!L346</f>
        <v>11. Ciudades y comunidades sostenibles</v>
      </c>
      <c r="M346" s="301" t="str">
        <f>'PLAN INDICATIVO'!M346</f>
        <v>Secretaría de Obras Civiles</v>
      </c>
      <c r="N346" s="1425" t="str">
        <f>'PLAN INDICATIVO'!N346</f>
        <v>EDNUAR HIZNARDO RAMIREZ</v>
      </c>
      <c r="O346" s="1425" t="str">
        <f>'PLAN INDICATIVO'!O346</f>
        <v>Incremento</v>
      </c>
      <c r="P346" s="1198" t="str">
        <f>'PLAN INDICATIVO'!P346</f>
        <v>Realizar la construcción y/o mejoramiento de 85 obras de arte viales,  en el cuatrienio.</v>
      </c>
      <c r="Q346" s="302" t="str">
        <f>'PLAN INDICATIVO'!Q346</f>
        <v>No. de obras de arte construidas o mejoradas</v>
      </c>
      <c r="R346" s="303">
        <f>'PLAN INDICATIVO'!R346</f>
        <v>2015</v>
      </c>
      <c r="S346" s="304">
        <v>0</v>
      </c>
      <c r="T346" s="1299">
        <v>85</v>
      </c>
      <c r="U346" s="303">
        <v>20</v>
      </c>
      <c r="V346" s="687">
        <v>29000000</v>
      </c>
      <c r="W346" s="823">
        <v>12</v>
      </c>
      <c r="X346" s="687">
        <v>20000000</v>
      </c>
      <c r="Y346" s="1232">
        <v>5</v>
      </c>
      <c r="Z346" s="1233">
        <v>36000000</v>
      </c>
      <c r="AA346" s="1336">
        <f>T346-BW346</f>
        <v>39</v>
      </c>
      <c r="AB346" s="687">
        <v>21000000</v>
      </c>
      <c r="AC346" s="665">
        <v>30</v>
      </c>
      <c r="AD346" s="665">
        <v>13</v>
      </c>
      <c r="AE346" s="665">
        <v>3</v>
      </c>
      <c r="AF346" s="665"/>
      <c r="AG346" s="665"/>
      <c r="AH346" s="306" t="s">
        <v>3792</v>
      </c>
      <c r="AI346" s="307"/>
      <c r="AJ346" s="335">
        <v>43132</v>
      </c>
      <c r="AK346" s="335">
        <v>43281</v>
      </c>
      <c r="AL346" s="308"/>
      <c r="AM346" s="308"/>
      <c r="AN346" s="267" t="s">
        <v>2600</v>
      </c>
      <c r="AO346" s="507"/>
      <c r="AP346" s="525"/>
      <c r="AQ346" s="310"/>
      <c r="AR346" s="310"/>
      <c r="AS346" s="310"/>
      <c r="AT346" s="310"/>
      <c r="AU346" s="310"/>
      <c r="AV346" s="310"/>
      <c r="AW346" s="544">
        <f t="shared" si="210"/>
        <v>0</v>
      </c>
      <c r="AX346" s="525"/>
      <c r="AY346" s="310"/>
      <c r="AZ346" s="310"/>
      <c r="BA346" s="310"/>
      <c r="BB346" s="310"/>
      <c r="BC346" s="310"/>
      <c r="BD346" s="310"/>
      <c r="BE346" s="544">
        <f t="shared" si="211"/>
        <v>0</v>
      </c>
      <c r="BF346" s="525"/>
      <c r="BG346" s="310"/>
      <c r="BH346" s="310"/>
      <c r="BI346" s="310"/>
      <c r="BJ346" s="310"/>
      <c r="BK346" s="310"/>
      <c r="BL346" s="310"/>
      <c r="BM346" s="544">
        <f t="shared" si="212"/>
        <v>0</v>
      </c>
      <c r="BN346" s="525"/>
      <c r="BO346" s="310"/>
      <c r="BP346" s="310"/>
      <c r="BQ346" s="310"/>
      <c r="BR346" s="310"/>
      <c r="BS346" s="310"/>
      <c r="BT346" s="310"/>
      <c r="BU346" s="544">
        <f t="shared" si="213"/>
        <v>0</v>
      </c>
      <c r="BV346" s="556"/>
      <c r="BW346" s="663">
        <f t="shared" si="209"/>
        <v>46</v>
      </c>
      <c r="BX346" s="1047">
        <f t="shared" si="214"/>
        <v>0.54117647058823526</v>
      </c>
      <c r="BY346" s="1047">
        <f t="shared" si="204"/>
        <v>1.5</v>
      </c>
      <c r="BZ346" s="1047">
        <f t="shared" si="205"/>
        <v>1.0833333333333333</v>
      </c>
      <c r="CA346" s="1047">
        <f t="shared" si="206"/>
        <v>0.6</v>
      </c>
      <c r="CB346" s="1047">
        <f t="shared" si="207"/>
        <v>0</v>
      </c>
      <c r="CD346" t="str">
        <f t="shared" si="208"/>
        <v>VE</v>
      </c>
      <c r="CE346" t="str">
        <f t="shared" si="208"/>
        <v>VE</v>
      </c>
      <c r="CF346" t="str">
        <f t="shared" si="208"/>
        <v>AMB</v>
      </c>
      <c r="CG346" t="str">
        <f t="shared" si="208"/>
        <v>ROB</v>
      </c>
    </row>
    <row r="347" spans="1:85" ht="59.25" hidden="1" customHeight="1" x14ac:dyDescent="0.25">
      <c r="A347" s="298" t="s">
        <v>2458</v>
      </c>
      <c r="B347" s="299" t="str">
        <f>'PLAN INDICATIVO'!B347</f>
        <v>Transporte</v>
      </c>
      <c r="C347" s="1547"/>
      <c r="D347" s="1551"/>
      <c r="E347" s="1551"/>
      <c r="F347" s="1551"/>
      <c r="G347" s="1551"/>
      <c r="H347" s="1551"/>
      <c r="I347" s="1425" t="str">
        <f>'PLAN INDICATIVO'!I347</f>
        <v>SI</v>
      </c>
      <c r="J347" s="1425">
        <f>'PLAN INDICATIVO'!J347</f>
        <v>0</v>
      </c>
      <c r="K347" s="1425" t="str">
        <f>'PLAN INDICATIVO'!K347</f>
        <v>A.9.1.20</v>
      </c>
      <c r="L347" s="301" t="str">
        <f>'PLAN INDICATIVO'!L347</f>
        <v>11. Ciudades y comunidades sostenibles</v>
      </c>
      <c r="M347" s="301" t="str">
        <f>'PLAN INDICATIVO'!M347</f>
        <v>Secretaría de Obras Civiles</v>
      </c>
      <c r="N347" s="1425" t="str">
        <f>'PLAN INDICATIVO'!N347</f>
        <v>EDNUAR HIZNARDO RAMIREZ</v>
      </c>
      <c r="O347" s="1425" t="str">
        <f>'PLAN INDICATIVO'!O347</f>
        <v>Incremento</v>
      </c>
      <c r="P347" s="1198" t="str">
        <f>'PLAN INDICATIVO'!P347</f>
        <v>Realizar la construcción y/o mejoramiento de  6  puentes vehiculares.</v>
      </c>
      <c r="Q347" s="302" t="str">
        <f>'PLAN INDICATIVO'!Q347</f>
        <v>No. de puentes vehiculares construidos</v>
      </c>
      <c r="R347" s="303">
        <f>'PLAN INDICATIVO'!R347</f>
        <v>2015</v>
      </c>
      <c r="S347" s="304">
        <v>0</v>
      </c>
      <c r="T347" s="498">
        <v>6</v>
      </c>
      <c r="U347" s="303">
        <v>2</v>
      </c>
      <c r="V347" s="687">
        <v>60000000</v>
      </c>
      <c r="W347" s="572">
        <v>1</v>
      </c>
      <c r="X347" s="687">
        <v>55000000</v>
      </c>
      <c r="Y347" s="572">
        <v>1</v>
      </c>
      <c r="Z347" s="687">
        <v>100000000</v>
      </c>
      <c r="AA347" s="1310"/>
      <c r="AB347" s="687">
        <v>45000000</v>
      </c>
      <c r="AC347" s="665">
        <v>0</v>
      </c>
      <c r="AD347" s="665">
        <v>3</v>
      </c>
      <c r="AE347" s="665">
        <v>3</v>
      </c>
      <c r="AF347" s="665"/>
      <c r="AG347" s="665"/>
      <c r="AH347" s="306" t="s">
        <v>3792</v>
      </c>
      <c r="AI347" s="307" t="s">
        <v>4296</v>
      </c>
      <c r="AJ347" s="335">
        <v>43132</v>
      </c>
      <c r="AK347" s="335">
        <v>43281</v>
      </c>
      <c r="AL347" s="308"/>
      <c r="AM347" s="308"/>
      <c r="AN347" s="267" t="s">
        <v>2598</v>
      </c>
      <c r="AO347" s="507" t="s">
        <v>4297</v>
      </c>
      <c r="AP347" s="525">
        <f>10537121+13406056+56558220+1288599+9703334+10146666+586825+802218</f>
        <v>103029039</v>
      </c>
      <c r="AQ347" s="310">
        <f>12797629+26209194+37050000+127000000+200000+130064886+15649252+18000000</f>
        <v>366970961</v>
      </c>
      <c r="AR347" s="310"/>
      <c r="AS347" s="310"/>
      <c r="AT347" s="310"/>
      <c r="AU347" s="310">
        <v>1718278032</v>
      </c>
      <c r="AV347" s="310"/>
      <c r="AW347" s="544">
        <f>SUM(AP347:AV347)</f>
        <v>2188278032</v>
      </c>
      <c r="AX347" s="525"/>
      <c r="AY347" s="310"/>
      <c r="AZ347" s="310"/>
      <c r="BA347" s="310"/>
      <c r="BB347" s="310"/>
      <c r="BC347" s="310"/>
      <c r="BD347" s="310"/>
      <c r="BE347" s="544">
        <f t="shared" si="211"/>
        <v>0</v>
      </c>
      <c r="BF347" s="525">
        <f>10537121+13406056+56558220+1288599+9703334+10146666+586825+802218</f>
        <v>103029039</v>
      </c>
      <c r="BG347" s="310">
        <f>12797629+26209194+37050000+127000000+200000+130064886+15649252+18000000</f>
        <v>366970961</v>
      </c>
      <c r="BH347" s="310"/>
      <c r="BI347" s="310"/>
      <c r="BJ347" s="310"/>
      <c r="BK347" s="310">
        <v>1718278032</v>
      </c>
      <c r="BL347" s="310"/>
      <c r="BM347" s="544">
        <f>SUM(BF347:BL347)</f>
        <v>2188278032</v>
      </c>
      <c r="BN347" s="525"/>
      <c r="BO347" s="310"/>
      <c r="BP347" s="310"/>
      <c r="BQ347" s="310"/>
      <c r="BR347" s="310"/>
      <c r="BS347" s="310"/>
      <c r="BT347" s="310"/>
      <c r="BU347" s="544">
        <f t="shared" si="213"/>
        <v>0</v>
      </c>
      <c r="BV347" s="556"/>
      <c r="BW347" s="663">
        <f t="shared" si="209"/>
        <v>6</v>
      </c>
      <c r="BX347" s="1047">
        <f t="shared" si="214"/>
        <v>1</v>
      </c>
      <c r="BY347" s="1047">
        <f t="shared" si="204"/>
        <v>0</v>
      </c>
      <c r="BZ347" s="1047">
        <f t="shared" si="205"/>
        <v>3</v>
      </c>
      <c r="CA347" s="1047">
        <f t="shared" si="206"/>
        <v>3</v>
      </c>
      <c r="CB347" s="1047" t="str">
        <f t="shared" si="207"/>
        <v>No Programada</v>
      </c>
      <c r="CD347" t="str">
        <f t="shared" si="208"/>
        <v>ROB</v>
      </c>
      <c r="CE347" t="str">
        <f t="shared" si="208"/>
        <v>VE</v>
      </c>
      <c r="CF347" t="str">
        <f t="shared" si="208"/>
        <v>VE</v>
      </c>
      <c r="CG347" t="str">
        <f t="shared" si="208"/>
        <v>NP</v>
      </c>
    </row>
    <row r="348" spans="1:85" ht="72.75" hidden="1" customHeight="1" x14ac:dyDescent="0.25">
      <c r="A348" s="298" t="s">
        <v>2458</v>
      </c>
      <c r="B348" s="299" t="str">
        <f>'PLAN INDICATIVO'!B348</f>
        <v>Transporte</v>
      </c>
      <c r="C348" s="1548"/>
      <c r="D348" s="1552"/>
      <c r="E348" s="1552"/>
      <c r="F348" s="1552"/>
      <c r="G348" s="1552"/>
      <c r="H348" s="1552"/>
      <c r="I348" s="1425" t="str">
        <f>'PLAN INDICATIVO'!I348</f>
        <v>SI</v>
      </c>
      <c r="J348" s="1425">
        <f>'PLAN INDICATIVO'!J348</f>
        <v>0</v>
      </c>
      <c r="K348" s="1425" t="str">
        <f>'PLAN INDICATIVO'!K348</f>
        <v>A.9.1.21</v>
      </c>
      <c r="L348" s="301" t="str">
        <f>'PLAN INDICATIVO'!L348</f>
        <v>11. Ciudades y comunidades sostenibles</v>
      </c>
      <c r="M348" s="301" t="str">
        <f>'PLAN INDICATIVO'!M348</f>
        <v>Secretaría de Obras Civiles</v>
      </c>
      <c r="N348" s="1425" t="str">
        <f>'PLAN INDICATIVO'!N348</f>
        <v>EDNUAR HIZNARDO RAMIREZ</v>
      </c>
      <c r="O348" s="1425" t="str">
        <f>'PLAN INDICATIVO'!O348</f>
        <v>Incremento</v>
      </c>
      <c r="P348" s="1198" t="str">
        <f>'PLAN INDICATIVO'!P348</f>
        <v>Realizar apoyo institucional para la Construcción y/o ampliación  de  3.000 ml  de vías terciarias durante el cuatrienio.</v>
      </c>
      <c r="Q348" s="302" t="str">
        <f>'PLAN INDICATIVO'!Q348</f>
        <v>No. de metros lineales de vías terciarias construidas</v>
      </c>
      <c r="R348" s="303">
        <f>'PLAN INDICATIVO'!R348</f>
        <v>2015</v>
      </c>
      <c r="S348" s="304">
        <v>0</v>
      </c>
      <c r="T348" s="1299">
        <v>3000</v>
      </c>
      <c r="U348" s="815"/>
      <c r="V348" s="687">
        <v>51000000</v>
      </c>
      <c r="W348" s="572">
        <v>250</v>
      </c>
      <c r="X348" s="687">
        <v>50000000</v>
      </c>
      <c r="Y348" s="685"/>
      <c r="Z348" s="1295">
        <v>10000000</v>
      </c>
      <c r="AA348" s="1310">
        <f>T348-BW348</f>
        <v>-2250</v>
      </c>
      <c r="AB348" s="687">
        <v>35000000</v>
      </c>
      <c r="AC348" s="665">
        <v>1000</v>
      </c>
      <c r="AD348" s="665"/>
      <c r="AE348" s="665">
        <v>4250</v>
      </c>
      <c r="AF348" s="665"/>
      <c r="AG348" s="665"/>
      <c r="AH348" s="306" t="s">
        <v>3792</v>
      </c>
      <c r="AI348" s="266" t="s">
        <v>4298</v>
      </c>
      <c r="AJ348" s="335"/>
      <c r="AK348" s="335"/>
      <c r="AL348" s="308"/>
      <c r="AM348" s="308"/>
      <c r="AN348" s="267" t="s">
        <v>2594</v>
      </c>
      <c r="AO348" s="507"/>
      <c r="AP348" s="525"/>
      <c r="AQ348" s="310"/>
      <c r="AR348" s="310"/>
      <c r="AS348" s="310"/>
      <c r="AT348" s="310"/>
      <c r="AU348" s="310"/>
      <c r="AV348" s="310"/>
      <c r="AW348" s="544">
        <f t="shared" si="210"/>
        <v>0</v>
      </c>
      <c r="AX348" s="525"/>
      <c r="AY348" s="310"/>
      <c r="AZ348" s="310"/>
      <c r="BA348" s="310"/>
      <c r="BB348" s="310"/>
      <c r="BC348" s="310"/>
      <c r="BD348" s="310"/>
      <c r="BE348" s="544">
        <f t="shared" si="211"/>
        <v>0</v>
      </c>
      <c r="BF348" s="525"/>
      <c r="BG348" s="310"/>
      <c r="BH348" s="310"/>
      <c r="BI348" s="310"/>
      <c r="BJ348" s="310"/>
      <c r="BK348" s="310"/>
      <c r="BL348" s="310"/>
      <c r="BM348" s="544">
        <f t="shared" si="212"/>
        <v>0</v>
      </c>
      <c r="BN348" s="525"/>
      <c r="BO348" s="310"/>
      <c r="BP348" s="310"/>
      <c r="BQ348" s="310"/>
      <c r="BR348" s="310"/>
      <c r="BS348" s="310"/>
      <c r="BT348" s="310"/>
      <c r="BU348" s="544">
        <f t="shared" si="213"/>
        <v>0</v>
      </c>
      <c r="BV348" s="556"/>
      <c r="BW348" s="663">
        <f t="shared" si="209"/>
        <v>5250</v>
      </c>
      <c r="BX348" s="1047">
        <f t="shared" si="214"/>
        <v>1.75</v>
      </c>
      <c r="BY348" s="1047" t="str">
        <f t="shared" si="204"/>
        <v>No Programada</v>
      </c>
      <c r="BZ348" s="1047">
        <f t="shared" si="205"/>
        <v>0</v>
      </c>
      <c r="CA348" s="1047" t="str">
        <f t="shared" si="206"/>
        <v>No Programada</v>
      </c>
      <c r="CB348" s="1047" t="str">
        <f t="shared" si="207"/>
        <v>Aplazada</v>
      </c>
      <c r="CD348" t="str">
        <f t="shared" si="208"/>
        <v>NP</v>
      </c>
      <c r="CE348" t="str">
        <f t="shared" si="208"/>
        <v>ROB</v>
      </c>
      <c r="CF348" t="str">
        <f t="shared" si="208"/>
        <v>NP</v>
      </c>
      <c r="CG348" t="str">
        <f t="shared" si="208"/>
        <v>AZ</v>
      </c>
    </row>
    <row r="349" spans="1:85" ht="36" hidden="1" customHeight="1" thickBot="1" x14ac:dyDescent="0.3">
      <c r="A349" s="428"/>
      <c r="B349" s="439" t="str">
        <f>'PLAN INDICATIVO'!B349</f>
        <v>Servicios Públicos</v>
      </c>
      <c r="C349" s="1636" t="s">
        <v>2948</v>
      </c>
      <c r="D349" s="1627"/>
      <c r="E349" s="1627"/>
      <c r="F349" s="1627"/>
      <c r="G349" s="1627"/>
      <c r="H349" s="1627"/>
      <c r="I349" s="1627"/>
      <c r="J349" s="1627"/>
      <c r="K349" s="1627"/>
      <c r="L349" s="1627"/>
      <c r="M349" s="1627"/>
      <c r="N349" s="1627"/>
      <c r="O349" s="1627"/>
      <c r="P349" s="1627"/>
      <c r="Q349" s="1627"/>
      <c r="R349" s="1627"/>
      <c r="S349" s="1627"/>
      <c r="T349" s="1627"/>
      <c r="U349" s="1627"/>
      <c r="V349" s="1627"/>
      <c r="W349" s="1627"/>
      <c r="X349" s="1627"/>
      <c r="Y349" s="1627"/>
      <c r="Z349" s="1627"/>
      <c r="AA349" s="1627"/>
      <c r="AB349" s="1627"/>
      <c r="AC349" s="1627"/>
      <c r="AD349" s="1627"/>
      <c r="AE349" s="1627"/>
      <c r="AF349" s="1627"/>
      <c r="AG349" s="1627"/>
      <c r="AH349" s="1627"/>
      <c r="AI349" s="1627"/>
      <c r="AJ349" s="1627"/>
      <c r="AK349" s="1627"/>
      <c r="AL349" s="1627"/>
      <c r="AM349" s="1628"/>
      <c r="AN349" s="435"/>
      <c r="AO349" s="506"/>
      <c r="AP349" s="524"/>
      <c r="AQ349" s="374"/>
      <c r="AR349" s="374"/>
      <c r="AS349" s="374"/>
      <c r="AT349" s="374"/>
      <c r="AU349" s="374"/>
      <c r="AV349" s="374"/>
      <c r="AW349" s="544"/>
      <c r="AX349" s="524"/>
      <c r="AY349" s="374"/>
      <c r="AZ349" s="374"/>
      <c r="BA349" s="374"/>
      <c r="BB349" s="374"/>
      <c r="BC349" s="374"/>
      <c r="BD349" s="374"/>
      <c r="BE349" s="544">
        <f t="shared" si="211"/>
        <v>0</v>
      </c>
      <c r="BF349" s="524"/>
      <c r="BG349" s="374"/>
      <c r="BH349" s="374"/>
      <c r="BI349" s="374"/>
      <c r="BJ349" s="374"/>
      <c r="BK349" s="374"/>
      <c r="BL349" s="374"/>
      <c r="BM349" s="544">
        <f t="shared" ref="BM349:BM400" si="215">SUM(BF349:BL349)</f>
        <v>0</v>
      </c>
      <c r="BN349" s="524"/>
      <c r="BO349" s="374"/>
      <c r="BP349" s="374"/>
      <c r="BQ349" s="374"/>
      <c r="BR349" s="374"/>
      <c r="BS349" s="374"/>
      <c r="BT349" s="374"/>
      <c r="BU349" s="542">
        <f t="shared" si="213"/>
        <v>0</v>
      </c>
      <c r="BV349" s="620"/>
      <c r="BW349" s="620" t="s">
        <v>2717</v>
      </c>
      <c r="BX349" s="620" t="s">
        <v>2717</v>
      </c>
      <c r="BY349" s="620" t="s">
        <v>2717</v>
      </c>
      <c r="BZ349" s="620" t="s">
        <v>2717</v>
      </c>
      <c r="CA349" s="620" t="s">
        <v>2717</v>
      </c>
      <c r="CB349" s="620" t="s">
        <v>2717</v>
      </c>
    </row>
    <row r="350" spans="1:85" ht="15.75" hidden="1" customHeight="1" x14ac:dyDescent="0.25">
      <c r="A350" s="296"/>
      <c r="B350" s="331" t="str">
        <f>'PLAN INDICATIVO'!B350</f>
        <v>Otros Servicios Públicos</v>
      </c>
      <c r="C350" s="1605" t="s">
        <v>1072</v>
      </c>
      <c r="D350" s="1606"/>
      <c r="E350" s="1606"/>
      <c r="F350" s="1606"/>
      <c r="G350" s="1606"/>
      <c r="H350" s="1606"/>
      <c r="I350" s="1606"/>
      <c r="J350" s="1606"/>
      <c r="K350" s="1606"/>
      <c r="L350" s="1606"/>
      <c r="M350" s="1606"/>
      <c r="N350" s="1606"/>
      <c r="O350" s="1607"/>
      <c r="P350" s="318"/>
      <c r="Q350" s="318"/>
      <c r="R350" s="317"/>
      <c r="S350" s="319"/>
      <c r="T350" s="676"/>
      <c r="U350" s="319"/>
      <c r="V350" s="695">
        <f>SUM(V351:V352)</f>
        <v>1048500000</v>
      </c>
      <c r="W350" s="319"/>
      <c r="X350" s="695">
        <f>SUM(X351:X352)</f>
        <v>752000000</v>
      </c>
      <c r="Y350" s="319"/>
      <c r="Z350" s="695">
        <f>SUM(Z351:Z352)</f>
        <v>759540000</v>
      </c>
      <c r="AA350" s="320"/>
      <c r="AB350" s="708">
        <f>SUM(AB351:AB352)</f>
        <v>1297660000</v>
      </c>
      <c r="AC350" s="320"/>
      <c r="AD350" s="320"/>
      <c r="AE350" s="320"/>
      <c r="AF350" s="320"/>
      <c r="AG350" s="321"/>
      <c r="AH350" s="321"/>
      <c r="AI350" s="321"/>
      <c r="AJ350" s="320"/>
      <c r="AK350" s="320"/>
      <c r="AL350" s="320"/>
      <c r="AM350" s="320"/>
      <c r="AN350" s="262"/>
      <c r="AO350" s="612"/>
      <c r="AP350" s="616"/>
      <c r="AQ350" s="616"/>
      <c r="AR350" s="616"/>
      <c r="AS350" s="616"/>
      <c r="AT350" s="616"/>
      <c r="AU350" s="616"/>
      <c r="AV350" s="616"/>
      <c r="AW350" s="617"/>
      <c r="AX350" s="616" t="e">
        <f>(AX351:AX352)</f>
        <v>#VALUE!</v>
      </c>
      <c r="AY350" s="616" t="e">
        <f t="shared" ref="AY350:BD350" si="216">(AY351:AY352)</f>
        <v>#VALUE!</v>
      </c>
      <c r="AZ350" s="616" t="e">
        <f t="shared" si="216"/>
        <v>#VALUE!</v>
      </c>
      <c r="BA350" s="616" t="e">
        <f t="shared" si="216"/>
        <v>#VALUE!</v>
      </c>
      <c r="BB350" s="616" t="e">
        <f t="shared" si="216"/>
        <v>#VALUE!</v>
      </c>
      <c r="BC350" s="616" t="e">
        <f t="shared" si="216"/>
        <v>#VALUE!</v>
      </c>
      <c r="BD350" s="616" t="e">
        <f t="shared" si="216"/>
        <v>#VALUE!</v>
      </c>
      <c r="BE350" s="617" t="e">
        <f t="shared" si="211"/>
        <v>#VALUE!</v>
      </c>
      <c r="BF350" s="616"/>
      <c r="BG350" s="616"/>
      <c r="BH350" s="616"/>
      <c r="BI350" s="616"/>
      <c r="BJ350" s="616"/>
      <c r="BK350" s="616"/>
      <c r="BL350" s="616"/>
      <c r="BM350" s="617">
        <f t="shared" si="215"/>
        <v>0</v>
      </c>
      <c r="BN350" s="616" t="e">
        <f>(BN351:BN352)</f>
        <v>#VALUE!</v>
      </c>
      <c r="BO350" s="616" t="e">
        <f t="shared" ref="BO350:BT350" si="217">(BO351:BO352)</f>
        <v>#VALUE!</v>
      </c>
      <c r="BP350" s="616" t="e">
        <f t="shared" si="217"/>
        <v>#VALUE!</v>
      </c>
      <c r="BQ350" s="616" t="e">
        <f t="shared" si="217"/>
        <v>#VALUE!</v>
      </c>
      <c r="BR350" s="616" t="e">
        <f t="shared" si="217"/>
        <v>#VALUE!</v>
      </c>
      <c r="BS350" s="616" t="e">
        <f t="shared" si="217"/>
        <v>#VALUE!</v>
      </c>
      <c r="BT350" s="616" t="e">
        <f t="shared" si="217"/>
        <v>#VALUE!</v>
      </c>
      <c r="BU350" s="617" t="e">
        <f t="shared" si="213"/>
        <v>#VALUE!</v>
      </c>
      <c r="BV350" s="651"/>
      <c r="BW350" s="617" t="s">
        <v>2717</v>
      </c>
      <c r="BX350" s="617" t="s">
        <v>2717</v>
      </c>
      <c r="BY350" s="617" t="s">
        <v>2717</v>
      </c>
      <c r="BZ350" s="617" t="s">
        <v>2717</v>
      </c>
      <c r="CA350" s="617" t="s">
        <v>2717</v>
      </c>
      <c r="CB350" s="1047" t="s">
        <v>2717</v>
      </c>
    </row>
    <row r="351" spans="1:85" ht="86.25" hidden="1" customHeight="1" x14ac:dyDescent="0.25">
      <c r="A351" s="298" t="s">
        <v>1073</v>
      </c>
      <c r="B351" s="299" t="str">
        <f>'PLAN INDICATIVO'!B351</f>
        <v>Otros Servicios Públicos</v>
      </c>
      <c r="C351" s="1429" t="s">
        <v>1074</v>
      </c>
      <c r="D351" s="1425" t="s">
        <v>1075</v>
      </c>
      <c r="E351" s="1425" t="s">
        <v>1076</v>
      </c>
      <c r="F351" s="1425">
        <v>2005</v>
      </c>
      <c r="G351" s="1425">
        <v>92.6</v>
      </c>
      <c r="H351" s="1425">
        <v>94</v>
      </c>
      <c r="I351" s="1425" t="str">
        <f>'PLAN INDICATIVO'!I351</f>
        <v>SI</v>
      </c>
      <c r="J351" s="1425">
        <f>'PLAN INDICATIVO'!J351</f>
        <v>0</v>
      </c>
      <c r="K351" s="1425" t="str">
        <f>'PLAN INDICATIVO'!K351</f>
        <v>A.6.1.1</v>
      </c>
      <c r="L351" s="301" t="str">
        <f>'PLAN INDICATIVO'!L351</f>
        <v>7. Energía Asequible y no contaminante</v>
      </c>
      <c r="M351" s="301" t="str">
        <f>'PLAN INDICATIVO'!M351</f>
        <v>Secretaría de Obras Civiles</v>
      </c>
      <c r="N351" s="1425" t="str">
        <f>'PLAN INDICATIVO'!N351</f>
        <v>EDNUAR HIZNARDO RAMIREZ</v>
      </c>
      <c r="O351" s="1425" t="str">
        <f>'PLAN INDICATIVO'!O351</f>
        <v>Incremento</v>
      </c>
      <c r="P351" s="25" t="str">
        <f>'PLAN INDICATIVO'!P351</f>
        <v>Aumentar la cobertura  en electrificación  a 300 nuevas familias, durante el cuatrienio.</v>
      </c>
      <c r="Q351" s="302" t="str">
        <f>'PLAN INDICATIVO'!Q351</f>
        <v>No. De familias beneficiadas con electrificación</v>
      </c>
      <c r="R351" s="303">
        <f>'PLAN INDICATIVO'!R351</f>
        <v>2015</v>
      </c>
      <c r="S351" s="304">
        <v>0</v>
      </c>
      <c r="T351" s="677">
        <v>300</v>
      </c>
      <c r="U351" s="303">
        <v>71</v>
      </c>
      <c r="V351" s="687">
        <v>398500000</v>
      </c>
      <c r="W351" s="66">
        <v>197</v>
      </c>
      <c r="X351" s="687">
        <v>46000000</v>
      </c>
      <c r="Y351" s="66">
        <v>57</v>
      </c>
      <c r="Z351" s="687">
        <v>56500000</v>
      </c>
      <c r="AA351" s="1310"/>
      <c r="AB351" s="687">
        <v>566500000</v>
      </c>
      <c r="AC351" s="665">
        <v>79</v>
      </c>
      <c r="AD351" s="665">
        <f>48+59</f>
        <v>107</v>
      </c>
      <c r="AE351" s="665">
        <f>197</f>
        <v>197</v>
      </c>
      <c r="AF351" s="665"/>
      <c r="AG351" s="665"/>
      <c r="AH351" s="306" t="s">
        <v>4299</v>
      </c>
      <c r="AI351" s="307" t="s">
        <v>4300</v>
      </c>
      <c r="AJ351" s="335"/>
      <c r="AK351" s="335"/>
      <c r="AL351" s="308"/>
      <c r="AM351" s="308"/>
      <c r="AN351" s="267" t="s">
        <v>2598</v>
      </c>
      <c r="AO351" s="507" t="s">
        <v>4301</v>
      </c>
      <c r="AP351" s="525"/>
      <c r="AQ351" s="310"/>
      <c r="AR351" s="310"/>
      <c r="AS351" s="310"/>
      <c r="AT351" s="310"/>
      <c r="AU351" s="310"/>
      <c r="AV351" s="310"/>
      <c r="AW351" s="544"/>
      <c r="AX351" s="525"/>
      <c r="AY351" s="310"/>
      <c r="AZ351" s="310"/>
      <c r="BA351" s="310"/>
      <c r="BB351" s="310"/>
      <c r="BC351" s="310"/>
      <c r="BD351" s="310"/>
      <c r="BE351" s="544">
        <f t="shared" si="211"/>
        <v>0</v>
      </c>
      <c r="BF351" s="525">
        <v>52000000</v>
      </c>
      <c r="BG351" s="310"/>
      <c r="BH351" s="310"/>
      <c r="BI351" s="310"/>
      <c r="BJ351" s="310"/>
      <c r="BK351" s="310">
        <v>209311095</v>
      </c>
      <c r="BL351" s="310"/>
      <c r="BM351" s="544">
        <f>SUM(BF351:BL351)</f>
        <v>261311095</v>
      </c>
      <c r="BN351" s="525"/>
      <c r="BO351" s="310"/>
      <c r="BP351" s="310"/>
      <c r="BQ351" s="310"/>
      <c r="BR351" s="310"/>
      <c r="BS351" s="310"/>
      <c r="BT351" s="310"/>
      <c r="BU351" s="544">
        <f t="shared" si="213"/>
        <v>0</v>
      </c>
      <c r="BV351" s="556"/>
      <c r="BW351" s="663">
        <f t="shared" si="209"/>
        <v>383</v>
      </c>
      <c r="BX351" s="1047">
        <f t="shared" si="214"/>
        <v>1.2766666666666666</v>
      </c>
      <c r="BY351" s="1047">
        <f>IF(U351&gt;=0.1,AC351/U351,IF(ISBLANK(U351),"No Programada","Aplazada"))</f>
        <v>1.1126760563380282</v>
      </c>
      <c r="BZ351" s="1047">
        <f>IF(W351&gt;=0.1,AD351/W351,IF(ISBLANK(W351),"No Programada","Aplazada"))</f>
        <v>0.54314720812182737</v>
      </c>
      <c r="CA351" s="1047">
        <f>IF(Y351&gt;=0.1,AE351/Y351,IF(ISBLANK(Y351),"No Programada","Aplazada"))</f>
        <v>3.4561403508771931</v>
      </c>
      <c r="CB351" s="1047" t="str">
        <f>IF(AA351&gt;=0.1,AF351/AA351,IF(ISBLANK(AA351),"No Programada","Aplazada"))</f>
        <v>No Programada</v>
      </c>
      <c r="CD351" t="str">
        <f t="shared" ref="CD351:CG352" si="218">IF(BY351="PARA MODIFICAR","M",IF(BY351="PARA ELIMINAR","E",IF(BY351="aplazada","AZ",IF(BY351="no programada","NP",IF(BY351&gt;=85%,"VE",IF(BY351&gt;70%,"VEB",IF(BY351&gt;60%,"AM",IF(BY351&gt;40%,"AMB",IF(BY351&gt;20%,"RO",IF(BY351&gt;=0%,"ROB",""))))))))))</f>
        <v>VE</v>
      </c>
      <c r="CE351" t="str">
        <f t="shared" si="218"/>
        <v>AMB</v>
      </c>
      <c r="CF351" t="str">
        <f t="shared" si="218"/>
        <v>VE</v>
      </c>
      <c r="CG351" t="str">
        <f t="shared" si="218"/>
        <v>NP</v>
      </c>
    </row>
    <row r="352" spans="1:85" ht="90.75" hidden="1" customHeight="1" x14ac:dyDescent="0.25">
      <c r="A352" s="298" t="s">
        <v>1073</v>
      </c>
      <c r="B352" s="299" t="str">
        <f>'PLAN INDICATIVO'!B352</f>
        <v>Otros Servicios Públicos</v>
      </c>
      <c r="C352" s="1429" t="s">
        <v>1081</v>
      </c>
      <c r="D352" s="1425" t="s">
        <v>1082</v>
      </c>
      <c r="E352" s="1425" t="s">
        <v>1083</v>
      </c>
      <c r="F352" s="1425">
        <v>2005</v>
      </c>
      <c r="G352" s="1425">
        <v>95</v>
      </c>
      <c r="H352" s="1425">
        <v>95</v>
      </c>
      <c r="I352" s="300">
        <f>'PLAN INDICATIVO'!I352</f>
        <v>0</v>
      </c>
      <c r="J352" s="300">
        <f>'PLAN INDICATIVO'!J352</f>
        <v>0</v>
      </c>
      <c r="K352" s="1425" t="str">
        <f>'PLAN INDICATIVO'!K352</f>
        <v>A.6.2.1</v>
      </c>
      <c r="L352" s="301" t="str">
        <f>'PLAN INDICATIVO'!L352</f>
        <v>7. Energía Asequible y no contaminante</v>
      </c>
      <c r="M352" s="301" t="str">
        <f>'PLAN INDICATIVO'!M352</f>
        <v>Secretaría de Obras Civiles</v>
      </c>
      <c r="N352" s="1425" t="str">
        <f>'PLAN INDICATIVO'!N352</f>
        <v>EDNUAR HIZNARDO RAMIREZ</v>
      </c>
      <c r="O352" s="1425" t="str">
        <f>'PLAN INDICATIVO'!O352</f>
        <v>Mantenimiento</v>
      </c>
      <c r="P352" s="16" t="str">
        <f>'PLAN INDICATIVO'!P352</f>
        <v>Implementar  1 programa de mantenimiento y/o ampliación anual al sistema de alumbrado público.</v>
      </c>
      <c r="Q352" s="302" t="str">
        <f>'PLAN INDICATIVO'!Q352</f>
        <v>No. de mantenimientos implementados por año</v>
      </c>
      <c r="R352" s="303">
        <f>'PLAN INDICATIVO'!R352</f>
        <v>2015</v>
      </c>
      <c r="S352" s="304">
        <v>0</v>
      </c>
      <c r="T352" s="677">
        <v>1</v>
      </c>
      <c r="U352" s="303">
        <v>0.25</v>
      </c>
      <c r="V352" s="687">
        <v>650000000</v>
      </c>
      <c r="W352" s="303">
        <v>0.25</v>
      </c>
      <c r="X352" s="687">
        <v>706000000</v>
      </c>
      <c r="Y352" s="303">
        <v>0.25</v>
      </c>
      <c r="Z352" s="687">
        <v>703040000</v>
      </c>
      <c r="AA352" s="291">
        <v>0.25</v>
      </c>
      <c r="AB352" s="687">
        <v>731160000</v>
      </c>
      <c r="AC352" s="665">
        <v>0.25</v>
      </c>
      <c r="AD352" s="665">
        <v>0.25</v>
      </c>
      <c r="AE352" s="665">
        <v>1</v>
      </c>
      <c r="AF352" s="665"/>
      <c r="AG352" s="665"/>
      <c r="AH352" s="306" t="s">
        <v>4299</v>
      </c>
      <c r="AI352" s="307" t="s">
        <v>4302</v>
      </c>
      <c r="AJ352" s="335">
        <v>43132</v>
      </c>
      <c r="AK352" s="335">
        <v>43281</v>
      </c>
      <c r="AL352" s="308"/>
      <c r="AM352" s="308"/>
      <c r="AN352" s="267" t="s">
        <v>2598</v>
      </c>
      <c r="AO352" s="515"/>
      <c r="AP352" s="525"/>
      <c r="AQ352" s="310"/>
      <c r="AR352" s="310"/>
      <c r="AS352" s="310"/>
      <c r="AT352" s="310"/>
      <c r="AU352" s="310"/>
      <c r="AV352" s="310"/>
      <c r="AW352" s="544"/>
      <c r="AX352" s="525"/>
      <c r="AY352" s="310"/>
      <c r="AZ352" s="310"/>
      <c r="BA352" s="310"/>
      <c r="BB352" s="310"/>
      <c r="BC352" s="310"/>
      <c r="BD352" s="310"/>
      <c r="BE352" s="544">
        <f t="shared" si="211"/>
        <v>0</v>
      </c>
      <c r="BF352" s="525"/>
      <c r="BG352" s="310"/>
      <c r="BH352" s="310"/>
      <c r="BI352" s="310"/>
      <c r="BJ352" s="310"/>
      <c r="BK352" s="310"/>
      <c r="BL352" s="310"/>
      <c r="BM352" s="544">
        <f>SUM(BF352:BL352)</f>
        <v>0</v>
      </c>
      <c r="BN352" s="525"/>
      <c r="BO352" s="310"/>
      <c r="BP352" s="310"/>
      <c r="BQ352" s="310"/>
      <c r="BR352" s="310"/>
      <c r="BS352" s="310"/>
      <c r="BT352" s="310"/>
      <c r="BU352" s="544">
        <f t="shared" si="213"/>
        <v>0</v>
      </c>
      <c r="BV352" s="556"/>
      <c r="BW352" s="663">
        <f t="shared" si="209"/>
        <v>1.5</v>
      </c>
      <c r="BX352" s="1047">
        <f t="shared" si="214"/>
        <v>1.5</v>
      </c>
      <c r="BY352" s="1047">
        <f>IF(U352&gt;=0.1,AC352/U352,IF(ISBLANK(U352),"No Programada","Aplazada"))</f>
        <v>1</v>
      </c>
      <c r="BZ352" s="1047">
        <f>IF(W352&gt;=0.1,AD352/W352,IF(ISBLANK(W352),"No Programada","Aplazada"))</f>
        <v>1</v>
      </c>
      <c r="CA352" s="1047">
        <f>IF(Y352&gt;=0.1,AE352/Y352,IF(ISBLANK(Y352),"No Programada","Aplazada"))</f>
        <v>4</v>
      </c>
      <c r="CB352" s="1047">
        <f>IF(AA352&gt;=0.1,AF352/AA352,IF(ISBLANK(AA352),"No Programada","Aplazada"))</f>
        <v>0</v>
      </c>
      <c r="CD352" t="str">
        <f t="shared" si="218"/>
        <v>VE</v>
      </c>
      <c r="CE352" t="str">
        <f t="shared" si="218"/>
        <v>VE</v>
      </c>
      <c r="CF352" t="str">
        <f t="shared" si="218"/>
        <v>VE</v>
      </c>
      <c r="CG352" t="str">
        <f t="shared" si="218"/>
        <v>ROB</v>
      </c>
    </row>
    <row r="353" spans="1:85" ht="16.5" hidden="1" customHeight="1" x14ac:dyDescent="0.25">
      <c r="A353" s="295"/>
      <c r="B353" s="24" t="str">
        <f>'PLAN INDICATIVO'!B353</f>
        <v>Otros Servicios Públicos</v>
      </c>
      <c r="C353" s="1574" t="s">
        <v>1087</v>
      </c>
      <c r="D353" s="1575"/>
      <c r="E353" s="1575"/>
      <c r="F353" s="1575"/>
      <c r="G353" s="1575"/>
      <c r="H353" s="1575"/>
      <c r="I353" s="1575"/>
      <c r="J353" s="1575"/>
      <c r="K353" s="1575"/>
      <c r="L353" s="1575"/>
      <c r="M353" s="1575"/>
      <c r="N353" s="1575"/>
      <c r="O353" s="1576"/>
      <c r="P353" s="22"/>
      <c r="Q353" s="22"/>
      <c r="R353" s="1"/>
      <c r="S353" s="261"/>
      <c r="T353" s="681"/>
      <c r="U353" s="261"/>
      <c r="V353" s="261"/>
      <c r="W353" s="261"/>
      <c r="X353" s="707">
        <v>14900000000</v>
      </c>
      <c r="Y353" s="261"/>
      <c r="Z353" s="261"/>
      <c r="AA353" s="262"/>
      <c r="AB353" s="262"/>
      <c r="AC353" s="262"/>
      <c r="AD353" s="262"/>
      <c r="AE353" s="262"/>
      <c r="AF353" s="262"/>
      <c r="AG353" s="262"/>
      <c r="AH353" s="262"/>
      <c r="AI353" s="262"/>
      <c r="AJ353" s="262"/>
      <c r="AK353" s="262"/>
      <c r="AL353" s="262"/>
      <c r="AM353" s="262"/>
      <c r="AN353" s="262"/>
      <c r="AO353" s="262"/>
      <c r="AP353" s="262"/>
      <c r="AQ353" s="262"/>
      <c r="AR353" s="262"/>
      <c r="AS353" s="262"/>
      <c r="AT353" s="262"/>
      <c r="AU353" s="262"/>
      <c r="AV353" s="262"/>
      <c r="AW353" s="262"/>
      <c r="AX353" s="262">
        <f>(AX354)</f>
        <v>0</v>
      </c>
      <c r="AY353" s="262"/>
      <c r="AZ353" s="262"/>
      <c r="BA353" s="262"/>
      <c r="BB353" s="262"/>
      <c r="BC353" s="262"/>
      <c r="BD353" s="262"/>
      <c r="BE353" s="262">
        <f t="shared" si="211"/>
        <v>0</v>
      </c>
      <c r="BF353" s="262"/>
      <c r="BG353" s="262"/>
      <c r="BH353" s="262"/>
      <c r="BI353" s="262"/>
      <c r="BJ353" s="262"/>
      <c r="BK353" s="262"/>
      <c r="BL353" s="262"/>
      <c r="BM353" s="262">
        <f t="shared" si="215"/>
        <v>0</v>
      </c>
      <c r="BN353" s="262">
        <f>(BN354)</f>
        <v>0</v>
      </c>
      <c r="BO353" s="262"/>
      <c r="BP353" s="262"/>
      <c r="BQ353" s="262"/>
      <c r="BR353" s="262"/>
      <c r="BS353" s="262"/>
      <c r="BT353" s="262"/>
      <c r="BU353" s="262">
        <f t="shared" si="213"/>
        <v>0</v>
      </c>
      <c r="BV353" s="262"/>
      <c r="BW353" s="663" t="s">
        <v>2717</v>
      </c>
      <c r="BX353" s="262" t="s">
        <v>2717</v>
      </c>
      <c r="BY353" s="262" t="s">
        <v>2717</v>
      </c>
      <c r="BZ353" s="262" t="s">
        <v>2717</v>
      </c>
      <c r="CA353" s="262" t="s">
        <v>2717</v>
      </c>
      <c r="CB353" s="262" t="s">
        <v>2717</v>
      </c>
    </row>
    <row r="354" spans="1:85" ht="85.5" hidden="1" customHeight="1" x14ac:dyDescent="0.25">
      <c r="A354" s="393" t="s">
        <v>2464</v>
      </c>
      <c r="B354" s="394" t="str">
        <f>'PLAN INDICATIVO'!B354</f>
        <v>Otros Servicios Públicos</v>
      </c>
      <c r="C354" s="1423" t="s">
        <v>1088</v>
      </c>
      <c r="D354" s="1426" t="s">
        <v>1089</v>
      </c>
      <c r="E354" s="1426" t="s">
        <v>1090</v>
      </c>
      <c r="F354" s="1426">
        <v>2005</v>
      </c>
      <c r="G354" s="1426">
        <v>87.9</v>
      </c>
      <c r="H354" s="1426">
        <v>90</v>
      </c>
      <c r="I354" s="1426" t="str">
        <f>'PLAN INDICATIVO'!I354</f>
        <v>SI</v>
      </c>
      <c r="J354" s="1426">
        <f>'PLAN INDICATIVO'!J354</f>
        <v>0</v>
      </c>
      <c r="K354" s="1426" t="str">
        <f>'PLAN INDICATIVO'!K354</f>
        <v>A.6.3.1</v>
      </c>
      <c r="L354" s="396" t="str">
        <f>'PLAN INDICATIVO'!L354</f>
        <v>7. Energía Asequible y no contaminante</v>
      </c>
      <c r="M354" s="396" t="str">
        <f>'PLAN INDICATIVO'!M354</f>
        <v>Secretaría de Obras Civiles</v>
      </c>
      <c r="N354" s="1425" t="str">
        <f>'PLAN INDICATIVO'!N354</f>
        <v>EDNUAR HIZNARDO RAMIREZ</v>
      </c>
      <c r="O354" s="1426" t="str">
        <f>'PLAN INDICATIVO'!O354</f>
        <v>Incremento</v>
      </c>
      <c r="P354" s="866" t="str">
        <f>'PLAN INDICATIVO'!P354</f>
        <v>Aumentar la cobertura  en gasoducto a 500 nuevas familias del sector urbano y rural, durante el cuatrienio.</v>
      </c>
      <c r="Q354" s="350" t="str">
        <f>'PLAN INDICATIVO'!Q354</f>
        <v>No. De familias beneficiadas con Gasificación</v>
      </c>
      <c r="R354" s="397">
        <f>'PLAN INDICATIVO'!R354</f>
        <v>2015</v>
      </c>
      <c r="S354" s="1433">
        <v>0</v>
      </c>
      <c r="T354" s="682">
        <v>500</v>
      </c>
      <c r="U354" s="1433">
        <v>100</v>
      </c>
      <c r="V354" s="687"/>
      <c r="W354" s="1433">
        <v>100</v>
      </c>
      <c r="X354" s="687">
        <v>14900000</v>
      </c>
      <c r="Y354" s="1433">
        <v>200</v>
      </c>
      <c r="Z354" s="687">
        <v>6700000</v>
      </c>
      <c r="AA354" s="418">
        <v>500</v>
      </c>
      <c r="AB354" s="687">
        <v>800000000</v>
      </c>
      <c r="AC354" s="672">
        <v>0</v>
      </c>
      <c r="AD354" s="672">
        <v>0</v>
      </c>
      <c r="AE354" s="672">
        <v>0</v>
      </c>
      <c r="AF354" s="672"/>
      <c r="AG354" s="306" t="s">
        <v>4303</v>
      </c>
      <c r="AH354" s="991">
        <v>2018413960013</v>
      </c>
      <c r="AI354" s="426"/>
      <c r="AJ354" s="335">
        <v>43115</v>
      </c>
      <c r="AK354" s="309">
        <v>43464</v>
      </c>
      <c r="AL354" s="427"/>
      <c r="AM354" s="427"/>
      <c r="AN354" s="436" t="s">
        <v>2600</v>
      </c>
      <c r="AO354" s="516"/>
      <c r="AP354" s="525"/>
      <c r="AQ354" s="310"/>
      <c r="AR354" s="310"/>
      <c r="AS354" s="310"/>
      <c r="AT354" s="310"/>
      <c r="AU354" s="310"/>
      <c r="AV354" s="310"/>
      <c r="AW354" s="544"/>
      <c r="AX354" s="525"/>
      <c r="AY354" s="310"/>
      <c r="AZ354" s="310"/>
      <c r="BA354" s="310"/>
      <c r="BB354" s="310"/>
      <c r="BC354" s="310"/>
      <c r="BD354" s="310"/>
      <c r="BE354" s="544">
        <f t="shared" si="211"/>
        <v>0</v>
      </c>
      <c r="BF354" s="525"/>
      <c r="BG354" s="310"/>
      <c r="BH354" s="310"/>
      <c r="BI354" s="310"/>
      <c r="BJ354" s="310"/>
      <c r="BK354" s="310"/>
      <c r="BL354" s="310"/>
      <c r="BM354" s="544">
        <f t="shared" si="215"/>
        <v>0</v>
      </c>
      <c r="BN354" s="525"/>
      <c r="BO354" s="310"/>
      <c r="BP354" s="310"/>
      <c r="BQ354" s="310"/>
      <c r="BR354" s="310"/>
      <c r="BS354" s="310"/>
      <c r="BT354" s="310"/>
      <c r="BU354" s="544">
        <f t="shared" si="213"/>
        <v>0</v>
      </c>
      <c r="BV354" s="556"/>
      <c r="BW354" s="663">
        <f t="shared" si="209"/>
        <v>0</v>
      </c>
      <c r="BX354" s="1047">
        <f t="shared" si="214"/>
        <v>0</v>
      </c>
      <c r="BY354" s="1047">
        <f>IF(U354&gt;=0.1,AC354/U354,IF(ISBLANK(U354),"No Programada","Aplazada"))</f>
        <v>0</v>
      </c>
      <c r="BZ354" s="1047">
        <f>IF(W354&gt;=0.1,AD354/W354,IF(ISBLANK(W354),"No Programada","Aplazada"))</f>
        <v>0</v>
      </c>
      <c r="CA354" s="1047">
        <f>IF(X354&gt;=0.1,AE354/X354,IF(ISBLANK(X354),"No Programada","Aplazada"))</f>
        <v>0</v>
      </c>
      <c r="CB354" s="1047">
        <f>IF(AA354&gt;=0.1,AF354/AA354,IF(ISBLANK(AA354),"No Programada","Aplazada"))</f>
        <v>0</v>
      </c>
      <c r="CD354" t="str">
        <f>IF(BY354="PARA MODIFICAR","M",IF(BY354="PARA ELIMINAR","E",IF(BY354="aplazada","AZ",IF(BY354="no programada","NP",IF(BY354&gt;=85%,"VE",IF(BY354&gt;70%,"VEB",IF(BY354&gt;60%,"AM",IF(BY354&gt;40%,"AMB",IF(BY354&gt;20%,"RO",IF(BY354&gt;=0%,"ROB",""))))))))))</f>
        <v>ROB</v>
      </c>
      <c r="CE354" t="str">
        <f>IF(BZ354="PARA MODIFICAR","M",IF(BZ354="PARA ELIMINAR","E",IF(BZ354="aplazada","AZ",IF(BZ354="no programada","NP",IF(BZ354&gt;=85%,"VE",IF(BZ354&gt;70%,"VEB",IF(BZ354&gt;60%,"AM",IF(BZ354&gt;40%,"AMB",IF(BZ354&gt;20%,"RO",IF(BZ354&gt;=0%,"ROB",""))))))))))</f>
        <v>ROB</v>
      </c>
      <c r="CF354" t="str">
        <f>IF(CA354="PARA MODIFICAR","M",IF(CA354="PARA ELIMINAR","E",IF(CA354="aplazada","AZ",IF(CA354="no programada","NP",IF(CA354&gt;=85%,"VE",IF(CA354&gt;70%,"VEB",IF(CA354&gt;60%,"AM",IF(CA354&gt;40%,"AMB",IF(CA354&gt;20%,"RO",IF(CA354&gt;=0%,"ROB",""))))))))))</f>
        <v>ROB</v>
      </c>
      <c r="CG354" t="str">
        <f>IF(CB354="PARA MODIFICAR","M",IF(CB354="PARA ELIMINAR","E",IF(CB354="aplazada","AZ",IF(CB354="no programada","NP",IF(CB354&gt;=85%,"VE",IF(CB354&gt;70%,"VEB",IF(CB354&gt;60%,"AM",IF(CB354&gt;40%,"AMB",IF(CB354&gt;20%,"RO",IF(CB354&gt;=0%,"ROB",""))))))))))</f>
        <v>ROB</v>
      </c>
    </row>
    <row r="355" spans="1:85" ht="60.75" hidden="1" customHeight="1" thickBot="1" x14ac:dyDescent="0.3">
      <c r="A355" s="401"/>
      <c r="B355" s="405" t="str">
        <f>'PLAN INDICATIVO'!B355</f>
        <v>DIMENSIÓN INSTITUCIONAL</v>
      </c>
      <c r="C355" s="1632" t="s">
        <v>2952</v>
      </c>
      <c r="D355" s="1633"/>
      <c r="E355" s="1633"/>
      <c r="F355" s="1633"/>
      <c r="G355" s="1633"/>
      <c r="H355" s="1633"/>
      <c r="I355" s="1633"/>
      <c r="J355" s="1633"/>
      <c r="K355" s="1633"/>
      <c r="L355" s="1633"/>
      <c r="M355" s="1633"/>
      <c r="N355" s="1633"/>
      <c r="O355" s="1633"/>
      <c r="P355" s="1633"/>
      <c r="Q355" s="1633"/>
      <c r="R355" s="1633"/>
      <c r="S355" s="1633"/>
      <c r="T355" s="1633"/>
      <c r="U355" s="1633"/>
      <c r="V355" s="1633"/>
      <c r="W355" s="1633"/>
      <c r="X355" s="1633"/>
      <c r="Y355" s="1633"/>
      <c r="Z355" s="1633"/>
      <c r="AA355" s="1633"/>
      <c r="AB355" s="1633"/>
      <c r="AC355" s="1633"/>
      <c r="AD355" s="1633"/>
      <c r="AE355" s="1633"/>
      <c r="AF355" s="1633"/>
      <c r="AG355" s="1633"/>
      <c r="AH355" s="1633"/>
      <c r="AI355" s="1633"/>
      <c r="AJ355" s="1633"/>
      <c r="AK355" s="1633"/>
      <c r="AL355" s="1633"/>
      <c r="AM355" s="1634"/>
      <c r="AN355" s="662"/>
      <c r="AO355" s="641"/>
      <c r="AP355" s="632"/>
      <c r="AQ355" s="633"/>
      <c r="AR355" s="633"/>
      <c r="AS355" s="633"/>
      <c r="AT355" s="633"/>
      <c r="AU355" s="633"/>
      <c r="AV355" s="633"/>
      <c r="AW355" s="555"/>
      <c r="AX355" s="632"/>
      <c r="AY355" s="633"/>
      <c r="AZ355" s="633"/>
      <c r="BA355" s="633"/>
      <c r="BB355" s="633"/>
      <c r="BC355" s="633"/>
      <c r="BD355" s="633"/>
      <c r="BE355" s="555">
        <f t="shared" si="211"/>
        <v>0</v>
      </c>
      <c r="BF355" s="632"/>
      <c r="BG355" s="633"/>
      <c r="BH355" s="633"/>
      <c r="BI355" s="633"/>
      <c r="BJ355" s="633"/>
      <c r="BK355" s="633"/>
      <c r="BL355" s="633"/>
      <c r="BM355" s="555">
        <f t="shared" si="215"/>
        <v>0</v>
      </c>
      <c r="BN355" s="632"/>
      <c r="BO355" s="633"/>
      <c r="BP355" s="633"/>
      <c r="BQ355" s="633"/>
      <c r="BR355" s="633"/>
      <c r="BS355" s="633"/>
      <c r="BT355" s="633"/>
      <c r="BU355" s="555">
        <f t="shared" si="213"/>
        <v>0</v>
      </c>
      <c r="BV355" s="556"/>
      <c r="BW355" s="555" t="s">
        <v>2717</v>
      </c>
      <c r="BX355" s="555" t="s">
        <v>2717</v>
      </c>
      <c r="BY355" s="555" t="s">
        <v>2717</v>
      </c>
      <c r="BZ355" s="555" t="s">
        <v>2717</v>
      </c>
      <c r="CA355" s="555" t="s">
        <v>2717</v>
      </c>
      <c r="CB355" s="1260" t="s">
        <v>2717</v>
      </c>
    </row>
    <row r="356" spans="1:85" ht="23.25" hidden="1" customHeight="1" x14ac:dyDescent="0.25">
      <c r="A356" s="423"/>
      <c r="B356" s="293" t="str">
        <f>'PLAN INDICATIVO'!B356</f>
        <v xml:space="preserve">Equipamiento </v>
      </c>
      <c r="C356" s="1595" t="s">
        <v>2953</v>
      </c>
      <c r="D356" s="1596"/>
      <c r="E356" s="1596"/>
      <c r="F356" s="1596"/>
      <c r="G356" s="1596"/>
      <c r="H356" s="1596"/>
      <c r="I356" s="1596"/>
      <c r="J356" s="1596"/>
      <c r="K356" s="1596"/>
      <c r="L356" s="1596"/>
      <c r="M356" s="1596"/>
      <c r="N356" s="1596"/>
      <c r="O356" s="1596"/>
      <c r="P356" s="1596"/>
      <c r="Q356" s="1596"/>
      <c r="R356" s="1596"/>
      <c r="S356" s="1596"/>
      <c r="T356" s="1596"/>
      <c r="U356" s="1596"/>
      <c r="V356" s="1596"/>
      <c r="W356" s="1596"/>
      <c r="X356" s="1596"/>
      <c r="Y356" s="1596"/>
      <c r="Z356" s="1596"/>
      <c r="AA356" s="1596"/>
      <c r="AB356" s="1596"/>
      <c r="AC356" s="1596"/>
      <c r="AD356" s="1596"/>
      <c r="AE356" s="1596"/>
      <c r="AF356" s="1596"/>
      <c r="AG356" s="1597"/>
      <c r="AH356" s="1431"/>
      <c r="AI356" s="646"/>
      <c r="AJ356" s="294"/>
      <c r="AK356" s="294"/>
      <c r="AL356" s="294"/>
      <c r="AM356" s="294"/>
      <c r="AN356" s="294"/>
      <c r="AO356" s="505"/>
      <c r="AP356" s="541"/>
      <c r="AQ356" s="542"/>
      <c r="AR356" s="542"/>
      <c r="AS356" s="542"/>
      <c r="AT356" s="542"/>
      <c r="AU356" s="542"/>
      <c r="AV356" s="542"/>
      <c r="AW356" s="543"/>
      <c r="AX356" s="541"/>
      <c r="AY356" s="542"/>
      <c r="AZ356" s="542"/>
      <c r="BA356" s="542"/>
      <c r="BB356" s="542"/>
      <c r="BC356" s="542"/>
      <c r="BD356" s="542"/>
      <c r="BE356" s="543">
        <f t="shared" si="211"/>
        <v>0</v>
      </c>
      <c r="BF356" s="541"/>
      <c r="BG356" s="542"/>
      <c r="BH356" s="542"/>
      <c r="BI356" s="542"/>
      <c r="BJ356" s="542"/>
      <c r="BK356" s="542"/>
      <c r="BL356" s="542"/>
      <c r="BM356" s="543">
        <f t="shared" si="215"/>
        <v>0</v>
      </c>
      <c r="BN356" s="541"/>
      <c r="BO356" s="542"/>
      <c r="BP356" s="542"/>
      <c r="BQ356" s="542"/>
      <c r="BR356" s="542"/>
      <c r="BS356" s="542"/>
      <c r="BT356" s="542"/>
      <c r="BU356" s="543">
        <f t="shared" si="213"/>
        <v>0</v>
      </c>
      <c r="BV356" s="556"/>
      <c r="BW356" s="663" t="s">
        <v>2717</v>
      </c>
      <c r="BX356" s="543" t="s">
        <v>2717</v>
      </c>
      <c r="BY356" s="543" t="s">
        <v>2717</v>
      </c>
      <c r="BZ356" s="543" t="s">
        <v>2717</v>
      </c>
      <c r="CA356" s="543" t="s">
        <v>2717</v>
      </c>
      <c r="CB356" s="1047" t="s">
        <v>2717</v>
      </c>
    </row>
    <row r="357" spans="1:85" ht="16.5" hidden="1" customHeight="1" x14ac:dyDescent="0.25">
      <c r="A357" s="296"/>
      <c r="B357" s="24" t="str">
        <f>'PLAN INDICATIVO'!B357</f>
        <v xml:space="preserve">Equipamiento </v>
      </c>
      <c r="C357" s="1574" t="s">
        <v>1096</v>
      </c>
      <c r="D357" s="1575"/>
      <c r="E357" s="1575"/>
      <c r="F357" s="1575"/>
      <c r="G357" s="1575"/>
      <c r="H357" s="1575"/>
      <c r="I357" s="1575"/>
      <c r="J357" s="1575"/>
      <c r="K357" s="1575"/>
      <c r="L357" s="1575"/>
      <c r="M357" s="1575"/>
      <c r="N357" s="1575"/>
      <c r="O357" s="1576"/>
      <c r="P357" s="22"/>
      <c r="Q357" s="22"/>
      <c r="R357" s="1"/>
      <c r="S357" s="261"/>
      <c r="T357" s="681"/>
      <c r="U357" s="261"/>
      <c r="V357" s="689">
        <f>SUM(V358:V366)</f>
        <v>1833000000</v>
      </c>
      <c r="W357" s="261"/>
      <c r="X357" s="689">
        <f>SUM(X358:X366)</f>
        <v>1613000000</v>
      </c>
      <c r="Y357" s="261"/>
      <c r="Z357" s="689">
        <f>SUM(Z358:Z366)</f>
        <v>106900000</v>
      </c>
      <c r="AA357" s="262"/>
      <c r="AB357" s="690">
        <f>SUM(AB358:AB366)</f>
        <v>111000000</v>
      </c>
      <c r="AC357" s="262"/>
      <c r="AD357" s="262"/>
      <c r="AE357" s="262"/>
      <c r="AF357" s="262"/>
      <c r="AG357" s="263"/>
      <c r="AH357" s="263"/>
      <c r="AI357" s="263"/>
      <c r="AJ357" s="262"/>
      <c r="AK357" s="262"/>
      <c r="AL357" s="262"/>
      <c r="AM357" s="262"/>
      <c r="AN357" s="262"/>
      <c r="AO357" s="612"/>
      <c r="AP357" s="616"/>
      <c r="AQ357" s="616"/>
      <c r="AR357" s="616"/>
      <c r="AS357" s="616"/>
      <c r="AT357" s="616"/>
      <c r="AU357" s="616"/>
      <c r="AV357" s="616"/>
      <c r="AW357" s="617"/>
      <c r="AX357" s="616" t="e">
        <f>(AX358:AX366)</f>
        <v>#VALUE!</v>
      </c>
      <c r="AY357" s="616" t="e">
        <f t="shared" ref="AY357:BD357" si="219">(AY358:AY366)</f>
        <v>#VALUE!</v>
      </c>
      <c r="AZ357" s="616" t="e">
        <f t="shared" si="219"/>
        <v>#VALUE!</v>
      </c>
      <c r="BA357" s="616" t="e">
        <f t="shared" si="219"/>
        <v>#VALUE!</v>
      </c>
      <c r="BB357" s="616" t="e">
        <f t="shared" si="219"/>
        <v>#VALUE!</v>
      </c>
      <c r="BC357" s="616" t="e">
        <f t="shared" si="219"/>
        <v>#VALUE!</v>
      </c>
      <c r="BD357" s="616" t="e">
        <f t="shared" si="219"/>
        <v>#VALUE!</v>
      </c>
      <c r="BE357" s="617" t="e">
        <f t="shared" si="211"/>
        <v>#VALUE!</v>
      </c>
      <c r="BF357" s="616"/>
      <c r="BG357" s="616"/>
      <c r="BH357" s="616"/>
      <c r="BI357" s="616"/>
      <c r="BJ357" s="616"/>
      <c r="BK357" s="616"/>
      <c r="BL357" s="616"/>
      <c r="BM357" s="617">
        <f t="shared" si="215"/>
        <v>0</v>
      </c>
      <c r="BN357" s="616" t="e">
        <f>(BN358:BN366)</f>
        <v>#VALUE!</v>
      </c>
      <c r="BO357" s="616" t="e">
        <f t="shared" ref="BO357:BT357" si="220">(BO358:BO366)</f>
        <v>#VALUE!</v>
      </c>
      <c r="BP357" s="616" t="e">
        <f t="shared" si="220"/>
        <v>#VALUE!</v>
      </c>
      <c r="BQ357" s="616" t="e">
        <f t="shared" si="220"/>
        <v>#VALUE!</v>
      </c>
      <c r="BR357" s="616" t="e">
        <f t="shared" si="220"/>
        <v>#VALUE!</v>
      </c>
      <c r="BS357" s="616" t="e">
        <f t="shared" si="220"/>
        <v>#VALUE!</v>
      </c>
      <c r="BT357" s="616" t="e">
        <f t="shared" si="220"/>
        <v>#VALUE!</v>
      </c>
      <c r="BU357" s="617" t="e">
        <f t="shared" si="213"/>
        <v>#VALUE!</v>
      </c>
      <c r="BV357" s="556"/>
      <c r="BW357" s="617" t="s">
        <v>2717</v>
      </c>
      <c r="BX357" s="617" t="s">
        <v>2717</v>
      </c>
      <c r="BY357" s="617" t="s">
        <v>2717</v>
      </c>
      <c r="BZ357" s="617" t="s">
        <v>2717</v>
      </c>
      <c r="CA357" s="617" t="s">
        <v>2717</v>
      </c>
      <c r="CB357" s="1047" t="s">
        <v>2717</v>
      </c>
    </row>
    <row r="358" spans="1:85" ht="101.25" hidden="1" customHeight="1" x14ac:dyDescent="0.25">
      <c r="A358" s="298" t="s">
        <v>1097</v>
      </c>
      <c r="B358" s="299" t="str">
        <f>'PLAN INDICATIVO'!B358</f>
        <v xml:space="preserve">Equipamiento </v>
      </c>
      <c r="C358" s="1546" t="s">
        <v>1098</v>
      </c>
      <c r="D358" s="1549" t="s">
        <v>1099</v>
      </c>
      <c r="E358" s="1549" t="s">
        <v>1100</v>
      </c>
      <c r="F358" s="1549">
        <v>2015</v>
      </c>
      <c r="G358" s="1549" t="s">
        <v>177</v>
      </c>
      <c r="H358" s="1549">
        <v>80</v>
      </c>
      <c r="I358" s="1425" t="str">
        <f>'PLAN INDICATIVO'!I358</f>
        <v>SI</v>
      </c>
      <c r="J358" s="1425">
        <f>'PLAN INDICATIVO'!J358</f>
        <v>0</v>
      </c>
      <c r="K358" s="1425" t="str">
        <f>'PLAN INDICATIVO'!K358</f>
        <v>A.15.1.1</v>
      </c>
      <c r="L358" s="301" t="str">
        <f>'PLAN INDICATIVO'!L358</f>
        <v>11. Ciudades y comunidades sostenibles</v>
      </c>
      <c r="M358" s="301" t="str">
        <f>'PLAN INDICATIVO'!M358</f>
        <v>Departamento Municipal de Planeación</v>
      </c>
      <c r="N358" s="1425" t="str">
        <f>'PLAN INDICATIVO'!N358</f>
        <v>MAURICIO LEGARDA GONZALEZ</v>
      </c>
      <c r="O358" s="1425" t="str">
        <f>'PLAN INDICATIVO'!O358</f>
        <v>Incremento</v>
      </c>
      <c r="P358" s="16" t="str">
        <f>'PLAN INDICATIVO'!P358</f>
        <v>Realizar la construcción, adecuación y/o mantenimiento de 4 instalaciones públicas,  durante el cuatrienio (palacio municipal, casa de la cultura, casa de la justicia, entre otros)</v>
      </c>
      <c r="Q358" s="302" t="str">
        <f>'PLAN INDICATIVO'!Q358</f>
        <v>No. De instalaciones administrativas construidas, adecuadas o con mantenimiento durante el cuatrienio</v>
      </c>
      <c r="R358" s="303">
        <f>'PLAN INDICATIVO'!R358</f>
        <v>2015</v>
      </c>
      <c r="S358" s="304">
        <v>0</v>
      </c>
      <c r="T358" s="498">
        <v>4</v>
      </c>
      <c r="U358" s="303">
        <v>1</v>
      </c>
      <c r="V358" s="687">
        <v>1200000000</v>
      </c>
      <c r="W358" s="572">
        <v>1</v>
      </c>
      <c r="X358" s="687">
        <v>1000000000</v>
      </c>
      <c r="Y358" s="1232">
        <v>1</v>
      </c>
      <c r="Z358" s="687">
        <v>52400000</v>
      </c>
      <c r="AA358" s="1310">
        <f>T358-BW358</f>
        <v>3</v>
      </c>
      <c r="AB358" s="687">
        <v>99000000</v>
      </c>
      <c r="AC358" s="665">
        <v>0.2</v>
      </c>
      <c r="AD358" s="665">
        <v>0.8</v>
      </c>
      <c r="AE358" s="665"/>
      <c r="AF358" s="665"/>
      <c r="AG358" s="306" t="s">
        <v>4304</v>
      </c>
      <c r="AH358" s="991">
        <v>2018413960028</v>
      </c>
      <c r="AI358" s="336" t="s">
        <v>4305</v>
      </c>
      <c r="AJ358" s="335">
        <v>43146</v>
      </c>
      <c r="AK358" s="335">
        <v>43403</v>
      </c>
      <c r="AL358" s="308"/>
      <c r="AM358" s="308"/>
      <c r="AN358" s="267" t="s">
        <v>2600</v>
      </c>
      <c r="AO358" s="507"/>
      <c r="AP358" s="525"/>
      <c r="AQ358" s="310"/>
      <c r="AR358" s="310"/>
      <c r="AS358" s="310"/>
      <c r="AT358" s="310"/>
      <c r="AU358" s="310"/>
      <c r="AV358" s="310"/>
      <c r="AW358" s="544"/>
      <c r="AX358" s="525"/>
      <c r="AY358" s="310"/>
      <c r="AZ358" s="310"/>
      <c r="BA358" s="310"/>
      <c r="BB358" s="310"/>
      <c r="BC358" s="310"/>
      <c r="BD358" s="310"/>
      <c r="BE358" s="544">
        <f t="shared" si="211"/>
        <v>0</v>
      </c>
      <c r="BF358" s="525"/>
      <c r="BG358" s="310"/>
      <c r="BH358" s="310"/>
      <c r="BI358" s="310"/>
      <c r="BJ358" s="310"/>
      <c r="BK358" s="310"/>
      <c r="BL358" s="310"/>
      <c r="BM358" s="544">
        <f t="shared" si="215"/>
        <v>0</v>
      </c>
      <c r="BN358" s="525"/>
      <c r="BO358" s="310"/>
      <c r="BP358" s="310"/>
      <c r="BQ358" s="310"/>
      <c r="BR358" s="310"/>
      <c r="BS358" s="310"/>
      <c r="BT358" s="310"/>
      <c r="BU358" s="544">
        <f t="shared" si="213"/>
        <v>0</v>
      </c>
      <c r="BV358" s="556"/>
      <c r="BW358" s="663">
        <f t="shared" si="209"/>
        <v>1</v>
      </c>
      <c r="BX358" s="1047">
        <f t="shared" si="214"/>
        <v>0.25</v>
      </c>
      <c r="BY358" s="1047">
        <f t="shared" ref="BY358:BY366" si="221">IF(U358&gt;=0.1,AC358/U358,IF(ISBLANK(U358),"No Programada","Aplazada"))</f>
        <v>0.2</v>
      </c>
      <c r="BZ358" s="1047">
        <f t="shared" ref="BZ358:BZ366" si="222">IF(W358&gt;=0.1,AD358/W358,IF(ISBLANK(W358),"No Programada","Aplazada"))</f>
        <v>0.8</v>
      </c>
      <c r="CA358" s="1047">
        <f t="shared" ref="CA358:CA366" si="223">IF(Y358&gt;=0.1,AE358/Y358,IF(ISBLANK(Y358),"No Programada","Aplazada"))</f>
        <v>0</v>
      </c>
      <c r="CB358" s="1047">
        <f t="shared" ref="CB358:CB366" si="224">IF(AA358&gt;=0.1,AF358/AA358,IF(ISBLANK(AA358),"No Programada","Aplazada"))</f>
        <v>0</v>
      </c>
      <c r="CD358" t="str">
        <f t="shared" ref="CD358:CG366" si="225">IF(BY358="PARA MODIFICAR","M",IF(BY358="PARA ELIMINAR","E",IF(BY358="aplazada","AZ",IF(BY358="no programada","NP",IF(BY358&gt;=85%,"VE",IF(BY358&gt;70%,"VEB",IF(BY358&gt;60%,"AM",IF(BY358&gt;40%,"AMB",IF(BY358&gt;20%,"RO",IF(BY358&gt;=0%,"ROB",""))))))))))</f>
        <v>ROB</v>
      </c>
      <c r="CE358" t="str">
        <f t="shared" si="225"/>
        <v>VEB</v>
      </c>
      <c r="CF358" t="str">
        <f t="shared" si="225"/>
        <v>ROB</v>
      </c>
      <c r="CG358" t="str">
        <f t="shared" si="225"/>
        <v>ROB</v>
      </c>
    </row>
    <row r="359" spans="1:85" ht="103.5" hidden="1" customHeight="1" x14ac:dyDescent="0.25">
      <c r="A359" s="298" t="s">
        <v>1097</v>
      </c>
      <c r="B359" s="299" t="str">
        <f>'PLAN INDICATIVO'!B359</f>
        <v xml:space="preserve">Equipamiento </v>
      </c>
      <c r="C359" s="1547"/>
      <c r="D359" s="1549"/>
      <c r="E359" s="1549"/>
      <c r="F359" s="1549"/>
      <c r="G359" s="1549"/>
      <c r="H359" s="1549"/>
      <c r="I359" s="1425" t="str">
        <f>'PLAN INDICATIVO'!I359</f>
        <v>si</v>
      </c>
      <c r="J359" s="1425">
        <f>'PLAN INDICATIVO'!J359</f>
        <v>0</v>
      </c>
      <c r="K359" s="1425" t="str">
        <f>'PLAN INDICATIVO'!K359</f>
        <v>A.15.1.2</v>
      </c>
      <c r="L359" s="301" t="str">
        <f>'PLAN INDICATIVO'!L359</f>
        <v>11. Ciudades y comunidades sostenibles</v>
      </c>
      <c r="M359" s="301" t="str">
        <f>'PLAN INDICATIVO'!M359</f>
        <v>Departamento Municipal de Planeación</v>
      </c>
      <c r="N359" s="1425" t="str">
        <f>'PLAN INDICATIVO'!N359</f>
        <v>MAURICIO LEGARDA GONZALEZ</v>
      </c>
      <c r="O359" s="1425" t="str">
        <f>'PLAN INDICATIVO'!O359</f>
        <v>Incremento</v>
      </c>
      <c r="P359" s="16" t="str">
        <f>'PLAN INDICATIVO'!P359</f>
        <v xml:space="preserve">Realizar la Construcción, Adecuación y/o mantenimiento  de 3 espacios públicos, zonas verdes, parques, plazoletas o plazas de mercado, durante el cuatrienio </v>
      </c>
      <c r="Q359" s="302" t="str">
        <f>'PLAN INDICATIVO'!Q359</f>
        <v>No. De espacios públicos con mejoramiento y/o mantenimiento durante el cuatrienio</v>
      </c>
      <c r="R359" s="303">
        <f>'PLAN INDICATIVO'!R359</f>
        <v>2015</v>
      </c>
      <c r="S359" s="304">
        <v>1</v>
      </c>
      <c r="T359" s="498">
        <v>3</v>
      </c>
      <c r="U359" s="303">
        <v>1</v>
      </c>
      <c r="V359" s="687">
        <v>80000000</v>
      </c>
      <c r="W359" s="572">
        <v>1.7</v>
      </c>
      <c r="X359" s="687">
        <v>52000000</v>
      </c>
      <c r="Y359" s="1232"/>
      <c r="Z359" s="687">
        <v>40000000</v>
      </c>
      <c r="AA359" s="1310">
        <f>T359-BW359</f>
        <v>1</v>
      </c>
      <c r="AB359" s="687"/>
      <c r="AC359" s="665">
        <v>0.3</v>
      </c>
      <c r="AD359" s="665">
        <v>1.7</v>
      </c>
      <c r="AE359" s="665"/>
      <c r="AF359" s="665"/>
      <c r="AG359" s="306" t="s">
        <v>4304</v>
      </c>
      <c r="AH359" s="991">
        <v>2018413960028</v>
      </c>
      <c r="AI359" s="336" t="s">
        <v>4305</v>
      </c>
      <c r="AJ359" s="335">
        <v>43146</v>
      </c>
      <c r="AK359" s="335">
        <v>43403</v>
      </c>
      <c r="AL359" s="337"/>
      <c r="AM359" s="337"/>
      <c r="AN359" s="267" t="s">
        <v>2594</v>
      </c>
      <c r="AO359" s="510"/>
      <c r="AP359" s="528"/>
      <c r="AQ359" s="472"/>
      <c r="AR359" s="472"/>
      <c r="AS359" s="472"/>
      <c r="AT359" s="472"/>
      <c r="AU359" s="472"/>
      <c r="AV359" s="472"/>
      <c r="AW359" s="544"/>
      <c r="AX359" s="528"/>
      <c r="AY359" s="472"/>
      <c r="AZ359" s="472"/>
      <c r="BA359" s="472"/>
      <c r="BB359" s="472"/>
      <c r="BC359" s="472"/>
      <c r="BD359" s="472"/>
      <c r="BE359" s="544">
        <f t="shared" si="211"/>
        <v>0</v>
      </c>
      <c r="BF359" s="528"/>
      <c r="BG359" s="472"/>
      <c r="BH359" s="472"/>
      <c r="BI359" s="472"/>
      <c r="BJ359" s="472"/>
      <c r="BK359" s="472"/>
      <c r="BL359" s="472"/>
      <c r="BM359" s="544">
        <f t="shared" si="215"/>
        <v>0</v>
      </c>
      <c r="BN359" s="528"/>
      <c r="BO359" s="472"/>
      <c r="BP359" s="472"/>
      <c r="BQ359" s="472"/>
      <c r="BR359" s="472"/>
      <c r="BS359" s="472"/>
      <c r="BT359" s="472"/>
      <c r="BU359" s="544">
        <f t="shared" si="213"/>
        <v>0</v>
      </c>
      <c r="BV359" s="556"/>
      <c r="BW359" s="663">
        <f t="shared" si="209"/>
        <v>2</v>
      </c>
      <c r="BX359" s="1047">
        <f t="shared" si="214"/>
        <v>0.66666666666666663</v>
      </c>
      <c r="BY359" s="1047">
        <f t="shared" si="221"/>
        <v>0.3</v>
      </c>
      <c r="BZ359" s="1047">
        <f t="shared" si="222"/>
        <v>1</v>
      </c>
      <c r="CA359" s="1047" t="str">
        <f t="shared" si="223"/>
        <v>No Programada</v>
      </c>
      <c r="CB359" s="1047">
        <f t="shared" si="224"/>
        <v>0</v>
      </c>
      <c r="CD359" t="str">
        <f t="shared" si="225"/>
        <v>RO</v>
      </c>
      <c r="CE359" t="str">
        <f t="shared" si="225"/>
        <v>VE</v>
      </c>
      <c r="CF359" t="str">
        <f t="shared" si="225"/>
        <v>NP</v>
      </c>
      <c r="CG359" t="str">
        <f t="shared" si="225"/>
        <v>ROB</v>
      </c>
    </row>
    <row r="360" spans="1:85" ht="10.5" hidden="1" customHeight="1" x14ac:dyDescent="0.25">
      <c r="A360" s="298" t="s">
        <v>2464</v>
      </c>
      <c r="B360" s="299" t="str">
        <f>'PLAN INDICATIVO'!B360</f>
        <v xml:space="preserve">Equipamiento </v>
      </c>
      <c r="C360" s="1547"/>
      <c r="D360" s="1549"/>
      <c r="E360" s="1549"/>
      <c r="F360" s="1549"/>
      <c r="G360" s="1549"/>
      <c r="H360" s="1549"/>
      <c r="I360" s="1425" t="str">
        <f>'PLAN INDICATIVO'!I360</f>
        <v>SI</v>
      </c>
      <c r="J360" s="1425">
        <f>'PLAN INDICATIVO'!J360</f>
        <v>0</v>
      </c>
      <c r="K360" s="1425" t="str">
        <f>'PLAN INDICATIVO'!K360</f>
        <v>A.15.1.3</v>
      </c>
      <c r="L360" s="301" t="str">
        <f>'PLAN INDICATIVO'!L360</f>
        <v>11. Ciudades y comunidades sostenibles</v>
      </c>
      <c r="M360" s="301" t="str">
        <f>'PLAN INDICATIVO'!M360</f>
        <v>Departamento Municipal de Planeación</v>
      </c>
      <c r="N360" s="1425" t="str">
        <f>'PLAN INDICATIVO'!N360</f>
        <v>MAURICIO LEGARDA GONZALEZ</v>
      </c>
      <c r="O360" s="1425" t="str">
        <f>'PLAN INDICATIVO'!O360</f>
        <v>Incremento</v>
      </c>
      <c r="P360" s="820" t="str">
        <f>'PLAN INDICATIVO'!P360</f>
        <v>Inscribir 1 proyecto para gestionar recursos y/o reubicar la plaza de mercado durante el cuatrienio</v>
      </c>
      <c r="Q360" s="820" t="str">
        <f>'PLAN INDICATIVO'!Q360</f>
        <v>No. Proyectos inscritos</v>
      </c>
      <c r="R360" s="815">
        <f>'PLAN INDICATIVO'!R360</f>
        <v>2015</v>
      </c>
      <c r="S360" s="935">
        <v>0</v>
      </c>
      <c r="T360" s="715">
        <v>1</v>
      </c>
      <c r="U360" s="1463"/>
      <c r="V360" s="1234">
        <v>2000000</v>
      </c>
      <c r="W360" s="715">
        <v>1</v>
      </c>
      <c r="X360" s="1234">
        <v>1000000</v>
      </c>
      <c r="Y360" s="715"/>
      <c r="Z360" s="1234"/>
      <c r="AA360" s="715"/>
      <c r="AB360" s="1234"/>
      <c r="AC360" s="1305">
        <v>0</v>
      </c>
      <c r="AD360" s="1305">
        <v>1</v>
      </c>
      <c r="AE360" s="1305"/>
      <c r="AF360" s="1305"/>
      <c r="AG360" s="1306" t="s">
        <v>4304</v>
      </c>
      <c r="AH360" s="991">
        <v>2018413960028</v>
      </c>
      <c r="AI360" s="307" t="s">
        <v>4306</v>
      </c>
      <c r="AJ360" s="335">
        <v>43146</v>
      </c>
      <c r="AK360" s="838">
        <v>43434</v>
      </c>
      <c r="AL360" s="308"/>
      <c r="AM360" s="308"/>
      <c r="AN360" s="267" t="s">
        <v>2604</v>
      </c>
      <c r="AO360" s="507"/>
      <c r="AP360" s="525"/>
      <c r="AQ360" s="310"/>
      <c r="AR360" s="310"/>
      <c r="AS360" s="310"/>
      <c r="AT360" s="310"/>
      <c r="AU360" s="310"/>
      <c r="AV360" s="310"/>
      <c r="AW360" s="544"/>
      <c r="AX360" s="525"/>
      <c r="AY360" s="310"/>
      <c r="AZ360" s="310"/>
      <c r="BA360" s="310"/>
      <c r="BB360" s="310"/>
      <c r="BC360" s="310"/>
      <c r="BD360" s="310"/>
      <c r="BE360" s="544">
        <f t="shared" si="211"/>
        <v>0</v>
      </c>
      <c r="BF360" s="525"/>
      <c r="BG360" s="310"/>
      <c r="BH360" s="310"/>
      <c r="BI360" s="310"/>
      <c r="BJ360" s="310"/>
      <c r="BK360" s="310"/>
      <c r="BL360" s="310"/>
      <c r="BM360" s="544">
        <f t="shared" si="215"/>
        <v>0</v>
      </c>
      <c r="BN360" s="525"/>
      <c r="BO360" s="310"/>
      <c r="BP360" s="310"/>
      <c r="BQ360" s="310"/>
      <c r="BR360" s="310"/>
      <c r="BS360" s="310"/>
      <c r="BT360" s="310"/>
      <c r="BU360" s="544">
        <f t="shared" si="213"/>
        <v>0</v>
      </c>
      <c r="BV360" s="556"/>
      <c r="BW360" s="663">
        <f t="shared" si="209"/>
        <v>1</v>
      </c>
      <c r="BX360" s="1047">
        <f t="shared" si="214"/>
        <v>1</v>
      </c>
      <c r="BY360" s="1047" t="str">
        <f t="shared" si="221"/>
        <v>No Programada</v>
      </c>
      <c r="BZ360" s="1047">
        <f t="shared" si="222"/>
        <v>1</v>
      </c>
      <c r="CA360" s="1346" t="s">
        <v>4307</v>
      </c>
      <c r="CB360" s="1047" t="str">
        <f t="shared" si="224"/>
        <v>No Programada</v>
      </c>
      <c r="CD360" t="str">
        <f t="shared" si="225"/>
        <v>NP</v>
      </c>
      <c r="CE360" t="str">
        <f t="shared" si="225"/>
        <v>VE</v>
      </c>
      <c r="CF360" t="str">
        <f t="shared" si="225"/>
        <v>VE</v>
      </c>
      <c r="CG360" t="str">
        <f t="shared" si="225"/>
        <v>NP</v>
      </c>
    </row>
    <row r="361" spans="1:85" ht="61.5" hidden="1" customHeight="1" x14ac:dyDescent="0.25">
      <c r="A361" s="298" t="s">
        <v>1097</v>
      </c>
      <c r="B361" s="299" t="str">
        <f>'PLAN INDICATIVO'!B361</f>
        <v xml:space="preserve">Equipamiento </v>
      </c>
      <c r="C361" s="1547"/>
      <c r="D361" s="1549"/>
      <c r="E361" s="1549"/>
      <c r="F361" s="1549"/>
      <c r="G361" s="1549"/>
      <c r="H361" s="1549"/>
      <c r="I361" s="1425" t="str">
        <f>'PLAN INDICATIVO'!I361</f>
        <v>SI</v>
      </c>
      <c r="J361" s="1425">
        <f>'PLAN INDICATIVO'!J361</f>
        <v>0</v>
      </c>
      <c r="K361" s="1425" t="str">
        <f>'PLAN INDICATIVO'!K361</f>
        <v>A.15.1.4</v>
      </c>
      <c r="L361" s="301" t="str">
        <f>'PLAN INDICATIVO'!L361</f>
        <v>11. Ciudades y comunidades sostenibles</v>
      </c>
      <c r="M361" s="301" t="str">
        <f>'PLAN INDICATIVO'!M361</f>
        <v>Departamento Municipal de Planeación</v>
      </c>
      <c r="N361" s="1425" t="str">
        <f>'PLAN INDICATIVO'!N361</f>
        <v>MAURICIO LEGARDA GONZALEZ</v>
      </c>
      <c r="O361" s="1425" t="str">
        <f>'PLAN INDICATIVO'!O361</f>
        <v>Incremento</v>
      </c>
      <c r="P361" s="907" t="str">
        <f>'PLAN INDICATIVO'!P361</f>
        <v>Realizar 1 obra de adecuación, dotación y/o mantenimiento de  las instalaciones del honorable Concejo Municipal, durante el cuatrienio</v>
      </c>
      <c r="Q361" s="302" t="str">
        <f>'PLAN INDICATIVO'!Q361</f>
        <v>No. De Adecuaciones o mantenimientos realizados</v>
      </c>
      <c r="R361" s="303">
        <f>'PLAN INDICATIVO'!R361</f>
        <v>2015</v>
      </c>
      <c r="S361" s="304">
        <v>0</v>
      </c>
      <c r="T361" s="498">
        <v>1</v>
      </c>
      <c r="U361" s="303">
        <v>1</v>
      </c>
      <c r="V361" s="687">
        <v>0</v>
      </c>
      <c r="W361" s="572"/>
      <c r="X361" s="687"/>
      <c r="Y361" s="1232"/>
      <c r="Z361" s="687"/>
      <c r="AA361" s="1310"/>
      <c r="AB361" s="687"/>
      <c r="AC361" s="665">
        <v>1</v>
      </c>
      <c r="AD361" s="843">
        <v>0</v>
      </c>
      <c r="AE361" s="665"/>
      <c r="AF361" s="665"/>
      <c r="AG361" s="306" t="s">
        <v>4304</v>
      </c>
      <c r="AH361" s="991">
        <v>2018413960028</v>
      </c>
      <c r="AI361" s="307"/>
      <c r="AJ361" s="335"/>
      <c r="AK361" s="335"/>
      <c r="AL361" s="308"/>
      <c r="AM361" s="308"/>
      <c r="AN361" s="267" t="s">
        <v>2594</v>
      </c>
      <c r="AO361" s="507"/>
      <c r="AP361" s="525"/>
      <c r="AQ361" s="310"/>
      <c r="AR361" s="310"/>
      <c r="AS361" s="310"/>
      <c r="AT361" s="310"/>
      <c r="AU361" s="310"/>
      <c r="AV361" s="310"/>
      <c r="AW361" s="544"/>
      <c r="AX361" s="525"/>
      <c r="AY361" s="310"/>
      <c r="AZ361" s="310"/>
      <c r="BA361" s="310"/>
      <c r="BB361" s="310"/>
      <c r="BC361" s="310"/>
      <c r="BD361" s="310"/>
      <c r="BE361" s="544">
        <f t="shared" si="211"/>
        <v>0</v>
      </c>
      <c r="BF361" s="525"/>
      <c r="BG361" s="310"/>
      <c r="BH361" s="310"/>
      <c r="BI361" s="310"/>
      <c r="BJ361" s="310"/>
      <c r="BK361" s="310"/>
      <c r="BL361" s="310"/>
      <c r="BM361" s="544">
        <f t="shared" si="215"/>
        <v>0</v>
      </c>
      <c r="BN361" s="525"/>
      <c r="BO361" s="310"/>
      <c r="BP361" s="310"/>
      <c r="BQ361" s="310"/>
      <c r="BR361" s="310"/>
      <c r="BS361" s="310"/>
      <c r="BT361" s="310"/>
      <c r="BU361" s="544">
        <f t="shared" si="213"/>
        <v>0</v>
      </c>
      <c r="BV361" s="556"/>
      <c r="BW361" s="663">
        <f t="shared" si="209"/>
        <v>1</v>
      </c>
      <c r="BX361" s="1047">
        <f t="shared" si="214"/>
        <v>1</v>
      </c>
      <c r="BY361" s="1047">
        <f t="shared" si="221"/>
        <v>1</v>
      </c>
      <c r="BZ361" s="1047" t="str">
        <f t="shared" si="222"/>
        <v>No Programada</v>
      </c>
      <c r="CA361" s="1047" t="str">
        <f t="shared" si="223"/>
        <v>No Programada</v>
      </c>
      <c r="CB361" s="1047" t="str">
        <f t="shared" si="224"/>
        <v>No Programada</v>
      </c>
      <c r="CD361" t="str">
        <f t="shared" si="225"/>
        <v>VE</v>
      </c>
      <c r="CE361" t="str">
        <f t="shared" si="225"/>
        <v>NP</v>
      </c>
      <c r="CF361" t="str">
        <f t="shared" si="225"/>
        <v>NP</v>
      </c>
      <c r="CG361" t="str">
        <f t="shared" si="225"/>
        <v>NP</v>
      </c>
    </row>
    <row r="362" spans="1:85" ht="10.5" hidden="1" customHeight="1" x14ac:dyDescent="0.25">
      <c r="A362" s="298" t="s">
        <v>2464</v>
      </c>
      <c r="B362" s="299" t="str">
        <f>'PLAN INDICATIVO'!B362</f>
        <v xml:space="preserve">Equipamiento </v>
      </c>
      <c r="C362" s="1547"/>
      <c r="D362" s="1549"/>
      <c r="E362" s="1549"/>
      <c r="F362" s="1549"/>
      <c r="G362" s="1549"/>
      <c r="H362" s="1549"/>
      <c r="I362" s="1425" t="str">
        <f>'PLAN INDICATIVO'!I362</f>
        <v>SI</v>
      </c>
      <c r="J362" s="1425">
        <f>'PLAN INDICATIVO'!J362</f>
        <v>0</v>
      </c>
      <c r="K362" s="1425" t="str">
        <f>'PLAN INDICATIVO'!K362</f>
        <v>A.15.1.5</v>
      </c>
      <c r="L362" s="301" t="str">
        <f>'PLAN INDICATIVO'!L362</f>
        <v>11. Ciudades y comunidades sostenibles</v>
      </c>
      <c r="M362" s="301" t="str">
        <f>'PLAN INDICATIVO'!M362</f>
        <v>Departamento Municipal de Planeación</v>
      </c>
      <c r="N362" s="1425" t="str">
        <f>'PLAN INDICATIVO'!N362</f>
        <v>MAURICIO LEGARDA GONZALEZ</v>
      </c>
      <c r="O362" s="1425" t="str">
        <f>'PLAN INDICATIVO'!O362</f>
        <v>Incremento</v>
      </c>
      <c r="P362" s="820" t="str">
        <f>'PLAN INDICATIVO'!P362</f>
        <v>Realizar 1 proyecto inscrito, con apoyo y gestión de recursos para la reubicación de la estación de policía del La Plata, durante el cuatrienio</v>
      </c>
      <c r="Q362" s="820" t="str">
        <f>'PLAN INDICATIVO'!Q362</f>
        <v>No. De proyectos realizados durante el cuatrienio</v>
      </c>
      <c r="R362" s="815">
        <f>'PLAN INDICATIVO'!R362</f>
        <v>2015</v>
      </c>
      <c r="S362" s="935">
        <v>0</v>
      </c>
      <c r="T362" s="715">
        <v>1</v>
      </c>
      <c r="U362" s="1463"/>
      <c r="V362" s="1234">
        <v>509000000</v>
      </c>
      <c r="W362" s="715">
        <v>1</v>
      </c>
      <c r="X362" s="1234">
        <v>510000000</v>
      </c>
      <c r="Y362" s="715"/>
      <c r="Z362" s="1234"/>
      <c r="AA362" s="715">
        <v>1</v>
      </c>
      <c r="AB362" s="1234"/>
      <c r="AC362" s="1305">
        <v>0</v>
      </c>
      <c r="AD362" s="1305"/>
      <c r="AE362" s="1305"/>
      <c r="AF362" s="1305"/>
      <c r="AG362" s="306" t="s">
        <v>4304</v>
      </c>
      <c r="AH362" s="991">
        <v>2018413960028</v>
      </c>
      <c r="AI362" s="307" t="s">
        <v>4308</v>
      </c>
      <c r="AJ362" s="335">
        <v>43146</v>
      </c>
      <c r="AK362" s="838">
        <v>43434</v>
      </c>
      <c r="AL362" s="308"/>
      <c r="AM362" s="308"/>
      <c r="AN362" s="267" t="s">
        <v>2604</v>
      </c>
      <c r="AO362" s="507"/>
      <c r="AP362" s="525"/>
      <c r="AQ362" s="310"/>
      <c r="AR362" s="310"/>
      <c r="AS362" s="310"/>
      <c r="AT362" s="310"/>
      <c r="AU362" s="310"/>
      <c r="AV362" s="310"/>
      <c r="AW362" s="544"/>
      <c r="AX362" s="525"/>
      <c r="AY362" s="310"/>
      <c r="AZ362" s="310"/>
      <c r="BA362" s="310"/>
      <c r="BB362" s="310"/>
      <c r="BC362" s="310"/>
      <c r="BD362" s="310"/>
      <c r="BE362" s="544">
        <f t="shared" si="211"/>
        <v>0</v>
      </c>
      <c r="BF362" s="525"/>
      <c r="BG362" s="310"/>
      <c r="BH362" s="310"/>
      <c r="BI362" s="310"/>
      <c r="BJ362" s="310"/>
      <c r="BK362" s="310"/>
      <c r="BL362" s="310"/>
      <c r="BM362" s="544">
        <f t="shared" si="215"/>
        <v>0</v>
      </c>
      <c r="BN362" s="525"/>
      <c r="BO362" s="310"/>
      <c r="BP362" s="310"/>
      <c r="BQ362" s="310"/>
      <c r="BR362" s="310"/>
      <c r="BS362" s="310"/>
      <c r="BT362" s="310"/>
      <c r="BU362" s="544">
        <f t="shared" si="213"/>
        <v>0</v>
      </c>
      <c r="BV362" s="556"/>
      <c r="BW362" s="663">
        <f t="shared" si="209"/>
        <v>0</v>
      </c>
      <c r="BX362" s="1047">
        <f t="shared" si="214"/>
        <v>0</v>
      </c>
      <c r="BY362" s="1047" t="str">
        <f t="shared" si="221"/>
        <v>No Programada</v>
      </c>
      <c r="BZ362" s="1047">
        <f t="shared" si="222"/>
        <v>0</v>
      </c>
      <c r="CA362" s="1346" t="s">
        <v>4307</v>
      </c>
      <c r="CB362" s="1047">
        <f t="shared" si="224"/>
        <v>0</v>
      </c>
      <c r="CD362" t="str">
        <f t="shared" si="225"/>
        <v>NP</v>
      </c>
      <c r="CE362" t="str">
        <f t="shared" si="225"/>
        <v>ROB</v>
      </c>
      <c r="CF362" t="str">
        <f t="shared" si="225"/>
        <v>VE</v>
      </c>
      <c r="CG362" t="str">
        <f t="shared" si="225"/>
        <v>ROB</v>
      </c>
    </row>
    <row r="363" spans="1:85" ht="51" hidden="1" customHeight="1" x14ac:dyDescent="0.25">
      <c r="A363" s="298" t="s">
        <v>1097</v>
      </c>
      <c r="B363" s="299" t="str">
        <f>'PLAN INDICATIVO'!B363</f>
        <v xml:space="preserve">Equipamiento </v>
      </c>
      <c r="C363" s="1547"/>
      <c r="D363" s="1549"/>
      <c r="E363" s="1549"/>
      <c r="F363" s="1549"/>
      <c r="G363" s="1549"/>
      <c r="H363" s="1549"/>
      <c r="I363" s="300">
        <f>'PLAN INDICATIVO'!I363</f>
        <v>0</v>
      </c>
      <c r="J363" s="300">
        <f>'PLAN INDICATIVO'!J363</f>
        <v>0</v>
      </c>
      <c r="K363" s="1425" t="str">
        <f>'PLAN INDICATIVO'!K363</f>
        <v>A.15.1.6</v>
      </c>
      <c r="L363" s="301" t="str">
        <f>'PLAN INDICATIVO'!L363</f>
        <v>11. Ciudades y comunidades sostenibles</v>
      </c>
      <c r="M363" s="301" t="str">
        <f>'PLAN INDICATIVO'!M363</f>
        <v>Departamento Municipal de Planeación</v>
      </c>
      <c r="N363" s="1425" t="str">
        <f>'PLAN INDICATIVO'!N363</f>
        <v>MAURICIO LEGARDA GONZALEZ</v>
      </c>
      <c r="O363" s="1425" t="str">
        <f>'PLAN INDICATIVO'!O363</f>
        <v>Incremento</v>
      </c>
      <c r="P363" s="16" t="str">
        <f>'PLAN INDICATIVO'!P363</f>
        <v>Construir 1 centro de integración ciudadana durante el cuatrienio</v>
      </c>
      <c r="Q363" s="302" t="str">
        <f>'PLAN INDICATIVO'!Q363</f>
        <v>No. De centros de integración construidos</v>
      </c>
      <c r="R363" s="303">
        <f>'PLAN INDICATIVO'!R363</f>
        <v>2015</v>
      </c>
      <c r="S363" s="304">
        <v>0</v>
      </c>
      <c r="T363" s="498">
        <v>1</v>
      </c>
      <c r="U363" s="303">
        <v>0.5</v>
      </c>
      <c r="V363" s="687">
        <v>1000000</v>
      </c>
      <c r="W363" s="572">
        <v>1</v>
      </c>
      <c r="X363" s="687"/>
      <c r="Y363" s="1232"/>
      <c r="Z363" s="687"/>
      <c r="AA363" s="1310"/>
      <c r="AB363" s="687"/>
      <c r="AC363" s="665">
        <v>0</v>
      </c>
      <c r="AD363" s="665">
        <v>1</v>
      </c>
      <c r="AE363" s="665"/>
      <c r="AF363" s="665"/>
      <c r="AG363" s="306" t="s">
        <v>4304</v>
      </c>
      <c r="AH363" s="991">
        <v>2018413960028</v>
      </c>
      <c r="AI363" s="336"/>
      <c r="AJ363" s="376"/>
      <c r="AK363" s="376"/>
      <c r="AL363" s="376"/>
      <c r="AM363" s="376"/>
      <c r="AN363" s="267" t="s">
        <v>2594</v>
      </c>
      <c r="AO363" s="519"/>
      <c r="AP363" s="528"/>
      <c r="AQ363" s="472"/>
      <c r="AR363" s="472"/>
      <c r="AS363" s="472"/>
      <c r="AT363" s="475"/>
      <c r="AU363" s="475"/>
      <c r="AV363" s="475"/>
      <c r="AW363" s="544"/>
      <c r="AX363" s="532"/>
      <c r="AY363" s="475"/>
      <c r="AZ363" s="475"/>
      <c r="BA363" s="475"/>
      <c r="BB363" s="475"/>
      <c r="BC363" s="475"/>
      <c r="BD363" s="475"/>
      <c r="BE363" s="544">
        <f t="shared" si="211"/>
        <v>0</v>
      </c>
      <c r="BF363" s="532"/>
      <c r="BG363" s="475"/>
      <c r="BH363" s="475"/>
      <c r="BI363" s="475"/>
      <c r="BJ363" s="475"/>
      <c r="BK363" s="475"/>
      <c r="BL363" s="475"/>
      <c r="BM363" s="544">
        <f t="shared" si="215"/>
        <v>0</v>
      </c>
      <c r="BN363" s="532"/>
      <c r="BO363" s="475"/>
      <c r="BP363" s="475"/>
      <c r="BQ363" s="475"/>
      <c r="BR363" s="475"/>
      <c r="BS363" s="475"/>
      <c r="BT363" s="475"/>
      <c r="BU363" s="544">
        <f t="shared" si="213"/>
        <v>0</v>
      </c>
      <c r="BV363" s="556"/>
      <c r="BW363" s="663">
        <f t="shared" si="209"/>
        <v>1</v>
      </c>
      <c r="BX363" s="1047">
        <f t="shared" si="214"/>
        <v>1</v>
      </c>
      <c r="BY363" s="1047">
        <f t="shared" si="221"/>
        <v>0</v>
      </c>
      <c r="BZ363" s="1047">
        <f t="shared" si="222"/>
        <v>1</v>
      </c>
      <c r="CA363" s="1047" t="str">
        <f t="shared" si="223"/>
        <v>No Programada</v>
      </c>
      <c r="CB363" s="1047" t="str">
        <f t="shared" si="224"/>
        <v>No Programada</v>
      </c>
      <c r="CD363" t="str">
        <f t="shared" si="225"/>
        <v>ROB</v>
      </c>
      <c r="CE363" t="str">
        <f t="shared" si="225"/>
        <v>VE</v>
      </c>
      <c r="CF363" t="str">
        <f t="shared" si="225"/>
        <v>NP</v>
      </c>
      <c r="CG363" t="str">
        <f t="shared" si="225"/>
        <v>NP</v>
      </c>
    </row>
    <row r="364" spans="1:85" ht="95.25" hidden="1" customHeight="1" x14ac:dyDescent="0.25">
      <c r="A364" s="298" t="s">
        <v>1097</v>
      </c>
      <c r="B364" s="299" t="str">
        <f>'PLAN INDICATIVO'!B364</f>
        <v xml:space="preserve">Equipamiento </v>
      </c>
      <c r="C364" s="1547"/>
      <c r="D364" s="1549"/>
      <c r="E364" s="1549"/>
      <c r="F364" s="1549"/>
      <c r="G364" s="1549"/>
      <c r="H364" s="1549"/>
      <c r="I364" s="300">
        <f>'PLAN INDICATIVO'!I364</f>
        <v>0</v>
      </c>
      <c r="J364" s="300">
        <f>'PLAN INDICATIVO'!J364</f>
        <v>0</v>
      </c>
      <c r="K364" s="1425" t="str">
        <f>'PLAN INDICATIVO'!K364</f>
        <v>A.15.1.7</v>
      </c>
      <c r="L364" s="301" t="str">
        <f>'PLAN INDICATIVO'!L364</f>
        <v>11. Ciudades y comunidades sostenibles</v>
      </c>
      <c r="M364" s="301" t="str">
        <f>'PLAN INDICATIVO'!M364</f>
        <v>Departamento Municipal de Planeación</v>
      </c>
      <c r="N364" s="1425" t="s">
        <v>3822</v>
      </c>
      <c r="O364" s="1425" t="str">
        <f>'PLAN INDICATIVO'!O364</f>
        <v>Incremento</v>
      </c>
      <c r="P364" s="16" t="str">
        <f>'PLAN INDICATIVO'!P364</f>
        <v>Construir y/o mejorar en coordinación con la ESE San Sebastian, 6 puestos de Salud durante el cuatrienio.</v>
      </c>
      <c r="Q364" s="302" t="str">
        <f>'PLAN INDICATIVO'!Q364</f>
        <v>No. De centros de salud construidos y/o mejorados</v>
      </c>
      <c r="R364" s="303">
        <f>'PLAN INDICATIVO'!R364</f>
        <v>2015</v>
      </c>
      <c r="S364" s="304">
        <v>0</v>
      </c>
      <c r="T364" s="498">
        <v>6</v>
      </c>
      <c r="U364" s="303">
        <v>2</v>
      </c>
      <c r="V364" s="687">
        <v>10000000</v>
      </c>
      <c r="W364" s="572">
        <v>2</v>
      </c>
      <c r="X364" s="687">
        <v>10000000</v>
      </c>
      <c r="Y364" s="572">
        <v>3</v>
      </c>
      <c r="Z364" s="687">
        <v>14500000</v>
      </c>
      <c r="AA364" s="1310">
        <f>T364-BW364</f>
        <v>3.6</v>
      </c>
      <c r="AB364" s="687">
        <v>12000000</v>
      </c>
      <c r="AC364" s="665">
        <v>0</v>
      </c>
      <c r="AD364" s="665">
        <v>0.1</v>
      </c>
      <c r="AE364" s="665">
        <v>2.2999999999999998</v>
      </c>
      <c r="AF364" s="665"/>
      <c r="AG364" s="306" t="s">
        <v>4304</v>
      </c>
      <c r="AH364" s="991">
        <v>2018413960028</v>
      </c>
      <c r="AI364" s="307" t="s">
        <v>4309</v>
      </c>
      <c r="AJ364" s="335">
        <v>43146</v>
      </c>
      <c r="AK364" s="838">
        <v>43434</v>
      </c>
      <c r="AL364" s="308"/>
      <c r="AM364" s="308"/>
      <c r="AN364" s="267" t="s">
        <v>2604</v>
      </c>
      <c r="AO364" s="507" t="s">
        <v>4310</v>
      </c>
      <c r="AP364" s="525"/>
      <c r="AQ364" s="310"/>
      <c r="AR364" s="310"/>
      <c r="AS364" s="310"/>
      <c r="AT364" s="310"/>
      <c r="AU364" s="310"/>
      <c r="AV364" s="310"/>
      <c r="AW364" s="544"/>
      <c r="AX364" s="525"/>
      <c r="AY364" s="310"/>
      <c r="AZ364" s="310"/>
      <c r="BA364" s="310"/>
      <c r="BB364" s="310"/>
      <c r="BC364" s="310"/>
      <c r="BD364" s="310"/>
      <c r="BE364" s="544">
        <f t="shared" si="211"/>
        <v>0</v>
      </c>
      <c r="BF364" s="525"/>
      <c r="BG364" s="310">
        <v>823650247</v>
      </c>
      <c r="BH364" s="310"/>
      <c r="BI364" s="310"/>
      <c r="BJ364" s="310"/>
      <c r="BK364" s="310"/>
      <c r="BL364" s="310"/>
      <c r="BM364" s="544">
        <f t="shared" si="215"/>
        <v>823650247</v>
      </c>
      <c r="BN364" s="525"/>
      <c r="BO364" s="310"/>
      <c r="BP364" s="310"/>
      <c r="BQ364" s="310"/>
      <c r="BR364" s="310"/>
      <c r="BS364" s="310"/>
      <c r="BT364" s="310"/>
      <c r="BU364" s="544">
        <f t="shared" si="213"/>
        <v>0</v>
      </c>
      <c r="BV364" s="556"/>
      <c r="BW364" s="663">
        <f t="shared" si="209"/>
        <v>2.4</v>
      </c>
      <c r="BX364" s="1047">
        <f t="shared" si="214"/>
        <v>0.39999999999999997</v>
      </c>
      <c r="BY364" s="1047">
        <f t="shared" si="221"/>
        <v>0</v>
      </c>
      <c r="BZ364" s="1047">
        <f t="shared" si="222"/>
        <v>0.05</v>
      </c>
      <c r="CA364" s="1047">
        <f t="shared" si="223"/>
        <v>0.76666666666666661</v>
      </c>
      <c r="CB364" s="1047">
        <f t="shared" si="224"/>
        <v>0</v>
      </c>
      <c r="CD364" t="str">
        <f t="shared" si="225"/>
        <v>ROB</v>
      </c>
      <c r="CE364" t="str">
        <f t="shared" si="225"/>
        <v>ROB</v>
      </c>
      <c r="CF364" t="str">
        <f t="shared" si="225"/>
        <v>VEB</v>
      </c>
      <c r="CG364" t="str">
        <f t="shared" si="225"/>
        <v>ROB</v>
      </c>
    </row>
    <row r="365" spans="1:85" ht="82.5" hidden="1" customHeight="1" x14ac:dyDescent="0.25">
      <c r="A365" s="298" t="s">
        <v>2464</v>
      </c>
      <c r="B365" s="299" t="str">
        <f>'PLAN INDICATIVO'!B365</f>
        <v xml:space="preserve">Equipamiento </v>
      </c>
      <c r="C365" s="1547"/>
      <c r="D365" s="1549"/>
      <c r="E365" s="1549"/>
      <c r="F365" s="1549"/>
      <c r="G365" s="1549"/>
      <c r="H365" s="1549"/>
      <c r="I365" s="300">
        <f>'PLAN INDICATIVO'!I365</f>
        <v>0</v>
      </c>
      <c r="J365" s="300">
        <f>'PLAN INDICATIVO'!J365</f>
        <v>0</v>
      </c>
      <c r="K365" s="1425" t="str">
        <f>'PLAN INDICATIVO'!K365</f>
        <v>A.15.1.8</v>
      </c>
      <c r="L365" s="301" t="str">
        <f>'PLAN INDICATIVO'!L365</f>
        <v>11. Ciudades y comunidades sostenibles</v>
      </c>
      <c r="M365" s="301" t="str">
        <f>'PLAN INDICATIVO'!M365</f>
        <v>Departamento Municipal de Planeación</v>
      </c>
      <c r="N365" s="1425" t="str">
        <f>'PLAN INDICATIVO'!N365</f>
        <v>MAURICIO LEGARDA GONZALEZ</v>
      </c>
      <c r="O365" s="1425" t="str">
        <f>'PLAN INDICATIVO'!O365</f>
        <v>Incremento</v>
      </c>
      <c r="P365" s="820" t="str">
        <f>'PLAN INDICATIVO'!P365</f>
        <v>Adquirir 1 lote y realizar obras de adecuación para alojamiento de maquinaria pesada, durante el cuatrienio, y/o para Obras de Infraestructura.</v>
      </c>
      <c r="Q365" s="820" t="str">
        <f>'PLAN INDICATIVO'!Q365</f>
        <v xml:space="preserve">No. De lotes adquiridos </v>
      </c>
      <c r="R365" s="815">
        <f>'PLAN INDICATIVO'!R365</f>
        <v>2015</v>
      </c>
      <c r="S365" s="935">
        <v>0</v>
      </c>
      <c r="T365" s="823">
        <v>1</v>
      </c>
      <c r="U365" s="815"/>
      <c r="V365" s="937">
        <v>30000000</v>
      </c>
      <c r="W365" s="823">
        <v>1</v>
      </c>
      <c r="X365" s="937">
        <v>30000000</v>
      </c>
      <c r="Y365" s="1232"/>
      <c r="Z365" s="937"/>
      <c r="AA365" s="1310">
        <v>0.9</v>
      </c>
      <c r="AB365" s="937"/>
      <c r="AC365" s="665">
        <v>0</v>
      </c>
      <c r="AD365" s="665">
        <v>0.1</v>
      </c>
      <c r="AE365" s="665"/>
      <c r="AF365" s="665"/>
      <c r="AG365" s="306" t="s">
        <v>4304</v>
      </c>
      <c r="AH365" s="991">
        <v>2018413960028</v>
      </c>
      <c r="AI365" s="307" t="s">
        <v>4311</v>
      </c>
      <c r="AJ365" s="838">
        <v>43174</v>
      </c>
      <c r="AK365" s="838">
        <v>43449</v>
      </c>
      <c r="AL365" s="308"/>
      <c r="AM365" s="308"/>
      <c r="AN365" s="267" t="s">
        <v>2594</v>
      </c>
      <c r="AO365" s="507"/>
      <c r="AP365" s="525"/>
      <c r="AQ365" s="310"/>
      <c r="AR365" s="310"/>
      <c r="AS365" s="310"/>
      <c r="AT365" s="310"/>
      <c r="AU365" s="310"/>
      <c r="AV365" s="310"/>
      <c r="AW365" s="544"/>
      <c r="AX365" s="525"/>
      <c r="AY365" s="310"/>
      <c r="AZ365" s="310"/>
      <c r="BA365" s="310"/>
      <c r="BB365" s="310"/>
      <c r="BC365" s="310"/>
      <c r="BD365" s="310"/>
      <c r="BE365" s="544">
        <f t="shared" si="211"/>
        <v>0</v>
      </c>
      <c r="BF365" s="525"/>
      <c r="BG365" s="310"/>
      <c r="BH365" s="310"/>
      <c r="BI365" s="310"/>
      <c r="BJ365" s="310"/>
      <c r="BK365" s="310"/>
      <c r="BL365" s="310"/>
      <c r="BM365" s="544">
        <f t="shared" si="215"/>
        <v>0</v>
      </c>
      <c r="BN365" s="525"/>
      <c r="BO365" s="310"/>
      <c r="BP365" s="310"/>
      <c r="BQ365" s="310"/>
      <c r="BR365" s="310"/>
      <c r="BS365" s="310"/>
      <c r="BT365" s="310"/>
      <c r="BU365" s="544">
        <f t="shared" si="213"/>
        <v>0</v>
      </c>
      <c r="BV365" s="556"/>
      <c r="BW365" s="663">
        <f t="shared" si="209"/>
        <v>0.1</v>
      </c>
      <c r="BX365" s="1047">
        <f t="shared" si="214"/>
        <v>0.1</v>
      </c>
      <c r="BY365" s="1047" t="str">
        <f t="shared" si="221"/>
        <v>No Programada</v>
      </c>
      <c r="BZ365" s="1047">
        <f t="shared" si="222"/>
        <v>0.1</v>
      </c>
      <c r="CA365" s="1047" t="s">
        <v>4312</v>
      </c>
      <c r="CB365" s="1047">
        <f t="shared" si="224"/>
        <v>0</v>
      </c>
      <c r="CD365" t="str">
        <f t="shared" si="225"/>
        <v>NP</v>
      </c>
      <c r="CE365" t="str">
        <f t="shared" si="225"/>
        <v>ROB</v>
      </c>
      <c r="CF365" t="str">
        <f t="shared" si="225"/>
        <v>NP</v>
      </c>
      <c r="CG365" t="str">
        <f t="shared" si="225"/>
        <v>ROB</v>
      </c>
    </row>
    <row r="366" spans="1:85" ht="96" hidden="1" customHeight="1" x14ac:dyDescent="0.25">
      <c r="A366" s="298" t="s">
        <v>1097</v>
      </c>
      <c r="B366" s="299" t="str">
        <f>'PLAN INDICATIVO'!B366</f>
        <v xml:space="preserve">Equipamiento </v>
      </c>
      <c r="C366" s="1548"/>
      <c r="D366" s="1549"/>
      <c r="E366" s="1549"/>
      <c r="F366" s="1549"/>
      <c r="G366" s="1549"/>
      <c r="H366" s="1549"/>
      <c r="I366" s="300">
        <f>'PLAN INDICATIVO'!I366</f>
        <v>0</v>
      </c>
      <c r="J366" s="300">
        <f>'PLAN INDICATIVO'!J366</f>
        <v>0</v>
      </c>
      <c r="K366" s="1425" t="str">
        <f>'PLAN INDICATIVO'!K366</f>
        <v>A.15.1.9</v>
      </c>
      <c r="L366" s="301" t="str">
        <f>'PLAN INDICATIVO'!L366</f>
        <v>11. Ciudades y comunidades sostenibles</v>
      </c>
      <c r="M366" s="301" t="str">
        <f>'PLAN INDICATIVO'!M366</f>
        <v>Departamento Municipal de Planeación</v>
      </c>
      <c r="N366" s="1425" t="str">
        <f>'PLAN INDICATIVO'!N366</f>
        <v>MAURICIO LEGARDA GONZALEZ</v>
      </c>
      <c r="O366" s="1425" t="str">
        <f>'PLAN INDICATIVO'!O366</f>
        <v>Incremento</v>
      </c>
      <c r="P366" s="1198" t="str">
        <f>'PLAN INDICATIVO'!P366</f>
        <v>Promover la donación de un (1) lote para la construcción del tecnoparque del Servicion Nacional de Aprendisaje SENA como apoyo a las investigaciones y prácticas agropecuarias.</v>
      </c>
      <c r="Q366" s="302" t="str">
        <f>'PLAN INDICATIVO'!Q366</f>
        <v>No. De acciones realizadas para la donación del lote durante el cuatrenio</v>
      </c>
      <c r="R366" s="303">
        <f>'PLAN INDICATIVO'!R366</f>
        <v>2015</v>
      </c>
      <c r="S366" s="304">
        <v>0</v>
      </c>
      <c r="T366" s="498">
        <v>1</v>
      </c>
      <c r="U366" s="303"/>
      <c r="V366" s="687">
        <v>1000000</v>
      </c>
      <c r="W366" s="823"/>
      <c r="X366" s="687">
        <v>10000000</v>
      </c>
      <c r="Y366" s="1232">
        <v>1</v>
      </c>
      <c r="Z366" s="687"/>
      <c r="AA366" s="1310"/>
      <c r="AB366" s="687"/>
      <c r="AC366" s="665">
        <v>0</v>
      </c>
      <c r="AD366" s="665"/>
      <c r="AE366" s="665">
        <v>1</v>
      </c>
      <c r="AF366" s="665"/>
      <c r="AG366" s="306" t="s">
        <v>4304</v>
      </c>
      <c r="AH366" s="991">
        <v>2018413960028</v>
      </c>
      <c r="AI366" s="307" t="s">
        <v>4313</v>
      </c>
      <c r="AJ366" s="838">
        <v>43174</v>
      </c>
      <c r="AK366" s="838">
        <v>43449</v>
      </c>
      <c r="AL366" s="308"/>
      <c r="AM366" s="308"/>
      <c r="AN366" s="267" t="s">
        <v>2598</v>
      </c>
      <c r="AO366" s="507"/>
      <c r="AP366" s="525"/>
      <c r="AQ366" s="310"/>
      <c r="AR366" s="310"/>
      <c r="AS366" s="310"/>
      <c r="AT366" s="310"/>
      <c r="AU366" s="310"/>
      <c r="AV366" s="310"/>
      <c r="AW366" s="544"/>
      <c r="AX366" s="525"/>
      <c r="AY366" s="310"/>
      <c r="AZ366" s="310"/>
      <c r="BA366" s="310"/>
      <c r="BB366" s="310"/>
      <c r="BC366" s="310"/>
      <c r="BD366" s="310"/>
      <c r="BE366" s="544">
        <f t="shared" si="211"/>
        <v>0</v>
      </c>
      <c r="BF366" s="525"/>
      <c r="BG366" s="310"/>
      <c r="BH366" s="310"/>
      <c r="BI366" s="310"/>
      <c r="BJ366" s="310"/>
      <c r="BK366" s="310"/>
      <c r="BL366" s="310"/>
      <c r="BM366" s="544">
        <f t="shared" si="215"/>
        <v>0</v>
      </c>
      <c r="BN366" s="525"/>
      <c r="BO366" s="310"/>
      <c r="BP366" s="310"/>
      <c r="BQ366" s="310"/>
      <c r="BR366" s="310"/>
      <c r="BS366" s="310"/>
      <c r="BT366" s="310"/>
      <c r="BU366" s="544">
        <f t="shared" si="213"/>
        <v>0</v>
      </c>
      <c r="BV366" s="556"/>
      <c r="BW366" s="663">
        <f t="shared" si="209"/>
        <v>1</v>
      </c>
      <c r="BX366" s="1047">
        <f t="shared" si="214"/>
        <v>1</v>
      </c>
      <c r="BY366" s="1047" t="str">
        <f t="shared" si="221"/>
        <v>No Programada</v>
      </c>
      <c r="BZ366" s="1047" t="str">
        <f t="shared" si="222"/>
        <v>No Programada</v>
      </c>
      <c r="CA366" s="1047">
        <f t="shared" si="223"/>
        <v>1</v>
      </c>
      <c r="CB366" s="1047" t="str">
        <f t="shared" si="224"/>
        <v>No Programada</v>
      </c>
      <c r="CD366" t="str">
        <f t="shared" si="225"/>
        <v>NP</v>
      </c>
      <c r="CE366" t="str">
        <f t="shared" si="225"/>
        <v>NP</v>
      </c>
      <c r="CF366" t="str">
        <f t="shared" si="225"/>
        <v>VE</v>
      </c>
      <c r="CG366" t="str">
        <f t="shared" si="225"/>
        <v>NP</v>
      </c>
    </row>
    <row r="367" spans="1:85" ht="51.75" hidden="1" customHeight="1" thickBot="1" x14ac:dyDescent="0.3">
      <c r="A367" s="428"/>
      <c r="B367" s="429" t="str">
        <f>'PLAN INDICATIVO'!B367</f>
        <v>FORTALECIMIENTO INSTITUCIONAL</v>
      </c>
      <c r="C367" s="1578" t="s">
        <v>1133</v>
      </c>
      <c r="D367" s="1578"/>
      <c r="E367" s="1578"/>
      <c r="F367" s="1578"/>
      <c r="G367" s="1578"/>
      <c r="H367" s="1578"/>
      <c r="I367" s="1578"/>
      <c r="J367" s="1578"/>
      <c r="K367" s="1578"/>
      <c r="L367" s="1578"/>
      <c r="M367" s="1578"/>
      <c r="N367" s="1578"/>
      <c r="O367" s="1578"/>
      <c r="P367" s="1578"/>
      <c r="Q367" s="1578"/>
      <c r="R367" s="1578"/>
      <c r="S367" s="1578"/>
      <c r="T367" s="1578"/>
      <c r="U367" s="1578"/>
      <c r="V367" s="1578"/>
      <c r="W367" s="1578"/>
      <c r="X367" s="1578"/>
      <c r="Y367" s="1578"/>
      <c r="Z367" s="1578"/>
      <c r="AA367" s="1578"/>
      <c r="AB367" s="1578"/>
      <c r="AC367" s="1578"/>
      <c r="AD367" s="1578"/>
      <c r="AE367" s="1578"/>
      <c r="AF367" s="1578"/>
      <c r="AG367" s="1578"/>
      <c r="AH367" s="1578"/>
      <c r="AI367" s="1578"/>
      <c r="AJ367" s="1578"/>
      <c r="AK367" s="1578"/>
      <c r="AL367" s="1578"/>
      <c r="AM367" s="1644"/>
      <c r="AN367" s="294"/>
      <c r="AO367" s="294"/>
      <c r="AP367" s="294"/>
      <c r="AQ367" s="294"/>
      <c r="AR367" s="294"/>
      <c r="AS367" s="294"/>
      <c r="AT367" s="294"/>
      <c r="AU367" s="294"/>
      <c r="AV367" s="294"/>
      <c r="AW367" s="294"/>
      <c r="AX367" s="294"/>
      <c r="AY367" s="294"/>
      <c r="AZ367" s="294"/>
      <c r="BA367" s="294"/>
      <c r="BB367" s="294"/>
      <c r="BC367" s="294"/>
      <c r="BD367" s="294"/>
      <c r="BE367" s="294">
        <f t="shared" si="211"/>
        <v>0</v>
      </c>
      <c r="BF367" s="294"/>
      <c r="BG367" s="294"/>
      <c r="BH367" s="294"/>
      <c r="BI367" s="294"/>
      <c r="BJ367" s="294"/>
      <c r="BK367" s="294"/>
      <c r="BL367" s="294"/>
      <c r="BM367" s="294">
        <f t="shared" si="215"/>
        <v>0</v>
      </c>
      <c r="BN367" s="294"/>
      <c r="BO367" s="294"/>
      <c r="BP367" s="294"/>
      <c r="BQ367" s="294"/>
      <c r="BR367" s="294"/>
      <c r="BS367" s="294"/>
      <c r="BT367" s="294"/>
      <c r="BU367" s="294">
        <f t="shared" si="213"/>
        <v>0</v>
      </c>
      <c r="BV367" s="294"/>
      <c r="BW367" s="294" t="s">
        <v>2717</v>
      </c>
      <c r="BX367" s="294" t="s">
        <v>2717</v>
      </c>
      <c r="BY367" s="294" t="s">
        <v>2717</v>
      </c>
      <c r="BZ367" s="294" t="s">
        <v>2717</v>
      </c>
      <c r="CA367" s="294" t="s">
        <v>2717</v>
      </c>
      <c r="CB367" s="663" t="s">
        <v>2717</v>
      </c>
      <c r="CC367" s="663"/>
    </row>
    <row r="368" spans="1:85" ht="17.25" hidden="1" customHeight="1" x14ac:dyDescent="0.25">
      <c r="A368" s="296"/>
      <c r="B368" s="331" t="str">
        <f>'PLAN INDICATIVO'!B368</f>
        <v>Fortalecimiento institucional</v>
      </c>
      <c r="C368" s="1574" t="s">
        <v>1134</v>
      </c>
      <c r="D368" s="1575"/>
      <c r="E368" s="1575"/>
      <c r="F368" s="1575"/>
      <c r="G368" s="1575"/>
      <c r="H368" s="1575"/>
      <c r="I368" s="1575"/>
      <c r="J368" s="1575"/>
      <c r="K368" s="1575"/>
      <c r="L368" s="1575"/>
      <c r="M368" s="1575"/>
      <c r="N368" s="1575"/>
      <c r="O368" s="1576"/>
      <c r="P368" s="22"/>
      <c r="Q368" s="22"/>
      <c r="R368" s="1"/>
      <c r="S368" s="261"/>
      <c r="T368" s="681"/>
      <c r="U368" s="261"/>
      <c r="V368" s="689">
        <f>SUM(V369:V393)</f>
        <v>723150000</v>
      </c>
      <c r="W368" s="261"/>
      <c r="X368" s="689">
        <f>SUM(X369:X393)</f>
        <v>1070000000</v>
      </c>
      <c r="Y368" s="261"/>
      <c r="Z368" s="689">
        <f>SUM(Z369:Z393)</f>
        <v>754000000</v>
      </c>
      <c r="AA368" s="262"/>
      <c r="AB368" s="690">
        <f>SUM(AB369:AB393)</f>
        <v>773000000</v>
      </c>
      <c r="AC368" s="262"/>
      <c r="AD368" s="262"/>
      <c r="AE368" s="262"/>
      <c r="AF368" s="262"/>
      <c r="AG368" s="263"/>
      <c r="AH368" s="263"/>
      <c r="AI368" s="263"/>
      <c r="AJ368" s="262"/>
      <c r="AK368" s="262"/>
      <c r="AL368" s="262"/>
      <c r="AM368" s="262"/>
      <c r="AN368" s="262"/>
      <c r="AO368" s="612"/>
      <c r="AP368" s="616"/>
      <c r="AQ368" s="616"/>
      <c r="AR368" s="616"/>
      <c r="AS368" s="616"/>
      <c r="AT368" s="616"/>
      <c r="AU368" s="616"/>
      <c r="AV368" s="616"/>
      <c r="AW368" s="617"/>
      <c r="AX368" s="616" t="e">
        <f>(AX369:AX393)</f>
        <v>#VALUE!</v>
      </c>
      <c r="AY368" s="616" t="e">
        <f t="shared" ref="AY368:BD368" si="226">(AY369:AY393)</f>
        <v>#VALUE!</v>
      </c>
      <c r="AZ368" s="616" t="e">
        <f t="shared" si="226"/>
        <v>#VALUE!</v>
      </c>
      <c r="BA368" s="616" t="e">
        <f t="shared" si="226"/>
        <v>#VALUE!</v>
      </c>
      <c r="BB368" s="616" t="e">
        <f t="shared" si="226"/>
        <v>#VALUE!</v>
      </c>
      <c r="BC368" s="616" t="e">
        <f t="shared" si="226"/>
        <v>#VALUE!</v>
      </c>
      <c r="BD368" s="616" t="e">
        <f t="shared" si="226"/>
        <v>#VALUE!</v>
      </c>
      <c r="BE368" s="617" t="e">
        <f t="shared" si="211"/>
        <v>#VALUE!</v>
      </c>
      <c r="BF368" s="616"/>
      <c r="BG368" s="616"/>
      <c r="BH368" s="616"/>
      <c r="BI368" s="616"/>
      <c r="BJ368" s="616"/>
      <c r="BK368" s="616"/>
      <c r="BL368" s="616"/>
      <c r="BM368" s="617">
        <f t="shared" si="215"/>
        <v>0</v>
      </c>
      <c r="BN368" s="616" t="e">
        <f>(BN369:BN393)</f>
        <v>#VALUE!</v>
      </c>
      <c r="BO368" s="616" t="e">
        <f t="shared" ref="BO368:BT368" si="227">(BO369:BO393)</f>
        <v>#VALUE!</v>
      </c>
      <c r="BP368" s="616" t="e">
        <f t="shared" si="227"/>
        <v>#VALUE!</v>
      </c>
      <c r="BQ368" s="616" t="e">
        <f t="shared" si="227"/>
        <v>#VALUE!</v>
      </c>
      <c r="BR368" s="616" t="e">
        <f t="shared" si="227"/>
        <v>#VALUE!</v>
      </c>
      <c r="BS368" s="616" t="e">
        <f t="shared" si="227"/>
        <v>#VALUE!</v>
      </c>
      <c r="BT368" s="616" t="e">
        <f t="shared" si="227"/>
        <v>#VALUE!</v>
      </c>
      <c r="BU368" s="617" t="e">
        <f t="shared" si="213"/>
        <v>#VALUE!</v>
      </c>
      <c r="BV368" s="556"/>
      <c r="BW368" s="617" t="s">
        <v>2717</v>
      </c>
      <c r="BX368" s="617" t="s">
        <v>2717</v>
      </c>
      <c r="BY368" s="617" t="s">
        <v>2717</v>
      </c>
      <c r="BZ368" s="617" t="s">
        <v>2717</v>
      </c>
      <c r="CA368" s="617" t="s">
        <v>2717</v>
      </c>
      <c r="CB368" s="1047" t="s">
        <v>2717</v>
      </c>
    </row>
    <row r="369" spans="1:85" ht="44.25" hidden="1" customHeight="1" x14ac:dyDescent="0.25">
      <c r="A369" s="298" t="s">
        <v>1135</v>
      </c>
      <c r="B369" s="299" t="str">
        <f>'PLAN INDICATIVO'!B369</f>
        <v>Fortalecimiento institucional</v>
      </c>
      <c r="C369" s="1546" t="s">
        <v>1136</v>
      </c>
      <c r="D369" s="1549" t="s">
        <v>1137</v>
      </c>
      <c r="E369" s="1549" t="s">
        <v>1138</v>
      </c>
      <c r="F369" s="1549">
        <v>2015</v>
      </c>
      <c r="G369" s="1549">
        <v>75.61</v>
      </c>
      <c r="H369" s="1549">
        <v>78</v>
      </c>
      <c r="I369" s="300">
        <f>'PLAN INDICATIVO'!I369</f>
        <v>0</v>
      </c>
      <c r="J369" s="300">
        <f>'PLAN INDICATIVO'!J369</f>
        <v>0</v>
      </c>
      <c r="K369" s="1425" t="str">
        <f>'PLAN INDICATIVO'!K369</f>
        <v>A.17.1.1</v>
      </c>
      <c r="L369" s="301" t="str">
        <f>'PLAN INDICATIVO'!L369</f>
        <v>16. Paz, justicia e instituciones sólidas</v>
      </c>
      <c r="M369" s="301" t="str">
        <f>'PLAN INDICATIVO'!M369</f>
        <v>Secretaría de Hacienda</v>
      </c>
      <c r="N369" s="1425" t="s">
        <v>2530</v>
      </c>
      <c r="O369" s="1425" t="str">
        <f>'PLAN INDICATIVO'!O369</f>
        <v>Incremento</v>
      </c>
      <c r="P369" s="16" t="str">
        <f>'PLAN INDICATIVO'!P369</f>
        <v>Implementar 8 estrategias para aumento de ingresos propios del municipio durante el cuatrienio.</v>
      </c>
      <c r="Q369" s="302" t="str">
        <f>'PLAN INDICATIVO'!Q369</f>
        <v>No. De Estrategias implementadas</v>
      </c>
      <c r="R369" s="303">
        <f>'PLAN INDICATIVO'!R369</f>
        <v>2015</v>
      </c>
      <c r="S369" s="304">
        <v>2</v>
      </c>
      <c r="T369" s="498">
        <v>8</v>
      </c>
      <c r="U369" s="303">
        <v>2</v>
      </c>
      <c r="V369" s="687">
        <v>5500000</v>
      </c>
      <c r="W369" s="572">
        <v>2</v>
      </c>
      <c r="X369" s="687">
        <v>49000000</v>
      </c>
      <c r="Y369" s="1232">
        <v>2</v>
      </c>
      <c r="Z369" s="1233">
        <v>50000000</v>
      </c>
      <c r="AA369" s="1310">
        <f>T369-BW369</f>
        <v>2</v>
      </c>
      <c r="AB369" s="687">
        <v>50000000</v>
      </c>
      <c r="AC369" s="665">
        <v>2</v>
      </c>
      <c r="AD369" s="665">
        <v>2</v>
      </c>
      <c r="AE369" s="665">
        <v>2</v>
      </c>
      <c r="AF369" s="665"/>
      <c r="AG369" s="306" t="s">
        <v>4314</v>
      </c>
      <c r="AH369" s="991">
        <v>2018413960001</v>
      </c>
      <c r="AI369" s="307" t="s">
        <v>4315</v>
      </c>
      <c r="AJ369" s="335">
        <v>43160</v>
      </c>
      <c r="AK369" s="335">
        <v>43434</v>
      </c>
      <c r="AL369" s="308"/>
      <c r="AM369" s="308"/>
      <c r="AN369" s="267" t="s">
        <v>2598</v>
      </c>
      <c r="AO369" s="507"/>
      <c r="AP369" s="525"/>
      <c r="AQ369" s="310"/>
      <c r="AR369" s="310"/>
      <c r="AS369" s="310"/>
      <c r="AT369" s="310"/>
      <c r="AU369" s="310"/>
      <c r="AV369" s="310"/>
      <c r="AW369" s="544"/>
      <c r="AX369" s="525"/>
      <c r="AY369" s="310"/>
      <c r="AZ369" s="310"/>
      <c r="BA369" s="310"/>
      <c r="BB369" s="310"/>
      <c r="BC369" s="310"/>
      <c r="BD369" s="310"/>
      <c r="BE369" s="544">
        <f t="shared" si="211"/>
        <v>0</v>
      </c>
      <c r="BF369" s="525"/>
      <c r="BG369" s="310">
        <v>141400000</v>
      </c>
      <c r="BH369" s="310"/>
      <c r="BI369" s="310"/>
      <c r="BJ369" s="310"/>
      <c r="BK369" s="310"/>
      <c r="BL369" s="310"/>
      <c r="BM369" s="544">
        <f t="shared" si="215"/>
        <v>141400000</v>
      </c>
      <c r="BN369" s="525"/>
      <c r="BO369" s="310"/>
      <c r="BP369" s="310"/>
      <c r="BQ369" s="310"/>
      <c r="BR369" s="310"/>
      <c r="BS369" s="310"/>
      <c r="BT369" s="310"/>
      <c r="BU369" s="544">
        <f t="shared" si="213"/>
        <v>0</v>
      </c>
      <c r="BV369" s="556"/>
      <c r="BW369" s="663">
        <f t="shared" ref="BW369:BW385" si="228">AC369+AD369+AE369+AF369</f>
        <v>6</v>
      </c>
      <c r="BX369" s="1047">
        <f t="shared" si="214"/>
        <v>0.75</v>
      </c>
      <c r="BY369" s="1047">
        <f t="shared" ref="BY369:BY393" si="229">IF(U369&gt;=0.1,AC369/U369,IF(ISBLANK(U369),"No Programada","Aplazada"))</f>
        <v>1</v>
      </c>
      <c r="BZ369" s="1047">
        <f t="shared" ref="BZ369:BZ393" si="230">IF(W369&gt;=0.1,AD369/W369,IF(ISBLANK(W369),"No Programada","Aplazada"))</f>
        <v>1</v>
      </c>
      <c r="CA369" s="1047">
        <f t="shared" ref="CA369:CA393" si="231">IF(Y369&gt;=0.1,AE369/Y369,IF(ISBLANK(Y369),"No Programada","Aplazada"))</f>
        <v>1</v>
      </c>
      <c r="CB369" s="1047">
        <f t="shared" ref="CB369:CB393" si="232">IF(AA369&gt;=0.1,AF369/AA369,IF(ISBLANK(AA369),"No Programada","Aplazada"))</f>
        <v>0</v>
      </c>
      <c r="CD369" t="str">
        <f t="shared" ref="CD369:CG393" si="233">IF(BY369="PARA MODIFICAR","M",IF(BY369="PARA ELIMINAR","E",IF(BY369="aplazada","AZ",IF(BY369="no programada","NP",IF(BY369&gt;=85%,"VE",IF(BY369&gt;70%,"VEB",IF(BY369&gt;60%,"AM",IF(BY369&gt;40%,"AMB",IF(BY369&gt;20%,"RO",IF(BY369&gt;=0%,"ROB",""))))))))))</f>
        <v>VE</v>
      </c>
      <c r="CE369" t="str">
        <f t="shared" si="233"/>
        <v>VE</v>
      </c>
      <c r="CF369" t="str">
        <f t="shared" si="233"/>
        <v>VE</v>
      </c>
      <c r="CG369" t="str">
        <f t="shared" si="233"/>
        <v>ROB</v>
      </c>
    </row>
    <row r="370" spans="1:85" ht="58.5" hidden="1" customHeight="1" x14ac:dyDescent="0.25">
      <c r="A370" s="298" t="s">
        <v>1135</v>
      </c>
      <c r="B370" s="299" t="str">
        <f>'PLAN INDICATIVO'!B370</f>
        <v>Fortalecimiento institucional</v>
      </c>
      <c r="C370" s="1547"/>
      <c r="D370" s="1549"/>
      <c r="E370" s="1549"/>
      <c r="F370" s="1549"/>
      <c r="G370" s="1549"/>
      <c r="H370" s="1549"/>
      <c r="I370" s="300">
        <f>'PLAN INDICATIVO'!I370</f>
        <v>0</v>
      </c>
      <c r="J370" s="300">
        <f>'PLAN INDICATIVO'!J370</f>
        <v>0</v>
      </c>
      <c r="K370" s="1425" t="str">
        <f>'PLAN INDICATIVO'!K370</f>
        <v>A.17.1.2</v>
      </c>
      <c r="L370" s="301" t="str">
        <f>'PLAN INDICATIVO'!L370</f>
        <v>16. Paz, justicia e instituciones sólidas</v>
      </c>
      <c r="M370" s="301" t="str">
        <f>'PLAN INDICATIVO'!M370</f>
        <v>Secretaría de Hacienda</v>
      </c>
      <c r="N370" s="1425" t="s">
        <v>2530</v>
      </c>
      <c r="O370" s="1425" t="str">
        <f>'PLAN INDICATIVO'!O370</f>
        <v>Incremento</v>
      </c>
      <c r="P370" s="16" t="str">
        <f>'PLAN INDICATIVO'!P370</f>
        <v>Realizar 2 revisiones  a la deuda pública para mejorar condiciones durante el cuatrienio</v>
      </c>
      <c r="Q370" s="302" t="str">
        <f>'PLAN INDICATIVO'!Q370</f>
        <v>No. De Revisiones realizadas</v>
      </c>
      <c r="R370" s="303">
        <f>'PLAN INDICATIVO'!R370</f>
        <v>2015</v>
      </c>
      <c r="S370" s="304">
        <v>2</v>
      </c>
      <c r="T370" s="498">
        <v>2</v>
      </c>
      <c r="U370" s="846">
        <v>0</v>
      </c>
      <c r="V370" s="687"/>
      <c r="W370" s="572">
        <v>1</v>
      </c>
      <c r="X370" s="687"/>
      <c r="Y370" s="1232"/>
      <c r="Z370" s="1233">
        <v>1000000</v>
      </c>
      <c r="AA370" s="1310">
        <f t="shared" ref="AA370:AA375" si="234">T370-BW370</f>
        <v>0</v>
      </c>
      <c r="AB370" s="687"/>
      <c r="AC370" s="665">
        <v>1</v>
      </c>
      <c r="AD370" s="665">
        <v>1</v>
      </c>
      <c r="AE370" s="665"/>
      <c r="AF370" s="665"/>
      <c r="AG370" s="306" t="s">
        <v>4314</v>
      </c>
      <c r="AH370" s="991">
        <v>2018413960001</v>
      </c>
      <c r="AI370" s="307" t="s">
        <v>4316</v>
      </c>
      <c r="AJ370" s="335"/>
      <c r="AK370" s="335"/>
      <c r="AL370" s="308"/>
      <c r="AM370" s="308"/>
      <c r="AN370" s="267" t="s">
        <v>2594</v>
      </c>
      <c r="AO370" s="507"/>
      <c r="AP370" s="525"/>
      <c r="AQ370" s="310"/>
      <c r="AR370" s="310"/>
      <c r="AS370" s="310"/>
      <c r="AT370" s="310"/>
      <c r="AU370" s="310"/>
      <c r="AV370" s="310"/>
      <c r="AW370" s="544"/>
      <c r="AX370" s="525"/>
      <c r="AY370" s="310"/>
      <c r="AZ370" s="310"/>
      <c r="BA370" s="310"/>
      <c r="BB370" s="310"/>
      <c r="BC370" s="310"/>
      <c r="BD370" s="310"/>
      <c r="BE370" s="544">
        <f t="shared" si="211"/>
        <v>0</v>
      </c>
      <c r="BF370" s="525"/>
      <c r="BG370" s="310">
        <v>1000000</v>
      </c>
      <c r="BH370" s="310"/>
      <c r="BI370" s="310"/>
      <c r="BJ370" s="310"/>
      <c r="BK370" s="310"/>
      <c r="BL370" s="310"/>
      <c r="BM370" s="544">
        <f t="shared" si="215"/>
        <v>1000000</v>
      </c>
      <c r="BN370" s="525"/>
      <c r="BO370" s="310"/>
      <c r="BP370" s="310"/>
      <c r="BQ370" s="310"/>
      <c r="BR370" s="310"/>
      <c r="BS370" s="310"/>
      <c r="BT370" s="310"/>
      <c r="BU370" s="544">
        <f t="shared" si="213"/>
        <v>0</v>
      </c>
      <c r="BV370" s="556"/>
      <c r="BW370" s="663">
        <f t="shared" si="228"/>
        <v>2</v>
      </c>
      <c r="BX370" s="1047">
        <f t="shared" si="214"/>
        <v>1</v>
      </c>
      <c r="BY370" s="1047" t="str">
        <f t="shared" si="229"/>
        <v>Aplazada</v>
      </c>
      <c r="BZ370" s="1047">
        <f t="shared" si="230"/>
        <v>1</v>
      </c>
      <c r="CA370" s="1047" t="str">
        <f t="shared" si="231"/>
        <v>No Programada</v>
      </c>
      <c r="CB370" s="1047" t="str">
        <f t="shared" si="232"/>
        <v>Aplazada</v>
      </c>
      <c r="CD370" t="str">
        <f t="shared" si="233"/>
        <v>AZ</v>
      </c>
      <c r="CE370" t="str">
        <f t="shared" si="233"/>
        <v>VE</v>
      </c>
      <c r="CF370" t="str">
        <f t="shared" si="233"/>
        <v>NP</v>
      </c>
      <c r="CG370" t="str">
        <f t="shared" si="233"/>
        <v>AZ</v>
      </c>
    </row>
    <row r="371" spans="1:85" ht="51" hidden="1" customHeight="1" x14ac:dyDescent="0.25">
      <c r="A371" s="298" t="s">
        <v>1135</v>
      </c>
      <c r="B371" s="299" t="str">
        <f>'PLAN INDICATIVO'!B371</f>
        <v>Fortalecimiento institucional</v>
      </c>
      <c r="C371" s="1547"/>
      <c r="D371" s="1549"/>
      <c r="E371" s="1549"/>
      <c r="F371" s="1549"/>
      <c r="G371" s="1549"/>
      <c r="H371" s="1549"/>
      <c r="I371" s="300">
        <f>'PLAN INDICATIVO'!I371</f>
        <v>0</v>
      </c>
      <c r="J371" s="300">
        <f>'PLAN INDICATIVO'!J371</f>
        <v>0</v>
      </c>
      <c r="K371" s="1425" t="str">
        <f>'PLAN INDICATIVO'!K371</f>
        <v>A.17.1.3</v>
      </c>
      <c r="L371" s="301" t="str">
        <f>'PLAN INDICATIVO'!L371</f>
        <v>16. Paz, justicia e instituciones sólidas</v>
      </c>
      <c r="M371" s="301" t="str">
        <f>'PLAN INDICATIVO'!M371</f>
        <v>Secretaría de Hacienda</v>
      </c>
      <c r="N371" s="1425" t="s">
        <v>2530</v>
      </c>
      <c r="O371" s="1425" t="str">
        <f>'PLAN INDICATIVO'!O371</f>
        <v>Incremento</v>
      </c>
      <c r="P371" s="16" t="str">
        <f>'PLAN INDICATIVO'!P371</f>
        <v>Realizar 2 capacitaciones referente a gestión fiscal dirigida a funcionarios durante el cuatrienio</v>
      </c>
      <c r="Q371" s="302" t="str">
        <f>'PLAN INDICATIVO'!Q371</f>
        <v>No. de capacitaciones realizadas</v>
      </c>
      <c r="R371" s="303">
        <f>'PLAN INDICATIVO'!R371</f>
        <v>2015</v>
      </c>
      <c r="S371" s="304">
        <v>0</v>
      </c>
      <c r="T371" s="498">
        <v>2</v>
      </c>
      <c r="U371" s="846">
        <v>0</v>
      </c>
      <c r="V371" s="687"/>
      <c r="W371" s="572">
        <v>1</v>
      </c>
      <c r="X371" s="687"/>
      <c r="Y371" s="1232">
        <v>1</v>
      </c>
      <c r="Z371" s="1233">
        <v>1000000</v>
      </c>
      <c r="AA371" s="1310">
        <f t="shared" si="234"/>
        <v>0</v>
      </c>
      <c r="AB371" s="687"/>
      <c r="AC371" s="665">
        <v>0</v>
      </c>
      <c r="AD371" s="665">
        <v>1</v>
      </c>
      <c r="AE371" s="665">
        <v>1</v>
      </c>
      <c r="AF371" s="665"/>
      <c r="AG371" s="306" t="s">
        <v>4314</v>
      </c>
      <c r="AH371" s="991">
        <v>2018413960001</v>
      </c>
      <c r="AI371" s="307" t="s">
        <v>4317</v>
      </c>
      <c r="AJ371" s="335">
        <v>43146</v>
      </c>
      <c r="AK371" s="335">
        <v>43250</v>
      </c>
      <c r="AL371" s="308"/>
      <c r="AM371" s="308" t="s">
        <v>2717</v>
      </c>
      <c r="AN371" s="267" t="s">
        <v>2598</v>
      </c>
      <c r="AO371" s="507"/>
      <c r="AP371" s="525"/>
      <c r="AQ371" s="310"/>
      <c r="AR371" s="310"/>
      <c r="AS371" s="310"/>
      <c r="AT371" s="310"/>
      <c r="AU371" s="310"/>
      <c r="AV371" s="310"/>
      <c r="AW371" s="544"/>
      <c r="AX371" s="525"/>
      <c r="AY371" s="310"/>
      <c r="AZ371" s="310"/>
      <c r="BA371" s="310"/>
      <c r="BB371" s="310"/>
      <c r="BC371" s="310"/>
      <c r="BD371" s="310"/>
      <c r="BE371" s="544">
        <f t="shared" si="211"/>
        <v>0</v>
      </c>
      <c r="BF371" s="525"/>
      <c r="BG371" s="310">
        <v>1000000</v>
      </c>
      <c r="BH371" s="310"/>
      <c r="BI371" s="310"/>
      <c r="BJ371" s="310"/>
      <c r="BK371" s="310"/>
      <c r="BL371" s="310"/>
      <c r="BM371" s="544">
        <f t="shared" si="215"/>
        <v>1000000</v>
      </c>
      <c r="BN371" s="525"/>
      <c r="BO371" s="310"/>
      <c r="BP371" s="310"/>
      <c r="BQ371" s="310"/>
      <c r="BR371" s="310"/>
      <c r="BS371" s="310"/>
      <c r="BT371" s="310"/>
      <c r="BU371" s="544">
        <f t="shared" si="213"/>
        <v>0</v>
      </c>
      <c r="BV371" s="556"/>
      <c r="BW371" s="663">
        <f t="shared" si="228"/>
        <v>2</v>
      </c>
      <c r="BX371" s="1047">
        <f t="shared" si="214"/>
        <v>1</v>
      </c>
      <c r="BY371" s="1047" t="str">
        <f t="shared" si="229"/>
        <v>Aplazada</v>
      </c>
      <c r="BZ371" s="1047">
        <f t="shared" si="230"/>
        <v>1</v>
      </c>
      <c r="CA371" s="1047">
        <f t="shared" si="231"/>
        <v>1</v>
      </c>
      <c r="CB371" s="1047" t="str">
        <f t="shared" si="232"/>
        <v>Aplazada</v>
      </c>
      <c r="CD371" t="str">
        <f t="shared" si="233"/>
        <v>AZ</v>
      </c>
      <c r="CE371" t="str">
        <f t="shared" si="233"/>
        <v>VE</v>
      </c>
      <c r="CF371" t="str">
        <f t="shared" si="233"/>
        <v>VE</v>
      </c>
      <c r="CG371" t="str">
        <f t="shared" si="233"/>
        <v>AZ</v>
      </c>
    </row>
    <row r="372" spans="1:85" ht="56.25" hidden="1" customHeight="1" x14ac:dyDescent="0.25">
      <c r="A372" s="298" t="s">
        <v>1135</v>
      </c>
      <c r="B372" s="299" t="str">
        <f>'PLAN INDICATIVO'!B372</f>
        <v>Fortalecimiento institucional</v>
      </c>
      <c r="C372" s="1547"/>
      <c r="D372" s="1549"/>
      <c r="E372" s="1549"/>
      <c r="F372" s="1549"/>
      <c r="G372" s="1549"/>
      <c r="H372" s="1549"/>
      <c r="I372" s="300">
        <f>'PLAN INDICATIVO'!I372</f>
        <v>0</v>
      </c>
      <c r="J372" s="300">
        <f>'PLAN INDICATIVO'!J372</f>
        <v>0</v>
      </c>
      <c r="K372" s="1425" t="str">
        <f>'PLAN INDICATIVO'!K372</f>
        <v>A.17.1.4</v>
      </c>
      <c r="L372" s="301" t="str">
        <f>'PLAN INDICATIVO'!L372</f>
        <v>16. Paz, justicia e instituciones sólidas</v>
      </c>
      <c r="M372" s="301" t="str">
        <f>'PLAN INDICATIVO'!M372</f>
        <v>Secretaría de Hacienda</v>
      </c>
      <c r="N372" s="1425" t="s">
        <v>2530</v>
      </c>
      <c r="O372" s="1425" t="str">
        <f>'PLAN INDICATIVO'!O372</f>
        <v>Mantenimiento</v>
      </c>
      <c r="P372" s="16" t="str">
        <f>'PLAN INDICATIVO'!P372</f>
        <v>Realizar 3 actividades de fiscalización a gastos e ingresos cada año</v>
      </c>
      <c r="Q372" s="302" t="str">
        <f>'PLAN INDICATIVO'!Q372</f>
        <v>No. de actividades realizadas por año</v>
      </c>
      <c r="R372" s="303">
        <f>'PLAN INDICATIVO'!R372</f>
        <v>2015</v>
      </c>
      <c r="S372" s="304">
        <v>2</v>
      </c>
      <c r="T372" s="498">
        <v>12</v>
      </c>
      <c r="U372" s="303">
        <v>3</v>
      </c>
      <c r="V372" s="687">
        <v>1000000</v>
      </c>
      <c r="W372" s="572">
        <v>3</v>
      </c>
      <c r="X372" s="687">
        <v>1000000</v>
      </c>
      <c r="Y372" s="1232">
        <v>3</v>
      </c>
      <c r="Z372" s="1233">
        <v>1000000</v>
      </c>
      <c r="AA372" s="1310">
        <f t="shared" si="234"/>
        <v>5</v>
      </c>
      <c r="AB372" s="687">
        <v>1000000</v>
      </c>
      <c r="AC372" s="665">
        <v>1</v>
      </c>
      <c r="AD372" s="665">
        <v>3</v>
      </c>
      <c r="AE372" s="665">
        <v>3</v>
      </c>
      <c r="AF372" s="665"/>
      <c r="AG372" s="306" t="s">
        <v>4314</v>
      </c>
      <c r="AH372" s="991">
        <v>2018413960001</v>
      </c>
      <c r="AI372" s="307" t="s">
        <v>4318</v>
      </c>
      <c r="AJ372" s="335">
        <v>43449</v>
      </c>
      <c r="AK372" s="335">
        <v>43449</v>
      </c>
      <c r="AL372" s="308"/>
      <c r="AM372" s="308"/>
      <c r="AN372" s="267" t="s">
        <v>2598</v>
      </c>
      <c r="AO372" s="507"/>
      <c r="AP372" s="525"/>
      <c r="AQ372" s="310"/>
      <c r="AR372" s="310"/>
      <c r="AS372" s="310"/>
      <c r="AT372" s="310"/>
      <c r="AU372" s="310"/>
      <c r="AV372" s="310"/>
      <c r="AW372" s="544"/>
      <c r="AX372" s="525"/>
      <c r="AY372" s="310"/>
      <c r="AZ372" s="310"/>
      <c r="BA372" s="310"/>
      <c r="BB372" s="310"/>
      <c r="BC372" s="310"/>
      <c r="BD372" s="310"/>
      <c r="BE372" s="544">
        <f t="shared" si="211"/>
        <v>0</v>
      </c>
      <c r="BF372" s="525"/>
      <c r="BG372" s="310">
        <v>3000000</v>
      </c>
      <c r="BH372" s="310"/>
      <c r="BI372" s="310"/>
      <c r="BJ372" s="310"/>
      <c r="BK372" s="310"/>
      <c r="BL372" s="310"/>
      <c r="BM372" s="544">
        <f t="shared" si="215"/>
        <v>3000000</v>
      </c>
      <c r="BN372" s="525"/>
      <c r="BO372" s="310"/>
      <c r="BP372" s="310"/>
      <c r="BQ372" s="310"/>
      <c r="BR372" s="310"/>
      <c r="BS372" s="310"/>
      <c r="BT372" s="310"/>
      <c r="BU372" s="544">
        <f t="shared" si="213"/>
        <v>0</v>
      </c>
      <c r="BV372" s="556"/>
      <c r="BW372" s="663">
        <f t="shared" si="228"/>
        <v>7</v>
      </c>
      <c r="BX372" s="1047">
        <f t="shared" si="214"/>
        <v>0.58333333333333337</v>
      </c>
      <c r="BY372" s="1047">
        <f t="shared" si="229"/>
        <v>0.33333333333333331</v>
      </c>
      <c r="BZ372" s="1047">
        <f t="shared" si="230"/>
        <v>1</v>
      </c>
      <c r="CA372" s="1047">
        <f t="shared" si="231"/>
        <v>1</v>
      </c>
      <c r="CB372" s="1047">
        <f t="shared" si="232"/>
        <v>0</v>
      </c>
      <c r="CD372" t="str">
        <f t="shared" si="233"/>
        <v>RO</v>
      </c>
      <c r="CE372" t="str">
        <f t="shared" si="233"/>
        <v>VE</v>
      </c>
      <c r="CF372" t="str">
        <f t="shared" si="233"/>
        <v>VE</v>
      </c>
      <c r="CG372" t="str">
        <f t="shared" si="233"/>
        <v>ROB</v>
      </c>
    </row>
    <row r="373" spans="1:85" ht="41.25" hidden="1" customHeight="1" x14ac:dyDescent="0.25">
      <c r="A373" s="298" t="s">
        <v>1135</v>
      </c>
      <c r="B373" s="299" t="str">
        <f>'PLAN INDICATIVO'!B373</f>
        <v>Fortalecimiento institucional</v>
      </c>
      <c r="C373" s="1547"/>
      <c r="D373" s="1549"/>
      <c r="E373" s="1549"/>
      <c r="F373" s="1549"/>
      <c r="G373" s="1549"/>
      <c r="H373" s="1549"/>
      <c r="I373" s="1425" t="str">
        <f>'PLAN INDICATIVO'!I373</f>
        <v>si</v>
      </c>
      <c r="J373" s="1425">
        <f>'PLAN INDICATIVO'!J373</f>
        <v>0</v>
      </c>
      <c r="K373" s="1425" t="str">
        <f>'PLAN INDICATIVO'!K373</f>
        <v>A.17.1.5</v>
      </c>
      <c r="L373" s="301" t="str">
        <f>'PLAN INDICATIVO'!L373</f>
        <v>16. Paz, justicia e instituciones sólidas</v>
      </c>
      <c r="M373" s="301" t="str">
        <f>'PLAN INDICATIVO'!M373</f>
        <v>Departamento Municipal de Planeación</v>
      </c>
      <c r="N373" s="1425" t="str">
        <f>'PLAN INDICATIVO'!N373</f>
        <v>MAURICIO LEGARDA GONZALEZ</v>
      </c>
      <c r="O373" s="1425" t="str">
        <f>'PLAN INDICATIVO'!O373</f>
        <v>Incremento</v>
      </c>
      <c r="P373" s="820" t="str">
        <f>'PLAN INDICATIVO'!P373</f>
        <v>Actualizar y aprobar 1 PBOT durante el cuatrienio</v>
      </c>
      <c r="Q373" s="302" t="str">
        <f>'PLAN INDICATIVO'!Q373</f>
        <v>No. De PBOT actualizado y aprobado</v>
      </c>
      <c r="R373" s="303">
        <f>'PLAN INDICATIVO'!R373</f>
        <v>2015</v>
      </c>
      <c r="S373" s="304">
        <v>0</v>
      </c>
      <c r="T373" s="498">
        <v>1</v>
      </c>
      <c r="U373" s="303">
        <v>0</v>
      </c>
      <c r="V373" s="687">
        <v>301000000</v>
      </c>
      <c r="W373" s="823">
        <v>0.3</v>
      </c>
      <c r="X373" s="687">
        <v>301000000</v>
      </c>
      <c r="Y373" s="1232">
        <v>0.1</v>
      </c>
      <c r="Z373" s="1233"/>
      <c r="AA373" s="1310">
        <f t="shared" si="234"/>
        <v>0.8</v>
      </c>
      <c r="AB373" s="687"/>
      <c r="AC373" s="665"/>
      <c r="AD373" s="665">
        <v>0.1</v>
      </c>
      <c r="AE373" s="665">
        <v>0.1</v>
      </c>
      <c r="AF373" s="665"/>
      <c r="AG373" s="306" t="s">
        <v>4314</v>
      </c>
      <c r="AH373" s="991">
        <v>2018413960001</v>
      </c>
      <c r="AI373" s="307" t="s">
        <v>4319</v>
      </c>
      <c r="AJ373" s="838"/>
      <c r="AK373" s="838"/>
      <c r="AL373" s="308"/>
      <c r="AM373" s="308"/>
      <c r="AN373" s="267" t="s">
        <v>2598</v>
      </c>
      <c r="AO373" s="507"/>
      <c r="AP373" s="525"/>
      <c r="AQ373" s="310"/>
      <c r="AR373" s="310"/>
      <c r="AS373" s="310"/>
      <c r="AT373" s="310"/>
      <c r="AU373" s="310"/>
      <c r="AV373" s="310"/>
      <c r="AW373" s="544"/>
      <c r="AX373" s="525"/>
      <c r="AY373" s="310"/>
      <c r="AZ373" s="310"/>
      <c r="BA373" s="310"/>
      <c r="BB373" s="310"/>
      <c r="BC373" s="310"/>
      <c r="BD373" s="310"/>
      <c r="BE373" s="544">
        <f t="shared" si="211"/>
        <v>0</v>
      </c>
      <c r="BF373" s="525"/>
      <c r="BG373" s="310"/>
      <c r="BH373" s="310"/>
      <c r="BI373" s="310"/>
      <c r="BJ373" s="310"/>
      <c r="BK373" s="310"/>
      <c r="BL373" s="310"/>
      <c r="BM373" s="544">
        <f t="shared" si="215"/>
        <v>0</v>
      </c>
      <c r="BN373" s="525"/>
      <c r="BO373" s="310"/>
      <c r="BP373" s="310"/>
      <c r="BQ373" s="310"/>
      <c r="BR373" s="310"/>
      <c r="BS373" s="310"/>
      <c r="BT373" s="310"/>
      <c r="BU373" s="544">
        <f t="shared" si="213"/>
        <v>0</v>
      </c>
      <c r="BV373" s="556"/>
      <c r="BW373" s="663">
        <f t="shared" si="228"/>
        <v>0.2</v>
      </c>
      <c r="BX373" s="1047">
        <f t="shared" si="214"/>
        <v>0.2</v>
      </c>
      <c r="BY373" s="1047" t="str">
        <f t="shared" si="229"/>
        <v>Aplazada</v>
      </c>
      <c r="BZ373" s="1047">
        <f t="shared" si="230"/>
        <v>0.33333333333333337</v>
      </c>
      <c r="CA373" s="1047">
        <f t="shared" si="231"/>
        <v>1</v>
      </c>
      <c r="CB373" s="1047">
        <f t="shared" si="232"/>
        <v>0</v>
      </c>
      <c r="CD373" t="str">
        <f t="shared" si="233"/>
        <v>AZ</v>
      </c>
      <c r="CE373" t="str">
        <f t="shared" si="233"/>
        <v>RO</v>
      </c>
      <c r="CF373" t="str">
        <f t="shared" si="233"/>
        <v>VE</v>
      </c>
      <c r="CG373" t="str">
        <f t="shared" si="233"/>
        <v>ROB</v>
      </c>
    </row>
    <row r="374" spans="1:85" ht="57" hidden="1" customHeight="1" x14ac:dyDescent="0.25">
      <c r="A374" s="298" t="s">
        <v>1135</v>
      </c>
      <c r="B374" s="299" t="str">
        <f>'PLAN INDICATIVO'!B374</f>
        <v>Fortalecimiento institucional</v>
      </c>
      <c r="C374" s="1547"/>
      <c r="D374" s="1549"/>
      <c r="E374" s="1549"/>
      <c r="F374" s="1549"/>
      <c r="G374" s="1549"/>
      <c r="H374" s="1549"/>
      <c r="I374" s="300">
        <f>'PLAN INDICATIVO'!I374</f>
        <v>0</v>
      </c>
      <c r="J374" s="300">
        <f>'PLAN INDICATIVO'!J374</f>
        <v>0</v>
      </c>
      <c r="K374" s="1425" t="str">
        <f>'PLAN INDICATIVO'!K374</f>
        <v>A.17.1.6</v>
      </c>
      <c r="L374" s="301" t="str">
        <f>'PLAN INDICATIVO'!L374</f>
        <v>16. Paz, justicia e instituciones sólidas</v>
      </c>
      <c r="M374" s="301" t="str">
        <f>'PLAN INDICATIVO'!M374</f>
        <v>Secretaría de Gobierno</v>
      </c>
      <c r="N374" s="1425" t="str">
        <f>'PLAN INDICATIVO'!N374</f>
        <v>HERNAN RODRIGUEZ FALLA</v>
      </c>
      <c r="O374" s="1425" t="str">
        <f>'PLAN INDICATIVO'!O374</f>
        <v>Incremento</v>
      </c>
      <c r="P374" s="16" t="str">
        <f>'PLAN INDICATIVO'!P374</f>
        <v>Realizar 1 estudio para la reorganización funcional del municipio durante el cuatrienio (manuales de funciones y procedimientos)</v>
      </c>
      <c r="Q374" s="302" t="str">
        <f>'PLAN INDICATIVO'!Q374</f>
        <v>No. De Estudio de reorganización administrativa realizados</v>
      </c>
      <c r="R374" s="303">
        <f>'PLAN INDICATIVO'!R374</f>
        <v>2015</v>
      </c>
      <c r="S374" s="304">
        <v>0</v>
      </c>
      <c r="T374" s="498">
        <v>1</v>
      </c>
      <c r="U374" s="303">
        <v>0</v>
      </c>
      <c r="V374" s="687">
        <v>5000000</v>
      </c>
      <c r="W374" s="572">
        <v>1</v>
      </c>
      <c r="X374" s="687"/>
      <c r="Y374" s="1232"/>
      <c r="Z374" s="1233"/>
      <c r="AA374" s="1310">
        <f t="shared" si="234"/>
        <v>0.7</v>
      </c>
      <c r="AB374" s="687"/>
      <c r="AC374" s="665">
        <v>0</v>
      </c>
      <c r="AD374" s="665">
        <v>0.3</v>
      </c>
      <c r="AE374" s="665"/>
      <c r="AF374" s="665"/>
      <c r="AG374" s="306" t="s">
        <v>4314</v>
      </c>
      <c r="AH374" s="991">
        <v>2018413960001</v>
      </c>
      <c r="AI374" s="307" t="s">
        <v>4320</v>
      </c>
      <c r="AJ374" s="335"/>
      <c r="AK374" s="335"/>
      <c r="AL374" s="308"/>
      <c r="AM374" s="308" t="s">
        <v>2717</v>
      </c>
      <c r="AN374" s="281" t="s">
        <v>2594</v>
      </c>
      <c r="AO374" s="507"/>
      <c r="AP374" s="525"/>
      <c r="AQ374" s="310"/>
      <c r="AR374" s="310"/>
      <c r="AS374" s="310"/>
      <c r="AT374" s="310"/>
      <c r="AU374" s="310"/>
      <c r="AV374" s="310"/>
      <c r="AW374" s="544"/>
      <c r="AX374" s="525"/>
      <c r="AY374" s="310"/>
      <c r="AZ374" s="310"/>
      <c r="BA374" s="310"/>
      <c r="BB374" s="310"/>
      <c r="BC374" s="310"/>
      <c r="BD374" s="310"/>
      <c r="BE374" s="544">
        <f t="shared" si="211"/>
        <v>0</v>
      </c>
      <c r="BF374" s="525"/>
      <c r="BG374" s="310"/>
      <c r="BH374" s="310"/>
      <c r="BI374" s="310"/>
      <c r="BJ374" s="310"/>
      <c r="BK374" s="310"/>
      <c r="BL374" s="310"/>
      <c r="BM374" s="544">
        <f t="shared" si="215"/>
        <v>0</v>
      </c>
      <c r="BN374" s="525"/>
      <c r="BO374" s="310"/>
      <c r="BP374" s="310"/>
      <c r="BQ374" s="310"/>
      <c r="BR374" s="310"/>
      <c r="BS374" s="310"/>
      <c r="BT374" s="310"/>
      <c r="BU374" s="544">
        <f t="shared" si="213"/>
        <v>0</v>
      </c>
      <c r="BV374" s="556"/>
      <c r="BW374" s="663">
        <f t="shared" si="228"/>
        <v>0.3</v>
      </c>
      <c r="BX374" s="1047">
        <f t="shared" si="214"/>
        <v>0.3</v>
      </c>
      <c r="BY374" s="1047" t="str">
        <f t="shared" si="229"/>
        <v>Aplazada</v>
      </c>
      <c r="BZ374" s="1047">
        <f t="shared" si="230"/>
        <v>0.3</v>
      </c>
      <c r="CA374" s="1047" t="str">
        <f t="shared" si="231"/>
        <v>No Programada</v>
      </c>
      <c r="CB374" s="1047">
        <f t="shared" si="232"/>
        <v>0</v>
      </c>
      <c r="CD374" t="str">
        <f t="shared" si="233"/>
        <v>AZ</v>
      </c>
      <c r="CE374" t="str">
        <f t="shared" si="233"/>
        <v>RO</v>
      </c>
      <c r="CF374" t="str">
        <f t="shared" si="233"/>
        <v>NP</v>
      </c>
      <c r="CG374" t="str">
        <f t="shared" si="233"/>
        <v>ROB</v>
      </c>
    </row>
    <row r="375" spans="1:85" ht="75.75" hidden="1" customHeight="1" x14ac:dyDescent="0.25">
      <c r="A375" s="298" t="s">
        <v>1135</v>
      </c>
      <c r="B375" s="299" t="str">
        <f>'PLAN INDICATIVO'!B375</f>
        <v>Fortalecimiento institucional</v>
      </c>
      <c r="C375" s="1547"/>
      <c r="D375" s="1549"/>
      <c r="E375" s="1549"/>
      <c r="F375" s="1549"/>
      <c r="G375" s="1549"/>
      <c r="H375" s="1549"/>
      <c r="I375" s="300">
        <f>'PLAN INDICATIVO'!I375</f>
        <v>0</v>
      </c>
      <c r="J375" s="300">
        <f>'PLAN INDICATIVO'!J375</f>
        <v>0</v>
      </c>
      <c r="K375" s="1425" t="str">
        <f>'PLAN INDICATIVO'!K375</f>
        <v>A.17.1.7</v>
      </c>
      <c r="L375" s="301" t="str">
        <f>'PLAN INDICATIVO'!L375</f>
        <v>16. Paz, justicia e instituciones sólidas</v>
      </c>
      <c r="M375" s="301" t="str">
        <f>'PLAN INDICATIVO'!M375</f>
        <v>Secretaría de Gobierno</v>
      </c>
      <c r="N375" s="1425" t="str">
        <f>'PLAN INDICATIVO'!N375</f>
        <v>HERNAN RODRIGUEZ FALLA</v>
      </c>
      <c r="O375" s="1425" t="str">
        <f>'PLAN INDICATIVO'!O375</f>
        <v>Mantenimiento</v>
      </c>
      <c r="P375" s="16" t="str">
        <f>'PLAN INDICATIVO'!P375</f>
        <v>Ejecutar 1 programa anual para el fortalecimiento administrativo, técnico, jurídico y/o profesional de la administración municipal.</v>
      </c>
      <c r="Q375" s="302" t="str">
        <f>'PLAN INDICATIVO'!Q375</f>
        <v>No. De programas ejecutados anualmente</v>
      </c>
      <c r="R375" s="303">
        <f>'PLAN INDICATIVO'!R375</f>
        <v>2015</v>
      </c>
      <c r="S375" s="304">
        <v>1</v>
      </c>
      <c r="T375" s="498">
        <v>1</v>
      </c>
      <c r="U375" s="934">
        <v>0.25</v>
      </c>
      <c r="V375" s="687">
        <v>157340000</v>
      </c>
      <c r="W375" s="934">
        <v>0.25</v>
      </c>
      <c r="X375" s="687">
        <v>270000000</v>
      </c>
      <c r="Y375" s="1238">
        <v>0.25</v>
      </c>
      <c r="Z375" s="1233">
        <v>280000000</v>
      </c>
      <c r="AA375" s="1310">
        <f t="shared" si="234"/>
        <v>0.25</v>
      </c>
      <c r="AB375" s="687">
        <v>290000000</v>
      </c>
      <c r="AC375" s="665">
        <v>0.25</v>
      </c>
      <c r="AD375" s="665">
        <v>0.25</v>
      </c>
      <c r="AE375" s="665">
        <v>0.25</v>
      </c>
      <c r="AF375" s="665"/>
      <c r="AG375" s="306" t="s">
        <v>4314</v>
      </c>
      <c r="AH375" s="991">
        <v>2018413960001</v>
      </c>
      <c r="AI375" s="335" t="s">
        <v>4321</v>
      </c>
      <c r="AJ375" s="335">
        <v>43104</v>
      </c>
      <c r="AK375" s="335">
        <v>43464</v>
      </c>
      <c r="AL375" s="335"/>
      <c r="AM375" s="308"/>
      <c r="AN375" s="281" t="s">
        <v>2598</v>
      </c>
      <c r="AO375" s="507">
        <v>231701</v>
      </c>
      <c r="AP375" s="525"/>
      <c r="AQ375" s="310"/>
      <c r="AR375" s="310"/>
      <c r="AS375" s="310"/>
      <c r="AT375" s="310"/>
      <c r="AU375" s="310"/>
      <c r="AV375" s="310"/>
      <c r="AW375" s="544">
        <f>AP375+AQ375+AR375+AS375+AT375+AU375+AV375</f>
        <v>0</v>
      </c>
      <c r="AX375" s="525"/>
      <c r="AY375" s="310"/>
      <c r="AZ375" s="310"/>
      <c r="BA375" s="310"/>
      <c r="BB375" s="310"/>
      <c r="BC375" s="310"/>
      <c r="BD375" s="310"/>
      <c r="BE375" s="544">
        <f t="shared" si="211"/>
        <v>0</v>
      </c>
      <c r="BF375" s="525"/>
      <c r="BG375" s="310">
        <v>86866700</v>
      </c>
      <c r="BH375" s="310"/>
      <c r="BI375" s="310"/>
      <c r="BJ375" s="310"/>
      <c r="BK375" s="310"/>
      <c r="BL375" s="310"/>
      <c r="BM375" s="544">
        <f t="shared" si="215"/>
        <v>86866700</v>
      </c>
      <c r="BN375" s="525"/>
      <c r="BO375" s="310"/>
      <c r="BP375" s="310"/>
      <c r="BQ375" s="310"/>
      <c r="BR375" s="310"/>
      <c r="BS375" s="310"/>
      <c r="BT375" s="310"/>
      <c r="BU375" s="544">
        <f t="shared" si="213"/>
        <v>0</v>
      </c>
      <c r="BV375" s="556"/>
      <c r="BW375" s="663">
        <f t="shared" si="228"/>
        <v>0.75</v>
      </c>
      <c r="BX375" s="1047">
        <f t="shared" si="214"/>
        <v>0.75</v>
      </c>
      <c r="BY375" s="1047">
        <f t="shared" si="229"/>
        <v>1</v>
      </c>
      <c r="BZ375" s="1047">
        <f t="shared" si="230"/>
        <v>1</v>
      </c>
      <c r="CA375" s="1047">
        <f t="shared" si="231"/>
        <v>1</v>
      </c>
      <c r="CB375" s="1047">
        <f t="shared" si="232"/>
        <v>0</v>
      </c>
      <c r="CD375" t="str">
        <f t="shared" si="233"/>
        <v>VE</v>
      </c>
      <c r="CE375" t="str">
        <f t="shared" si="233"/>
        <v>VE</v>
      </c>
      <c r="CF375" t="str">
        <f t="shared" si="233"/>
        <v>VE</v>
      </c>
      <c r="CG375" t="str">
        <f t="shared" si="233"/>
        <v>ROB</v>
      </c>
    </row>
    <row r="376" spans="1:85" ht="57.75" hidden="1" customHeight="1" x14ac:dyDescent="0.25">
      <c r="A376" s="298" t="s">
        <v>1135</v>
      </c>
      <c r="B376" s="299" t="str">
        <f>'PLAN INDICATIVO'!B376</f>
        <v>Fortalecimiento institucional</v>
      </c>
      <c r="C376" s="1547"/>
      <c r="D376" s="1549"/>
      <c r="E376" s="1549"/>
      <c r="F376" s="1549"/>
      <c r="G376" s="1549"/>
      <c r="H376" s="1549"/>
      <c r="I376" s="300">
        <f>'PLAN INDICATIVO'!I376</f>
        <v>0</v>
      </c>
      <c r="J376" s="300">
        <f>'PLAN INDICATIVO'!J376</f>
        <v>0</v>
      </c>
      <c r="K376" s="1425" t="str">
        <f>'PLAN INDICATIVO'!K376</f>
        <v>A.17.1.8</v>
      </c>
      <c r="L376" s="301" t="str">
        <f>'PLAN INDICATIVO'!L376</f>
        <v>16. Paz, justicia e instituciones sólidas</v>
      </c>
      <c r="M376" s="301" t="str">
        <f>'PLAN INDICATIVO'!M376</f>
        <v>Secretaría de Gobierno</v>
      </c>
      <c r="N376" s="1425" t="str">
        <f>'PLAN INDICATIVO'!N376</f>
        <v>HERNAN RODRIGUEZ FALLA</v>
      </c>
      <c r="O376" s="1425" t="str">
        <f>'PLAN INDICATIVO'!O376</f>
        <v>Incremento</v>
      </c>
      <c r="P376" s="16" t="str">
        <f>'PLAN INDICATIVO'!P376</f>
        <v>Apoyar 4 veedurías públicas para vigilancia a la contratación pública durante el cuatrienio</v>
      </c>
      <c r="Q376" s="302" t="str">
        <f>'PLAN INDICATIVO'!Q376</f>
        <v>No. de veedurías apoyadas</v>
      </c>
      <c r="R376" s="303">
        <f>'PLAN INDICATIVO'!R376</f>
        <v>2015</v>
      </c>
      <c r="S376" s="304">
        <v>4</v>
      </c>
      <c r="T376" s="498">
        <v>4</v>
      </c>
      <c r="U376" s="303">
        <v>1</v>
      </c>
      <c r="V376" s="687">
        <v>1000000</v>
      </c>
      <c r="W376" s="572">
        <v>1</v>
      </c>
      <c r="X376" s="687">
        <v>1000000</v>
      </c>
      <c r="Y376" s="1232">
        <v>1</v>
      </c>
      <c r="Z376" s="1233">
        <v>1000000</v>
      </c>
      <c r="AA376" s="1310">
        <f>T376-BW376</f>
        <v>1</v>
      </c>
      <c r="AB376" s="687">
        <v>1000000</v>
      </c>
      <c r="AC376" s="665">
        <v>1</v>
      </c>
      <c r="AD376" s="665">
        <v>1</v>
      </c>
      <c r="AE376" s="665">
        <v>1</v>
      </c>
      <c r="AF376" s="665"/>
      <c r="AG376" s="306" t="s">
        <v>4314</v>
      </c>
      <c r="AH376" s="991">
        <v>2018413960001</v>
      </c>
      <c r="AI376" s="307" t="s">
        <v>4322</v>
      </c>
      <c r="AJ376" s="939"/>
      <c r="AK376" s="939"/>
      <c r="AL376" s="939"/>
      <c r="AM376" s="308"/>
      <c r="AN376" s="281" t="s">
        <v>2598</v>
      </c>
      <c r="AO376" s="507"/>
      <c r="AP376" s="525"/>
      <c r="AQ376" s="310"/>
      <c r="AR376" s="310"/>
      <c r="AS376" s="310"/>
      <c r="AT376" s="310"/>
      <c r="AU376" s="310"/>
      <c r="AV376" s="310"/>
      <c r="AW376" s="544"/>
      <c r="AX376" s="525"/>
      <c r="AY376" s="310"/>
      <c r="AZ376" s="310"/>
      <c r="BA376" s="310"/>
      <c r="BB376" s="310"/>
      <c r="BC376" s="310"/>
      <c r="BD376" s="310"/>
      <c r="BE376" s="544">
        <f t="shared" si="211"/>
        <v>0</v>
      </c>
      <c r="BF376" s="525"/>
      <c r="BG376" s="310"/>
      <c r="BH376" s="310"/>
      <c r="BI376" s="310"/>
      <c r="BJ376" s="310"/>
      <c r="BK376" s="310"/>
      <c r="BL376" s="310"/>
      <c r="BM376" s="544">
        <f t="shared" si="215"/>
        <v>0</v>
      </c>
      <c r="BN376" s="525"/>
      <c r="BO376" s="310"/>
      <c r="BP376" s="310"/>
      <c r="BQ376" s="310"/>
      <c r="BR376" s="310"/>
      <c r="BS376" s="310"/>
      <c r="BT376" s="310"/>
      <c r="BU376" s="544">
        <f t="shared" si="213"/>
        <v>0</v>
      </c>
      <c r="BV376" s="556"/>
      <c r="BW376" s="663">
        <f t="shared" si="228"/>
        <v>3</v>
      </c>
      <c r="BX376" s="1047">
        <f t="shared" si="214"/>
        <v>0.75</v>
      </c>
      <c r="BY376" s="1047">
        <f t="shared" si="229"/>
        <v>1</v>
      </c>
      <c r="BZ376" s="1047">
        <f t="shared" si="230"/>
        <v>1</v>
      </c>
      <c r="CA376" s="1047">
        <f t="shared" si="231"/>
        <v>1</v>
      </c>
      <c r="CB376" s="1047">
        <f t="shared" si="232"/>
        <v>0</v>
      </c>
      <c r="CC376" s="540"/>
      <c r="CD376" t="str">
        <f t="shared" si="233"/>
        <v>VE</v>
      </c>
      <c r="CE376" t="str">
        <f t="shared" si="233"/>
        <v>VE</v>
      </c>
      <c r="CF376" t="str">
        <f t="shared" si="233"/>
        <v>VE</v>
      </c>
      <c r="CG376" t="str">
        <f t="shared" si="233"/>
        <v>ROB</v>
      </c>
    </row>
    <row r="377" spans="1:85" ht="41.25" hidden="1" customHeight="1" x14ac:dyDescent="0.25">
      <c r="A377" s="298" t="s">
        <v>1135</v>
      </c>
      <c r="B377" s="299" t="str">
        <f>'PLAN INDICATIVO'!B377</f>
        <v>Fortalecimiento institucional</v>
      </c>
      <c r="C377" s="1547"/>
      <c r="D377" s="1549"/>
      <c r="E377" s="1549"/>
      <c r="F377" s="1549"/>
      <c r="G377" s="1549"/>
      <c r="H377" s="1549"/>
      <c r="I377" s="300">
        <f>'PLAN INDICATIVO'!I377</f>
        <v>0</v>
      </c>
      <c r="J377" s="300">
        <f>'PLAN INDICATIVO'!J377</f>
        <v>0</v>
      </c>
      <c r="K377" s="1425" t="str">
        <f>'PLAN INDICATIVO'!K377</f>
        <v>A.17.1.9</v>
      </c>
      <c r="L377" s="301" t="str">
        <f>'PLAN INDICATIVO'!L377</f>
        <v>16. Paz, justicia e instituciones sólidas</v>
      </c>
      <c r="M377" s="301" t="str">
        <f>'PLAN INDICATIVO'!M377</f>
        <v>Secretaría de Gobierno</v>
      </c>
      <c r="N377" s="1425" t="str">
        <f>'PLAN INDICATIVO'!N377</f>
        <v>HERNAN RODRIGUEZ FALLA</v>
      </c>
      <c r="O377" s="1425" t="str">
        <f>'PLAN INDICATIVO'!O377</f>
        <v>Mantenimiento</v>
      </c>
      <c r="P377" s="16" t="str">
        <f>'PLAN INDICATIVO'!P377</f>
        <v>100% de la contratación pública, presentada en el SECOP</v>
      </c>
      <c r="Q377" s="302" t="str">
        <f>'PLAN INDICATIVO'!Q377</f>
        <v>Porcentaje de la contratación   publicada en SECOP</v>
      </c>
      <c r="R377" s="303">
        <f>'PLAN INDICATIVO'!R377</f>
        <v>2015</v>
      </c>
      <c r="S377" s="304" t="s">
        <v>177</v>
      </c>
      <c r="T377" s="498">
        <v>100</v>
      </c>
      <c r="U377" s="303">
        <v>100</v>
      </c>
      <c r="V377" s="687">
        <v>15000000</v>
      </c>
      <c r="W377" s="572">
        <v>100</v>
      </c>
      <c r="X377" s="687">
        <v>16000000</v>
      </c>
      <c r="Y377" s="1232">
        <v>100</v>
      </c>
      <c r="Z377" s="1233">
        <v>1000000</v>
      </c>
      <c r="AA377" s="1310">
        <v>100</v>
      </c>
      <c r="AB377" s="687">
        <v>1000000</v>
      </c>
      <c r="AC377" s="665">
        <v>100</v>
      </c>
      <c r="AD377" s="665">
        <v>100</v>
      </c>
      <c r="AE377" s="665">
        <v>100</v>
      </c>
      <c r="AF377" s="665"/>
      <c r="AG377" s="306" t="s">
        <v>4314</v>
      </c>
      <c r="AH377" s="991">
        <v>2018413960001</v>
      </c>
      <c r="AI377" s="307" t="s">
        <v>4323</v>
      </c>
      <c r="AJ377" s="993"/>
      <c r="AK377" s="993"/>
      <c r="AL377" s="939"/>
      <c r="AM377" s="308"/>
      <c r="AN377" s="281" t="s">
        <v>2598</v>
      </c>
      <c r="AO377" s="507" t="s">
        <v>4324</v>
      </c>
      <c r="AP377" s="525"/>
      <c r="AQ377" s="310"/>
      <c r="AR377" s="310"/>
      <c r="AS377" s="310"/>
      <c r="AT377" s="310"/>
      <c r="AU377" s="310"/>
      <c r="AV377" s="310"/>
      <c r="AW377" s="544"/>
      <c r="AX377" s="525"/>
      <c r="AY377" s="310"/>
      <c r="AZ377" s="310"/>
      <c r="BA377" s="310"/>
      <c r="BB377" s="310"/>
      <c r="BC377" s="310"/>
      <c r="BD377" s="310"/>
      <c r="BE377" s="544">
        <f t="shared" si="211"/>
        <v>0</v>
      </c>
      <c r="BF377" s="525"/>
      <c r="BG377" s="310">
        <f>8850000+8450000</f>
        <v>17300000</v>
      </c>
      <c r="BH377" s="310"/>
      <c r="BI377" s="310"/>
      <c r="BJ377" s="310"/>
      <c r="BK377" s="310"/>
      <c r="BL377" s="310"/>
      <c r="BM377" s="544">
        <f t="shared" si="215"/>
        <v>17300000</v>
      </c>
      <c r="BN377" s="525"/>
      <c r="BO377" s="310"/>
      <c r="BP377" s="310"/>
      <c r="BQ377" s="310"/>
      <c r="BR377" s="310"/>
      <c r="BS377" s="310"/>
      <c r="BT377" s="310"/>
      <c r="BU377" s="544">
        <f t="shared" si="213"/>
        <v>0</v>
      </c>
      <c r="BV377" s="556"/>
      <c r="BW377" s="663">
        <f t="shared" si="228"/>
        <v>300</v>
      </c>
      <c r="BX377" s="1047">
        <f t="shared" si="214"/>
        <v>3</v>
      </c>
      <c r="BY377" s="1047">
        <f t="shared" si="229"/>
        <v>1</v>
      </c>
      <c r="BZ377" s="1047">
        <f t="shared" si="230"/>
        <v>1</v>
      </c>
      <c r="CA377" s="1047">
        <f t="shared" si="231"/>
        <v>1</v>
      </c>
      <c r="CB377" s="1047">
        <f t="shared" si="232"/>
        <v>0</v>
      </c>
      <c r="CD377" t="str">
        <f t="shared" si="233"/>
        <v>VE</v>
      </c>
      <c r="CE377" t="str">
        <f t="shared" si="233"/>
        <v>VE</v>
      </c>
      <c r="CF377" t="str">
        <f t="shared" si="233"/>
        <v>VE</v>
      </c>
      <c r="CG377" t="str">
        <f t="shared" si="233"/>
        <v>ROB</v>
      </c>
    </row>
    <row r="378" spans="1:85" ht="48" hidden="1" customHeight="1" x14ac:dyDescent="0.25">
      <c r="A378" s="298" t="s">
        <v>1135</v>
      </c>
      <c r="B378" s="299" t="str">
        <f>'PLAN INDICATIVO'!B378</f>
        <v>Fortalecimiento institucional</v>
      </c>
      <c r="C378" s="1547"/>
      <c r="D378" s="1549"/>
      <c r="E378" s="1549"/>
      <c r="F378" s="1549"/>
      <c r="G378" s="1549"/>
      <c r="H378" s="1549"/>
      <c r="I378" s="300">
        <f>'PLAN INDICATIVO'!I378</f>
        <v>0</v>
      </c>
      <c r="J378" s="300">
        <f>'PLAN INDICATIVO'!J378</f>
        <v>0</v>
      </c>
      <c r="K378" s="1425" t="str">
        <f>'PLAN INDICATIVO'!K378</f>
        <v>A.17.1.10</v>
      </c>
      <c r="L378" s="301" t="str">
        <f>'PLAN INDICATIVO'!L378</f>
        <v>16. Paz, justicia e instituciones sólidas</v>
      </c>
      <c r="M378" s="301" t="str">
        <f>'PLAN INDICATIVO'!M378</f>
        <v>Secretaría de Gobierno</v>
      </c>
      <c r="N378" s="1425" t="str">
        <f>'PLAN INDICATIVO'!N378</f>
        <v>HERNAN RODRIGUEZ FALLA</v>
      </c>
      <c r="O378" s="1425" t="str">
        <f>'PLAN INDICATIVO'!O378</f>
        <v>Mantenimiento</v>
      </c>
      <c r="P378" s="16" t="str">
        <f>'PLAN INDICATIVO'!P378</f>
        <v>Implementar 1 plan de capacitación a funcionarios públicos cada año</v>
      </c>
      <c r="Q378" s="302" t="str">
        <f>'PLAN INDICATIVO'!Q378</f>
        <v>Plan de capacitación implementado por año</v>
      </c>
      <c r="R378" s="303">
        <f>'PLAN INDICATIVO'!R378</f>
        <v>2015</v>
      </c>
      <c r="S378" s="304">
        <v>1</v>
      </c>
      <c r="T378" s="498">
        <v>1</v>
      </c>
      <c r="U378" s="934">
        <v>0.25</v>
      </c>
      <c r="V378" s="687">
        <v>20000000</v>
      </c>
      <c r="W378" s="934">
        <v>0.25</v>
      </c>
      <c r="X378" s="687">
        <v>40000000</v>
      </c>
      <c r="Y378" s="1238">
        <v>0.35</v>
      </c>
      <c r="Z378" s="1233">
        <v>40000000</v>
      </c>
      <c r="AA378" s="1310"/>
      <c r="AB378" s="687">
        <v>40000000</v>
      </c>
      <c r="AC378" s="665">
        <v>1</v>
      </c>
      <c r="AD378" s="665">
        <v>0.15</v>
      </c>
      <c r="AE378" s="665">
        <v>0.25</v>
      </c>
      <c r="AF378" s="665"/>
      <c r="AG378" s="306" t="s">
        <v>4314</v>
      </c>
      <c r="AH378" s="991">
        <v>2018413960001</v>
      </c>
      <c r="AI378" s="307" t="s">
        <v>4325</v>
      </c>
      <c r="AJ378" s="335">
        <v>43132</v>
      </c>
      <c r="AK378" s="335">
        <v>43449</v>
      </c>
      <c r="AL378" s="308"/>
      <c r="AM378" s="308"/>
      <c r="AN378" s="281" t="s">
        <v>2604</v>
      </c>
      <c r="AO378" s="507"/>
      <c r="AP378" s="525"/>
      <c r="AQ378" s="310"/>
      <c r="AR378" s="310"/>
      <c r="AS378" s="310"/>
      <c r="AT378" s="310"/>
      <c r="AU378" s="310"/>
      <c r="AV378" s="310"/>
      <c r="AW378" s="544"/>
      <c r="AX378" s="525"/>
      <c r="AY378" s="310"/>
      <c r="AZ378" s="310"/>
      <c r="BA378" s="310"/>
      <c r="BB378" s="310"/>
      <c r="BC378" s="310"/>
      <c r="BD378" s="310"/>
      <c r="BE378" s="544">
        <f t="shared" si="211"/>
        <v>0</v>
      </c>
      <c r="BF378" s="525"/>
      <c r="BG378" s="310"/>
      <c r="BH378" s="310"/>
      <c r="BI378" s="310"/>
      <c r="BJ378" s="310"/>
      <c r="BK378" s="310"/>
      <c r="BL378" s="310"/>
      <c r="BM378" s="544">
        <f t="shared" si="215"/>
        <v>0</v>
      </c>
      <c r="BN378" s="525"/>
      <c r="BO378" s="310"/>
      <c r="BP378" s="310"/>
      <c r="BQ378" s="310"/>
      <c r="BR378" s="310"/>
      <c r="BS378" s="310"/>
      <c r="BT378" s="310"/>
      <c r="BU378" s="544">
        <f t="shared" si="213"/>
        <v>0</v>
      </c>
      <c r="BV378" s="556"/>
      <c r="BW378" s="663">
        <f t="shared" si="228"/>
        <v>1.4</v>
      </c>
      <c r="BX378" s="1047">
        <f t="shared" si="214"/>
        <v>1.4</v>
      </c>
      <c r="BY378" s="1047">
        <f t="shared" si="229"/>
        <v>4</v>
      </c>
      <c r="BZ378" s="1047">
        <f t="shared" si="230"/>
        <v>0.6</v>
      </c>
      <c r="CA378" s="1047">
        <f t="shared" si="231"/>
        <v>0.7142857142857143</v>
      </c>
      <c r="CB378" s="1047" t="str">
        <f t="shared" si="232"/>
        <v>No Programada</v>
      </c>
      <c r="CD378" t="str">
        <f t="shared" si="233"/>
        <v>VE</v>
      </c>
      <c r="CE378" t="str">
        <f t="shared" si="233"/>
        <v>AMB</v>
      </c>
      <c r="CF378" t="str">
        <f t="shared" si="233"/>
        <v>VEB</v>
      </c>
      <c r="CG378" t="str">
        <f t="shared" si="233"/>
        <v>NP</v>
      </c>
    </row>
    <row r="379" spans="1:85" ht="41.25" hidden="1" customHeight="1" x14ac:dyDescent="0.25">
      <c r="A379" s="298" t="s">
        <v>1135</v>
      </c>
      <c r="B379" s="299" t="str">
        <f>'PLAN INDICATIVO'!B379</f>
        <v>Fortalecimiento institucional</v>
      </c>
      <c r="C379" s="1547"/>
      <c r="D379" s="1549"/>
      <c r="E379" s="1549"/>
      <c r="F379" s="1549"/>
      <c r="G379" s="1549"/>
      <c r="H379" s="1549"/>
      <c r="I379" s="1425" t="str">
        <f>'PLAN INDICATIVO'!I379</f>
        <v>SI</v>
      </c>
      <c r="J379" s="1425">
        <f>'PLAN INDICATIVO'!J379</f>
        <v>0</v>
      </c>
      <c r="K379" s="1425" t="str">
        <f>'PLAN INDICATIVO'!K379</f>
        <v>A.17.1.11</v>
      </c>
      <c r="L379" s="301" t="str">
        <f>'PLAN INDICATIVO'!L379</f>
        <v>16. Paz, justicia e instituciones sólidas</v>
      </c>
      <c r="M379" s="301" t="str">
        <f>'PLAN INDICATIVO'!M379</f>
        <v>Departamento Municipal de Planeación</v>
      </c>
      <c r="N379" s="1425" t="str">
        <f>'PLAN INDICATIVO'!N379</f>
        <v>MAURICIO LEGARDA GONZALEZ</v>
      </c>
      <c r="O379" s="1425" t="str">
        <f>'PLAN INDICATIVO'!O379</f>
        <v>Incremento</v>
      </c>
      <c r="P379" s="16" t="str">
        <f>'PLAN INDICATIVO'!P379</f>
        <v>Realizar 1 actualización catastral durante el cuatrienio</v>
      </c>
      <c r="Q379" s="302" t="str">
        <f>'PLAN INDICATIVO'!Q379</f>
        <v>No. De actualizaciones catastrales realizadas durante el cuatrienio</v>
      </c>
      <c r="R379" s="303">
        <f>'PLAN INDICATIVO'!R379</f>
        <v>2015</v>
      </c>
      <c r="S379" s="304">
        <v>0</v>
      </c>
      <c r="T379" s="498">
        <v>1</v>
      </c>
      <c r="U379" s="303">
        <v>0</v>
      </c>
      <c r="V379" s="687">
        <v>126000000</v>
      </c>
      <c r="W379" s="823">
        <v>0.3</v>
      </c>
      <c r="X379" s="687">
        <v>96000000</v>
      </c>
      <c r="Y379" s="1232">
        <v>0.1</v>
      </c>
      <c r="Z379" s="1233"/>
      <c r="AA379" s="1310">
        <f t="shared" ref="AA379" si="235">T379-BW379</f>
        <v>0.7</v>
      </c>
      <c r="AB379" s="687"/>
      <c r="AC379" s="665">
        <v>0</v>
      </c>
      <c r="AD379" s="665">
        <v>0.2</v>
      </c>
      <c r="AE379" s="665">
        <v>0.1</v>
      </c>
      <c r="AF379" s="665"/>
      <c r="AG379" s="306" t="s">
        <v>4314</v>
      </c>
      <c r="AH379" s="991">
        <v>2018413960001</v>
      </c>
      <c r="AI379" s="307" t="s">
        <v>4326</v>
      </c>
      <c r="AJ379" s="838">
        <v>43115</v>
      </c>
      <c r="AK379" s="838">
        <v>43449</v>
      </c>
      <c r="AL379" s="308"/>
      <c r="AM379" s="308"/>
      <c r="AN379" s="267" t="s">
        <v>2598</v>
      </c>
      <c r="AO379" s="507"/>
      <c r="AP379" s="525"/>
      <c r="AQ379" s="310"/>
      <c r="AR379" s="310"/>
      <c r="AS379" s="310"/>
      <c r="AT379" s="310"/>
      <c r="AU379" s="310"/>
      <c r="AV379" s="310"/>
      <c r="AW379" s="544"/>
      <c r="AX379" s="525"/>
      <c r="AY379" s="310"/>
      <c r="AZ379" s="310"/>
      <c r="BA379" s="310"/>
      <c r="BB379" s="310"/>
      <c r="BC379" s="310"/>
      <c r="BD379" s="310"/>
      <c r="BE379" s="544">
        <f t="shared" si="211"/>
        <v>0</v>
      </c>
      <c r="BF379" s="525"/>
      <c r="BG379" s="310"/>
      <c r="BH379" s="310"/>
      <c r="BI379" s="310"/>
      <c r="BJ379" s="310"/>
      <c r="BK379" s="310"/>
      <c r="BL379" s="310"/>
      <c r="BM379" s="544">
        <f t="shared" si="215"/>
        <v>0</v>
      </c>
      <c r="BN379" s="525"/>
      <c r="BO379" s="310"/>
      <c r="BP379" s="310"/>
      <c r="BQ379" s="310"/>
      <c r="BR379" s="310"/>
      <c r="BS379" s="310"/>
      <c r="BT379" s="310"/>
      <c r="BU379" s="544">
        <f t="shared" si="213"/>
        <v>0</v>
      </c>
      <c r="BV379" s="556"/>
      <c r="BW379" s="663">
        <f t="shared" si="228"/>
        <v>0.30000000000000004</v>
      </c>
      <c r="BX379" s="1047">
        <f t="shared" si="214"/>
        <v>0.30000000000000004</v>
      </c>
      <c r="BY379" s="1047" t="str">
        <f t="shared" si="229"/>
        <v>Aplazada</v>
      </c>
      <c r="BZ379" s="1047">
        <f t="shared" si="230"/>
        <v>0.66666666666666674</v>
      </c>
      <c r="CA379" s="1047">
        <f t="shared" si="231"/>
        <v>1</v>
      </c>
      <c r="CB379" s="1047">
        <f t="shared" si="232"/>
        <v>0</v>
      </c>
      <c r="CD379" t="str">
        <f t="shared" si="233"/>
        <v>AZ</v>
      </c>
      <c r="CE379" t="str">
        <f t="shared" si="233"/>
        <v>AM</v>
      </c>
      <c r="CF379" t="str">
        <f t="shared" si="233"/>
        <v>VE</v>
      </c>
      <c r="CG379" t="str">
        <f t="shared" si="233"/>
        <v>ROB</v>
      </c>
    </row>
    <row r="380" spans="1:85" ht="35.25" hidden="1" customHeight="1" x14ac:dyDescent="0.25">
      <c r="A380" s="298" t="s">
        <v>1135</v>
      </c>
      <c r="B380" s="299" t="str">
        <f>'PLAN INDICATIVO'!B380</f>
        <v>Fortalecimiento institucional</v>
      </c>
      <c r="C380" s="1547"/>
      <c r="D380" s="1549"/>
      <c r="E380" s="1549"/>
      <c r="F380" s="1549"/>
      <c r="G380" s="1549"/>
      <c r="H380" s="1549"/>
      <c r="I380" s="300">
        <f>'PLAN INDICATIVO'!I380</f>
        <v>0</v>
      </c>
      <c r="J380" s="300">
        <f>'PLAN INDICATIVO'!J380</f>
        <v>0</v>
      </c>
      <c r="K380" s="1425" t="str">
        <f>'PLAN INDICATIVO'!K380</f>
        <v>A.17.1.12</v>
      </c>
      <c r="L380" s="301" t="str">
        <f>'PLAN INDICATIVO'!L380</f>
        <v>16. Paz, justicia e instituciones sólidas</v>
      </c>
      <c r="M380" s="301" t="str">
        <f>'PLAN INDICATIVO'!M380</f>
        <v>Departamento Municipal de Planeación</v>
      </c>
      <c r="N380" s="1425" t="str">
        <f>'PLAN INDICATIVO'!N380</f>
        <v>MAURICIO LEGARDA GONZALEZ</v>
      </c>
      <c r="O380" s="1425" t="str">
        <f>'PLAN INDICATIVO'!O380</f>
        <v>Mantenimiento</v>
      </c>
      <c r="P380" s="16" t="str">
        <f>'PLAN INDICATIVO'!P380</f>
        <v>Realizar 1 seguimientos al año al  Plan de desarrollo</v>
      </c>
      <c r="Q380" s="302" t="str">
        <f>'PLAN INDICATIVO'!Q380</f>
        <v xml:space="preserve">No. de seguimientos  al PBOT y/o Plan de Desarrollo por año </v>
      </c>
      <c r="R380" s="303">
        <f>'PLAN INDICATIVO'!R380</f>
        <v>2015</v>
      </c>
      <c r="S380" s="304">
        <v>0</v>
      </c>
      <c r="T380" s="498">
        <v>2</v>
      </c>
      <c r="U380" s="303">
        <v>1</v>
      </c>
      <c r="V380" s="687">
        <v>20000000</v>
      </c>
      <c r="W380" s="572">
        <v>1</v>
      </c>
      <c r="X380" s="687">
        <v>40000000</v>
      </c>
      <c r="Y380" s="1232">
        <v>1</v>
      </c>
      <c r="Z380" s="1233">
        <v>40000000</v>
      </c>
      <c r="AA380" s="1310">
        <v>1</v>
      </c>
      <c r="AB380" s="687">
        <v>40000000</v>
      </c>
      <c r="AC380" s="665">
        <v>1</v>
      </c>
      <c r="AD380" s="665">
        <v>1</v>
      </c>
      <c r="AE380" s="665">
        <v>1</v>
      </c>
      <c r="AF380" s="665"/>
      <c r="AG380" s="306" t="s">
        <v>4314</v>
      </c>
      <c r="AH380" s="991">
        <v>2018413960001</v>
      </c>
      <c r="AI380" s="307" t="s">
        <v>4327</v>
      </c>
      <c r="AJ380" s="838">
        <v>43160</v>
      </c>
      <c r="AK380" s="838">
        <v>43449</v>
      </c>
      <c r="AL380" s="308"/>
      <c r="AM380" s="308"/>
      <c r="AN380" s="267" t="s">
        <v>2598</v>
      </c>
      <c r="AO380" s="507"/>
      <c r="AP380" s="525"/>
      <c r="AQ380" s="310"/>
      <c r="AR380" s="310"/>
      <c r="AS380" s="310"/>
      <c r="AT380" s="310"/>
      <c r="AU380" s="310"/>
      <c r="AV380" s="310"/>
      <c r="AW380" s="544"/>
      <c r="AX380" s="525"/>
      <c r="AY380" s="310"/>
      <c r="AZ380" s="310"/>
      <c r="BA380" s="310"/>
      <c r="BB380" s="310"/>
      <c r="BC380" s="310"/>
      <c r="BD380" s="310"/>
      <c r="BE380" s="544">
        <f t="shared" si="211"/>
        <v>0</v>
      </c>
      <c r="BF380" s="525"/>
      <c r="BG380" s="310"/>
      <c r="BH380" s="310"/>
      <c r="BI380" s="310"/>
      <c r="BJ380" s="310"/>
      <c r="BK380" s="310"/>
      <c r="BL380" s="310"/>
      <c r="BM380" s="544">
        <f t="shared" si="215"/>
        <v>0</v>
      </c>
      <c r="BN380" s="525"/>
      <c r="BO380" s="310"/>
      <c r="BP380" s="310"/>
      <c r="BQ380" s="310"/>
      <c r="BR380" s="310"/>
      <c r="BS380" s="310"/>
      <c r="BT380" s="310"/>
      <c r="BU380" s="544">
        <f t="shared" si="213"/>
        <v>0</v>
      </c>
      <c r="BV380" s="556"/>
      <c r="BW380" s="663">
        <f t="shared" si="228"/>
        <v>3</v>
      </c>
      <c r="BX380" s="1047">
        <f t="shared" si="214"/>
        <v>1.5</v>
      </c>
      <c r="BY380" s="1047">
        <f t="shared" si="229"/>
        <v>1</v>
      </c>
      <c r="BZ380" s="1047">
        <f t="shared" si="230"/>
        <v>1</v>
      </c>
      <c r="CA380" s="1047">
        <f t="shared" si="231"/>
        <v>1</v>
      </c>
      <c r="CB380" s="1047">
        <f t="shared" si="232"/>
        <v>0</v>
      </c>
      <c r="CD380" t="str">
        <f t="shared" si="233"/>
        <v>VE</v>
      </c>
      <c r="CE380" t="str">
        <f t="shared" si="233"/>
        <v>VE</v>
      </c>
      <c r="CF380" t="str">
        <f t="shared" si="233"/>
        <v>VE</v>
      </c>
      <c r="CG380" t="str">
        <f t="shared" si="233"/>
        <v>ROB</v>
      </c>
    </row>
    <row r="381" spans="1:85" s="231" customFormat="1" ht="63" hidden="1" customHeight="1" x14ac:dyDescent="0.25">
      <c r="A381" s="354" t="s">
        <v>1135</v>
      </c>
      <c r="B381" s="299" t="str">
        <f>'PLAN INDICATIVO'!B381</f>
        <v>Fortalecimiento institucional</v>
      </c>
      <c r="C381" s="1598"/>
      <c r="D381" s="1600"/>
      <c r="E381" s="1600"/>
      <c r="F381" s="1600"/>
      <c r="G381" s="1600"/>
      <c r="H381" s="1600"/>
      <c r="I381" s="371">
        <f>'PLAN INDICATIVO'!I381</f>
        <v>0</v>
      </c>
      <c r="J381" s="371">
        <f>'PLAN INDICATIVO'!J381</f>
        <v>0</v>
      </c>
      <c r="K381" s="1432" t="str">
        <f>'PLAN INDICATIVO'!K381</f>
        <v>A.17.1.13</v>
      </c>
      <c r="L381" s="372" t="str">
        <f>'PLAN INDICATIVO'!L381</f>
        <v>16. Paz, justicia e instituciones sólidas</v>
      </c>
      <c r="M381" s="372" t="str">
        <f>'PLAN INDICATIVO'!M381</f>
        <v>Secretaría de Gobierno</v>
      </c>
      <c r="N381" s="1425" t="str">
        <f>'PLAN INDICATIVO'!N381</f>
        <v>HERNAN RODRIGUEZ FALLA</v>
      </c>
      <c r="O381" s="1432" t="str">
        <f>'PLAN INDICATIVO'!O381</f>
        <v>Incremento</v>
      </c>
      <c r="P381" s="1303" t="str">
        <f>'PLAN INDICATIVO'!P381</f>
        <v>Lograr una calificacion de 70 puntos en la política de gobierno digital.</v>
      </c>
      <c r="Q381" s="345" t="str">
        <f>'PLAN INDICATIVO'!Q381</f>
        <v>Puntaje política gobierno digital (DAFP)</v>
      </c>
      <c r="R381" s="346">
        <f>'PLAN INDICATIVO'!R381</f>
        <v>2015</v>
      </c>
      <c r="S381" s="342">
        <v>64</v>
      </c>
      <c r="T381" s="498">
        <v>70</v>
      </c>
      <c r="U381" s="303">
        <v>67</v>
      </c>
      <c r="V381" s="687">
        <v>1000000</v>
      </c>
      <c r="W381" s="66">
        <v>0</v>
      </c>
      <c r="X381" s="687">
        <v>1000000</v>
      </c>
      <c r="Y381" s="1232">
        <v>70</v>
      </c>
      <c r="Z381" s="1233">
        <v>74000000</v>
      </c>
      <c r="AA381" s="1310">
        <v>70</v>
      </c>
      <c r="AB381" s="687">
        <v>1000000</v>
      </c>
      <c r="AC381" s="667">
        <v>0</v>
      </c>
      <c r="AD381" s="667">
        <v>71.5</v>
      </c>
      <c r="AE381" s="667">
        <v>63.4</v>
      </c>
      <c r="AF381" s="667"/>
      <c r="AG381" s="306" t="s">
        <v>4314</v>
      </c>
      <c r="AH381" s="991">
        <v>2018413960001</v>
      </c>
      <c r="AI381" s="336" t="s">
        <v>4328</v>
      </c>
      <c r="AJ381" s="838">
        <v>43160</v>
      </c>
      <c r="AK381" s="838">
        <v>43311</v>
      </c>
      <c r="AL381" s="337"/>
      <c r="AM381" s="337"/>
      <c r="AN381" s="267" t="s">
        <v>2598</v>
      </c>
      <c r="AO381" s="510"/>
      <c r="AP381" s="528"/>
      <c r="AQ381" s="472"/>
      <c r="AR381" s="472"/>
      <c r="AS381" s="472"/>
      <c r="AT381" s="472"/>
      <c r="AU381" s="472"/>
      <c r="AV381" s="472"/>
      <c r="AW381" s="544"/>
      <c r="AX381" s="528"/>
      <c r="AY381" s="472"/>
      <c r="AZ381" s="472"/>
      <c r="BA381" s="472"/>
      <c r="BB381" s="472"/>
      <c r="BC381" s="472"/>
      <c r="BD381" s="472"/>
      <c r="BE381" s="544">
        <f t="shared" si="211"/>
        <v>0</v>
      </c>
      <c r="BF381" s="528"/>
      <c r="BG381" s="472"/>
      <c r="BH381" s="472"/>
      <c r="BI381" s="472"/>
      <c r="BJ381" s="472"/>
      <c r="BK381" s="472"/>
      <c r="BL381" s="472"/>
      <c r="BM381" s="544">
        <f t="shared" si="215"/>
        <v>0</v>
      </c>
      <c r="BN381" s="528"/>
      <c r="BO381" s="472"/>
      <c r="BP381" s="472"/>
      <c r="BQ381" s="472"/>
      <c r="BR381" s="472"/>
      <c r="BS381" s="472"/>
      <c r="BT381" s="472"/>
      <c r="BU381" s="544">
        <f t="shared" si="213"/>
        <v>0</v>
      </c>
      <c r="BV381" s="653"/>
      <c r="BW381" s="663">
        <f t="shared" si="228"/>
        <v>134.9</v>
      </c>
      <c r="BX381" s="1047">
        <f t="shared" si="214"/>
        <v>1.9271428571428573</v>
      </c>
      <c r="BY381" s="1047">
        <f t="shared" si="229"/>
        <v>0</v>
      </c>
      <c r="BZ381" s="1047" t="str">
        <f t="shared" si="230"/>
        <v>Aplazada</v>
      </c>
      <c r="CA381" s="1047">
        <f t="shared" si="231"/>
        <v>0.90571428571428569</v>
      </c>
      <c r="CB381" s="1047">
        <f t="shared" si="232"/>
        <v>0</v>
      </c>
      <c r="CD381" t="str">
        <f t="shared" si="233"/>
        <v>ROB</v>
      </c>
      <c r="CE381" t="str">
        <f t="shared" si="233"/>
        <v>AZ</v>
      </c>
      <c r="CF381" t="str">
        <f t="shared" si="233"/>
        <v>VE</v>
      </c>
      <c r="CG381" t="str">
        <f t="shared" si="233"/>
        <v>ROB</v>
      </c>
    </row>
    <row r="382" spans="1:85" ht="89.25" hidden="1" customHeight="1" x14ac:dyDescent="0.25">
      <c r="A382" s="298" t="s">
        <v>1135</v>
      </c>
      <c r="B382" s="299" t="str">
        <f>'PLAN INDICATIVO'!B382</f>
        <v>Fortalecimiento institucional</v>
      </c>
      <c r="C382" s="1547"/>
      <c r="D382" s="1549"/>
      <c r="E382" s="1549"/>
      <c r="F382" s="1549"/>
      <c r="G382" s="1549"/>
      <c r="H382" s="1549"/>
      <c r="I382" s="300">
        <f>'PLAN INDICATIVO'!I382</f>
        <v>0</v>
      </c>
      <c r="J382" s="300">
        <f>'PLAN INDICATIVO'!J382</f>
        <v>0</v>
      </c>
      <c r="K382" s="1425" t="str">
        <f>'PLAN INDICATIVO'!K382</f>
        <v>A.17.1.14</v>
      </c>
      <c r="L382" s="301" t="str">
        <f>'PLAN INDICATIVO'!L382</f>
        <v>16. Paz, justicia e instituciones sólidas</v>
      </c>
      <c r="M382" s="301" t="str">
        <f>'PLAN INDICATIVO'!M382</f>
        <v>Secretaría de Gobierno</v>
      </c>
      <c r="N382" s="1425" t="str">
        <f>'PLAN INDICATIVO'!N382</f>
        <v>HERNAN RODRIGUEZ FALLA</v>
      </c>
      <c r="O382" s="1425" t="str">
        <f>'PLAN INDICATIVO'!O382</f>
        <v>Incremento</v>
      </c>
      <c r="P382" s="16" t="str">
        <f>'PLAN INDICATIVO'!P382</f>
        <v>Implementar 4 programas durante el cuatrienio para mantenimiento, mejoramiento y dotaciones de software y equipos  para el fortalecimiento institucional municipal</v>
      </c>
      <c r="Q382" s="302" t="str">
        <f>'PLAN INDICATIVO'!Q382</f>
        <v xml:space="preserve">No. Programas implementados </v>
      </c>
      <c r="R382" s="303">
        <f>'PLAN INDICATIVO'!R382</f>
        <v>2015</v>
      </c>
      <c r="S382" s="304">
        <v>1</v>
      </c>
      <c r="T382" s="498">
        <v>4</v>
      </c>
      <c r="U382" s="303">
        <v>1</v>
      </c>
      <c r="V382" s="687">
        <v>27910000</v>
      </c>
      <c r="W382" s="572">
        <v>1</v>
      </c>
      <c r="X382" s="687">
        <v>187000000</v>
      </c>
      <c r="Y382" s="1232">
        <v>1</v>
      </c>
      <c r="Z382" s="1233">
        <v>210000000</v>
      </c>
      <c r="AA382" s="1310">
        <v>1</v>
      </c>
      <c r="AB382" s="687">
        <v>214000000</v>
      </c>
      <c r="AC382" s="665">
        <v>1</v>
      </c>
      <c r="AD382" s="665">
        <v>1</v>
      </c>
      <c r="AE382" s="665">
        <v>1</v>
      </c>
      <c r="AF382" s="665"/>
      <c r="AG382" s="306" t="s">
        <v>4314</v>
      </c>
      <c r="AH382" s="991">
        <v>2018413960001</v>
      </c>
      <c r="AI382" s="307" t="s">
        <v>4329</v>
      </c>
      <c r="AJ382" s="838">
        <v>43126</v>
      </c>
      <c r="AK382" s="838">
        <v>43465</v>
      </c>
      <c r="AL382" s="308"/>
      <c r="AM382" s="308"/>
      <c r="AN382" s="281" t="s">
        <v>2598</v>
      </c>
      <c r="AO382" s="507" t="s">
        <v>4330</v>
      </c>
      <c r="AP382" s="525"/>
      <c r="AQ382" s="310"/>
      <c r="AR382" s="310"/>
      <c r="AS382" s="310"/>
      <c r="AT382" s="310"/>
      <c r="AU382" s="310"/>
      <c r="AV382" s="310"/>
      <c r="AW382" s="544">
        <f>AP382+AQ382+AR382+AS382+AT382+AU382+AV382</f>
        <v>0</v>
      </c>
      <c r="AX382" s="525"/>
      <c r="AY382" s="310"/>
      <c r="AZ382" s="310"/>
      <c r="BA382" s="310"/>
      <c r="BB382" s="310"/>
      <c r="BC382" s="310"/>
      <c r="BD382" s="310"/>
      <c r="BE382" s="544">
        <f t="shared" si="211"/>
        <v>0</v>
      </c>
      <c r="BF382" s="525">
        <v>13000000</v>
      </c>
      <c r="BG382" s="310">
        <v>22869599</v>
      </c>
      <c r="BH382" s="310"/>
      <c r="BI382" s="310"/>
      <c r="BJ382" s="310"/>
      <c r="BK382" s="310"/>
      <c r="BL382" s="310"/>
      <c r="BM382" s="544">
        <f t="shared" si="215"/>
        <v>35869599</v>
      </c>
      <c r="BN382" s="525">
        <v>13000000</v>
      </c>
      <c r="BO382" s="310"/>
      <c r="BP382" s="310"/>
      <c r="BQ382" s="310"/>
      <c r="BR382" s="310"/>
      <c r="BS382" s="310"/>
      <c r="BT382" s="310"/>
      <c r="BU382" s="544">
        <f t="shared" si="213"/>
        <v>13000000</v>
      </c>
      <c r="BV382" s="556"/>
      <c r="BW382" s="663">
        <f t="shared" si="228"/>
        <v>3</v>
      </c>
      <c r="BX382" s="1047">
        <f t="shared" si="214"/>
        <v>0.75</v>
      </c>
      <c r="BY382" s="1047">
        <f t="shared" si="229"/>
        <v>1</v>
      </c>
      <c r="BZ382" s="1047">
        <f t="shared" si="230"/>
        <v>1</v>
      </c>
      <c r="CA382" s="1047">
        <f t="shared" si="231"/>
        <v>1</v>
      </c>
      <c r="CB382" s="1047">
        <f t="shared" si="232"/>
        <v>0</v>
      </c>
      <c r="CD382" t="str">
        <f t="shared" si="233"/>
        <v>VE</v>
      </c>
      <c r="CE382" t="str">
        <f t="shared" si="233"/>
        <v>VE</v>
      </c>
      <c r="CF382" t="str">
        <f t="shared" si="233"/>
        <v>VE</v>
      </c>
      <c r="CG382" t="str">
        <f t="shared" si="233"/>
        <v>ROB</v>
      </c>
    </row>
    <row r="383" spans="1:85" s="231" customFormat="1" ht="54.75" hidden="1" customHeight="1" x14ac:dyDescent="0.25">
      <c r="A383" s="354" t="s">
        <v>2458</v>
      </c>
      <c r="B383" s="299" t="str">
        <f>'PLAN INDICATIVO'!B383</f>
        <v>Fortalecimiento institucional</v>
      </c>
      <c r="C383" s="1599"/>
      <c r="D383" s="1601"/>
      <c r="E383" s="1601"/>
      <c r="F383" s="1601"/>
      <c r="G383" s="1601"/>
      <c r="H383" s="1601"/>
      <c r="I383" s="371">
        <f>'PLAN INDICATIVO'!I383</f>
        <v>0</v>
      </c>
      <c r="J383" s="371">
        <f>'PLAN INDICATIVO'!J383</f>
        <v>0</v>
      </c>
      <c r="K383" s="1432" t="str">
        <f>'PLAN INDICATIVO'!K383</f>
        <v>A.17.1.15</v>
      </c>
      <c r="L383" s="372" t="str">
        <f>'PLAN INDICATIVO'!L383</f>
        <v>16. Paz, justicia e instituciones sólidas</v>
      </c>
      <c r="M383" s="372" t="str">
        <f>'PLAN INDICATIVO'!M383</f>
        <v>Departamento Municipal de Planeación</v>
      </c>
      <c r="N383" s="1425" t="str">
        <f>'PLAN INDICATIVO'!N383</f>
        <v>MAURICIO LEGARDA GONZALEZ</v>
      </c>
      <c r="O383" s="1432" t="str">
        <f>'PLAN INDICATIVO'!O383</f>
        <v>Mantenimiento</v>
      </c>
      <c r="P383" s="1301" t="s">
        <v>4331</v>
      </c>
      <c r="Q383" s="302" t="str">
        <f>'PLAN INDICATIVO'!Q383</f>
        <v>Lograr una calificación de 80 puntos en la dimensión de control interno del MIPG</v>
      </c>
      <c r="R383" s="303">
        <f>'PLAN INDICATIVO'!R383</f>
        <v>2015</v>
      </c>
      <c r="S383" s="304">
        <v>97.65</v>
      </c>
      <c r="T383" s="1302">
        <v>80</v>
      </c>
      <c r="U383" s="303">
        <v>90</v>
      </c>
      <c r="V383" s="687">
        <v>6000000</v>
      </c>
      <c r="W383" s="572">
        <v>90</v>
      </c>
      <c r="X383" s="687">
        <v>36000000</v>
      </c>
      <c r="Y383" s="1232">
        <v>75</v>
      </c>
      <c r="Z383" s="1233">
        <v>20000000</v>
      </c>
      <c r="AA383" s="1310">
        <v>80</v>
      </c>
      <c r="AB383" s="687">
        <v>50000000</v>
      </c>
      <c r="AC383" s="667">
        <v>90</v>
      </c>
      <c r="AD383" s="667">
        <v>73.2</v>
      </c>
      <c r="AE383" s="667">
        <v>62.7</v>
      </c>
      <c r="AF383" s="667"/>
      <c r="AG383" s="306" t="s">
        <v>4314</v>
      </c>
      <c r="AH383" s="991">
        <v>2018413960001</v>
      </c>
      <c r="AI383" s="336" t="s">
        <v>4332</v>
      </c>
      <c r="AJ383" s="838">
        <v>43132</v>
      </c>
      <c r="AK383" s="838">
        <v>43434</v>
      </c>
      <c r="AL383" s="337"/>
      <c r="AM383" s="337"/>
      <c r="AN383" s="281" t="s">
        <v>2604</v>
      </c>
      <c r="AO383" s="510"/>
      <c r="AP383" s="528"/>
      <c r="AQ383" s="472"/>
      <c r="AR383" s="472"/>
      <c r="AS383" s="472"/>
      <c r="AT383" s="472"/>
      <c r="AU383" s="472"/>
      <c r="AV383" s="472"/>
      <c r="AW383" s="544"/>
      <c r="AX383" s="528"/>
      <c r="AY383" s="472"/>
      <c r="AZ383" s="472"/>
      <c r="BA383" s="472"/>
      <c r="BB383" s="472"/>
      <c r="BC383" s="472"/>
      <c r="BD383" s="472"/>
      <c r="BE383" s="544">
        <f t="shared" si="211"/>
        <v>0</v>
      </c>
      <c r="BF383" s="528"/>
      <c r="BG383" s="472"/>
      <c r="BH383" s="472"/>
      <c r="BI383" s="472"/>
      <c r="BJ383" s="472"/>
      <c r="BK383" s="472"/>
      <c r="BL383" s="472"/>
      <c r="BM383" s="544">
        <f t="shared" si="215"/>
        <v>0</v>
      </c>
      <c r="BN383" s="528"/>
      <c r="BO383" s="472"/>
      <c r="BP383" s="472"/>
      <c r="BQ383" s="472"/>
      <c r="BR383" s="472"/>
      <c r="BS383" s="472"/>
      <c r="BT383" s="472"/>
      <c r="BU383" s="544">
        <f t="shared" si="213"/>
        <v>0</v>
      </c>
      <c r="BV383" s="653"/>
      <c r="BW383" s="663">
        <f t="shared" si="228"/>
        <v>225.89999999999998</v>
      </c>
      <c r="BX383" s="1047">
        <f t="shared" si="214"/>
        <v>2.8237499999999995</v>
      </c>
      <c r="BY383" s="1047">
        <f t="shared" si="229"/>
        <v>1</v>
      </c>
      <c r="BZ383" s="1047">
        <f t="shared" si="230"/>
        <v>0.81333333333333335</v>
      </c>
      <c r="CA383" s="1047">
        <f t="shared" si="231"/>
        <v>0.83600000000000008</v>
      </c>
      <c r="CB383" s="1047">
        <f t="shared" si="232"/>
        <v>0</v>
      </c>
      <c r="CD383" t="str">
        <f t="shared" si="233"/>
        <v>VE</v>
      </c>
      <c r="CE383" t="str">
        <f t="shared" si="233"/>
        <v>VEB</v>
      </c>
      <c r="CF383" t="str">
        <f t="shared" si="233"/>
        <v>VEB</v>
      </c>
      <c r="CG383" t="str">
        <f t="shared" si="233"/>
        <v>ROB</v>
      </c>
    </row>
    <row r="384" spans="1:85" ht="52.5" hidden="1" customHeight="1" x14ac:dyDescent="0.25">
      <c r="A384" s="298" t="s">
        <v>1135</v>
      </c>
      <c r="B384" s="299" t="str">
        <f>'PLAN INDICATIVO'!B384</f>
        <v>Fortalecimiento institucional</v>
      </c>
      <c r="C384" s="1547"/>
      <c r="D384" s="1549"/>
      <c r="E384" s="1549"/>
      <c r="F384" s="1549"/>
      <c r="G384" s="1549"/>
      <c r="H384" s="1549"/>
      <c r="I384" s="300">
        <f>'PLAN INDICATIVO'!I384</f>
        <v>0</v>
      </c>
      <c r="J384" s="300">
        <f>'PLAN INDICATIVO'!J384</f>
        <v>0</v>
      </c>
      <c r="K384" s="1425" t="str">
        <f>'PLAN INDICATIVO'!K384</f>
        <v>A.17.1.16</v>
      </c>
      <c r="L384" s="301" t="str">
        <f>'PLAN INDICATIVO'!L384</f>
        <v>16. Paz, justicia e instituciones sólidas</v>
      </c>
      <c r="M384" s="301" t="str">
        <f>'PLAN INDICATIVO'!M384</f>
        <v>Departamento Municipal de Planeación</v>
      </c>
      <c r="N384" s="1425" t="str">
        <f>'PLAN INDICATIVO'!N384</f>
        <v>MAURICIO LEGARDA GONZALEZ</v>
      </c>
      <c r="O384" s="1425" t="str">
        <f>'PLAN INDICATIVO'!O384</f>
        <v>Mantenimiento</v>
      </c>
      <c r="P384" s="1303" t="str">
        <f>'PLAN INDICATIVO'!P384</f>
        <v>Lograr una calificación de 80 puntos en el índice de desempeño Institucional del MIPG</v>
      </c>
      <c r="Q384" s="302" t="str">
        <f>'PLAN INDICATIVO'!Q384</f>
        <v>Indice desempeño institucional (DAFP)</v>
      </c>
      <c r="R384" s="303">
        <f>'PLAN INDICATIVO'!R384</f>
        <v>2015</v>
      </c>
      <c r="S384" s="304">
        <v>0</v>
      </c>
      <c r="T384" s="1299">
        <v>80</v>
      </c>
      <c r="U384" s="934">
        <v>0.25</v>
      </c>
      <c r="V384" s="687">
        <v>6000000</v>
      </c>
      <c r="W384" s="934">
        <v>0.25</v>
      </c>
      <c r="X384" s="687">
        <v>1000000</v>
      </c>
      <c r="Y384" s="1238">
        <v>62.6</v>
      </c>
      <c r="Z384" s="1233">
        <v>1000000</v>
      </c>
      <c r="AA384" s="1310">
        <v>80</v>
      </c>
      <c r="AB384" s="687">
        <v>53000000</v>
      </c>
      <c r="AC384" s="665">
        <v>0.25</v>
      </c>
      <c r="AD384" s="665">
        <v>0.25</v>
      </c>
      <c r="AE384" s="665">
        <v>62.6</v>
      </c>
      <c r="AF384" s="665"/>
      <c r="AG384" s="306" t="s">
        <v>4314</v>
      </c>
      <c r="AH384" s="991">
        <v>2018413960001</v>
      </c>
      <c r="AI384" s="307" t="s">
        <v>4333</v>
      </c>
      <c r="AJ384" s="838">
        <v>43132</v>
      </c>
      <c r="AK384" s="838">
        <v>43449</v>
      </c>
      <c r="AL384" s="308"/>
      <c r="AM384" s="308"/>
      <c r="AN384" s="281" t="s">
        <v>2598</v>
      </c>
      <c r="AO384" s="507"/>
      <c r="AP384" s="525"/>
      <c r="AQ384" s="310"/>
      <c r="AR384" s="310"/>
      <c r="AS384" s="310"/>
      <c r="AT384" s="310"/>
      <c r="AU384" s="310"/>
      <c r="AV384" s="310"/>
      <c r="AW384" s="544"/>
      <c r="AX384" s="525"/>
      <c r="AY384" s="310"/>
      <c r="AZ384" s="310"/>
      <c r="BA384" s="310"/>
      <c r="BB384" s="310"/>
      <c r="BC384" s="310"/>
      <c r="BD384" s="310"/>
      <c r="BE384" s="544">
        <f t="shared" si="211"/>
        <v>0</v>
      </c>
      <c r="BF384" s="525"/>
      <c r="BG384" s="310"/>
      <c r="BH384" s="310"/>
      <c r="BI384" s="310"/>
      <c r="BJ384" s="310"/>
      <c r="BK384" s="310"/>
      <c r="BL384" s="310"/>
      <c r="BM384" s="544">
        <f t="shared" si="215"/>
        <v>0</v>
      </c>
      <c r="BN384" s="525"/>
      <c r="BO384" s="310"/>
      <c r="BP384" s="310"/>
      <c r="BQ384" s="310"/>
      <c r="BR384" s="310"/>
      <c r="BS384" s="310"/>
      <c r="BT384" s="310"/>
      <c r="BU384" s="544">
        <f t="shared" si="213"/>
        <v>0</v>
      </c>
      <c r="BV384" s="556"/>
      <c r="BW384" s="663">
        <f t="shared" si="228"/>
        <v>63.1</v>
      </c>
      <c r="BX384" s="1047">
        <f t="shared" si="214"/>
        <v>0.78875000000000006</v>
      </c>
      <c r="BY384" s="1047">
        <f t="shared" si="229"/>
        <v>1</v>
      </c>
      <c r="BZ384" s="1047">
        <f t="shared" si="230"/>
        <v>1</v>
      </c>
      <c r="CA384" s="1047">
        <f t="shared" si="231"/>
        <v>1</v>
      </c>
      <c r="CB384" s="1047">
        <f t="shared" si="232"/>
        <v>0</v>
      </c>
      <c r="CD384" t="str">
        <f t="shared" si="233"/>
        <v>VE</v>
      </c>
      <c r="CE384" t="str">
        <f t="shared" si="233"/>
        <v>VE</v>
      </c>
      <c r="CF384" t="str">
        <f t="shared" si="233"/>
        <v>VE</v>
      </c>
      <c r="CG384" t="str">
        <f t="shared" si="233"/>
        <v>ROB</v>
      </c>
    </row>
    <row r="385" spans="1:85" ht="69" hidden="1" customHeight="1" x14ac:dyDescent="0.25">
      <c r="A385" s="298" t="s">
        <v>1135</v>
      </c>
      <c r="B385" s="299" t="str">
        <f>'PLAN INDICATIVO'!B385</f>
        <v>Fortalecimiento institucional</v>
      </c>
      <c r="C385" s="1547"/>
      <c r="D385" s="1549"/>
      <c r="E385" s="1549"/>
      <c r="F385" s="1549"/>
      <c r="G385" s="1549"/>
      <c r="H385" s="1549"/>
      <c r="I385" s="300">
        <f>'PLAN INDICATIVO'!I385</f>
        <v>0</v>
      </c>
      <c r="J385" s="300">
        <f>'PLAN INDICATIVO'!J385</f>
        <v>0</v>
      </c>
      <c r="K385" s="1425" t="str">
        <f>'PLAN INDICATIVO'!K385</f>
        <v>A.17.1.17</v>
      </c>
      <c r="L385" s="301" t="str">
        <f>'PLAN INDICATIVO'!L385</f>
        <v>16. Paz, justicia e instituciones sólidas</v>
      </c>
      <c r="M385" s="301" t="str">
        <f>'PLAN INDICATIVO'!M385</f>
        <v>Secretaría de Gobierno</v>
      </c>
      <c r="N385" s="1425" t="str">
        <f>'PLAN INDICATIVO'!N385</f>
        <v>HERNAN RODRIGUEZ FALLA</v>
      </c>
      <c r="O385" s="1425" t="str">
        <f>'PLAN INDICATIVO'!O385</f>
        <v>Incremento</v>
      </c>
      <c r="P385" s="16" t="str">
        <f>'PLAN INDICATIVO'!P385</f>
        <v>Apoyar 2 proyectos durante el cuatrienio encaminados a fortalecer los semilleros de investigación</v>
      </c>
      <c r="Q385" s="302" t="str">
        <f>'PLAN INDICATIVO'!Q385</f>
        <v>No. De proyectos apoyados</v>
      </c>
      <c r="R385" s="303">
        <f>'PLAN INDICATIVO'!R385</f>
        <v>2015</v>
      </c>
      <c r="S385" s="304">
        <v>0</v>
      </c>
      <c r="T385" s="498">
        <v>2</v>
      </c>
      <c r="U385" s="846">
        <v>0</v>
      </c>
      <c r="V385" s="687"/>
      <c r="W385" s="572">
        <v>0</v>
      </c>
      <c r="X385" s="687"/>
      <c r="Y385" s="1232">
        <v>1</v>
      </c>
      <c r="Z385" s="1233">
        <v>1000000</v>
      </c>
      <c r="AA385" s="1310">
        <v>1</v>
      </c>
      <c r="AB385" s="687">
        <v>1000000</v>
      </c>
      <c r="AC385" s="665"/>
      <c r="AD385" s="665"/>
      <c r="AE385" s="665">
        <v>1</v>
      </c>
      <c r="AF385" s="665"/>
      <c r="AG385" s="306" t="s">
        <v>4314</v>
      </c>
      <c r="AH385" s="991">
        <v>2018413960001</v>
      </c>
      <c r="AI385" s="307" t="s">
        <v>4334</v>
      </c>
      <c r="AJ385" s="838">
        <v>43282</v>
      </c>
      <c r="AK385" s="838">
        <v>43403</v>
      </c>
      <c r="AL385" s="308"/>
      <c r="AM385" s="308"/>
      <c r="AN385" s="281" t="s">
        <v>2598</v>
      </c>
      <c r="AO385" s="507"/>
      <c r="AP385" s="525"/>
      <c r="AQ385" s="310"/>
      <c r="AR385" s="310"/>
      <c r="AS385" s="310"/>
      <c r="AT385" s="310"/>
      <c r="AU385" s="310"/>
      <c r="AV385" s="310"/>
      <c r="AW385" s="544"/>
      <c r="AX385" s="525"/>
      <c r="AY385" s="310"/>
      <c r="AZ385" s="310"/>
      <c r="BA385" s="310"/>
      <c r="BB385" s="310"/>
      <c r="BC385" s="310"/>
      <c r="BD385" s="310"/>
      <c r="BE385" s="544">
        <f t="shared" si="211"/>
        <v>0</v>
      </c>
      <c r="BF385" s="525"/>
      <c r="BG385" s="310"/>
      <c r="BH385" s="310"/>
      <c r="BI385" s="310"/>
      <c r="BJ385" s="310"/>
      <c r="BK385" s="310"/>
      <c r="BL385" s="310"/>
      <c r="BM385" s="544">
        <f t="shared" si="215"/>
        <v>0</v>
      </c>
      <c r="BN385" s="525"/>
      <c r="BO385" s="310"/>
      <c r="BP385" s="310"/>
      <c r="BQ385" s="310"/>
      <c r="BR385" s="310"/>
      <c r="BS385" s="310"/>
      <c r="BT385" s="310"/>
      <c r="BU385" s="544">
        <f t="shared" si="213"/>
        <v>0</v>
      </c>
      <c r="BV385" s="556"/>
      <c r="BW385" s="663">
        <f t="shared" si="228"/>
        <v>1</v>
      </c>
      <c r="BX385" s="1047">
        <f t="shared" si="214"/>
        <v>0.5</v>
      </c>
      <c r="BY385" s="1047" t="str">
        <f t="shared" si="229"/>
        <v>Aplazada</v>
      </c>
      <c r="BZ385" s="1047" t="str">
        <f t="shared" si="230"/>
        <v>Aplazada</v>
      </c>
      <c r="CA385" s="1047">
        <f t="shared" si="231"/>
        <v>1</v>
      </c>
      <c r="CB385" s="1047">
        <f t="shared" si="232"/>
        <v>0</v>
      </c>
      <c r="CC385" s="540"/>
      <c r="CD385" t="str">
        <f t="shared" si="233"/>
        <v>AZ</v>
      </c>
      <c r="CE385" t="str">
        <f t="shared" si="233"/>
        <v>AZ</v>
      </c>
      <c r="CF385" t="str">
        <f t="shared" si="233"/>
        <v>VE</v>
      </c>
      <c r="CG385" t="str">
        <f t="shared" si="233"/>
        <v>ROB</v>
      </c>
    </row>
    <row r="386" spans="1:85" ht="81" hidden="1" customHeight="1" x14ac:dyDescent="0.25">
      <c r="A386" s="298" t="s">
        <v>1135</v>
      </c>
      <c r="B386" s="299" t="str">
        <f>'PLAN INDICATIVO'!B386</f>
        <v>Fortalecimiento institucional</v>
      </c>
      <c r="C386" s="1547"/>
      <c r="D386" s="1549"/>
      <c r="E386" s="1549"/>
      <c r="F386" s="1549"/>
      <c r="G386" s="1549"/>
      <c r="H386" s="1549"/>
      <c r="I386" s="300">
        <f>'PLAN INDICATIVO'!I386</f>
        <v>0</v>
      </c>
      <c r="J386" s="300">
        <f>'PLAN INDICATIVO'!J386</f>
        <v>0</v>
      </c>
      <c r="K386" s="1425" t="str">
        <f>'PLAN INDICATIVO'!K386</f>
        <v>A.17.1.18</v>
      </c>
      <c r="L386" s="301" t="str">
        <f>'PLAN INDICATIVO'!L386</f>
        <v>16. Paz, justicia e instituciones sólidas</v>
      </c>
      <c r="M386" s="301" t="str">
        <f>'PLAN INDICATIVO'!M386</f>
        <v>Secretaría de Gobierno</v>
      </c>
      <c r="N386" s="1425" t="str">
        <f>'PLAN INDICATIVO'!N386</f>
        <v>HERNAN RODRIGUEZ FALLA</v>
      </c>
      <c r="O386" s="1425" t="str">
        <f>'PLAN INDICATIVO'!O386</f>
        <v>Incremento</v>
      </c>
      <c r="P386" s="16" t="str">
        <f>'PLAN INDICATIVO'!P386</f>
        <v>Implementar 2 Campañas para mejorar el uso de material obsoleto y reciclaje de equipos de cómputo</v>
      </c>
      <c r="Q386" s="302" t="str">
        <f>'PLAN INDICATIVO'!Q386</f>
        <v>No. De campañas implementadas</v>
      </c>
      <c r="R386" s="303">
        <f>'PLAN INDICATIVO'!R386</f>
        <v>2015</v>
      </c>
      <c r="S386" s="304">
        <v>0</v>
      </c>
      <c r="T386" s="498">
        <v>2</v>
      </c>
      <c r="U386" s="303">
        <v>0</v>
      </c>
      <c r="V386" s="687"/>
      <c r="W386" s="572">
        <v>0</v>
      </c>
      <c r="X386" s="687"/>
      <c r="Y386" s="1232">
        <v>1</v>
      </c>
      <c r="Z386" s="1233">
        <v>1000000</v>
      </c>
      <c r="AA386" s="1310"/>
      <c r="AB386" s="687"/>
      <c r="AC386" s="665">
        <v>1</v>
      </c>
      <c r="AD386" s="665">
        <v>0</v>
      </c>
      <c r="AE386" s="665">
        <v>1</v>
      </c>
      <c r="AF386" s="665"/>
      <c r="AG386" s="306" t="s">
        <v>4314</v>
      </c>
      <c r="AH386" s="991">
        <v>2018413960001</v>
      </c>
      <c r="AI386" s="307" t="s">
        <v>4335</v>
      </c>
      <c r="AJ386" s="838">
        <v>43191</v>
      </c>
      <c r="AK386" s="838">
        <v>43282</v>
      </c>
      <c r="AL386" s="308"/>
      <c r="AM386" s="308" t="s">
        <v>2717</v>
      </c>
      <c r="AN386" s="281" t="s">
        <v>2598</v>
      </c>
      <c r="AO386" s="507"/>
      <c r="AP386" s="525"/>
      <c r="AQ386" s="310"/>
      <c r="AR386" s="310"/>
      <c r="AS386" s="310"/>
      <c r="AT386" s="310"/>
      <c r="AU386" s="310"/>
      <c r="AV386" s="310"/>
      <c r="AW386" s="544"/>
      <c r="AX386" s="525"/>
      <c r="AY386" s="310"/>
      <c r="AZ386" s="310"/>
      <c r="BA386" s="310"/>
      <c r="BB386" s="310"/>
      <c r="BC386" s="310"/>
      <c r="BD386" s="310"/>
      <c r="BE386" s="544">
        <f t="shared" si="211"/>
        <v>0</v>
      </c>
      <c r="BF386" s="525"/>
      <c r="BG386" s="310"/>
      <c r="BH386" s="310"/>
      <c r="BI386" s="310"/>
      <c r="BJ386" s="310"/>
      <c r="BK386" s="310"/>
      <c r="BL386" s="310"/>
      <c r="BM386" s="544">
        <f t="shared" si="215"/>
        <v>0</v>
      </c>
      <c r="BN386" s="525"/>
      <c r="BO386" s="310"/>
      <c r="BP386" s="310"/>
      <c r="BQ386" s="310"/>
      <c r="BR386" s="310"/>
      <c r="BS386" s="310"/>
      <c r="BT386" s="310"/>
      <c r="BU386" s="544">
        <f t="shared" si="213"/>
        <v>0</v>
      </c>
      <c r="BV386" s="556"/>
      <c r="BW386" s="663">
        <f t="shared" ref="BW386:BW449" si="236">AC386+AD386+AE386+AF386</f>
        <v>2</v>
      </c>
      <c r="BX386" s="1047">
        <f t="shared" si="214"/>
        <v>1</v>
      </c>
      <c r="BY386" s="1047" t="str">
        <f t="shared" si="229"/>
        <v>Aplazada</v>
      </c>
      <c r="BZ386" s="1047" t="str">
        <f t="shared" si="230"/>
        <v>Aplazada</v>
      </c>
      <c r="CA386" s="1047">
        <f t="shared" si="231"/>
        <v>1</v>
      </c>
      <c r="CB386" s="1047" t="str">
        <f t="shared" si="232"/>
        <v>No Programada</v>
      </c>
      <c r="CD386" t="str">
        <f t="shared" si="233"/>
        <v>AZ</v>
      </c>
      <c r="CE386" t="str">
        <f t="shared" si="233"/>
        <v>AZ</v>
      </c>
      <c r="CF386" t="str">
        <f t="shared" si="233"/>
        <v>VE</v>
      </c>
      <c r="CG386" t="str">
        <f t="shared" si="233"/>
        <v>NP</v>
      </c>
    </row>
    <row r="387" spans="1:85" ht="54.75" hidden="1" customHeight="1" x14ac:dyDescent="0.25">
      <c r="A387" s="298" t="s">
        <v>1135</v>
      </c>
      <c r="B387" s="299" t="str">
        <f>'PLAN INDICATIVO'!B387</f>
        <v>Fortalecimiento institucional</v>
      </c>
      <c r="C387" s="1547"/>
      <c r="D387" s="1549"/>
      <c r="E387" s="1549"/>
      <c r="F387" s="1549"/>
      <c r="G387" s="1549"/>
      <c r="H387" s="1549"/>
      <c r="I387" s="300">
        <f>'PLAN INDICATIVO'!I387</f>
        <v>0</v>
      </c>
      <c r="J387" s="300">
        <f>'PLAN INDICATIVO'!J387</f>
        <v>0</v>
      </c>
      <c r="K387" s="1425" t="str">
        <f>'PLAN INDICATIVO'!K387</f>
        <v>A.17.1.19</v>
      </c>
      <c r="L387" s="301" t="str">
        <f>'PLAN INDICATIVO'!L387</f>
        <v>16. Paz, justicia e instituciones sólidas</v>
      </c>
      <c r="M387" s="301" t="str">
        <f>'PLAN INDICATIVO'!M387</f>
        <v>Departamento Municipal de Planeación</v>
      </c>
      <c r="N387" s="1425" t="str">
        <f>'PLAN INDICATIVO'!N387</f>
        <v>MAURICIO LEGARDA GONZALEZ</v>
      </c>
      <c r="O387" s="1425" t="str">
        <f>'PLAN INDICATIVO'!O387</f>
        <v>Incremento</v>
      </c>
      <c r="P387" s="1301" t="str">
        <f>'PLAN INDICATIVO'!P387</f>
        <v>Realizar 4  audiencias de rendición de cuentas con uso de las TIC</v>
      </c>
      <c r="Q387" s="302" t="str">
        <f>'PLAN INDICATIVO'!Q387</f>
        <v>No, de informes de audiencias de rendición realizados</v>
      </c>
      <c r="R387" s="303">
        <f>'PLAN INDICATIVO'!R387</f>
        <v>2015</v>
      </c>
      <c r="S387" s="304">
        <v>1</v>
      </c>
      <c r="T387" s="498">
        <v>4</v>
      </c>
      <c r="U387" s="303">
        <v>1</v>
      </c>
      <c r="V387" s="687">
        <v>10000000</v>
      </c>
      <c r="W387" s="572">
        <v>1</v>
      </c>
      <c r="X387" s="687">
        <v>10000000</v>
      </c>
      <c r="Y387" s="1232">
        <v>1</v>
      </c>
      <c r="Z387" s="1233">
        <v>20000000</v>
      </c>
      <c r="AA387" s="1310">
        <f>T387-BW387</f>
        <v>1</v>
      </c>
      <c r="AB387" s="687">
        <v>20000000</v>
      </c>
      <c r="AC387" s="665">
        <v>1</v>
      </c>
      <c r="AD387" s="665">
        <v>1</v>
      </c>
      <c r="AE387" s="665">
        <v>1</v>
      </c>
      <c r="AF387" s="665"/>
      <c r="AG387" s="306" t="s">
        <v>4314</v>
      </c>
      <c r="AH387" s="991">
        <v>2018413960001</v>
      </c>
      <c r="AI387" s="307" t="s">
        <v>4336</v>
      </c>
      <c r="AJ387" s="838">
        <v>43160</v>
      </c>
      <c r="AK387" s="838">
        <v>43449</v>
      </c>
      <c r="AL387" s="308"/>
      <c r="AM387" s="308"/>
      <c r="AN387" s="267" t="s">
        <v>2598</v>
      </c>
      <c r="AO387" s="507"/>
      <c r="AP387" s="525"/>
      <c r="AQ387" s="310"/>
      <c r="AR387" s="310"/>
      <c r="AS387" s="310"/>
      <c r="AT387" s="310"/>
      <c r="AU387" s="310"/>
      <c r="AV387" s="310"/>
      <c r="AW387" s="544"/>
      <c r="AX387" s="525"/>
      <c r="AY387" s="310"/>
      <c r="AZ387" s="310"/>
      <c r="BA387" s="310"/>
      <c r="BB387" s="310"/>
      <c r="BC387" s="310"/>
      <c r="BD387" s="310"/>
      <c r="BE387" s="544">
        <f t="shared" si="211"/>
        <v>0</v>
      </c>
      <c r="BF387" s="525"/>
      <c r="BG387" s="310"/>
      <c r="BH387" s="310"/>
      <c r="BI387" s="310"/>
      <c r="BJ387" s="310"/>
      <c r="BK387" s="310"/>
      <c r="BL387" s="310"/>
      <c r="BM387" s="544">
        <f t="shared" si="215"/>
        <v>0</v>
      </c>
      <c r="BN387" s="525"/>
      <c r="BO387" s="310"/>
      <c r="BP387" s="310"/>
      <c r="BQ387" s="310"/>
      <c r="BR387" s="310"/>
      <c r="BS387" s="310"/>
      <c r="BT387" s="310"/>
      <c r="BU387" s="544">
        <f t="shared" si="213"/>
        <v>0</v>
      </c>
      <c r="BV387" s="556"/>
      <c r="BW387" s="663">
        <f t="shared" si="236"/>
        <v>3</v>
      </c>
      <c r="BX387" s="1047">
        <f t="shared" si="214"/>
        <v>0.75</v>
      </c>
      <c r="BY387" s="1047">
        <f t="shared" si="229"/>
        <v>1</v>
      </c>
      <c r="BZ387" s="1047">
        <f t="shared" si="230"/>
        <v>1</v>
      </c>
      <c r="CA387" s="1047">
        <f t="shared" si="231"/>
        <v>1</v>
      </c>
      <c r="CB387" s="1047">
        <f t="shared" si="232"/>
        <v>0</v>
      </c>
      <c r="CD387" t="str">
        <f t="shared" si="233"/>
        <v>VE</v>
      </c>
      <c r="CE387" t="str">
        <f t="shared" si="233"/>
        <v>VE</v>
      </c>
      <c r="CF387" t="str">
        <f t="shared" si="233"/>
        <v>VE</v>
      </c>
      <c r="CG387" t="str">
        <f t="shared" si="233"/>
        <v>ROB</v>
      </c>
    </row>
    <row r="388" spans="1:85" ht="48.75" hidden="1" customHeight="1" x14ac:dyDescent="0.25">
      <c r="A388" s="298" t="s">
        <v>1135</v>
      </c>
      <c r="B388" s="299" t="str">
        <f>'PLAN INDICATIVO'!B388</f>
        <v>Fortalecimiento institucional</v>
      </c>
      <c r="C388" s="1547"/>
      <c r="D388" s="1549"/>
      <c r="E388" s="1549"/>
      <c r="F388" s="1549"/>
      <c r="G388" s="1549"/>
      <c r="H388" s="1549"/>
      <c r="I388" s="300">
        <f>'PLAN INDICATIVO'!I388</f>
        <v>0</v>
      </c>
      <c r="J388" s="300">
        <f>'PLAN INDICATIVO'!J388</f>
        <v>0</v>
      </c>
      <c r="K388" s="1425" t="str">
        <f>'PLAN INDICATIVO'!K388</f>
        <v>A.17.1.20</v>
      </c>
      <c r="L388" s="301" t="str">
        <f>'PLAN INDICATIVO'!L388</f>
        <v>16. Paz, justicia e instituciones sólidas</v>
      </c>
      <c r="M388" s="301" t="str">
        <f>'PLAN INDICATIVO'!M388</f>
        <v>Secretaría de Gobierno</v>
      </c>
      <c r="N388" s="1425" t="str">
        <f>'PLAN INDICATIVO'!N388</f>
        <v>HERNAN RODRIGUEZ FALLA</v>
      </c>
      <c r="O388" s="1425" t="str">
        <f>'PLAN INDICATIVO'!O388</f>
        <v>Incremento</v>
      </c>
      <c r="P388" s="1303" t="str">
        <f>'PLAN INDICATIVO'!P388</f>
        <v>Integrar 2 trámites o servicios a la plataforma NO mas filas</v>
      </c>
      <c r="Q388" s="302" t="str">
        <f>'PLAN INDICATIVO'!Q388</f>
        <v>No. De trámites o servicios integrados</v>
      </c>
      <c r="R388" s="303">
        <f>'PLAN INDICATIVO'!R388</f>
        <v>2015</v>
      </c>
      <c r="S388" s="304">
        <v>0</v>
      </c>
      <c r="T388" s="498">
        <v>2</v>
      </c>
      <c r="U388" s="303">
        <v>0</v>
      </c>
      <c r="V388" s="687"/>
      <c r="W388" s="572">
        <v>1</v>
      </c>
      <c r="X388" s="687">
        <v>1000000</v>
      </c>
      <c r="Y388" s="1232"/>
      <c r="Z388" s="1233">
        <v>10000000</v>
      </c>
      <c r="AA388" s="1310">
        <f>T388-BW388</f>
        <v>0.8</v>
      </c>
      <c r="AB388" s="687"/>
      <c r="AC388" s="665">
        <v>1</v>
      </c>
      <c r="AD388" s="665">
        <v>0.2</v>
      </c>
      <c r="AE388" s="665"/>
      <c r="AF388" s="665"/>
      <c r="AG388" s="306" t="s">
        <v>4314</v>
      </c>
      <c r="AH388" s="991">
        <v>2018413960001</v>
      </c>
      <c r="AI388" s="307"/>
      <c r="AJ388" s="838">
        <v>43191</v>
      </c>
      <c r="AK388" s="838">
        <v>43282</v>
      </c>
      <c r="AL388" s="308"/>
      <c r="AM388" s="308"/>
      <c r="AN388" s="281" t="s">
        <v>2594</v>
      </c>
      <c r="AO388" s="507"/>
      <c r="AP388" s="525"/>
      <c r="AQ388" s="310"/>
      <c r="AR388" s="310"/>
      <c r="AS388" s="310"/>
      <c r="AT388" s="310"/>
      <c r="AU388" s="310"/>
      <c r="AV388" s="310"/>
      <c r="AW388" s="544"/>
      <c r="AX388" s="525"/>
      <c r="AY388" s="310"/>
      <c r="AZ388" s="310"/>
      <c r="BA388" s="310"/>
      <c r="BB388" s="310"/>
      <c r="BC388" s="310"/>
      <c r="BD388" s="310"/>
      <c r="BE388" s="544">
        <f t="shared" si="211"/>
        <v>0</v>
      </c>
      <c r="BF388" s="525"/>
      <c r="BG388" s="310"/>
      <c r="BH388" s="310"/>
      <c r="BI388" s="310"/>
      <c r="BJ388" s="310"/>
      <c r="BK388" s="310"/>
      <c r="BL388" s="310"/>
      <c r="BM388" s="544">
        <f t="shared" si="215"/>
        <v>0</v>
      </c>
      <c r="BN388" s="525"/>
      <c r="BO388" s="310"/>
      <c r="BP388" s="310"/>
      <c r="BQ388" s="310"/>
      <c r="BR388" s="310"/>
      <c r="BS388" s="310"/>
      <c r="BT388" s="310"/>
      <c r="BU388" s="544">
        <f t="shared" si="213"/>
        <v>0</v>
      </c>
      <c r="BV388" s="556"/>
      <c r="BW388" s="663">
        <f t="shared" si="236"/>
        <v>1.2</v>
      </c>
      <c r="BX388" s="1047">
        <f t="shared" si="214"/>
        <v>0.6</v>
      </c>
      <c r="BY388" s="1047" t="str">
        <f t="shared" si="229"/>
        <v>Aplazada</v>
      </c>
      <c r="BZ388" s="1047">
        <f t="shared" si="230"/>
        <v>0.2</v>
      </c>
      <c r="CA388" s="1047" t="str">
        <f t="shared" si="231"/>
        <v>No Programada</v>
      </c>
      <c r="CB388" s="1047">
        <f t="shared" si="232"/>
        <v>0</v>
      </c>
      <c r="CD388" t="str">
        <f t="shared" si="233"/>
        <v>AZ</v>
      </c>
      <c r="CE388" t="str">
        <f t="shared" si="233"/>
        <v>ROB</v>
      </c>
      <c r="CF388" t="str">
        <f t="shared" si="233"/>
        <v>NP</v>
      </c>
      <c r="CG388" t="str">
        <f t="shared" si="233"/>
        <v>ROB</v>
      </c>
    </row>
    <row r="389" spans="1:85" ht="81.75" hidden="1" customHeight="1" x14ac:dyDescent="0.25">
      <c r="A389" s="298" t="s">
        <v>1135</v>
      </c>
      <c r="B389" s="299" t="str">
        <f>'PLAN INDICATIVO'!B389</f>
        <v>Fortalecimiento institucional</v>
      </c>
      <c r="C389" s="1547"/>
      <c r="D389" s="1549"/>
      <c r="E389" s="1549"/>
      <c r="F389" s="1549"/>
      <c r="G389" s="1549"/>
      <c r="H389" s="1549"/>
      <c r="I389" s="300">
        <f>'PLAN INDICATIVO'!I389</f>
        <v>0</v>
      </c>
      <c r="J389" s="300">
        <f>'PLAN INDICATIVO'!J389</f>
        <v>0</v>
      </c>
      <c r="K389" s="1425" t="str">
        <f>'PLAN INDICATIVO'!K389</f>
        <v>A.17.1.21</v>
      </c>
      <c r="L389" s="301" t="str">
        <f>'PLAN INDICATIVO'!L389</f>
        <v>16. Paz, justicia e instituciones sólidas</v>
      </c>
      <c r="M389" s="301" t="str">
        <f>'PLAN INDICATIVO'!M389</f>
        <v>Secretaría de Gobierno</v>
      </c>
      <c r="N389" s="1425" t="str">
        <f>'PLAN INDICATIVO'!N389</f>
        <v>HERNAN RODRIGUEZ FALLA</v>
      </c>
      <c r="O389" s="1425" t="str">
        <f>'PLAN INDICATIVO'!O389</f>
        <v>Incremento</v>
      </c>
      <c r="P389" s="16" t="str">
        <f>'PLAN INDICATIVO'!P389</f>
        <v>Ejecutar 4 capacitaciones durante el cuatrienio a funcionarios municipales para mejorar indicadores de Gobierno en línea</v>
      </c>
      <c r="Q389" s="302" t="str">
        <f>'PLAN INDICATIVO'!Q389</f>
        <v>No. de capacitaciones ejecutadas</v>
      </c>
      <c r="R389" s="303">
        <f>'PLAN INDICATIVO'!R389</f>
        <v>2015</v>
      </c>
      <c r="S389" s="304">
        <v>0</v>
      </c>
      <c r="T389" s="498">
        <v>4</v>
      </c>
      <c r="U389" s="303">
        <v>1</v>
      </c>
      <c r="V389" s="687">
        <v>2400000</v>
      </c>
      <c r="W389" s="572">
        <v>1</v>
      </c>
      <c r="X389" s="687">
        <v>1000000</v>
      </c>
      <c r="Y389" s="1232"/>
      <c r="Z389" s="1233">
        <v>1000000</v>
      </c>
      <c r="AA389" s="1310">
        <f>T389-BW389</f>
        <v>2</v>
      </c>
      <c r="AB389" s="687">
        <v>10000000</v>
      </c>
      <c r="AC389" s="665">
        <v>1</v>
      </c>
      <c r="AD389" s="308">
        <v>1</v>
      </c>
      <c r="AE389" s="665"/>
      <c r="AF389" s="665"/>
      <c r="AG389" s="306" t="s">
        <v>4314</v>
      </c>
      <c r="AH389" s="991">
        <v>2018413960001</v>
      </c>
      <c r="AI389" s="307" t="s">
        <v>4337</v>
      </c>
      <c r="AJ389" s="838">
        <v>43160</v>
      </c>
      <c r="AK389" s="838">
        <v>43311</v>
      </c>
      <c r="AL389" s="308"/>
      <c r="AM389" s="308"/>
      <c r="AN389" s="281" t="s">
        <v>2594</v>
      </c>
      <c r="AO389" s="507"/>
      <c r="AP389" s="525"/>
      <c r="AQ389" s="310"/>
      <c r="AR389" s="310"/>
      <c r="AS389" s="310"/>
      <c r="AT389" s="310"/>
      <c r="AU389" s="310"/>
      <c r="AV389" s="310"/>
      <c r="AW389" s="544"/>
      <c r="AX389" s="525"/>
      <c r="AY389" s="310"/>
      <c r="AZ389" s="310"/>
      <c r="BA389" s="310"/>
      <c r="BB389" s="310"/>
      <c r="BC389" s="310"/>
      <c r="BD389" s="310"/>
      <c r="BE389" s="544">
        <f t="shared" si="211"/>
        <v>0</v>
      </c>
      <c r="BF389" s="525"/>
      <c r="BG389" s="310"/>
      <c r="BH389" s="310"/>
      <c r="BI389" s="310"/>
      <c r="BJ389" s="310"/>
      <c r="BK389" s="310"/>
      <c r="BL389" s="310"/>
      <c r="BM389" s="544">
        <f t="shared" si="215"/>
        <v>0</v>
      </c>
      <c r="BN389" s="525"/>
      <c r="BO389" s="310"/>
      <c r="BP389" s="310"/>
      <c r="BQ389" s="310"/>
      <c r="BR389" s="310"/>
      <c r="BS389" s="310"/>
      <c r="BT389" s="310"/>
      <c r="BU389" s="544">
        <f t="shared" si="213"/>
        <v>0</v>
      </c>
      <c r="BV389" s="556"/>
      <c r="BW389" s="663">
        <f t="shared" si="236"/>
        <v>2</v>
      </c>
      <c r="BX389" s="1047">
        <f t="shared" si="214"/>
        <v>0.5</v>
      </c>
      <c r="BY389" s="1047">
        <f t="shared" si="229"/>
        <v>1</v>
      </c>
      <c r="BZ389" s="1047">
        <f t="shared" si="230"/>
        <v>1</v>
      </c>
      <c r="CA389" s="1047" t="str">
        <f t="shared" si="231"/>
        <v>No Programada</v>
      </c>
      <c r="CB389" s="1047">
        <f t="shared" si="232"/>
        <v>0</v>
      </c>
      <c r="CD389" t="str">
        <f t="shared" si="233"/>
        <v>VE</v>
      </c>
      <c r="CE389" t="str">
        <f t="shared" si="233"/>
        <v>VE</v>
      </c>
      <c r="CF389" t="str">
        <f t="shared" si="233"/>
        <v>NP</v>
      </c>
      <c r="CG389" t="str">
        <f t="shared" si="233"/>
        <v>ROB</v>
      </c>
    </row>
    <row r="390" spans="1:85" ht="53.25" hidden="1" customHeight="1" x14ac:dyDescent="0.25">
      <c r="A390" s="298" t="s">
        <v>1135</v>
      </c>
      <c r="B390" s="299" t="str">
        <f>'PLAN INDICATIVO'!B390</f>
        <v>Fortalecimiento institucional</v>
      </c>
      <c r="C390" s="1547"/>
      <c r="D390" s="1549"/>
      <c r="E390" s="1549"/>
      <c r="F390" s="1549"/>
      <c r="G390" s="1549"/>
      <c r="H390" s="1549"/>
      <c r="I390" s="300">
        <f>'PLAN INDICATIVO'!I390</f>
        <v>0</v>
      </c>
      <c r="J390" s="300">
        <f>'PLAN INDICATIVO'!J390</f>
        <v>0</v>
      </c>
      <c r="K390" s="1425" t="str">
        <f>'PLAN INDICATIVO'!K390</f>
        <v>A.17.1.22</v>
      </c>
      <c r="L390" s="301" t="str">
        <f>'PLAN INDICATIVO'!L390</f>
        <v>16. Paz, justicia e instituciones sólidas</v>
      </c>
      <c r="M390" s="301" t="str">
        <f>'PLAN INDICATIVO'!M390</f>
        <v>Departamento Municipal de Planeación</v>
      </c>
      <c r="N390" s="1425" t="str">
        <f>'PLAN INDICATIVO'!N390</f>
        <v>MAURICIO LEGARDA GONZALEZ</v>
      </c>
      <c r="O390" s="1425" t="str">
        <f>'PLAN INDICATIVO'!O390</f>
        <v>Incremento</v>
      </c>
      <c r="P390" s="16" t="str">
        <f>'PLAN INDICATIVO'!P390</f>
        <v>Realizar 2 revisiones y/o actualizaciones a la estratificación socioeconómica del municipio, durante el cuatrienio</v>
      </c>
      <c r="Q390" s="302" t="str">
        <f>'PLAN INDICATIVO'!Q390</f>
        <v>No. De revisiones o actualizaciones realizadas</v>
      </c>
      <c r="R390" s="303">
        <f>'PLAN INDICATIVO'!R390</f>
        <v>2015</v>
      </c>
      <c r="S390" s="304">
        <v>0</v>
      </c>
      <c r="T390" s="498">
        <v>2</v>
      </c>
      <c r="U390" s="303">
        <v>1</v>
      </c>
      <c r="V390" s="687">
        <v>15000000</v>
      </c>
      <c r="W390" s="572">
        <v>0.3</v>
      </c>
      <c r="X390" s="687">
        <v>16000000</v>
      </c>
      <c r="Y390" s="1232">
        <v>0.2</v>
      </c>
      <c r="Z390" s="1233"/>
      <c r="AA390" s="1310">
        <f>T390-BW390</f>
        <v>0.8</v>
      </c>
      <c r="AB390" s="687">
        <v>1000000</v>
      </c>
      <c r="AC390" s="665">
        <v>0.5</v>
      </c>
      <c r="AD390" s="665">
        <v>0.5</v>
      </c>
      <c r="AE390" s="665">
        <v>0.2</v>
      </c>
      <c r="AF390" s="665"/>
      <c r="AG390" s="306" t="s">
        <v>4314</v>
      </c>
      <c r="AH390" s="991">
        <v>2018413960001</v>
      </c>
      <c r="AI390" s="307"/>
      <c r="AJ390" s="838">
        <v>43115</v>
      </c>
      <c r="AK390" s="838">
        <v>43464</v>
      </c>
      <c r="AL390" s="308"/>
      <c r="AM390" s="308"/>
      <c r="AN390" s="281" t="s">
        <v>2598</v>
      </c>
      <c r="AO390" s="507"/>
      <c r="AP390" s="525"/>
      <c r="AQ390" s="310"/>
      <c r="AR390" s="310"/>
      <c r="AS390" s="310"/>
      <c r="AT390" s="310"/>
      <c r="AU390" s="310"/>
      <c r="AV390" s="310"/>
      <c r="AW390" s="544"/>
      <c r="AX390" s="525"/>
      <c r="AY390" s="310"/>
      <c r="AZ390" s="310"/>
      <c r="BA390" s="310"/>
      <c r="BB390" s="310"/>
      <c r="BC390" s="310"/>
      <c r="BD390" s="310"/>
      <c r="BE390" s="544">
        <f t="shared" si="211"/>
        <v>0</v>
      </c>
      <c r="BF390" s="525"/>
      <c r="BG390" s="310"/>
      <c r="BH390" s="310"/>
      <c r="BI390" s="310"/>
      <c r="BJ390" s="310"/>
      <c r="BK390" s="310"/>
      <c r="BL390" s="310"/>
      <c r="BM390" s="544">
        <f t="shared" si="215"/>
        <v>0</v>
      </c>
      <c r="BN390" s="525"/>
      <c r="BO390" s="310"/>
      <c r="BP390" s="310"/>
      <c r="BQ390" s="310"/>
      <c r="BR390" s="310"/>
      <c r="BS390" s="310"/>
      <c r="BT390" s="310"/>
      <c r="BU390" s="544">
        <f t="shared" si="213"/>
        <v>0</v>
      </c>
      <c r="BV390" s="556"/>
      <c r="BW390" s="663">
        <f t="shared" si="236"/>
        <v>1.2</v>
      </c>
      <c r="BX390" s="1047">
        <f t="shared" si="214"/>
        <v>0.6</v>
      </c>
      <c r="BY390" s="1047">
        <f t="shared" si="229"/>
        <v>0.5</v>
      </c>
      <c r="BZ390" s="1047">
        <f t="shared" si="230"/>
        <v>1.6666666666666667</v>
      </c>
      <c r="CA390" s="1047">
        <f t="shared" si="231"/>
        <v>1</v>
      </c>
      <c r="CB390" s="1047">
        <f t="shared" si="232"/>
        <v>0</v>
      </c>
      <c r="CC390" s="540"/>
      <c r="CD390" t="str">
        <f t="shared" si="233"/>
        <v>AMB</v>
      </c>
      <c r="CE390" t="str">
        <f t="shared" si="233"/>
        <v>VE</v>
      </c>
      <c r="CF390" t="str">
        <f t="shared" si="233"/>
        <v>VE</v>
      </c>
      <c r="CG390" t="str">
        <f t="shared" si="233"/>
        <v>ROB</v>
      </c>
    </row>
    <row r="391" spans="1:85" ht="20.25" hidden="1" customHeight="1" x14ac:dyDescent="0.25">
      <c r="A391" s="298" t="s">
        <v>2458</v>
      </c>
      <c r="B391" s="299" t="str">
        <f>'PLAN INDICATIVO'!B391</f>
        <v>Fortalecimiento institucional</v>
      </c>
      <c r="C391" s="1547"/>
      <c r="D391" s="1549"/>
      <c r="E391" s="1549"/>
      <c r="F391" s="1549"/>
      <c r="G391" s="1549"/>
      <c r="H391" s="1549"/>
      <c r="I391" s="300">
        <f>'PLAN INDICATIVO'!I391</f>
        <v>0</v>
      </c>
      <c r="J391" s="300">
        <f>'PLAN INDICATIVO'!J391</f>
        <v>0</v>
      </c>
      <c r="K391" s="1425" t="str">
        <f>'PLAN INDICATIVO'!K391</f>
        <v>A.17.1.23</v>
      </c>
      <c r="L391" s="301" t="str">
        <f>'PLAN INDICATIVO'!L391</f>
        <v>16. Paz, justicia e instituciones sólidas</v>
      </c>
      <c r="M391" s="301" t="str">
        <f>'PLAN INDICATIVO'!M391</f>
        <v>Secretaría de Gobierno</v>
      </c>
      <c r="N391" s="1425" t="str">
        <f>'PLAN INDICATIVO'!N391</f>
        <v>HERNAN RODRIGUEZ FALLA</v>
      </c>
      <c r="O391" s="1425" t="str">
        <f>'PLAN INDICATIVO'!O391</f>
        <v>Incremento</v>
      </c>
      <c r="P391" s="1199" t="str">
        <f>'PLAN INDICATIVO'!P391</f>
        <v>Ejecutar 1 programa de articulación de Gobierno en Línea y MECI implementado cada año</v>
      </c>
      <c r="Q391" s="1199" t="str">
        <f>'PLAN INDICATIVO'!Q391</f>
        <v>No. De programas Ejecutados</v>
      </c>
      <c r="R391" s="1463">
        <f>'PLAN INDICATIVO'!R391</f>
        <v>2015</v>
      </c>
      <c r="S391" s="795">
        <v>0</v>
      </c>
      <c r="T391" s="715">
        <v>1</v>
      </c>
      <c r="U391" s="1308">
        <v>0.25</v>
      </c>
      <c r="V391" s="1234">
        <v>1000000</v>
      </c>
      <c r="W391" s="1308">
        <v>0.25</v>
      </c>
      <c r="X391" s="1234">
        <v>1000000</v>
      </c>
      <c r="Y391" s="1714" t="s">
        <v>4307</v>
      </c>
      <c r="Z391" s="1715"/>
      <c r="AA391" s="1716"/>
      <c r="AB391" s="1234"/>
      <c r="AC391" s="1305">
        <v>0.25</v>
      </c>
      <c r="AD391" s="1305">
        <v>1</v>
      </c>
      <c r="AE391" s="1305">
        <v>1</v>
      </c>
      <c r="AF391" s="1305"/>
      <c r="AG391" s="306" t="s">
        <v>4314</v>
      </c>
      <c r="AH391" s="991">
        <v>2018413960001</v>
      </c>
      <c r="AI391" s="307" t="s">
        <v>4338</v>
      </c>
      <c r="AJ391" s="838">
        <v>43221</v>
      </c>
      <c r="AK391" s="838">
        <v>43342</v>
      </c>
      <c r="AL391" s="308"/>
      <c r="AM391" s="308"/>
      <c r="AN391" s="281" t="s">
        <v>2604</v>
      </c>
      <c r="AO391" s="507"/>
      <c r="AP391" s="525"/>
      <c r="AQ391" s="310"/>
      <c r="AR391" s="310"/>
      <c r="AS391" s="310"/>
      <c r="AT391" s="310"/>
      <c r="AU391" s="310"/>
      <c r="AV391" s="310"/>
      <c r="AW391" s="544"/>
      <c r="AX391" s="525"/>
      <c r="AY391" s="310"/>
      <c r="AZ391" s="310"/>
      <c r="BA391" s="310"/>
      <c r="BB391" s="310"/>
      <c r="BC391" s="310"/>
      <c r="BD391" s="310"/>
      <c r="BE391" s="544">
        <f t="shared" si="211"/>
        <v>0</v>
      </c>
      <c r="BF391" s="525"/>
      <c r="BG391" s="310"/>
      <c r="BH391" s="310"/>
      <c r="BI391" s="310"/>
      <c r="BJ391" s="310"/>
      <c r="BK391" s="310"/>
      <c r="BL391" s="310"/>
      <c r="BM391" s="544">
        <f t="shared" si="215"/>
        <v>0</v>
      </c>
      <c r="BN391" s="525"/>
      <c r="BO391" s="310"/>
      <c r="BP391" s="310"/>
      <c r="BQ391" s="310"/>
      <c r="BR391" s="310"/>
      <c r="BS391" s="310"/>
      <c r="BT391" s="310"/>
      <c r="BU391" s="544">
        <f t="shared" si="213"/>
        <v>0</v>
      </c>
      <c r="BV391" s="556"/>
      <c r="BW391" s="663">
        <f t="shared" si="236"/>
        <v>2.25</v>
      </c>
      <c r="BX391" s="1047">
        <f t="shared" si="214"/>
        <v>2.25</v>
      </c>
      <c r="BY391" s="1047">
        <f t="shared" si="229"/>
        <v>1</v>
      </c>
      <c r="BZ391" s="1047">
        <f t="shared" si="230"/>
        <v>4</v>
      </c>
      <c r="CA391" s="1047" t="e">
        <f t="shared" si="231"/>
        <v>#VALUE!</v>
      </c>
      <c r="CB391" s="1047" t="str">
        <f t="shared" si="232"/>
        <v>No Programada</v>
      </c>
      <c r="CD391" t="str">
        <f t="shared" si="233"/>
        <v>VE</v>
      </c>
      <c r="CE391" t="str">
        <f t="shared" si="233"/>
        <v>VE</v>
      </c>
      <c r="CF391" t="e">
        <f t="shared" si="233"/>
        <v>#VALUE!</v>
      </c>
      <c r="CG391" t="str">
        <f t="shared" si="233"/>
        <v>NP</v>
      </c>
    </row>
    <row r="392" spans="1:85" ht="55.5" hidden="1" customHeight="1" x14ac:dyDescent="0.25">
      <c r="A392" s="298" t="s">
        <v>1135</v>
      </c>
      <c r="B392" s="299" t="str">
        <f>'PLAN INDICATIVO'!B392</f>
        <v>Fortalecimiento institucional</v>
      </c>
      <c r="C392" s="1547"/>
      <c r="D392" s="1549"/>
      <c r="E392" s="1549"/>
      <c r="F392" s="1549"/>
      <c r="G392" s="1549"/>
      <c r="H392" s="1549"/>
      <c r="I392" s="300">
        <f>'PLAN INDICATIVO'!I392</f>
        <v>0</v>
      </c>
      <c r="J392" s="300">
        <f>'PLAN INDICATIVO'!J392</f>
        <v>0</v>
      </c>
      <c r="K392" s="1425" t="str">
        <f>'PLAN INDICATIVO'!K392</f>
        <v>A.17.1.24</v>
      </c>
      <c r="L392" s="301" t="str">
        <f>'PLAN INDICATIVO'!L392</f>
        <v>16. Paz, justicia e instituciones sólidas</v>
      </c>
      <c r="M392" s="301" t="str">
        <f>'PLAN INDICATIVO'!M392</f>
        <v>Secretaría de Gobierno</v>
      </c>
      <c r="N392" s="1425" t="str">
        <f>'PLAN INDICATIVO'!N392</f>
        <v>HERNAN RODRIGUEZ FALLA</v>
      </c>
      <c r="O392" s="1425" t="str">
        <f>'PLAN INDICATIVO'!O392</f>
        <v>Incremento</v>
      </c>
      <c r="P392" s="16" t="str">
        <f>'PLAN INDICATIVO'!P392</f>
        <v>Implementar 1 Estrategia de cero papel  durante el cuatrienio</v>
      </c>
      <c r="Q392" s="302" t="str">
        <f>'PLAN INDICATIVO'!Q392</f>
        <v>No. De estrategias implementadas</v>
      </c>
      <c r="R392" s="303">
        <f>'PLAN INDICATIVO'!R392</f>
        <v>2015</v>
      </c>
      <c r="S392" s="304">
        <v>0</v>
      </c>
      <c r="T392" s="498">
        <v>1</v>
      </c>
      <c r="U392" s="303">
        <v>1</v>
      </c>
      <c r="V392" s="687">
        <v>1000000</v>
      </c>
      <c r="W392" s="572"/>
      <c r="X392" s="687">
        <v>1000000</v>
      </c>
      <c r="Y392" s="715"/>
      <c r="Z392" s="1234"/>
      <c r="AA392" s="1310"/>
      <c r="AB392" s="687"/>
      <c r="AC392" s="665"/>
      <c r="AD392" s="665">
        <v>1</v>
      </c>
      <c r="AE392" s="665"/>
      <c r="AF392" s="665"/>
      <c r="AG392" s="306" t="s">
        <v>4314</v>
      </c>
      <c r="AH392" s="991">
        <v>2018413960001</v>
      </c>
      <c r="AI392" s="307" t="s">
        <v>4339</v>
      </c>
      <c r="AJ392" s="838">
        <v>43313</v>
      </c>
      <c r="AK392" s="838">
        <v>43434</v>
      </c>
      <c r="AL392" s="308"/>
      <c r="AM392" s="308"/>
      <c r="AN392" s="281" t="s">
        <v>2594</v>
      </c>
      <c r="AO392" s="507"/>
      <c r="AP392" s="525"/>
      <c r="AQ392" s="310"/>
      <c r="AR392" s="310"/>
      <c r="AS392" s="310"/>
      <c r="AT392" s="310"/>
      <c r="AU392" s="310"/>
      <c r="AV392" s="310"/>
      <c r="AW392" s="544"/>
      <c r="AX392" s="525"/>
      <c r="AY392" s="310"/>
      <c r="AZ392" s="310"/>
      <c r="BA392" s="310"/>
      <c r="BB392" s="310"/>
      <c r="BC392" s="310"/>
      <c r="BD392" s="310"/>
      <c r="BE392" s="544">
        <f t="shared" si="211"/>
        <v>0</v>
      </c>
      <c r="BF392" s="525"/>
      <c r="BG392" s="310"/>
      <c r="BH392" s="310"/>
      <c r="BI392" s="310"/>
      <c r="BJ392" s="310"/>
      <c r="BK392" s="310"/>
      <c r="BL392" s="310"/>
      <c r="BM392" s="544">
        <f t="shared" si="215"/>
        <v>0</v>
      </c>
      <c r="BN392" s="525"/>
      <c r="BO392" s="310"/>
      <c r="BP392" s="310"/>
      <c r="BQ392" s="310"/>
      <c r="BR392" s="310"/>
      <c r="BS392" s="310"/>
      <c r="BT392" s="310"/>
      <c r="BU392" s="544">
        <f t="shared" si="213"/>
        <v>0</v>
      </c>
      <c r="BV392" s="556"/>
      <c r="BW392" s="663">
        <f t="shared" si="236"/>
        <v>1</v>
      </c>
      <c r="BX392" s="1047">
        <f t="shared" si="214"/>
        <v>1</v>
      </c>
      <c r="BY392" s="1047">
        <f t="shared" si="229"/>
        <v>0</v>
      </c>
      <c r="BZ392" s="1047" t="str">
        <f t="shared" si="230"/>
        <v>No Programada</v>
      </c>
      <c r="CA392" s="1047" t="str">
        <f t="shared" si="231"/>
        <v>No Programada</v>
      </c>
      <c r="CB392" s="1047" t="str">
        <f t="shared" si="232"/>
        <v>No Programada</v>
      </c>
      <c r="CD392" t="str">
        <f t="shared" si="233"/>
        <v>ROB</v>
      </c>
      <c r="CE392" t="str">
        <f t="shared" si="233"/>
        <v>NP</v>
      </c>
      <c r="CF392" t="str">
        <f t="shared" si="233"/>
        <v>NP</v>
      </c>
      <c r="CG392" t="str">
        <f t="shared" si="233"/>
        <v>NP</v>
      </c>
    </row>
    <row r="393" spans="1:85" ht="78" hidden="1" customHeight="1" thickBot="1" x14ac:dyDescent="0.3">
      <c r="A393" s="393" t="s">
        <v>1135</v>
      </c>
      <c r="B393" s="394" t="str">
        <f>'PLAN INDICATIVO'!B393</f>
        <v>Fortalecimiento institucional</v>
      </c>
      <c r="C393" s="1548"/>
      <c r="D393" s="1549"/>
      <c r="E393" s="1549"/>
      <c r="F393" s="1549"/>
      <c r="G393" s="1549"/>
      <c r="H393" s="1549"/>
      <c r="I393" s="300">
        <f>'PLAN INDICATIVO'!I393</f>
        <v>0</v>
      </c>
      <c r="J393" s="300">
        <f>'PLAN INDICATIVO'!J393</f>
        <v>0</v>
      </c>
      <c r="K393" s="1425" t="str">
        <f>'PLAN INDICATIVO'!K393</f>
        <v>A.17.1.25</v>
      </c>
      <c r="L393" s="301" t="str">
        <f>'PLAN INDICATIVO'!L393</f>
        <v>16. Paz, justicia e instituciones sólidas</v>
      </c>
      <c r="M393" s="301" t="str">
        <f>'PLAN INDICATIVO'!M393</f>
        <v>Secretaría de Gobierno</v>
      </c>
      <c r="N393" s="1425" t="str">
        <f>'PLAN INDICATIVO'!N393</f>
        <v>HERNAN RODRIGUEZ FALLA</v>
      </c>
      <c r="O393" s="1425" t="str">
        <f>'PLAN INDICATIVO'!O393</f>
        <v>Incremento</v>
      </c>
      <c r="P393" s="16" t="str">
        <f>'PLAN INDICATIVO'!P393</f>
        <v>Adquisición de 2 ambulacias para fortalecer el parque automotor en servicios de salud, durante el cuatrienio</v>
      </c>
      <c r="Q393" s="302" t="str">
        <f>'PLAN INDICATIVO'!Q393</f>
        <v xml:space="preserve">No. De ambulancias adquiridas  </v>
      </c>
      <c r="R393" s="303">
        <f>'PLAN INDICATIVO'!R393</f>
        <v>2015</v>
      </c>
      <c r="S393" s="304">
        <v>0</v>
      </c>
      <c r="T393" s="498">
        <v>2</v>
      </c>
      <c r="U393" s="303">
        <v>1</v>
      </c>
      <c r="V393" s="687">
        <v>1000000</v>
      </c>
      <c r="W393" s="572">
        <v>1</v>
      </c>
      <c r="X393" s="687">
        <v>1000000</v>
      </c>
      <c r="Y393" s="715">
        <v>1</v>
      </c>
      <c r="Z393" s="1234">
        <v>1000000</v>
      </c>
      <c r="AA393" s="1310"/>
      <c r="AB393" s="687"/>
      <c r="AC393" s="665">
        <v>1</v>
      </c>
      <c r="AD393" s="665"/>
      <c r="AE393" s="665">
        <v>1</v>
      </c>
      <c r="AF393" s="665"/>
      <c r="AG393" s="306" t="s">
        <v>4314</v>
      </c>
      <c r="AH393" s="991">
        <v>2018413960001</v>
      </c>
      <c r="AI393" s="307" t="s">
        <v>4340</v>
      </c>
      <c r="AJ393" s="838"/>
      <c r="AK393" s="838"/>
      <c r="AL393" s="308"/>
      <c r="AM393" s="308"/>
      <c r="AN393" s="281" t="s">
        <v>2598</v>
      </c>
      <c r="AO393" s="507" t="s">
        <v>4341</v>
      </c>
      <c r="AP393" s="525"/>
      <c r="AQ393" s="310"/>
      <c r="AR393" s="310"/>
      <c r="AS393" s="310"/>
      <c r="AT393" s="310"/>
      <c r="AU393" s="310"/>
      <c r="AV393" s="310"/>
      <c r="AW393" s="544"/>
      <c r="AX393" s="525"/>
      <c r="AY393" s="310"/>
      <c r="AZ393" s="310"/>
      <c r="BA393" s="310"/>
      <c r="BB393" s="310"/>
      <c r="BC393" s="310"/>
      <c r="BD393" s="310"/>
      <c r="BE393" s="544">
        <f t="shared" si="211"/>
        <v>0</v>
      </c>
      <c r="BF393" s="525"/>
      <c r="BG393" s="310">
        <v>99000000</v>
      </c>
      <c r="BH393" s="310"/>
      <c r="BI393" s="310"/>
      <c r="BJ393" s="310"/>
      <c r="BK393" s="310"/>
      <c r="BL393" s="310"/>
      <c r="BM393" s="544">
        <f t="shared" si="215"/>
        <v>99000000</v>
      </c>
      <c r="BN393" s="525"/>
      <c r="BO393" s="310"/>
      <c r="BP393" s="310"/>
      <c r="BQ393" s="310"/>
      <c r="BR393" s="310"/>
      <c r="BS393" s="310"/>
      <c r="BT393" s="310"/>
      <c r="BU393" s="544">
        <f t="shared" si="213"/>
        <v>0</v>
      </c>
      <c r="BV393" s="556"/>
      <c r="BW393" s="663">
        <f t="shared" si="236"/>
        <v>2</v>
      </c>
      <c r="BX393" s="1047">
        <f t="shared" si="214"/>
        <v>1</v>
      </c>
      <c r="BY393" s="1047">
        <f t="shared" si="229"/>
        <v>1</v>
      </c>
      <c r="BZ393" s="1047">
        <f t="shared" si="230"/>
        <v>0</v>
      </c>
      <c r="CA393" s="1047">
        <f t="shared" si="231"/>
        <v>1</v>
      </c>
      <c r="CB393" s="1047" t="str">
        <f t="shared" si="232"/>
        <v>No Programada</v>
      </c>
      <c r="CC393" s="540"/>
      <c r="CD393" t="str">
        <f t="shared" si="233"/>
        <v>VE</v>
      </c>
      <c r="CE393" t="str">
        <f t="shared" si="233"/>
        <v>ROB</v>
      </c>
      <c r="CF393" t="str">
        <f t="shared" si="233"/>
        <v>VE</v>
      </c>
      <c r="CG393" t="str">
        <f t="shared" si="233"/>
        <v>NP</v>
      </c>
    </row>
    <row r="394" spans="1:85" ht="27" hidden="1" customHeight="1" thickBot="1" x14ac:dyDescent="0.3">
      <c r="A394" s="428"/>
      <c r="B394" s="438" t="str">
        <f>'PLAN INDICATIVO'!B394</f>
        <v>DESARROLLO COMUNITARIO</v>
      </c>
      <c r="C394" s="1578" t="s">
        <v>1217</v>
      </c>
      <c r="D394" s="1578"/>
      <c r="E394" s="1578"/>
      <c r="F394" s="1578"/>
      <c r="G394" s="1578"/>
      <c r="H394" s="1578"/>
      <c r="I394" s="1578"/>
      <c r="J394" s="1578"/>
      <c r="K394" s="1578"/>
      <c r="L394" s="1578"/>
      <c r="M394" s="1578"/>
      <c r="N394" s="1578"/>
      <c r="O394" s="1578"/>
      <c r="P394" s="1578"/>
      <c r="Q394" s="1578"/>
      <c r="R394" s="1578"/>
      <c r="S394" s="1578"/>
      <c r="T394" s="1578"/>
      <c r="U394" s="1578"/>
      <c r="V394" s="1578"/>
      <c r="W394" s="1578"/>
      <c r="X394" s="1578"/>
      <c r="Y394" s="1578"/>
      <c r="Z394" s="1578"/>
      <c r="AA394" s="1578"/>
      <c r="AB394" s="1578"/>
      <c r="AC394" s="1578"/>
      <c r="AD394" s="1578"/>
      <c r="AE394" s="1578"/>
      <c r="AF394" s="1578"/>
      <c r="AG394" s="1578"/>
      <c r="AH394" s="1578"/>
      <c r="AI394" s="1578"/>
      <c r="AJ394" s="1578"/>
      <c r="AK394" s="1578"/>
      <c r="AL394" s="1578"/>
      <c r="AM394" s="1644"/>
      <c r="AN394" s="294"/>
      <c r="AO394" s="506"/>
      <c r="AP394" s="524"/>
      <c r="AQ394" s="374"/>
      <c r="AR394" s="374"/>
      <c r="AS394" s="374"/>
      <c r="AT394" s="374"/>
      <c r="AU394" s="374"/>
      <c r="AV394" s="374"/>
      <c r="AW394" s="544"/>
      <c r="AX394" s="524"/>
      <c r="AY394" s="374"/>
      <c r="AZ394" s="374"/>
      <c r="BA394" s="374"/>
      <c r="BB394" s="374"/>
      <c r="BC394" s="374"/>
      <c r="BD394" s="374"/>
      <c r="BE394" s="544">
        <f t="shared" si="211"/>
        <v>0</v>
      </c>
      <c r="BF394" s="524"/>
      <c r="BG394" s="374"/>
      <c r="BH394" s="374"/>
      <c r="BI394" s="374"/>
      <c r="BJ394" s="374"/>
      <c r="BK394" s="374"/>
      <c r="BL394" s="374"/>
      <c r="BM394" s="544">
        <f t="shared" si="215"/>
        <v>0</v>
      </c>
      <c r="BN394" s="524"/>
      <c r="BO394" s="374"/>
      <c r="BP394" s="374"/>
      <c r="BQ394" s="374"/>
      <c r="BR394" s="374"/>
      <c r="BS394" s="374"/>
      <c r="BT394" s="374"/>
      <c r="BU394" s="544">
        <f t="shared" si="213"/>
        <v>0</v>
      </c>
      <c r="BV394" s="556"/>
      <c r="BW394" s="294" t="s">
        <v>2717</v>
      </c>
      <c r="BX394" s="294" t="s">
        <v>2717</v>
      </c>
      <c r="BY394" s="294" t="s">
        <v>2717</v>
      </c>
      <c r="BZ394" s="294" t="s">
        <v>2717</v>
      </c>
      <c r="CA394" s="294" t="s">
        <v>2717</v>
      </c>
      <c r="CB394" s="1047" t="s">
        <v>2717</v>
      </c>
    </row>
    <row r="395" spans="1:85" ht="18" hidden="1" customHeight="1" x14ac:dyDescent="0.25">
      <c r="A395" s="296"/>
      <c r="B395" s="404" t="str">
        <f>'PLAN INDICATIVO'!B395</f>
        <v>Desarrollo comunitario</v>
      </c>
      <c r="C395" s="1574" t="s">
        <v>1219</v>
      </c>
      <c r="D395" s="1575"/>
      <c r="E395" s="1575"/>
      <c r="F395" s="1575"/>
      <c r="G395" s="1575"/>
      <c r="H395" s="1575"/>
      <c r="I395" s="1575"/>
      <c r="J395" s="1575"/>
      <c r="K395" s="1575"/>
      <c r="L395" s="1575"/>
      <c r="M395" s="1575"/>
      <c r="N395" s="1575"/>
      <c r="O395" s="1576"/>
      <c r="P395" s="22"/>
      <c r="Q395" s="22"/>
      <c r="R395" s="1"/>
      <c r="S395" s="261"/>
      <c r="T395" s="681"/>
      <c r="U395" s="261"/>
      <c r="V395" s="689">
        <f>SUM(V396:V406)</f>
        <v>27000000</v>
      </c>
      <c r="W395" s="261"/>
      <c r="X395" s="689">
        <f>SUM(X396:X406)</f>
        <v>59000000</v>
      </c>
      <c r="Y395" s="261"/>
      <c r="Z395" s="689">
        <f>SUM(Z396:Z406)</f>
        <v>50000000</v>
      </c>
      <c r="AA395" s="262"/>
      <c r="AB395" s="690">
        <f>SUM(AB396:AB406)</f>
        <v>50000000</v>
      </c>
      <c r="AC395" s="262"/>
      <c r="AD395" s="262"/>
      <c r="AE395" s="262"/>
      <c r="AF395" s="262"/>
      <c r="AG395" s="263"/>
      <c r="AH395" s="263"/>
      <c r="AI395" s="263"/>
      <c r="AJ395" s="262"/>
      <c r="AK395" s="262"/>
      <c r="AL395" s="262"/>
      <c r="AM395" s="262"/>
      <c r="AN395" s="262"/>
      <c r="AO395" s="612"/>
      <c r="AP395" s="616"/>
      <c r="AQ395" s="616"/>
      <c r="AR395" s="616"/>
      <c r="AS395" s="616"/>
      <c r="AT395" s="616"/>
      <c r="AU395" s="616"/>
      <c r="AV395" s="616"/>
      <c r="AW395" s="617"/>
      <c r="AX395" s="616" t="e">
        <f>(AX396:AX406)</f>
        <v>#VALUE!</v>
      </c>
      <c r="AY395" s="616" t="e">
        <f t="shared" ref="AY395:BD395" si="237">(AY396:AY406)</f>
        <v>#VALUE!</v>
      </c>
      <c r="AZ395" s="616" t="e">
        <f t="shared" si="237"/>
        <v>#VALUE!</v>
      </c>
      <c r="BA395" s="616" t="e">
        <f t="shared" si="237"/>
        <v>#VALUE!</v>
      </c>
      <c r="BB395" s="616" t="e">
        <f t="shared" si="237"/>
        <v>#VALUE!</v>
      </c>
      <c r="BC395" s="616" t="e">
        <f t="shared" si="237"/>
        <v>#VALUE!</v>
      </c>
      <c r="BD395" s="616" t="e">
        <f t="shared" si="237"/>
        <v>#VALUE!</v>
      </c>
      <c r="BE395" s="617" t="e">
        <f t="shared" si="211"/>
        <v>#VALUE!</v>
      </c>
      <c r="BF395" s="616"/>
      <c r="BG395" s="616"/>
      <c r="BH395" s="616"/>
      <c r="BI395" s="616"/>
      <c r="BJ395" s="616"/>
      <c r="BK395" s="616"/>
      <c r="BL395" s="616"/>
      <c r="BM395" s="617">
        <f t="shared" si="215"/>
        <v>0</v>
      </c>
      <c r="BN395" s="616" t="e">
        <f>(BN396:BN406)</f>
        <v>#VALUE!</v>
      </c>
      <c r="BO395" s="616" t="e">
        <f t="shared" ref="BO395:BT395" si="238">(BO396:BO406)</f>
        <v>#VALUE!</v>
      </c>
      <c r="BP395" s="616" t="e">
        <f t="shared" si="238"/>
        <v>#VALUE!</v>
      </c>
      <c r="BQ395" s="616" t="e">
        <f t="shared" si="238"/>
        <v>#VALUE!</v>
      </c>
      <c r="BR395" s="616" t="e">
        <f t="shared" si="238"/>
        <v>#VALUE!</v>
      </c>
      <c r="BS395" s="616" t="e">
        <f t="shared" si="238"/>
        <v>#VALUE!</v>
      </c>
      <c r="BT395" s="616" t="e">
        <f t="shared" si="238"/>
        <v>#VALUE!</v>
      </c>
      <c r="BU395" s="617" t="e">
        <f t="shared" si="213"/>
        <v>#VALUE!</v>
      </c>
      <c r="BV395" s="556"/>
      <c r="BW395" s="617" t="s">
        <v>2717</v>
      </c>
      <c r="BX395" s="617" t="s">
        <v>2717</v>
      </c>
      <c r="BY395" s="617" t="s">
        <v>2717</v>
      </c>
      <c r="BZ395" s="617" t="s">
        <v>2717</v>
      </c>
      <c r="CA395" s="617" t="s">
        <v>2717</v>
      </c>
      <c r="CB395" s="1047" t="s">
        <v>2717</v>
      </c>
    </row>
    <row r="396" spans="1:85" ht="83.25" hidden="1" customHeight="1" x14ac:dyDescent="0.25">
      <c r="A396" s="298" t="s">
        <v>1220</v>
      </c>
      <c r="B396" s="299" t="str">
        <f>'PLAN INDICATIVO'!B396</f>
        <v>Desarrollo comunitario</v>
      </c>
      <c r="C396" s="1546" t="s">
        <v>1221</v>
      </c>
      <c r="D396" s="1549" t="s">
        <v>1222</v>
      </c>
      <c r="E396" s="1549" t="s">
        <v>1223</v>
      </c>
      <c r="F396" s="1549">
        <v>2015</v>
      </c>
      <c r="G396" s="1549" t="s">
        <v>177</v>
      </c>
      <c r="H396" s="1549">
        <v>70</v>
      </c>
      <c r="I396" s="300">
        <f>'PLAN INDICATIVO'!I396</f>
        <v>0</v>
      </c>
      <c r="J396" s="300">
        <f>'PLAN INDICATIVO'!J396</f>
        <v>0</v>
      </c>
      <c r="K396" s="1425" t="str">
        <f>'PLAN INDICATIVO'!K396</f>
        <v>A.16.1.1</v>
      </c>
      <c r="L396" s="301" t="str">
        <f>'PLAN INDICATIVO'!L396</f>
        <v>16. Paz, justicia e instituciones sólidas</v>
      </c>
      <c r="M396" s="301" t="str">
        <f>'PLAN INDICATIVO'!M396</f>
        <v>Secretaría de Desarrollo Social</v>
      </c>
      <c r="N396" s="1425" t="str">
        <f>'PLAN INDICATIVO'!N396</f>
        <v>HERNAN RODRIGUEZ FALLA</v>
      </c>
      <c r="O396" s="1425" t="str">
        <f>'PLAN INDICATIVO'!O396</f>
        <v>Incremento</v>
      </c>
      <c r="P396" s="16" t="str">
        <f>'PLAN INDICATIVO'!P396</f>
        <v>Realizar 4 celebraciones del día de la acción comunal durante el cuatrienio</v>
      </c>
      <c r="Q396" s="302" t="str">
        <f>'PLAN INDICATIVO'!Q396</f>
        <v>No. De celebraciones realizadas</v>
      </c>
      <c r="R396" s="303">
        <f>'PLAN INDICATIVO'!R396</f>
        <v>2015</v>
      </c>
      <c r="S396" s="304">
        <v>0</v>
      </c>
      <c r="T396" s="699">
        <v>4</v>
      </c>
      <c r="U396" s="303">
        <v>1</v>
      </c>
      <c r="V396" s="687">
        <v>5000000</v>
      </c>
      <c r="W396" s="303">
        <v>1</v>
      </c>
      <c r="X396" s="687">
        <v>7000000</v>
      </c>
      <c r="Y396" s="303">
        <v>1</v>
      </c>
      <c r="Z396" s="687">
        <v>7000000</v>
      </c>
      <c r="AA396" s="291">
        <v>1</v>
      </c>
      <c r="AB396" s="687">
        <v>7000000</v>
      </c>
      <c r="AC396" s="669">
        <v>1</v>
      </c>
      <c r="AD396" s="669">
        <v>1</v>
      </c>
      <c r="AE396" s="669">
        <v>1</v>
      </c>
      <c r="AF396" s="669"/>
      <c r="AG396" s="341" t="s">
        <v>4342</v>
      </c>
      <c r="AH396" s="991">
        <v>2018413960024</v>
      </c>
      <c r="AI396" s="355" t="s">
        <v>4343</v>
      </c>
      <c r="AJ396" s="359">
        <v>43388</v>
      </c>
      <c r="AK396" s="359">
        <v>43434</v>
      </c>
      <c r="AL396" s="358"/>
      <c r="AM396" s="358"/>
      <c r="AN396" s="267" t="s">
        <v>2598</v>
      </c>
      <c r="AO396" s="512" t="s">
        <v>3852</v>
      </c>
      <c r="AP396" s="525"/>
      <c r="AQ396" s="310"/>
      <c r="AR396" s="380"/>
      <c r="AS396" s="310"/>
      <c r="AT396" s="310"/>
      <c r="AU396" s="310"/>
      <c r="AV396" s="310"/>
      <c r="AW396" s="544"/>
      <c r="AX396" s="525"/>
      <c r="AY396" s="310"/>
      <c r="AZ396" s="380"/>
      <c r="BA396" s="310"/>
      <c r="BB396" s="310"/>
      <c r="BC396" s="310"/>
      <c r="BD396" s="310"/>
      <c r="BE396" s="544">
        <f t="shared" si="211"/>
        <v>0</v>
      </c>
      <c r="BF396" s="525"/>
      <c r="BG396" s="310">
        <v>6113300</v>
      </c>
      <c r="BH396" s="380"/>
      <c r="BI396" s="310"/>
      <c r="BJ396" s="310"/>
      <c r="BK396" s="310"/>
      <c r="BL396" s="310"/>
      <c r="BM396" s="544">
        <f t="shared" si="215"/>
        <v>6113300</v>
      </c>
      <c r="BN396" s="525"/>
      <c r="BO396" s="310"/>
      <c r="BP396" s="380"/>
      <c r="BQ396" s="310"/>
      <c r="BR396" s="310"/>
      <c r="BS396" s="310"/>
      <c r="BT396" s="310"/>
      <c r="BU396" s="544">
        <f t="shared" si="213"/>
        <v>0</v>
      </c>
      <c r="BV396" s="556"/>
      <c r="BW396" s="663">
        <f t="shared" si="236"/>
        <v>3</v>
      </c>
      <c r="BX396" s="1047">
        <f t="shared" si="214"/>
        <v>0.75</v>
      </c>
      <c r="BY396" s="1047">
        <f t="shared" ref="BY396:BY406" si="239">IF(U396&gt;=0.1,AC396/U396,IF(ISBLANK(U396),"No Programada","Aplazada"))</f>
        <v>1</v>
      </c>
      <c r="BZ396" s="1047">
        <f t="shared" ref="BZ396:BZ406" si="240">IF(W396&gt;=0.1,AD396/W396,IF(ISBLANK(W396),"No Programada","Aplazada"))</f>
        <v>1</v>
      </c>
      <c r="CA396" s="1047">
        <f t="shared" ref="CA396:CA406" si="241">IF(Y396&gt;=0.1,AE396/Y396,IF(ISBLANK(Y396),"No Programada","Aplazada"))</f>
        <v>1</v>
      </c>
      <c r="CB396" s="1047">
        <f t="shared" ref="CB396:CB406" si="242">IF(AA396&gt;=0.1,AF396/AA396,IF(ISBLANK(AA396),"No Programada","Aplazada"))</f>
        <v>0</v>
      </c>
      <c r="CD396" t="str">
        <f t="shared" ref="CD396:CG406" si="243">IF(BY396="PARA MODIFICAR","M",IF(BY396="PARA ELIMINAR","E",IF(BY396="aplazada","AZ",IF(BY396="no programada","NP",IF(BY396&gt;=85%,"VE",IF(BY396&gt;70%,"VEB",IF(BY396&gt;60%,"AM",IF(BY396&gt;40%,"AMB",IF(BY396&gt;20%,"RO",IF(BY396&gt;=0%,"ROB",""))))))))))</f>
        <v>VE</v>
      </c>
      <c r="CE396" t="str">
        <f t="shared" si="243"/>
        <v>VE</v>
      </c>
      <c r="CF396" t="str">
        <f t="shared" si="243"/>
        <v>VE</v>
      </c>
      <c r="CG396" t="str">
        <f t="shared" si="243"/>
        <v>ROB</v>
      </c>
    </row>
    <row r="397" spans="1:85" ht="76.5" hidden="1" customHeight="1" x14ac:dyDescent="0.25">
      <c r="A397" s="298" t="s">
        <v>2458</v>
      </c>
      <c r="B397" s="299" t="str">
        <f>'PLAN INDICATIVO'!B397</f>
        <v>Desarrollo comunitario</v>
      </c>
      <c r="C397" s="1547"/>
      <c r="D397" s="1549"/>
      <c r="E397" s="1549"/>
      <c r="F397" s="1549"/>
      <c r="G397" s="1549"/>
      <c r="H397" s="1549"/>
      <c r="I397" s="300">
        <f>'PLAN INDICATIVO'!I397</f>
        <v>0</v>
      </c>
      <c r="J397" s="300">
        <f>'PLAN INDICATIVO'!J397</f>
        <v>0</v>
      </c>
      <c r="K397" s="1425" t="str">
        <f>'PLAN INDICATIVO'!K397</f>
        <v>A.16.1.2</v>
      </c>
      <c r="L397" s="301" t="str">
        <f>'PLAN INDICATIVO'!L397</f>
        <v>16. Paz, justicia e instituciones sólidas</v>
      </c>
      <c r="M397" s="301" t="str">
        <f>'PLAN INDICATIVO'!M397</f>
        <v>Secretaría de Desarrollo Social</v>
      </c>
      <c r="N397" s="1425" t="str">
        <f>'PLAN INDICATIVO'!N397</f>
        <v>HERNAN RODRIGUEZ FALLA</v>
      </c>
      <c r="O397" s="1425" t="str">
        <f>'PLAN INDICATIVO'!O397</f>
        <v>Incremento</v>
      </c>
      <c r="P397" s="1198" t="str">
        <f>'PLAN INDICATIVO'!P397</f>
        <v>Ejecutar 35  proyectos de inversión durante el cuatrienio con vinculación de las juntas de acción comunal</v>
      </c>
      <c r="Q397" s="302" t="str">
        <f>'PLAN INDICATIVO'!Q397</f>
        <v>No. De proyectos Ejecutados</v>
      </c>
      <c r="R397" s="303">
        <f>'PLAN INDICATIVO'!R397</f>
        <v>2015</v>
      </c>
      <c r="S397" s="304">
        <v>0</v>
      </c>
      <c r="T397" s="1304">
        <v>35</v>
      </c>
      <c r="U397" s="303">
        <v>1</v>
      </c>
      <c r="V397" s="687">
        <v>500000</v>
      </c>
      <c r="W397" s="303">
        <v>1</v>
      </c>
      <c r="X397" s="687">
        <v>1000000</v>
      </c>
      <c r="Y397" s="303"/>
      <c r="Z397" s="687">
        <v>1000000</v>
      </c>
      <c r="AA397" s="291"/>
      <c r="AB397" s="687">
        <v>1000000</v>
      </c>
      <c r="AC397" s="669">
        <v>17</v>
      </c>
      <c r="AD397" s="669">
        <v>23</v>
      </c>
      <c r="AE397" s="669">
        <v>2</v>
      </c>
      <c r="AF397" s="669"/>
      <c r="AG397" s="341" t="s">
        <v>4342</v>
      </c>
      <c r="AH397" s="991">
        <v>2018413960024</v>
      </c>
      <c r="AI397" s="355" t="s">
        <v>4344</v>
      </c>
      <c r="AJ397" s="359">
        <v>43160</v>
      </c>
      <c r="AK397" s="359">
        <v>43434</v>
      </c>
      <c r="AL397" s="358"/>
      <c r="AM397" s="358"/>
      <c r="AN397" s="267" t="s">
        <v>2598</v>
      </c>
      <c r="AO397" s="512"/>
      <c r="AP397" s="720"/>
      <c r="AQ397" s="721"/>
      <c r="AR397" s="723"/>
      <c r="AS397" s="721"/>
      <c r="AT397" s="721"/>
      <c r="AU397" s="721"/>
      <c r="AV397" s="721"/>
      <c r="AW397" s="722"/>
      <c r="AX397" s="525"/>
      <c r="AY397" s="310"/>
      <c r="AZ397" s="380"/>
      <c r="BA397" s="310"/>
      <c r="BB397" s="310"/>
      <c r="BC397" s="310"/>
      <c r="BD397" s="310"/>
      <c r="BE397" s="544">
        <f t="shared" si="211"/>
        <v>0</v>
      </c>
      <c r="BF397" s="525"/>
      <c r="BG397" s="310"/>
      <c r="BH397" s="380"/>
      <c r="BI397" s="310"/>
      <c r="BJ397" s="310"/>
      <c r="BK397" s="310"/>
      <c r="BL397" s="310"/>
      <c r="BM397" s="544">
        <f t="shared" si="215"/>
        <v>0</v>
      </c>
      <c r="BN397" s="525"/>
      <c r="BO397" s="310"/>
      <c r="BP397" s="380"/>
      <c r="BQ397" s="310"/>
      <c r="BR397" s="310"/>
      <c r="BS397" s="310"/>
      <c r="BT397" s="310"/>
      <c r="BU397" s="544">
        <f t="shared" si="213"/>
        <v>0</v>
      </c>
      <c r="BV397" s="556"/>
      <c r="BW397" s="663">
        <f t="shared" si="236"/>
        <v>42</v>
      </c>
      <c r="BX397" s="1047">
        <f t="shared" si="214"/>
        <v>1.2</v>
      </c>
      <c r="BY397" s="1047">
        <f t="shared" si="239"/>
        <v>17</v>
      </c>
      <c r="BZ397" s="1047">
        <f t="shared" si="240"/>
        <v>23</v>
      </c>
      <c r="CA397" s="1047" t="str">
        <f t="shared" si="241"/>
        <v>No Programada</v>
      </c>
      <c r="CB397" s="1047" t="str">
        <f t="shared" si="242"/>
        <v>No Programada</v>
      </c>
      <c r="CD397" t="str">
        <f t="shared" si="243"/>
        <v>VE</v>
      </c>
      <c r="CE397" t="str">
        <f t="shared" si="243"/>
        <v>VE</v>
      </c>
      <c r="CF397" t="str">
        <f t="shared" si="243"/>
        <v>NP</v>
      </c>
      <c r="CG397" t="str">
        <f t="shared" si="243"/>
        <v>NP</v>
      </c>
    </row>
    <row r="398" spans="1:85" ht="64.5" hidden="1" customHeight="1" x14ac:dyDescent="0.25">
      <c r="A398" s="298" t="s">
        <v>1220</v>
      </c>
      <c r="B398" s="299" t="str">
        <f>'PLAN INDICATIVO'!B398</f>
        <v>Desarrollo comunitario</v>
      </c>
      <c r="C398" s="1547"/>
      <c r="D398" s="1549"/>
      <c r="E398" s="1549"/>
      <c r="F398" s="1549"/>
      <c r="G398" s="1549"/>
      <c r="H398" s="1549"/>
      <c r="I398" s="300">
        <f>'PLAN INDICATIVO'!I398</f>
        <v>0</v>
      </c>
      <c r="J398" s="300">
        <f>'PLAN INDICATIVO'!J398</f>
        <v>0</v>
      </c>
      <c r="K398" s="1425" t="str">
        <f>'PLAN INDICATIVO'!K398</f>
        <v>A.16.1.3</v>
      </c>
      <c r="L398" s="301" t="str">
        <f>'PLAN INDICATIVO'!L398</f>
        <v>16. Paz, justicia e instituciones sólidas</v>
      </c>
      <c r="M398" s="301" t="str">
        <f>'PLAN INDICATIVO'!M398</f>
        <v>Secretaría de Desarrollo Social</v>
      </c>
      <c r="N398" s="1425" t="str">
        <f>'PLAN INDICATIVO'!N398</f>
        <v>HERNAN RODRIGUEZ FALLA</v>
      </c>
      <c r="O398" s="1425" t="str">
        <f>'PLAN INDICATIVO'!O398</f>
        <v>Mantenimiento</v>
      </c>
      <c r="P398" s="16" t="str">
        <f>'PLAN INDICATIVO'!P398</f>
        <v>lograr que 1 Oficina de apoyo a las JAC este funcionando cada año</v>
      </c>
      <c r="Q398" s="302" t="str">
        <f>'PLAN INDICATIVO'!Q398</f>
        <v>No. De Oficina funcionando cada año</v>
      </c>
      <c r="R398" s="303">
        <f>'PLAN INDICATIVO'!R398</f>
        <v>2015</v>
      </c>
      <c r="S398" s="304">
        <v>1</v>
      </c>
      <c r="T398" s="699">
        <v>1</v>
      </c>
      <c r="U398" s="303">
        <v>0.25</v>
      </c>
      <c r="V398" s="687">
        <v>1500000</v>
      </c>
      <c r="W398" s="303">
        <v>0.25</v>
      </c>
      <c r="X398" s="687">
        <v>10000000</v>
      </c>
      <c r="Y398" s="303">
        <v>0.25</v>
      </c>
      <c r="Z398" s="687">
        <v>10000000</v>
      </c>
      <c r="AA398" s="291">
        <v>0.25</v>
      </c>
      <c r="AB398" s="687">
        <v>10000000</v>
      </c>
      <c r="AC398" s="669">
        <v>0.25</v>
      </c>
      <c r="AD398" s="669">
        <v>0.25</v>
      </c>
      <c r="AE398" s="669">
        <v>0.25</v>
      </c>
      <c r="AF398" s="669"/>
      <c r="AG398" s="341" t="s">
        <v>4342</v>
      </c>
      <c r="AH398" s="991">
        <v>2018413960024</v>
      </c>
      <c r="AI398" s="355" t="s">
        <v>4345</v>
      </c>
      <c r="AJ398" s="359">
        <v>43132</v>
      </c>
      <c r="AK398" s="359">
        <v>43295</v>
      </c>
      <c r="AL398" s="358"/>
      <c r="AM398" s="358"/>
      <c r="AN398" s="281" t="s">
        <v>2598</v>
      </c>
      <c r="AO398" s="512" t="s">
        <v>4346</v>
      </c>
      <c r="AP398" s="310"/>
      <c r="AQ398" s="310"/>
      <c r="AR398" s="310"/>
      <c r="AS398" s="310"/>
      <c r="AT398" s="310"/>
      <c r="AU398" s="310"/>
      <c r="AV398" s="310"/>
      <c r="AW398" s="722"/>
      <c r="AX398" s="525"/>
      <c r="AY398" s="310"/>
      <c r="AZ398" s="380"/>
      <c r="BA398" s="310"/>
      <c r="BB398" s="310"/>
      <c r="BC398" s="310"/>
      <c r="BD398" s="310"/>
      <c r="BE398" s="544">
        <f t="shared" si="211"/>
        <v>0</v>
      </c>
      <c r="BF398" s="525"/>
      <c r="BG398" s="310">
        <f>7975000+7926600</f>
        <v>15901600</v>
      </c>
      <c r="BH398" s="380"/>
      <c r="BI398" s="310"/>
      <c r="BJ398" s="310"/>
      <c r="BK398" s="310"/>
      <c r="BL398" s="310"/>
      <c r="BM398" s="544">
        <f t="shared" si="215"/>
        <v>15901600</v>
      </c>
      <c r="BN398" s="525"/>
      <c r="BO398" s="310"/>
      <c r="BP398" s="380"/>
      <c r="BQ398" s="310"/>
      <c r="BR398" s="310"/>
      <c r="BS398" s="310"/>
      <c r="BT398" s="310"/>
      <c r="BU398" s="544">
        <f t="shared" si="213"/>
        <v>0</v>
      </c>
      <c r="BV398" s="556"/>
      <c r="BW398" s="663">
        <f t="shared" si="236"/>
        <v>0.75</v>
      </c>
      <c r="BX398" s="1047">
        <f t="shared" si="214"/>
        <v>0.75</v>
      </c>
      <c r="BY398" s="1047">
        <f t="shared" si="239"/>
        <v>1</v>
      </c>
      <c r="BZ398" s="1047">
        <f t="shared" si="240"/>
        <v>1</v>
      </c>
      <c r="CA398" s="1047">
        <f t="shared" si="241"/>
        <v>1</v>
      </c>
      <c r="CB398" s="1047">
        <f t="shared" si="242"/>
        <v>0</v>
      </c>
      <c r="CD398" t="str">
        <f t="shared" si="243"/>
        <v>VE</v>
      </c>
      <c r="CE398" t="str">
        <f t="shared" si="243"/>
        <v>VE</v>
      </c>
      <c r="CF398" t="str">
        <f t="shared" si="243"/>
        <v>VE</v>
      </c>
      <c r="CG398" t="str">
        <f t="shared" si="243"/>
        <v>ROB</v>
      </c>
    </row>
    <row r="399" spans="1:85" ht="136.5" hidden="1" customHeight="1" x14ac:dyDescent="0.25">
      <c r="A399" s="298" t="s">
        <v>2458</v>
      </c>
      <c r="B399" s="299" t="str">
        <f>'PLAN INDICATIVO'!B399</f>
        <v>Desarrollo comunitario</v>
      </c>
      <c r="C399" s="1547"/>
      <c r="D399" s="1549"/>
      <c r="E399" s="1549"/>
      <c r="F399" s="1549"/>
      <c r="G399" s="1549"/>
      <c r="H399" s="1549"/>
      <c r="I399" s="300">
        <f>'PLAN INDICATIVO'!I399</f>
        <v>0</v>
      </c>
      <c r="J399" s="300">
        <f>'PLAN INDICATIVO'!J399</f>
        <v>0</v>
      </c>
      <c r="K399" s="1425" t="str">
        <f>'PLAN INDICATIVO'!K399</f>
        <v>A.16.1.4</v>
      </c>
      <c r="L399" s="301" t="str">
        <f>'PLAN INDICATIVO'!L399</f>
        <v>16. Paz, justicia e instituciones sólidas</v>
      </c>
      <c r="M399" s="301" t="str">
        <f>'PLAN INDICATIVO'!M399</f>
        <v>Secretaría de Desarrollo Social</v>
      </c>
      <c r="N399" s="1425" t="str">
        <f>'PLAN INDICATIVO'!N399</f>
        <v>HERNAN RODRIGUEZ FALLA</v>
      </c>
      <c r="O399" s="1425" t="str">
        <f>'PLAN INDICATIVO'!O399</f>
        <v>Incremento</v>
      </c>
      <c r="P399" s="1198" t="str">
        <f>'PLAN INDICATIVO'!P399</f>
        <v>Realizar 4 procesos de capacitación y asesoría en participación comunitaria, entre otras, que contribuyan con el fortalecimiento comunal para consolidar procesos de participación ciudadana y control social durante el cuatrenio.</v>
      </c>
      <c r="Q399" s="302" t="str">
        <f>'PLAN INDICATIVO'!Q399</f>
        <v>No.  capacitaciones y asesoría realizadas durante el cuatrenio</v>
      </c>
      <c r="R399" s="303">
        <f>'PLAN INDICATIVO'!R399</f>
        <v>2015</v>
      </c>
      <c r="S399" s="304">
        <v>1</v>
      </c>
      <c r="T399" s="699">
        <v>4</v>
      </c>
      <c r="U399" s="303">
        <v>1</v>
      </c>
      <c r="V399" s="687">
        <v>1000000</v>
      </c>
      <c r="W399" s="303">
        <v>1</v>
      </c>
      <c r="X399" s="687">
        <v>1000000</v>
      </c>
      <c r="Y399" s="303">
        <v>1</v>
      </c>
      <c r="Z399" s="687">
        <v>1000000</v>
      </c>
      <c r="AA399" s="291">
        <v>1</v>
      </c>
      <c r="AB399" s="687">
        <v>1000000</v>
      </c>
      <c r="AC399" s="669">
        <v>1</v>
      </c>
      <c r="AD399" s="669">
        <v>1</v>
      </c>
      <c r="AE399" s="669">
        <v>1</v>
      </c>
      <c r="AF399" s="669"/>
      <c r="AG399" s="341" t="s">
        <v>4342</v>
      </c>
      <c r="AH399" s="991">
        <v>2018413960024</v>
      </c>
      <c r="AI399" s="355" t="s">
        <v>4347</v>
      </c>
      <c r="AJ399" s="359">
        <v>43160</v>
      </c>
      <c r="AK399" s="359">
        <v>43281</v>
      </c>
      <c r="AL399" s="358"/>
      <c r="AM399" s="358"/>
      <c r="AN399" s="267" t="s">
        <v>2598</v>
      </c>
      <c r="AO399" s="512" t="s">
        <v>4348</v>
      </c>
      <c r="AP399" s="526"/>
      <c r="AQ399" s="470"/>
      <c r="AR399" s="380"/>
      <c r="AS399" s="470"/>
      <c r="AT399" s="470"/>
      <c r="AU399" s="470"/>
      <c r="AV399" s="470"/>
      <c r="AW399" s="722"/>
      <c r="AX399" s="526"/>
      <c r="AY399" s="470"/>
      <c r="AZ399" s="380"/>
      <c r="BA399" s="470"/>
      <c r="BB399" s="470"/>
      <c r="BC399" s="470"/>
      <c r="BD399" s="470"/>
      <c r="BE399" s="544">
        <f t="shared" si="211"/>
        <v>0</v>
      </c>
      <c r="BF399" s="526"/>
      <c r="BG399" s="470">
        <v>7975000</v>
      </c>
      <c r="BH399" s="380"/>
      <c r="BI399" s="470"/>
      <c r="BJ399" s="470"/>
      <c r="BK399" s="470"/>
      <c r="BL399" s="470"/>
      <c r="BM399" s="544">
        <f t="shared" si="215"/>
        <v>7975000</v>
      </c>
      <c r="BN399" s="526"/>
      <c r="BO399" s="470"/>
      <c r="BP399" s="380"/>
      <c r="BQ399" s="470"/>
      <c r="BR399" s="470"/>
      <c r="BS399" s="470"/>
      <c r="BT399" s="470"/>
      <c r="BU399" s="544">
        <f t="shared" si="213"/>
        <v>0</v>
      </c>
      <c r="BV399" s="556"/>
      <c r="BW399" s="663">
        <f t="shared" si="236"/>
        <v>3</v>
      </c>
      <c r="BX399" s="1047">
        <f t="shared" si="214"/>
        <v>0.75</v>
      </c>
      <c r="BY399" s="1047">
        <f t="shared" si="239"/>
        <v>1</v>
      </c>
      <c r="BZ399" s="1047">
        <f t="shared" si="240"/>
        <v>1</v>
      </c>
      <c r="CA399" s="1047">
        <f t="shared" si="241"/>
        <v>1</v>
      </c>
      <c r="CB399" s="1047">
        <f t="shared" si="242"/>
        <v>0</v>
      </c>
      <c r="CD399" t="str">
        <f t="shared" si="243"/>
        <v>VE</v>
      </c>
      <c r="CE399" t="str">
        <f t="shared" si="243"/>
        <v>VE</v>
      </c>
      <c r="CF399" t="str">
        <f t="shared" si="243"/>
        <v>VE</v>
      </c>
      <c r="CG399" t="str">
        <f t="shared" si="243"/>
        <v>ROB</v>
      </c>
    </row>
    <row r="400" spans="1:85" ht="72.75" hidden="1" customHeight="1" x14ac:dyDescent="0.25">
      <c r="A400" s="298" t="s">
        <v>1220</v>
      </c>
      <c r="B400" s="299" t="str">
        <f>'PLAN INDICATIVO'!B400</f>
        <v>Desarrollo comunitario</v>
      </c>
      <c r="C400" s="1547"/>
      <c r="D400" s="1549"/>
      <c r="E400" s="1549"/>
      <c r="F400" s="1549"/>
      <c r="G400" s="1549"/>
      <c r="H400" s="1549"/>
      <c r="I400" s="300">
        <f>'PLAN INDICATIVO'!I400</f>
        <v>0</v>
      </c>
      <c r="J400" s="300">
        <f>'PLAN INDICATIVO'!J400</f>
        <v>0</v>
      </c>
      <c r="K400" s="1425" t="str">
        <f>'PLAN INDICATIVO'!K400</f>
        <v>A.16.1.5</v>
      </c>
      <c r="L400" s="301" t="str">
        <f>'PLAN INDICATIVO'!L400</f>
        <v>16. Paz, justicia e instituciones sólidas</v>
      </c>
      <c r="M400" s="301" t="str">
        <f>'PLAN INDICATIVO'!M400</f>
        <v>Secretaría de Desarrollo Social</v>
      </c>
      <c r="N400" s="1425" t="str">
        <f>'PLAN INDICATIVO'!N400</f>
        <v>HERNAN RODRIGUEZ FALLA</v>
      </c>
      <c r="O400" s="1425" t="str">
        <f>'PLAN INDICATIVO'!O400</f>
        <v>Incremento</v>
      </c>
      <c r="P400" s="16" t="str">
        <f>'PLAN INDICATIVO'!P400</f>
        <v>Realizar 4 consejos de convivencia y buen gobierno  para concertación de desarrollo local, durante el cuatrienio</v>
      </c>
      <c r="Q400" s="302" t="str">
        <f>'PLAN INDICATIVO'!Q400</f>
        <v>No. De consejos de convivencia realziados</v>
      </c>
      <c r="R400" s="303">
        <f>'PLAN INDICATIVO'!R400</f>
        <v>2015</v>
      </c>
      <c r="S400" s="304">
        <v>0</v>
      </c>
      <c r="T400" s="699">
        <v>4</v>
      </c>
      <c r="U400" s="303">
        <v>1</v>
      </c>
      <c r="V400" s="687">
        <v>500000</v>
      </c>
      <c r="W400" s="303">
        <v>1</v>
      </c>
      <c r="X400" s="687">
        <v>500000</v>
      </c>
      <c r="Y400" s="303">
        <v>1</v>
      </c>
      <c r="Z400" s="687">
        <v>1000000</v>
      </c>
      <c r="AA400" s="291">
        <v>1</v>
      </c>
      <c r="AB400" s="687">
        <v>1000000</v>
      </c>
      <c r="AC400" s="669">
        <v>1</v>
      </c>
      <c r="AD400" s="669">
        <v>1</v>
      </c>
      <c r="AE400" s="669">
        <v>1</v>
      </c>
      <c r="AF400" s="669"/>
      <c r="AG400" s="341" t="s">
        <v>4342</v>
      </c>
      <c r="AH400" s="991">
        <v>2018413960024</v>
      </c>
      <c r="AI400" s="355" t="s">
        <v>4349</v>
      </c>
      <c r="AJ400" s="359">
        <v>43252</v>
      </c>
      <c r="AK400" s="359">
        <v>43279</v>
      </c>
      <c r="AL400" s="358"/>
      <c r="AM400" s="358"/>
      <c r="AN400" s="267" t="s">
        <v>2598</v>
      </c>
      <c r="AO400" s="512" t="s">
        <v>4348</v>
      </c>
      <c r="AP400" s="525"/>
      <c r="AQ400" s="310"/>
      <c r="AR400" s="380"/>
      <c r="AS400" s="310"/>
      <c r="AT400" s="310"/>
      <c r="AU400" s="310"/>
      <c r="AV400" s="310"/>
      <c r="AW400" s="722"/>
      <c r="AX400" s="525"/>
      <c r="AY400" s="310"/>
      <c r="AZ400" s="380"/>
      <c r="BA400" s="310"/>
      <c r="BB400" s="310"/>
      <c r="BC400" s="310"/>
      <c r="BD400" s="310"/>
      <c r="BE400" s="544">
        <f t="shared" si="211"/>
        <v>0</v>
      </c>
      <c r="BF400" s="525"/>
      <c r="BG400" s="310">
        <v>2379000</v>
      </c>
      <c r="BH400" s="380"/>
      <c r="BI400" s="310"/>
      <c r="BJ400" s="310"/>
      <c r="BK400" s="310"/>
      <c r="BL400" s="310"/>
      <c r="BM400" s="544">
        <f t="shared" si="215"/>
        <v>2379000</v>
      </c>
      <c r="BN400" s="525"/>
      <c r="BO400" s="310"/>
      <c r="BP400" s="380"/>
      <c r="BQ400" s="310"/>
      <c r="BR400" s="310"/>
      <c r="BS400" s="310"/>
      <c r="BT400" s="310"/>
      <c r="BU400" s="544">
        <f t="shared" si="213"/>
        <v>0</v>
      </c>
      <c r="BV400" s="556"/>
      <c r="BW400" s="663">
        <f t="shared" si="236"/>
        <v>3</v>
      </c>
      <c r="BX400" s="1047">
        <f t="shared" si="214"/>
        <v>0.75</v>
      </c>
      <c r="BY400" s="1047">
        <f t="shared" si="239"/>
        <v>1</v>
      </c>
      <c r="BZ400" s="1047">
        <f t="shared" si="240"/>
        <v>1</v>
      </c>
      <c r="CA400" s="1047">
        <f t="shared" si="241"/>
        <v>1</v>
      </c>
      <c r="CB400" s="1047">
        <f t="shared" si="242"/>
        <v>0</v>
      </c>
      <c r="CD400" t="str">
        <f t="shared" si="243"/>
        <v>VE</v>
      </c>
      <c r="CE400" t="str">
        <f t="shared" si="243"/>
        <v>VE</v>
      </c>
      <c r="CF400" t="str">
        <f t="shared" si="243"/>
        <v>VE</v>
      </c>
      <c r="CG400" t="str">
        <f t="shared" si="243"/>
        <v>ROB</v>
      </c>
    </row>
    <row r="401" spans="1:85" ht="10.5" hidden="1" customHeight="1" x14ac:dyDescent="0.25">
      <c r="A401" s="298" t="s">
        <v>2464</v>
      </c>
      <c r="B401" s="299" t="str">
        <f>'PLAN INDICATIVO'!B401</f>
        <v>Desarrollo comunitario</v>
      </c>
      <c r="C401" s="1547"/>
      <c r="D401" s="1549"/>
      <c r="E401" s="1549"/>
      <c r="F401" s="1549"/>
      <c r="G401" s="1549"/>
      <c r="H401" s="1549"/>
      <c r="I401" s="300">
        <f>'PLAN INDICATIVO'!I401</f>
        <v>0</v>
      </c>
      <c r="J401" s="300">
        <f>'PLAN INDICATIVO'!J401</f>
        <v>0</v>
      </c>
      <c r="K401" s="1425" t="str">
        <f>'PLAN INDICATIVO'!K401</f>
        <v>A.16.1.6</v>
      </c>
      <c r="L401" s="301" t="str">
        <f>'PLAN INDICATIVO'!L401</f>
        <v>16. Paz, justicia e instituciones sólidas</v>
      </c>
      <c r="M401" s="301" t="str">
        <f>'PLAN INDICATIVO'!M401</f>
        <v>Secretaría de Desarrollo Social</v>
      </c>
      <c r="N401" s="1425" t="str">
        <f>'PLAN INDICATIVO'!N401</f>
        <v>HERNAN RODRIGUEZ FALLA</v>
      </c>
      <c r="O401" s="1425" t="str">
        <f>'PLAN INDICATIVO'!O401</f>
        <v>Incremento</v>
      </c>
      <c r="P401" s="820" t="str">
        <f>'PLAN INDICATIVO'!P401</f>
        <v xml:space="preserve">Realizas cuatro (4) capacitaciones de Veedurías ciudadanas para control social en el cuatrienio. </v>
      </c>
      <c r="Q401" s="302" t="str">
        <f>'PLAN INDICATIVO'!Q401</f>
        <v xml:space="preserve">No. De veedurías capacitadas </v>
      </c>
      <c r="R401" s="303">
        <f>'PLAN INDICATIVO'!R401</f>
        <v>2015</v>
      </c>
      <c r="S401" s="304">
        <v>0</v>
      </c>
      <c r="T401" s="1463">
        <v>4</v>
      </c>
      <c r="U401" s="1463">
        <v>1</v>
      </c>
      <c r="V401" s="1234">
        <v>1000000</v>
      </c>
      <c r="W401" s="1463">
        <v>1</v>
      </c>
      <c r="X401" s="1234">
        <v>1000000</v>
      </c>
      <c r="Y401" s="1463">
        <v>1</v>
      </c>
      <c r="Z401" s="1234">
        <v>1000000</v>
      </c>
      <c r="AA401" s="1463">
        <v>1</v>
      </c>
      <c r="AB401" s="1234">
        <v>1000000</v>
      </c>
      <c r="AC401" s="795">
        <v>1</v>
      </c>
      <c r="AD401" s="795">
        <v>1</v>
      </c>
      <c r="AE401" s="795">
        <v>1</v>
      </c>
      <c r="AF401" s="795"/>
      <c r="AG401" s="341" t="s">
        <v>4342</v>
      </c>
      <c r="AH401" s="991">
        <v>2018413960024</v>
      </c>
      <c r="AI401" s="355" t="s">
        <v>4350</v>
      </c>
      <c r="AJ401" s="359">
        <v>43296</v>
      </c>
      <c r="AK401" s="359">
        <v>43434</v>
      </c>
      <c r="AL401" s="358"/>
      <c r="AM401" s="358"/>
      <c r="AN401" s="267" t="s">
        <v>2598</v>
      </c>
      <c r="AO401" s="512" t="s">
        <v>4348</v>
      </c>
      <c r="AP401" s="525"/>
      <c r="AQ401" s="310"/>
      <c r="AR401" s="380"/>
      <c r="AS401" s="310"/>
      <c r="AT401" s="310"/>
      <c r="AU401" s="310"/>
      <c r="AV401" s="310"/>
      <c r="AW401" s="722"/>
      <c r="AX401" s="525"/>
      <c r="AY401" s="310"/>
      <c r="AZ401" s="380"/>
      <c r="BA401" s="310"/>
      <c r="BB401" s="310"/>
      <c r="BC401" s="310"/>
      <c r="BD401" s="310"/>
      <c r="BE401" s="544">
        <f t="shared" ref="BE401:BE464" si="244">SUM(AX401:BD401)</f>
        <v>0</v>
      </c>
      <c r="BF401" s="1323"/>
      <c r="BG401" s="1313">
        <v>1732000</v>
      </c>
      <c r="BH401" s="1338"/>
      <c r="BI401" s="1313"/>
      <c r="BJ401" s="1313"/>
      <c r="BK401" s="1313"/>
      <c r="BL401" s="1313"/>
      <c r="BM401" s="800">
        <f t="shared" ref="BM401:BM464" si="245">SUM(BF401:BL401)</f>
        <v>1732000</v>
      </c>
      <c r="BN401" s="525"/>
      <c r="BO401" s="310"/>
      <c r="BP401" s="380"/>
      <c r="BQ401" s="310"/>
      <c r="BR401" s="310"/>
      <c r="BS401" s="310"/>
      <c r="BT401" s="310"/>
      <c r="BU401" s="544">
        <f t="shared" ref="BU401:BU464" si="246">SUM(BN401:BT401)</f>
        <v>0</v>
      </c>
      <c r="BV401" s="556"/>
      <c r="BW401" s="663">
        <f t="shared" si="236"/>
        <v>3</v>
      </c>
      <c r="BX401" s="1047">
        <f t="shared" si="214"/>
        <v>0.75</v>
      </c>
      <c r="BY401" s="1047">
        <f t="shared" si="239"/>
        <v>1</v>
      </c>
      <c r="BZ401" s="1047">
        <f t="shared" si="240"/>
        <v>1</v>
      </c>
      <c r="CA401" s="1047">
        <f t="shared" si="241"/>
        <v>1</v>
      </c>
      <c r="CB401" s="1047">
        <f t="shared" si="242"/>
        <v>0</v>
      </c>
      <c r="CD401" t="str">
        <f t="shared" si="243"/>
        <v>VE</v>
      </c>
      <c r="CE401" t="str">
        <f t="shared" si="243"/>
        <v>VE</v>
      </c>
      <c r="CF401" t="str">
        <f t="shared" si="243"/>
        <v>VE</v>
      </c>
      <c r="CG401" t="str">
        <f t="shared" si="243"/>
        <v>ROB</v>
      </c>
    </row>
    <row r="402" spans="1:85" ht="70.5" hidden="1" customHeight="1" x14ac:dyDescent="0.25">
      <c r="A402" s="298" t="s">
        <v>1220</v>
      </c>
      <c r="B402" s="299" t="str">
        <f>'PLAN INDICATIVO'!B402</f>
        <v>Desarrollo comunitario</v>
      </c>
      <c r="C402" s="1547"/>
      <c r="D402" s="1549"/>
      <c r="E402" s="1549"/>
      <c r="F402" s="1549"/>
      <c r="G402" s="1549"/>
      <c r="H402" s="1549"/>
      <c r="I402" s="300">
        <f>'PLAN INDICATIVO'!I402</f>
        <v>0</v>
      </c>
      <c r="J402" s="300">
        <f>'PLAN INDICATIVO'!J402</f>
        <v>0</v>
      </c>
      <c r="K402" s="1425" t="str">
        <f>'PLAN INDICATIVO'!K402</f>
        <v>A.16.1.7</v>
      </c>
      <c r="L402" s="301" t="str">
        <f>'PLAN INDICATIVO'!L402</f>
        <v>16. Paz, justicia e instituciones sólidas</v>
      </c>
      <c r="M402" s="301" t="str">
        <f>'PLAN INDICATIVO'!M402</f>
        <v>Secretaría de Desarrollo Social</v>
      </c>
      <c r="N402" s="1425" t="str">
        <f>'PLAN INDICATIVO'!N402</f>
        <v>HERNAN RODRIGUEZ FALLA</v>
      </c>
      <c r="O402" s="1425" t="str">
        <f>'PLAN INDICATIVO'!O402</f>
        <v>Incremento</v>
      </c>
      <c r="P402" s="16" t="str">
        <f>'PLAN INDICATIVO'!P402</f>
        <v>Implementar 1 punto de acceso adicional para fortalecimiento de las TIC en desarrollo comunitario durante el cuatrienio</v>
      </c>
      <c r="Q402" s="302" t="str">
        <f>'PLAN INDICATIVO'!Q402</f>
        <v>No. De puntos de acceso creados</v>
      </c>
      <c r="R402" s="303">
        <f>'PLAN INDICATIVO'!R402</f>
        <v>2015</v>
      </c>
      <c r="S402" s="304">
        <v>0</v>
      </c>
      <c r="T402" s="699">
        <v>1</v>
      </c>
      <c r="U402" s="303"/>
      <c r="V402" s="687">
        <v>1000000</v>
      </c>
      <c r="W402" s="303">
        <v>1</v>
      </c>
      <c r="X402" s="687">
        <v>1000000</v>
      </c>
      <c r="Y402" s="846"/>
      <c r="Z402" s="687"/>
      <c r="AA402" s="291"/>
      <c r="AB402" s="687"/>
      <c r="AC402" s="669"/>
      <c r="AD402" s="669">
        <v>1</v>
      </c>
      <c r="AE402" s="669"/>
      <c r="AF402" s="669"/>
      <c r="AG402" s="341" t="s">
        <v>4342</v>
      </c>
      <c r="AH402" s="991">
        <v>2018413960024</v>
      </c>
      <c r="AI402" s="355"/>
      <c r="AJ402" s="358"/>
      <c r="AK402" s="358"/>
      <c r="AL402" s="358"/>
      <c r="AM402" s="358"/>
      <c r="AN402" s="267" t="s">
        <v>2594</v>
      </c>
      <c r="AO402" s="512"/>
      <c r="AP402" s="525"/>
      <c r="AQ402" s="310"/>
      <c r="AR402" s="380"/>
      <c r="AS402" s="310"/>
      <c r="AT402" s="310"/>
      <c r="AU402" s="310"/>
      <c r="AV402" s="310"/>
      <c r="AW402" s="544"/>
      <c r="AX402" s="525"/>
      <c r="AY402" s="310"/>
      <c r="AZ402" s="380"/>
      <c r="BA402" s="310"/>
      <c r="BB402" s="310"/>
      <c r="BC402" s="310"/>
      <c r="BD402" s="310"/>
      <c r="BE402" s="544">
        <f t="shared" si="244"/>
        <v>0</v>
      </c>
      <c r="BF402" s="525"/>
      <c r="BG402" s="310"/>
      <c r="BH402" s="380"/>
      <c r="BI402" s="310"/>
      <c r="BJ402" s="310"/>
      <c r="BK402" s="310"/>
      <c r="BL402" s="310"/>
      <c r="BM402" s="544">
        <f t="shared" si="245"/>
        <v>0</v>
      </c>
      <c r="BN402" s="525"/>
      <c r="BO402" s="310"/>
      <c r="BP402" s="380"/>
      <c r="BQ402" s="310"/>
      <c r="BR402" s="310"/>
      <c r="BS402" s="310"/>
      <c r="BT402" s="310"/>
      <c r="BU402" s="544">
        <f t="shared" si="246"/>
        <v>0</v>
      </c>
      <c r="BV402" s="556"/>
      <c r="BW402" s="663">
        <f t="shared" si="236"/>
        <v>1</v>
      </c>
      <c r="BX402" s="1047">
        <f t="shared" si="214"/>
        <v>1</v>
      </c>
      <c r="BY402" s="1047" t="str">
        <f t="shared" si="239"/>
        <v>No Programada</v>
      </c>
      <c r="BZ402" s="1047">
        <f t="shared" si="240"/>
        <v>1</v>
      </c>
      <c r="CA402" s="1047" t="str">
        <f t="shared" si="241"/>
        <v>No Programada</v>
      </c>
      <c r="CB402" s="1047" t="str">
        <f t="shared" si="242"/>
        <v>No Programada</v>
      </c>
      <c r="CD402" t="str">
        <f t="shared" si="243"/>
        <v>NP</v>
      </c>
      <c r="CE402" t="str">
        <f t="shared" si="243"/>
        <v>VE</v>
      </c>
      <c r="CF402" t="str">
        <f t="shared" si="243"/>
        <v>NP</v>
      </c>
      <c r="CG402" t="str">
        <f t="shared" si="243"/>
        <v>NP</v>
      </c>
    </row>
    <row r="403" spans="1:85" ht="59.25" hidden="1" customHeight="1" x14ac:dyDescent="0.25">
      <c r="A403" s="298" t="s">
        <v>1220</v>
      </c>
      <c r="B403" s="299" t="str">
        <f>'PLAN INDICATIVO'!B403</f>
        <v>Desarrollo comunitario</v>
      </c>
      <c r="C403" s="1547"/>
      <c r="D403" s="1549"/>
      <c r="E403" s="1549"/>
      <c r="F403" s="1549"/>
      <c r="G403" s="1549"/>
      <c r="H403" s="1549"/>
      <c r="I403" s="300">
        <f>'PLAN INDICATIVO'!I403</f>
        <v>0</v>
      </c>
      <c r="J403" s="300">
        <f>'PLAN INDICATIVO'!J403</f>
        <v>0</v>
      </c>
      <c r="K403" s="1425" t="str">
        <f>'PLAN INDICATIVO'!K403</f>
        <v>A.16.1.8</v>
      </c>
      <c r="L403" s="301" t="str">
        <f>'PLAN INDICATIVO'!L403</f>
        <v>16. Paz, justicia e instituciones sólidas</v>
      </c>
      <c r="M403" s="301" t="str">
        <f>'PLAN INDICATIVO'!M403</f>
        <v>Secretaría de Desarrollo Social</v>
      </c>
      <c r="N403" s="1425" t="str">
        <f>'PLAN INDICATIVO'!N403</f>
        <v>HERNAN RODRIGUEZ FALLA</v>
      </c>
      <c r="O403" s="1425" t="str">
        <f>'PLAN INDICATIVO'!O403</f>
        <v>Incremento</v>
      </c>
      <c r="P403" s="16" t="str">
        <f>'PLAN INDICATIVO'!P403</f>
        <v>Capacitar 120 personas durante el cuatrienio en el programa formador de formadores para el fomento de la participación ciudadana   del sector urbano y rural</v>
      </c>
      <c r="Q403" s="302" t="str">
        <f>'PLAN INDICATIVO'!Q403</f>
        <v>No. Personas capacitadas</v>
      </c>
      <c r="R403" s="303">
        <f>'PLAN INDICATIVO'!R403</f>
        <v>2015</v>
      </c>
      <c r="S403" s="304">
        <v>0</v>
      </c>
      <c r="T403" s="699">
        <v>120</v>
      </c>
      <c r="U403" s="303"/>
      <c r="V403" s="687">
        <v>3000000</v>
      </c>
      <c r="W403" s="303">
        <v>40</v>
      </c>
      <c r="X403" s="687">
        <v>7000000</v>
      </c>
      <c r="Y403" s="303">
        <v>40</v>
      </c>
      <c r="Z403" s="687">
        <v>7000000</v>
      </c>
      <c r="AA403" s="291"/>
      <c r="AB403" s="687">
        <v>7000000</v>
      </c>
      <c r="AC403" s="669"/>
      <c r="AD403" s="669">
        <v>96</v>
      </c>
      <c r="AE403" s="669">
        <v>45</v>
      </c>
      <c r="AF403" s="669"/>
      <c r="AG403" s="341" t="s">
        <v>4342</v>
      </c>
      <c r="AH403" s="991">
        <v>2018413960024</v>
      </c>
      <c r="AI403" s="355" t="s">
        <v>4351</v>
      </c>
      <c r="AJ403" s="359">
        <v>43296</v>
      </c>
      <c r="AK403" s="359">
        <v>43436</v>
      </c>
      <c r="AL403" s="358"/>
      <c r="AM403" s="358"/>
      <c r="AN403" s="267" t="s">
        <v>2598</v>
      </c>
      <c r="AO403" s="512" t="s">
        <v>4348</v>
      </c>
      <c r="AP403" s="525"/>
      <c r="AQ403" s="310"/>
      <c r="AR403" s="380"/>
      <c r="AS403" s="310"/>
      <c r="AT403" s="310"/>
      <c r="AU403" s="310"/>
      <c r="AV403" s="310"/>
      <c r="AW403" s="544"/>
      <c r="AX403" s="525"/>
      <c r="AY403" s="310"/>
      <c r="AZ403" s="380"/>
      <c r="BA403" s="310"/>
      <c r="BB403" s="310"/>
      <c r="BC403" s="310"/>
      <c r="BD403" s="310"/>
      <c r="BE403" s="544">
        <f t="shared" si="244"/>
        <v>0</v>
      </c>
      <c r="BF403" s="525"/>
      <c r="BG403" s="310">
        <v>849500</v>
      </c>
      <c r="BH403" s="380"/>
      <c r="BI403" s="310"/>
      <c r="BJ403" s="310"/>
      <c r="BK403" s="310"/>
      <c r="BL403" s="310"/>
      <c r="BM403" s="544">
        <f t="shared" si="245"/>
        <v>849500</v>
      </c>
      <c r="BN403" s="525"/>
      <c r="BO403" s="310"/>
      <c r="BP403" s="380"/>
      <c r="BQ403" s="310"/>
      <c r="BR403" s="310"/>
      <c r="BS403" s="310"/>
      <c r="BT403" s="310"/>
      <c r="BU403" s="544">
        <f t="shared" si="246"/>
        <v>0</v>
      </c>
      <c r="BV403" s="556"/>
      <c r="BW403" s="663">
        <f t="shared" si="236"/>
        <v>141</v>
      </c>
      <c r="BX403" s="1047">
        <f t="shared" si="214"/>
        <v>1.175</v>
      </c>
      <c r="BY403" s="1047" t="str">
        <f t="shared" si="239"/>
        <v>No Programada</v>
      </c>
      <c r="BZ403" s="1047">
        <f t="shared" si="240"/>
        <v>2.4</v>
      </c>
      <c r="CA403" s="1047">
        <f t="shared" si="241"/>
        <v>1.125</v>
      </c>
      <c r="CB403" s="1047" t="str">
        <f t="shared" si="242"/>
        <v>No Programada</v>
      </c>
      <c r="CD403" t="str">
        <f t="shared" si="243"/>
        <v>NP</v>
      </c>
      <c r="CE403" t="str">
        <f t="shared" si="243"/>
        <v>VE</v>
      </c>
      <c r="CF403" t="str">
        <f t="shared" si="243"/>
        <v>VE</v>
      </c>
      <c r="CG403" t="str">
        <f t="shared" si="243"/>
        <v>NP</v>
      </c>
    </row>
    <row r="404" spans="1:85" ht="57" hidden="1" customHeight="1" x14ac:dyDescent="0.25">
      <c r="A404" s="298" t="s">
        <v>1220</v>
      </c>
      <c r="B404" s="299" t="str">
        <f>'PLAN INDICATIVO'!B404</f>
        <v>Desarrollo comunitario</v>
      </c>
      <c r="C404" s="1547"/>
      <c r="D404" s="1549"/>
      <c r="E404" s="1549"/>
      <c r="F404" s="1549"/>
      <c r="G404" s="1549"/>
      <c r="H404" s="1549"/>
      <c r="I404" s="300">
        <f>'PLAN INDICATIVO'!I404</f>
        <v>0</v>
      </c>
      <c r="J404" s="300">
        <f>'PLAN INDICATIVO'!J404</f>
        <v>0</v>
      </c>
      <c r="K404" s="1425" t="str">
        <f>'PLAN INDICATIVO'!K404</f>
        <v>A.16.1.9</v>
      </c>
      <c r="L404" s="301" t="str">
        <f>'PLAN INDICATIVO'!L404</f>
        <v>16. Paz, justicia e instituciones sólidas</v>
      </c>
      <c r="M404" s="301" t="str">
        <f>'PLAN INDICATIVO'!M404</f>
        <v>Secretaría de Desarrollo Social</v>
      </c>
      <c r="N404" s="1425" t="str">
        <f>'PLAN INDICATIVO'!N404</f>
        <v>HERNAN RODRIGUEZ FALLA</v>
      </c>
      <c r="O404" s="1425" t="str">
        <f>'PLAN INDICATIVO'!O404</f>
        <v>Incremento</v>
      </c>
      <c r="P404" s="16" t="str">
        <f>'PLAN INDICATIVO'!P404</f>
        <v>Realizar 4 rendiciones de cuentas medibles y claras para la comunidad durante el cuatrienio</v>
      </c>
      <c r="Q404" s="302" t="str">
        <f>'PLAN INDICATIVO'!Q404</f>
        <v>No. De rendiciones de cuentas medibles</v>
      </c>
      <c r="R404" s="303">
        <f>'PLAN INDICATIVO'!R404</f>
        <v>2015</v>
      </c>
      <c r="S404" s="304">
        <v>1</v>
      </c>
      <c r="T404" s="699">
        <v>4</v>
      </c>
      <c r="U404" s="303">
        <v>1</v>
      </c>
      <c r="V404" s="687">
        <v>8000000</v>
      </c>
      <c r="W404" s="303">
        <v>1</v>
      </c>
      <c r="X404" s="687">
        <v>10000000</v>
      </c>
      <c r="Y404" s="303">
        <v>1</v>
      </c>
      <c r="Z404" s="687">
        <v>1000000</v>
      </c>
      <c r="AA404" s="291">
        <v>1</v>
      </c>
      <c r="AB404" s="687">
        <v>1000000</v>
      </c>
      <c r="AC404" s="669">
        <v>1</v>
      </c>
      <c r="AD404" s="669">
        <v>1</v>
      </c>
      <c r="AE404" s="669">
        <v>1</v>
      </c>
      <c r="AF404" s="669"/>
      <c r="AG404" s="341" t="s">
        <v>4342</v>
      </c>
      <c r="AH404" s="991">
        <v>2018413960024</v>
      </c>
      <c r="AI404" s="355" t="s">
        <v>4352</v>
      </c>
      <c r="AJ404" s="358" t="s">
        <v>3007</v>
      </c>
      <c r="AK404" s="358" t="s">
        <v>3007</v>
      </c>
      <c r="AL404" s="358"/>
      <c r="AM404" s="358"/>
      <c r="AN404" s="267" t="s">
        <v>2598</v>
      </c>
      <c r="AO404" s="512" t="s">
        <v>3852</v>
      </c>
      <c r="AP404" s="525"/>
      <c r="AQ404" s="310"/>
      <c r="AR404" s="380"/>
      <c r="AS404" s="310"/>
      <c r="AT404" s="310"/>
      <c r="AU404" s="310"/>
      <c r="AV404" s="310"/>
      <c r="AW404" s="544"/>
      <c r="AX404" s="525"/>
      <c r="AY404" s="310"/>
      <c r="AZ404" s="380"/>
      <c r="BA404" s="310"/>
      <c r="BB404" s="310"/>
      <c r="BC404" s="310"/>
      <c r="BD404" s="310"/>
      <c r="BE404" s="544">
        <f t="shared" ref="BE404" si="247">SUM(AX404:BD404)</f>
        <v>0</v>
      </c>
      <c r="BF404" s="525"/>
      <c r="BG404" s="310">
        <v>6000000</v>
      </c>
      <c r="BH404" s="380"/>
      <c r="BI404" s="310"/>
      <c r="BJ404" s="310"/>
      <c r="BK404" s="310"/>
      <c r="BL404" s="310"/>
      <c r="BM404" s="544">
        <f t="shared" si="245"/>
        <v>6000000</v>
      </c>
      <c r="BN404" s="525"/>
      <c r="BO404" s="310"/>
      <c r="BP404" s="380"/>
      <c r="BQ404" s="310"/>
      <c r="BR404" s="310"/>
      <c r="BS404" s="310"/>
      <c r="BT404" s="310"/>
      <c r="BU404" s="544">
        <f t="shared" si="246"/>
        <v>0</v>
      </c>
      <c r="BV404" s="556"/>
      <c r="BW404" s="663">
        <f t="shared" si="236"/>
        <v>3</v>
      </c>
      <c r="BX404" s="1047">
        <f t="shared" ref="BX404:BX468" si="248">BW404/T404</f>
        <v>0.75</v>
      </c>
      <c r="BY404" s="1047">
        <f t="shared" si="239"/>
        <v>1</v>
      </c>
      <c r="BZ404" s="1047">
        <f t="shared" si="240"/>
        <v>1</v>
      </c>
      <c r="CA404" s="1047">
        <f t="shared" si="241"/>
        <v>1</v>
      </c>
      <c r="CB404" s="1047">
        <f t="shared" si="242"/>
        <v>0</v>
      </c>
      <c r="CD404" t="str">
        <f t="shared" si="243"/>
        <v>VE</v>
      </c>
      <c r="CE404" t="str">
        <f t="shared" si="243"/>
        <v>VE</v>
      </c>
      <c r="CF404" t="str">
        <f t="shared" si="243"/>
        <v>VE</v>
      </c>
      <c r="CG404" t="str">
        <f t="shared" si="243"/>
        <v>ROB</v>
      </c>
    </row>
    <row r="405" spans="1:85" ht="6" hidden="1" customHeight="1" x14ac:dyDescent="0.25">
      <c r="A405" s="298" t="s">
        <v>2464</v>
      </c>
      <c r="B405" s="299" t="str">
        <f>'PLAN INDICATIVO'!B405</f>
        <v>Desarrollo comunitario</v>
      </c>
      <c r="C405" s="1547"/>
      <c r="D405" s="1549"/>
      <c r="E405" s="1549"/>
      <c r="F405" s="1549"/>
      <c r="G405" s="1549"/>
      <c r="H405" s="1549"/>
      <c r="I405" s="300">
        <f>'PLAN INDICATIVO'!I405</f>
        <v>0</v>
      </c>
      <c r="J405" s="300">
        <f>'PLAN INDICATIVO'!J405</f>
        <v>0</v>
      </c>
      <c r="K405" s="1425" t="str">
        <f>'PLAN INDICATIVO'!K405</f>
        <v>A.16.1.10</v>
      </c>
      <c r="L405" s="301" t="str">
        <f>'PLAN INDICATIVO'!L405</f>
        <v>16. Paz, justicia e instituciones sólidas</v>
      </c>
      <c r="M405" s="301" t="str">
        <f>'PLAN INDICATIVO'!M405</f>
        <v>Secretaría de Desarrollo Social</v>
      </c>
      <c r="N405" s="1425" t="str">
        <f>'PLAN INDICATIVO'!N405</f>
        <v>HERNAN RODRIGUEZ FALLA</v>
      </c>
      <c r="O405" s="1425" t="str">
        <f>'PLAN INDICATIVO'!O405</f>
        <v>Mantenimiento</v>
      </c>
      <c r="P405" s="820" t="str">
        <f>'PLAN INDICATIVO'!P405</f>
        <v>Implementar 1 programa de capacitación, asesoría y asistencia técnica para consolidar procesos de participación ciudadana y control social, cada año</v>
      </c>
      <c r="Q405" s="302" t="str">
        <f>'PLAN INDICATIVO'!Q405</f>
        <v>No. de programas de capacitación, asesoría y asistencia técnica, implementados por año</v>
      </c>
      <c r="R405" s="303">
        <f>'PLAN INDICATIVO'!R405</f>
        <v>2015</v>
      </c>
      <c r="S405" s="304">
        <v>1</v>
      </c>
      <c r="T405" s="1463">
        <v>1</v>
      </c>
      <c r="U405" s="1463">
        <v>1</v>
      </c>
      <c r="V405" s="1234">
        <v>2000000</v>
      </c>
      <c r="W405" s="1463">
        <v>1</v>
      </c>
      <c r="X405" s="1234">
        <v>20000000</v>
      </c>
      <c r="Y405" s="1463">
        <v>1</v>
      </c>
      <c r="Z405" s="1234">
        <v>20000000</v>
      </c>
      <c r="AA405" s="291"/>
      <c r="AB405" s="1234">
        <v>20000000</v>
      </c>
      <c r="AC405" s="795">
        <v>1</v>
      </c>
      <c r="AD405" s="795">
        <v>1</v>
      </c>
      <c r="AE405" s="795">
        <v>1</v>
      </c>
      <c r="AF405" s="795"/>
      <c r="AG405" s="341" t="s">
        <v>4342</v>
      </c>
      <c r="AH405" s="991">
        <v>2018413960024</v>
      </c>
      <c r="AI405" s="355" t="s">
        <v>4353</v>
      </c>
      <c r="AJ405" s="359">
        <v>43191</v>
      </c>
      <c r="AK405" s="359">
        <v>43434</v>
      </c>
      <c r="AL405" s="358"/>
      <c r="AM405" s="358"/>
      <c r="AN405" s="281" t="s">
        <v>2598</v>
      </c>
      <c r="AO405" s="512" t="s">
        <v>4348</v>
      </c>
      <c r="AP405" s="525"/>
      <c r="AQ405" s="310"/>
      <c r="AR405" s="380"/>
      <c r="AS405" s="310"/>
      <c r="AT405" s="310"/>
      <c r="AU405" s="310"/>
      <c r="AV405" s="310"/>
      <c r="AW405" s="544"/>
      <c r="AX405" s="525"/>
      <c r="AY405" s="310"/>
      <c r="AZ405" s="380"/>
      <c r="BA405" s="310"/>
      <c r="BB405" s="310"/>
      <c r="BC405" s="310"/>
      <c r="BD405" s="310"/>
      <c r="BE405" s="544">
        <f t="shared" si="244"/>
        <v>0</v>
      </c>
      <c r="BF405" s="1323"/>
      <c r="BG405" s="1313">
        <v>1732000</v>
      </c>
      <c r="BH405" s="1338"/>
      <c r="BI405" s="1313"/>
      <c r="BJ405" s="1313"/>
      <c r="BK405" s="1313"/>
      <c r="BL405" s="1313"/>
      <c r="BM405" s="800">
        <f t="shared" si="245"/>
        <v>1732000</v>
      </c>
      <c r="BN405" s="525"/>
      <c r="BO405" s="310"/>
      <c r="BP405" s="380"/>
      <c r="BQ405" s="310"/>
      <c r="BR405" s="310"/>
      <c r="BS405" s="310"/>
      <c r="BT405" s="310"/>
      <c r="BU405" s="544">
        <f t="shared" si="246"/>
        <v>0</v>
      </c>
      <c r="BV405" s="556"/>
      <c r="BW405" s="663">
        <f t="shared" si="236"/>
        <v>3</v>
      </c>
      <c r="BX405" s="1047">
        <f t="shared" si="248"/>
        <v>3</v>
      </c>
      <c r="BY405" s="1047">
        <f t="shared" si="239"/>
        <v>1</v>
      </c>
      <c r="BZ405" s="1047">
        <f t="shared" si="240"/>
        <v>1</v>
      </c>
      <c r="CA405" s="1047">
        <f t="shared" si="241"/>
        <v>1</v>
      </c>
      <c r="CB405" s="1047" t="str">
        <f t="shared" si="242"/>
        <v>No Programada</v>
      </c>
      <c r="CD405" t="str">
        <f t="shared" si="243"/>
        <v>VE</v>
      </c>
      <c r="CE405" t="str">
        <f t="shared" si="243"/>
        <v>VE</v>
      </c>
      <c r="CF405" t="str">
        <f t="shared" si="243"/>
        <v>VE</v>
      </c>
      <c r="CG405" t="str">
        <f t="shared" si="243"/>
        <v>NP</v>
      </c>
    </row>
    <row r="406" spans="1:85" ht="47.25" hidden="1" customHeight="1" thickBot="1" x14ac:dyDescent="0.3">
      <c r="A406" s="393" t="s">
        <v>1220</v>
      </c>
      <c r="B406" s="394" t="str">
        <f>'PLAN INDICATIVO'!B406</f>
        <v>Desarrollo comunitario</v>
      </c>
      <c r="C406" s="1547"/>
      <c r="D406" s="1550"/>
      <c r="E406" s="1550"/>
      <c r="F406" s="1550"/>
      <c r="G406" s="1550"/>
      <c r="H406" s="1550"/>
      <c r="I406" s="395">
        <f>'PLAN INDICATIVO'!I406</f>
        <v>0</v>
      </c>
      <c r="J406" s="395">
        <f>'PLAN INDICATIVO'!J406</f>
        <v>0</v>
      </c>
      <c r="K406" s="1426" t="str">
        <f>'PLAN INDICATIVO'!K406</f>
        <v>A.16.1.11</v>
      </c>
      <c r="L406" s="396" t="str">
        <f>'PLAN INDICATIVO'!L406</f>
        <v>16. Paz, justicia e instituciones sólidas</v>
      </c>
      <c r="M406" s="396" t="str">
        <f>'PLAN INDICATIVO'!M406</f>
        <v>Secretaría de Desarrollo Social</v>
      </c>
      <c r="N406" s="1426" t="str">
        <f>'PLAN INDICATIVO'!N406</f>
        <v>HERNAN RODRIGUEZ FALLA</v>
      </c>
      <c r="O406" s="1426" t="str">
        <f>'PLAN INDICATIVO'!O406</f>
        <v>Incremento</v>
      </c>
      <c r="P406" s="70" t="str">
        <f>'PLAN INDICATIVO'!P406</f>
        <v>Presentar 4 informes impresos durante el cuatrienio para divulgación de rendición de cuentas</v>
      </c>
      <c r="Q406" s="350" t="str">
        <f>'PLAN INDICATIVO'!Q406</f>
        <v>Informes impresos de rendición de cuentas</v>
      </c>
      <c r="R406" s="397">
        <f>'PLAN INDICATIVO'!R406</f>
        <v>2015</v>
      </c>
      <c r="S406" s="1433">
        <v>0</v>
      </c>
      <c r="T406" s="699">
        <v>4</v>
      </c>
      <c r="U406" s="303">
        <v>1</v>
      </c>
      <c r="V406" s="687">
        <v>3500000</v>
      </c>
      <c r="W406" s="303">
        <v>1</v>
      </c>
      <c r="X406" s="687">
        <v>500000</v>
      </c>
      <c r="Y406" s="303">
        <v>1</v>
      </c>
      <c r="Z406" s="687">
        <v>1000000</v>
      </c>
      <c r="AA406" s="291">
        <v>1</v>
      </c>
      <c r="AB406" s="687">
        <v>1000000</v>
      </c>
      <c r="AC406" s="671">
        <v>1</v>
      </c>
      <c r="AD406" s="671">
        <v>1</v>
      </c>
      <c r="AE406" s="671">
        <v>1</v>
      </c>
      <c r="AF406" s="671"/>
      <c r="AG406" s="341" t="s">
        <v>4342</v>
      </c>
      <c r="AH406" s="991">
        <v>2018413960024</v>
      </c>
      <c r="AI406" s="946" t="s">
        <v>4354</v>
      </c>
      <c r="AJ406" s="358" t="s">
        <v>3007</v>
      </c>
      <c r="AK406" s="358" t="s">
        <v>3007</v>
      </c>
      <c r="AL406" s="400"/>
      <c r="AM406" s="400"/>
      <c r="AN406" s="267" t="s">
        <v>2598</v>
      </c>
      <c r="AO406" s="512" t="s">
        <v>3852</v>
      </c>
      <c r="AP406" s="525"/>
      <c r="AQ406" s="310"/>
      <c r="AR406" s="380"/>
      <c r="AS406" s="310"/>
      <c r="AT406" s="310"/>
      <c r="AU406" s="310"/>
      <c r="AV406" s="310"/>
      <c r="AW406" s="544"/>
      <c r="AX406" s="525"/>
      <c r="AY406" s="310"/>
      <c r="AZ406" s="380"/>
      <c r="BA406" s="310"/>
      <c r="BB406" s="310"/>
      <c r="BC406" s="310"/>
      <c r="BD406" s="310"/>
      <c r="BE406" s="544">
        <f t="shared" si="244"/>
        <v>0</v>
      </c>
      <c r="BF406" s="525"/>
      <c r="BG406" s="310">
        <v>113300</v>
      </c>
      <c r="BH406" s="380"/>
      <c r="BI406" s="310"/>
      <c r="BJ406" s="310"/>
      <c r="BK406" s="310"/>
      <c r="BL406" s="310"/>
      <c r="BM406" s="544">
        <f t="shared" si="245"/>
        <v>113300</v>
      </c>
      <c r="BN406" s="525"/>
      <c r="BO406" s="310"/>
      <c r="BP406" s="380"/>
      <c r="BQ406" s="310"/>
      <c r="BR406" s="310"/>
      <c r="BS406" s="310"/>
      <c r="BT406" s="310"/>
      <c r="BU406" s="544">
        <f t="shared" si="246"/>
        <v>0</v>
      </c>
      <c r="BV406" s="556"/>
      <c r="BW406" s="663">
        <f t="shared" si="236"/>
        <v>3</v>
      </c>
      <c r="BX406" s="1047">
        <f t="shared" si="248"/>
        <v>0.75</v>
      </c>
      <c r="BY406" s="1047">
        <f t="shared" si="239"/>
        <v>1</v>
      </c>
      <c r="BZ406" s="1047">
        <f t="shared" si="240"/>
        <v>1</v>
      </c>
      <c r="CA406" s="1047">
        <f t="shared" si="241"/>
        <v>1</v>
      </c>
      <c r="CB406" s="1047">
        <f t="shared" si="242"/>
        <v>0</v>
      </c>
      <c r="CD406" t="str">
        <f t="shared" si="243"/>
        <v>VE</v>
      </c>
      <c r="CE406" t="str">
        <f t="shared" si="243"/>
        <v>VE</v>
      </c>
      <c r="CF406" t="str">
        <f t="shared" si="243"/>
        <v>VE</v>
      </c>
      <c r="CG406" t="str">
        <f t="shared" si="243"/>
        <v>ROB</v>
      </c>
    </row>
    <row r="407" spans="1:85" ht="15" hidden="1" customHeight="1" thickBot="1" x14ac:dyDescent="0.3">
      <c r="A407" s="428"/>
      <c r="B407" s="439"/>
      <c r="C407" s="1577" t="s">
        <v>1258</v>
      </c>
      <c r="D407" s="1578"/>
      <c r="E407" s="1578"/>
      <c r="F407" s="1578"/>
      <c r="G407" s="1578"/>
      <c r="H407" s="1578"/>
      <c r="I407" s="1578"/>
      <c r="J407" s="1578"/>
      <c r="K407" s="1578"/>
      <c r="L407" s="1578"/>
      <c r="M407" s="1578"/>
      <c r="N407" s="1578"/>
      <c r="O407" s="1578"/>
      <c r="P407" s="1578"/>
      <c r="Q407" s="1578"/>
      <c r="R407" s="1578"/>
      <c r="S407" s="1578"/>
      <c r="T407" s="1578"/>
      <c r="U407" s="1578"/>
      <c r="V407" s="1578"/>
      <c r="W407" s="1578"/>
      <c r="X407" s="1578"/>
      <c r="Y407" s="1578"/>
      <c r="Z407" s="1578"/>
      <c r="AA407" s="1578"/>
      <c r="AB407" s="1578"/>
      <c r="AC407" s="1578"/>
      <c r="AD407" s="1578"/>
      <c r="AE407" s="1578"/>
      <c r="AF407" s="1578"/>
      <c r="AG407" s="1578"/>
      <c r="AH407" s="1578"/>
      <c r="AI407" s="1578"/>
      <c r="AJ407" s="1578"/>
      <c r="AK407" s="1578"/>
      <c r="AL407" s="1578"/>
      <c r="AM407" s="1644"/>
      <c r="AN407" s="435"/>
      <c r="AO407" s="435"/>
      <c r="AP407" s="435"/>
      <c r="AQ407" s="435"/>
      <c r="AR407" s="435"/>
      <c r="AS407" s="435"/>
      <c r="AT407" s="435"/>
      <c r="AU407" s="435"/>
      <c r="AV407" s="435"/>
      <c r="AW407" s="435"/>
      <c r="AX407" s="435"/>
      <c r="AY407" s="435"/>
      <c r="AZ407" s="435"/>
      <c r="BA407" s="435"/>
      <c r="BB407" s="435"/>
      <c r="BC407" s="435"/>
      <c r="BD407" s="435"/>
      <c r="BE407" s="435">
        <f t="shared" si="244"/>
        <v>0</v>
      </c>
      <c r="BF407" s="435"/>
      <c r="BG407" s="435"/>
      <c r="BH407" s="435"/>
      <c r="BI407" s="435"/>
      <c r="BJ407" s="435"/>
      <c r="BK407" s="435"/>
      <c r="BL407" s="435"/>
      <c r="BM407" s="435">
        <f t="shared" si="245"/>
        <v>0</v>
      </c>
      <c r="BN407" s="435"/>
      <c r="BO407" s="435"/>
      <c r="BP407" s="435"/>
      <c r="BQ407" s="435"/>
      <c r="BR407" s="435"/>
      <c r="BS407" s="435"/>
      <c r="BT407" s="435"/>
      <c r="BU407" s="435">
        <f t="shared" si="246"/>
        <v>0</v>
      </c>
      <c r="BV407" s="435"/>
      <c r="BW407" s="435" t="s">
        <v>2717</v>
      </c>
      <c r="BX407" s="435" t="s">
        <v>2717</v>
      </c>
      <c r="BY407" s="435" t="s">
        <v>2717</v>
      </c>
      <c r="BZ407" s="435" t="s">
        <v>2717</v>
      </c>
      <c r="CA407" s="435" t="s">
        <v>2717</v>
      </c>
      <c r="CB407" s="1047" t="s">
        <v>2717</v>
      </c>
    </row>
    <row r="408" spans="1:85" ht="13.5" hidden="1" customHeight="1" x14ac:dyDescent="0.25">
      <c r="A408" s="296"/>
      <c r="B408" s="331" t="str">
        <f>'PLAN INDICATIVO'!B408</f>
        <v>Justicia y seguridad</v>
      </c>
      <c r="C408" s="1605" t="s">
        <v>1260</v>
      </c>
      <c r="D408" s="1606"/>
      <c r="E408" s="1606"/>
      <c r="F408" s="1606"/>
      <c r="G408" s="1606"/>
      <c r="H408" s="1606"/>
      <c r="I408" s="1606"/>
      <c r="J408" s="1606"/>
      <c r="K408" s="1606"/>
      <c r="L408" s="1606"/>
      <c r="M408" s="1606"/>
      <c r="N408" s="1606"/>
      <c r="O408" s="1607"/>
      <c r="P408" s="318"/>
      <c r="Q408" s="318"/>
      <c r="R408" s="317"/>
      <c r="S408" s="319"/>
      <c r="T408" s="676"/>
      <c r="U408" s="319"/>
      <c r="V408" s="695">
        <f>SUM(V409:V422)</f>
        <v>238290000</v>
      </c>
      <c r="W408" s="319"/>
      <c r="X408" s="695">
        <f>SUM(X409:X422)</f>
        <v>326000000</v>
      </c>
      <c r="Y408" s="319"/>
      <c r="Z408" s="695">
        <f>SUM(Z409:Z422)</f>
        <v>301000000</v>
      </c>
      <c r="AA408" s="320"/>
      <c r="AB408" s="708">
        <f>SUM(AB409:AB422)</f>
        <v>306000000</v>
      </c>
      <c r="AC408" s="320"/>
      <c r="AD408" s="320"/>
      <c r="AE408" s="320"/>
      <c r="AF408" s="320"/>
      <c r="AG408" s="321"/>
      <c r="AH408" s="321"/>
      <c r="AI408" s="321"/>
      <c r="AJ408" s="320"/>
      <c r="AK408" s="320"/>
      <c r="AL408" s="320"/>
      <c r="AM408" s="320"/>
      <c r="AN408" s="262"/>
      <c r="AO408" s="612"/>
      <c r="AP408" s="616"/>
      <c r="AQ408" s="616"/>
      <c r="AR408" s="616"/>
      <c r="AS408" s="616"/>
      <c r="AT408" s="616"/>
      <c r="AU408" s="616"/>
      <c r="AV408" s="616"/>
      <c r="AW408" s="617"/>
      <c r="AX408" s="616" t="e">
        <f t="shared" ref="AX408:BD408" si="249">(AX409:AX422)</f>
        <v>#VALUE!</v>
      </c>
      <c r="AY408" s="616" t="e">
        <f t="shared" si="249"/>
        <v>#VALUE!</v>
      </c>
      <c r="AZ408" s="616" t="e">
        <f t="shared" si="249"/>
        <v>#VALUE!</v>
      </c>
      <c r="BA408" s="616" t="e">
        <f t="shared" si="249"/>
        <v>#VALUE!</v>
      </c>
      <c r="BB408" s="616" t="e">
        <f t="shared" si="249"/>
        <v>#VALUE!</v>
      </c>
      <c r="BC408" s="616" t="e">
        <f t="shared" si="249"/>
        <v>#VALUE!</v>
      </c>
      <c r="BD408" s="616" t="e">
        <f t="shared" si="249"/>
        <v>#VALUE!</v>
      </c>
      <c r="BE408" s="617" t="e">
        <f t="shared" si="244"/>
        <v>#VALUE!</v>
      </c>
      <c r="BF408" s="616"/>
      <c r="BG408" s="616"/>
      <c r="BH408" s="616"/>
      <c r="BI408" s="616"/>
      <c r="BJ408" s="616"/>
      <c r="BK408" s="616"/>
      <c r="BL408" s="616"/>
      <c r="BM408" s="617">
        <f t="shared" si="245"/>
        <v>0</v>
      </c>
      <c r="BN408" s="616" t="e">
        <f t="shared" ref="BN408:BT408" si="250">(BN409:BN422)</f>
        <v>#VALUE!</v>
      </c>
      <c r="BO408" s="616" t="e">
        <f t="shared" si="250"/>
        <v>#VALUE!</v>
      </c>
      <c r="BP408" s="616" t="e">
        <f t="shared" si="250"/>
        <v>#VALUE!</v>
      </c>
      <c r="BQ408" s="616" t="e">
        <f t="shared" si="250"/>
        <v>#VALUE!</v>
      </c>
      <c r="BR408" s="616" t="e">
        <f t="shared" si="250"/>
        <v>#VALUE!</v>
      </c>
      <c r="BS408" s="616" t="e">
        <f t="shared" si="250"/>
        <v>#VALUE!</v>
      </c>
      <c r="BT408" s="616" t="e">
        <f t="shared" si="250"/>
        <v>#VALUE!</v>
      </c>
      <c r="BU408" s="617" t="e">
        <f t="shared" si="246"/>
        <v>#VALUE!</v>
      </c>
      <c r="BV408" s="556"/>
      <c r="BW408" s="617" t="s">
        <v>2717</v>
      </c>
      <c r="BX408" s="617" t="s">
        <v>2717</v>
      </c>
      <c r="BY408" s="617" t="s">
        <v>2717</v>
      </c>
      <c r="BZ408" s="617" t="s">
        <v>2717</v>
      </c>
      <c r="CA408" s="617" t="s">
        <v>2717</v>
      </c>
      <c r="CB408" s="1047" t="s">
        <v>2717</v>
      </c>
    </row>
    <row r="409" spans="1:85" ht="57.75" hidden="1" customHeight="1" x14ac:dyDescent="0.25">
      <c r="A409" s="298" t="s">
        <v>1261</v>
      </c>
      <c r="B409" s="299" t="str">
        <f>'PLAN INDICATIVO'!B409</f>
        <v>Justicia y seguridad</v>
      </c>
      <c r="C409" s="1559" t="s">
        <v>1262</v>
      </c>
      <c r="D409" s="1549" t="s">
        <v>1263</v>
      </c>
      <c r="E409" s="1549" t="s">
        <v>1264</v>
      </c>
      <c r="F409" s="1549">
        <v>2015</v>
      </c>
      <c r="G409" s="1549">
        <v>6.49</v>
      </c>
      <c r="H409" s="1549" t="s">
        <v>1265</v>
      </c>
      <c r="I409" s="300">
        <f>'PLAN INDICATIVO'!I409</f>
        <v>0</v>
      </c>
      <c r="J409" s="300">
        <f>'PLAN INDICATIVO'!J409</f>
        <v>0</v>
      </c>
      <c r="K409" s="1372" t="str">
        <f>'PLAN INDICATIVO'!K409</f>
        <v>A.18.1.1</v>
      </c>
      <c r="L409" s="301" t="str">
        <f>'PLAN INDICATIVO'!L409</f>
        <v>16. Paz, justicia e instituciones sólidas</v>
      </c>
      <c r="M409" s="301" t="str">
        <f>'PLAN INDICATIVO'!M409</f>
        <v>Secretaría de Gobierno</v>
      </c>
      <c r="N409" s="1425" t="str">
        <f>'PLAN INDICATIVO'!N409</f>
        <v>HERNAN RODRIGUEZ FALLA</v>
      </c>
      <c r="O409" s="1425" t="str">
        <f>'PLAN INDICATIVO'!O409</f>
        <v>Mantenimiento</v>
      </c>
      <c r="P409" s="16" t="str">
        <f>'PLAN INDICATIVO'!P409</f>
        <v>Implementar 1 Plan Integral de Convivencia y Seguridad Ciudadanocada año</v>
      </c>
      <c r="Q409" s="302" t="str">
        <f>'PLAN INDICATIVO'!Q409</f>
        <v>No. De PICSC implementado cada año</v>
      </c>
      <c r="R409" s="303">
        <f>'PLAN INDICATIVO'!R409</f>
        <v>2015</v>
      </c>
      <c r="S409" s="304">
        <v>0</v>
      </c>
      <c r="T409" s="699">
        <v>1</v>
      </c>
      <c r="U409" s="934">
        <v>0.25</v>
      </c>
      <c r="V409" s="687">
        <v>94500000</v>
      </c>
      <c r="W409" s="303">
        <v>0.25</v>
      </c>
      <c r="X409" s="687">
        <v>250000000</v>
      </c>
      <c r="Y409" s="303">
        <v>0.25</v>
      </c>
      <c r="Z409" s="687">
        <v>255000000</v>
      </c>
      <c r="AA409" s="291">
        <v>0.25</v>
      </c>
      <c r="AB409" s="687">
        <v>260000000</v>
      </c>
      <c r="AC409" s="670">
        <v>0.25</v>
      </c>
      <c r="AD409" s="670">
        <v>0.25</v>
      </c>
      <c r="AE409" s="670">
        <v>0.25</v>
      </c>
      <c r="AF409" s="670"/>
      <c r="AG409" s="341" t="s">
        <v>4355</v>
      </c>
      <c r="AH409" s="991">
        <v>2018413960019</v>
      </c>
      <c r="AI409" s="361" t="s">
        <v>4356</v>
      </c>
      <c r="AJ409" s="850">
        <v>43132</v>
      </c>
      <c r="AK409" s="850">
        <v>43464</v>
      </c>
      <c r="AL409" s="362"/>
      <c r="AM409" s="362"/>
      <c r="AN409" s="281" t="s">
        <v>2598</v>
      </c>
      <c r="AO409" s="513" t="s">
        <v>4357</v>
      </c>
      <c r="AP409" s="528"/>
      <c r="AQ409" s="545"/>
      <c r="AR409" s="472"/>
      <c r="AS409" s="472"/>
      <c r="AT409" s="472"/>
      <c r="AU409" s="472"/>
      <c r="AV409" s="472"/>
      <c r="AW409" s="544"/>
      <c r="AX409" s="528"/>
      <c r="AY409" s="545"/>
      <c r="AZ409" s="472"/>
      <c r="BA409" s="472"/>
      <c r="BB409" s="472"/>
      <c r="BC409" s="472"/>
      <c r="BD409" s="472"/>
      <c r="BE409" s="544">
        <f t="shared" si="244"/>
        <v>0</v>
      </c>
      <c r="BF409" s="528"/>
      <c r="BG409" s="545"/>
      <c r="BH409" s="472"/>
      <c r="BI409" s="472"/>
      <c r="BJ409" s="472"/>
      <c r="BK409" s="472"/>
      <c r="BL409" s="472">
        <f>43000000+24000000</f>
        <v>67000000</v>
      </c>
      <c r="BM409" s="544">
        <f t="shared" si="245"/>
        <v>67000000</v>
      </c>
      <c r="BN409" s="528"/>
      <c r="BO409" s="545"/>
      <c r="BP409" s="472"/>
      <c r="BQ409" s="472"/>
      <c r="BR409" s="472"/>
      <c r="BS409" s="472"/>
      <c r="BT409" s="472"/>
      <c r="BU409" s="544">
        <f t="shared" si="246"/>
        <v>0</v>
      </c>
      <c r="BV409" s="556"/>
      <c r="BW409" s="663">
        <f t="shared" si="236"/>
        <v>0.75</v>
      </c>
      <c r="BX409" s="1047">
        <f t="shared" si="248"/>
        <v>0.75</v>
      </c>
      <c r="BY409" s="1047">
        <f t="shared" ref="BY409:BY422" si="251">IF(U409&gt;=0.1,AC409/U409,IF(ISBLANK(U409),"No Programada","Aplazada"))</f>
        <v>1</v>
      </c>
      <c r="BZ409" s="1047">
        <f t="shared" ref="BZ409:BZ422" si="252">IF(W409&gt;=0.1,AD409/W409,IF(ISBLANK(W409),"No Programada","Aplazada"))</f>
        <v>1</v>
      </c>
      <c r="CA409" s="1047">
        <f t="shared" ref="CA409:CA422" si="253">IF(Y409&gt;=0.1,AE409/Y409,IF(ISBLANK(Y409),"No Programada","Aplazada"))</f>
        <v>1</v>
      </c>
      <c r="CB409" s="1047">
        <f t="shared" ref="CB409:CB422" si="254">IF(AA409&gt;=0.1,AF409/AA409,IF(ISBLANK(AA409),"No Programada","Aplazada"))</f>
        <v>0</v>
      </c>
      <c r="CD409" t="str">
        <f t="shared" ref="CD409:CG422" si="255">IF(BY409="PARA MODIFICAR","M",IF(BY409="PARA ELIMINAR","E",IF(BY409="aplazada","AZ",IF(BY409="no programada","NP",IF(BY409&gt;=85%,"VE",IF(BY409&gt;70%,"VEB",IF(BY409&gt;60%,"AM",IF(BY409&gt;40%,"AMB",IF(BY409&gt;20%,"RO",IF(BY409&gt;=0%,"ROB",""))))))))))</f>
        <v>VE</v>
      </c>
      <c r="CE409" t="str">
        <f t="shared" si="255"/>
        <v>VE</v>
      </c>
      <c r="CF409" t="str">
        <f t="shared" si="255"/>
        <v>VE</v>
      </c>
      <c r="CG409" t="str">
        <f t="shared" si="255"/>
        <v>ROB</v>
      </c>
    </row>
    <row r="410" spans="1:85" ht="39.75" hidden="1" customHeight="1" x14ac:dyDescent="0.25">
      <c r="A410" s="298" t="s">
        <v>1261</v>
      </c>
      <c r="B410" s="299" t="str">
        <f>'PLAN INDICATIVO'!B410</f>
        <v>Justicia y seguridad</v>
      </c>
      <c r="C410" s="1559"/>
      <c r="D410" s="1549"/>
      <c r="E410" s="1549"/>
      <c r="F410" s="1549"/>
      <c r="G410" s="1549"/>
      <c r="H410" s="1549"/>
      <c r="I410" s="300">
        <f>'PLAN INDICATIVO'!I410</f>
        <v>0</v>
      </c>
      <c r="J410" s="300">
        <f>'PLAN INDICATIVO'!J410</f>
        <v>0</v>
      </c>
      <c r="K410" s="1372" t="str">
        <f>'PLAN INDICATIVO'!K410</f>
        <v>A.18.1.2</v>
      </c>
      <c r="L410" s="301" t="str">
        <f>'PLAN INDICATIVO'!L410</f>
        <v>16. Paz, justicia e instituciones sólidas</v>
      </c>
      <c r="M410" s="301" t="str">
        <f>'PLAN INDICATIVO'!M410</f>
        <v>Secretaría de Gobierno</v>
      </c>
      <c r="N410" s="1425" t="str">
        <f>'PLAN INDICATIVO'!N410</f>
        <v>HERNAN RODRIGUEZ FALLA</v>
      </c>
      <c r="O410" s="1425" t="str">
        <f>'PLAN INDICATIVO'!O410</f>
        <v>Mantenimiento</v>
      </c>
      <c r="P410" s="16" t="str">
        <f>'PLAN INDICATIVO'!P410</f>
        <v>Realizar 12 consejos de seguridad ordinarios  cada año</v>
      </c>
      <c r="Q410" s="302" t="str">
        <f>'PLAN INDICATIVO'!Q410</f>
        <v>No. Consejos de seguridad realizados por año</v>
      </c>
      <c r="R410" s="303">
        <f>'PLAN INDICATIVO'!R410</f>
        <v>2015</v>
      </c>
      <c r="S410" s="304">
        <v>0</v>
      </c>
      <c r="T410" s="699">
        <v>48</v>
      </c>
      <c r="U410" s="303">
        <v>12</v>
      </c>
      <c r="V410" s="687">
        <v>500000</v>
      </c>
      <c r="W410" s="303">
        <v>12</v>
      </c>
      <c r="X410" s="687">
        <v>500000</v>
      </c>
      <c r="Y410" s="303">
        <v>12</v>
      </c>
      <c r="Z410" s="687">
        <v>1000000</v>
      </c>
      <c r="AA410" s="291">
        <v>12</v>
      </c>
      <c r="AB410" s="687">
        <v>1000000</v>
      </c>
      <c r="AC410" s="669">
        <v>10</v>
      </c>
      <c r="AD410" s="669">
        <v>20</v>
      </c>
      <c r="AE410" s="669">
        <v>15</v>
      </c>
      <c r="AF410" s="669"/>
      <c r="AG410" s="341" t="s">
        <v>4355</v>
      </c>
      <c r="AH410" s="991">
        <v>2018413960019</v>
      </c>
      <c r="AI410" s="355" t="s">
        <v>4358</v>
      </c>
      <c r="AJ410" s="359">
        <v>43101</v>
      </c>
      <c r="AK410" s="359">
        <v>43464</v>
      </c>
      <c r="AL410" s="358"/>
      <c r="AM410" s="358"/>
      <c r="AN410" s="281" t="s">
        <v>2598</v>
      </c>
      <c r="AO410" s="513"/>
      <c r="AP410" s="525"/>
      <c r="AQ410" s="310"/>
      <c r="AR410" s="310"/>
      <c r="AS410" s="310"/>
      <c r="AT410" s="310"/>
      <c r="AU410" s="310"/>
      <c r="AV410" s="310"/>
      <c r="AW410" s="544"/>
      <c r="AX410" s="525"/>
      <c r="AY410" s="310"/>
      <c r="AZ410" s="310"/>
      <c r="BA410" s="310"/>
      <c r="BB410" s="310"/>
      <c r="BC410" s="310"/>
      <c r="BD410" s="310"/>
      <c r="BE410" s="544">
        <f t="shared" si="244"/>
        <v>0</v>
      </c>
      <c r="BF410" s="525"/>
      <c r="BG410" s="310"/>
      <c r="BH410" s="310"/>
      <c r="BI410" s="310"/>
      <c r="BJ410" s="310"/>
      <c r="BK410" s="310"/>
      <c r="BL410" s="310"/>
      <c r="BM410" s="544">
        <f t="shared" si="245"/>
        <v>0</v>
      </c>
      <c r="BN410" s="525"/>
      <c r="BO410" s="310"/>
      <c r="BP410" s="310"/>
      <c r="BQ410" s="310"/>
      <c r="BR410" s="310"/>
      <c r="BS410" s="310"/>
      <c r="BT410" s="310"/>
      <c r="BU410" s="544">
        <f t="shared" si="246"/>
        <v>0</v>
      </c>
      <c r="BV410" s="556"/>
      <c r="BW410" s="663">
        <f t="shared" si="236"/>
        <v>45</v>
      </c>
      <c r="BX410" s="1047">
        <f t="shared" si="248"/>
        <v>0.9375</v>
      </c>
      <c r="BY410" s="1047">
        <f t="shared" si="251"/>
        <v>0.83333333333333337</v>
      </c>
      <c r="BZ410" s="1047">
        <f t="shared" si="252"/>
        <v>1.6666666666666667</v>
      </c>
      <c r="CA410" s="1047">
        <f t="shared" si="253"/>
        <v>1.25</v>
      </c>
      <c r="CB410" s="1047">
        <f t="shared" si="254"/>
        <v>0</v>
      </c>
      <c r="CD410" t="str">
        <f t="shared" si="255"/>
        <v>VEB</v>
      </c>
      <c r="CE410" t="str">
        <f t="shared" si="255"/>
        <v>VE</v>
      </c>
      <c r="CF410" t="str">
        <f t="shared" si="255"/>
        <v>VE</v>
      </c>
      <c r="CG410" t="str">
        <f t="shared" si="255"/>
        <v>ROB</v>
      </c>
    </row>
    <row r="411" spans="1:85" ht="54.75" hidden="1" customHeight="1" x14ac:dyDescent="0.25">
      <c r="A411" s="298" t="s">
        <v>1261</v>
      </c>
      <c r="B411" s="299" t="str">
        <f>'PLAN INDICATIVO'!B411</f>
        <v>Justicia y seguridad</v>
      </c>
      <c r="C411" s="1559"/>
      <c r="D411" s="1549"/>
      <c r="E411" s="1549"/>
      <c r="F411" s="1549"/>
      <c r="G411" s="1549"/>
      <c r="H411" s="1549"/>
      <c r="I411" s="300">
        <f>'PLAN INDICATIVO'!I411</f>
        <v>0</v>
      </c>
      <c r="J411" s="300">
        <f>'PLAN INDICATIVO'!J411</f>
        <v>0</v>
      </c>
      <c r="K411" s="1372" t="str">
        <f>'PLAN INDICATIVO'!K411</f>
        <v>A.18.1.3</v>
      </c>
      <c r="L411" s="301" t="str">
        <f>'PLAN INDICATIVO'!L411</f>
        <v>16. Paz, justicia e instituciones sólidas</v>
      </c>
      <c r="M411" s="301" t="str">
        <f>'PLAN INDICATIVO'!M411</f>
        <v>Secretaría de Gobierno</v>
      </c>
      <c r="N411" s="1425" t="str">
        <f>'PLAN INDICATIVO'!N411</f>
        <v>HERNAN RODRIGUEZ FALLA</v>
      </c>
      <c r="O411" s="1425" t="str">
        <f>'PLAN INDICATIVO'!O411</f>
        <v>Incremento</v>
      </c>
      <c r="P411" s="16" t="str">
        <f>'PLAN INDICATIVO'!P411</f>
        <v>Celebrar 4 reuniones de Comité de Orden público en el Cuatrienio</v>
      </c>
      <c r="Q411" s="302" t="str">
        <f>'PLAN INDICATIVO'!Q411</f>
        <v>No. De comités de orden públicos realizado</v>
      </c>
      <c r="R411" s="303">
        <f>'PLAN INDICATIVO'!R411</f>
        <v>2015</v>
      </c>
      <c r="S411" s="304">
        <v>0</v>
      </c>
      <c r="T411" s="699">
        <v>4</v>
      </c>
      <c r="U411" s="303">
        <v>1</v>
      </c>
      <c r="V411" s="687">
        <v>500000</v>
      </c>
      <c r="W411" s="303">
        <v>1</v>
      </c>
      <c r="X411" s="687">
        <v>500000</v>
      </c>
      <c r="Y411" s="303">
        <v>1</v>
      </c>
      <c r="Z411" s="687">
        <v>1000000</v>
      </c>
      <c r="AA411" s="291">
        <v>1</v>
      </c>
      <c r="AB411" s="687">
        <v>1000000</v>
      </c>
      <c r="AC411" s="669">
        <v>4</v>
      </c>
      <c r="AD411" s="669">
        <v>4</v>
      </c>
      <c r="AE411" s="669">
        <v>5</v>
      </c>
      <c r="AF411" s="669"/>
      <c r="AG411" s="341" t="s">
        <v>4355</v>
      </c>
      <c r="AH411" s="991">
        <v>2018413960019</v>
      </c>
      <c r="AI411" s="355" t="s">
        <v>4358</v>
      </c>
      <c r="AJ411" s="359">
        <v>43101</v>
      </c>
      <c r="AK411" s="359">
        <v>43434</v>
      </c>
      <c r="AL411" s="358"/>
      <c r="AM411" s="358"/>
      <c r="AN411" s="267" t="s">
        <v>2598</v>
      </c>
      <c r="AO411" s="513"/>
      <c r="AP411" s="525"/>
      <c r="AQ411" s="310"/>
      <c r="AR411" s="310"/>
      <c r="AS411" s="310"/>
      <c r="AT411" s="310"/>
      <c r="AU411" s="310"/>
      <c r="AV411" s="310"/>
      <c r="AW411" s="544"/>
      <c r="AX411" s="525"/>
      <c r="AY411" s="310"/>
      <c r="AZ411" s="310"/>
      <c r="BA411" s="310"/>
      <c r="BB411" s="310"/>
      <c r="BC411" s="310"/>
      <c r="BD411" s="310"/>
      <c r="BE411" s="544">
        <f t="shared" si="244"/>
        <v>0</v>
      </c>
      <c r="BF411" s="525"/>
      <c r="BG411" s="310"/>
      <c r="BH411" s="310"/>
      <c r="BI411" s="310"/>
      <c r="BJ411" s="310"/>
      <c r="BK411" s="310"/>
      <c r="BL411" s="310"/>
      <c r="BM411" s="544">
        <f t="shared" si="245"/>
        <v>0</v>
      </c>
      <c r="BN411" s="525"/>
      <c r="BO411" s="310"/>
      <c r="BP411" s="310"/>
      <c r="BQ411" s="310"/>
      <c r="BR411" s="310"/>
      <c r="BS411" s="310"/>
      <c r="BT411" s="310"/>
      <c r="BU411" s="544">
        <f t="shared" si="246"/>
        <v>0</v>
      </c>
      <c r="BV411" s="556"/>
      <c r="BW411" s="663">
        <f t="shared" si="236"/>
        <v>13</v>
      </c>
      <c r="BX411" s="1047">
        <f t="shared" si="248"/>
        <v>3.25</v>
      </c>
      <c r="BY411" s="1047">
        <f t="shared" si="251"/>
        <v>4</v>
      </c>
      <c r="BZ411" s="1047">
        <f t="shared" si="252"/>
        <v>4</v>
      </c>
      <c r="CA411" s="1047">
        <f t="shared" si="253"/>
        <v>5</v>
      </c>
      <c r="CB411" s="1047">
        <f t="shared" si="254"/>
        <v>0</v>
      </c>
      <c r="CD411" t="str">
        <f t="shared" si="255"/>
        <v>VE</v>
      </c>
      <c r="CE411" t="str">
        <f t="shared" si="255"/>
        <v>VE</v>
      </c>
      <c r="CF411" t="str">
        <f t="shared" si="255"/>
        <v>VE</v>
      </c>
      <c r="CG411" t="str">
        <f t="shared" si="255"/>
        <v>ROB</v>
      </c>
    </row>
    <row r="412" spans="1:85" ht="48.75" hidden="1" customHeight="1" x14ac:dyDescent="0.25">
      <c r="A412" s="298" t="s">
        <v>1261</v>
      </c>
      <c r="B412" s="299" t="str">
        <f>'PLAN INDICATIVO'!B412</f>
        <v>Justicia y seguridad</v>
      </c>
      <c r="C412" s="1559"/>
      <c r="D412" s="1549"/>
      <c r="E412" s="1549"/>
      <c r="F412" s="1549"/>
      <c r="G412" s="1549"/>
      <c r="H412" s="1549"/>
      <c r="I412" s="300">
        <f>'PLAN INDICATIVO'!I412</f>
        <v>0</v>
      </c>
      <c r="J412" s="300">
        <f>'PLAN INDICATIVO'!J412</f>
        <v>0</v>
      </c>
      <c r="K412" s="1372" t="str">
        <f>'PLAN INDICATIVO'!K412</f>
        <v>A.18.1.4</v>
      </c>
      <c r="L412" s="301" t="str">
        <f>'PLAN INDICATIVO'!L412</f>
        <v>16. Paz, justicia e instituciones sólidas</v>
      </c>
      <c r="M412" s="301" t="str">
        <f>'PLAN INDICATIVO'!M412</f>
        <v>Secretaría de Gobierno</v>
      </c>
      <c r="N412" s="1425" t="str">
        <f>'PLAN INDICATIVO'!N412</f>
        <v>HERNAN RODRIGUEZ FALLA</v>
      </c>
      <c r="O412" s="1425" t="str">
        <f>'PLAN INDICATIVO'!O412</f>
        <v>Mantenimiento</v>
      </c>
      <c r="P412" s="16" t="str">
        <f>'PLAN INDICATIVO'!P412</f>
        <v>Presentar 2 informes del observatorio del delito por la fuerza pública cada año</v>
      </c>
      <c r="Q412" s="302" t="str">
        <f>'PLAN INDICATIVO'!Q412</f>
        <v>No. De informes presentados por año</v>
      </c>
      <c r="R412" s="303">
        <f>'PLAN INDICATIVO'!R412</f>
        <v>2015</v>
      </c>
      <c r="S412" s="304">
        <v>0</v>
      </c>
      <c r="T412" s="699">
        <v>8</v>
      </c>
      <c r="U412" s="303">
        <v>2</v>
      </c>
      <c r="V412" s="687">
        <v>500000</v>
      </c>
      <c r="W412" s="303">
        <v>2</v>
      </c>
      <c r="X412" s="687">
        <v>500000</v>
      </c>
      <c r="Y412" s="303">
        <v>2</v>
      </c>
      <c r="Z412" s="687">
        <v>1000000</v>
      </c>
      <c r="AA412" s="291">
        <v>3</v>
      </c>
      <c r="AB412" s="687">
        <v>1000000</v>
      </c>
      <c r="AC412" s="669">
        <v>1</v>
      </c>
      <c r="AD412" s="669">
        <v>2</v>
      </c>
      <c r="AE412" s="669">
        <v>2</v>
      </c>
      <c r="AF412" s="669"/>
      <c r="AG412" s="341" t="s">
        <v>4355</v>
      </c>
      <c r="AH412" s="991">
        <v>2018413960019</v>
      </c>
      <c r="AI412" s="355" t="s">
        <v>4359</v>
      </c>
      <c r="AJ412" s="850">
        <v>43281</v>
      </c>
      <c r="AK412" s="850">
        <v>43464</v>
      </c>
      <c r="AL412" s="358"/>
      <c r="AM412" s="358"/>
      <c r="AN412" s="281" t="s">
        <v>2598</v>
      </c>
      <c r="AO412" s="512"/>
      <c r="AP412" s="753"/>
      <c r="AQ412" s="310"/>
      <c r="AR412" s="310"/>
      <c r="AS412" s="310"/>
      <c r="AT412" s="310"/>
      <c r="AU412" s="310"/>
      <c r="AV412" s="310"/>
      <c r="AW412" s="544"/>
      <c r="AX412" s="525"/>
      <c r="AY412" s="310"/>
      <c r="AZ412" s="310"/>
      <c r="BA412" s="310"/>
      <c r="BB412" s="310"/>
      <c r="BC412" s="310"/>
      <c r="BD412" s="310"/>
      <c r="BE412" s="544">
        <f t="shared" si="244"/>
        <v>0</v>
      </c>
      <c r="BF412" s="525"/>
      <c r="BG412" s="310"/>
      <c r="BH412" s="310"/>
      <c r="BI412" s="310"/>
      <c r="BJ412" s="310"/>
      <c r="BK412" s="310"/>
      <c r="BL412" s="310"/>
      <c r="BM412" s="544">
        <f t="shared" si="245"/>
        <v>0</v>
      </c>
      <c r="BN412" s="525"/>
      <c r="BO412" s="310"/>
      <c r="BP412" s="310"/>
      <c r="BQ412" s="310"/>
      <c r="BR412" s="310"/>
      <c r="BS412" s="310"/>
      <c r="BT412" s="310"/>
      <c r="BU412" s="544">
        <f t="shared" si="246"/>
        <v>0</v>
      </c>
      <c r="BV412" s="556"/>
      <c r="BW412" s="663">
        <f t="shared" si="236"/>
        <v>5</v>
      </c>
      <c r="BX412" s="1047">
        <f t="shared" si="248"/>
        <v>0.625</v>
      </c>
      <c r="BY412" s="1047">
        <f t="shared" si="251"/>
        <v>0.5</v>
      </c>
      <c r="BZ412" s="1047">
        <f t="shared" si="252"/>
        <v>1</v>
      </c>
      <c r="CA412" s="1047">
        <f t="shared" si="253"/>
        <v>1</v>
      </c>
      <c r="CB412" s="1047">
        <f t="shared" si="254"/>
        <v>0</v>
      </c>
      <c r="CD412" t="str">
        <f t="shared" si="255"/>
        <v>AMB</v>
      </c>
      <c r="CE412" t="str">
        <f t="shared" si="255"/>
        <v>VE</v>
      </c>
      <c r="CF412" t="str">
        <f t="shared" si="255"/>
        <v>VE</v>
      </c>
      <c r="CG412" t="str">
        <f t="shared" si="255"/>
        <v>ROB</v>
      </c>
    </row>
    <row r="413" spans="1:85" ht="66.75" hidden="1" customHeight="1" x14ac:dyDescent="0.25">
      <c r="A413" s="298" t="s">
        <v>1261</v>
      </c>
      <c r="B413" s="299" t="str">
        <f>'PLAN INDICATIVO'!B413</f>
        <v>Justicia y seguridad</v>
      </c>
      <c r="C413" s="1559"/>
      <c r="D413" s="1549"/>
      <c r="E413" s="1549"/>
      <c r="F413" s="1549"/>
      <c r="G413" s="1549"/>
      <c r="H413" s="1549"/>
      <c r="I413" s="300">
        <f>'PLAN INDICATIVO'!I413</f>
        <v>0</v>
      </c>
      <c r="J413" s="300">
        <f>'PLAN INDICATIVO'!J413</f>
        <v>0</v>
      </c>
      <c r="K413" s="1372" t="str">
        <f>'PLAN INDICATIVO'!K413</f>
        <v>A.18.1.5</v>
      </c>
      <c r="L413" s="301" t="str">
        <f>'PLAN INDICATIVO'!L413</f>
        <v>16. Paz, justicia e instituciones sólidas</v>
      </c>
      <c r="M413" s="301" t="str">
        <f>'PLAN INDICATIVO'!M413</f>
        <v>Secretaría de Gobierno</v>
      </c>
      <c r="N413" s="1425" t="s">
        <v>4360</v>
      </c>
      <c r="O413" s="1425" t="str">
        <f>'PLAN INDICATIVO'!O413</f>
        <v>Mantenimiento</v>
      </c>
      <c r="P413" s="16" t="str">
        <f>'PLAN INDICATIVO'!P413</f>
        <v>Realizar 6 controles a pesas y medidas en plazas de mercado y establecimientos de comercio cada año</v>
      </c>
      <c r="Q413" s="302" t="str">
        <f>'PLAN INDICATIVO'!Q413</f>
        <v>No. De controles realizados por año</v>
      </c>
      <c r="R413" s="303">
        <f>'PLAN INDICATIVO'!R413</f>
        <v>2015</v>
      </c>
      <c r="S413" s="304">
        <v>0</v>
      </c>
      <c r="T413" s="699">
        <v>24</v>
      </c>
      <c r="U413" s="303">
        <v>6</v>
      </c>
      <c r="V413" s="687">
        <v>5000000</v>
      </c>
      <c r="W413" s="303">
        <v>6</v>
      </c>
      <c r="X413" s="687">
        <v>10500000</v>
      </c>
      <c r="Y413" s="286">
        <v>6</v>
      </c>
      <c r="Z413" s="687">
        <v>1000000</v>
      </c>
      <c r="AA413" s="291">
        <v>6</v>
      </c>
      <c r="AB413" s="687">
        <v>1000000</v>
      </c>
      <c r="AC413" s="669">
        <v>6</v>
      </c>
      <c r="AD413" s="669">
        <v>6</v>
      </c>
      <c r="AE413" s="669">
        <v>4</v>
      </c>
      <c r="AF413" s="669"/>
      <c r="AG413" s="341" t="s">
        <v>4355</v>
      </c>
      <c r="AH413" s="991">
        <v>2018413960019</v>
      </c>
      <c r="AI413" s="998" t="s">
        <v>4361</v>
      </c>
      <c r="AJ413" s="363">
        <v>43133</v>
      </c>
      <c r="AK413" s="363">
        <v>43464</v>
      </c>
      <c r="AL413" s="358"/>
      <c r="AM413" s="358"/>
      <c r="AN413" s="267" t="s">
        <v>2604</v>
      </c>
      <c r="AO413" s="512" t="s">
        <v>4362</v>
      </c>
      <c r="AP413" s="525"/>
      <c r="AQ413" s="310"/>
      <c r="AR413" s="310"/>
      <c r="AS413" s="310"/>
      <c r="AT413" s="310"/>
      <c r="AU413" s="310"/>
      <c r="AV413" s="310"/>
      <c r="AW413" s="544"/>
      <c r="AX413" s="525"/>
      <c r="AY413" s="310"/>
      <c r="AZ413" s="310"/>
      <c r="BA413" s="310"/>
      <c r="BB413" s="310"/>
      <c r="BC413" s="310"/>
      <c r="BD413" s="310"/>
      <c r="BE413" s="544">
        <f t="shared" si="244"/>
        <v>0</v>
      </c>
      <c r="BF413" s="525">
        <v>4000000</v>
      </c>
      <c r="BG413" s="310"/>
      <c r="BH413" s="310"/>
      <c r="BI413" s="310"/>
      <c r="BJ413" s="310"/>
      <c r="BK413" s="310"/>
      <c r="BL413" s="310"/>
      <c r="BM413" s="544">
        <f t="shared" si="245"/>
        <v>4000000</v>
      </c>
      <c r="BN413" s="525"/>
      <c r="BO413" s="310"/>
      <c r="BP413" s="310"/>
      <c r="BQ413" s="310"/>
      <c r="BR413" s="310"/>
      <c r="BS413" s="310"/>
      <c r="BT413" s="310"/>
      <c r="BU413" s="544">
        <f t="shared" si="246"/>
        <v>0</v>
      </c>
      <c r="BV413" s="556"/>
      <c r="BW413" s="663">
        <f t="shared" si="236"/>
        <v>16</v>
      </c>
      <c r="BX413" s="1047">
        <f t="shared" si="248"/>
        <v>0.66666666666666663</v>
      </c>
      <c r="BY413" s="1047">
        <f t="shared" si="251"/>
        <v>1</v>
      </c>
      <c r="BZ413" s="1047">
        <f t="shared" si="252"/>
        <v>1</v>
      </c>
      <c r="CA413" s="1047">
        <f t="shared" si="253"/>
        <v>0.66666666666666663</v>
      </c>
      <c r="CB413" s="1047">
        <f t="shared" si="254"/>
        <v>0</v>
      </c>
      <c r="CD413" t="str">
        <f t="shared" si="255"/>
        <v>VE</v>
      </c>
      <c r="CE413" t="str">
        <f t="shared" si="255"/>
        <v>VE</v>
      </c>
      <c r="CF413" t="str">
        <f t="shared" si="255"/>
        <v>AM</v>
      </c>
      <c r="CG413" t="str">
        <f t="shared" si="255"/>
        <v>ROB</v>
      </c>
    </row>
    <row r="414" spans="1:85" ht="62.25" hidden="1" customHeight="1" x14ac:dyDescent="0.25">
      <c r="A414" s="298" t="s">
        <v>2464</v>
      </c>
      <c r="B414" s="299" t="str">
        <f>'PLAN INDICATIVO'!B414</f>
        <v>Justicia y seguridad</v>
      </c>
      <c r="C414" s="1559"/>
      <c r="D414" s="1549"/>
      <c r="E414" s="1549"/>
      <c r="F414" s="1549"/>
      <c r="G414" s="1549"/>
      <c r="H414" s="1549"/>
      <c r="I414" s="371">
        <f>'PLAN INDICATIVO'!I414</f>
        <v>0</v>
      </c>
      <c r="J414" s="371">
        <f>'PLAN INDICATIVO'!J414</f>
        <v>0</v>
      </c>
      <c r="K414" s="1372" t="str">
        <f>'PLAN INDICATIVO'!K414</f>
        <v>A.18.1.6</v>
      </c>
      <c r="L414" s="301" t="str">
        <f>'PLAN INDICATIVO'!L414</f>
        <v>16. Paz, justicia e instituciones sólidas</v>
      </c>
      <c r="M414" s="301" t="str">
        <f>'PLAN INDICATIVO'!M414</f>
        <v>Secretaría de Gobierno</v>
      </c>
      <c r="N414" s="1425" t="str">
        <f>'PLAN INDICATIVO'!N414</f>
        <v>HERNAN RODRIGUEZ FALLA</v>
      </c>
      <c r="O414" s="1425" t="str">
        <f>'PLAN INDICATIVO'!O414</f>
        <v>Mantenimiento</v>
      </c>
      <c r="P414" s="1201" t="str">
        <f>'PLAN INDICATIVO'!P414</f>
        <v>Apoyar el sostenimiento 10 bachilleres auxiliares como apoyo a la seguridad y convivencia ciudadana cada año</v>
      </c>
      <c r="Q414" s="345" t="str">
        <f>'PLAN INDICATIVO'!Q414</f>
        <v>No. de bachilleres apoyados</v>
      </c>
      <c r="R414" s="346">
        <f>'PLAN INDICATIVO'!R414</f>
        <v>2015</v>
      </c>
      <c r="S414" s="342">
        <v>0</v>
      </c>
      <c r="T414" s="704">
        <v>10</v>
      </c>
      <c r="U414" s="346">
        <v>10</v>
      </c>
      <c r="V414" s="687">
        <v>10000000</v>
      </c>
      <c r="W414" s="346">
        <v>10</v>
      </c>
      <c r="X414" s="687">
        <v>8000000</v>
      </c>
      <c r="Y414" s="346">
        <v>10</v>
      </c>
      <c r="Z414" s="687">
        <v>8000000</v>
      </c>
      <c r="AA414" s="1312">
        <v>10</v>
      </c>
      <c r="AB414" s="687">
        <v>8000000</v>
      </c>
      <c r="AC414" s="670">
        <v>10</v>
      </c>
      <c r="AD414" s="915">
        <v>0</v>
      </c>
      <c r="AE414" s="670">
        <v>5</v>
      </c>
      <c r="AF414" s="670"/>
      <c r="AG414" s="341" t="s">
        <v>4355</v>
      </c>
      <c r="AH414" s="991">
        <v>2018413960019</v>
      </c>
      <c r="AI414" s="932" t="s">
        <v>4363</v>
      </c>
      <c r="AJ414" s="850">
        <v>43132</v>
      </c>
      <c r="AK414" s="850">
        <v>43434</v>
      </c>
      <c r="AL414" s="362"/>
      <c r="AM414" s="362"/>
      <c r="AN414" s="281" t="s">
        <v>2604</v>
      </c>
      <c r="AO414" s="512" t="s">
        <v>4364</v>
      </c>
      <c r="AP414" s="525"/>
      <c r="AQ414" s="525"/>
      <c r="AR414" s="525"/>
      <c r="AS414" s="525"/>
      <c r="AT414" s="525"/>
      <c r="AU414" s="525"/>
      <c r="AV414" s="525"/>
      <c r="AW414" s="525"/>
      <c r="AX414" s="528"/>
      <c r="AY414" s="472"/>
      <c r="AZ414" s="472"/>
      <c r="BA414" s="472"/>
      <c r="BB414" s="472"/>
      <c r="BC414" s="472"/>
      <c r="BD414" s="472"/>
      <c r="BE414" s="544">
        <f t="shared" si="244"/>
        <v>0</v>
      </c>
      <c r="BF414" s="528"/>
      <c r="BG414" s="472"/>
      <c r="BH414" s="472"/>
      <c r="BI414" s="472"/>
      <c r="BJ414" s="472"/>
      <c r="BK414" s="472"/>
      <c r="BL414" s="472">
        <v>5000000</v>
      </c>
      <c r="BM414" s="544">
        <f t="shared" si="245"/>
        <v>5000000</v>
      </c>
      <c r="BN414" s="528"/>
      <c r="BO414" s="472"/>
      <c r="BP414" s="472"/>
      <c r="BQ414" s="472"/>
      <c r="BR414" s="472"/>
      <c r="BS414" s="472"/>
      <c r="BT414" s="472"/>
      <c r="BU414" s="544">
        <f t="shared" si="246"/>
        <v>0</v>
      </c>
      <c r="BV414" s="556"/>
      <c r="BW414" s="663">
        <f t="shared" si="236"/>
        <v>15</v>
      </c>
      <c r="BX414" s="1047">
        <f t="shared" si="248"/>
        <v>1.5</v>
      </c>
      <c r="BY414" s="1047">
        <f t="shared" si="251"/>
        <v>1</v>
      </c>
      <c r="BZ414" s="1047">
        <f t="shared" si="252"/>
        <v>0</v>
      </c>
      <c r="CA414" s="1047">
        <f t="shared" si="253"/>
        <v>0.5</v>
      </c>
      <c r="CB414" s="1047">
        <f t="shared" si="254"/>
        <v>0</v>
      </c>
      <c r="CD414" t="str">
        <f t="shared" si="255"/>
        <v>VE</v>
      </c>
      <c r="CE414" t="str">
        <f t="shared" si="255"/>
        <v>ROB</v>
      </c>
      <c r="CF414" t="str">
        <f t="shared" si="255"/>
        <v>AMB</v>
      </c>
      <c r="CG414" t="str">
        <f t="shared" si="255"/>
        <v>ROB</v>
      </c>
    </row>
    <row r="415" spans="1:85" ht="58.5" hidden="1" customHeight="1" x14ac:dyDescent="0.25">
      <c r="A415" s="298" t="s">
        <v>1261</v>
      </c>
      <c r="B415" s="299" t="str">
        <f>'PLAN INDICATIVO'!B415</f>
        <v>Justicia y seguridad</v>
      </c>
      <c r="C415" s="1559"/>
      <c r="D415" s="1549"/>
      <c r="E415" s="1549"/>
      <c r="F415" s="1549"/>
      <c r="G415" s="1549"/>
      <c r="H415" s="1549"/>
      <c r="I415" s="300">
        <f>'PLAN INDICATIVO'!I415</f>
        <v>0</v>
      </c>
      <c r="J415" s="300">
        <f>'PLAN INDICATIVO'!J415</f>
        <v>0</v>
      </c>
      <c r="K415" s="1372" t="str">
        <f>'PLAN INDICATIVO'!K415</f>
        <v>A.18.1.7</v>
      </c>
      <c r="L415" s="301" t="str">
        <f>'PLAN INDICATIVO'!L415</f>
        <v>16. Paz, justicia e instituciones sólidas</v>
      </c>
      <c r="M415" s="301" t="str">
        <f>'PLAN INDICATIVO'!M415</f>
        <v>Secretaría de Gobierno</v>
      </c>
      <c r="N415" s="1425" t="str">
        <f>'PLAN INDICATIVO'!N415</f>
        <v>HERNAN RODRIGUEZ FALLA</v>
      </c>
      <c r="O415" s="1425" t="str">
        <f>'PLAN INDICATIVO'!O415</f>
        <v>Mantenimiento</v>
      </c>
      <c r="P415" s="16" t="str">
        <f>'PLAN INDICATIVO'!P415</f>
        <v>Implementar 1 estrategia de apoyo a la fuerza pública y organismos de seguridad cada año</v>
      </c>
      <c r="Q415" s="302" t="str">
        <f>'PLAN INDICATIVO'!Q415</f>
        <v>. De Estrategias implementadas por año</v>
      </c>
      <c r="R415" s="303">
        <f>'PLAN INDICATIVO'!R415</f>
        <v>2015</v>
      </c>
      <c r="S415" s="304">
        <v>1</v>
      </c>
      <c r="T415" s="699">
        <v>1</v>
      </c>
      <c r="U415" s="303">
        <v>0.25</v>
      </c>
      <c r="V415" s="687">
        <v>10000000</v>
      </c>
      <c r="W415" s="303">
        <v>0.25</v>
      </c>
      <c r="X415" s="687">
        <v>10000000</v>
      </c>
      <c r="Y415" s="303">
        <v>0.25</v>
      </c>
      <c r="Z415" s="687">
        <v>10000000</v>
      </c>
      <c r="AA415" s="291">
        <v>0.25</v>
      </c>
      <c r="AB415" s="687">
        <v>10000000</v>
      </c>
      <c r="AC415" s="669">
        <v>0.25</v>
      </c>
      <c r="AD415" s="669">
        <v>0.25</v>
      </c>
      <c r="AE415" s="669">
        <v>0.25</v>
      </c>
      <c r="AF415" s="669"/>
      <c r="AG415" s="341" t="s">
        <v>4355</v>
      </c>
      <c r="AH415" s="991">
        <v>2018413960019</v>
      </c>
      <c r="AI415" s="377" t="s">
        <v>4365</v>
      </c>
      <c r="AJ415" s="850">
        <v>43160</v>
      </c>
      <c r="AK415" s="850">
        <v>43464</v>
      </c>
      <c r="AL415" s="358"/>
      <c r="AM415" s="358"/>
      <c r="AN415" s="267" t="s">
        <v>2598</v>
      </c>
      <c r="AO415" s="512" t="s">
        <v>4364</v>
      </c>
      <c r="AP415" s="525"/>
      <c r="AQ415" s="310"/>
      <c r="AR415" s="310"/>
      <c r="AS415" s="310"/>
      <c r="AT415" s="310"/>
      <c r="AU415" s="310"/>
      <c r="AV415" s="310"/>
      <c r="AW415" s="544"/>
      <c r="AX415" s="525"/>
      <c r="AY415" s="310"/>
      <c r="AZ415" s="310"/>
      <c r="BA415" s="310"/>
      <c r="BB415" s="310"/>
      <c r="BC415" s="310"/>
      <c r="BD415" s="310"/>
      <c r="BE415" s="544">
        <f t="shared" si="244"/>
        <v>0</v>
      </c>
      <c r="BF415" s="525"/>
      <c r="BG415" s="310"/>
      <c r="BH415" s="310"/>
      <c r="BI415" s="310"/>
      <c r="BJ415" s="310"/>
      <c r="BK415" s="310"/>
      <c r="BL415" s="310">
        <v>45000000</v>
      </c>
      <c r="BM415" s="544">
        <f t="shared" si="245"/>
        <v>45000000</v>
      </c>
      <c r="BN415" s="525"/>
      <c r="BO415" s="310"/>
      <c r="BP415" s="310"/>
      <c r="BQ415" s="310"/>
      <c r="BR415" s="310"/>
      <c r="BS415" s="310"/>
      <c r="BT415" s="310"/>
      <c r="BU415" s="544">
        <f t="shared" si="246"/>
        <v>0</v>
      </c>
      <c r="BV415" s="556"/>
      <c r="BW415" s="663">
        <f t="shared" si="236"/>
        <v>0.75</v>
      </c>
      <c r="BX415" s="1047">
        <f t="shared" si="248"/>
        <v>0.75</v>
      </c>
      <c r="BY415" s="1047">
        <f t="shared" si="251"/>
        <v>1</v>
      </c>
      <c r="BZ415" s="1047">
        <f t="shared" si="252"/>
        <v>1</v>
      </c>
      <c r="CA415" s="1047">
        <f t="shared" si="253"/>
        <v>1</v>
      </c>
      <c r="CB415" s="1047">
        <f t="shared" si="254"/>
        <v>0</v>
      </c>
      <c r="CD415" t="str">
        <f t="shared" si="255"/>
        <v>VE</v>
      </c>
      <c r="CE415" t="str">
        <f t="shared" si="255"/>
        <v>VE</v>
      </c>
      <c r="CF415" t="str">
        <f t="shared" si="255"/>
        <v>VE</v>
      </c>
      <c r="CG415" t="str">
        <f t="shared" si="255"/>
        <v>ROB</v>
      </c>
    </row>
    <row r="416" spans="1:85" ht="64.5" hidden="1" customHeight="1" x14ac:dyDescent="0.25">
      <c r="A416" s="298" t="s">
        <v>2458</v>
      </c>
      <c r="B416" s="299" t="str">
        <f>'PLAN INDICATIVO'!B416</f>
        <v>Justicia y seguridad</v>
      </c>
      <c r="C416" s="1559"/>
      <c r="D416" s="1549"/>
      <c r="E416" s="1549"/>
      <c r="F416" s="1549"/>
      <c r="G416" s="1549"/>
      <c r="H416" s="1549"/>
      <c r="I416" s="300">
        <f>'PLAN INDICATIVO'!I416</f>
        <v>0</v>
      </c>
      <c r="J416" s="300">
        <f>'PLAN INDICATIVO'!J416</f>
        <v>0</v>
      </c>
      <c r="K416" s="1372" t="str">
        <f>'PLAN INDICATIVO'!K416</f>
        <v>A.18.1.8</v>
      </c>
      <c r="L416" s="301" t="str">
        <f>'PLAN INDICATIVO'!L416</f>
        <v>16. Paz, justicia e instituciones sólidas</v>
      </c>
      <c r="M416" s="301" t="str">
        <f>'PLAN INDICATIVO'!M416</f>
        <v>Secretaría de Gobierno</v>
      </c>
      <c r="N416" s="1425" t="str">
        <f>'PLAN INDICATIVO'!N416</f>
        <v>HERNAN RODRIGUEZ FALLA</v>
      </c>
      <c r="O416" s="1425" t="str">
        <f>'PLAN INDICATIVO'!O416</f>
        <v>Incremento</v>
      </c>
      <c r="P416" s="1198" t="str">
        <f>'PLAN INDICATIVO'!P416</f>
        <v>Suministrar 8 vehiculos automotores para mejorar dotación de fuerza publica en el cuatrienio</v>
      </c>
      <c r="Q416" s="302" t="str">
        <f>'PLAN INDICATIVO'!Q416</f>
        <v>No. de vehiculos automotores dotados</v>
      </c>
      <c r="R416" s="303">
        <f>'PLAN INDICATIVO'!R416</f>
        <v>2015</v>
      </c>
      <c r="S416" s="304">
        <v>0</v>
      </c>
      <c r="T416" s="1304">
        <v>8</v>
      </c>
      <c r="U416" s="303">
        <v>4</v>
      </c>
      <c r="V416" s="687">
        <v>20000000</v>
      </c>
      <c r="W416" s="17">
        <v>2</v>
      </c>
      <c r="X416" s="687"/>
      <c r="Y416" s="286"/>
      <c r="Z416" s="687"/>
      <c r="AA416" s="291">
        <v>6</v>
      </c>
      <c r="AB416" s="687"/>
      <c r="AC416" s="669">
        <v>0</v>
      </c>
      <c r="AD416" s="669">
        <v>2</v>
      </c>
      <c r="AE416" s="669"/>
      <c r="AF416" s="669"/>
      <c r="AG416" s="341" t="s">
        <v>4355</v>
      </c>
      <c r="AH416" s="991">
        <v>2018413960019</v>
      </c>
      <c r="AI416" s="355"/>
      <c r="AJ416" s="356">
        <v>43221</v>
      </c>
      <c r="AK416" s="356">
        <v>43434</v>
      </c>
      <c r="AL416" s="358"/>
      <c r="AM416" s="358"/>
      <c r="AN416" s="267" t="s">
        <v>2604</v>
      </c>
      <c r="AO416" s="512"/>
      <c r="AP416" s="525"/>
      <c r="AQ416" s="380"/>
      <c r="AR416" s="310"/>
      <c r="AS416" s="310"/>
      <c r="AT416" s="310"/>
      <c r="AU416" s="310"/>
      <c r="AV416" s="310"/>
      <c r="AW416" s="544"/>
      <c r="AX416" s="525"/>
      <c r="AY416" s="380"/>
      <c r="AZ416" s="310"/>
      <c r="BA416" s="310"/>
      <c r="BB416" s="310"/>
      <c r="BC416" s="310"/>
      <c r="BD416" s="310"/>
      <c r="BE416" s="544">
        <f t="shared" si="244"/>
        <v>0</v>
      </c>
      <c r="BF416" s="525"/>
      <c r="BG416" s="380"/>
      <c r="BH416" s="310"/>
      <c r="BI416" s="310"/>
      <c r="BJ416" s="310"/>
      <c r="BK416" s="310"/>
      <c r="BL416" s="310"/>
      <c r="BM416" s="544">
        <f t="shared" si="245"/>
        <v>0</v>
      </c>
      <c r="BN416" s="525"/>
      <c r="BO416" s="380"/>
      <c r="BP416" s="310"/>
      <c r="BQ416" s="310"/>
      <c r="BR416" s="310"/>
      <c r="BS416" s="310"/>
      <c r="BT416" s="310"/>
      <c r="BU416" s="544">
        <f t="shared" si="246"/>
        <v>0</v>
      </c>
      <c r="BV416" s="556"/>
      <c r="BW416" s="663">
        <f t="shared" si="236"/>
        <v>2</v>
      </c>
      <c r="BX416" s="1047">
        <f t="shared" si="248"/>
        <v>0.25</v>
      </c>
      <c r="BY416" s="1047">
        <f t="shared" si="251"/>
        <v>0</v>
      </c>
      <c r="BZ416" s="1047">
        <f t="shared" si="252"/>
        <v>1</v>
      </c>
      <c r="CA416" s="1047" t="str">
        <f t="shared" si="253"/>
        <v>No Programada</v>
      </c>
      <c r="CB416" s="1047">
        <f t="shared" si="254"/>
        <v>0</v>
      </c>
      <c r="CD416" t="str">
        <f t="shared" si="255"/>
        <v>ROB</v>
      </c>
      <c r="CE416" t="str">
        <f t="shared" si="255"/>
        <v>VE</v>
      </c>
      <c r="CF416" t="str">
        <f t="shared" si="255"/>
        <v>NP</v>
      </c>
      <c r="CG416" t="str">
        <f t="shared" si="255"/>
        <v>ROB</v>
      </c>
    </row>
    <row r="417" spans="1:85" ht="72" hidden="1" customHeight="1" x14ac:dyDescent="0.25">
      <c r="A417" s="298" t="s">
        <v>1261</v>
      </c>
      <c r="B417" s="299" t="str">
        <f>'PLAN INDICATIVO'!B417</f>
        <v>Justicia y seguridad</v>
      </c>
      <c r="C417" s="1559"/>
      <c r="D417" s="1549"/>
      <c r="E417" s="1549"/>
      <c r="F417" s="1549"/>
      <c r="G417" s="1549"/>
      <c r="H417" s="1549"/>
      <c r="I417" s="300">
        <f>'PLAN INDICATIVO'!I417</f>
        <v>0</v>
      </c>
      <c r="J417" s="300">
        <f>'PLAN INDICATIVO'!J417</f>
        <v>0</v>
      </c>
      <c r="K417" s="1372" t="str">
        <f>'PLAN INDICATIVO'!K417</f>
        <v>A.18.1.9</v>
      </c>
      <c r="L417" s="301" t="str">
        <f>'PLAN INDICATIVO'!L417</f>
        <v>16. Paz, justicia e instituciones sólidas</v>
      </c>
      <c r="M417" s="301" t="str">
        <f>'PLAN INDICATIVO'!M417</f>
        <v>Secretaría de Gobierno</v>
      </c>
      <c r="N417" s="1425" t="str">
        <f>'PLAN INDICATIVO'!N417</f>
        <v>HERNAN RODRIGUEZ FALLA</v>
      </c>
      <c r="O417" s="1425" t="str">
        <f>'PLAN INDICATIVO'!O417</f>
        <v>Incremento</v>
      </c>
      <c r="P417" s="16" t="str">
        <f>'PLAN INDICATIVO'!P417</f>
        <v>Realizar 1 gestión para la compra del terreno para estación de policía, durante el cuatrienio</v>
      </c>
      <c r="Q417" s="302" t="str">
        <f>'PLAN INDICATIVO'!Q417</f>
        <v>No. De Gestión de compra realizada</v>
      </c>
      <c r="R417" s="303">
        <f>'PLAN INDICATIVO'!R417</f>
        <v>2015</v>
      </c>
      <c r="S417" s="304">
        <v>0</v>
      </c>
      <c r="T417" s="699">
        <v>1</v>
      </c>
      <c r="U417" s="303">
        <v>0</v>
      </c>
      <c r="V417" s="687">
        <v>30000000</v>
      </c>
      <c r="W417" s="303">
        <v>1</v>
      </c>
      <c r="X417" s="687"/>
      <c r="Y417" s="846">
        <v>0</v>
      </c>
      <c r="Z417" s="687"/>
      <c r="AA417" s="291"/>
      <c r="AB417" s="687"/>
      <c r="AC417" s="669">
        <v>0</v>
      </c>
      <c r="AD417" s="669">
        <v>1</v>
      </c>
      <c r="AE417" s="669"/>
      <c r="AF417" s="669"/>
      <c r="AG417" s="341" t="s">
        <v>4355</v>
      </c>
      <c r="AH417" s="991">
        <v>2018413960019</v>
      </c>
      <c r="AI417" s="355"/>
      <c r="AJ417" s="356"/>
      <c r="AK417" s="356"/>
      <c r="AL417" s="358"/>
      <c r="AM417" s="358"/>
      <c r="AN417" s="267" t="s">
        <v>2594</v>
      </c>
      <c r="AO417" s="512"/>
      <c r="AP417" s="525"/>
      <c r="AQ417" s="380"/>
      <c r="AR417" s="310"/>
      <c r="AS417" s="310"/>
      <c r="AT417" s="310"/>
      <c r="AU417" s="310"/>
      <c r="AV417" s="310"/>
      <c r="AW417" s="544"/>
      <c r="AX417" s="525"/>
      <c r="AY417" s="380"/>
      <c r="AZ417" s="310"/>
      <c r="BA417" s="310"/>
      <c r="BB417" s="310"/>
      <c r="BC417" s="310"/>
      <c r="BD417" s="310"/>
      <c r="BE417" s="544">
        <f t="shared" si="244"/>
        <v>0</v>
      </c>
      <c r="BF417" s="525"/>
      <c r="BG417" s="380"/>
      <c r="BH417" s="310"/>
      <c r="BI417" s="310"/>
      <c r="BJ417" s="310"/>
      <c r="BK417" s="310"/>
      <c r="BL417" s="310"/>
      <c r="BM417" s="544">
        <f t="shared" si="245"/>
        <v>0</v>
      </c>
      <c r="BN417" s="525"/>
      <c r="BO417" s="380"/>
      <c r="BP417" s="310"/>
      <c r="BQ417" s="310"/>
      <c r="BR417" s="310"/>
      <c r="BS417" s="310"/>
      <c r="BT417" s="310"/>
      <c r="BU417" s="544">
        <f t="shared" si="246"/>
        <v>0</v>
      </c>
      <c r="BV417" s="556"/>
      <c r="BW417" s="663">
        <f t="shared" si="236"/>
        <v>1</v>
      </c>
      <c r="BX417" s="1047">
        <f t="shared" si="248"/>
        <v>1</v>
      </c>
      <c r="BY417" s="1047" t="str">
        <f t="shared" si="251"/>
        <v>Aplazada</v>
      </c>
      <c r="BZ417" s="1047">
        <f t="shared" si="252"/>
        <v>1</v>
      </c>
      <c r="CA417" s="1047" t="str">
        <f t="shared" si="253"/>
        <v>Aplazada</v>
      </c>
      <c r="CB417" s="1047" t="str">
        <f t="shared" si="254"/>
        <v>No Programada</v>
      </c>
      <c r="CD417" t="str">
        <f t="shared" si="255"/>
        <v>AZ</v>
      </c>
      <c r="CE417" t="str">
        <f t="shared" si="255"/>
        <v>VE</v>
      </c>
      <c r="CF417" t="str">
        <f t="shared" si="255"/>
        <v>AZ</v>
      </c>
      <c r="CG417" t="str">
        <f t="shared" si="255"/>
        <v>NP</v>
      </c>
    </row>
    <row r="418" spans="1:85" ht="69" hidden="1" customHeight="1" x14ac:dyDescent="0.25">
      <c r="A418" s="298" t="s">
        <v>1261</v>
      </c>
      <c r="B418" s="299" t="str">
        <f>'PLAN INDICATIVO'!B418</f>
        <v>Justicia y seguridad</v>
      </c>
      <c r="C418" s="1559"/>
      <c r="D418" s="1549"/>
      <c r="E418" s="1549"/>
      <c r="F418" s="1549"/>
      <c r="G418" s="1549"/>
      <c r="H418" s="1549"/>
      <c r="I418" s="300">
        <f>'PLAN INDICATIVO'!I418</f>
        <v>0</v>
      </c>
      <c r="J418" s="300">
        <f>'PLAN INDICATIVO'!J418</f>
        <v>0</v>
      </c>
      <c r="K418" s="1372" t="str">
        <f>'PLAN INDICATIVO'!K418</f>
        <v>A.18.1.10</v>
      </c>
      <c r="L418" s="301" t="str">
        <f>'PLAN INDICATIVO'!L418</f>
        <v>16. Paz, justicia e instituciones sólidas</v>
      </c>
      <c r="M418" s="301" t="str">
        <f>'PLAN INDICATIVO'!M418</f>
        <v>Secretaría de Gobierno</v>
      </c>
      <c r="N418" s="1425" t="str">
        <f>'PLAN INDICATIVO'!N418</f>
        <v>HERNAN RODRIGUEZ FALLA</v>
      </c>
      <c r="O418" s="1425" t="str">
        <f>'PLAN INDICATIVO'!O418</f>
        <v>Mantenimiento</v>
      </c>
      <c r="P418" s="16" t="str">
        <f>'PLAN INDICATIVO'!P418</f>
        <v>Implementar 1 Plan de atención para comunidades en riesgo de seguridad cada año</v>
      </c>
      <c r="Q418" s="302" t="str">
        <f>'PLAN INDICATIVO'!Q418</f>
        <v>No. De Plan de atención implementado por año</v>
      </c>
      <c r="R418" s="303">
        <f>'PLAN INDICATIVO'!R418</f>
        <v>2015</v>
      </c>
      <c r="S418" s="304">
        <v>0</v>
      </c>
      <c r="T418" s="699">
        <v>1</v>
      </c>
      <c r="U418" s="303">
        <v>0.25</v>
      </c>
      <c r="V418" s="687">
        <v>1000000</v>
      </c>
      <c r="W418" s="303">
        <v>0.25</v>
      </c>
      <c r="X418" s="687">
        <v>5000000</v>
      </c>
      <c r="Y418" s="303">
        <v>0.25</v>
      </c>
      <c r="Z418" s="687">
        <v>5000000</v>
      </c>
      <c r="AA418" s="291">
        <v>0.65</v>
      </c>
      <c r="AB418" s="687">
        <v>5000000</v>
      </c>
      <c r="AC418" s="669"/>
      <c r="AD418" s="669">
        <v>0.25</v>
      </c>
      <c r="AE418" s="669">
        <v>0.1</v>
      </c>
      <c r="AF418" s="669"/>
      <c r="AG418" s="341" t="s">
        <v>4355</v>
      </c>
      <c r="AH418" s="991">
        <v>2018413960019</v>
      </c>
      <c r="AI418" s="355" t="s">
        <v>4366</v>
      </c>
      <c r="AJ418" s="356">
        <v>43221</v>
      </c>
      <c r="AK418" s="356">
        <v>43434</v>
      </c>
      <c r="AL418" s="358"/>
      <c r="AM418" s="358"/>
      <c r="AN418" s="267" t="s">
        <v>2604</v>
      </c>
      <c r="AO418" s="512" t="s">
        <v>4367</v>
      </c>
      <c r="AP418" s="525"/>
      <c r="AQ418" s="310"/>
      <c r="AR418" s="310"/>
      <c r="AS418" s="310"/>
      <c r="AT418" s="310"/>
      <c r="AU418" s="310"/>
      <c r="AV418" s="310"/>
      <c r="AW418" s="544"/>
      <c r="AX418" s="525"/>
      <c r="AY418" s="310"/>
      <c r="AZ418" s="310"/>
      <c r="BA418" s="310"/>
      <c r="BB418" s="310"/>
      <c r="BC418" s="310"/>
      <c r="BD418" s="310"/>
      <c r="BE418" s="544">
        <f t="shared" si="244"/>
        <v>0</v>
      </c>
      <c r="BF418" s="525"/>
      <c r="BG418" s="310"/>
      <c r="BH418" s="310"/>
      <c r="BI418" s="310"/>
      <c r="BJ418" s="310"/>
      <c r="BK418" s="310"/>
      <c r="BL418" s="310">
        <v>30980000</v>
      </c>
      <c r="BM418" s="544">
        <f t="shared" si="245"/>
        <v>30980000</v>
      </c>
      <c r="BN418" s="525"/>
      <c r="BO418" s="310"/>
      <c r="BP418" s="310"/>
      <c r="BQ418" s="310"/>
      <c r="BR418" s="310"/>
      <c r="BS418" s="310"/>
      <c r="BT418" s="310"/>
      <c r="BU418" s="544">
        <f t="shared" si="246"/>
        <v>0</v>
      </c>
      <c r="BV418" s="556"/>
      <c r="BW418" s="663">
        <f t="shared" si="236"/>
        <v>0.35</v>
      </c>
      <c r="BX418" s="1047">
        <f t="shared" si="248"/>
        <v>0.35</v>
      </c>
      <c r="BY418" s="1047">
        <f t="shared" si="251"/>
        <v>0</v>
      </c>
      <c r="BZ418" s="1047">
        <f t="shared" si="252"/>
        <v>1</v>
      </c>
      <c r="CA418" s="1047">
        <f t="shared" si="253"/>
        <v>0.4</v>
      </c>
      <c r="CB418" s="1047">
        <f t="shared" si="254"/>
        <v>0</v>
      </c>
      <c r="CD418" t="str">
        <f t="shared" si="255"/>
        <v>ROB</v>
      </c>
      <c r="CE418" t="str">
        <f t="shared" si="255"/>
        <v>VE</v>
      </c>
      <c r="CF418" t="str">
        <f t="shared" si="255"/>
        <v>RO</v>
      </c>
      <c r="CG418" t="str">
        <f t="shared" si="255"/>
        <v>ROB</v>
      </c>
    </row>
    <row r="419" spans="1:85" ht="74.25" hidden="1" customHeight="1" x14ac:dyDescent="0.25">
      <c r="A419" s="298" t="s">
        <v>1261</v>
      </c>
      <c r="B419" s="299" t="str">
        <f>'PLAN INDICATIVO'!B419</f>
        <v>Justicia y seguridad</v>
      </c>
      <c r="C419" s="1559"/>
      <c r="D419" s="1549"/>
      <c r="E419" s="1549"/>
      <c r="F419" s="1549"/>
      <c r="G419" s="1549"/>
      <c r="H419" s="1549"/>
      <c r="I419" s="300">
        <f>'PLAN INDICATIVO'!I419</f>
        <v>0</v>
      </c>
      <c r="J419" s="300">
        <f>'PLAN INDICATIVO'!J419</f>
        <v>0</v>
      </c>
      <c r="K419" s="1372" t="str">
        <f>'PLAN INDICATIVO'!K419</f>
        <v>A.18.1.11</v>
      </c>
      <c r="L419" s="301" t="str">
        <f>'PLAN INDICATIVO'!L419</f>
        <v>16. Paz, justicia e instituciones sólidas</v>
      </c>
      <c r="M419" s="301" t="str">
        <f>'PLAN INDICATIVO'!M419</f>
        <v>Secretaría de Gobierno</v>
      </c>
      <c r="N419" s="1425" t="str">
        <f>'PLAN INDICATIVO'!N419</f>
        <v>HERNAN RODRIGUEZ FALLA</v>
      </c>
      <c r="O419" s="1425" t="str">
        <f>'PLAN INDICATIVO'!O419</f>
        <v>Mantenimiento</v>
      </c>
      <c r="P419" s="16" t="str">
        <f>'PLAN INDICATIVO'!P419</f>
        <v>Realizar 4 reuniones de alcalde o secretario al barrio, para atender denuncias ciudadanas sobre inseguridad cada año</v>
      </c>
      <c r="Q419" s="302" t="str">
        <f>'PLAN INDICATIVO'!Q419</f>
        <v>No. de reuniones al barrio realizadas por año</v>
      </c>
      <c r="R419" s="303">
        <f>'PLAN INDICATIVO'!R419</f>
        <v>2015</v>
      </c>
      <c r="S419" s="304">
        <v>0</v>
      </c>
      <c r="T419" s="699">
        <v>16</v>
      </c>
      <c r="U419" s="303">
        <v>4</v>
      </c>
      <c r="V419" s="687">
        <v>500000</v>
      </c>
      <c r="W419" s="303">
        <v>4</v>
      </c>
      <c r="X419" s="687">
        <v>500000</v>
      </c>
      <c r="Y419" s="303">
        <v>4</v>
      </c>
      <c r="Z419" s="687">
        <v>1000000</v>
      </c>
      <c r="AA419" s="291">
        <v>4</v>
      </c>
      <c r="AB419" s="687">
        <v>1000000</v>
      </c>
      <c r="AC419" s="669">
        <v>5</v>
      </c>
      <c r="AD419" s="669">
        <v>8</v>
      </c>
      <c r="AE419" s="669">
        <v>4</v>
      </c>
      <c r="AF419" s="669"/>
      <c r="AG419" s="341" t="s">
        <v>4355</v>
      </c>
      <c r="AH419" s="991">
        <v>2018413960019</v>
      </c>
      <c r="AI419" s="355" t="s">
        <v>4368</v>
      </c>
      <c r="AJ419" s="356">
        <v>43101</v>
      </c>
      <c r="AK419" s="356">
        <v>43464</v>
      </c>
      <c r="AL419" s="358"/>
      <c r="AM419" s="358"/>
      <c r="AN419" s="281" t="s">
        <v>2598</v>
      </c>
      <c r="AO419" s="513"/>
      <c r="AP419" s="525"/>
      <c r="AQ419" s="310"/>
      <c r="AR419" s="310"/>
      <c r="AS419" s="310"/>
      <c r="AT419" s="310"/>
      <c r="AU419" s="310"/>
      <c r="AV419" s="310"/>
      <c r="AW419" s="544"/>
      <c r="AX419" s="525"/>
      <c r="AY419" s="310"/>
      <c r="AZ419" s="310"/>
      <c r="BA419" s="310"/>
      <c r="BB419" s="310"/>
      <c r="BC419" s="310"/>
      <c r="BD419" s="310"/>
      <c r="BE419" s="544">
        <f t="shared" si="244"/>
        <v>0</v>
      </c>
      <c r="BF419" s="525"/>
      <c r="BG419" s="310"/>
      <c r="BH419" s="310"/>
      <c r="BI419" s="310"/>
      <c r="BJ419" s="310"/>
      <c r="BK419" s="310"/>
      <c r="BL419" s="310"/>
      <c r="BM419" s="544">
        <f t="shared" si="245"/>
        <v>0</v>
      </c>
      <c r="BN419" s="525"/>
      <c r="BO419" s="310"/>
      <c r="BP419" s="310"/>
      <c r="BQ419" s="310"/>
      <c r="BR419" s="310"/>
      <c r="BS419" s="310"/>
      <c r="BT419" s="310"/>
      <c r="BU419" s="544">
        <f t="shared" si="246"/>
        <v>0</v>
      </c>
      <c r="BV419" s="556"/>
      <c r="BW419" s="663">
        <f t="shared" si="236"/>
        <v>17</v>
      </c>
      <c r="BX419" s="1047">
        <f t="shared" si="248"/>
        <v>1.0625</v>
      </c>
      <c r="BY419" s="1047">
        <f t="shared" si="251"/>
        <v>1.25</v>
      </c>
      <c r="BZ419" s="1047">
        <f t="shared" si="252"/>
        <v>2</v>
      </c>
      <c r="CA419" s="1047">
        <f t="shared" si="253"/>
        <v>1</v>
      </c>
      <c r="CB419" s="1047">
        <f t="shared" si="254"/>
        <v>0</v>
      </c>
      <c r="CD419" t="str">
        <f t="shared" si="255"/>
        <v>VE</v>
      </c>
      <c r="CE419" t="str">
        <f t="shared" si="255"/>
        <v>VE</v>
      </c>
      <c r="CF419" t="str">
        <f t="shared" si="255"/>
        <v>VE</v>
      </c>
      <c r="CG419" t="str">
        <f t="shared" si="255"/>
        <v>ROB</v>
      </c>
    </row>
    <row r="420" spans="1:85" ht="55.5" hidden="1" customHeight="1" x14ac:dyDescent="0.25">
      <c r="A420" s="298" t="s">
        <v>1261</v>
      </c>
      <c r="B420" s="299" t="str">
        <f>'PLAN INDICATIVO'!B420</f>
        <v>Justicia y seguridad</v>
      </c>
      <c r="C420" s="1559"/>
      <c r="D420" s="1549"/>
      <c r="E420" s="1549"/>
      <c r="F420" s="1549"/>
      <c r="G420" s="1549"/>
      <c r="H420" s="1549"/>
      <c r="I420" s="300">
        <f>'PLAN INDICATIVO'!I420</f>
        <v>0</v>
      </c>
      <c r="J420" s="300">
        <f>'PLAN INDICATIVO'!J420</f>
        <v>0</v>
      </c>
      <c r="K420" s="1372" t="str">
        <f>'PLAN INDICATIVO'!K420</f>
        <v>A.18.1.12</v>
      </c>
      <c r="L420" s="301" t="str">
        <f>'PLAN INDICATIVO'!L420</f>
        <v>16. Paz, justicia e instituciones sólidas</v>
      </c>
      <c r="M420" s="301" t="str">
        <f>'PLAN INDICATIVO'!M420</f>
        <v>Secretaría de Gobierno</v>
      </c>
      <c r="N420" s="1425" t="s">
        <v>4360</v>
      </c>
      <c r="O420" s="1425" t="str">
        <f>'PLAN INDICATIVO'!O420</f>
        <v>Incremento</v>
      </c>
      <c r="P420" s="16" t="str">
        <f>'PLAN INDICATIVO'!P420</f>
        <v>Implementar 8 planes desarme durante el cuatrienio</v>
      </c>
      <c r="Q420" s="302" t="str">
        <f>'PLAN INDICATIVO'!Q420</f>
        <v>No. De Planes de desarme implementados</v>
      </c>
      <c r="R420" s="303">
        <f>'PLAN INDICATIVO'!R420</f>
        <v>2015</v>
      </c>
      <c r="S420" s="304">
        <v>0</v>
      </c>
      <c r="T420" s="699">
        <v>8</v>
      </c>
      <c r="U420" s="303">
        <v>2</v>
      </c>
      <c r="V420" s="687">
        <v>5000000</v>
      </c>
      <c r="W420" s="303">
        <v>2</v>
      </c>
      <c r="X420" s="687">
        <v>5000000</v>
      </c>
      <c r="Y420" s="286">
        <v>2</v>
      </c>
      <c r="Z420" s="687">
        <v>8000000</v>
      </c>
      <c r="AA420" s="291">
        <f>T420-BW420</f>
        <v>3</v>
      </c>
      <c r="AB420" s="687">
        <v>8000000</v>
      </c>
      <c r="AC420" s="669">
        <v>2</v>
      </c>
      <c r="AD420" s="669">
        <v>2</v>
      </c>
      <c r="AE420" s="669">
        <v>1</v>
      </c>
      <c r="AF420" s="669"/>
      <c r="AG420" s="341" t="s">
        <v>4355</v>
      </c>
      <c r="AH420" s="991">
        <v>2018413960019</v>
      </c>
      <c r="AI420" s="355" t="s">
        <v>4369</v>
      </c>
      <c r="AJ420" s="363">
        <v>43133</v>
      </c>
      <c r="AK420" s="363">
        <v>43464</v>
      </c>
      <c r="AL420" s="358"/>
      <c r="AM420" s="358"/>
      <c r="AN420" s="281" t="s">
        <v>2604</v>
      </c>
      <c r="AO420" s="513" t="s">
        <v>4370</v>
      </c>
      <c r="AP420" s="525"/>
      <c r="AQ420" s="310"/>
      <c r="AR420" s="310"/>
      <c r="AS420" s="310"/>
      <c r="AT420" s="310"/>
      <c r="AU420" s="310"/>
      <c r="AV420" s="310"/>
      <c r="AW420" s="544"/>
      <c r="AX420" s="525"/>
      <c r="AY420" s="310"/>
      <c r="AZ420" s="310"/>
      <c r="BA420" s="310"/>
      <c r="BB420" s="310"/>
      <c r="BC420" s="310"/>
      <c r="BD420" s="310"/>
      <c r="BE420" s="544">
        <f t="shared" si="244"/>
        <v>0</v>
      </c>
      <c r="BF420" s="525"/>
      <c r="BG420" s="310">
        <v>7797800</v>
      </c>
      <c r="BH420" s="310"/>
      <c r="BI420" s="310"/>
      <c r="BJ420" s="310"/>
      <c r="BK420" s="310"/>
      <c r="BL420" s="310"/>
      <c r="BM420" s="544">
        <f t="shared" si="245"/>
        <v>7797800</v>
      </c>
      <c r="BN420" s="525"/>
      <c r="BO420" s="310"/>
      <c r="BP420" s="310"/>
      <c r="BQ420" s="310"/>
      <c r="BR420" s="310"/>
      <c r="BS420" s="310"/>
      <c r="BT420" s="310"/>
      <c r="BU420" s="544">
        <f t="shared" si="246"/>
        <v>0</v>
      </c>
      <c r="BV420" s="556"/>
      <c r="BW420" s="663">
        <f t="shared" si="236"/>
        <v>5</v>
      </c>
      <c r="BX420" s="1047">
        <f t="shared" si="248"/>
        <v>0.625</v>
      </c>
      <c r="BY420" s="1047">
        <f t="shared" si="251"/>
        <v>1</v>
      </c>
      <c r="BZ420" s="1047">
        <f t="shared" si="252"/>
        <v>1</v>
      </c>
      <c r="CA420" s="1047">
        <f t="shared" si="253"/>
        <v>0.5</v>
      </c>
      <c r="CB420" s="1047">
        <f t="shared" si="254"/>
        <v>0</v>
      </c>
      <c r="CD420" t="str">
        <f t="shared" si="255"/>
        <v>VE</v>
      </c>
      <c r="CE420" t="str">
        <f t="shared" si="255"/>
        <v>VE</v>
      </c>
      <c r="CF420" t="str">
        <f t="shared" si="255"/>
        <v>AMB</v>
      </c>
      <c r="CG420" t="str">
        <f t="shared" si="255"/>
        <v>ROB</v>
      </c>
    </row>
    <row r="421" spans="1:85" ht="37.5" hidden="1" customHeight="1" x14ac:dyDescent="0.25">
      <c r="A421" s="298" t="s">
        <v>1261</v>
      </c>
      <c r="B421" s="299" t="str">
        <f>'PLAN INDICATIVO'!B421</f>
        <v>Justicia y seguridad</v>
      </c>
      <c r="C421" s="1559"/>
      <c r="D421" s="1549"/>
      <c r="E421" s="1549"/>
      <c r="F421" s="1549"/>
      <c r="G421" s="1549"/>
      <c r="H421" s="1549"/>
      <c r="I421" s="300">
        <f>'PLAN INDICATIVO'!I421</f>
        <v>0</v>
      </c>
      <c r="J421" s="300">
        <f>'PLAN INDICATIVO'!J421</f>
        <v>0</v>
      </c>
      <c r="K421" s="1372" t="str">
        <f>'PLAN INDICATIVO'!K421</f>
        <v>A.18.1.13</v>
      </c>
      <c r="L421" s="301" t="str">
        <f>'PLAN INDICATIVO'!L421</f>
        <v>16. Paz, justicia e instituciones sólidas</v>
      </c>
      <c r="M421" s="301" t="str">
        <f>'PLAN INDICATIVO'!M421</f>
        <v>Secretaría de Gobierno</v>
      </c>
      <c r="N421" s="1425" t="str">
        <f>'PLAN INDICATIVO'!N421</f>
        <v>HERNAN RODRIGUEZ FALLA</v>
      </c>
      <c r="O421" s="1425" t="str">
        <f>'PLAN INDICATIVO'!O421</f>
        <v>Incremento</v>
      </c>
      <c r="P421" s="16" t="str">
        <f>'PLAN INDICATIVO'!P421</f>
        <v>Fortalecer 1 línea 123 durante el cuatrienio</v>
      </c>
      <c r="Q421" s="302" t="str">
        <f>'PLAN INDICATIVO'!Q421</f>
        <v>No. De Línea 123 fortalecida</v>
      </c>
      <c r="R421" s="303">
        <f>'PLAN INDICATIVO'!R421</f>
        <v>2015</v>
      </c>
      <c r="S421" s="304">
        <v>0</v>
      </c>
      <c r="T421" s="699">
        <v>1</v>
      </c>
      <c r="U421" s="303">
        <v>1</v>
      </c>
      <c r="V421" s="687">
        <v>6500000</v>
      </c>
      <c r="W421" s="303">
        <v>1</v>
      </c>
      <c r="X421" s="687">
        <v>15000000</v>
      </c>
      <c r="Y421" s="846">
        <v>0</v>
      </c>
      <c r="Z421" s="687"/>
      <c r="AA421" s="291"/>
      <c r="AB421" s="687"/>
      <c r="AC421" s="669"/>
      <c r="AD421" s="669">
        <v>1</v>
      </c>
      <c r="AE421" s="669"/>
      <c r="AF421" s="669"/>
      <c r="AG421" s="341" t="s">
        <v>4355</v>
      </c>
      <c r="AH421" s="991">
        <v>2018413960019</v>
      </c>
      <c r="AI421" s="355"/>
      <c r="AJ421" s="356"/>
      <c r="AK421" s="356"/>
      <c r="AL421" s="358"/>
      <c r="AM421" s="358"/>
      <c r="AN421" s="267" t="s">
        <v>2594</v>
      </c>
      <c r="AO421" s="512"/>
      <c r="AP421" s="525"/>
      <c r="AQ421" s="310"/>
      <c r="AR421" s="310"/>
      <c r="AS421" s="310"/>
      <c r="AT421" s="310"/>
      <c r="AU421" s="310"/>
      <c r="AV421" s="310"/>
      <c r="AW421" s="544"/>
      <c r="AX421" s="525"/>
      <c r="AY421" s="310"/>
      <c r="AZ421" s="310"/>
      <c r="BA421" s="310"/>
      <c r="BB421" s="310"/>
      <c r="BC421" s="310"/>
      <c r="BD421" s="310"/>
      <c r="BE421" s="544">
        <f t="shared" si="244"/>
        <v>0</v>
      </c>
      <c r="BF421" s="525"/>
      <c r="BG421" s="310"/>
      <c r="BH421" s="310"/>
      <c r="BI421" s="310"/>
      <c r="BJ421" s="310"/>
      <c r="BK421" s="310"/>
      <c r="BL421" s="310"/>
      <c r="BM421" s="544">
        <f t="shared" si="245"/>
        <v>0</v>
      </c>
      <c r="BN421" s="525"/>
      <c r="BO421" s="310"/>
      <c r="BP421" s="310"/>
      <c r="BQ421" s="310"/>
      <c r="BR421" s="310"/>
      <c r="BS421" s="310"/>
      <c r="BT421" s="310"/>
      <c r="BU421" s="544">
        <f t="shared" si="246"/>
        <v>0</v>
      </c>
      <c r="BV421" s="556"/>
      <c r="BW421" s="663">
        <f t="shared" si="236"/>
        <v>1</v>
      </c>
      <c r="BX421" s="1047">
        <f t="shared" si="248"/>
        <v>1</v>
      </c>
      <c r="BY421" s="1047">
        <f t="shared" si="251"/>
        <v>0</v>
      </c>
      <c r="BZ421" s="1047">
        <f t="shared" si="252"/>
        <v>1</v>
      </c>
      <c r="CA421" s="1047" t="str">
        <f t="shared" si="253"/>
        <v>Aplazada</v>
      </c>
      <c r="CB421" s="1047" t="str">
        <f t="shared" si="254"/>
        <v>No Programada</v>
      </c>
      <c r="CD421" t="str">
        <f t="shared" si="255"/>
        <v>ROB</v>
      </c>
      <c r="CE421" t="str">
        <f t="shared" si="255"/>
        <v>VE</v>
      </c>
      <c r="CF421" t="str">
        <f t="shared" si="255"/>
        <v>AZ</v>
      </c>
      <c r="CG421" t="str">
        <f t="shared" si="255"/>
        <v>NP</v>
      </c>
    </row>
    <row r="422" spans="1:85" ht="85.5" hidden="1" customHeight="1" x14ac:dyDescent="0.25">
      <c r="A422" s="298" t="s">
        <v>1261</v>
      </c>
      <c r="B422" s="299" t="str">
        <f>'PLAN INDICATIVO'!B422</f>
        <v>Justicia y seguridad</v>
      </c>
      <c r="C422" s="1559"/>
      <c r="D422" s="1549"/>
      <c r="E422" s="1549"/>
      <c r="F422" s="1549"/>
      <c r="G422" s="1549"/>
      <c r="H422" s="1549"/>
      <c r="I422" s="300">
        <f>'PLAN INDICATIVO'!I422</f>
        <v>0</v>
      </c>
      <c r="J422" s="300">
        <f>'PLAN INDICATIVO'!J422</f>
        <v>0</v>
      </c>
      <c r="K422" s="1372" t="str">
        <f>'PLAN INDICATIVO'!K422</f>
        <v>A.18.1.14</v>
      </c>
      <c r="L422" s="301" t="str">
        <f>'PLAN INDICATIVO'!L422</f>
        <v>16. Paz, justicia e instituciones sólidas</v>
      </c>
      <c r="M422" s="301" t="str">
        <f>'PLAN INDICATIVO'!M422</f>
        <v>Secretaría de Gobierno</v>
      </c>
      <c r="N422" s="1425" t="str">
        <f>'PLAN INDICATIVO'!N422</f>
        <v>HERNAN RODRIGUEZ FALLA</v>
      </c>
      <c r="O422" s="1425" t="str">
        <f>'PLAN INDICATIVO'!O422</f>
        <v>Mantenimiento</v>
      </c>
      <c r="P422" s="16" t="str">
        <f>'PLAN INDICATIVO'!P422</f>
        <v>Realizar 1 plan de apoyo para comisarios de familia, médicos, psicólogos y trabajadores sociales de las comisarías de familia, cada año</v>
      </c>
      <c r="Q422" s="302" t="str">
        <f>'PLAN INDICATIVO'!Q422</f>
        <v>No. de planes implementados por año</v>
      </c>
      <c r="R422" s="303">
        <f>'PLAN INDICATIVO'!R422</f>
        <v>2015</v>
      </c>
      <c r="S422" s="304">
        <v>0</v>
      </c>
      <c r="T422" s="699">
        <v>1</v>
      </c>
      <c r="U422" s="934">
        <v>0.25</v>
      </c>
      <c r="V422" s="687">
        <v>54290000</v>
      </c>
      <c r="W422" s="934">
        <v>0.25</v>
      </c>
      <c r="X422" s="687">
        <v>20500000</v>
      </c>
      <c r="Y422" s="934">
        <v>0.25</v>
      </c>
      <c r="Z422" s="687">
        <v>10000000</v>
      </c>
      <c r="AA422" s="1311">
        <v>0.25</v>
      </c>
      <c r="AB422" s="687">
        <v>10000000</v>
      </c>
      <c r="AC422" s="669">
        <v>0.25</v>
      </c>
      <c r="AD422" s="669">
        <v>0.25</v>
      </c>
      <c r="AE422" s="669">
        <v>0.25</v>
      </c>
      <c r="AF422" s="669"/>
      <c r="AG422" s="341" t="s">
        <v>4355</v>
      </c>
      <c r="AH422" s="991">
        <v>2018413960019</v>
      </c>
      <c r="AI422" s="355"/>
      <c r="AJ422" s="359">
        <v>43101</v>
      </c>
      <c r="AK422" s="359">
        <v>43464</v>
      </c>
      <c r="AL422" s="358"/>
      <c r="AM422" s="358"/>
      <c r="AN422" s="267" t="s">
        <v>2598</v>
      </c>
      <c r="AO422" s="512"/>
      <c r="AP422" s="525"/>
      <c r="AQ422" s="310"/>
      <c r="AR422" s="310"/>
      <c r="AS422" s="310"/>
      <c r="AT422" s="310"/>
      <c r="AU422" s="310"/>
      <c r="AV422" s="310"/>
      <c r="AW422" s="544"/>
      <c r="AX422" s="525"/>
      <c r="AY422" s="310"/>
      <c r="AZ422" s="310"/>
      <c r="BA422" s="310"/>
      <c r="BB422" s="310"/>
      <c r="BC422" s="310"/>
      <c r="BD422" s="310"/>
      <c r="BE422" s="544">
        <f t="shared" si="244"/>
        <v>0</v>
      </c>
      <c r="BF422" s="525"/>
      <c r="BG422" s="310"/>
      <c r="BH422" s="310"/>
      <c r="BI422" s="310"/>
      <c r="BJ422" s="310"/>
      <c r="BK422" s="310"/>
      <c r="BL422" s="310"/>
      <c r="BM422" s="544">
        <f t="shared" si="245"/>
        <v>0</v>
      </c>
      <c r="BN422" s="525"/>
      <c r="BO422" s="310"/>
      <c r="BP422" s="310"/>
      <c r="BQ422" s="310"/>
      <c r="BR422" s="310"/>
      <c r="BS422" s="310"/>
      <c r="BT422" s="310"/>
      <c r="BU422" s="544">
        <f t="shared" si="246"/>
        <v>0</v>
      </c>
      <c r="BV422" s="556"/>
      <c r="BW422" s="663">
        <f t="shared" si="236"/>
        <v>0.75</v>
      </c>
      <c r="BX422" s="1047">
        <f t="shared" si="248"/>
        <v>0.75</v>
      </c>
      <c r="BY422" s="1047">
        <f t="shared" si="251"/>
        <v>1</v>
      </c>
      <c r="BZ422" s="1047">
        <f t="shared" si="252"/>
        <v>1</v>
      </c>
      <c r="CA422" s="1047">
        <f t="shared" si="253"/>
        <v>1</v>
      </c>
      <c r="CB422" s="1047">
        <f t="shared" si="254"/>
        <v>0</v>
      </c>
      <c r="CD422" t="str">
        <f t="shared" si="255"/>
        <v>VE</v>
      </c>
      <c r="CE422" t="str">
        <f t="shared" si="255"/>
        <v>VE</v>
      </c>
      <c r="CF422" t="str">
        <f t="shared" si="255"/>
        <v>VE</v>
      </c>
      <c r="CG422" t="str">
        <f t="shared" si="255"/>
        <v>ROB</v>
      </c>
    </row>
    <row r="423" spans="1:85" ht="85.5" hidden="1" customHeight="1" x14ac:dyDescent="0.25">
      <c r="A423" s="298" t="s">
        <v>1261</v>
      </c>
      <c r="B423" s="299" t="str">
        <f>'PLAN INDICATIVO'!B423</f>
        <v>Justicia y seguridad</v>
      </c>
      <c r="C423" s="1559"/>
      <c r="D423" s="1549"/>
      <c r="E423" s="1549"/>
      <c r="F423" s="1425"/>
      <c r="G423" s="1549"/>
      <c r="H423" s="1549"/>
      <c r="I423" s="300">
        <f>'PLAN INDICATIVO'!I423</f>
        <v>0</v>
      </c>
      <c r="J423" s="300">
        <f>'PLAN INDICATIVO'!J423</f>
        <v>0</v>
      </c>
      <c r="K423" s="1378" t="str">
        <f>'PLAN INDICATIVO'!K423</f>
        <v>A.18.1.15</v>
      </c>
      <c r="L423" s="1368" t="str">
        <f>'PLAN INDICATIVO'!L423</f>
        <v>16. Paz, justicia e instituciones sólidas</v>
      </c>
      <c r="M423" s="1368" t="str">
        <f>'PLAN INDICATIVO'!M423</f>
        <v>Secretaría de Gobierno</v>
      </c>
      <c r="N423" s="67" t="str">
        <f>'PLAN INDICATIVO'!N423</f>
        <v>HERNAN RODRIGUEZ FALLA</v>
      </c>
      <c r="O423" s="1378"/>
      <c r="P423" s="1364" t="str">
        <f>'PLAN INDICATIVO'!P423</f>
        <v>Construir una infraestructura para el centro de entrenamiento y reentrenamiento del municipio de La Plata</v>
      </c>
      <c r="Q423" s="1364" t="str">
        <f>'PLAN INDICATIVO'!Q423</f>
        <v>Infraestructura construida</v>
      </c>
      <c r="R423" s="303"/>
      <c r="S423" s="304"/>
      <c r="T423" s="699"/>
      <c r="U423" s="934"/>
      <c r="V423" s="687"/>
      <c r="W423" s="934"/>
      <c r="X423" s="687"/>
      <c r="Y423" s="934"/>
      <c r="Z423" s="687"/>
      <c r="AA423" s="1311"/>
      <c r="AB423" s="687"/>
      <c r="AC423" s="669"/>
      <c r="AD423" s="669"/>
      <c r="AE423" s="669">
        <v>1</v>
      </c>
      <c r="AF423" s="669"/>
      <c r="AG423" s="341"/>
      <c r="AH423" s="991"/>
      <c r="AI423" s="355"/>
      <c r="AJ423" s="359"/>
      <c r="AK423" s="359"/>
      <c r="AL423" s="358"/>
      <c r="AM423" s="358"/>
      <c r="AN423" s="267"/>
      <c r="AO423" s="512"/>
      <c r="AP423" s="525"/>
      <c r="AQ423" s="766"/>
      <c r="AR423" s="766"/>
      <c r="AS423" s="766"/>
      <c r="AT423" s="766"/>
      <c r="AU423" s="766"/>
      <c r="AV423" s="766"/>
      <c r="AW423" s="544"/>
      <c r="AX423" s="525"/>
      <c r="AY423" s="766"/>
      <c r="AZ423" s="766"/>
      <c r="BA423" s="766"/>
      <c r="BB423" s="766"/>
      <c r="BC423" s="766"/>
      <c r="BD423" s="766"/>
      <c r="BE423" s="544"/>
      <c r="BF423" s="525"/>
      <c r="BG423" s="766"/>
      <c r="BH423" s="766"/>
      <c r="BI423" s="766"/>
      <c r="BJ423" s="766"/>
      <c r="BK423" s="766"/>
      <c r="BL423" s="766"/>
      <c r="BM423" s="544"/>
      <c r="BN423" s="525"/>
      <c r="BO423" s="766"/>
      <c r="BP423" s="766"/>
      <c r="BQ423" s="766"/>
      <c r="BR423" s="766"/>
      <c r="BS423" s="766"/>
      <c r="BT423" s="766"/>
      <c r="BU423" s="544"/>
      <c r="BV423" s="556"/>
      <c r="BW423" s="1362"/>
      <c r="BX423" s="1363"/>
      <c r="BY423" s="1363"/>
      <c r="BZ423" s="1363"/>
      <c r="CA423" s="1363"/>
      <c r="CB423" s="1047"/>
    </row>
    <row r="424" spans="1:85" ht="17.25" hidden="1" customHeight="1" x14ac:dyDescent="0.25">
      <c r="A424" s="295"/>
      <c r="B424" s="24" t="str">
        <f>'PLAN INDICATIVO'!B424</f>
        <v>Justicia y seguridad</v>
      </c>
      <c r="C424" s="1574" t="s">
        <v>1307</v>
      </c>
      <c r="D424" s="1575"/>
      <c r="E424" s="1575"/>
      <c r="F424" s="1575"/>
      <c r="G424" s="1575"/>
      <c r="H424" s="1575"/>
      <c r="I424" s="1575"/>
      <c r="J424" s="1575"/>
      <c r="K424" s="1575"/>
      <c r="L424" s="1575"/>
      <c r="M424" s="1575"/>
      <c r="N424" s="1575"/>
      <c r="O424" s="1576"/>
      <c r="P424" s="22"/>
      <c r="Q424" s="22"/>
      <c r="R424" s="1"/>
      <c r="S424" s="261"/>
      <c r="T424" s="681"/>
      <c r="U424" s="261"/>
      <c r="V424" s="689">
        <f>SUM(V425:V437)</f>
        <v>82500000</v>
      </c>
      <c r="W424" s="261"/>
      <c r="X424" s="689">
        <f>SUM(X425:X437)</f>
        <v>97000000</v>
      </c>
      <c r="Y424" s="261"/>
      <c r="Z424" s="689">
        <f>SUM(Z425:Z437)</f>
        <v>72000000</v>
      </c>
      <c r="AA424" s="261"/>
      <c r="AB424" s="689">
        <f>SUM(AB425:AB437)</f>
        <v>72000000</v>
      </c>
      <c r="AC424" s="261"/>
      <c r="AD424" s="261"/>
      <c r="AE424" s="261"/>
      <c r="AF424" s="261"/>
      <c r="AG424" s="273"/>
      <c r="AH424" s="273"/>
      <c r="AI424" s="273"/>
      <c r="AJ424" s="261"/>
      <c r="AK424" s="261"/>
      <c r="AL424" s="261"/>
      <c r="AM424" s="261"/>
      <c r="AN424" s="261"/>
      <c r="AO424" s="635"/>
      <c r="AP424" s="616"/>
      <c r="AQ424" s="616"/>
      <c r="AR424" s="616"/>
      <c r="AS424" s="616"/>
      <c r="AT424" s="616"/>
      <c r="AU424" s="616"/>
      <c r="AV424" s="616"/>
      <c r="AW424" s="617"/>
      <c r="AX424" s="616" t="e">
        <f>(AX425:AX437)</f>
        <v>#VALUE!</v>
      </c>
      <c r="AY424" s="616" t="e">
        <f t="shared" ref="AY424:BD424" si="256">(AY425:AY437)</f>
        <v>#VALUE!</v>
      </c>
      <c r="AZ424" s="616" t="e">
        <f t="shared" si="256"/>
        <v>#VALUE!</v>
      </c>
      <c r="BA424" s="616" t="e">
        <f t="shared" si="256"/>
        <v>#VALUE!</v>
      </c>
      <c r="BB424" s="616" t="e">
        <f t="shared" si="256"/>
        <v>#VALUE!</v>
      </c>
      <c r="BC424" s="616" t="e">
        <f t="shared" si="256"/>
        <v>#VALUE!</v>
      </c>
      <c r="BD424" s="616" t="e">
        <f t="shared" si="256"/>
        <v>#VALUE!</v>
      </c>
      <c r="BE424" s="617" t="e">
        <f t="shared" si="244"/>
        <v>#VALUE!</v>
      </c>
      <c r="BF424" s="616"/>
      <c r="BG424" s="616"/>
      <c r="BH424" s="616"/>
      <c r="BI424" s="616"/>
      <c r="BJ424" s="616"/>
      <c r="BK424" s="616"/>
      <c r="BL424" s="616"/>
      <c r="BM424" s="617">
        <f t="shared" si="245"/>
        <v>0</v>
      </c>
      <c r="BN424" s="616" t="e">
        <f>(BN425:BN437)</f>
        <v>#VALUE!</v>
      </c>
      <c r="BO424" s="616" t="e">
        <f t="shared" ref="BO424:BT424" si="257">(BO425:BO437)</f>
        <v>#VALUE!</v>
      </c>
      <c r="BP424" s="616" t="e">
        <f t="shared" si="257"/>
        <v>#VALUE!</v>
      </c>
      <c r="BQ424" s="616" t="e">
        <f t="shared" si="257"/>
        <v>#VALUE!</v>
      </c>
      <c r="BR424" s="616" t="e">
        <f t="shared" si="257"/>
        <v>#VALUE!</v>
      </c>
      <c r="BS424" s="616" t="e">
        <f t="shared" si="257"/>
        <v>#VALUE!</v>
      </c>
      <c r="BT424" s="616" t="e">
        <f t="shared" si="257"/>
        <v>#VALUE!</v>
      </c>
      <c r="BU424" s="617" t="e">
        <f t="shared" si="246"/>
        <v>#VALUE!</v>
      </c>
      <c r="BV424" s="556"/>
      <c r="BW424" s="617" t="s">
        <v>2717</v>
      </c>
      <c r="BX424" s="617" t="s">
        <v>2717</v>
      </c>
      <c r="BY424" s="617" t="s">
        <v>2717</v>
      </c>
      <c r="BZ424" s="617" t="s">
        <v>2717</v>
      </c>
      <c r="CA424" s="617" t="s">
        <v>2717</v>
      </c>
      <c r="CB424" s="1047" t="s">
        <v>2717</v>
      </c>
    </row>
    <row r="425" spans="1:85" ht="118.5" hidden="1" customHeight="1" x14ac:dyDescent="0.25">
      <c r="A425" s="298" t="s">
        <v>1261</v>
      </c>
      <c r="B425" s="299" t="str">
        <f>'PLAN INDICATIVO'!B425</f>
        <v>Justicia y seguridad</v>
      </c>
      <c r="C425" s="1546" t="s">
        <v>1308</v>
      </c>
      <c r="D425" s="1549" t="s">
        <v>1309</v>
      </c>
      <c r="E425" s="1549" t="s">
        <v>1310</v>
      </c>
      <c r="F425" s="1549">
        <v>2015</v>
      </c>
      <c r="G425" s="1549" t="s">
        <v>1311</v>
      </c>
      <c r="H425" s="1549">
        <v>270</v>
      </c>
      <c r="I425" s="300">
        <f>'PLAN INDICATIVO'!I425</f>
        <v>0</v>
      </c>
      <c r="J425" s="300">
        <f>'PLAN INDICATIVO'!J425</f>
        <v>0</v>
      </c>
      <c r="K425" s="1425" t="str">
        <f>'PLAN INDICATIVO'!K425</f>
        <v>A.18.2.1</v>
      </c>
      <c r="L425" s="301" t="str">
        <f>'PLAN INDICATIVO'!L425</f>
        <v>16. Paz, justicia e instituciones sólidas</v>
      </c>
      <c r="M425" s="301" t="str">
        <f>'PLAN INDICATIVO'!M425</f>
        <v>Secretaría de Gobierno</v>
      </c>
      <c r="N425" s="1425" t="str">
        <f>'PLAN INDICATIVO'!N425</f>
        <v>HERNAN RODRIGUEZ FALLA</v>
      </c>
      <c r="O425" s="1425" t="str">
        <f>'PLAN INDICATIVO'!O425</f>
        <v>Incremento</v>
      </c>
      <c r="P425" s="25" t="str">
        <f>'PLAN INDICATIVO'!P425</f>
        <v>Instalar 10 nuevas cámaras de seguridad y lograr su funcionamiento durante el cuatrienio</v>
      </c>
      <c r="Q425" s="302" t="str">
        <f>'PLAN INDICATIVO'!Q425</f>
        <v>No. de cámaras instaladas</v>
      </c>
      <c r="R425" s="303">
        <f>'PLAN INDICATIVO'!R425</f>
        <v>2015</v>
      </c>
      <c r="S425" s="304">
        <v>0</v>
      </c>
      <c r="T425" s="699">
        <v>10</v>
      </c>
      <c r="U425" s="303">
        <v>6</v>
      </c>
      <c r="V425" s="687">
        <v>5000000</v>
      </c>
      <c r="W425" s="17">
        <v>0</v>
      </c>
      <c r="X425" s="687">
        <v>6000000</v>
      </c>
      <c r="Y425" s="17"/>
      <c r="Z425" s="687">
        <v>1000000</v>
      </c>
      <c r="AA425" s="291">
        <v>10</v>
      </c>
      <c r="AB425" s="687"/>
      <c r="AC425" s="669">
        <v>0</v>
      </c>
      <c r="AD425" s="669">
        <v>0</v>
      </c>
      <c r="AE425" s="669"/>
      <c r="AF425" s="669"/>
      <c r="AG425" s="341" t="s">
        <v>4355</v>
      </c>
      <c r="AH425" s="991">
        <v>2018413960019</v>
      </c>
      <c r="AI425" s="355" t="s">
        <v>4371</v>
      </c>
      <c r="AJ425" s="356">
        <v>43160</v>
      </c>
      <c r="AK425" s="356">
        <v>43464</v>
      </c>
      <c r="AL425" s="358"/>
      <c r="AM425" s="358"/>
      <c r="AN425" s="267" t="s">
        <v>2594</v>
      </c>
      <c r="AO425" s="512"/>
      <c r="AP425" s="525"/>
      <c r="AQ425" s="310"/>
      <c r="AR425" s="310"/>
      <c r="AS425" s="310"/>
      <c r="AT425" s="310"/>
      <c r="AU425" s="310"/>
      <c r="AV425" s="310"/>
      <c r="AW425" s="544"/>
      <c r="AX425" s="525"/>
      <c r="AY425" s="310"/>
      <c r="AZ425" s="310"/>
      <c r="BA425" s="310"/>
      <c r="BB425" s="310"/>
      <c r="BC425" s="310"/>
      <c r="BD425" s="310"/>
      <c r="BE425" s="544">
        <f t="shared" si="244"/>
        <v>0</v>
      </c>
      <c r="BF425" s="525"/>
      <c r="BG425" s="310"/>
      <c r="BH425" s="310"/>
      <c r="BI425" s="310"/>
      <c r="BJ425" s="310"/>
      <c r="BK425" s="310"/>
      <c r="BL425" s="310"/>
      <c r="BM425" s="544">
        <f t="shared" si="245"/>
        <v>0</v>
      </c>
      <c r="BN425" s="525"/>
      <c r="BO425" s="310"/>
      <c r="BP425" s="310"/>
      <c r="BQ425" s="310"/>
      <c r="BR425" s="310"/>
      <c r="BS425" s="310"/>
      <c r="BT425" s="310"/>
      <c r="BU425" s="544">
        <f t="shared" si="246"/>
        <v>0</v>
      </c>
      <c r="BV425" s="556"/>
      <c r="BW425" s="663">
        <f t="shared" si="236"/>
        <v>0</v>
      </c>
      <c r="BX425" s="1047">
        <f t="shared" si="248"/>
        <v>0</v>
      </c>
      <c r="BY425" s="1047">
        <f t="shared" ref="BY425:BY437" si="258">IF(U425&gt;=0.1,AC425/U425,IF(ISBLANK(U425),"No Programada","Aplazada"))</f>
        <v>0</v>
      </c>
      <c r="BZ425" s="1047" t="str">
        <f t="shared" ref="BZ425:BZ437" si="259">IF(W425&gt;=0.1,AD425/W425,IF(ISBLANK(W425),"No Programada","Aplazada"))</f>
        <v>Aplazada</v>
      </c>
      <c r="CA425" s="1047" t="str">
        <f t="shared" ref="CA425:CA437" si="260">IF(Y425&gt;=0.1,AE425/Y425,IF(ISBLANK(Y425),"No Programada","Aplazada"))</f>
        <v>No Programada</v>
      </c>
      <c r="CB425" s="1047">
        <f t="shared" ref="CB425:CB437" si="261">IF(AA425&gt;=0.1,AF425/AA425,IF(ISBLANK(AA425),"No Programada","Aplazada"))</f>
        <v>0</v>
      </c>
      <c r="CD425" t="str">
        <f t="shared" ref="CD425:CG437" si="262">IF(BY425="PARA MODIFICAR","M",IF(BY425="PARA ELIMINAR","E",IF(BY425="aplazada","AZ",IF(BY425="no programada","NP",IF(BY425&gt;=85%,"VE",IF(BY425&gt;70%,"VEB",IF(BY425&gt;60%,"AM",IF(BY425&gt;40%,"AMB",IF(BY425&gt;20%,"RO",IF(BY425&gt;=0%,"ROB",""))))))))))</f>
        <v>ROB</v>
      </c>
      <c r="CE425" t="str">
        <f t="shared" si="262"/>
        <v>AZ</v>
      </c>
      <c r="CF425" t="str">
        <f t="shared" si="262"/>
        <v>NP</v>
      </c>
      <c r="CG425" t="str">
        <f t="shared" si="262"/>
        <v>ROB</v>
      </c>
    </row>
    <row r="426" spans="1:85" ht="76.5" hidden="1" customHeight="1" x14ac:dyDescent="0.25">
      <c r="A426" s="298" t="s">
        <v>1261</v>
      </c>
      <c r="B426" s="299" t="str">
        <f>'PLAN INDICATIVO'!B426</f>
        <v>Justicia y seguridad</v>
      </c>
      <c r="C426" s="1547"/>
      <c r="D426" s="1549"/>
      <c r="E426" s="1549"/>
      <c r="F426" s="1549"/>
      <c r="G426" s="1549"/>
      <c r="H426" s="1549"/>
      <c r="I426" s="300">
        <f>'PLAN INDICATIVO'!I426</f>
        <v>0</v>
      </c>
      <c r="J426" s="300">
        <f>'PLAN INDICATIVO'!J426</f>
        <v>0</v>
      </c>
      <c r="K426" s="1425" t="str">
        <f>'PLAN INDICATIVO'!K426</f>
        <v>A.18.2.2</v>
      </c>
      <c r="L426" s="301" t="str">
        <f>'PLAN INDICATIVO'!L426</f>
        <v>16. Paz, justicia e instituciones sólidas</v>
      </c>
      <c r="M426" s="301" t="str">
        <f>'PLAN INDICATIVO'!M426</f>
        <v>Secretaría de Gobierno</v>
      </c>
      <c r="N426" s="1425" t="str">
        <f>'PLAN INDICATIVO'!N426</f>
        <v>HERNAN RODRIGUEZ FALLA</v>
      </c>
      <c r="O426" s="1425" t="str">
        <f>'PLAN INDICATIVO'!O426</f>
        <v>Mantenimiento</v>
      </c>
      <c r="P426" s="25" t="str">
        <f>'PLAN INDICATIVO'!P426</f>
        <v xml:space="preserve">Implementar 1 plan de mantenimiento anual a las cámaras de seguridad existentes en el municipio, durante el cuatrienio. </v>
      </c>
      <c r="Q426" s="302" t="str">
        <f>'PLAN INDICATIVO'!Q426</f>
        <v>No. de planes de mantenimiento de cámaras de seguridad implementados</v>
      </c>
      <c r="R426" s="303">
        <f>'PLAN INDICATIVO'!R426</f>
        <v>2015</v>
      </c>
      <c r="S426" s="304">
        <v>1</v>
      </c>
      <c r="T426" s="699">
        <v>1</v>
      </c>
      <c r="U426" s="303">
        <v>0.25</v>
      </c>
      <c r="V426" s="687">
        <v>5000000</v>
      </c>
      <c r="W426" s="303">
        <v>0</v>
      </c>
      <c r="X426" s="687">
        <v>1000000</v>
      </c>
      <c r="Y426" s="303">
        <v>0.25</v>
      </c>
      <c r="Z426" s="687">
        <v>1000000</v>
      </c>
      <c r="AA426" s="291">
        <v>0.3</v>
      </c>
      <c r="AB426" s="687">
        <v>1000000</v>
      </c>
      <c r="AC426" s="669">
        <v>0.25</v>
      </c>
      <c r="AD426" s="669">
        <v>0.05</v>
      </c>
      <c r="AE426" s="669">
        <v>0.2</v>
      </c>
      <c r="AF426" s="669"/>
      <c r="AG426" s="341" t="s">
        <v>4355</v>
      </c>
      <c r="AH426" s="991">
        <v>2018413960019</v>
      </c>
      <c r="AI426" s="355" t="s">
        <v>4372</v>
      </c>
      <c r="AJ426" s="356">
        <v>43160</v>
      </c>
      <c r="AK426" s="356">
        <v>43464</v>
      </c>
      <c r="AL426" s="358"/>
      <c r="AM426" s="358"/>
      <c r="AN426" s="267" t="s">
        <v>2604</v>
      </c>
      <c r="AO426" s="512"/>
      <c r="AP426" s="525"/>
      <c r="AQ426" s="310"/>
      <c r="AR426" s="310"/>
      <c r="AS426" s="310"/>
      <c r="AT426" s="310"/>
      <c r="AU426" s="310"/>
      <c r="AV426" s="310"/>
      <c r="AW426" s="544"/>
      <c r="AX426" s="525"/>
      <c r="AY426" s="310"/>
      <c r="AZ426" s="310"/>
      <c r="BA426" s="310"/>
      <c r="BB426" s="310"/>
      <c r="BC426" s="310"/>
      <c r="BD426" s="310"/>
      <c r="BE426" s="544">
        <f t="shared" si="244"/>
        <v>0</v>
      </c>
      <c r="BF426" s="525"/>
      <c r="BG426" s="310"/>
      <c r="BH426" s="310"/>
      <c r="BI426" s="310"/>
      <c r="BJ426" s="310"/>
      <c r="BK426" s="310"/>
      <c r="BL426" s="310"/>
      <c r="BM426" s="544">
        <f t="shared" si="245"/>
        <v>0</v>
      </c>
      <c r="BN426" s="525"/>
      <c r="BO426" s="310"/>
      <c r="BP426" s="310"/>
      <c r="BQ426" s="310"/>
      <c r="BR426" s="310"/>
      <c r="BS426" s="310"/>
      <c r="BT426" s="310"/>
      <c r="BU426" s="544">
        <f t="shared" si="246"/>
        <v>0</v>
      </c>
      <c r="BV426" s="556"/>
      <c r="BW426" s="663">
        <f t="shared" si="236"/>
        <v>0.5</v>
      </c>
      <c r="BX426" s="1047">
        <f t="shared" si="248"/>
        <v>0.5</v>
      </c>
      <c r="BY426" s="1047">
        <f t="shared" si="258"/>
        <v>1</v>
      </c>
      <c r="BZ426" s="1047" t="str">
        <f t="shared" si="259"/>
        <v>Aplazada</v>
      </c>
      <c r="CA426" s="1047">
        <f t="shared" si="260"/>
        <v>0.8</v>
      </c>
      <c r="CB426" s="1047">
        <f t="shared" si="261"/>
        <v>0</v>
      </c>
      <c r="CD426" t="str">
        <f t="shared" si="262"/>
        <v>VE</v>
      </c>
      <c r="CE426" t="str">
        <f t="shared" si="262"/>
        <v>AZ</v>
      </c>
      <c r="CF426" t="str">
        <f t="shared" si="262"/>
        <v>VEB</v>
      </c>
      <c r="CG426" t="str">
        <f t="shared" si="262"/>
        <v>ROB</v>
      </c>
    </row>
    <row r="427" spans="1:85" ht="75.75" hidden="1" customHeight="1" x14ac:dyDescent="0.25">
      <c r="A427" s="298" t="s">
        <v>1261</v>
      </c>
      <c r="B427" s="299" t="str">
        <f>'PLAN INDICATIVO'!B427</f>
        <v>Justicia y seguridad</v>
      </c>
      <c r="C427" s="1547"/>
      <c r="D427" s="1549"/>
      <c r="E427" s="1549"/>
      <c r="F427" s="1549"/>
      <c r="G427" s="1549"/>
      <c r="H427" s="1549"/>
      <c r="I427" s="300">
        <f>'PLAN INDICATIVO'!I427</f>
        <v>0</v>
      </c>
      <c r="J427" s="300">
        <f>'PLAN INDICATIVO'!J427</f>
        <v>0</v>
      </c>
      <c r="K427" s="1425" t="str">
        <f>'PLAN INDICATIVO'!K427</f>
        <v>A.18.2.3</v>
      </c>
      <c r="L427" s="301" t="str">
        <f>'PLAN INDICATIVO'!L427</f>
        <v>16. Paz, justicia e instituciones sólidas</v>
      </c>
      <c r="M427" s="301" t="str">
        <f>'PLAN INDICATIVO'!M427</f>
        <v>Secretaría de Gobierno</v>
      </c>
      <c r="N427" s="1425" t="s">
        <v>4360</v>
      </c>
      <c r="O427" s="1425" t="str">
        <f>'PLAN INDICATIVO'!O427</f>
        <v>Mantenimiento</v>
      </c>
      <c r="P427" s="16" t="str">
        <f>'PLAN INDICATIVO'!P427</f>
        <v>Implementar 1 programa al año que promueva la garantía de los derechos humanos</v>
      </c>
      <c r="Q427" s="302" t="str">
        <f>'PLAN INDICATIVO'!Q427</f>
        <v>No. De Programas implementados por año</v>
      </c>
      <c r="R427" s="303">
        <f>'PLAN INDICATIVO'!R427</f>
        <v>2015</v>
      </c>
      <c r="S427" s="304">
        <v>0</v>
      </c>
      <c r="T427" s="699">
        <v>1</v>
      </c>
      <c r="U427" s="303">
        <v>1</v>
      </c>
      <c r="V427" s="687">
        <v>15000000</v>
      </c>
      <c r="W427" s="303">
        <v>1</v>
      </c>
      <c r="X427" s="687">
        <v>4000000</v>
      </c>
      <c r="Y427" s="286">
        <v>1</v>
      </c>
      <c r="Z427" s="687">
        <v>4000000</v>
      </c>
      <c r="AA427" s="291"/>
      <c r="AB427" s="687">
        <v>4000000</v>
      </c>
      <c r="AC427" s="669">
        <v>1</v>
      </c>
      <c r="AD427" s="669">
        <v>1</v>
      </c>
      <c r="AE427" s="669">
        <v>1</v>
      </c>
      <c r="AF427" s="669"/>
      <c r="AG427" s="341" t="s">
        <v>4355</v>
      </c>
      <c r="AH427" s="991">
        <v>2018413960019</v>
      </c>
      <c r="AI427" s="355" t="s">
        <v>4373</v>
      </c>
      <c r="AJ427" s="363">
        <v>43159</v>
      </c>
      <c r="AK427" s="363">
        <v>43464</v>
      </c>
      <c r="AL427" s="358"/>
      <c r="AM427" s="358"/>
      <c r="AN427" s="281" t="s">
        <v>2598</v>
      </c>
      <c r="AO427" s="512" t="s">
        <v>4370</v>
      </c>
      <c r="AP427" s="525"/>
      <c r="AQ427" s="310"/>
      <c r="AR427" s="310"/>
      <c r="AS427" s="310"/>
      <c r="AT427" s="310"/>
      <c r="AU427" s="310"/>
      <c r="AV427" s="310"/>
      <c r="AW427" s="544"/>
      <c r="AX427" s="525"/>
      <c r="AY427" s="310"/>
      <c r="AZ427" s="310"/>
      <c r="BA427" s="310"/>
      <c r="BB427" s="310"/>
      <c r="BC427" s="310"/>
      <c r="BD427" s="310"/>
      <c r="BE427" s="544">
        <f t="shared" si="244"/>
        <v>0</v>
      </c>
      <c r="BF427" s="525"/>
      <c r="BG427" s="310">
        <v>23000000</v>
      </c>
      <c r="BH427" s="310"/>
      <c r="BI427" s="310"/>
      <c r="BJ427" s="310"/>
      <c r="BK427" s="310"/>
      <c r="BL427" s="310"/>
      <c r="BM427" s="544">
        <f t="shared" si="245"/>
        <v>23000000</v>
      </c>
      <c r="BN427" s="525"/>
      <c r="BO427" s="310"/>
      <c r="BP427" s="310"/>
      <c r="BQ427" s="310"/>
      <c r="BR427" s="310"/>
      <c r="BS427" s="310"/>
      <c r="BT427" s="310"/>
      <c r="BU427" s="544">
        <f t="shared" si="246"/>
        <v>0</v>
      </c>
      <c r="BV427" s="556"/>
      <c r="BW427" s="663">
        <f t="shared" si="236"/>
        <v>3</v>
      </c>
      <c r="BX427" s="1047">
        <f t="shared" si="248"/>
        <v>3</v>
      </c>
      <c r="BY427" s="1047">
        <f t="shared" si="258"/>
        <v>1</v>
      </c>
      <c r="BZ427" s="1047">
        <f t="shared" si="259"/>
        <v>1</v>
      </c>
      <c r="CA427" s="1047">
        <f t="shared" si="260"/>
        <v>1</v>
      </c>
      <c r="CB427" s="1047" t="str">
        <f t="shared" si="261"/>
        <v>No Programada</v>
      </c>
      <c r="CD427" t="str">
        <f t="shared" si="262"/>
        <v>VE</v>
      </c>
      <c r="CE427" t="str">
        <f t="shared" si="262"/>
        <v>VE</v>
      </c>
      <c r="CF427" t="str">
        <f t="shared" si="262"/>
        <v>VE</v>
      </c>
      <c r="CG427" t="str">
        <f t="shared" si="262"/>
        <v>NP</v>
      </c>
    </row>
    <row r="428" spans="1:85" ht="78" hidden="1" customHeight="1" x14ac:dyDescent="0.25">
      <c r="A428" s="298" t="s">
        <v>1261</v>
      </c>
      <c r="B428" s="299" t="str">
        <f>'PLAN INDICATIVO'!B428</f>
        <v>Justicia y seguridad</v>
      </c>
      <c r="C428" s="1547"/>
      <c r="D428" s="1549"/>
      <c r="E428" s="1549"/>
      <c r="F428" s="1549"/>
      <c r="G428" s="1549"/>
      <c r="H428" s="1549"/>
      <c r="I428" s="300">
        <f>'PLAN INDICATIVO'!I428</f>
        <v>0</v>
      </c>
      <c r="J428" s="300">
        <f>'PLAN INDICATIVO'!J428</f>
        <v>0</v>
      </c>
      <c r="K428" s="1425" t="str">
        <f>'PLAN INDICATIVO'!K428</f>
        <v>A.18.2.4</v>
      </c>
      <c r="L428" s="301" t="str">
        <f>'PLAN INDICATIVO'!L428</f>
        <v>16. Paz, justicia e instituciones sólidas</v>
      </c>
      <c r="M428" s="301" t="str">
        <f>'PLAN INDICATIVO'!M428</f>
        <v>Secretaría de Gobierno</v>
      </c>
      <c r="N428" s="1425" t="s">
        <v>2736</v>
      </c>
      <c r="O428" s="1425" t="str">
        <f>'PLAN INDICATIVO'!O428</f>
        <v>Mantenimiento</v>
      </c>
      <c r="P428" s="16" t="str">
        <f>'PLAN INDICATIVO'!P428</f>
        <v>Realizar 1 campaña anual para prevención de violencia intrafamiliar, de género y maltrato infantil</v>
      </c>
      <c r="Q428" s="302" t="str">
        <f>'PLAN INDICATIVO'!Q428</f>
        <v>No. de Campaña implementada por año</v>
      </c>
      <c r="R428" s="303">
        <f>'PLAN INDICATIVO'!R428</f>
        <v>2015</v>
      </c>
      <c r="S428" s="304">
        <v>1</v>
      </c>
      <c r="T428" s="699">
        <v>1</v>
      </c>
      <c r="U428" s="303">
        <v>1</v>
      </c>
      <c r="V428" s="687">
        <v>15000000</v>
      </c>
      <c r="W428" s="303">
        <v>1</v>
      </c>
      <c r="X428" s="687">
        <v>6000000</v>
      </c>
      <c r="Y428" s="286">
        <v>1</v>
      </c>
      <c r="Z428" s="687">
        <v>6000000</v>
      </c>
      <c r="AA428" s="291">
        <v>1</v>
      </c>
      <c r="AB428" s="687">
        <v>6000000</v>
      </c>
      <c r="AC428" s="669">
        <v>1</v>
      </c>
      <c r="AD428" s="669">
        <v>1</v>
      </c>
      <c r="AE428" s="669">
        <v>1</v>
      </c>
      <c r="AF428" s="669"/>
      <c r="AG428" s="343" t="s">
        <v>3859</v>
      </c>
      <c r="AH428" s="341">
        <v>2017413960045</v>
      </c>
      <c r="AI428" s="985" t="s">
        <v>5020</v>
      </c>
      <c r="AJ428" s="363">
        <v>43133</v>
      </c>
      <c r="AK428" s="363">
        <v>43464</v>
      </c>
      <c r="AL428" s="358"/>
      <c r="AM428" s="358"/>
      <c r="AN428" s="267" t="s">
        <v>2598</v>
      </c>
      <c r="AO428" s="903" t="s">
        <v>5041</v>
      </c>
      <c r="AP428" s="525"/>
      <c r="AQ428" s="310"/>
      <c r="AR428" s="310"/>
      <c r="AS428" s="310"/>
      <c r="AT428" s="310"/>
      <c r="AU428" s="310"/>
      <c r="AV428" s="310"/>
      <c r="AW428" s="544">
        <f>SUM(AP428:AV428)</f>
        <v>0</v>
      </c>
      <c r="AX428" s="525"/>
      <c r="AY428" s="310"/>
      <c r="AZ428" s="310"/>
      <c r="BA428" s="310"/>
      <c r="BB428" s="310"/>
      <c r="BC428" s="310"/>
      <c r="BD428" s="310"/>
      <c r="BE428" s="544">
        <f t="shared" si="244"/>
        <v>0</v>
      </c>
      <c r="BF428" s="525">
        <v>2778750</v>
      </c>
      <c r="BG428" s="310">
        <v>2730000</v>
      </c>
      <c r="BH428" s="310"/>
      <c r="BI428" s="310"/>
      <c r="BJ428" s="310"/>
      <c r="BK428" s="310"/>
      <c r="BL428" s="310"/>
      <c r="BM428" s="544">
        <f t="shared" si="245"/>
        <v>5508750</v>
      </c>
      <c r="BN428" s="525"/>
      <c r="BO428" s="310"/>
      <c r="BP428" s="310"/>
      <c r="BQ428" s="310"/>
      <c r="BR428" s="310"/>
      <c r="BS428" s="310"/>
      <c r="BT428" s="310"/>
      <c r="BU428" s="544">
        <f t="shared" si="246"/>
        <v>0</v>
      </c>
      <c r="BV428" s="556"/>
      <c r="BW428" s="663">
        <f t="shared" si="236"/>
        <v>3</v>
      </c>
      <c r="BX428" s="1047">
        <f t="shared" si="248"/>
        <v>3</v>
      </c>
      <c r="BY428" s="1047">
        <f t="shared" si="258"/>
        <v>1</v>
      </c>
      <c r="BZ428" s="1047">
        <f t="shared" si="259"/>
        <v>1</v>
      </c>
      <c r="CA428" s="1047">
        <f t="shared" si="260"/>
        <v>1</v>
      </c>
      <c r="CB428" s="1047">
        <f t="shared" si="261"/>
        <v>0</v>
      </c>
      <c r="CD428" t="str">
        <f t="shared" si="262"/>
        <v>VE</v>
      </c>
      <c r="CE428" t="str">
        <f t="shared" si="262"/>
        <v>VE</v>
      </c>
      <c r="CF428" t="str">
        <f t="shared" si="262"/>
        <v>VE</v>
      </c>
      <c r="CG428" t="str">
        <f t="shared" si="262"/>
        <v>ROB</v>
      </c>
    </row>
    <row r="429" spans="1:85" ht="72.75" hidden="1" customHeight="1" x14ac:dyDescent="0.25">
      <c r="A429" s="298" t="s">
        <v>1261</v>
      </c>
      <c r="B429" s="299" t="str">
        <f>'PLAN INDICATIVO'!B429</f>
        <v>Justicia y seguridad</v>
      </c>
      <c r="C429" s="1547"/>
      <c r="D429" s="1549"/>
      <c r="E429" s="1549"/>
      <c r="F429" s="1549"/>
      <c r="G429" s="1549"/>
      <c r="H429" s="1549"/>
      <c r="I429" s="300">
        <f>'PLAN INDICATIVO'!I429</f>
        <v>0</v>
      </c>
      <c r="J429" s="300">
        <f>'PLAN INDICATIVO'!J429</f>
        <v>0</v>
      </c>
      <c r="K429" s="1425" t="str">
        <f>'PLAN INDICATIVO'!K429</f>
        <v>A.18.2.5</v>
      </c>
      <c r="L429" s="301" t="str">
        <f>'PLAN INDICATIVO'!L429</f>
        <v>16. Paz, justicia e instituciones sólidas</v>
      </c>
      <c r="M429" s="301" t="str">
        <f>'PLAN INDICATIVO'!M429</f>
        <v>Secretaría de Gobierno</v>
      </c>
      <c r="N429" s="1425" t="s">
        <v>2736</v>
      </c>
      <c r="O429" s="1425" t="str">
        <f>'PLAN INDICATIVO'!O429</f>
        <v>Mantenimiento</v>
      </c>
      <c r="P429" s="71" t="str">
        <f>'PLAN INDICATIVO'!P429</f>
        <v>Realizar 1 dotación a la casa de la justicia para mejorar prestación de servicios cada año</v>
      </c>
      <c r="Q429" s="302" t="str">
        <f>'PLAN INDICATIVO'!Q429</f>
        <v>No. De Casa de la Justicia dotada por año</v>
      </c>
      <c r="R429" s="303">
        <f>'PLAN INDICATIVO'!R429</f>
        <v>2015</v>
      </c>
      <c r="S429" s="304">
        <v>0</v>
      </c>
      <c r="T429" s="699">
        <v>1</v>
      </c>
      <c r="U429" s="303">
        <v>1</v>
      </c>
      <c r="V429" s="687">
        <v>6000000</v>
      </c>
      <c r="W429" s="303">
        <v>1</v>
      </c>
      <c r="X429" s="687">
        <v>6000000</v>
      </c>
      <c r="Y429" s="303"/>
      <c r="Z429" s="687">
        <v>1000000</v>
      </c>
      <c r="AA429" s="291">
        <v>1</v>
      </c>
      <c r="AB429" s="687">
        <v>1000000</v>
      </c>
      <c r="AC429" s="669">
        <v>1</v>
      </c>
      <c r="AD429" s="669">
        <v>1</v>
      </c>
      <c r="AE429" s="669"/>
      <c r="AF429" s="669"/>
      <c r="AG429" s="343" t="s">
        <v>3859</v>
      </c>
      <c r="AH429" s="341">
        <v>2017413960045</v>
      </c>
      <c r="AI429" s="355" t="s">
        <v>4374</v>
      </c>
      <c r="AJ429" s="363">
        <v>43189</v>
      </c>
      <c r="AK429" s="363">
        <v>43281</v>
      </c>
      <c r="AL429" s="358"/>
      <c r="AM429" s="358"/>
      <c r="AN429" s="267" t="s">
        <v>2594</v>
      </c>
      <c r="AO429" s="512"/>
      <c r="AP429" s="525"/>
      <c r="AQ429" s="310"/>
      <c r="AR429" s="310"/>
      <c r="AS429" s="310"/>
      <c r="AT429" s="310"/>
      <c r="AU429" s="310"/>
      <c r="AV429" s="310"/>
      <c r="AW429" s="544">
        <f>SUM(AP429:AV429)</f>
        <v>0</v>
      </c>
      <c r="AX429" s="525"/>
      <c r="AY429" s="310"/>
      <c r="AZ429" s="310"/>
      <c r="BA429" s="310"/>
      <c r="BB429" s="310"/>
      <c r="BC429" s="310"/>
      <c r="BD429" s="310"/>
      <c r="BE429" s="544">
        <f t="shared" si="244"/>
        <v>0</v>
      </c>
      <c r="BF429" s="525"/>
      <c r="BG429" s="310"/>
      <c r="BH429" s="310"/>
      <c r="BI429" s="310"/>
      <c r="BJ429" s="310"/>
      <c r="BK429" s="310"/>
      <c r="BL429" s="310"/>
      <c r="BM429" s="544">
        <f t="shared" si="245"/>
        <v>0</v>
      </c>
      <c r="BN429" s="525"/>
      <c r="BO429" s="310"/>
      <c r="BP429" s="310"/>
      <c r="BQ429" s="310"/>
      <c r="BR429" s="310"/>
      <c r="BS429" s="310"/>
      <c r="BT429" s="310"/>
      <c r="BU429" s="544">
        <f t="shared" si="246"/>
        <v>0</v>
      </c>
      <c r="BV429" s="556"/>
      <c r="BW429" s="663">
        <f t="shared" si="236"/>
        <v>2</v>
      </c>
      <c r="BX429" s="1047">
        <f t="shared" si="248"/>
        <v>2</v>
      </c>
      <c r="BY429" s="1047">
        <f t="shared" si="258"/>
        <v>1</v>
      </c>
      <c r="BZ429" s="1047">
        <f t="shared" si="259"/>
        <v>1</v>
      </c>
      <c r="CA429" s="1047" t="str">
        <f t="shared" si="260"/>
        <v>No Programada</v>
      </c>
      <c r="CB429" s="1047">
        <f t="shared" si="261"/>
        <v>0</v>
      </c>
      <c r="CD429" t="str">
        <f t="shared" si="262"/>
        <v>VE</v>
      </c>
      <c r="CE429" t="str">
        <f t="shared" si="262"/>
        <v>VE</v>
      </c>
      <c r="CF429" t="str">
        <f>IF(CA429="PARA MODIFICAR","M",IF(CA429="PARA ELIMINAR","E",IF(CA429="aplazada","AZ",IF(CA429="no programada","NP",IF(CA429&gt;=85%,"VE",IF(CA429&gt;70%,"VEB",IF(CA429&gt;60%,"AM",IF(CA429&gt;40%,"AMB",IF(CA429&gt;20%,"RO",IF(CA429&gt;=0%,"ROB",""))))))))))</f>
        <v>NP</v>
      </c>
      <c r="CG429" t="str">
        <f t="shared" si="262"/>
        <v>ROB</v>
      </c>
    </row>
    <row r="430" spans="1:85" ht="44.25" hidden="1" customHeight="1" x14ac:dyDescent="0.25">
      <c r="A430" s="298" t="s">
        <v>1261</v>
      </c>
      <c r="B430" s="299" t="str">
        <f>'PLAN INDICATIVO'!B430</f>
        <v>Justicia y seguridad</v>
      </c>
      <c r="C430" s="1547"/>
      <c r="D430" s="1549"/>
      <c r="E430" s="1549"/>
      <c r="F430" s="1549"/>
      <c r="G430" s="1549"/>
      <c r="H430" s="1549"/>
      <c r="I430" s="300">
        <f>'PLAN INDICATIVO'!I430</f>
        <v>0</v>
      </c>
      <c r="J430" s="300">
        <f>'PLAN INDICATIVO'!J430</f>
        <v>0</v>
      </c>
      <c r="K430" s="1425" t="str">
        <f>'PLAN INDICATIVO'!K430</f>
        <v>A.18.2.6</v>
      </c>
      <c r="L430" s="301" t="str">
        <f>'PLAN INDICATIVO'!L430</f>
        <v>16. Paz, justicia e instituciones sólidas</v>
      </c>
      <c r="M430" s="301" t="str">
        <f>'PLAN INDICATIVO'!M430</f>
        <v>Secretaría de Gobierno</v>
      </c>
      <c r="N430" s="1425" t="s">
        <v>4360</v>
      </c>
      <c r="O430" s="1425" t="str">
        <f>'PLAN INDICATIVO'!O430</f>
        <v>Mantenimiento</v>
      </c>
      <c r="P430" s="16" t="str">
        <f>'PLAN INDICATIVO'!P430</f>
        <v>Fortalecer 1 programa de conciliadores en equidad cada año</v>
      </c>
      <c r="Q430" s="302" t="str">
        <f>'PLAN INDICATIVO'!Q430</f>
        <v>No. De Programa fortalecido por año</v>
      </c>
      <c r="R430" s="303">
        <f>'PLAN INDICATIVO'!R430</f>
        <v>2015</v>
      </c>
      <c r="S430" s="304">
        <v>0</v>
      </c>
      <c r="T430" s="699">
        <v>1</v>
      </c>
      <c r="U430" s="303">
        <v>1</v>
      </c>
      <c r="V430" s="687">
        <v>1000000</v>
      </c>
      <c r="W430" s="303">
        <v>1</v>
      </c>
      <c r="X430" s="687">
        <v>2000000</v>
      </c>
      <c r="Y430" s="286">
        <v>1</v>
      </c>
      <c r="Z430" s="687">
        <v>2000000</v>
      </c>
      <c r="AA430" s="291"/>
      <c r="AB430" s="687">
        <v>2000000</v>
      </c>
      <c r="AC430" s="669">
        <v>1</v>
      </c>
      <c r="AD430" s="669">
        <v>1</v>
      </c>
      <c r="AE430" s="669">
        <v>1</v>
      </c>
      <c r="AF430" s="669"/>
      <c r="AG430" s="341" t="s">
        <v>4355</v>
      </c>
      <c r="AH430" s="991">
        <v>2018413960019</v>
      </c>
      <c r="AI430" s="355" t="s">
        <v>4375</v>
      </c>
      <c r="AJ430" s="363">
        <v>43189</v>
      </c>
      <c r="AK430" s="363">
        <v>43250</v>
      </c>
      <c r="AL430" s="358"/>
      <c r="AM430" s="358"/>
      <c r="AN430" s="267" t="s">
        <v>2598</v>
      </c>
      <c r="AO430" s="512">
        <v>231701</v>
      </c>
      <c r="AP430" s="525"/>
      <c r="AQ430" s="310"/>
      <c r="AR430" s="310"/>
      <c r="AS430" s="310"/>
      <c r="AT430" s="310"/>
      <c r="AU430" s="310"/>
      <c r="AV430" s="310"/>
      <c r="AW430" s="544"/>
      <c r="AX430" s="525"/>
      <c r="AY430" s="310"/>
      <c r="AZ430" s="310"/>
      <c r="BA430" s="310"/>
      <c r="BB430" s="310"/>
      <c r="BC430" s="310"/>
      <c r="BD430" s="310"/>
      <c r="BE430" s="544">
        <f t="shared" si="244"/>
        <v>0</v>
      </c>
      <c r="BF430" s="525"/>
      <c r="BG430" s="310">
        <v>6306700</v>
      </c>
      <c r="BH430" s="310"/>
      <c r="BI430" s="310"/>
      <c r="BJ430" s="310"/>
      <c r="BK430" s="310"/>
      <c r="BL430" s="310"/>
      <c r="BM430" s="544">
        <f t="shared" si="245"/>
        <v>6306700</v>
      </c>
      <c r="BN430" s="525"/>
      <c r="BO430" s="310"/>
      <c r="BP430" s="310"/>
      <c r="BQ430" s="310"/>
      <c r="BR430" s="310"/>
      <c r="BS430" s="310"/>
      <c r="BT430" s="310"/>
      <c r="BU430" s="544">
        <f t="shared" si="246"/>
        <v>0</v>
      </c>
      <c r="BV430" s="556"/>
      <c r="BW430" s="663">
        <f t="shared" si="236"/>
        <v>3</v>
      </c>
      <c r="BX430" s="1047">
        <f t="shared" si="248"/>
        <v>3</v>
      </c>
      <c r="BY430" s="1047">
        <f t="shared" si="258"/>
        <v>1</v>
      </c>
      <c r="BZ430" s="1047">
        <f t="shared" si="259"/>
        <v>1</v>
      </c>
      <c r="CA430" s="1047">
        <f t="shared" si="260"/>
        <v>1</v>
      </c>
      <c r="CB430" s="1047" t="str">
        <f t="shared" si="261"/>
        <v>No Programada</v>
      </c>
      <c r="CD430" t="str">
        <f t="shared" si="262"/>
        <v>VE</v>
      </c>
      <c r="CE430" t="str">
        <f t="shared" si="262"/>
        <v>VE</v>
      </c>
      <c r="CF430" t="str">
        <f t="shared" si="262"/>
        <v>VE</v>
      </c>
      <c r="CG430" t="str">
        <f t="shared" si="262"/>
        <v>NP</v>
      </c>
    </row>
    <row r="431" spans="1:85" ht="65.25" hidden="1" customHeight="1" x14ac:dyDescent="0.25">
      <c r="A431" s="298" t="s">
        <v>1261</v>
      </c>
      <c r="B431" s="299" t="str">
        <f>'PLAN INDICATIVO'!B431</f>
        <v>Justicia y seguridad</v>
      </c>
      <c r="C431" s="1547"/>
      <c r="D431" s="1549"/>
      <c r="E431" s="1549"/>
      <c r="F431" s="1549"/>
      <c r="G431" s="1549"/>
      <c r="H431" s="1549"/>
      <c r="I431" s="300">
        <f>'PLAN INDICATIVO'!I431</f>
        <v>0</v>
      </c>
      <c r="J431" s="300">
        <f>'PLAN INDICATIVO'!J431</f>
        <v>0</v>
      </c>
      <c r="K431" s="1425" t="str">
        <f>'PLAN INDICATIVO'!K431</f>
        <v>A.18.2.7</v>
      </c>
      <c r="L431" s="301" t="str">
        <f>'PLAN INDICATIVO'!L431</f>
        <v>16. Paz, justicia e instituciones sólidas</v>
      </c>
      <c r="M431" s="301" t="str">
        <f>'PLAN INDICATIVO'!M431</f>
        <v>Secretaría de Gobierno</v>
      </c>
      <c r="N431" s="1425" t="s">
        <v>4360</v>
      </c>
      <c r="O431" s="1425" t="str">
        <f>'PLAN INDICATIVO'!O431</f>
        <v>Incremento</v>
      </c>
      <c r="P431" s="16" t="str">
        <f>'PLAN INDICATIVO'!P431</f>
        <v>Realizar 4 capacitaciones sobre mecanismos alternativos solución de conflictos durante el cuatrienio</v>
      </c>
      <c r="Q431" s="302" t="str">
        <f>'PLAN INDICATIVO'!Q431</f>
        <v>No. De capacitaciones realizadas</v>
      </c>
      <c r="R431" s="303">
        <f>'PLAN INDICATIVO'!R431</f>
        <v>2015</v>
      </c>
      <c r="S431" s="304">
        <v>0</v>
      </c>
      <c r="T431" s="699">
        <v>4</v>
      </c>
      <c r="U431" s="303">
        <v>1</v>
      </c>
      <c r="V431" s="687">
        <v>1000000</v>
      </c>
      <c r="W431" s="303">
        <v>1</v>
      </c>
      <c r="X431" s="687">
        <v>1000000</v>
      </c>
      <c r="Y431" s="286">
        <v>1</v>
      </c>
      <c r="Z431" s="687">
        <v>1000000</v>
      </c>
      <c r="AA431" s="291">
        <v>1</v>
      </c>
      <c r="AB431" s="687">
        <v>1000000</v>
      </c>
      <c r="AC431" s="669">
        <v>1</v>
      </c>
      <c r="AD431" s="669">
        <v>1</v>
      </c>
      <c r="AE431" s="669">
        <v>1</v>
      </c>
      <c r="AF431" s="669"/>
      <c r="AG431" s="341" t="s">
        <v>4355</v>
      </c>
      <c r="AH431" s="991">
        <v>2018413960019</v>
      </c>
      <c r="AI431" s="355" t="s">
        <v>4376</v>
      </c>
      <c r="AJ431" s="363">
        <v>43115</v>
      </c>
      <c r="AK431" s="363">
        <v>43159</v>
      </c>
      <c r="AL431" s="358"/>
      <c r="AM431" s="358"/>
      <c r="AN431" s="267" t="s">
        <v>2598</v>
      </c>
      <c r="AO431" s="512">
        <v>231701</v>
      </c>
      <c r="AP431" s="525"/>
      <c r="AQ431" s="310"/>
      <c r="AR431" s="310"/>
      <c r="AS431" s="310"/>
      <c r="AT431" s="310"/>
      <c r="AU431" s="310"/>
      <c r="AV431" s="310"/>
      <c r="AW431" s="544"/>
      <c r="AX431" s="525"/>
      <c r="AY431" s="310"/>
      <c r="AZ431" s="310"/>
      <c r="BA431" s="310"/>
      <c r="BB431" s="310"/>
      <c r="BC431" s="310"/>
      <c r="BD431" s="310"/>
      <c r="BE431" s="544">
        <f t="shared" si="244"/>
        <v>0</v>
      </c>
      <c r="BF431" s="525"/>
      <c r="BG431" s="310">
        <v>13186600</v>
      </c>
      <c r="BH431" s="310"/>
      <c r="BI431" s="310"/>
      <c r="BJ431" s="310"/>
      <c r="BK431" s="310"/>
      <c r="BL431" s="310"/>
      <c r="BM431" s="544">
        <f t="shared" si="245"/>
        <v>13186600</v>
      </c>
      <c r="BN431" s="525"/>
      <c r="BO431" s="310"/>
      <c r="BP431" s="310"/>
      <c r="BQ431" s="310"/>
      <c r="BR431" s="310"/>
      <c r="BS431" s="310"/>
      <c r="BT431" s="310"/>
      <c r="BU431" s="544">
        <f t="shared" si="246"/>
        <v>0</v>
      </c>
      <c r="BV431" s="556"/>
      <c r="BW431" s="663">
        <f t="shared" si="236"/>
        <v>3</v>
      </c>
      <c r="BX431" s="1047">
        <f t="shared" si="248"/>
        <v>0.75</v>
      </c>
      <c r="BY431" s="1047">
        <f t="shared" si="258"/>
        <v>1</v>
      </c>
      <c r="BZ431" s="1047">
        <f t="shared" si="259"/>
        <v>1</v>
      </c>
      <c r="CA431" s="1047">
        <f t="shared" si="260"/>
        <v>1</v>
      </c>
      <c r="CB431" s="1047">
        <f t="shared" si="261"/>
        <v>0</v>
      </c>
      <c r="CD431" t="str">
        <f t="shared" si="262"/>
        <v>VE</v>
      </c>
      <c r="CE431" t="str">
        <f t="shared" si="262"/>
        <v>VE</v>
      </c>
      <c r="CF431" t="str">
        <f t="shared" si="262"/>
        <v>VE</v>
      </c>
      <c r="CG431" t="str">
        <f t="shared" si="262"/>
        <v>ROB</v>
      </c>
    </row>
    <row r="432" spans="1:85" ht="96.75" hidden="1" customHeight="1" x14ac:dyDescent="0.25">
      <c r="A432" s="298" t="s">
        <v>1261</v>
      </c>
      <c r="B432" s="299" t="str">
        <f>'PLAN INDICATIVO'!B432</f>
        <v>Justicia y seguridad</v>
      </c>
      <c r="C432" s="1547"/>
      <c r="D432" s="1549"/>
      <c r="E432" s="1549"/>
      <c r="F432" s="1549"/>
      <c r="G432" s="1549"/>
      <c r="H432" s="1549"/>
      <c r="I432" s="300">
        <f>'PLAN INDICATIVO'!I432</f>
        <v>0</v>
      </c>
      <c r="J432" s="300">
        <f>'PLAN INDICATIVO'!J432</f>
        <v>0</v>
      </c>
      <c r="K432" s="1425" t="str">
        <f>'PLAN INDICATIVO'!K432</f>
        <v>A.18.2.8</v>
      </c>
      <c r="L432" s="301" t="str">
        <f>'PLAN INDICATIVO'!L432</f>
        <v>16. Paz, justicia e instituciones sólidas</v>
      </c>
      <c r="M432" s="301" t="str">
        <f>'PLAN INDICATIVO'!M432</f>
        <v>Secretaría de Gobierno</v>
      </c>
      <c r="N432" s="1425" t="str">
        <f>'PLAN INDICATIVO'!N432</f>
        <v>HERNAN RODRIGUEZ FALLA</v>
      </c>
      <c r="O432" s="1425" t="str">
        <f>'PLAN INDICATIVO'!O432</f>
        <v>Mantenimiento</v>
      </c>
      <c r="P432" s="16" t="str">
        <f>'PLAN INDICATIVO'!P432</f>
        <v>Implementar 1 programa para la construcción de la paz, la convivencia ciudadana y la solución de conflictos, cada año</v>
      </c>
      <c r="Q432" s="302" t="str">
        <f>'PLAN INDICATIVO'!Q432</f>
        <v>No. De programas implementados por año</v>
      </c>
      <c r="R432" s="303">
        <f>'PLAN INDICATIVO'!R432</f>
        <v>2015</v>
      </c>
      <c r="S432" s="304">
        <v>0</v>
      </c>
      <c r="T432" s="699">
        <v>1</v>
      </c>
      <c r="U432" s="303">
        <v>0.25</v>
      </c>
      <c r="V432" s="687">
        <v>1000000</v>
      </c>
      <c r="W432" s="303">
        <v>0.25</v>
      </c>
      <c r="X432" s="687">
        <v>20000000</v>
      </c>
      <c r="Y432" s="303">
        <v>0.25</v>
      </c>
      <c r="Z432" s="687">
        <v>20000000</v>
      </c>
      <c r="AA432" s="291">
        <v>0.4</v>
      </c>
      <c r="AB432" s="687">
        <v>20000000</v>
      </c>
      <c r="AC432" s="669">
        <v>0.25</v>
      </c>
      <c r="AD432" s="933">
        <v>0.25</v>
      </c>
      <c r="AE432" s="669">
        <v>0.1</v>
      </c>
      <c r="AF432" s="669"/>
      <c r="AG432" s="341" t="s">
        <v>4355</v>
      </c>
      <c r="AH432" s="991">
        <v>2018413960019</v>
      </c>
      <c r="AI432" s="355" t="s">
        <v>4377</v>
      </c>
      <c r="AJ432" s="356">
        <v>43160</v>
      </c>
      <c r="AK432" s="356">
        <v>43464</v>
      </c>
      <c r="AL432" s="358"/>
      <c r="AM432" s="358"/>
      <c r="AN432" s="267" t="s">
        <v>2604</v>
      </c>
      <c r="AO432" s="512"/>
      <c r="AP432" s="310"/>
      <c r="AQ432" s="310"/>
      <c r="AR432" s="310"/>
      <c r="AS432" s="310"/>
      <c r="AT432" s="310"/>
      <c r="AU432" s="310"/>
      <c r="AV432" s="310"/>
      <c r="AW432" s="310"/>
      <c r="AX432" s="525"/>
      <c r="AY432" s="310"/>
      <c r="AZ432" s="310"/>
      <c r="BA432" s="310"/>
      <c r="BB432" s="310"/>
      <c r="BC432" s="310"/>
      <c r="BD432" s="310"/>
      <c r="BE432" s="544">
        <f t="shared" si="244"/>
        <v>0</v>
      </c>
      <c r="BF432" s="525"/>
      <c r="BG432" s="310"/>
      <c r="BH432" s="310"/>
      <c r="BI432" s="310"/>
      <c r="BJ432" s="310"/>
      <c r="BK432" s="310"/>
      <c r="BL432" s="310"/>
      <c r="BM432" s="544">
        <f t="shared" si="245"/>
        <v>0</v>
      </c>
      <c r="BN432" s="525"/>
      <c r="BO432" s="310"/>
      <c r="BP432" s="310"/>
      <c r="BQ432" s="310"/>
      <c r="BR432" s="310"/>
      <c r="BS432" s="310"/>
      <c r="BT432" s="310"/>
      <c r="BU432" s="544">
        <f t="shared" si="246"/>
        <v>0</v>
      </c>
      <c r="BV432" s="556"/>
      <c r="BW432" s="663">
        <f t="shared" si="236"/>
        <v>0.6</v>
      </c>
      <c r="BX432" s="1047">
        <f t="shared" si="248"/>
        <v>0.6</v>
      </c>
      <c r="BY432" s="1047">
        <f t="shared" si="258"/>
        <v>1</v>
      </c>
      <c r="BZ432" s="1047">
        <f t="shared" si="259"/>
        <v>1</v>
      </c>
      <c r="CA432" s="1047">
        <f t="shared" si="260"/>
        <v>0.4</v>
      </c>
      <c r="CB432" s="1047">
        <f t="shared" si="261"/>
        <v>0</v>
      </c>
      <c r="CD432" t="str">
        <f t="shared" si="262"/>
        <v>VE</v>
      </c>
      <c r="CE432" t="str">
        <f t="shared" si="262"/>
        <v>VE</v>
      </c>
      <c r="CF432" t="str">
        <f t="shared" si="262"/>
        <v>RO</v>
      </c>
      <c r="CG432" t="str">
        <f t="shared" si="262"/>
        <v>ROB</v>
      </c>
    </row>
    <row r="433" spans="1:85" ht="66.75" hidden="1" customHeight="1" x14ac:dyDescent="0.25">
      <c r="A433" s="298" t="s">
        <v>1261</v>
      </c>
      <c r="B433" s="299" t="str">
        <f>'PLAN INDICATIVO'!B433</f>
        <v>Justicia y seguridad</v>
      </c>
      <c r="C433" s="1547"/>
      <c r="D433" s="1549"/>
      <c r="E433" s="1549"/>
      <c r="F433" s="1549"/>
      <c r="G433" s="1549"/>
      <c r="H433" s="1549"/>
      <c r="I433" s="300">
        <f>'PLAN INDICATIVO'!I433</f>
        <v>0</v>
      </c>
      <c r="J433" s="300">
        <f>'PLAN INDICATIVO'!J433</f>
        <v>0</v>
      </c>
      <c r="K433" s="1425" t="str">
        <f>'PLAN INDICATIVO'!K433</f>
        <v>A.18.2.9</v>
      </c>
      <c r="L433" s="301" t="str">
        <f>'PLAN INDICATIVO'!L433</f>
        <v>16. Paz, justicia e instituciones sólidas</v>
      </c>
      <c r="M433" s="301" t="str">
        <f>'PLAN INDICATIVO'!M433</f>
        <v>Secretaría de Gobierno</v>
      </c>
      <c r="N433" s="1425" t="str">
        <f>'PLAN INDICATIVO'!N433</f>
        <v>HERNAN RODRIGUEZ FALLA</v>
      </c>
      <c r="O433" s="1425" t="str">
        <f>'PLAN INDICATIVO'!O433</f>
        <v>Mantenimiento</v>
      </c>
      <c r="P433" s="25" t="str">
        <f>'PLAN INDICATIVO'!P433</f>
        <v>Garantizar 1 apoyo institucional al establecimiento penitenciario y carcelario de mediana seguridad (INPEC), del municipio de la Plata Huila, durante el cuatrienio.</v>
      </c>
      <c r="Q433" s="302" t="str">
        <f>'PLAN INDICATIVO'!Q433</f>
        <v>Apoyo a cárcel municipal por año</v>
      </c>
      <c r="R433" s="303">
        <f>'PLAN INDICATIVO'!R433</f>
        <v>2015</v>
      </c>
      <c r="S433" s="304">
        <v>0</v>
      </c>
      <c r="T433" s="699">
        <v>1</v>
      </c>
      <c r="U433" s="303">
        <v>0.25</v>
      </c>
      <c r="V433" s="687">
        <v>10000000</v>
      </c>
      <c r="W433" s="17">
        <v>0.5</v>
      </c>
      <c r="X433" s="687">
        <v>11000000</v>
      </c>
      <c r="Y433" s="17">
        <v>0.25</v>
      </c>
      <c r="Z433" s="687">
        <v>1000000</v>
      </c>
      <c r="AA433" s="291">
        <v>0.5</v>
      </c>
      <c r="AB433" s="687">
        <v>1000000</v>
      </c>
      <c r="AC433" s="669">
        <v>0</v>
      </c>
      <c r="AD433" s="669">
        <v>0.5</v>
      </c>
      <c r="AE433" s="669"/>
      <c r="AF433" s="669"/>
      <c r="AG433" s="341" t="s">
        <v>4355</v>
      </c>
      <c r="AH433" s="991">
        <v>2018413960019</v>
      </c>
      <c r="AI433" s="355" t="s">
        <v>4378</v>
      </c>
      <c r="AJ433" s="356">
        <v>43160</v>
      </c>
      <c r="AK433" s="356">
        <v>43464</v>
      </c>
      <c r="AL433" s="358"/>
      <c r="AM433" s="358"/>
      <c r="AN433" s="267" t="s">
        <v>2600</v>
      </c>
      <c r="AO433" s="512"/>
      <c r="AP433" s="525"/>
      <c r="AQ433" s="310"/>
      <c r="AR433" s="310"/>
      <c r="AS433" s="310"/>
      <c r="AT433" s="310"/>
      <c r="AU433" s="310"/>
      <c r="AV433" s="310"/>
      <c r="AW433" s="544"/>
      <c r="AX433" s="525"/>
      <c r="AY433" s="310"/>
      <c r="AZ433" s="310"/>
      <c r="BA433" s="310"/>
      <c r="BB433" s="310"/>
      <c r="BC433" s="310"/>
      <c r="BD433" s="310"/>
      <c r="BE433" s="544">
        <f t="shared" si="244"/>
        <v>0</v>
      </c>
      <c r="BF433" s="525"/>
      <c r="BG433" s="310"/>
      <c r="BH433" s="310"/>
      <c r="BI433" s="310"/>
      <c r="BJ433" s="310"/>
      <c r="BK433" s="310"/>
      <c r="BL433" s="310"/>
      <c r="BM433" s="544">
        <f t="shared" si="245"/>
        <v>0</v>
      </c>
      <c r="BN433" s="525"/>
      <c r="BO433" s="310"/>
      <c r="BP433" s="310"/>
      <c r="BQ433" s="310"/>
      <c r="BR433" s="310"/>
      <c r="BS433" s="310"/>
      <c r="BT433" s="310"/>
      <c r="BU433" s="544">
        <f t="shared" si="246"/>
        <v>0</v>
      </c>
      <c r="BV433" s="556"/>
      <c r="BW433" s="663">
        <f t="shared" si="236"/>
        <v>0.5</v>
      </c>
      <c r="BX433" s="1047">
        <f t="shared" si="248"/>
        <v>0.5</v>
      </c>
      <c r="BY433" s="1047">
        <f t="shared" si="258"/>
        <v>0</v>
      </c>
      <c r="BZ433" s="1047">
        <f t="shared" si="259"/>
        <v>1</v>
      </c>
      <c r="CA433" s="1047">
        <f t="shared" si="260"/>
        <v>0</v>
      </c>
      <c r="CB433" s="1047">
        <f t="shared" si="261"/>
        <v>0</v>
      </c>
      <c r="CD433" t="str">
        <f t="shared" si="262"/>
        <v>ROB</v>
      </c>
      <c r="CE433" t="str">
        <f t="shared" si="262"/>
        <v>VE</v>
      </c>
      <c r="CF433" t="str">
        <f t="shared" si="262"/>
        <v>ROB</v>
      </c>
      <c r="CG433" t="str">
        <f t="shared" si="262"/>
        <v>ROB</v>
      </c>
    </row>
    <row r="434" spans="1:85" ht="72" hidden="1" customHeight="1" x14ac:dyDescent="0.25">
      <c r="A434" s="298" t="s">
        <v>1261</v>
      </c>
      <c r="B434" s="299" t="str">
        <f>'PLAN INDICATIVO'!B434</f>
        <v>Justicia y seguridad</v>
      </c>
      <c r="C434" s="1547"/>
      <c r="D434" s="1549"/>
      <c r="E434" s="1549"/>
      <c r="F434" s="1549"/>
      <c r="G434" s="1549"/>
      <c r="H434" s="1549"/>
      <c r="I434" s="300">
        <f>'PLAN INDICATIVO'!I434</f>
        <v>0</v>
      </c>
      <c r="J434" s="300">
        <f>'PLAN INDICATIVO'!J434</f>
        <v>0</v>
      </c>
      <c r="K434" s="1425" t="str">
        <f>'PLAN INDICATIVO'!K434</f>
        <v>A.18.2.10</v>
      </c>
      <c r="L434" s="301" t="str">
        <f>'PLAN INDICATIVO'!L434</f>
        <v>16. Paz, justicia e instituciones sólidas</v>
      </c>
      <c r="M434" s="301" t="str">
        <f>'PLAN INDICATIVO'!M434</f>
        <v>Secretaría de Gobierno</v>
      </c>
      <c r="N434" s="1425" t="s">
        <v>4360</v>
      </c>
      <c r="O434" s="1425" t="str">
        <f>'PLAN INDICATIVO'!O434</f>
        <v>Mantenimiento</v>
      </c>
      <c r="P434" s="71" t="str">
        <f>'PLAN INDICATIVO'!P434</f>
        <v xml:space="preserve">Lograr el funcionamiento de 1 coso municipal cada año </v>
      </c>
      <c r="Q434" s="302" t="str">
        <f>'PLAN INDICATIVO'!Q434</f>
        <v>No. De Coso municipal funcionando por año</v>
      </c>
      <c r="R434" s="303">
        <f>'PLAN INDICATIVO'!R434</f>
        <v>2015</v>
      </c>
      <c r="S434" s="304">
        <v>1</v>
      </c>
      <c r="T434" s="699">
        <v>1</v>
      </c>
      <c r="U434" s="303">
        <v>1</v>
      </c>
      <c r="V434" s="687">
        <v>5500000</v>
      </c>
      <c r="W434" s="303">
        <v>1</v>
      </c>
      <c r="X434" s="687">
        <v>15000000</v>
      </c>
      <c r="Y434" s="286">
        <v>1</v>
      </c>
      <c r="Z434" s="687">
        <v>15000000</v>
      </c>
      <c r="AA434" s="291">
        <v>1</v>
      </c>
      <c r="AB434" s="687">
        <v>15000000</v>
      </c>
      <c r="AC434" s="670">
        <v>1</v>
      </c>
      <c r="AD434" s="670">
        <v>1</v>
      </c>
      <c r="AE434" s="670">
        <v>1</v>
      </c>
      <c r="AF434" s="670"/>
      <c r="AG434" s="341" t="s">
        <v>4355</v>
      </c>
      <c r="AH434" s="991">
        <v>2018413960019</v>
      </c>
      <c r="AI434" s="361" t="s">
        <v>4379</v>
      </c>
      <c r="AJ434" s="363">
        <v>43115</v>
      </c>
      <c r="AK434" s="363">
        <v>43464</v>
      </c>
      <c r="AL434" s="362"/>
      <c r="AM434" s="362"/>
      <c r="AN434" s="281" t="s">
        <v>2598</v>
      </c>
      <c r="AO434" s="513" t="s">
        <v>4380</v>
      </c>
      <c r="AP434" s="528"/>
      <c r="AQ434" s="472"/>
      <c r="AR434" s="472"/>
      <c r="AS434" s="472"/>
      <c r="AT434" s="472"/>
      <c r="AU434" s="472"/>
      <c r="AV434" s="472"/>
      <c r="AW434" s="544"/>
      <c r="AX434" s="528"/>
      <c r="AY434" s="472"/>
      <c r="AZ434" s="472"/>
      <c r="BA434" s="472"/>
      <c r="BB434" s="472"/>
      <c r="BC434" s="472"/>
      <c r="BD434" s="472"/>
      <c r="BE434" s="544">
        <f t="shared" si="244"/>
        <v>0</v>
      </c>
      <c r="BF434" s="528">
        <v>7653300</v>
      </c>
      <c r="BG434" s="472">
        <v>7886700</v>
      </c>
      <c r="BH434" s="472"/>
      <c r="BI434" s="472"/>
      <c r="BJ434" s="472"/>
      <c r="BK434" s="472"/>
      <c r="BL434" s="472"/>
      <c r="BM434" s="544">
        <f t="shared" si="245"/>
        <v>15540000</v>
      </c>
      <c r="BN434" s="528"/>
      <c r="BO434" s="472"/>
      <c r="BP434" s="472"/>
      <c r="BQ434" s="472"/>
      <c r="BR434" s="472"/>
      <c r="BS434" s="472"/>
      <c r="BT434" s="472"/>
      <c r="BU434" s="544">
        <f t="shared" si="246"/>
        <v>0</v>
      </c>
      <c r="BV434" s="556"/>
      <c r="BW434" s="663">
        <f t="shared" si="236"/>
        <v>3</v>
      </c>
      <c r="BX434" s="1047">
        <f t="shared" si="248"/>
        <v>3</v>
      </c>
      <c r="BY434" s="1047">
        <f t="shared" si="258"/>
        <v>1</v>
      </c>
      <c r="BZ434" s="1047">
        <f t="shared" si="259"/>
        <v>1</v>
      </c>
      <c r="CA434" s="1047">
        <f t="shared" si="260"/>
        <v>1</v>
      </c>
      <c r="CB434" s="1047">
        <f t="shared" si="261"/>
        <v>0</v>
      </c>
      <c r="CD434" t="str">
        <f t="shared" si="262"/>
        <v>VE</v>
      </c>
      <c r="CE434" t="str">
        <f t="shared" si="262"/>
        <v>VE</v>
      </c>
      <c r="CF434" t="str">
        <f t="shared" si="262"/>
        <v>VE</v>
      </c>
      <c r="CG434" t="str">
        <f t="shared" si="262"/>
        <v>ROB</v>
      </c>
    </row>
    <row r="435" spans="1:85" ht="49.5" hidden="1" customHeight="1" x14ac:dyDescent="0.25">
      <c r="A435" s="298" t="s">
        <v>1261</v>
      </c>
      <c r="B435" s="299" t="str">
        <f>'PLAN INDICATIVO'!B435</f>
        <v>Justicia y seguridad</v>
      </c>
      <c r="C435" s="1547"/>
      <c r="D435" s="1549"/>
      <c r="E435" s="1549"/>
      <c r="F435" s="1549"/>
      <c r="G435" s="1549"/>
      <c r="H435" s="1549"/>
      <c r="I435" s="300">
        <f>'PLAN INDICATIVO'!I435</f>
        <v>0</v>
      </c>
      <c r="J435" s="300">
        <f>'PLAN INDICATIVO'!J435</f>
        <v>0</v>
      </c>
      <c r="K435" s="1425" t="str">
        <f>'PLAN INDICATIVO'!K435</f>
        <v>A.18.2.11</v>
      </c>
      <c r="L435" s="301" t="str">
        <f>'PLAN INDICATIVO'!L435</f>
        <v>16. Paz, justicia e instituciones sólidas</v>
      </c>
      <c r="M435" s="301" t="str">
        <f>'PLAN INDICATIVO'!M435</f>
        <v>Secretaría de Gobierno</v>
      </c>
      <c r="N435" s="1425" t="s">
        <v>4360</v>
      </c>
      <c r="O435" s="1425" t="str">
        <f>'PLAN INDICATIVO'!O435</f>
        <v>Incremento</v>
      </c>
      <c r="P435" s="16" t="str">
        <f>'PLAN INDICATIVO'!P435</f>
        <v>Implementar 8 Campañas de prevención social del delito durante el cuatrienio</v>
      </c>
      <c r="Q435" s="302" t="str">
        <f>'PLAN INDICATIVO'!Q435</f>
        <v>No. de campañas implementadas</v>
      </c>
      <c r="R435" s="303">
        <f>'PLAN INDICATIVO'!R435</f>
        <v>2015</v>
      </c>
      <c r="S435" s="304">
        <v>0</v>
      </c>
      <c r="T435" s="699">
        <v>8</v>
      </c>
      <c r="U435" s="303">
        <v>2</v>
      </c>
      <c r="V435" s="687">
        <v>11000000</v>
      </c>
      <c r="W435" s="303">
        <v>2</v>
      </c>
      <c r="X435" s="687">
        <v>18000000</v>
      </c>
      <c r="Y435" s="286">
        <v>2</v>
      </c>
      <c r="Z435" s="687">
        <v>19000000</v>
      </c>
      <c r="AA435" s="291">
        <v>2</v>
      </c>
      <c r="AB435" s="687">
        <v>20000000</v>
      </c>
      <c r="AC435" s="669">
        <v>2</v>
      </c>
      <c r="AD435" s="669">
        <v>2</v>
      </c>
      <c r="AE435" s="669">
        <v>2</v>
      </c>
      <c r="AF435" s="669"/>
      <c r="AG435" s="341" t="s">
        <v>4355</v>
      </c>
      <c r="AH435" s="991">
        <v>2018413960019</v>
      </c>
      <c r="AI435" s="355" t="s">
        <v>4381</v>
      </c>
      <c r="AJ435" s="363">
        <v>43133</v>
      </c>
      <c r="AK435" s="363">
        <v>43464</v>
      </c>
      <c r="AL435" s="358"/>
      <c r="AM435" s="358"/>
      <c r="AN435" s="281" t="s">
        <v>2598</v>
      </c>
      <c r="AO435" s="512">
        <v>231701</v>
      </c>
      <c r="AP435" s="525"/>
      <c r="AQ435" s="310"/>
      <c r="AR435" s="310"/>
      <c r="AS435" s="310"/>
      <c r="AT435" s="310"/>
      <c r="AU435" s="310"/>
      <c r="AV435" s="310"/>
      <c r="AW435" s="544"/>
      <c r="AX435" s="525"/>
      <c r="AY435" s="310"/>
      <c r="AZ435" s="310"/>
      <c r="BA435" s="310"/>
      <c r="BB435" s="310"/>
      <c r="BC435" s="310"/>
      <c r="BD435" s="310"/>
      <c r="BE435" s="544">
        <f t="shared" si="244"/>
        <v>0</v>
      </c>
      <c r="BF435" s="525"/>
      <c r="BG435" s="310">
        <v>6306700</v>
      </c>
      <c r="BH435" s="310"/>
      <c r="BI435" s="310"/>
      <c r="BJ435" s="310"/>
      <c r="BK435" s="310"/>
      <c r="BL435" s="310"/>
      <c r="BM435" s="544">
        <f t="shared" si="245"/>
        <v>6306700</v>
      </c>
      <c r="BN435" s="525"/>
      <c r="BO435" s="310"/>
      <c r="BP435" s="310"/>
      <c r="BQ435" s="310"/>
      <c r="BR435" s="310"/>
      <c r="BS435" s="310"/>
      <c r="BT435" s="310"/>
      <c r="BU435" s="544">
        <f t="shared" si="246"/>
        <v>0</v>
      </c>
      <c r="BV435" s="556"/>
      <c r="BW435" s="663">
        <f t="shared" si="236"/>
        <v>6</v>
      </c>
      <c r="BX435" s="1047">
        <f t="shared" si="248"/>
        <v>0.75</v>
      </c>
      <c r="BY435" s="1047">
        <f t="shared" si="258"/>
        <v>1</v>
      </c>
      <c r="BZ435" s="1047">
        <f t="shared" si="259"/>
        <v>1</v>
      </c>
      <c r="CA435" s="1047">
        <f t="shared" si="260"/>
        <v>1</v>
      </c>
      <c r="CB435" s="1047">
        <f t="shared" si="261"/>
        <v>0</v>
      </c>
      <c r="CD435" t="str">
        <f t="shared" si="262"/>
        <v>VE</v>
      </c>
      <c r="CE435" t="str">
        <f t="shared" si="262"/>
        <v>VE</v>
      </c>
      <c r="CF435" t="str">
        <f t="shared" si="262"/>
        <v>VE</v>
      </c>
      <c r="CG435" t="str">
        <f t="shared" si="262"/>
        <v>ROB</v>
      </c>
    </row>
    <row r="436" spans="1:85" ht="80.25" hidden="1" customHeight="1" x14ac:dyDescent="0.25">
      <c r="A436" s="298" t="s">
        <v>1261</v>
      </c>
      <c r="B436" s="299" t="str">
        <f>'PLAN INDICATIVO'!B436</f>
        <v>Justicia y seguridad</v>
      </c>
      <c r="C436" s="1547"/>
      <c r="D436" s="1549"/>
      <c r="E436" s="1549"/>
      <c r="F436" s="1549"/>
      <c r="G436" s="1549"/>
      <c r="H436" s="1549"/>
      <c r="I436" s="300">
        <f>'PLAN INDICATIVO'!I436</f>
        <v>0</v>
      </c>
      <c r="J436" s="300">
        <f>'PLAN INDICATIVO'!J436</f>
        <v>0</v>
      </c>
      <c r="K436" s="1425" t="str">
        <f>'PLAN INDICATIVO'!K436</f>
        <v>A.18.2.12</v>
      </c>
      <c r="L436" s="301" t="str">
        <f>'PLAN INDICATIVO'!L436</f>
        <v>16. Paz, justicia e instituciones sólidas</v>
      </c>
      <c r="M436" s="301" t="str">
        <f>'PLAN INDICATIVO'!M436</f>
        <v>Secretaría de Gobierno</v>
      </c>
      <c r="N436" s="1425" t="s">
        <v>4360</v>
      </c>
      <c r="O436" s="1425" t="str">
        <f>'PLAN INDICATIVO'!O436</f>
        <v>Incremento</v>
      </c>
      <c r="P436" s="941" t="str">
        <f>'PLAN INDICATIVO'!P436</f>
        <v>Realizar 48 operativos de prevención a la contaminación auditiva y visual, durante el cuatrienio</v>
      </c>
      <c r="Q436" s="302" t="str">
        <f>'PLAN INDICATIVO'!Q436</f>
        <v>No. De operativos realizados</v>
      </c>
      <c r="R436" s="303">
        <f>'PLAN INDICATIVO'!R436</f>
        <v>2015</v>
      </c>
      <c r="S436" s="304" t="s">
        <v>177</v>
      </c>
      <c r="T436" s="699">
        <v>48</v>
      </c>
      <c r="U436" s="303">
        <v>21</v>
      </c>
      <c r="V436" s="687">
        <v>6000000</v>
      </c>
      <c r="W436" s="17">
        <v>15</v>
      </c>
      <c r="X436" s="687">
        <v>6000000</v>
      </c>
      <c r="Y436" s="286">
        <v>17</v>
      </c>
      <c r="Z436" s="687">
        <v>1000000</v>
      </c>
      <c r="AA436" s="291">
        <f>T436-BW436</f>
        <v>32</v>
      </c>
      <c r="AB436" s="687">
        <v>1000000</v>
      </c>
      <c r="AC436" s="795">
        <v>3</v>
      </c>
      <c r="AD436" s="669">
        <v>11</v>
      </c>
      <c r="AE436" s="669">
        <v>2</v>
      </c>
      <c r="AF436" s="669"/>
      <c r="AG436" s="341" t="s">
        <v>4355</v>
      </c>
      <c r="AH436" s="991">
        <v>2018413960019</v>
      </c>
      <c r="AI436" s="355" t="s">
        <v>4382</v>
      </c>
      <c r="AJ436" s="363">
        <v>43133</v>
      </c>
      <c r="AK436" s="363">
        <v>43464</v>
      </c>
      <c r="AL436" s="358"/>
      <c r="AM436" s="358"/>
      <c r="AN436" s="267" t="s">
        <v>2600</v>
      </c>
      <c r="AO436" s="512"/>
      <c r="AP436" s="525"/>
      <c r="AQ436" s="310"/>
      <c r="AR436" s="310"/>
      <c r="AS436" s="310"/>
      <c r="AT436" s="310"/>
      <c r="AU436" s="310"/>
      <c r="AV436" s="310"/>
      <c r="AW436" s="544"/>
      <c r="AX436" s="525"/>
      <c r="AY436" s="310"/>
      <c r="AZ436" s="310"/>
      <c r="BA436" s="310"/>
      <c r="BB436" s="310"/>
      <c r="BC436" s="310"/>
      <c r="BD436" s="310"/>
      <c r="BE436" s="544">
        <f t="shared" si="244"/>
        <v>0</v>
      </c>
      <c r="BF436" s="525"/>
      <c r="BG436" s="310"/>
      <c r="BH436" s="310"/>
      <c r="BI436" s="310"/>
      <c r="BJ436" s="310"/>
      <c r="BK436" s="310"/>
      <c r="BL436" s="310"/>
      <c r="BM436" s="544">
        <f t="shared" si="245"/>
        <v>0</v>
      </c>
      <c r="BN436" s="525"/>
      <c r="BO436" s="310"/>
      <c r="BP436" s="310"/>
      <c r="BQ436" s="310"/>
      <c r="BR436" s="310"/>
      <c r="BS436" s="310"/>
      <c r="BT436" s="310"/>
      <c r="BU436" s="544">
        <f t="shared" si="246"/>
        <v>0</v>
      </c>
      <c r="BV436" s="556"/>
      <c r="BW436" s="663">
        <f t="shared" si="236"/>
        <v>16</v>
      </c>
      <c r="BX436" s="1047">
        <f t="shared" si="248"/>
        <v>0.33333333333333331</v>
      </c>
      <c r="BY436" s="1047">
        <f t="shared" si="258"/>
        <v>0.14285714285714285</v>
      </c>
      <c r="BZ436" s="1047">
        <f t="shared" si="259"/>
        <v>0.73333333333333328</v>
      </c>
      <c r="CA436" s="1047">
        <f t="shared" si="260"/>
        <v>0.11764705882352941</v>
      </c>
      <c r="CB436" s="1047">
        <f t="shared" si="261"/>
        <v>0</v>
      </c>
      <c r="CD436" t="str">
        <f t="shared" si="262"/>
        <v>ROB</v>
      </c>
      <c r="CE436" t="str">
        <f t="shared" si="262"/>
        <v>VEB</v>
      </c>
      <c r="CF436" t="str">
        <f t="shared" si="262"/>
        <v>ROB</v>
      </c>
      <c r="CG436" t="str">
        <f t="shared" si="262"/>
        <v>ROB</v>
      </c>
    </row>
    <row r="437" spans="1:85" ht="54.75" hidden="1" customHeight="1" x14ac:dyDescent="0.25">
      <c r="A437" s="298" t="s">
        <v>1261</v>
      </c>
      <c r="B437" s="299" t="str">
        <f>'PLAN INDICATIVO'!B437</f>
        <v>Justicia y seguridad</v>
      </c>
      <c r="C437" s="1548"/>
      <c r="D437" s="1549"/>
      <c r="E437" s="1549"/>
      <c r="F437" s="1549"/>
      <c r="G437" s="1549"/>
      <c r="H437" s="1549"/>
      <c r="I437" s="300">
        <f>'PLAN INDICATIVO'!I437</f>
        <v>0</v>
      </c>
      <c r="J437" s="300">
        <f>'PLAN INDICATIVO'!J437</f>
        <v>0</v>
      </c>
      <c r="K437" s="1425" t="str">
        <f>'PLAN INDICATIVO'!K437</f>
        <v>A.18.2.13</v>
      </c>
      <c r="L437" s="301" t="str">
        <f>'PLAN INDICATIVO'!L437</f>
        <v>16. Paz, justicia e instituciones sólidas</v>
      </c>
      <c r="M437" s="301" t="str">
        <f>'PLAN INDICATIVO'!M437</f>
        <v>Secretaría de Gobierno</v>
      </c>
      <c r="N437" s="1425" t="s">
        <v>4360</v>
      </c>
      <c r="O437" s="1425" t="str">
        <f>'PLAN INDICATIVO'!O437</f>
        <v>Incremento</v>
      </c>
      <c r="P437" s="16" t="str">
        <f>'PLAN INDICATIVO'!P437</f>
        <v>Realizar 1 plan para la aplicación del comparendo ambiental, durante el cuatrienio</v>
      </c>
      <c r="Q437" s="302" t="str">
        <f>'PLAN INDICATIVO'!Q437</f>
        <v>No. De planes realizados</v>
      </c>
      <c r="R437" s="303">
        <f>'PLAN INDICATIVO'!R437</f>
        <v>2015</v>
      </c>
      <c r="S437" s="304">
        <v>0</v>
      </c>
      <c r="T437" s="699">
        <v>1</v>
      </c>
      <c r="U437" s="303">
        <v>1</v>
      </c>
      <c r="V437" s="687">
        <v>1000000</v>
      </c>
      <c r="W437" s="303">
        <v>1</v>
      </c>
      <c r="X437" s="687">
        <v>1000000</v>
      </c>
      <c r="Y437" s="67">
        <v>0</v>
      </c>
      <c r="Z437" s="687"/>
      <c r="AA437" s="291"/>
      <c r="AB437" s="304"/>
      <c r="AC437" s="669"/>
      <c r="AD437" s="669">
        <v>1</v>
      </c>
      <c r="AE437" s="669"/>
      <c r="AF437" s="669"/>
      <c r="AG437" s="341" t="s">
        <v>4355</v>
      </c>
      <c r="AH437" s="991">
        <v>2018413960019</v>
      </c>
      <c r="AI437" s="355" t="s">
        <v>4383</v>
      </c>
      <c r="AJ437" s="363"/>
      <c r="AK437" s="363"/>
      <c r="AL437" s="358"/>
      <c r="AM437" s="358"/>
      <c r="AN437" s="267" t="s">
        <v>2594</v>
      </c>
      <c r="AO437" s="512"/>
      <c r="AP437" s="525"/>
      <c r="AQ437" s="310"/>
      <c r="AR437" s="310"/>
      <c r="AS437" s="310"/>
      <c r="AT437" s="310"/>
      <c r="AU437" s="310"/>
      <c r="AV437" s="310"/>
      <c r="AW437" s="544"/>
      <c r="AX437" s="525"/>
      <c r="AY437" s="310"/>
      <c r="AZ437" s="310"/>
      <c r="BA437" s="310"/>
      <c r="BB437" s="310"/>
      <c r="BC437" s="310"/>
      <c r="BD437" s="310"/>
      <c r="BE437" s="544">
        <f t="shared" si="244"/>
        <v>0</v>
      </c>
      <c r="BF437" s="525"/>
      <c r="BG437" s="310"/>
      <c r="BH437" s="310"/>
      <c r="BI437" s="310"/>
      <c r="BJ437" s="310"/>
      <c r="BK437" s="310"/>
      <c r="BL437" s="310"/>
      <c r="BM437" s="544">
        <f t="shared" si="245"/>
        <v>0</v>
      </c>
      <c r="BN437" s="525"/>
      <c r="BO437" s="310"/>
      <c r="BP437" s="310"/>
      <c r="BQ437" s="310"/>
      <c r="BR437" s="310"/>
      <c r="BS437" s="310"/>
      <c r="BT437" s="310"/>
      <c r="BU437" s="544">
        <f t="shared" si="246"/>
        <v>0</v>
      </c>
      <c r="BV437" s="556"/>
      <c r="BW437" s="663">
        <f t="shared" si="236"/>
        <v>1</v>
      </c>
      <c r="BX437" s="1047">
        <f t="shared" si="248"/>
        <v>1</v>
      </c>
      <c r="BY437" s="1047">
        <f t="shared" si="258"/>
        <v>0</v>
      </c>
      <c r="BZ437" s="1047">
        <f t="shared" si="259"/>
        <v>1</v>
      </c>
      <c r="CA437" s="1047" t="str">
        <f t="shared" si="260"/>
        <v>Aplazada</v>
      </c>
      <c r="CB437" s="1047" t="str">
        <f t="shared" si="261"/>
        <v>No Programada</v>
      </c>
      <c r="CD437" t="str">
        <f t="shared" si="262"/>
        <v>ROB</v>
      </c>
      <c r="CE437" t="str">
        <f t="shared" si="262"/>
        <v>VE</v>
      </c>
      <c r="CF437" t="str">
        <f t="shared" si="262"/>
        <v>AZ</v>
      </c>
      <c r="CG437" t="str">
        <f t="shared" si="262"/>
        <v>NP</v>
      </c>
    </row>
    <row r="438" spans="1:85" s="1242" customFormat="1" ht="48.75" hidden="1" customHeight="1" thickBot="1" x14ac:dyDescent="0.3">
      <c r="A438" s="440"/>
      <c r="B438" s="440"/>
      <c r="C438" s="440"/>
      <c r="D438" s="1642" t="s">
        <v>3053</v>
      </c>
      <c r="E438" s="1642"/>
      <c r="F438" s="1642"/>
      <c r="G438" s="1642"/>
      <c r="H438" s="1642"/>
      <c r="I438" s="1642"/>
      <c r="J438" s="1642"/>
      <c r="K438" s="1642"/>
      <c r="L438" s="1642"/>
      <c r="M438" s="1642"/>
      <c r="N438" s="1642"/>
      <c r="O438" s="1642"/>
      <c r="P438" s="1642"/>
      <c r="Q438" s="1642"/>
      <c r="R438" s="1642"/>
      <c r="S438" s="1642"/>
      <c r="T438" s="1642"/>
      <c r="U438" s="1642"/>
      <c r="V438" s="1642"/>
      <c r="W438" s="1642"/>
      <c r="X438" s="1642"/>
      <c r="Y438" s="1642"/>
      <c r="Z438" s="1642"/>
      <c r="AA438" s="1642"/>
      <c r="AB438" s="1642"/>
      <c r="AC438" s="1642"/>
      <c r="AD438" s="1642"/>
      <c r="AE438" s="1642"/>
      <c r="AF438" s="1642"/>
      <c r="AG438" s="1642"/>
      <c r="AH438" s="1642"/>
      <c r="AI438" s="1642"/>
      <c r="AJ438" s="1642"/>
      <c r="AK438" s="1642"/>
      <c r="AL438" s="1642"/>
      <c r="AM438" s="1643"/>
      <c r="AN438" s="292"/>
      <c r="AO438" s="504"/>
      <c r="AP438" s="632"/>
      <c r="AQ438" s="633"/>
      <c r="AR438" s="633"/>
      <c r="AS438" s="633"/>
      <c r="AT438" s="633"/>
      <c r="AU438" s="633"/>
      <c r="AV438" s="633"/>
      <c r="AW438" s="555"/>
      <c r="AX438" s="632"/>
      <c r="AY438" s="633"/>
      <c r="AZ438" s="633"/>
      <c r="BA438" s="633"/>
      <c r="BB438" s="633"/>
      <c r="BC438" s="633"/>
      <c r="BD438" s="633"/>
      <c r="BE438" s="555">
        <f t="shared" si="244"/>
        <v>0</v>
      </c>
      <c r="BF438" s="632"/>
      <c r="BG438" s="633"/>
      <c r="BH438" s="633"/>
      <c r="BI438" s="633"/>
      <c r="BJ438" s="633"/>
      <c r="BK438" s="633"/>
      <c r="BL438" s="633"/>
      <c r="BM438" s="555">
        <f t="shared" si="245"/>
        <v>0</v>
      </c>
      <c r="BN438" s="632"/>
      <c r="BO438" s="633"/>
      <c r="BP438" s="633"/>
      <c r="BQ438" s="633"/>
      <c r="BR438" s="633"/>
      <c r="BS438" s="633"/>
      <c r="BT438" s="633"/>
      <c r="BU438" s="555">
        <f t="shared" si="246"/>
        <v>0</v>
      </c>
      <c r="BV438" s="556"/>
      <c r="BW438" s="555" t="s">
        <v>2717</v>
      </c>
      <c r="BX438" s="555" t="s">
        <v>2717</v>
      </c>
      <c r="BY438" s="555" t="s">
        <v>2717</v>
      </c>
      <c r="BZ438" s="555" t="s">
        <v>2717</v>
      </c>
      <c r="CA438" s="555" t="s">
        <v>2717</v>
      </c>
      <c r="CB438" s="1047" t="s">
        <v>2717</v>
      </c>
      <c r="CC438"/>
      <c r="CD438"/>
      <c r="CE438"/>
      <c r="CF438"/>
      <c r="CG438"/>
    </row>
    <row r="439" spans="1:85" s="1242" customFormat="1" ht="33" hidden="1" customHeight="1" thickBot="1" x14ac:dyDescent="0.3">
      <c r="A439" s="441"/>
      <c r="B439" s="442"/>
      <c r="C439" s="1590" t="s">
        <v>1350</v>
      </c>
      <c r="D439" s="1590"/>
      <c r="E439" s="1590"/>
      <c r="F439" s="1590"/>
      <c r="G439" s="1590"/>
      <c r="H439" s="1590"/>
      <c r="I439" s="1590"/>
      <c r="J439" s="1590"/>
      <c r="K439" s="1590"/>
      <c r="L439" s="1590"/>
      <c r="M439" s="1590"/>
      <c r="N439" s="1590"/>
      <c r="O439" s="1590"/>
      <c r="P439" s="1590"/>
      <c r="Q439" s="1590"/>
      <c r="R439" s="1590"/>
      <c r="S439" s="1590"/>
      <c r="T439" s="1590"/>
      <c r="U439" s="1590"/>
      <c r="V439" s="1590"/>
      <c r="W439" s="1590"/>
      <c r="X439" s="1590"/>
      <c r="Y439" s="1590"/>
      <c r="Z439" s="1590"/>
      <c r="AA439" s="1590"/>
      <c r="AB439" s="1590"/>
      <c r="AC439" s="1590"/>
      <c r="AD439" s="1590"/>
      <c r="AE439" s="1590"/>
      <c r="AF439" s="1590"/>
      <c r="AG439" s="1590"/>
      <c r="AH439" s="1590"/>
      <c r="AI439" s="1590"/>
      <c r="AJ439" s="1590"/>
      <c r="AK439" s="1590"/>
      <c r="AL439" s="1590"/>
      <c r="AM439" s="1641"/>
      <c r="AN439" s="437"/>
      <c r="AO439" s="517"/>
      <c r="AP439" s="524"/>
      <c r="AQ439" s="374"/>
      <c r="AR439" s="374"/>
      <c r="AS439" s="374"/>
      <c r="AT439" s="374"/>
      <c r="AU439" s="374"/>
      <c r="AV439" s="374"/>
      <c r="AW439" s="544"/>
      <c r="AX439" s="524"/>
      <c r="AY439" s="374"/>
      <c r="AZ439" s="374"/>
      <c r="BA439" s="374"/>
      <c r="BB439" s="374"/>
      <c r="BC439" s="374"/>
      <c r="BD439" s="374"/>
      <c r="BE439" s="544">
        <f t="shared" si="244"/>
        <v>0</v>
      </c>
      <c r="BF439" s="524"/>
      <c r="BG439" s="374"/>
      <c r="BH439" s="374"/>
      <c r="BI439" s="374"/>
      <c r="BJ439" s="374"/>
      <c r="BK439" s="374"/>
      <c r="BL439" s="374"/>
      <c r="BM439" s="544">
        <f t="shared" si="245"/>
        <v>0</v>
      </c>
      <c r="BN439" s="524"/>
      <c r="BO439" s="374"/>
      <c r="BP439" s="374"/>
      <c r="BQ439" s="374"/>
      <c r="BR439" s="374"/>
      <c r="BS439" s="374"/>
      <c r="BT439" s="374"/>
      <c r="BU439" s="544">
        <f t="shared" si="246"/>
        <v>0</v>
      </c>
      <c r="BV439" s="556"/>
      <c r="BW439" s="544" t="s">
        <v>2717</v>
      </c>
      <c r="BX439" s="544" t="s">
        <v>2717</v>
      </c>
      <c r="BY439" s="544" t="s">
        <v>2717</v>
      </c>
      <c r="BZ439" s="544" t="s">
        <v>2717</v>
      </c>
      <c r="CA439" s="544" t="s">
        <v>2717</v>
      </c>
      <c r="CB439" s="1047" t="s">
        <v>2717</v>
      </c>
      <c r="CC439"/>
      <c r="CD439"/>
      <c r="CE439"/>
      <c r="CF439"/>
      <c r="CG439"/>
    </row>
    <row r="440" spans="1:85" s="1242" customFormat="1" ht="21.75" hidden="1" customHeight="1" x14ac:dyDescent="0.25">
      <c r="A440" s="391"/>
      <c r="B440" s="331" t="str">
        <f>'PLAN INDICATIVO'!B440</f>
        <v>Ambiental</v>
      </c>
      <c r="C440" s="1640" t="s">
        <v>1352</v>
      </c>
      <c r="D440" s="1640"/>
      <c r="E440" s="1640"/>
      <c r="F440" s="1640"/>
      <c r="G440" s="1640"/>
      <c r="H440" s="1640"/>
      <c r="I440" s="1640"/>
      <c r="J440" s="1640"/>
      <c r="K440" s="1640"/>
      <c r="L440" s="1640"/>
      <c r="M440" s="1640"/>
      <c r="N440" s="1640"/>
      <c r="O440" s="1640"/>
      <c r="P440" s="318"/>
      <c r="Q440" s="318"/>
      <c r="R440" s="317"/>
      <c r="S440" s="319"/>
      <c r="T440" s="676"/>
      <c r="U440" s="319"/>
      <c r="V440" s="695">
        <f>SUM(V441:V472)</f>
        <v>308220000</v>
      </c>
      <c r="W440" s="319"/>
      <c r="X440" s="695">
        <f>SUM(X441:X472)</f>
        <v>392900000</v>
      </c>
      <c r="Y440" s="319"/>
      <c r="Z440" s="695">
        <f>SUM(Z441:Z472)</f>
        <v>225000000</v>
      </c>
      <c r="AA440" s="320"/>
      <c r="AB440" s="708">
        <f>SUM(AB441:AB472)</f>
        <v>262000000</v>
      </c>
      <c r="AC440" s="320"/>
      <c r="AD440" s="320"/>
      <c r="AE440" s="320"/>
      <c r="AF440" s="320"/>
      <c r="AG440" s="321"/>
      <c r="AH440" s="321"/>
      <c r="AI440" s="321"/>
      <c r="AJ440" s="320"/>
      <c r="AK440" s="320"/>
      <c r="AL440" s="320"/>
      <c r="AM440" s="320"/>
      <c r="AN440" s="320"/>
      <c r="AO440" s="630"/>
      <c r="AP440" s="616"/>
      <c r="AQ440" s="616"/>
      <c r="AR440" s="616"/>
      <c r="AS440" s="616"/>
      <c r="AT440" s="616"/>
      <c r="AU440" s="616"/>
      <c r="AV440" s="616"/>
      <c r="AW440" s="617"/>
      <c r="AX440" s="616" t="e">
        <f>(AX441:AX472)</f>
        <v>#VALUE!</v>
      </c>
      <c r="AY440" s="616" t="e">
        <f t="shared" ref="AY440:BD440" si="263">(AY441:AY472)</f>
        <v>#VALUE!</v>
      </c>
      <c r="AZ440" s="616" t="e">
        <f t="shared" si="263"/>
        <v>#VALUE!</v>
      </c>
      <c r="BA440" s="616" t="e">
        <f t="shared" si="263"/>
        <v>#VALUE!</v>
      </c>
      <c r="BB440" s="616" t="e">
        <f t="shared" si="263"/>
        <v>#VALUE!</v>
      </c>
      <c r="BC440" s="616" t="e">
        <f t="shared" si="263"/>
        <v>#VALUE!</v>
      </c>
      <c r="BD440" s="616" t="e">
        <f t="shared" si="263"/>
        <v>#VALUE!</v>
      </c>
      <c r="BE440" s="617" t="e">
        <f t="shared" si="244"/>
        <v>#VALUE!</v>
      </c>
      <c r="BF440" s="616"/>
      <c r="BG440" s="616"/>
      <c r="BH440" s="616"/>
      <c r="BI440" s="616"/>
      <c r="BJ440" s="616"/>
      <c r="BK440" s="616"/>
      <c r="BL440" s="616"/>
      <c r="BM440" s="617">
        <f t="shared" si="245"/>
        <v>0</v>
      </c>
      <c r="BN440" s="616" t="e">
        <f>(BN441:BN472)</f>
        <v>#VALUE!</v>
      </c>
      <c r="BO440" s="616" t="e">
        <f t="shared" ref="BO440:BT440" si="264">(BO441:BO472)</f>
        <v>#VALUE!</v>
      </c>
      <c r="BP440" s="616" t="e">
        <f t="shared" si="264"/>
        <v>#VALUE!</v>
      </c>
      <c r="BQ440" s="616" t="e">
        <f t="shared" si="264"/>
        <v>#VALUE!</v>
      </c>
      <c r="BR440" s="616" t="e">
        <f t="shared" si="264"/>
        <v>#VALUE!</v>
      </c>
      <c r="BS440" s="616" t="e">
        <f t="shared" si="264"/>
        <v>#VALUE!</v>
      </c>
      <c r="BT440" s="616" t="e">
        <f t="shared" si="264"/>
        <v>#VALUE!</v>
      </c>
      <c r="BU440" s="617" t="e">
        <f t="shared" si="246"/>
        <v>#VALUE!</v>
      </c>
      <c r="BV440" s="556"/>
      <c r="BW440" s="617" t="s">
        <v>2717</v>
      </c>
      <c r="BX440" s="617" t="s">
        <v>2717</v>
      </c>
      <c r="BY440" s="617" t="s">
        <v>2717</v>
      </c>
      <c r="BZ440" s="617" t="s">
        <v>2717</v>
      </c>
      <c r="CA440" s="617" t="s">
        <v>2717</v>
      </c>
      <c r="CB440" s="1047" t="s">
        <v>2717</v>
      </c>
      <c r="CC440"/>
      <c r="CD440"/>
      <c r="CE440"/>
      <c r="CF440"/>
      <c r="CG440"/>
    </row>
    <row r="441" spans="1:85" ht="93.75" customHeight="1" x14ac:dyDescent="0.3">
      <c r="A441" s="298" t="s">
        <v>1353</v>
      </c>
      <c r="B441" s="299" t="str">
        <f>'PLAN INDICATIVO'!B441</f>
        <v>Ambiental</v>
      </c>
      <c r="C441" s="1546" t="s">
        <v>1354</v>
      </c>
      <c r="D441" s="1550" t="s">
        <v>1355</v>
      </c>
      <c r="E441" s="1550" t="s">
        <v>1356</v>
      </c>
      <c r="F441" s="1550">
        <v>2015</v>
      </c>
      <c r="G441" s="1550">
        <v>12676</v>
      </c>
      <c r="H441" s="1550">
        <v>14000</v>
      </c>
      <c r="I441" s="300">
        <f>'PLAN INDICATIVO'!I441</f>
        <v>0</v>
      </c>
      <c r="J441" s="300">
        <f>'PLAN INDICATIVO'!J441</f>
        <v>0</v>
      </c>
      <c r="K441" s="1428" t="str">
        <f>'PLAN INDICATIVO'!K441</f>
        <v>A.10.1.1</v>
      </c>
      <c r="L441" s="301" t="str">
        <f>'PLAN INDICATIVO'!L441</f>
        <v>15. Vida de ecosistemas terrestres</v>
      </c>
      <c r="M441" s="301" t="str">
        <f>'PLAN INDICATIVO'!M441</f>
        <v>Unidad de Desarrollo Rural</v>
      </c>
      <c r="N441" s="1425" t="str">
        <f>'PLAN INDICATIVO'!N441</f>
        <v>GABRIEL ERNESTO CAMPOS ALVIRA</v>
      </c>
      <c r="O441" s="1425" t="str">
        <f>'PLAN INDICATIVO'!O441</f>
        <v>Incremento</v>
      </c>
      <c r="P441" s="16" t="str">
        <f>'PLAN INDICATIVO'!P441</f>
        <v>Destinar 44 Predios particulares para la conservación, restauración y protección de zonas de importancia estratégica ambiental incentivados en materia de impuesto predial, durante el cuatrienio</v>
      </c>
      <c r="Q441" s="302" t="str">
        <f>'PLAN INDICATIVO'!Q441</f>
        <v>No. De predios con incentivos</v>
      </c>
      <c r="R441" s="303">
        <f>'PLAN INDICATIVO'!R441</f>
        <v>2015</v>
      </c>
      <c r="S441" s="304">
        <v>195</v>
      </c>
      <c r="T441" s="498">
        <v>44</v>
      </c>
      <c r="U441" s="572">
        <v>10</v>
      </c>
      <c r="V441" s="687">
        <v>5000000</v>
      </c>
      <c r="W441" s="572">
        <v>10</v>
      </c>
      <c r="X441" s="687">
        <v>6000000</v>
      </c>
      <c r="Y441" s="1232">
        <v>14</v>
      </c>
      <c r="Z441" s="1233">
        <v>1000000</v>
      </c>
      <c r="AA441" s="1310">
        <v>14</v>
      </c>
      <c r="AB441" s="687">
        <v>10000000</v>
      </c>
      <c r="AC441" s="665">
        <f>7+3</f>
        <v>10</v>
      </c>
      <c r="AD441" s="665">
        <v>10</v>
      </c>
      <c r="AE441" s="665">
        <v>10</v>
      </c>
      <c r="AF441" s="665"/>
      <c r="AG441" s="1211" t="s">
        <v>4384</v>
      </c>
      <c r="AH441" s="307" t="s">
        <v>4385</v>
      </c>
      <c r="AI441" s="309" t="s">
        <v>4386</v>
      </c>
      <c r="AJ441" s="309">
        <v>42551</v>
      </c>
      <c r="AK441" s="308"/>
      <c r="AL441" s="308"/>
      <c r="AM441" s="308"/>
      <c r="AN441" s="267" t="s">
        <v>2604</v>
      </c>
      <c r="AO441" s="507" t="s">
        <v>3887</v>
      </c>
      <c r="AP441" s="973"/>
      <c r="AQ441" s="973"/>
      <c r="AR441" s="973"/>
      <c r="AS441" s="973"/>
      <c r="AT441" s="973"/>
      <c r="AU441" s="973"/>
      <c r="AV441" s="973">
        <v>1600000</v>
      </c>
      <c r="AW441" s="975">
        <f>SUM(AP441+AQ441+AR441+AS441+AT441+AU441+AV441)</f>
        <v>1600000</v>
      </c>
      <c r="AX441" s="525"/>
      <c r="AY441" s="310"/>
      <c r="AZ441" s="310"/>
      <c r="BA441" s="310"/>
      <c r="BB441" s="310"/>
      <c r="BC441" s="310"/>
      <c r="BD441" s="310"/>
      <c r="BE441" s="544">
        <f t="shared" si="244"/>
        <v>0</v>
      </c>
      <c r="BF441" s="525"/>
      <c r="BG441" s="310"/>
      <c r="BH441" s="310"/>
      <c r="BI441" s="310"/>
      <c r="BJ441" s="310"/>
      <c r="BK441" s="310"/>
      <c r="BL441" s="310">
        <v>1600000</v>
      </c>
      <c r="BM441" s="544">
        <f t="shared" si="245"/>
        <v>1600000</v>
      </c>
      <c r="BN441" s="525"/>
      <c r="BO441" s="310"/>
      <c r="BP441" s="310"/>
      <c r="BQ441" s="310"/>
      <c r="BR441" s="310"/>
      <c r="BS441" s="310"/>
      <c r="BT441" s="310"/>
      <c r="BU441" s="544">
        <f t="shared" si="246"/>
        <v>0</v>
      </c>
      <c r="BV441" s="556"/>
      <c r="BW441" s="663">
        <f t="shared" si="236"/>
        <v>30</v>
      </c>
      <c r="BX441" s="1047">
        <f t="shared" si="248"/>
        <v>0.68181818181818177</v>
      </c>
      <c r="BY441" s="1047">
        <f t="shared" ref="BY441:BY472" si="265">IF(U441&gt;=0.1,AC441/U441,IF(ISBLANK(U441),"No Programada","Aplazada"))</f>
        <v>1</v>
      </c>
      <c r="BZ441" s="1047">
        <f t="shared" ref="BZ441:CA472" si="266">IF(W441&gt;=0.1,AD441/W441,IF(ISBLANK(W441),"No Programada","Aplazada"))</f>
        <v>1</v>
      </c>
      <c r="CA441" s="1047">
        <f t="shared" ref="CA441:CA471" si="267">IF(Y441&gt;=0.1,AE441/Y441,IF(ISBLANK(Y441),"No Programada","Aplazada"))</f>
        <v>0.7142857142857143</v>
      </c>
      <c r="CB441" s="1047">
        <f t="shared" ref="CB441:CB472" si="268">IF(AA441&gt;=0.1,AF441/AA441,IF(ISBLANK(AA441),"No Programada","Aplazada"))</f>
        <v>0</v>
      </c>
      <c r="CD441" t="str">
        <f t="shared" ref="CD441:CG472" si="269">IF(BY441="PARA MODIFICAR","M",IF(BY441="PARA ELIMINAR","E",IF(BY441="aplazada","AZ",IF(BY441="no programada","NP",IF(BY441&gt;=85%,"VE",IF(BY441&gt;70%,"VEB",IF(BY441&gt;60%,"AM",IF(BY441&gt;40%,"AMB",IF(BY441&gt;20%,"RO",IF(BY441&gt;=0%,"ROB",""))))))))))</f>
        <v>VE</v>
      </c>
      <c r="CE441" t="str">
        <f t="shared" si="269"/>
        <v>VE</v>
      </c>
      <c r="CF441" t="str">
        <f t="shared" si="269"/>
        <v>VEB</v>
      </c>
      <c r="CG441" t="str">
        <f t="shared" si="269"/>
        <v>ROB</v>
      </c>
    </row>
    <row r="442" spans="1:85" ht="79.5" customHeight="1" x14ac:dyDescent="0.3">
      <c r="A442" s="298" t="s">
        <v>1353</v>
      </c>
      <c r="B442" s="299" t="str">
        <f>'PLAN INDICATIVO'!B442</f>
        <v>Ambiental</v>
      </c>
      <c r="C442" s="1547"/>
      <c r="D442" s="1551"/>
      <c r="E442" s="1551"/>
      <c r="F442" s="1551"/>
      <c r="G442" s="1551"/>
      <c r="H442" s="1551"/>
      <c r="I442" s="1425" t="str">
        <f>'PLAN INDICATIVO'!I442</f>
        <v>SI</v>
      </c>
      <c r="J442" s="1425">
        <f>'PLAN INDICATIVO'!J442</f>
        <v>0</v>
      </c>
      <c r="K442" s="1428" t="str">
        <f>'PLAN INDICATIVO'!K442</f>
        <v>A.10.1.2</v>
      </c>
      <c r="L442" s="301" t="str">
        <f>'PLAN INDICATIVO'!L442</f>
        <v>15. Vida de ecosistemas terrestres</v>
      </c>
      <c r="M442" s="301" t="str">
        <f>'PLAN INDICATIVO'!M442</f>
        <v>Unidad de Desarrollo Rural</v>
      </c>
      <c r="N442" s="1425" t="str">
        <f>'PLAN INDICATIVO'!N442</f>
        <v>GABRIEL ERNESTO CAMPOS ALVIRA</v>
      </c>
      <c r="O442" s="1425" t="str">
        <f>'PLAN INDICATIVO'!O442</f>
        <v>Incremento</v>
      </c>
      <c r="P442" s="16" t="str">
        <f>'PLAN INDICATIVO'!P442</f>
        <v xml:space="preserve">Proteger 12 micro cuencas mediante la reforestación, aislamiento y manejo de regeneración o siembra de especies protectora, durante el cuatrienio </v>
      </c>
      <c r="Q442" s="302" t="str">
        <f>'PLAN INDICATIVO'!Q442</f>
        <v>No. Micro cuencas protegidas con reforestación o aislamiento</v>
      </c>
      <c r="R442" s="303">
        <f>'PLAN INDICATIVO'!R442</f>
        <v>2015</v>
      </c>
      <c r="S442" s="304">
        <v>0</v>
      </c>
      <c r="T442" s="498">
        <v>12</v>
      </c>
      <c r="U442" s="572">
        <v>3</v>
      </c>
      <c r="V442" s="687">
        <v>16000000</v>
      </c>
      <c r="W442" s="572">
        <v>3</v>
      </c>
      <c r="X442" s="687">
        <v>23000000</v>
      </c>
      <c r="Y442" s="1232">
        <v>3</v>
      </c>
      <c r="Z442" s="1233">
        <v>19000000</v>
      </c>
      <c r="AA442" s="1310">
        <v>2</v>
      </c>
      <c r="AB442" s="687">
        <v>20000000</v>
      </c>
      <c r="AC442" s="665">
        <v>3</v>
      </c>
      <c r="AD442" s="665">
        <v>4</v>
      </c>
      <c r="AE442" s="665">
        <v>3</v>
      </c>
      <c r="AF442" s="665"/>
      <c r="AG442" s="1211" t="s">
        <v>4384</v>
      </c>
      <c r="AH442" s="307" t="s">
        <v>4387</v>
      </c>
      <c r="AI442" s="309" t="s">
        <v>4388</v>
      </c>
      <c r="AJ442" s="309">
        <v>43465</v>
      </c>
      <c r="AK442" s="308"/>
      <c r="AL442" s="308"/>
      <c r="AM442" s="308"/>
      <c r="AN442" s="267" t="s">
        <v>2598</v>
      </c>
      <c r="AO442" s="507" t="s">
        <v>4389</v>
      </c>
      <c r="AP442" s="972"/>
      <c r="AQ442" s="973"/>
      <c r="AR442" s="973"/>
      <c r="AS442" s="973"/>
      <c r="AT442" s="973"/>
      <c r="AU442" s="973"/>
      <c r="AV442" s="973">
        <v>1600000</v>
      </c>
      <c r="AW442" s="975">
        <f t="shared" ref="AW442:AW471" si="270">SUM(AP442+AQ442+AR442+AS442+AT442+AU442+AV442)</f>
        <v>1600000</v>
      </c>
      <c r="AX442" s="525"/>
      <c r="AY442" s="310"/>
      <c r="AZ442" s="310"/>
      <c r="BA442" s="310"/>
      <c r="BB442" s="310"/>
      <c r="BC442" s="310"/>
      <c r="BD442" s="310"/>
      <c r="BE442" s="544">
        <f t="shared" si="244"/>
        <v>0</v>
      </c>
      <c r="BF442" s="525"/>
      <c r="BG442" s="310"/>
      <c r="BH442" s="310"/>
      <c r="BI442" s="310"/>
      <c r="BJ442" s="310"/>
      <c r="BK442" s="310"/>
      <c r="BL442" s="310">
        <v>1600000</v>
      </c>
      <c r="BM442" s="544">
        <f t="shared" si="245"/>
        <v>1600000</v>
      </c>
      <c r="BN442" s="525"/>
      <c r="BO442" s="310"/>
      <c r="BP442" s="310"/>
      <c r="BQ442" s="310"/>
      <c r="BR442" s="310"/>
      <c r="BS442" s="310"/>
      <c r="BT442" s="310"/>
      <c r="BU442" s="544">
        <f t="shared" si="246"/>
        <v>0</v>
      </c>
      <c r="BV442" s="556"/>
      <c r="BW442" s="663">
        <f t="shared" si="236"/>
        <v>10</v>
      </c>
      <c r="BX442" s="1047">
        <f t="shared" si="248"/>
        <v>0.83333333333333337</v>
      </c>
      <c r="BY442" s="1047">
        <f t="shared" si="265"/>
        <v>1</v>
      </c>
      <c r="BZ442" s="1047">
        <f t="shared" si="266"/>
        <v>1.3333333333333333</v>
      </c>
      <c r="CA442" s="1047">
        <f t="shared" si="267"/>
        <v>1</v>
      </c>
      <c r="CB442" s="1047">
        <f t="shared" si="268"/>
        <v>0</v>
      </c>
      <c r="CD442" t="str">
        <f t="shared" si="269"/>
        <v>VE</v>
      </c>
      <c r="CE442" t="str">
        <f t="shared" si="269"/>
        <v>VE</v>
      </c>
      <c r="CF442" t="str">
        <f t="shared" si="269"/>
        <v>VE</v>
      </c>
      <c r="CG442" t="str">
        <f t="shared" si="269"/>
        <v>ROB</v>
      </c>
    </row>
    <row r="443" spans="1:85" ht="60.75" customHeight="1" x14ac:dyDescent="0.3">
      <c r="A443" s="298" t="s">
        <v>1353</v>
      </c>
      <c r="B443" s="299" t="str">
        <f>'PLAN INDICATIVO'!B443</f>
        <v>Ambiental</v>
      </c>
      <c r="C443" s="1547"/>
      <c r="D443" s="1551"/>
      <c r="E443" s="1551"/>
      <c r="F443" s="1551"/>
      <c r="G443" s="1551"/>
      <c r="H443" s="1551"/>
      <c r="I443" s="300">
        <f>'PLAN INDICATIVO'!I443</f>
        <v>0</v>
      </c>
      <c r="J443" s="300">
        <f>'PLAN INDICATIVO'!J443</f>
        <v>0</v>
      </c>
      <c r="K443" s="1428" t="str">
        <f>'PLAN INDICATIVO'!K443</f>
        <v>A.10.1.3</v>
      </c>
      <c r="L443" s="301" t="str">
        <f>'PLAN INDICATIVO'!L443</f>
        <v>15. Vida de ecosistemas terrestres</v>
      </c>
      <c r="M443" s="301" t="str">
        <f>'PLAN INDICATIVO'!M443</f>
        <v>Unidad de Desarrollo Rural</v>
      </c>
      <c r="N443" s="1425" t="str">
        <f>'PLAN INDICATIVO'!N443</f>
        <v>GABRIEL ERNESTO CAMPOS ALVIRA</v>
      </c>
      <c r="O443" s="1425" t="str">
        <f>'PLAN INDICATIVO'!O443</f>
        <v>Incremento</v>
      </c>
      <c r="P443" s="16" t="str">
        <f>'PLAN INDICATIVO'!P443</f>
        <v>Garantizar 3 mejoramientos paisajístico y ambiental en el Municipio durante el cuatrienio</v>
      </c>
      <c r="Q443" s="302" t="str">
        <f>'PLAN INDICATIVO'!Q443</f>
        <v xml:space="preserve">No. De mejoramiento paisajísticos garantizados </v>
      </c>
      <c r="R443" s="303">
        <f>'PLAN INDICATIVO'!R443</f>
        <v>2015</v>
      </c>
      <c r="S443" s="304">
        <v>0</v>
      </c>
      <c r="T443" s="498">
        <v>3</v>
      </c>
      <c r="U443" s="572">
        <v>0</v>
      </c>
      <c r="V443" s="687">
        <v>5000000</v>
      </c>
      <c r="W443" s="572">
        <v>1</v>
      </c>
      <c r="X443" s="687">
        <v>6000000</v>
      </c>
      <c r="Y443" s="1232">
        <v>1</v>
      </c>
      <c r="Z443" s="1233">
        <v>3000000</v>
      </c>
      <c r="AA443" s="1310">
        <v>2</v>
      </c>
      <c r="AB443" s="687">
        <v>3000000</v>
      </c>
      <c r="AC443" s="665"/>
      <c r="AD443" s="665">
        <v>1</v>
      </c>
      <c r="AE443" s="665"/>
      <c r="AF443" s="665"/>
      <c r="AG443" s="892"/>
      <c r="AH443" s="307" t="s">
        <v>4390</v>
      </c>
      <c r="AI443" s="309"/>
      <c r="AJ443" s="309"/>
      <c r="AK443" s="308"/>
      <c r="AL443" s="308"/>
      <c r="AM443" s="308"/>
      <c r="AN443" s="267" t="s">
        <v>2600</v>
      </c>
      <c r="AO443" s="507"/>
      <c r="AP443" s="973"/>
      <c r="AQ443" s="973"/>
      <c r="AR443" s="973"/>
      <c r="AS443" s="973"/>
      <c r="AT443" s="973"/>
      <c r="AU443" s="973"/>
      <c r="AV443" s="973"/>
      <c r="AW443" s="975">
        <f t="shared" si="270"/>
        <v>0</v>
      </c>
      <c r="AX443" s="525"/>
      <c r="AY443" s="310"/>
      <c r="AZ443" s="310"/>
      <c r="BA443" s="310"/>
      <c r="BB443" s="310"/>
      <c r="BC443" s="310"/>
      <c r="BD443" s="310"/>
      <c r="BE443" s="544">
        <f t="shared" si="244"/>
        <v>0</v>
      </c>
      <c r="BF443" s="525"/>
      <c r="BG443" s="310"/>
      <c r="BH443" s="310"/>
      <c r="BI443" s="310"/>
      <c r="BJ443" s="310"/>
      <c r="BK443" s="310"/>
      <c r="BL443" s="310"/>
      <c r="BM443" s="544">
        <f t="shared" si="245"/>
        <v>0</v>
      </c>
      <c r="BN443" s="525"/>
      <c r="BO443" s="310"/>
      <c r="BP443" s="310"/>
      <c r="BQ443" s="310"/>
      <c r="BR443" s="310"/>
      <c r="BS443" s="310"/>
      <c r="BT443" s="310"/>
      <c r="BU443" s="544">
        <f t="shared" si="246"/>
        <v>0</v>
      </c>
      <c r="BV443" s="556"/>
      <c r="BW443" s="663">
        <f t="shared" si="236"/>
        <v>1</v>
      </c>
      <c r="BX443" s="1047">
        <f t="shared" si="248"/>
        <v>0.33333333333333331</v>
      </c>
      <c r="BY443" s="1047" t="str">
        <f t="shared" si="265"/>
        <v>Aplazada</v>
      </c>
      <c r="BZ443" s="1047">
        <f t="shared" si="266"/>
        <v>1</v>
      </c>
      <c r="CA443" s="1047">
        <f t="shared" si="267"/>
        <v>0</v>
      </c>
      <c r="CB443" s="1047">
        <f t="shared" si="268"/>
        <v>0</v>
      </c>
      <c r="CD443" t="str">
        <f t="shared" si="269"/>
        <v>AZ</v>
      </c>
      <c r="CE443" t="str">
        <f t="shared" si="269"/>
        <v>VE</v>
      </c>
      <c r="CF443" t="str">
        <f t="shared" si="269"/>
        <v>ROB</v>
      </c>
      <c r="CG443" t="str">
        <f t="shared" si="269"/>
        <v>ROB</v>
      </c>
    </row>
    <row r="444" spans="1:85" ht="44.25" customHeight="1" x14ac:dyDescent="0.3">
      <c r="A444" s="298" t="s">
        <v>1353</v>
      </c>
      <c r="B444" s="299" t="str">
        <f>'PLAN INDICATIVO'!B444</f>
        <v>Ambiental</v>
      </c>
      <c r="C444" s="1547"/>
      <c r="D444" s="1551"/>
      <c r="E444" s="1551"/>
      <c r="F444" s="1551"/>
      <c r="G444" s="1551"/>
      <c r="H444" s="1551"/>
      <c r="I444" s="300">
        <f>'PLAN INDICATIVO'!I444</f>
        <v>0</v>
      </c>
      <c r="J444" s="300">
        <f>'PLAN INDICATIVO'!J444</f>
        <v>0</v>
      </c>
      <c r="K444" s="1428" t="str">
        <f>'PLAN INDICATIVO'!K444</f>
        <v>A.10.1.4</v>
      </c>
      <c r="L444" s="301" t="str">
        <f>'PLAN INDICATIVO'!L444</f>
        <v>15. Vida de ecosistemas terrestres</v>
      </c>
      <c r="M444" s="301" t="str">
        <f>'PLAN INDICATIVO'!M444</f>
        <v>Unidad de Desarrollo Rural</v>
      </c>
      <c r="N444" s="1425" t="str">
        <f>'PLAN INDICATIVO'!N444</f>
        <v>GABRIEL ERNESTO CAMPOS ALVIRA</v>
      </c>
      <c r="O444" s="1425" t="str">
        <f>'PLAN INDICATIVO'!O444</f>
        <v>Incremento</v>
      </c>
      <c r="P444" s="16" t="str">
        <f>'PLAN INDICATIVO'!P444</f>
        <v>Realizar 1 inventario forestal urbano durante el cuatrienio</v>
      </c>
      <c r="Q444" s="302" t="str">
        <f>'PLAN INDICATIVO'!Q444</f>
        <v>No. De inventarios realizados</v>
      </c>
      <c r="R444" s="303">
        <f>'PLAN INDICATIVO'!R444</f>
        <v>2015</v>
      </c>
      <c r="S444" s="304">
        <v>0</v>
      </c>
      <c r="T444" s="498">
        <v>1</v>
      </c>
      <c r="U444" s="572">
        <v>0</v>
      </c>
      <c r="V444" s="687">
        <v>0</v>
      </c>
      <c r="W444" s="572">
        <v>0</v>
      </c>
      <c r="X444" s="687"/>
      <c r="Y444" s="1232">
        <v>1</v>
      </c>
      <c r="Z444" s="1233">
        <v>4000000</v>
      </c>
      <c r="AA444" s="1310"/>
      <c r="AB444" s="687">
        <v>2000000</v>
      </c>
      <c r="AC444" s="665"/>
      <c r="AD444" s="665">
        <v>0</v>
      </c>
      <c r="AE444" s="665">
        <v>1</v>
      </c>
      <c r="AF444" s="665"/>
      <c r="AG444" s="1212" t="s">
        <v>4384</v>
      </c>
      <c r="AH444" s="307" t="s">
        <v>4391</v>
      </c>
      <c r="AI444" s="1263" t="s">
        <v>4392</v>
      </c>
      <c r="AJ444" s="838">
        <v>43373</v>
      </c>
      <c r="AK444" s="308"/>
      <c r="AL444" s="308"/>
      <c r="AM444" s="308"/>
      <c r="AN444" s="267" t="s">
        <v>2598</v>
      </c>
      <c r="AO444" s="507" t="s">
        <v>4393</v>
      </c>
      <c r="AP444" s="525">
        <v>21874000</v>
      </c>
      <c r="AQ444" s="310"/>
      <c r="AR444" s="310"/>
      <c r="AS444" s="310"/>
      <c r="AT444" s="310"/>
      <c r="AU444" s="310"/>
      <c r="AV444" s="310"/>
      <c r="AW444" s="544">
        <f t="shared" si="270"/>
        <v>21874000</v>
      </c>
      <c r="AX444" s="525"/>
      <c r="AY444" s="310"/>
      <c r="AZ444" s="310"/>
      <c r="BA444" s="310"/>
      <c r="BB444" s="310"/>
      <c r="BC444" s="310"/>
      <c r="BD444" s="310"/>
      <c r="BE444" s="544">
        <f t="shared" si="244"/>
        <v>0</v>
      </c>
      <c r="BF444" s="525">
        <v>21874000</v>
      </c>
      <c r="BG444" s="310"/>
      <c r="BH444" s="310"/>
      <c r="BI444" s="310"/>
      <c r="BJ444" s="310"/>
      <c r="BK444" s="310"/>
      <c r="BL444" s="310"/>
      <c r="BM444" s="544">
        <f t="shared" si="245"/>
        <v>21874000</v>
      </c>
      <c r="BN444" s="525"/>
      <c r="BO444" s="310"/>
      <c r="BP444" s="310"/>
      <c r="BQ444" s="310"/>
      <c r="BR444" s="310"/>
      <c r="BS444" s="310"/>
      <c r="BT444" s="310"/>
      <c r="BU444" s="544">
        <f t="shared" si="246"/>
        <v>0</v>
      </c>
      <c r="BV444" s="556"/>
      <c r="BW444" s="663">
        <f t="shared" si="236"/>
        <v>1</v>
      </c>
      <c r="BX444" s="1047">
        <f t="shared" si="248"/>
        <v>1</v>
      </c>
      <c r="BY444" s="1047" t="str">
        <f t="shared" si="265"/>
        <v>Aplazada</v>
      </c>
      <c r="BZ444" s="1047" t="str">
        <f t="shared" si="266"/>
        <v>Aplazada</v>
      </c>
      <c r="CA444" s="1047">
        <f t="shared" si="267"/>
        <v>1</v>
      </c>
      <c r="CB444" s="1047" t="str">
        <f t="shared" si="268"/>
        <v>No Programada</v>
      </c>
      <c r="CD444" t="str">
        <f t="shared" si="269"/>
        <v>AZ</v>
      </c>
      <c r="CE444" t="str">
        <f t="shared" si="269"/>
        <v>AZ</v>
      </c>
      <c r="CF444" t="str">
        <f t="shared" si="269"/>
        <v>VE</v>
      </c>
      <c r="CG444" t="str">
        <f t="shared" si="269"/>
        <v>NP</v>
      </c>
    </row>
    <row r="445" spans="1:85" ht="72.75" customHeight="1" x14ac:dyDescent="0.3">
      <c r="A445" s="298" t="s">
        <v>1353</v>
      </c>
      <c r="B445" s="299" t="str">
        <f>'PLAN INDICATIVO'!B445</f>
        <v>Ambiental</v>
      </c>
      <c r="C445" s="1547"/>
      <c r="D445" s="1551"/>
      <c r="E445" s="1551"/>
      <c r="F445" s="1551"/>
      <c r="G445" s="1551"/>
      <c r="H445" s="1551"/>
      <c r="I445" s="300">
        <f>'PLAN INDICATIVO'!I445</f>
        <v>0</v>
      </c>
      <c r="J445" s="300">
        <f>'PLAN INDICATIVO'!J445</f>
        <v>0</v>
      </c>
      <c r="K445" s="1428" t="str">
        <f>'PLAN INDICATIVO'!K445</f>
        <v>A.10.1.5</v>
      </c>
      <c r="L445" s="301" t="str">
        <f>'PLAN INDICATIVO'!L445</f>
        <v>15. Vida de ecosistemas terrestres</v>
      </c>
      <c r="M445" s="301" t="str">
        <f>'PLAN INDICATIVO'!M445</f>
        <v>Unidad de Desarrollo Rural</v>
      </c>
      <c r="N445" s="1425" t="str">
        <f>'PLAN INDICATIVO'!N445</f>
        <v>GABRIEL ERNESTO CAMPOS ALVIRA</v>
      </c>
      <c r="O445" s="1425" t="str">
        <f>'PLAN INDICATIVO'!O445</f>
        <v>Incremento</v>
      </c>
      <c r="P445" s="16" t="str">
        <f>'PLAN INDICATIVO'!P445</f>
        <v>Sembrar 12.000 árboles durante el cuatrienio  para la reforestación con seguimiento continúo.</v>
      </c>
      <c r="Q445" s="302" t="str">
        <f>'PLAN INDICATIVO'!Q445</f>
        <v>No. De árboles sembrados</v>
      </c>
      <c r="R445" s="303">
        <f>'PLAN INDICATIVO'!R445</f>
        <v>2015</v>
      </c>
      <c r="S445" s="304">
        <v>0</v>
      </c>
      <c r="T445" s="498">
        <v>12000</v>
      </c>
      <c r="U445" s="572">
        <v>3000</v>
      </c>
      <c r="V445" s="687">
        <v>9000000</v>
      </c>
      <c r="W445" s="572">
        <v>3000</v>
      </c>
      <c r="X445" s="687">
        <v>11000000</v>
      </c>
      <c r="Y445" s="1232">
        <v>3000</v>
      </c>
      <c r="Z445" s="1233">
        <v>10000000</v>
      </c>
      <c r="AA445" s="1310">
        <v>2000</v>
      </c>
      <c r="AB445" s="687">
        <v>20000000</v>
      </c>
      <c r="AC445" s="673">
        <v>4000</v>
      </c>
      <c r="AD445" s="673">
        <v>3000</v>
      </c>
      <c r="AE445" s="673">
        <v>3000</v>
      </c>
      <c r="AF445" s="673"/>
      <c r="AG445" s="1212" t="s">
        <v>4384</v>
      </c>
      <c r="AH445" s="336" t="s">
        <v>4394</v>
      </c>
      <c r="AI445" s="309" t="s">
        <v>4395</v>
      </c>
      <c r="AJ445" s="309">
        <v>43464</v>
      </c>
      <c r="AK445" s="308"/>
      <c r="AL445" s="308"/>
      <c r="AM445" s="308"/>
      <c r="AN445" s="267" t="s">
        <v>2598</v>
      </c>
      <c r="AO445" s="507" t="s">
        <v>4396</v>
      </c>
      <c r="AP445" s="972">
        <v>1000000</v>
      </c>
      <c r="AQ445" s="977"/>
      <c r="AR445" s="973"/>
      <c r="AS445" s="973"/>
      <c r="AT445" s="973"/>
      <c r="AU445" s="973"/>
      <c r="AV445" s="973"/>
      <c r="AW445" s="975">
        <f t="shared" si="270"/>
        <v>1000000</v>
      </c>
      <c r="AX445" s="525"/>
      <c r="AY445" s="380"/>
      <c r="AZ445" s="310"/>
      <c r="BA445" s="310"/>
      <c r="BB445" s="310"/>
      <c r="BC445" s="310"/>
      <c r="BD445" s="310"/>
      <c r="BE445" s="544">
        <f t="shared" si="244"/>
        <v>0</v>
      </c>
      <c r="BF445" s="525">
        <v>1000000</v>
      </c>
      <c r="BG445" s="380"/>
      <c r="BH445" s="310"/>
      <c r="BI445" s="310"/>
      <c r="BJ445" s="310"/>
      <c r="BK445" s="310"/>
      <c r="BL445" s="310"/>
      <c r="BM445" s="544">
        <f t="shared" si="245"/>
        <v>1000000</v>
      </c>
      <c r="BN445" s="525"/>
      <c r="BO445" s="380"/>
      <c r="BP445" s="310"/>
      <c r="BQ445" s="310"/>
      <c r="BR445" s="310"/>
      <c r="BS445" s="310"/>
      <c r="BT445" s="310"/>
      <c r="BU445" s="544">
        <f t="shared" si="246"/>
        <v>0</v>
      </c>
      <c r="BV445" s="556"/>
      <c r="BW445" s="663">
        <f t="shared" si="236"/>
        <v>10000</v>
      </c>
      <c r="BX445" s="1047">
        <f t="shared" si="248"/>
        <v>0.83333333333333337</v>
      </c>
      <c r="BY445" s="1047">
        <f t="shared" si="265"/>
        <v>1.3333333333333333</v>
      </c>
      <c r="BZ445" s="1047">
        <f t="shared" si="266"/>
        <v>1</v>
      </c>
      <c r="CA445" s="1047">
        <f t="shared" si="267"/>
        <v>1</v>
      </c>
      <c r="CB445" s="1047">
        <f t="shared" si="268"/>
        <v>0</v>
      </c>
      <c r="CD445" t="str">
        <f t="shared" si="269"/>
        <v>VE</v>
      </c>
      <c r="CE445" t="str">
        <f t="shared" si="269"/>
        <v>VE</v>
      </c>
      <c r="CF445" t="str">
        <f t="shared" si="269"/>
        <v>VE</v>
      </c>
      <c r="CG445" t="str">
        <f t="shared" si="269"/>
        <v>ROB</v>
      </c>
    </row>
    <row r="446" spans="1:85" ht="57" customHeight="1" x14ac:dyDescent="0.3">
      <c r="A446" s="298" t="s">
        <v>1353</v>
      </c>
      <c r="B446" s="299" t="str">
        <f>'PLAN INDICATIVO'!B446</f>
        <v>Ambiental</v>
      </c>
      <c r="C446" s="1547"/>
      <c r="D446" s="1551"/>
      <c r="E446" s="1551"/>
      <c r="F446" s="1551"/>
      <c r="G446" s="1551"/>
      <c r="H446" s="1551"/>
      <c r="I446" s="300">
        <f>'PLAN INDICATIVO'!I446</f>
        <v>0</v>
      </c>
      <c r="J446" s="300">
        <f>'PLAN INDICATIVO'!J446</f>
        <v>0</v>
      </c>
      <c r="K446" s="1428" t="str">
        <f>'PLAN INDICATIVO'!K446</f>
        <v>A.10.1.6</v>
      </c>
      <c r="L446" s="301" t="str">
        <f>'PLAN INDICATIVO'!L446</f>
        <v>15. Vida de ecosistemas terrestres</v>
      </c>
      <c r="M446" s="301" t="str">
        <f>'PLAN INDICATIVO'!M446</f>
        <v>Unidad de Desarrollo Rural</v>
      </c>
      <c r="N446" s="1425" t="str">
        <f>'PLAN INDICATIVO'!N446</f>
        <v>GABRIEL ERNESTO CAMPOS ALVIRA</v>
      </c>
      <c r="O446" s="1425" t="str">
        <f>'PLAN INDICATIVO'!O446</f>
        <v>Incremento</v>
      </c>
      <c r="P446" s="16" t="str">
        <f>'PLAN INDICATIVO'!P446</f>
        <v>Realizar 40 actividades durante el cuatrienio enmarcadas en la conservación y preservación del medio ambiente, tales como; el reciclaje, la separación en la fuente y la transformación de materia orgánica en Abonos, entre otras.</v>
      </c>
      <c r="Q446" s="302" t="str">
        <f>'PLAN INDICATIVO'!Q446</f>
        <v>No. De actividades realizadas</v>
      </c>
      <c r="R446" s="303">
        <f>'PLAN INDICATIVO'!R446</f>
        <v>2015</v>
      </c>
      <c r="S446" s="304">
        <v>0</v>
      </c>
      <c r="T446" s="498">
        <v>40</v>
      </c>
      <c r="U446" s="572">
        <v>10</v>
      </c>
      <c r="V446" s="687">
        <v>8000000</v>
      </c>
      <c r="W446" s="572">
        <v>10</v>
      </c>
      <c r="X446" s="687">
        <v>9000000</v>
      </c>
      <c r="Y446" s="1232">
        <v>10</v>
      </c>
      <c r="Z446" s="1233">
        <v>9000000</v>
      </c>
      <c r="AA446" s="1310">
        <v>10</v>
      </c>
      <c r="AB446" s="687">
        <v>9000000</v>
      </c>
      <c r="AC446" s="665">
        <v>10</v>
      </c>
      <c r="AD446" s="665">
        <v>10</v>
      </c>
      <c r="AE446" s="665">
        <v>10</v>
      </c>
      <c r="AF446" s="665"/>
      <c r="AG446" s="1212" t="s">
        <v>4384</v>
      </c>
      <c r="AH446" s="307" t="s">
        <v>4397</v>
      </c>
      <c r="AI446" s="307" t="s">
        <v>4397</v>
      </c>
      <c r="AJ446" s="309">
        <v>43464</v>
      </c>
      <c r="AK446" s="308"/>
      <c r="AL446" s="308"/>
      <c r="AM446" s="308"/>
      <c r="AN446" s="267" t="s">
        <v>2598</v>
      </c>
      <c r="AO446" s="507" t="s">
        <v>4396</v>
      </c>
      <c r="AP446" s="972">
        <v>1000000</v>
      </c>
      <c r="AQ446" s="973"/>
      <c r="AR446" s="973"/>
      <c r="AS446" s="973"/>
      <c r="AT446" s="973"/>
      <c r="AU446" s="973"/>
      <c r="AV446" s="973"/>
      <c r="AW446" s="975">
        <f t="shared" si="270"/>
        <v>1000000</v>
      </c>
      <c r="AX446" s="525"/>
      <c r="AY446" s="310"/>
      <c r="AZ446" s="310"/>
      <c r="BA446" s="310"/>
      <c r="BB446" s="310"/>
      <c r="BC446" s="310"/>
      <c r="BD446" s="310"/>
      <c r="BE446" s="544">
        <f t="shared" si="244"/>
        <v>0</v>
      </c>
      <c r="BF446" s="525">
        <v>1000000</v>
      </c>
      <c r="BG446" s="310"/>
      <c r="BH446" s="310"/>
      <c r="BI446" s="310"/>
      <c r="BJ446" s="310"/>
      <c r="BK446" s="310"/>
      <c r="BL446" s="310"/>
      <c r="BM446" s="544">
        <f t="shared" si="245"/>
        <v>1000000</v>
      </c>
      <c r="BN446" s="525"/>
      <c r="BO446" s="310"/>
      <c r="BP446" s="310"/>
      <c r="BQ446" s="310"/>
      <c r="BR446" s="310"/>
      <c r="BS446" s="310"/>
      <c r="BT446" s="310"/>
      <c r="BU446" s="544">
        <f t="shared" si="246"/>
        <v>0</v>
      </c>
      <c r="BV446" s="556"/>
      <c r="BW446" s="663">
        <f t="shared" si="236"/>
        <v>30</v>
      </c>
      <c r="BX446" s="1047">
        <f t="shared" si="248"/>
        <v>0.75</v>
      </c>
      <c r="BY446" s="1047">
        <f t="shared" si="265"/>
        <v>1</v>
      </c>
      <c r="BZ446" s="1047">
        <f t="shared" si="266"/>
        <v>1</v>
      </c>
      <c r="CA446" s="1047">
        <f t="shared" si="267"/>
        <v>1</v>
      </c>
      <c r="CB446" s="1047">
        <f t="shared" si="268"/>
        <v>0</v>
      </c>
      <c r="CD446" t="str">
        <f t="shared" si="269"/>
        <v>VE</v>
      </c>
      <c r="CE446" t="str">
        <f t="shared" si="269"/>
        <v>VE</v>
      </c>
      <c r="CF446" t="str">
        <f t="shared" si="269"/>
        <v>VE</v>
      </c>
      <c r="CG446" t="str">
        <f t="shared" si="269"/>
        <v>ROB</v>
      </c>
    </row>
    <row r="447" spans="1:85" ht="66" customHeight="1" x14ac:dyDescent="0.3">
      <c r="A447" s="298" t="s">
        <v>1353</v>
      </c>
      <c r="B447" s="299" t="str">
        <f>'PLAN INDICATIVO'!B447</f>
        <v>Ambiental</v>
      </c>
      <c r="C447" s="1547"/>
      <c r="D447" s="1551"/>
      <c r="E447" s="1551"/>
      <c r="F447" s="1551"/>
      <c r="G447" s="1551"/>
      <c r="H447" s="1551"/>
      <c r="I447" s="300">
        <f>'PLAN INDICATIVO'!I447</f>
        <v>0</v>
      </c>
      <c r="J447" s="300">
        <f>'PLAN INDICATIVO'!J447</f>
        <v>0</v>
      </c>
      <c r="K447" s="1428" t="str">
        <f>'PLAN INDICATIVO'!K447</f>
        <v>A.10.1.7</v>
      </c>
      <c r="L447" s="301" t="str">
        <f>'PLAN INDICATIVO'!L447</f>
        <v>15. Vida de ecosistemas terrestres</v>
      </c>
      <c r="M447" s="301" t="str">
        <f>'PLAN INDICATIVO'!M447</f>
        <v>Unidad de Desarrollo Rural</v>
      </c>
      <c r="N447" s="1425" t="str">
        <f>'PLAN INDICATIVO'!N447</f>
        <v>GABRIEL ERNESTO CAMPOS ALVIRA</v>
      </c>
      <c r="O447" s="1425" t="str">
        <f>'PLAN INDICATIVO'!O447</f>
        <v>Mantenimiento</v>
      </c>
      <c r="P447" s="16" t="str">
        <f>'PLAN INDICATIVO'!P447</f>
        <v>Realizar 4 eventos de cultura ambiental (día del árbol, día del agua, día del reciclador, día de la tierra)  cada año, durante el cuatrienio.</v>
      </c>
      <c r="Q447" s="302" t="str">
        <f>'PLAN INDICATIVO'!Q447</f>
        <v xml:space="preserve">No. De eventos de cultura ambiental realizados por año </v>
      </c>
      <c r="R447" s="303">
        <f>'PLAN INDICATIVO'!R447</f>
        <v>2015</v>
      </c>
      <c r="S447" s="304">
        <v>0</v>
      </c>
      <c r="T447" s="498">
        <v>16</v>
      </c>
      <c r="U447" s="572">
        <v>4</v>
      </c>
      <c r="V447" s="687">
        <v>5000000</v>
      </c>
      <c r="W447" s="572">
        <v>4</v>
      </c>
      <c r="X447" s="687">
        <v>5000000</v>
      </c>
      <c r="Y447" s="1232">
        <v>4</v>
      </c>
      <c r="Z447" s="1233">
        <v>5000000</v>
      </c>
      <c r="AA447" s="1310">
        <v>4</v>
      </c>
      <c r="AB447" s="687">
        <v>5000000</v>
      </c>
      <c r="AC447" s="665">
        <v>4</v>
      </c>
      <c r="AD447" s="665">
        <v>4</v>
      </c>
      <c r="AE447" s="665">
        <v>4</v>
      </c>
      <c r="AF447" s="665"/>
      <c r="AG447" s="892"/>
      <c r="AH447" s="307" t="s">
        <v>4398</v>
      </c>
      <c r="AI447" s="309" t="s">
        <v>4399</v>
      </c>
      <c r="AJ447" s="309"/>
      <c r="AK447" s="308"/>
      <c r="AL447" s="308"/>
      <c r="AM447" s="308"/>
      <c r="AN447" s="267" t="s">
        <v>2598</v>
      </c>
      <c r="AO447" s="507" t="s">
        <v>4400</v>
      </c>
      <c r="AP447" s="972"/>
      <c r="AQ447" s="973"/>
      <c r="AR447" s="973"/>
      <c r="AS447" s="973"/>
      <c r="AT447" s="973"/>
      <c r="AU447" s="973"/>
      <c r="AV447" s="973">
        <v>3000000</v>
      </c>
      <c r="AW447" s="975">
        <f t="shared" si="270"/>
        <v>3000000</v>
      </c>
      <c r="AX447" s="525"/>
      <c r="AY447" s="310"/>
      <c r="AZ447" s="310"/>
      <c r="BA447" s="310"/>
      <c r="BB447" s="310"/>
      <c r="BC447" s="310"/>
      <c r="BD447" s="310"/>
      <c r="BE447" s="544">
        <f t="shared" si="244"/>
        <v>0</v>
      </c>
      <c r="BF447" s="525"/>
      <c r="BG447" s="310"/>
      <c r="BH447" s="310"/>
      <c r="BI447" s="310"/>
      <c r="BJ447" s="310"/>
      <c r="BK447" s="310"/>
      <c r="BL447" s="310">
        <v>2000000</v>
      </c>
      <c r="BM447" s="544">
        <f t="shared" si="245"/>
        <v>2000000</v>
      </c>
      <c r="BN447" s="525"/>
      <c r="BO447" s="310"/>
      <c r="BP447" s="310"/>
      <c r="BQ447" s="310"/>
      <c r="BR447" s="310"/>
      <c r="BS447" s="310"/>
      <c r="BT447" s="310"/>
      <c r="BU447" s="544">
        <f t="shared" si="246"/>
        <v>0</v>
      </c>
      <c r="BV447" s="556"/>
      <c r="BW447" s="663">
        <f t="shared" si="236"/>
        <v>12</v>
      </c>
      <c r="BX447" s="1047">
        <f t="shared" si="248"/>
        <v>0.75</v>
      </c>
      <c r="BY447" s="1047">
        <f t="shared" si="265"/>
        <v>1</v>
      </c>
      <c r="BZ447" s="1047">
        <f t="shared" si="266"/>
        <v>1</v>
      </c>
      <c r="CA447" s="1047">
        <f t="shared" si="267"/>
        <v>1</v>
      </c>
      <c r="CB447" s="1047">
        <f t="shared" si="268"/>
        <v>0</v>
      </c>
      <c r="CD447" t="str">
        <f t="shared" si="269"/>
        <v>VE</v>
      </c>
      <c r="CE447" t="str">
        <f t="shared" si="269"/>
        <v>VE</v>
      </c>
      <c r="CF447" t="str">
        <f t="shared" si="269"/>
        <v>VE</v>
      </c>
      <c r="CG447" t="str">
        <f t="shared" si="269"/>
        <v>ROB</v>
      </c>
    </row>
    <row r="448" spans="1:85" ht="45" customHeight="1" x14ac:dyDescent="0.3">
      <c r="A448" s="298" t="s">
        <v>1353</v>
      </c>
      <c r="B448" s="299" t="str">
        <f>'PLAN INDICATIVO'!B448</f>
        <v>Ambiental</v>
      </c>
      <c r="C448" s="1547"/>
      <c r="D448" s="1551"/>
      <c r="E448" s="1551"/>
      <c r="F448" s="1551"/>
      <c r="G448" s="1551"/>
      <c r="H448" s="1551"/>
      <c r="I448" s="300">
        <f>'PLAN INDICATIVO'!I448</f>
        <v>0</v>
      </c>
      <c r="J448" s="300">
        <f>'PLAN INDICATIVO'!J448</f>
        <v>0</v>
      </c>
      <c r="K448" s="1428" t="str">
        <f>'PLAN INDICATIVO'!K448</f>
        <v>A.10.1.8</v>
      </c>
      <c r="L448" s="301" t="str">
        <f>'PLAN INDICATIVO'!L448</f>
        <v>15. Vida de ecosistemas terrestres</v>
      </c>
      <c r="M448" s="301" t="str">
        <f>'PLAN INDICATIVO'!M448</f>
        <v>Unidad de Desarrollo Rural</v>
      </c>
      <c r="N448" s="1425" t="str">
        <f>'PLAN INDICATIVO'!N448</f>
        <v>GABRIEL ERNESTO CAMPOS ALVIRA</v>
      </c>
      <c r="O448" s="1425" t="str">
        <f>'PLAN INDICATIVO'!O448</f>
        <v>Incremento</v>
      </c>
      <c r="P448" s="16" t="str">
        <f>'PLAN INDICATIVO'!P448</f>
        <v>Implementar  programas de certificación de 20 fincas en Buenas Prácticas Agrícolas y Pecuarias</v>
      </c>
      <c r="Q448" s="302" t="str">
        <f>'PLAN INDICATIVO'!Q448</f>
        <v>No. de fincas certificadas  en buenas prácticas agrícolas y pecuarias</v>
      </c>
      <c r="R448" s="303">
        <f>'PLAN INDICATIVO'!R448</f>
        <v>2015</v>
      </c>
      <c r="S448" s="304">
        <v>0</v>
      </c>
      <c r="T448" s="498">
        <v>20</v>
      </c>
      <c r="U448" s="572"/>
      <c r="V448" s="687">
        <v>0</v>
      </c>
      <c r="W448" s="572"/>
      <c r="X448" s="687"/>
      <c r="Y448" s="1232">
        <v>0</v>
      </c>
      <c r="Z448" s="1233">
        <v>5000000</v>
      </c>
      <c r="AA448" s="1310"/>
      <c r="AB448" s="687">
        <v>5000000</v>
      </c>
      <c r="AC448" s="665"/>
      <c r="AD448" s="665">
        <v>20</v>
      </c>
      <c r="AE448" s="665"/>
      <c r="AF448" s="665"/>
      <c r="AG448" s="892"/>
      <c r="AH448" s="307" t="s">
        <v>4401</v>
      </c>
      <c r="AI448" s="308" t="s">
        <v>4402</v>
      </c>
      <c r="AJ448" s="308"/>
      <c r="AK448" s="308"/>
      <c r="AL448" s="308"/>
      <c r="AM448" s="308"/>
      <c r="AN448" s="267" t="s">
        <v>2594</v>
      </c>
      <c r="AO448" s="507"/>
      <c r="AP448" s="525"/>
      <c r="AQ448" s="310">
        <v>7153468</v>
      </c>
      <c r="AR448" s="310"/>
      <c r="AS448" s="310"/>
      <c r="AT448" s="310"/>
      <c r="AU448" s="310"/>
      <c r="AV448" s="310"/>
      <c r="AW448" s="544">
        <f t="shared" si="270"/>
        <v>7153468</v>
      </c>
      <c r="AX448" s="525"/>
      <c r="AY448" s="310"/>
      <c r="AZ448" s="310"/>
      <c r="BA448" s="310"/>
      <c r="BB448" s="310"/>
      <c r="BC448" s="310"/>
      <c r="BD448" s="310"/>
      <c r="BE448" s="544">
        <f t="shared" si="244"/>
        <v>0</v>
      </c>
      <c r="BF448" s="525"/>
      <c r="BG448" s="310"/>
      <c r="BH448" s="310"/>
      <c r="BI448" s="310"/>
      <c r="BJ448" s="310"/>
      <c r="BK448" s="310"/>
      <c r="BL448" s="310"/>
      <c r="BM448" s="544">
        <f t="shared" si="245"/>
        <v>0</v>
      </c>
      <c r="BN448" s="525"/>
      <c r="BO448" s="310"/>
      <c r="BP448" s="310"/>
      <c r="BQ448" s="310"/>
      <c r="BR448" s="310"/>
      <c r="BS448" s="310"/>
      <c r="BT448" s="310"/>
      <c r="BU448" s="544">
        <f t="shared" si="246"/>
        <v>0</v>
      </c>
      <c r="BV448" s="556"/>
      <c r="BW448" s="663">
        <f t="shared" si="236"/>
        <v>20</v>
      </c>
      <c r="BX448" s="1047">
        <f t="shared" si="248"/>
        <v>1</v>
      </c>
      <c r="BY448" s="1047" t="str">
        <f t="shared" si="265"/>
        <v>No Programada</v>
      </c>
      <c r="BZ448" s="1047" t="str">
        <f t="shared" si="266"/>
        <v>No Programada</v>
      </c>
      <c r="CA448" s="1047" t="str">
        <f t="shared" si="267"/>
        <v>Aplazada</v>
      </c>
      <c r="CB448" s="1047" t="str">
        <f t="shared" si="268"/>
        <v>No Programada</v>
      </c>
      <c r="CD448" t="str">
        <f t="shared" si="269"/>
        <v>NP</v>
      </c>
      <c r="CE448" t="str">
        <f t="shared" si="269"/>
        <v>NP</v>
      </c>
      <c r="CF448" t="str">
        <f t="shared" si="269"/>
        <v>AZ</v>
      </c>
      <c r="CG448" t="str">
        <f t="shared" si="269"/>
        <v>NP</v>
      </c>
    </row>
    <row r="449" spans="1:85" ht="48.75" customHeight="1" x14ac:dyDescent="0.3">
      <c r="A449" s="298" t="s">
        <v>1353</v>
      </c>
      <c r="B449" s="299" t="str">
        <f>'PLAN INDICATIVO'!B449</f>
        <v>Ambiental</v>
      </c>
      <c r="C449" s="1547"/>
      <c r="D449" s="1551"/>
      <c r="E449" s="1551"/>
      <c r="F449" s="1551"/>
      <c r="G449" s="1551"/>
      <c r="H449" s="1551"/>
      <c r="I449" s="300">
        <f>'PLAN INDICATIVO'!I449</f>
        <v>0</v>
      </c>
      <c r="J449" s="300">
        <f>'PLAN INDICATIVO'!J449</f>
        <v>0</v>
      </c>
      <c r="K449" s="1428" t="str">
        <f>'PLAN INDICATIVO'!K449</f>
        <v>A.10.1.9</v>
      </c>
      <c r="L449" s="301" t="str">
        <f>'PLAN INDICATIVO'!L449</f>
        <v>15. Vida de ecosistemas terrestres</v>
      </c>
      <c r="M449" s="301" t="str">
        <f>'PLAN INDICATIVO'!M449</f>
        <v>Unidad de Desarrollo Rural</v>
      </c>
      <c r="N449" s="1425" t="str">
        <f>'PLAN INDICATIVO'!N449</f>
        <v>GABRIEL ERNESTO CAMPOS ALVIRA</v>
      </c>
      <c r="O449" s="1425" t="str">
        <f>'PLAN INDICATIVO'!O449</f>
        <v>Incremento</v>
      </c>
      <c r="P449" s="16" t="str">
        <f>'PLAN INDICATIVO'!P449</f>
        <v>Gestionar la implementación de 1 programa ambiental en el cuatrienio que permita la sensibilización, educación, concientización, y capacitación a la comunidad dedicada al reciclaje, como también programas de limpiezas de ríos, parques, quebradas, caminos.</v>
      </c>
      <c r="Q449" s="302" t="str">
        <f>'PLAN INDICATIVO'!Q449</f>
        <v>No. De Gestiones para implementar programas</v>
      </c>
      <c r="R449" s="303">
        <f>'PLAN INDICATIVO'!R449</f>
        <v>2015</v>
      </c>
      <c r="S449" s="304">
        <v>0</v>
      </c>
      <c r="T449" s="498">
        <v>1</v>
      </c>
      <c r="U449" s="572"/>
      <c r="V449" s="687">
        <v>4000000</v>
      </c>
      <c r="W449" s="572">
        <v>0.33</v>
      </c>
      <c r="X449" s="687">
        <v>2000000</v>
      </c>
      <c r="Y449" s="1232"/>
      <c r="Z449" s="1233">
        <v>2000000</v>
      </c>
      <c r="AA449" s="1310">
        <v>0.7</v>
      </c>
      <c r="AB449" s="687">
        <v>2000000</v>
      </c>
      <c r="AC449" s="665"/>
      <c r="AD449" s="665">
        <v>0.3</v>
      </c>
      <c r="AE449" s="665"/>
      <c r="AF449" s="665"/>
      <c r="AG449" s="266"/>
      <c r="AH449" s="307"/>
      <c r="AI449" s="308" t="s">
        <v>4403</v>
      </c>
      <c r="AJ449" s="308"/>
      <c r="AK449" s="308"/>
      <c r="AL449" s="308"/>
      <c r="AM449" s="308"/>
      <c r="AN449" s="267" t="s">
        <v>2594</v>
      </c>
      <c r="AO449" s="507"/>
      <c r="AP449" s="972"/>
      <c r="AQ449" s="973"/>
      <c r="AR449" s="973"/>
      <c r="AS449" s="973"/>
      <c r="AT449" s="973"/>
      <c r="AU449" s="973"/>
      <c r="AV449" s="973"/>
      <c r="AW449" s="975">
        <f t="shared" si="270"/>
        <v>0</v>
      </c>
      <c r="AX449" s="525"/>
      <c r="AY449" s="310"/>
      <c r="AZ449" s="310"/>
      <c r="BA449" s="310"/>
      <c r="BB449" s="310"/>
      <c r="BC449" s="310"/>
      <c r="BD449" s="310"/>
      <c r="BE449" s="544">
        <f t="shared" si="244"/>
        <v>0</v>
      </c>
      <c r="BF449" s="525"/>
      <c r="BG449" s="310"/>
      <c r="BH449" s="310"/>
      <c r="BI449" s="310"/>
      <c r="BJ449" s="310"/>
      <c r="BK449" s="310"/>
      <c r="BL449" s="310"/>
      <c r="BM449" s="544">
        <f t="shared" si="245"/>
        <v>0</v>
      </c>
      <c r="BN449" s="525"/>
      <c r="BO449" s="310"/>
      <c r="BP449" s="310"/>
      <c r="BQ449" s="310"/>
      <c r="BR449" s="310"/>
      <c r="BS449" s="310"/>
      <c r="BT449" s="310"/>
      <c r="BU449" s="544">
        <f t="shared" si="246"/>
        <v>0</v>
      </c>
      <c r="BV449" s="556"/>
      <c r="BW449" s="663">
        <f t="shared" si="236"/>
        <v>0.3</v>
      </c>
      <c r="BX449" s="1047">
        <f t="shared" si="248"/>
        <v>0.3</v>
      </c>
      <c r="BY449" s="1047" t="str">
        <f t="shared" si="265"/>
        <v>No Programada</v>
      </c>
      <c r="BZ449" s="1047">
        <f t="shared" si="266"/>
        <v>0.90909090909090906</v>
      </c>
      <c r="CA449" s="1047" t="str">
        <f t="shared" si="267"/>
        <v>No Programada</v>
      </c>
      <c r="CB449" s="1047">
        <f t="shared" si="268"/>
        <v>0</v>
      </c>
      <c r="CD449" t="str">
        <f t="shared" si="269"/>
        <v>NP</v>
      </c>
      <c r="CE449" t="str">
        <f t="shared" si="269"/>
        <v>VE</v>
      </c>
      <c r="CF449" t="str">
        <f t="shared" si="269"/>
        <v>NP</v>
      </c>
      <c r="CG449" t="str">
        <f t="shared" si="269"/>
        <v>ROB</v>
      </c>
    </row>
    <row r="450" spans="1:85" ht="76.5" customHeight="1" x14ac:dyDescent="0.3">
      <c r="A450" s="298" t="s">
        <v>1353</v>
      </c>
      <c r="B450" s="299" t="str">
        <f>'PLAN INDICATIVO'!B450</f>
        <v>Ambiental</v>
      </c>
      <c r="C450" s="1547"/>
      <c r="D450" s="1551"/>
      <c r="E450" s="1551"/>
      <c r="F450" s="1551"/>
      <c r="G450" s="1551"/>
      <c r="H450" s="1551"/>
      <c r="I450" s="300">
        <f>'PLAN INDICATIVO'!I450</f>
        <v>0</v>
      </c>
      <c r="J450" s="300">
        <f>'PLAN INDICATIVO'!J450</f>
        <v>0</v>
      </c>
      <c r="K450" s="1428" t="str">
        <f>'PLAN INDICATIVO'!K450</f>
        <v>A.10.1.10</v>
      </c>
      <c r="L450" s="301" t="str">
        <f>'PLAN INDICATIVO'!L450</f>
        <v>15. Vida de ecosistemas terrestres</v>
      </c>
      <c r="M450" s="301" t="str">
        <f>'PLAN INDICATIVO'!M450</f>
        <v>Unidad de Desarrollo Rural</v>
      </c>
      <c r="N450" s="1425" t="str">
        <f>'PLAN INDICATIVO'!N450</f>
        <v>GABRIEL ERNESTO CAMPOS ALVIRA</v>
      </c>
      <c r="O450" s="1425" t="str">
        <f>'PLAN INDICATIVO'!O450</f>
        <v>Incremento</v>
      </c>
      <c r="P450" s="16" t="str">
        <f>'PLAN INDICATIVO'!P450</f>
        <v>Realizar 4 campañas durante el cuatrienio, para evitar la contaminación con heces de los animales utilizados para vehículos de tracción animal</v>
      </c>
      <c r="Q450" s="302" t="str">
        <f>'PLAN INDICATIVO'!Q450</f>
        <v>No. de campañas realizadas</v>
      </c>
      <c r="R450" s="303">
        <f>'PLAN INDICATIVO'!R450</f>
        <v>2015</v>
      </c>
      <c r="S450" s="304">
        <v>0</v>
      </c>
      <c r="T450" s="498">
        <v>4</v>
      </c>
      <c r="U450" s="572">
        <v>1</v>
      </c>
      <c r="V450" s="687">
        <v>3000000</v>
      </c>
      <c r="W450" s="572">
        <v>1</v>
      </c>
      <c r="X450" s="687">
        <v>2000000</v>
      </c>
      <c r="Y450" s="1232">
        <v>1</v>
      </c>
      <c r="Z450" s="1233">
        <v>2000000</v>
      </c>
      <c r="AA450" s="1310"/>
      <c r="AB450" s="687">
        <v>2000000</v>
      </c>
      <c r="AC450" s="665">
        <v>3</v>
      </c>
      <c r="AD450" s="665">
        <v>1</v>
      </c>
      <c r="AE450" s="665">
        <v>1</v>
      </c>
      <c r="AF450" s="665"/>
      <c r="AG450" s="887"/>
      <c r="AH450" s="307" t="s">
        <v>4404</v>
      </c>
      <c r="AI450" s="309"/>
      <c r="AJ450" s="309">
        <v>43252</v>
      </c>
      <c r="AK450" s="308"/>
      <c r="AL450" s="308"/>
      <c r="AM450" s="308"/>
      <c r="AN450" s="267" t="s">
        <v>2598</v>
      </c>
      <c r="AO450" s="507" t="s">
        <v>4405</v>
      </c>
      <c r="AP450" s="972"/>
      <c r="AQ450" s="973"/>
      <c r="AR450" s="973"/>
      <c r="AS450" s="973"/>
      <c r="AT450" s="973"/>
      <c r="AU450" s="973"/>
      <c r="AV450" s="973">
        <v>1600000</v>
      </c>
      <c r="AW450" s="975">
        <f t="shared" si="270"/>
        <v>1600000</v>
      </c>
      <c r="AX450" s="525"/>
      <c r="AY450" s="310"/>
      <c r="AZ450" s="310"/>
      <c r="BA450" s="310"/>
      <c r="BB450" s="310"/>
      <c r="BC450" s="310"/>
      <c r="BD450" s="310"/>
      <c r="BE450" s="544">
        <f t="shared" si="244"/>
        <v>0</v>
      </c>
      <c r="BF450" s="525"/>
      <c r="BG450" s="310"/>
      <c r="BH450" s="310"/>
      <c r="BI450" s="310"/>
      <c r="BJ450" s="310"/>
      <c r="BK450" s="310"/>
      <c r="BL450" s="310">
        <v>2000000</v>
      </c>
      <c r="BM450" s="544">
        <f t="shared" si="245"/>
        <v>2000000</v>
      </c>
      <c r="BN450" s="525"/>
      <c r="BO450" s="310"/>
      <c r="BP450" s="310"/>
      <c r="BQ450" s="310"/>
      <c r="BR450" s="310"/>
      <c r="BS450" s="310"/>
      <c r="BT450" s="310"/>
      <c r="BU450" s="544">
        <f t="shared" si="246"/>
        <v>0</v>
      </c>
      <c r="BV450" s="556"/>
      <c r="BW450" s="663">
        <f t="shared" ref="BW450:BW489" si="271">AC450+AD450+AE450+AF450</f>
        <v>5</v>
      </c>
      <c r="BX450" s="1047">
        <f t="shared" si="248"/>
        <v>1.25</v>
      </c>
      <c r="BY450" s="1047">
        <f t="shared" si="265"/>
        <v>3</v>
      </c>
      <c r="BZ450" s="1047">
        <f t="shared" si="266"/>
        <v>1</v>
      </c>
      <c r="CA450" s="1047">
        <f t="shared" si="267"/>
        <v>1</v>
      </c>
      <c r="CB450" s="1047" t="str">
        <f t="shared" si="268"/>
        <v>No Programada</v>
      </c>
      <c r="CD450" t="str">
        <f t="shared" si="269"/>
        <v>VE</v>
      </c>
      <c r="CE450" t="str">
        <f t="shared" si="269"/>
        <v>VE</v>
      </c>
      <c r="CF450" t="str">
        <f t="shared" si="269"/>
        <v>VE</v>
      </c>
      <c r="CG450" t="str">
        <f t="shared" si="269"/>
        <v>NP</v>
      </c>
    </row>
    <row r="451" spans="1:85" ht="99" customHeight="1" x14ac:dyDescent="0.3">
      <c r="A451" s="298" t="s">
        <v>2458</v>
      </c>
      <c r="B451" s="299" t="str">
        <f>'PLAN INDICATIVO'!B451</f>
        <v>Ambiental</v>
      </c>
      <c r="C451" s="1547"/>
      <c r="D451" s="1551"/>
      <c r="E451" s="1551"/>
      <c r="F451" s="1551"/>
      <c r="G451" s="1551"/>
      <c r="H451" s="1551"/>
      <c r="I451" s="300">
        <f>'PLAN INDICATIVO'!I451</f>
        <v>0</v>
      </c>
      <c r="J451" s="300">
        <f>'PLAN INDICATIVO'!J451</f>
        <v>0</v>
      </c>
      <c r="K451" s="1428" t="str">
        <f>'PLAN INDICATIVO'!K451</f>
        <v>A.10.1.11</v>
      </c>
      <c r="L451" s="301" t="str">
        <f>'PLAN INDICATIVO'!L451</f>
        <v>15. Vida de ecosistemas terrestres</v>
      </c>
      <c r="M451" s="301" t="str">
        <f>'PLAN INDICATIVO'!M451</f>
        <v>Unidad de Desarrollo Rural</v>
      </c>
      <c r="N451" s="1425" t="str">
        <f>'PLAN INDICATIVO'!N451</f>
        <v>GABRIEL ERNESTO CAMPOS ALVIRA</v>
      </c>
      <c r="O451" s="1425" t="str">
        <f>'PLAN INDICATIVO'!O451</f>
        <v>Incremento</v>
      </c>
      <c r="P451" s="1198" t="str">
        <f>'PLAN INDICATIVO'!P451</f>
        <v>Formular e implementar 1 estrategia para lograr la sustitución de vehículos de tracción animal.</v>
      </c>
      <c r="Q451" s="302" t="str">
        <f>'PLAN INDICATIVO'!Q451</f>
        <v>No. De Estrategia formuladas e implementada.</v>
      </c>
      <c r="R451" s="303">
        <f>'PLAN INDICATIVO'!R451</f>
        <v>2015</v>
      </c>
      <c r="S451" s="304">
        <v>0</v>
      </c>
      <c r="T451" s="498">
        <v>1</v>
      </c>
      <c r="U451" s="572"/>
      <c r="V451" s="687">
        <v>5000000</v>
      </c>
      <c r="W451" s="572">
        <v>0.33</v>
      </c>
      <c r="X451" s="687">
        <v>19000000</v>
      </c>
      <c r="Y451" s="1232"/>
      <c r="Z451" s="1233">
        <v>1000000</v>
      </c>
      <c r="AA451" s="1310">
        <v>1</v>
      </c>
      <c r="AB451" s="687">
        <v>4000000</v>
      </c>
      <c r="AC451" s="665"/>
      <c r="AD451" s="665"/>
      <c r="AE451" s="665"/>
      <c r="AF451" s="665"/>
      <c r="AG451" s="1213"/>
      <c r="AH451" s="307" t="s">
        <v>3908</v>
      </c>
      <c r="AI451" s="309">
        <v>43160</v>
      </c>
      <c r="AJ451" s="309">
        <v>43464</v>
      </c>
      <c r="AK451" s="308"/>
      <c r="AL451" s="308"/>
      <c r="AM451" s="308"/>
      <c r="AN451" s="267" t="s">
        <v>2594</v>
      </c>
      <c r="AO451" s="1228" t="s">
        <v>3892</v>
      </c>
      <c r="AP451" s="1229">
        <v>1500000</v>
      </c>
      <c r="AQ451" s="973"/>
      <c r="AR451" s="973"/>
      <c r="AS451" s="973"/>
      <c r="AT451" s="973"/>
      <c r="AU451" s="973"/>
      <c r="AV451" s="973"/>
      <c r="AW451" s="975">
        <f t="shared" si="270"/>
        <v>1500000</v>
      </c>
      <c r="AX451" s="525"/>
      <c r="AY451" s="310"/>
      <c r="AZ451" s="310"/>
      <c r="BA451" s="310"/>
      <c r="BB451" s="310"/>
      <c r="BC451" s="310"/>
      <c r="BD451" s="310"/>
      <c r="BE451" s="544">
        <f t="shared" si="244"/>
        <v>0</v>
      </c>
      <c r="BF451" s="525"/>
      <c r="BG451" s="310"/>
      <c r="BH451" s="310"/>
      <c r="BI451" s="310"/>
      <c r="BJ451" s="310"/>
      <c r="BK451" s="310"/>
      <c r="BL451" s="310"/>
      <c r="BM451" s="544">
        <f t="shared" si="245"/>
        <v>0</v>
      </c>
      <c r="BN451" s="525"/>
      <c r="BO451" s="310"/>
      <c r="BP451" s="310"/>
      <c r="BQ451" s="310"/>
      <c r="BR451" s="310"/>
      <c r="BS451" s="310"/>
      <c r="BT451" s="310"/>
      <c r="BU451" s="544">
        <f t="shared" si="246"/>
        <v>0</v>
      </c>
      <c r="BV451" s="556"/>
      <c r="BW451" s="663">
        <f t="shared" si="271"/>
        <v>0</v>
      </c>
      <c r="BX451" s="1047">
        <f t="shared" si="248"/>
        <v>0</v>
      </c>
      <c r="BY451" s="1047" t="str">
        <f t="shared" si="265"/>
        <v>No Programada</v>
      </c>
      <c r="BZ451" s="1047">
        <f t="shared" si="266"/>
        <v>0</v>
      </c>
      <c r="CA451" s="1047" t="str">
        <f t="shared" si="267"/>
        <v>No Programada</v>
      </c>
      <c r="CB451" s="1047">
        <f t="shared" si="268"/>
        <v>0</v>
      </c>
      <c r="CD451" t="str">
        <f t="shared" si="269"/>
        <v>NP</v>
      </c>
      <c r="CE451" t="str">
        <f t="shared" si="269"/>
        <v>ROB</v>
      </c>
      <c r="CF451" t="str">
        <f t="shared" si="269"/>
        <v>NP</v>
      </c>
      <c r="CG451" t="str">
        <f t="shared" si="269"/>
        <v>ROB</v>
      </c>
    </row>
    <row r="452" spans="1:85" ht="83.25" customHeight="1" x14ac:dyDescent="0.3">
      <c r="A452" s="298" t="s">
        <v>1353</v>
      </c>
      <c r="B452" s="299" t="str">
        <f>'PLAN INDICATIVO'!B452</f>
        <v>Ambiental</v>
      </c>
      <c r="C452" s="1547"/>
      <c r="D452" s="1551"/>
      <c r="E452" s="1551"/>
      <c r="F452" s="1551"/>
      <c r="G452" s="1551"/>
      <c r="H452" s="1551"/>
      <c r="I452" s="300">
        <f>'PLAN INDICATIVO'!I452</f>
        <v>0</v>
      </c>
      <c r="J452" s="300">
        <f>'PLAN INDICATIVO'!J452</f>
        <v>0</v>
      </c>
      <c r="K452" s="1428" t="str">
        <f>'PLAN INDICATIVO'!K452</f>
        <v>A.10.1.12</v>
      </c>
      <c r="L452" s="301" t="str">
        <f>'PLAN INDICATIVO'!L452</f>
        <v>15. Vida de ecosistemas terrestres</v>
      </c>
      <c r="M452" s="301" t="str">
        <f>'PLAN INDICATIVO'!M452</f>
        <v>Unidad de Desarrollo Rural</v>
      </c>
      <c r="N452" s="1425" t="str">
        <f>'PLAN INDICATIVO'!N452</f>
        <v>GABRIEL ERNESTO CAMPOS ALVIRA</v>
      </c>
      <c r="O452" s="1425" t="str">
        <f>'PLAN INDICATIVO'!O452</f>
        <v>Incremento</v>
      </c>
      <c r="P452" s="16" t="str">
        <f>'PLAN INDICATIVO'!P452</f>
        <v>Garantizar 1 sitio adecuado para la disposición final de los escombros, durante el cuatrienio.</v>
      </c>
      <c r="Q452" s="302" t="str">
        <f>'PLAN INDICATIVO'!Q452</f>
        <v>No. De Gestión realizada</v>
      </c>
      <c r="R452" s="303">
        <f>'PLAN INDICATIVO'!R452</f>
        <v>2015</v>
      </c>
      <c r="S452" s="304">
        <v>0</v>
      </c>
      <c r="T452" s="498">
        <v>1</v>
      </c>
      <c r="U452" s="572"/>
      <c r="V452" s="687">
        <v>0</v>
      </c>
      <c r="W452" s="572"/>
      <c r="X452" s="687"/>
      <c r="Y452" s="1232">
        <v>1</v>
      </c>
      <c r="Z452" s="1233">
        <v>15000000</v>
      </c>
      <c r="AA452" s="1310">
        <v>1</v>
      </c>
      <c r="AB452" s="687">
        <v>5000000</v>
      </c>
      <c r="AC452" s="665"/>
      <c r="AD452" s="665"/>
      <c r="AE452" s="665"/>
      <c r="AF452" s="665"/>
      <c r="AG452" s="266"/>
      <c r="AH452" s="307"/>
      <c r="AI452" s="308"/>
      <c r="AJ452" s="308"/>
      <c r="AK452" s="308"/>
      <c r="AL452" s="308"/>
      <c r="AM452" s="308"/>
      <c r="AN452" s="267" t="s">
        <v>2600</v>
      </c>
      <c r="AO452" s="507"/>
      <c r="AP452" s="525"/>
      <c r="AQ452" s="310"/>
      <c r="AR452" s="310"/>
      <c r="AS452" s="310"/>
      <c r="AT452" s="310"/>
      <c r="AU452" s="310"/>
      <c r="AV452" s="310"/>
      <c r="AW452" s="544">
        <f t="shared" si="270"/>
        <v>0</v>
      </c>
      <c r="AX452" s="525"/>
      <c r="AY452" s="310"/>
      <c r="AZ452" s="310"/>
      <c r="BA452" s="310"/>
      <c r="BB452" s="310"/>
      <c r="BC452" s="310"/>
      <c r="BD452" s="310"/>
      <c r="BE452" s="544">
        <f t="shared" si="244"/>
        <v>0</v>
      </c>
      <c r="BF452" s="525"/>
      <c r="BG452" s="310"/>
      <c r="BH452" s="310"/>
      <c r="BI452" s="310"/>
      <c r="BJ452" s="310"/>
      <c r="BK452" s="310"/>
      <c r="BL452" s="310"/>
      <c r="BM452" s="544">
        <f t="shared" si="245"/>
        <v>0</v>
      </c>
      <c r="BN452" s="525"/>
      <c r="BO452" s="310"/>
      <c r="BP452" s="310"/>
      <c r="BQ452" s="310"/>
      <c r="BR452" s="310"/>
      <c r="BS452" s="310"/>
      <c r="BT452" s="310"/>
      <c r="BU452" s="544">
        <f t="shared" si="246"/>
        <v>0</v>
      </c>
      <c r="BV452" s="556"/>
      <c r="BW452" s="663">
        <f t="shared" si="271"/>
        <v>0</v>
      </c>
      <c r="BX452" s="1047">
        <f t="shared" si="248"/>
        <v>0</v>
      </c>
      <c r="BY452" s="1047" t="str">
        <f t="shared" si="265"/>
        <v>No Programada</v>
      </c>
      <c r="BZ452" s="1047" t="str">
        <f t="shared" si="266"/>
        <v>No Programada</v>
      </c>
      <c r="CA452" s="1047">
        <f t="shared" si="267"/>
        <v>0</v>
      </c>
      <c r="CB452" s="1047">
        <f t="shared" si="268"/>
        <v>0</v>
      </c>
      <c r="CD452" t="str">
        <f t="shared" si="269"/>
        <v>NP</v>
      </c>
      <c r="CE452" t="str">
        <f t="shared" si="269"/>
        <v>NP</v>
      </c>
      <c r="CF452" t="str">
        <f t="shared" si="269"/>
        <v>ROB</v>
      </c>
      <c r="CG452" t="str">
        <f t="shared" si="269"/>
        <v>ROB</v>
      </c>
    </row>
    <row r="453" spans="1:85" ht="78" customHeight="1" x14ac:dyDescent="0.3">
      <c r="A453" s="298" t="s">
        <v>1353</v>
      </c>
      <c r="B453" s="299" t="str">
        <f>'PLAN INDICATIVO'!B453</f>
        <v>Ambiental</v>
      </c>
      <c r="C453" s="1547"/>
      <c r="D453" s="1551"/>
      <c r="E453" s="1551"/>
      <c r="F453" s="1551"/>
      <c r="G453" s="1551"/>
      <c r="H453" s="1551"/>
      <c r="I453" s="300">
        <f>'PLAN INDICATIVO'!I453</f>
        <v>0</v>
      </c>
      <c r="J453" s="300">
        <f>'PLAN INDICATIVO'!J453</f>
        <v>0</v>
      </c>
      <c r="K453" s="1428" t="str">
        <f>'PLAN INDICATIVO'!K453</f>
        <v>A.10.1.13</v>
      </c>
      <c r="L453" s="301" t="str">
        <f>'PLAN INDICATIVO'!L453</f>
        <v>15. Vida de ecosistemas terrestres</v>
      </c>
      <c r="M453" s="301" t="str">
        <f>'PLAN INDICATIVO'!M453</f>
        <v>Unidad de Desarrollo Rural</v>
      </c>
      <c r="N453" s="1425" t="str">
        <f>'PLAN INDICATIVO'!N453</f>
        <v>GABRIEL ERNESTO CAMPOS ALVIRA</v>
      </c>
      <c r="O453" s="1425" t="str">
        <f>'PLAN INDICATIVO'!O453</f>
        <v>Incremento</v>
      </c>
      <c r="P453" s="16" t="str">
        <f>'PLAN INDICATIVO'!P453</f>
        <v>Realizar 8 jornadas de capacitaciones no formales en busca de estímulos para hacer separación en la fuente, durante el cuatrienio</v>
      </c>
      <c r="Q453" s="302" t="str">
        <f>'PLAN INDICATIVO'!Q453</f>
        <v>No. De capacitaciones realizadas</v>
      </c>
      <c r="R453" s="303">
        <f>'PLAN INDICATIVO'!R453</f>
        <v>2015</v>
      </c>
      <c r="S453" s="304">
        <v>0</v>
      </c>
      <c r="T453" s="498">
        <v>8</v>
      </c>
      <c r="U453" s="572">
        <v>2</v>
      </c>
      <c r="V453" s="687">
        <v>1000000</v>
      </c>
      <c r="W453" s="66">
        <v>1</v>
      </c>
      <c r="X453" s="687">
        <v>5000000</v>
      </c>
      <c r="Y453" s="1232">
        <v>1</v>
      </c>
      <c r="Z453" s="1233">
        <v>5000000</v>
      </c>
      <c r="AA453" s="1310"/>
      <c r="AB453" s="687">
        <v>5000000</v>
      </c>
      <c r="AC453" s="665">
        <v>5</v>
      </c>
      <c r="AD453" s="665">
        <v>2</v>
      </c>
      <c r="AE453" s="665">
        <v>1</v>
      </c>
      <c r="AF453" s="665"/>
      <c r="AG453" s="892"/>
      <c r="AH453" s="307" t="s">
        <v>4406</v>
      </c>
      <c r="AI453" s="309" t="s">
        <v>4407</v>
      </c>
      <c r="AJ453" s="309">
        <v>43464</v>
      </c>
      <c r="AK453" s="308"/>
      <c r="AL453" s="308"/>
      <c r="AM453" s="308"/>
      <c r="AN453" s="267" t="s">
        <v>2598</v>
      </c>
      <c r="AO453" s="507"/>
      <c r="AP453" s="973"/>
      <c r="AQ453" s="973"/>
      <c r="AR453" s="973"/>
      <c r="AS453" s="973"/>
      <c r="AT453" s="973"/>
      <c r="AU453" s="973"/>
      <c r="AV453" s="973"/>
      <c r="AW453" s="975">
        <f t="shared" si="270"/>
        <v>0</v>
      </c>
      <c r="AX453" s="525"/>
      <c r="AY453" s="310"/>
      <c r="AZ453" s="310"/>
      <c r="BA453" s="310"/>
      <c r="BB453" s="310"/>
      <c r="BC453" s="310"/>
      <c r="BD453" s="310"/>
      <c r="BE453" s="544">
        <f t="shared" si="244"/>
        <v>0</v>
      </c>
      <c r="BF453" s="1323"/>
      <c r="BG453" s="1313"/>
      <c r="BH453" s="1313"/>
      <c r="BI453" s="1313"/>
      <c r="BJ453" s="1313"/>
      <c r="BK453" s="1313"/>
      <c r="BL453" s="310"/>
      <c r="BM453" s="544">
        <f t="shared" si="245"/>
        <v>0</v>
      </c>
      <c r="BN453" s="525"/>
      <c r="BO453" s="310"/>
      <c r="BP453" s="310"/>
      <c r="BQ453" s="310"/>
      <c r="BR453" s="310"/>
      <c r="BS453" s="310"/>
      <c r="BT453" s="310"/>
      <c r="BU453" s="544">
        <f t="shared" si="246"/>
        <v>0</v>
      </c>
      <c r="BV453" s="556"/>
      <c r="BW453" s="663">
        <f t="shared" si="271"/>
        <v>8</v>
      </c>
      <c r="BX453" s="1047">
        <f t="shared" si="248"/>
        <v>1</v>
      </c>
      <c r="BY453" s="1047">
        <f t="shared" si="265"/>
        <v>2.5</v>
      </c>
      <c r="BZ453" s="1047">
        <f t="shared" si="266"/>
        <v>2</v>
      </c>
      <c r="CA453" s="1047">
        <f t="shared" si="267"/>
        <v>1</v>
      </c>
      <c r="CB453" s="1047" t="str">
        <f t="shared" si="268"/>
        <v>No Programada</v>
      </c>
      <c r="CD453" t="str">
        <f t="shared" si="269"/>
        <v>VE</v>
      </c>
      <c r="CE453" t="str">
        <f t="shared" si="269"/>
        <v>VE</v>
      </c>
      <c r="CF453" t="str">
        <f t="shared" si="269"/>
        <v>VE</v>
      </c>
      <c r="CG453" t="str">
        <f t="shared" si="269"/>
        <v>NP</v>
      </c>
    </row>
    <row r="454" spans="1:85" ht="78" customHeight="1" x14ac:dyDescent="0.3">
      <c r="A454" s="298" t="s">
        <v>1353</v>
      </c>
      <c r="B454" s="299" t="str">
        <f>'PLAN INDICATIVO'!B454</f>
        <v>Ambiental</v>
      </c>
      <c r="C454" s="1547"/>
      <c r="D454" s="1551"/>
      <c r="E454" s="1551"/>
      <c r="F454" s="1551"/>
      <c r="G454" s="1551"/>
      <c r="H454" s="1551"/>
      <c r="I454" s="300">
        <f>'PLAN INDICATIVO'!I454</f>
        <v>0</v>
      </c>
      <c r="J454" s="300">
        <f>'PLAN INDICATIVO'!J454</f>
        <v>0</v>
      </c>
      <c r="K454" s="1428" t="str">
        <f>'PLAN INDICATIVO'!K454</f>
        <v>A.10.1.14</v>
      </c>
      <c r="L454" s="301" t="str">
        <f>'PLAN INDICATIVO'!L454</f>
        <v>15. Vida de ecosistemas terrestres</v>
      </c>
      <c r="M454" s="301" t="str">
        <f>'PLAN INDICATIVO'!M454</f>
        <v>Unidad de Desarrollo Rural</v>
      </c>
      <c r="N454" s="1425" t="str">
        <f>'PLAN INDICATIVO'!N454</f>
        <v>GABRIEL ERNESTO CAMPOS ALVIRA</v>
      </c>
      <c r="O454" s="1425" t="str">
        <f>'PLAN INDICATIVO'!O454</f>
        <v>Incremento</v>
      </c>
      <c r="P454" s="16" t="str">
        <f>'PLAN INDICATIVO'!P454</f>
        <v>Realizar 10 capacitaciones en el cuatrienio, en centros poblados  respecto al manejo integral de los residuos sólidos.</v>
      </c>
      <c r="Q454" s="302" t="str">
        <f>'PLAN INDICATIVO'!Q454</f>
        <v>No. De capacitaciones realizadas</v>
      </c>
      <c r="R454" s="303">
        <f>'PLAN INDICATIVO'!R454</f>
        <v>2015</v>
      </c>
      <c r="S454" s="304">
        <v>0</v>
      </c>
      <c r="T454" s="498">
        <v>10</v>
      </c>
      <c r="U454" s="572">
        <v>2</v>
      </c>
      <c r="V454" s="687">
        <v>2000000</v>
      </c>
      <c r="W454" s="572">
        <v>3</v>
      </c>
      <c r="X454" s="687">
        <v>6000000</v>
      </c>
      <c r="Y454" s="1232">
        <v>1</v>
      </c>
      <c r="Z454" s="1233">
        <v>6000000</v>
      </c>
      <c r="AA454" s="1310"/>
      <c r="AB454" s="687">
        <v>6000000</v>
      </c>
      <c r="AC454" s="665">
        <v>5</v>
      </c>
      <c r="AD454" s="665">
        <v>4</v>
      </c>
      <c r="AE454" s="665">
        <v>1</v>
      </c>
      <c r="AF454" s="665"/>
      <c r="AG454" s="892"/>
      <c r="AH454" s="1214" t="s">
        <v>4408</v>
      </c>
      <c r="AI454" s="309" t="s">
        <v>4409</v>
      </c>
      <c r="AJ454" s="309">
        <v>43464</v>
      </c>
      <c r="AK454" s="308"/>
      <c r="AL454" s="308"/>
      <c r="AM454" s="308"/>
      <c r="AN454" s="267" t="s">
        <v>2598</v>
      </c>
      <c r="AO454" s="507"/>
      <c r="AP454" s="972"/>
      <c r="AQ454" s="973"/>
      <c r="AR454" s="973"/>
      <c r="AS454" s="973"/>
      <c r="AT454" s="973"/>
      <c r="AU454" s="973"/>
      <c r="AV454" s="973">
        <v>5000000</v>
      </c>
      <c r="AW454" s="975">
        <f t="shared" si="270"/>
        <v>5000000</v>
      </c>
      <c r="AX454" s="525"/>
      <c r="AY454" s="310"/>
      <c r="AZ454" s="310"/>
      <c r="BA454" s="310"/>
      <c r="BB454" s="310"/>
      <c r="BC454" s="310"/>
      <c r="BD454" s="310"/>
      <c r="BE454" s="544">
        <f t="shared" si="244"/>
        <v>0</v>
      </c>
      <c r="BF454" s="525"/>
      <c r="BG454" s="310"/>
      <c r="BH454" s="310"/>
      <c r="BI454" s="310"/>
      <c r="BJ454" s="310"/>
      <c r="BK454" s="310"/>
      <c r="BL454" s="310"/>
      <c r="BM454" s="544">
        <f t="shared" si="245"/>
        <v>0</v>
      </c>
      <c r="BN454" s="525"/>
      <c r="BO454" s="310"/>
      <c r="BP454" s="310"/>
      <c r="BQ454" s="310"/>
      <c r="BR454" s="310"/>
      <c r="BS454" s="310"/>
      <c r="BT454" s="310"/>
      <c r="BU454" s="544">
        <f t="shared" si="246"/>
        <v>0</v>
      </c>
      <c r="BV454" s="556"/>
      <c r="BW454" s="663">
        <f t="shared" si="271"/>
        <v>10</v>
      </c>
      <c r="BX454" s="1047">
        <f t="shared" si="248"/>
        <v>1</v>
      </c>
      <c r="BY454" s="1047">
        <f t="shared" si="265"/>
        <v>2.5</v>
      </c>
      <c r="BZ454" s="1047">
        <f t="shared" si="266"/>
        <v>1.3333333333333333</v>
      </c>
      <c r="CA454" s="1047">
        <f t="shared" si="267"/>
        <v>1</v>
      </c>
      <c r="CB454" s="1047" t="str">
        <f t="shared" si="268"/>
        <v>No Programada</v>
      </c>
      <c r="CD454" t="str">
        <f t="shared" si="269"/>
        <v>VE</v>
      </c>
      <c r="CE454" t="str">
        <f t="shared" si="269"/>
        <v>VE</v>
      </c>
      <c r="CF454" t="str">
        <f t="shared" si="269"/>
        <v>VE</v>
      </c>
      <c r="CG454" t="str">
        <f t="shared" si="269"/>
        <v>NP</v>
      </c>
    </row>
    <row r="455" spans="1:85" ht="63" customHeight="1" x14ac:dyDescent="0.3">
      <c r="A455" s="298" t="s">
        <v>1353</v>
      </c>
      <c r="B455" s="299" t="str">
        <f>'PLAN INDICATIVO'!B455</f>
        <v>Ambiental</v>
      </c>
      <c r="C455" s="1547"/>
      <c r="D455" s="1551"/>
      <c r="E455" s="1551"/>
      <c r="F455" s="1551"/>
      <c r="G455" s="1551"/>
      <c r="H455" s="1551"/>
      <c r="I455" s="300">
        <f>'PLAN INDICATIVO'!I455</f>
        <v>0</v>
      </c>
      <c r="J455" s="300">
        <f>'PLAN INDICATIVO'!J455</f>
        <v>0</v>
      </c>
      <c r="K455" s="1428" t="str">
        <f>'PLAN INDICATIVO'!K455</f>
        <v>A.10.1.15</v>
      </c>
      <c r="L455" s="301" t="str">
        <f>'PLAN INDICATIVO'!L455</f>
        <v>15. Vida de ecosistemas terrestres</v>
      </c>
      <c r="M455" s="301" t="str">
        <f>'PLAN INDICATIVO'!M455</f>
        <v>Unidad de Desarrollo Rural</v>
      </c>
      <c r="N455" s="1425" t="str">
        <f>'PLAN INDICATIVO'!N455</f>
        <v>GABRIEL ERNESTO CAMPOS ALVIRA</v>
      </c>
      <c r="O455" s="1425" t="str">
        <f>'PLAN INDICATIVO'!O455</f>
        <v>Incremento</v>
      </c>
      <c r="P455" s="16" t="str">
        <f>'PLAN INDICATIVO'!P455</f>
        <v>Realizar 4 jornadas de sensibilización en IE sobre cultura ambiental, en el cuatrienio</v>
      </c>
      <c r="Q455" s="302" t="str">
        <f>'PLAN INDICATIVO'!Q455</f>
        <v>No. De jornadas realizadas</v>
      </c>
      <c r="R455" s="303">
        <f>'PLAN INDICATIVO'!R455</f>
        <v>2015</v>
      </c>
      <c r="S455" s="304">
        <v>0</v>
      </c>
      <c r="T455" s="498">
        <v>4</v>
      </c>
      <c r="U455" s="572">
        <v>1</v>
      </c>
      <c r="V455" s="687">
        <v>2000000</v>
      </c>
      <c r="W455" s="572">
        <v>1</v>
      </c>
      <c r="X455" s="687">
        <v>1000000</v>
      </c>
      <c r="Y455" s="1232">
        <v>1</v>
      </c>
      <c r="Z455" s="1233">
        <v>1000000</v>
      </c>
      <c r="AA455" s="1310">
        <v>1</v>
      </c>
      <c r="AB455" s="687">
        <v>1000000</v>
      </c>
      <c r="AC455" s="665">
        <v>1</v>
      </c>
      <c r="AD455" s="665">
        <v>1</v>
      </c>
      <c r="AE455" s="665">
        <v>1</v>
      </c>
      <c r="AF455" s="665"/>
      <c r="AG455" s="1212" t="s">
        <v>4384</v>
      </c>
      <c r="AH455" s="336" t="s">
        <v>4410</v>
      </c>
      <c r="AI455" s="309">
        <v>43160</v>
      </c>
      <c r="AJ455" s="309">
        <v>43464</v>
      </c>
      <c r="AK455" s="308"/>
      <c r="AL455" s="308"/>
      <c r="AM455" s="308"/>
      <c r="AN455" s="267" t="s">
        <v>2598</v>
      </c>
      <c r="AO455" s="507" t="s">
        <v>4411</v>
      </c>
      <c r="AP455" s="972"/>
      <c r="AQ455" s="973"/>
      <c r="AR455" s="973"/>
      <c r="AS455" s="973"/>
      <c r="AT455" s="973"/>
      <c r="AU455" s="973"/>
      <c r="AV455" s="973">
        <v>1000000</v>
      </c>
      <c r="AW455" s="975">
        <f t="shared" si="270"/>
        <v>1000000</v>
      </c>
      <c r="AX455" s="525"/>
      <c r="AY455" s="310"/>
      <c r="AZ455" s="310"/>
      <c r="BA455" s="310"/>
      <c r="BB455" s="310"/>
      <c r="BC455" s="310"/>
      <c r="BD455" s="310"/>
      <c r="BE455" s="544">
        <f t="shared" si="244"/>
        <v>0</v>
      </c>
      <c r="BF455" s="525"/>
      <c r="BG455" s="310"/>
      <c r="BH455" s="310"/>
      <c r="BI455" s="310"/>
      <c r="BJ455" s="310"/>
      <c r="BK455" s="310"/>
      <c r="BL455" s="310">
        <v>1000000</v>
      </c>
      <c r="BM455" s="544">
        <f t="shared" si="245"/>
        <v>1000000</v>
      </c>
      <c r="BN455" s="525"/>
      <c r="BO455" s="310"/>
      <c r="BP455" s="310"/>
      <c r="BQ455" s="310"/>
      <c r="BR455" s="310"/>
      <c r="BS455" s="310"/>
      <c r="BT455" s="310"/>
      <c r="BU455" s="544">
        <f t="shared" si="246"/>
        <v>0</v>
      </c>
      <c r="BV455" s="556"/>
      <c r="BW455" s="663">
        <f t="shared" si="271"/>
        <v>3</v>
      </c>
      <c r="BX455" s="1047">
        <f t="shared" si="248"/>
        <v>0.75</v>
      </c>
      <c r="BY455" s="1047">
        <f t="shared" si="265"/>
        <v>1</v>
      </c>
      <c r="BZ455" s="1047">
        <f t="shared" si="266"/>
        <v>1</v>
      </c>
      <c r="CA455" s="1047">
        <f t="shared" si="267"/>
        <v>1</v>
      </c>
      <c r="CB455" s="1047">
        <f t="shared" si="268"/>
        <v>0</v>
      </c>
      <c r="CD455" t="str">
        <f t="shared" si="269"/>
        <v>VE</v>
      </c>
      <c r="CE455" t="str">
        <f t="shared" si="269"/>
        <v>VE</v>
      </c>
      <c r="CF455" t="str">
        <f t="shared" si="269"/>
        <v>VE</v>
      </c>
      <c r="CG455" t="str">
        <f t="shared" si="269"/>
        <v>ROB</v>
      </c>
    </row>
    <row r="456" spans="1:85" ht="63.75" customHeight="1" x14ac:dyDescent="0.3">
      <c r="A456" s="298" t="s">
        <v>1353</v>
      </c>
      <c r="B456" s="299" t="str">
        <f>'PLAN INDICATIVO'!B456</f>
        <v>Ambiental</v>
      </c>
      <c r="C456" s="1547"/>
      <c r="D456" s="1551"/>
      <c r="E456" s="1551"/>
      <c r="F456" s="1551"/>
      <c r="G456" s="1551"/>
      <c r="H456" s="1551"/>
      <c r="I456" s="300">
        <f>'PLAN INDICATIVO'!I456</f>
        <v>0</v>
      </c>
      <c r="J456" s="300">
        <f>'PLAN INDICATIVO'!J456</f>
        <v>0</v>
      </c>
      <c r="K456" s="1428" t="str">
        <f>'PLAN INDICATIVO'!K456</f>
        <v>A.10.1.16</v>
      </c>
      <c r="L456" s="301" t="str">
        <f>'PLAN INDICATIVO'!L456</f>
        <v>15. Vida de ecosistemas terrestres</v>
      </c>
      <c r="M456" s="301" t="str">
        <f>'PLAN INDICATIVO'!M456</f>
        <v>Unidad de Desarrollo Rural</v>
      </c>
      <c r="N456" s="1425" t="str">
        <f>'PLAN INDICATIVO'!N456</f>
        <v>GABRIEL ERNESTO CAMPOS ALVIRA</v>
      </c>
      <c r="O456" s="1425" t="str">
        <f>'PLAN INDICATIVO'!O456</f>
        <v>Incremento</v>
      </c>
      <c r="P456" s="16" t="str">
        <f>'PLAN INDICATIVO'!P456</f>
        <v xml:space="preserve">Diseñar un (1) plan municipal de adaptación al cambio climático, durante el cuatrienio. </v>
      </c>
      <c r="Q456" s="302" t="str">
        <f>'PLAN INDICATIVO'!Q456</f>
        <v>No. De planes municipales diseñados</v>
      </c>
      <c r="R456" s="303">
        <f>'PLAN INDICATIVO'!R456</f>
        <v>2015</v>
      </c>
      <c r="S456" s="304">
        <v>0</v>
      </c>
      <c r="T456" s="498">
        <v>1</v>
      </c>
      <c r="U456" s="895"/>
      <c r="V456" s="687">
        <v>1000000</v>
      </c>
      <c r="W456" s="572">
        <v>0.33</v>
      </c>
      <c r="X456" s="687">
        <v>4000000</v>
      </c>
      <c r="Y456" s="1232"/>
      <c r="Z456" s="1233">
        <v>1000000</v>
      </c>
      <c r="AA456" s="1310">
        <v>1</v>
      </c>
      <c r="AB456" s="687">
        <v>1000000</v>
      </c>
      <c r="AC456" s="665"/>
      <c r="AD456" s="896">
        <v>0</v>
      </c>
      <c r="AE456" s="665"/>
      <c r="AF456" s="665"/>
      <c r="AG456" s="306"/>
      <c r="AH456" s="307"/>
      <c r="AI456" s="308"/>
      <c r="AJ456" s="308"/>
      <c r="AK456" s="308"/>
      <c r="AL456" s="308"/>
      <c r="AM456" s="308"/>
      <c r="AN456" s="267" t="s">
        <v>2594</v>
      </c>
      <c r="AO456" s="507"/>
      <c r="AP456" s="972"/>
      <c r="AQ456" s="973"/>
      <c r="AR456" s="973"/>
      <c r="AS456" s="973"/>
      <c r="AT456" s="973"/>
      <c r="AU456" s="973"/>
      <c r="AV456" s="973"/>
      <c r="AW456" s="975">
        <f t="shared" si="270"/>
        <v>0</v>
      </c>
      <c r="AX456" s="525"/>
      <c r="AY456" s="310"/>
      <c r="AZ456" s="310"/>
      <c r="BA456" s="310"/>
      <c r="BB456" s="310"/>
      <c r="BC456" s="310"/>
      <c r="BD456" s="310"/>
      <c r="BE456" s="544">
        <f t="shared" si="244"/>
        <v>0</v>
      </c>
      <c r="BF456" s="525"/>
      <c r="BG456" s="310"/>
      <c r="BH456" s="310"/>
      <c r="BI456" s="310"/>
      <c r="BJ456" s="310"/>
      <c r="BK456" s="310"/>
      <c r="BL456" s="310"/>
      <c r="BM456" s="544">
        <f t="shared" si="245"/>
        <v>0</v>
      </c>
      <c r="BN456" s="525"/>
      <c r="BO456" s="310"/>
      <c r="BP456" s="310"/>
      <c r="BQ456" s="310"/>
      <c r="BR456" s="310"/>
      <c r="BS456" s="310"/>
      <c r="BT456" s="310"/>
      <c r="BU456" s="544">
        <f t="shared" si="246"/>
        <v>0</v>
      </c>
      <c r="BV456" s="556"/>
      <c r="BW456" s="663">
        <f t="shared" si="271"/>
        <v>0</v>
      </c>
      <c r="BX456" s="1047">
        <f t="shared" si="248"/>
        <v>0</v>
      </c>
      <c r="BY456" s="1047" t="str">
        <f t="shared" si="265"/>
        <v>No Programada</v>
      </c>
      <c r="BZ456" s="1047">
        <f t="shared" si="266"/>
        <v>0</v>
      </c>
      <c r="CA456" s="1047" t="str">
        <f t="shared" si="267"/>
        <v>No Programada</v>
      </c>
      <c r="CB456" s="1047">
        <f t="shared" si="268"/>
        <v>0</v>
      </c>
      <c r="CD456" t="str">
        <f t="shared" si="269"/>
        <v>NP</v>
      </c>
      <c r="CE456" t="str">
        <f t="shared" si="269"/>
        <v>ROB</v>
      </c>
      <c r="CF456" t="str">
        <f t="shared" si="269"/>
        <v>NP</v>
      </c>
      <c r="CG456" t="str">
        <f t="shared" si="269"/>
        <v>ROB</v>
      </c>
    </row>
    <row r="457" spans="1:85" ht="119.25" customHeight="1" x14ac:dyDescent="0.3">
      <c r="A457" s="298" t="s">
        <v>1353</v>
      </c>
      <c r="B457" s="299" t="str">
        <f>'PLAN INDICATIVO'!B457</f>
        <v>Ambiental</v>
      </c>
      <c r="C457" s="1547"/>
      <c r="D457" s="1551"/>
      <c r="E457" s="1551"/>
      <c r="F457" s="1551"/>
      <c r="G457" s="1551"/>
      <c r="H457" s="1551"/>
      <c r="I457" s="300">
        <f>'PLAN INDICATIVO'!I457</f>
        <v>0</v>
      </c>
      <c r="J457" s="300">
        <f>'PLAN INDICATIVO'!J457</f>
        <v>0</v>
      </c>
      <c r="K457" s="1428" t="str">
        <f>'PLAN INDICATIVO'!K457</f>
        <v>A.10.1.17</v>
      </c>
      <c r="L457" s="301" t="str">
        <f>'PLAN INDICATIVO'!L457</f>
        <v>15. Vida de ecosistemas terrestres</v>
      </c>
      <c r="M457" s="301" t="str">
        <f>'PLAN INDICATIVO'!M457</f>
        <v>Unidad de Desarrollo Rural</v>
      </c>
      <c r="N457" s="1425" t="str">
        <f>'PLAN INDICATIVO'!N457</f>
        <v>GABRIEL ERNESTO CAMPOS ALVIRA</v>
      </c>
      <c r="O457" s="1425" t="str">
        <f>'PLAN INDICATIVO'!O457</f>
        <v>Incremento</v>
      </c>
      <c r="P457" s="16" t="str">
        <f>'PLAN INDICATIVO'!P457</f>
        <v>Implementar un (1) programa de apoyo a los grupos asociativos, que desarrollen actividades de reciclaje, con fines comerciales y/o de protección ambiental en los centros poblados en el cuatrenio</v>
      </c>
      <c r="Q457" s="302" t="str">
        <f>'PLAN INDICATIVO'!Q457</f>
        <v xml:space="preserve">No. De planes municipales apoyados </v>
      </c>
      <c r="R457" s="303">
        <f>'PLAN INDICATIVO'!R457</f>
        <v>2015</v>
      </c>
      <c r="S457" s="304">
        <v>0</v>
      </c>
      <c r="T457" s="498">
        <v>1</v>
      </c>
      <c r="U457" s="572"/>
      <c r="V457" s="687">
        <v>4260000</v>
      </c>
      <c r="W457" s="66">
        <v>0.33</v>
      </c>
      <c r="X457" s="687">
        <v>5000000</v>
      </c>
      <c r="Y457" s="1232"/>
      <c r="Z457" s="1233">
        <v>1000000</v>
      </c>
      <c r="AA457" s="1310">
        <v>67</v>
      </c>
      <c r="AB457" s="687">
        <v>3000000</v>
      </c>
      <c r="AC457" s="665"/>
      <c r="AD457" s="665">
        <v>0.33</v>
      </c>
      <c r="AE457" s="665"/>
      <c r="AF457" s="665"/>
      <c r="AG457" s="887"/>
      <c r="AH457" s="307"/>
      <c r="AI457" s="309"/>
      <c r="AJ457" s="309"/>
      <c r="AK457" s="308"/>
      <c r="AL457" s="308"/>
      <c r="AM457" s="308"/>
      <c r="AN457" s="267" t="s">
        <v>2594</v>
      </c>
      <c r="AO457" s="507" t="s">
        <v>3726</v>
      </c>
      <c r="AP457" s="972"/>
      <c r="AQ457" s="973">
        <v>3250000</v>
      </c>
      <c r="AR457" s="973"/>
      <c r="AS457" s="973"/>
      <c r="AT457" s="973"/>
      <c r="AU457" s="973"/>
      <c r="AV457" s="973"/>
      <c r="AW457" s="975">
        <f t="shared" si="270"/>
        <v>3250000</v>
      </c>
      <c r="AX457" s="525"/>
      <c r="AY457" s="310"/>
      <c r="AZ457" s="310"/>
      <c r="BA457" s="310"/>
      <c r="BB457" s="310"/>
      <c r="BC457" s="310"/>
      <c r="BD457" s="310"/>
      <c r="BE457" s="544">
        <f t="shared" si="244"/>
        <v>0</v>
      </c>
      <c r="BF457" s="525"/>
      <c r="BG457" s="310"/>
      <c r="BH457" s="310"/>
      <c r="BI457" s="310"/>
      <c r="BJ457" s="310"/>
      <c r="BK457" s="310"/>
      <c r="BL457" s="310"/>
      <c r="BM457" s="544">
        <f t="shared" si="245"/>
        <v>0</v>
      </c>
      <c r="BN457" s="525"/>
      <c r="BO457" s="310"/>
      <c r="BP457" s="310"/>
      <c r="BQ457" s="310"/>
      <c r="BR457" s="310"/>
      <c r="BS457" s="310"/>
      <c r="BT457" s="310"/>
      <c r="BU457" s="544">
        <f t="shared" si="246"/>
        <v>0</v>
      </c>
      <c r="BV457" s="556"/>
      <c r="BW457" s="663">
        <f t="shared" si="271"/>
        <v>0.33</v>
      </c>
      <c r="BX457" s="1047">
        <f t="shared" si="248"/>
        <v>0.33</v>
      </c>
      <c r="BY457" s="1047" t="str">
        <f t="shared" si="265"/>
        <v>No Programada</v>
      </c>
      <c r="BZ457" s="1047">
        <f t="shared" si="266"/>
        <v>1</v>
      </c>
      <c r="CA457" s="1047" t="str">
        <f t="shared" si="267"/>
        <v>No Programada</v>
      </c>
      <c r="CB457" s="1047">
        <f t="shared" si="268"/>
        <v>0</v>
      </c>
      <c r="CD457" t="str">
        <f t="shared" si="269"/>
        <v>NP</v>
      </c>
      <c r="CE457" t="str">
        <f t="shared" si="269"/>
        <v>VE</v>
      </c>
      <c r="CF457" t="str">
        <f t="shared" si="269"/>
        <v>NP</v>
      </c>
      <c r="CG457" t="str">
        <f t="shared" si="269"/>
        <v>ROB</v>
      </c>
    </row>
    <row r="458" spans="1:85" ht="78.75" customHeight="1" x14ac:dyDescent="0.3">
      <c r="A458" s="298" t="s">
        <v>1353</v>
      </c>
      <c r="B458" s="299" t="str">
        <f>'PLAN INDICATIVO'!B458</f>
        <v>Ambiental</v>
      </c>
      <c r="C458" s="1547"/>
      <c r="D458" s="1551"/>
      <c r="E458" s="1551"/>
      <c r="F458" s="1551"/>
      <c r="G458" s="1551"/>
      <c r="H458" s="1551"/>
      <c r="I458" s="300">
        <f>'PLAN INDICATIVO'!I458</f>
        <v>0</v>
      </c>
      <c r="J458" s="300">
        <f>'PLAN INDICATIVO'!J458</f>
        <v>0</v>
      </c>
      <c r="K458" s="1428" t="str">
        <f>'PLAN INDICATIVO'!K458</f>
        <v>A.10.1.18</v>
      </c>
      <c r="L458" s="301" t="str">
        <f>'PLAN INDICATIVO'!L458</f>
        <v>15. Vida de ecosistemas terrestres</v>
      </c>
      <c r="M458" s="301" t="str">
        <f>'PLAN INDICATIVO'!M458</f>
        <v>Unidad de Desarrollo Rural</v>
      </c>
      <c r="N458" s="1425" t="str">
        <f>'PLAN INDICATIVO'!N458</f>
        <v>GABRIEL ERNESTO CAMPOS ALVIRA</v>
      </c>
      <c r="O458" s="1425" t="str">
        <f>'PLAN INDICATIVO'!O458</f>
        <v>Incremento</v>
      </c>
      <c r="P458" s="16" t="str">
        <f>'PLAN INDICATIVO'!P458</f>
        <v>Construir de 150 Hornillas ecológicas durante el cuatrienio</v>
      </c>
      <c r="Q458" s="302" t="str">
        <f>'PLAN INDICATIVO'!Q458</f>
        <v>No. de hornillas construidas</v>
      </c>
      <c r="R458" s="303">
        <f>'PLAN INDICATIVO'!R458</f>
        <v>2015</v>
      </c>
      <c r="S458" s="304">
        <v>0</v>
      </c>
      <c r="T458" s="498">
        <v>150</v>
      </c>
      <c r="U458" s="572"/>
      <c r="V458" s="687">
        <v>104000000</v>
      </c>
      <c r="W458" s="66">
        <v>40</v>
      </c>
      <c r="X458" s="687">
        <v>113000000</v>
      </c>
      <c r="Y458" s="1232">
        <v>100</v>
      </c>
      <c r="Z458" s="1233">
        <v>10000000</v>
      </c>
      <c r="AA458" s="1310">
        <v>7</v>
      </c>
      <c r="AB458" s="687">
        <v>20000000</v>
      </c>
      <c r="AC458" s="665"/>
      <c r="AD458" s="665">
        <v>40</v>
      </c>
      <c r="AE458" s="665">
        <v>103</v>
      </c>
      <c r="AF458" s="665"/>
      <c r="AG458" s="1212" t="s">
        <v>4384</v>
      </c>
      <c r="AH458" s="307" t="s">
        <v>4412</v>
      </c>
      <c r="AI458" s="308" t="s">
        <v>4413</v>
      </c>
      <c r="AJ458" s="308"/>
      <c r="AK458" s="308"/>
      <c r="AL458" s="308"/>
      <c r="AM458" s="308"/>
      <c r="AN458" s="267" t="s">
        <v>2598</v>
      </c>
      <c r="AO458" s="893" t="s">
        <v>4414</v>
      </c>
      <c r="AP458" s="972"/>
      <c r="AQ458" s="973"/>
      <c r="AR458" s="973"/>
      <c r="AS458" s="973"/>
      <c r="AT458" s="973"/>
      <c r="AU458" s="973"/>
      <c r="AV458" s="973"/>
      <c r="AW458" s="975">
        <f t="shared" si="270"/>
        <v>0</v>
      </c>
      <c r="AX458" s="525"/>
      <c r="AY458" s="310"/>
      <c r="AZ458" s="310"/>
      <c r="BA458" s="310"/>
      <c r="BB458" s="310"/>
      <c r="BC458" s="310"/>
      <c r="BD458" s="310"/>
      <c r="BE458" s="544">
        <f t="shared" si="244"/>
        <v>0</v>
      </c>
      <c r="BF458" s="525"/>
      <c r="BG458" s="310"/>
      <c r="BH458" s="310"/>
      <c r="BI458" s="310"/>
      <c r="BJ458" s="310"/>
      <c r="BK458" s="310"/>
      <c r="BL458" s="310">
        <v>50000000</v>
      </c>
      <c r="BM458" s="544">
        <f t="shared" si="245"/>
        <v>50000000</v>
      </c>
      <c r="BN458" s="525"/>
      <c r="BO458" s="310"/>
      <c r="BP458" s="310"/>
      <c r="BQ458" s="310"/>
      <c r="BR458" s="310"/>
      <c r="BS458" s="310"/>
      <c r="BT458" s="310"/>
      <c r="BU458" s="544">
        <f t="shared" si="246"/>
        <v>0</v>
      </c>
      <c r="BV458" s="556"/>
      <c r="BW458" s="663">
        <f t="shared" si="271"/>
        <v>143</v>
      </c>
      <c r="BX458" s="1047">
        <f t="shared" si="248"/>
        <v>0.95333333333333337</v>
      </c>
      <c r="BY458" s="1047" t="str">
        <f t="shared" si="265"/>
        <v>No Programada</v>
      </c>
      <c r="BZ458" s="1047">
        <f t="shared" si="266"/>
        <v>1</v>
      </c>
      <c r="CA458" s="1047">
        <f t="shared" si="267"/>
        <v>1.03</v>
      </c>
      <c r="CB458" s="1047">
        <f t="shared" si="268"/>
        <v>0</v>
      </c>
      <c r="CD458" t="str">
        <f t="shared" si="269"/>
        <v>NP</v>
      </c>
      <c r="CE458" t="str">
        <f t="shared" si="269"/>
        <v>VE</v>
      </c>
      <c r="CF458" t="str">
        <f t="shared" si="269"/>
        <v>VE</v>
      </c>
      <c r="CG458" t="str">
        <f t="shared" si="269"/>
        <v>ROB</v>
      </c>
    </row>
    <row r="459" spans="1:85" ht="58.5" customHeight="1" x14ac:dyDescent="0.3">
      <c r="A459" s="298" t="s">
        <v>1353</v>
      </c>
      <c r="B459" s="299" t="str">
        <f>'PLAN INDICATIVO'!B459</f>
        <v>Ambiental</v>
      </c>
      <c r="C459" s="1547"/>
      <c r="D459" s="1551"/>
      <c r="E459" s="1551"/>
      <c r="F459" s="1551"/>
      <c r="G459" s="1551"/>
      <c r="H459" s="1551"/>
      <c r="I459" s="300">
        <f>'PLAN INDICATIVO'!I459</f>
        <v>0</v>
      </c>
      <c r="J459" s="300">
        <f>'PLAN INDICATIVO'!J459</f>
        <v>0</v>
      </c>
      <c r="K459" s="1428" t="str">
        <f>'PLAN INDICATIVO'!K459</f>
        <v>A.10.1.19</v>
      </c>
      <c r="L459" s="301" t="str">
        <f>'PLAN INDICATIVO'!L459</f>
        <v>15. Vida de ecosistemas terrestres</v>
      </c>
      <c r="M459" s="301" t="str">
        <f>'PLAN INDICATIVO'!M459</f>
        <v>Unidad de Desarrollo Rural</v>
      </c>
      <c r="N459" s="1425" t="str">
        <f>'PLAN INDICATIVO'!N459</f>
        <v>GABRIEL ERNESTO CAMPOS ALVIRA</v>
      </c>
      <c r="O459" s="1425" t="str">
        <f>'PLAN INDICATIVO'!O459</f>
        <v>Incremento</v>
      </c>
      <c r="P459" s="70" t="str">
        <f>'PLAN INDICATIVO'!P459</f>
        <v>2 proyectos apoyados durante el cuatrienio que incorporen producción limpia</v>
      </c>
      <c r="Q459" s="350" t="str">
        <f>'PLAN INDICATIVO'!Q459</f>
        <v>No. De proyectos apoyados</v>
      </c>
      <c r="R459" s="303">
        <f>'PLAN INDICATIVO'!R459</f>
        <v>2015</v>
      </c>
      <c r="S459" s="304">
        <v>0</v>
      </c>
      <c r="T459" s="498">
        <v>2</v>
      </c>
      <c r="U459" s="572">
        <v>2</v>
      </c>
      <c r="V459" s="687">
        <v>4000000</v>
      </c>
      <c r="W459" s="715">
        <v>2</v>
      </c>
      <c r="X459" s="687">
        <v>2000000</v>
      </c>
      <c r="Y459" s="1232"/>
      <c r="Z459" s="1233">
        <v>1000000</v>
      </c>
      <c r="AA459" s="1310"/>
      <c r="AB459" s="687">
        <v>2000000</v>
      </c>
      <c r="AC459" s="665">
        <v>1</v>
      </c>
      <c r="AD459" s="665">
        <v>1</v>
      </c>
      <c r="AE459" s="665"/>
      <c r="AF459" s="665"/>
      <c r="AG459" s="887"/>
      <c r="AH459" s="307" t="s">
        <v>4415</v>
      </c>
      <c r="AI459" s="307" t="s">
        <v>4259</v>
      </c>
      <c r="AJ459" s="309">
        <v>43220</v>
      </c>
      <c r="AK459" s="308"/>
      <c r="AL459" s="308"/>
      <c r="AM459" s="308"/>
      <c r="AN459" s="267" t="s">
        <v>2594</v>
      </c>
      <c r="AO459" s="507" t="s">
        <v>3903</v>
      </c>
      <c r="AP459" s="972"/>
      <c r="AQ459" s="973">
        <v>1000000</v>
      </c>
      <c r="AR459" s="973"/>
      <c r="AS459" s="973"/>
      <c r="AT459" s="973"/>
      <c r="AU459" s="973"/>
      <c r="AV459" s="973"/>
      <c r="AW459" s="975">
        <f t="shared" si="270"/>
        <v>1000000</v>
      </c>
      <c r="AX459" s="525"/>
      <c r="AY459" s="310"/>
      <c r="AZ459" s="310"/>
      <c r="BA459" s="310"/>
      <c r="BB459" s="310"/>
      <c r="BC459" s="310"/>
      <c r="BD459" s="310"/>
      <c r="BE459" s="544">
        <f t="shared" si="244"/>
        <v>0</v>
      </c>
      <c r="BF459" s="525"/>
      <c r="BG459" s="310"/>
      <c r="BH459" s="310"/>
      <c r="BI459" s="310"/>
      <c r="BJ459" s="310"/>
      <c r="BK459" s="310"/>
      <c r="BL459" s="310"/>
      <c r="BM459" s="544">
        <f t="shared" si="245"/>
        <v>0</v>
      </c>
      <c r="BN459" s="525"/>
      <c r="BO459" s="310"/>
      <c r="BP459" s="310"/>
      <c r="BQ459" s="310"/>
      <c r="BR459" s="310"/>
      <c r="BS459" s="310"/>
      <c r="BT459" s="310"/>
      <c r="BU459" s="544">
        <f t="shared" si="246"/>
        <v>0</v>
      </c>
      <c r="BV459" s="556"/>
      <c r="BW459" s="663">
        <f t="shared" si="271"/>
        <v>2</v>
      </c>
      <c r="BX459" s="1047">
        <f t="shared" si="248"/>
        <v>1</v>
      </c>
      <c r="BY459" s="1047">
        <f t="shared" si="265"/>
        <v>0.5</v>
      </c>
      <c r="BZ459" s="1047">
        <f t="shared" si="266"/>
        <v>0.5</v>
      </c>
      <c r="CA459" s="1047" t="str">
        <f t="shared" si="267"/>
        <v>No Programada</v>
      </c>
      <c r="CB459" s="1047" t="str">
        <f t="shared" si="268"/>
        <v>No Programada</v>
      </c>
      <c r="CD459" t="str">
        <f t="shared" si="269"/>
        <v>AMB</v>
      </c>
      <c r="CE459" t="str">
        <f t="shared" si="269"/>
        <v>AMB</v>
      </c>
      <c r="CF459" t="str">
        <f t="shared" si="269"/>
        <v>NP</v>
      </c>
      <c r="CG459" t="str">
        <f t="shared" si="269"/>
        <v>NP</v>
      </c>
    </row>
    <row r="460" spans="1:85" ht="66" customHeight="1" x14ac:dyDescent="0.3">
      <c r="A460" s="298" t="s">
        <v>1353</v>
      </c>
      <c r="B460" s="299" t="str">
        <f>'PLAN INDICATIVO'!B460</f>
        <v>Ambiental</v>
      </c>
      <c r="C460" s="1547"/>
      <c r="D460" s="1551"/>
      <c r="E460" s="1551"/>
      <c r="F460" s="1551"/>
      <c r="G460" s="1551"/>
      <c r="H460" s="1551"/>
      <c r="I460" s="300">
        <f>'PLAN INDICATIVO'!I460</f>
        <v>0</v>
      </c>
      <c r="J460" s="375">
        <f>'PLAN INDICATIVO'!J460</f>
        <v>0</v>
      </c>
      <c r="K460" s="1428" t="str">
        <f>'PLAN INDICATIVO'!K460</f>
        <v>A.10.1.20</v>
      </c>
      <c r="L460" s="301" t="str">
        <f>'PLAN INDICATIVO'!L460</f>
        <v>15. Vida de ecosistemas terrestres</v>
      </c>
      <c r="M460" s="301" t="str">
        <f>'PLAN INDICATIVO'!M460</f>
        <v>Unidad de Desarrollo Rural</v>
      </c>
      <c r="N460" s="1425" t="str">
        <f>'PLAN INDICATIVO'!N460</f>
        <v>GABRIEL ERNESTO CAMPOS ALVIRA</v>
      </c>
      <c r="O460" s="1425" t="str">
        <f>'PLAN INDICATIVO'!O460</f>
        <v>Incremento</v>
      </c>
      <c r="P460" s="16" t="str">
        <f>'PLAN INDICATIVO'!P460</f>
        <v>Apoyar  200 instalaciones de sistemas de tratamiento residual (pozo Séptico), durante el cuatrienio</v>
      </c>
      <c r="Q460" s="302" t="str">
        <f>'PLAN INDICATIVO'!Q460</f>
        <v>No. De instalaciones apoyadas</v>
      </c>
      <c r="R460" s="351">
        <f>'PLAN INDICATIVO'!R460</f>
        <v>2015</v>
      </c>
      <c r="S460" s="304">
        <v>0</v>
      </c>
      <c r="T460" s="498">
        <v>200</v>
      </c>
      <c r="U460" s="572"/>
      <c r="V460" s="687">
        <v>1000000</v>
      </c>
      <c r="W460" s="572"/>
      <c r="X460" s="687"/>
      <c r="Y460" s="1232"/>
      <c r="Z460" s="1233">
        <v>19000000</v>
      </c>
      <c r="AA460" s="1310">
        <v>200</v>
      </c>
      <c r="AB460" s="687">
        <v>30000000</v>
      </c>
      <c r="AC460" s="665"/>
      <c r="AD460" s="665"/>
      <c r="AE460" s="665"/>
      <c r="AF460" s="665"/>
      <c r="AG460" s="266"/>
      <c r="AH460" s="307"/>
      <c r="AI460" s="308"/>
      <c r="AJ460" s="308"/>
      <c r="AK460" s="308"/>
      <c r="AL460" s="308"/>
      <c r="AM460" s="308"/>
      <c r="AN460" s="267" t="s">
        <v>2594</v>
      </c>
      <c r="AO460" s="507"/>
      <c r="AP460" s="525"/>
      <c r="AQ460" s="310"/>
      <c r="AR460" s="310"/>
      <c r="AS460" s="310"/>
      <c r="AT460" s="310"/>
      <c r="AU460" s="310"/>
      <c r="AV460" s="310"/>
      <c r="AW460" s="544">
        <f t="shared" si="270"/>
        <v>0</v>
      </c>
      <c r="AX460" s="525"/>
      <c r="AY460" s="310"/>
      <c r="AZ460" s="310"/>
      <c r="BA460" s="310"/>
      <c r="BB460" s="310"/>
      <c r="BC460" s="310"/>
      <c r="BD460" s="310"/>
      <c r="BE460" s="544">
        <f t="shared" si="244"/>
        <v>0</v>
      </c>
      <c r="BF460" s="525"/>
      <c r="BG460" s="310"/>
      <c r="BH460" s="310"/>
      <c r="BI460" s="310"/>
      <c r="BJ460" s="310"/>
      <c r="BK460" s="310"/>
      <c r="BL460" s="310"/>
      <c r="BM460" s="544">
        <f t="shared" si="245"/>
        <v>0</v>
      </c>
      <c r="BN460" s="525"/>
      <c r="BO460" s="310"/>
      <c r="BP460" s="310"/>
      <c r="BQ460" s="310"/>
      <c r="BR460" s="310"/>
      <c r="BS460" s="310"/>
      <c r="BT460" s="310"/>
      <c r="BU460" s="544">
        <f t="shared" si="246"/>
        <v>0</v>
      </c>
      <c r="BV460" s="556"/>
      <c r="BW460" s="663">
        <f t="shared" si="271"/>
        <v>0</v>
      </c>
      <c r="BX460" s="1047">
        <f t="shared" si="248"/>
        <v>0</v>
      </c>
      <c r="BY460" s="1047" t="str">
        <f t="shared" si="265"/>
        <v>No Programada</v>
      </c>
      <c r="BZ460" s="1047" t="str">
        <f t="shared" si="266"/>
        <v>No Programada</v>
      </c>
      <c r="CA460" s="1047" t="str">
        <f t="shared" si="267"/>
        <v>No Programada</v>
      </c>
      <c r="CB460" s="1047">
        <f t="shared" si="268"/>
        <v>0</v>
      </c>
      <c r="CD460" t="str">
        <f t="shared" si="269"/>
        <v>NP</v>
      </c>
      <c r="CE460" t="str">
        <f t="shared" si="269"/>
        <v>NP</v>
      </c>
      <c r="CF460" t="str">
        <f t="shared" si="269"/>
        <v>NP</v>
      </c>
      <c r="CG460" t="str">
        <f t="shared" si="269"/>
        <v>ROB</v>
      </c>
    </row>
    <row r="461" spans="1:85" ht="80.25" customHeight="1" x14ac:dyDescent="0.3">
      <c r="A461" s="298" t="s">
        <v>1353</v>
      </c>
      <c r="B461" s="299" t="str">
        <f>'PLAN INDICATIVO'!B461</f>
        <v>Ambiental</v>
      </c>
      <c r="C461" s="1547"/>
      <c r="D461" s="1551"/>
      <c r="E461" s="1551"/>
      <c r="F461" s="1551"/>
      <c r="G461" s="1551"/>
      <c r="H461" s="1551"/>
      <c r="I461" s="300">
        <f>'PLAN INDICATIVO'!I461</f>
        <v>0</v>
      </c>
      <c r="J461" s="375">
        <f>'PLAN INDICATIVO'!J461</f>
        <v>0</v>
      </c>
      <c r="K461" s="1428" t="str">
        <f>'PLAN INDICATIVO'!K461</f>
        <v>A.10.1.21</v>
      </c>
      <c r="L461" s="301" t="str">
        <f>'PLAN INDICATIVO'!L461</f>
        <v>15. Vida de ecosistemas terrestres</v>
      </c>
      <c r="M461" s="301" t="str">
        <f>'PLAN INDICATIVO'!M461</f>
        <v>Unidad de Desarrollo Rural</v>
      </c>
      <c r="N461" s="1425" t="str">
        <f>'PLAN INDICATIVO'!N461</f>
        <v>GABRIEL ERNESTO CAMPOS ALVIRA</v>
      </c>
      <c r="O461" s="1425" t="str">
        <f>'PLAN INDICATIVO'!O461</f>
        <v>Incremento</v>
      </c>
      <c r="P461" s="16" t="str">
        <f>'PLAN INDICATIVO'!P461</f>
        <v>Entregar 40 sistemas de tratamiento de agua residual con su respectiva instalación, durante el cuatrienio.</v>
      </c>
      <c r="Q461" s="302" t="str">
        <f>'PLAN INDICATIVO'!Q461</f>
        <v xml:space="preserve">No. De sistemas entregados </v>
      </c>
      <c r="R461" s="351">
        <f>'PLAN INDICATIVO'!R461</f>
        <v>2015</v>
      </c>
      <c r="S461" s="304" t="s">
        <v>177</v>
      </c>
      <c r="T461" s="498">
        <v>40</v>
      </c>
      <c r="U461" s="572">
        <v>10</v>
      </c>
      <c r="V461" s="687">
        <v>1000000</v>
      </c>
      <c r="W461" s="572">
        <v>25</v>
      </c>
      <c r="X461" s="687">
        <v>27900000</v>
      </c>
      <c r="Y461" s="1232"/>
      <c r="Z461" s="1233">
        <v>2000000</v>
      </c>
      <c r="AA461" s="1310"/>
      <c r="AB461" s="687">
        <v>3000000</v>
      </c>
      <c r="AC461" s="665">
        <v>15</v>
      </c>
      <c r="AD461" s="665">
        <v>25</v>
      </c>
      <c r="AE461" s="665"/>
      <c r="AF461" s="665"/>
      <c r="AG461" s="892"/>
      <c r="AH461" s="974" t="s">
        <v>3918</v>
      </c>
      <c r="AI461" s="309">
        <v>42795</v>
      </c>
      <c r="AJ461" s="309">
        <v>42735</v>
      </c>
      <c r="AK461" s="308"/>
      <c r="AL461" s="308"/>
      <c r="AM461" s="308"/>
      <c r="AN461" s="501" t="s">
        <v>2594</v>
      </c>
      <c r="AO461" s="889" t="s">
        <v>3919</v>
      </c>
      <c r="AP461" s="973">
        <v>20953300</v>
      </c>
      <c r="AQ461" s="973"/>
      <c r="AR461" s="973"/>
      <c r="AS461" s="973"/>
      <c r="AT461" s="973"/>
      <c r="AU461" s="973"/>
      <c r="AV461" s="973"/>
      <c r="AW461" s="975">
        <f t="shared" si="270"/>
        <v>20953300</v>
      </c>
      <c r="AX461" s="525"/>
      <c r="AY461" s="310"/>
      <c r="AZ461" s="310"/>
      <c r="BA461" s="310"/>
      <c r="BB461" s="310"/>
      <c r="BC461" s="310"/>
      <c r="BD461" s="310"/>
      <c r="BE461" s="544">
        <f t="shared" si="244"/>
        <v>0</v>
      </c>
      <c r="BF461" s="525"/>
      <c r="BG461" s="310"/>
      <c r="BH461" s="310"/>
      <c r="BI461" s="310"/>
      <c r="BJ461" s="310"/>
      <c r="BK461" s="310"/>
      <c r="BL461" s="310"/>
      <c r="BM461" s="544">
        <f t="shared" si="245"/>
        <v>0</v>
      </c>
      <c r="BN461" s="525"/>
      <c r="BO461" s="310"/>
      <c r="BP461" s="310"/>
      <c r="BQ461" s="310"/>
      <c r="BR461" s="310"/>
      <c r="BS461" s="310"/>
      <c r="BT461" s="310"/>
      <c r="BU461" s="544">
        <f t="shared" si="246"/>
        <v>0</v>
      </c>
      <c r="BV461" s="556"/>
      <c r="BW461" s="663">
        <f t="shared" si="271"/>
        <v>40</v>
      </c>
      <c r="BX461" s="1047">
        <f t="shared" si="248"/>
        <v>1</v>
      </c>
      <c r="BY461" s="1047">
        <f t="shared" si="265"/>
        <v>1.5</v>
      </c>
      <c r="BZ461" s="1047">
        <f t="shared" si="266"/>
        <v>1</v>
      </c>
      <c r="CA461" s="1047" t="str">
        <f t="shared" si="267"/>
        <v>No Programada</v>
      </c>
      <c r="CB461" s="1047" t="str">
        <f t="shared" si="268"/>
        <v>No Programada</v>
      </c>
      <c r="CD461" t="str">
        <f t="shared" si="269"/>
        <v>VE</v>
      </c>
      <c r="CE461" t="str">
        <f t="shared" si="269"/>
        <v>VE</v>
      </c>
      <c r="CF461" t="str">
        <f t="shared" si="269"/>
        <v>NP</v>
      </c>
      <c r="CG461" t="str">
        <f t="shared" si="269"/>
        <v>NP</v>
      </c>
    </row>
    <row r="462" spans="1:85" ht="47.25" customHeight="1" x14ac:dyDescent="0.3">
      <c r="A462" s="298" t="s">
        <v>1353</v>
      </c>
      <c r="B462" s="299" t="str">
        <f>'PLAN INDICATIVO'!B462</f>
        <v>Ambiental</v>
      </c>
      <c r="C462" s="1547"/>
      <c r="D462" s="1551"/>
      <c r="E462" s="1551"/>
      <c r="F462" s="1551"/>
      <c r="G462" s="1551"/>
      <c r="H462" s="1551"/>
      <c r="I462" s="300">
        <f>'PLAN INDICATIVO'!I462</f>
        <v>0</v>
      </c>
      <c r="J462" s="375">
        <f>'PLAN INDICATIVO'!J462</f>
        <v>0</v>
      </c>
      <c r="K462" s="1428" t="str">
        <f>'PLAN INDICATIVO'!K462</f>
        <v>A.10.1.22</v>
      </c>
      <c r="L462" s="301" t="str">
        <f>'PLAN INDICATIVO'!L462</f>
        <v>15. Vida de ecosistemas terrestres</v>
      </c>
      <c r="M462" s="301" t="str">
        <f>'PLAN INDICATIVO'!M462</f>
        <v>Unidad de Desarrollo Rural</v>
      </c>
      <c r="N462" s="1425" t="str">
        <f>'PLAN INDICATIVO'!N462</f>
        <v>GABRIEL ERNESTO CAMPOS ALVIRA</v>
      </c>
      <c r="O462" s="1425" t="str">
        <f>'PLAN INDICATIVO'!O462</f>
        <v>Incremento</v>
      </c>
      <c r="P462" s="16" t="str">
        <f>'PLAN INDICATIVO'!P462</f>
        <v>Realizar 1 actividad de apoyo para la recuperación de la ceiba del Municipio de la Plata.</v>
      </c>
      <c r="Q462" s="302" t="str">
        <f>'PLAN INDICATIVO'!Q462</f>
        <v>No. De actividades de apoyo realizadas</v>
      </c>
      <c r="R462" s="351">
        <f>'PLAN INDICATIVO'!R462</f>
        <v>2015</v>
      </c>
      <c r="S462" s="304">
        <v>0</v>
      </c>
      <c r="T462" s="498">
        <v>1</v>
      </c>
      <c r="U462" s="572"/>
      <c r="V462" s="687">
        <v>4000000</v>
      </c>
      <c r="W462" s="572">
        <v>1</v>
      </c>
      <c r="X462" s="687">
        <v>4000000</v>
      </c>
      <c r="Y462" s="1232"/>
      <c r="Z462" s="1233"/>
      <c r="AA462" s="1310"/>
      <c r="AB462" s="687"/>
      <c r="AC462" s="665"/>
      <c r="AD462" s="665">
        <v>1</v>
      </c>
      <c r="AE462" s="665"/>
      <c r="AF462" s="665"/>
      <c r="AG462" s="888" t="s">
        <v>3727</v>
      </c>
      <c r="AH462" s="307" t="s">
        <v>3920</v>
      </c>
      <c r="AI462" s="309">
        <v>42887</v>
      </c>
      <c r="AJ462" s="309">
        <v>43100</v>
      </c>
      <c r="AK462" s="308"/>
      <c r="AL462" s="308"/>
      <c r="AM462" s="308"/>
      <c r="AN462" s="267" t="s">
        <v>2594</v>
      </c>
      <c r="AO462" s="507" t="s">
        <v>3899</v>
      </c>
      <c r="AP462" s="972"/>
      <c r="AQ462" s="976">
        <v>3250000</v>
      </c>
      <c r="AR462" s="973"/>
      <c r="AS462" s="973"/>
      <c r="AT462" s="973"/>
      <c r="AU462" s="973"/>
      <c r="AV462" s="973"/>
      <c r="AW462" s="975">
        <f t="shared" si="270"/>
        <v>3250000</v>
      </c>
      <c r="AX462" s="525"/>
      <c r="AY462" s="310"/>
      <c r="AZ462" s="310"/>
      <c r="BA462" s="310"/>
      <c r="BB462" s="310"/>
      <c r="BC462" s="310"/>
      <c r="BD462" s="310"/>
      <c r="BE462" s="544">
        <f t="shared" si="244"/>
        <v>0</v>
      </c>
      <c r="BF462" s="525"/>
      <c r="BG462" s="310"/>
      <c r="BH462" s="310"/>
      <c r="BI462" s="310"/>
      <c r="BJ462" s="310"/>
      <c r="BK462" s="310"/>
      <c r="BL462" s="310"/>
      <c r="BM462" s="544">
        <f t="shared" si="245"/>
        <v>0</v>
      </c>
      <c r="BN462" s="525"/>
      <c r="BO462" s="310"/>
      <c r="BP462" s="310"/>
      <c r="BQ462" s="310"/>
      <c r="BR462" s="310"/>
      <c r="BS462" s="310"/>
      <c r="BT462" s="310"/>
      <c r="BU462" s="544">
        <f t="shared" si="246"/>
        <v>0</v>
      </c>
      <c r="BV462" s="556"/>
      <c r="BW462" s="663">
        <f t="shared" si="271"/>
        <v>1</v>
      </c>
      <c r="BX462" s="1047">
        <f t="shared" si="248"/>
        <v>1</v>
      </c>
      <c r="BY462" s="1047" t="str">
        <f t="shared" si="265"/>
        <v>No Programada</v>
      </c>
      <c r="BZ462" s="1047">
        <f t="shared" si="266"/>
        <v>1</v>
      </c>
      <c r="CA462" s="1047" t="str">
        <f t="shared" si="267"/>
        <v>No Programada</v>
      </c>
      <c r="CB462" s="1047" t="str">
        <f t="shared" si="268"/>
        <v>No Programada</v>
      </c>
      <c r="CD462" t="str">
        <f t="shared" si="269"/>
        <v>NP</v>
      </c>
      <c r="CE462" t="str">
        <f t="shared" si="269"/>
        <v>VE</v>
      </c>
      <c r="CF462" t="str">
        <f t="shared" si="269"/>
        <v>NP</v>
      </c>
      <c r="CG462" t="str">
        <f t="shared" si="269"/>
        <v>NP</v>
      </c>
    </row>
    <row r="463" spans="1:85" ht="51.75" customHeight="1" x14ac:dyDescent="0.3">
      <c r="A463" s="298" t="s">
        <v>1353</v>
      </c>
      <c r="B463" s="299" t="str">
        <f>'PLAN INDICATIVO'!B463</f>
        <v>Ambiental</v>
      </c>
      <c r="C463" s="1547"/>
      <c r="D463" s="1551"/>
      <c r="E463" s="1551"/>
      <c r="F463" s="1551"/>
      <c r="G463" s="1551"/>
      <c r="H463" s="1551"/>
      <c r="I463" s="1425" t="str">
        <f>'PLAN INDICATIVO'!I463</f>
        <v>SI</v>
      </c>
      <c r="J463" s="379">
        <f>'PLAN INDICATIVO'!J463</f>
        <v>0</v>
      </c>
      <c r="K463" s="1428" t="str">
        <f>'PLAN INDICATIVO'!K463</f>
        <v>A.10.1.23</v>
      </c>
      <c r="L463" s="301" t="str">
        <f>'PLAN INDICATIVO'!L463</f>
        <v>15. Vida de ecosistemas terrestres</v>
      </c>
      <c r="M463" s="301" t="str">
        <f>'PLAN INDICATIVO'!M463</f>
        <v>Unidad de Desarrollo Rural</v>
      </c>
      <c r="N463" s="1425" t="str">
        <f>'PLAN INDICATIVO'!N463</f>
        <v>GABRIEL ERNESTO CAMPOS ALVIRA</v>
      </c>
      <c r="O463" s="1425" t="str">
        <f>'PLAN INDICATIVO'!O463</f>
        <v>Incremento</v>
      </c>
      <c r="P463" s="16" t="str">
        <f>'PLAN INDICATIVO'!P463</f>
        <v>Adquirir 320 hectáreas para la protección de fuentes hídricas municipales durante el cuatrienio</v>
      </c>
      <c r="Q463" s="302" t="str">
        <f>'PLAN INDICATIVO'!Q463</f>
        <v>No. De hectáreas adquiridas</v>
      </c>
      <c r="R463" s="351" t="str">
        <f>'PLAN INDICATIVO'!R463</f>
        <v>2012-2015</v>
      </c>
      <c r="S463" s="304">
        <v>260</v>
      </c>
      <c r="T463" s="498">
        <v>320</v>
      </c>
      <c r="U463" s="572">
        <v>80</v>
      </c>
      <c r="V463" s="687">
        <v>110460000</v>
      </c>
      <c r="W463" s="572">
        <v>80</v>
      </c>
      <c r="X463" s="687">
        <v>92000000</v>
      </c>
      <c r="Y463" s="1232">
        <v>80</v>
      </c>
      <c r="Z463" s="1233">
        <v>80000000</v>
      </c>
      <c r="AA463" s="1310">
        <v>141</v>
      </c>
      <c r="AB463" s="687">
        <v>80000000</v>
      </c>
      <c r="AC463" s="665">
        <v>115</v>
      </c>
      <c r="AD463" s="665">
        <v>64</v>
      </c>
      <c r="AE463" s="665"/>
      <c r="AF463" s="665"/>
      <c r="AG463" s="887"/>
      <c r="AH463" s="307" t="s">
        <v>4416</v>
      </c>
      <c r="AI463" s="309" t="s">
        <v>4417</v>
      </c>
      <c r="AJ463" s="309"/>
      <c r="AK463" s="308"/>
      <c r="AL463" s="308"/>
      <c r="AM463" s="308"/>
      <c r="AN463" s="267" t="s">
        <v>2604</v>
      </c>
      <c r="AO463" s="507"/>
      <c r="AP463" s="972"/>
      <c r="AQ463" s="973"/>
      <c r="AR463" s="973"/>
      <c r="AS463" s="973"/>
      <c r="AT463" s="973"/>
      <c r="AU463" s="973"/>
      <c r="AV463" s="973"/>
      <c r="AW463" s="975">
        <f t="shared" si="270"/>
        <v>0</v>
      </c>
      <c r="AX463" s="525"/>
      <c r="AY463" s="310"/>
      <c r="AZ463" s="310"/>
      <c r="BA463" s="310"/>
      <c r="BB463" s="310"/>
      <c r="BC463" s="310"/>
      <c r="BD463" s="310"/>
      <c r="BE463" s="544">
        <f t="shared" si="244"/>
        <v>0</v>
      </c>
      <c r="BF463" s="525"/>
      <c r="BG463" s="310"/>
      <c r="BH463" s="310"/>
      <c r="BI463" s="310"/>
      <c r="BJ463" s="310"/>
      <c r="BK463" s="310"/>
      <c r="BL463" s="310"/>
      <c r="BM463" s="544">
        <f t="shared" si="245"/>
        <v>0</v>
      </c>
      <c r="BN463" s="525"/>
      <c r="BO463" s="310"/>
      <c r="BP463" s="310"/>
      <c r="BQ463" s="310"/>
      <c r="BR463" s="310"/>
      <c r="BS463" s="310"/>
      <c r="BT463" s="310"/>
      <c r="BU463" s="544">
        <f t="shared" si="246"/>
        <v>0</v>
      </c>
      <c r="BV463" s="556"/>
      <c r="BW463" s="663">
        <f t="shared" si="271"/>
        <v>179</v>
      </c>
      <c r="BX463" s="1047">
        <f t="shared" si="248"/>
        <v>0.55937499999999996</v>
      </c>
      <c r="BY463" s="1047">
        <f t="shared" si="265"/>
        <v>1.4375</v>
      </c>
      <c r="BZ463" s="1047">
        <f t="shared" si="266"/>
        <v>0.8</v>
      </c>
      <c r="CA463" s="1047">
        <f t="shared" si="267"/>
        <v>0</v>
      </c>
      <c r="CB463" s="1047">
        <f t="shared" si="268"/>
        <v>0</v>
      </c>
      <c r="CD463" t="str">
        <f t="shared" si="269"/>
        <v>VE</v>
      </c>
      <c r="CE463" t="str">
        <f t="shared" si="269"/>
        <v>VEB</v>
      </c>
      <c r="CF463" t="str">
        <f t="shared" si="269"/>
        <v>ROB</v>
      </c>
      <c r="CG463" t="str">
        <f t="shared" si="269"/>
        <v>ROB</v>
      </c>
    </row>
    <row r="464" spans="1:85" ht="18.75" customHeight="1" x14ac:dyDescent="0.3">
      <c r="A464" s="298" t="s">
        <v>2464</v>
      </c>
      <c r="B464" s="299" t="str">
        <f>'PLAN INDICATIVO'!B464</f>
        <v>Ambiental</v>
      </c>
      <c r="C464" s="1547"/>
      <c r="D464" s="1551"/>
      <c r="E464" s="1551"/>
      <c r="F464" s="1551"/>
      <c r="G464" s="1551"/>
      <c r="H464" s="1551"/>
      <c r="I464" s="300">
        <f>'PLAN INDICATIVO'!I464</f>
        <v>0</v>
      </c>
      <c r="J464" s="375">
        <f>'PLAN INDICATIVO'!J464</f>
        <v>0</v>
      </c>
      <c r="K464" s="1428" t="str">
        <f>'PLAN INDICATIVO'!K464</f>
        <v>A.10.1.24</v>
      </c>
      <c r="L464" s="301" t="str">
        <f>'PLAN INDICATIVO'!L464</f>
        <v>15. Vida de ecosistemas terrestres</v>
      </c>
      <c r="M464" s="301" t="str">
        <f>'PLAN INDICATIVO'!M464</f>
        <v>Unidad de Desarrollo Rural</v>
      </c>
      <c r="N464" s="1425" t="str">
        <f>'PLAN INDICATIVO'!N464</f>
        <v>GABRIEL ERNESTO CAMPOS ALVIRA</v>
      </c>
      <c r="O464" s="1425" t="str">
        <f>'PLAN INDICATIVO'!O464</f>
        <v>Incremento</v>
      </c>
      <c r="P464" s="1199" t="str">
        <f>'PLAN INDICATIVO'!P464</f>
        <v>Formular e implementar 1 POMCA durante el cuatrienio</v>
      </c>
      <c r="Q464" s="302" t="str">
        <f>'PLAN INDICATIVO'!Q464</f>
        <v>No. De POMCA formulados e implementados</v>
      </c>
      <c r="R464" s="351">
        <f>'PLAN INDICATIVO'!R464</f>
        <v>2015</v>
      </c>
      <c r="S464" s="304">
        <v>0</v>
      </c>
      <c r="T464" s="715">
        <v>1</v>
      </c>
      <c r="U464" s="715"/>
      <c r="V464" s="1234">
        <v>2000000</v>
      </c>
      <c r="W464" s="715">
        <v>0.33</v>
      </c>
      <c r="X464" s="1234">
        <v>24000000</v>
      </c>
      <c r="Y464" s="715"/>
      <c r="Z464" s="1234">
        <v>1000000</v>
      </c>
      <c r="AA464" s="715">
        <v>1</v>
      </c>
      <c r="AB464" s="1234">
        <v>2000000</v>
      </c>
      <c r="AC464" s="1305"/>
      <c r="AD464" s="1309">
        <v>0</v>
      </c>
      <c r="AE464" s="1305">
        <v>0</v>
      </c>
      <c r="AF464" s="1305"/>
      <c r="AG464" s="306"/>
      <c r="AH464" s="307"/>
      <c r="AI464" s="1262" t="s">
        <v>4269</v>
      </c>
      <c r="AJ464" s="308"/>
      <c r="AK464" s="308"/>
      <c r="AL464" s="308"/>
      <c r="AM464" s="308"/>
      <c r="AN464" s="267" t="s">
        <v>2604</v>
      </c>
      <c r="AO464" s="507"/>
      <c r="AP464" s="972"/>
      <c r="AQ464" s="973"/>
      <c r="AR464" s="973"/>
      <c r="AS464" s="973"/>
      <c r="AT464" s="973"/>
      <c r="AU464" s="973"/>
      <c r="AV464" s="973"/>
      <c r="AW464" s="975">
        <f t="shared" si="270"/>
        <v>0</v>
      </c>
      <c r="AX464" s="525"/>
      <c r="AY464" s="310"/>
      <c r="AZ464" s="310"/>
      <c r="BA464" s="310"/>
      <c r="BB464" s="310"/>
      <c r="BC464" s="310"/>
      <c r="BD464" s="310"/>
      <c r="BE464" s="544">
        <f t="shared" si="244"/>
        <v>0</v>
      </c>
      <c r="BF464" s="1323"/>
      <c r="BG464" s="1313"/>
      <c r="BH464" s="1313"/>
      <c r="BI464" s="1313"/>
      <c r="BJ464" s="1313"/>
      <c r="BK464" s="1313"/>
      <c r="BL464" s="1313"/>
      <c r="BM464" s="800">
        <f t="shared" si="245"/>
        <v>0</v>
      </c>
      <c r="BN464" s="525"/>
      <c r="BO464" s="310"/>
      <c r="BP464" s="310"/>
      <c r="BQ464" s="310"/>
      <c r="BR464" s="310"/>
      <c r="BS464" s="310"/>
      <c r="BT464" s="310"/>
      <c r="BU464" s="544">
        <f t="shared" si="246"/>
        <v>0</v>
      </c>
      <c r="BV464" s="556"/>
      <c r="BW464" s="663">
        <f t="shared" si="271"/>
        <v>0</v>
      </c>
      <c r="BX464" s="1047">
        <f t="shared" si="248"/>
        <v>0</v>
      </c>
      <c r="BY464" s="1047" t="str">
        <f t="shared" si="265"/>
        <v>No Programada</v>
      </c>
      <c r="BZ464" s="1047">
        <f t="shared" si="266"/>
        <v>0</v>
      </c>
      <c r="CA464" s="1047" t="s">
        <v>4000</v>
      </c>
      <c r="CB464" s="1047">
        <f t="shared" si="268"/>
        <v>0</v>
      </c>
      <c r="CD464" t="str">
        <f t="shared" si="269"/>
        <v>NP</v>
      </c>
      <c r="CE464" t="str">
        <f t="shared" si="269"/>
        <v>ROB</v>
      </c>
      <c r="CF464" t="str">
        <f t="shared" si="269"/>
        <v>E</v>
      </c>
      <c r="CG464" t="str">
        <f t="shared" si="269"/>
        <v>ROB</v>
      </c>
    </row>
    <row r="465" spans="1:85" ht="64.5" customHeight="1" x14ac:dyDescent="0.3">
      <c r="A465" s="298" t="s">
        <v>1353</v>
      </c>
      <c r="B465" s="299" t="str">
        <f>'PLAN INDICATIVO'!B465</f>
        <v>Ambiental</v>
      </c>
      <c r="C465" s="1547"/>
      <c r="D465" s="1551"/>
      <c r="E465" s="1551"/>
      <c r="F465" s="1551"/>
      <c r="G465" s="1551"/>
      <c r="H465" s="1551"/>
      <c r="I465" s="300">
        <f>'PLAN INDICATIVO'!I465</f>
        <v>0</v>
      </c>
      <c r="J465" s="375">
        <f>'PLAN INDICATIVO'!J465</f>
        <v>0</v>
      </c>
      <c r="K465" s="1428" t="str">
        <f>'PLAN INDICATIVO'!K465</f>
        <v>A.10.1.25</v>
      </c>
      <c r="L465" s="301" t="str">
        <f>'PLAN INDICATIVO'!L465</f>
        <v>15. Vida de ecosistemas terrestres</v>
      </c>
      <c r="M465" s="301" t="str">
        <f>'PLAN INDICATIVO'!M465</f>
        <v>Unidad de Desarrollo Rural</v>
      </c>
      <c r="N465" s="1425" t="str">
        <f>'PLAN INDICATIVO'!N465</f>
        <v>GABRIEL ERNESTO CAMPOS ALVIRA</v>
      </c>
      <c r="O465" s="1425" t="str">
        <f>'PLAN INDICATIVO'!O465</f>
        <v>Incremento</v>
      </c>
      <c r="P465" s="16" t="str">
        <f>'PLAN INDICATIVO'!P465</f>
        <v>Realizar 2 campañas de vacunación y esterilización de animales domésticos en condición de calle, durante el cuatrienio</v>
      </c>
      <c r="Q465" s="302" t="str">
        <f>'PLAN INDICATIVO'!Q465</f>
        <v>No. De campañas realizadas</v>
      </c>
      <c r="R465" s="351">
        <f>'PLAN INDICATIVO'!R465</f>
        <v>2015</v>
      </c>
      <c r="S465" s="304">
        <v>0</v>
      </c>
      <c r="T465" s="498">
        <v>2</v>
      </c>
      <c r="U465" s="572">
        <v>1</v>
      </c>
      <c r="V465" s="687">
        <v>1000000</v>
      </c>
      <c r="W465" s="572">
        <v>1</v>
      </c>
      <c r="X465" s="687">
        <v>2000000</v>
      </c>
      <c r="Y465" s="1232"/>
      <c r="Z465" s="1233"/>
      <c r="AA465" s="1310"/>
      <c r="AB465" s="687"/>
      <c r="AC465" s="665">
        <v>1</v>
      </c>
      <c r="AD465" s="665">
        <v>1</v>
      </c>
      <c r="AE465" s="665"/>
      <c r="AF465" s="665"/>
      <c r="AG465" s="887"/>
      <c r="AH465" s="336"/>
      <c r="AI465" s="309"/>
      <c r="AJ465" s="309"/>
      <c r="AK465" s="308"/>
      <c r="AL465" s="308"/>
      <c r="AM465" s="308"/>
      <c r="AN465" s="267" t="s">
        <v>2594</v>
      </c>
      <c r="AO465" s="507"/>
      <c r="AP465" s="972"/>
      <c r="AQ465" s="973"/>
      <c r="AR465" s="973"/>
      <c r="AS465" s="973"/>
      <c r="AT465" s="973"/>
      <c r="AU465" s="973"/>
      <c r="AV465" s="973"/>
      <c r="AW465" s="975">
        <f t="shared" si="270"/>
        <v>0</v>
      </c>
      <c r="AX465" s="525"/>
      <c r="AY465" s="310"/>
      <c r="AZ465" s="310"/>
      <c r="BA465" s="310"/>
      <c r="BB465" s="310"/>
      <c r="BC465" s="310"/>
      <c r="BD465" s="310"/>
      <c r="BE465" s="544">
        <f t="shared" ref="BE465:BE489" si="272">SUM(AX465:BD465)</f>
        <v>0</v>
      </c>
      <c r="BF465" s="525"/>
      <c r="BG465" s="310"/>
      <c r="BH465" s="310"/>
      <c r="BI465" s="310"/>
      <c r="BJ465" s="310"/>
      <c r="BK465" s="310"/>
      <c r="BL465" s="310"/>
      <c r="BM465" s="544">
        <f t="shared" ref="BM465:BM489" si="273">SUM(BF465:BL465)</f>
        <v>0</v>
      </c>
      <c r="BN465" s="525"/>
      <c r="BO465" s="310"/>
      <c r="BP465" s="310"/>
      <c r="BQ465" s="310"/>
      <c r="BR465" s="310"/>
      <c r="BS465" s="310"/>
      <c r="BT465" s="310"/>
      <c r="BU465" s="544">
        <f t="shared" ref="BU465:BU489" si="274">SUM(BN465:BT465)</f>
        <v>0</v>
      </c>
      <c r="BV465" s="556"/>
      <c r="BW465" s="663">
        <f t="shared" si="271"/>
        <v>2</v>
      </c>
      <c r="BX465" s="1047">
        <f t="shared" si="248"/>
        <v>1</v>
      </c>
      <c r="BY465" s="1047">
        <f t="shared" si="265"/>
        <v>1</v>
      </c>
      <c r="BZ465" s="1047">
        <f t="shared" si="266"/>
        <v>1</v>
      </c>
      <c r="CA465" s="1047" t="str">
        <f t="shared" si="267"/>
        <v>No Programada</v>
      </c>
      <c r="CB465" s="1047" t="str">
        <f t="shared" si="268"/>
        <v>No Programada</v>
      </c>
      <c r="CD465" t="str">
        <f t="shared" si="269"/>
        <v>VE</v>
      </c>
      <c r="CE465" t="str">
        <f t="shared" si="269"/>
        <v>VE</v>
      </c>
      <c r="CF465" t="str">
        <f t="shared" si="269"/>
        <v>NP</v>
      </c>
      <c r="CG465" t="str">
        <f t="shared" si="269"/>
        <v>NP</v>
      </c>
    </row>
    <row r="466" spans="1:85" ht="64.5" customHeight="1" x14ac:dyDescent="0.3">
      <c r="A466" s="298" t="s">
        <v>1353</v>
      </c>
      <c r="B466" s="299" t="str">
        <f>'PLAN INDICATIVO'!B466</f>
        <v>Ambiental</v>
      </c>
      <c r="C466" s="1547"/>
      <c r="D466" s="1551"/>
      <c r="E466" s="1551"/>
      <c r="F466" s="1551"/>
      <c r="G466" s="1551"/>
      <c r="H466" s="1551"/>
      <c r="I466" s="300">
        <f>'PLAN INDICATIVO'!I466</f>
        <v>0</v>
      </c>
      <c r="J466" s="375">
        <f>'PLAN INDICATIVO'!J466</f>
        <v>0</v>
      </c>
      <c r="K466" s="1428" t="str">
        <f>'PLAN INDICATIVO'!K466</f>
        <v>A.10.1.26</v>
      </c>
      <c r="L466" s="301" t="str">
        <f>'PLAN INDICATIVO'!L466</f>
        <v>15. Vida de ecosistemas terrestres</v>
      </c>
      <c r="M466" s="301" t="str">
        <f>'PLAN INDICATIVO'!M466</f>
        <v>Unidad de Desarrollo Rural</v>
      </c>
      <c r="N466" s="1425" t="str">
        <f>'PLAN INDICATIVO'!N466</f>
        <v>GABRIEL ERNESTO CAMPOS ALVIRA</v>
      </c>
      <c r="O466" s="1425" t="str">
        <f>'PLAN INDICATIVO'!O466</f>
        <v>Incremento</v>
      </c>
      <c r="P466" s="16" t="str">
        <f>'PLAN INDICATIVO'!P466</f>
        <v>Desarrollar 4 acciones durante el cuatrienio para control y/o apoyo  para la formalización de minería ilegal</v>
      </c>
      <c r="Q466" s="302" t="str">
        <f>'PLAN INDICATIVO'!Q466</f>
        <v>No. De acciones desarrolladas en el cuatrienio</v>
      </c>
      <c r="R466" s="351">
        <f>'PLAN INDICATIVO'!R466</f>
        <v>2015</v>
      </c>
      <c r="S466" s="304">
        <v>0</v>
      </c>
      <c r="T466" s="498">
        <v>4</v>
      </c>
      <c r="U466" s="572">
        <v>1</v>
      </c>
      <c r="V466" s="687">
        <v>1000000</v>
      </c>
      <c r="W466" s="572">
        <v>1</v>
      </c>
      <c r="X466" s="687">
        <v>5000000</v>
      </c>
      <c r="Y466" s="1232">
        <v>1</v>
      </c>
      <c r="Z466" s="1233">
        <v>5000000</v>
      </c>
      <c r="AA466" s="1310">
        <v>2</v>
      </c>
      <c r="AB466" s="687">
        <v>5000000</v>
      </c>
      <c r="AC466" s="665">
        <v>1</v>
      </c>
      <c r="AD466" s="665">
        <v>1</v>
      </c>
      <c r="AE466" s="665"/>
      <c r="AF466" s="665"/>
      <c r="AG466" s="887"/>
      <c r="AH466" s="336"/>
      <c r="AI466" s="309"/>
      <c r="AJ466" s="309"/>
      <c r="AK466" s="308"/>
      <c r="AL466" s="308"/>
      <c r="AM466" s="308"/>
      <c r="AN466" s="267" t="s">
        <v>2600</v>
      </c>
      <c r="AO466" s="507"/>
      <c r="AP466" s="972"/>
      <c r="AQ466" s="977"/>
      <c r="AR466" s="973"/>
      <c r="AS466" s="973"/>
      <c r="AT466" s="973"/>
      <c r="AU466" s="973"/>
      <c r="AV466" s="973"/>
      <c r="AW466" s="975">
        <f t="shared" si="270"/>
        <v>0</v>
      </c>
      <c r="AX466" s="525"/>
      <c r="AY466" s="380"/>
      <c r="AZ466" s="310"/>
      <c r="BA466" s="310"/>
      <c r="BB466" s="310"/>
      <c r="BC466" s="310"/>
      <c r="BD466" s="310"/>
      <c r="BE466" s="544">
        <f t="shared" si="272"/>
        <v>0</v>
      </c>
      <c r="BF466" s="525"/>
      <c r="BG466" s="380"/>
      <c r="BH466" s="310"/>
      <c r="BI466" s="310"/>
      <c r="BJ466" s="310"/>
      <c r="BK466" s="310"/>
      <c r="BL466" s="310"/>
      <c r="BM466" s="544">
        <f t="shared" si="273"/>
        <v>0</v>
      </c>
      <c r="BN466" s="525"/>
      <c r="BO466" s="380"/>
      <c r="BP466" s="310"/>
      <c r="BQ466" s="310"/>
      <c r="BR466" s="310"/>
      <c r="BS466" s="310"/>
      <c r="BT466" s="310"/>
      <c r="BU466" s="544">
        <f t="shared" si="274"/>
        <v>0</v>
      </c>
      <c r="BV466" s="556"/>
      <c r="BW466" s="663">
        <f t="shared" si="271"/>
        <v>2</v>
      </c>
      <c r="BX466" s="1047">
        <f t="shared" si="248"/>
        <v>0.5</v>
      </c>
      <c r="BY466" s="1047">
        <f t="shared" si="265"/>
        <v>1</v>
      </c>
      <c r="BZ466" s="1047">
        <f t="shared" si="266"/>
        <v>1</v>
      </c>
      <c r="CA466" s="1047">
        <f t="shared" si="267"/>
        <v>0</v>
      </c>
      <c r="CB466" s="1047">
        <f t="shared" si="268"/>
        <v>0</v>
      </c>
      <c r="CD466" t="str">
        <f t="shared" si="269"/>
        <v>VE</v>
      </c>
      <c r="CE466" t="str">
        <f t="shared" si="269"/>
        <v>VE</v>
      </c>
      <c r="CF466" t="str">
        <f t="shared" si="269"/>
        <v>ROB</v>
      </c>
      <c r="CG466" t="str">
        <f t="shared" si="269"/>
        <v>ROB</v>
      </c>
    </row>
    <row r="467" spans="1:85" ht="71.25" customHeight="1" x14ac:dyDescent="0.3">
      <c r="A467" s="298" t="s">
        <v>1353</v>
      </c>
      <c r="B467" s="299" t="str">
        <f>'PLAN INDICATIVO'!B467</f>
        <v>Ambiental</v>
      </c>
      <c r="C467" s="1547"/>
      <c r="D467" s="1551"/>
      <c r="E467" s="1551"/>
      <c r="F467" s="1551"/>
      <c r="G467" s="1551"/>
      <c r="H467" s="1551"/>
      <c r="I467" s="300">
        <f>'PLAN INDICATIVO'!I467</f>
        <v>0</v>
      </c>
      <c r="J467" s="375">
        <f>'PLAN INDICATIVO'!J467</f>
        <v>0</v>
      </c>
      <c r="K467" s="1428" t="str">
        <f>'PLAN INDICATIVO'!K467</f>
        <v>A.10.1.27</v>
      </c>
      <c r="L467" s="301" t="str">
        <f>'PLAN INDICATIVO'!L467</f>
        <v>15. Vida de ecosistemas terrestres</v>
      </c>
      <c r="M467" s="301" t="str">
        <f>'PLAN INDICATIVO'!M467</f>
        <v>Unidad de Desarrollo Rural</v>
      </c>
      <c r="N467" s="1425" t="str">
        <f>'PLAN INDICATIVO'!N467</f>
        <v>GABRIEL ERNESTO CAMPOS ALVIRA</v>
      </c>
      <c r="O467" s="1425" t="str">
        <f>'PLAN INDICATIVO'!O467</f>
        <v>Incremento</v>
      </c>
      <c r="P467" s="16" t="str">
        <f>'PLAN INDICATIVO'!P467</f>
        <v>Aislar 12.000 metros lineales de predios de propiedad del municipio destinados a protección de fuentes hídricas durante el cuatrienio</v>
      </c>
      <c r="Q467" s="302" t="str">
        <f>'PLAN INDICATIVO'!Q467</f>
        <v>No. De metros lineales de aislamiento realizados durante el cuatrienio</v>
      </c>
      <c r="R467" s="351" t="str">
        <f>'PLAN INDICATIVO'!R467</f>
        <v>2012 - 2015</v>
      </c>
      <c r="S467" s="304">
        <v>30000</v>
      </c>
      <c r="T467" s="498">
        <v>12000</v>
      </c>
      <c r="U467" s="572"/>
      <c r="V467" s="687">
        <v>1000000</v>
      </c>
      <c r="W467" s="572">
        <v>4000</v>
      </c>
      <c r="X467" s="687">
        <v>10000000</v>
      </c>
      <c r="Y467" s="1232">
        <v>4000</v>
      </c>
      <c r="Z467" s="1233">
        <v>11000000</v>
      </c>
      <c r="AA467" s="1310">
        <v>4000</v>
      </c>
      <c r="AB467" s="687">
        <v>10000000</v>
      </c>
      <c r="AC467" s="665"/>
      <c r="AD467" s="665">
        <v>4000</v>
      </c>
      <c r="AE467" s="665">
        <v>4000</v>
      </c>
      <c r="AF467" s="665"/>
      <c r="AG467" s="887"/>
      <c r="AH467" s="307"/>
      <c r="AI467" s="1324" t="s">
        <v>4418</v>
      </c>
      <c r="AJ467" s="1325"/>
      <c r="AK467" s="1326"/>
      <c r="AL467" s="308"/>
      <c r="AM467" s="308"/>
      <c r="AN467" s="267" t="s">
        <v>2598</v>
      </c>
      <c r="AO467" s="507" t="s">
        <v>4419</v>
      </c>
      <c r="AP467" s="972"/>
      <c r="AQ467" s="977"/>
      <c r="AR467" s="973"/>
      <c r="AS467" s="973"/>
      <c r="AT467" s="973"/>
      <c r="AU467" s="973"/>
      <c r="AV467" s="973">
        <v>1000000</v>
      </c>
      <c r="AW467" s="975">
        <f t="shared" si="270"/>
        <v>1000000</v>
      </c>
      <c r="AX467" s="525"/>
      <c r="AY467" s="380"/>
      <c r="AZ467" s="310"/>
      <c r="BA467" s="310"/>
      <c r="BB467" s="310"/>
      <c r="BC467" s="310"/>
      <c r="BD467" s="310"/>
      <c r="BE467" s="544">
        <f t="shared" si="272"/>
        <v>0</v>
      </c>
      <c r="BF467" s="525"/>
      <c r="BG467" s="380"/>
      <c r="BH467" s="310"/>
      <c r="BI467" s="310"/>
      <c r="BJ467" s="310"/>
      <c r="BK467" s="310"/>
      <c r="BL467" s="310"/>
      <c r="BM467" s="544">
        <f t="shared" si="273"/>
        <v>0</v>
      </c>
      <c r="BN467" s="525"/>
      <c r="BO467" s="380"/>
      <c r="BP467" s="310"/>
      <c r="BQ467" s="310"/>
      <c r="BR467" s="310"/>
      <c r="BS467" s="310"/>
      <c r="BT467" s="310"/>
      <c r="BU467" s="544">
        <f t="shared" si="274"/>
        <v>0</v>
      </c>
      <c r="BV467" s="556"/>
      <c r="BW467" s="663">
        <f t="shared" si="271"/>
        <v>8000</v>
      </c>
      <c r="BX467" s="1047">
        <f t="shared" si="248"/>
        <v>0.66666666666666663</v>
      </c>
      <c r="BY467" s="1047" t="str">
        <f t="shared" si="265"/>
        <v>No Programada</v>
      </c>
      <c r="BZ467" s="1047">
        <f t="shared" si="266"/>
        <v>1</v>
      </c>
      <c r="CA467" s="1047">
        <f t="shared" si="267"/>
        <v>1</v>
      </c>
      <c r="CB467" s="1047">
        <f t="shared" si="268"/>
        <v>0</v>
      </c>
      <c r="CD467" t="str">
        <f t="shared" si="269"/>
        <v>NP</v>
      </c>
      <c r="CE467" t="str">
        <f t="shared" si="269"/>
        <v>VE</v>
      </c>
      <c r="CF467" t="str">
        <f t="shared" si="269"/>
        <v>VE</v>
      </c>
      <c r="CG467" t="str">
        <f t="shared" si="269"/>
        <v>ROB</v>
      </c>
    </row>
    <row r="468" spans="1:85" ht="44.25" customHeight="1" x14ac:dyDescent="0.3">
      <c r="A468" s="298" t="s">
        <v>2464</v>
      </c>
      <c r="B468" s="299" t="str">
        <f>'PLAN INDICATIVO'!B468</f>
        <v>Ambiental</v>
      </c>
      <c r="C468" s="1547"/>
      <c r="D468" s="1551"/>
      <c r="E468" s="1551"/>
      <c r="F468" s="1551"/>
      <c r="G468" s="1551"/>
      <c r="H468" s="1551"/>
      <c r="I468" s="300">
        <f>'PLAN INDICATIVO'!I468</f>
        <v>0</v>
      </c>
      <c r="J468" s="375">
        <f>'PLAN INDICATIVO'!J468</f>
        <v>0</v>
      </c>
      <c r="K468" s="1428" t="str">
        <f>'PLAN INDICATIVO'!K468</f>
        <v>A.10.1.28</v>
      </c>
      <c r="L468" s="301" t="str">
        <f>'PLAN INDICATIVO'!L468</f>
        <v>15. Vida de ecosistemas terrestres</v>
      </c>
      <c r="M468" s="301" t="str">
        <f>'PLAN INDICATIVO'!M468</f>
        <v>Unidad de Desarrollo Rural</v>
      </c>
      <c r="N468" s="1425" t="str">
        <f>'PLAN INDICATIVO'!N468</f>
        <v>GABRIEL ERNESTO CAMPOS ALVIRA</v>
      </c>
      <c r="O468" s="1425" t="str">
        <f>'PLAN INDICATIVO'!O468</f>
        <v>Incremento</v>
      </c>
      <c r="P468" s="16" t="str">
        <f>'PLAN INDICATIVO'!P468</f>
        <v>Desarrollar  1 proyectos para disminuir impacto del cambio climático, durante el cuatrienio</v>
      </c>
      <c r="Q468" s="302" t="str">
        <f>'PLAN INDICATIVO'!Q468</f>
        <v>No. De proyectos desarrollados</v>
      </c>
      <c r="R468" s="351">
        <f>'PLAN INDICATIVO'!R468</f>
        <v>2015</v>
      </c>
      <c r="S468" s="304">
        <v>0</v>
      </c>
      <c r="T468" s="1299">
        <v>2</v>
      </c>
      <c r="U468" s="572">
        <v>1</v>
      </c>
      <c r="V468" s="687">
        <v>2000000</v>
      </c>
      <c r="W468" s="572">
        <v>1</v>
      </c>
      <c r="X468" s="687">
        <v>1000000</v>
      </c>
      <c r="Y468" s="1232"/>
      <c r="Z468" s="1233">
        <v>1000000</v>
      </c>
      <c r="AA468" s="1310"/>
      <c r="AB468" s="687">
        <v>3000000</v>
      </c>
      <c r="AC468" s="665">
        <v>1</v>
      </c>
      <c r="AD468" s="665">
        <v>1</v>
      </c>
      <c r="AE468" s="665"/>
      <c r="AF468" s="665"/>
      <c r="AG468" s="887"/>
      <c r="AH468" s="336"/>
      <c r="AI468" s="1262" t="s">
        <v>4269</v>
      </c>
      <c r="AJ468" s="309"/>
      <c r="AK468" s="308"/>
      <c r="AL468" s="308"/>
      <c r="AM468" s="308"/>
      <c r="AN468" s="925" t="s">
        <v>2594</v>
      </c>
      <c r="AO468" s="507"/>
      <c r="AP468" s="525"/>
      <c r="AQ468" s="977"/>
      <c r="AR468" s="973"/>
      <c r="AS468" s="973"/>
      <c r="AT468" s="973"/>
      <c r="AU468" s="973"/>
      <c r="AV468" s="973"/>
      <c r="AW468" s="975">
        <f t="shared" si="270"/>
        <v>0</v>
      </c>
      <c r="AX468" s="525"/>
      <c r="AY468" s="380"/>
      <c r="AZ468" s="310"/>
      <c r="BA468" s="310"/>
      <c r="BB468" s="310"/>
      <c r="BC468" s="310"/>
      <c r="BD468" s="310"/>
      <c r="BE468" s="544">
        <f t="shared" si="272"/>
        <v>0</v>
      </c>
      <c r="BF468" s="525"/>
      <c r="BG468" s="380"/>
      <c r="BH468" s="310"/>
      <c r="BI468" s="310"/>
      <c r="BJ468" s="310"/>
      <c r="BK468" s="310"/>
      <c r="BL468" s="310"/>
      <c r="BM468" s="544">
        <f t="shared" si="273"/>
        <v>0</v>
      </c>
      <c r="BN468" s="525"/>
      <c r="BO468" s="380"/>
      <c r="BP468" s="310"/>
      <c r="BQ468" s="310"/>
      <c r="BR468" s="310"/>
      <c r="BS468" s="310"/>
      <c r="BT468" s="310"/>
      <c r="BU468" s="544">
        <f t="shared" si="274"/>
        <v>0</v>
      </c>
      <c r="BV468" s="556"/>
      <c r="BW468" s="663">
        <f t="shared" si="271"/>
        <v>2</v>
      </c>
      <c r="BX468" s="1047">
        <f t="shared" si="248"/>
        <v>1</v>
      </c>
      <c r="BY468" s="1047">
        <f t="shared" si="265"/>
        <v>1</v>
      </c>
      <c r="BZ468" s="1047">
        <f t="shared" si="266"/>
        <v>1</v>
      </c>
      <c r="CA468" s="1047" t="s">
        <v>4000</v>
      </c>
      <c r="CB468" s="1047" t="str">
        <f t="shared" si="268"/>
        <v>No Programada</v>
      </c>
      <c r="CD468" t="str">
        <f t="shared" si="269"/>
        <v>VE</v>
      </c>
      <c r="CE468" t="str">
        <f t="shared" si="269"/>
        <v>VE</v>
      </c>
      <c r="CF468" t="str">
        <f t="shared" si="269"/>
        <v>E</v>
      </c>
      <c r="CG468" t="str">
        <f t="shared" si="269"/>
        <v>NP</v>
      </c>
    </row>
    <row r="469" spans="1:85" s="3" customFormat="1" ht="60" customHeight="1" x14ac:dyDescent="0.3">
      <c r="A469" s="298" t="s">
        <v>1353</v>
      </c>
      <c r="B469" s="299" t="str">
        <f>'PLAN INDICATIVO'!B469</f>
        <v>Ambiental</v>
      </c>
      <c r="C469" s="1547"/>
      <c r="D469" s="1551"/>
      <c r="E469" s="1551"/>
      <c r="F469" s="1551"/>
      <c r="G469" s="1551"/>
      <c r="H469" s="1551"/>
      <c r="I469" s="300">
        <f>'PLAN INDICATIVO'!I469</f>
        <v>0</v>
      </c>
      <c r="J469" s="375">
        <f>'PLAN INDICATIVO'!J469</f>
        <v>0</v>
      </c>
      <c r="K469" s="1428" t="str">
        <f>'PLAN INDICATIVO'!K469</f>
        <v>A.10.1.29</v>
      </c>
      <c r="L469" s="301" t="str">
        <f>'PLAN INDICATIVO'!L469</f>
        <v>15. Vida de ecosistemas terrestres</v>
      </c>
      <c r="M469" s="301" t="str">
        <f>'PLAN INDICATIVO'!M469</f>
        <v>Unidad de Desarrollo Rural</v>
      </c>
      <c r="N469" s="1425" t="str">
        <f>'PLAN INDICATIVO'!N469</f>
        <v>GABRIEL ERNESTO CAMPOS ALVIRA</v>
      </c>
      <c r="O469" s="1425" t="str">
        <f>'PLAN INDICATIVO'!O469</f>
        <v>Incremento</v>
      </c>
      <c r="P469" s="16" t="str">
        <f>'PLAN INDICATIVO'!P469</f>
        <v xml:space="preserve">Realizar 4 campañas de concientización en la comunidad que vele por la protección y conservación de los bienes ambientales, adquiridos por la administración municipal, durante el cuatrienio. </v>
      </c>
      <c r="Q469" s="302" t="str">
        <f>'PLAN INDICATIVO'!Q469</f>
        <v>No. De campañas realizadas</v>
      </c>
      <c r="R469" s="351">
        <f>'PLAN INDICATIVO'!R469</f>
        <v>2015</v>
      </c>
      <c r="S469" s="304">
        <v>0</v>
      </c>
      <c r="T469" s="498">
        <v>4</v>
      </c>
      <c r="U469" s="572">
        <v>1</v>
      </c>
      <c r="V469" s="687">
        <v>1000000</v>
      </c>
      <c r="W469" s="572">
        <v>1</v>
      </c>
      <c r="X469" s="687">
        <v>2000000</v>
      </c>
      <c r="Y469" s="1232"/>
      <c r="Z469" s="1233">
        <v>2000000</v>
      </c>
      <c r="AA469" s="1310"/>
      <c r="AB469" s="687">
        <v>2000000</v>
      </c>
      <c r="AC469" s="665">
        <v>1</v>
      </c>
      <c r="AD469" s="665">
        <v>1</v>
      </c>
      <c r="AE469" s="665">
        <v>3</v>
      </c>
      <c r="AF469" s="665"/>
      <c r="AG469" s="1212" t="s">
        <v>4384</v>
      </c>
      <c r="AH469" s="307" t="s">
        <v>4420</v>
      </c>
      <c r="AI469" s="309" t="s">
        <v>4421</v>
      </c>
      <c r="AJ469" s="309">
        <v>43465</v>
      </c>
      <c r="AK469" s="310"/>
      <c r="AL469" s="310"/>
      <c r="AM469" s="310"/>
      <c r="AN469" s="267" t="s">
        <v>2598</v>
      </c>
      <c r="AO469" s="509" t="s">
        <v>4422</v>
      </c>
      <c r="AP469" s="972"/>
      <c r="AQ469" s="973"/>
      <c r="AR469" s="973"/>
      <c r="AS469" s="973"/>
      <c r="AT469" s="973"/>
      <c r="AU469" s="973"/>
      <c r="AV469" s="973">
        <v>1000000</v>
      </c>
      <c r="AW469" s="975">
        <f t="shared" si="270"/>
        <v>1000000</v>
      </c>
      <c r="AX469" s="525"/>
      <c r="AY469" s="310"/>
      <c r="AZ469" s="310"/>
      <c r="BA469" s="310"/>
      <c r="BB469" s="310"/>
      <c r="BC469" s="310"/>
      <c r="BD469" s="310"/>
      <c r="BE469" s="544">
        <f t="shared" si="272"/>
        <v>0</v>
      </c>
      <c r="BF469" s="525"/>
      <c r="BG469" s="310"/>
      <c r="BH469" s="310"/>
      <c r="BI469" s="310"/>
      <c r="BJ469" s="310"/>
      <c r="BK469" s="310"/>
      <c r="BL469" s="310">
        <v>5100000</v>
      </c>
      <c r="BM469" s="544">
        <f t="shared" si="273"/>
        <v>5100000</v>
      </c>
      <c r="BN469" s="525"/>
      <c r="BO469" s="310"/>
      <c r="BP469" s="310"/>
      <c r="BQ469" s="310"/>
      <c r="BR469" s="310"/>
      <c r="BS469" s="310"/>
      <c r="BT469" s="310"/>
      <c r="BU469" s="544">
        <f t="shared" si="274"/>
        <v>0</v>
      </c>
      <c r="BV469" s="648"/>
      <c r="BW469" s="663">
        <f t="shared" si="271"/>
        <v>5</v>
      </c>
      <c r="BX469" s="1047">
        <f t="shared" ref="BX469:BX489" si="275">BW469/T469</f>
        <v>1.25</v>
      </c>
      <c r="BY469" s="1047">
        <f t="shared" si="265"/>
        <v>1</v>
      </c>
      <c r="BZ469" s="1047">
        <f t="shared" si="266"/>
        <v>1</v>
      </c>
      <c r="CA469" s="1047" t="str">
        <f t="shared" si="267"/>
        <v>No Programada</v>
      </c>
      <c r="CB469" s="1047" t="str">
        <f t="shared" si="268"/>
        <v>No Programada</v>
      </c>
      <c r="CC469" s="75"/>
      <c r="CD469" t="str">
        <f t="shared" si="269"/>
        <v>VE</v>
      </c>
      <c r="CE469" t="str">
        <f t="shared" si="269"/>
        <v>VE</v>
      </c>
      <c r="CF469" t="str">
        <f t="shared" si="269"/>
        <v>NP</v>
      </c>
      <c r="CG469" t="str">
        <f t="shared" si="269"/>
        <v>NP</v>
      </c>
    </row>
    <row r="470" spans="1:85" ht="54.75" customHeight="1" x14ac:dyDescent="0.3">
      <c r="A470" s="298" t="s">
        <v>1353</v>
      </c>
      <c r="B470" s="299" t="str">
        <f>'PLAN INDICATIVO'!B470</f>
        <v>Ambiental</v>
      </c>
      <c r="C470" s="1548"/>
      <c r="D470" s="1552"/>
      <c r="E470" s="1552"/>
      <c r="F470" s="1552"/>
      <c r="G470" s="1552"/>
      <c r="H470" s="1552"/>
      <c r="I470" s="300">
        <f>'PLAN INDICATIVO'!I470</f>
        <v>0</v>
      </c>
      <c r="J470" s="375">
        <f>'PLAN INDICATIVO'!J470</f>
        <v>0</v>
      </c>
      <c r="K470" s="1428" t="str">
        <f>'PLAN INDICATIVO'!K470</f>
        <v>A.10.1.30</v>
      </c>
      <c r="L470" s="301" t="str">
        <f>'PLAN INDICATIVO'!L470</f>
        <v>15. Vida de ecosistemas terrestres</v>
      </c>
      <c r="M470" s="301" t="str">
        <f>'PLAN INDICATIVO'!M470</f>
        <v>Unidad de Desarrollo Rural</v>
      </c>
      <c r="N470" s="1425" t="str">
        <f>'PLAN INDICATIVO'!N470</f>
        <v>GABRIEL ERNESTO CAMPOS ALVIRA</v>
      </c>
      <c r="O470" s="1425" t="str">
        <f>'PLAN INDICATIVO'!O470</f>
        <v>Incremento</v>
      </c>
      <c r="P470" s="16" t="str">
        <f>'PLAN INDICATIVO'!P470</f>
        <v>Otorgar 4 Apoyos  para la implementación de viveros forestales en las instituciones Educativas durante el cuatrienio.</v>
      </c>
      <c r="Q470" s="302" t="str">
        <f>'PLAN INDICATIVO'!Q470</f>
        <v>No. De apoyos otorgados</v>
      </c>
      <c r="R470" s="351">
        <f>'PLAN INDICATIVO'!R470</f>
        <v>2015</v>
      </c>
      <c r="S470" s="304">
        <v>0</v>
      </c>
      <c r="T470" s="498">
        <v>4</v>
      </c>
      <c r="U470" s="572">
        <v>1</v>
      </c>
      <c r="V470" s="687">
        <v>500000</v>
      </c>
      <c r="W470" s="572">
        <v>1</v>
      </c>
      <c r="X470" s="687">
        <v>5000000</v>
      </c>
      <c r="Y470" s="1232">
        <v>1</v>
      </c>
      <c r="Z470" s="1233">
        <v>2000000</v>
      </c>
      <c r="AA470" s="1310">
        <v>1</v>
      </c>
      <c r="AB470" s="687">
        <v>2000000</v>
      </c>
      <c r="AC470" s="665">
        <v>1</v>
      </c>
      <c r="AD470" s="665">
        <v>1</v>
      </c>
      <c r="AE470" s="665">
        <v>1</v>
      </c>
      <c r="AF470" s="665"/>
      <c r="AG470" s="1212" t="s">
        <v>4384</v>
      </c>
      <c r="AH470" s="307"/>
      <c r="AI470" s="309" t="s">
        <v>4423</v>
      </c>
      <c r="AJ470" s="309">
        <v>43464</v>
      </c>
      <c r="AK470" s="308"/>
      <c r="AL470" s="308"/>
      <c r="AM470" s="308"/>
      <c r="AN470" s="267" t="s">
        <v>2598</v>
      </c>
      <c r="AO470" s="507" t="s">
        <v>4424</v>
      </c>
      <c r="AP470" s="972"/>
      <c r="AQ470" s="977">
        <v>2000000</v>
      </c>
      <c r="AR470" s="973"/>
      <c r="AS470" s="973"/>
      <c r="AT470" s="973"/>
      <c r="AU470" s="973"/>
      <c r="AV470" s="973"/>
      <c r="AW470" s="975">
        <f t="shared" si="270"/>
        <v>2000000</v>
      </c>
      <c r="AX470" s="525"/>
      <c r="AY470" s="380"/>
      <c r="AZ470" s="310"/>
      <c r="BA470" s="310"/>
      <c r="BB470" s="310"/>
      <c r="BC470" s="310"/>
      <c r="BD470" s="310"/>
      <c r="BE470" s="544">
        <f t="shared" si="272"/>
        <v>0</v>
      </c>
      <c r="BF470" s="525"/>
      <c r="BG470" s="380"/>
      <c r="BH470" s="310"/>
      <c r="BI470" s="310"/>
      <c r="BJ470" s="310"/>
      <c r="BK470" s="310"/>
      <c r="BL470" s="310">
        <v>3000000</v>
      </c>
      <c r="BM470" s="544">
        <f t="shared" si="273"/>
        <v>3000000</v>
      </c>
      <c r="BN470" s="525"/>
      <c r="BO470" s="380"/>
      <c r="BP470" s="310"/>
      <c r="BQ470" s="310"/>
      <c r="BR470" s="310"/>
      <c r="BS470" s="310"/>
      <c r="BT470" s="310"/>
      <c r="BU470" s="544">
        <f t="shared" si="274"/>
        <v>0</v>
      </c>
      <c r="BV470" s="556"/>
      <c r="BW470" s="663">
        <f t="shared" si="271"/>
        <v>3</v>
      </c>
      <c r="BX470" s="1047">
        <f t="shared" si="275"/>
        <v>0.75</v>
      </c>
      <c r="BY470" s="1047">
        <f t="shared" si="265"/>
        <v>1</v>
      </c>
      <c r="BZ470" s="1047">
        <f t="shared" si="266"/>
        <v>1</v>
      </c>
      <c r="CA470" s="1047">
        <f t="shared" si="267"/>
        <v>1</v>
      </c>
      <c r="CB470" s="1047">
        <f t="shared" si="268"/>
        <v>0</v>
      </c>
      <c r="CD470" t="str">
        <f t="shared" si="269"/>
        <v>VE</v>
      </c>
      <c r="CE470" t="str">
        <f t="shared" si="269"/>
        <v>VE</v>
      </c>
      <c r="CF470" t="str">
        <f t="shared" si="269"/>
        <v>VE</v>
      </c>
      <c r="CG470" t="str">
        <f t="shared" si="269"/>
        <v>ROB</v>
      </c>
    </row>
    <row r="471" spans="1:85" s="3" customFormat="1" ht="77.25" customHeight="1" x14ac:dyDescent="0.3">
      <c r="A471" s="298" t="s">
        <v>1353</v>
      </c>
      <c r="B471" s="299" t="str">
        <f>'PLAN INDICATIVO'!B471</f>
        <v>Ambiental</v>
      </c>
      <c r="C471" s="1424"/>
      <c r="D471" s="1427"/>
      <c r="E471" s="1427"/>
      <c r="F471" s="1427"/>
      <c r="G471" s="1427"/>
      <c r="H471" s="1427"/>
      <c r="I471" s="300">
        <f>'PLAN INDICATIVO'!I471</f>
        <v>0</v>
      </c>
      <c r="J471" s="375">
        <f>'PLAN INDICATIVO'!J471</f>
        <v>0</v>
      </c>
      <c r="K471" s="1428" t="str">
        <f>'PLAN INDICATIVO'!K471</f>
        <v>A.10.1.31</v>
      </c>
      <c r="L471" s="301" t="str">
        <f>'PLAN INDICATIVO'!L471</f>
        <v>15. Vida de ecosistemas terrestres</v>
      </c>
      <c r="M471" s="301" t="str">
        <f>'PLAN INDICATIVO'!M471</f>
        <v>Unidad de Desarrollo Rural</v>
      </c>
      <c r="N471" s="1425" t="str">
        <f>'PLAN INDICATIVO'!N471</f>
        <v>GABRIEL ERNESTO CAMPOS ALVIRA</v>
      </c>
      <c r="O471" s="1425" t="str">
        <f>'PLAN INDICATIVO'!O471</f>
        <v>Incremento</v>
      </c>
      <c r="P471" s="16" t="str">
        <f>'PLAN INDICATIVO'!P471</f>
        <v>Implementar 1 programa de apoyo a los grupos asociativos que desarrollen actividades de reciclaje con fines comerciales y/o de protección ambiental en los centros poblados del municipio, durante el cuatrienio.</v>
      </c>
      <c r="Q471" s="352" t="str">
        <f>'PLAN INDICATIVO'!Q471</f>
        <v>No. De programas de apoyo implementados</v>
      </c>
      <c r="R471" s="351">
        <f>'PLAN INDICATIVO'!R471</f>
        <v>2015</v>
      </c>
      <c r="S471" s="304">
        <v>0</v>
      </c>
      <c r="T471" s="498">
        <v>1</v>
      </c>
      <c r="U471" s="572"/>
      <c r="V471" s="687">
        <v>5000000</v>
      </c>
      <c r="W471" s="572">
        <v>1</v>
      </c>
      <c r="X471" s="687">
        <v>1000000</v>
      </c>
      <c r="Y471" s="1232"/>
      <c r="Z471" s="1233"/>
      <c r="AA471" s="1310">
        <v>0.67</v>
      </c>
      <c r="AB471" s="687"/>
      <c r="AC471" s="665">
        <v>0</v>
      </c>
      <c r="AD471" s="665">
        <v>0.33</v>
      </c>
      <c r="AE471" s="665"/>
      <c r="AF471" s="665"/>
      <c r="AG471" s="887" t="s">
        <v>3885</v>
      </c>
      <c r="AH471" s="307" t="s">
        <v>3934</v>
      </c>
      <c r="AI471" s="309">
        <v>42795</v>
      </c>
      <c r="AJ471" s="309">
        <v>42705</v>
      </c>
      <c r="AK471" s="310"/>
      <c r="AL471" s="310"/>
      <c r="AM471" s="310"/>
      <c r="AN471" s="267" t="s">
        <v>2594</v>
      </c>
      <c r="AO471" s="509" t="s">
        <v>4425</v>
      </c>
      <c r="AP471" s="972"/>
      <c r="AQ471" s="973">
        <v>3000000</v>
      </c>
      <c r="AR471" s="973"/>
      <c r="AS471" s="973"/>
      <c r="AT471" s="973"/>
      <c r="AU471" s="973"/>
      <c r="AV471" s="973">
        <v>2500000</v>
      </c>
      <c r="AW471" s="975">
        <f t="shared" si="270"/>
        <v>5500000</v>
      </c>
      <c r="AX471" s="525"/>
      <c r="AY471" s="310"/>
      <c r="AZ471" s="310"/>
      <c r="BA471" s="310"/>
      <c r="BB471" s="310"/>
      <c r="BC471" s="310"/>
      <c r="BD471" s="310"/>
      <c r="BE471" s="544">
        <f t="shared" si="272"/>
        <v>0</v>
      </c>
      <c r="BF471" s="525"/>
      <c r="BG471" s="310"/>
      <c r="BH471" s="310"/>
      <c r="BI471" s="310"/>
      <c r="BJ471" s="310"/>
      <c r="BK471" s="310"/>
      <c r="BL471" s="310"/>
      <c r="BM471" s="544">
        <f t="shared" si="273"/>
        <v>0</v>
      </c>
      <c r="BN471" s="525"/>
      <c r="BO471" s="310"/>
      <c r="BP471" s="310"/>
      <c r="BQ471" s="310"/>
      <c r="BR471" s="310"/>
      <c r="BS471" s="310"/>
      <c r="BT471" s="310"/>
      <c r="BU471" s="544">
        <f t="shared" si="274"/>
        <v>0</v>
      </c>
      <c r="BV471" s="648"/>
      <c r="BW471" s="663">
        <f t="shared" si="271"/>
        <v>0.33</v>
      </c>
      <c r="BX471" s="1047">
        <f t="shared" si="275"/>
        <v>0.33</v>
      </c>
      <c r="BY471" s="1047" t="str">
        <f t="shared" si="265"/>
        <v>No Programada</v>
      </c>
      <c r="BZ471" s="1047">
        <f t="shared" si="266"/>
        <v>0.33</v>
      </c>
      <c r="CA471" s="1047" t="str">
        <f t="shared" si="267"/>
        <v>No Programada</v>
      </c>
      <c r="CB471" s="1047">
        <f t="shared" si="268"/>
        <v>0</v>
      </c>
      <c r="CC471" s="75"/>
      <c r="CD471" t="str">
        <f t="shared" si="269"/>
        <v>NP</v>
      </c>
      <c r="CE471" t="str">
        <f t="shared" si="269"/>
        <v>RO</v>
      </c>
      <c r="CF471" t="str">
        <f t="shared" si="269"/>
        <v>NP</v>
      </c>
      <c r="CG471" t="str">
        <f t="shared" si="269"/>
        <v>ROB</v>
      </c>
    </row>
    <row r="472" spans="1:85" s="3" customFormat="1" ht="68.25" customHeight="1" x14ac:dyDescent="0.3">
      <c r="A472" s="298" t="s">
        <v>2464</v>
      </c>
      <c r="B472" s="299" t="str">
        <f>'PLAN INDICATIVO'!B472</f>
        <v>Ambiental</v>
      </c>
      <c r="C472" s="1424"/>
      <c r="D472" s="1427"/>
      <c r="E472" s="1427"/>
      <c r="F472" s="1427"/>
      <c r="G472" s="1427"/>
      <c r="H472" s="1427"/>
      <c r="I472" s="300">
        <f>'PLAN INDICATIVO'!I472</f>
        <v>0</v>
      </c>
      <c r="J472" s="375">
        <f>'PLAN INDICATIVO'!J472</f>
        <v>0</v>
      </c>
      <c r="K472" s="1428" t="str">
        <f>'PLAN INDICATIVO'!K472</f>
        <v>A.10.1.32</v>
      </c>
      <c r="L472" s="301" t="str">
        <f>'PLAN INDICATIVO'!L472</f>
        <v>15. Vida de ecosistemas terrestres</v>
      </c>
      <c r="M472" s="301" t="str">
        <f>'PLAN INDICATIVO'!M472</f>
        <v>Unidad de Desarrollo Rural</v>
      </c>
      <c r="N472" s="1425" t="str">
        <f>'PLAN INDICATIVO'!N472</f>
        <v>GABRIEL ERNESTO CAMPOS ALVIRA</v>
      </c>
      <c r="O472" s="1425" t="str">
        <f>'PLAN INDICATIVO'!O472</f>
        <v>Incremento</v>
      </c>
      <c r="P472" s="16" t="str">
        <f>'PLAN INDICATIVO'!P472</f>
        <v>Diseñar 1 plan municipal de adaptación al cambio climático, durante el cuatrienio.</v>
      </c>
      <c r="Q472" s="352" t="str">
        <f>'PLAN INDICATIVO'!Q472</f>
        <v>No. de planes diseñados</v>
      </c>
      <c r="R472" s="351">
        <f>'PLAN INDICATIVO'!R472</f>
        <v>2015</v>
      </c>
      <c r="S472" s="304">
        <v>0</v>
      </c>
      <c r="T472" s="498">
        <v>1</v>
      </c>
      <c r="U472" s="572"/>
      <c r="V472" s="687"/>
      <c r="W472" s="572"/>
      <c r="X472" s="687"/>
      <c r="Y472" s="1232"/>
      <c r="Z472" s="1233">
        <v>1000000</v>
      </c>
      <c r="AA472" s="1310">
        <v>1</v>
      </c>
      <c r="AB472" s="687"/>
      <c r="AC472" s="665">
        <v>0</v>
      </c>
      <c r="AD472" s="665"/>
      <c r="AE472" s="665"/>
      <c r="AF472" s="665"/>
      <c r="AG472" s="892" t="s">
        <v>4426</v>
      </c>
      <c r="AH472" s="990">
        <v>2018413960020</v>
      </c>
      <c r="AI472" s="1262" t="s">
        <v>4269</v>
      </c>
      <c r="AJ472" s="309"/>
      <c r="AK472" s="309"/>
      <c r="AL472" s="310"/>
      <c r="AM472" s="310"/>
      <c r="AN472" s="267" t="s">
        <v>2594</v>
      </c>
      <c r="AO472" s="507"/>
      <c r="AP472" s="525"/>
      <c r="AQ472" s="310"/>
      <c r="AR472" s="310"/>
      <c r="AS472" s="310"/>
      <c r="AT472" s="310"/>
      <c r="AU472" s="310"/>
      <c r="AV472" s="310"/>
      <c r="AW472" s="544"/>
      <c r="AX472" s="525"/>
      <c r="AY472" s="310"/>
      <c r="AZ472" s="310"/>
      <c r="BA472" s="310"/>
      <c r="BB472" s="310"/>
      <c r="BC472" s="310"/>
      <c r="BD472" s="310"/>
      <c r="BE472" s="544">
        <f t="shared" si="272"/>
        <v>0</v>
      </c>
      <c r="BF472" s="525"/>
      <c r="BG472" s="310"/>
      <c r="BH472" s="310"/>
      <c r="BI472" s="310"/>
      <c r="BJ472" s="310"/>
      <c r="BK472" s="310"/>
      <c r="BL472" s="310"/>
      <c r="BM472" s="544">
        <f t="shared" si="273"/>
        <v>0</v>
      </c>
      <c r="BN472" s="525"/>
      <c r="BO472" s="310"/>
      <c r="BP472" s="310"/>
      <c r="BQ472" s="310"/>
      <c r="BR472" s="310"/>
      <c r="BS472" s="310"/>
      <c r="BT472" s="310"/>
      <c r="BU472" s="544">
        <f t="shared" si="274"/>
        <v>0</v>
      </c>
      <c r="BV472" s="648"/>
      <c r="BW472" s="663">
        <f t="shared" si="271"/>
        <v>0</v>
      </c>
      <c r="BX472" s="1047">
        <f t="shared" si="275"/>
        <v>0</v>
      </c>
      <c r="BY472" s="1047" t="str">
        <f t="shared" si="265"/>
        <v>No Programada</v>
      </c>
      <c r="BZ472" s="1047" t="str">
        <f t="shared" si="266"/>
        <v>No Programada</v>
      </c>
      <c r="CA472" s="1047" t="str">
        <f t="shared" si="266"/>
        <v>No Programada</v>
      </c>
      <c r="CB472" s="1047">
        <f t="shared" si="268"/>
        <v>0</v>
      </c>
      <c r="CC472" s="75"/>
      <c r="CD472" t="str">
        <f t="shared" si="269"/>
        <v>NP</v>
      </c>
      <c r="CE472" t="str">
        <f t="shared" si="269"/>
        <v>NP</v>
      </c>
      <c r="CF472" t="str">
        <f t="shared" si="269"/>
        <v>NP</v>
      </c>
      <c r="CG472" t="str">
        <f t="shared" si="269"/>
        <v>ROB</v>
      </c>
    </row>
    <row r="473" spans="1:85" ht="54.75" hidden="1" customHeight="1" thickBot="1" x14ac:dyDescent="0.3">
      <c r="A473" s="441"/>
      <c r="B473" s="442"/>
      <c r="C473" s="1590" t="s">
        <v>3086</v>
      </c>
      <c r="D473" s="1590"/>
      <c r="E473" s="1590"/>
      <c r="F473" s="1590"/>
      <c r="G473" s="1590"/>
      <c r="H473" s="1590"/>
      <c r="I473" s="1590"/>
      <c r="J473" s="1590"/>
      <c r="K473" s="1590"/>
      <c r="L473" s="1590"/>
      <c r="M473" s="1590"/>
      <c r="N473" s="1590"/>
      <c r="O473" s="1590"/>
      <c r="P473" s="1590"/>
      <c r="Q473" s="1590"/>
      <c r="R473" s="1590"/>
      <c r="S473" s="1590"/>
      <c r="T473" s="1590"/>
      <c r="U473" s="1590"/>
      <c r="V473" s="1590"/>
      <c r="W473" s="1590"/>
      <c r="X473" s="1590"/>
      <c r="Y473" s="1590"/>
      <c r="Z473" s="1590"/>
      <c r="AA473" s="1590"/>
      <c r="AB473" s="1590"/>
      <c r="AC473" s="1590"/>
      <c r="AD473" s="1590"/>
      <c r="AE473" s="1590"/>
      <c r="AF473" s="1590"/>
      <c r="AG473" s="1590"/>
      <c r="AH473" s="1590"/>
      <c r="AI473" s="1590"/>
      <c r="AJ473" s="1590"/>
      <c r="AK473" s="1590"/>
      <c r="AL473" s="1590"/>
      <c r="AM473" s="1591"/>
      <c r="AN473" s="435"/>
      <c r="AO473" s="505"/>
      <c r="AP473" s="541"/>
      <c r="AQ473" s="542"/>
      <c r="AR473" s="542"/>
      <c r="AS473" s="542"/>
      <c r="AT473" s="542"/>
      <c r="AU473" s="542"/>
      <c r="AV473" s="542"/>
      <c r="AW473" s="543"/>
      <c r="AX473" s="541"/>
      <c r="AY473" s="542"/>
      <c r="AZ473" s="542"/>
      <c r="BA473" s="542"/>
      <c r="BB473" s="542"/>
      <c r="BC473" s="542"/>
      <c r="BD473" s="542"/>
      <c r="BE473" s="543">
        <f t="shared" si="272"/>
        <v>0</v>
      </c>
      <c r="BF473" s="541"/>
      <c r="BG473" s="542"/>
      <c r="BH473" s="542"/>
      <c r="BI473" s="542"/>
      <c r="BJ473" s="542"/>
      <c r="BK473" s="542"/>
      <c r="BL473" s="542"/>
      <c r="BM473" s="543">
        <f t="shared" si="273"/>
        <v>0</v>
      </c>
      <c r="BN473" s="541"/>
      <c r="BO473" s="542"/>
      <c r="BP473" s="542"/>
      <c r="BQ473" s="542"/>
      <c r="BR473" s="542"/>
      <c r="BS473" s="542"/>
      <c r="BT473" s="542"/>
      <c r="BU473" s="543">
        <f t="shared" si="274"/>
        <v>0</v>
      </c>
      <c r="BV473" s="556"/>
      <c r="BW473" s="543" t="s">
        <v>2717</v>
      </c>
      <c r="BX473" s="543" t="s">
        <v>2717</v>
      </c>
      <c r="BY473" s="543" t="s">
        <v>2717</v>
      </c>
      <c r="BZ473" s="543" t="s">
        <v>2717</v>
      </c>
      <c r="CA473" s="543" t="s">
        <v>2717</v>
      </c>
      <c r="CB473" s="1047" t="s">
        <v>2717</v>
      </c>
    </row>
    <row r="474" spans="1:85" ht="15.75" hidden="1" customHeight="1" x14ac:dyDescent="0.25">
      <c r="A474" s="296"/>
      <c r="B474" s="331" t="str">
        <f>'PLAN INDICATIVO'!B474</f>
        <v>Prevención y atención de desastres</v>
      </c>
      <c r="C474" s="1592" t="s">
        <v>1449</v>
      </c>
      <c r="D474" s="1593"/>
      <c r="E474" s="1593"/>
      <c r="F474" s="1593"/>
      <c r="G474" s="1593"/>
      <c r="H474" s="1593"/>
      <c r="I474" s="1593"/>
      <c r="J474" s="1593"/>
      <c r="K474" s="1593"/>
      <c r="L474" s="1593"/>
      <c r="M474" s="1593"/>
      <c r="N474" s="1593"/>
      <c r="O474" s="1594"/>
      <c r="P474" s="318"/>
      <c r="Q474" s="318"/>
      <c r="R474" s="317"/>
      <c r="S474" s="319"/>
      <c r="T474" s="676"/>
      <c r="U474" s="319"/>
      <c r="V474" s="695">
        <f>SUM(V475:V481)</f>
        <v>16300000</v>
      </c>
      <c r="W474" s="319"/>
      <c r="X474" s="695">
        <f>SUM(X475:X481)</f>
        <v>26000000</v>
      </c>
      <c r="Y474" s="319"/>
      <c r="Z474" s="695">
        <f>SUM(Z475:Z481)</f>
        <v>34000000</v>
      </c>
      <c r="AA474" s="320"/>
      <c r="AB474" s="708">
        <f>SUM(AB475:AB481)</f>
        <v>37000000</v>
      </c>
      <c r="AC474" s="320"/>
      <c r="AD474" s="320"/>
      <c r="AE474" s="320"/>
      <c r="AF474" s="320"/>
      <c r="AG474" s="321"/>
      <c r="AH474" s="321"/>
      <c r="AI474" s="321"/>
      <c r="AJ474" s="320"/>
      <c r="AK474" s="320"/>
      <c r="AL474" s="320"/>
      <c r="AM474" s="320"/>
      <c r="AN474" s="262"/>
      <c r="AO474" s="612"/>
      <c r="AP474" s="616"/>
      <c r="AQ474" s="616"/>
      <c r="AR474" s="616"/>
      <c r="AS474" s="616"/>
      <c r="AT474" s="616"/>
      <c r="AU474" s="616"/>
      <c r="AV474" s="616"/>
      <c r="AW474" s="617"/>
      <c r="AX474" s="616" t="e">
        <f>(AX475:AX481)</f>
        <v>#VALUE!</v>
      </c>
      <c r="AY474" s="616" t="e">
        <f t="shared" ref="AY474:BD474" si="276">(AY475:AY481)</f>
        <v>#VALUE!</v>
      </c>
      <c r="AZ474" s="616" t="e">
        <f t="shared" si="276"/>
        <v>#VALUE!</v>
      </c>
      <c r="BA474" s="616" t="e">
        <f t="shared" si="276"/>
        <v>#VALUE!</v>
      </c>
      <c r="BB474" s="616" t="e">
        <f t="shared" si="276"/>
        <v>#VALUE!</v>
      </c>
      <c r="BC474" s="616" t="e">
        <f t="shared" si="276"/>
        <v>#VALUE!</v>
      </c>
      <c r="BD474" s="616" t="e">
        <f t="shared" si="276"/>
        <v>#VALUE!</v>
      </c>
      <c r="BE474" s="617" t="e">
        <f t="shared" si="272"/>
        <v>#VALUE!</v>
      </c>
      <c r="BF474" s="616"/>
      <c r="BG474" s="616"/>
      <c r="BH474" s="616"/>
      <c r="BI474" s="616"/>
      <c r="BJ474" s="616"/>
      <c r="BK474" s="616"/>
      <c r="BL474" s="616"/>
      <c r="BM474" s="617">
        <f t="shared" si="273"/>
        <v>0</v>
      </c>
      <c r="BN474" s="616" t="e">
        <f>(BN475:BN481)</f>
        <v>#VALUE!</v>
      </c>
      <c r="BO474" s="616" t="e">
        <f t="shared" ref="BO474:BT474" si="277">(BO475:BO481)</f>
        <v>#VALUE!</v>
      </c>
      <c r="BP474" s="616" t="e">
        <f t="shared" si="277"/>
        <v>#VALUE!</v>
      </c>
      <c r="BQ474" s="616" t="e">
        <f t="shared" si="277"/>
        <v>#VALUE!</v>
      </c>
      <c r="BR474" s="616" t="e">
        <f t="shared" si="277"/>
        <v>#VALUE!</v>
      </c>
      <c r="BS474" s="616" t="e">
        <f t="shared" si="277"/>
        <v>#VALUE!</v>
      </c>
      <c r="BT474" s="616" t="e">
        <f t="shared" si="277"/>
        <v>#VALUE!</v>
      </c>
      <c r="BU474" s="617" t="e">
        <f t="shared" si="274"/>
        <v>#VALUE!</v>
      </c>
      <c r="BV474" s="556"/>
      <c r="BW474" s="617" t="s">
        <v>2717</v>
      </c>
      <c r="BX474" s="617" t="s">
        <v>2717</v>
      </c>
      <c r="BY474" s="617" t="s">
        <v>2717</v>
      </c>
      <c r="BZ474" s="617" t="s">
        <v>2717</v>
      </c>
      <c r="CA474" s="617" t="s">
        <v>2717</v>
      </c>
      <c r="CB474" s="1047" t="s">
        <v>2717</v>
      </c>
    </row>
    <row r="475" spans="1:85" ht="58.5" hidden="1" customHeight="1" x14ac:dyDescent="0.25">
      <c r="A475" s="298" t="s">
        <v>1450</v>
      </c>
      <c r="B475" s="299" t="str">
        <f>'PLAN INDICATIVO'!B475</f>
        <v>Prevención y atención de desastres</v>
      </c>
      <c r="C475" s="1546" t="s">
        <v>1451</v>
      </c>
      <c r="D475" s="1550" t="s">
        <v>1452</v>
      </c>
      <c r="E475" s="1550" t="s">
        <v>1453</v>
      </c>
      <c r="F475" s="1550">
        <v>2015</v>
      </c>
      <c r="G475" s="1550" t="s">
        <v>177</v>
      </c>
      <c r="H475" s="1550">
        <v>20</v>
      </c>
      <c r="I475" s="300">
        <f>'PLAN INDICATIVO'!I475</f>
        <v>0</v>
      </c>
      <c r="J475" s="300">
        <f>'PLAN INDICATIVO'!J475</f>
        <v>0</v>
      </c>
      <c r="K475" s="1425" t="str">
        <f>'PLAN INDICATIVO'!K475</f>
        <v>A.12.1.1</v>
      </c>
      <c r="L475" s="301" t="str">
        <f>'PLAN INDICATIVO'!L475</f>
        <v>11. Ciudades y comunidades sostenibles</v>
      </c>
      <c r="M475" s="301" t="s">
        <v>1102</v>
      </c>
      <c r="N475" s="1425" t="str">
        <f>'PLAN INDICATIVO'!N475</f>
        <v>MAURICIO LEGARDA GONZALEZ</v>
      </c>
      <c r="O475" s="1425" t="str">
        <f>'PLAN INDICATIVO'!O475</f>
        <v>Incremento</v>
      </c>
      <c r="P475" s="16" t="str">
        <f>'PLAN INDICATIVO'!P475</f>
        <v>Realizar 1 inventario de viviendas y personas que se encuentren en alto riesgo, durante el cuatrienio</v>
      </c>
      <c r="Q475" s="302" t="str">
        <f>'PLAN INDICATIVO'!Q475</f>
        <v>No. de inventarios realizados</v>
      </c>
      <c r="R475" s="351">
        <f>'PLAN INDICATIVO'!R475</f>
        <v>2015</v>
      </c>
      <c r="S475" s="304">
        <v>0</v>
      </c>
      <c r="T475" s="498">
        <v>1</v>
      </c>
      <c r="U475" s="303">
        <v>1</v>
      </c>
      <c r="V475" s="687">
        <v>4000000</v>
      </c>
      <c r="W475" s="572">
        <v>1</v>
      </c>
      <c r="X475" s="687">
        <v>1000000</v>
      </c>
      <c r="Y475" s="68"/>
      <c r="Z475" s="687"/>
      <c r="AA475" s="1310"/>
      <c r="AB475" s="687"/>
      <c r="AC475" s="665">
        <v>0</v>
      </c>
      <c r="AD475" s="665">
        <v>1</v>
      </c>
      <c r="AE475" s="665"/>
      <c r="AF475" s="665"/>
      <c r="AG475" s="306"/>
      <c r="AH475" s="990"/>
      <c r="AI475" s="307"/>
      <c r="AJ475" s="838"/>
      <c r="AK475" s="838"/>
      <c r="AL475" s="308"/>
      <c r="AM475" s="308"/>
      <c r="AN475" s="267" t="s">
        <v>2594</v>
      </c>
      <c r="AO475" s="507"/>
      <c r="AP475" s="525"/>
      <c r="AQ475" s="310"/>
      <c r="AR475" s="310"/>
      <c r="AS475" s="310"/>
      <c r="AT475" s="310"/>
      <c r="AU475" s="310"/>
      <c r="AV475" s="310"/>
      <c r="AW475" s="544"/>
      <c r="AX475" s="525"/>
      <c r="AY475" s="310"/>
      <c r="AZ475" s="310"/>
      <c r="BA475" s="310"/>
      <c r="BB475" s="310"/>
      <c r="BC475" s="310"/>
      <c r="BD475" s="310"/>
      <c r="BE475" s="544">
        <f t="shared" si="272"/>
        <v>0</v>
      </c>
      <c r="BF475" s="525"/>
      <c r="BG475" s="310"/>
      <c r="BH475" s="310"/>
      <c r="BI475" s="310"/>
      <c r="BJ475" s="310"/>
      <c r="BK475" s="310"/>
      <c r="BL475" s="310"/>
      <c r="BM475" s="544">
        <f t="shared" si="273"/>
        <v>0</v>
      </c>
      <c r="BN475" s="525"/>
      <c r="BO475" s="310"/>
      <c r="BP475" s="310"/>
      <c r="BQ475" s="310"/>
      <c r="BR475" s="310"/>
      <c r="BS475" s="310"/>
      <c r="BT475" s="310"/>
      <c r="BU475" s="544">
        <f t="shared" si="274"/>
        <v>0</v>
      </c>
      <c r="BV475" s="556"/>
      <c r="BW475" s="663">
        <f t="shared" si="271"/>
        <v>1</v>
      </c>
      <c r="BX475" s="1047">
        <f t="shared" si="275"/>
        <v>1</v>
      </c>
      <c r="BY475" s="1047">
        <f t="shared" ref="BY475:BY481" si="278">IF(U475&gt;=0.1,AC475/U475,IF(ISBLANK(U475),"No Programada","Aplazada"))</f>
        <v>0</v>
      </c>
      <c r="BZ475" s="1047">
        <f t="shared" ref="BZ475:CA481" si="279">IF(W475&gt;=0.1,AD475/W475,IF(ISBLANK(W475),"No Programada","Aplazada"))</f>
        <v>1</v>
      </c>
      <c r="CA475" s="1047" t="str">
        <f t="shared" ref="CA475:CA481" si="280">IF(Y475&gt;=0.1,AE475/Y475,IF(ISBLANK(Y475),"No Programada","Aplazada"))</f>
        <v>No Programada</v>
      </c>
      <c r="CB475" s="1047" t="str">
        <f t="shared" ref="CB475:CB481" si="281">IF(AA475&gt;=0.1,AF475/AA475,IF(ISBLANK(AA475),"No Programada","Aplazada"))</f>
        <v>No Programada</v>
      </c>
      <c r="CD475" t="str">
        <f t="shared" ref="CD475:CG481" si="282">IF(BY475="PARA MODIFICAR","M",IF(BY475="PARA ELIMINAR","E",IF(BY475="aplazada","AZ",IF(BY475="no programada","NP",IF(BY475&gt;=85%,"VE",IF(BY475&gt;70%,"VEB",IF(BY475&gt;60%,"AM",IF(BY475&gt;40%,"AMB",IF(BY475&gt;20%,"RO",IF(BY475&gt;=0%,"ROB",""))))))))))</f>
        <v>ROB</v>
      </c>
      <c r="CE475" t="str">
        <f t="shared" si="282"/>
        <v>VE</v>
      </c>
      <c r="CF475" t="str">
        <f t="shared" si="282"/>
        <v>NP</v>
      </c>
      <c r="CG475" t="str">
        <f t="shared" si="282"/>
        <v>NP</v>
      </c>
    </row>
    <row r="476" spans="1:85" ht="74.25" hidden="1" customHeight="1" x14ac:dyDescent="0.25">
      <c r="A476" s="298" t="s">
        <v>1450</v>
      </c>
      <c r="B476" s="299" t="str">
        <f>'PLAN INDICATIVO'!B476</f>
        <v>Prevención y atención de desastres</v>
      </c>
      <c r="C476" s="1547"/>
      <c r="D476" s="1551"/>
      <c r="E476" s="1551"/>
      <c r="F476" s="1551"/>
      <c r="G476" s="1551"/>
      <c r="H476" s="1551"/>
      <c r="I476" s="1425" t="str">
        <f>'PLAN INDICATIVO'!I476</f>
        <v>SI</v>
      </c>
      <c r="J476" s="1425">
        <f>'PLAN INDICATIVO'!J476</f>
        <v>0</v>
      </c>
      <c r="K476" s="1425" t="str">
        <f>'PLAN INDICATIVO'!K476</f>
        <v>A.12.1.2</v>
      </c>
      <c r="L476" s="301" t="str">
        <f>'PLAN INDICATIVO'!L476</f>
        <v>11. Ciudades y comunidades sostenibles</v>
      </c>
      <c r="M476" s="301" t="s">
        <v>1102</v>
      </c>
      <c r="N476" s="1425" t="str">
        <f>'PLAN INDICATIVO'!N476</f>
        <v>MAURICIO LEGARDA GONZALEZ</v>
      </c>
      <c r="O476" s="1425" t="str">
        <f>'PLAN INDICATIVO'!O476</f>
        <v>Incremento</v>
      </c>
      <c r="P476" s="16" t="str">
        <f>'PLAN INDICATIVO'!P476</f>
        <v xml:space="preserve">Construir 1 centro de operaciones de emergencias durante el cuatrienio garantizandole los servicios públicos </v>
      </c>
      <c r="Q476" s="302" t="str">
        <f>'PLAN INDICATIVO'!Q476</f>
        <v>No. De centros de operación construidos</v>
      </c>
      <c r="R476" s="303">
        <f>'PLAN INDICATIVO'!R476</f>
        <v>2015</v>
      </c>
      <c r="S476" s="304">
        <v>0</v>
      </c>
      <c r="T476" s="498">
        <v>1</v>
      </c>
      <c r="U476" s="303">
        <v>1</v>
      </c>
      <c r="V476" s="687">
        <v>1000000</v>
      </c>
      <c r="W476" s="572">
        <v>1</v>
      </c>
      <c r="X476" s="687">
        <v>2000000</v>
      </c>
      <c r="Y476" s="1232"/>
      <c r="Z476" s="1233"/>
      <c r="AA476" s="1310">
        <v>0.1</v>
      </c>
      <c r="AB476" s="687"/>
      <c r="AC476" s="665">
        <v>0</v>
      </c>
      <c r="AD476" s="665">
        <v>0.9</v>
      </c>
      <c r="AE476" s="665"/>
      <c r="AF476" s="665"/>
      <c r="AG476" s="306" t="s">
        <v>4427</v>
      </c>
      <c r="AH476" s="990">
        <v>201845396007</v>
      </c>
      <c r="AI476" s="307" t="s">
        <v>4428</v>
      </c>
      <c r="AJ476" s="335">
        <v>43146</v>
      </c>
      <c r="AK476" s="335">
        <v>43281</v>
      </c>
      <c r="AL476" s="308"/>
      <c r="AM476" s="308"/>
      <c r="AN476" s="267" t="s">
        <v>2594</v>
      </c>
      <c r="AO476" s="507"/>
      <c r="AP476" s="525"/>
      <c r="AQ476" s="310"/>
      <c r="AR476" s="310"/>
      <c r="AS476" s="310"/>
      <c r="AT476" s="310"/>
      <c r="AU476" s="310"/>
      <c r="AV476" s="310"/>
      <c r="AW476" s="544"/>
      <c r="AX476" s="525"/>
      <c r="AY476" s="310"/>
      <c r="AZ476" s="310"/>
      <c r="BA476" s="310"/>
      <c r="BB476" s="310"/>
      <c r="BC476" s="310"/>
      <c r="BD476" s="310"/>
      <c r="BE476" s="544">
        <f t="shared" si="272"/>
        <v>0</v>
      </c>
      <c r="BF476" s="525"/>
      <c r="BG476" s="310"/>
      <c r="BH476" s="310"/>
      <c r="BI476" s="310"/>
      <c r="BJ476" s="310"/>
      <c r="BK476" s="310"/>
      <c r="BL476" s="310"/>
      <c r="BM476" s="544">
        <f t="shared" si="273"/>
        <v>0</v>
      </c>
      <c r="BN476" s="525"/>
      <c r="BO476" s="310"/>
      <c r="BP476" s="310"/>
      <c r="BQ476" s="310"/>
      <c r="BR476" s="310"/>
      <c r="BS476" s="310"/>
      <c r="BT476" s="310"/>
      <c r="BU476" s="544">
        <f t="shared" si="274"/>
        <v>0</v>
      </c>
      <c r="BV476" s="556"/>
      <c r="BW476" s="663">
        <f t="shared" si="271"/>
        <v>0.9</v>
      </c>
      <c r="BX476" s="1047">
        <f t="shared" si="275"/>
        <v>0.9</v>
      </c>
      <c r="BY476" s="1047">
        <f t="shared" si="278"/>
        <v>0</v>
      </c>
      <c r="BZ476" s="1047">
        <f t="shared" si="279"/>
        <v>0.9</v>
      </c>
      <c r="CA476" s="1047" t="str">
        <f t="shared" si="280"/>
        <v>No Programada</v>
      </c>
      <c r="CB476" s="1047">
        <f t="shared" si="281"/>
        <v>0</v>
      </c>
      <c r="CD476" t="str">
        <f t="shared" si="282"/>
        <v>ROB</v>
      </c>
      <c r="CE476" t="str">
        <f t="shared" si="282"/>
        <v>VE</v>
      </c>
      <c r="CF476" t="str">
        <f t="shared" si="282"/>
        <v>NP</v>
      </c>
      <c r="CG476" t="str">
        <f t="shared" si="282"/>
        <v>ROB</v>
      </c>
    </row>
    <row r="477" spans="1:85" ht="61.5" hidden="1" customHeight="1" x14ac:dyDescent="0.25">
      <c r="A477" s="298" t="s">
        <v>1450</v>
      </c>
      <c r="B477" s="299" t="str">
        <f>'PLAN INDICATIVO'!B477</f>
        <v>Prevención y atención de desastres</v>
      </c>
      <c r="C477" s="1547"/>
      <c r="D477" s="1551"/>
      <c r="E477" s="1551"/>
      <c r="F477" s="1551"/>
      <c r="G477" s="1551"/>
      <c r="H477" s="1551"/>
      <c r="I477" s="300">
        <f>'PLAN INDICATIVO'!I477</f>
        <v>0</v>
      </c>
      <c r="J477" s="300">
        <f>'PLAN INDICATIVO'!J477</f>
        <v>0</v>
      </c>
      <c r="K477" s="1425" t="str">
        <f>'PLAN INDICATIVO'!K477</f>
        <v>A.12.1.3</v>
      </c>
      <c r="L477" s="301" t="str">
        <f>'PLAN INDICATIVO'!L477</f>
        <v>11. Ciudades y comunidades sostenibles</v>
      </c>
      <c r="M477" s="301" t="s">
        <v>1102</v>
      </c>
      <c r="N477" s="1425" t="str">
        <f>'PLAN INDICATIVO'!N477</f>
        <v>MAURICIO LEGARDA GONZALEZ</v>
      </c>
      <c r="O477" s="1425" t="str">
        <f>'PLAN INDICATIVO'!O477</f>
        <v>Incremento</v>
      </c>
      <c r="P477" s="16" t="str">
        <f>'PLAN INDICATIVO'!P477</f>
        <v>Realizar 1 canalización a la Quebrada Zapatero, para mitigación de riesgos, durante el cuatrienio</v>
      </c>
      <c r="Q477" s="302" t="str">
        <f>'PLAN INDICATIVO'!Q477</f>
        <v>No. De canalizaciones realizadas</v>
      </c>
      <c r="R477" s="351">
        <f>'PLAN INDICATIVO'!R477</f>
        <v>2015</v>
      </c>
      <c r="S477" s="304">
        <v>0</v>
      </c>
      <c r="T477" s="498">
        <v>1</v>
      </c>
      <c r="U477" s="303">
        <v>0.5</v>
      </c>
      <c r="V477" s="687">
        <v>500000</v>
      </c>
      <c r="W477" s="572"/>
      <c r="X477" s="687"/>
      <c r="Y477" s="68"/>
      <c r="Z477" s="687"/>
      <c r="AA477" s="1310"/>
      <c r="AB477" s="687"/>
      <c r="AC477" s="665">
        <v>0.5</v>
      </c>
      <c r="AD477" s="667">
        <v>0.5</v>
      </c>
      <c r="AE477" s="665"/>
      <c r="AF477" s="665"/>
      <c r="AG477" s="306" t="s">
        <v>4427</v>
      </c>
      <c r="AH477" s="990">
        <v>201845396007</v>
      </c>
      <c r="AI477" s="336"/>
      <c r="AJ477" s="335"/>
      <c r="AK477" s="335"/>
      <c r="AL477" s="308"/>
      <c r="AM477" s="308"/>
      <c r="AN477" s="267" t="s">
        <v>2594</v>
      </c>
      <c r="AO477" s="507"/>
      <c r="AP477" s="525"/>
      <c r="AQ477" s="310"/>
      <c r="AR477" s="310"/>
      <c r="AS477" s="310"/>
      <c r="AT477" s="310"/>
      <c r="AU477" s="310"/>
      <c r="AV477" s="310"/>
      <c r="AW477" s="544"/>
      <c r="AX477" s="525"/>
      <c r="AY477" s="310"/>
      <c r="AZ477" s="310"/>
      <c r="BA477" s="310"/>
      <c r="BB477" s="310"/>
      <c r="BC477" s="310"/>
      <c r="BD477" s="310"/>
      <c r="BE477" s="544">
        <f t="shared" si="272"/>
        <v>0</v>
      </c>
      <c r="BF477" s="525"/>
      <c r="BG477" s="310"/>
      <c r="BH477" s="310"/>
      <c r="BI477" s="310"/>
      <c r="BJ477" s="310"/>
      <c r="BK477" s="310"/>
      <c r="BL477" s="310"/>
      <c r="BM477" s="544">
        <f t="shared" si="273"/>
        <v>0</v>
      </c>
      <c r="BN477" s="525"/>
      <c r="BO477" s="310"/>
      <c r="BP477" s="310"/>
      <c r="BQ477" s="310"/>
      <c r="BR477" s="310"/>
      <c r="BS477" s="310"/>
      <c r="BT477" s="310"/>
      <c r="BU477" s="544">
        <f t="shared" si="274"/>
        <v>0</v>
      </c>
      <c r="BV477" s="556"/>
      <c r="BW477" s="663">
        <f t="shared" si="271"/>
        <v>1</v>
      </c>
      <c r="BX477" s="1047">
        <f t="shared" si="275"/>
        <v>1</v>
      </c>
      <c r="BY477" s="1047">
        <f t="shared" si="278"/>
        <v>1</v>
      </c>
      <c r="BZ477" s="1047" t="str">
        <f t="shared" si="279"/>
        <v>No Programada</v>
      </c>
      <c r="CA477" s="1047" t="str">
        <f t="shared" si="280"/>
        <v>No Programada</v>
      </c>
      <c r="CB477" s="1047" t="str">
        <f t="shared" si="281"/>
        <v>No Programada</v>
      </c>
      <c r="CD477" t="str">
        <f t="shared" si="282"/>
        <v>VE</v>
      </c>
      <c r="CE477" t="str">
        <f t="shared" si="282"/>
        <v>NP</v>
      </c>
      <c r="CF477" t="str">
        <f t="shared" si="282"/>
        <v>NP</v>
      </c>
      <c r="CG477" t="str">
        <f t="shared" si="282"/>
        <v>NP</v>
      </c>
    </row>
    <row r="478" spans="1:85" ht="38.25" hidden="1" customHeight="1" x14ac:dyDescent="0.25">
      <c r="A478" s="298" t="s">
        <v>1450</v>
      </c>
      <c r="B478" s="299" t="str">
        <f>'PLAN INDICATIVO'!B478</f>
        <v>Prevención y atención de desastres</v>
      </c>
      <c r="C478" s="1547"/>
      <c r="D478" s="1551"/>
      <c r="E478" s="1551"/>
      <c r="F478" s="1551"/>
      <c r="G478" s="1551"/>
      <c r="H478" s="1551"/>
      <c r="I478" s="300">
        <f>'PLAN INDICATIVO'!I478</f>
        <v>0</v>
      </c>
      <c r="J478" s="300">
        <f>'PLAN INDICATIVO'!J478</f>
        <v>0</v>
      </c>
      <c r="K478" s="1425" t="str">
        <f>'PLAN INDICATIVO'!K478</f>
        <v>A.12.1.4</v>
      </c>
      <c r="L478" s="301" t="str">
        <f>'PLAN INDICATIVO'!L478</f>
        <v>11. Ciudades y comunidades sostenibles</v>
      </c>
      <c r="M478" s="301" t="s">
        <v>1102</v>
      </c>
      <c r="N478" s="1425" t="str">
        <f>'PLAN INDICATIVO'!N478</f>
        <v>MAURICIO LEGARDA GONZALEZ</v>
      </c>
      <c r="O478" s="1425" t="str">
        <f>'PLAN INDICATIVO'!O478</f>
        <v>Mantenimiento</v>
      </c>
      <c r="P478" s="16" t="str">
        <f>'PLAN INDICATIVO'!P478</f>
        <v>Realizar 3 reuniones ordinarias del Comité Local de Emergencias  cada año</v>
      </c>
      <c r="Q478" s="302" t="str">
        <f>'PLAN INDICATIVO'!Q478</f>
        <v>No. De reuniones del comité local por año</v>
      </c>
      <c r="R478" s="351">
        <f>'PLAN INDICATIVO'!R478</f>
        <v>2015</v>
      </c>
      <c r="S478" s="304">
        <v>0</v>
      </c>
      <c r="T478" s="498">
        <v>3</v>
      </c>
      <c r="U478" s="303">
        <v>3</v>
      </c>
      <c r="V478" s="839">
        <v>3500000</v>
      </c>
      <c r="W478" s="572">
        <v>3</v>
      </c>
      <c r="X478" s="687">
        <v>1000000</v>
      </c>
      <c r="Y478" s="1232">
        <v>3</v>
      </c>
      <c r="Z478" s="1233">
        <v>5000000</v>
      </c>
      <c r="AA478" s="1310">
        <v>3</v>
      </c>
      <c r="AB478" s="687">
        <v>7000000</v>
      </c>
      <c r="AC478" s="665">
        <v>24</v>
      </c>
      <c r="AD478" s="665">
        <v>16</v>
      </c>
      <c r="AE478" s="665">
        <v>11</v>
      </c>
      <c r="AF478" s="665"/>
      <c r="AG478" s="306" t="s">
        <v>4427</v>
      </c>
      <c r="AH478" s="990">
        <v>201845396007</v>
      </c>
      <c r="AI478" s="307" t="s">
        <v>4429</v>
      </c>
      <c r="AJ478" s="335">
        <v>43125</v>
      </c>
      <c r="AK478" s="335">
        <v>43461</v>
      </c>
      <c r="AL478" s="308"/>
      <c r="AM478" s="308"/>
      <c r="AN478" s="267" t="s">
        <v>2598</v>
      </c>
      <c r="AO478" s="507"/>
      <c r="AP478" s="525"/>
      <c r="AQ478" s="310"/>
      <c r="AR478" s="310"/>
      <c r="AS478" s="310"/>
      <c r="AT478" s="310"/>
      <c r="AU478" s="310"/>
      <c r="AV478" s="310"/>
      <c r="AW478" s="544"/>
      <c r="AX478" s="525"/>
      <c r="AY478" s="310"/>
      <c r="AZ478" s="310"/>
      <c r="BA478" s="310"/>
      <c r="BB478" s="310"/>
      <c r="BC478" s="310"/>
      <c r="BD478" s="310"/>
      <c r="BE478" s="544">
        <f t="shared" si="272"/>
        <v>0</v>
      </c>
      <c r="BF478" s="525"/>
      <c r="BG478" s="310"/>
      <c r="BH478" s="310"/>
      <c r="BI478" s="310"/>
      <c r="BJ478" s="310"/>
      <c r="BK478" s="310"/>
      <c r="BL478" s="310"/>
      <c r="BM478" s="544">
        <f t="shared" si="273"/>
        <v>0</v>
      </c>
      <c r="BN478" s="525"/>
      <c r="BO478" s="310"/>
      <c r="BP478" s="310"/>
      <c r="BQ478" s="310"/>
      <c r="BR478" s="310"/>
      <c r="BS478" s="310"/>
      <c r="BT478" s="310"/>
      <c r="BU478" s="544">
        <f t="shared" si="274"/>
        <v>0</v>
      </c>
      <c r="BV478" s="556"/>
      <c r="BW478" s="663">
        <f t="shared" si="271"/>
        <v>51</v>
      </c>
      <c r="BX478" s="1047">
        <f t="shared" si="275"/>
        <v>17</v>
      </c>
      <c r="BY478" s="1047">
        <f t="shared" si="278"/>
        <v>8</v>
      </c>
      <c r="BZ478" s="1047">
        <f t="shared" si="279"/>
        <v>5.333333333333333</v>
      </c>
      <c r="CA478" s="1047">
        <f t="shared" si="280"/>
        <v>3.6666666666666665</v>
      </c>
      <c r="CB478" s="1047">
        <f t="shared" si="281"/>
        <v>0</v>
      </c>
      <c r="CD478" t="str">
        <f t="shared" si="282"/>
        <v>VE</v>
      </c>
      <c r="CE478" t="str">
        <f t="shared" si="282"/>
        <v>VE</v>
      </c>
      <c r="CF478" t="str">
        <f t="shared" si="282"/>
        <v>VE</v>
      </c>
      <c r="CG478" t="str">
        <f t="shared" si="282"/>
        <v>ROB</v>
      </c>
    </row>
    <row r="479" spans="1:85" ht="51" hidden="1" customHeight="1" x14ac:dyDescent="0.25">
      <c r="A479" s="298" t="s">
        <v>1450</v>
      </c>
      <c r="B479" s="299" t="str">
        <f>'PLAN INDICATIVO'!B479</f>
        <v>Prevención y atención de desastres</v>
      </c>
      <c r="C479" s="1547"/>
      <c r="D479" s="1551"/>
      <c r="E479" s="1551"/>
      <c r="F479" s="1551"/>
      <c r="G479" s="1551"/>
      <c r="H479" s="1551"/>
      <c r="I479" s="300">
        <f>'PLAN INDICATIVO'!I479</f>
        <v>0</v>
      </c>
      <c r="J479" s="300">
        <f>'PLAN INDICATIVO'!J479</f>
        <v>0</v>
      </c>
      <c r="K479" s="1425" t="str">
        <f>'PLAN INDICATIVO'!K479</f>
        <v>A.12.1.5</v>
      </c>
      <c r="L479" s="301" t="str">
        <f>'PLAN INDICATIVO'!L479</f>
        <v>11. Ciudades y comunidades sostenibles</v>
      </c>
      <c r="M479" s="301" t="s">
        <v>1102</v>
      </c>
      <c r="N479" s="1425" t="str">
        <f>'PLAN INDICATIVO'!N479</f>
        <v>MAURICIO LEGARDA GONZALEZ</v>
      </c>
      <c r="O479" s="1425" t="str">
        <f>'PLAN INDICATIVO'!O479</f>
        <v>Incremento</v>
      </c>
      <c r="P479" s="16" t="str">
        <f>'PLAN INDICATIVO'!P479</f>
        <v>Instalar 1 sistema de alarma hidrométrica durante el cuatrienio</v>
      </c>
      <c r="Q479" s="302" t="str">
        <f>'PLAN INDICATIVO'!Q479</f>
        <v xml:space="preserve">No. De sistemas instalados </v>
      </c>
      <c r="R479" s="351">
        <f>'PLAN INDICATIVO'!R479</f>
        <v>2015</v>
      </c>
      <c r="S479" s="304">
        <v>0</v>
      </c>
      <c r="T479" s="498">
        <v>1</v>
      </c>
      <c r="U479" s="67"/>
      <c r="V479" s="687">
        <v>0</v>
      </c>
      <c r="W479" s="572">
        <v>0.5</v>
      </c>
      <c r="X479" s="687"/>
      <c r="Y479" s="1232"/>
      <c r="Z479" s="1233">
        <v>5000000</v>
      </c>
      <c r="AA479" s="1310">
        <v>0.5</v>
      </c>
      <c r="AB479" s="687"/>
      <c r="AC479" s="843">
        <v>0</v>
      </c>
      <c r="AD479" s="665">
        <v>0.5</v>
      </c>
      <c r="AE479" s="665"/>
      <c r="AF479" s="665"/>
      <c r="AG479" s="306" t="s">
        <v>4427</v>
      </c>
      <c r="AH479" s="990">
        <v>201845396007</v>
      </c>
      <c r="AI479" s="307" t="s">
        <v>4430</v>
      </c>
      <c r="AJ479" s="335">
        <v>43282</v>
      </c>
      <c r="AK479" s="838">
        <v>43449</v>
      </c>
      <c r="AL479" s="308"/>
      <c r="AM479" s="308"/>
      <c r="AN479" s="267" t="s">
        <v>2594</v>
      </c>
      <c r="AO479" s="507"/>
      <c r="AP479" s="525"/>
      <c r="AQ479" s="310"/>
      <c r="AR479" s="310"/>
      <c r="AS479" s="310"/>
      <c r="AT479" s="310"/>
      <c r="AU479" s="310"/>
      <c r="AV479" s="310"/>
      <c r="AW479" s="544"/>
      <c r="AX479" s="525"/>
      <c r="AY479" s="310"/>
      <c r="AZ479" s="310"/>
      <c r="BA479" s="310"/>
      <c r="BB479" s="310"/>
      <c r="BC479" s="310"/>
      <c r="BD479" s="310"/>
      <c r="BE479" s="544">
        <f t="shared" si="272"/>
        <v>0</v>
      </c>
      <c r="BF479" s="525"/>
      <c r="BG479" s="310"/>
      <c r="BH479" s="310"/>
      <c r="BI479" s="310"/>
      <c r="BJ479" s="310"/>
      <c r="BK479" s="310"/>
      <c r="BL479" s="310"/>
      <c r="BM479" s="544">
        <f t="shared" si="273"/>
        <v>0</v>
      </c>
      <c r="BN479" s="525"/>
      <c r="BO479" s="310"/>
      <c r="BP479" s="310"/>
      <c r="BQ479" s="310"/>
      <c r="BR479" s="310"/>
      <c r="BS479" s="310"/>
      <c r="BT479" s="310"/>
      <c r="BU479" s="544">
        <f t="shared" si="274"/>
        <v>0</v>
      </c>
      <c r="BV479" s="556"/>
      <c r="BW479" s="663">
        <f t="shared" si="271"/>
        <v>0.5</v>
      </c>
      <c r="BX479" s="1047">
        <f t="shared" si="275"/>
        <v>0.5</v>
      </c>
      <c r="BY479" s="1047" t="str">
        <f t="shared" si="278"/>
        <v>No Programada</v>
      </c>
      <c r="BZ479" s="1047">
        <f t="shared" si="279"/>
        <v>1</v>
      </c>
      <c r="CA479" s="1047" t="str">
        <f t="shared" si="280"/>
        <v>No Programada</v>
      </c>
      <c r="CB479" s="1047">
        <f t="shared" si="281"/>
        <v>0</v>
      </c>
      <c r="CD479" t="str">
        <f t="shared" si="282"/>
        <v>NP</v>
      </c>
      <c r="CE479" t="str">
        <f t="shared" si="282"/>
        <v>VE</v>
      </c>
      <c r="CF479" t="str">
        <f t="shared" si="282"/>
        <v>NP</v>
      </c>
      <c r="CG479" t="str">
        <f t="shared" si="282"/>
        <v>ROB</v>
      </c>
    </row>
    <row r="480" spans="1:85" ht="60.75" hidden="1" customHeight="1" x14ac:dyDescent="0.25">
      <c r="A480" s="298" t="s">
        <v>2464</v>
      </c>
      <c r="B480" s="299" t="str">
        <f>'PLAN INDICATIVO'!B480</f>
        <v>Prevención y atención de desastres</v>
      </c>
      <c r="C480" s="1547"/>
      <c r="D480" s="1551"/>
      <c r="E480" s="1551"/>
      <c r="F480" s="1551"/>
      <c r="G480" s="1551"/>
      <c r="H480" s="1551"/>
      <c r="I480" s="300">
        <f>'PLAN INDICATIVO'!I480</f>
        <v>0</v>
      </c>
      <c r="J480" s="300">
        <f>'PLAN INDICATIVO'!J480</f>
        <v>0</v>
      </c>
      <c r="K480" s="1425" t="str">
        <f>'PLAN INDICATIVO'!K480</f>
        <v>A.12.1.6</v>
      </c>
      <c r="L480" s="301" t="str">
        <f>'PLAN INDICATIVO'!L480</f>
        <v>11. Ciudades y comunidades sostenibles</v>
      </c>
      <c r="M480" s="301" t="s">
        <v>1102</v>
      </c>
      <c r="N480" s="1425" t="str">
        <f>'PLAN INDICATIVO'!N480</f>
        <v>MAURICIO LEGARDA GONZALEZ</v>
      </c>
      <c r="O480" s="1425" t="str">
        <f>'PLAN INDICATIVO'!O480</f>
        <v>Incremento</v>
      </c>
      <c r="P480" s="1199" t="str">
        <f>'PLAN INDICATIVO'!P480</f>
        <v>Formular Un proyecto para la consecución de 1 vehículos para organismos de socorro</v>
      </c>
      <c r="Q480" s="302" t="str">
        <f>'PLAN INDICATIVO'!Q480</f>
        <v>No. De vehículos gestionados</v>
      </c>
      <c r="R480" s="351">
        <f>'PLAN INDICATIVO'!R480</f>
        <v>2015</v>
      </c>
      <c r="S480" s="304">
        <v>0</v>
      </c>
      <c r="T480" s="1299">
        <v>1</v>
      </c>
      <c r="U480" s="303">
        <v>1</v>
      </c>
      <c r="V480" s="687">
        <v>0</v>
      </c>
      <c r="W480" s="572"/>
      <c r="X480" s="687"/>
      <c r="Y480" s="1232"/>
      <c r="Z480" s="1233">
        <v>4000000</v>
      </c>
      <c r="AA480" s="1310">
        <v>1</v>
      </c>
      <c r="AB480" s="687"/>
      <c r="AC480" s="665">
        <v>0</v>
      </c>
      <c r="AD480" s="665"/>
      <c r="AE480" s="665"/>
      <c r="AF480" s="665"/>
      <c r="AG480" s="306" t="s">
        <v>4427</v>
      </c>
      <c r="AH480" s="990">
        <v>201845396007</v>
      </c>
      <c r="AI480" s="307" t="s">
        <v>4431</v>
      </c>
      <c r="AJ480" s="335">
        <v>43282</v>
      </c>
      <c r="AK480" s="838">
        <v>43449</v>
      </c>
      <c r="AL480" s="308"/>
      <c r="AM480" s="308"/>
      <c r="AN480" s="267" t="s">
        <v>2594</v>
      </c>
      <c r="AO480" s="507"/>
      <c r="AP480" s="525"/>
      <c r="AQ480" s="310"/>
      <c r="AR480" s="310"/>
      <c r="AS480" s="310"/>
      <c r="AT480" s="310"/>
      <c r="AU480" s="310"/>
      <c r="AV480" s="310"/>
      <c r="AW480" s="544"/>
      <c r="AX480" s="525"/>
      <c r="AY480" s="310"/>
      <c r="AZ480" s="310"/>
      <c r="BA480" s="310"/>
      <c r="BB480" s="310"/>
      <c r="BC480" s="310"/>
      <c r="BD480" s="310"/>
      <c r="BE480" s="544">
        <f t="shared" si="272"/>
        <v>0</v>
      </c>
      <c r="BF480" s="525"/>
      <c r="BG480" s="310"/>
      <c r="BH480" s="310"/>
      <c r="BI480" s="310"/>
      <c r="BJ480" s="310"/>
      <c r="BK480" s="310"/>
      <c r="BL480" s="310"/>
      <c r="BM480" s="544">
        <f t="shared" si="273"/>
        <v>0</v>
      </c>
      <c r="BN480" s="525"/>
      <c r="BO480" s="310"/>
      <c r="BP480" s="310"/>
      <c r="BQ480" s="310"/>
      <c r="BR480" s="310"/>
      <c r="BS480" s="310"/>
      <c r="BT480" s="310"/>
      <c r="BU480" s="544">
        <f t="shared" si="274"/>
        <v>0</v>
      </c>
      <c r="BV480" s="556"/>
      <c r="BW480" s="663">
        <f t="shared" si="271"/>
        <v>0</v>
      </c>
      <c r="BX480" s="1047">
        <f t="shared" si="275"/>
        <v>0</v>
      </c>
      <c r="BY480" s="1047">
        <f t="shared" si="278"/>
        <v>0</v>
      </c>
      <c r="BZ480" s="1047" t="str">
        <f t="shared" si="279"/>
        <v>No Programada</v>
      </c>
      <c r="CA480" s="1047" t="str">
        <f t="shared" si="279"/>
        <v>No Programada</v>
      </c>
      <c r="CB480" s="1047">
        <f t="shared" si="281"/>
        <v>0</v>
      </c>
      <c r="CD480" t="str">
        <f t="shared" si="282"/>
        <v>ROB</v>
      </c>
      <c r="CE480" t="str">
        <f t="shared" si="282"/>
        <v>NP</v>
      </c>
      <c r="CF480" t="str">
        <f t="shared" si="282"/>
        <v>NP</v>
      </c>
      <c r="CG480" t="str">
        <f t="shared" si="282"/>
        <v>ROB</v>
      </c>
    </row>
    <row r="481" spans="1:85" ht="95.25" hidden="1" customHeight="1" x14ac:dyDescent="0.25">
      <c r="A481" s="298" t="s">
        <v>1450</v>
      </c>
      <c r="B481" s="299" t="str">
        <f>'PLAN INDICATIVO'!B481</f>
        <v>Prevención y atención de desastres</v>
      </c>
      <c r="C481" s="1548"/>
      <c r="D481" s="1552"/>
      <c r="E481" s="1552"/>
      <c r="F481" s="1552"/>
      <c r="G481" s="1552"/>
      <c r="H481" s="1552"/>
      <c r="I481" s="300">
        <f>'PLAN INDICATIVO'!I481</f>
        <v>0</v>
      </c>
      <c r="J481" s="300">
        <f>'PLAN INDICATIVO'!J481</f>
        <v>0</v>
      </c>
      <c r="K481" s="1425" t="str">
        <f>'PLAN INDICATIVO'!K481</f>
        <v>A.12.1.7</v>
      </c>
      <c r="L481" s="301" t="str">
        <f>'PLAN INDICATIVO'!L481</f>
        <v>11. Ciudades y comunidades sostenibles</v>
      </c>
      <c r="M481" s="301" t="s">
        <v>1102</v>
      </c>
      <c r="N481" s="1425" t="str">
        <f>'PLAN INDICATIVO'!N481</f>
        <v>MAURICIO LEGARDA GONZALEZ</v>
      </c>
      <c r="O481" s="1425" t="str">
        <f>'PLAN INDICATIVO'!O481</f>
        <v>Incremento</v>
      </c>
      <c r="P481" s="16" t="str">
        <f>'PLAN INDICATIVO'!P481</f>
        <v>Realizar 4 acciones de apoyo logístico, técnico, administrativo o cultural, para la prevención del riesgo y atención de emergencias y desastres, durante el cuatrienio</v>
      </c>
      <c r="Q481" s="302" t="str">
        <f>'PLAN INDICATIVO'!Q481</f>
        <v>No. De acciones realizadas</v>
      </c>
      <c r="R481" s="351">
        <f>'PLAN INDICATIVO'!R481</f>
        <v>2015</v>
      </c>
      <c r="S481" s="304">
        <v>0</v>
      </c>
      <c r="T481" s="498">
        <v>4</v>
      </c>
      <c r="U481" s="303">
        <v>1</v>
      </c>
      <c r="V481" s="687">
        <v>7300000</v>
      </c>
      <c r="W481" s="572">
        <v>1</v>
      </c>
      <c r="X481" s="687">
        <v>22000000</v>
      </c>
      <c r="Y481" s="572">
        <v>1</v>
      </c>
      <c r="Z481" s="687">
        <v>20000000</v>
      </c>
      <c r="AA481" s="1310">
        <v>1</v>
      </c>
      <c r="AB481" s="687">
        <v>30000000</v>
      </c>
      <c r="AC481" s="665">
        <v>1</v>
      </c>
      <c r="AD481" s="665">
        <v>1</v>
      </c>
      <c r="AE481" s="665">
        <v>1</v>
      </c>
      <c r="AF481" s="665"/>
      <c r="AG481" s="306" t="s">
        <v>4427</v>
      </c>
      <c r="AH481" s="990">
        <v>201845396007</v>
      </c>
      <c r="AI481" s="307" t="s">
        <v>4432</v>
      </c>
      <c r="AJ481" s="335">
        <v>43110</v>
      </c>
      <c r="AK481" s="335">
        <v>43464</v>
      </c>
      <c r="AL481" s="308"/>
      <c r="AM481" s="308"/>
      <c r="AN481" s="267" t="s">
        <v>2598</v>
      </c>
      <c r="AO481" s="507" t="s">
        <v>4433</v>
      </c>
      <c r="AP481" s="525"/>
      <c r="AQ481" s="310"/>
      <c r="AR481" s="310"/>
      <c r="AS481" s="310"/>
      <c r="AT481" s="310"/>
      <c r="AU481" s="310"/>
      <c r="AV481" s="310"/>
      <c r="AW481" s="544"/>
      <c r="AX481" s="525"/>
      <c r="AY481" s="310"/>
      <c r="AZ481" s="310"/>
      <c r="BA481" s="310"/>
      <c r="BB481" s="310"/>
      <c r="BC481" s="310"/>
      <c r="BD481" s="310"/>
      <c r="BE481" s="544">
        <f t="shared" si="272"/>
        <v>0</v>
      </c>
      <c r="BF481" s="525"/>
      <c r="BG481" s="310"/>
      <c r="BH481" s="310"/>
      <c r="BI481" s="310"/>
      <c r="BJ481" s="310"/>
      <c r="BK481" s="310"/>
      <c r="BL481" s="310"/>
      <c r="BM481" s="544">
        <f t="shared" si="273"/>
        <v>0</v>
      </c>
      <c r="BN481" s="525">
        <v>10170933</v>
      </c>
      <c r="BO481" s="310"/>
      <c r="BP481" s="310"/>
      <c r="BQ481" s="310"/>
      <c r="BR481" s="310"/>
      <c r="BS481" s="310"/>
      <c r="BT481" s="310"/>
      <c r="BU481" s="544">
        <f t="shared" si="274"/>
        <v>10170933</v>
      </c>
      <c r="BV481" s="556"/>
      <c r="BW481" s="663">
        <f t="shared" si="271"/>
        <v>3</v>
      </c>
      <c r="BX481" s="1047">
        <f t="shared" si="275"/>
        <v>0.75</v>
      </c>
      <c r="BY481" s="1047">
        <f t="shared" si="278"/>
        <v>1</v>
      </c>
      <c r="BZ481" s="1047">
        <f t="shared" si="279"/>
        <v>1</v>
      </c>
      <c r="CA481" s="1047">
        <f t="shared" si="280"/>
        <v>1</v>
      </c>
      <c r="CB481" s="1047">
        <f t="shared" si="281"/>
        <v>0</v>
      </c>
      <c r="CD481" t="str">
        <f t="shared" si="282"/>
        <v>VE</v>
      </c>
      <c r="CE481" t="str">
        <f t="shared" si="282"/>
        <v>VE</v>
      </c>
      <c r="CF481" t="str">
        <f t="shared" si="282"/>
        <v>VE</v>
      </c>
      <c r="CG481" t="str">
        <f t="shared" si="282"/>
        <v>ROB</v>
      </c>
    </row>
    <row r="482" spans="1:85" ht="18" hidden="1" customHeight="1" x14ac:dyDescent="0.25">
      <c r="A482" s="295"/>
      <c r="B482" s="24" t="str">
        <f>'PLAN INDICATIVO'!B482</f>
        <v>Prevención y atención de desastres</v>
      </c>
      <c r="C482" s="1574" t="s">
        <v>1475</v>
      </c>
      <c r="D482" s="1575"/>
      <c r="E482" s="1575"/>
      <c r="F482" s="1575"/>
      <c r="G482" s="1575"/>
      <c r="H482" s="1575"/>
      <c r="I482" s="1575"/>
      <c r="J482" s="1575"/>
      <c r="K482" s="1575"/>
      <c r="L482" s="1575"/>
      <c r="M482" s="1575"/>
      <c r="N482" s="1575"/>
      <c r="O482" s="1576"/>
      <c r="P482" s="22"/>
      <c r="Q482" s="22"/>
      <c r="R482" s="1"/>
      <c r="S482" s="261"/>
      <c r="T482" s="710"/>
      <c r="U482" s="1"/>
      <c r="V482" s="689">
        <f>SUM(V483:V489)</f>
        <v>182440000</v>
      </c>
      <c r="W482" s="49"/>
      <c r="X482" s="689">
        <f>SUM(X483:X489)</f>
        <v>194000000</v>
      </c>
      <c r="Y482" s="49"/>
      <c r="Z482" s="689">
        <f>SUM(Z483:Z489)</f>
        <v>172800000</v>
      </c>
      <c r="AA482" s="49"/>
      <c r="AB482" s="690">
        <f>SUM(AB483:AB489)</f>
        <v>177000000</v>
      </c>
      <c r="AC482" s="262"/>
      <c r="AD482" s="262"/>
      <c r="AE482" s="262"/>
      <c r="AF482" s="262"/>
      <c r="AG482" s="263"/>
      <c r="AH482" s="263"/>
      <c r="AI482" s="263"/>
      <c r="AJ482" s="262"/>
      <c r="AK482" s="262"/>
      <c r="AL482" s="262"/>
      <c r="AM482" s="262"/>
      <c r="AN482" s="262"/>
      <c r="AO482" s="612"/>
      <c r="AP482" s="616"/>
      <c r="AQ482" s="616"/>
      <c r="AR482" s="616"/>
      <c r="AS482" s="616"/>
      <c r="AT482" s="616"/>
      <c r="AU482" s="616"/>
      <c r="AV482" s="616"/>
      <c r="AW482" s="617"/>
      <c r="AX482" s="616" t="e">
        <f>(AX483:AX489)</f>
        <v>#VALUE!</v>
      </c>
      <c r="AY482" s="616" t="e">
        <f t="shared" ref="AY482:BD482" si="283">(AY483:AY489)</f>
        <v>#VALUE!</v>
      </c>
      <c r="AZ482" s="616" t="e">
        <f t="shared" si="283"/>
        <v>#VALUE!</v>
      </c>
      <c r="BA482" s="616" t="e">
        <f t="shared" si="283"/>
        <v>#VALUE!</v>
      </c>
      <c r="BB482" s="616" t="e">
        <f t="shared" si="283"/>
        <v>#VALUE!</v>
      </c>
      <c r="BC482" s="616" t="e">
        <f t="shared" si="283"/>
        <v>#VALUE!</v>
      </c>
      <c r="BD482" s="616" t="e">
        <f t="shared" si="283"/>
        <v>#VALUE!</v>
      </c>
      <c r="BE482" s="617" t="e">
        <f t="shared" si="272"/>
        <v>#VALUE!</v>
      </c>
      <c r="BF482" s="616"/>
      <c r="BG482" s="616"/>
      <c r="BH482" s="616"/>
      <c r="BI482" s="616"/>
      <c r="BJ482" s="616"/>
      <c r="BK482" s="616"/>
      <c r="BL482" s="616"/>
      <c r="BM482" s="617">
        <f t="shared" si="273"/>
        <v>0</v>
      </c>
      <c r="BN482" s="616" t="e">
        <f>(BN483:BN489)</f>
        <v>#VALUE!</v>
      </c>
      <c r="BO482" s="616" t="e">
        <f t="shared" ref="BO482:BT482" si="284">(BO483:BO489)</f>
        <v>#VALUE!</v>
      </c>
      <c r="BP482" s="616" t="e">
        <f t="shared" si="284"/>
        <v>#VALUE!</v>
      </c>
      <c r="BQ482" s="616" t="e">
        <f t="shared" si="284"/>
        <v>#VALUE!</v>
      </c>
      <c r="BR482" s="616" t="e">
        <f t="shared" si="284"/>
        <v>#VALUE!</v>
      </c>
      <c r="BS482" s="616" t="e">
        <f t="shared" si="284"/>
        <v>#VALUE!</v>
      </c>
      <c r="BT482" s="616" t="e">
        <f t="shared" si="284"/>
        <v>#VALUE!</v>
      </c>
      <c r="BU482" s="617" t="e">
        <f t="shared" si="274"/>
        <v>#VALUE!</v>
      </c>
      <c r="BV482" s="556"/>
      <c r="BW482" s="617" t="s">
        <v>2717</v>
      </c>
      <c r="BX482" s="617" t="s">
        <v>2717</v>
      </c>
      <c r="BY482" s="617" t="s">
        <v>2717</v>
      </c>
      <c r="BZ482" s="617" t="s">
        <v>2717</v>
      </c>
      <c r="CA482" s="617" t="s">
        <v>2717</v>
      </c>
      <c r="CB482" s="1047" t="s">
        <v>2717</v>
      </c>
    </row>
    <row r="483" spans="1:85" ht="93.75" hidden="1" customHeight="1" x14ac:dyDescent="0.25">
      <c r="A483" s="298" t="s">
        <v>1450</v>
      </c>
      <c r="B483" s="299" t="str">
        <f>'PLAN INDICATIVO'!B483</f>
        <v>Prevención y atención de desastres</v>
      </c>
      <c r="C483" s="1546" t="s">
        <v>1476</v>
      </c>
      <c r="D483" s="1550" t="s">
        <v>1477</v>
      </c>
      <c r="E483" s="1550" t="s">
        <v>1478</v>
      </c>
      <c r="F483" s="1550">
        <v>2015</v>
      </c>
      <c r="G483" s="1550">
        <v>100</v>
      </c>
      <c r="H483" s="1550">
        <v>100</v>
      </c>
      <c r="I483" s="300">
        <f>'PLAN INDICATIVO'!I483</f>
        <v>0</v>
      </c>
      <c r="J483" s="300">
        <f>'PLAN INDICATIVO'!J483</f>
        <v>0</v>
      </c>
      <c r="K483" s="1425" t="str">
        <f>'PLAN INDICATIVO'!K483</f>
        <v>A.12.2.1</v>
      </c>
      <c r="L483" s="301" t="str">
        <f>'PLAN INDICATIVO'!L483</f>
        <v>11. Ciudades y comunidades sostenibles</v>
      </c>
      <c r="M483" s="301" t="s">
        <v>1102</v>
      </c>
      <c r="N483" s="1425" t="str">
        <f>'PLAN INDICATIVO'!N483</f>
        <v>MAURICIO LEGARDA GONZALEZ</v>
      </c>
      <c r="O483" s="1425" t="str">
        <f>'PLAN INDICATIVO'!O483</f>
        <v>Incremento</v>
      </c>
      <c r="P483" s="16" t="str">
        <f>'PLAN INDICATIVO'!P483</f>
        <v>Suscribir 4 convenios con organismos de socorro para apoyo logístico, técnico y de dotación, para atención y prevención de emergencia y desastres durante el cuatrienio</v>
      </c>
      <c r="Q483" s="302" t="str">
        <f>'PLAN INDICATIVO'!Q483</f>
        <v>No. Convenios suscritos</v>
      </c>
      <c r="R483" s="303">
        <f>'PLAN INDICATIVO'!R483</f>
        <v>2015</v>
      </c>
      <c r="S483" s="304">
        <v>1</v>
      </c>
      <c r="T483" s="498">
        <v>4</v>
      </c>
      <c r="U483" s="303">
        <v>1</v>
      </c>
      <c r="V483" s="687">
        <v>149600000</v>
      </c>
      <c r="W483" s="572">
        <v>1</v>
      </c>
      <c r="X483" s="687">
        <v>140000000</v>
      </c>
      <c r="Y483" s="1232">
        <v>1</v>
      </c>
      <c r="Z483" s="1233">
        <v>146000000</v>
      </c>
      <c r="AA483" s="1310">
        <v>1</v>
      </c>
      <c r="AB483" s="687">
        <v>155000000</v>
      </c>
      <c r="AC483" s="665">
        <v>1</v>
      </c>
      <c r="AD483" s="665">
        <v>1</v>
      </c>
      <c r="AE483" s="665">
        <v>1</v>
      </c>
      <c r="AF483" s="665"/>
      <c r="AG483" s="306" t="s">
        <v>4427</v>
      </c>
      <c r="AH483" s="990">
        <v>201845396007</v>
      </c>
      <c r="AI483" s="307" t="s">
        <v>4434</v>
      </c>
      <c r="AJ483" s="335">
        <v>43102</v>
      </c>
      <c r="AK483" s="335">
        <v>43465</v>
      </c>
      <c r="AL483" s="308"/>
      <c r="AM483" s="308"/>
      <c r="AN483" s="267" t="s">
        <v>2598</v>
      </c>
      <c r="AO483" s="507" t="s">
        <v>4435</v>
      </c>
      <c r="AP483" s="525"/>
      <c r="AQ483" s="310"/>
      <c r="AR483" s="310"/>
      <c r="AS483" s="310"/>
      <c r="AT483" s="310"/>
      <c r="AU483" s="310"/>
      <c r="AV483" s="310"/>
      <c r="AW483" s="544"/>
      <c r="AX483" s="525"/>
      <c r="AY483" s="310"/>
      <c r="AZ483" s="310"/>
      <c r="BA483" s="310"/>
      <c r="BB483" s="310"/>
      <c r="BC483" s="310"/>
      <c r="BD483" s="310"/>
      <c r="BE483" s="544">
        <f t="shared" si="272"/>
        <v>0</v>
      </c>
      <c r="BF483" s="525"/>
      <c r="BG483" s="310"/>
      <c r="BH483" s="310"/>
      <c r="BI483" s="310"/>
      <c r="BJ483" s="310"/>
      <c r="BK483" s="310"/>
      <c r="BL483" s="310"/>
      <c r="BM483" s="544">
        <f t="shared" si="273"/>
        <v>0</v>
      </c>
      <c r="BN483" s="525">
        <v>151710305</v>
      </c>
      <c r="BO483" s="310"/>
      <c r="BP483" s="310"/>
      <c r="BQ483" s="310"/>
      <c r="BR483" s="310"/>
      <c r="BS483" s="310"/>
      <c r="BT483" s="310"/>
      <c r="BU483" s="544">
        <f t="shared" si="274"/>
        <v>151710305</v>
      </c>
      <c r="BV483" s="556"/>
      <c r="BW483" s="663">
        <f t="shared" si="271"/>
        <v>3</v>
      </c>
      <c r="BX483" s="1047">
        <f t="shared" si="275"/>
        <v>0.75</v>
      </c>
      <c r="BY483" s="1047">
        <f t="shared" ref="BY483:BY489" si="285">IF(U483&gt;=0.1,AC483/U483,IF(ISBLANK(U483),"No Programada","Aplazada"))</f>
        <v>1</v>
      </c>
      <c r="BZ483" s="1047">
        <f t="shared" ref="BZ483:BZ489" si="286">IF(W483&gt;=0.1,AD483/W483,IF(ISBLANK(W483),"No Programada","Aplazada"))</f>
        <v>1</v>
      </c>
      <c r="CA483" s="1047">
        <f t="shared" ref="CA483:CA488" si="287">IF(Y483&gt;=0.1,AE483/Y483,IF(ISBLANK(Y483),"No Programada","Aplazada"))</f>
        <v>1</v>
      </c>
      <c r="CB483" s="1047" t="s">
        <v>4436</v>
      </c>
      <c r="CD483" t="str">
        <f t="shared" ref="CD483:CG489" si="288">IF(BY483="PARA MODIFICAR","M",IF(BY483="PARA ELIMINAR","E",IF(BY483="aplazada","AZ",IF(BY483="no programada","NP",IF(BY483&gt;=85%,"VE",IF(BY483&gt;70%,"VEB",IF(BY483&gt;60%,"AM",IF(BY483&gt;40%,"AMB",IF(BY483&gt;20%,"RO",IF(BY483&gt;=0%,"ROB",""))))))))))</f>
        <v>VE</v>
      </c>
      <c r="CE483" t="str">
        <f t="shared" si="288"/>
        <v>VE</v>
      </c>
      <c r="CF483" t="str">
        <f t="shared" si="288"/>
        <v>VE</v>
      </c>
      <c r="CG483" t="str">
        <f t="shared" si="288"/>
        <v>VE</v>
      </c>
    </row>
    <row r="484" spans="1:85" ht="3.75" hidden="1" customHeight="1" x14ac:dyDescent="0.25">
      <c r="A484" s="298" t="s">
        <v>1450</v>
      </c>
      <c r="B484" s="299" t="str">
        <f>'PLAN INDICATIVO'!B484</f>
        <v>Prevención y atención de desastres</v>
      </c>
      <c r="C484" s="1547"/>
      <c r="D484" s="1551"/>
      <c r="E484" s="1551"/>
      <c r="F484" s="1551"/>
      <c r="G484" s="1551"/>
      <c r="H484" s="1551"/>
      <c r="I484" s="300">
        <f>'PLAN INDICATIVO'!I484</f>
        <v>0</v>
      </c>
      <c r="J484" s="300">
        <f>'PLAN INDICATIVO'!J484</f>
        <v>0</v>
      </c>
      <c r="K484" s="1425" t="str">
        <f>'PLAN INDICATIVO'!K484</f>
        <v>A.12.2.2</v>
      </c>
      <c r="L484" s="301" t="str">
        <f>'PLAN INDICATIVO'!L484</f>
        <v>11. Ciudades y comunidades sostenibles</v>
      </c>
      <c r="M484" s="301" t="s">
        <v>1102</v>
      </c>
      <c r="N484" s="1425" t="str">
        <f>'PLAN INDICATIVO'!N484</f>
        <v>MAURICIO LEGARDA GONZALEZ</v>
      </c>
      <c r="O484" s="1425" t="str">
        <f>'PLAN INDICATIVO'!O484</f>
        <v>Mantenimiento</v>
      </c>
      <c r="P484" s="16" t="str">
        <f>'PLAN INDICATIVO'!P484</f>
        <v>Realizar 1 capacitación anual a los jóvenes  de las Instituciones educativas urbanas,  para que asuman el reto de ser voluntarios en organismos de socorro</v>
      </c>
      <c r="Q484" s="302" t="str">
        <f>'PLAN INDICATIVO'!Q484</f>
        <v>No. De capacitaciones realizadas por año</v>
      </c>
      <c r="R484" s="303">
        <f>'PLAN INDICATIVO'!R484</f>
        <v>2015</v>
      </c>
      <c r="S484" s="304">
        <v>0</v>
      </c>
      <c r="T484" s="498">
        <v>1</v>
      </c>
      <c r="U484" s="303">
        <v>1</v>
      </c>
      <c r="V484" s="687">
        <v>1000000</v>
      </c>
      <c r="W484" s="572">
        <v>1</v>
      </c>
      <c r="X484" s="687">
        <v>1000000</v>
      </c>
      <c r="Y484" s="1232">
        <v>1</v>
      </c>
      <c r="Z484" s="1233">
        <v>1000000</v>
      </c>
      <c r="AA484" s="1310">
        <v>1</v>
      </c>
      <c r="AB484" s="687">
        <v>500000</v>
      </c>
      <c r="AC484" s="665">
        <v>1</v>
      </c>
      <c r="AD484" s="665">
        <v>1</v>
      </c>
      <c r="AE484" s="665">
        <v>1</v>
      </c>
      <c r="AF484" s="665"/>
      <c r="AG484" s="306" t="s">
        <v>4427</v>
      </c>
      <c r="AH484" s="990">
        <v>201845396007</v>
      </c>
      <c r="AI484" s="307" t="s">
        <v>4437</v>
      </c>
      <c r="AJ484" s="335">
        <v>43191</v>
      </c>
      <c r="AK484" s="335">
        <v>43220</v>
      </c>
      <c r="AL484" s="308"/>
      <c r="AM484" s="308"/>
      <c r="AN484" s="267" t="s">
        <v>2598</v>
      </c>
      <c r="AO484" s="507"/>
      <c r="AP484" s="525"/>
      <c r="AQ484" s="310"/>
      <c r="AR484" s="310"/>
      <c r="AS484" s="310"/>
      <c r="AT484" s="310"/>
      <c r="AU484" s="310"/>
      <c r="AV484" s="310"/>
      <c r="AW484" s="544"/>
      <c r="AX484" s="525"/>
      <c r="AY484" s="310"/>
      <c r="AZ484" s="310"/>
      <c r="BA484" s="310"/>
      <c r="BB484" s="310"/>
      <c r="BC484" s="310"/>
      <c r="BD484" s="310"/>
      <c r="BE484" s="544">
        <f t="shared" si="272"/>
        <v>0</v>
      </c>
      <c r="BF484" s="525"/>
      <c r="BG484" s="310"/>
      <c r="BH484" s="310"/>
      <c r="BI484" s="310"/>
      <c r="BJ484" s="310"/>
      <c r="BK484" s="310"/>
      <c r="BL484" s="310"/>
      <c r="BM484" s="544">
        <f t="shared" si="273"/>
        <v>0</v>
      </c>
      <c r="BN484" s="525"/>
      <c r="BO484" s="310"/>
      <c r="BP484" s="310"/>
      <c r="BQ484" s="310"/>
      <c r="BR484" s="310"/>
      <c r="BS484" s="310"/>
      <c r="BT484" s="310"/>
      <c r="BU484" s="544">
        <f t="shared" si="274"/>
        <v>0</v>
      </c>
      <c r="BV484" s="556"/>
      <c r="BW484" s="663">
        <f t="shared" si="271"/>
        <v>3</v>
      </c>
      <c r="BX484" s="1047">
        <f t="shared" si="275"/>
        <v>3</v>
      </c>
      <c r="BY484" s="1047">
        <f t="shared" si="285"/>
        <v>1</v>
      </c>
      <c r="BZ484" s="1047">
        <f t="shared" si="286"/>
        <v>1</v>
      </c>
      <c r="CA484" s="1047">
        <f t="shared" si="287"/>
        <v>1</v>
      </c>
      <c r="CB484" s="1047">
        <f t="shared" ref="CB484:CB489" si="289">IF(AA484&gt;=0.1,AF484/AA484,IF(ISBLANK(AA484),"No Programada","Aplazada"))</f>
        <v>0</v>
      </c>
      <c r="CD484" t="str">
        <f t="shared" si="288"/>
        <v>VE</v>
      </c>
      <c r="CE484" t="str">
        <f t="shared" si="288"/>
        <v>VE</v>
      </c>
      <c r="CF484" t="str">
        <f t="shared" si="288"/>
        <v>VE</v>
      </c>
      <c r="CG484" t="str">
        <f t="shared" si="288"/>
        <v>ROB</v>
      </c>
    </row>
    <row r="485" spans="1:85" ht="60" hidden="1" customHeight="1" x14ac:dyDescent="0.25">
      <c r="A485" s="298" t="s">
        <v>1450</v>
      </c>
      <c r="B485" s="299" t="str">
        <f>'PLAN INDICATIVO'!B485</f>
        <v>Prevención y atención de desastres</v>
      </c>
      <c r="C485" s="1547"/>
      <c r="D485" s="1551"/>
      <c r="E485" s="1551"/>
      <c r="F485" s="1551"/>
      <c r="G485" s="1551"/>
      <c r="H485" s="1551"/>
      <c r="I485" s="300">
        <f>'PLAN INDICATIVO'!I485</f>
        <v>0</v>
      </c>
      <c r="J485" s="300">
        <f>'PLAN INDICATIVO'!J485</f>
        <v>0</v>
      </c>
      <c r="K485" s="1425" t="str">
        <f>'PLAN INDICATIVO'!K485</f>
        <v>A.12.2.3</v>
      </c>
      <c r="L485" s="301" t="str">
        <f>'PLAN INDICATIVO'!L485</f>
        <v>11. Ciudades y comunidades sostenibles</v>
      </c>
      <c r="M485" s="301" t="s">
        <v>1102</v>
      </c>
      <c r="N485" s="1425" t="str">
        <f>'PLAN INDICATIVO'!N485</f>
        <v>MAURICIO LEGARDA GONZALEZ</v>
      </c>
      <c r="O485" s="1425" t="str">
        <f>'PLAN INDICATIVO'!O485</f>
        <v>Incremento</v>
      </c>
      <c r="P485" s="16" t="str">
        <f>'PLAN INDICATIVO'!P485</f>
        <v>Realizar 4 simulacros durante el cuatrienio, sobre atención de emergencias.</v>
      </c>
      <c r="Q485" s="302" t="str">
        <f>'PLAN INDICATIVO'!Q485</f>
        <v>No. simulacros realizados</v>
      </c>
      <c r="R485" s="303">
        <f>'PLAN INDICATIVO'!R485</f>
        <v>2015</v>
      </c>
      <c r="S485" s="304">
        <v>0</v>
      </c>
      <c r="T485" s="498">
        <v>4</v>
      </c>
      <c r="U485" s="303">
        <v>1</v>
      </c>
      <c r="V485" s="687">
        <v>3730000</v>
      </c>
      <c r="W485" s="572">
        <v>1</v>
      </c>
      <c r="X485" s="687">
        <v>17000000</v>
      </c>
      <c r="Y485" s="1232">
        <v>1</v>
      </c>
      <c r="Z485" s="1233">
        <v>16800000</v>
      </c>
      <c r="AA485" s="1310">
        <v>1</v>
      </c>
      <c r="AB485" s="687">
        <v>17500000</v>
      </c>
      <c r="AC485" s="665">
        <v>1</v>
      </c>
      <c r="AD485" s="665">
        <v>1</v>
      </c>
      <c r="AE485" s="665">
        <v>1</v>
      </c>
      <c r="AF485" s="665"/>
      <c r="AG485" s="306" t="s">
        <v>4427</v>
      </c>
      <c r="AH485" s="990">
        <v>201845396007</v>
      </c>
      <c r="AI485" s="307" t="s">
        <v>4438</v>
      </c>
      <c r="AJ485" s="335">
        <v>43374</v>
      </c>
      <c r="AK485" s="335">
        <v>43403</v>
      </c>
      <c r="AL485" s="308"/>
      <c r="AM485" s="308"/>
      <c r="AN485" s="267" t="s">
        <v>2598</v>
      </c>
      <c r="AO485" s="507"/>
      <c r="AP485" s="525"/>
      <c r="AQ485" s="310"/>
      <c r="AR485" s="310"/>
      <c r="AS485" s="310"/>
      <c r="AT485" s="310"/>
      <c r="AU485" s="310"/>
      <c r="AV485" s="310"/>
      <c r="AW485" s="544"/>
      <c r="AX485" s="525"/>
      <c r="AY485" s="310"/>
      <c r="AZ485" s="310"/>
      <c r="BA485" s="310"/>
      <c r="BB485" s="310"/>
      <c r="BC485" s="310"/>
      <c r="BD485" s="310"/>
      <c r="BE485" s="544">
        <f t="shared" si="272"/>
        <v>0</v>
      </c>
      <c r="BF485" s="525"/>
      <c r="BG485" s="310"/>
      <c r="BH485" s="310"/>
      <c r="BI485" s="310"/>
      <c r="BJ485" s="310"/>
      <c r="BK485" s="310"/>
      <c r="BL485" s="310"/>
      <c r="BM485" s="544">
        <f t="shared" si="273"/>
        <v>0</v>
      </c>
      <c r="BN485" s="525"/>
      <c r="BO485" s="310"/>
      <c r="BP485" s="310"/>
      <c r="BQ485" s="310"/>
      <c r="BR485" s="310"/>
      <c r="BS485" s="310"/>
      <c r="BT485" s="310"/>
      <c r="BU485" s="544">
        <f t="shared" si="274"/>
        <v>0</v>
      </c>
      <c r="BV485" s="556"/>
      <c r="BW485" s="663">
        <f t="shared" si="271"/>
        <v>3</v>
      </c>
      <c r="BX485" s="1047">
        <f t="shared" si="275"/>
        <v>0.75</v>
      </c>
      <c r="BY485" s="1047">
        <f t="shared" si="285"/>
        <v>1</v>
      </c>
      <c r="BZ485" s="1047">
        <f t="shared" si="286"/>
        <v>1</v>
      </c>
      <c r="CA485" s="1047">
        <f t="shared" si="287"/>
        <v>1</v>
      </c>
      <c r="CB485" s="1047">
        <f t="shared" si="289"/>
        <v>0</v>
      </c>
      <c r="CD485" t="str">
        <f t="shared" si="288"/>
        <v>VE</v>
      </c>
      <c r="CE485" t="str">
        <f t="shared" si="288"/>
        <v>VE</v>
      </c>
      <c r="CF485" t="str">
        <f t="shared" si="288"/>
        <v>VE</v>
      </c>
      <c r="CG485" t="str">
        <f t="shared" si="288"/>
        <v>ROB</v>
      </c>
    </row>
    <row r="486" spans="1:85" ht="116.25" hidden="1" customHeight="1" x14ac:dyDescent="0.25">
      <c r="A486" s="298" t="s">
        <v>800</v>
      </c>
      <c r="B486" s="299" t="str">
        <f>'PLAN INDICATIVO'!B486</f>
        <v>Prevención y atención de desastres</v>
      </c>
      <c r="C486" s="1547"/>
      <c r="D486" s="1551"/>
      <c r="E486" s="1551"/>
      <c r="F486" s="1551"/>
      <c r="G486" s="1551"/>
      <c r="H486" s="1551"/>
      <c r="I486" s="300">
        <f>'PLAN INDICATIVO'!I486</f>
        <v>0</v>
      </c>
      <c r="J486" s="300">
        <f>'PLAN INDICATIVO'!J486</f>
        <v>0</v>
      </c>
      <c r="K486" s="1425" t="str">
        <f>'PLAN INDICATIVO'!K486</f>
        <v>A.12.2.4</v>
      </c>
      <c r="L486" s="301" t="str">
        <f>'PLAN INDICATIVO'!L486</f>
        <v>11. Ciudades y comunidades sostenibles</v>
      </c>
      <c r="M486" s="301" t="s">
        <v>1102</v>
      </c>
      <c r="N486" s="1425" t="str">
        <f>'PLAN INDICATIVO'!N486</f>
        <v>MAURICIO LEGARDA GONZALEZ</v>
      </c>
      <c r="O486" s="1425" t="str">
        <f>'PLAN INDICATIVO'!O486</f>
        <v>Incremento</v>
      </c>
      <c r="P486" s="16" t="str">
        <f>'PLAN INDICATIVO'!P486</f>
        <v>Realizar 1 capacitaciónanual a los jóvenes de las Instituciones educativas urbanas, para que asuman el reto de ser voluntarios en organismos de socorro.</v>
      </c>
      <c r="Q486" s="302" t="str">
        <f>'PLAN INDICATIVO'!Q486</f>
        <v>No. De capacitaciones
realizadas por año</v>
      </c>
      <c r="R486" s="303">
        <f>'PLAN INDICATIVO'!R486</f>
        <v>2015</v>
      </c>
      <c r="S486" s="304">
        <v>1</v>
      </c>
      <c r="T486" s="498">
        <v>3</v>
      </c>
      <c r="U486" s="303"/>
      <c r="V486" s="687"/>
      <c r="W486" s="572">
        <v>1</v>
      </c>
      <c r="X486" s="687">
        <v>1000000</v>
      </c>
      <c r="Y486" s="1232">
        <v>1</v>
      </c>
      <c r="Z486" s="1233">
        <v>2000000</v>
      </c>
      <c r="AA486" s="1310">
        <v>1</v>
      </c>
      <c r="AB486" s="687">
        <v>500000</v>
      </c>
      <c r="AC486" s="665">
        <v>0</v>
      </c>
      <c r="AD486" s="665">
        <v>1</v>
      </c>
      <c r="AE486" s="665">
        <v>1</v>
      </c>
      <c r="AF486" s="665"/>
      <c r="AG486" s="266"/>
      <c r="AH486" s="266"/>
      <c r="AI486" s="307"/>
      <c r="AJ486" s="335"/>
      <c r="AK486" s="335"/>
      <c r="AL486" s="308"/>
      <c r="AM486" s="308"/>
      <c r="AN486" s="267" t="s">
        <v>2598</v>
      </c>
      <c r="AO486" s="507"/>
      <c r="AP486" s="525"/>
      <c r="AQ486" s="310"/>
      <c r="AR486" s="310"/>
      <c r="AS486" s="310"/>
      <c r="AT486" s="310"/>
      <c r="AU486" s="310"/>
      <c r="AV486" s="310"/>
      <c r="AW486" s="544"/>
      <c r="AX486" s="525"/>
      <c r="AY486" s="310"/>
      <c r="AZ486" s="310"/>
      <c r="BA486" s="310"/>
      <c r="BB486" s="310"/>
      <c r="BC486" s="310"/>
      <c r="BD486" s="310"/>
      <c r="BE486" s="544">
        <f t="shared" si="272"/>
        <v>0</v>
      </c>
      <c r="BF486" s="525"/>
      <c r="BG486" s="310"/>
      <c r="BH486" s="310"/>
      <c r="BI486" s="310"/>
      <c r="BJ486" s="310"/>
      <c r="BK486" s="310"/>
      <c r="BL486" s="310"/>
      <c r="BM486" s="544">
        <f t="shared" si="273"/>
        <v>0</v>
      </c>
      <c r="BN486" s="525"/>
      <c r="BO486" s="310"/>
      <c r="BP486" s="310"/>
      <c r="BQ486" s="310"/>
      <c r="BR486" s="310"/>
      <c r="BS486" s="310"/>
      <c r="BT486" s="310"/>
      <c r="BU486" s="544">
        <f t="shared" si="274"/>
        <v>0</v>
      </c>
      <c r="BV486" s="556"/>
      <c r="BW486" s="663">
        <f t="shared" si="271"/>
        <v>2</v>
      </c>
      <c r="BX486" s="1047">
        <f t="shared" si="275"/>
        <v>0.66666666666666663</v>
      </c>
      <c r="BY486" s="1047" t="str">
        <f t="shared" si="285"/>
        <v>No Programada</v>
      </c>
      <c r="BZ486" s="1047">
        <f t="shared" si="286"/>
        <v>1</v>
      </c>
      <c r="CA486" s="1047">
        <f t="shared" si="287"/>
        <v>1</v>
      </c>
      <c r="CB486" s="1047">
        <f t="shared" si="289"/>
        <v>0</v>
      </c>
      <c r="CD486" t="str">
        <f t="shared" si="288"/>
        <v>NP</v>
      </c>
      <c r="CE486" t="str">
        <f t="shared" si="288"/>
        <v>VE</v>
      </c>
      <c r="CF486" t="str">
        <f t="shared" si="288"/>
        <v>VE</v>
      </c>
      <c r="CG486" t="str">
        <f t="shared" si="288"/>
        <v>ROB</v>
      </c>
    </row>
    <row r="487" spans="1:85" ht="69" hidden="1" customHeight="1" x14ac:dyDescent="0.25">
      <c r="A487" s="298" t="s">
        <v>1450</v>
      </c>
      <c r="B487" s="299" t="str">
        <f>'PLAN INDICATIVO'!B487</f>
        <v>Prevención y atención de desastres</v>
      </c>
      <c r="C487" s="1547"/>
      <c r="D487" s="1551"/>
      <c r="E487" s="1551"/>
      <c r="F487" s="1551"/>
      <c r="G487" s="1551"/>
      <c r="H487" s="1551"/>
      <c r="I487" s="1425" t="str">
        <f>'PLAN INDICATIVO'!I487</f>
        <v>SI</v>
      </c>
      <c r="J487" s="1425">
        <f>'PLAN INDICATIVO'!J487</f>
        <v>0</v>
      </c>
      <c r="K487" s="1425" t="str">
        <f>'PLAN INDICATIVO'!K487</f>
        <v>A.12.2.4</v>
      </c>
      <c r="L487" s="301" t="str">
        <f>'PLAN INDICATIVO'!L487</f>
        <v>11. Ciudades y comunidades sostenibles</v>
      </c>
      <c r="M487" s="301" t="s">
        <v>1102</v>
      </c>
      <c r="N487" s="1425" t="str">
        <f>'PLAN INDICATIVO'!N487</f>
        <v>MAURICIO LEGARDA GONZALEZ</v>
      </c>
      <c r="O487" s="1425" t="str">
        <f>'PLAN INDICATIVO'!O487</f>
        <v>Incremento</v>
      </c>
      <c r="P487" s="16" t="str">
        <f>'PLAN INDICATIVO'!P487</f>
        <v>Construir 3 obras de mitigación de riesgos  y amenazas durante el cuatrienio</v>
      </c>
      <c r="Q487" s="302" t="str">
        <f>'PLAN INDICATIVO'!Q487</f>
        <v>No. De obras de mitigación construidas</v>
      </c>
      <c r="R487" s="303">
        <f>'PLAN INDICATIVO'!R487</f>
        <v>2015</v>
      </c>
      <c r="S487" s="304">
        <v>1</v>
      </c>
      <c r="T487" s="498">
        <v>3</v>
      </c>
      <c r="U487" s="303">
        <v>1</v>
      </c>
      <c r="V487" s="687">
        <v>15110000</v>
      </c>
      <c r="W487" s="572">
        <v>1</v>
      </c>
      <c r="X487" s="687">
        <v>28000000</v>
      </c>
      <c r="Y487" s="1232"/>
      <c r="Z487" s="1233"/>
      <c r="AA487" s="1310">
        <v>1</v>
      </c>
      <c r="AB487" s="687">
        <v>500000</v>
      </c>
      <c r="AC487" s="665">
        <v>1</v>
      </c>
      <c r="AD487" s="665">
        <v>1</v>
      </c>
      <c r="AE487" s="665"/>
      <c r="AF487" s="665"/>
      <c r="AG487" s="306" t="s">
        <v>4427</v>
      </c>
      <c r="AH487" s="990">
        <v>201845396007</v>
      </c>
      <c r="AI487" s="307" t="s">
        <v>4439</v>
      </c>
      <c r="AJ487" s="335">
        <v>43313</v>
      </c>
      <c r="AK487" s="335">
        <v>43403</v>
      </c>
      <c r="AL487" s="308"/>
      <c r="AM487" s="308"/>
      <c r="AN487" s="267" t="s">
        <v>2594</v>
      </c>
      <c r="AO487" s="507"/>
      <c r="AP487" s="525"/>
      <c r="AQ487" s="310"/>
      <c r="AR487" s="310"/>
      <c r="AS487" s="310"/>
      <c r="AT487" s="310"/>
      <c r="AU487" s="310"/>
      <c r="AV487" s="310"/>
      <c r="AW487" s="544"/>
      <c r="AX487" s="525"/>
      <c r="AY487" s="310"/>
      <c r="AZ487" s="310"/>
      <c r="BA487" s="310"/>
      <c r="BB487" s="310"/>
      <c r="BC487" s="310"/>
      <c r="BD487" s="310"/>
      <c r="BE487" s="544">
        <f t="shared" si="272"/>
        <v>0</v>
      </c>
      <c r="BF487" s="525"/>
      <c r="BG487" s="310"/>
      <c r="BH487" s="310"/>
      <c r="BI487" s="310"/>
      <c r="BJ487" s="310"/>
      <c r="BK487" s="310"/>
      <c r="BL487" s="310"/>
      <c r="BM487" s="544">
        <f t="shared" si="273"/>
        <v>0</v>
      </c>
      <c r="BN487" s="525"/>
      <c r="BO487" s="310"/>
      <c r="BP487" s="310"/>
      <c r="BQ487" s="310"/>
      <c r="BR487" s="310"/>
      <c r="BS487" s="310"/>
      <c r="BT487" s="310"/>
      <c r="BU487" s="544">
        <f t="shared" si="274"/>
        <v>0</v>
      </c>
      <c r="BV487" s="556"/>
      <c r="BW487" s="663">
        <f t="shared" si="271"/>
        <v>2</v>
      </c>
      <c r="BX487" s="1047">
        <f t="shared" si="275"/>
        <v>0.66666666666666663</v>
      </c>
      <c r="BY487" s="1047">
        <f t="shared" si="285"/>
        <v>1</v>
      </c>
      <c r="BZ487" s="1047">
        <f t="shared" si="286"/>
        <v>1</v>
      </c>
      <c r="CA487" s="1047" t="str">
        <f t="shared" si="287"/>
        <v>No Programada</v>
      </c>
      <c r="CB487" s="1047">
        <f t="shared" si="289"/>
        <v>0</v>
      </c>
      <c r="CD487" t="str">
        <f t="shared" si="288"/>
        <v>VE</v>
      </c>
      <c r="CE487" t="str">
        <f t="shared" si="288"/>
        <v>VE</v>
      </c>
      <c r="CF487" t="str">
        <f t="shared" si="288"/>
        <v>NP</v>
      </c>
      <c r="CG487" t="str">
        <f t="shared" si="288"/>
        <v>ROB</v>
      </c>
    </row>
    <row r="488" spans="1:85" ht="63" hidden="1" customHeight="1" x14ac:dyDescent="0.25">
      <c r="A488" s="298" t="s">
        <v>1450</v>
      </c>
      <c r="B488" s="299" t="str">
        <f>'PLAN INDICATIVO'!B488</f>
        <v>Prevención y atención de desastres</v>
      </c>
      <c r="C488" s="1547"/>
      <c r="D488" s="1551"/>
      <c r="E488" s="1551"/>
      <c r="F488" s="1551"/>
      <c r="G488" s="1551"/>
      <c r="H488" s="1551"/>
      <c r="I488" s="300">
        <f>'PLAN INDICATIVO'!I488</f>
        <v>0</v>
      </c>
      <c r="J488" s="300">
        <f>'PLAN INDICATIVO'!J488</f>
        <v>0</v>
      </c>
      <c r="K488" s="1425" t="str">
        <f>'PLAN INDICATIVO'!K488</f>
        <v>A.12.2.5</v>
      </c>
      <c r="L488" s="301" t="str">
        <f>'PLAN INDICATIVO'!L488</f>
        <v>11. Ciudades y comunidades sostenibles</v>
      </c>
      <c r="M488" s="301" t="s">
        <v>1102</v>
      </c>
      <c r="N488" s="1425" t="str">
        <f>'PLAN INDICATIVO'!N488</f>
        <v>MAURICIO LEGARDA GONZALEZ</v>
      </c>
      <c r="O488" s="1425" t="str">
        <f>'PLAN INDICATIVO'!O488</f>
        <v>Incremento</v>
      </c>
      <c r="P488" s="16" t="str">
        <f>'PLAN INDICATIVO'!P488</f>
        <v>Realizar 1 reconocimiento anual a los bomberos que sobresalgan, durante el cuatrienio.</v>
      </c>
      <c r="Q488" s="302" t="str">
        <f>'PLAN INDICATIVO'!Q488</f>
        <v>No. De Reconocimientos realizados por año</v>
      </c>
      <c r="R488" s="303">
        <f>'PLAN INDICATIVO'!R488</f>
        <v>2015</v>
      </c>
      <c r="S488" s="304">
        <v>0</v>
      </c>
      <c r="T488" s="498">
        <v>1</v>
      </c>
      <c r="U488" s="303">
        <v>1</v>
      </c>
      <c r="V488" s="687">
        <v>1000000</v>
      </c>
      <c r="W488" s="572">
        <v>1</v>
      </c>
      <c r="X488" s="687">
        <v>1000000</v>
      </c>
      <c r="Y488" s="1232">
        <v>1</v>
      </c>
      <c r="Z488" s="1233">
        <v>1000000</v>
      </c>
      <c r="AA488" s="1310">
        <v>1</v>
      </c>
      <c r="AB488" s="687">
        <v>500000</v>
      </c>
      <c r="AC488" s="665">
        <v>1</v>
      </c>
      <c r="AD488" s="665"/>
      <c r="AE488" s="665">
        <v>1</v>
      </c>
      <c r="AF488" s="665"/>
      <c r="AG488" s="306" t="s">
        <v>4427</v>
      </c>
      <c r="AH488" s="990">
        <v>201845396007</v>
      </c>
      <c r="AI488" s="307" t="s">
        <v>4440</v>
      </c>
      <c r="AJ488" s="335">
        <v>43256</v>
      </c>
      <c r="AK488" s="335">
        <v>43256</v>
      </c>
      <c r="AL488" s="308"/>
      <c r="AM488" s="308"/>
      <c r="AN488" s="267" t="s">
        <v>2598</v>
      </c>
      <c r="AO488" s="507"/>
      <c r="AP488" s="525"/>
      <c r="AQ488" s="310"/>
      <c r="AR488" s="310"/>
      <c r="AS488" s="310"/>
      <c r="AT488" s="310"/>
      <c r="AU488" s="310"/>
      <c r="AV488" s="310"/>
      <c r="AW488" s="544"/>
      <c r="AX488" s="525"/>
      <c r="AY488" s="310"/>
      <c r="AZ488" s="310"/>
      <c r="BA488" s="310"/>
      <c r="BB488" s="310"/>
      <c r="BC488" s="310"/>
      <c r="BD488" s="310"/>
      <c r="BE488" s="544">
        <f t="shared" si="272"/>
        <v>0</v>
      </c>
      <c r="BF488" s="525"/>
      <c r="BG488" s="310"/>
      <c r="BH488" s="310"/>
      <c r="BI488" s="310"/>
      <c r="BJ488" s="310"/>
      <c r="BK488" s="310"/>
      <c r="BL488" s="310"/>
      <c r="BM488" s="544">
        <f t="shared" si="273"/>
        <v>0</v>
      </c>
      <c r="BN488" s="525"/>
      <c r="BO488" s="310"/>
      <c r="BP488" s="310"/>
      <c r="BQ488" s="310"/>
      <c r="BR488" s="310"/>
      <c r="BS488" s="310"/>
      <c r="BT488" s="310"/>
      <c r="BU488" s="544">
        <f t="shared" si="274"/>
        <v>0</v>
      </c>
      <c r="BV488" s="556"/>
      <c r="BW488" s="663">
        <f t="shared" si="271"/>
        <v>2</v>
      </c>
      <c r="BX488" s="1047">
        <f t="shared" si="275"/>
        <v>2</v>
      </c>
      <c r="BY488" s="1047">
        <f t="shared" si="285"/>
        <v>1</v>
      </c>
      <c r="BZ488" s="1047">
        <f t="shared" si="286"/>
        <v>0</v>
      </c>
      <c r="CA488" s="1047">
        <f t="shared" si="287"/>
        <v>1</v>
      </c>
      <c r="CB488" s="1047">
        <f t="shared" si="289"/>
        <v>0</v>
      </c>
      <c r="CD488" t="str">
        <f t="shared" si="288"/>
        <v>VE</v>
      </c>
      <c r="CE488" t="str">
        <f t="shared" si="288"/>
        <v>ROB</v>
      </c>
      <c r="CF488" t="str">
        <f t="shared" si="288"/>
        <v>VE</v>
      </c>
      <c r="CG488" t="str">
        <f t="shared" si="288"/>
        <v>ROB</v>
      </c>
    </row>
    <row r="489" spans="1:85" ht="81" hidden="1" customHeight="1" thickBot="1" x14ac:dyDescent="0.3">
      <c r="A489" s="298" t="s">
        <v>2464</v>
      </c>
      <c r="B489" s="299" t="str">
        <f>'PLAN INDICATIVO'!B489</f>
        <v>Prevención y atención de desastres</v>
      </c>
      <c r="C489" s="1548"/>
      <c r="D489" s="1552"/>
      <c r="E489" s="1552"/>
      <c r="F489" s="1552"/>
      <c r="G489" s="1552"/>
      <c r="H489" s="1552"/>
      <c r="I489" s="300">
        <f>'PLAN INDICATIVO'!I489</f>
        <v>0</v>
      </c>
      <c r="J489" s="300">
        <f>'PLAN INDICATIVO'!J489</f>
        <v>0</v>
      </c>
      <c r="K489" s="1425" t="str">
        <f>'PLAN INDICATIVO'!K489</f>
        <v>A.12.2.6</v>
      </c>
      <c r="L489" s="301" t="str">
        <f>'PLAN INDICATIVO'!L489</f>
        <v>11. Ciudades y comunidades sostenibles</v>
      </c>
      <c r="M489" s="301" t="s">
        <v>1102</v>
      </c>
      <c r="N489" s="1425" t="str">
        <f>'PLAN INDICATIVO'!N489</f>
        <v>MAURICIO LEGARDA GONZALEZ</v>
      </c>
      <c r="O489" s="1425" t="str">
        <f>'PLAN INDICATIVO'!O489</f>
        <v>Incremento</v>
      </c>
      <c r="P489" s="1199" t="str">
        <f>'PLAN INDICATIVO'!P489</f>
        <v>Mantener 4 Albergues temporales con mantenimiento para su funcionamiento durante el cuatrienio</v>
      </c>
      <c r="Q489" s="302" t="str">
        <f>'PLAN INDICATIVO'!Q489</f>
        <v>No. De albergues mantenidos</v>
      </c>
      <c r="R489" s="303">
        <f>'PLAN INDICATIVO'!R489</f>
        <v>2015</v>
      </c>
      <c r="S489" s="304">
        <v>0</v>
      </c>
      <c r="T489" s="498">
        <v>4</v>
      </c>
      <c r="U489" s="303">
        <v>1</v>
      </c>
      <c r="V489" s="687">
        <v>12000000</v>
      </c>
      <c r="W489" s="572">
        <v>1</v>
      </c>
      <c r="X489" s="687">
        <v>6000000</v>
      </c>
      <c r="Y489" s="1232">
        <v>0</v>
      </c>
      <c r="Z489" s="1233">
        <v>6000000</v>
      </c>
      <c r="AA489" s="1310">
        <v>1</v>
      </c>
      <c r="AB489" s="687">
        <v>2500000</v>
      </c>
      <c r="AC489" s="665">
        <v>1</v>
      </c>
      <c r="AD489" s="665"/>
      <c r="AE489" s="665"/>
      <c r="AF489" s="665"/>
      <c r="AG489" s="306" t="s">
        <v>4427</v>
      </c>
      <c r="AH489" s="990">
        <v>201845396007</v>
      </c>
      <c r="AI489" s="307" t="s">
        <v>4441</v>
      </c>
      <c r="AJ489" s="335" t="s">
        <v>4442</v>
      </c>
      <c r="AK489" s="335">
        <v>43281</v>
      </c>
      <c r="AL489" s="308"/>
      <c r="AM489" s="308"/>
      <c r="AN489" s="267" t="s">
        <v>2594</v>
      </c>
      <c r="AO489" s="507"/>
      <c r="AP489" s="533"/>
      <c r="AQ489" s="534"/>
      <c r="AR489" s="534"/>
      <c r="AS489" s="534"/>
      <c r="AT489" s="534"/>
      <c r="AU489" s="534"/>
      <c r="AV489" s="534"/>
      <c r="AW489" s="546"/>
      <c r="AX489" s="533"/>
      <c r="AY489" s="534"/>
      <c r="AZ489" s="534"/>
      <c r="BA489" s="534"/>
      <c r="BB489" s="534"/>
      <c r="BC489" s="534"/>
      <c r="BD489" s="534"/>
      <c r="BE489" s="546">
        <f t="shared" si="272"/>
        <v>0</v>
      </c>
      <c r="BF489" s="533"/>
      <c r="BG489" s="534"/>
      <c r="BH489" s="534"/>
      <c r="BI489" s="534"/>
      <c r="BJ489" s="534"/>
      <c r="BK489" s="534"/>
      <c r="BL489" s="534"/>
      <c r="BM489" s="546">
        <f t="shared" si="273"/>
        <v>0</v>
      </c>
      <c r="BN489" s="533"/>
      <c r="BO489" s="534"/>
      <c r="BP489" s="534"/>
      <c r="BQ489" s="534"/>
      <c r="BR489" s="534"/>
      <c r="BS489" s="534"/>
      <c r="BT489" s="534"/>
      <c r="BU489" s="546">
        <f t="shared" si="274"/>
        <v>0</v>
      </c>
      <c r="BV489" s="556"/>
      <c r="BW489" s="663">
        <f t="shared" si="271"/>
        <v>1</v>
      </c>
      <c r="BX489" s="1047">
        <f t="shared" si="275"/>
        <v>0.25</v>
      </c>
      <c r="BY489" s="1047">
        <f t="shared" si="285"/>
        <v>1</v>
      </c>
      <c r="BZ489" s="1047">
        <f t="shared" si="286"/>
        <v>0</v>
      </c>
      <c r="CA489" s="1047" t="s">
        <v>4312</v>
      </c>
      <c r="CB489" s="1047">
        <f t="shared" si="289"/>
        <v>0</v>
      </c>
      <c r="CD489" t="str">
        <f t="shared" si="288"/>
        <v>VE</v>
      </c>
      <c r="CE489" t="str">
        <f t="shared" si="288"/>
        <v>ROB</v>
      </c>
      <c r="CF489" t="str">
        <f t="shared" si="288"/>
        <v>NP</v>
      </c>
      <c r="CG489" t="str">
        <f t="shared" si="288"/>
        <v>ROB</v>
      </c>
    </row>
  </sheetData>
  <autoFilter ref="A4:CG489">
    <filterColumn colId="13">
      <filters>
        <filter val="GABRIEL ERNESTO CAMPOS ALVIRA"/>
      </filters>
    </filterColumn>
  </autoFilter>
  <customSheetViews>
    <customSheetView guid="{92B8BA5A-7984-4526-9F7A-187FF856FCAE}" scale="84" fitToPage="1" showAutoFilter="1" hiddenRows="1" hiddenColumns="1" topLeftCell="L3">
      <pane ySplit="2" topLeftCell="A140" activePane="bottomLeft" state="frozen"/>
      <selection pane="bottomLeft" activeCell="BL143" sqref="BL143"/>
      <pageMargins left="0" right="0" top="0" bottom="0" header="0" footer="0"/>
      <pageSetup paperSize="144" scale="37" fitToHeight="0" orientation="landscape" r:id="rId1"/>
      <autoFilter ref="A4:CG489"/>
    </customSheetView>
  </customSheetViews>
  <mergeCells count="249">
    <mergeCell ref="C482:O482"/>
    <mergeCell ref="C483:C489"/>
    <mergeCell ref="D483:D489"/>
    <mergeCell ref="E483:E489"/>
    <mergeCell ref="F483:F489"/>
    <mergeCell ref="G483:G489"/>
    <mergeCell ref="H483:H489"/>
    <mergeCell ref="C473:AM473"/>
    <mergeCell ref="C474:O474"/>
    <mergeCell ref="C475:C481"/>
    <mergeCell ref="D475:D481"/>
    <mergeCell ref="E475:E481"/>
    <mergeCell ref="F475:F481"/>
    <mergeCell ref="G475:G481"/>
    <mergeCell ref="H475:H481"/>
    <mergeCell ref="D438:AM438"/>
    <mergeCell ref="C439:AM439"/>
    <mergeCell ref="C440:O440"/>
    <mergeCell ref="C441:C470"/>
    <mergeCell ref="D441:D470"/>
    <mergeCell ref="E441:E470"/>
    <mergeCell ref="F441:F470"/>
    <mergeCell ref="G441:G470"/>
    <mergeCell ref="H441:H470"/>
    <mergeCell ref="C424:O424"/>
    <mergeCell ref="C425:C437"/>
    <mergeCell ref="D425:D437"/>
    <mergeCell ref="E425:E437"/>
    <mergeCell ref="F425:F437"/>
    <mergeCell ref="G425:G437"/>
    <mergeCell ref="H425:H437"/>
    <mergeCell ref="C407:AM407"/>
    <mergeCell ref="C408:O408"/>
    <mergeCell ref="F409:F422"/>
    <mergeCell ref="C409:C423"/>
    <mergeCell ref="D409:D423"/>
    <mergeCell ref="E409:E423"/>
    <mergeCell ref="G409:G423"/>
    <mergeCell ref="H409:H423"/>
    <mergeCell ref="C394:AM394"/>
    <mergeCell ref="C395:O395"/>
    <mergeCell ref="C396:C406"/>
    <mergeCell ref="D396:D406"/>
    <mergeCell ref="E396:E406"/>
    <mergeCell ref="F396:F406"/>
    <mergeCell ref="G396:G406"/>
    <mergeCell ref="H396:H406"/>
    <mergeCell ref="C367:AM367"/>
    <mergeCell ref="C368:O368"/>
    <mergeCell ref="C369:C393"/>
    <mergeCell ref="D369:D393"/>
    <mergeCell ref="E369:E393"/>
    <mergeCell ref="F369:F393"/>
    <mergeCell ref="G369:G393"/>
    <mergeCell ref="H369:H393"/>
    <mergeCell ref="Y391:AA391"/>
    <mergeCell ref="C358:C366"/>
    <mergeCell ref="D358:D366"/>
    <mergeCell ref="E358:E366"/>
    <mergeCell ref="F358:F366"/>
    <mergeCell ref="G358:G366"/>
    <mergeCell ref="H358:H366"/>
    <mergeCell ref="C349:AM349"/>
    <mergeCell ref="C350:O350"/>
    <mergeCell ref="C353:O353"/>
    <mergeCell ref="C355:AM355"/>
    <mergeCell ref="C356:AG356"/>
    <mergeCell ref="C357:O357"/>
    <mergeCell ref="C326:AM326"/>
    <mergeCell ref="C327:O327"/>
    <mergeCell ref="C328:C348"/>
    <mergeCell ref="D328:D348"/>
    <mergeCell ref="E328:E348"/>
    <mergeCell ref="F328:F348"/>
    <mergeCell ref="G328:G348"/>
    <mergeCell ref="H328:H348"/>
    <mergeCell ref="C291:AM291"/>
    <mergeCell ref="C292:O292"/>
    <mergeCell ref="C293:C325"/>
    <mergeCell ref="D293:D325"/>
    <mergeCell ref="E293:E325"/>
    <mergeCell ref="F293:F325"/>
    <mergeCell ref="G293:G325"/>
    <mergeCell ref="H293:H325"/>
    <mergeCell ref="C287:C290"/>
    <mergeCell ref="D287:D290"/>
    <mergeCell ref="E287:E290"/>
    <mergeCell ref="F287:F290"/>
    <mergeCell ref="G287:G290"/>
    <mergeCell ref="H287:H290"/>
    <mergeCell ref="C273:O273"/>
    <mergeCell ref="C274:C285"/>
    <mergeCell ref="D274:D285"/>
    <mergeCell ref="E274:E285"/>
    <mergeCell ref="F274:F285"/>
    <mergeCell ref="G274:G285"/>
    <mergeCell ref="H274:H285"/>
    <mergeCell ref="C260:AM260"/>
    <mergeCell ref="C261:O261"/>
    <mergeCell ref="C262:C272"/>
    <mergeCell ref="D262:D272"/>
    <mergeCell ref="E262:E272"/>
    <mergeCell ref="F262:F272"/>
    <mergeCell ref="G262:G272"/>
    <mergeCell ref="H262:H272"/>
    <mergeCell ref="C241:O241"/>
    <mergeCell ref="C242:C258"/>
    <mergeCell ref="D242:D258"/>
    <mergeCell ref="E242:E258"/>
    <mergeCell ref="F242:F258"/>
    <mergeCell ref="G242:G258"/>
    <mergeCell ref="H242:H258"/>
    <mergeCell ref="A259:N259"/>
    <mergeCell ref="C210:O210"/>
    <mergeCell ref="C211:C239"/>
    <mergeCell ref="F211:F239"/>
    <mergeCell ref="C200:C209"/>
    <mergeCell ref="D200:D209"/>
    <mergeCell ref="E200:E209"/>
    <mergeCell ref="F200:F209"/>
    <mergeCell ref="G200:G209"/>
    <mergeCell ref="H200:H209"/>
    <mergeCell ref="D211:D240"/>
    <mergeCell ref="E211:E240"/>
    <mergeCell ref="G211:G240"/>
    <mergeCell ref="H211:H240"/>
    <mergeCell ref="C191:O191"/>
    <mergeCell ref="C192:C198"/>
    <mergeCell ref="D192:D198"/>
    <mergeCell ref="E192:E198"/>
    <mergeCell ref="F192:F198"/>
    <mergeCell ref="G192:G198"/>
    <mergeCell ref="H192:H198"/>
    <mergeCell ref="F180:F189"/>
    <mergeCell ref="C180:C190"/>
    <mergeCell ref="D180:D190"/>
    <mergeCell ref="E180:E190"/>
    <mergeCell ref="G180:G190"/>
    <mergeCell ref="H180:H190"/>
    <mergeCell ref="C152:AM152"/>
    <mergeCell ref="C153:P153"/>
    <mergeCell ref="F154:F177"/>
    <mergeCell ref="C144:O144"/>
    <mergeCell ref="C145:C151"/>
    <mergeCell ref="D145:D151"/>
    <mergeCell ref="E145:E151"/>
    <mergeCell ref="F145:F151"/>
    <mergeCell ref="G145:G151"/>
    <mergeCell ref="H145:H151"/>
    <mergeCell ref="C154:C178"/>
    <mergeCell ref="D154:D178"/>
    <mergeCell ref="E154:E178"/>
    <mergeCell ref="G154:G178"/>
    <mergeCell ref="H154:H178"/>
    <mergeCell ref="C134:O134"/>
    <mergeCell ref="C135:C143"/>
    <mergeCell ref="D135:D143"/>
    <mergeCell ref="E135:E143"/>
    <mergeCell ref="F135:F143"/>
    <mergeCell ref="G135:G143"/>
    <mergeCell ref="H135:H143"/>
    <mergeCell ref="A118:AM118"/>
    <mergeCell ref="C119:O119"/>
    <mergeCell ref="C120:C133"/>
    <mergeCell ref="D120:D133"/>
    <mergeCell ref="E120:E133"/>
    <mergeCell ref="F120:F133"/>
    <mergeCell ref="G120:G133"/>
    <mergeCell ref="H120:H133"/>
    <mergeCell ref="C113:O113"/>
    <mergeCell ref="C114:C117"/>
    <mergeCell ref="D114:D117"/>
    <mergeCell ref="E114:E117"/>
    <mergeCell ref="F114:F117"/>
    <mergeCell ref="G114:G117"/>
    <mergeCell ref="H114:H117"/>
    <mergeCell ref="C107:O107"/>
    <mergeCell ref="C108:C112"/>
    <mergeCell ref="D108:D112"/>
    <mergeCell ref="E108:E112"/>
    <mergeCell ref="F108:F112"/>
    <mergeCell ref="G108:G112"/>
    <mergeCell ref="H108:H112"/>
    <mergeCell ref="A106:AO106"/>
    <mergeCell ref="C97:O97"/>
    <mergeCell ref="C98:C105"/>
    <mergeCell ref="D98:D105"/>
    <mergeCell ref="E98:E105"/>
    <mergeCell ref="F98:F105"/>
    <mergeCell ref="G98:G105"/>
    <mergeCell ref="H98:H105"/>
    <mergeCell ref="A84:AM84"/>
    <mergeCell ref="C85:O85"/>
    <mergeCell ref="C86:C96"/>
    <mergeCell ref="D86:D96"/>
    <mergeCell ref="E86:E96"/>
    <mergeCell ref="F86:F96"/>
    <mergeCell ref="G86:G96"/>
    <mergeCell ref="H86:H96"/>
    <mergeCell ref="C74:O74"/>
    <mergeCell ref="C75:C83"/>
    <mergeCell ref="D75:D83"/>
    <mergeCell ref="E75:E83"/>
    <mergeCell ref="F75:F83"/>
    <mergeCell ref="G75:G83"/>
    <mergeCell ref="H75:H83"/>
    <mergeCell ref="A47:AM47"/>
    <mergeCell ref="A49:AM49"/>
    <mergeCell ref="C50:O50"/>
    <mergeCell ref="C51:C73"/>
    <mergeCell ref="D51:D73"/>
    <mergeCell ref="E51:E73"/>
    <mergeCell ref="F51:F73"/>
    <mergeCell ref="G51:G73"/>
    <mergeCell ref="H51:H73"/>
    <mergeCell ref="BV43:BV46"/>
    <mergeCell ref="C44:C46"/>
    <mergeCell ref="D44:D46"/>
    <mergeCell ref="E44:E46"/>
    <mergeCell ref="F44:F46"/>
    <mergeCell ref="G44:G46"/>
    <mergeCell ref="H44:H46"/>
    <mergeCell ref="BV8:BV22"/>
    <mergeCell ref="C23:O23"/>
    <mergeCell ref="C24:C39"/>
    <mergeCell ref="D24:D39"/>
    <mergeCell ref="E24:E39"/>
    <mergeCell ref="F24:F39"/>
    <mergeCell ref="G24:G39"/>
    <mergeCell ref="H24:H39"/>
    <mergeCell ref="BV24:BV41"/>
    <mergeCell ref="A6:AO6"/>
    <mergeCell ref="C7:O7"/>
    <mergeCell ref="C8:C22"/>
    <mergeCell ref="D8:D22"/>
    <mergeCell ref="E8:E22"/>
    <mergeCell ref="F8:F22"/>
    <mergeCell ref="G8:G22"/>
    <mergeCell ref="H8:H22"/>
    <mergeCell ref="C42:O42"/>
    <mergeCell ref="A1:CB1"/>
    <mergeCell ref="A2:AO2"/>
    <mergeCell ref="AC3:AF3"/>
    <mergeCell ref="AP3:AW3"/>
    <mergeCell ref="AX3:BE3"/>
    <mergeCell ref="BF3:BM3"/>
    <mergeCell ref="BN3:BU3"/>
    <mergeCell ref="BV3:CB3"/>
    <mergeCell ref="A5:AM5"/>
  </mergeCells>
  <conditionalFormatting sqref="AN51:AN73 AN75:AN83 AN98:AN105 AN86:AN96 AN8:AN22 AN43:AN46 AN226:AN232 AN242:AN258 AN192:AN198 AN200:AN209 AN211:AN218 AN220:AN224 AN180:AN190 AN154:AN178 AN262:AN272 AN234:AN240 AN354 AN114:AN117 AN135:AN143 AN351:AN352 AN483:AN489 AN425:AN437 AN409:AN423 AN396:AN406 AN293:AN325 AN358:AN366 AN475:AN481 AN441:AN472 AN369:AN393 AN274:AN290 AN145:AN151 AN108:AN112 AN24:AN41 AN120:AN133 AN328:AN348">
    <cfRule type="containsText" dxfId="483" priority="1468" operator="containsText" text="AZ">
      <formula>NOT(ISERROR(SEARCH("AZ",AN8)))</formula>
    </cfRule>
    <cfRule type="containsText" dxfId="482" priority="1469" operator="containsText" text="RO">
      <formula>NOT(ISERROR(SEARCH("RO",AN8)))</formula>
    </cfRule>
    <cfRule type="containsText" dxfId="481" priority="1470" operator="containsText" text="AM">
      <formula>NOT(ISERROR(SEARCH("AM",AN8)))</formula>
    </cfRule>
    <cfRule type="containsText" dxfId="480" priority="1471" operator="containsText" text="VE">
      <formula>NOT(ISERROR(SEARCH("VE",AN8)))</formula>
    </cfRule>
  </conditionalFormatting>
  <conditionalFormatting sqref="AJ132:AK132 AJ143:AK143">
    <cfRule type="timePeriod" dxfId="479" priority="171" timePeriod="lastWeek">
      <formula>AND(TODAY()-ROUNDDOWN(AJ132,0)&gt;=(WEEKDAY(TODAY())),TODAY()-ROUNDDOWN(AJ132,0)&lt;(WEEKDAY(TODAY())+7))</formula>
    </cfRule>
  </conditionalFormatting>
  <conditionalFormatting sqref="BX328:CB348 BX351:CB352 BX369:CB393 BX396:CB406 BX425:CB437 BX42 BZ42:CB42 BX358:CB366 BX200:CB209 BX43:CB46 BX51:CB73 CB47:CB50 BX75:CB83 CB74 BX86:CB96 CB84:CB85 BX98:CB105 CB97 BX108:CB112 CB106:CB107 BX114:CB118 CB113 BX120:CB133 CB119 BX135:CB143 CB134 CB144 BX154:CB178 CB152:CB153 CB179 BX192:CB198 CB191 BX211:CB218 CB210 CB219 BX226:CB232 CB225 BX234:CB240 CB233 BX242:CB258 CB241 BX262:CB272 CB259:CB261 CB273 BX287:CB290 CB286 BX293:CB325 CB291:CB292 CB326 BX145:CB151 BX8:CB41 BX220:CB224 BX475:CB481 BX483:CB489 BX441:CB472 BX409:CB423 BX180:CB190 BX274:CB285 BX354:CB354">
    <cfRule type="cellIs" dxfId="478" priority="162" operator="between">
      <formula>0.7</formula>
      <formula>0.84</formula>
    </cfRule>
    <cfRule type="cellIs" dxfId="477" priority="163" operator="equal">
      <formula>"Aplazada"</formula>
    </cfRule>
    <cfRule type="cellIs" dxfId="476" priority="164" stopIfTrue="1" operator="between">
      <formula>0.2</formula>
      <formula>0.39</formula>
    </cfRule>
    <cfRule type="cellIs" dxfId="475" priority="165" operator="between">
      <formula>0.4</formula>
      <formula>0.59</formula>
    </cfRule>
    <cfRule type="cellIs" dxfId="474" priority="166" operator="between">
      <formula>0.6</formula>
      <formula>0.69</formula>
    </cfRule>
    <cfRule type="cellIs" dxfId="473" priority="167" operator="greaterThan">
      <formula>0.85</formula>
    </cfRule>
    <cfRule type="cellIs" dxfId="472" priority="168" operator="lessThan">
      <formula>0.19</formula>
    </cfRule>
  </conditionalFormatting>
  <conditionalFormatting sqref="BY328:CB348 BY351:CB352 BY369:CB393 BY396:CB406 BY425:CB437 BZ42:CB42 BY358:CB366 BY200:CB209 BY43:CB46 BY51:CB73 CB47:CB50 BY75:CB83 CB74 BY86:CB96 CB84:CB85 BY98:CB105 CB97 BY108:CB112 CB106:CB107 BY114:CB118 CB113 BY120:CB133 CB119 BY135:CB143 CB134 CB144 BY154:CB178 CB152:CB153 CB179 BY192:CB198 CB191 BY211:CB218 CB210 CB219 BY226:CB232 CB225 BY234:CB240 CB233 BY242:CB258 CB241 BY262:CB272 CB259:CB261 CB273 BY287:CB290 CB286 BY293:CB325 CB291:CB292 CB326 BY145:CB151 BY8:CB41 BY220:CB224 BY475:CB481 BY483:CB489 BY441:CB472 BY409:CB423 BY180:CB190 BY274:CB285 BY354:CB354">
    <cfRule type="cellIs" dxfId="471" priority="161" operator="equal">
      <formula>"No Programada"</formula>
    </cfRule>
  </conditionalFormatting>
  <conditionalFormatting sqref="CB350">
    <cfRule type="cellIs" dxfId="470" priority="138" operator="between">
      <formula>0.7</formula>
      <formula>0.84</formula>
    </cfRule>
    <cfRule type="cellIs" dxfId="469" priority="139" operator="equal">
      <formula>"Aplazada"</formula>
    </cfRule>
    <cfRule type="cellIs" dxfId="468" priority="140" stopIfTrue="1" operator="between">
      <formula>0.2</formula>
      <formula>0.39</formula>
    </cfRule>
    <cfRule type="cellIs" dxfId="467" priority="141" operator="between">
      <formula>0.4</formula>
      <formula>0.59</formula>
    </cfRule>
    <cfRule type="cellIs" dxfId="466" priority="142" operator="between">
      <formula>0.6</formula>
      <formula>0.69</formula>
    </cfRule>
    <cfRule type="cellIs" dxfId="465" priority="143" operator="greaterThan">
      <formula>0.85</formula>
    </cfRule>
    <cfRule type="cellIs" dxfId="464" priority="144" operator="lessThan">
      <formula>0.19</formula>
    </cfRule>
  </conditionalFormatting>
  <conditionalFormatting sqref="CB350">
    <cfRule type="cellIs" dxfId="463" priority="137" operator="equal">
      <formula>"No Programada"</formula>
    </cfRule>
  </conditionalFormatting>
  <conditionalFormatting sqref="CB355">
    <cfRule type="cellIs" dxfId="462" priority="122" operator="between">
      <formula>0.7</formula>
      <formula>0.84</formula>
    </cfRule>
    <cfRule type="cellIs" dxfId="461" priority="123" operator="equal">
      <formula>"Aplazada"</formula>
    </cfRule>
    <cfRule type="cellIs" dxfId="460" priority="124" stopIfTrue="1" operator="between">
      <formula>0.2</formula>
      <formula>0.39</formula>
    </cfRule>
    <cfRule type="cellIs" dxfId="459" priority="125" operator="between">
      <formula>0.4</formula>
      <formula>0.59</formula>
    </cfRule>
    <cfRule type="cellIs" dxfId="458" priority="126" operator="between">
      <formula>0.6</formula>
      <formula>0.69</formula>
    </cfRule>
    <cfRule type="cellIs" dxfId="457" priority="127" operator="greaterThan">
      <formula>0.85</formula>
    </cfRule>
    <cfRule type="cellIs" dxfId="456" priority="128" operator="lessThan">
      <formula>0.19</formula>
    </cfRule>
  </conditionalFormatting>
  <conditionalFormatting sqref="CB355">
    <cfRule type="cellIs" dxfId="455" priority="121" operator="equal">
      <formula>"No Programada"</formula>
    </cfRule>
  </conditionalFormatting>
  <conditionalFormatting sqref="CB356">
    <cfRule type="cellIs" dxfId="454" priority="114" operator="between">
      <formula>0.7</formula>
      <formula>0.84</formula>
    </cfRule>
    <cfRule type="cellIs" dxfId="453" priority="115" operator="equal">
      <formula>"Aplazada"</formula>
    </cfRule>
    <cfRule type="cellIs" dxfId="452" priority="116" stopIfTrue="1" operator="between">
      <formula>0.2</formula>
      <formula>0.39</formula>
    </cfRule>
    <cfRule type="cellIs" dxfId="451" priority="117" operator="between">
      <formula>0.4</formula>
      <formula>0.59</formula>
    </cfRule>
    <cfRule type="cellIs" dxfId="450" priority="118" operator="between">
      <formula>0.6</formula>
      <formula>0.69</formula>
    </cfRule>
    <cfRule type="cellIs" dxfId="449" priority="119" operator="greaterThan">
      <formula>0.85</formula>
    </cfRule>
    <cfRule type="cellIs" dxfId="448" priority="120" operator="lessThan">
      <formula>0.19</formula>
    </cfRule>
  </conditionalFormatting>
  <conditionalFormatting sqref="CB356">
    <cfRule type="cellIs" dxfId="447" priority="113" operator="equal">
      <formula>"No Programada"</formula>
    </cfRule>
  </conditionalFormatting>
  <conditionalFormatting sqref="CB357">
    <cfRule type="cellIs" dxfId="446" priority="106" operator="between">
      <formula>0.7</formula>
      <formula>0.84</formula>
    </cfRule>
    <cfRule type="cellIs" dxfId="445" priority="107" operator="equal">
      <formula>"Aplazada"</formula>
    </cfRule>
    <cfRule type="cellIs" dxfId="444" priority="108" stopIfTrue="1" operator="between">
      <formula>0.2</formula>
      <formula>0.39</formula>
    </cfRule>
    <cfRule type="cellIs" dxfId="443" priority="109" operator="between">
      <formula>0.4</formula>
      <formula>0.59</formula>
    </cfRule>
    <cfRule type="cellIs" dxfId="442" priority="110" operator="between">
      <formula>0.6</formula>
      <formula>0.69</formula>
    </cfRule>
    <cfRule type="cellIs" dxfId="441" priority="111" operator="greaterThan">
      <formula>0.85</formula>
    </cfRule>
    <cfRule type="cellIs" dxfId="440" priority="112" operator="lessThan">
      <formula>0.19</formula>
    </cfRule>
  </conditionalFormatting>
  <conditionalFormatting sqref="CB357">
    <cfRule type="cellIs" dxfId="439" priority="105" operator="equal">
      <formula>"No Programada"</formula>
    </cfRule>
  </conditionalFormatting>
  <conditionalFormatting sqref="CB368">
    <cfRule type="cellIs" dxfId="438" priority="90" operator="between">
      <formula>0.7</formula>
      <formula>0.84</formula>
    </cfRule>
    <cfRule type="cellIs" dxfId="437" priority="91" operator="equal">
      <formula>"Aplazada"</formula>
    </cfRule>
    <cfRule type="cellIs" dxfId="436" priority="92" stopIfTrue="1" operator="between">
      <formula>0.2</formula>
      <formula>0.39</formula>
    </cfRule>
    <cfRule type="cellIs" dxfId="435" priority="93" operator="between">
      <formula>0.4</formula>
      <formula>0.59</formula>
    </cfRule>
    <cfRule type="cellIs" dxfId="434" priority="94" operator="between">
      <formula>0.6</formula>
      <formula>0.69</formula>
    </cfRule>
    <cfRule type="cellIs" dxfId="433" priority="95" operator="greaterThan">
      <formula>0.85</formula>
    </cfRule>
    <cfRule type="cellIs" dxfId="432" priority="96" operator="lessThan">
      <formula>0.19</formula>
    </cfRule>
  </conditionalFormatting>
  <conditionalFormatting sqref="CB368">
    <cfRule type="cellIs" dxfId="431" priority="89" operator="equal">
      <formula>"No Programada"</formula>
    </cfRule>
  </conditionalFormatting>
  <conditionalFormatting sqref="CB394">
    <cfRule type="cellIs" dxfId="430" priority="82" operator="between">
      <formula>0.7</formula>
      <formula>0.84</formula>
    </cfRule>
    <cfRule type="cellIs" dxfId="429" priority="83" operator="equal">
      <formula>"Aplazada"</formula>
    </cfRule>
    <cfRule type="cellIs" dxfId="428" priority="84" stopIfTrue="1" operator="between">
      <formula>0.2</formula>
      <formula>0.39</formula>
    </cfRule>
    <cfRule type="cellIs" dxfId="427" priority="85" operator="between">
      <formula>0.4</formula>
      <formula>0.59</formula>
    </cfRule>
    <cfRule type="cellIs" dxfId="426" priority="86" operator="between">
      <formula>0.6</formula>
      <formula>0.69</formula>
    </cfRule>
    <cfRule type="cellIs" dxfId="425" priority="87" operator="greaterThan">
      <formula>0.85</formula>
    </cfRule>
    <cfRule type="cellIs" dxfId="424" priority="88" operator="lessThan">
      <formula>0.19</formula>
    </cfRule>
  </conditionalFormatting>
  <conditionalFormatting sqref="CB394">
    <cfRule type="cellIs" dxfId="423" priority="81" operator="equal">
      <formula>"No Programada"</formula>
    </cfRule>
  </conditionalFormatting>
  <conditionalFormatting sqref="CB395">
    <cfRule type="cellIs" dxfId="422" priority="74" operator="between">
      <formula>0.7</formula>
      <formula>0.84</formula>
    </cfRule>
    <cfRule type="cellIs" dxfId="421" priority="75" operator="equal">
      <formula>"Aplazada"</formula>
    </cfRule>
    <cfRule type="cellIs" dxfId="420" priority="76" stopIfTrue="1" operator="between">
      <formula>0.2</formula>
      <formula>0.39</formula>
    </cfRule>
    <cfRule type="cellIs" dxfId="419" priority="77" operator="between">
      <formula>0.4</formula>
      <formula>0.59</formula>
    </cfRule>
    <cfRule type="cellIs" dxfId="418" priority="78" operator="between">
      <formula>0.6</formula>
      <formula>0.69</formula>
    </cfRule>
    <cfRule type="cellIs" dxfId="417" priority="79" operator="greaterThan">
      <formula>0.85</formula>
    </cfRule>
    <cfRule type="cellIs" dxfId="416" priority="80" operator="lessThan">
      <formula>0.19</formula>
    </cfRule>
  </conditionalFormatting>
  <conditionalFormatting sqref="CB395">
    <cfRule type="cellIs" dxfId="415" priority="73" operator="equal">
      <formula>"No Programada"</formula>
    </cfRule>
  </conditionalFormatting>
  <conditionalFormatting sqref="CB407">
    <cfRule type="cellIs" dxfId="414" priority="66" operator="between">
      <formula>0.7</formula>
      <formula>0.84</formula>
    </cfRule>
    <cfRule type="cellIs" dxfId="413" priority="67" operator="equal">
      <formula>"Aplazada"</formula>
    </cfRule>
    <cfRule type="cellIs" dxfId="412" priority="68" stopIfTrue="1" operator="between">
      <formula>0.2</formula>
      <formula>0.39</formula>
    </cfRule>
    <cfRule type="cellIs" dxfId="411" priority="69" operator="between">
      <formula>0.4</formula>
      <formula>0.59</formula>
    </cfRule>
    <cfRule type="cellIs" dxfId="410" priority="70" operator="between">
      <formula>0.6</formula>
      <formula>0.69</formula>
    </cfRule>
    <cfRule type="cellIs" dxfId="409" priority="71" operator="greaterThan">
      <formula>0.85</formula>
    </cfRule>
    <cfRule type="cellIs" dxfId="408" priority="72" operator="lessThan">
      <formula>0.19</formula>
    </cfRule>
  </conditionalFormatting>
  <conditionalFormatting sqref="CB407">
    <cfRule type="cellIs" dxfId="407" priority="65" operator="equal">
      <formula>"No Programada"</formula>
    </cfRule>
  </conditionalFormatting>
  <conditionalFormatting sqref="CB408">
    <cfRule type="cellIs" dxfId="406" priority="58" operator="between">
      <formula>0.7</formula>
      <formula>0.84</formula>
    </cfRule>
    <cfRule type="cellIs" dxfId="405" priority="59" operator="equal">
      <formula>"Aplazada"</formula>
    </cfRule>
    <cfRule type="cellIs" dxfId="404" priority="60" stopIfTrue="1" operator="between">
      <formula>0.2</formula>
      <formula>0.39</formula>
    </cfRule>
    <cfRule type="cellIs" dxfId="403" priority="61" operator="between">
      <formula>0.4</formula>
      <formula>0.59</formula>
    </cfRule>
    <cfRule type="cellIs" dxfId="402" priority="62" operator="between">
      <formula>0.6</formula>
      <formula>0.69</formula>
    </cfRule>
    <cfRule type="cellIs" dxfId="401" priority="63" operator="greaterThan">
      <formula>0.85</formula>
    </cfRule>
    <cfRule type="cellIs" dxfId="400" priority="64" operator="lessThan">
      <formula>0.19</formula>
    </cfRule>
  </conditionalFormatting>
  <conditionalFormatting sqref="CB408">
    <cfRule type="cellIs" dxfId="399" priority="57" operator="equal">
      <formula>"No Programada"</formula>
    </cfRule>
  </conditionalFormatting>
  <conditionalFormatting sqref="CB424">
    <cfRule type="cellIs" dxfId="398" priority="50" operator="between">
      <formula>0.7</formula>
      <formula>0.84</formula>
    </cfRule>
    <cfRule type="cellIs" dxfId="397" priority="51" operator="equal">
      <formula>"Aplazada"</formula>
    </cfRule>
    <cfRule type="cellIs" dxfId="396" priority="52" stopIfTrue="1" operator="between">
      <formula>0.2</formula>
      <formula>0.39</formula>
    </cfRule>
    <cfRule type="cellIs" dxfId="395" priority="53" operator="between">
      <formula>0.4</formula>
      <formula>0.59</formula>
    </cfRule>
    <cfRule type="cellIs" dxfId="394" priority="54" operator="between">
      <formula>0.6</formula>
      <formula>0.69</formula>
    </cfRule>
    <cfRule type="cellIs" dxfId="393" priority="55" operator="greaterThan">
      <formula>0.85</formula>
    </cfRule>
    <cfRule type="cellIs" dxfId="392" priority="56" operator="lessThan">
      <formula>0.19</formula>
    </cfRule>
  </conditionalFormatting>
  <conditionalFormatting sqref="CB424">
    <cfRule type="cellIs" dxfId="391" priority="49" operator="equal">
      <formula>"No Programada"</formula>
    </cfRule>
  </conditionalFormatting>
  <conditionalFormatting sqref="CB438">
    <cfRule type="cellIs" dxfId="390" priority="42" operator="between">
      <formula>0.7</formula>
      <formula>0.84</formula>
    </cfRule>
    <cfRule type="cellIs" dxfId="389" priority="43" operator="equal">
      <formula>"Aplazada"</formula>
    </cfRule>
    <cfRule type="cellIs" dxfId="388" priority="44" stopIfTrue="1" operator="between">
      <formula>0.2</formula>
      <formula>0.39</formula>
    </cfRule>
    <cfRule type="cellIs" dxfId="387" priority="45" operator="between">
      <formula>0.4</formula>
      <formula>0.59</formula>
    </cfRule>
    <cfRule type="cellIs" dxfId="386" priority="46" operator="between">
      <formula>0.6</formula>
      <formula>0.69</formula>
    </cfRule>
    <cfRule type="cellIs" dxfId="385" priority="47" operator="greaterThan">
      <formula>0.85</formula>
    </cfRule>
    <cfRule type="cellIs" dxfId="384" priority="48" operator="lessThan">
      <formula>0.19</formula>
    </cfRule>
  </conditionalFormatting>
  <conditionalFormatting sqref="CB438">
    <cfRule type="cellIs" dxfId="383" priority="41" operator="equal">
      <formula>"No Programada"</formula>
    </cfRule>
  </conditionalFormatting>
  <conditionalFormatting sqref="CB439">
    <cfRule type="cellIs" dxfId="382" priority="34" operator="between">
      <formula>0.7</formula>
      <formula>0.84</formula>
    </cfRule>
    <cfRule type="cellIs" dxfId="381" priority="35" operator="equal">
      <formula>"Aplazada"</formula>
    </cfRule>
    <cfRule type="cellIs" dxfId="380" priority="36" stopIfTrue="1" operator="between">
      <formula>0.2</formula>
      <formula>0.39</formula>
    </cfRule>
    <cfRule type="cellIs" dxfId="379" priority="37" operator="between">
      <formula>0.4</formula>
      <formula>0.59</formula>
    </cfRule>
    <cfRule type="cellIs" dxfId="378" priority="38" operator="between">
      <formula>0.6</formula>
      <formula>0.69</formula>
    </cfRule>
    <cfRule type="cellIs" dxfId="377" priority="39" operator="greaterThan">
      <formula>0.85</formula>
    </cfRule>
    <cfRule type="cellIs" dxfId="376" priority="40" operator="lessThan">
      <formula>0.19</formula>
    </cfRule>
  </conditionalFormatting>
  <conditionalFormatting sqref="CB439">
    <cfRule type="cellIs" dxfId="375" priority="33" operator="equal">
      <formula>"No Programada"</formula>
    </cfRule>
  </conditionalFormatting>
  <conditionalFormatting sqref="CB440">
    <cfRule type="cellIs" dxfId="374" priority="26" operator="between">
      <formula>0.7</formula>
      <formula>0.84</formula>
    </cfRule>
    <cfRule type="cellIs" dxfId="373" priority="27" operator="equal">
      <formula>"Aplazada"</formula>
    </cfRule>
    <cfRule type="cellIs" dxfId="372" priority="28" stopIfTrue="1" operator="between">
      <formula>0.2</formula>
      <formula>0.39</formula>
    </cfRule>
    <cfRule type="cellIs" dxfId="371" priority="29" operator="between">
      <formula>0.4</formula>
      <formula>0.59</formula>
    </cfRule>
    <cfRule type="cellIs" dxfId="370" priority="30" operator="between">
      <formula>0.6</formula>
      <formula>0.69</formula>
    </cfRule>
    <cfRule type="cellIs" dxfId="369" priority="31" operator="greaterThan">
      <formula>0.85</formula>
    </cfRule>
    <cfRule type="cellIs" dxfId="368" priority="32" operator="lessThan">
      <formula>0.19</formula>
    </cfRule>
  </conditionalFormatting>
  <conditionalFormatting sqref="CB440">
    <cfRule type="cellIs" dxfId="367" priority="25" operator="equal">
      <formula>"No Programada"</formula>
    </cfRule>
  </conditionalFormatting>
  <conditionalFormatting sqref="CB473">
    <cfRule type="cellIs" dxfId="366" priority="18" operator="between">
      <formula>0.7</formula>
      <formula>0.84</formula>
    </cfRule>
    <cfRule type="cellIs" dxfId="365" priority="19" operator="equal">
      <formula>"Aplazada"</formula>
    </cfRule>
    <cfRule type="cellIs" dxfId="364" priority="20" stopIfTrue="1" operator="between">
      <formula>0.2</formula>
      <formula>0.39</formula>
    </cfRule>
    <cfRule type="cellIs" dxfId="363" priority="21" operator="between">
      <formula>0.4</formula>
      <formula>0.59</formula>
    </cfRule>
    <cfRule type="cellIs" dxfId="362" priority="22" operator="between">
      <formula>0.6</formula>
      <formula>0.69</formula>
    </cfRule>
    <cfRule type="cellIs" dxfId="361" priority="23" operator="greaterThan">
      <formula>0.85</formula>
    </cfRule>
    <cfRule type="cellIs" dxfId="360" priority="24" operator="lessThan">
      <formula>0.19</formula>
    </cfRule>
  </conditionalFormatting>
  <conditionalFormatting sqref="CB473">
    <cfRule type="cellIs" dxfId="359" priority="17" operator="equal">
      <formula>"No Programada"</formula>
    </cfRule>
  </conditionalFormatting>
  <conditionalFormatting sqref="CB474">
    <cfRule type="cellIs" dxfId="358" priority="10" operator="between">
      <formula>0.7</formula>
      <formula>0.84</formula>
    </cfRule>
    <cfRule type="cellIs" dxfId="357" priority="11" operator="equal">
      <formula>"Aplazada"</formula>
    </cfRule>
    <cfRule type="cellIs" dxfId="356" priority="12" stopIfTrue="1" operator="between">
      <formula>0.2</formula>
      <formula>0.39</formula>
    </cfRule>
    <cfRule type="cellIs" dxfId="355" priority="13" operator="between">
      <formula>0.4</formula>
      <formula>0.59</formula>
    </cfRule>
    <cfRule type="cellIs" dxfId="354" priority="14" operator="between">
      <formula>0.6</formula>
      <formula>0.69</formula>
    </cfRule>
    <cfRule type="cellIs" dxfId="353" priority="15" operator="greaterThan">
      <formula>0.85</formula>
    </cfRule>
    <cfRule type="cellIs" dxfId="352" priority="16" operator="lessThan">
      <formula>0.19</formula>
    </cfRule>
  </conditionalFormatting>
  <conditionalFormatting sqref="CB474">
    <cfRule type="cellIs" dxfId="351" priority="9" operator="equal">
      <formula>"No Programada"</formula>
    </cfRule>
  </conditionalFormatting>
  <conditionalFormatting sqref="CB482">
    <cfRule type="cellIs" dxfId="350" priority="2" operator="between">
      <formula>0.7</formula>
      <formula>0.84</formula>
    </cfRule>
    <cfRule type="cellIs" dxfId="349" priority="3" operator="equal">
      <formula>"Aplazada"</formula>
    </cfRule>
    <cfRule type="cellIs" dxfId="348" priority="4" stopIfTrue="1" operator="between">
      <formula>0.2</formula>
      <formula>0.39</formula>
    </cfRule>
    <cfRule type="cellIs" dxfId="347" priority="5" operator="between">
      <formula>0.4</formula>
      <formula>0.59</formula>
    </cfRule>
    <cfRule type="cellIs" dxfId="346" priority="6" operator="between">
      <formula>0.6</formula>
      <formula>0.69</formula>
    </cfRule>
    <cfRule type="cellIs" dxfId="345" priority="7" operator="greaterThan">
      <formula>0.85</formula>
    </cfRule>
    <cfRule type="cellIs" dxfId="344" priority="8" operator="lessThan">
      <formula>0.19</formula>
    </cfRule>
  </conditionalFormatting>
  <dataValidations count="5">
    <dataValidation type="list" allowBlank="1" showInputMessage="1" showErrorMessage="1" sqref="B48 A438:A439 B474:B489 A473 B107:B117 B85:B105 B50:B83 B8:B46 A8:A22 B119:B258 B440:B472 B260:B437">
      <formula1>SECTOR</formula1>
    </dataValidation>
    <dataValidation type="list" allowBlank="1" showInputMessage="1" showErrorMessage="1" sqref="L475:L481 L441:L472 L328:L348 L226:L232 L220:L224 L211:L218 L200:L209 L293:L325 L351:L352 L425:L437 L192:L198 L354 L358:L366 L369:L393 L396:L406 L287:L290 L234:L240 L274:L285 L262:L272 L483:L489 L242:L258 L409:L423">
      <formula1>ODS</formula1>
    </dataValidation>
    <dataValidation type="list" allowBlank="1" showInputMessage="1" showErrorMessage="1" sqref="M441:M472 M483:M489 M287:M290 M328:M348 M226:M232 M220:M224 M211:M218 M200:M209 M192:M198 M293:M325 M425:M437 M396:M406 M354 M358:M366 M369:M393 M234:M240 M475:M481 M274:M285 M351:M352 M262:M272 M242:M258 M409:M423">
      <formula1>DEPENDENCIA</formula1>
    </dataValidation>
    <dataValidation type="list" allowBlank="1" showInputMessage="1" showErrorMessage="1" sqref="O192:O198 O369:O393 O396:O406 O475:O481 O483:O489 O409:O423 O351:O352 O242:O259 O211:O218 O354 O425:O437 O358:O366 O293:O325 O234:O240 O226:O232 O220:O224 O200:O209 O274:O285 O262:O272 O287:O290 O441:O472 O328:O348">
      <formula1>TIPO</formula1>
    </dataValidation>
    <dataValidation type="list" allowBlank="1" showInputMessage="1" showErrorMessage="1" sqref="AN86:AN96 AN369:AN393 AN441:AN472 AN425:AN437 AN120:AN133 AN262:AN272 AN274:AN285 AN287:AN290 AN358:AN366 AN354 AN293:AN325 AN135:AN143 AN24:AN41 AN483:AN489 AN475:AN481 AN409:AN423 AN396:AN406 AN351:AN352 AN145:AN151 AN114:AN117 AN108:AN112 AN154:AN178 AN180:AN190 AN220:AN224 AN234:AN240 AN211:AN218 AN200:AN209 AN192:AN198 AN242:AN258 AN226:AN232 AN43:AN46 AN8:AN22 AN98:AN105 AN75:AN83 AN51:AN73 AN328:AN348">
      <formula1>COOR</formula1>
    </dataValidation>
  </dataValidations>
  <pageMargins left="0.7" right="0.7" top="0.75" bottom="0.75" header="0.3" footer="0.3"/>
  <pageSetup paperSize="144" scale="31" fitToHeight="0" orientation="landscape"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2"/>
  <sheetViews>
    <sheetView topLeftCell="A25" workbookViewId="0">
      <selection activeCell="I39" sqref="I39:J39"/>
    </sheetView>
  </sheetViews>
  <sheetFormatPr baseColWidth="10" defaultColWidth="11.44140625" defaultRowHeight="14.4" x14ac:dyDescent="0.3"/>
  <cols>
    <col min="1" max="1" width="53.88671875" customWidth="1"/>
    <col min="2" max="2" width="8" customWidth="1"/>
    <col min="3" max="3" width="9" customWidth="1"/>
  </cols>
  <sheetData>
    <row r="1" spans="1:3" ht="23.25" x14ac:dyDescent="0.35">
      <c r="A1" s="1717" t="s">
        <v>4443</v>
      </c>
      <c r="B1" s="1717"/>
      <c r="C1" s="1717"/>
    </row>
    <row r="2" spans="1:3" ht="46.5" customHeight="1" x14ac:dyDescent="0.3">
      <c r="A2" s="927" t="s">
        <v>4444</v>
      </c>
      <c r="B2" s="950" t="s">
        <v>4445</v>
      </c>
      <c r="C2" s="950" t="s">
        <v>4446</v>
      </c>
    </row>
    <row r="3" spans="1:3" ht="25.5" x14ac:dyDescent="0.25">
      <c r="A3" s="352" t="s">
        <v>353</v>
      </c>
      <c r="B3" s="951">
        <v>189</v>
      </c>
      <c r="C3" s="877">
        <v>0.42</v>
      </c>
    </row>
    <row r="4" spans="1:3" ht="26.4" x14ac:dyDescent="0.3">
      <c r="A4" s="302" t="s">
        <v>356</v>
      </c>
      <c r="B4" s="951">
        <v>0.8</v>
      </c>
      <c r="C4" s="877">
        <v>0.4</v>
      </c>
    </row>
    <row r="5" spans="1:3" ht="26.4" x14ac:dyDescent="0.3">
      <c r="A5" s="302" t="s">
        <v>360</v>
      </c>
      <c r="B5" s="951">
        <v>5843</v>
      </c>
      <c r="C5" s="877">
        <v>0.38953333333333334</v>
      </c>
    </row>
    <row r="6" spans="1:3" ht="26.4" x14ac:dyDescent="0.3">
      <c r="A6" s="302" t="s">
        <v>363</v>
      </c>
      <c r="B6" s="951">
        <v>0</v>
      </c>
      <c r="C6" s="917">
        <v>0</v>
      </c>
    </row>
    <row r="7" spans="1:3" ht="26.4" x14ac:dyDescent="0.3">
      <c r="A7" s="302" t="s">
        <v>366</v>
      </c>
      <c r="B7" s="951">
        <v>3</v>
      </c>
      <c r="C7" s="877">
        <v>0.375</v>
      </c>
    </row>
    <row r="8" spans="1:3" ht="23.25" customHeight="1" x14ac:dyDescent="0.25">
      <c r="A8" s="302" t="s">
        <v>373</v>
      </c>
      <c r="B8" s="951">
        <v>75</v>
      </c>
      <c r="C8" s="917">
        <v>0.15463917525773196</v>
      </c>
    </row>
    <row r="9" spans="1:3" ht="26.4" x14ac:dyDescent="0.3">
      <c r="A9" s="302" t="s">
        <v>376</v>
      </c>
      <c r="B9" s="951">
        <v>3</v>
      </c>
      <c r="C9" s="952">
        <v>0.75</v>
      </c>
    </row>
    <row r="10" spans="1:3" ht="25.5" x14ac:dyDescent="0.25">
      <c r="A10" s="302" t="s">
        <v>379</v>
      </c>
      <c r="B10" s="951">
        <v>50</v>
      </c>
      <c r="C10" s="952">
        <v>1</v>
      </c>
    </row>
    <row r="11" spans="1:3" ht="26.4" x14ac:dyDescent="0.3">
      <c r="A11" s="302" t="s">
        <v>382</v>
      </c>
      <c r="B11" s="951">
        <v>3</v>
      </c>
      <c r="C11" s="952">
        <v>1.5</v>
      </c>
    </row>
    <row r="12" spans="1:3" ht="25.5" x14ac:dyDescent="0.25">
      <c r="A12" s="302" t="s">
        <v>427</v>
      </c>
      <c r="B12" s="949">
        <v>251</v>
      </c>
      <c r="C12" s="918">
        <v>0.20916666666666667</v>
      </c>
    </row>
    <row r="13" spans="1:3" ht="26.4" x14ac:dyDescent="0.3">
      <c r="A13" s="302" t="s">
        <v>430</v>
      </c>
      <c r="B13" s="949">
        <v>0</v>
      </c>
      <c r="C13" s="918">
        <v>0</v>
      </c>
    </row>
    <row r="14" spans="1:3" ht="25.5" x14ac:dyDescent="0.25">
      <c r="A14" s="302" t="s">
        <v>432</v>
      </c>
      <c r="B14" s="949">
        <v>2</v>
      </c>
      <c r="C14" s="952">
        <v>0.5</v>
      </c>
    </row>
    <row r="15" spans="1:3" x14ac:dyDescent="0.3">
      <c r="A15" s="302" t="s">
        <v>462</v>
      </c>
      <c r="B15" s="949">
        <v>9</v>
      </c>
      <c r="C15" s="918">
        <v>3.5999999999999997E-2</v>
      </c>
    </row>
    <row r="16" spans="1:3" ht="39.6" x14ac:dyDescent="0.3">
      <c r="A16" s="302" t="s">
        <v>469</v>
      </c>
      <c r="B16" s="949">
        <v>1</v>
      </c>
      <c r="C16" s="952">
        <v>1</v>
      </c>
    </row>
    <row r="17" spans="1:3" ht="26.4" x14ac:dyDescent="0.3">
      <c r="A17" s="302" t="s">
        <v>475</v>
      </c>
      <c r="B17" s="949">
        <v>2</v>
      </c>
      <c r="C17" s="952">
        <v>0.5</v>
      </c>
    </row>
    <row r="18" spans="1:3" ht="39.6" x14ac:dyDescent="0.3">
      <c r="A18" s="302" t="s">
        <v>1104</v>
      </c>
      <c r="B18" s="949">
        <v>1.8</v>
      </c>
      <c r="C18" s="877">
        <v>0.45</v>
      </c>
    </row>
    <row r="19" spans="1:3" ht="39.6" x14ac:dyDescent="0.3">
      <c r="A19" s="302" t="s">
        <v>1108</v>
      </c>
      <c r="B19" s="949">
        <v>2</v>
      </c>
      <c r="C19" s="952">
        <v>0.66666666666666663</v>
      </c>
    </row>
    <row r="20" spans="1:3" ht="25.5" x14ac:dyDescent="0.25">
      <c r="A20" s="820" t="s">
        <v>1111</v>
      </c>
      <c r="B20" s="663">
        <v>0</v>
      </c>
      <c r="C20" s="918">
        <v>0</v>
      </c>
    </row>
    <row r="21" spans="1:3" ht="39.6" x14ac:dyDescent="0.3">
      <c r="A21" s="573" t="s">
        <v>1114</v>
      </c>
      <c r="B21" s="949">
        <v>1</v>
      </c>
      <c r="C21" s="952">
        <v>1</v>
      </c>
    </row>
    <row r="22" spans="1:3" ht="39.6" x14ac:dyDescent="0.3">
      <c r="A22" s="820" t="s">
        <v>1117</v>
      </c>
      <c r="B22" s="663">
        <v>0</v>
      </c>
      <c r="C22" s="918">
        <v>0</v>
      </c>
    </row>
    <row r="23" spans="1:3" ht="26.4" x14ac:dyDescent="0.3">
      <c r="A23" s="302" t="s">
        <v>1120</v>
      </c>
      <c r="B23" s="949">
        <v>0.65</v>
      </c>
      <c r="C23" s="952">
        <v>0.65</v>
      </c>
    </row>
    <row r="24" spans="1:3" ht="39.6" x14ac:dyDescent="0.3">
      <c r="A24" s="820" t="s">
        <v>1127</v>
      </c>
      <c r="B24" s="949">
        <v>0</v>
      </c>
      <c r="C24" s="918">
        <v>0</v>
      </c>
    </row>
    <row r="25" spans="1:3" ht="39.6" x14ac:dyDescent="0.3">
      <c r="A25" s="820" t="s">
        <v>1130</v>
      </c>
      <c r="B25" s="949">
        <v>0</v>
      </c>
      <c r="C25" s="918">
        <v>0</v>
      </c>
    </row>
    <row r="26" spans="1:3" ht="18.600000000000001" x14ac:dyDescent="0.3">
      <c r="A26" s="953" t="s">
        <v>1173</v>
      </c>
      <c r="B26" s="949">
        <v>0.2</v>
      </c>
      <c r="C26" s="918">
        <v>0.2</v>
      </c>
    </row>
    <row r="27" spans="1:3" x14ac:dyDescent="0.3">
      <c r="A27" s="953" t="s">
        <v>1176</v>
      </c>
      <c r="B27" s="949">
        <v>2</v>
      </c>
      <c r="C27" s="952">
        <v>1</v>
      </c>
    </row>
    <row r="28" spans="1:3" x14ac:dyDescent="0.3">
      <c r="A28" s="953" t="s">
        <v>1198</v>
      </c>
      <c r="B28" s="949">
        <v>2</v>
      </c>
      <c r="C28" s="952">
        <v>0.5</v>
      </c>
    </row>
    <row r="29" spans="1:3" ht="25.5" x14ac:dyDescent="0.25">
      <c r="A29" s="302" t="s">
        <v>1455</v>
      </c>
      <c r="B29" s="949">
        <v>1</v>
      </c>
      <c r="C29" s="952">
        <v>1</v>
      </c>
    </row>
    <row r="30" spans="1:3" ht="26.4" x14ac:dyDescent="0.3">
      <c r="A30" s="302" t="s">
        <v>1458</v>
      </c>
      <c r="B30" s="949">
        <v>0.9</v>
      </c>
      <c r="C30" s="952">
        <v>0.9</v>
      </c>
    </row>
    <row r="31" spans="1:3" ht="26.4" x14ac:dyDescent="0.3">
      <c r="A31" s="302" t="s">
        <v>1461</v>
      </c>
      <c r="B31" s="949">
        <v>1</v>
      </c>
      <c r="C31" s="952">
        <v>1</v>
      </c>
    </row>
    <row r="32" spans="1:3" ht="26.4" x14ac:dyDescent="0.3">
      <c r="A32" s="302" t="s">
        <v>1464</v>
      </c>
      <c r="B32" s="949">
        <v>40</v>
      </c>
      <c r="C32" s="952">
        <v>13.333333333333334</v>
      </c>
    </row>
    <row r="33" spans="1:3" ht="18.600000000000001" x14ac:dyDescent="0.3">
      <c r="A33" s="302" t="s">
        <v>1467</v>
      </c>
      <c r="B33" s="949">
        <v>0.5</v>
      </c>
      <c r="C33" s="952">
        <v>0.5</v>
      </c>
    </row>
    <row r="34" spans="1:3" ht="26.4" x14ac:dyDescent="0.3">
      <c r="A34" s="302" t="s">
        <v>1470</v>
      </c>
      <c r="B34" s="949">
        <v>0</v>
      </c>
      <c r="C34" s="916">
        <v>0</v>
      </c>
    </row>
    <row r="35" spans="1:3" ht="39.6" x14ac:dyDescent="0.3">
      <c r="A35" s="302" t="s">
        <v>1473</v>
      </c>
      <c r="B35" s="949">
        <v>2</v>
      </c>
      <c r="C35" s="952">
        <v>0.5</v>
      </c>
    </row>
    <row r="36" spans="1:3" ht="39.6" x14ac:dyDescent="0.3">
      <c r="A36" s="302" t="s">
        <v>1480</v>
      </c>
      <c r="B36" s="949">
        <v>2</v>
      </c>
      <c r="C36" s="952">
        <v>0.5</v>
      </c>
    </row>
    <row r="37" spans="1:3" ht="39.6" x14ac:dyDescent="0.3">
      <c r="A37" s="302" t="s">
        <v>1483</v>
      </c>
      <c r="B37" s="949">
        <v>2</v>
      </c>
      <c r="C37" s="952">
        <v>0.5</v>
      </c>
    </row>
    <row r="38" spans="1:3" ht="26.4" x14ac:dyDescent="0.3">
      <c r="A38" s="302" t="s">
        <v>1486</v>
      </c>
      <c r="B38" s="949">
        <v>2</v>
      </c>
      <c r="C38" s="952">
        <v>0.5</v>
      </c>
    </row>
    <row r="39" spans="1:3" ht="39.6" x14ac:dyDescent="0.3">
      <c r="A39" s="302" t="s">
        <v>4447</v>
      </c>
      <c r="B39" s="949">
        <v>1</v>
      </c>
      <c r="C39" s="877">
        <v>0.33333333333333331</v>
      </c>
    </row>
    <row r="40" spans="1:3" ht="26.4" x14ac:dyDescent="0.3">
      <c r="A40" s="302" t="s">
        <v>1492</v>
      </c>
      <c r="B40" s="949">
        <v>2</v>
      </c>
      <c r="C40" s="952">
        <v>0.66666666666666663</v>
      </c>
    </row>
    <row r="41" spans="1:3" ht="26.4" x14ac:dyDescent="0.3">
      <c r="A41" s="302" t="s">
        <v>1495</v>
      </c>
      <c r="B41" s="949">
        <v>1</v>
      </c>
      <c r="C41" s="952">
        <v>1</v>
      </c>
    </row>
    <row r="42" spans="1:3" ht="26.4" x14ac:dyDescent="0.3">
      <c r="A42" s="302" t="s">
        <v>1498</v>
      </c>
      <c r="B42" s="949">
        <v>1</v>
      </c>
      <c r="C42" s="917">
        <v>0.25</v>
      </c>
    </row>
  </sheetData>
  <customSheetViews>
    <customSheetView guid="{92B8BA5A-7984-4526-9F7A-187FF856FCAE}" state="hidden" topLeftCell="A25">
      <selection activeCell="I39" sqref="I39:J39"/>
      <pageMargins left="0" right="0" top="0" bottom="0" header="0" footer="0"/>
      <pageSetup orientation="portrait" r:id="rId1"/>
    </customSheetView>
  </customSheetViews>
  <mergeCells count="1">
    <mergeCell ref="A1:C1"/>
  </mergeCell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500"/>
  <sheetViews>
    <sheetView topLeftCell="P1" zoomScale="70" zoomScaleNormal="70" zoomScalePageLayoutView="140" workbookViewId="0">
      <pane ySplit="4" topLeftCell="A340" activePane="bottomLeft" state="frozen"/>
      <selection pane="bottomLeft" activeCell="AI304" sqref="AI304"/>
    </sheetView>
  </sheetViews>
  <sheetFormatPr baseColWidth="10" defaultColWidth="10.88671875" defaultRowHeight="13.2" x14ac:dyDescent="0.25"/>
  <cols>
    <col min="1" max="1" width="0" style="3" hidden="1" customWidth="1"/>
    <col min="2" max="2" width="16.5546875" style="5" hidden="1" customWidth="1"/>
    <col min="3" max="3" width="11" style="5" hidden="1" customWidth="1"/>
    <col min="4" max="4" width="23.44140625" style="3" hidden="1" customWidth="1"/>
    <col min="5" max="5" width="18.33203125" style="3" hidden="1" customWidth="1"/>
    <col min="6" max="8" width="10.88671875" style="3" hidden="1" customWidth="1"/>
    <col min="9" max="9" width="4.6640625" style="4" hidden="1" customWidth="1"/>
    <col min="10" max="10" width="4.88671875" style="3" hidden="1" customWidth="1"/>
    <col min="11" max="11" width="4" style="3" customWidth="1"/>
    <col min="12" max="12" width="12.44140625" style="3" customWidth="1"/>
    <col min="13" max="13" width="15.44140625" style="252" customWidth="1"/>
    <col min="14" max="14" width="17.5546875" style="3" customWidth="1"/>
    <col min="15" max="15" width="25.33203125" style="252" customWidth="1"/>
    <col min="16" max="16" width="27.88671875" style="27" customWidth="1"/>
    <col min="17" max="17" width="2.88671875" style="28" customWidth="1"/>
    <col min="18" max="18" width="2.33203125" style="4" customWidth="1"/>
    <col min="19" max="19" width="1.88671875" style="4" customWidth="1"/>
    <col min="20" max="20" width="7.44140625" style="4" customWidth="1"/>
    <col min="21" max="21" width="9" style="46" customWidth="1"/>
    <col min="22" max="22" width="6.44140625" style="46" customWidth="1"/>
    <col min="23" max="23" width="11.6640625" style="46" customWidth="1"/>
    <col min="24" max="24" width="4.33203125" style="46" customWidth="1"/>
    <col min="25" max="25" width="3.44140625" style="29" customWidth="1"/>
    <col min="26" max="26" width="3.88671875" style="29" customWidth="1"/>
    <col min="27" max="27" width="14" style="29" customWidth="1"/>
    <col min="28" max="28" width="16.6640625" style="29" customWidth="1"/>
    <col min="29" max="29" width="15.33203125" style="29" customWidth="1"/>
    <col min="30" max="30" width="12.88671875" style="29" customWidth="1"/>
    <col min="31" max="31" width="17.44140625" style="29" customWidth="1"/>
    <col min="32" max="32" width="13.33203125" style="39" customWidth="1"/>
    <col min="33" max="33" width="14.44140625" style="29" customWidth="1"/>
    <col min="34" max="34" width="13.88671875" style="29" customWidth="1"/>
    <col min="35" max="35" width="17" style="29" customWidth="1"/>
    <col min="36" max="36" width="9" style="29" customWidth="1"/>
    <col min="37" max="37" width="3.6640625" style="29" customWidth="1"/>
    <col min="38" max="38" width="2.88671875" style="29" customWidth="1"/>
    <col min="39" max="39" width="23.5546875" style="29" customWidth="1"/>
    <col min="40" max="40" width="6.6640625" style="29" customWidth="1"/>
    <col min="41" max="41" width="7.44140625" style="29" customWidth="1"/>
    <col min="42" max="42" width="14.44140625" style="29" customWidth="1"/>
    <col min="43" max="43" width="2.5546875" style="29" customWidth="1"/>
    <col min="44" max="44" width="2.109375" style="29" customWidth="1"/>
    <col min="45" max="45" width="2.44140625" style="29" customWidth="1"/>
    <col min="46" max="46" width="1.5546875" style="29" customWidth="1"/>
    <col min="47" max="47" width="14.109375" style="29" customWidth="1"/>
    <col min="48" max="48" width="9.33203125" style="29" customWidth="1"/>
    <col min="49" max="49" width="7.109375" style="29" customWidth="1"/>
    <col min="50" max="50" width="10.6640625" style="29" customWidth="1"/>
    <col min="51" max="51" width="5.88671875" style="29" customWidth="1"/>
    <col min="52" max="52" width="3.109375" style="29" customWidth="1"/>
    <col min="53" max="53" width="3.6640625" style="29" customWidth="1"/>
    <col min="54" max="54" width="3.44140625" style="29" customWidth="1"/>
    <col min="55" max="55" width="14" style="29" customWidth="1"/>
    <col min="56" max="63" width="12.6640625" style="29" hidden="1" customWidth="1"/>
    <col min="64" max="64" width="10.88671875" style="40"/>
    <col min="65" max="16384" width="10.88671875" style="3"/>
  </cols>
  <sheetData>
    <row r="1" spans="1:64" ht="7.5" customHeight="1" x14ac:dyDescent="0.25">
      <c r="B1" s="15" t="s">
        <v>0</v>
      </c>
      <c r="C1" s="15"/>
      <c r="AB1" s="30"/>
      <c r="AE1" s="30"/>
      <c r="AJ1" s="30">
        <v>2200</v>
      </c>
      <c r="AQ1" s="30">
        <v>2000</v>
      </c>
      <c r="AR1" s="30"/>
      <c r="AY1" s="30">
        <v>2000</v>
      </c>
      <c r="BG1" s="30">
        <v>2000</v>
      </c>
    </row>
    <row r="2" spans="1:64" ht="20.25" customHeight="1" x14ac:dyDescent="0.25">
      <c r="A2" s="605"/>
      <c r="B2" s="1533" t="s">
        <v>1</v>
      </c>
      <c r="C2" s="1534"/>
      <c r="D2" s="1534"/>
      <c r="E2" s="1534"/>
      <c r="F2" s="1534"/>
      <c r="G2" s="1534"/>
      <c r="H2" s="1534"/>
      <c r="I2" s="1534"/>
      <c r="J2" s="1534"/>
      <c r="K2" s="1534"/>
      <c r="L2" s="1534"/>
      <c r="M2" s="1535"/>
      <c r="N2" s="606"/>
      <c r="O2" s="606"/>
      <c r="P2" s="606"/>
      <c r="Q2" s="607"/>
      <c r="R2" s="606"/>
      <c r="S2" s="606"/>
      <c r="T2" s="606"/>
      <c r="U2" s="608"/>
      <c r="V2" s="608"/>
      <c r="W2" s="608"/>
      <c r="X2" s="608"/>
      <c r="Y2" s="609">
        <f t="shared" ref="Y2:BK2" si="0">+Y5+Y261+Y361+Y445</f>
        <v>1511.24</v>
      </c>
      <c r="Z2" s="609">
        <f t="shared" si="0"/>
        <v>664.09999999999991</v>
      </c>
      <c r="AA2" s="609">
        <f t="shared" si="0"/>
        <v>20535.189999999995</v>
      </c>
      <c r="AB2" s="609">
        <f t="shared" si="0"/>
        <v>3137</v>
      </c>
      <c r="AC2" s="609" t="e">
        <f t="shared" si="0"/>
        <v>#VALUE!</v>
      </c>
      <c r="AD2" s="609">
        <f t="shared" si="0"/>
        <v>3967.3799999999997</v>
      </c>
      <c r="AE2" s="609">
        <f t="shared" si="0"/>
        <v>20003</v>
      </c>
      <c r="AF2" s="610">
        <f t="shared" si="0"/>
        <v>49817.909999999996</v>
      </c>
      <c r="AG2" s="609">
        <f t="shared" si="0"/>
        <v>1374.81</v>
      </c>
      <c r="AH2" s="609">
        <f t="shared" si="0"/>
        <v>649.9</v>
      </c>
      <c r="AI2" s="609">
        <f t="shared" si="0"/>
        <v>21607.649999999998</v>
      </c>
      <c r="AJ2" s="609">
        <f t="shared" si="0"/>
        <v>1400</v>
      </c>
      <c r="AK2" s="609">
        <f t="shared" si="0"/>
        <v>0</v>
      </c>
      <c r="AL2" s="609">
        <f t="shared" si="0"/>
        <v>22820</v>
      </c>
      <c r="AM2" s="609">
        <f t="shared" si="0"/>
        <v>47852.36</v>
      </c>
      <c r="AN2" s="609">
        <f t="shared" si="0"/>
        <v>1608.1799999999998</v>
      </c>
      <c r="AO2" s="609">
        <f t="shared" si="0"/>
        <v>674.2</v>
      </c>
      <c r="AP2" s="609">
        <f t="shared" si="0"/>
        <v>21558.902475000003</v>
      </c>
      <c r="AQ2" s="609">
        <f t="shared" si="0"/>
        <v>2200</v>
      </c>
      <c r="AR2" s="609">
        <f t="shared" si="0"/>
        <v>0</v>
      </c>
      <c r="AS2" s="609">
        <f t="shared" si="0"/>
        <v>0</v>
      </c>
      <c r="AT2" s="609">
        <f t="shared" si="0"/>
        <v>23738.04</v>
      </c>
      <c r="AU2" s="609">
        <f t="shared" si="0"/>
        <v>49779.322475000008</v>
      </c>
      <c r="AV2" s="609">
        <f t="shared" si="0"/>
        <v>1497.7449999999999</v>
      </c>
      <c r="AW2" s="609">
        <f t="shared" si="0"/>
        <v>662.6</v>
      </c>
      <c r="AX2" s="609">
        <f t="shared" si="0"/>
        <v>22510.969951625</v>
      </c>
      <c r="AY2" s="609">
        <f t="shared" si="0"/>
        <v>2000</v>
      </c>
      <c r="AZ2" s="609">
        <f t="shared" si="0"/>
        <v>513</v>
      </c>
      <c r="BA2" s="609">
        <f t="shared" si="0"/>
        <v>0</v>
      </c>
      <c r="BB2" s="609">
        <f t="shared" si="0"/>
        <v>19388.161599999999</v>
      </c>
      <c r="BC2" s="609">
        <f t="shared" si="0"/>
        <v>46572.476551624997</v>
      </c>
      <c r="BD2" s="31">
        <f t="shared" si="0"/>
        <v>5990.9750000000004</v>
      </c>
      <c r="BE2" s="31">
        <f t="shared" si="0"/>
        <v>2650.8</v>
      </c>
      <c r="BF2" s="31">
        <f t="shared" si="0"/>
        <v>86202.01242662502</v>
      </c>
      <c r="BG2" s="31">
        <f t="shared" si="0"/>
        <v>8737</v>
      </c>
      <c r="BH2" s="31">
        <f t="shared" si="0"/>
        <v>513</v>
      </c>
      <c r="BI2" s="31">
        <f t="shared" si="0"/>
        <v>3967.3799999999997</v>
      </c>
      <c r="BJ2" s="31">
        <f t="shared" si="0"/>
        <v>85949.2016</v>
      </c>
      <c r="BK2" s="146">
        <f t="shared" si="0"/>
        <v>194010.36902662503</v>
      </c>
    </row>
    <row r="3" spans="1:64" ht="20.25" customHeight="1" x14ac:dyDescent="0.25">
      <c r="A3" s="459"/>
      <c r="B3" s="460"/>
      <c r="C3" s="460"/>
      <c r="D3" s="459"/>
      <c r="E3" s="459"/>
      <c r="F3" s="459"/>
      <c r="G3" s="459"/>
      <c r="H3" s="459"/>
      <c r="I3" s="465"/>
      <c r="J3" s="459"/>
      <c r="K3" s="459"/>
      <c r="L3" s="459"/>
      <c r="M3" s="463"/>
      <c r="N3" s="459"/>
      <c r="O3" s="463"/>
      <c r="P3" s="611"/>
      <c r="Q3" s="464"/>
      <c r="R3" s="596"/>
      <c r="S3" s="596"/>
      <c r="T3" s="1536" t="s">
        <v>2</v>
      </c>
      <c r="U3" s="1536"/>
      <c r="V3" s="1536"/>
      <c r="W3" s="1536"/>
      <c r="X3" s="1536"/>
      <c r="Y3" s="1537" t="s">
        <v>3</v>
      </c>
      <c r="Z3" s="1537"/>
      <c r="AA3" s="1537"/>
      <c r="AB3" s="1537"/>
      <c r="AC3" s="1537"/>
      <c r="AD3" s="1537"/>
      <c r="AE3" s="1537"/>
      <c r="AF3" s="1538"/>
      <c r="AG3" s="1539" t="s">
        <v>4</v>
      </c>
      <c r="AH3" s="1539"/>
      <c r="AI3" s="1539"/>
      <c r="AJ3" s="1539"/>
      <c r="AK3" s="1539"/>
      <c r="AL3" s="1539"/>
      <c r="AM3" s="1539"/>
      <c r="AN3" s="1537" t="s">
        <v>5</v>
      </c>
      <c r="AO3" s="1537"/>
      <c r="AP3" s="1537"/>
      <c r="AQ3" s="1537"/>
      <c r="AR3" s="1537"/>
      <c r="AS3" s="1537"/>
      <c r="AT3" s="1537"/>
      <c r="AU3" s="1537"/>
      <c r="AV3" s="1539" t="s">
        <v>6</v>
      </c>
      <c r="AW3" s="1539"/>
      <c r="AX3" s="1539"/>
      <c r="AY3" s="1539"/>
      <c r="AZ3" s="1539"/>
      <c r="BA3" s="1539"/>
      <c r="BB3" s="1539"/>
      <c r="BC3" s="1539"/>
      <c r="BD3" s="1540" t="s">
        <v>7</v>
      </c>
      <c r="BE3" s="1540"/>
      <c r="BF3" s="1540"/>
      <c r="BG3" s="1540"/>
      <c r="BH3" s="1540"/>
      <c r="BI3" s="1540"/>
      <c r="BJ3" s="1540"/>
      <c r="BK3" s="1540"/>
    </row>
    <row r="4" spans="1:64" ht="118.8" x14ac:dyDescent="0.25">
      <c r="A4" s="606" t="s">
        <v>8</v>
      </c>
      <c r="B4" s="606" t="s">
        <v>9</v>
      </c>
      <c r="C4" s="606" t="s">
        <v>10</v>
      </c>
      <c r="D4" s="606" t="s">
        <v>11</v>
      </c>
      <c r="E4" s="606" t="s">
        <v>12</v>
      </c>
      <c r="F4" s="606" t="s">
        <v>13</v>
      </c>
      <c r="G4" s="606" t="s">
        <v>14</v>
      </c>
      <c r="H4" s="606" t="s">
        <v>15</v>
      </c>
      <c r="I4" s="606" t="s">
        <v>16</v>
      </c>
      <c r="J4" s="606" t="s">
        <v>17</v>
      </c>
      <c r="K4" s="606" t="s">
        <v>18</v>
      </c>
      <c r="L4" s="606" t="s">
        <v>19</v>
      </c>
      <c r="M4" s="606" t="s">
        <v>20</v>
      </c>
      <c r="N4" s="606" t="s">
        <v>21</v>
      </c>
      <c r="O4" s="606" t="s">
        <v>22</v>
      </c>
      <c r="P4" s="606" t="s">
        <v>24</v>
      </c>
      <c r="Q4" s="607" t="s">
        <v>12</v>
      </c>
      <c r="R4" s="606" t="s">
        <v>13</v>
      </c>
      <c r="S4" s="606" t="s">
        <v>14</v>
      </c>
      <c r="T4" s="606">
        <v>2016</v>
      </c>
      <c r="U4" s="608">
        <v>2017</v>
      </c>
      <c r="V4" s="608">
        <v>2018</v>
      </c>
      <c r="W4" s="608">
        <v>2019</v>
      </c>
      <c r="X4" s="608" t="s">
        <v>15</v>
      </c>
      <c r="Y4" s="609" t="s">
        <v>25</v>
      </c>
      <c r="Z4" s="609" t="s">
        <v>26</v>
      </c>
      <c r="AA4" s="609" t="s">
        <v>27</v>
      </c>
      <c r="AB4" s="609" t="s">
        <v>28</v>
      </c>
      <c r="AC4" s="609" t="s">
        <v>29</v>
      </c>
      <c r="AD4" s="609" t="s">
        <v>30</v>
      </c>
      <c r="AE4" s="609" t="s">
        <v>31</v>
      </c>
      <c r="AF4" s="610" t="s">
        <v>32</v>
      </c>
      <c r="AG4" s="609" t="s">
        <v>25</v>
      </c>
      <c r="AH4" s="609" t="s">
        <v>26</v>
      </c>
      <c r="AI4" s="609" t="s">
        <v>27</v>
      </c>
      <c r="AJ4" s="609" t="s">
        <v>28</v>
      </c>
      <c r="AK4" s="609" t="s">
        <v>29</v>
      </c>
      <c r="AL4" s="609" t="s">
        <v>31</v>
      </c>
      <c r="AM4" s="609" t="s">
        <v>32</v>
      </c>
      <c r="AN4" s="609" t="s">
        <v>25</v>
      </c>
      <c r="AO4" s="609" t="s">
        <v>26</v>
      </c>
      <c r="AP4" s="609" t="s">
        <v>27</v>
      </c>
      <c r="AQ4" s="609" t="s">
        <v>28</v>
      </c>
      <c r="AR4" s="609" t="s">
        <v>29</v>
      </c>
      <c r="AS4" s="609" t="s">
        <v>30</v>
      </c>
      <c r="AT4" s="609" t="s">
        <v>31</v>
      </c>
      <c r="AU4" s="609" t="s">
        <v>32</v>
      </c>
      <c r="AV4" s="609" t="s">
        <v>25</v>
      </c>
      <c r="AW4" s="609" t="s">
        <v>26</v>
      </c>
      <c r="AX4" s="609" t="s">
        <v>27</v>
      </c>
      <c r="AY4" s="609" t="s">
        <v>28</v>
      </c>
      <c r="AZ4" s="609" t="s">
        <v>29</v>
      </c>
      <c r="BA4" s="609" t="s">
        <v>30</v>
      </c>
      <c r="BB4" s="609" t="s">
        <v>31</v>
      </c>
      <c r="BC4" s="609" t="s">
        <v>32</v>
      </c>
      <c r="BD4" s="32" t="s">
        <v>25</v>
      </c>
      <c r="BE4" s="32" t="s">
        <v>26</v>
      </c>
      <c r="BF4" s="32" t="s">
        <v>27</v>
      </c>
      <c r="BG4" s="32" t="s">
        <v>28</v>
      </c>
      <c r="BH4" s="32" t="s">
        <v>29</v>
      </c>
      <c r="BI4" s="32" t="s">
        <v>30</v>
      </c>
      <c r="BJ4" s="32" t="s">
        <v>31</v>
      </c>
      <c r="BK4" s="32" t="s">
        <v>32</v>
      </c>
    </row>
    <row r="5" spans="1:64" s="484" customFormat="1" ht="25.5" customHeight="1" x14ac:dyDescent="0.25">
      <c r="A5" s="1541" t="s">
        <v>33</v>
      </c>
      <c r="B5" s="1541"/>
      <c r="C5" s="1541"/>
      <c r="D5" s="1541"/>
      <c r="E5" s="1541"/>
      <c r="F5" s="1541"/>
      <c r="G5" s="1541"/>
      <c r="H5" s="1541"/>
      <c r="I5" s="1541"/>
      <c r="J5" s="1541"/>
      <c r="K5" s="1541"/>
      <c r="L5" s="1541"/>
      <c r="M5" s="1542"/>
      <c r="N5" s="485"/>
      <c r="O5" s="485"/>
      <c r="P5" s="485"/>
      <c r="Q5" s="486"/>
      <c r="R5" s="485"/>
      <c r="S5" s="485"/>
      <c r="T5" s="485"/>
      <c r="U5" s="487"/>
      <c r="V5" s="487"/>
      <c r="W5" s="487"/>
      <c r="X5" s="487"/>
      <c r="Y5" s="490">
        <f t="shared" ref="Y5:AE5" si="1">+Y7+Y48+Y50+Y86+Y109+Y122+Y156</f>
        <v>451.84000000000003</v>
      </c>
      <c r="Z5" s="490">
        <f t="shared" si="1"/>
        <v>112</v>
      </c>
      <c r="AA5" s="490">
        <f t="shared" si="1"/>
        <v>19529.689999999999</v>
      </c>
      <c r="AB5" s="490">
        <f t="shared" si="1"/>
        <v>2528</v>
      </c>
      <c r="AC5" s="488" t="s">
        <v>34</v>
      </c>
      <c r="AD5" s="490">
        <f t="shared" si="1"/>
        <v>2297.08</v>
      </c>
      <c r="AE5" s="490">
        <f t="shared" si="1"/>
        <v>18503</v>
      </c>
      <c r="AF5" s="488">
        <f>SUM(Y5:AE5)</f>
        <v>43421.61</v>
      </c>
      <c r="AG5" s="490">
        <f t="shared" ref="AG5:AL5" si="2">+AG7+AG48+AG50+AG86+AG109+AG122+AG156</f>
        <v>458.81</v>
      </c>
      <c r="AH5" s="490">
        <f t="shared" si="2"/>
        <v>114</v>
      </c>
      <c r="AI5" s="490">
        <f t="shared" si="2"/>
        <v>20273.749999999996</v>
      </c>
      <c r="AJ5" s="488">
        <f t="shared" si="2"/>
        <v>1200</v>
      </c>
      <c r="AK5" s="488">
        <f t="shared" si="2"/>
        <v>0</v>
      </c>
      <c r="AL5" s="490">
        <f t="shared" si="2"/>
        <v>17644</v>
      </c>
      <c r="AM5" s="488">
        <f>SUM(AG5:AL5)</f>
        <v>39690.559999999998</v>
      </c>
      <c r="AN5" s="488">
        <f t="shared" ref="AN5:AT5" si="3">+AN7+AN48+AN50+AN86+AN109+AN122+AN156</f>
        <v>453.78</v>
      </c>
      <c r="AO5" s="488">
        <f t="shared" si="3"/>
        <v>116</v>
      </c>
      <c r="AP5" s="488">
        <f t="shared" si="3"/>
        <v>20535.102475000003</v>
      </c>
      <c r="AQ5" s="488">
        <f t="shared" si="3"/>
        <v>800</v>
      </c>
      <c r="AR5" s="488">
        <f t="shared" si="3"/>
        <v>0</v>
      </c>
      <c r="AS5" s="488">
        <f t="shared" si="3"/>
        <v>0</v>
      </c>
      <c r="AT5" s="488">
        <f t="shared" si="3"/>
        <v>23035</v>
      </c>
      <c r="AU5" s="488">
        <f>SUM(AN5:AT5)</f>
        <v>44939.882475000006</v>
      </c>
      <c r="AV5" s="488">
        <f t="shared" ref="AV5:BB5" si="4">+AV7+AV48+AV50+AV86+AV109+AV122+AV156</f>
        <v>429.54499999999996</v>
      </c>
      <c r="AW5" s="488">
        <f t="shared" si="4"/>
        <v>122</v>
      </c>
      <c r="AX5" s="488">
        <f t="shared" si="4"/>
        <v>21456.769951625</v>
      </c>
      <c r="AY5" s="488">
        <f t="shared" si="4"/>
        <v>500</v>
      </c>
      <c r="AZ5" s="488">
        <f t="shared" si="4"/>
        <v>513</v>
      </c>
      <c r="BA5" s="488">
        <f t="shared" si="4"/>
        <v>0</v>
      </c>
      <c r="BB5" s="488">
        <f t="shared" si="4"/>
        <v>18657</v>
      </c>
      <c r="BC5" s="488">
        <f>SUM(AV5:BB5)</f>
        <v>41678.314951624998</v>
      </c>
      <c r="BD5" s="488">
        <f t="shared" ref="BD5:BJ5" si="5">+BD7+BD48+BD50+BD86+BD109+BD122+BD156</f>
        <v>1792.9750000000001</v>
      </c>
      <c r="BE5" s="488">
        <f t="shared" si="5"/>
        <v>464</v>
      </c>
      <c r="BF5" s="488">
        <f t="shared" si="5"/>
        <v>81784.612426625012</v>
      </c>
      <c r="BG5" s="488">
        <f t="shared" si="5"/>
        <v>5028</v>
      </c>
      <c r="BH5" s="488">
        <f t="shared" si="5"/>
        <v>513</v>
      </c>
      <c r="BI5" s="488">
        <f t="shared" si="5"/>
        <v>2297.08</v>
      </c>
      <c r="BJ5" s="488">
        <f t="shared" si="5"/>
        <v>77839</v>
      </c>
      <c r="BK5" s="488">
        <f>SUM(BD5:BJ5)</f>
        <v>169718.66742662503</v>
      </c>
      <c r="BL5" s="489"/>
    </row>
    <row r="6" spans="1:64" ht="2.25" customHeight="1" x14ac:dyDescent="0.25">
      <c r="A6" s="151"/>
      <c r="B6" s="7" t="s">
        <v>35</v>
      </c>
      <c r="C6" s="7"/>
      <c r="D6" s="11" t="s">
        <v>36</v>
      </c>
      <c r="E6" s="11"/>
      <c r="F6" s="11"/>
      <c r="G6" s="11"/>
      <c r="H6" s="11"/>
      <c r="I6" s="11"/>
      <c r="J6" s="11"/>
      <c r="K6" s="11"/>
      <c r="L6" s="11"/>
      <c r="M6" s="11"/>
      <c r="N6" s="11"/>
      <c r="O6" s="11"/>
      <c r="P6" s="11"/>
      <c r="Q6" s="20"/>
      <c r="R6" s="11"/>
      <c r="S6" s="11"/>
      <c r="T6" s="11"/>
      <c r="U6" s="47"/>
      <c r="V6" s="47"/>
      <c r="W6" s="47"/>
      <c r="X6" s="47"/>
      <c r="Y6" s="32"/>
      <c r="Z6" s="32"/>
      <c r="AA6" s="32">
        <f>2740.9+15.5</f>
        <v>2756.4</v>
      </c>
      <c r="AB6" s="32"/>
      <c r="AC6" s="32"/>
      <c r="AD6" s="32">
        <v>796.6</v>
      </c>
      <c r="AE6" s="32"/>
      <c r="AF6" s="32">
        <f>SUBTOTAL(9,Y6:AE6)</f>
        <v>3553</v>
      </c>
      <c r="AG6" s="32"/>
      <c r="AH6" s="32"/>
      <c r="AI6" s="32">
        <f>+AA6*1.04</f>
        <v>2866.6560000000004</v>
      </c>
      <c r="AJ6" s="32"/>
      <c r="AK6" s="32"/>
      <c r="AL6" s="32"/>
      <c r="AM6" s="32"/>
      <c r="AN6" s="32"/>
      <c r="AO6" s="32"/>
      <c r="AP6" s="32">
        <f>+AI6*1.04</f>
        <v>2981.3222400000004</v>
      </c>
      <c r="AQ6" s="32"/>
      <c r="AR6" s="32"/>
      <c r="AS6" s="32"/>
      <c r="AT6" s="32"/>
      <c r="AU6" s="32"/>
      <c r="AV6" s="32"/>
      <c r="AW6" s="32"/>
      <c r="AX6" s="32">
        <f>+AP6*1.04</f>
        <v>3100.5751296000008</v>
      </c>
      <c r="AY6" s="32"/>
      <c r="AZ6" s="32"/>
      <c r="BA6" s="32"/>
      <c r="BB6" s="32"/>
      <c r="BC6" s="32"/>
      <c r="BD6" s="32"/>
      <c r="BE6" s="32"/>
      <c r="BF6" s="32">
        <f>+AX6*1.04</f>
        <v>3224.5981347840011</v>
      </c>
      <c r="BG6" s="32"/>
      <c r="BH6" s="32"/>
      <c r="BI6" s="32"/>
      <c r="BJ6" s="32"/>
      <c r="BK6" s="32"/>
    </row>
    <row r="7" spans="1:64" ht="24.75" customHeight="1" x14ac:dyDescent="0.25">
      <c r="A7" s="420"/>
      <c r="B7" s="1543" t="s">
        <v>35</v>
      </c>
      <c r="C7" s="1544"/>
      <c r="D7" s="1544"/>
      <c r="E7" s="1544"/>
      <c r="F7" s="1544"/>
      <c r="G7" s="1544"/>
      <c r="H7" s="1544"/>
      <c r="I7" s="1544"/>
      <c r="J7" s="1544"/>
      <c r="K7" s="1544"/>
      <c r="L7" s="1544"/>
      <c r="M7" s="1545"/>
      <c r="N7" s="597"/>
      <c r="O7" s="597"/>
      <c r="P7" s="597"/>
      <c r="Q7" s="598"/>
      <c r="R7" s="597"/>
      <c r="S7" s="597"/>
      <c r="T7" s="597"/>
      <c r="U7" s="599"/>
      <c r="V7" s="599"/>
      <c r="W7" s="599"/>
      <c r="X7" s="599"/>
      <c r="Y7" s="600">
        <f t="shared" ref="Y7:AE7" si="6">+Y8+Y24+Y43</f>
        <v>25</v>
      </c>
      <c r="Z7" s="600">
        <f t="shared" si="6"/>
        <v>0</v>
      </c>
      <c r="AA7" s="600">
        <f t="shared" si="6"/>
        <v>2756.4</v>
      </c>
      <c r="AB7" s="600">
        <f t="shared" si="6"/>
        <v>500</v>
      </c>
      <c r="AC7" s="600">
        <f t="shared" si="6"/>
        <v>0</v>
      </c>
      <c r="AD7" s="600">
        <f t="shared" si="6"/>
        <v>796.6</v>
      </c>
      <c r="AE7" s="600">
        <f t="shared" si="6"/>
        <v>0</v>
      </c>
      <c r="AF7" s="600">
        <f t="shared" ref="AF7:AF46" si="7">SUM(Y7:AE7)</f>
        <v>4078</v>
      </c>
      <c r="AG7" s="600">
        <f t="shared" ref="AG7:AL7" si="8">+AG8+AG24+AG43</f>
        <v>40</v>
      </c>
      <c r="AH7" s="600">
        <f t="shared" si="8"/>
        <v>0</v>
      </c>
      <c r="AI7" s="600">
        <f t="shared" si="8"/>
        <v>3161.7</v>
      </c>
      <c r="AJ7" s="600">
        <f t="shared" si="8"/>
        <v>0</v>
      </c>
      <c r="AK7" s="600">
        <f t="shared" si="8"/>
        <v>0</v>
      </c>
      <c r="AL7" s="600">
        <f t="shared" si="8"/>
        <v>0</v>
      </c>
      <c r="AM7" s="600">
        <f>SUM(AG7:AL7)</f>
        <v>3201.7</v>
      </c>
      <c r="AN7" s="600">
        <f t="shared" ref="AN7:AT7" si="9">+AN8+AN24+AN43</f>
        <v>20</v>
      </c>
      <c r="AO7" s="600">
        <f t="shared" si="9"/>
        <v>0</v>
      </c>
      <c r="AP7" s="600">
        <f t="shared" si="9"/>
        <v>2820</v>
      </c>
      <c r="AQ7" s="600">
        <f t="shared" si="9"/>
        <v>0</v>
      </c>
      <c r="AR7" s="600">
        <f t="shared" si="9"/>
        <v>0</v>
      </c>
      <c r="AS7" s="600">
        <f t="shared" si="9"/>
        <v>0</v>
      </c>
      <c r="AT7" s="600">
        <f t="shared" si="9"/>
        <v>0</v>
      </c>
      <c r="AU7" s="600">
        <f>SUM(AN7:AT7)</f>
        <v>2840</v>
      </c>
      <c r="AV7" s="600">
        <f t="shared" ref="AV7:BB7" si="10">+AV8+AV24+AV43</f>
        <v>20</v>
      </c>
      <c r="AW7" s="600">
        <f t="shared" si="10"/>
        <v>0</v>
      </c>
      <c r="AX7" s="600">
        <f t="shared" si="10"/>
        <v>3100</v>
      </c>
      <c r="AY7" s="600">
        <f t="shared" si="10"/>
        <v>0</v>
      </c>
      <c r="AZ7" s="600">
        <f t="shared" si="10"/>
        <v>0</v>
      </c>
      <c r="BA7" s="600">
        <f t="shared" si="10"/>
        <v>0</v>
      </c>
      <c r="BB7" s="600">
        <f t="shared" si="10"/>
        <v>0</v>
      </c>
      <c r="BC7" s="600">
        <f>SUM(AV7:BB7)</f>
        <v>3120</v>
      </c>
      <c r="BD7" s="33">
        <f t="shared" ref="BD7:BI21" si="11">+AV7+AN7+AG7+Y7</f>
        <v>105</v>
      </c>
      <c r="BE7" s="33">
        <f t="shared" si="11"/>
        <v>0</v>
      </c>
      <c r="BF7" s="33">
        <f t="shared" si="11"/>
        <v>11838.1</v>
      </c>
      <c r="BG7" s="33">
        <f t="shared" si="11"/>
        <v>500</v>
      </c>
      <c r="BH7" s="33">
        <f t="shared" si="11"/>
        <v>0</v>
      </c>
      <c r="BI7" s="33">
        <f t="shared" si="11"/>
        <v>796.6</v>
      </c>
      <c r="BJ7" s="33">
        <f t="shared" ref="BJ7:BK47" si="12">+BB7+AT7+AL7+AE7</f>
        <v>0</v>
      </c>
      <c r="BK7" s="33">
        <f t="shared" si="12"/>
        <v>13239.7</v>
      </c>
    </row>
    <row r="8" spans="1:64" ht="18.75" customHeight="1" x14ac:dyDescent="0.25">
      <c r="A8" s="603"/>
      <c r="B8" s="6" t="s">
        <v>35</v>
      </c>
      <c r="C8" s="6"/>
      <c r="D8" s="2" t="s">
        <v>37</v>
      </c>
      <c r="E8" s="1"/>
      <c r="F8" s="1"/>
      <c r="G8" s="1"/>
      <c r="H8" s="1"/>
      <c r="I8" s="1"/>
      <c r="J8" s="1"/>
      <c r="K8" s="1"/>
      <c r="L8" s="1"/>
      <c r="M8" s="1"/>
      <c r="N8" s="1"/>
      <c r="O8" s="1"/>
      <c r="P8" s="1"/>
      <c r="Q8" s="22"/>
      <c r="R8" s="1"/>
      <c r="S8" s="1"/>
      <c r="T8" s="1"/>
      <c r="U8" s="49"/>
      <c r="V8" s="49"/>
      <c r="W8" s="49"/>
      <c r="X8" s="49"/>
      <c r="Y8" s="34">
        <f t="shared" ref="Y8:AE8" si="13">SUM(Y9:Y23)</f>
        <v>0</v>
      </c>
      <c r="Z8" s="34">
        <f t="shared" si="13"/>
        <v>0</v>
      </c>
      <c r="AA8" s="34">
        <f t="shared" si="13"/>
        <v>710.40000000000009</v>
      </c>
      <c r="AB8" s="34">
        <f t="shared" si="13"/>
        <v>500</v>
      </c>
      <c r="AC8" s="34">
        <f t="shared" si="13"/>
        <v>0</v>
      </c>
      <c r="AD8" s="34">
        <f t="shared" si="13"/>
        <v>796.43000000000006</v>
      </c>
      <c r="AE8" s="34">
        <f t="shared" si="13"/>
        <v>0</v>
      </c>
      <c r="AF8" s="34">
        <f t="shared" si="7"/>
        <v>2006.8300000000002</v>
      </c>
      <c r="AG8" s="34">
        <f t="shared" ref="AG8:AL8" si="14">SUM(AG9:AG23)</f>
        <v>15</v>
      </c>
      <c r="AH8" s="34">
        <f t="shared" si="14"/>
        <v>0</v>
      </c>
      <c r="AI8" s="34">
        <f t="shared" si="14"/>
        <v>809.42000000000007</v>
      </c>
      <c r="AJ8" s="34">
        <f t="shared" si="14"/>
        <v>0</v>
      </c>
      <c r="AK8" s="34">
        <f t="shared" si="14"/>
        <v>0</v>
      </c>
      <c r="AL8" s="34">
        <f t="shared" si="14"/>
        <v>0</v>
      </c>
      <c r="AM8" s="34">
        <f>SUM(AG8:AL8)</f>
        <v>824.42000000000007</v>
      </c>
      <c r="AN8" s="34">
        <f t="shared" ref="AN8:AT8" si="15">SUM(AN9:AN23)</f>
        <v>15</v>
      </c>
      <c r="AO8" s="34">
        <f t="shared" si="15"/>
        <v>0</v>
      </c>
      <c r="AP8" s="34">
        <f t="shared" si="15"/>
        <v>1035</v>
      </c>
      <c r="AQ8" s="34">
        <f t="shared" si="15"/>
        <v>0</v>
      </c>
      <c r="AR8" s="34">
        <f t="shared" si="15"/>
        <v>0</v>
      </c>
      <c r="AS8" s="34">
        <f t="shared" si="15"/>
        <v>0</v>
      </c>
      <c r="AT8" s="34">
        <f t="shared" si="15"/>
        <v>0</v>
      </c>
      <c r="AU8" s="34">
        <f>SUM(AN8:AT8)</f>
        <v>1050</v>
      </c>
      <c r="AV8" s="34">
        <f t="shared" ref="AV8:BB8" si="16">SUM(AV9:AV23)</f>
        <v>15</v>
      </c>
      <c r="AW8" s="34">
        <f t="shared" si="16"/>
        <v>0</v>
      </c>
      <c r="AX8" s="34">
        <f t="shared" si="16"/>
        <v>1265</v>
      </c>
      <c r="AY8" s="34">
        <f t="shared" si="16"/>
        <v>0</v>
      </c>
      <c r="AZ8" s="34">
        <f t="shared" si="16"/>
        <v>0</v>
      </c>
      <c r="BA8" s="34">
        <f t="shared" si="16"/>
        <v>0</v>
      </c>
      <c r="BB8" s="34">
        <f t="shared" si="16"/>
        <v>0</v>
      </c>
      <c r="BC8" s="34">
        <f>SUM(AV8:BB8)</f>
        <v>1280</v>
      </c>
      <c r="BD8" s="34">
        <f t="shared" si="11"/>
        <v>45</v>
      </c>
      <c r="BE8" s="34">
        <f t="shared" si="11"/>
        <v>0</v>
      </c>
      <c r="BF8" s="34">
        <f t="shared" si="11"/>
        <v>3819.82</v>
      </c>
      <c r="BG8" s="34">
        <f t="shared" si="11"/>
        <v>500</v>
      </c>
      <c r="BH8" s="34">
        <f t="shared" si="11"/>
        <v>0</v>
      </c>
      <c r="BI8" s="34">
        <f>+AD8+AS8+BA8</f>
        <v>796.43000000000006</v>
      </c>
      <c r="BJ8" s="34">
        <f t="shared" si="12"/>
        <v>0</v>
      </c>
      <c r="BK8" s="34">
        <f t="shared" si="12"/>
        <v>5161.25</v>
      </c>
    </row>
    <row r="9" spans="1:64" ht="30.75" customHeight="1" x14ac:dyDescent="0.25">
      <c r="A9" s="298" t="s">
        <v>38</v>
      </c>
      <c r="B9" s="299" t="s">
        <v>39</v>
      </c>
      <c r="C9" s="1546" t="s">
        <v>40</v>
      </c>
      <c r="D9" s="1549" t="s">
        <v>41</v>
      </c>
      <c r="E9" s="1549" t="s">
        <v>42</v>
      </c>
      <c r="F9" s="1549">
        <v>2014</v>
      </c>
      <c r="G9" s="1549">
        <v>37.909999999999997</v>
      </c>
      <c r="H9" s="1549">
        <v>39.5</v>
      </c>
      <c r="I9" s="301"/>
      <c r="J9" s="301"/>
      <c r="K9" s="1425" t="s">
        <v>43</v>
      </c>
      <c r="L9" s="301" t="s">
        <v>44</v>
      </c>
      <c r="M9" s="1425" t="s">
        <v>45</v>
      </c>
      <c r="N9" s="1425" t="s">
        <v>46</v>
      </c>
      <c r="O9" s="1425" t="s">
        <v>47</v>
      </c>
      <c r="P9" s="25" t="s">
        <v>48</v>
      </c>
      <c r="Q9" s="302" t="s">
        <v>49</v>
      </c>
      <c r="R9" s="303">
        <v>2015</v>
      </c>
      <c r="S9" s="303">
        <v>0</v>
      </c>
      <c r="T9" s="303">
        <v>0</v>
      </c>
      <c r="U9" s="572">
        <v>500</v>
      </c>
      <c r="V9" s="572">
        <v>1000</v>
      </c>
      <c r="W9" s="572">
        <v>1500</v>
      </c>
      <c r="X9" s="572">
        <v>1500</v>
      </c>
      <c r="Y9" s="481"/>
      <c r="Z9" s="481"/>
      <c r="AA9" s="481"/>
      <c r="AB9" s="481"/>
      <c r="AC9" s="481"/>
      <c r="AD9" s="481"/>
      <c r="AE9" s="481"/>
      <c r="AF9" s="481">
        <f>SUM(Y9:AE9)</f>
        <v>0</v>
      </c>
      <c r="AG9" s="491">
        <v>15</v>
      </c>
      <c r="AH9" s="548"/>
      <c r="AI9" s="548">
        <v>4.67</v>
      </c>
      <c r="AJ9" s="548"/>
      <c r="AK9" s="548"/>
      <c r="AL9" s="548"/>
      <c r="AM9" s="548">
        <f>SUM(AG9:AL9)</f>
        <v>19.670000000000002</v>
      </c>
      <c r="AN9" s="491">
        <v>15</v>
      </c>
      <c r="AO9" s="481"/>
      <c r="AP9" s="481"/>
      <c r="AQ9" s="481"/>
      <c r="AR9" s="481"/>
      <c r="AS9" s="481"/>
      <c r="AT9" s="481"/>
      <c r="AU9" s="481">
        <f>SUM(AN9:AT9)</f>
        <v>15</v>
      </c>
      <c r="AV9" s="491">
        <v>7</v>
      </c>
      <c r="AW9" s="548"/>
      <c r="AX9" s="548"/>
      <c r="AY9" s="548"/>
      <c r="AZ9" s="548"/>
      <c r="BA9" s="548"/>
      <c r="BB9" s="548"/>
      <c r="BC9" s="548">
        <f>SUM(AV9:BB9)</f>
        <v>7</v>
      </c>
      <c r="BD9" s="42">
        <f t="shared" si="11"/>
        <v>37</v>
      </c>
      <c r="BE9" s="42">
        <f t="shared" si="11"/>
        <v>0</v>
      </c>
      <c r="BF9" s="42">
        <f t="shared" si="11"/>
        <v>4.67</v>
      </c>
      <c r="BG9" s="42">
        <f t="shared" si="11"/>
        <v>0</v>
      </c>
      <c r="BH9" s="42">
        <f t="shared" si="11"/>
        <v>0</v>
      </c>
      <c r="BI9" s="42">
        <f t="shared" ref="BI9:BI76" si="17">+AD9+AS9+BA9</f>
        <v>0</v>
      </c>
      <c r="BJ9" s="42">
        <f t="shared" si="12"/>
        <v>0</v>
      </c>
      <c r="BK9" s="42">
        <f>+BC9+AU9+AM9+AF9</f>
        <v>41.67</v>
      </c>
    </row>
    <row r="10" spans="1:64" ht="48.75" customHeight="1" x14ac:dyDescent="0.25">
      <c r="A10" s="298" t="s">
        <v>38</v>
      </c>
      <c r="B10" s="299" t="s">
        <v>39</v>
      </c>
      <c r="C10" s="1547"/>
      <c r="D10" s="1550"/>
      <c r="E10" s="1550"/>
      <c r="F10" s="1549"/>
      <c r="G10" s="1549"/>
      <c r="H10" s="1549"/>
      <c r="I10" s="301"/>
      <c r="J10" s="301"/>
      <c r="K10" s="1425" t="s">
        <v>50</v>
      </c>
      <c r="L10" s="301" t="s">
        <v>44</v>
      </c>
      <c r="M10" s="1425" t="s">
        <v>45</v>
      </c>
      <c r="N10" s="1425" t="s">
        <v>46</v>
      </c>
      <c r="O10" s="1425" t="s">
        <v>47</v>
      </c>
      <c r="P10" s="16" t="s">
        <v>51</v>
      </c>
      <c r="Q10" s="302" t="s">
        <v>52</v>
      </c>
      <c r="R10" s="303">
        <v>2015</v>
      </c>
      <c r="S10" s="303">
        <v>1</v>
      </c>
      <c r="T10" s="303">
        <v>1</v>
      </c>
      <c r="U10" s="572">
        <v>2</v>
      </c>
      <c r="V10" s="572">
        <v>3</v>
      </c>
      <c r="W10" s="572">
        <v>4</v>
      </c>
      <c r="X10" s="572">
        <v>4</v>
      </c>
      <c r="Y10" s="481"/>
      <c r="Z10" s="481"/>
      <c r="AA10" s="491">
        <v>248</v>
      </c>
      <c r="AB10" s="481"/>
      <c r="AC10" s="481"/>
      <c r="AD10" s="491">
        <v>19.63</v>
      </c>
      <c r="AE10" s="481"/>
      <c r="AF10" s="481">
        <f t="shared" si="7"/>
        <v>267.63</v>
      </c>
      <c r="AG10" s="548"/>
      <c r="AH10" s="548"/>
      <c r="AI10" s="548">
        <v>260</v>
      </c>
      <c r="AJ10" s="548"/>
      <c r="AK10" s="548"/>
      <c r="AL10" s="548"/>
      <c r="AM10" s="548">
        <f>SUM(AG10:AL10)</f>
        <v>260</v>
      </c>
      <c r="AN10" s="481"/>
      <c r="AO10" s="481"/>
      <c r="AP10" s="491">
        <v>260</v>
      </c>
      <c r="AQ10" s="481"/>
      <c r="AR10" s="481"/>
      <c r="AS10" s="481"/>
      <c r="AT10" s="481"/>
      <c r="AU10" s="481">
        <f>SUM(AN10:AT10)</f>
        <v>260</v>
      </c>
      <c r="AV10" s="548"/>
      <c r="AW10" s="548"/>
      <c r="AX10" s="548">
        <v>280</v>
      </c>
      <c r="AY10" s="548"/>
      <c r="AZ10" s="548"/>
      <c r="BA10" s="548"/>
      <c r="BB10" s="548"/>
      <c r="BC10" s="548">
        <f>SUM(AV10:BB10)</f>
        <v>280</v>
      </c>
      <c r="BD10" s="42">
        <f t="shared" si="11"/>
        <v>0</v>
      </c>
      <c r="BE10" s="42">
        <f t="shared" si="11"/>
        <v>0</v>
      </c>
      <c r="BF10" s="42">
        <f t="shared" si="11"/>
        <v>1048</v>
      </c>
      <c r="BG10" s="42">
        <f t="shared" si="11"/>
        <v>0</v>
      </c>
      <c r="BH10" s="42">
        <f t="shared" si="11"/>
        <v>0</v>
      </c>
      <c r="BI10" s="42">
        <f t="shared" si="17"/>
        <v>19.63</v>
      </c>
      <c r="BJ10" s="42">
        <f t="shared" si="12"/>
        <v>0</v>
      </c>
      <c r="BK10" s="42">
        <f t="shared" si="12"/>
        <v>1067.6300000000001</v>
      </c>
    </row>
    <row r="11" spans="1:64" ht="40.5" customHeight="1" x14ac:dyDescent="0.25">
      <c r="A11" s="298" t="s">
        <v>38</v>
      </c>
      <c r="B11" s="299" t="s">
        <v>39</v>
      </c>
      <c r="C11" s="1547"/>
      <c r="D11" s="1549"/>
      <c r="E11" s="1549"/>
      <c r="F11" s="1549"/>
      <c r="G11" s="1549"/>
      <c r="H11" s="1549"/>
      <c r="I11" s="1425" t="s">
        <v>53</v>
      </c>
      <c r="J11" s="301"/>
      <c r="K11" s="1425" t="s">
        <v>54</v>
      </c>
      <c r="L11" s="301" t="s">
        <v>44</v>
      </c>
      <c r="M11" s="1425" t="s">
        <v>45</v>
      </c>
      <c r="N11" s="1425" t="s">
        <v>46</v>
      </c>
      <c r="O11" s="1425" t="s">
        <v>47</v>
      </c>
      <c r="P11" s="16" t="s">
        <v>55</v>
      </c>
      <c r="Q11" s="302" t="s">
        <v>56</v>
      </c>
      <c r="R11" s="303">
        <v>2015</v>
      </c>
      <c r="S11" s="303">
        <v>1</v>
      </c>
      <c r="T11" s="303">
        <v>0</v>
      </c>
      <c r="U11" s="572">
        <v>0</v>
      </c>
      <c r="V11" s="572">
        <v>1</v>
      </c>
      <c r="W11" s="572">
        <v>2</v>
      </c>
      <c r="X11" s="572">
        <v>2</v>
      </c>
      <c r="Y11" s="481"/>
      <c r="Z11" s="481"/>
      <c r="AA11" s="481"/>
      <c r="AB11" s="481">
        <v>0</v>
      </c>
      <c r="AC11" s="481"/>
      <c r="AD11" s="481"/>
      <c r="AE11" s="481"/>
      <c r="AF11" s="481">
        <f t="shared" si="7"/>
        <v>0</v>
      </c>
      <c r="AG11" s="548"/>
      <c r="AH11" s="548"/>
      <c r="AI11" s="548">
        <v>0</v>
      </c>
      <c r="AJ11" s="548"/>
      <c r="AK11" s="548"/>
      <c r="AL11" s="548"/>
      <c r="AM11" s="548"/>
      <c r="AN11" s="481"/>
      <c r="AO11" s="481"/>
      <c r="AP11" s="481">
        <v>120</v>
      </c>
      <c r="AQ11" s="481"/>
      <c r="AR11" s="481"/>
      <c r="AS11" s="481"/>
      <c r="AT11" s="481"/>
      <c r="AU11" s="481">
        <f>SUM(AN11:AT11)</f>
        <v>120</v>
      </c>
      <c r="AV11" s="548"/>
      <c r="AW11" s="548"/>
      <c r="AX11" s="548">
        <v>120</v>
      </c>
      <c r="AY11" s="548"/>
      <c r="AZ11" s="548"/>
      <c r="BA11" s="548"/>
      <c r="BB11" s="548"/>
      <c r="BC11" s="548">
        <f>SUM(AV11:BB11)</f>
        <v>120</v>
      </c>
      <c r="BD11" s="42">
        <f t="shared" si="11"/>
        <v>0</v>
      </c>
      <c r="BE11" s="42">
        <f t="shared" si="11"/>
        <v>0</v>
      </c>
      <c r="BF11" s="42">
        <f t="shared" si="11"/>
        <v>240</v>
      </c>
      <c r="BG11" s="42">
        <f t="shared" si="11"/>
        <v>0</v>
      </c>
      <c r="BH11" s="42">
        <f t="shared" si="11"/>
        <v>0</v>
      </c>
      <c r="BI11" s="42">
        <f t="shared" si="17"/>
        <v>0</v>
      </c>
      <c r="BJ11" s="42">
        <f t="shared" si="12"/>
        <v>0</v>
      </c>
      <c r="BK11" s="42">
        <f t="shared" si="12"/>
        <v>240</v>
      </c>
    </row>
    <row r="12" spans="1:64" ht="26.25" customHeight="1" x14ac:dyDescent="0.25">
      <c r="A12" s="298" t="s">
        <v>38</v>
      </c>
      <c r="B12" s="299" t="s">
        <v>39</v>
      </c>
      <c r="C12" s="1547"/>
      <c r="D12" s="1551"/>
      <c r="E12" s="1551"/>
      <c r="F12" s="1549"/>
      <c r="G12" s="1549"/>
      <c r="H12" s="1549"/>
      <c r="I12" s="301"/>
      <c r="J12" s="301"/>
      <c r="K12" s="1425" t="s">
        <v>57</v>
      </c>
      <c r="L12" s="301" t="s">
        <v>44</v>
      </c>
      <c r="M12" s="1425" t="s">
        <v>45</v>
      </c>
      <c r="N12" s="1425" t="s">
        <v>46</v>
      </c>
      <c r="O12" s="1425" t="s">
        <v>47</v>
      </c>
      <c r="P12" s="25" t="s">
        <v>58</v>
      </c>
      <c r="Q12" s="302" t="s">
        <v>59</v>
      </c>
      <c r="R12" s="303">
        <v>2015</v>
      </c>
      <c r="S12" s="303">
        <v>0</v>
      </c>
      <c r="T12" s="303">
        <v>3</v>
      </c>
      <c r="U12" s="572">
        <v>6</v>
      </c>
      <c r="V12" s="572">
        <v>9</v>
      </c>
      <c r="W12" s="572">
        <v>12</v>
      </c>
      <c r="X12" s="572">
        <v>12</v>
      </c>
      <c r="Y12" s="481"/>
      <c r="Z12" s="481"/>
      <c r="AA12" s="481">
        <v>30</v>
      </c>
      <c r="AB12" s="481"/>
      <c r="AC12" s="481"/>
      <c r="AD12" s="481">
        <v>132.80000000000001</v>
      </c>
      <c r="AE12" s="481"/>
      <c r="AF12" s="481">
        <f t="shared" si="7"/>
        <v>162.80000000000001</v>
      </c>
      <c r="AG12" s="548"/>
      <c r="AH12" s="548"/>
      <c r="AI12" s="548">
        <v>50</v>
      </c>
      <c r="AJ12" s="548"/>
      <c r="AK12" s="548"/>
      <c r="AL12" s="548"/>
      <c r="AM12" s="548">
        <f t="shared" ref="AM12:AM25" si="18">SUM(AG12:AL12)</f>
        <v>50</v>
      </c>
      <c r="AN12" s="481"/>
      <c r="AO12" s="481"/>
      <c r="AP12" s="481">
        <v>50</v>
      </c>
      <c r="AQ12" s="481"/>
      <c r="AR12" s="481"/>
      <c r="AS12" s="481"/>
      <c r="AT12" s="481"/>
      <c r="AU12" s="481">
        <f t="shared" ref="AU12:AU25" si="19">SUM(AN12:AT12)</f>
        <v>50</v>
      </c>
      <c r="AV12" s="548"/>
      <c r="AW12" s="548"/>
      <c r="AX12" s="548">
        <v>50</v>
      </c>
      <c r="AY12" s="548"/>
      <c r="AZ12" s="548"/>
      <c r="BA12" s="548"/>
      <c r="BB12" s="548"/>
      <c r="BC12" s="548">
        <f t="shared" ref="BC12:BC25" si="20">SUM(AV12:BB12)</f>
        <v>50</v>
      </c>
      <c r="BD12" s="42">
        <f t="shared" si="11"/>
        <v>0</v>
      </c>
      <c r="BE12" s="42">
        <f t="shared" si="11"/>
        <v>0</v>
      </c>
      <c r="BF12" s="42">
        <f t="shared" si="11"/>
        <v>180</v>
      </c>
      <c r="BG12" s="42">
        <f t="shared" si="11"/>
        <v>0</v>
      </c>
      <c r="BH12" s="42">
        <f t="shared" si="11"/>
        <v>0</v>
      </c>
      <c r="BI12" s="42">
        <f t="shared" si="17"/>
        <v>132.80000000000001</v>
      </c>
      <c r="BJ12" s="42">
        <f t="shared" si="12"/>
        <v>0</v>
      </c>
      <c r="BK12" s="42">
        <f t="shared" si="12"/>
        <v>312.8</v>
      </c>
    </row>
    <row r="13" spans="1:64" ht="36.75" customHeight="1" x14ac:dyDescent="0.25">
      <c r="A13" s="298" t="s">
        <v>38</v>
      </c>
      <c r="B13" s="299" t="s">
        <v>39</v>
      </c>
      <c r="C13" s="1547"/>
      <c r="D13" s="1549"/>
      <c r="E13" s="1549"/>
      <c r="F13" s="1549"/>
      <c r="G13" s="1549"/>
      <c r="H13" s="1549"/>
      <c r="I13" s="1425" t="s">
        <v>53</v>
      </c>
      <c r="J13" s="301"/>
      <c r="K13" s="1425" t="s">
        <v>60</v>
      </c>
      <c r="L13" s="301" t="s">
        <v>44</v>
      </c>
      <c r="M13" s="1425" t="s">
        <v>45</v>
      </c>
      <c r="N13" s="1425" t="s">
        <v>46</v>
      </c>
      <c r="O13" s="1425" t="s">
        <v>47</v>
      </c>
      <c r="P13" s="25" t="s">
        <v>61</v>
      </c>
      <c r="Q13" s="302" t="s">
        <v>62</v>
      </c>
      <c r="R13" s="303">
        <v>2015</v>
      </c>
      <c r="S13" s="303">
        <v>0</v>
      </c>
      <c r="T13" s="303">
        <v>13</v>
      </c>
      <c r="U13" s="572">
        <v>10</v>
      </c>
      <c r="V13" s="572">
        <v>7</v>
      </c>
      <c r="W13" s="572">
        <v>5</v>
      </c>
      <c r="X13" s="572">
        <v>35</v>
      </c>
      <c r="Y13" s="481"/>
      <c r="Z13" s="481"/>
      <c r="AA13" s="492">
        <v>224.6</v>
      </c>
      <c r="AB13" s="491">
        <v>250</v>
      </c>
      <c r="AC13" s="481"/>
      <c r="AD13" s="482"/>
      <c r="AE13" s="481"/>
      <c r="AF13" s="481">
        <f t="shared" si="7"/>
        <v>474.6</v>
      </c>
      <c r="AG13" s="548"/>
      <c r="AH13" s="548"/>
      <c r="AI13" s="43">
        <v>200</v>
      </c>
      <c r="AJ13" s="548"/>
      <c r="AK13" s="548"/>
      <c r="AL13" s="548"/>
      <c r="AM13" s="548">
        <f t="shared" si="18"/>
        <v>200</v>
      </c>
      <c r="AN13" s="481"/>
      <c r="AO13" s="481"/>
      <c r="AP13" s="491">
        <v>6</v>
      </c>
      <c r="AQ13" s="481"/>
      <c r="AR13" s="481"/>
      <c r="AS13" s="481"/>
      <c r="AT13" s="481"/>
      <c r="AU13" s="481">
        <f t="shared" si="19"/>
        <v>6</v>
      </c>
      <c r="AV13" s="548"/>
      <c r="AW13" s="548"/>
      <c r="AX13" s="42">
        <v>200</v>
      </c>
      <c r="AY13" s="548"/>
      <c r="AZ13" s="548"/>
      <c r="BA13" s="548"/>
      <c r="BB13" s="548"/>
      <c r="BC13" s="548">
        <f t="shared" si="20"/>
        <v>200</v>
      </c>
      <c r="BD13" s="42">
        <f t="shared" si="11"/>
        <v>0</v>
      </c>
      <c r="BE13" s="42">
        <f t="shared" si="11"/>
        <v>0</v>
      </c>
      <c r="BF13" s="42">
        <f t="shared" si="11"/>
        <v>630.6</v>
      </c>
      <c r="BG13" s="42">
        <f t="shared" si="11"/>
        <v>250</v>
      </c>
      <c r="BH13" s="42">
        <f t="shared" si="11"/>
        <v>0</v>
      </c>
      <c r="BI13" s="42">
        <f t="shared" si="17"/>
        <v>0</v>
      </c>
      <c r="BJ13" s="42">
        <f t="shared" si="12"/>
        <v>0</v>
      </c>
      <c r="BK13" s="42">
        <f t="shared" si="12"/>
        <v>880.6</v>
      </c>
    </row>
    <row r="14" spans="1:64" ht="24" customHeight="1" x14ac:dyDescent="0.25">
      <c r="A14" s="298" t="s">
        <v>38</v>
      </c>
      <c r="B14" s="299" t="s">
        <v>39</v>
      </c>
      <c r="C14" s="1547"/>
      <c r="D14" s="1552"/>
      <c r="E14" s="1552"/>
      <c r="F14" s="1549"/>
      <c r="G14" s="1549"/>
      <c r="H14" s="1549"/>
      <c r="I14" s="301"/>
      <c r="J14" s="301"/>
      <c r="K14" s="1425" t="s">
        <v>63</v>
      </c>
      <c r="L14" s="301" t="s">
        <v>44</v>
      </c>
      <c r="M14" s="1425" t="s">
        <v>45</v>
      </c>
      <c r="N14" s="1425" t="s">
        <v>46</v>
      </c>
      <c r="O14" s="1425" t="s">
        <v>47</v>
      </c>
      <c r="P14" s="16" t="s">
        <v>64</v>
      </c>
      <c r="Q14" s="302" t="s">
        <v>65</v>
      </c>
      <c r="R14" s="303">
        <v>2015</v>
      </c>
      <c r="S14" s="303">
        <v>0</v>
      </c>
      <c r="T14" s="303">
        <v>0</v>
      </c>
      <c r="U14" s="572">
        <v>0</v>
      </c>
      <c r="V14" s="572">
        <v>3</v>
      </c>
      <c r="W14" s="572">
        <v>6</v>
      </c>
      <c r="X14" s="572">
        <v>6</v>
      </c>
      <c r="Y14" s="481"/>
      <c r="Z14" s="481"/>
      <c r="AA14" s="481">
        <v>0</v>
      </c>
      <c r="AB14" s="481"/>
      <c r="AC14" s="481"/>
      <c r="AD14" s="481"/>
      <c r="AE14" s="481"/>
      <c r="AF14" s="481">
        <f t="shared" si="7"/>
        <v>0</v>
      </c>
      <c r="AG14" s="548"/>
      <c r="AH14" s="548"/>
      <c r="AI14" s="548"/>
      <c r="AJ14" s="548"/>
      <c r="AK14" s="548"/>
      <c r="AL14" s="548"/>
      <c r="AM14" s="548">
        <f t="shared" si="18"/>
        <v>0</v>
      </c>
      <c r="AN14" s="481"/>
      <c r="AO14" s="481"/>
      <c r="AP14" s="491">
        <v>150</v>
      </c>
      <c r="AQ14" s="481"/>
      <c r="AR14" s="481"/>
      <c r="AS14" s="481"/>
      <c r="AT14" s="481"/>
      <c r="AU14" s="481">
        <f t="shared" si="19"/>
        <v>150</v>
      </c>
      <c r="AV14" s="548"/>
      <c r="AW14" s="548"/>
      <c r="AX14" s="42">
        <v>230</v>
      </c>
      <c r="AY14" s="548"/>
      <c r="AZ14" s="548"/>
      <c r="BA14" s="548"/>
      <c r="BB14" s="548"/>
      <c r="BC14" s="548">
        <f t="shared" si="20"/>
        <v>230</v>
      </c>
      <c r="BD14" s="42">
        <f t="shared" si="11"/>
        <v>0</v>
      </c>
      <c r="BE14" s="42">
        <f t="shared" si="11"/>
        <v>0</v>
      </c>
      <c r="BF14" s="42">
        <f t="shared" si="11"/>
        <v>380</v>
      </c>
      <c r="BG14" s="42">
        <f t="shared" si="11"/>
        <v>0</v>
      </c>
      <c r="BH14" s="42">
        <f t="shared" si="11"/>
        <v>0</v>
      </c>
      <c r="BI14" s="42">
        <f t="shared" si="17"/>
        <v>0</v>
      </c>
      <c r="BJ14" s="42">
        <f t="shared" si="12"/>
        <v>0</v>
      </c>
      <c r="BK14" s="42">
        <f t="shared" si="12"/>
        <v>380</v>
      </c>
    </row>
    <row r="15" spans="1:64" ht="57" customHeight="1" x14ac:dyDescent="0.25">
      <c r="A15" s="298" t="s">
        <v>38</v>
      </c>
      <c r="B15" s="299" t="s">
        <v>39</v>
      </c>
      <c r="C15" s="1547"/>
      <c r="D15" s="1549"/>
      <c r="E15" s="1549"/>
      <c r="F15" s="1549"/>
      <c r="G15" s="1549"/>
      <c r="H15" s="1549"/>
      <c r="I15" s="301"/>
      <c r="J15" s="301"/>
      <c r="K15" s="1425" t="s">
        <v>66</v>
      </c>
      <c r="L15" s="301" t="s">
        <v>44</v>
      </c>
      <c r="M15" s="1425" t="s">
        <v>45</v>
      </c>
      <c r="N15" s="1425" t="s">
        <v>46</v>
      </c>
      <c r="O15" s="1425" t="s">
        <v>47</v>
      </c>
      <c r="P15" s="25" t="s">
        <v>67</v>
      </c>
      <c r="Q15" s="302" t="s">
        <v>68</v>
      </c>
      <c r="R15" s="303">
        <v>2015</v>
      </c>
      <c r="S15" s="303">
        <v>0</v>
      </c>
      <c r="T15" s="303">
        <v>5</v>
      </c>
      <c r="U15" s="572">
        <v>15</v>
      </c>
      <c r="V15" s="572">
        <v>20</v>
      </c>
      <c r="W15" s="572">
        <v>20</v>
      </c>
      <c r="X15" s="572">
        <v>60</v>
      </c>
      <c r="Y15" s="481"/>
      <c r="Z15" s="481"/>
      <c r="AA15" s="491">
        <v>205.8</v>
      </c>
      <c r="AB15" s="491">
        <v>250</v>
      </c>
      <c r="AC15" s="481"/>
      <c r="AD15" s="481">
        <v>644</v>
      </c>
      <c r="AE15" s="481"/>
      <c r="AF15" s="481">
        <f t="shared" si="7"/>
        <v>1099.8</v>
      </c>
      <c r="AG15" s="548"/>
      <c r="AH15" s="548"/>
      <c r="AI15" s="43">
        <v>256.75</v>
      </c>
      <c r="AJ15" s="548"/>
      <c r="AK15" s="548"/>
      <c r="AL15" s="548"/>
      <c r="AM15" s="548">
        <f t="shared" si="18"/>
        <v>256.75</v>
      </c>
      <c r="AN15" s="481"/>
      <c r="AO15" s="481"/>
      <c r="AP15" s="491">
        <v>445</v>
      </c>
      <c r="AQ15" s="481"/>
      <c r="AR15" s="481"/>
      <c r="AS15" s="481"/>
      <c r="AT15" s="481"/>
      <c r="AU15" s="481">
        <f t="shared" si="19"/>
        <v>445</v>
      </c>
      <c r="AV15" s="548"/>
      <c r="AW15" s="548"/>
      <c r="AX15" s="491">
        <v>385</v>
      </c>
      <c r="AY15" s="548"/>
      <c r="AZ15" s="548"/>
      <c r="BA15" s="548"/>
      <c r="BB15" s="548"/>
      <c r="BC15" s="548">
        <f t="shared" si="20"/>
        <v>385</v>
      </c>
      <c r="BD15" s="42">
        <f t="shared" si="11"/>
        <v>0</v>
      </c>
      <c r="BE15" s="42">
        <f t="shared" si="11"/>
        <v>0</v>
      </c>
      <c r="BF15" s="42">
        <f t="shared" si="11"/>
        <v>1292.55</v>
      </c>
      <c r="BG15" s="42">
        <f t="shared" si="11"/>
        <v>250</v>
      </c>
      <c r="BH15" s="42">
        <f t="shared" si="11"/>
        <v>0</v>
      </c>
      <c r="BI15" s="42">
        <f t="shared" si="17"/>
        <v>644</v>
      </c>
      <c r="BJ15" s="42">
        <f t="shared" si="12"/>
        <v>0</v>
      </c>
      <c r="BK15" s="42">
        <f t="shared" si="12"/>
        <v>2186.5500000000002</v>
      </c>
    </row>
    <row r="16" spans="1:64" ht="19.5" customHeight="1" x14ac:dyDescent="0.25">
      <c r="A16" s="298" t="s">
        <v>38</v>
      </c>
      <c r="B16" s="299" t="s">
        <v>39</v>
      </c>
      <c r="C16" s="1547"/>
      <c r="D16" s="1549"/>
      <c r="E16" s="1549"/>
      <c r="F16" s="1549"/>
      <c r="G16" s="1549"/>
      <c r="H16" s="1549"/>
      <c r="I16" s="301"/>
      <c r="J16" s="301"/>
      <c r="K16" s="1425" t="s">
        <v>69</v>
      </c>
      <c r="L16" s="301" t="s">
        <v>44</v>
      </c>
      <c r="M16" s="1425" t="s">
        <v>45</v>
      </c>
      <c r="N16" s="1425" t="s">
        <v>46</v>
      </c>
      <c r="O16" s="1425" t="s">
        <v>47</v>
      </c>
      <c r="P16" s="16" t="s">
        <v>70</v>
      </c>
      <c r="Q16" s="302" t="s">
        <v>71</v>
      </c>
      <c r="R16" s="303">
        <v>2015</v>
      </c>
      <c r="S16" s="303">
        <v>0</v>
      </c>
      <c r="T16" s="303">
        <v>0</v>
      </c>
      <c r="U16" s="572">
        <v>1</v>
      </c>
      <c r="V16" s="572">
        <v>1</v>
      </c>
      <c r="W16" s="572">
        <v>1</v>
      </c>
      <c r="X16" s="572">
        <v>1</v>
      </c>
      <c r="Y16" s="481"/>
      <c r="Z16" s="481"/>
      <c r="AA16" s="481"/>
      <c r="AB16" s="481"/>
      <c r="AC16" s="481"/>
      <c r="AD16" s="481"/>
      <c r="AE16" s="481"/>
      <c r="AF16" s="481">
        <f t="shared" si="7"/>
        <v>0</v>
      </c>
      <c r="AG16" s="548"/>
      <c r="AH16" s="548"/>
      <c r="AI16" s="491">
        <v>15</v>
      </c>
      <c r="AJ16" s="548"/>
      <c r="AK16" s="548"/>
      <c r="AL16" s="548"/>
      <c r="AM16" s="548">
        <f t="shared" si="18"/>
        <v>15</v>
      </c>
      <c r="AN16" s="481"/>
      <c r="AO16" s="481"/>
      <c r="AP16" s="491">
        <v>0.5</v>
      </c>
      <c r="AQ16" s="481"/>
      <c r="AR16" s="481"/>
      <c r="AS16" s="481"/>
      <c r="AT16" s="481"/>
      <c r="AU16" s="481">
        <f t="shared" si="19"/>
        <v>0.5</v>
      </c>
      <c r="AV16" s="491">
        <v>1</v>
      </c>
      <c r="AW16" s="548"/>
      <c r="AX16" s="548"/>
      <c r="AY16" s="548"/>
      <c r="AZ16" s="548"/>
      <c r="BA16" s="548"/>
      <c r="BB16" s="548"/>
      <c r="BC16" s="548">
        <f>SUM(AV16:BB16)</f>
        <v>1</v>
      </c>
      <c r="BD16" s="42">
        <f t="shared" si="11"/>
        <v>1</v>
      </c>
      <c r="BE16" s="42">
        <f t="shared" si="11"/>
        <v>0</v>
      </c>
      <c r="BF16" s="42">
        <f t="shared" si="11"/>
        <v>15.5</v>
      </c>
      <c r="BG16" s="42">
        <f t="shared" si="11"/>
        <v>0</v>
      </c>
      <c r="BH16" s="42">
        <f t="shared" si="11"/>
        <v>0</v>
      </c>
      <c r="BI16" s="42">
        <f t="shared" si="17"/>
        <v>0</v>
      </c>
      <c r="BJ16" s="42">
        <f>+BB16+AT16+AL16+AE16</f>
        <v>0</v>
      </c>
      <c r="BK16" s="42">
        <f>+BC16+AU16+AM16+AF16</f>
        <v>16.5</v>
      </c>
    </row>
    <row r="17" spans="1:63" ht="21.75" customHeight="1" x14ac:dyDescent="0.25">
      <c r="A17" s="298" t="s">
        <v>38</v>
      </c>
      <c r="B17" s="299" t="s">
        <v>39</v>
      </c>
      <c r="C17" s="1547"/>
      <c r="D17" s="1549"/>
      <c r="E17" s="1549"/>
      <c r="F17" s="1549"/>
      <c r="G17" s="1549"/>
      <c r="H17" s="1549"/>
      <c r="I17" s="301"/>
      <c r="J17" s="301"/>
      <c r="K17" s="1425" t="s">
        <v>72</v>
      </c>
      <c r="L17" s="301" t="s">
        <v>44</v>
      </c>
      <c r="M17" s="1425" t="s">
        <v>45</v>
      </c>
      <c r="N17" s="1425" t="s">
        <v>46</v>
      </c>
      <c r="O17" s="1425" t="s">
        <v>73</v>
      </c>
      <c r="P17" s="16" t="s">
        <v>74</v>
      </c>
      <c r="Q17" s="302" t="s">
        <v>75</v>
      </c>
      <c r="R17" s="303">
        <v>2015</v>
      </c>
      <c r="S17" s="303">
        <v>0</v>
      </c>
      <c r="T17" s="303">
        <v>0</v>
      </c>
      <c r="U17" s="572">
        <v>1</v>
      </c>
      <c r="V17" s="572">
        <v>1</v>
      </c>
      <c r="W17" s="572">
        <v>1</v>
      </c>
      <c r="X17" s="572">
        <v>1</v>
      </c>
      <c r="Y17" s="481"/>
      <c r="Z17" s="481"/>
      <c r="AA17" s="481"/>
      <c r="AB17" s="481"/>
      <c r="AC17" s="481"/>
      <c r="AD17" s="481"/>
      <c r="AE17" s="481"/>
      <c r="AF17" s="481">
        <f t="shared" si="7"/>
        <v>0</v>
      </c>
      <c r="AG17" s="548"/>
      <c r="AH17" s="548"/>
      <c r="AI17" s="491">
        <v>3</v>
      </c>
      <c r="AJ17" s="548"/>
      <c r="AK17" s="548"/>
      <c r="AL17" s="548"/>
      <c r="AM17" s="548">
        <f t="shared" si="18"/>
        <v>3</v>
      </c>
      <c r="AN17" s="481"/>
      <c r="AO17" s="481"/>
      <c r="AP17" s="491">
        <v>0.5</v>
      </c>
      <c r="AQ17" s="481"/>
      <c r="AR17" s="481"/>
      <c r="AS17" s="481"/>
      <c r="AT17" s="481"/>
      <c r="AU17" s="481">
        <f t="shared" si="19"/>
        <v>0.5</v>
      </c>
      <c r="AV17" s="491">
        <v>1</v>
      </c>
      <c r="AW17" s="548"/>
      <c r="AX17" s="548"/>
      <c r="AY17" s="548"/>
      <c r="AZ17" s="548"/>
      <c r="BA17" s="548"/>
      <c r="BB17" s="548"/>
      <c r="BC17" s="548">
        <f>SUM(AV17:BB17)</f>
        <v>1</v>
      </c>
      <c r="BD17" s="42">
        <f t="shared" si="11"/>
        <v>1</v>
      </c>
      <c r="BE17" s="42">
        <f t="shared" si="11"/>
        <v>0</v>
      </c>
      <c r="BF17" s="42">
        <f t="shared" si="11"/>
        <v>3.5</v>
      </c>
      <c r="BG17" s="42">
        <f t="shared" si="11"/>
        <v>0</v>
      </c>
      <c r="BH17" s="42">
        <f t="shared" si="11"/>
        <v>0</v>
      </c>
      <c r="BI17" s="42">
        <f t="shared" si="17"/>
        <v>0</v>
      </c>
      <c r="BJ17" s="42">
        <f>+BB17+AT17+AL17+AE17</f>
        <v>0</v>
      </c>
      <c r="BK17" s="42">
        <f>+BC17+AU17+AM17+AF17</f>
        <v>4.5</v>
      </c>
    </row>
    <row r="18" spans="1:63" ht="29.25" customHeight="1" x14ac:dyDescent="0.25">
      <c r="A18" s="298" t="s">
        <v>38</v>
      </c>
      <c r="B18" s="299" t="s">
        <v>39</v>
      </c>
      <c r="C18" s="1547"/>
      <c r="D18" s="1549"/>
      <c r="E18" s="1549"/>
      <c r="F18" s="1549"/>
      <c r="G18" s="1549"/>
      <c r="H18" s="1549"/>
      <c r="I18" s="301"/>
      <c r="J18" s="301"/>
      <c r="K18" s="1425" t="s">
        <v>76</v>
      </c>
      <c r="L18" s="301" t="s">
        <v>44</v>
      </c>
      <c r="M18" s="1425" t="s">
        <v>45</v>
      </c>
      <c r="N18" s="1425" t="s">
        <v>46</v>
      </c>
      <c r="O18" s="1425" t="s">
        <v>47</v>
      </c>
      <c r="P18" s="16" t="s">
        <v>77</v>
      </c>
      <c r="Q18" s="302" t="s">
        <v>78</v>
      </c>
      <c r="R18" s="303">
        <v>2015</v>
      </c>
      <c r="S18" s="303">
        <v>1</v>
      </c>
      <c r="T18" s="303">
        <v>1</v>
      </c>
      <c r="U18" s="572">
        <v>2</v>
      </c>
      <c r="V18" s="572">
        <v>3</v>
      </c>
      <c r="W18" s="572">
        <v>4</v>
      </c>
      <c r="X18" s="572">
        <v>4</v>
      </c>
      <c r="Y18" s="481"/>
      <c r="Z18" s="481"/>
      <c r="AA18" s="491">
        <v>0.5</v>
      </c>
      <c r="AB18" s="481"/>
      <c r="AC18" s="481"/>
      <c r="AD18" s="481"/>
      <c r="AE18" s="481"/>
      <c r="AF18" s="481">
        <f t="shared" si="7"/>
        <v>0.5</v>
      </c>
      <c r="AG18" s="548"/>
      <c r="AH18" s="548"/>
      <c r="AI18" s="491">
        <v>1</v>
      </c>
      <c r="AJ18" s="548"/>
      <c r="AK18" s="548"/>
      <c r="AL18" s="548"/>
      <c r="AM18" s="548">
        <f t="shared" si="18"/>
        <v>1</v>
      </c>
      <c r="AN18" s="481"/>
      <c r="AO18" s="481"/>
      <c r="AP18" s="491">
        <v>0.5</v>
      </c>
      <c r="AQ18" s="481"/>
      <c r="AR18" s="481"/>
      <c r="AS18" s="481"/>
      <c r="AT18" s="481"/>
      <c r="AU18" s="481">
        <f t="shared" si="19"/>
        <v>0.5</v>
      </c>
      <c r="AV18" s="491">
        <v>1</v>
      </c>
      <c r="AW18" s="548"/>
      <c r="AX18" s="548"/>
      <c r="AY18" s="548"/>
      <c r="AZ18" s="548"/>
      <c r="BA18" s="548"/>
      <c r="BB18" s="548"/>
      <c r="BC18" s="548">
        <f t="shared" si="20"/>
        <v>1</v>
      </c>
      <c r="BD18" s="42">
        <f t="shared" si="11"/>
        <v>1</v>
      </c>
      <c r="BE18" s="42">
        <f t="shared" si="11"/>
        <v>0</v>
      </c>
      <c r="BF18" s="42">
        <f t="shared" si="11"/>
        <v>2</v>
      </c>
      <c r="BG18" s="42">
        <f t="shared" si="11"/>
        <v>0</v>
      </c>
      <c r="BH18" s="42">
        <f t="shared" si="11"/>
        <v>0</v>
      </c>
      <c r="BI18" s="42">
        <f t="shared" si="17"/>
        <v>0</v>
      </c>
      <c r="BJ18" s="42">
        <f t="shared" si="12"/>
        <v>0</v>
      </c>
      <c r="BK18" s="42">
        <f t="shared" si="12"/>
        <v>3</v>
      </c>
    </row>
    <row r="19" spans="1:63" ht="11.25" customHeight="1" x14ac:dyDescent="0.25">
      <c r="A19" s="298" t="s">
        <v>38</v>
      </c>
      <c r="B19" s="299" t="s">
        <v>39</v>
      </c>
      <c r="C19" s="1547"/>
      <c r="D19" s="1549"/>
      <c r="E19" s="1549"/>
      <c r="F19" s="1549"/>
      <c r="G19" s="1549"/>
      <c r="H19" s="1549"/>
      <c r="I19" s="301"/>
      <c r="J19" s="301"/>
      <c r="K19" s="1425" t="s">
        <v>79</v>
      </c>
      <c r="L19" s="301" t="s">
        <v>44</v>
      </c>
      <c r="M19" s="1425" t="s">
        <v>45</v>
      </c>
      <c r="N19" s="1425" t="s">
        <v>46</v>
      </c>
      <c r="O19" s="1425" t="s">
        <v>47</v>
      </c>
      <c r="P19" s="16" t="s">
        <v>80</v>
      </c>
      <c r="Q19" s="302" t="s">
        <v>81</v>
      </c>
      <c r="R19" s="303">
        <v>2015</v>
      </c>
      <c r="S19" s="303">
        <v>0</v>
      </c>
      <c r="T19" s="303">
        <v>1</v>
      </c>
      <c r="U19" s="572">
        <v>1</v>
      </c>
      <c r="V19" s="572">
        <v>1</v>
      </c>
      <c r="W19" s="572">
        <v>1</v>
      </c>
      <c r="X19" s="572">
        <v>1</v>
      </c>
      <c r="Y19" s="481"/>
      <c r="Z19" s="481"/>
      <c r="AA19" s="491">
        <v>0.5</v>
      </c>
      <c r="AB19" s="481"/>
      <c r="AC19" s="481"/>
      <c r="AD19" s="481"/>
      <c r="AE19" s="481"/>
      <c r="AF19" s="481">
        <f t="shared" si="7"/>
        <v>0.5</v>
      </c>
      <c r="AG19" s="548"/>
      <c r="AH19" s="548"/>
      <c r="AI19" s="491">
        <v>1</v>
      </c>
      <c r="AJ19" s="548"/>
      <c r="AK19" s="548"/>
      <c r="AL19" s="548"/>
      <c r="AM19" s="548">
        <f t="shared" si="18"/>
        <v>1</v>
      </c>
      <c r="AN19" s="481"/>
      <c r="AO19" s="481"/>
      <c r="AP19" s="491">
        <v>0.5</v>
      </c>
      <c r="AQ19" s="481"/>
      <c r="AR19" s="481"/>
      <c r="AS19" s="481"/>
      <c r="AT19" s="481"/>
      <c r="AU19" s="481">
        <f t="shared" si="19"/>
        <v>0.5</v>
      </c>
      <c r="AV19" s="491">
        <v>1</v>
      </c>
      <c r="AW19" s="548"/>
      <c r="AX19" s="548"/>
      <c r="AY19" s="548"/>
      <c r="AZ19" s="548"/>
      <c r="BA19" s="548"/>
      <c r="BB19" s="548"/>
      <c r="BC19" s="548">
        <f t="shared" si="20"/>
        <v>1</v>
      </c>
      <c r="BD19" s="42">
        <f t="shared" si="11"/>
        <v>1</v>
      </c>
      <c r="BE19" s="42">
        <f t="shared" si="11"/>
        <v>0</v>
      </c>
      <c r="BF19" s="42">
        <f t="shared" si="11"/>
        <v>2</v>
      </c>
      <c r="BG19" s="42">
        <f t="shared" si="11"/>
        <v>0</v>
      </c>
      <c r="BH19" s="42">
        <f t="shared" si="11"/>
        <v>0</v>
      </c>
      <c r="BI19" s="42">
        <f t="shared" si="17"/>
        <v>0</v>
      </c>
      <c r="BJ19" s="42">
        <f t="shared" si="12"/>
        <v>0</v>
      </c>
      <c r="BK19" s="42">
        <f t="shared" si="12"/>
        <v>3</v>
      </c>
    </row>
    <row r="20" spans="1:63" ht="21.75" customHeight="1" x14ac:dyDescent="0.25">
      <c r="A20" s="298" t="s">
        <v>38</v>
      </c>
      <c r="B20" s="299" t="s">
        <v>39</v>
      </c>
      <c r="C20" s="1547"/>
      <c r="D20" s="1549"/>
      <c r="E20" s="1549"/>
      <c r="F20" s="1549"/>
      <c r="G20" s="1549"/>
      <c r="H20" s="1549"/>
      <c r="I20" s="301"/>
      <c r="J20" s="301"/>
      <c r="K20" s="1425" t="s">
        <v>82</v>
      </c>
      <c r="L20" s="301" t="s">
        <v>44</v>
      </c>
      <c r="M20" s="1425" t="s">
        <v>45</v>
      </c>
      <c r="N20" s="1425" t="s">
        <v>46</v>
      </c>
      <c r="O20" s="1425" t="s">
        <v>47</v>
      </c>
      <c r="P20" s="16" t="s">
        <v>83</v>
      </c>
      <c r="Q20" s="302" t="s">
        <v>84</v>
      </c>
      <c r="R20" s="303">
        <v>2015</v>
      </c>
      <c r="S20" s="303">
        <v>0</v>
      </c>
      <c r="T20" s="303">
        <v>0</v>
      </c>
      <c r="U20" s="572">
        <v>6</v>
      </c>
      <c r="V20" s="572">
        <v>12</v>
      </c>
      <c r="W20" s="572">
        <v>20</v>
      </c>
      <c r="X20" s="572">
        <v>20</v>
      </c>
      <c r="Y20" s="481"/>
      <c r="Z20" s="481"/>
      <c r="AA20" s="481"/>
      <c r="AB20" s="481"/>
      <c r="AC20" s="481"/>
      <c r="AD20" s="481"/>
      <c r="AE20" s="481"/>
      <c r="AF20" s="481">
        <f t="shared" si="7"/>
        <v>0</v>
      </c>
      <c r="AG20" s="548"/>
      <c r="AH20" s="548"/>
      <c r="AI20" s="491">
        <v>5</v>
      </c>
      <c r="AJ20" s="548"/>
      <c r="AK20" s="548"/>
      <c r="AL20" s="548"/>
      <c r="AM20" s="548">
        <f t="shared" si="18"/>
        <v>5</v>
      </c>
      <c r="AN20" s="481"/>
      <c r="AO20" s="481"/>
      <c r="AP20" s="491">
        <v>0.5</v>
      </c>
      <c r="AQ20" s="481"/>
      <c r="AR20" s="481"/>
      <c r="AS20" s="481"/>
      <c r="AT20" s="481"/>
      <c r="AU20" s="481">
        <f t="shared" si="19"/>
        <v>0.5</v>
      </c>
      <c r="AV20" s="491">
        <v>1</v>
      </c>
      <c r="AW20" s="548"/>
      <c r="AX20" s="548"/>
      <c r="AY20" s="548"/>
      <c r="AZ20" s="548"/>
      <c r="BA20" s="548"/>
      <c r="BB20" s="548"/>
      <c r="BC20" s="548">
        <f t="shared" si="20"/>
        <v>1</v>
      </c>
      <c r="BD20" s="42">
        <f t="shared" si="11"/>
        <v>1</v>
      </c>
      <c r="BE20" s="42">
        <f t="shared" si="11"/>
        <v>0</v>
      </c>
      <c r="BF20" s="42">
        <f t="shared" si="11"/>
        <v>5.5</v>
      </c>
      <c r="BG20" s="42">
        <f t="shared" si="11"/>
        <v>0</v>
      </c>
      <c r="BH20" s="42">
        <f t="shared" si="11"/>
        <v>0</v>
      </c>
      <c r="BI20" s="42">
        <f t="shared" si="17"/>
        <v>0</v>
      </c>
      <c r="BJ20" s="42">
        <f t="shared" si="12"/>
        <v>0</v>
      </c>
      <c r="BK20" s="42">
        <f t="shared" si="12"/>
        <v>6.5</v>
      </c>
    </row>
    <row r="21" spans="1:63" ht="21" customHeight="1" x14ac:dyDescent="0.25">
      <c r="A21" s="298" t="s">
        <v>38</v>
      </c>
      <c r="B21" s="299" t="s">
        <v>39</v>
      </c>
      <c r="C21" s="1547"/>
      <c r="D21" s="1549"/>
      <c r="E21" s="1549"/>
      <c r="F21" s="1549"/>
      <c r="G21" s="1549"/>
      <c r="H21" s="1549"/>
      <c r="I21" s="301"/>
      <c r="J21" s="301"/>
      <c r="K21" s="1425" t="s">
        <v>85</v>
      </c>
      <c r="L21" s="301" t="s">
        <v>44</v>
      </c>
      <c r="M21" s="1425" t="s">
        <v>45</v>
      </c>
      <c r="N21" s="1425" t="s">
        <v>46</v>
      </c>
      <c r="O21" s="1425" t="s">
        <v>47</v>
      </c>
      <c r="P21" s="16" t="s">
        <v>86</v>
      </c>
      <c r="Q21" s="302" t="s">
        <v>87</v>
      </c>
      <c r="R21" s="303">
        <v>2015</v>
      </c>
      <c r="S21" s="303">
        <v>0</v>
      </c>
      <c r="T21" s="303">
        <v>1</v>
      </c>
      <c r="U21" s="572">
        <v>2</v>
      </c>
      <c r="V21" s="572">
        <v>3</v>
      </c>
      <c r="W21" s="572">
        <v>4</v>
      </c>
      <c r="X21" s="572">
        <v>4</v>
      </c>
      <c r="Y21" s="481"/>
      <c r="Z21" s="481"/>
      <c r="AA21" s="491">
        <v>0.5</v>
      </c>
      <c r="AB21" s="481"/>
      <c r="AC21" s="481"/>
      <c r="AD21" s="481"/>
      <c r="AE21" s="481"/>
      <c r="AF21" s="481">
        <f t="shared" si="7"/>
        <v>0.5</v>
      </c>
      <c r="AG21" s="548"/>
      <c r="AH21" s="548"/>
      <c r="AI21" s="491">
        <v>3</v>
      </c>
      <c r="AJ21" s="548"/>
      <c r="AK21" s="548"/>
      <c r="AL21" s="548"/>
      <c r="AM21" s="548">
        <f t="shared" si="18"/>
        <v>3</v>
      </c>
      <c r="AN21" s="481"/>
      <c r="AO21" s="481"/>
      <c r="AP21" s="491">
        <v>0.5</v>
      </c>
      <c r="AQ21" s="481"/>
      <c r="AR21" s="481"/>
      <c r="AS21" s="481"/>
      <c r="AT21" s="481"/>
      <c r="AU21" s="481">
        <f t="shared" si="19"/>
        <v>0.5</v>
      </c>
      <c r="AV21" s="491">
        <v>1</v>
      </c>
      <c r="AW21" s="548"/>
      <c r="AX21" s="548"/>
      <c r="AY21" s="548"/>
      <c r="AZ21" s="548"/>
      <c r="BA21" s="548"/>
      <c r="BB21" s="548"/>
      <c r="BC21" s="548">
        <f t="shared" si="20"/>
        <v>1</v>
      </c>
      <c r="BD21" s="42">
        <f t="shared" si="11"/>
        <v>1</v>
      </c>
      <c r="BE21" s="42">
        <f t="shared" si="11"/>
        <v>0</v>
      </c>
      <c r="BF21" s="42">
        <f t="shared" si="11"/>
        <v>4</v>
      </c>
      <c r="BG21" s="42">
        <f t="shared" si="11"/>
        <v>0</v>
      </c>
      <c r="BH21" s="42">
        <f t="shared" si="11"/>
        <v>0</v>
      </c>
      <c r="BI21" s="42">
        <f t="shared" si="17"/>
        <v>0</v>
      </c>
      <c r="BJ21" s="42">
        <f t="shared" si="12"/>
        <v>0</v>
      </c>
      <c r="BK21" s="42">
        <f t="shared" si="12"/>
        <v>5</v>
      </c>
    </row>
    <row r="22" spans="1:63" ht="16.5" customHeight="1" x14ac:dyDescent="0.25">
      <c r="A22" s="298" t="s">
        <v>38</v>
      </c>
      <c r="B22" s="299" t="s">
        <v>39</v>
      </c>
      <c r="C22" s="1547"/>
      <c r="D22" s="1549"/>
      <c r="E22" s="1549"/>
      <c r="F22" s="1549"/>
      <c r="G22" s="1549"/>
      <c r="H22" s="1549"/>
      <c r="I22" s="301"/>
      <c r="J22" s="301"/>
      <c r="K22" s="1425" t="s">
        <v>88</v>
      </c>
      <c r="L22" s="301" t="s">
        <v>44</v>
      </c>
      <c r="M22" s="1425" t="s">
        <v>45</v>
      </c>
      <c r="N22" s="1425" t="s">
        <v>46</v>
      </c>
      <c r="O22" s="1425" t="s">
        <v>73</v>
      </c>
      <c r="P22" s="16" t="s">
        <v>89</v>
      </c>
      <c r="Q22" s="302" t="s">
        <v>90</v>
      </c>
      <c r="R22" s="303">
        <v>2015</v>
      </c>
      <c r="S22" s="303">
        <v>0</v>
      </c>
      <c r="T22" s="303">
        <v>0</v>
      </c>
      <c r="U22" s="572">
        <v>1</v>
      </c>
      <c r="V22" s="572">
        <v>1</v>
      </c>
      <c r="W22" s="572">
        <v>1</v>
      </c>
      <c r="X22" s="572">
        <v>1</v>
      </c>
      <c r="Y22" s="481"/>
      <c r="Z22" s="481"/>
      <c r="AA22" s="481"/>
      <c r="AB22" s="481"/>
      <c r="AC22" s="481"/>
      <c r="AD22" s="481"/>
      <c r="AE22" s="481"/>
      <c r="AF22" s="481">
        <f>SUM(Y22:AE22)</f>
        <v>0</v>
      </c>
      <c r="AG22" s="548"/>
      <c r="AH22" s="548"/>
      <c r="AI22" s="491">
        <v>5</v>
      </c>
      <c r="AJ22" s="548"/>
      <c r="AK22" s="548"/>
      <c r="AL22" s="548"/>
      <c r="AM22" s="548">
        <f>SUM(AG22:AL22)</f>
        <v>5</v>
      </c>
      <c r="AN22" s="481"/>
      <c r="AO22" s="481"/>
      <c r="AP22" s="491">
        <v>0.5</v>
      </c>
      <c r="AQ22" s="481"/>
      <c r="AR22" s="481"/>
      <c r="AS22" s="481"/>
      <c r="AT22" s="481"/>
      <c r="AU22" s="481">
        <f>SUM(AN22:AT22)</f>
        <v>0.5</v>
      </c>
      <c r="AV22" s="491">
        <v>1</v>
      </c>
      <c r="AW22" s="548"/>
      <c r="AX22" s="548"/>
      <c r="AY22" s="548"/>
      <c r="AZ22" s="548"/>
      <c r="BA22" s="548"/>
      <c r="BB22" s="548"/>
      <c r="BC22" s="548">
        <f>SUM(AV22:BB22)</f>
        <v>1</v>
      </c>
      <c r="BD22" s="42">
        <f>+AV22+AN22+AG22+Y22</f>
        <v>1</v>
      </c>
      <c r="BE22" s="42">
        <f>+AW22+AO22+AH22+Z22</f>
        <v>0</v>
      </c>
      <c r="BF22" s="42">
        <f>+AX22+AP22+AI22+AA22</f>
        <v>5.5</v>
      </c>
      <c r="BG22" s="42">
        <f>+AY22+AQ22+AJ22+AB22</f>
        <v>0</v>
      </c>
      <c r="BH22" s="42">
        <f>+AZ22+AR22+AK22+AC22</f>
        <v>0</v>
      </c>
      <c r="BI22" s="42">
        <f t="shared" si="17"/>
        <v>0</v>
      </c>
      <c r="BJ22" s="42">
        <f>+BB22+AT22+AL22+AE22</f>
        <v>0</v>
      </c>
      <c r="BK22" s="42">
        <f>+BC22+AU22+AM22+AF22</f>
        <v>6.5</v>
      </c>
    </row>
    <row r="23" spans="1:63" ht="15.75" customHeight="1" x14ac:dyDescent="0.25">
      <c r="A23" s="298" t="s">
        <v>38</v>
      </c>
      <c r="B23" s="299" t="s">
        <v>39</v>
      </c>
      <c r="C23" s="1548"/>
      <c r="D23" s="1549"/>
      <c r="E23" s="1549"/>
      <c r="F23" s="1549"/>
      <c r="G23" s="1549"/>
      <c r="H23" s="1549"/>
      <c r="I23" s="301"/>
      <c r="J23" s="301"/>
      <c r="K23" s="1425" t="s">
        <v>91</v>
      </c>
      <c r="L23" s="301" t="s">
        <v>44</v>
      </c>
      <c r="M23" s="1425" t="s">
        <v>45</v>
      </c>
      <c r="N23" s="1425" t="s">
        <v>46</v>
      </c>
      <c r="O23" s="1425" t="s">
        <v>73</v>
      </c>
      <c r="P23" s="16" t="s">
        <v>92</v>
      </c>
      <c r="Q23" s="302" t="s">
        <v>93</v>
      </c>
      <c r="R23" s="303">
        <v>2015</v>
      </c>
      <c r="S23" s="303">
        <v>0</v>
      </c>
      <c r="T23" s="303">
        <v>1</v>
      </c>
      <c r="U23" s="572">
        <v>1</v>
      </c>
      <c r="V23" s="572">
        <v>1</v>
      </c>
      <c r="W23" s="572">
        <v>1</v>
      </c>
      <c r="X23" s="572">
        <v>1</v>
      </c>
      <c r="Y23" s="481"/>
      <c r="Z23" s="481"/>
      <c r="AA23" s="491">
        <v>0.5</v>
      </c>
      <c r="AB23" s="481"/>
      <c r="AC23" s="481"/>
      <c r="AD23" s="481"/>
      <c r="AE23" s="481"/>
      <c r="AF23" s="481">
        <f t="shared" si="7"/>
        <v>0.5</v>
      </c>
      <c r="AG23" s="548"/>
      <c r="AH23" s="548"/>
      <c r="AI23" s="491">
        <v>5</v>
      </c>
      <c r="AJ23" s="548"/>
      <c r="AK23" s="548"/>
      <c r="AL23" s="548"/>
      <c r="AM23" s="548">
        <f t="shared" si="18"/>
        <v>5</v>
      </c>
      <c r="AN23" s="42"/>
      <c r="AO23" s="481"/>
      <c r="AP23" s="491">
        <v>0.5</v>
      </c>
      <c r="AQ23" s="481"/>
      <c r="AR23" s="481"/>
      <c r="AS23" s="481"/>
      <c r="AT23" s="481"/>
      <c r="AU23" s="481">
        <f t="shared" si="19"/>
        <v>0.5</v>
      </c>
      <c r="AV23" s="491">
        <v>1</v>
      </c>
      <c r="AW23" s="548"/>
      <c r="AX23" s="548"/>
      <c r="AY23" s="548"/>
      <c r="AZ23" s="548"/>
      <c r="BA23" s="548"/>
      <c r="BB23" s="548"/>
      <c r="BC23" s="548">
        <f t="shared" si="20"/>
        <v>1</v>
      </c>
      <c r="BD23" s="42">
        <f t="shared" ref="BD23:BH62" si="21">+AV23+AN23+AG23+Y23</f>
        <v>1</v>
      </c>
      <c r="BE23" s="42">
        <f t="shared" si="21"/>
        <v>0</v>
      </c>
      <c r="BF23" s="42">
        <f t="shared" si="21"/>
        <v>6</v>
      </c>
      <c r="BG23" s="42">
        <f t="shared" si="21"/>
        <v>0</v>
      </c>
      <c r="BH23" s="42">
        <f t="shared" si="21"/>
        <v>0</v>
      </c>
      <c r="BI23" s="42">
        <f t="shared" si="17"/>
        <v>0</v>
      </c>
      <c r="BJ23" s="42">
        <f t="shared" si="12"/>
        <v>0</v>
      </c>
      <c r="BK23" s="42">
        <f t="shared" si="12"/>
        <v>7</v>
      </c>
    </row>
    <row r="24" spans="1:63" x14ac:dyDescent="0.25">
      <c r="A24" s="295" t="s">
        <v>38</v>
      </c>
      <c r="B24" s="24" t="s">
        <v>39</v>
      </c>
      <c r="C24" s="2"/>
      <c r="D24" s="2" t="s">
        <v>94</v>
      </c>
      <c r="E24" s="1"/>
      <c r="F24" s="1"/>
      <c r="G24" s="1"/>
      <c r="H24" s="1"/>
      <c r="I24" s="1"/>
      <c r="J24" s="1"/>
      <c r="K24" s="1"/>
      <c r="L24" s="1"/>
      <c r="M24" s="1"/>
      <c r="N24" s="1"/>
      <c r="O24" s="1"/>
      <c r="P24" s="1"/>
      <c r="Q24" s="22"/>
      <c r="R24" s="1"/>
      <c r="S24" s="1"/>
      <c r="T24" s="1"/>
      <c r="U24" s="49"/>
      <c r="V24" s="49"/>
      <c r="W24" s="49"/>
      <c r="X24" s="49"/>
      <c r="Y24" s="34">
        <f t="shared" ref="Y24:AE24" si="22">SUM(Y25:Y40)</f>
        <v>24.5</v>
      </c>
      <c r="Z24" s="34">
        <f t="shared" si="22"/>
        <v>0</v>
      </c>
      <c r="AA24" s="34">
        <f t="shared" si="22"/>
        <v>1095</v>
      </c>
      <c r="AB24" s="34">
        <f t="shared" si="22"/>
        <v>0</v>
      </c>
      <c r="AC24" s="34">
        <f t="shared" si="22"/>
        <v>0</v>
      </c>
      <c r="AD24" s="34">
        <f t="shared" si="22"/>
        <v>0</v>
      </c>
      <c r="AE24" s="34">
        <f t="shared" si="22"/>
        <v>0</v>
      </c>
      <c r="AF24" s="34">
        <f t="shared" si="7"/>
        <v>1119.5</v>
      </c>
      <c r="AG24" s="34">
        <f t="shared" ref="AG24:AL24" si="23">SUM(AG25:AG40)</f>
        <v>20</v>
      </c>
      <c r="AH24" s="34">
        <f t="shared" si="23"/>
        <v>0</v>
      </c>
      <c r="AI24" s="34">
        <f>SUM(AI25:AI42)</f>
        <v>1424.75</v>
      </c>
      <c r="AJ24" s="34">
        <f t="shared" si="23"/>
        <v>0</v>
      </c>
      <c r="AK24" s="34">
        <f t="shared" si="23"/>
        <v>0</v>
      </c>
      <c r="AL24" s="34">
        <f t="shared" si="23"/>
        <v>0</v>
      </c>
      <c r="AM24" s="34">
        <f t="shared" si="18"/>
        <v>1444.75</v>
      </c>
      <c r="AN24" s="34">
        <f t="shared" ref="AN24:AT24" si="24">SUM(AN25:AN40)</f>
        <v>2.5</v>
      </c>
      <c r="AO24" s="34">
        <f t="shared" si="24"/>
        <v>0</v>
      </c>
      <c r="AP24" s="34">
        <f>SUM(AP25:AP42)</f>
        <v>825</v>
      </c>
      <c r="AQ24" s="34">
        <f t="shared" si="24"/>
        <v>0</v>
      </c>
      <c r="AR24" s="34">
        <f t="shared" si="24"/>
        <v>0</v>
      </c>
      <c r="AS24" s="34">
        <f t="shared" si="24"/>
        <v>0</v>
      </c>
      <c r="AT24" s="34">
        <f t="shared" si="24"/>
        <v>0</v>
      </c>
      <c r="AU24" s="34">
        <f t="shared" si="19"/>
        <v>827.5</v>
      </c>
      <c r="AV24" s="34">
        <f>SUM(AV25:AV42)</f>
        <v>5</v>
      </c>
      <c r="AW24" s="31">
        <f t="shared" ref="AW24:BB24" si="25">SUM(AW25:AW40)</f>
        <v>0</v>
      </c>
      <c r="AX24" s="34">
        <f t="shared" si="25"/>
        <v>864</v>
      </c>
      <c r="AY24" s="34">
        <f t="shared" si="25"/>
        <v>0</v>
      </c>
      <c r="AZ24" s="34">
        <f t="shared" si="25"/>
        <v>0</v>
      </c>
      <c r="BA24" s="34">
        <f t="shared" si="25"/>
        <v>0</v>
      </c>
      <c r="BB24" s="34">
        <f t="shared" si="25"/>
        <v>0</v>
      </c>
      <c r="BC24" s="34">
        <f t="shared" si="20"/>
        <v>869</v>
      </c>
      <c r="BD24" s="34">
        <f t="shared" si="21"/>
        <v>52</v>
      </c>
      <c r="BE24" s="34">
        <f t="shared" si="21"/>
        <v>0</v>
      </c>
      <c r="BF24" s="34">
        <f t="shared" si="21"/>
        <v>4208.75</v>
      </c>
      <c r="BG24" s="34">
        <f t="shared" si="21"/>
        <v>0</v>
      </c>
      <c r="BH24" s="34">
        <f t="shared" si="21"/>
        <v>0</v>
      </c>
      <c r="BI24" s="34">
        <f t="shared" si="17"/>
        <v>0</v>
      </c>
      <c r="BJ24" s="34">
        <f t="shared" si="12"/>
        <v>0</v>
      </c>
      <c r="BK24" s="34">
        <f t="shared" si="12"/>
        <v>4260.75</v>
      </c>
    </row>
    <row r="25" spans="1:63" ht="50.25" customHeight="1" x14ac:dyDescent="0.25">
      <c r="A25" s="298" t="s">
        <v>38</v>
      </c>
      <c r="B25" s="299" t="s">
        <v>39</v>
      </c>
      <c r="C25" s="1546" t="s">
        <v>95</v>
      </c>
      <c r="D25" s="1549" t="s">
        <v>96</v>
      </c>
      <c r="E25" s="1549" t="s">
        <v>97</v>
      </c>
      <c r="F25" s="1549">
        <v>2014</v>
      </c>
      <c r="G25" s="1549">
        <v>47.54</v>
      </c>
      <c r="H25" s="1549">
        <v>50</v>
      </c>
      <c r="I25" s="1425"/>
      <c r="J25" s="1425"/>
      <c r="K25" s="1425" t="s">
        <v>98</v>
      </c>
      <c r="L25" s="301" t="s">
        <v>44</v>
      </c>
      <c r="M25" s="1425" t="s">
        <v>45</v>
      </c>
      <c r="N25" s="1425" t="s">
        <v>46</v>
      </c>
      <c r="O25" s="1425" t="s">
        <v>47</v>
      </c>
      <c r="P25" s="25" t="s">
        <v>99</v>
      </c>
      <c r="Q25" s="302" t="s">
        <v>100</v>
      </c>
      <c r="R25" s="303">
        <v>2015</v>
      </c>
      <c r="S25" s="303">
        <v>0</v>
      </c>
      <c r="T25" s="303">
        <v>2</v>
      </c>
      <c r="U25" s="572">
        <v>4</v>
      </c>
      <c r="V25" s="572">
        <v>11</v>
      </c>
      <c r="W25" s="572">
        <v>18</v>
      </c>
      <c r="X25" s="572">
        <v>18</v>
      </c>
      <c r="Y25" s="481"/>
      <c r="Z25" s="481"/>
      <c r="AA25" s="481">
        <v>20</v>
      </c>
      <c r="AB25" s="481"/>
      <c r="AC25" s="481"/>
      <c r="AD25" s="481"/>
      <c r="AE25" s="481"/>
      <c r="AF25" s="481">
        <f t="shared" si="7"/>
        <v>20</v>
      </c>
      <c r="AG25" s="548"/>
      <c r="AH25" s="548"/>
      <c r="AI25" s="548">
        <v>20</v>
      </c>
      <c r="AJ25" s="548"/>
      <c r="AK25" s="548"/>
      <c r="AL25" s="548"/>
      <c r="AM25" s="548">
        <f t="shared" si="18"/>
        <v>20</v>
      </c>
      <c r="AN25" s="481"/>
      <c r="AO25" s="481"/>
      <c r="AP25" s="481">
        <v>100</v>
      </c>
      <c r="AQ25" s="481"/>
      <c r="AR25" s="481"/>
      <c r="AS25" s="481"/>
      <c r="AT25" s="481"/>
      <c r="AU25" s="481">
        <f t="shared" si="19"/>
        <v>100</v>
      </c>
      <c r="AV25" s="548"/>
      <c r="AW25" s="548"/>
      <c r="AX25" s="42">
        <v>100</v>
      </c>
      <c r="AY25" s="548"/>
      <c r="AZ25" s="548"/>
      <c r="BA25" s="548"/>
      <c r="BB25" s="548"/>
      <c r="BC25" s="548">
        <f t="shared" si="20"/>
        <v>100</v>
      </c>
      <c r="BD25" s="42">
        <f t="shared" si="21"/>
        <v>0</v>
      </c>
      <c r="BE25" s="42">
        <f t="shared" si="21"/>
        <v>0</v>
      </c>
      <c r="BF25" s="42">
        <f t="shared" si="21"/>
        <v>240</v>
      </c>
      <c r="BG25" s="42">
        <f t="shared" si="21"/>
        <v>0</v>
      </c>
      <c r="BH25" s="42">
        <f t="shared" si="21"/>
        <v>0</v>
      </c>
      <c r="BI25" s="42">
        <f t="shared" si="17"/>
        <v>0</v>
      </c>
      <c r="BJ25" s="42">
        <f t="shared" si="12"/>
        <v>0</v>
      </c>
      <c r="BK25" s="42">
        <f t="shared" si="12"/>
        <v>240</v>
      </c>
    </row>
    <row r="26" spans="1:63" ht="51" customHeight="1" x14ac:dyDescent="0.25">
      <c r="A26" s="298" t="s">
        <v>38</v>
      </c>
      <c r="B26" s="299" t="s">
        <v>39</v>
      </c>
      <c r="C26" s="1547"/>
      <c r="D26" s="1549"/>
      <c r="E26" s="1549"/>
      <c r="F26" s="1549"/>
      <c r="G26" s="1549"/>
      <c r="H26" s="1549"/>
      <c r="I26" s="1425"/>
      <c r="J26" s="1425"/>
      <c r="K26" s="1425" t="s">
        <v>101</v>
      </c>
      <c r="L26" s="301" t="s">
        <v>44</v>
      </c>
      <c r="M26" s="1425" t="s">
        <v>45</v>
      </c>
      <c r="N26" s="1425" t="s">
        <v>46</v>
      </c>
      <c r="O26" s="1425" t="s">
        <v>73</v>
      </c>
      <c r="P26" s="25" t="s">
        <v>102</v>
      </c>
      <c r="Q26" s="302" t="s">
        <v>103</v>
      </c>
      <c r="R26" s="303">
        <v>2015</v>
      </c>
      <c r="S26" s="303">
        <v>1</v>
      </c>
      <c r="T26" s="303">
        <v>18</v>
      </c>
      <c r="U26" s="303">
        <v>18</v>
      </c>
      <c r="V26" s="303">
        <v>18</v>
      </c>
      <c r="W26" s="303">
        <v>18</v>
      </c>
      <c r="X26" s="572">
        <v>18</v>
      </c>
      <c r="Y26" s="481"/>
      <c r="Z26" s="481"/>
      <c r="AA26" s="481">
        <v>1000</v>
      </c>
      <c r="AB26" s="481"/>
      <c r="AC26" s="481"/>
      <c r="AD26" s="481"/>
      <c r="AE26" s="481"/>
      <c r="AF26" s="481">
        <f t="shared" si="7"/>
        <v>1000</v>
      </c>
      <c r="AG26" s="548"/>
      <c r="AH26" s="548"/>
      <c r="AI26" s="548">
        <v>1256.75</v>
      </c>
      <c r="AJ26" s="548"/>
      <c r="AK26" s="548"/>
      <c r="AL26" s="548"/>
      <c r="AM26" s="548">
        <f>SUM(AG26:AL26)</f>
        <v>1256.75</v>
      </c>
      <c r="AN26" s="481"/>
      <c r="AO26" s="481"/>
      <c r="AP26" s="481">
        <v>640</v>
      </c>
      <c r="AQ26" s="481"/>
      <c r="AR26" s="481"/>
      <c r="AS26" s="481"/>
      <c r="AT26" s="481"/>
      <c r="AU26" s="481">
        <f>SUM(AN26:AT26)</f>
        <v>640</v>
      </c>
      <c r="AV26" s="548"/>
      <c r="AW26" s="548"/>
      <c r="AX26" s="548">
        <v>670</v>
      </c>
      <c r="AY26" s="548"/>
      <c r="AZ26" s="548"/>
      <c r="BA26" s="548"/>
      <c r="BB26" s="548"/>
      <c r="BC26" s="548">
        <f>SUM(AV26:BB26)</f>
        <v>670</v>
      </c>
      <c r="BD26" s="42">
        <f t="shared" si="21"/>
        <v>0</v>
      </c>
      <c r="BE26" s="42">
        <f t="shared" si="21"/>
        <v>0</v>
      </c>
      <c r="BF26" s="42">
        <f t="shared" si="21"/>
        <v>3566.75</v>
      </c>
      <c r="BG26" s="42">
        <f t="shared" si="21"/>
        <v>0</v>
      </c>
      <c r="BH26" s="42">
        <f t="shared" si="21"/>
        <v>0</v>
      </c>
      <c r="BI26" s="42">
        <f t="shared" si="17"/>
        <v>0</v>
      </c>
      <c r="BJ26" s="42">
        <f t="shared" si="12"/>
        <v>0</v>
      </c>
      <c r="BK26" s="42">
        <f t="shared" si="12"/>
        <v>3566.75</v>
      </c>
    </row>
    <row r="27" spans="1:63" ht="45" customHeight="1" x14ac:dyDescent="0.25">
      <c r="A27" s="298" t="s">
        <v>38</v>
      </c>
      <c r="B27" s="299" t="s">
        <v>39</v>
      </c>
      <c r="C27" s="1547"/>
      <c r="D27" s="1549"/>
      <c r="E27" s="1549"/>
      <c r="F27" s="1549"/>
      <c r="G27" s="1549"/>
      <c r="H27" s="1549"/>
      <c r="I27" s="1425"/>
      <c r="J27" s="1425"/>
      <c r="K27" s="1425" t="s">
        <v>104</v>
      </c>
      <c r="L27" s="301" t="s">
        <v>44</v>
      </c>
      <c r="M27" s="1425" t="s">
        <v>45</v>
      </c>
      <c r="N27" s="1425" t="s">
        <v>46</v>
      </c>
      <c r="O27" s="1425" t="s">
        <v>73</v>
      </c>
      <c r="P27" s="25" t="s">
        <v>105</v>
      </c>
      <c r="Q27" s="302" t="s">
        <v>106</v>
      </c>
      <c r="R27" s="303">
        <v>2015</v>
      </c>
      <c r="S27" s="303">
        <v>0</v>
      </c>
      <c r="T27" s="303">
        <v>1</v>
      </c>
      <c r="U27" s="572">
        <v>1</v>
      </c>
      <c r="V27" s="572">
        <v>1</v>
      </c>
      <c r="W27" s="572">
        <v>1</v>
      </c>
      <c r="X27" s="572">
        <v>1</v>
      </c>
      <c r="Y27" s="493">
        <v>9.5</v>
      </c>
      <c r="Z27" s="483"/>
      <c r="AA27" s="483">
        <v>0</v>
      </c>
      <c r="AB27" s="483"/>
      <c r="AC27" s="483"/>
      <c r="AD27" s="483"/>
      <c r="AE27" s="483"/>
      <c r="AF27" s="481">
        <f t="shared" si="7"/>
        <v>9.5</v>
      </c>
      <c r="AG27" s="587">
        <v>10</v>
      </c>
      <c r="AH27" s="587"/>
      <c r="AI27" s="493">
        <v>15</v>
      </c>
      <c r="AJ27" s="587"/>
      <c r="AK27" s="587"/>
      <c r="AL27" s="587"/>
      <c r="AM27" s="587">
        <f t="shared" ref="AM27:AM46" si="26">SUM(AG27:AL27)</f>
        <v>25</v>
      </c>
      <c r="AN27" s="493">
        <v>2.5</v>
      </c>
      <c r="AO27" s="44"/>
      <c r="AP27" s="483">
        <v>0</v>
      </c>
      <c r="AQ27" s="483"/>
      <c r="AR27" s="483"/>
      <c r="AS27" s="483"/>
      <c r="AT27" s="483"/>
      <c r="AU27" s="483">
        <f t="shared" ref="AU27:AU46" si="27">SUM(AN27:AT27)</f>
        <v>2.5</v>
      </c>
      <c r="AV27" s="493">
        <v>1.5</v>
      </c>
      <c r="AW27" s="587"/>
      <c r="AX27" s="587">
        <v>0</v>
      </c>
      <c r="AY27" s="587"/>
      <c r="AZ27" s="587"/>
      <c r="BA27" s="587"/>
      <c r="BB27" s="587"/>
      <c r="BC27" s="587">
        <f t="shared" ref="BC27:BC46" si="28">SUM(AV27:BB27)</f>
        <v>1.5</v>
      </c>
      <c r="BD27" s="44">
        <f t="shared" si="21"/>
        <v>23.5</v>
      </c>
      <c r="BE27" s="44">
        <f t="shared" si="21"/>
        <v>0</v>
      </c>
      <c r="BF27" s="44">
        <f t="shared" si="21"/>
        <v>15</v>
      </c>
      <c r="BG27" s="44">
        <f t="shared" si="21"/>
        <v>0</v>
      </c>
      <c r="BH27" s="44">
        <f t="shared" si="21"/>
        <v>0</v>
      </c>
      <c r="BI27" s="42">
        <f t="shared" si="17"/>
        <v>0</v>
      </c>
      <c r="BJ27" s="44">
        <f t="shared" si="12"/>
        <v>0</v>
      </c>
      <c r="BK27" s="44">
        <f t="shared" si="12"/>
        <v>38.5</v>
      </c>
    </row>
    <row r="28" spans="1:63" ht="49.5" customHeight="1" x14ac:dyDescent="0.25">
      <c r="A28" s="298" t="s">
        <v>38</v>
      </c>
      <c r="B28" s="299" t="s">
        <v>39</v>
      </c>
      <c r="C28" s="1547"/>
      <c r="D28" s="1549"/>
      <c r="E28" s="1549"/>
      <c r="F28" s="1549"/>
      <c r="G28" s="1549"/>
      <c r="H28" s="1549"/>
      <c r="I28" s="1425"/>
      <c r="J28" s="1425"/>
      <c r="K28" s="1425" t="s">
        <v>107</v>
      </c>
      <c r="L28" s="301" t="s">
        <v>44</v>
      </c>
      <c r="M28" s="1425" t="s">
        <v>45</v>
      </c>
      <c r="N28" s="1425" t="s">
        <v>46</v>
      </c>
      <c r="O28" s="1425" t="s">
        <v>73</v>
      </c>
      <c r="P28" s="25" t="s">
        <v>108</v>
      </c>
      <c r="Q28" s="302" t="s">
        <v>109</v>
      </c>
      <c r="R28" s="303">
        <v>2015</v>
      </c>
      <c r="S28" s="303">
        <v>0</v>
      </c>
      <c r="T28" s="303">
        <v>1</v>
      </c>
      <c r="U28" s="572">
        <v>1</v>
      </c>
      <c r="V28" s="572">
        <v>1</v>
      </c>
      <c r="W28" s="572">
        <v>1</v>
      </c>
      <c r="X28" s="572">
        <v>1</v>
      </c>
      <c r="Y28" s="481"/>
      <c r="Z28" s="481"/>
      <c r="AA28" s="481">
        <v>70</v>
      </c>
      <c r="AB28" s="481"/>
      <c r="AC28" s="481"/>
      <c r="AD28" s="481"/>
      <c r="AE28" s="481"/>
      <c r="AF28" s="481">
        <f t="shared" si="7"/>
        <v>70</v>
      </c>
      <c r="AG28" s="548"/>
      <c r="AH28" s="548"/>
      <c r="AI28" s="548">
        <v>70</v>
      </c>
      <c r="AJ28" s="548"/>
      <c r="AK28" s="548"/>
      <c r="AL28" s="548"/>
      <c r="AM28" s="548">
        <f t="shared" si="26"/>
        <v>70</v>
      </c>
      <c r="AN28" s="481"/>
      <c r="AO28" s="481"/>
      <c r="AP28" s="481">
        <v>70</v>
      </c>
      <c r="AQ28" s="481"/>
      <c r="AR28" s="481"/>
      <c r="AS28" s="481"/>
      <c r="AT28" s="481"/>
      <c r="AU28" s="481">
        <f t="shared" si="27"/>
        <v>70</v>
      </c>
      <c r="AV28" s="548"/>
      <c r="AW28" s="548"/>
      <c r="AX28" s="491">
        <v>79</v>
      </c>
      <c r="AY28" s="548"/>
      <c r="AZ28" s="548"/>
      <c r="BA28" s="548"/>
      <c r="BB28" s="548"/>
      <c r="BC28" s="548">
        <f t="shared" si="28"/>
        <v>79</v>
      </c>
      <c r="BD28" s="42">
        <f t="shared" si="21"/>
        <v>0</v>
      </c>
      <c r="BE28" s="42">
        <f t="shared" si="21"/>
        <v>0</v>
      </c>
      <c r="BF28" s="42">
        <f t="shared" si="21"/>
        <v>289</v>
      </c>
      <c r="BG28" s="42">
        <f t="shared" si="21"/>
        <v>0</v>
      </c>
      <c r="BH28" s="42">
        <f t="shared" si="21"/>
        <v>0</v>
      </c>
      <c r="BI28" s="42">
        <f t="shared" si="17"/>
        <v>0</v>
      </c>
      <c r="BJ28" s="42">
        <f t="shared" si="12"/>
        <v>0</v>
      </c>
      <c r="BK28" s="42">
        <f t="shared" si="12"/>
        <v>289</v>
      </c>
    </row>
    <row r="29" spans="1:63" ht="15" customHeight="1" x14ac:dyDescent="0.25">
      <c r="A29" s="298" t="s">
        <v>38</v>
      </c>
      <c r="B29" s="299" t="s">
        <v>39</v>
      </c>
      <c r="C29" s="1547"/>
      <c r="D29" s="1549"/>
      <c r="E29" s="1549"/>
      <c r="F29" s="1549"/>
      <c r="G29" s="1549"/>
      <c r="H29" s="1549"/>
      <c r="I29" s="1425"/>
      <c r="J29" s="1425"/>
      <c r="K29" s="1425" t="s">
        <v>110</v>
      </c>
      <c r="L29" s="301" t="s">
        <v>44</v>
      </c>
      <c r="M29" s="1425" t="s">
        <v>45</v>
      </c>
      <c r="N29" s="1425" t="s">
        <v>46</v>
      </c>
      <c r="O29" s="1425" t="s">
        <v>73</v>
      </c>
      <c r="P29" s="16" t="s">
        <v>111</v>
      </c>
      <c r="Q29" s="302" t="s">
        <v>112</v>
      </c>
      <c r="R29" s="303">
        <v>2015</v>
      </c>
      <c r="S29" s="303">
        <v>1</v>
      </c>
      <c r="T29" s="303">
        <v>1</v>
      </c>
      <c r="U29" s="572">
        <v>1</v>
      </c>
      <c r="V29" s="572">
        <v>1</v>
      </c>
      <c r="W29" s="572">
        <v>1</v>
      </c>
      <c r="X29" s="572">
        <v>1</v>
      </c>
      <c r="Y29" s="491">
        <v>13</v>
      </c>
      <c r="Z29" s="481"/>
      <c r="AA29" s="481"/>
      <c r="AB29" s="481"/>
      <c r="AC29" s="481"/>
      <c r="AD29" s="481"/>
      <c r="AE29" s="481"/>
      <c r="AF29" s="481">
        <f t="shared" si="7"/>
        <v>13</v>
      </c>
      <c r="AG29" s="491">
        <v>10</v>
      </c>
      <c r="AH29" s="548"/>
      <c r="AI29" s="491">
        <v>15</v>
      </c>
      <c r="AJ29" s="548"/>
      <c r="AK29" s="548"/>
      <c r="AL29" s="548"/>
      <c r="AM29" s="548">
        <f t="shared" si="26"/>
        <v>25</v>
      </c>
      <c r="AN29" s="481"/>
      <c r="AO29" s="481"/>
      <c r="AP29" s="491">
        <v>0.5</v>
      </c>
      <c r="AQ29" s="481"/>
      <c r="AR29" s="481"/>
      <c r="AS29" s="481"/>
      <c r="AT29" s="481"/>
      <c r="AU29" s="481">
        <f t="shared" si="27"/>
        <v>0.5</v>
      </c>
      <c r="AV29" s="548"/>
      <c r="AW29" s="548"/>
      <c r="AX29" s="491">
        <v>1</v>
      </c>
      <c r="AY29" s="548"/>
      <c r="AZ29" s="548"/>
      <c r="BA29" s="548"/>
      <c r="BB29" s="548"/>
      <c r="BC29" s="548">
        <f t="shared" si="28"/>
        <v>1</v>
      </c>
      <c r="BD29" s="42">
        <f t="shared" si="21"/>
        <v>23</v>
      </c>
      <c r="BE29" s="42">
        <f t="shared" si="21"/>
        <v>0</v>
      </c>
      <c r="BF29" s="42">
        <f t="shared" si="21"/>
        <v>16.5</v>
      </c>
      <c r="BG29" s="42">
        <f t="shared" si="21"/>
        <v>0</v>
      </c>
      <c r="BH29" s="42">
        <f t="shared" si="21"/>
        <v>0</v>
      </c>
      <c r="BI29" s="42">
        <f t="shared" si="17"/>
        <v>0</v>
      </c>
      <c r="BJ29" s="42">
        <f t="shared" si="12"/>
        <v>0</v>
      </c>
      <c r="BK29" s="42">
        <f t="shared" si="12"/>
        <v>39.5</v>
      </c>
    </row>
    <row r="30" spans="1:63" ht="15.75" customHeight="1" x14ac:dyDescent="0.25">
      <c r="A30" s="298" t="s">
        <v>38</v>
      </c>
      <c r="B30" s="299" t="s">
        <v>39</v>
      </c>
      <c r="C30" s="1547"/>
      <c r="D30" s="1549"/>
      <c r="E30" s="1549"/>
      <c r="F30" s="1549"/>
      <c r="G30" s="1549"/>
      <c r="H30" s="1549"/>
      <c r="I30" s="1425"/>
      <c r="J30" s="1425"/>
      <c r="K30" s="1425" t="s">
        <v>113</v>
      </c>
      <c r="L30" s="301" t="s">
        <v>44</v>
      </c>
      <c r="M30" s="1425" t="s">
        <v>45</v>
      </c>
      <c r="N30" s="1425" t="s">
        <v>46</v>
      </c>
      <c r="O30" s="1425" t="s">
        <v>47</v>
      </c>
      <c r="P30" s="16" t="s">
        <v>114</v>
      </c>
      <c r="Q30" s="302" t="s">
        <v>115</v>
      </c>
      <c r="R30" s="303">
        <v>2015</v>
      </c>
      <c r="S30" s="303">
        <v>1</v>
      </c>
      <c r="T30" s="303">
        <v>1</v>
      </c>
      <c r="U30" s="572">
        <v>2</v>
      </c>
      <c r="V30" s="572">
        <v>3</v>
      </c>
      <c r="W30" s="572">
        <v>4</v>
      </c>
      <c r="X30" s="572">
        <v>4</v>
      </c>
      <c r="Y30" s="481"/>
      <c r="Z30" s="481"/>
      <c r="AA30" s="481">
        <v>5</v>
      </c>
      <c r="AB30" s="481"/>
      <c r="AC30" s="481"/>
      <c r="AD30" s="481"/>
      <c r="AE30" s="481"/>
      <c r="AF30" s="481">
        <f t="shared" si="7"/>
        <v>5</v>
      </c>
      <c r="AG30" s="548"/>
      <c r="AH30" s="548"/>
      <c r="AI30" s="491">
        <v>5</v>
      </c>
      <c r="AJ30" s="548"/>
      <c r="AK30" s="548"/>
      <c r="AL30" s="548"/>
      <c r="AM30" s="548">
        <f t="shared" si="26"/>
        <v>5</v>
      </c>
      <c r="AN30" s="481"/>
      <c r="AO30" s="481"/>
      <c r="AP30" s="481">
        <v>4.5</v>
      </c>
      <c r="AQ30" s="481"/>
      <c r="AR30" s="481"/>
      <c r="AS30" s="481"/>
      <c r="AT30" s="481"/>
      <c r="AU30" s="481">
        <f t="shared" si="27"/>
        <v>4.5</v>
      </c>
      <c r="AV30" s="548"/>
      <c r="AW30" s="548"/>
      <c r="AX30" s="491">
        <v>3</v>
      </c>
      <c r="AY30" s="548"/>
      <c r="AZ30" s="548"/>
      <c r="BA30" s="548"/>
      <c r="BB30" s="548"/>
      <c r="BC30" s="548">
        <f t="shared" si="28"/>
        <v>3</v>
      </c>
      <c r="BD30" s="42">
        <f t="shared" si="21"/>
        <v>0</v>
      </c>
      <c r="BE30" s="42">
        <f t="shared" si="21"/>
        <v>0</v>
      </c>
      <c r="BF30" s="42">
        <f t="shared" si="21"/>
        <v>17.5</v>
      </c>
      <c r="BG30" s="42">
        <f t="shared" si="21"/>
        <v>0</v>
      </c>
      <c r="BH30" s="42">
        <f t="shared" si="21"/>
        <v>0</v>
      </c>
      <c r="BI30" s="42">
        <f t="shared" si="17"/>
        <v>0</v>
      </c>
      <c r="BJ30" s="42">
        <f t="shared" si="12"/>
        <v>0</v>
      </c>
      <c r="BK30" s="42">
        <f t="shared" si="12"/>
        <v>17.5</v>
      </c>
    </row>
    <row r="31" spans="1:63" ht="19.5" customHeight="1" x14ac:dyDescent="0.25">
      <c r="A31" s="298" t="s">
        <v>38</v>
      </c>
      <c r="B31" s="299" t="s">
        <v>39</v>
      </c>
      <c r="C31" s="1547"/>
      <c r="D31" s="1549"/>
      <c r="E31" s="1549"/>
      <c r="F31" s="1549"/>
      <c r="G31" s="1549"/>
      <c r="H31" s="1549"/>
      <c r="I31" s="1425"/>
      <c r="J31" s="1425"/>
      <c r="K31" s="1425" t="s">
        <v>116</v>
      </c>
      <c r="L31" s="301" t="s">
        <v>44</v>
      </c>
      <c r="M31" s="1425" t="s">
        <v>45</v>
      </c>
      <c r="N31" s="1425" t="s">
        <v>46</v>
      </c>
      <c r="O31" s="1425" t="s">
        <v>73</v>
      </c>
      <c r="P31" s="16" t="s">
        <v>117</v>
      </c>
      <c r="Q31" s="302" t="s">
        <v>118</v>
      </c>
      <c r="R31" s="303">
        <v>2015</v>
      </c>
      <c r="S31" s="303">
        <v>0</v>
      </c>
      <c r="T31" s="303">
        <v>1</v>
      </c>
      <c r="U31" s="572">
        <v>1</v>
      </c>
      <c r="V31" s="572">
        <v>1</v>
      </c>
      <c r="W31" s="572">
        <v>1</v>
      </c>
      <c r="X31" s="572">
        <v>1</v>
      </c>
      <c r="Y31" s="491">
        <v>0.5</v>
      </c>
      <c r="Z31" s="481"/>
      <c r="AA31" s="481"/>
      <c r="AB31" s="481"/>
      <c r="AC31" s="481"/>
      <c r="AD31" s="481"/>
      <c r="AE31" s="481"/>
      <c r="AF31" s="481">
        <f t="shared" si="7"/>
        <v>0.5</v>
      </c>
      <c r="AG31" s="548"/>
      <c r="AH31" s="548"/>
      <c r="AI31" s="491">
        <v>1</v>
      </c>
      <c r="AJ31" s="548"/>
      <c r="AK31" s="548"/>
      <c r="AL31" s="548"/>
      <c r="AM31" s="548">
        <f t="shared" si="26"/>
        <v>1</v>
      </c>
      <c r="AN31" s="481"/>
      <c r="AO31" s="481"/>
      <c r="AP31" s="491">
        <v>0.5</v>
      </c>
      <c r="AQ31" s="481"/>
      <c r="AR31" s="481"/>
      <c r="AS31" s="481"/>
      <c r="AT31" s="481"/>
      <c r="AU31" s="481">
        <f t="shared" si="27"/>
        <v>0.5</v>
      </c>
      <c r="AV31" s="548"/>
      <c r="AW31" s="548"/>
      <c r="AX31" s="491">
        <v>0.5</v>
      </c>
      <c r="AY31" s="548"/>
      <c r="AZ31" s="548"/>
      <c r="BA31" s="548"/>
      <c r="BB31" s="548"/>
      <c r="BC31" s="548">
        <f t="shared" si="28"/>
        <v>0.5</v>
      </c>
      <c r="BD31" s="42">
        <f t="shared" si="21"/>
        <v>0.5</v>
      </c>
      <c r="BE31" s="42">
        <f t="shared" si="21"/>
        <v>0</v>
      </c>
      <c r="BF31" s="42">
        <f t="shared" si="21"/>
        <v>2</v>
      </c>
      <c r="BG31" s="42">
        <f t="shared" si="21"/>
        <v>0</v>
      </c>
      <c r="BH31" s="42">
        <f t="shared" si="21"/>
        <v>0</v>
      </c>
      <c r="BI31" s="42">
        <f t="shared" si="17"/>
        <v>0</v>
      </c>
      <c r="BJ31" s="42">
        <f t="shared" si="12"/>
        <v>0</v>
      </c>
      <c r="BK31" s="42">
        <f t="shared" si="12"/>
        <v>2.5</v>
      </c>
    </row>
    <row r="32" spans="1:63" ht="15" customHeight="1" x14ac:dyDescent="0.25">
      <c r="A32" s="298" t="s">
        <v>38</v>
      </c>
      <c r="B32" s="299" t="s">
        <v>39</v>
      </c>
      <c r="C32" s="1547"/>
      <c r="D32" s="1549"/>
      <c r="E32" s="1549"/>
      <c r="F32" s="1549"/>
      <c r="G32" s="1549"/>
      <c r="H32" s="1549"/>
      <c r="I32" s="1425"/>
      <c r="J32" s="1425"/>
      <c r="K32" s="1425" t="s">
        <v>119</v>
      </c>
      <c r="L32" s="301" t="s">
        <v>44</v>
      </c>
      <c r="M32" s="1425" t="s">
        <v>45</v>
      </c>
      <c r="N32" s="1425" t="s">
        <v>46</v>
      </c>
      <c r="O32" s="1425" t="s">
        <v>47</v>
      </c>
      <c r="P32" s="16" t="s">
        <v>120</v>
      </c>
      <c r="Q32" s="302" t="s">
        <v>121</v>
      </c>
      <c r="R32" s="303">
        <v>2015</v>
      </c>
      <c r="S32" s="303">
        <v>0</v>
      </c>
      <c r="T32" s="303">
        <v>0</v>
      </c>
      <c r="U32" s="572">
        <v>1</v>
      </c>
      <c r="V32" s="572">
        <v>1</v>
      </c>
      <c r="W32" s="572">
        <v>1</v>
      </c>
      <c r="X32" s="572">
        <v>1</v>
      </c>
      <c r="Y32" s="481"/>
      <c r="Z32" s="481"/>
      <c r="AA32" s="481"/>
      <c r="AB32" s="481"/>
      <c r="AC32" s="481"/>
      <c r="AD32" s="481"/>
      <c r="AE32" s="481"/>
      <c r="AF32" s="481">
        <f t="shared" si="7"/>
        <v>0</v>
      </c>
      <c r="AG32" s="548"/>
      <c r="AH32" s="548"/>
      <c r="AI32" s="491">
        <v>1</v>
      </c>
      <c r="AJ32" s="548"/>
      <c r="AK32" s="548"/>
      <c r="AL32" s="548"/>
      <c r="AM32" s="548">
        <f t="shared" si="26"/>
        <v>1</v>
      </c>
      <c r="AN32" s="481"/>
      <c r="AO32" s="481"/>
      <c r="AP32" s="491">
        <v>0.5</v>
      </c>
      <c r="AQ32" s="481"/>
      <c r="AR32" s="481"/>
      <c r="AS32" s="481"/>
      <c r="AT32" s="481"/>
      <c r="AU32" s="481">
        <f t="shared" si="27"/>
        <v>0.5</v>
      </c>
      <c r="AV32" s="548"/>
      <c r="AW32" s="548"/>
      <c r="AX32" s="491">
        <v>0.5</v>
      </c>
      <c r="AY32" s="548"/>
      <c r="AZ32" s="548"/>
      <c r="BA32" s="548"/>
      <c r="BB32" s="548"/>
      <c r="BC32" s="548">
        <f t="shared" si="28"/>
        <v>0.5</v>
      </c>
      <c r="BD32" s="42">
        <f t="shared" si="21"/>
        <v>0</v>
      </c>
      <c r="BE32" s="42">
        <f t="shared" si="21"/>
        <v>0</v>
      </c>
      <c r="BF32" s="42">
        <f t="shared" si="21"/>
        <v>2</v>
      </c>
      <c r="BG32" s="42">
        <f t="shared" si="21"/>
        <v>0</v>
      </c>
      <c r="BH32" s="42">
        <f t="shared" si="21"/>
        <v>0</v>
      </c>
      <c r="BI32" s="42">
        <f t="shared" si="17"/>
        <v>0</v>
      </c>
      <c r="BJ32" s="42">
        <f t="shared" si="12"/>
        <v>0</v>
      </c>
      <c r="BK32" s="42">
        <f t="shared" si="12"/>
        <v>2</v>
      </c>
    </row>
    <row r="33" spans="1:64" ht="15" customHeight="1" x14ac:dyDescent="0.25">
      <c r="A33" s="298" t="s">
        <v>38</v>
      </c>
      <c r="B33" s="299" t="s">
        <v>39</v>
      </c>
      <c r="C33" s="1547"/>
      <c r="D33" s="1549"/>
      <c r="E33" s="1549"/>
      <c r="F33" s="1549"/>
      <c r="G33" s="1549"/>
      <c r="H33" s="1549"/>
      <c r="I33" s="1425"/>
      <c r="J33" s="1425"/>
      <c r="K33" s="1425" t="s">
        <v>122</v>
      </c>
      <c r="L33" s="301" t="s">
        <v>44</v>
      </c>
      <c r="M33" s="1425" t="s">
        <v>45</v>
      </c>
      <c r="N33" s="1425" t="s">
        <v>46</v>
      </c>
      <c r="O33" s="1425" t="s">
        <v>73</v>
      </c>
      <c r="P33" s="16" t="s">
        <v>123</v>
      </c>
      <c r="Q33" s="302" t="s">
        <v>124</v>
      </c>
      <c r="R33" s="303">
        <v>2015</v>
      </c>
      <c r="S33" s="303">
        <v>0</v>
      </c>
      <c r="T33" s="303">
        <v>6</v>
      </c>
      <c r="U33" s="572">
        <v>6</v>
      </c>
      <c r="V33" s="572">
        <v>6</v>
      </c>
      <c r="W33" s="572">
        <v>6</v>
      </c>
      <c r="X33" s="572">
        <v>6</v>
      </c>
      <c r="Y33" s="491">
        <v>0.5</v>
      </c>
      <c r="Z33" s="481"/>
      <c r="AA33" s="481"/>
      <c r="AB33" s="481"/>
      <c r="AC33" s="481"/>
      <c r="AD33" s="481"/>
      <c r="AE33" s="481"/>
      <c r="AF33" s="481">
        <f t="shared" si="7"/>
        <v>0.5</v>
      </c>
      <c r="AG33" s="548"/>
      <c r="AH33" s="548"/>
      <c r="AI33" s="491">
        <v>12</v>
      </c>
      <c r="AJ33" s="548"/>
      <c r="AK33" s="548"/>
      <c r="AL33" s="548"/>
      <c r="AM33" s="548">
        <f t="shared" si="26"/>
        <v>12</v>
      </c>
      <c r="AN33" s="481"/>
      <c r="AO33" s="481"/>
      <c r="AP33" s="491">
        <v>5</v>
      </c>
      <c r="AQ33" s="481"/>
      <c r="AR33" s="481"/>
      <c r="AS33" s="481"/>
      <c r="AT33" s="481"/>
      <c r="AU33" s="481">
        <f t="shared" si="27"/>
        <v>5</v>
      </c>
      <c r="AV33" s="548"/>
      <c r="AW33" s="548"/>
      <c r="AX33" s="548">
        <v>10</v>
      </c>
      <c r="AY33" s="548"/>
      <c r="AZ33" s="548"/>
      <c r="BA33" s="548"/>
      <c r="BB33" s="548"/>
      <c r="BC33" s="548">
        <f t="shared" si="28"/>
        <v>10</v>
      </c>
      <c r="BD33" s="42">
        <f t="shared" si="21"/>
        <v>0.5</v>
      </c>
      <c r="BE33" s="42">
        <f t="shared" si="21"/>
        <v>0</v>
      </c>
      <c r="BF33" s="42">
        <f t="shared" si="21"/>
        <v>27</v>
      </c>
      <c r="BG33" s="42">
        <f t="shared" si="21"/>
        <v>0</v>
      </c>
      <c r="BH33" s="42">
        <f t="shared" si="21"/>
        <v>0</v>
      </c>
      <c r="BI33" s="42">
        <f t="shared" si="17"/>
        <v>0</v>
      </c>
      <c r="BJ33" s="42">
        <f t="shared" si="12"/>
        <v>0</v>
      </c>
      <c r="BK33" s="42">
        <f t="shared" si="12"/>
        <v>27.5</v>
      </c>
    </row>
    <row r="34" spans="1:64" ht="18" customHeight="1" x14ac:dyDescent="0.25">
      <c r="A34" s="298"/>
      <c r="B34" s="299" t="s">
        <v>39</v>
      </c>
      <c r="C34" s="1547"/>
      <c r="D34" s="1549"/>
      <c r="E34" s="1549"/>
      <c r="F34" s="1549"/>
      <c r="G34" s="1549"/>
      <c r="H34" s="1549"/>
      <c r="I34" s="1425"/>
      <c r="J34" s="1425"/>
      <c r="K34" s="1425" t="s">
        <v>125</v>
      </c>
      <c r="L34" s="301" t="s">
        <v>44</v>
      </c>
      <c r="M34" s="1425" t="s">
        <v>45</v>
      </c>
      <c r="N34" s="1425" t="s">
        <v>46</v>
      </c>
      <c r="O34" s="1425" t="s">
        <v>47</v>
      </c>
      <c r="P34" s="16" t="s">
        <v>126</v>
      </c>
      <c r="Q34" s="302" t="s">
        <v>127</v>
      </c>
      <c r="R34" s="303">
        <v>2015</v>
      </c>
      <c r="S34" s="303">
        <v>0</v>
      </c>
      <c r="T34" s="303">
        <v>0</v>
      </c>
      <c r="U34" s="572">
        <v>1</v>
      </c>
      <c r="V34" s="572">
        <v>1</v>
      </c>
      <c r="W34" s="572">
        <v>1</v>
      </c>
      <c r="X34" s="572">
        <v>3</v>
      </c>
      <c r="Y34" s="481"/>
      <c r="Z34" s="481"/>
      <c r="AA34" s="481"/>
      <c r="AB34" s="481"/>
      <c r="AC34" s="481"/>
      <c r="AD34" s="481"/>
      <c r="AE34" s="481"/>
      <c r="AF34" s="481"/>
      <c r="AG34" s="548"/>
      <c r="AH34" s="548"/>
      <c r="AI34" s="491">
        <v>3</v>
      </c>
      <c r="AJ34" s="548"/>
      <c r="AK34" s="548"/>
      <c r="AL34" s="548"/>
      <c r="AM34" s="548">
        <f>SUM(AG34:AL34)</f>
        <v>3</v>
      </c>
      <c r="AN34" s="481"/>
      <c r="AO34" s="481"/>
      <c r="AP34" s="491">
        <v>0.5</v>
      </c>
      <c r="AQ34" s="481"/>
      <c r="AR34" s="481"/>
      <c r="AS34" s="481"/>
      <c r="AT34" s="481"/>
      <c r="AU34" s="481">
        <f>SUM(AN34:AT34)</f>
        <v>0.5</v>
      </c>
      <c r="AV34" s="491">
        <v>0.5</v>
      </c>
      <c r="AW34" s="548"/>
      <c r="AX34" s="548"/>
      <c r="AY34" s="548"/>
      <c r="AZ34" s="548"/>
      <c r="BA34" s="548"/>
      <c r="BB34" s="548"/>
      <c r="BC34" s="548">
        <f>SUM(AV34:BB34)</f>
        <v>0.5</v>
      </c>
      <c r="BD34" s="42"/>
      <c r="BE34" s="42"/>
      <c r="BF34" s="42"/>
      <c r="BG34" s="42"/>
      <c r="BH34" s="42"/>
      <c r="BI34" s="42"/>
      <c r="BJ34" s="42"/>
      <c r="BK34" s="42"/>
    </row>
    <row r="35" spans="1:64" ht="14.25" customHeight="1" x14ac:dyDescent="0.25">
      <c r="A35" s="298" t="s">
        <v>38</v>
      </c>
      <c r="B35" s="299" t="s">
        <v>39</v>
      </c>
      <c r="C35" s="1547"/>
      <c r="D35" s="1549"/>
      <c r="E35" s="1549"/>
      <c r="F35" s="1549"/>
      <c r="G35" s="1549"/>
      <c r="H35" s="1549"/>
      <c r="I35" s="1425"/>
      <c r="J35" s="1425"/>
      <c r="K35" s="1425" t="s">
        <v>128</v>
      </c>
      <c r="L35" s="301" t="s">
        <v>44</v>
      </c>
      <c r="M35" s="1425" t="s">
        <v>45</v>
      </c>
      <c r="N35" s="1425" t="s">
        <v>46</v>
      </c>
      <c r="O35" s="1425" t="s">
        <v>47</v>
      </c>
      <c r="P35" s="16" t="s">
        <v>129</v>
      </c>
      <c r="Q35" s="302" t="s">
        <v>130</v>
      </c>
      <c r="R35" s="303">
        <v>2015</v>
      </c>
      <c r="S35" s="303">
        <v>0</v>
      </c>
      <c r="T35" s="303">
        <v>0</v>
      </c>
      <c r="U35" s="572">
        <v>1</v>
      </c>
      <c r="V35" s="572">
        <v>2</v>
      </c>
      <c r="W35" s="572">
        <v>2</v>
      </c>
      <c r="X35" s="572">
        <v>2</v>
      </c>
      <c r="Y35" s="481"/>
      <c r="Z35" s="481"/>
      <c r="AA35" s="481"/>
      <c r="AB35" s="481"/>
      <c r="AC35" s="481"/>
      <c r="AD35" s="481"/>
      <c r="AE35" s="481"/>
      <c r="AF35" s="481">
        <f t="shared" si="7"/>
        <v>0</v>
      </c>
      <c r="AG35" s="548"/>
      <c r="AH35" s="548"/>
      <c r="AI35" s="491">
        <v>5</v>
      </c>
      <c r="AJ35" s="548"/>
      <c r="AK35" s="548"/>
      <c r="AL35" s="548"/>
      <c r="AM35" s="548">
        <f t="shared" si="26"/>
        <v>5</v>
      </c>
      <c r="AN35" s="481"/>
      <c r="AO35" s="481"/>
      <c r="AP35" s="491">
        <v>0.5</v>
      </c>
      <c r="AQ35" s="481"/>
      <c r="AR35" s="481"/>
      <c r="AS35" s="481"/>
      <c r="AT35" s="481"/>
      <c r="AU35" s="481">
        <f t="shared" si="27"/>
        <v>0.5</v>
      </c>
      <c r="AV35" s="491">
        <v>0.5</v>
      </c>
      <c r="AW35" s="548"/>
      <c r="AX35" s="548"/>
      <c r="AY35" s="548"/>
      <c r="AZ35" s="548"/>
      <c r="BA35" s="548"/>
      <c r="BB35" s="548"/>
      <c r="BC35" s="548">
        <f t="shared" si="28"/>
        <v>0.5</v>
      </c>
      <c r="BD35" s="42">
        <f t="shared" si="21"/>
        <v>0.5</v>
      </c>
      <c r="BE35" s="42">
        <f t="shared" si="21"/>
        <v>0</v>
      </c>
      <c r="BF35" s="42">
        <f t="shared" si="21"/>
        <v>5.5</v>
      </c>
      <c r="BG35" s="42">
        <f t="shared" si="21"/>
        <v>0</v>
      </c>
      <c r="BH35" s="42">
        <f t="shared" si="21"/>
        <v>0</v>
      </c>
      <c r="BI35" s="42">
        <f t="shared" si="17"/>
        <v>0</v>
      </c>
      <c r="BJ35" s="42">
        <f t="shared" si="12"/>
        <v>0</v>
      </c>
      <c r="BK35" s="42">
        <f t="shared" si="12"/>
        <v>6</v>
      </c>
    </row>
    <row r="36" spans="1:64" ht="13.5" customHeight="1" x14ac:dyDescent="0.25">
      <c r="A36" s="298" t="s">
        <v>38</v>
      </c>
      <c r="B36" s="299" t="s">
        <v>39</v>
      </c>
      <c r="C36" s="1547"/>
      <c r="D36" s="1549"/>
      <c r="E36" s="1549"/>
      <c r="F36" s="1549"/>
      <c r="G36" s="1549"/>
      <c r="H36" s="1549"/>
      <c r="I36" s="1425"/>
      <c r="J36" s="1425"/>
      <c r="K36" s="1425" t="s">
        <v>131</v>
      </c>
      <c r="L36" s="301" t="s">
        <v>44</v>
      </c>
      <c r="M36" s="1425" t="s">
        <v>45</v>
      </c>
      <c r="N36" s="1425" t="s">
        <v>46</v>
      </c>
      <c r="O36" s="1425" t="s">
        <v>73</v>
      </c>
      <c r="P36" s="16" t="s">
        <v>132</v>
      </c>
      <c r="Q36" s="302" t="s">
        <v>133</v>
      </c>
      <c r="R36" s="303">
        <v>2015</v>
      </c>
      <c r="S36" s="303">
        <v>0</v>
      </c>
      <c r="T36" s="303">
        <v>1</v>
      </c>
      <c r="U36" s="572">
        <v>1</v>
      </c>
      <c r="V36" s="572">
        <v>1</v>
      </c>
      <c r="W36" s="572">
        <v>1</v>
      </c>
      <c r="X36" s="572">
        <v>1</v>
      </c>
      <c r="Y36" s="491">
        <v>0.5</v>
      </c>
      <c r="Z36" s="481"/>
      <c r="AA36" s="481"/>
      <c r="AB36" s="481"/>
      <c r="AC36" s="481"/>
      <c r="AD36" s="481"/>
      <c r="AE36" s="481"/>
      <c r="AF36" s="481">
        <f t="shared" si="7"/>
        <v>0.5</v>
      </c>
      <c r="AG36" s="548"/>
      <c r="AH36" s="548"/>
      <c r="AI36" s="491">
        <v>3</v>
      </c>
      <c r="AJ36" s="548"/>
      <c r="AK36" s="548"/>
      <c r="AL36" s="548"/>
      <c r="AM36" s="548">
        <f t="shared" si="26"/>
        <v>3</v>
      </c>
      <c r="AN36" s="481"/>
      <c r="AO36" s="481"/>
      <c r="AP36" s="491">
        <v>0.5</v>
      </c>
      <c r="AQ36" s="481"/>
      <c r="AR36" s="481"/>
      <c r="AS36" s="481"/>
      <c r="AT36" s="481"/>
      <c r="AU36" s="481">
        <f t="shared" si="27"/>
        <v>0.5</v>
      </c>
      <c r="AV36" s="491">
        <v>0.5</v>
      </c>
      <c r="AW36" s="548"/>
      <c r="AX36" s="548"/>
      <c r="AY36" s="548"/>
      <c r="AZ36" s="548"/>
      <c r="BA36" s="548"/>
      <c r="BB36" s="548"/>
      <c r="BC36" s="548">
        <f t="shared" si="28"/>
        <v>0.5</v>
      </c>
      <c r="BD36" s="42">
        <f t="shared" si="21"/>
        <v>1</v>
      </c>
      <c r="BE36" s="42">
        <f t="shared" si="21"/>
        <v>0</v>
      </c>
      <c r="BF36" s="42">
        <f t="shared" si="21"/>
        <v>3.5</v>
      </c>
      <c r="BG36" s="42">
        <f t="shared" si="21"/>
        <v>0</v>
      </c>
      <c r="BH36" s="42">
        <f t="shared" si="21"/>
        <v>0</v>
      </c>
      <c r="BI36" s="42">
        <f t="shared" si="17"/>
        <v>0</v>
      </c>
      <c r="BJ36" s="42">
        <f t="shared" si="12"/>
        <v>0</v>
      </c>
      <c r="BK36" s="42">
        <f t="shared" si="12"/>
        <v>4.5</v>
      </c>
    </row>
    <row r="37" spans="1:64" ht="15" customHeight="1" x14ac:dyDescent="0.25">
      <c r="A37" s="298" t="s">
        <v>38</v>
      </c>
      <c r="B37" s="299" t="s">
        <v>39</v>
      </c>
      <c r="C37" s="1547"/>
      <c r="D37" s="1549"/>
      <c r="E37" s="1549"/>
      <c r="F37" s="1549"/>
      <c r="G37" s="1549"/>
      <c r="H37" s="1549"/>
      <c r="I37" s="1425"/>
      <c r="J37" s="1425"/>
      <c r="K37" s="1425" t="s">
        <v>134</v>
      </c>
      <c r="L37" s="301" t="s">
        <v>44</v>
      </c>
      <c r="M37" s="1425" t="s">
        <v>45</v>
      </c>
      <c r="N37" s="1425" t="s">
        <v>46</v>
      </c>
      <c r="O37" s="1425" t="s">
        <v>73</v>
      </c>
      <c r="P37" s="16" t="s">
        <v>135</v>
      </c>
      <c r="Q37" s="302" t="s">
        <v>136</v>
      </c>
      <c r="R37" s="303">
        <v>2015</v>
      </c>
      <c r="S37" s="303">
        <v>0</v>
      </c>
      <c r="T37" s="303">
        <v>1</v>
      </c>
      <c r="U37" s="572">
        <v>1</v>
      </c>
      <c r="V37" s="572">
        <v>1</v>
      </c>
      <c r="W37" s="572">
        <v>1</v>
      </c>
      <c r="X37" s="572">
        <v>1</v>
      </c>
      <c r="Y37" s="491">
        <v>0.5</v>
      </c>
      <c r="Z37" s="481"/>
      <c r="AA37" s="481"/>
      <c r="AB37" s="481"/>
      <c r="AC37" s="481"/>
      <c r="AD37" s="481"/>
      <c r="AE37" s="481"/>
      <c r="AF37" s="481">
        <f>SUM(Y37:AE37)</f>
        <v>0.5</v>
      </c>
      <c r="AG37" s="548"/>
      <c r="AH37" s="548"/>
      <c r="AI37" s="491">
        <v>3</v>
      </c>
      <c r="AJ37" s="548"/>
      <c r="AK37" s="548"/>
      <c r="AL37" s="548"/>
      <c r="AM37" s="548">
        <f>SUM(AG37:AL37)</f>
        <v>3</v>
      </c>
      <c r="AN37" s="481"/>
      <c r="AO37" s="481"/>
      <c r="AP37" s="491">
        <v>0.5</v>
      </c>
      <c r="AQ37" s="481"/>
      <c r="AR37" s="481"/>
      <c r="AS37" s="481"/>
      <c r="AT37" s="481"/>
      <c r="AU37" s="481">
        <f>SUM(AN37:AT37)</f>
        <v>0.5</v>
      </c>
      <c r="AV37" s="491">
        <v>0.5</v>
      </c>
      <c r="AW37" s="548"/>
      <c r="AX37" s="548"/>
      <c r="AY37" s="548"/>
      <c r="AZ37" s="548"/>
      <c r="BA37" s="548"/>
      <c r="BB37" s="548"/>
      <c r="BC37" s="548">
        <f>SUM(AV37:BB37)</f>
        <v>0.5</v>
      </c>
      <c r="BD37" s="42">
        <f t="shared" si="21"/>
        <v>1</v>
      </c>
      <c r="BE37" s="42">
        <f t="shared" si="21"/>
        <v>0</v>
      </c>
      <c r="BF37" s="42">
        <f t="shared" si="21"/>
        <v>3.5</v>
      </c>
      <c r="BG37" s="42">
        <f t="shared" si="21"/>
        <v>0</v>
      </c>
      <c r="BH37" s="42">
        <f t="shared" si="21"/>
        <v>0</v>
      </c>
      <c r="BI37" s="42">
        <f t="shared" si="17"/>
        <v>0</v>
      </c>
      <c r="BJ37" s="42">
        <f t="shared" si="12"/>
        <v>0</v>
      </c>
      <c r="BK37" s="42">
        <f t="shared" si="12"/>
        <v>4.5</v>
      </c>
    </row>
    <row r="38" spans="1:64" ht="15" customHeight="1" x14ac:dyDescent="0.25">
      <c r="A38" s="298" t="s">
        <v>38</v>
      </c>
      <c r="B38" s="299" t="s">
        <v>39</v>
      </c>
      <c r="C38" s="1547"/>
      <c r="D38" s="1549"/>
      <c r="E38" s="1549"/>
      <c r="F38" s="1549"/>
      <c r="G38" s="1549"/>
      <c r="H38" s="1549"/>
      <c r="I38" s="1425"/>
      <c r="J38" s="1425"/>
      <c r="K38" s="1425" t="s">
        <v>137</v>
      </c>
      <c r="L38" s="301" t="s">
        <v>44</v>
      </c>
      <c r="M38" s="1425" t="s">
        <v>45</v>
      </c>
      <c r="N38" s="1425" t="s">
        <v>46</v>
      </c>
      <c r="O38" s="1425" t="s">
        <v>47</v>
      </c>
      <c r="P38" s="16" t="s">
        <v>138</v>
      </c>
      <c r="Q38" s="302" t="s">
        <v>71</v>
      </c>
      <c r="R38" s="303">
        <v>2015</v>
      </c>
      <c r="S38" s="303">
        <v>0</v>
      </c>
      <c r="T38" s="303">
        <v>0</v>
      </c>
      <c r="U38" s="572">
        <v>1</v>
      </c>
      <c r="V38" s="572">
        <v>1</v>
      </c>
      <c r="W38" s="572">
        <v>1</v>
      </c>
      <c r="X38" s="572">
        <v>1</v>
      </c>
      <c r="Y38" s="481"/>
      <c r="Z38" s="481"/>
      <c r="AA38" s="481"/>
      <c r="AB38" s="481"/>
      <c r="AC38" s="481"/>
      <c r="AD38" s="481"/>
      <c r="AE38" s="481"/>
      <c r="AF38" s="481">
        <f>SUM(Y38:AE38)</f>
        <v>0</v>
      </c>
      <c r="AG38" s="548"/>
      <c r="AH38" s="548"/>
      <c r="AI38" s="491">
        <v>5</v>
      </c>
      <c r="AJ38" s="548"/>
      <c r="AK38" s="548"/>
      <c r="AL38" s="548"/>
      <c r="AM38" s="548">
        <f>SUM(AG38:AL38)</f>
        <v>5</v>
      </c>
      <c r="AN38" s="481"/>
      <c r="AO38" s="481"/>
      <c r="AP38" s="491">
        <v>0.5</v>
      </c>
      <c r="AQ38" s="481"/>
      <c r="AR38" s="481"/>
      <c r="AS38" s="481"/>
      <c r="AT38" s="481"/>
      <c r="AU38" s="481">
        <f>SUM(AN38:AT38)</f>
        <v>0.5</v>
      </c>
      <c r="AV38" s="491">
        <v>0.5</v>
      </c>
      <c r="AW38" s="548"/>
      <c r="AX38" s="548"/>
      <c r="AY38" s="548"/>
      <c r="AZ38" s="548"/>
      <c r="BA38" s="548"/>
      <c r="BB38" s="548"/>
      <c r="BC38" s="548">
        <f>SUM(AV38:BB38)</f>
        <v>0.5</v>
      </c>
      <c r="BD38" s="42">
        <f t="shared" si="21"/>
        <v>0.5</v>
      </c>
      <c r="BE38" s="42">
        <f t="shared" si="21"/>
        <v>0</v>
      </c>
      <c r="BF38" s="42">
        <f t="shared" si="21"/>
        <v>5.5</v>
      </c>
      <c r="BG38" s="42">
        <f t="shared" si="21"/>
        <v>0</v>
      </c>
      <c r="BH38" s="42">
        <f t="shared" si="21"/>
        <v>0</v>
      </c>
      <c r="BI38" s="42">
        <f t="shared" si="17"/>
        <v>0</v>
      </c>
      <c r="BJ38" s="42">
        <f t="shared" si="12"/>
        <v>0</v>
      </c>
      <c r="BK38" s="42">
        <f t="shared" si="12"/>
        <v>6</v>
      </c>
    </row>
    <row r="39" spans="1:64" ht="15.75" customHeight="1" x14ac:dyDescent="0.25">
      <c r="A39" s="298" t="s">
        <v>38</v>
      </c>
      <c r="B39" s="299" t="s">
        <v>39</v>
      </c>
      <c r="C39" s="1547"/>
      <c r="D39" s="1549"/>
      <c r="E39" s="1549"/>
      <c r="F39" s="1549"/>
      <c r="G39" s="1549"/>
      <c r="H39" s="1549"/>
      <c r="I39" s="1425"/>
      <c r="J39" s="1425"/>
      <c r="K39" s="1425" t="s">
        <v>139</v>
      </c>
      <c r="L39" s="301" t="s">
        <v>44</v>
      </c>
      <c r="M39" s="1425" t="s">
        <v>45</v>
      </c>
      <c r="N39" s="1425" t="s">
        <v>46</v>
      </c>
      <c r="O39" s="1425" t="s">
        <v>47</v>
      </c>
      <c r="P39" s="16" t="s">
        <v>140</v>
      </c>
      <c r="Q39" s="302" t="s">
        <v>71</v>
      </c>
      <c r="R39" s="303">
        <v>2015</v>
      </c>
      <c r="S39" s="303">
        <v>0</v>
      </c>
      <c r="T39" s="303">
        <v>0</v>
      </c>
      <c r="U39" s="572">
        <v>1</v>
      </c>
      <c r="V39" s="572">
        <v>1</v>
      </c>
      <c r="W39" s="572">
        <v>1</v>
      </c>
      <c r="X39" s="572">
        <v>1</v>
      </c>
      <c r="Y39" s="481"/>
      <c r="Z39" s="481"/>
      <c r="AA39" s="481"/>
      <c r="AB39" s="481"/>
      <c r="AC39" s="481"/>
      <c r="AD39" s="481"/>
      <c r="AE39" s="481"/>
      <c r="AF39" s="481">
        <f>SUM(Y39:AE39)</f>
        <v>0</v>
      </c>
      <c r="AG39" s="548"/>
      <c r="AH39" s="548"/>
      <c r="AI39" s="491">
        <v>5</v>
      </c>
      <c r="AJ39" s="548"/>
      <c r="AK39" s="548"/>
      <c r="AL39" s="548"/>
      <c r="AM39" s="548">
        <f>SUM(AG39:AL39)</f>
        <v>5</v>
      </c>
      <c r="AN39" s="481"/>
      <c r="AO39" s="481"/>
      <c r="AP39" s="491">
        <v>0.5</v>
      </c>
      <c r="AQ39" s="481"/>
      <c r="AR39" s="481"/>
      <c r="AS39" s="481"/>
      <c r="AT39" s="481"/>
      <c r="AU39" s="481">
        <f>SUM(AN39:AT39)</f>
        <v>0.5</v>
      </c>
      <c r="AV39" s="491">
        <v>0.5</v>
      </c>
      <c r="AW39" s="548"/>
      <c r="AX39" s="548"/>
      <c r="AY39" s="548"/>
      <c r="AZ39" s="548"/>
      <c r="BA39" s="548"/>
      <c r="BB39" s="548"/>
      <c r="BC39" s="548">
        <f>SUM(AV39:BB39)</f>
        <v>0.5</v>
      </c>
      <c r="BD39" s="42">
        <f t="shared" si="21"/>
        <v>0.5</v>
      </c>
      <c r="BE39" s="42">
        <f t="shared" si="21"/>
        <v>0</v>
      </c>
      <c r="BF39" s="42">
        <f t="shared" si="21"/>
        <v>5.5</v>
      </c>
      <c r="BG39" s="42">
        <f t="shared" si="21"/>
        <v>0</v>
      </c>
      <c r="BH39" s="42">
        <f t="shared" si="21"/>
        <v>0</v>
      </c>
      <c r="BI39" s="42">
        <f t="shared" si="17"/>
        <v>0</v>
      </c>
      <c r="BJ39" s="42">
        <f t="shared" si="12"/>
        <v>0</v>
      </c>
      <c r="BK39" s="42">
        <f t="shared" si="12"/>
        <v>6</v>
      </c>
    </row>
    <row r="40" spans="1:64" ht="30" customHeight="1" x14ac:dyDescent="0.25">
      <c r="A40" s="298" t="s">
        <v>38</v>
      </c>
      <c r="B40" s="299" t="s">
        <v>39</v>
      </c>
      <c r="C40" s="1548"/>
      <c r="D40" s="1549"/>
      <c r="E40" s="1549"/>
      <c r="F40" s="1549"/>
      <c r="G40" s="1549"/>
      <c r="H40" s="1549"/>
      <c r="I40" s="1425"/>
      <c r="J40" s="1425"/>
      <c r="K40" s="1425" t="s">
        <v>141</v>
      </c>
      <c r="L40" s="301" t="s">
        <v>44</v>
      </c>
      <c r="M40" s="1425" t="s">
        <v>45</v>
      </c>
      <c r="N40" s="1425" t="s">
        <v>46</v>
      </c>
      <c r="O40" s="1425" t="s">
        <v>47</v>
      </c>
      <c r="P40" s="25" t="s">
        <v>142</v>
      </c>
      <c r="Q40" s="302" t="s">
        <v>143</v>
      </c>
      <c r="R40" s="303">
        <v>2015</v>
      </c>
      <c r="S40" s="303">
        <v>0</v>
      </c>
      <c r="T40" s="303">
        <v>0</v>
      </c>
      <c r="U40" s="572">
        <v>1</v>
      </c>
      <c r="V40" s="572">
        <v>2</v>
      </c>
      <c r="W40" s="572">
        <v>2</v>
      </c>
      <c r="X40" s="572">
        <v>2</v>
      </c>
      <c r="Y40" s="481"/>
      <c r="Z40" s="481"/>
      <c r="AA40" s="481"/>
      <c r="AB40" s="481"/>
      <c r="AC40" s="481"/>
      <c r="AD40" s="481"/>
      <c r="AE40" s="481"/>
      <c r="AF40" s="481">
        <f t="shared" si="7"/>
        <v>0</v>
      </c>
      <c r="AG40" s="548"/>
      <c r="AH40" s="548"/>
      <c r="AI40" s="491">
        <v>3</v>
      </c>
      <c r="AJ40" s="548"/>
      <c r="AK40" s="548"/>
      <c r="AL40" s="548"/>
      <c r="AM40" s="548">
        <f t="shared" si="26"/>
        <v>3</v>
      </c>
      <c r="AN40" s="481"/>
      <c r="AO40" s="481"/>
      <c r="AP40" s="491">
        <v>0.5</v>
      </c>
      <c r="AQ40" s="481"/>
      <c r="AR40" s="481"/>
      <c r="AS40" s="481"/>
      <c r="AT40" s="481"/>
      <c r="AU40" s="481">
        <f t="shared" si="27"/>
        <v>0.5</v>
      </c>
      <c r="AV40" s="491">
        <v>0.5</v>
      </c>
      <c r="AW40" s="548"/>
      <c r="AX40" s="548"/>
      <c r="AY40" s="548"/>
      <c r="AZ40" s="548"/>
      <c r="BA40" s="548"/>
      <c r="BB40" s="548"/>
      <c r="BC40" s="548">
        <f t="shared" si="28"/>
        <v>0.5</v>
      </c>
      <c r="BD40" s="42">
        <f t="shared" si="21"/>
        <v>0.5</v>
      </c>
      <c r="BE40" s="42">
        <f t="shared" si="21"/>
        <v>0</v>
      </c>
      <c r="BF40" s="42">
        <f t="shared" si="21"/>
        <v>3.5</v>
      </c>
      <c r="BG40" s="42">
        <f t="shared" si="21"/>
        <v>0</v>
      </c>
      <c r="BH40" s="42">
        <f t="shared" si="21"/>
        <v>0</v>
      </c>
      <c r="BI40" s="42">
        <f t="shared" si="17"/>
        <v>0</v>
      </c>
      <c r="BJ40" s="42">
        <f t="shared" si="12"/>
        <v>0</v>
      </c>
      <c r="BK40" s="42">
        <f t="shared" si="12"/>
        <v>4</v>
      </c>
    </row>
    <row r="41" spans="1:64" ht="24.75" customHeight="1" x14ac:dyDescent="0.25">
      <c r="A41" s="298" t="s">
        <v>38</v>
      </c>
      <c r="B41" s="299" t="s">
        <v>39</v>
      </c>
      <c r="C41" s="1424"/>
      <c r="D41" s="1425"/>
      <c r="E41" s="1425"/>
      <c r="F41" s="1425"/>
      <c r="G41" s="1425"/>
      <c r="H41" s="1425"/>
      <c r="I41" s="1425"/>
      <c r="J41" s="1425"/>
      <c r="K41" s="1425" t="s">
        <v>144</v>
      </c>
      <c r="L41" s="301" t="s">
        <v>44</v>
      </c>
      <c r="M41" s="1425" t="s">
        <v>45</v>
      </c>
      <c r="N41" s="1425" t="s">
        <v>46</v>
      </c>
      <c r="O41" s="1425" t="s">
        <v>47</v>
      </c>
      <c r="P41" s="16" t="s">
        <v>145</v>
      </c>
      <c r="Q41" s="302" t="s">
        <v>146</v>
      </c>
      <c r="R41" s="303">
        <v>2015</v>
      </c>
      <c r="S41" s="303">
        <v>0</v>
      </c>
      <c r="T41" s="303">
        <v>0</v>
      </c>
      <c r="U41" s="572">
        <v>0</v>
      </c>
      <c r="V41" s="572">
        <v>1</v>
      </c>
      <c r="W41" s="572">
        <v>0</v>
      </c>
      <c r="X41" s="572">
        <v>1</v>
      </c>
      <c r="Y41" s="481"/>
      <c r="Z41" s="481"/>
      <c r="AA41" s="481"/>
      <c r="AB41" s="481"/>
      <c r="AC41" s="481"/>
      <c r="AD41" s="481"/>
      <c r="AE41" s="481"/>
      <c r="AF41" s="481"/>
      <c r="AG41" s="548"/>
      <c r="AH41" s="548"/>
      <c r="AI41" s="548"/>
      <c r="AJ41" s="548"/>
      <c r="AK41" s="548"/>
      <c r="AL41" s="548"/>
      <c r="AM41" s="548"/>
      <c r="AN41" s="481"/>
      <c r="AO41" s="481"/>
      <c r="AP41" s="491">
        <v>0.5</v>
      </c>
      <c r="AQ41" s="481"/>
      <c r="AR41" s="481"/>
      <c r="AS41" s="481"/>
      <c r="AT41" s="481"/>
      <c r="AU41" s="481">
        <f>SUM(AN41:AT41)</f>
        <v>0.5</v>
      </c>
      <c r="AV41" s="548"/>
      <c r="AW41" s="548"/>
      <c r="AX41" s="548"/>
      <c r="AY41" s="548"/>
      <c r="AZ41" s="548"/>
      <c r="BA41" s="548"/>
      <c r="BB41" s="548"/>
      <c r="BC41" s="548"/>
      <c r="BD41" s="42"/>
      <c r="BE41" s="42"/>
      <c r="BF41" s="42"/>
      <c r="BG41" s="42"/>
      <c r="BH41" s="42"/>
      <c r="BI41" s="42"/>
      <c r="BJ41" s="42"/>
      <c r="BK41" s="42"/>
    </row>
    <row r="42" spans="1:64" ht="29.25" customHeight="1" x14ac:dyDescent="0.25">
      <c r="A42" s="298" t="s">
        <v>38</v>
      </c>
      <c r="B42" s="299" t="s">
        <v>39</v>
      </c>
      <c r="C42" s="1424"/>
      <c r="D42" s="1425"/>
      <c r="E42" s="1425"/>
      <c r="F42" s="1425"/>
      <c r="G42" s="1425"/>
      <c r="H42" s="1425"/>
      <c r="I42" s="1425"/>
      <c r="J42" s="1425"/>
      <c r="K42" s="1425" t="s">
        <v>147</v>
      </c>
      <c r="L42" s="301" t="s">
        <v>44</v>
      </c>
      <c r="M42" s="1425" t="s">
        <v>45</v>
      </c>
      <c r="N42" s="1425" t="s">
        <v>46</v>
      </c>
      <c r="O42" s="1425" t="s">
        <v>47</v>
      </c>
      <c r="P42" s="16" t="s">
        <v>148</v>
      </c>
      <c r="Q42" s="302" t="s">
        <v>146</v>
      </c>
      <c r="R42" s="303">
        <v>2015</v>
      </c>
      <c r="S42" s="303">
        <v>0</v>
      </c>
      <c r="T42" s="303">
        <v>0</v>
      </c>
      <c r="U42" s="572">
        <v>1</v>
      </c>
      <c r="V42" s="572">
        <v>0</v>
      </c>
      <c r="W42" s="572">
        <v>0</v>
      </c>
      <c r="X42" s="572">
        <v>1</v>
      </c>
      <c r="Y42" s="481"/>
      <c r="Z42" s="481"/>
      <c r="AA42" s="481"/>
      <c r="AB42" s="481"/>
      <c r="AC42" s="481"/>
      <c r="AD42" s="481"/>
      <c r="AE42" s="481"/>
      <c r="AF42" s="481"/>
      <c r="AG42" s="548"/>
      <c r="AH42" s="548"/>
      <c r="AI42" s="491">
        <v>2</v>
      </c>
      <c r="AJ42" s="42"/>
      <c r="AK42" s="42"/>
      <c r="AL42" s="42"/>
      <c r="AM42" s="42">
        <f>SUM(AG42:AL42)</f>
        <v>2</v>
      </c>
      <c r="AN42" s="42"/>
      <c r="AO42" s="42"/>
      <c r="AP42" s="42"/>
      <c r="AQ42" s="42"/>
      <c r="AR42" s="42"/>
      <c r="AS42" s="42"/>
      <c r="AT42" s="42"/>
      <c r="AU42" s="42"/>
      <c r="AV42" s="548"/>
      <c r="AW42" s="548"/>
      <c r="AX42" s="548"/>
      <c r="AY42" s="42"/>
      <c r="AZ42" s="42"/>
      <c r="BA42" s="42"/>
      <c r="BB42" s="42"/>
      <c r="BC42" s="42"/>
      <c r="BD42" s="42"/>
      <c r="BE42" s="42"/>
      <c r="BF42" s="42"/>
      <c r="BG42" s="42"/>
      <c r="BH42" s="42"/>
      <c r="BI42" s="42"/>
      <c r="BJ42" s="42"/>
      <c r="BK42" s="42"/>
    </row>
    <row r="43" spans="1:64" x14ac:dyDescent="0.25">
      <c r="A43" s="295" t="s">
        <v>38</v>
      </c>
      <c r="B43" s="24" t="s">
        <v>39</v>
      </c>
      <c r="C43" s="2"/>
      <c r="D43" s="2" t="s">
        <v>149</v>
      </c>
      <c r="E43" s="1"/>
      <c r="F43" s="1"/>
      <c r="G43" s="1"/>
      <c r="H43" s="1"/>
      <c r="I43" s="1"/>
      <c r="J43" s="1"/>
      <c r="K43" s="1"/>
      <c r="L43" s="1"/>
      <c r="M43" s="1"/>
      <c r="N43" s="1"/>
      <c r="O43" s="1"/>
      <c r="P43" s="1"/>
      <c r="Q43" s="22"/>
      <c r="R43" s="1"/>
      <c r="S43" s="1"/>
      <c r="T43" s="1"/>
      <c r="U43" s="49"/>
      <c r="V43" s="49"/>
      <c r="W43" s="49"/>
      <c r="X43" s="49"/>
      <c r="Y43" s="34">
        <f t="shared" ref="Y43:AE43" si="29">SUM(Y44:Y47)</f>
        <v>0.5</v>
      </c>
      <c r="Z43" s="34">
        <f t="shared" si="29"/>
        <v>0</v>
      </c>
      <c r="AA43" s="34">
        <f t="shared" si="29"/>
        <v>951</v>
      </c>
      <c r="AB43" s="34">
        <f t="shared" si="29"/>
        <v>0</v>
      </c>
      <c r="AC43" s="34">
        <f t="shared" si="29"/>
        <v>0</v>
      </c>
      <c r="AD43" s="34">
        <f t="shared" si="29"/>
        <v>0.17</v>
      </c>
      <c r="AE43" s="34">
        <f t="shared" si="29"/>
        <v>0</v>
      </c>
      <c r="AF43" s="34">
        <f t="shared" si="7"/>
        <v>951.67</v>
      </c>
      <c r="AG43" s="34">
        <f t="shared" ref="AG43:AL43" si="30">SUM(AG44:AG47)</f>
        <v>5</v>
      </c>
      <c r="AH43" s="34">
        <f t="shared" si="30"/>
        <v>0</v>
      </c>
      <c r="AI43" s="34">
        <f t="shared" si="30"/>
        <v>927.53</v>
      </c>
      <c r="AJ43" s="34">
        <f t="shared" si="30"/>
        <v>0</v>
      </c>
      <c r="AK43" s="34">
        <f t="shared" si="30"/>
        <v>0</v>
      </c>
      <c r="AL43" s="34">
        <f t="shared" si="30"/>
        <v>0</v>
      </c>
      <c r="AM43" s="34">
        <f t="shared" si="26"/>
        <v>932.53</v>
      </c>
      <c r="AN43" s="34">
        <f t="shared" ref="AN43:AT43" si="31">SUM(AN44:AN47)</f>
        <v>2.5</v>
      </c>
      <c r="AO43" s="34">
        <f t="shared" si="31"/>
        <v>0</v>
      </c>
      <c r="AP43" s="34">
        <f t="shared" si="31"/>
        <v>960</v>
      </c>
      <c r="AQ43" s="34">
        <f t="shared" si="31"/>
        <v>0</v>
      </c>
      <c r="AR43" s="34">
        <f t="shared" si="31"/>
        <v>0</v>
      </c>
      <c r="AS43" s="34">
        <f t="shared" si="31"/>
        <v>0</v>
      </c>
      <c r="AT43" s="34">
        <f t="shared" si="31"/>
        <v>0</v>
      </c>
      <c r="AU43" s="34">
        <f t="shared" si="27"/>
        <v>962.5</v>
      </c>
      <c r="AV43" s="34">
        <f t="shared" ref="AV43:BB43" si="32">SUM(AV44:AV47)</f>
        <v>0</v>
      </c>
      <c r="AW43" s="34">
        <f t="shared" si="32"/>
        <v>0</v>
      </c>
      <c r="AX43" s="34">
        <f t="shared" si="32"/>
        <v>971</v>
      </c>
      <c r="AY43" s="34">
        <f t="shared" si="32"/>
        <v>0</v>
      </c>
      <c r="AZ43" s="34">
        <f t="shared" si="32"/>
        <v>0</v>
      </c>
      <c r="BA43" s="34">
        <f t="shared" si="32"/>
        <v>0</v>
      </c>
      <c r="BB43" s="34">
        <f t="shared" si="32"/>
        <v>0</v>
      </c>
      <c r="BC43" s="34">
        <f t="shared" si="28"/>
        <v>971</v>
      </c>
      <c r="BD43" s="34">
        <f t="shared" si="21"/>
        <v>8</v>
      </c>
      <c r="BE43" s="34">
        <f t="shared" si="21"/>
        <v>0</v>
      </c>
      <c r="BF43" s="34">
        <f t="shared" si="21"/>
        <v>3809.5299999999997</v>
      </c>
      <c r="BG43" s="34">
        <f t="shared" si="21"/>
        <v>0</v>
      </c>
      <c r="BH43" s="34">
        <f t="shared" si="21"/>
        <v>0</v>
      </c>
      <c r="BI43" s="34">
        <f t="shared" si="17"/>
        <v>0.17</v>
      </c>
      <c r="BJ43" s="34">
        <f t="shared" si="12"/>
        <v>0</v>
      </c>
      <c r="BK43" s="34">
        <f t="shared" si="12"/>
        <v>3817.7</v>
      </c>
    </row>
    <row r="44" spans="1:64" s="56" customFormat="1" ht="30.75" customHeight="1" x14ac:dyDescent="0.25">
      <c r="A44" s="298" t="s">
        <v>38</v>
      </c>
      <c r="B44" s="299" t="s">
        <v>39</v>
      </c>
      <c r="C44" s="299" t="s">
        <v>150</v>
      </c>
      <c r="D44" s="1425" t="s">
        <v>151</v>
      </c>
      <c r="E44" s="1425" t="s">
        <v>152</v>
      </c>
      <c r="F44" s="1429">
        <v>2014</v>
      </c>
      <c r="G44" s="1425">
        <v>10.6</v>
      </c>
      <c r="H44" s="1429">
        <v>8</v>
      </c>
      <c r="I44" s="1429"/>
      <c r="J44" s="1429"/>
      <c r="K44" s="1429" t="s">
        <v>153</v>
      </c>
      <c r="L44" s="301" t="s">
        <v>44</v>
      </c>
      <c r="M44" s="1425" t="s">
        <v>45</v>
      </c>
      <c r="N44" s="1425" t="s">
        <v>46</v>
      </c>
      <c r="O44" s="1425" t="s">
        <v>47</v>
      </c>
      <c r="P44" s="16" t="s">
        <v>154</v>
      </c>
      <c r="Q44" s="302" t="s">
        <v>155</v>
      </c>
      <c r="R44" s="303">
        <v>2015</v>
      </c>
      <c r="S44" s="303">
        <v>1</v>
      </c>
      <c r="T44" s="303">
        <v>1</v>
      </c>
      <c r="U44" s="572">
        <v>2</v>
      </c>
      <c r="V44" s="572">
        <v>3</v>
      </c>
      <c r="W44" s="572">
        <v>4</v>
      </c>
      <c r="X44" s="572">
        <v>4</v>
      </c>
      <c r="Y44" s="491">
        <v>0.5</v>
      </c>
      <c r="Z44" s="491"/>
      <c r="AA44" s="481"/>
      <c r="AB44" s="481"/>
      <c r="AC44" s="481"/>
      <c r="AD44" s="481"/>
      <c r="AE44" s="481"/>
      <c r="AF44" s="481">
        <f t="shared" si="7"/>
        <v>0.5</v>
      </c>
      <c r="AG44" s="491">
        <v>5</v>
      </c>
      <c r="AH44" s="548"/>
      <c r="AI44" s="548"/>
      <c r="AJ44" s="548"/>
      <c r="AK44" s="548"/>
      <c r="AL44" s="548"/>
      <c r="AM44" s="548">
        <f t="shared" si="26"/>
        <v>5</v>
      </c>
      <c r="AN44" s="491">
        <v>2.5</v>
      </c>
      <c r="AO44" s="491"/>
      <c r="AP44" s="481">
        <v>0</v>
      </c>
      <c r="AQ44" s="481"/>
      <c r="AR44" s="481"/>
      <c r="AS44" s="481"/>
      <c r="AT44" s="481"/>
      <c r="AU44" s="481">
        <f t="shared" si="27"/>
        <v>2.5</v>
      </c>
      <c r="AV44" s="548"/>
      <c r="AW44" s="491"/>
      <c r="AX44" s="491">
        <v>1</v>
      </c>
      <c r="AY44" s="548"/>
      <c r="AZ44" s="548"/>
      <c r="BA44" s="548"/>
      <c r="BB44" s="548"/>
      <c r="BC44" s="548">
        <f t="shared" si="28"/>
        <v>1</v>
      </c>
      <c r="BD44" s="42">
        <f t="shared" si="21"/>
        <v>8</v>
      </c>
      <c r="BE44" s="42">
        <f t="shared" si="21"/>
        <v>0</v>
      </c>
      <c r="BF44" s="42">
        <f t="shared" si="21"/>
        <v>1</v>
      </c>
      <c r="BG44" s="42">
        <f t="shared" si="21"/>
        <v>0</v>
      </c>
      <c r="BH44" s="42">
        <f t="shared" si="21"/>
        <v>0</v>
      </c>
      <c r="BI44" s="42">
        <f t="shared" si="17"/>
        <v>0</v>
      </c>
      <c r="BJ44" s="42">
        <f t="shared" si="12"/>
        <v>0</v>
      </c>
      <c r="BK44" s="42">
        <f t="shared" si="12"/>
        <v>9</v>
      </c>
      <c r="BL44" s="55"/>
    </row>
    <row r="45" spans="1:64" ht="60.75" customHeight="1" x14ac:dyDescent="0.25">
      <c r="A45" s="298" t="s">
        <v>38</v>
      </c>
      <c r="B45" s="299" t="s">
        <v>39</v>
      </c>
      <c r="C45" s="1546" t="s">
        <v>156</v>
      </c>
      <c r="D45" s="1549" t="s">
        <v>157</v>
      </c>
      <c r="E45" s="1549" t="s">
        <v>158</v>
      </c>
      <c r="F45" s="1549">
        <v>2014</v>
      </c>
      <c r="G45" s="1549">
        <v>4.29</v>
      </c>
      <c r="H45" s="1549">
        <v>4</v>
      </c>
      <c r="I45" s="1425"/>
      <c r="J45" s="1425"/>
      <c r="K45" s="1425" t="s">
        <v>159</v>
      </c>
      <c r="L45" s="301" t="s">
        <v>44</v>
      </c>
      <c r="M45" s="1425" t="s">
        <v>45</v>
      </c>
      <c r="N45" s="1425" t="s">
        <v>46</v>
      </c>
      <c r="O45" s="1425" t="s">
        <v>73</v>
      </c>
      <c r="P45" s="717" t="s">
        <v>160</v>
      </c>
      <c r="Q45" s="302" t="s">
        <v>161</v>
      </c>
      <c r="R45" s="303">
        <v>2015</v>
      </c>
      <c r="S45" s="303">
        <v>1</v>
      </c>
      <c r="T45" s="303">
        <v>1</v>
      </c>
      <c r="U45" s="572">
        <v>1</v>
      </c>
      <c r="V45" s="572">
        <v>1</v>
      </c>
      <c r="W45" s="572">
        <v>1</v>
      </c>
      <c r="X45" s="572">
        <v>1</v>
      </c>
      <c r="Y45" s="481"/>
      <c r="Z45" s="481"/>
      <c r="AA45" s="481">
        <v>331</v>
      </c>
      <c r="AB45" s="481"/>
      <c r="AC45" s="481"/>
      <c r="AD45" s="481">
        <v>0.17</v>
      </c>
      <c r="AE45" s="481"/>
      <c r="AF45" s="481">
        <f t="shared" si="7"/>
        <v>331.17</v>
      </c>
      <c r="AG45" s="548"/>
      <c r="AH45" s="548"/>
      <c r="AI45" s="716">
        <v>300</v>
      </c>
      <c r="AJ45" s="548"/>
      <c r="AK45" s="548"/>
      <c r="AL45" s="548"/>
      <c r="AM45" s="548">
        <f t="shared" si="26"/>
        <v>300</v>
      </c>
      <c r="AN45" s="481"/>
      <c r="AO45" s="481"/>
      <c r="AP45" s="481">
        <v>340</v>
      </c>
      <c r="AQ45" s="481"/>
      <c r="AR45" s="481"/>
      <c r="AS45" s="481"/>
      <c r="AT45" s="481"/>
      <c r="AU45" s="481">
        <f t="shared" si="27"/>
        <v>340</v>
      </c>
      <c r="AV45" s="548"/>
      <c r="AW45" s="548"/>
      <c r="AX45" s="548">
        <v>340</v>
      </c>
      <c r="AY45" s="548"/>
      <c r="AZ45" s="548"/>
      <c r="BA45" s="548"/>
      <c r="BB45" s="548"/>
      <c r="BC45" s="548">
        <f t="shared" si="28"/>
        <v>340</v>
      </c>
      <c r="BD45" s="42">
        <f t="shared" si="21"/>
        <v>0</v>
      </c>
      <c r="BE45" s="42">
        <f t="shared" si="21"/>
        <v>0</v>
      </c>
      <c r="BF45" s="42">
        <f t="shared" si="21"/>
        <v>1311</v>
      </c>
      <c r="BG45" s="42">
        <f t="shared" si="21"/>
        <v>0</v>
      </c>
      <c r="BH45" s="42">
        <f t="shared" si="21"/>
        <v>0</v>
      </c>
      <c r="BI45" s="42">
        <f t="shared" si="17"/>
        <v>0.17</v>
      </c>
      <c r="BJ45" s="42">
        <f t="shared" si="12"/>
        <v>0</v>
      </c>
      <c r="BK45" s="42">
        <f t="shared" si="12"/>
        <v>1311.17</v>
      </c>
    </row>
    <row r="46" spans="1:64" ht="81" customHeight="1" x14ac:dyDescent="0.25">
      <c r="A46" s="298" t="s">
        <v>38</v>
      </c>
      <c r="B46" s="299" t="s">
        <v>39</v>
      </c>
      <c r="C46" s="1547"/>
      <c r="D46" s="1549"/>
      <c r="E46" s="1549"/>
      <c r="F46" s="1549"/>
      <c r="G46" s="1549"/>
      <c r="H46" s="1549"/>
      <c r="I46" s="1425"/>
      <c r="J46" s="1425"/>
      <c r="K46" s="1425" t="s">
        <v>162</v>
      </c>
      <c r="L46" s="301" t="s">
        <v>44</v>
      </c>
      <c r="M46" s="1425" t="s">
        <v>45</v>
      </c>
      <c r="N46" s="1425" t="s">
        <v>46</v>
      </c>
      <c r="O46" s="1425" t="s">
        <v>47</v>
      </c>
      <c r="P46" s="16" t="s">
        <v>163</v>
      </c>
      <c r="Q46" s="302" t="s">
        <v>164</v>
      </c>
      <c r="R46" s="303">
        <v>2015</v>
      </c>
      <c r="S46" s="303">
        <v>1</v>
      </c>
      <c r="T46" s="303">
        <v>1</v>
      </c>
      <c r="U46" s="572">
        <v>2</v>
      </c>
      <c r="V46" s="572">
        <v>1</v>
      </c>
      <c r="W46" s="572">
        <v>4</v>
      </c>
      <c r="X46" s="572">
        <v>4</v>
      </c>
      <c r="Y46" s="481"/>
      <c r="Z46" s="481"/>
      <c r="AA46" s="481">
        <v>20</v>
      </c>
      <c r="AB46" s="481"/>
      <c r="AC46" s="481"/>
      <c r="AD46" s="481"/>
      <c r="AE46" s="481"/>
      <c r="AF46" s="481">
        <f t="shared" si="7"/>
        <v>20</v>
      </c>
      <c r="AG46" s="548"/>
      <c r="AH46" s="548"/>
      <c r="AI46" s="491">
        <v>27.53</v>
      </c>
      <c r="AJ46" s="548"/>
      <c r="AK46" s="548"/>
      <c r="AL46" s="548"/>
      <c r="AM46" s="548">
        <f t="shared" si="26"/>
        <v>27.53</v>
      </c>
      <c r="AN46" s="481"/>
      <c r="AO46" s="481"/>
      <c r="AP46" s="491">
        <v>5</v>
      </c>
      <c r="AQ46" s="481"/>
      <c r="AR46" s="481"/>
      <c r="AS46" s="481"/>
      <c r="AT46" s="481"/>
      <c r="AU46" s="481">
        <f t="shared" si="27"/>
        <v>5</v>
      </c>
      <c r="AV46" s="548"/>
      <c r="AW46" s="548"/>
      <c r="AX46" s="491">
        <v>10</v>
      </c>
      <c r="AY46" s="548"/>
      <c r="AZ46" s="548"/>
      <c r="BA46" s="548"/>
      <c r="BB46" s="548"/>
      <c r="BC46" s="548">
        <f t="shared" si="28"/>
        <v>10</v>
      </c>
      <c r="BD46" s="42">
        <f t="shared" si="21"/>
        <v>0</v>
      </c>
      <c r="BE46" s="42">
        <f t="shared" si="21"/>
        <v>0</v>
      </c>
      <c r="BF46" s="42">
        <f t="shared" si="21"/>
        <v>62.53</v>
      </c>
      <c r="BG46" s="42">
        <f t="shared" si="21"/>
        <v>0</v>
      </c>
      <c r="BH46" s="42">
        <f t="shared" si="21"/>
        <v>0</v>
      </c>
      <c r="BI46" s="42">
        <f t="shared" si="17"/>
        <v>0</v>
      </c>
      <c r="BJ46" s="42">
        <f t="shared" si="12"/>
        <v>0</v>
      </c>
      <c r="BK46" s="42">
        <f t="shared" si="12"/>
        <v>62.53</v>
      </c>
    </row>
    <row r="47" spans="1:64" ht="45.75" customHeight="1" x14ac:dyDescent="0.25">
      <c r="A47" s="298" t="s">
        <v>38</v>
      </c>
      <c r="B47" s="299" t="s">
        <v>39</v>
      </c>
      <c r="C47" s="1548"/>
      <c r="D47" s="1549"/>
      <c r="E47" s="1549"/>
      <c r="F47" s="1549"/>
      <c r="G47" s="1549"/>
      <c r="H47" s="1549"/>
      <c r="I47" s="1425"/>
      <c r="J47" s="1425"/>
      <c r="K47" s="1425" t="s">
        <v>165</v>
      </c>
      <c r="L47" s="301" t="s">
        <v>44</v>
      </c>
      <c r="M47" s="1425" t="s">
        <v>45</v>
      </c>
      <c r="N47" s="1425" t="s">
        <v>46</v>
      </c>
      <c r="O47" s="1425" t="s">
        <v>73</v>
      </c>
      <c r="P47" s="25" t="s">
        <v>166</v>
      </c>
      <c r="Q47" s="302" t="s">
        <v>167</v>
      </c>
      <c r="R47" s="303">
        <v>2015</v>
      </c>
      <c r="S47" s="303">
        <v>61</v>
      </c>
      <c r="T47" s="303">
        <v>65</v>
      </c>
      <c r="U47" s="572">
        <v>65</v>
      </c>
      <c r="V47" s="572">
        <v>65</v>
      </c>
      <c r="W47" s="572">
        <v>65</v>
      </c>
      <c r="X47" s="572">
        <v>65</v>
      </c>
      <c r="Y47" s="481"/>
      <c r="Z47" s="481"/>
      <c r="AA47" s="481">
        <v>600</v>
      </c>
      <c r="AB47" s="481"/>
      <c r="AC47" s="481"/>
      <c r="AD47" s="481"/>
      <c r="AE47" s="481"/>
      <c r="AF47" s="481">
        <f>SUM(Y47:AE47)</f>
        <v>600</v>
      </c>
      <c r="AG47" s="548"/>
      <c r="AH47" s="548"/>
      <c r="AI47" s="43">
        <v>600</v>
      </c>
      <c r="AJ47" s="548"/>
      <c r="AK47" s="548"/>
      <c r="AL47" s="548"/>
      <c r="AM47" s="548">
        <f>SUM(AG47:AL47)</f>
        <v>600</v>
      </c>
      <c r="AN47" s="481"/>
      <c r="AO47" s="481"/>
      <c r="AP47" s="491">
        <v>615</v>
      </c>
      <c r="AQ47" s="481"/>
      <c r="AR47" s="481"/>
      <c r="AS47" s="481"/>
      <c r="AT47" s="481"/>
      <c r="AU47" s="481">
        <f>SUM(AN47:AT47)</f>
        <v>615</v>
      </c>
      <c r="AV47" s="548"/>
      <c r="AW47" s="548"/>
      <c r="AX47" s="548">
        <v>620</v>
      </c>
      <c r="AY47" s="548"/>
      <c r="AZ47" s="548"/>
      <c r="BA47" s="548"/>
      <c r="BB47" s="548"/>
      <c r="BC47" s="548">
        <f>SUM(AV47:BB47)</f>
        <v>620</v>
      </c>
      <c r="BD47" s="42">
        <f t="shared" si="21"/>
        <v>0</v>
      </c>
      <c r="BE47" s="42">
        <f t="shared" si="21"/>
        <v>0</v>
      </c>
      <c r="BF47" s="42">
        <f t="shared" si="21"/>
        <v>2435</v>
      </c>
      <c r="BG47" s="42">
        <f t="shared" si="21"/>
        <v>0</v>
      </c>
      <c r="BH47" s="42">
        <f t="shared" si="21"/>
        <v>0</v>
      </c>
      <c r="BI47" s="42">
        <f t="shared" si="17"/>
        <v>0</v>
      </c>
      <c r="BJ47" s="42">
        <f t="shared" si="12"/>
        <v>0</v>
      </c>
      <c r="BK47" s="42">
        <f t="shared" si="12"/>
        <v>2435</v>
      </c>
    </row>
    <row r="48" spans="1:64" ht="18" x14ac:dyDescent="0.2">
      <c r="B48" s="1553" t="s">
        <v>168</v>
      </c>
      <c r="C48" s="1554"/>
      <c r="D48" s="1554"/>
      <c r="E48" s="1554"/>
      <c r="F48" s="1554"/>
      <c r="G48" s="1554"/>
      <c r="H48" s="1554"/>
      <c r="I48" s="1554"/>
      <c r="J48" s="1554"/>
      <c r="K48" s="1554"/>
      <c r="L48" s="1554"/>
      <c r="M48" s="1555"/>
      <c r="N48" s="597"/>
      <c r="O48" s="597"/>
      <c r="P48" s="597"/>
      <c r="Q48" s="598"/>
      <c r="R48" s="597"/>
      <c r="S48" s="597"/>
      <c r="T48" s="597"/>
      <c r="U48" s="599"/>
      <c r="V48" s="599"/>
      <c r="W48" s="599"/>
      <c r="X48" s="599"/>
      <c r="Y48" s="600">
        <v>219</v>
      </c>
      <c r="Z48" s="600">
        <v>0</v>
      </c>
      <c r="AA48" s="600">
        <v>13932</v>
      </c>
      <c r="AB48" s="600">
        <v>0</v>
      </c>
      <c r="AC48" s="600">
        <v>0</v>
      </c>
      <c r="AD48" s="600">
        <v>0</v>
      </c>
      <c r="AE48" s="600">
        <f>386+15290+839+1988</f>
        <v>18503</v>
      </c>
      <c r="AF48" s="600">
        <f>SUM(Y48:AE48)</f>
        <v>32654</v>
      </c>
      <c r="AG48" s="600">
        <v>229</v>
      </c>
      <c r="AH48" s="600">
        <f>+Z48*1.04</f>
        <v>0</v>
      </c>
      <c r="AI48" s="600">
        <v>14558</v>
      </c>
      <c r="AJ48" s="600">
        <f>+AB48*1.04</f>
        <v>0</v>
      </c>
      <c r="AK48" s="600">
        <f>+AC48*1.04</f>
        <v>0</v>
      </c>
      <c r="AL48" s="600">
        <f>401+15848+870+225</f>
        <v>17344</v>
      </c>
      <c r="AM48" s="600">
        <f>SUM(AG48:AL48)</f>
        <v>32131</v>
      </c>
      <c r="AN48" s="600">
        <v>235</v>
      </c>
      <c r="AO48" s="600">
        <f>+AH48*1.04</f>
        <v>0</v>
      </c>
      <c r="AP48" s="600">
        <v>14964</v>
      </c>
      <c r="AQ48" s="600">
        <f>+AJ48*1.04</f>
        <v>0</v>
      </c>
      <c r="AR48" s="33">
        <f>+AK48*1.04</f>
        <v>0</v>
      </c>
      <c r="AS48" s="33">
        <f>+AK48*1.04</f>
        <v>0</v>
      </c>
      <c r="AT48" s="33">
        <f>415+16427+901+242</f>
        <v>17985</v>
      </c>
      <c r="AU48" s="33">
        <f>SUM(AN48:AT48)</f>
        <v>33184</v>
      </c>
      <c r="AV48" s="33">
        <v>217</v>
      </c>
      <c r="AW48" s="33">
        <f>+AO48*1.04</f>
        <v>0</v>
      </c>
      <c r="AX48" s="33">
        <v>15509</v>
      </c>
      <c r="AY48" s="33">
        <f>+AQ48*1.04</f>
        <v>0</v>
      </c>
      <c r="AZ48" s="33">
        <f>+AR48*1.04</f>
        <v>0</v>
      </c>
      <c r="BA48" s="33">
        <f>+AS48*1.04</f>
        <v>0</v>
      </c>
      <c r="BB48" s="33">
        <f>430+17026+934+267</f>
        <v>18657</v>
      </c>
      <c r="BC48" s="33">
        <f>SUM(AV48:BB48)</f>
        <v>34383</v>
      </c>
      <c r="BD48" s="33">
        <f t="shared" si="21"/>
        <v>900</v>
      </c>
      <c r="BE48" s="33">
        <f t="shared" si="21"/>
        <v>0</v>
      </c>
      <c r="BF48" s="33">
        <f t="shared" si="21"/>
        <v>58963</v>
      </c>
      <c r="BG48" s="33">
        <f t="shared" si="21"/>
        <v>0</v>
      </c>
      <c r="BH48" s="33">
        <f t="shared" si="21"/>
        <v>0</v>
      </c>
      <c r="BI48" s="33">
        <f t="shared" si="17"/>
        <v>0</v>
      </c>
      <c r="BJ48" s="33">
        <f t="shared" ref="BJ48:BK63" si="33">+BB48+AT48+AL48+AE48</f>
        <v>72489</v>
      </c>
      <c r="BK48" s="33">
        <f>+BC48+AU48+AM48+AF48-6</f>
        <v>132346</v>
      </c>
    </row>
    <row r="49" spans="1:63" ht="6.75" customHeight="1" x14ac:dyDescent="0.25">
      <c r="A49" s="151"/>
      <c r="B49" s="7" t="s">
        <v>169</v>
      </c>
      <c r="C49" s="7"/>
      <c r="D49" s="1442" t="s">
        <v>170</v>
      </c>
      <c r="E49" s="1442"/>
      <c r="F49" s="1442"/>
      <c r="G49" s="1442"/>
      <c r="H49" s="1442"/>
      <c r="I49" s="1442"/>
      <c r="J49" s="1442"/>
      <c r="K49" s="1442"/>
      <c r="L49" s="1442"/>
      <c r="M49" s="1442"/>
      <c r="N49" s="1442"/>
      <c r="O49" s="1442"/>
      <c r="P49" s="1440"/>
      <c r="Q49" s="1440"/>
      <c r="R49" s="1442"/>
      <c r="S49" s="1442"/>
      <c r="T49" s="1442"/>
      <c r="U49" s="63"/>
      <c r="V49" s="63"/>
      <c r="W49" s="63"/>
      <c r="X49" s="63"/>
      <c r="Y49" s="42">
        <v>0</v>
      </c>
      <c r="Z49" s="42">
        <v>56</v>
      </c>
      <c r="AA49" s="42">
        <v>96.6</v>
      </c>
      <c r="AB49" s="42">
        <v>0</v>
      </c>
      <c r="AC49" s="42">
        <v>0</v>
      </c>
      <c r="AD49" s="42">
        <v>40.299999999999997</v>
      </c>
      <c r="AE49" s="42">
        <v>0</v>
      </c>
      <c r="AF49" s="42">
        <f>SUBTOTAL(9,Y49:AE49)</f>
        <v>192.89999999999998</v>
      </c>
      <c r="AG49" s="42"/>
      <c r="AH49" s="42">
        <f>+Z49*1.04</f>
        <v>58.24</v>
      </c>
      <c r="AI49" s="42">
        <f>+AA49*1.04</f>
        <v>100.464</v>
      </c>
      <c r="AJ49" s="42"/>
      <c r="AK49" s="42"/>
      <c r="AL49" s="42"/>
      <c r="AM49" s="33">
        <f>+AM50+AM74</f>
        <v>170</v>
      </c>
      <c r="AN49" s="42"/>
      <c r="AO49" s="42">
        <f>+AH49*1.04</f>
        <v>60.569600000000001</v>
      </c>
      <c r="AP49" s="42">
        <f>+AI49*1.04</f>
        <v>104.48256000000001</v>
      </c>
      <c r="AQ49" s="42"/>
      <c r="AR49" s="42"/>
      <c r="AS49" s="42"/>
      <c r="AT49" s="42"/>
      <c r="AU49" s="42"/>
      <c r="AV49" s="42"/>
      <c r="AW49" s="42">
        <f>+AO49*1.04</f>
        <v>62.992384000000001</v>
      </c>
      <c r="AX49" s="42">
        <f>+AP49*1.04</f>
        <v>108.6618624</v>
      </c>
      <c r="AY49" s="42"/>
      <c r="AZ49" s="42"/>
      <c r="BA49" s="42"/>
      <c r="BB49" s="42"/>
      <c r="BC49" s="42"/>
      <c r="BD49" s="42">
        <f t="shared" si="21"/>
        <v>0</v>
      </c>
      <c r="BE49" s="42">
        <f t="shared" si="21"/>
        <v>237.801984</v>
      </c>
      <c r="BF49" s="42">
        <f t="shared" si="21"/>
        <v>410.20842240000002</v>
      </c>
      <c r="BG49" s="42">
        <f t="shared" si="21"/>
        <v>0</v>
      </c>
      <c r="BH49" s="42">
        <f t="shared" si="21"/>
        <v>0</v>
      </c>
      <c r="BI49" s="42">
        <f t="shared" si="17"/>
        <v>40.299999999999997</v>
      </c>
      <c r="BJ49" s="42">
        <f t="shared" si="33"/>
        <v>0</v>
      </c>
      <c r="BK49" s="42">
        <f t="shared" si="33"/>
        <v>362.9</v>
      </c>
    </row>
    <row r="50" spans="1:63" ht="18" x14ac:dyDescent="0.2">
      <c r="A50" s="420"/>
      <c r="B50" s="1553" t="s">
        <v>171</v>
      </c>
      <c r="C50" s="1554"/>
      <c r="D50" s="1554"/>
      <c r="E50" s="1554"/>
      <c r="F50" s="1554"/>
      <c r="G50" s="1554"/>
      <c r="H50" s="1554"/>
      <c r="I50" s="1554"/>
      <c r="J50" s="1554"/>
      <c r="K50" s="1554"/>
      <c r="L50" s="1554"/>
      <c r="M50" s="1555"/>
      <c r="N50" s="597"/>
      <c r="O50" s="597"/>
      <c r="P50" s="597"/>
      <c r="Q50" s="598"/>
      <c r="R50" s="597"/>
      <c r="S50" s="597"/>
      <c r="T50" s="597"/>
      <c r="U50" s="599"/>
      <c r="V50" s="599"/>
      <c r="W50" s="599"/>
      <c r="X50" s="599"/>
      <c r="Y50" s="600">
        <f t="shared" ref="Y50:AL50" si="34">+Y51+Y75</f>
        <v>26</v>
      </c>
      <c r="Z50" s="600">
        <f t="shared" si="34"/>
        <v>56</v>
      </c>
      <c r="AA50" s="600">
        <f t="shared" si="34"/>
        <v>96.5</v>
      </c>
      <c r="AB50" s="600">
        <f t="shared" si="34"/>
        <v>250</v>
      </c>
      <c r="AC50" s="600">
        <f t="shared" si="34"/>
        <v>0</v>
      </c>
      <c r="AD50" s="600">
        <f t="shared" si="34"/>
        <v>40.1</v>
      </c>
      <c r="AE50" s="600">
        <f t="shared" si="34"/>
        <v>0</v>
      </c>
      <c r="AF50" s="600">
        <f t="shared" si="34"/>
        <v>468.6</v>
      </c>
      <c r="AG50" s="600">
        <f t="shared" si="34"/>
        <v>0</v>
      </c>
      <c r="AH50" s="600">
        <f t="shared" si="34"/>
        <v>58</v>
      </c>
      <c r="AI50" s="600">
        <f t="shared" si="34"/>
        <v>107</v>
      </c>
      <c r="AJ50" s="600">
        <f t="shared" si="34"/>
        <v>0</v>
      </c>
      <c r="AK50" s="600">
        <f t="shared" si="34"/>
        <v>0</v>
      </c>
      <c r="AL50" s="600">
        <f t="shared" si="34"/>
        <v>0</v>
      </c>
      <c r="AM50" s="600">
        <f>+AM51+AM75</f>
        <v>165</v>
      </c>
      <c r="AN50" s="600">
        <f t="shared" ref="AN50:BC50" si="35">+AN51+AN75</f>
        <v>0</v>
      </c>
      <c r="AO50" s="600">
        <f t="shared" si="35"/>
        <v>60</v>
      </c>
      <c r="AP50" s="600">
        <f t="shared" si="35"/>
        <v>104</v>
      </c>
      <c r="AQ50" s="600">
        <f t="shared" si="35"/>
        <v>0</v>
      </c>
      <c r="AR50" s="600">
        <f t="shared" si="35"/>
        <v>0</v>
      </c>
      <c r="AS50" s="600">
        <f t="shared" si="35"/>
        <v>0</v>
      </c>
      <c r="AT50" s="600">
        <f t="shared" si="35"/>
        <v>0</v>
      </c>
      <c r="AU50" s="600">
        <f t="shared" si="35"/>
        <v>164</v>
      </c>
      <c r="AV50" s="600">
        <f t="shared" si="35"/>
        <v>0</v>
      </c>
      <c r="AW50" s="600">
        <f t="shared" si="35"/>
        <v>66</v>
      </c>
      <c r="AX50" s="600">
        <f t="shared" si="35"/>
        <v>108</v>
      </c>
      <c r="AY50" s="600">
        <f t="shared" si="35"/>
        <v>0</v>
      </c>
      <c r="AZ50" s="600">
        <f t="shared" si="35"/>
        <v>513</v>
      </c>
      <c r="BA50" s="600">
        <f t="shared" si="35"/>
        <v>0</v>
      </c>
      <c r="BB50" s="600">
        <f t="shared" si="35"/>
        <v>0</v>
      </c>
      <c r="BC50" s="600">
        <f t="shared" si="35"/>
        <v>687</v>
      </c>
      <c r="BD50" s="33">
        <f t="shared" si="21"/>
        <v>26</v>
      </c>
      <c r="BE50" s="33">
        <f t="shared" si="21"/>
        <v>240</v>
      </c>
      <c r="BF50" s="33">
        <f t="shared" si="21"/>
        <v>415.5</v>
      </c>
      <c r="BG50" s="33">
        <f t="shared" si="21"/>
        <v>250</v>
      </c>
      <c r="BH50" s="33">
        <f t="shared" si="21"/>
        <v>513</v>
      </c>
      <c r="BI50" s="33">
        <f t="shared" si="17"/>
        <v>40.1</v>
      </c>
      <c r="BJ50" s="33">
        <f t="shared" si="33"/>
        <v>0</v>
      </c>
      <c r="BK50" s="33">
        <f t="shared" si="33"/>
        <v>1484.6</v>
      </c>
    </row>
    <row r="51" spans="1:63" ht="12.75" x14ac:dyDescent="0.2">
      <c r="A51" s="603"/>
      <c r="B51" s="24" t="s">
        <v>169</v>
      </c>
      <c r="C51" s="6"/>
      <c r="D51" s="2" t="s">
        <v>172</v>
      </c>
      <c r="E51" s="1"/>
      <c r="F51" s="1"/>
      <c r="G51" s="1"/>
      <c r="H51" s="1"/>
      <c r="I51" s="1"/>
      <c r="J51" s="1"/>
      <c r="K51" s="1"/>
      <c r="L51" s="1"/>
      <c r="M51" s="1"/>
      <c r="N51" s="1"/>
      <c r="O51" s="1"/>
      <c r="P51" s="1"/>
      <c r="Q51" s="22"/>
      <c r="R51" s="1"/>
      <c r="S51" s="1"/>
      <c r="T51" s="1"/>
      <c r="U51" s="49"/>
      <c r="V51" s="49"/>
      <c r="W51" s="49"/>
      <c r="X51" s="49"/>
      <c r="Y51" s="34">
        <f t="shared" ref="Y51:AF51" si="36">SUBTOTAL(9,Y52:Y74)</f>
        <v>26</v>
      </c>
      <c r="Z51" s="34">
        <f t="shared" si="36"/>
        <v>45.9</v>
      </c>
      <c r="AA51" s="34">
        <f t="shared" si="36"/>
        <v>66.599999999999994</v>
      </c>
      <c r="AB51" s="34">
        <f t="shared" si="36"/>
        <v>0</v>
      </c>
      <c r="AC51" s="34">
        <f t="shared" si="36"/>
        <v>0</v>
      </c>
      <c r="AD51" s="34">
        <f t="shared" si="36"/>
        <v>37</v>
      </c>
      <c r="AE51" s="34">
        <f t="shared" si="36"/>
        <v>0</v>
      </c>
      <c r="AF51" s="34">
        <f t="shared" si="36"/>
        <v>175.5</v>
      </c>
      <c r="AG51" s="34">
        <f t="shared" ref="AG51:AL51" si="37">SUM(AG52:AG84)</f>
        <v>0</v>
      </c>
      <c r="AH51" s="34">
        <f>SUM(AH52:AH74)</f>
        <v>55</v>
      </c>
      <c r="AI51" s="34">
        <f>SUM(AI52:AI74)</f>
        <v>90</v>
      </c>
      <c r="AJ51" s="34">
        <f t="shared" si="37"/>
        <v>0</v>
      </c>
      <c r="AK51" s="34">
        <f t="shared" si="37"/>
        <v>0</v>
      </c>
      <c r="AL51" s="34">
        <f t="shared" si="37"/>
        <v>0</v>
      </c>
      <c r="AM51" s="34">
        <f>SUM(AG51:AL51)</f>
        <v>145</v>
      </c>
      <c r="AN51" s="34">
        <f t="shared" ref="AN51:AT51" si="38">SUM(AN52:AN84)</f>
        <v>0</v>
      </c>
      <c r="AO51" s="34">
        <f>SUM(AO52:AO74)</f>
        <v>51</v>
      </c>
      <c r="AP51" s="34">
        <f>SUM(AP52:AP74)</f>
        <v>87</v>
      </c>
      <c r="AQ51" s="34">
        <f t="shared" si="38"/>
        <v>0</v>
      </c>
      <c r="AR51" s="34">
        <f t="shared" si="38"/>
        <v>0</v>
      </c>
      <c r="AS51" s="34">
        <f t="shared" si="38"/>
        <v>0</v>
      </c>
      <c r="AT51" s="34">
        <f t="shared" si="38"/>
        <v>0</v>
      </c>
      <c r="AU51" s="34">
        <f t="shared" ref="AU51:AU72" si="39">SUM(AN51:AT51)</f>
        <v>138</v>
      </c>
      <c r="AV51" s="34">
        <f t="shared" ref="AV51:BB51" si="40">SUM(AV52:AV84)</f>
        <v>0</v>
      </c>
      <c r="AW51" s="34">
        <f>SUM(AW52:AW74)</f>
        <v>53</v>
      </c>
      <c r="AX51" s="34">
        <f>SUM(AX52:AX74)</f>
        <v>91</v>
      </c>
      <c r="AY51" s="34">
        <f t="shared" si="40"/>
        <v>0</v>
      </c>
      <c r="AZ51" s="34">
        <f>SUM(AZ52:AZ74)</f>
        <v>513</v>
      </c>
      <c r="BA51" s="34">
        <f t="shared" si="40"/>
        <v>0</v>
      </c>
      <c r="BB51" s="34">
        <f t="shared" si="40"/>
        <v>0</v>
      </c>
      <c r="BC51" s="34">
        <f t="shared" ref="BC51:BC72" si="41">SUM(AV51:BB51)</f>
        <v>657</v>
      </c>
      <c r="BD51" s="34">
        <f t="shared" si="21"/>
        <v>26</v>
      </c>
      <c r="BE51" s="34">
        <f t="shared" si="21"/>
        <v>204.9</v>
      </c>
      <c r="BF51" s="34">
        <f t="shared" si="21"/>
        <v>334.6</v>
      </c>
      <c r="BG51" s="34">
        <f t="shared" si="21"/>
        <v>0</v>
      </c>
      <c r="BH51" s="34">
        <f t="shared" si="21"/>
        <v>513</v>
      </c>
      <c r="BI51" s="34">
        <f t="shared" si="17"/>
        <v>37</v>
      </c>
      <c r="BJ51" s="34">
        <f t="shared" si="33"/>
        <v>0</v>
      </c>
      <c r="BK51" s="34">
        <f t="shared" si="33"/>
        <v>1115.5</v>
      </c>
    </row>
    <row r="52" spans="1:63" ht="58.5" customHeight="1" x14ac:dyDescent="0.25">
      <c r="A52" s="298" t="s">
        <v>173</v>
      </c>
      <c r="B52" s="299" t="s">
        <v>169</v>
      </c>
      <c r="C52" s="1546" t="s">
        <v>174</v>
      </c>
      <c r="D52" s="1550" t="s">
        <v>175</v>
      </c>
      <c r="E52" s="1550" t="s">
        <v>176</v>
      </c>
      <c r="F52" s="1550">
        <v>2015</v>
      </c>
      <c r="G52" s="1550" t="s">
        <v>177</v>
      </c>
      <c r="H52" s="1550">
        <v>10</v>
      </c>
      <c r="I52" s="1429"/>
      <c r="J52" s="1429"/>
      <c r="K52" s="1429" t="s">
        <v>178</v>
      </c>
      <c r="L52" s="301" t="s">
        <v>179</v>
      </c>
      <c r="M52" s="1425" t="s">
        <v>45</v>
      </c>
      <c r="N52" s="1425" t="s">
        <v>46</v>
      </c>
      <c r="O52" s="1425" t="s">
        <v>47</v>
      </c>
      <c r="P52" s="16" t="s">
        <v>180</v>
      </c>
      <c r="Q52" s="302" t="s">
        <v>181</v>
      </c>
      <c r="R52" s="303" t="s">
        <v>182</v>
      </c>
      <c r="S52" s="303">
        <v>2049</v>
      </c>
      <c r="T52" s="303">
        <v>800</v>
      </c>
      <c r="U52" s="572">
        <v>1600</v>
      </c>
      <c r="V52" s="572">
        <v>2400</v>
      </c>
      <c r="W52" s="572">
        <v>3200</v>
      </c>
      <c r="X52" s="572">
        <v>3200</v>
      </c>
      <c r="Y52" s="481"/>
      <c r="Z52" s="491">
        <v>4.9000000000000004</v>
      </c>
      <c r="AA52" s="481"/>
      <c r="AB52" s="481"/>
      <c r="AC52" s="481"/>
      <c r="AD52" s="481">
        <v>10.3</v>
      </c>
      <c r="AE52" s="481"/>
      <c r="AF52" s="481">
        <f t="shared" ref="AF52:AF83" si="42">SUM(Y52:AE52)</f>
        <v>15.200000000000001</v>
      </c>
      <c r="AG52" s="548"/>
      <c r="AH52" s="548">
        <v>10</v>
      </c>
      <c r="AI52" s="491">
        <v>7</v>
      </c>
      <c r="AJ52" s="548"/>
      <c r="AK52" s="548"/>
      <c r="AL52" s="548"/>
      <c r="AM52" s="548">
        <f t="shared" ref="AM52:AM72" si="43">SUM(AG52:AL52)</f>
        <v>17</v>
      </c>
      <c r="AN52" s="481"/>
      <c r="AO52" s="481">
        <v>10</v>
      </c>
      <c r="AP52" s="491">
        <v>10</v>
      </c>
      <c r="AQ52" s="481"/>
      <c r="AR52" s="481"/>
      <c r="AS52" s="481"/>
      <c r="AT52" s="481"/>
      <c r="AU52" s="481">
        <f t="shared" si="39"/>
        <v>20</v>
      </c>
      <c r="AV52" s="548"/>
      <c r="AW52" s="548">
        <v>12</v>
      </c>
      <c r="AX52" s="548"/>
      <c r="AY52" s="548"/>
      <c r="AZ52" s="548"/>
      <c r="BA52" s="548"/>
      <c r="BB52" s="548"/>
      <c r="BC52" s="548">
        <f t="shared" si="41"/>
        <v>12</v>
      </c>
      <c r="BD52" s="42">
        <f t="shared" si="21"/>
        <v>0</v>
      </c>
      <c r="BE52" s="42">
        <f t="shared" si="21"/>
        <v>36.9</v>
      </c>
      <c r="BF52" s="42">
        <f t="shared" si="21"/>
        <v>17</v>
      </c>
      <c r="BG52" s="42">
        <f t="shared" si="21"/>
        <v>0</v>
      </c>
      <c r="BH52" s="42">
        <f t="shared" si="21"/>
        <v>0</v>
      </c>
      <c r="BI52" s="42">
        <f t="shared" si="17"/>
        <v>10.3</v>
      </c>
      <c r="BJ52" s="42">
        <f t="shared" si="33"/>
        <v>0</v>
      </c>
      <c r="BK52" s="42">
        <f t="shared" si="33"/>
        <v>64.2</v>
      </c>
    </row>
    <row r="53" spans="1:63" ht="29.25" customHeight="1" x14ac:dyDescent="0.25">
      <c r="A53" s="298" t="s">
        <v>173</v>
      </c>
      <c r="B53" s="299" t="s">
        <v>169</v>
      </c>
      <c r="C53" s="1547"/>
      <c r="D53" s="1551"/>
      <c r="E53" s="1551"/>
      <c r="F53" s="1551"/>
      <c r="G53" s="1551"/>
      <c r="H53" s="1551"/>
      <c r="I53" s="1429"/>
      <c r="J53" s="1429"/>
      <c r="K53" s="1429" t="s">
        <v>183</v>
      </c>
      <c r="L53" s="301" t="s">
        <v>179</v>
      </c>
      <c r="M53" s="1425" t="s">
        <v>45</v>
      </c>
      <c r="N53" s="1425" t="s">
        <v>46</v>
      </c>
      <c r="O53" s="1425" t="s">
        <v>47</v>
      </c>
      <c r="P53" s="16" t="s">
        <v>184</v>
      </c>
      <c r="Q53" s="302" t="s">
        <v>185</v>
      </c>
      <c r="R53" s="303">
        <v>2015</v>
      </c>
      <c r="S53" s="303">
        <v>0</v>
      </c>
      <c r="T53" s="303">
        <v>2</v>
      </c>
      <c r="U53" s="572">
        <v>4</v>
      </c>
      <c r="V53" s="572">
        <v>6</v>
      </c>
      <c r="W53" s="572">
        <v>8</v>
      </c>
      <c r="X53" s="572">
        <v>8</v>
      </c>
      <c r="Y53" s="483"/>
      <c r="Z53" s="483"/>
      <c r="AA53" s="483"/>
      <c r="AB53" s="483"/>
      <c r="AC53" s="483"/>
      <c r="AD53" s="483">
        <v>1.8</v>
      </c>
      <c r="AE53" s="483"/>
      <c r="AF53" s="483">
        <f t="shared" si="42"/>
        <v>1.8</v>
      </c>
      <c r="AG53" s="587"/>
      <c r="AH53" s="493">
        <v>0.5</v>
      </c>
      <c r="AI53" s="587"/>
      <c r="AJ53" s="587"/>
      <c r="AK53" s="587"/>
      <c r="AL53" s="587"/>
      <c r="AM53" s="587">
        <f t="shared" si="43"/>
        <v>0.5</v>
      </c>
      <c r="AN53" s="483"/>
      <c r="AO53" s="483"/>
      <c r="AP53" s="493">
        <v>0.5</v>
      </c>
      <c r="AQ53" s="483"/>
      <c r="AR53" s="483"/>
      <c r="AS53" s="483"/>
      <c r="AT53" s="483"/>
      <c r="AU53" s="483">
        <f t="shared" si="39"/>
        <v>0.5</v>
      </c>
      <c r="AV53" s="587"/>
      <c r="AW53" s="493">
        <v>0.5</v>
      </c>
      <c r="AX53" s="587"/>
      <c r="AY53" s="587"/>
      <c r="AZ53" s="587"/>
      <c r="BA53" s="587"/>
      <c r="BB53" s="587"/>
      <c r="BC53" s="587">
        <f t="shared" si="41"/>
        <v>0.5</v>
      </c>
      <c r="BD53" s="44">
        <f t="shared" si="21"/>
        <v>0</v>
      </c>
      <c r="BE53" s="44">
        <f t="shared" si="21"/>
        <v>1</v>
      </c>
      <c r="BF53" s="44">
        <f t="shared" si="21"/>
        <v>0.5</v>
      </c>
      <c r="BG53" s="44">
        <f t="shared" si="21"/>
        <v>0</v>
      </c>
      <c r="BH53" s="44">
        <f t="shared" si="21"/>
        <v>0</v>
      </c>
      <c r="BI53" s="42">
        <f t="shared" si="17"/>
        <v>1.8</v>
      </c>
      <c r="BJ53" s="44">
        <f t="shared" si="33"/>
        <v>0</v>
      </c>
      <c r="BK53" s="44">
        <f t="shared" si="33"/>
        <v>3.3</v>
      </c>
    </row>
    <row r="54" spans="1:63" ht="30.75" customHeight="1" x14ac:dyDescent="0.25">
      <c r="A54" s="298" t="s">
        <v>173</v>
      </c>
      <c r="B54" s="299" t="s">
        <v>169</v>
      </c>
      <c r="C54" s="1547"/>
      <c r="D54" s="1551"/>
      <c r="E54" s="1551"/>
      <c r="F54" s="1551"/>
      <c r="G54" s="1551"/>
      <c r="H54" s="1551"/>
      <c r="I54" s="1429"/>
      <c r="J54" s="1429" t="s">
        <v>53</v>
      </c>
      <c r="K54" s="1429" t="s">
        <v>186</v>
      </c>
      <c r="L54" s="301" t="s">
        <v>179</v>
      </c>
      <c r="M54" s="1425" t="s">
        <v>45</v>
      </c>
      <c r="N54" s="1425" t="s">
        <v>46</v>
      </c>
      <c r="O54" s="1425" t="s">
        <v>73</v>
      </c>
      <c r="P54" s="16" t="s">
        <v>187</v>
      </c>
      <c r="Q54" s="302" t="s">
        <v>188</v>
      </c>
      <c r="R54" s="303">
        <v>2015</v>
      </c>
      <c r="S54" s="303">
        <v>1</v>
      </c>
      <c r="T54" s="303">
        <v>1</v>
      </c>
      <c r="U54" s="572">
        <v>1</v>
      </c>
      <c r="V54" s="572">
        <v>1</v>
      </c>
      <c r="W54" s="572">
        <v>1</v>
      </c>
      <c r="X54" s="572">
        <v>1</v>
      </c>
      <c r="Y54" s="481"/>
      <c r="Z54" s="481">
        <v>24</v>
      </c>
      <c r="AA54" s="481">
        <v>7.3</v>
      </c>
      <c r="AB54" s="481"/>
      <c r="AC54" s="481"/>
      <c r="AD54" s="481"/>
      <c r="AE54" s="481"/>
      <c r="AF54" s="481">
        <f t="shared" si="42"/>
        <v>31.3</v>
      </c>
      <c r="AG54" s="548"/>
      <c r="AH54" s="491">
        <v>22</v>
      </c>
      <c r="AI54" s="548">
        <v>22</v>
      </c>
      <c r="AJ54" s="548"/>
      <c r="AK54" s="548"/>
      <c r="AL54" s="548"/>
      <c r="AM54" s="548">
        <f t="shared" si="43"/>
        <v>44</v>
      </c>
      <c r="AN54" s="481"/>
      <c r="AO54" s="481">
        <v>24</v>
      </c>
      <c r="AP54" s="481">
        <v>22</v>
      </c>
      <c r="AQ54" s="481"/>
      <c r="AR54" s="481"/>
      <c r="AS54" s="481"/>
      <c r="AT54" s="481"/>
      <c r="AU54" s="481">
        <f t="shared" si="39"/>
        <v>46</v>
      </c>
      <c r="AV54" s="548"/>
      <c r="AW54" s="491">
        <v>17.5</v>
      </c>
      <c r="AX54" s="548">
        <v>17</v>
      </c>
      <c r="AY54" s="548"/>
      <c r="AZ54" s="548"/>
      <c r="BA54" s="548"/>
      <c r="BB54" s="548"/>
      <c r="BC54" s="548">
        <f t="shared" si="41"/>
        <v>34.5</v>
      </c>
      <c r="BD54" s="42">
        <f t="shared" si="21"/>
        <v>0</v>
      </c>
      <c r="BE54" s="42">
        <f t="shared" si="21"/>
        <v>87.5</v>
      </c>
      <c r="BF54" s="42">
        <f t="shared" si="21"/>
        <v>68.3</v>
      </c>
      <c r="BG54" s="42">
        <f t="shared" si="21"/>
        <v>0</v>
      </c>
      <c r="BH54" s="42">
        <f t="shared" si="21"/>
        <v>0</v>
      </c>
      <c r="BI54" s="42">
        <f t="shared" si="17"/>
        <v>0</v>
      </c>
      <c r="BJ54" s="42">
        <f t="shared" si="33"/>
        <v>0</v>
      </c>
      <c r="BK54" s="42">
        <f t="shared" si="33"/>
        <v>155.80000000000001</v>
      </c>
    </row>
    <row r="55" spans="1:63" ht="27.75" customHeight="1" x14ac:dyDescent="0.25">
      <c r="A55" s="298" t="s">
        <v>173</v>
      </c>
      <c r="B55" s="299" t="s">
        <v>169</v>
      </c>
      <c r="C55" s="1547"/>
      <c r="D55" s="1551"/>
      <c r="E55" s="1551"/>
      <c r="F55" s="1551"/>
      <c r="G55" s="1551"/>
      <c r="H55" s="1551"/>
      <c r="I55" s="1429"/>
      <c r="J55" s="1429"/>
      <c r="K55" s="1429" t="s">
        <v>189</v>
      </c>
      <c r="L55" s="301" t="s">
        <v>179</v>
      </c>
      <c r="M55" s="1425" t="s">
        <v>45</v>
      </c>
      <c r="N55" s="1425" t="s">
        <v>46</v>
      </c>
      <c r="O55" s="1425" t="s">
        <v>47</v>
      </c>
      <c r="P55" s="16" t="s">
        <v>190</v>
      </c>
      <c r="Q55" s="302" t="s">
        <v>191</v>
      </c>
      <c r="R55" s="303">
        <v>2015</v>
      </c>
      <c r="S55" s="303">
        <v>0</v>
      </c>
      <c r="T55" s="303">
        <v>5</v>
      </c>
      <c r="U55" s="572">
        <v>15</v>
      </c>
      <c r="V55" s="572">
        <v>25</v>
      </c>
      <c r="W55" s="572">
        <v>40</v>
      </c>
      <c r="X55" s="572">
        <v>40</v>
      </c>
      <c r="Y55" s="481"/>
      <c r="Z55" s="481">
        <v>2</v>
      </c>
      <c r="AA55" s="481"/>
      <c r="AB55" s="481"/>
      <c r="AC55" s="481"/>
      <c r="AD55" s="481"/>
      <c r="AE55" s="481"/>
      <c r="AF55" s="481">
        <f t="shared" si="42"/>
        <v>2</v>
      </c>
      <c r="AG55" s="548"/>
      <c r="AH55" s="548">
        <v>2</v>
      </c>
      <c r="AI55" s="548"/>
      <c r="AJ55" s="548"/>
      <c r="AK55" s="548"/>
      <c r="AL55" s="548"/>
      <c r="AM55" s="548">
        <f t="shared" si="43"/>
        <v>2</v>
      </c>
      <c r="AN55" s="481"/>
      <c r="AO55" s="481">
        <v>2</v>
      </c>
      <c r="AP55" s="481"/>
      <c r="AQ55" s="481"/>
      <c r="AR55" s="481"/>
      <c r="AS55" s="481"/>
      <c r="AT55" s="481"/>
      <c r="AU55" s="481">
        <f t="shared" si="39"/>
        <v>2</v>
      </c>
      <c r="AV55" s="548"/>
      <c r="AW55" s="548">
        <v>2</v>
      </c>
      <c r="AX55" s="548"/>
      <c r="AY55" s="548"/>
      <c r="AZ55" s="548">
        <f>34896-34383</f>
        <v>513</v>
      </c>
      <c r="BA55" s="548"/>
      <c r="BB55" s="548"/>
      <c r="BC55" s="548">
        <f t="shared" si="41"/>
        <v>515</v>
      </c>
      <c r="BD55" s="42">
        <f t="shared" si="21"/>
        <v>0</v>
      </c>
      <c r="BE55" s="42">
        <f t="shared" si="21"/>
        <v>8</v>
      </c>
      <c r="BF55" s="42">
        <f t="shared" si="21"/>
        <v>0</v>
      </c>
      <c r="BG55" s="42">
        <f t="shared" si="21"/>
        <v>0</v>
      </c>
      <c r="BH55" s="42">
        <f t="shared" si="21"/>
        <v>513</v>
      </c>
      <c r="BI55" s="42">
        <f t="shared" si="17"/>
        <v>0</v>
      </c>
      <c r="BJ55" s="42">
        <f t="shared" si="33"/>
        <v>0</v>
      </c>
      <c r="BK55" s="42">
        <f t="shared" si="33"/>
        <v>521</v>
      </c>
    </row>
    <row r="56" spans="1:63" ht="23.25" customHeight="1" x14ac:dyDescent="0.25">
      <c r="A56" s="298" t="s">
        <v>173</v>
      </c>
      <c r="B56" s="299" t="s">
        <v>169</v>
      </c>
      <c r="C56" s="1547"/>
      <c r="D56" s="1551"/>
      <c r="E56" s="1551"/>
      <c r="F56" s="1551"/>
      <c r="G56" s="1551"/>
      <c r="H56" s="1551"/>
      <c r="I56" s="1429"/>
      <c r="J56" s="1429" t="s">
        <v>53</v>
      </c>
      <c r="K56" s="1429" t="s">
        <v>192</v>
      </c>
      <c r="L56" s="301" t="s">
        <v>179</v>
      </c>
      <c r="M56" s="1425" t="s">
        <v>45</v>
      </c>
      <c r="N56" s="1425" t="s">
        <v>46</v>
      </c>
      <c r="O56" s="1425" t="s">
        <v>73</v>
      </c>
      <c r="P56" s="16" t="s">
        <v>193</v>
      </c>
      <c r="Q56" s="302" t="s">
        <v>194</v>
      </c>
      <c r="R56" s="303">
        <v>2015</v>
      </c>
      <c r="S56" s="303">
        <v>0</v>
      </c>
      <c r="T56" s="303">
        <v>1</v>
      </c>
      <c r="U56" s="572">
        <v>1</v>
      </c>
      <c r="V56" s="572">
        <v>1</v>
      </c>
      <c r="W56" s="572">
        <v>1</v>
      </c>
      <c r="X56" s="572">
        <v>1</v>
      </c>
      <c r="Y56" s="483"/>
      <c r="Z56" s="483"/>
      <c r="AA56" s="483"/>
      <c r="AB56" s="483"/>
      <c r="AC56" s="483"/>
      <c r="AD56" s="493">
        <v>6.61</v>
      </c>
      <c r="AE56" s="483"/>
      <c r="AF56" s="483">
        <f t="shared" si="42"/>
        <v>6.61</v>
      </c>
      <c r="AG56" s="587"/>
      <c r="AH56" s="493">
        <v>0.5</v>
      </c>
      <c r="AI56" s="587"/>
      <c r="AJ56" s="587"/>
      <c r="AK56" s="587"/>
      <c r="AL56" s="587"/>
      <c r="AM56" s="587">
        <f t="shared" si="43"/>
        <v>0.5</v>
      </c>
      <c r="AN56" s="483"/>
      <c r="AO56" s="483"/>
      <c r="AP56" s="493">
        <v>0.5</v>
      </c>
      <c r="AQ56" s="483"/>
      <c r="AR56" s="483"/>
      <c r="AS56" s="483"/>
      <c r="AT56" s="483"/>
      <c r="AU56" s="483">
        <f t="shared" si="39"/>
        <v>0.5</v>
      </c>
      <c r="AV56" s="587"/>
      <c r="AW56" s="493">
        <v>0.5</v>
      </c>
      <c r="AX56" s="587"/>
      <c r="AY56" s="587"/>
      <c r="AZ56" s="587"/>
      <c r="BA56" s="587"/>
      <c r="BB56" s="587"/>
      <c r="BC56" s="587">
        <f t="shared" si="41"/>
        <v>0.5</v>
      </c>
      <c r="BD56" s="44">
        <f t="shared" si="21"/>
        <v>0</v>
      </c>
      <c r="BE56" s="44">
        <f t="shared" si="21"/>
        <v>1</v>
      </c>
      <c r="BF56" s="44">
        <f t="shared" si="21"/>
        <v>0.5</v>
      </c>
      <c r="BG56" s="44">
        <f t="shared" si="21"/>
        <v>0</v>
      </c>
      <c r="BH56" s="44">
        <f t="shared" si="21"/>
        <v>0</v>
      </c>
      <c r="BI56" s="42">
        <f t="shared" si="17"/>
        <v>6.61</v>
      </c>
      <c r="BJ56" s="44">
        <f t="shared" si="33"/>
        <v>0</v>
      </c>
      <c r="BK56" s="44">
        <f t="shared" si="33"/>
        <v>8.11</v>
      </c>
    </row>
    <row r="57" spans="1:63" ht="33.75" customHeight="1" x14ac:dyDescent="0.25">
      <c r="A57" s="298" t="s">
        <v>173</v>
      </c>
      <c r="B57" s="299" t="s">
        <v>169</v>
      </c>
      <c r="C57" s="1547"/>
      <c r="D57" s="1551"/>
      <c r="E57" s="1551"/>
      <c r="F57" s="1551"/>
      <c r="G57" s="1551"/>
      <c r="H57" s="1551"/>
      <c r="I57" s="1429"/>
      <c r="J57" s="1429"/>
      <c r="K57" s="1429" t="s">
        <v>195</v>
      </c>
      <c r="L57" s="301" t="s">
        <v>179</v>
      </c>
      <c r="M57" s="1425" t="s">
        <v>45</v>
      </c>
      <c r="N57" s="1425" t="s">
        <v>46</v>
      </c>
      <c r="O57" s="1425" t="s">
        <v>47</v>
      </c>
      <c r="P57" s="16" t="s">
        <v>196</v>
      </c>
      <c r="Q57" s="302" t="s">
        <v>197</v>
      </c>
      <c r="R57" s="303">
        <v>2015</v>
      </c>
      <c r="S57" s="303">
        <v>0</v>
      </c>
      <c r="T57" s="303">
        <v>4</v>
      </c>
      <c r="U57" s="572">
        <v>8</v>
      </c>
      <c r="V57" s="572">
        <v>12</v>
      </c>
      <c r="W57" s="572">
        <v>16</v>
      </c>
      <c r="X57" s="572">
        <v>16</v>
      </c>
      <c r="Y57" s="481"/>
      <c r="Z57" s="481"/>
      <c r="AA57" s="481"/>
      <c r="AB57" s="481"/>
      <c r="AC57" s="481"/>
      <c r="AD57" s="491">
        <v>5.29</v>
      </c>
      <c r="AE57" s="481"/>
      <c r="AF57" s="481">
        <f t="shared" si="42"/>
        <v>5.29</v>
      </c>
      <c r="AG57" s="548"/>
      <c r="AH57" s="493">
        <v>0.5</v>
      </c>
      <c r="AI57" s="548"/>
      <c r="AJ57" s="548"/>
      <c r="AK57" s="548"/>
      <c r="AL57" s="548"/>
      <c r="AM57" s="548">
        <f t="shared" si="43"/>
        <v>0.5</v>
      </c>
      <c r="AN57" s="481"/>
      <c r="AO57" s="483"/>
      <c r="AP57" s="493">
        <v>0.5</v>
      </c>
      <c r="AQ57" s="481"/>
      <c r="AR57" s="481"/>
      <c r="AS57" s="481"/>
      <c r="AT57" s="481"/>
      <c r="AU57" s="481">
        <f t="shared" si="39"/>
        <v>0.5</v>
      </c>
      <c r="AV57" s="548"/>
      <c r="AW57" s="493">
        <v>0.5</v>
      </c>
      <c r="AX57" s="548"/>
      <c r="AY57" s="548"/>
      <c r="AZ57" s="548"/>
      <c r="BA57" s="548"/>
      <c r="BB57" s="548"/>
      <c r="BC57" s="548">
        <f t="shared" si="41"/>
        <v>0.5</v>
      </c>
      <c r="BD57" s="42">
        <f t="shared" si="21"/>
        <v>0</v>
      </c>
      <c r="BE57" s="42">
        <f t="shared" si="21"/>
        <v>1</v>
      </c>
      <c r="BF57" s="42">
        <f t="shared" si="21"/>
        <v>0.5</v>
      </c>
      <c r="BG57" s="42">
        <f t="shared" si="21"/>
        <v>0</v>
      </c>
      <c r="BH57" s="42">
        <f t="shared" si="21"/>
        <v>0</v>
      </c>
      <c r="BI57" s="42">
        <f t="shared" si="17"/>
        <v>5.29</v>
      </c>
      <c r="BJ57" s="42">
        <f t="shared" si="33"/>
        <v>0</v>
      </c>
      <c r="BK57" s="42">
        <f t="shared" si="33"/>
        <v>6.79</v>
      </c>
    </row>
    <row r="58" spans="1:63" ht="30" customHeight="1" x14ac:dyDescent="0.25">
      <c r="A58" s="298" t="s">
        <v>173</v>
      </c>
      <c r="B58" s="299" t="s">
        <v>169</v>
      </c>
      <c r="C58" s="1547"/>
      <c r="D58" s="1551"/>
      <c r="E58" s="1551"/>
      <c r="F58" s="1551"/>
      <c r="G58" s="1551"/>
      <c r="H58" s="1551"/>
      <c r="I58" s="1429"/>
      <c r="J58" s="1429"/>
      <c r="K58" s="1429" t="s">
        <v>198</v>
      </c>
      <c r="L58" s="301" t="s">
        <v>179</v>
      </c>
      <c r="M58" s="1425" t="s">
        <v>45</v>
      </c>
      <c r="N58" s="1425" t="s">
        <v>46</v>
      </c>
      <c r="O58" s="1425" t="s">
        <v>73</v>
      </c>
      <c r="P58" s="16" t="s">
        <v>199</v>
      </c>
      <c r="Q58" s="302" t="s">
        <v>200</v>
      </c>
      <c r="R58" s="303">
        <v>2015</v>
      </c>
      <c r="S58" s="303">
        <v>3</v>
      </c>
      <c r="T58" s="303">
        <v>4</v>
      </c>
      <c r="U58" s="572">
        <v>4</v>
      </c>
      <c r="V58" s="572">
        <v>4</v>
      </c>
      <c r="W58" s="572">
        <v>4</v>
      </c>
      <c r="X58" s="572">
        <v>4</v>
      </c>
      <c r="Y58" s="481"/>
      <c r="Z58" s="481"/>
      <c r="AA58" s="481">
        <v>7</v>
      </c>
      <c r="AB58" s="481"/>
      <c r="AC58" s="481"/>
      <c r="AD58" s="481"/>
      <c r="AE58" s="481"/>
      <c r="AF58" s="481">
        <f t="shared" si="42"/>
        <v>7</v>
      </c>
      <c r="AG58" s="548"/>
      <c r="AH58" s="493">
        <v>0.5</v>
      </c>
      <c r="AI58" s="548"/>
      <c r="AJ58" s="548"/>
      <c r="AK58" s="548"/>
      <c r="AL58" s="548"/>
      <c r="AM58" s="548">
        <f t="shared" si="43"/>
        <v>0.5</v>
      </c>
      <c r="AN58" s="481"/>
      <c r="AO58" s="483"/>
      <c r="AP58" s="493">
        <v>0.5</v>
      </c>
      <c r="AQ58" s="481"/>
      <c r="AR58" s="481"/>
      <c r="AS58" s="481"/>
      <c r="AT58" s="481"/>
      <c r="AU58" s="481">
        <f t="shared" si="39"/>
        <v>0.5</v>
      </c>
      <c r="AV58" s="548"/>
      <c r="AW58" s="493">
        <v>0.5</v>
      </c>
      <c r="AX58" s="491">
        <v>10</v>
      </c>
      <c r="AY58" s="548"/>
      <c r="AZ58" s="548"/>
      <c r="BA58" s="548"/>
      <c r="BB58" s="548"/>
      <c r="BC58" s="548">
        <f t="shared" si="41"/>
        <v>10.5</v>
      </c>
      <c r="BD58" s="42">
        <f t="shared" si="21"/>
        <v>0</v>
      </c>
      <c r="BE58" s="42">
        <f t="shared" si="21"/>
        <v>1</v>
      </c>
      <c r="BF58" s="42">
        <f t="shared" si="21"/>
        <v>17.5</v>
      </c>
      <c r="BG58" s="42">
        <f t="shared" si="21"/>
        <v>0</v>
      </c>
      <c r="BH58" s="42">
        <f t="shared" si="21"/>
        <v>0</v>
      </c>
      <c r="BI58" s="42">
        <f t="shared" si="17"/>
        <v>0</v>
      </c>
      <c r="BJ58" s="42">
        <f t="shared" si="33"/>
        <v>0</v>
      </c>
      <c r="BK58" s="42">
        <f t="shared" si="33"/>
        <v>18.5</v>
      </c>
    </row>
    <row r="59" spans="1:63" ht="35.25" customHeight="1" x14ac:dyDescent="0.25">
      <c r="A59" s="298" t="s">
        <v>173</v>
      </c>
      <c r="B59" s="299" t="s">
        <v>169</v>
      </c>
      <c r="C59" s="1547"/>
      <c r="D59" s="1551"/>
      <c r="E59" s="1551"/>
      <c r="F59" s="1551"/>
      <c r="G59" s="1551"/>
      <c r="H59" s="1551"/>
      <c r="I59" s="1429"/>
      <c r="J59" s="1429"/>
      <c r="K59" s="1429" t="s">
        <v>201</v>
      </c>
      <c r="L59" s="301" t="s">
        <v>179</v>
      </c>
      <c r="M59" s="1425" t="s">
        <v>45</v>
      </c>
      <c r="N59" s="1425" t="s">
        <v>46</v>
      </c>
      <c r="O59" s="1425" t="s">
        <v>47</v>
      </c>
      <c r="P59" s="16" t="s">
        <v>202</v>
      </c>
      <c r="Q59" s="302" t="s">
        <v>203</v>
      </c>
      <c r="R59" s="303">
        <v>2015</v>
      </c>
      <c r="S59" s="303">
        <v>2</v>
      </c>
      <c r="T59" s="303">
        <v>1</v>
      </c>
      <c r="U59" s="572">
        <v>2</v>
      </c>
      <c r="V59" s="572">
        <v>4</v>
      </c>
      <c r="W59" s="572">
        <v>6</v>
      </c>
      <c r="X59" s="572">
        <v>6</v>
      </c>
      <c r="Y59" s="481"/>
      <c r="Z59" s="481"/>
      <c r="AA59" s="481">
        <v>7</v>
      </c>
      <c r="AB59" s="481"/>
      <c r="AC59" s="481"/>
      <c r="AD59" s="481"/>
      <c r="AE59" s="481"/>
      <c r="AF59" s="481">
        <f t="shared" si="42"/>
        <v>7</v>
      </c>
      <c r="AG59" s="548"/>
      <c r="AH59" s="548"/>
      <c r="AI59" s="548">
        <v>14</v>
      </c>
      <c r="AJ59" s="548"/>
      <c r="AK59" s="548"/>
      <c r="AL59" s="548"/>
      <c r="AM59" s="548">
        <f t="shared" si="43"/>
        <v>14</v>
      </c>
      <c r="AN59" s="481"/>
      <c r="AO59" s="483"/>
      <c r="AP59" s="491">
        <v>8.5</v>
      </c>
      <c r="AQ59" s="481"/>
      <c r="AR59" s="481"/>
      <c r="AS59" s="481"/>
      <c r="AT59" s="481"/>
      <c r="AU59" s="481">
        <f t="shared" si="39"/>
        <v>8.5</v>
      </c>
      <c r="AV59" s="548"/>
      <c r="AW59" s="548"/>
      <c r="AX59" s="548">
        <v>15</v>
      </c>
      <c r="AY59" s="548"/>
      <c r="AZ59" s="548"/>
      <c r="BA59" s="548"/>
      <c r="BB59" s="548"/>
      <c r="BC59" s="548">
        <f t="shared" si="41"/>
        <v>15</v>
      </c>
      <c r="BD59" s="42">
        <f t="shared" si="21"/>
        <v>0</v>
      </c>
      <c r="BE59" s="42">
        <f t="shared" si="21"/>
        <v>0</v>
      </c>
      <c r="BF59" s="42">
        <f t="shared" si="21"/>
        <v>44.5</v>
      </c>
      <c r="BG59" s="42">
        <f t="shared" si="21"/>
        <v>0</v>
      </c>
      <c r="BH59" s="42">
        <f t="shared" si="21"/>
        <v>0</v>
      </c>
      <c r="BI59" s="42">
        <f t="shared" si="17"/>
        <v>0</v>
      </c>
      <c r="BJ59" s="42">
        <f t="shared" si="33"/>
        <v>0</v>
      </c>
      <c r="BK59" s="42">
        <f t="shared" si="33"/>
        <v>44.5</v>
      </c>
    </row>
    <row r="60" spans="1:63" ht="26.25" customHeight="1" x14ac:dyDescent="0.25">
      <c r="A60" s="298" t="s">
        <v>173</v>
      </c>
      <c r="B60" s="299" t="s">
        <v>169</v>
      </c>
      <c r="C60" s="1547"/>
      <c r="D60" s="1551"/>
      <c r="E60" s="1551"/>
      <c r="F60" s="1551"/>
      <c r="G60" s="1551"/>
      <c r="H60" s="1551"/>
      <c r="I60" s="1429"/>
      <c r="J60" s="1429"/>
      <c r="K60" s="1429" t="s">
        <v>204</v>
      </c>
      <c r="L60" s="301" t="s">
        <v>179</v>
      </c>
      <c r="M60" s="1425" t="s">
        <v>45</v>
      </c>
      <c r="N60" s="1425" t="s">
        <v>46</v>
      </c>
      <c r="O60" s="1425" t="s">
        <v>47</v>
      </c>
      <c r="P60" s="16" t="s">
        <v>205</v>
      </c>
      <c r="Q60" s="302" t="s">
        <v>206</v>
      </c>
      <c r="R60" s="303">
        <v>2015</v>
      </c>
      <c r="S60" s="303">
        <v>0</v>
      </c>
      <c r="T60" s="303">
        <v>1</v>
      </c>
      <c r="U60" s="572">
        <v>2</v>
      </c>
      <c r="V60" s="572">
        <v>3</v>
      </c>
      <c r="W60" s="572">
        <v>4</v>
      </c>
      <c r="X60" s="572">
        <v>4</v>
      </c>
      <c r="Y60" s="481"/>
      <c r="Z60" s="481"/>
      <c r="AA60" s="491">
        <v>8.8000000000000007</v>
      </c>
      <c r="AB60" s="481"/>
      <c r="AC60" s="481"/>
      <c r="AD60" s="491">
        <v>1</v>
      </c>
      <c r="AE60" s="481"/>
      <c r="AF60" s="481">
        <f t="shared" si="42"/>
        <v>9.8000000000000007</v>
      </c>
      <c r="AG60" s="548"/>
      <c r="AH60" s="493">
        <v>0.5</v>
      </c>
      <c r="AI60" s="548"/>
      <c r="AJ60" s="548"/>
      <c r="AK60" s="548"/>
      <c r="AL60" s="548"/>
      <c r="AM60" s="548">
        <f t="shared" si="43"/>
        <v>0.5</v>
      </c>
      <c r="AN60" s="481"/>
      <c r="AO60" s="483"/>
      <c r="AP60" s="493">
        <v>0.5</v>
      </c>
      <c r="AQ60" s="481"/>
      <c r="AR60" s="481"/>
      <c r="AS60" s="481"/>
      <c r="AT60" s="481"/>
      <c r="AU60" s="481">
        <f t="shared" si="39"/>
        <v>0.5</v>
      </c>
      <c r="AV60" s="548"/>
      <c r="AW60" s="493">
        <v>0.5</v>
      </c>
      <c r="AX60" s="548"/>
      <c r="AY60" s="548"/>
      <c r="AZ60" s="548"/>
      <c r="BA60" s="548"/>
      <c r="BB60" s="548"/>
      <c r="BC60" s="548">
        <f t="shared" si="41"/>
        <v>0.5</v>
      </c>
      <c r="BD60" s="42"/>
      <c r="BE60" s="42"/>
      <c r="BF60" s="42"/>
      <c r="BG60" s="42"/>
      <c r="BH60" s="42"/>
      <c r="BI60" s="42">
        <f t="shared" si="17"/>
        <v>1</v>
      </c>
      <c r="BJ60" s="42"/>
      <c r="BK60" s="42"/>
    </row>
    <row r="61" spans="1:63" ht="30.75" customHeight="1" x14ac:dyDescent="0.25">
      <c r="A61" s="298" t="s">
        <v>173</v>
      </c>
      <c r="B61" s="299" t="s">
        <v>169</v>
      </c>
      <c r="C61" s="1547"/>
      <c r="D61" s="1549"/>
      <c r="E61" s="1549"/>
      <c r="F61" s="1551"/>
      <c r="G61" s="1551"/>
      <c r="H61" s="1551"/>
      <c r="I61" s="1429" t="s">
        <v>53</v>
      </c>
      <c r="J61" s="1429"/>
      <c r="K61" s="1429" t="s">
        <v>207</v>
      </c>
      <c r="L61" s="301" t="s">
        <v>179</v>
      </c>
      <c r="M61" s="1425" t="s">
        <v>45</v>
      </c>
      <c r="N61" s="1425" t="s">
        <v>46</v>
      </c>
      <c r="O61" s="1425" t="s">
        <v>47</v>
      </c>
      <c r="P61" s="16" t="s">
        <v>208</v>
      </c>
      <c r="Q61" s="302" t="s">
        <v>209</v>
      </c>
      <c r="R61" s="303">
        <v>2015</v>
      </c>
      <c r="S61" s="303">
        <v>0</v>
      </c>
      <c r="T61" s="303">
        <v>1</v>
      </c>
      <c r="U61" s="572">
        <v>1</v>
      </c>
      <c r="V61" s="572">
        <v>1</v>
      </c>
      <c r="W61" s="572">
        <v>1</v>
      </c>
      <c r="X61" s="572">
        <v>1</v>
      </c>
      <c r="Y61" s="481">
        <v>5</v>
      </c>
      <c r="Z61" s="481"/>
      <c r="AA61" s="481"/>
      <c r="AB61" s="481"/>
      <c r="AC61" s="481"/>
      <c r="AD61" s="481"/>
      <c r="AE61" s="481"/>
      <c r="AF61" s="481">
        <f t="shared" si="42"/>
        <v>5</v>
      </c>
      <c r="AG61" s="548"/>
      <c r="AH61" s="493">
        <v>0.5</v>
      </c>
      <c r="AI61" s="548"/>
      <c r="AJ61" s="548"/>
      <c r="AK61" s="548"/>
      <c r="AL61" s="548"/>
      <c r="AM61" s="548">
        <f t="shared" si="43"/>
        <v>0.5</v>
      </c>
      <c r="AN61" s="481"/>
      <c r="AO61" s="483"/>
      <c r="AP61" s="493">
        <v>0.5</v>
      </c>
      <c r="AQ61" s="481"/>
      <c r="AR61" s="481"/>
      <c r="AS61" s="481"/>
      <c r="AT61" s="481"/>
      <c r="AU61" s="481">
        <f t="shared" si="39"/>
        <v>0.5</v>
      </c>
      <c r="AV61" s="548"/>
      <c r="AW61" s="493">
        <v>0.5</v>
      </c>
      <c r="AX61" s="548"/>
      <c r="AY61" s="548"/>
      <c r="AZ61" s="548"/>
      <c r="BA61" s="548"/>
      <c r="BB61" s="548"/>
      <c r="BC61" s="548">
        <f t="shared" si="41"/>
        <v>0.5</v>
      </c>
      <c r="BD61" s="42">
        <f t="shared" si="21"/>
        <v>5</v>
      </c>
      <c r="BE61" s="42">
        <f t="shared" si="21"/>
        <v>1</v>
      </c>
      <c r="BF61" s="42">
        <f t="shared" si="21"/>
        <v>0.5</v>
      </c>
      <c r="BG61" s="42">
        <f t="shared" si="21"/>
        <v>0</v>
      </c>
      <c r="BH61" s="42">
        <f t="shared" si="21"/>
        <v>0</v>
      </c>
      <c r="BI61" s="42">
        <f t="shared" si="17"/>
        <v>0</v>
      </c>
      <c r="BJ61" s="42">
        <f t="shared" si="33"/>
        <v>0</v>
      </c>
      <c r="BK61" s="42">
        <f t="shared" si="33"/>
        <v>6.5</v>
      </c>
    </row>
    <row r="62" spans="1:63" ht="22.5" customHeight="1" x14ac:dyDescent="0.25">
      <c r="A62" s="298" t="s">
        <v>173</v>
      </c>
      <c r="B62" s="299" t="s">
        <v>169</v>
      </c>
      <c r="C62" s="1547"/>
      <c r="D62" s="1551"/>
      <c r="E62" s="1551"/>
      <c r="F62" s="1551"/>
      <c r="G62" s="1551"/>
      <c r="H62" s="1551"/>
      <c r="I62" s="1429"/>
      <c r="J62" s="1429"/>
      <c r="K62" s="1429" t="s">
        <v>210</v>
      </c>
      <c r="L62" s="301" t="s">
        <v>179</v>
      </c>
      <c r="M62" s="1425" t="s">
        <v>45</v>
      </c>
      <c r="N62" s="1425" t="s">
        <v>46</v>
      </c>
      <c r="O62" s="1425" t="s">
        <v>47</v>
      </c>
      <c r="P62" s="16" t="s">
        <v>211</v>
      </c>
      <c r="Q62" s="302" t="s">
        <v>212</v>
      </c>
      <c r="R62" s="303">
        <v>2015</v>
      </c>
      <c r="S62" s="303">
        <v>1</v>
      </c>
      <c r="T62" s="303">
        <v>1</v>
      </c>
      <c r="U62" s="572">
        <v>2</v>
      </c>
      <c r="V62" s="572">
        <v>3</v>
      </c>
      <c r="W62" s="572">
        <v>4</v>
      </c>
      <c r="X62" s="572">
        <v>4</v>
      </c>
      <c r="Y62" s="481">
        <v>21</v>
      </c>
      <c r="Z62" s="481">
        <v>7</v>
      </c>
      <c r="AA62" s="481">
        <v>5</v>
      </c>
      <c r="AB62" s="481"/>
      <c r="AC62" s="481"/>
      <c r="AD62" s="481">
        <v>12</v>
      </c>
      <c r="AE62" s="481"/>
      <c r="AF62" s="481">
        <f t="shared" si="42"/>
        <v>45</v>
      </c>
      <c r="AG62" s="548"/>
      <c r="AH62" s="493">
        <v>0.5</v>
      </c>
      <c r="AI62" s="548"/>
      <c r="AJ62" s="548"/>
      <c r="AK62" s="548"/>
      <c r="AL62" s="548"/>
      <c r="AM62" s="548">
        <f t="shared" si="43"/>
        <v>0.5</v>
      </c>
      <c r="AN62" s="481"/>
      <c r="AO62" s="483"/>
      <c r="AP62" s="493">
        <v>0.5</v>
      </c>
      <c r="AQ62" s="481"/>
      <c r="AR62" s="481"/>
      <c r="AS62" s="481"/>
      <c r="AT62" s="481"/>
      <c r="AU62" s="481">
        <f t="shared" si="39"/>
        <v>0.5</v>
      </c>
      <c r="AV62" s="548"/>
      <c r="AW62" s="493">
        <v>0.5</v>
      </c>
      <c r="AX62" s="548"/>
      <c r="AY62" s="548"/>
      <c r="AZ62" s="548"/>
      <c r="BA62" s="548"/>
      <c r="BB62" s="548"/>
      <c r="BC62" s="548">
        <f t="shared" si="41"/>
        <v>0.5</v>
      </c>
      <c r="BD62" s="42">
        <f t="shared" si="21"/>
        <v>21</v>
      </c>
      <c r="BE62" s="42">
        <f t="shared" si="21"/>
        <v>8</v>
      </c>
      <c r="BF62" s="42">
        <f t="shared" si="21"/>
        <v>5.5</v>
      </c>
      <c r="BG62" s="42">
        <f t="shared" si="21"/>
        <v>0</v>
      </c>
      <c r="BH62" s="42">
        <f t="shared" si="21"/>
        <v>0</v>
      </c>
      <c r="BI62" s="42">
        <f t="shared" si="17"/>
        <v>12</v>
      </c>
      <c r="BJ62" s="42">
        <f t="shared" si="33"/>
        <v>0</v>
      </c>
      <c r="BK62" s="42">
        <f t="shared" si="33"/>
        <v>46.5</v>
      </c>
    </row>
    <row r="63" spans="1:63" ht="23.25" customHeight="1" x14ac:dyDescent="0.25">
      <c r="A63" s="298" t="s">
        <v>173</v>
      </c>
      <c r="B63" s="299" t="s">
        <v>169</v>
      </c>
      <c r="C63" s="1547"/>
      <c r="D63" s="1551"/>
      <c r="E63" s="1551"/>
      <c r="F63" s="1551"/>
      <c r="G63" s="1551"/>
      <c r="H63" s="1551"/>
      <c r="I63" s="1429"/>
      <c r="J63" s="1429"/>
      <c r="K63" s="1429" t="s">
        <v>213</v>
      </c>
      <c r="L63" s="301" t="s">
        <v>179</v>
      </c>
      <c r="M63" s="1425" t="s">
        <v>45</v>
      </c>
      <c r="N63" s="1425" t="s">
        <v>46</v>
      </c>
      <c r="O63" s="1425" t="s">
        <v>47</v>
      </c>
      <c r="P63" s="71" t="s">
        <v>214</v>
      </c>
      <c r="Q63" s="302" t="s">
        <v>215</v>
      </c>
      <c r="R63" s="303">
        <v>2015</v>
      </c>
      <c r="S63" s="303">
        <v>0</v>
      </c>
      <c r="T63" s="303">
        <v>0</v>
      </c>
      <c r="U63" s="572">
        <v>0</v>
      </c>
      <c r="V63" s="572">
        <v>1</v>
      </c>
      <c r="W63" s="572">
        <v>1</v>
      </c>
      <c r="X63" s="572">
        <v>1</v>
      </c>
      <c r="Y63" s="483"/>
      <c r="Z63" s="483"/>
      <c r="AA63" s="483"/>
      <c r="AB63" s="483"/>
      <c r="AC63" s="483"/>
      <c r="AD63" s="483"/>
      <c r="AE63" s="483"/>
      <c r="AF63" s="483">
        <f t="shared" si="42"/>
        <v>0</v>
      </c>
      <c r="AG63" s="587"/>
      <c r="AH63" s="587"/>
      <c r="AI63" s="587"/>
      <c r="AJ63" s="587"/>
      <c r="AK63" s="587"/>
      <c r="AL63" s="587"/>
      <c r="AM63" s="587">
        <f t="shared" si="43"/>
        <v>0</v>
      </c>
      <c r="AN63" s="483"/>
      <c r="AO63" s="483"/>
      <c r="AP63" s="493">
        <v>0.5</v>
      </c>
      <c r="AQ63" s="483"/>
      <c r="AR63" s="483"/>
      <c r="AS63" s="483"/>
      <c r="AT63" s="483"/>
      <c r="AU63" s="483">
        <f t="shared" si="39"/>
        <v>0.5</v>
      </c>
      <c r="AV63" s="587"/>
      <c r="AW63" s="493">
        <v>0.5</v>
      </c>
      <c r="AX63" s="587"/>
      <c r="AY63" s="587"/>
      <c r="AZ63" s="587"/>
      <c r="BA63" s="587"/>
      <c r="BB63" s="587"/>
      <c r="BC63" s="587">
        <f t="shared" si="41"/>
        <v>0.5</v>
      </c>
      <c r="BD63" s="44">
        <f t="shared" ref="BD63:BH78" si="44">+AV63+AN63+AG63+Y63</f>
        <v>0</v>
      </c>
      <c r="BE63" s="44">
        <f t="shared" si="44"/>
        <v>0.5</v>
      </c>
      <c r="BF63" s="44">
        <f t="shared" si="44"/>
        <v>0.5</v>
      </c>
      <c r="BG63" s="44">
        <f t="shared" si="44"/>
        <v>0</v>
      </c>
      <c r="BH63" s="44">
        <f t="shared" si="44"/>
        <v>0</v>
      </c>
      <c r="BI63" s="42">
        <f t="shared" si="17"/>
        <v>0</v>
      </c>
      <c r="BJ63" s="44">
        <f t="shared" si="33"/>
        <v>0</v>
      </c>
      <c r="BK63" s="44">
        <f t="shared" si="33"/>
        <v>1</v>
      </c>
    </row>
    <row r="64" spans="1:63" ht="24.75" customHeight="1" x14ac:dyDescent="0.25">
      <c r="A64" s="298" t="s">
        <v>173</v>
      </c>
      <c r="B64" s="299" t="s">
        <v>169</v>
      </c>
      <c r="C64" s="1547"/>
      <c r="D64" s="1551"/>
      <c r="E64" s="1551"/>
      <c r="F64" s="1551"/>
      <c r="G64" s="1551"/>
      <c r="H64" s="1551"/>
      <c r="I64" s="1429"/>
      <c r="J64" s="1429"/>
      <c r="K64" s="1429" t="s">
        <v>216</v>
      </c>
      <c r="L64" s="301" t="s">
        <v>179</v>
      </c>
      <c r="M64" s="1425" t="s">
        <v>45</v>
      </c>
      <c r="N64" s="1425" t="s">
        <v>46</v>
      </c>
      <c r="O64" s="1425" t="s">
        <v>47</v>
      </c>
      <c r="P64" s="16" t="s">
        <v>217</v>
      </c>
      <c r="Q64" s="302" t="s">
        <v>218</v>
      </c>
      <c r="R64" s="303">
        <v>2015</v>
      </c>
      <c r="S64" s="303">
        <v>0</v>
      </c>
      <c r="T64" s="303">
        <v>0</v>
      </c>
      <c r="U64" s="572">
        <v>1</v>
      </c>
      <c r="V64" s="572">
        <v>1</v>
      </c>
      <c r="W64" s="572">
        <v>2</v>
      </c>
      <c r="X64" s="572">
        <v>2</v>
      </c>
      <c r="Y64" s="483"/>
      <c r="Z64" s="483"/>
      <c r="AA64" s="483"/>
      <c r="AB64" s="483"/>
      <c r="AC64" s="483"/>
      <c r="AD64" s="483"/>
      <c r="AE64" s="483"/>
      <c r="AF64" s="483">
        <f t="shared" si="42"/>
        <v>0</v>
      </c>
      <c r="AG64" s="587"/>
      <c r="AH64" s="493">
        <v>0.5</v>
      </c>
      <c r="AI64" s="587"/>
      <c r="AJ64" s="587"/>
      <c r="AK64" s="587"/>
      <c r="AL64" s="587"/>
      <c r="AM64" s="587">
        <f t="shared" si="43"/>
        <v>0.5</v>
      </c>
      <c r="AN64" s="483"/>
      <c r="AO64" s="483"/>
      <c r="AP64" s="493">
        <v>0.5</v>
      </c>
      <c r="AQ64" s="483"/>
      <c r="AR64" s="483"/>
      <c r="AS64" s="483"/>
      <c r="AT64" s="483"/>
      <c r="AU64" s="483">
        <f t="shared" si="39"/>
        <v>0.5</v>
      </c>
      <c r="AV64" s="587"/>
      <c r="AW64" s="493">
        <v>0.5</v>
      </c>
      <c r="AX64" s="587"/>
      <c r="AY64" s="587"/>
      <c r="AZ64" s="587"/>
      <c r="BA64" s="587"/>
      <c r="BB64" s="587"/>
      <c r="BC64" s="587">
        <f t="shared" si="41"/>
        <v>0.5</v>
      </c>
      <c r="BD64" s="44">
        <f t="shared" si="44"/>
        <v>0</v>
      </c>
      <c r="BE64" s="44">
        <f t="shared" si="44"/>
        <v>1</v>
      </c>
      <c r="BF64" s="44">
        <f t="shared" si="44"/>
        <v>0.5</v>
      </c>
      <c r="BG64" s="44">
        <f t="shared" si="44"/>
        <v>0</v>
      </c>
      <c r="BH64" s="44">
        <f t="shared" si="44"/>
        <v>0</v>
      </c>
      <c r="BI64" s="42">
        <f t="shared" si="17"/>
        <v>0</v>
      </c>
      <c r="BJ64" s="44">
        <f t="shared" ref="BJ64:BK96" si="45">+BB64+AT64+AL64+AE64</f>
        <v>0</v>
      </c>
      <c r="BK64" s="44">
        <f t="shared" si="45"/>
        <v>1.5</v>
      </c>
    </row>
    <row r="65" spans="1:63" ht="46.5" customHeight="1" x14ac:dyDescent="0.25">
      <c r="A65" s="298" t="s">
        <v>173</v>
      </c>
      <c r="B65" s="299" t="s">
        <v>169</v>
      </c>
      <c r="C65" s="1547"/>
      <c r="D65" s="1551"/>
      <c r="E65" s="1551"/>
      <c r="F65" s="1551"/>
      <c r="G65" s="1551"/>
      <c r="H65" s="1551"/>
      <c r="I65" s="1429"/>
      <c r="J65" s="1429" t="s">
        <v>53</v>
      </c>
      <c r="K65" s="1429" t="s">
        <v>219</v>
      </c>
      <c r="L65" s="301" t="s">
        <v>179</v>
      </c>
      <c r="M65" s="1425" t="s">
        <v>45</v>
      </c>
      <c r="N65" s="1425" t="s">
        <v>46</v>
      </c>
      <c r="O65" s="1425" t="s">
        <v>47</v>
      </c>
      <c r="P65" s="16" t="s">
        <v>220</v>
      </c>
      <c r="Q65" s="302" t="s">
        <v>221</v>
      </c>
      <c r="R65" s="303">
        <v>2015</v>
      </c>
      <c r="S65" s="303">
        <v>0</v>
      </c>
      <c r="T65" s="303">
        <v>1</v>
      </c>
      <c r="U65" s="572">
        <v>1</v>
      </c>
      <c r="V65" s="572">
        <v>1</v>
      </c>
      <c r="W65" s="572">
        <v>1</v>
      </c>
      <c r="X65" s="572">
        <v>1</v>
      </c>
      <c r="Y65" s="491"/>
      <c r="Z65" s="481">
        <v>2</v>
      </c>
      <c r="AA65" s="481"/>
      <c r="AB65" s="481"/>
      <c r="AC65" s="481"/>
      <c r="AD65" s="481"/>
      <c r="AE65" s="481"/>
      <c r="AF65" s="481">
        <f t="shared" si="42"/>
        <v>2</v>
      </c>
      <c r="AG65" s="548"/>
      <c r="AH65" s="493">
        <v>0.5</v>
      </c>
      <c r="AI65" s="548"/>
      <c r="AJ65" s="548"/>
      <c r="AK65" s="548"/>
      <c r="AL65" s="548"/>
      <c r="AM65" s="548">
        <f t="shared" si="43"/>
        <v>0.5</v>
      </c>
      <c r="AN65" s="481"/>
      <c r="AO65" s="483"/>
      <c r="AP65" s="493">
        <v>0.5</v>
      </c>
      <c r="AQ65" s="481"/>
      <c r="AR65" s="481"/>
      <c r="AS65" s="481"/>
      <c r="AT65" s="481"/>
      <c r="AU65" s="481">
        <f t="shared" si="39"/>
        <v>0.5</v>
      </c>
      <c r="AV65" s="548"/>
      <c r="AW65" s="493">
        <v>0.5</v>
      </c>
      <c r="AX65" s="548"/>
      <c r="AY65" s="548"/>
      <c r="AZ65" s="548"/>
      <c r="BA65" s="548"/>
      <c r="BB65" s="548"/>
      <c r="BC65" s="548">
        <f t="shared" si="41"/>
        <v>0.5</v>
      </c>
      <c r="BD65" s="42">
        <f t="shared" si="44"/>
        <v>0</v>
      </c>
      <c r="BE65" s="42" t="e">
        <f>+AW65+AO65+AH65+#REF!</f>
        <v>#REF!</v>
      </c>
      <c r="BF65" s="42">
        <f t="shared" si="44"/>
        <v>0.5</v>
      </c>
      <c r="BG65" s="42">
        <f t="shared" si="44"/>
        <v>0</v>
      </c>
      <c r="BH65" s="42">
        <f t="shared" si="44"/>
        <v>0</v>
      </c>
      <c r="BI65" s="42">
        <f t="shared" si="17"/>
        <v>0</v>
      </c>
      <c r="BJ65" s="42">
        <f t="shared" si="45"/>
        <v>0</v>
      </c>
      <c r="BK65" s="42">
        <f t="shared" si="45"/>
        <v>3.5</v>
      </c>
    </row>
    <row r="66" spans="1:63" ht="37.5" customHeight="1" x14ac:dyDescent="0.25">
      <c r="A66" s="298" t="s">
        <v>173</v>
      </c>
      <c r="B66" s="299" t="s">
        <v>169</v>
      </c>
      <c r="C66" s="1547"/>
      <c r="D66" s="1551"/>
      <c r="E66" s="1551"/>
      <c r="F66" s="1551"/>
      <c r="G66" s="1551"/>
      <c r="H66" s="1551"/>
      <c r="I66" s="1429"/>
      <c r="J66" s="1429"/>
      <c r="K66" s="1429" t="s">
        <v>222</v>
      </c>
      <c r="L66" s="301" t="s">
        <v>179</v>
      </c>
      <c r="M66" s="1425" t="s">
        <v>45</v>
      </c>
      <c r="N66" s="1425" t="s">
        <v>46</v>
      </c>
      <c r="O66" s="1425" t="s">
        <v>47</v>
      </c>
      <c r="P66" s="16" t="s">
        <v>223</v>
      </c>
      <c r="Q66" s="302" t="s">
        <v>224</v>
      </c>
      <c r="R66" s="303">
        <v>2015</v>
      </c>
      <c r="S66" s="303">
        <v>0</v>
      </c>
      <c r="T66" s="303">
        <v>4</v>
      </c>
      <c r="U66" s="572">
        <v>8</v>
      </c>
      <c r="V66" s="572">
        <v>12</v>
      </c>
      <c r="W66" s="572">
        <v>16</v>
      </c>
      <c r="X66" s="572">
        <v>16</v>
      </c>
      <c r="Y66" s="481"/>
      <c r="Z66" s="481">
        <v>2</v>
      </c>
      <c r="AA66" s="481"/>
      <c r="AB66" s="481"/>
      <c r="AC66" s="481"/>
      <c r="AD66" s="481"/>
      <c r="AE66" s="481"/>
      <c r="AF66" s="481">
        <f t="shared" si="42"/>
        <v>2</v>
      </c>
      <c r="AG66" s="548"/>
      <c r="AH66" s="548">
        <v>5</v>
      </c>
      <c r="AI66" s="548"/>
      <c r="AJ66" s="548"/>
      <c r="AK66" s="548"/>
      <c r="AL66" s="548"/>
      <c r="AM66" s="548">
        <f t="shared" si="43"/>
        <v>5</v>
      </c>
      <c r="AN66" s="481"/>
      <c r="AO66" s="481">
        <v>5</v>
      </c>
      <c r="AP66" s="481"/>
      <c r="AQ66" s="481"/>
      <c r="AR66" s="481"/>
      <c r="AS66" s="481"/>
      <c r="AT66" s="481"/>
      <c r="AU66" s="481">
        <f t="shared" si="39"/>
        <v>5</v>
      </c>
      <c r="AV66" s="548"/>
      <c r="AW66" s="548">
        <v>5</v>
      </c>
      <c r="AX66" s="548"/>
      <c r="AY66" s="548"/>
      <c r="AZ66" s="548"/>
      <c r="BA66" s="548"/>
      <c r="BB66" s="548"/>
      <c r="BC66" s="548">
        <f t="shared" si="41"/>
        <v>5</v>
      </c>
      <c r="BD66" s="42">
        <f t="shared" si="44"/>
        <v>0</v>
      </c>
      <c r="BE66" s="42">
        <f t="shared" si="44"/>
        <v>17</v>
      </c>
      <c r="BF66" s="42">
        <f t="shared" si="44"/>
        <v>0</v>
      </c>
      <c r="BG66" s="42">
        <f t="shared" si="44"/>
        <v>0</v>
      </c>
      <c r="BH66" s="42">
        <f t="shared" si="44"/>
        <v>0</v>
      </c>
      <c r="BI66" s="42">
        <f t="shared" si="17"/>
        <v>0</v>
      </c>
      <c r="BJ66" s="42">
        <f t="shared" si="45"/>
        <v>0</v>
      </c>
      <c r="BK66" s="42">
        <f t="shared" si="45"/>
        <v>17</v>
      </c>
    </row>
    <row r="67" spans="1:63" ht="36" customHeight="1" x14ac:dyDescent="0.25">
      <c r="A67" s="298" t="s">
        <v>173</v>
      </c>
      <c r="B67" s="299" t="s">
        <v>169</v>
      </c>
      <c r="C67" s="1547"/>
      <c r="D67" s="1551"/>
      <c r="E67" s="1551"/>
      <c r="F67" s="1551"/>
      <c r="G67" s="1551"/>
      <c r="H67" s="1551"/>
      <c r="I67" s="1429"/>
      <c r="J67" s="1429"/>
      <c r="K67" s="1429" t="s">
        <v>225</v>
      </c>
      <c r="L67" s="301" t="s">
        <v>179</v>
      </c>
      <c r="M67" s="1425" t="s">
        <v>45</v>
      </c>
      <c r="N67" s="1425" t="s">
        <v>46</v>
      </c>
      <c r="O67" s="1425" t="s">
        <v>47</v>
      </c>
      <c r="P67" s="71" t="s">
        <v>226</v>
      </c>
      <c r="Q67" s="302" t="s">
        <v>227</v>
      </c>
      <c r="R67" s="303">
        <v>2015</v>
      </c>
      <c r="S67" s="303">
        <v>0</v>
      </c>
      <c r="T67" s="303">
        <v>1</v>
      </c>
      <c r="U67" s="572">
        <v>2</v>
      </c>
      <c r="V67" s="572">
        <v>2</v>
      </c>
      <c r="W67" s="572">
        <v>2</v>
      </c>
      <c r="X67" s="572">
        <v>2</v>
      </c>
      <c r="Y67" s="481"/>
      <c r="Z67" s="481"/>
      <c r="AA67" s="481">
        <v>6.5</v>
      </c>
      <c r="AB67" s="481"/>
      <c r="AC67" s="481"/>
      <c r="AD67" s="481"/>
      <c r="AE67" s="481"/>
      <c r="AF67" s="481">
        <f t="shared" si="42"/>
        <v>6.5</v>
      </c>
      <c r="AG67" s="548"/>
      <c r="AH67" s="548"/>
      <c r="AI67" s="491">
        <v>17</v>
      </c>
      <c r="AJ67" s="548"/>
      <c r="AK67" s="548"/>
      <c r="AL67" s="548"/>
      <c r="AM67" s="548">
        <f t="shared" si="43"/>
        <v>17</v>
      </c>
      <c r="AN67" s="481"/>
      <c r="AO67" s="481"/>
      <c r="AP67" s="481">
        <v>10</v>
      </c>
      <c r="AQ67" s="481"/>
      <c r="AR67" s="481"/>
      <c r="AS67" s="481"/>
      <c r="AT67" s="481"/>
      <c r="AU67" s="481">
        <f t="shared" si="39"/>
        <v>10</v>
      </c>
      <c r="AV67" s="548"/>
      <c r="AW67" s="548"/>
      <c r="AX67" s="548">
        <v>20</v>
      </c>
      <c r="AY67" s="548"/>
      <c r="AZ67" s="548"/>
      <c r="BA67" s="548"/>
      <c r="BB67" s="548"/>
      <c r="BC67" s="548">
        <f t="shared" si="41"/>
        <v>20</v>
      </c>
      <c r="BD67" s="42">
        <f t="shared" si="44"/>
        <v>0</v>
      </c>
      <c r="BE67" s="42">
        <f t="shared" si="44"/>
        <v>0</v>
      </c>
      <c r="BF67" s="42">
        <f t="shared" si="44"/>
        <v>53.5</v>
      </c>
      <c r="BG67" s="42">
        <f t="shared" si="44"/>
        <v>0</v>
      </c>
      <c r="BH67" s="42">
        <f t="shared" si="44"/>
        <v>0</v>
      </c>
      <c r="BI67" s="42">
        <f t="shared" si="17"/>
        <v>0</v>
      </c>
      <c r="BJ67" s="42">
        <f t="shared" si="45"/>
        <v>0</v>
      </c>
      <c r="BK67" s="42">
        <f t="shared" si="45"/>
        <v>53.5</v>
      </c>
    </row>
    <row r="68" spans="1:63" ht="38.25" customHeight="1" x14ac:dyDescent="0.25">
      <c r="A68" s="298" t="s">
        <v>173</v>
      </c>
      <c r="B68" s="299" t="s">
        <v>169</v>
      </c>
      <c r="C68" s="1547"/>
      <c r="D68" s="1551"/>
      <c r="E68" s="1551"/>
      <c r="F68" s="1551"/>
      <c r="G68" s="1551"/>
      <c r="H68" s="1551"/>
      <c r="I68" s="1429"/>
      <c r="J68" s="1429"/>
      <c r="K68" s="1429" t="s">
        <v>228</v>
      </c>
      <c r="L68" s="301" t="s">
        <v>179</v>
      </c>
      <c r="M68" s="1425" t="s">
        <v>45</v>
      </c>
      <c r="N68" s="1425" t="s">
        <v>46</v>
      </c>
      <c r="O68" s="1425" t="s">
        <v>47</v>
      </c>
      <c r="P68" s="16" t="s">
        <v>229</v>
      </c>
      <c r="Q68" s="302" t="s">
        <v>230</v>
      </c>
      <c r="R68" s="303">
        <v>2015</v>
      </c>
      <c r="S68" s="303">
        <v>50</v>
      </c>
      <c r="T68" s="303">
        <v>130</v>
      </c>
      <c r="U68" s="572">
        <v>210</v>
      </c>
      <c r="V68" s="572">
        <v>290</v>
      </c>
      <c r="W68" s="572">
        <v>320</v>
      </c>
      <c r="X68" s="572">
        <v>320</v>
      </c>
      <c r="Y68" s="481"/>
      <c r="Z68" s="481"/>
      <c r="AA68" s="481">
        <v>18</v>
      </c>
      <c r="AB68" s="481"/>
      <c r="AC68" s="481"/>
      <c r="AD68" s="481"/>
      <c r="AE68" s="481"/>
      <c r="AF68" s="481">
        <f t="shared" si="42"/>
        <v>18</v>
      </c>
      <c r="AG68" s="548"/>
      <c r="AH68" s="548"/>
      <c r="AI68" s="548">
        <v>18</v>
      </c>
      <c r="AJ68" s="548"/>
      <c r="AK68" s="548"/>
      <c r="AL68" s="548"/>
      <c r="AM68" s="548">
        <f t="shared" si="43"/>
        <v>18</v>
      </c>
      <c r="AN68" s="481"/>
      <c r="AO68" s="481"/>
      <c r="AP68" s="481">
        <v>18</v>
      </c>
      <c r="AQ68" s="481"/>
      <c r="AR68" s="481"/>
      <c r="AS68" s="481"/>
      <c r="AT68" s="481"/>
      <c r="AU68" s="481">
        <f t="shared" si="39"/>
        <v>18</v>
      </c>
      <c r="AV68" s="548"/>
      <c r="AW68" s="548"/>
      <c r="AX68" s="548">
        <v>15</v>
      </c>
      <c r="AY68" s="548"/>
      <c r="AZ68" s="548"/>
      <c r="BA68" s="548"/>
      <c r="BB68" s="548"/>
      <c r="BC68" s="548">
        <f t="shared" si="41"/>
        <v>15</v>
      </c>
      <c r="BD68" s="42">
        <f t="shared" si="44"/>
        <v>0</v>
      </c>
      <c r="BE68" s="42">
        <f t="shared" si="44"/>
        <v>0</v>
      </c>
      <c r="BF68" s="42">
        <f t="shared" si="44"/>
        <v>69</v>
      </c>
      <c r="BG68" s="42">
        <f t="shared" si="44"/>
        <v>0</v>
      </c>
      <c r="BH68" s="42">
        <f t="shared" si="44"/>
        <v>0</v>
      </c>
      <c r="BI68" s="42">
        <f t="shared" si="17"/>
        <v>0</v>
      </c>
      <c r="BJ68" s="42">
        <f t="shared" si="45"/>
        <v>0</v>
      </c>
      <c r="BK68" s="42">
        <f t="shared" si="45"/>
        <v>69</v>
      </c>
    </row>
    <row r="69" spans="1:63" ht="30" customHeight="1" x14ac:dyDescent="0.25">
      <c r="A69" s="298" t="s">
        <v>173</v>
      </c>
      <c r="B69" s="299" t="s">
        <v>169</v>
      </c>
      <c r="C69" s="1547"/>
      <c r="D69" s="1551"/>
      <c r="E69" s="1551"/>
      <c r="F69" s="1551"/>
      <c r="G69" s="1551"/>
      <c r="H69" s="1551"/>
      <c r="I69" s="1429"/>
      <c r="J69" s="1429"/>
      <c r="K69" s="1429" t="s">
        <v>231</v>
      </c>
      <c r="L69" s="301" t="s">
        <v>179</v>
      </c>
      <c r="M69" s="1425" t="s">
        <v>45</v>
      </c>
      <c r="N69" s="1425" t="s">
        <v>46</v>
      </c>
      <c r="O69" s="1425" t="s">
        <v>47</v>
      </c>
      <c r="P69" s="16" t="s">
        <v>232</v>
      </c>
      <c r="Q69" s="302" t="s">
        <v>233</v>
      </c>
      <c r="R69" s="303">
        <v>2015</v>
      </c>
      <c r="S69" s="303">
        <v>0</v>
      </c>
      <c r="T69" s="303">
        <v>0</v>
      </c>
      <c r="U69" s="572">
        <v>1</v>
      </c>
      <c r="V69" s="572">
        <v>1</v>
      </c>
      <c r="W69" s="572">
        <v>1</v>
      </c>
      <c r="X69" s="572">
        <v>1</v>
      </c>
      <c r="Y69" s="481"/>
      <c r="Z69" s="481"/>
      <c r="AA69" s="481"/>
      <c r="AB69" s="481"/>
      <c r="AC69" s="481"/>
      <c r="AD69" s="481"/>
      <c r="AE69" s="481"/>
      <c r="AF69" s="481">
        <f t="shared" si="42"/>
        <v>0</v>
      </c>
      <c r="AG69" s="548"/>
      <c r="AH69" s="493">
        <v>0.5</v>
      </c>
      <c r="AI69" s="548"/>
      <c r="AJ69" s="548"/>
      <c r="AK69" s="548"/>
      <c r="AL69" s="548"/>
      <c r="AM69" s="548">
        <f t="shared" si="43"/>
        <v>0.5</v>
      </c>
      <c r="AN69" s="481"/>
      <c r="AO69" s="481"/>
      <c r="AP69" s="493">
        <v>0.5</v>
      </c>
      <c r="AQ69" s="481"/>
      <c r="AR69" s="481"/>
      <c r="AS69" s="481"/>
      <c r="AT69" s="481"/>
      <c r="AU69" s="481">
        <f t="shared" si="39"/>
        <v>0.5</v>
      </c>
      <c r="AV69" s="548"/>
      <c r="AW69" s="493">
        <v>0.5</v>
      </c>
      <c r="AX69" s="548"/>
      <c r="AY69" s="548"/>
      <c r="AZ69" s="548"/>
      <c r="BA69" s="548"/>
      <c r="BB69" s="548"/>
      <c r="BC69" s="548">
        <f t="shared" si="41"/>
        <v>0.5</v>
      </c>
      <c r="BD69" s="42">
        <f t="shared" si="44"/>
        <v>0</v>
      </c>
      <c r="BE69" s="42">
        <f t="shared" si="44"/>
        <v>1</v>
      </c>
      <c r="BF69" s="42">
        <f t="shared" si="44"/>
        <v>0.5</v>
      </c>
      <c r="BG69" s="42">
        <f t="shared" si="44"/>
        <v>0</v>
      </c>
      <c r="BH69" s="42">
        <f t="shared" si="44"/>
        <v>0</v>
      </c>
      <c r="BI69" s="42">
        <f t="shared" si="17"/>
        <v>0</v>
      </c>
      <c r="BJ69" s="42">
        <f t="shared" si="45"/>
        <v>0</v>
      </c>
      <c r="BK69" s="42">
        <f t="shared" si="45"/>
        <v>1.5</v>
      </c>
    </row>
    <row r="70" spans="1:63" ht="43.5" customHeight="1" x14ac:dyDescent="0.25">
      <c r="A70" s="298" t="s">
        <v>173</v>
      </c>
      <c r="B70" s="299" t="s">
        <v>169</v>
      </c>
      <c r="C70" s="1547"/>
      <c r="D70" s="1551"/>
      <c r="E70" s="1551"/>
      <c r="F70" s="1551"/>
      <c r="G70" s="1551"/>
      <c r="H70" s="1551"/>
      <c r="I70" s="1429"/>
      <c r="J70" s="1429"/>
      <c r="K70" s="1429" t="s">
        <v>234</v>
      </c>
      <c r="L70" s="301" t="s">
        <v>179</v>
      </c>
      <c r="M70" s="1425" t="s">
        <v>45</v>
      </c>
      <c r="N70" s="1425" t="s">
        <v>46</v>
      </c>
      <c r="O70" s="1425" t="s">
        <v>47</v>
      </c>
      <c r="P70" s="16" t="s">
        <v>235</v>
      </c>
      <c r="Q70" s="302" t="s">
        <v>236</v>
      </c>
      <c r="R70" s="303">
        <v>2015</v>
      </c>
      <c r="S70" s="303">
        <v>0</v>
      </c>
      <c r="T70" s="303">
        <v>0</v>
      </c>
      <c r="U70" s="572">
        <v>3</v>
      </c>
      <c r="V70" s="572">
        <v>6</v>
      </c>
      <c r="W70" s="572">
        <v>9</v>
      </c>
      <c r="X70" s="572">
        <v>9</v>
      </c>
      <c r="Y70" s="481"/>
      <c r="Z70" s="481"/>
      <c r="AA70" s="481"/>
      <c r="AB70" s="481"/>
      <c r="AC70" s="481"/>
      <c r="AD70" s="481"/>
      <c r="AE70" s="481"/>
      <c r="AF70" s="481">
        <f t="shared" si="42"/>
        <v>0</v>
      </c>
      <c r="AG70" s="548"/>
      <c r="AH70" s="493">
        <v>0.5</v>
      </c>
      <c r="AI70" s="548"/>
      <c r="AJ70" s="548"/>
      <c r="AK70" s="548"/>
      <c r="AL70" s="548"/>
      <c r="AM70" s="548">
        <f t="shared" si="43"/>
        <v>0.5</v>
      </c>
      <c r="AN70" s="481"/>
      <c r="AO70" s="481"/>
      <c r="AP70" s="493">
        <v>0.5</v>
      </c>
      <c r="AQ70" s="481"/>
      <c r="AR70" s="481"/>
      <c r="AS70" s="481"/>
      <c r="AT70" s="481"/>
      <c r="AU70" s="481">
        <f t="shared" si="39"/>
        <v>0.5</v>
      </c>
      <c r="AV70" s="548"/>
      <c r="AW70" s="493">
        <v>0.5</v>
      </c>
      <c r="AX70" s="548"/>
      <c r="AY70" s="548"/>
      <c r="AZ70" s="548"/>
      <c r="BA70" s="548"/>
      <c r="BB70" s="548"/>
      <c r="BC70" s="548">
        <f t="shared" si="41"/>
        <v>0.5</v>
      </c>
      <c r="BD70" s="42">
        <f t="shared" si="44"/>
        <v>0</v>
      </c>
      <c r="BE70" s="42">
        <f>+AW70+AO70+AH70+Z65</f>
        <v>3</v>
      </c>
      <c r="BF70" s="42">
        <f t="shared" si="44"/>
        <v>0.5</v>
      </c>
      <c r="BG70" s="42">
        <f t="shared" si="44"/>
        <v>0</v>
      </c>
      <c r="BH70" s="42">
        <f t="shared" si="44"/>
        <v>0</v>
      </c>
      <c r="BI70" s="42">
        <f t="shared" si="17"/>
        <v>0</v>
      </c>
      <c r="BJ70" s="42">
        <f t="shared" si="45"/>
        <v>0</v>
      </c>
      <c r="BK70" s="42">
        <f t="shared" si="45"/>
        <v>1.5</v>
      </c>
    </row>
    <row r="71" spans="1:63" ht="65.25" customHeight="1" x14ac:dyDescent="0.25">
      <c r="A71" s="298" t="s">
        <v>173</v>
      </c>
      <c r="B71" s="299" t="s">
        <v>169</v>
      </c>
      <c r="C71" s="1547"/>
      <c r="D71" s="1551"/>
      <c r="E71" s="1551"/>
      <c r="F71" s="1551"/>
      <c r="G71" s="1551"/>
      <c r="H71" s="1551"/>
      <c r="I71" s="1429"/>
      <c r="J71" s="1429"/>
      <c r="K71" s="1429" t="s">
        <v>237</v>
      </c>
      <c r="L71" s="301" t="s">
        <v>179</v>
      </c>
      <c r="M71" s="1425" t="s">
        <v>45</v>
      </c>
      <c r="N71" s="1425" t="s">
        <v>46</v>
      </c>
      <c r="O71" s="1425" t="s">
        <v>73</v>
      </c>
      <c r="P71" s="16" t="s">
        <v>238</v>
      </c>
      <c r="Q71" s="302" t="s">
        <v>239</v>
      </c>
      <c r="R71" s="303">
        <v>2015</v>
      </c>
      <c r="S71" s="303">
        <v>0</v>
      </c>
      <c r="T71" s="303">
        <v>1</v>
      </c>
      <c r="U71" s="572">
        <v>1</v>
      </c>
      <c r="V71" s="572">
        <v>1</v>
      </c>
      <c r="W71" s="572">
        <v>1</v>
      </c>
      <c r="X71" s="572">
        <v>1</v>
      </c>
      <c r="Y71" s="481"/>
      <c r="Z71" s="481">
        <v>2</v>
      </c>
      <c r="AA71" s="481">
        <v>5</v>
      </c>
      <c r="AB71" s="481"/>
      <c r="AC71" s="481"/>
      <c r="AD71" s="481"/>
      <c r="AE71" s="481"/>
      <c r="AF71" s="481">
        <f t="shared" si="42"/>
        <v>7</v>
      </c>
      <c r="AG71" s="548"/>
      <c r="AH71" s="548">
        <v>5</v>
      </c>
      <c r="AI71" s="548">
        <v>5</v>
      </c>
      <c r="AJ71" s="548"/>
      <c r="AK71" s="548"/>
      <c r="AL71" s="548"/>
      <c r="AM71" s="548">
        <f t="shared" si="43"/>
        <v>10</v>
      </c>
      <c r="AN71" s="481"/>
      <c r="AO71" s="481">
        <v>5</v>
      </c>
      <c r="AP71" s="481">
        <v>5</v>
      </c>
      <c r="AQ71" s="481"/>
      <c r="AR71" s="481"/>
      <c r="AS71" s="481"/>
      <c r="AT71" s="481"/>
      <c r="AU71" s="481">
        <f t="shared" si="39"/>
        <v>10</v>
      </c>
      <c r="AV71" s="548"/>
      <c r="AW71" s="548">
        <v>5</v>
      </c>
      <c r="AX71" s="548">
        <v>5</v>
      </c>
      <c r="AY71" s="548"/>
      <c r="AZ71" s="548"/>
      <c r="BA71" s="548"/>
      <c r="BB71" s="548"/>
      <c r="BC71" s="548">
        <f t="shared" si="41"/>
        <v>10</v>
      </c>
      <c r="BD71" s="42">
        <f t="shared" si="44"/>
        <v>0</v>
      </c>
      <c r="BE71" s="42">
        <f t="shared" si="44"/>
        <v>17</v>
      </c>
      <c r="BF71" s="42">
        <f t="shared" si="44"/>
        <v>20</v>
      </c>
      <c r="BG71" s="42">
        <f t="shared" si="44"/>
        <v>0</v>
      </c>
      <c r="BH71" s="42">
        <f t="shared" si="44"/>
        <v>0</v>
      </c>
      <c r="BI71" s="42">
        <f t="shared" si="17"/>
        <v>0</v>
      </c>
      <c r="BJ71" s="42">
        <f t="shared" si="45"/>
        <v>0</v>
      </c>
      <c r="BK71" s="42">
        <f t="shared" si="45"/>
        <v>37</v>
      </c>
    </row>
    <row r="72" spans="1:63" ht="57.75" customHeight="1" x14ac:dyDescent="0.25">
      <c r="A72" s="298" t="s">
        <v>173</v>
      </c>
      <c r="B72" s="299" t="s">
        <v>169</v>
      </c>
      <c r="C72" s="1547"/>
      <c r="D72" s="1551"/>
      <c r="E72" s="1551"/>
      <c r="F72" s="1551"/>
      <c r="G72" s="1551"/>
      <c r="H72" s="1551"/>
      <c r="I72" s="1423"/>
      <c r="J72" s="1423"/>
      <c r="K72" s="1429" t="s">
        <v>240</v>
      </c>
      <c r="L72" s="301" t="s">
        <v>179</v>
      </c>
      <c r="M72" s="1425" t="s">
        <v>45</v>
      </c>
      <c r="N72" s="1425" t="s">
        <v>46</v>
      </c>
      <c r="O72" s="1425" t="s">
        <v>73</v>
      </c>
      <c r="P72" s="70" t="s">
        <v>241</v>
      </c>
      <c r="Q72" s="302" t="s">
        <v>242</v>
      </c>
      <c r="R72" s="303">
        <v>2015</v>
      </c>
      <c r="S72" s="303">
        <v>1</v>
      </c>
      <c r="T72" s="303">
        <v>1</v>
      </c>
      <c r="U72" s="572">
        <v>1</v>
      </c>
      <c r="V72" s="572">
        <v>1</v>
      </c>
      <c r="W72" s="572">
        <v>1</v>
      </c>
      <c r="X72" s="572">
        <v>1</v>
      </c>
      <c r="Y72" s="481"/>
      <c r="Z72" s="481"/>
      <c r="AA72" s="481">
        <v>2</v>
      </c>
      <c r="AB72" s="481"/>
      <c r="AC72" s="481"/>
      <c r="AD72" s="481">
        <v>0</v>
      </c>
      <c r="AE72" s="481"/>
      <c r="AF72" s="481">
        <f t="shared" si="42"/>
        <v>2</v>
      </c>
      <c r="AG72" s="548"/>
      <c r="AH72" s="548"/>
      <c r="AI72" s="548">
        <v>7</v>
      </c>
      <c r="AJ72" s="548"/>
      <c r="AK72" s="548"/>
      <c r="AL72" s="548"/>
      <c r="AM72" s="548">
        <f t="shared" si="43"/>
        <v>7</v>
      </c>
      <c r="AN72" s="481"/>
      <c r="AO72" s="481"/>
      <c r="AP72" s="481">
        <v>7</v>
      </c>
      <c r="AQ72" s="481"/>
      <c r="AR72" s="481"/>
      <c r="AS72" s="481"/>
      <c r="AT72" s="481"/>
      <c r="AU72" s="481">
        <f t="shared" si="39"/>
        <v>7</v>
      </c>
      <c r="AV72" s="548"/>
      <c r="AW72" s="548"/>
      <c r="AX72" s="548">
        <v>9</v>
      </c>
      <c r="AY72" s="548"/>
      <c r="AZ72" s="548"/>
      <c r="BA72" s="548"/>
      <c r="BB72" s="548"/>
      <c r="BC72" s="548">
        <f t="shared" si="41"/>
        <v>9</v>
      </c>
      <c r="BD72" s="42">
        <f t="shared" si="44"/>
        <v>0</v>
      </c>
      <c r="BE72" s="42">
        <f t="shared" si="44"/>
        <v>0</v>
      </c>
      <c r="BF72" s="42">
        <f t="shared" si="44"/>
        <v>25</v>
      </c>
      <c r="BG72" s="42">
        <f t="shared" si="44"/>
        <v>0</v>
      </c>
      <c r="BH72" s="42">
        <f t="shared" si="44"/>
        <v>0</v>
      </c>
      <c r="BI72" s="42">
        <f t="shared" si="17"/>
        <v>0</v>
      </c>
      <c r="BJ72" s="42">
        <f t="shared" si="45"/>
        <v>0</v>
      </c>
      <c r="BK72" s="42">
        <f t="shared" si="45"/>
        <v>25</v>
      </c>
    </row>
    <row r="73" spans="1:63" ht="39.75" customHeight="1" x14ac:dyDescent="0.25">
      <c r="A73" s="298" t="s">
        <v>173</v>
      </c>
      <c r="B73" s="299" t="s">
        <v>169</v>
      </c>
      <c r="C73" s="1547"/>
      <c r="D73" s="1551"/>
      <c r="E73" s="1551"/>
      <c r="F73" s="1551"/>
      <c r="G73" s="1551"/>
      <c r="H73" s="1551"/>
      <c r="I73" s="1423"/>
      <c r="J73" s="1423"/>
      <c r="K73" s="1429" t="s">
        <v>243</v>
      </c>
      <c r="L73" s="301" t="s">
        <v>179</v>
      </c>
      <c r="M73" s="1425" t="s">
        <v>45</v>
      </c>
      <c r="N73" s="1425" t="s">
        <v>46</v>
      </c>
      <c r="O73" s="1425" t="s">
        <v>47</v>
      </c>
      <c r="P73" s="70" t="s">
        <v>244</v>
      </c>
      <c r="Q73" s="302" t="s">
        <v>245</v>
      </c>
      <c r="R73" s="303">
        <v>2015</v>
      </c>
      <c r="S73" s="303">
        <v>0</v>
      </c>
      <c r="T73" s="303">
        <v>0</v>
      </c>
      <c r="U73" s="572">
        <v>1</v>
      </c>
      <c r="V73" s="572">
        <v>1</v>
      </c>
      <c r="W73" s="572">
        <v>1</v>
      </c>
      <c r="X73" s="572">
        <v>1</v>
      </c>
      <c r="Y73" s="481"/>
      <c r="Z73" s="481"/>
      <c r="AA73" s="481"/>
      <c r="AB73" s="481"/>
      <c r="AC73" s="481"/>
      <c r="AD73" s="481"/>
      <c r="AE73" s="481"/>
      <c r="AF73" s="481">
        <f>SUM(Y73:AE73)</f>
        <v>0</v>
      </c>
      <c r="AG73" s="548"/>
      <c r="AH73" s="493">
        <v>0.5</v>
      </c>
      <c r="AI73" s="548"/>
      <c r="AJ73" s="548"/>
      <c r="AK73" s="548"/>
      <c r="AL73" s="548"/>
      <c r="AM73" s="548">
        <f>SUM(AG73:AL73)</f>
        <v>0.5</v>
      </c>
      <c r="AN73" s="481"/>
      <c r="AO73" s="481"/>
      <c r="AP73" s="493">
        <v>0.5</v>
      </c>
      <c r="AQ73" s="481"/>
      <c r="AR73" s="481"/>
      <c r="AS73" s="481"/>
      <c r="AT73" s="481"/>
      <c r="AU73" s="481">
        <f>SUM(AN73:AT73)</f>
        <v>0.5</v>
      </c>
      <c r="AV73" s="548"/>
      <c r="AW73" s="493">
        <v>0.5</v>
      </c>
      <c r="AX73" s="548"/>
      <c r="AY73" s="548"/>
      <c r="AZ73" s="548"/>
      <c r="BA73" s="548"/>
      <c r="BB73" s="548"/>
      <c r="BC73" s="548">
        <f>SUM(AV73:BB73)</f>
        <v>0.5</v>
      </c>
      <c r="BD73" s="42">
        <f>+AV73+AN73+AG73+Y73</f>
        <v>0</v>
      </c>
      <c r="BE73" s="42">
        <f>+AW73+AO73+AH73+Z73</f>
        <v>1</v>
      </c>
      <c r="BF73" s="42">
        <f>+AX73+AP73+AI73+AA73</f>
        <v>0.5</v>
      </c>
      <c r="BG73" s="42">
        <f>+AY73+AQ73+AJ73+AB73</f>
        <v>0</v>
      </c>
      <c r="BH73" s="42">
        <f>+AZ73+AR73+AK73+AC73</f>
        <v>0</v>
      </c>
      <c r="BI73" s="42">
        <f>+AD73+AS73+BA73</f>
        <v>0</v>
      </c>
      <c r="BJ73" s="42">
        <f>+BB73+AT73+AL73+AE73</f>
        <v>0</v>
      </c>
      <c r="BK73" s="42">
        <f>+BC73+AU73+AM73+AF73</f>
        <v>1.5</v>
      </c>
    </row>
    <row r="74" spans="1:63" ht="63.75" customHeight="1" x14ac:dyDescent="0.25">
      <c r="A74" s="298" t="s">
        <v>173</v>
      </c>
      <c r="B74" s="299" t="s">
        <v>169</v>
      </c>
      <c r="C74" s="1547"/>
      <c r="D74" s="1551"/>
      <c r="E74" s="1551"/>
      <c r="F74" s="1551"/>
      <c r="G74" s="1551"/>
      <c r="H74" s="1551"/>
      <c r="I74" s="1423"/>
      <c r="J74" s="1423"/>
      <c r="K74" s="1429" t="s">
        <v>246</v>
      </c>
      <c r="L74" s="301" t="s">
        <v>179</v>
      </c>
      <c r="M74" s="1425" t="s">
        <v>45</v>
      </c>
      <c r="N74" s="1425" t="s">
        <v>46</v>
      </c>
      <c r="O74" s="1425" t="s">
        <v>73</v>
      </c>
      <c r="P74" s="70" t="s">
        <v>247</v>
      </c>
      <c r="Q74" s="302" t="s">
        <v>248</v>
      </c>
      <c r="R74" s="303">
        <v>2015</v>
      </c>
      <c r="S74" s="303">
        <v>0</v>
      </c>
      <c r="T74" s="303">
        <v>1</v>
      </c>
      <c r="U74" s="572">
        <v>1</v>
      </c>
      <c r="V74" s="572">
        <v>1</v>
      </c>
      <c r="W74" s="572">
        <v>1</v>
      </c>
      <c r="X74" s="572">
        <v>1</v>
      </c>
      <c r="Y74" s="481"/>
      <c r="Z74" s="481">
        <v>2</v>
      </c>
      <c r="AA74" s="481"/>
      <c r="AB74" s="481"/>
      <c r="AC74" s="481"/>
      <c r="AD74" s="481"/>
      <c r="AE74" s="481"/>
      <c r="AF74" s="481">
        <f t="shared" si="42"/>
        <v>2</v>
      </c>
      <c r="AG74" s="548"/>
      <c r="AH74" s="548">
        <v>5</v>
      </c>
      <c r="AI74" s="548"/>
      <c r="AJ74" s="548"/>
      <c r="AK74" s="548"/>
      <c r="AL74" s="548"/>
      <c r="AM74" s="548">
        <f>SUM(AG74:AL74)</f>
        <v>5</v>
      </c>
      <c r="AN74" s="481"/>
      <c r="AO74" s="481">
        <v>5</v>
      </c>
      <c r="AP74" s="481"/>
      <c r="AQ74" s="481"/>
      <c r="AR74" s="481"/>
      <c r="AS74" s="481"/>
      <c r="AT74" s="481"/>
      <c r="AU74" s="481">
        <f>SUM(AN74:AT74)</f>
        <v>5</v>
      </c>
      <c r="AV74" s="548"/>
      <c r="AW74" s="548">
        <v>5</v>
      </c>
      <c r="AX74" s="548"/>
      <c r="AY74" s="548"/>
      <c r="AZ74" s="548"/>
      <c r="BA74" s="548"/>
      <c r="BB74" s="548"/>
      <c r="BC74" s="548">
        <f>SUM(AV74:BB74)</f>
        <v>5</v>
      </c>
      <c r="BD74" s="42">
        <f t="shared" si="44"/>
        <v>0</v>
      </c>
      <c r="BE74" s="42">
        <f t="shared" si="44"/>
        <v>17</v>
      </c>
      <c r="BF74" s="42">
        <f t="shared" si="44"/>
        <v>0</v>
      </c>
      <c r="BG74" s="42">
        <f t="shared" si="44"/>
        <v>0</v>
      </c>
      <c r="BH74" s="42">
        <f t="shared" si="44"/>
        <v>0</v>
      </c>
      <c r="BI74" s="42">
        <f t="shared" si="17"/>
        <v>0</v>
      </c>
      <c r="BJ74" s="42">
        <f t="shared" si="45"/>
        <v>0</v>
      </c>
      <c r="BK74" s="42">
        <f t="shared" si="45"/>
        <v>17</v>
      </c>
    </row>
    <row r="75" spans="1:63" ht="12.75" x14ac:dyDescent="0.2">
      <c r="A75" s="295" t="s">
        <v>173</v>
      </c>
      <c r="B75" s="24" t="s">
        <v>169</v>
      </c>
      <c r="C75" s="24"/>
      <c r="D75" s="14" t="s">
        <v>249</v>
      </c>
      <c r="E75" s="57"/>
      <c r="F75" s="12"/>
      <c r="G75" s="12"/>
      <c r="H75" s="12"/>
      <c r="I75" s="13"/>
      <c r="J75" s="13"/>
      <c r="K75" s="13"/>
      <c r="L75" s="13"/>
      <c r="M75" s="13"/>
      <c r="N75" s="1"/>
      <c r="O75" s="13"/>
      <c r="P75" s="25"/>
      <c r="Q75" s="25"/>
      <c r="R75" s="17"/>
      <c r="S75" s="17"/>
      <c r="T75" s="17"/>
      <c r="U75" s="66"/>
      <c r="V75" s="66"/>
      <c r="W75" s="66"/>
      <c r="X75" s="66"/>
      <c r="Y75" s="43">
        <f t="shared" ref="Y75:AE75" si="46">SUBTOTAL(9,Y76:Y84)</f>
        <v>0</v>
      </c>
      <c r="Z75" s="43">
        <f t="shared" si="46"/>
        <v>10.1</v>
      </c>
      <c r="AA75" s="43">
        <f t="shared" si="46"/>
        <v>29.9</v>
      </c>
      <c r="AB75" s="43">
        <f t="shared" si="46"/>
        <v>250</v>
      </c>
      <c r="AC75" s="43">
        <f t="shared" si="46"/>
        <v>0</v>
      </c>
      <c r="AD75" s="43">
        <f t="shared" si="46"/>
        <v>3.1</v>
      </c>
      <c r="AE75" s="43">
        <f t="shared" si="46"/>
        <v>0</v>
      </c>
      <c r="AF75" s="43">
        <f t="shared" si="42"/>
        <v>293.10000000000002</v>
      </c>
      <c r="AG75" s="43">
        <f t="shared" ref="AG75:BC75" si="47">SUBTOTAL(9,AG76:AG84)</f>
        <v>0</v>
      </c>
      <c r="AH75" s="43">
        <f t="shared" si="47"/>
        <v>3</v>
      </c>
      <c r="AI75" s="43">
        <f t="shared" si="47"/>
        <v>17</v>
      </c>
      <c r="AJ75" s="43">
        <f t="shared" si="47"/>
        <v>0</v>
      </c>
      <c r="AK75" s="43">
        <f t="shared" si="47"/>
        <v>0</v>
      </c>
      <c r="AL75" s="43">
        <f t="shared" si="47"/>
        <v>0</v>
      </c>
      <c r="AM75" s="43">
        <f t="shared" si="47"/>
        <v>20</v>
      </c>
      <c r="AN75" s="43">
        <f t="shared" si="47"/>
        <v>0</v>
      </c>
      <c r="AO75" s="43">
        <f t="shared" si="47"/>
        <v>9</v>
      </c>
      <c r="AP75" s="43">
        <f t="shared" si="47"/>
        <v>17</v>
      </c>
      <c r="AQ75" s="43">
        <f t="shared" si="47"/>
        <v>0</v>
      </c>
      <c r="AR75" s="43">
        <f t="shared" si="47"/>
        <v>0</v>
      </c>
      <c r="AS75" s="43">
        <f t="shared" si="47"/>
        <v>0</v>
      </c>
      <c r="AT75" s="43">
        <f t="shared" si="47"/>
        <v>0</v>
      </c>
      <c r="AU75" s="43">
        <f t="shared" si="47"/>
        <v>26</v>
      </c>
      <c r="AV75" s="43">
        <f t="shared" si="47"/>
        <v>0</v>
      </c>
      <c r="AW75" s="43">
        <f t="shared" si="47"/>
        <v>13</v>
      </c>
      <c r="AX75" s="43">
        <f t="shared" si="47"/>
        <v>17</v>
      </c>
      <c r="AY75" s="43">
        <f t="shared" si="47"/>
        <v>0</v>
      </c>
      <c r="AZ75" s="43">
        <f t="shared" si="47"/>
        <v>0</v>
      </c>
      <c r="BA75" s="43">
        <f t="shared" si="47"/>
        <v>0</v>
      </c>
      <c r="BB75" s="43">
        <f t="shared" si="47"/>
        <v>0</v>
      </c>
      <c r="BC75" s="43">
        <f t="shared" si="47"/>
        <v>30</v>
      </c>
      <c r="BD75" s="43">
        <f t="shared" si="44"/>
        <v>0</v>
      </c>
      <c r="BE75" s="43">
        <f t="shared" si="44"/>
        <v>35.1</v>
      </c>
      <c r="BF75" s="43">
        <f t="shared" si="44"/>
        <v>80.900000000000006</v>
      </c>
      <c r="BG75" s="43">
        <f t="shared" si="44"/>
        <v>250</v>
      </c>
      <c r="BH75" s="43">
        <f t="shared" si="44"/>
        <v>0</v>
      </c>
      <c r="BI75" s="43">
        <f t="shared" si="17"/>
        <v>3.1</v>
      </c>
      <c r="BJ75" s="43">
        <f t="shared" si="45"/>
        <v>0</v>
      </c>
      <c r="BK75" s="43">
        <f t="shared" si="45"/>
        <v>369.1</v>
      </c>
    </row>
    <row r="76" spans="1:63" ht="63.75" customHeight="1" x14ac:dyDescent="0.25">
      <c r="A76" s="298" t="s">
        <v>173</v>
      </c>
      <c r="B76" s="299" t="s">
        <v>169</v>
      </c>
      <c r="C76" s="1546" t="s">
        <v>250</v>
      </c>
      <c r="D76" s="1549" t="s">
        <v>251</v>
      </c>
      <c r="E76" s="1549" t="s">
        <v>252</v>
      </c>
      <c r="F76" s="1549">
        <v>2015</v>
      </c>
      <c r="G76" s="1549">
        <v>5589</v>
      </c>
      <c r="H76" s="1549">
        <v>7000</v>
      </c>
      <c r="I76" s="1429"/>
      <c r="J76" s="1429"/>
      <c r="K76" s="1429" t="s">
        <v>253</v>
      </c>
      <c r="L76" s="301" t="s">
        <v>179</v>
      </c>
      <c r="M76" s="1425" t="s">
        <v>45</v>
      </c>
      <c r="N76" s="1425" t="s">
        <v>46</v>
      </c>
      <c r="O76" s="1425" t="s">
        <v>47</v>
      </c>
      <c r="P76" s="16" t="s">
        <v>254</v>
      </c>
      <c r="Q76" s="302" t="s">
        <v>255</v>
      </c>
      <c r="R76" s="303">
        <v>2015</v>
      </c>
      <c r="S76" s="303" t="s">
        <v>177</v>
      </c>
      <c r="T76" s="303">
        <v>100</v>
      </c>
      <c r="U76" s="572">
        <v>200</v>
      </c>
      <c r="V76" s="572">
        <v>300</v>
      </c>
      <c r="W76" s="572">
        <v>400</v>
      </c>
      <c r="X76" s="572">
        <v>400</v>
      </c>
      <c r="Y76" s="481"/>
      <c r="Z76" s="481">
        <v>1</v>
      </c>
      <c r="AA76" s="481">
        <v>1</v>
      </c>
      <c r="AB76" s="481"/>
      <c r="AC76" s="481"/>
      <c r="AD76" s="481"/>
      <c r="AE76" s="481"/>
      <c r="AF76" s="481">
        <f t="shared" si="42"/>
        <v>2</v>
      </c>
      <c r="AG76" s="548"/>
      <c r="AH76" s="548"/>
      <c r="AI76" s="491">
        <v>1</v>
      </c>
      <c r="AJ76" s="548"/>
      <c r="AK76" s="548"/>
      <c r="AL76" s="548"/>
      <c r="AM76" s="548">
        <f t="shared" ref="AM76:AM83" si="48">SUM(AG76:AL76)</f>
        <v>1</v>
      </c>
      <c r="AN76" s="481"/>
      <c r="AO76" s="491">
        <v>1</v>
      </c>
      <c r="AP76" s="491">
        <v>1</v>
      </c>
      <c r="AQ76" s="481"/>
      <c r="AR76" s="481"/>
      <c r="AS76" s="481"/>
      <c r="AT76" s="481"/>
      <c r="AU76" s="481">
        <f t="shared" ref="AU76:AU82" si="49">SUM(AN76:AT76)</f>
        <v>2</v>
      </c>
      <c r="AV76" s="548"/>
      <c r="AW76" s="491">
        <v>1</v>
      </c>
      <c r="AX76" s="491">
        <v>1</v>
      </c>
      <c r="AY76" s="548"/>
      <c r="AZ76" s="548"/>
      <c r="BA76" s="548"/>
      <c r="BB76" s="548"/>
      <c r="BC76" s="548">
        <f t="shared" ref="BC76:BC82" si="50">SUM(AV76:BB76)</f>
        <v>2</v>
      </c>
      <c r="BD76" s="42">
        <f t="shared" si="44"/>
        <v>0</v>
      </c>
      <c r="BE76" s="42">
        <f t="shared" si="44"/>
        <v>3</v>
      </c>
      <c r="BF76" s="42">
        <f t="shared" si="44"/>
        <v>4</v>
      </c>
      <c r="BG76" s="42">
        <f t="shared" si="44"/>
        <v>0</v>
      </c>
      <c r="BH76" s="42">
        <f t="shared" si="44"/>
        <v>0</v>
      </c>
      <c r="BI76" s="42">
        <f t="shared" si="17"/>
        <v>0</v>
      </c>
      <c r="BJ76" s="42">
        <f t="shared" si="45"/>
        <v>0</v>
      </c>
      <c r="BK76" s="42">
        <f t="shared" si="45"/>
        <v>7</v>
      </c>
    </row>
    <row r="77" spans="1:63" ht="44.25" customHeight="1" x14ac:dyDescent="0.25">
      <c r="A77" s="298" t="s">
        <v>173</v>
      </c>
      <c r="B77" s="299" t="s">
        <v>169</v>
      </c>
      <c r="C77" s="1547"/>
      <c r="D77" s="1549"/>
      <c r="E77" s="1549"/>
      <c r="F77" s="1549"/>
      <c r="G77" s="1549"/>
      <c r="H77" s="1549"/>
      <c r="I77" s="1429"/>
      <c r="J77" s="1429"/>
      <c r="K77" s="1429" t="s">
        <v>256</v>
      </c>
      <c r="L77" s="301" t="s">
        <v>179</v>
      </c>
      <c r="M77" s="1425" t="s">
        <v>45</v>
      </c>
      <c r="N77" s="1425" t="s">
        <v>46</v>
      </c>
      <c r="O77" s="1425" t="s">
        <v>47</v>
      </c>
      <c r="P77" s="16" t="s">
        <v>257</v>
      </c>
      <c r="Q77" s="302" t="s">
        <v>258</v>
      </c>
      <c r="R77" s="303">
        <v>2015</v>
      </c>
      <c r="S77" s="303" t="s">
        <v>177</v>
      </c>
      <c r="T77" s="303">
        <v>250</v>
      </c>
      <c r="U77" s="572">
        <v>500</v>
      </c>
      <c r="V77" s="572">
        <v>750</v>
      </c>
      <c r="W77" s="572">
        <v>1000</v>
      </c>
      <c r="X77" s="572">
        <v>1000</v>
      </c>
      <c r="Y77" s="481"/>
      <c r="Z77" s="481">
        <v>1</v>
      </c>
      <c r="AA77" s="481">
        <v>1</v>
      </c>
      <c r="AB77" s="481"/>
      <c r="AC77" s="481"/>
      <c r="AD77" s="481"/>
      <c r="AE77" s="481"/>
      <c r="AF77" s="481">
        <f t="shared" si="42"/>
        <v>2</v>
      </c>
      <c r="AG77" s="548"/>
      <c r="AH77" s="548"/>
      <c r="AI77" s="491">
        <v>1</v>
      </c>
      <c r="AJ77" s="548"/>
      <c r="AK77" s="548"/>
      <c r="AL77" s="548"/>
      <c r="AM77" s="548">
        <f t="shared" si="48"/>
        <v>1</v>
      </c>
      <c r="AN77" s="481"/>
      <c r="AO77" s="491">
        <v>1</v>
      </c>
      <c r="AP77" s="491">
        <v>1</v>
      </c>
      <c r="AQ77" s="481"/>
      <c r="AR77" s="481"/>
      <c r="AS77" s="481"/>
      <c r="AT77" s="481"/>
      <c r="AU77" s="481">
        <f t="shared" si="49"/>
        <v>2</v>
      </c>
      <c r="AV77" s="548"/>
      <c r="AW77" s="491">
        <v>1</v>
      </c>
      <c r="AX77" s="491">
        <v>1</v>
      </c>
      <c r="AY77" s="548"/>
      <c r="AZ77" s="548"/>
      <c r="BA77" s="548"/>
      <c r="BB77" s="548"/>
      <c r="BC77" s="548">
        <f t="shared" si="50"/>
        <v>2</v>
      </c>
      <c r="BD77" s="42">
        <f t="shared" si="44"/>
        <v>0</v>
      </c>
      <c r="BE77" s="42">
        <f t="shared" si="44"/>
        <v>3</v>
      </c>
      <c r="BF77" s="42">
        <f t="shared" si="44"/>
        <v>4</v>
      </c>
      <c r="BG77" s="42">
        <f t="shared" si="44"/>
        <v>0</v>
      </c>
      <c r="BH77" s="42">
        <f t="shared" si="44"/>
        <v>0</v>
      </c>
      <c r="BI77" s="42">
        <f t="shared" ref="BI77:BI140" si="51">+AD77+AS77+BA77</f>
        <v>0</v>
      </c>
      <c r="BJ77" s="42">
        <f t="shared" si="45"/>
        <v>0</v>
      </c>
      <c r="BK77" s="42">
        <f t="shared" si="45"/>
        <v>7</v>
      </c>
    </row>
    <row r="78" spans="1:63" ht="58.5" customHeight="1" x14ac:dyDescent="0.25">
      <c r="A78" s="298" t="s">
        <v>173</v>
      </c>
      <c r="B78" s="299" t="s">
        <v>169</v>
      </c>
      <c r="C78" s="1547"/>
      <c r="D78" s="1549"/>
      <c r="E78" s="1549"/>
      <c r="F78" s="1549"/>
      <c r="G78" s="1549"/>
      <c r="H78" s="1549"/>
      <c r="I78" s="1429"/>
      <c r="J78" s="1429"/>
      <c r="K78" s="1429" t="s">
        <v>259</v>
      </c>
      <c r="L78" s="301" t="s">
        <v>179</v>
      </c>
      <c r="M78" s="1425" t="s">
        <v>45</v>
      </c>
      <c r="N78" s="1425" t="s">
        <v>46</v>
      </c>
      <c r="O78" s="1425" t="s">
        <v>47</v>
      </c>
      <c r="P78" s="16" t="s">
        <v>260</v>
      </c>
      <c r="Q78" s="302" t="s">
        <v>261</v>
      </c>
      <c r="R78" s="303">
        <v>2015</v>
      </c>
      <c r="S78" s="303">
        <v>4</v>
      </c>
      <c r="T78" s="303">
        <v>4</v>
      </c>
      <c r="U78" s="572">
        <v>7</v>
      </c>
      <c r="V78" s="572">
        <v>7</v>
      </c>
      <c r="W78" s="572">
        <v>7</v>
      </c>
      <c r="X78" s="572">
        <v>7</v>
      </c>
      <c r="Y78" s="481"/>
      <c r="Z78" s="481">
        <v>1</v>
      </c>
      <c r="AA78" s="481">
        <v>1</v>
      </c>
      <c r="AB78" s="481"/>
      <c r="AC78" s="481"/>
      <c r="AD78" s="481"/>
      <c r="AE78" s="481"/>
      <c r="AF78" s="481">
        <f t="shared" si="42"/>
        <v>2</v>
      </c>
      <c r="AG78" s="548"/>
      <c r="AH78" s="548"/>
      <c r="AI78" s="491">
        <v>1</v>
      </c>
      <c r="AJ78" s="548"/>
      <c r="AK78" s="548"/>
      <c r="AL78" s="548"/>
      <c r="AM78" s="548">
        <f t="shared" si="48"/>
        <v>1</v>
      </c>
      <c r="AN78" s="481"/>
      <c r="AO78" s="491">
        <v>1</v>
      </c>
      <c r="AP78" s="491">
        <v>1</v>
      </c>
      <c r="AQ78" s="481"/>
      <c r="AR78" s="481"/>
      <c r="AS78" s="481"/>
      <c r="AT78" s="481"/>
      <c r="AU78" s="481">
        <f t="shared" si="49"/>
        <v>2</v>
      </c>
      <c r="AV78" s="548"/>
      <c r="AW78" s="491">
        <v>1</v>
      </c>
      <c r="AX78" s="491">
        <v>1</v>
      </c>
      <c r="AY78" s="548"/>
      <c r="AZ78" s="548"/>
      <c r="BA78" s="548"/>
      <c r="BB78" s="548"/>
      <c r="BC78" s="548">
        <f t="shared" si="50"/>
        <v>2</v>
      </c>
      <c r="BD78" s="42">
        <f t="shared" si="44"/>
        <v>0</v>
      </c>
      <c r="BE78" s="42">
        <f t="shared" si="44"/>
        <v>3</v>
      </c>
      <c r="BF78" s="42">
        <f t="shared" si="44"/>
        <v>4</v>
      </c>
      <c r="BG78" s="42">
        <f t="shared" si="44"/>
        <v>0</v>
      </c>
      <c r="BH78" s="42">
        <f t="shared" si="44"/>
        <v>0</v>
      </c>
      <c r="BI78" s="42">
        <f t="shared" si="51"/>
        <v>0</v>
      </c>
      <c r="BJ78" s="42">
        <f t="shared" si="45"/>
        <v>0</v>
      </c>
      <c r="BK78" s="42">
        <f t="shared" si="45"/>
        <v>7</v>
      </c>
    </row>
    <row r="79" spans="1:63" ht="58.5" customHeight="1" x14ac:dyDescent="0.25">
      <c r="A79" s="298" t="s">
        <v>173</v>
      </c>
      <c r="B79" s="299" t="s">
        <v>169</v>
      </c>
      <c r="C79" s="1547"/>
      <c r="D79" s="1549"/>
      <c r="E79" s="1549"/>
      <c r="F79" s="1549"/>
      <c r="G79" s="1549"/>
      <c r="H79" s="1549"/>
      <c r="I79" s="1429"/>
      <c r="J79" s="1429"/>
      <c r="K79" s="1429" t="s">
        <v>262</v>
      </c>
      <c r="L79" s="301" t="s">
        <v>179</v>
      </c>
      <c r="M79" s="1425" t="s">
        <v>45</v>
      </c>
      <c r="N79" s="1425" t="s">
        <v>46</v>
      </c>
      <c r="O79" s="1425" t="s">
        <v>73</v>
      </c>
      <c r="P79" s="16" t="s">
        <v>263</v>
      </c>
      <c r="Q79" s="302" t="s">
        <v>264</v>
      </c>
      <c r="R79" s="303">
        <v>2015</v>
      </c>
      <c r="S79" s="303">
        <v>0</v>
      </c>
      <c r="T79" s="303">
        <v>1</v>
      </c>
      <c r="U79" s="572">
        <v>1</v>
      </c>
      <c r="V79" s="572">
        <v>1</v>
      </c>
      <c r="W79" s="572">
        <v>1</v>
      </c>
      <c r="X79" s="572">
        <v>1</v>
      </c>
      <c r="Y79" s="481"/>
      <c r="Z79" s="481">
        <v>1.1000000000000001</v>
      </c>
      <c r="AA79" s="481">
        <v>1</v>
      </c>
      <c r="AB79" s="481"/>
      <c r="AC79" s="481"/>
      <c r="AD79" s="481"/>
      <c r="AE79" s="481"/>
      <c r="AF79" s="481">
        <f t="shared" si="42"/>
        <v>2.1</v>
      </c>
      <c r="AG79" s="548"/>
      <c r="AH79" s="548"/>
      <c r="AI79" s="491">
        <v>1</v>
      </c>
      <c r="AJ79" s="548"/>
      <c r="AK79" s="548"/>
      <c r="AL79" s="548"/>
      <c r="AM79" s="548">
        <f t="shared" si="48"/>
        <v>1</v>
      </c>
      <c r="AN79" s="481"/>
      <c r="AO79" s="491">
        <v>1</v>
      </c>
      <c r="AP79" s="491">
        <v>1</v>
      </c>
      <c r="AQ79" s="481"/>
      <c r="AR79" s="481"/>
      <c r="AS79" s="481"/>
      <c r="AT79" s="481"/>
      <c r="AU79" s="481">
        <f t="shared" si="49"/>
        <v>2</v>
      </c>
      <c r="AV79" s="548"/>
      <c r="AW79" s="491">
        <v>1</v>
      </c>
      <c r="AX79" s="491">
        <v>1</v>
      </c>
      <c r="AY79" s="548"/>
      <c r="AZ79" s="548"/>
      <c r="BA79" s="548"/>
      <c r="BB79" s="548"/>
      <c r="BC79" s="548">
        <f t="shared" si="50"/>
        <v>2</v>
      </c>
      <c r="BD79" s="42">
        <f t="shared" ref="BD79:BH111" si="52">+AV79+AN79+AG79+Y79</f>
        <v>0</v>
      </c>
      <c r="BE79" s="42">
        <f t="shared" si="52"/>
        <v>3.1</v>
      </c>
      <c r="BF79" s="42">
        <f t="shared" si="52"/>
        <v>4</v>
      </c>
      <c r="BG79" s="42">
        <f t="shared" si="52"/>
        <v>0</v>
      </c>
      <c r="BH79" s="42">
        <f t="shared" si="52"/>
        <v>0</v>
      </c>
      <c r="BI79" s="42">
        <f t="shared" si="51"/>
        <v>0</v>
      </c>
      <c r="BJ79" s="42">
        <f t="shared" si="45"/>
        <v>0</v>
      </c>
      <c r="BK79" s="42">
        <f t="shared" si="45"/>
        <v>7.1</v>
      </c>
    </row>
    <row r="80" spans="1:63" ht="36.75" customHeight="1" x14ac:dyDescent="0.25">
      <c r="A80" s="298" t="s">
        <v>173</v>
      </c>
      <c r="B80" s="299" t="s">
        <v>169</v>
      </c>
      <c r="C80" s="1547"/>
      <c r="D80" s="1549"/>
      <c r="E80" s="1549"/>
      <c r="F80" s="1549"/>
      <c r="G80" s="1549"/>
      <c r="H80" s="1549"/>
      <c r="I80" s="1429"/>
      <c r="J80" s="1429"/>
      <c r="K80" s="1429" t="s">
        <v>265</v>
      </c>
      <c r="L80" s="301" t="s">
        <v>179</v>
      </c>
      <c r="M80" s="1425" t="s">
        <v>45</v>
      </c>
      <c r="N80" s="1425" t="s">
        <v>46</v>
      </c>
      <c r="O80" s="1425" t="s">
        <v>47</v>
      </c>
      <c r="P80" s="16" t="s">
        <v>266</v>
      </c>
      <c r="Q80" s="302" t="s">
        <v>267</v>
      </c>
      <c r="R80" s="303">
        <v>2015</v>
      </c>
      <c r="S80" s="303">
        <v>0</v>
      </c>
      <c r="T80" s="303">
        <v>1</v>
      </c>
      <c r="U80" s="572">
        <v>2</v>
      </c>
      <c r="V80" s="572">
        <v>3</v>
      </c>
      <c r="W80" s="572">
        <v>4</v>
      </c>
      <c r="X80" s="572">
        <v>4</v>
      </c>
      <c r="Y80" s="481"/>
      <c r="Z80" s="481">
        <v>3</v>
      </c>
      <c r="AA80" s="481">
        <v>4</v>
      </c>
      <c r="AB80" s="481"/>
      <c r="AC80" s="481"/>
      <c r="AD80" s="481">
        <v>3.1</v>
      </c>
      <c r="AE80" s="481"/>
      <c r="AF80" s="481">
        <f t="shared" si="42"/>
        <v>10.1</v>
      </c>
      <c r="AG80" s="548"/>
      <c r="AH80" s="548">
        <v>3</v>
      </c>
      <c r="AI80" s="548">
        <v>9</v>
      </c>
      <c r="AJ80" s="548"/>
      <c r="AK80" s="548"/>
      <c r="AL80" s="548"/>
      <c r="AM80" s="548">
        <f t="shared" si="48"/>
        <v>12</v>
      </c>
      <c r="AN80" s="481"/>
      <c r="AO80" s="481">
        <v>3</v>
      </c>
      <c r="AP80" s="481">
        <v>9</v>
      </c>
      <c r="AQ80" s="481"/>
      <c r="AR80" s="481"/>
      <c r="AS80" s="481"/>
      <c r="AT80" s="481"/>
      <c r="AU80" s="481">
        <f t="shared" si="49"/>
        <v>12</v>
      </c>
      <c r="AV80" s="548"/>
      <c r="AW80" s="548">
        <v>5</v>
      </c>
      <c r="AX80" s="548">
        <v>9</v>
      </c>
      <c r="AY80" s="548"/>
      <c r="AZ80" s="548"/>
      <c r="BA80" s="548"/>
      <c r="BB80" s="548"/>
      <c r="BC80" s="548">
        <f t="shared" si="50"/>
        <v>14</v>
      </c>
      <c r="BD80" s="42">
        <f t="shared" si="52"/>
        <v>0</v>
      </c>
      <c r="BE80" s="42">
        <f t="shared" si="52"/>
        <v>14</v>
      </c>
      <c r="BF80" s="42">
        <f t="shared" si="52"/>
        <v>31</v>
      </c>
      <c r="BG80" s="42">
        <f t="shared" si="52"/>
        <v>0</v>
      </c>
      <c r="BH80" s="42">
        <f t="shared" si="52"/>
        <v>0</v>
      </c>
      <c r="BI80" s="42">
        <f t="shared" si="51"/>
        <v>3.1</v>
      </c>
      <c r="BJ80" s="42">
        <f t="shared" si="45"/>
        <v>0</v>
      </c>
      <c r="BK80" s="42">
        <f t="shared" si="45"/>
        <v>48.1</v>
      </c>
    </row>
    <row r="81" spans="1:67" ht="42" customHeight="1" x14ac:dyDescent="0.25">
      <c r="A81" s="298" t="s">
        <v>173</v>
      </c>
      <c r="B81" s="299" t="s">
        <v>169</v>
      </c>
      <c r="C81" s="1547"/>
      <c r="D81" s="1549"/>
      <c r="E81" s="1549"/>
      <c r="F81" s="1549"/>
      <c r="G81" s="1549"/>
      <c r="H81" s="1549"/>
      <c r="I81" s="1429"/>
      <c r="J81" s="1429"/>
      <c r="K81" s="1429" t="s">
        <v>268</v>
      </c>
      <c r="L81" s="301" t="s">
        <v>179</v>
      </c>
      <c r="M81" s="1425" t="s">
        <v>45</v>
      </c>
      <c r="N81" s="1425" t="s">
        <v>46</v>
      </c>
      <c r="O81" s="1425" t="s">
        <v>47</v>
      </c>
      <c r="P81" s="16" t="s">
        <v>269</v>
      </c>
      <c r="Q81" s="302" t="s">
        <v>185</v>
      </c>
      <c r="R81" s="303">
        <v>2015</v>
      </c>
      <c r="S81" s="303">
        <v>0</v>
      </c>
      <c r="T81" s="303">
        <v>1</v>
      </c>
      <c r="U81" s="572">
        <v>2</v>
      </c>
      <c r="V81" s="572">
        <v>3</v>
      </c>
      <c r="W81" s="572">
        <v>4</v>
      </c>
      <c r="X81" s="572">
        <v>4</v>
      </c>
      <c r="Y81" s="481"/>
      <c r="Z81" s="481">
        <v>1</v>
      </c>
      <c r="AA81" s="481">
        <v>1</v>
      </c>
      <c r="AB81" s="481"/>
      <c r="AC81" s="481"/>
      <c r="AD81" s="481"/>
      <c r="AE81" s="481"/>
      <c r="AF81" s="481">
        <f t="shared" si="42"/>
        <v>2</v>
      </c>
      <c r="AG81" s="548"/>
      <c r="AH81" s="548"/>
      <c r="AI81" s="491">
        <v>1</v>
      </c>
      <c r="AJ81" s="548"/>
      <c r="AK81" s="548"/>
      <c r="AL81" s="548"/>
      <c r="AM81" s="548">
        <f t="shared" si="48"/>
        <v>1</v>
      </c>
      <c r="AN81" s="481"/>
      <c r="AO81" s="491">
        <v>0.5</v>
      </c>
      <c r="AP81" s="491">
        <v>1</v>
      </c>
      <c r="AQ81" s="481"/>
      <c r="AR81" s="481"/>
      <c r="AS81" s="481"/>
      <c r="AT81" s="481"/>
      <c r="AU81" s="481">
        <f t="shared" si="49"/>
        <v>1.5</v>
      </c>
      <c r="AV81" s="548"/>
      <c r="AW81" s="491">
        <v>1</v>
      </c>
      <c r="AX81" s="491">
        <v>1</v>
      </c>
      <c r="AY81" s="548"/>
      <c r="AZ81" s="548"/>
      <c r="BA81" s="548"/>
      <c r="BB81" s="548"/>
      <c r="BC81" s="548">
        <f t="shared" si="50"/>
        <v>2</v>
      </c>
      <c r="BD81" s="42">
        <f t="shared" si="52"/>
        <v>0</v>
      </c>
      <c r="BE81" s="42">
        <f t="shared" si="52"/>
        <v>2.5</v>
      </c>
      <c r="BF81" s="42">
        <f t="shared" si="52"/>
        <v>4</v>
      </c>
      <c r="BG81" s="42">
        <f t="shared" si="52"/>
        <v>0</v>
      </c>
      <c r="BH81" s="42">
        <f t="shared" si="52"/>
        <v>0</v>
      </c>
      <c r="BI81" s="42">
        <f t="shared" si="51"/>
        <v>0</v>
      </c>
      <c r="BJ81" s="42">
        <f t="shared" si="45"/>
        <v>0</v>
      </c>
      <c r="BK81" s="42">
        <f t="shared" si="45"/>
        <v>6.5</v>
      </c>
    </row>
    <row r="82" spans="1:67" ht="33" customHeight="1" x14ac:dyDescent="0.25">
      <c r="A82" s="298" t="s">
        <v>173</v>
      </c>
      <c r="B82" s="299" t="s">
        <v>169</v>
      </c>
      <c r="C82" s="1547"/>
      <c r="D82" s="1549"/>
      <c r="E82" s="1549"/>
      <c r="F82" s="1549"/>
      <c r="G82" s="1549"/>
      <c r="H82" s="1549"/>
      <c r="I82" s="1429"/>
      <c r="J82" s="1429"/>
      <c r="K82" s="1429" t="s">
        <v>270</v>
      </c>
      <c r="L82" s="301" t="s">
        <v>179</v>
      </c>
      <c r="M82" s="1425" t="s">
        <v>45</v>
      </c>
      <c r="N82" s="1425" t="s">
        <v>46</v>
      </c>
      <c r="O82" s="1425" t="s">
        <v>47</v>
      </c>
      <c r="P82" s="16" t="s">
        <v>271</v>
      </c>
      <c r="Q82" s="302" t="s">
        <v>239</v>
      </c>
      <c r="R82" s="303">
        <v>2015</v>
      </c>
      <c r="S82" s="303">
        <v>0</v>
      </c>
      <c r="T82" s="303">
        <v>4</v>
      </c>
      <c r="U82" s="572">
        <v>8</v>
      </c>
      <c r="V82" s="572">
        <v>12</v>
      </c>
      <c r="W82" s="572">
        <v>16</v>
      </c>
      <c r="X82" s="572">
        <v>16</v>
      </c>
      <c r="Y82" s="481"/>
      <c r="Z82" s="481">
        <v>1</v>
      </c>
      <c r="AA82" s="481">
        <v>1</v>
      </c>
      <c r="AB82" s="481"/>
      <c r="AC82" s="481"/>
      <c r="AD82" s="481"/>
      <c r="AE82" s="481"/>
      <c r="AF82" s="481">
        <f t="shared" si="42"/>
        <v>2</v>
      </c>
      <c r="AG82" s="548"/>
      <c r="AH82" s="548"/>
      <c r="AI82" s="491">
        <v>1</v>
      </c>
      <c r="AJ82" s="548"/>
      <c r="AK82" s="548"/>
      <c r="AL82" s="548"/>
      <c r="AM82" s="548">
        <f t="shared" si="48"/>
        <v>1</v>
      </c>
      <c r="AN82" s="481"/>
      <c r="AO82" s="491">
        <v>0.5</v>
      </c>
      <c r="AP82" s="491">
        <v>1</v>
      </c>
      <c r="AQ82" s="481"/>
      <c r="AR82" s="481"/>
      <c r="AS82" s="481"/>
      <c r="AT82" s="481"/>
      <c r="AU82" s="481">
        <f t="shared" si="49"/>
        <v>1.5</v>
      </c>
      <c r="AV82" s="548"/>
      <c r="AW82" s="491">
        <v>1</v>
      </c>
      <c r="AX82" s="491">
        <v>1</v>
      </c>
      <c r="AY82" s="548"/>
      <c r="AZ82" s="548"/>
      <c r="BA82" s="548"/>
      <c r="BB82" s="548"/>
      <c r="BC82" s="548">
        <f t="shared" si="50"/>
        <v>2</v>
      </c>
      <c r="BD82" s="42">
        <f t="shared" si="52"/>
        <v>0</v>
      </c>
      <c r="BE82" s="42">
        <f t="shared" si="52"/>
        <v>2.5</v>
      </c>
      <c r="BF82" s="42">
        <f t="shared" si="52"/>
        <v>4</v>
      </c>
      <c r="BG82" s="42">
        <f t="shared" si="52"/>
        <v>0</v>
      </c>
      <c r="BH82" s="42">
        <f t="shared" si="52"/>
        <v>0</v>
      </c>
      <c r="BI82" s="42">
        <f t="shared" si="51"/>
        <v>0</v>
      </c>
      <c r="BJ82" s="42">
        <f t="shared" si="45"/>
        <v>0</v>
      </c>
      <c r="BK82" s="42">
        <f t="shared" si="45"/>
        <v>6.5</v>
      </c>
    </row>
    <row r="83" spans="1:67" ht="36.75" customHeight="1" x14ac:dyDescent="0.25">
      <c r="A83" s="298" t="s">
        <v>173</v>
      </c>
      <c r="B83" s="299" t="s">
        <v>169</v>
      </c>
      <c r="C83" s="1547"/>
      <c r="D83" s="1550"/>
      <c r="E83" s="1550"/>
      <c r="F83" s="1549"/>
      <c r="G83" s="1549"/>
      <c r="H83" s="1549"/>
      <c r="I83" s="1429"/>
      <c r="J83" s="1429"/>
      <c r="K83" s="1429" t="s">
        <v>272</v>
      </c>
      <c r="L83" s="301" t="s">
        <v>179</v>
      </c>
      <c r="M83" s="1425" t="s">
        <v>45</v>
      </c>
      <c r="N83" s="1425" t="s">
        <v>46</v>
      </c>
      <c r="O83" s="1425" t="s">
        <v>73</v>
      </c>
      <c r="P83" s="16" t="s">
        <v>273</v>
      </c>
      <c r="Q83" s="302" t="s">
        <v>274</v>
      </c>
      <c r="R83" s="303">
        <v>2015</v>
      </c>
      <c r="S83" s="303">
        <v>0</v>
      </c>
      <c r="T83" s="303">
        <v>1</v>
      </c>
      <c r="U83" s="572">
        <v>1</v>
      </c>
      <c r="V83" s="572">
        <v>1</v>
      </c>
      <c r="W83" s="572">
        <v>1</v>
      </c>
      <c r="X83" s="572">
        <v>1</v>
      </c>
      <c r="Y83" s="481"/>
      <c r="Z83" s="481">
        <v>1</v>
      </c>
      <c r="AA83" s="481">
        <v>1</v>
      </c>
      <c r="AB83" s="481"/>
      <c r="AC83" s="481"/>
      <c r="AD83" s="481"/>
      <c r="AE83" s="481"/>
      <c r="AF83" s="481">
        <f t="shared" si="42"/>
        <v>2</v>
      </c>
      <c r="AG83" s="548"/>
      <c r="AH83" s="548"/>
      <c r="AI83" s="491">
        <v>1</v>
      </c>
      <c r="AJ83" s="548"/>
      <c r="AK83" s="548"/>
      <c r="AL83" s="548"/>
      <c r="AM83" s="548">
        <f t="shared" si="48"/>
        <v>1</v>
      </c>
      <c r="AN83" s="481"/>
      <c r="AO83" s="491">
        <v>0.5</v>
      </c>
      <c r="AP83" s="491">
        <v>1</v>
      </c>
      <c r="AQ83" s="481"/>
      <c r="AR83" s="481"/>
      <c r="AS83" s="481"/>
      <c r="AT83" s="481"/>
      <c r="AU83" s="481">
        <f>SUM(AN83:AT83)</f>
        <v>1.5</v>
      </c>
      <c r="AV83" s="548"/>
      <c r="AW83" s="491">
        <v>1</v>
      </c>
      <c r="AX83" s="491">
        <v>1</v>
      </c>
      <c r="AY83" s="548"/>
      <c r="AZ83" s="548"/>
      <c r="BA83" s="548"/>
      <c r="BB83" s="548"/>
      <c r="BC83" s="548">
        <f>SUM(AV83:BB83)</f>
        <v>2</v>
      </c>
      <c r="BD83" s="42">
        <f>+AV83+AN83+AG83+Y83</f>
        <v>0</v>
      </c>
      <c r="BE83" s="42">
        <f>+AW83+AO83+AH83+Z83</f>
        <v>2.5</v>
      </c>
      <c r="BF83" s="42">
        <f>+AX83+AP83+AI83+AA83</f>
        <v>4</v>
      </c>
      <c r="BG83" s="42">
        <f>+AY83+AQ83+AJ83+AB83</f>
        <v>0</v>
      </c>
      <c r="BH83" s="42">
        <f>+AZ83+AR83+AK83+AC83</f>
        <v>0</v>
      </c>
      <c r="BI83" s="42">
        <f t="shared" si="51"/>
        <v>0</v>
      </c>
      <c r="BJ83" s="42">
        <f>+BB83+AT83+AL83+AE83</f>
        <v>0</v>
      </c>
      <c r="BK83" s="42">
        <f>+BC83+AU83+AM83+AF83</f>
        <v>6.5</v>
      </c>
    </row>
    <row r="84" spans="1:67" ht="25.5" customHeight="1" x14ac:dyDescent="0.25">
      <c r="A84" s="298" t="s">
        <v>173</v>
      </c>
      <c r="B84" s="299" t="s">
        <v>169</v>
      </c>
      <c r="C84" s="1548"/>
      <c r="D84" s="1549"/>
      <c r="E84" s="1549"/>
      <c r="F84" s="1549"/>
      <c r="G84" s="1549"/>
      <c r="H84" s="1549"/>
      <c r="I84" s="1429" t="s">
        <v>53</v>
      </c>
      <c r="J84" s="1429"/>
      <c r="K84" s="1429" t="s">
        <v>275</v>
      </c>
      <c r="L84" s="301" t="s">
        <v>179</v>
      </c>
      <c r="M84" s="1425" t="s">
        <v>45</v>
      </c>
      <c r="N84" s="1425" t="s">
        <v>46</v>
      </c>
      <c r="O84" s="1425" t="s">
        <v>47</v>
      </c>
      <c r="P84" s="16" t="s">
        <v>276</v>
      </c>
      <c r="Q84" s="302" t="s">
        <v>277</v>
      </c>
      <c r="R84" s="303">
        <v>2015</v>
      </c>
      <c r="S84" s="303">
        <v>0</v>
      </c>
      <c r="T84" s="303">
        <v>2</v>
      </c>
      <c r="U84" s="572">
        <v>2</v>
      </c>
      <c r="V84" s="572">
        <v>2</v>
      </c>
      <c r="W84" s="572">
        <v>2</v>
      </c>
      <c r="X84" s="572">
        <v>2</v>
      </c>
      <c r="Y84" s="481"/>
      <c r="Z84" s="481">
        <v>0</v>
      </c>
      <c r="AA84" s="481">
        <v>18.899999999999999</v>
      </c>
      <c r="AB84" s="481">
        <v>250</v>
      </c>
      <c r="AC84" s="481"/>
      <c r="AD84" s="481"/>
      <c r="AE84" s="481"/>
      <c r="AF84" s="481">
        <f t="shared" ref="AF84:AF96" si="53">SUM(Y84:AE84)</f>
        <v>268.89999999999998</v>
      </c>
      <c r="AG84" s="548"/>
      <c r="AH84" s="548"/>
      <c r="AI84" s="491">
        <v>1</v>
      </c>
      <c r="AJ84" s="548"/>
      <c r="AK84" s="548"/>
      <c r="AL84" s="548"/>
      <c r="AM84" s="548">
        <f>SUM(AG84:AL84)</f>
        <v>1</v>
      </c>
      <c r="AN84" s="481"/>
      <c r="AO84" s="491">
        <v>0.5</v>
      </c>
      <c r="AP84" s="491">
        <v>1</v>
      </c>
      <c r="AQ84" s="481"/>
      <c r="AR84" s="481"/>
      <c r="AS84" s="481"/>
      <c r="AT84" s="481"/>
      <c r="AU84" s="481">
        <f>SUM(AN84:AT84)</f>
        <v>1.5</v>
      </c>
      <c r="AV84" s="548"/>
      <c r="AW84" s="491">
        <v>1</v>
      </c>
      <c r="AX84" s="491">
        <v>1</v>
      </c>
      <c r="AY84" s="548"/>
      <c r="AZ84" s="548"/>
      <c r="BA84" s="548"/>
      <c r="BB84" s="548"/>
      <c r="BC84" s="548">
        <f>SUM(AV84:BB84)</f>
        <v>2</v>
      </c>
      <c r="BD84" s="42">
        <f t="shared" si="52"/>
        <v>0</v>
      </c>
      <c r="BE84" s="42">
        <f t="shared" si="52"/>
        <v>1.5</v>
      </c>
      <c r="BF84" s="42">
        <f t="shared" si="52"/>
        <v>21.9</v>
      </c>
      <c r="BG84" s="42">
        <f t="shared" si="52"/>
        <v>250</v>
      </c>
      <c r="BH84" s="42">
        <f t="shared" si="52"/>
        <v>0</v>
      </c>
      <c r="BI84" s="42">
        <f t="shared" si="51"/>
        <v>0</v>
      </c>
      <c r="BJ84" s="42">
        <f t="shared" si="45"/>
        <v>0</v>
      </c>
      <c r="BK84" s="42">
        <f t="shared" si="45"/>
        <v>273.39999999999998</v>
      </c>
    </row>
    <row r="85" spans="1:67" s="23" customFormat="1" ht="5.25" customHeight="1" x14ac:dyDescent="0.25">
      <c r="A85" s="152"/>
      <c r="B85" s="7" t="s">
        <v>278</v>
      </c>
      <c r="C85" s="19"/>
      <c r="D85" s="1445"/>
      <c r="E85" s="1445"/>
      <c r="F85" s="1442"/>
      <c r="G85" s="1442"/>
      <c r="H85" s="1442"/>
      <c r="I85" s="251"/>
      <c r="J85" s="251"/>
      <c r="K85" s="251"/>
      <c r="L85" s="251"/>
      <c r="M85" s="251"/>
      <c r="N85" s="11"/>
      <c r="O85" s="251"/>
      <c r="P85" s="16"/>
      <c r="Q85" s="302"/>
      <c r="R85" s="303"/>
      <c r="S85" s="303"/>
      <c r="T85" s="303"/>
      <c r="U85" s="572"/>
      <c r="V85" s="572"/>
      <c r="W85" s="572"/>
      <c r="X85" s="572"/>
      <c r="Y85" s="42"/>
      <c r="Z85" s="58"/>
      <c r="AA85" s="221">
        <v>148.80000000000001</v>
      </c>
      <c r="AB85" s="43"/>
      <c r="AC85" s="42"/>
      <c r="AD85" s="42">
        <v>330.6</v>
      </c>
      <c r="AE85" s="42"/>
      <c r="AF85" s="59">
        <f t="shared" si="53"/>
        <v>479.40000000000003</v>
      </c>
      <c r="AG85" s="42"/>
      <c r="AH85" s="42"/>
      <c r="AI85" s="42">
        <f>+AA85*1.04</f>
        <v>154.75200000000001</v>
      </c>
      <c r="AJ85" s="42"/>
      <c r="AK85" s="42"/>
      <c r="AL85" s="42"/>
      <c r="AM85" s="42"/>
      <c r="AN85" s="42"/>
      <c r="AO85" s="42"/>
      <c r="AP85" s="42">
        <f>+AI85*1.04</f>
        <v>160.94208</v>
      </c>
      <c r="AQ85" s="42"/>
      <c r="AR85" s="42"/>
      <c r="AS85" s="42"/>
      <c r="AT85" s="42"/>
      <c r="AU85" s="42"/>
      <c r="AV85" s="548"/>
      <c r="AW85" s="548"/>
      <c r="AX85" s="548">
        <f>+AP85*1.04</f>
        <v>167.37976320000001</v>
      </c>
      <c r="AY85" s="548"/>
      <c r="AZ85" s="548"/>
      <c r="BA85" s="548"/>
      <c r="BB85" s="548"/>
      <c r="BC85" s="548"/>
      <c r="BD85" s="42">
        <f t="shared" si="52"/>
        <v>0</v>
      </c>
      <c r="BE85" s="42">
        <f t="shared" si="52"/>
        <v>0</v>
      </c>
      <c r="BF85" s="42">
        <f t="shared" si="52"/>
        <v>631.87384320000001</v>
      </c>
      <c r="BG85" s="42">
        <f t="shared" si="52"/>
        <v>0</v>
      </c>
      <c r="BH85" s="42">
        <f t="shared" si="52"/>
        <v>0</v>
      </c>
      <c r="BI85" s="42">
        <f t="shared" si="51"/>
        <v>330.6</v>
      </c>
      <c r="BJ85" s="42">
        <f t="shared" si="45"/>
        <v>0</v>
      </c>
      <c r="BK85" s="42">
        <f t="shared" si="45"/>
        <v>479.40000000000003</v>
      </c>
      <c r="BL85" s="40"/>
      <c r="BM85" s="3"/>
      <c r="BN85" s="3"/>
      <c r="BO85" s="3"/>
    </row>
    <row r="86" spans="1:67" ht="17.399999999999999" x14ac:dyDescent="0.25">
      <c r="A86" s="420"/>
      <c r="B86" s="1556" t="s">
        <v>278</v>
      </c>
      <c r="C86" s="1557"/>
      <c r="D86" s="1557"/>
      <c r="E86" s="1557"/>
      <c r="F86" s="1557"/>
      <c r="G86" s="1557"/>
      <c r="H86" s="1557"/>
      <c r="I86" s="1557"/>
      <c r="J86" s="1557"/>
      <c r="K86" s="1557"/>
      <c r="L86" s="1557"/>
      <c r="M86" s="1558"/>
      <c r="N86" s="597"/>
      <c r="O86" s="597"/>
      <c r="P86" s="597"/>
      <c r="Q86" s="598"/>
      <c r="R86" s="597"/>
      <c r="S86" s="597"/>
      <c r="T86" s="597"/>
      <c r="U86" s="599"/>
      <c r="V86" s="599"/>
      <c r="W86" s="599"/>
      <c r="X86" s="599"/>
      <c r="Y86" s="600">
        <f t="shared" ref="Y86:AE86" si="54">+Y87+Y99</f>
        <v>0</v>
      </c>
      <c r="Z86" s="600">
        <f t="shared" si="54"/>
        <v>0</v>
      </c>
      <c r="AA86" s="601">
        <f t="shared" si="54"/>
        <v>148.80000000000001</v>
      </c>
      <c r="AB86" s="600">
        <f t="shared" si="54"/>
        <v>1278</v>
      </c>
      <c r="AC86" s="600">
        <f t="shared" si="54"/>
        <v>0</v>
      </c>
      <c r="AD86" s="600">
        <f t="shared" si="54"/>
        <v>330.6</v>
      </c>
      <c r="AE86" s="600">
        <f t="shared" si="54"/>
        <v>0</v>
      </c>
      <c r="AF86" s="602">
        <f t="shared" si="53"/>
        <v>1757.4</v>
      </c>
      <c r="AG86" s="600">
        <f t="shared" ref="AG86:AL86" si="55">+AG87+AG99</f>
        <v>0</v>
      </c>
      <c r="AH86" s="600">
        <f t="shared" si="55"/>
        <v>0</v>
      </c>
      <c r="AI86" s="600">
        <f t="shared" si="55"/>
        <v>142.67000000000002</v>
      </c>
      <c r="AJ86" s="600">
        <f t="shared" si="55"/>
        <v>500</v>
      </c>
      <c r="AK86" s="600">
        <f t="shared" si="55"/>
        <v>0</v>
      </c>
      <c r="AL86" s="600">
        <f t="shared" si="55"/>
        <v>0</v>
      </c>
      <c r="AM86" s="600">
        <f t="shared" ref="AM86:AM96" si="56">SUM(AG86:AL86)</f>
        <v>642.67000000000007</v>
      </c>
      <c r="AN86" s="600">
        <f t="shared" ref="AN86:AT86" si="57">+AN87+AN99</f>
        <v>0</v>
      </c>
      <c r="AO86" s="600">
        <f t="shared" si="57"/>
        <v>0</v>
      </c>
      <c r="AP86" s="600">
        <f t="shared" si="57"/>
        <v>161</v>
      </c>
      <c r="AQ86" s="600">
        <f t="shared" si="57"/>
        <v>0</v>
      </c>
      <c r="AR86" s="600">
        <f t="shared" si="57"/>
        <v>0</v>
      </c>
      <c r="AS86" s="600">
        <f t="shared" si="57"/>
        <v>0</v>
      </c>
      <c r="AT86" s="600">
        <f t="shared" si="57"/>
        <v>0</v>
      </c>
      <c r="AU86" s="600">
        <f t="shared" ref="AU86:AU96" si="58">SUM(AN86:AT86)</f>
        <v>161</v>
      </c>
      <c r="AV86" s="600">
        <f t="shared" ref="AV86:BB86" si="59">+AV87+AV99</f>
        <v>0</v>
      </c>
      <c r="AW86" s="600">
        <f t="shared" si="59"/>
        <v>0</v>
      </c>
      <c r="AX86" s="600">
        <f t="shared" si="59"/>
        <v>168</v>
      </c>
      <c r="AY86" s="600">
        <f t="shared" si="59"/>
        <v>0</v>
      </c>
      <c r="AZ86" s="600">
        <f t="shared" si="59"/>
        <v>0</v>
      </c>
      <c r="BA86" s="600">
        <f t="shared" si="59"/>
        <v>0</v>
      </c>
      <c r="BB86" s="600">
        <f t="shared" si="59"/>
        <v>0</v>
      </c>
      <c r="BC86" s="600">
        <f t="shared" ref="BC86:BC96" si="60">SUM(AV86:BB86)</f>
        <v>168</v>
      </c>
      <c r="BD86" s="33">
        <f t="shared" si="52"/>
        <v>0</v>
      </c>
      <c r="BE86" s="33">
        <f t="shared" si="52"/>
        <v>0</v>
      </c>
      <c r="BF86" s="33">
        <f t="shared" si="52"/>
        <v>620.47</v>
      </c>
      <c r="BG86" s="33">
        <f t="shared" si="52"/>
        <v>1778</v>
      </c>
      <c r="BH86" s="33">
        <f t="shared" si="52"/>
        <v>0</v>
      </c>
      <c r="BI86" s="33">
        <f t="shared" si="51"/>
        <v>330.6</v>
      </c>
      <c r="BJ86" s="33">
        <f t="shared" si="45"/>
        <v>0</v>
      </c>
      <c r="BK86" s="33">
        <f t="shared" si="45"/>
        <v>2729.07</v>
      </c>
    </row>
    <row r="87" spans="1:67" ht="26.4" x14ac:dyDescent="0.25">
      <c r="A87" s="603"/>
      <c r="B87" s="154" t="s">
        <v>278</v>
      </c>
      <c r="C87" s="6"/>
      <c r="D87" s="2" t="s">
        <v>279</v>
      </c>
      <c r="E87" s="1"/>
      <c r="F87" s="1"/>
      <c r="G87" s="1"/>
      <c r="H87" s="1"/>
      <c r="I87" s="1"/>
      <c r="J87" s="1"/>
      <c r="K87" s="1"/>
      <c r="L87" s="1"/>
      <c r="M87" s="1"/>
      <c r="N87" s="1"/>
      <c r="O87" s="1"/>
      <c r="P87" s="1"/>
      <c r="Q87" s="573"/>
      <c r="R87" s="574"/>
      <c r="S87" s="574"/>
      <c r="T87" s="574"/>
      <c r="U87" s="575"/>
      <c r="V87" s="575"/>
      <c r="W87" s="575"/>
      <c r="X87" s="575"/>
      <c r="Y87" s="34">
        <f t="shared" ref="Y87:AE87" si="61">SUM(Y88:Y98)</f>
        <v>0</v>
      </c>
      <c r="Z87" s="34">
        <f t="shared" si="61"/>
        <v>0</v>
      </c>
      <c r="AA87" s="54">
        <f t="shared" si="61"/>
        <v>71.3</v>
      </c>
      <c r="AB87" s="34">
        <f t="shared" si="61"/>
        <v>1278</v>
      </c>
      <c r="AC87" s="34">
        <f t="shared" si="61"/>
        <v>0</v>
      </c>
      <c r="AD87" s="34">
        <f t="shared" si="61"/>
        <v>329.6</v>
      </c>
      <c r="AE87" s="34">
        <f t="shared" si="61"/>
        <v>0</v>
      </c>
      <c r="AF87" s="45">
        <f t="shared" si="53"/>
        <v>1678.9</v>
      </c>
      <c r="AG87" s="34">
        <f t="shared" ref="AG87:AL87" si="62">SUM(AG88:AG98)</f>
        <v>0</v>
      </c>
      <c r="AH87" s="34">
        <f t="shared" si="62"/>
        <v>0</v>
      </c>
      <c r="AI87" s="34">
        <f t="shared" si="62"/>
        <v>92.67</v>
      </c>
      <c r="AJ87" s="34">
        <f t="shared" si="62"/>
        <v>500</v>
      </c>
      <c r="AK87" s="34">
        <f t="shared" si="62"/>
        <v>0</v>
      </c>
      <c r="AL87" s="34">
        <f t="shared" si="62"/>
        <v>0</v>
      </c>
      <c r="AM87" s="34">
        <f t="shared" si="56"/>
        <v>592.66999999999996</v>
      </c>
      <c r="AN87" s="34">
        <f t="shared" ref="AN87:AT87" si="63">SUM(AN88:AN98)</f>
        <v>0</v>
      </c>
      <c r="AO87" s="34">
        <f t="shared" si="63"/>
        <v>0</v>
      </c>
      <c r="AP87" s="34">
        <f t="shared" si="63"/>
        <v>111</v>
      </c>
      <c r="AQ87" s="34">
        <f t="shared" si="63"/>
        <v>0</v>
      </c>
      <c r="AR87" s="34">
        <f t="shared" si="63"/>
        <v>0</v>
      </c>
      <c r="AS87" s="34">
        <f t="shared" si="63"/>
        <v>0</v>
      </c>
      <c r="AT87" s="34">
        <f t="shared" si="63"/>
        <v>0</v>
      </c>
      <c r="AU87" s="34">
        <f t="shared" si="58"/>
        <v>111</v>
      </c>
      <c r="AV87" s="34">
        <f t="shared" ref="AV87:BB87" si="64">SUM(AV88:AV98)</f>
        <v>0</v>
      </c>
      <c r="AW87" s="34">
        <f t="shared" si="64"/>
        <v>0</v>
      </c>
      <c r="AX87" s="34">
        <f t="shared" si="64"/>
        <v>118</v>
      </c>
      <c r="AY87" s="34">
        <f t="shared" si="64"/>
        <v>0</v>
      </c>
      <c r="AZ87" s="34">
        <f t="shared" si="64"/>
        <v>0</v>
      </c>
      <c r="BA87" s="34">
        <f t="shared" si="64"/>
        <v>0</v>
      </c>
      <c r="BB87" s="34">
        <f t="shared" si="64"/>
        <v>0</v>
      </c>
      <c r="BC87" s="34">
        <f t="shared" si="60"/>
        <v>118</v>
      </c>
      <c r="BD87" s="34">
        <f t="shared" si="52"/>
        <v>0</v>
      </c>
      <c r="BE87" s="34">
        <f t="shared" si="52"/>
        <v>0</v>
      </c>
      <c r="BF87" s="34">
        <f t="shared" si="52"/>
        <v>392.97</v>
      </c>
      <c r="BG87" s="34">
        <f t="shared" si="52"/>
        <v>1778</v>
      </c>
      <c r="BH87" s="34">
        <f t="shared" si="52"/>
        <v>0</v>
      </c>
      <c r="BI87" s="34">
        <f t="shared" si="51"/>
        <v>329.6</v>
      </c>
      <c r="BJ87" s="34">
        <f t="shared" si="45"/>
        <v>0</v>
      </c>
      <c r="BK87" s="34">
        <f t="shared" si="45"/>
        <v>2500.5700000000002</v>
      </c>
    </row>
    <row r="88" spans="1:67" ht="44.25" customHeight="1" x14ac:dyDescent="0.25">
      <c r="A88" s="298" t="s">
        <v>280</v>
      </c>
      <c r="B88" s="299" t="s">
        <v>278</v>
      </c>
      <c r="C88" s="1546" t="s">
        <v>281</v>
      </c>
      <c r="D88" s="1550" t="s">
        <v>282</v>
      </c>
      <c r="E88" s="1550" t="s">
        <v>283</v>
      </c>
      <c r="F88" s="1550">
        <v>2015</v>
      </c>
      <c r="G88" s="1550">
        <v>8</v>
      </c>
      <c r="H88" s="1550">
        <v>10</v>
      </c>
      <c r="I88" s="1425"/>
      <c r="J88" s="1425"/>
      <c r="K88" s="1425" t="s">
        <v>284</v>
      </c>
      <c r="L88" s="301"/>
      <c r="M88" s="1425" t="s">
        <v>45</v>
      </c>
      <c r="N88" s="1425" t="s">
        <v>46</v>
      </c>
      <c r="O88" s="1425" t="s">
        <v>47</v>
      </c>
      <c r="P88" s="16" t="s">
        <v>285</v>
      </c>
      <c r="Q88" s="302" t="s">
        <v>286</v>
      </c>
      <c r="R88" s="303">
        <v>2015</v>
      </c>
      <c r="S88" s="303">
        <v>0</v>
      </c>
      <c r="T88" s="303">
        <v>0</v>
      </c>
      <c r="U88" s="572">
        <v>1</v>
      </c>
      <c r="V88" s="572">
        <v>1</v>
      </c>
      <c r="W88" s="572">
        <v>1</v>
      </c>
      <c r="X88" s="572">
        <v>1</v>
      </c>
      <c r="Y88" s="483"/>
      <c r="Z88" s="483"/>
      <c r="AA88" s="577"/>
      <c r="AB88" s="483"/>
      <c r="AC88" s="483"/>
      <c r="AD88" s="483"/>
      <c r="AE88" s="483"/>
      <c r="AF88" s="578">
        <f t="shared" si="53"/>
        <v>0</v>
      </c>
      <c r="AG88" s="587"/>
      <c r="AH88" s="587"/>
      <c r="AI88" s="492">
        <v>1</v>
      </c>
      <c r="AJ88" s="587"/>
      <c r="AK88" s="587"/>
      <c r="AL88" s="587"/>
      <c r="AM88" s="587">
        <f t="shared" si="56"/>
        <v>1</v>
      </c>
      <c r="AN88" s="483"/>
      <c r="AO88" s="483"/>
      <c r="AP88" s="492">
        <v>1</v>
      </c>
      <c r="AQ88" s="483"/>
      <c r="AR88" s="483"/>
      <c r="AS88" s="483"/>
      <c r="AT88" s="483"/>
      <c r="AU88" s="483">
        <f t="shared" si="58"/>
        <v>1</v>
      </c>
      <c r="AV88" s="587"/>
      <c r="AW88" s="587"/>
      <c r="AX88" s="492">
        <v>1</v>
      </c>
      <c r="AY88" s="587"/>
      <c r="AZ88" s="587"/>
      <c r="BA88" s="587"/>
      <c r="BB88" s="587"/>
      <c r="BC88" s="587">
        <f t="shared" si="60"/>
        <v>1</v>
      </c>
      <c r="BD88" s="44">
        <f t="shared" si="52"/>
        <v>0</v>
      </c>
      <c r="BE88" s="44">
        <f t="shared" si="52"/>
        <v>0</v>
      </c>
      <c r="BF88" s="44">
        <f t="shared" si="52"/>
        <v>3</v>
      </c>
      <c r="BG88" s="44">
        <f t="shared" si="52"/>
        <v>0</v>
      </c>
      <c r="BH88" s="44">
        <f t="shared" si="52"/>
        <v>0</v>
      </c>
      <c r="BI88" s="44">
        <f t="shared" si="51"/>
        <v>0</v>
      </c>
      <c r="BJ88" s="44">
        <f t="shared" si="45"/>
        <v>0</v>
      </c>
      <c r="BK88" s="44">
        <f t="shared" si="45"/>
        <v>3</v>
      </c>
    </row>
    <row r="89" spans="1:67" ht="42" customHeight="1" x14ac:dyDescent="0.25">
      <c r="A89" s="298" t="s">
        <v>280</v>
      </c>
      <c r="B89" s="299" t="s">
        <v>278</v>
      </c>
      <c r="C89" s="1547"/>
      <c r="D89" s="1551"/>
      <c r="E89" s="1551"/>
      <c r="F89" s="1551"/>
      <c r="G89" s="1551"/>
      <c r="H89" s="1551"/>
      <c r="I89" s="1425" t="s">
        <v>53</v>
      </c>
      <c r="J89" s="1425"/>
      <c r="K89" s="1425" t="s">
        <v>287</v>
      </c>
      <c r="L89" s="301"/>
      <c r="M89" s="1425" t="s">
        <v>45</v>
      </c>
      <c r="N89" s="1425" t="s">
        <v>46</v>
      </c>
      <c r="O89" s="1425" t="s">
        <v>47</v>
      </c>
      <c r="P89" s="16" t="s">
        <v>288</v>
      </c>
      <c r="Q89" s="302" t="s">
        <v>289</v>
      </c>
      <c r="R89" s="303">
        <v>2015</v>
      </c>
      <c r="S89" s="303">
        <v>0</v>
      </c>
      <c r="T89" s="303">
        <v>1</v>
      </c>
      <c r="U89" s="572">
        <v>1</v>
      </c>
      <c r="V89" s="572">
        <v>1</v>
      </c>
      <c r="W89" s="572">
        <v>1</v>
      </c>
      <c r="X89" s="572">
        <v>1</v>
      </c>
      <c r="Y89" s="481"/>
      <c r="Z89" s="481"/>
      <c r="AA89" s="579"/>
      <c r="AB89" s="481">
        <v>900</v>
      </c>
      <c r="AC89" s="481"/>
      <c r="AD89" s="481"/>
      <c r="AE89" s="481"/>
      <c r="AF89" s="578">
        <f t="shared" si="53"/>
        <v>900</v>
      </c>
      <c r="AG89" s="548"/>
      <c r="AH89" s="548"/>
      <c r="AI89" s="492">
        <v>1</v>
      </c>
      <c r="AJ89" s="548"/>
      <c r="AK89" s="548"/>
      <c r="AL89" s="548"/>
      <c r="AM89" s="548">
        <f t="shared" si="56"/>
        <v>1</v>
      </c>
      <c r="AN89" s="481"/>
      <c r="AO89" s="481"/>
      <c r="AP89" s="492">
        <v>1</v>
      </c>
      <c r="AQ89" s="481"/>
      <c r="AR89" s="481"/>
      <c r="AS89" s="481"/>
      <c r="AT89" s="481"/>
      <c r="AU89" s="481">
        <f t="shared" si="58"/>
        <v>1</v>
      </c>
      <c r="AV89" s="548"/>
      <c r="AW89" s="548"/>
      <c r="AX89" s="492">
        <v>1</v>
      </c>
      <c r="AY89" s="548"/>
      <c r="AZ89" s="548"/>
      <c r="BA89" s="548"/>
      <c r="BB89" s="548"/>
      <c r="BC89" s="548">
        <f t="shared" si="60"/>
        <v>1</v>
      </c>
      <c r="BD89" s="42">
        <f t="shared" si="52"/>
        <v>0</v>
      </c>
      <c r="BE89" s="42">
        <f t="shared" si="52"/>
        <v>0</v>
      </c>
      <c r="BF89" s="42">
        <f t="shared" si="52"/>
        <v>3</v>
      </c>
      <c r="BG89" s="42">
        <f t="shared" si="52"/>
        <v>900</v>
      </c>
      <c r="BH89" s="42">
        <f t="shared" si="52"/>
        <v>0</v>
      </c>
      <c r="BI89" s="42">
        <f t="shared" si="51"/>
        <v>0</v>
      </c>
      <c r="BJ89" s="42">
        <f t="shared" si="45"/>
        <v>0</v>
      </c>
      <c r="BK89" s="42">
        <f t="shared" si="45"/>
        <v>903</v>
      </c>
    </row>
    <row r="90" spans="1:67" ht="33.75" customHeight="1" x14ac:dyDescent="0.25">
      <c r="A90" s="298" t="s">
        <v>280</v>
      </c>
      <c r="B90" s="299" t="s">
        <v>278</v>
      </c>
      <c r="C90" s="1547"/>
      <c r="D90" s="1551"/>
      <c r="E90" s="1551"/>
      <c r="F90" s="1551"/>
      <c r="G90" s="1551"/>
      <c r="H90" s="1551"/>
      <c r="I90" s="1425" t="s">
        <v>53</v>
      </c>
      <c r="J90" s="1425"/>
      <c r="K90" s="1425" t="s">
        <v>290</v>
      </c>
      <c r="L90" s="301"/>
      <c r="M90" s="1425" t="s">
        <v>45</v>
      </c>
      <c r="N90" s="1425" t="s">
        <v>46</v>
      </c>
      <c r="O90" s="1425" t="s">
        <v>47</v>
      </c>
      <c r="P90" s="71" t="s">
        <v>291</v>
      </c>
      <c r="Q90" s="302" t="s">
        <v>292</v>
      </c>
      <c r="R90" s="303" t="s">
        <v>182</v>
      </c>
      <c r="S90" s="303">
        <v>4</v>
      </c>
      <c r="T90" s="303">
        <v>2</v>
      </c>
      <c r="U90" s="572">
        <v>3</v>
      </c>
      <c r="V90" s="572">
        <v>4</v>
      </c>
      <c r="W90" s="572">
        <v>6</v>
      </c>
      <c r="X90" s="572">
        <v>6</v>
      </c>
      <c r="Y90" s="483"/>
      <c r="Z90" s="483"/>
      <c r="AA90" s="577">
        <v>0</v>
      </c>
      <c r="AB90" s="483">
        <v>378</v>
      </c>
      <c r="AC90" s="483"/>
      <c r="AD90" s="493">
        <v>319.54000000000002</v>
      </c>
      <c r="AE90" s="483"/>
      <c r="AF90" s="578">
        <f t="shared" si="53"/>
        <v>697.54</v>
      </c>
      <c r="AG90" s="587"/>
      <c r="AH90" s="587"/>
      <c r="AI90" s="587">
        <v>10</v>
      </c>
      <c r="AJ90" s="587"/>
      <c r="AK90" s="587"/>
      <c r="AL90" s="587"/>
      <c r="AM90" s="587">
        <f t="shared" si="56"/>
        <v>10</v>
      </c>
      <c r="AN90" s="483"/>
      <c r="AO90" s="483"/>
      <c r="AP90" s="483">
        <v>40</v>
      </c>
      <c r="AQ90" s="483"/>
      <c r="AR90" s="483"/>
      <c r="AS90" s="483"/>
      <c r="AT90" s="483"/>
      <c r="AU90" s="483">
        <f t="shared" si="58"/>
        <v>40</v>
      </c>
      <c r="AV90" s="587"/>
      <c r="AW90" s="587"/>
      <c r="AX90" s="587">
        <v>58</v>
      </c>
      <c r="AY90" s="587"/>
      <c r="AZ90" s="587"/>
      <c r="BA90" s="587"/>
      <c r="BB90" s="587"/>
      <c r="BC90" s="587">
        <f t="shared" si="60"/>
        <v>58</v>
      </c>
      <c r="BD90" s="44">
        <f t="shared" si="52"/>
        <v>0</v>
      </c>
      <c r="BE90" s="44">
        <f t="shared" si="52"/>
        <v>0</v>
      </c>
      <c r="BF90" s="44">
        <f t="shared" si="52"/>
        <v>108</v>
      </c>
      <c r="BG90" s="44">
        <f t="shared" si="52"/>
        <v>378</v>
      </c>
      <c r="BH90" s="44">
        <f t="shared" si="52"/>
        <v>0</v>
      </c>
      <c r="BI90" s="44">
        <f t="shared" si="51"/>
        <v>319.54000000000002</v>
      </c>
      <c r="BJ90" s="44">
        <f t="shared" si="45"/>
        <v>0</v>
      </c>
      <c r="BK90" s="44">
        <f t="shared" si="45"/>
        <v>805.54</v>
      </c>
    </row>
    <row r="91" spans="1:67" ht="38.25" customHeight="1" x14ac:dyDescent="0.25">
      <c r="A91" s="298" t="s">
        <v>280</v>
      </c>
      <c r="B91" s="299" t="s">
        <v>278</v>
      </c>
      <c r="C91" s="1547"/>
      <c r="D91" s="1551"/>
      <c r="E91" s="1551"/>
      <c r="F91" s="1551"/>
      <c r="G91" s="1551"/>
      <c r="H91" s="1551"/>
      <c r="I91" s="1425"/>
      <c r="J91" s="1425"/>
      <c r="K91" s="1425" t="s">
        <v>293</v>
      </c>
      <c r="L91" s="301"/>
      <c r="M91" s="1425" t="s">
        <v>45</v>
      </c>
      <c r="N91" s="1425" t="s">
        <v>46</v>
      </c>
      <c r="O91" s="1425" t="s">
        <v>47</v>
      </c>
      <c r="P91" s="71" t="s">
        <v>294</v>
      </c>
      <c r="Q91" s="302" t="s">
        <v>295</v>
      </c>
      <c r="R91" s="303">
        <v>2015</v>
      </c>
      <c r="S91" s="303">
        <v>0</v>
      </c>
      <c r="T91" s="303">
        <v>3</v>
      </c>
      <c r="U91" s="572">
        <v>6</v>
      </c>
      <c r="V91" s="572">
        <v>9</v>
      </c>
      <c r="W91" s="572">
        <v>12</v>
      </c>
      <c r="X91" s="572">
        <v>12</v>
      </c>
      <c r="Y91" s="481"/>
      <c r="Z91" s="481"/>
      <c r="AA91" s="492">
        <v>27</v>
      </c>
      <c r="AB91" s="481"/>
      <c r="AC91" s="481"/>
      <c r="AD91" s="481"/>
      <c r="AE91" s="481"/>
      <c r="AF91" s="578">
        <f t="shared" si="53"/>
        <v>27</v>
      </c>
      <c r="AG91" s="548"/>
      <c r="AH91" s="548"/>
      <c r="AI91" s="548">
        <v>34</v>
      </c>
      <c r="AJ91" s="548"/>
      <c r="AK91" s="548"/>
      <c r="AL91" s="548"/>
      <c r="AM91" s="548">
        <f t="shared" si="56"/>
        <v>34</v>
      </c>
      <c r="AN91" s="481"/>
      <c r="AO91" s="481"/>
      <c r="AP91" s="481">
        <v>11</v>
      </c>
      <c r="AQ91" s="481"/>
      <c r="AR91" s="481"/>
      <c r="AS91" s="481"/>
      <c r="AT91" s="481"/>
      <c r="AU91" s="481">
        <f t="shared" si="58"/>
        <v>11</v>
      </c>
      <c r="AV91" s="548"/>
      <c r="AW91" s="548"/>
      <c r="AX91" s="492">
        <v>1</v>
      </c>
      <c r="AY91" s="548"/>
      <c r="AZ91" s="548"/>
      <c r="BA91" s="548"/>
      <c r="BB91" s="548"/>
      <c r="BC91" s="548">
        <f t="shared" si="60"/>
        <v>1</v>
      </c>
      <c r="BD91" s="42">
        <f t="shared" si="52"/>
        <v>0</v>
      </c>
      <c r="BE91" s="42">
        <f t="shared" si="52"/>
        <v>0</v>
      </c>
      <c r="BF91" s="42">
        <f t="shared" si="52"/>
        <v>73</v>
      </c>
      <c r="BG91" s="42">
        <f t="shared" si="52"/>
        <v>0</v>
      </c>
      <c r="BH91" s="42">
        <f t="shared" si="52"/>
        <v>0</v>
      </c>
      <c r="BI91" s="42">
        <f t="shared" si="51"/>
        <v>0</v>
      </c>
      <c r="BJ91" s="42">
        <f t="shared" si="45"/>
        <v>0</v>
      </c>
      <c r="BK91" s="42">
        <f t="shared" si="45"/>
        <v>73</v>
      </c>
    </row>
    <row r="92" spans="1:67" ht="33" customHeight="1" x14ac:dyDescent="0.25">
      <c r="A92" s="298" t="s">
        <v>280</v>
      </c>
      <c r="B92" s="299" t="s">
        <v>278</v>
      </c>
      <c r="C92" s="1547"/>
      <c r="D92" s="1551"/>
      <c r="E92" s="1551"/>
      <c r="F92" s="1551"/>
      <c r="G92" s="1551"/>
      <c r="H92" s="1551"/>
      <c r="I92" s="1425" t="s">
        <v>53</v>
      </c>
      <c r="J92" s="1425"/>
      <c r="K92" s="1425" t="s">
        <v>296</v>
      </c>
      <c r="L92" s="301"/>
      <c r="M92" s="1425" t="s">
        <v>45</v>
      </c>
      <c r="N92" s="1425" t="s">
        <v>46</v>
      </c>
      <c r="O92" s="1425" t="s">
        <v>47</v>
      </c>
      <c r="P92" s="71" t="s">
        <v>297</v>
      </c>
      <c r="Q92" s="302" t="s">
        <v>298</v>
      </c>
      <c r="R92" s="303">
        <v>2015</v>
      </c>
      <c r="S92" s="303">
        <v>1</v>
      </c>
      <c r="T92" s="303">
        <v>2</v>
      </c>
      <c r="U92" s="572">
        <v>4</v>
      </c>
      <c r="V92" s="572">
        <v>6</v>
      </c>
      <c r="W92" s="572">
        <v>8</v>
      </c>
      <c r="X92" s="572">
        <v>8</v>
      </c>
      <c r="Y92" s="481"/>
      <c r="Z92" s="481"/>
      <c r="AA92" s="580">
        <v>20</v>
      </c>
      <c r="AB92" s="481"/>
      <c r="AC92" s="481"/>
      <c r="AD92" s="481"/>
      <c r="AE92" s="481"/>
      <c r="AF92" s="578">
        <f t="shared" si="53"/>
        <v>20</v>
      </c>
      <c r="AG92" s="548"/>
      <c r="AH92" s="548"/>
      <c r="AI92" s="492">
        <v>1</v>
      </c>
      <c r="AJ92" s="548"/>
      <c r="AK92" s="548"/>
      <c r="AL92" s="548"/>
      <c r="AM92" s="548">
        <f t="shared" si="56"/>
        <v>1</v>
      </c>
      <c r="AN92" s="481"/>
      <c r="AO92" s="481"/>
      <c r="AP92" s="492">
        <v>1</v>
      </c>
      <c r="AQ92" s="481"/>
      <c r="AR92" s="481"/>
      <c r="AS92" s="481"/>
      <c r="AT92" s="481"/>
      <c r="AU92" s="481">
        <f t="shared" si="58"/>
        <v>1</v>
      </c>
      <c r="AV92" s="548"/>
      <c r="AW92" s="548"/>
      <c r="AX92" s="492">
        <v>1</v>
      </c>
      <c r="AY92" s="548"/>
      <c r="AZ92" s="548"/>
      <c r="BA92" s="548"/>
      <c r="BB92" s="548"/>
      <c r="BC92" s="548">
        <f t="shared" si="60"/>
        <v>1</v>
      </c>
      <c r="BD92" s="42">
        <f t="shared" si="52"/>
        <v>0</v>
      </c>
      <c r="BE92" s="42">
        <f t="shared" si="52"/>
        <v>0</v>
      </c>
      <c r="BF92" s="42">
        <f>+AX92+AP92+AI92+AA93</f>
        <v>13.3</v>
      </c>
      <c r="BG92" s="42">
        <f t="shared" si="52"/>
        <v>0</v>
      </c>
      <c r="BH92" s="42">
        <f t="shared" si="52"/>
        <v>0</v>
      </c>
      <c r="BI92" s="42">
        <f t="shared" si="51"/>
        <v>0</v>
      </c>
      <c r="BJ92" s="42">
        <f t="shared" si="45"/>
        <v>0</v>
      </c>
      <c r="BK92" s="42">
        <f t="shared" si="45"/>
        <v>23</v>
      </c>
    </row>
    <row r="93" spans="1:67" ht="33" customHeight="1" x14ac:dyDescent="0.25">
      <c r="A93" s="298" t="s">
        <v>280</v>
      </c>
      <c r="B93" s="299" t="s">
        <v>278</v>
      </c>
      <c r="C93" s="1547"/>
      <c r="D93" s="1551"/>
      <c r="E93" s="1551"/>
      <c r="F93" s="1551"/>
      <c r="G93" s="1551"/>
      <c r="H93" s="1551"/>
      <c r="I93" s="1425" t="s">
        <v>53</v>
      </c>
      <c r="J93" s="1425"/>
      <c r="K93" s="1425" t="s">
        <v>299</v>
      </c>
      <c r="L93" s="301"/>
      <c r="M93" s="1425" t="s">
        <v>45</v>
      </c>
      <c r="N93" s="1425" t="s">
        <v>46</v>
      </c>
      <c r="O93" s="1425" t="s">
        <v>47</v>
      </c>
      <c r="P93" s="71" t="s">
        <v>300</v>
      </c>
      <c r="Q93" s="302" t="s">
        <v>301</v>
      </c>
      <c r="R93" s="303">
        <v>2015</v>
      </c>
      <c r="S93" s="303">
        <v>1</v>
      </c>
      <c r="T93" s="303">
        <v>2</v>
      </c>
      <c r="U93" s="572">
        <v>4</v>
      </c>
      <c r="V93" s="572">
        <v>6</v>
      </c>
      <c r="W93" s="572">
        <v>8</v>
      </c>
      <c r="X93" s="572">
        <v>8</v>
      </c>
      <c r="Y93" s="481"/>
      <c r="Z93" s="481"/>
      <c r="AA93" s="492">
        <v>10.3</v>
      </c>
      <c r="AB93" s="481"/>
      <c r="AC93" s="481"/>
      <c r="AD93" s="481"/>
      <c r="AE93" s="481"/>
      <c r="AF93" s="578">
        <f t="shared" si="53"/>
        <v>10.3</v>
      </c>
      <c r="AG93" s="548"/>
      <c r="AH93" s="548"/>
      <c r="AI93" s="492">
        <v>1</v>
      </c>
      <c r="AJ93" s="548"/>
      <c r="AK93" s="548"/>
      <c r="AL93" s="548"/>
      <c r="AM93" s="548">
        <f t="shared" si="56"/>
        <v>1</v>
      </c>
      <c r="AN93" s="481"/>
      <c r="AO93" s="481"/>
      <c r="AP93" s="492">
        <v>1</v>
      </c>
      <c r="AQ93" s="481"/>
      <c r="AR93" s="481"/>
      <c r="AS93" s="481"/>
      <c r="AT93" s="481"/>
      <c r="AU93" s="481">
        <f t="shared" si="58"/>
        <v>1</v>
      </c>
      <c r="AV93" s="548"/>
      <c r="AW93" s="548"/>
      <c r="AX93" s="492">
        <v>1</v>
      </c>
      <c r="AY93" s="548"/>
      <c r="AZ93" s="548"/>
      <c r="BA93" s="548"/>
      <c r="BB93" s="548"/>
      <c r="BC93" s="548">
        <f t="shared" si="60"/>
        <v>1</v>
      </c>
      <c r="BD93" s="42">
        <f t="shared" si="52"/>
        <v>0</v>
      </c>
      <c r="BE93" s="42">
        <f t="shared" si="52"/>
        <v>0</v>
      </c>
      <c r="BF93" s="42" t="e">
        <f>+AX93+AP93+AI93+#REF!</f>
        <v>#REF!</v>
      </c>
      <c r="BG93" s="42">
        <f t="shared" si="52"/>
        <v>0</v>
      </c>
      <c r="BH93" s="42">
        <f t="shared" si="52"/>
        <v>0</v>
      </c>
      <c r="BI93" s="42">
        <f t="shared" si="51"/>
        <v>0</v>
      </c>
      <c r="BJ93" s="42">
        <f t="shared" si="45"/>
        <v>0</v>
      </c>
      <c r="BK93" s="42">
        <f t="shared" si="45"/>
        <v>13.3</v>
      </c>
    </row>
    <row r="94" spans="1:67" ht="39" customHeight="1" x14ac:dyDescent="0.25">
      <c r="A94" s="298" t="s">
        <v>280</v>
      </c>
      <c r="B94" s="299" t="s">
        <v>278</v>
      </c>
      <c r="C94" s="1547"/>
      <c r="D94" s="1551"/>
      <c r="E94" s="1551"/>
      <c r="F94" s="1551"/>
      <c r="G94" s="1551"/>
      <c r="H94" s="1551"/>
      <c r="I94" s="1425"/>
      <c r="J94" s="1425"/>
      <c r="K94" s="1425" t="s">
        <v>302</v>
      </c>
      <c r="L94" s="301"/>
      <c r="M94" s="1425" t="s">
        <v>45</v>
      </c>
      <c r="N94" s="1425" t="s">
        <v>46</v>
      </c>
      <c r="O94" s="1425" t="s">
        <v>47</v>
      </c>
      <c r="P94" s="16" t="s">
        <v>303</v>
      </c>
      <c r="Q94" s="302" t="s">
        <v>304</v>
      </c>
      <c r="R94" s="303">
        <v>2015</v>
      </c>
      <c r="S94" s="303" t="s">
        <v>177</v>
      </c>
      <c r="T94" s="303">
        <v>1</v>
      </c>
      <c r="U94" s="572">
        <v>2</v>
      </c>
      <c r="V94" s="572">
        <v>3</v>
      </c>
      <c r="W94" s="572">
        <v>4</v>
      </c>
      <c r="X94" s="572">
        <v>4</v>
      </c>
      <c r="Y94" s="481"/>
      <c r="Z94" s="481"/>
      <c r="AA94" s="579"/>
      <c r="AB94" s="481"/>
      <c r="AC94" s="481"/>
      <c r="AD94" s="491">
        <v>10.06</v>
      </c>
      <c r="AE94" s="481"/>
      <c r="AF94" s="578">
        <f t="shared" si="53"/>
        <v>10.06</v>
      </c>
      <c r="AG94" s="548"/>
      <c r="AH94" s="548"/>
      <c r="AI94" s="492">
        <v>1</v>
      </c>
      <c r="AJ94" s="548"/>
      <c r="AK94" s="548"/>
      <c r="AL94" s="548"/>
      <c r="AM94" s="548">
        <f t="shared" si="56"/>
        <v>1</v>
      </c>
      <c r="AN94" s="481"/>
      <c r="AO94" s="481"/>
      <c r="AP94" s="492">
        <v>1</v>
      </c>
      <c r="AQ94" s="481"/>
      <c r="AR94" s="481"/>
      <c r="AS94" s="481"/>
      <c r="AT94" s="481"/>
      <c r="AU94" s="481">
        <f t="shared" si="58"/>
        <v>1</v>
      </c>
      <c r="AV94" s="548"/>
      <c r="AW94" s="548"/>
      <c r="AX94" s="492">
        <v>1</v>
      </c>
      <c r="AY94" s="548"/>
      <c r="AZ94" s="548"/>
      <c r="BA94" s="548"/>
      <c r="BB94" s="548"/>
      <c r="BC94" s="548">
        <f t="shared" si="60"/>
        <v>1</v>
      </c>
      <c r="BD94" s="42">
        <f t="shared" si="52"/>
        <v>0</v>
      </c>
      <c r="BE94" s="42">
        <f t="shared" si="52"/>
        <v>0</v>
      </c>
      <c r="BF94" s="42">
        <f t="shared" si="52"/>
        <v>3</v>
      </c>
      <c r="BG94" s="42">
        <f t="shared" si="52"/>
        <v>0</v>
      </c>
      <c r="BH94" s="42">
        <f t="shared" si="52"/>
        <v>0</v>
      </c>
      <c r="BI94" s="42">
        <f t="shared" si="51"/>
        <v>10.06</v>
      </c>
      <c r="BJ94" s="42">
        <f t="shared" si="45"/>
        <v>0</v>
      </c>
      <c r="BK94" s="42">
        <f t="shared" si="45"/>
        <v>13.06</v>
      </c>
    </row>
    <row r="95" spans="1:67" ht="30" customHeight="1" x14ac:dyDescent="0.25">
      <c r="A95" s="298" t="s">
        <v>280</v>
      </c>
      <c r="B95" s="299" t="s">
        <v>278</v>
      </c>
      <c r="C95" s="1547"/>
      <c r="D95" s="1551"/>
      <c r="E95" s="1551"/>
      <c r="F95" s="1551"/>
      <c r="G95" s="1551"/>
      <c r="H95" s="1551"/>
      <c r="I95" s="1425"/>
      <c r="J95" s="1425"/>
      <c r="K95" s="1425" t="s">
        <v>305</v>
      </c>
      <c r="L95" s="301"/>
      <c r="M95" s="1425" t="s">
        <v>45</v>
      </c>
      <c r="N95" s="1425" t="s">
        <v>46</v>
      </c>
      <c r="O95" s="1425" t="s">
        <v>47</v>
      </c>
      <c r="P95" s="16" t="s">
        <v>306</v>
      </c>
      <c r="Q95" s="302" t="s">
        <v>307</v>
      </c>
      <c r="R95" s="303">
        <v>2015</v>
      </c>
      <c r="S95" s="303">
        <v>0</v>
      </c>
      <c r="T95" s="303">
        <v>1</v>
      </c>
      <c r="U95" s="572">
        <v>2</v>
      </c>
      <c r="V95" s="572">
        <v>3</v>
      </c>
      <c r="W95" s="572">
        <v>4</v>
      </c>
      <c r="X95" s="572">
        <v>4</v>
      </c>
      <c r="Y95" s="481"/>
      <c r="Z95" s="481"/>
      <c r="AA95" s="492">
        <v>1</v>
      </c>
      <c r="AB95" s="481"/>
      <c r="AC95" s="481"/>
      <c r="AD95" s="481"/>
      <c r="AE95" s="481"/>
      <c r="AF95" s="578">
        <f t="shared" si="53"/>
        <v>1</v>
      </c>
      <c r="AG95" s="548"/>
      <c r="AH95" s="548"/>
      <c r="AI95" s="492">
        <v>1</v>
      </c>
      <c r="AJ95" s="548"/>
      <c r="AK95" s="548"/>
      <c r="AL95" s="548"/>
      <c r="AM95" s="548">
        <f t="shared" si="56"/>
        <v>1</v>
      </c>
      <c r="AN95" s="481"/>
      <c r="AO95" s="481"/>
      <c r="AP95" s="492">
        <v>1</v>
      </c>
      <c r="AQ95" s="481"/>
      <c r="AR95" s="481"/>
      <c r="AS95" s="481"/>
      <c r="AT95" s="481"/>
      <c r="AU95" s="481">
        <f t="shared" si="58"/>
        <v>1</v>
      </c>
      <c r="AV95" s="548"/>
      <c r="AW95" s="548"/>
      <c r="AX95" s="492">
        <v>1</v>
      </c>
      <c r="AY95" s="548"/>
      <c r="AZ95" s="548"/>
      <c r="BA95" s="548"/>
      <c r="BB95" s="548"/>
      <c r="BC95" s="548">
        <f t="shared" si="60"/>
        <v>1</v>
      </c>
      <c r="BD95" s="42">
        <f t="shared" si="52"/>
        <v>0</v>
      </c>
      <c r="BE95" s="42">
        <f t="shared" si="52"/>
        <v>0</v>
      </c>
      <c r="BF95" s="42">
        <f t="shared" si="52"/>
        <v>4</v>
      </c>
      <c r="BG95" s="42">
        <f t="shared" si="52"/>
        <v>0</v>
      </c>
      <c r="BH95" s="42">
        <f t="shared" si="52"/>
        <v>0</v>
      </c>
      <c r="BI95" s="42">
        <f t="shared" si="51"/>
        <v>0</v>
      </c>
      <c r="BJ95" s="42">
        <f t="shared" si="45"/>
        <v>0</v>
      </c>
      <c r="BK95" s="42">
        <f t="shared" si="45"/>
        <v>4</v>
      </c>
    </row>
    <row r="96" spans="1:67" ht="27.75" customHeight="1" x14ac:dyDescent="0.25">
      <c r="A96" s="298" t="s">
        <v>280</v>
      </c>
      <c r="B96" s="299" t="s">
        <v>278</v>
      </c>
      <c r="C96" s="1547"/>
      <c r="D96" s="1551"/>
      <c r="E96" s="1551"/>
      <c r="F96" s="1551"/>
      <c r="G96" s="1551"/>
      <c r="H96" s="1551"/>
      <c r="I96" s="1425" t="s">
        <v>53</v>
      </c>
      <c r="J96" s="1425"/>
      <c r="K96" s="1425" t="s">
        <v>308</v>
      </c>
      <c r="L96" s="301"/>
      <c r="M96" s="1425" t="s">
        <v>45</v>
      </c>
      <c r="N96" s="1425" t="s">
        <v>46</v>
      </c>
      <c r="O96" s="1425" t="s">
        <v>47</v>
      </c>
      <c r="P96" s="71" t="s">
        <v>309</v>
      </c>
      <c r="Q96" s="302" t="s">
        <v>310</v>
      </c>
      <c r="R96" s="303">
        <v>2015</v>
      </c>
      <c r="S96" s="303">
        <v>0</v>
      </c>
      <c r="T96" s="303">
        <v>0</v>
      </c>
      <c r="U96" s="572">
        <v>1</v>
      </c>
      <c r="V96" s="572">
        <v>1</v>
      </c>
      <c r="W96" s="572">
        <v>1</v>
      </c>
      <c r="X96" s="572">
        <v>1</v>
      </c>
      <c r="Y96" s="481"/>
      <c r="Z96" s="481"/>
      <c r="AA96" s="579"/>
      <c r="AB96" s="481"/>
      <c r="AC96" s="481"/>
      <c r="AD96" s="481"/>
      <c r="AE96" s="481"/>
      <c r="AF96" s="578">
        <f t="shared" si="53"/>
        <v>0</v>
      </c>
      <c r="AG96" s="548"/>
      <c r="AH96" s="548"/>
      <c r="AI96" s="548"/>
      <c r="AJ96" s="548">
        <v>500</v>
      </c>
      <c r="AK96" s="548"/>
      <c r="AL96" s="548"/>
      <c r="AM96" s="548">
        <f t="shared" si="56"/>
        <v>500</v>
      </c>
      <c r="AN96" s="481"/>
      <c r="AO96" s="481"/>
      <c r="AP96" s="492">
        <v>1</v>
      </c>
      <c r="AQ96" s="481"/>
      <c r="AR96" s="481"/>
      <c r="AS96" s="481"/>
      <c r="AT96" s="481"/>
      <c r="AU96" s="481">
        <f t="shared" si="58"/>
        <v>1</v>
      </c>
      <c r="AV96" s="548"/>
      <c r="AW96" s="548"/>
      <c r="AX96" s="492">
        <v>1</v>
      </c>
      <c r="AY96" s="548"/>
      <c r="AZ96" s="548"/>
      <c r="BA96" s="548"/>
      <c r="BB96" s="548"/>
      <c r="BC96" s="548">
        <f t="shared" si="60"/>
        <v>1</v>
      </c>
      <c r="BD96" s="42">
        <f t="shared" si="52"/>
        <v>0</v>
      </c>
      <c r="BE96" s="42">
        <f t="shared" si="52"/>
        <v>0</v>
      </c>
      <c r="BF96" s="42">
        <f t="shared" si="52"/>
        <v>2</v>
      </c>
      <c r="BG96" s="42">
        <f t="shared" si="52"/>
        <v>500</v>
      </c>
      <c r="BH96" s="42">
        <f t="shared" si="52"/>
        <v>0</v>
      </c>
      <c r="BI96" s="42">
        <f t="shared" si="51"/>
        <v>0</v>
      </c>
      <c r="BJ96" s="42">
        <f t="shared" si="45"/>
        <v>0</v>
      </c>
      <c r="BK96" s="42">
        <f t="shared" si="45"/>
        <v>502</v>
      </c>
    </row>
    <row r="97" spans="1:63" ht="33" customHeight="1" x14ac:dyDescent="0.25">
      <c r="A97" s="298" t="s">
        <v>280</v>
      </c>
      <c r="B97" s="299" t="s">
        <v>278</v>
      </c>
      <c r="C97" s="1547"/>
      <c r="D97" s="1551"/>
      <c r="E97" s="1551"/>
      <c r="F97" s="1551"/>
      <c r="G97" s="1551"/>
      <c r="H97" s="1551"/>
      <c r="I97" s="1425"/>
      <c r="J97" s="1425"/>
      <c r="K97" s="1425" t="s">
        <v>311</v>
      </c>
      <c r="L97" s="301"/>
      <c r="M97" s="1425" t="s">
        <v>45</v>
      </c>
      <c r="N97" s="1425" t="s">
        <v>46</v>
      </c>
      <c r="O97" s="1425" t="s">
        <v>47</v>
      </c>
      <c r="P97" s="71" t="s">
        <v>312</v>
      </c>
      <c r="Q97" s="302" t="s">
        <v>313</v>
      </c>
      <c r="R97" s="303">
        <v>2015</v>
      </c>
      <c r="S97" s="303">
        <v>1</v>
      </c>
      <c r="T97" s="303">
        <v>1</v>
      </c>
      <c r="U97" s="572">
        <v>2</v>
      </c>
      <c r="V97" s="572">
        <v>3</v>
      </c>
      <c r="W97" s="572">
        <v>4</v>
      </c>
      <c r="X97" s="572">
        <v>4</v>
      </c>
      <c r="Y97" s="481"/>
      <c r="Z97" s="481"/>
      <c r="AA97" s="492">
        <v>1</v>
      </c>
      <c r="AB97" s="481"/>
      <c r="AC97" s="481"/>
      <c r="AD97" s="481"/>
      <c r="AE97" s="481"/>
      <c r="AF97" s="578">
        <f t="shared" ref="AF97:AF120" si="65">SUM(Y97:AE97)</f>
        <v>1</v>
      </c>
      <c r="AG97" s="548"/>
      <c r="AH97" s="548"/>
      <c r="AI97" s="492">
        <v>1</v>
      </c>
      <c r="AJ97" s="548"/>
      <c r="AK97" s="548"/>
      <c r="AL97" s="548"/>
      <c r="AM97" s="548">
        <f t="shared" ref="AM97:AM107" si="66">SUM(AG97:AL97)</f>
        <v>1</v>
      </c>
      <c r="AN97" s="481"/>
      <c r="AO97" s="481"/>
      <c r="AP97" s="492">
        <v>1</v>
      </c>
      <c r="AQ97" s="481"/>
      <c r="AR97" s="481"/>
      <c r="AS97" s="481"/>
      <c r="AT97" s="481"/>
      <c r="AU97" s="481">
        <f t="shared" ref="AU97:AU107" si="67">SUM(AN97:AT97)</f>
        <v>1</v>
      </c>
      <c r="AV97" s="548"/>
      <c r="AW97" s="548"/>
      <c r="AX97" s="492">
        <v>1</v>
      </c>
      <c r="AY97" s="548"/>
      <c r="AZ97" s="548"/>
      <c r="BA97" s="548"/>
      <c r="BB97" s="548"/>
      <c r="BC97" s="548">
        <f t="shared" ref="BC97:BC107" si="68">SUM(AV97:BB97)</f>
        <v>1</v>
      </c>
      <c r="BD97" s="42">
        <f t="shared" si="52"/>
        <v>0</v>
      </c>
      <c r="BE97" s="42">
        <f t="shared" si="52"/>
        <v>0</v>
      </c>
      <c r="BF97" s="42">
        <f t="shared" si="52"/>
        <v>4</v>
      </c>
      <c r="BG97" s="42">
        <f t="shared" si="52"/>
        <v>0</v>
      </c>
      <c r="BH97" s="42">
        <f t="shared" si="52"/>
        <v>0</v>
      </c>
      <c r="BI97" s="42">
        <f t="shared" si="51"/>
        <v>0</v>
      </c>
      <c r="BJ97" s="42">
        <f t="shared" ref="BJ97:BK129" si="69">+BB97+AT97+AL97+AE97</f>
        <v>0</v>
      </c>
      <c r="BK97" s="42">
        <f t="shared" si="69"/>
        <v>4</v>
      </c>
    </row>
    <row r="98" spans="1:63" ht="33" customHeight="1" x14ac:dyDescent="0.25">
      <c r="A98" s="298" t="s">
        <v>280</v>
      </c>
      <c r="B98" s="299" t="s">
        <v>278</v>
      </c>
      <c r="C98" s="1548"/>
      <c r="D98" s="1552"/>
      <c r="E98" s="1552"/>
      <c r="F98" s="1552"/>
      <c r="G98" s="1552"/>
      <c r="H98" s="1552"/>
      <c r="I98" s="1425"/>
      <c r="J98" s="1425"/>
      <c r="K98" s="1425" t="s">
        <v>314</v>
      </c>
      <c r="L98" s="301"/>
      <c r="M98" s="1425" t="s">
        <v>45</v>
      </c>
      <c r="N98" s="1425" t="s">
        <v>46</v>
      </c>
      <c r="O98" s="1425" t="s">
        <v>73</v>
      </c>
      <c r="P98" s="16" t="s">
        <v>315</v>
      </c>
      <c r="Q98" s="302" t="s">
        <v>316</v>
      </c>
      <c r="R98" s="303">
        <v>2015</v>
      </c>
      <c r="S98" s="303">
        <v>1</v>
      </c>
      <c r="T98" s="303">
        <v>4</v>
      </c>
      <c r="U98" s="572">
        <v>4</v>
      </c>
      <c r="V98" s="572">
        <v>4</v>
      </c>
      <c r="W98" s="572">
        <v>4</v>
      </c>
      <c r="X98" s="572">
        <v>4</v>
      </c>
      <c r="Y98" s="481"/>
      <c r="Z98" s="481"/>
      <c r="AA98" s="492">
        <v>12</v>
      </c>
      <c r="AB98" s="481"/>
      <c r="AC98" s="481"/>
      <c r="AD98" s="481"/>
      <c r="AE98" s="491"/>
      <c r="AF98" s="578">
        <f t="shared" si="65"/>
        <v>12</v>
      </c>
      <c r="AG98" s="548"/>
      <c r="AH98" s="548"/>
      <c r="AI98" s="491">
        <v>41.67</v>
      </c>
      <c r="AJ98" s="548"/>
      <c r="AK98" s="548"/>
      <c r="AL98" s="548"/>
      <c r="AM98" s="548">
        <f t="shared" si="66"/>
        <v>41.67</v>
      </c>
      <c r="AN98" s="481"/>
      <c r="AO98" s="481"/>
      <c r="AP98" s="491">
        <v>52</v>
      </c>
      <c r="AQ98" s="481"/>
      <c r="AR98" s="481"/>
      <c r="AS98" s="481"/>
      <c r="AT98" s="481"/>
      <c r="AU98" s="481">
        <f t="shared" si="67"/>
        <v>52</v>
      </c>
      <c r="AV98" s="548"/>
      <c r="AW98" s="548"/>
      <c r="AX98" s="491">
        <v>51</v>
      </c>
      <c r="AY98" s="548"/>
      <c r="AZ98" s="548"/>
      <c r="BA98" s="548"/>
      <c r="BB98" s="548"/>
      <c r="BC98" s="548">
        <f t="shared" si="68"/>
        <v>51</v>
      </c>
      <c r="BD98" s="42">
        <f t="shared" si="52"/>
        <v>0</v>
      </c>
      <c r="BE98" s="42">
        <f t="shared" si="52"/>
        <v>0</v>
      </c>
      <c r="BF98" s="42">
        <f t="shared" si="52"/>
        <v>156.67000000000002</v>
      </c>
      <c r="BG98" s="42">
        <f t="shared" si="52"/>
        <v>0</v>
      </c>
      <c r="BH98" s="42">
        <f t="shared" si="52"/>
        <v>0</v>
      </c>
      <c r="BI98" s="42">
        <f t="shared" si="51"/>
        <v>0</v>
      </c>
      <c r="BJ98" s="42">
        <f t="shared" si="69"/>
        <v>0</v>
      </c>
      <c r="BK98" s="42">
        <f t="shared" si="69"/>
        <v>156.67000000000002</v>
      </c>
    </row>
    <row r="99" spans="1:63" ht="26.4" x14ac:dyDescent="0.25">
      <c r="A99" s="295" t="s">
        <v>280</v>
      </c>
      <c r="B99" s="6" t="s">
        <v>278</v>
      </c>
      <c r="C99" s="6"/>
      <c r="D99" s="2" t="s">
        <v>317</v>
      </c>
      <c r="E99" s="1"/>
      <c r="F99" s="1"/>
      <c r="G99" s="1"/>
      <c r="H99" s="1"/>
      <c r="I99" s="1"/>
      <c r="J99" s="1"/>
      <c r="K99" s="1"/>
      <c r="L99" s="1"/>
      <c r="M99" s="1"/>
      <c r="N99" s="1"/>
      <c r="O99" s="1"/>
      <c r="P99" s="1"/>
      <c r="Q99" s="573"/>
      <c r="R99" s="574"/>
      <c r="S99" s="574"/>
      <c r="T99" s="574"/>
      <c r="U99" s="575"/>
      <c r="V99" s="575"/>
      <c r="W99" s="575"/>
      <c r="X99" s="575"/>
      <c r="Y99" s="34">
        <f t="shared" ref="Y99:AE99" si="70">SUM(Y100:Y107)</f>
        <v>0</v>
      </c>
      <c r="Z99" s="34">
        <f t="shared" si="70"/>
        <v>0</v>
      </c>
      <c r="AA99" s="54">
        <f t="shared" si="70"/>
        <v>77.5</v>
      </c>
      <c r="AB99" s="34">
        <f t="shared" si="70"/>
        <v>0</v>
      </c>
      <c r="AC99" s="34">
        <f t="shared" si="70"/>
        <v>0</v>
      </c>
      <c r="AD99" s="34">
        <f t="shared" si="70"/>
        <v>1</v>
      </c>
      <c r="AE99" s="34">
        <f t="shared" si="70"/>
        <v>0</v>
      </c>
      <c r="AF99" s="45">
        <f t="shared" si="65"/>
        <v>78.5</v>
      </c>
      <c r="AG99" s="34">
        <f t="shared" ref="AG99:AL99" si="71">SUM(AG100:AG107)</f>
        <v>0</v>
      </c>
      <c r="AH99" s="34">
        <f t="shared" si="71"/>
        <v>0</v>
      </c>
      <c r="AI99" s="34">
        <f t="shared" si="71"/>
        <v>50</v>
      </c>
      <c r="AJ99" s="34">
        <f t="shared" si="71"/>
        <v>0</v>
      </c>
      <c r="AK99" s="34">
        <f t="shared" si="71"/>
        <v>0</v>
      </c>
      <c r="AL99" s="34">
        <f t="shared" si="71"/>
        <v>0</v>
      </c>
      <c r="AM99" s="34">
        <f t="shared" si="66"/>
        <v>50</v>
      </c>
      <c r="AN99" s="34">
        <f t="shared" ref="AN99:AT99" si="72">SUM(AN100:AN107)</f>
        <v>0</v>
      </c>
      <c r="AO99" s="34">
        <f t="shared" si="72"/>
        <v>0</v>
      </c>
      <c r="AP99" s="34">
        <f t="shared" si="72"/>
        <v>50</v>
      </c>
      <c r="AQ99" s="34">
        <f t="shared" si="72"/>
        <v>0</v>
      </c>
      <c r="AR99" s="34">
        <f t="shared" si="72"/>
        <v>0</v>
      </c>
      <c r="AS99" s="34">
        <f t="shared" si="72"/>
        <v>0</v>
      </c>
      <c r="AT99" s="34">
        <f t="shared" si="72"/>
        <v>0</v>
      </c>
      <c r="AU99" s="34">
        <f t="shared" si="67"/>
        <v>50</v>
      </c>
      <c r="AV99" s="34">
        <f t="shared" ref="AV99:BB99" si="73">SUM(AV100:AV107)</f>
        <v>0</v>
      </c>
      <c r="AW99" s="34">
        <f t="shared" si="73"/>
        <v>0</v>
      </c>
      <c r="AX99" s="34">
        <f t="shared" si="73"/>
        <v>50</v>
      </c>
      <c r="AY99" s="34">
        <f t="shared" si="73"/>
        <v>0</v>
      </c>
      <c r="AZ99" s="34">
        <f t="shared" si="73"/>
        <v>0</v>
      </c>
      <c r="BA99" s="34">
        <f t="shared" si="73"/>
        <v>0</v>
      </c>
      <c r="BB99" s="34">
        <f t="shared" si="73"/>
        <v>0</v>
      </c>
      <c r="BC99" s="34">
        <f t="shared" si="68"/>
        <v>50</v>
      </c>
      <c r="BD99" s="34">
        <f t="shared" si="52"/>
        <v>0</v>
      </c>
      <c r="BE99" s="34">
        <f t="shared" si="52"/>
        <v>0</v>
      </c>
      <c r="BF99" s="34">
        <f t="shared" si="52"/>
        <v>227.5</v>
      </c>
      <c r="BG99" s="34">
        <f t="shared" si="52"/>
        <v>0</v>
      </c>
      <c r="BH99" s="34">
        <f t="shared" si="52"/>
        <v>0</v>
      </c>
      <c r="BI99" s="34">
        <f t="shared" si="51"/>
        <v>1</v>
      </c>
      <c r="BJ99" s="34">
        <f t="shared" si="69"/>
        <v>0</v>
      </c>
      <c r="BK99" s="34">
        <f t="shared" si="69"/>
        <v>228.5</v>
      </c>
    </row>
    <row r="100" spans="1:63" ht="50.25" customHeight="1" x14ac:dyDescent="0.25">
      <c r="A100" s="298" t="s">
        <v>280</v>
      </c>
      <c r="B100" s="299" t="s">
        <v>278</v>
      </c>
      <c r="C100" s="1546" t="s">
        <v>318</v>
      </c>
      <c r="D100" s="1549" t="s">
        <v>319</v>
      </c>
      <c r="E100" s="1549" t="s">
        <v>283</v>
      </c>
      <c r="F100" s="1549">
        <v>2015</v>
      </c>
      <c r="G100" s="1549">
        <v>8</v>
      </c>
      <c r="H100" s="1549">
        <v>15</v>
      </c>
      <c r="I100" s="1425"/>
      <c r="J100" s="1425"/>
      <c r="K100" s="1425" t="s">
        <v>320</v>
      </c>
      <c r="L100" s="301"/>
      <c r="M100" s="1425" t="s">
        <v>45</v>
      </c>
      <c r="N100" s="1425" t="s">
        <v>46</v>
      </c>
      <c r="O100" s="1425" t="s">
        <v>47</v>
      </c>
      <c r="P100" s="16" t="s">
        <v>321</v>
      </c>
      <c r="Q100" s="302" t="s">
        <v>322</v>
      </c>
      <c r="R100" s="303">
        <v>2015</v>
      </c>
      <c r="S100" s="303">
        <v>0</v>
      </c>
      <c r="T100" s="303">
        <v>1</v>
      </c>
      <c r="U100" s="572">
        <v>1</v>
      </c>
      <c r="V100" s="572">
        <v>1</v>
      </c>
      <c r="W100" s="572">
        <v>1</v>
      </c>
      <c r="X100" s="572">
        <v>1</v>
      </c>
      <c r="Y100" s="481"/>
      <c r="Z100" s="481"/>
      <c r="AA100" s="579">
        <v>7</v>
      </c>
      <c r="AB100" s="481"/>
      <c r="AC100" s="481"/>
      <c r="AD100" s="481"/>
      <c r="AE100" s="481"/>
      <c r="AF100" s="578">
        <f t="shared" si="65"/>
        <v>7</v>
      </c>
      <c r="AG100" s="548"/>
      <c r="AH100" s="548"/>
      <c r="AI100" s="491">
        <v>1</v>
      </c>
      <c r="AJ100" s="548"/>
      <c r="AK100" s="548"/>
      <c r="AL100" s="548"/>
      <c r="AM100" s="548">
        <f t="shared" si="66"/>
        <v>1</v>
      </c>
      <c r="AN100" s="481"/>
      <c r="AO100" s="481"/>
      <c r="AP100" s="491">
        <v>1</v>
      </c>
      <c r="AQ100" s="481"/>
      <c r="AR100" s="481"/>
      <c r="AS100" s="481"/>
      <c r="AT100" s="481"/>
      <c r="AU100" s="481">
        <f t="shared" si="67"/>
        <v>1</v>
      </c>
      <c r="AV100" s="548"/>
      <c r="AW100" s="548"/>
      <c r="AX100" s="491">
        <v>1</v>
      </c>
      <c r="AY100" s="548"/>
      <c r="AZ100" s="548"/>
      <c r="BA100" s="548"/>
      <c r="BB100" s="548"/>
      <c r="BC100" s="548">
        <f t="shared" si="68"/>
        <v>1</v>
      </c>
      <c r="BD100" s="42">
        <f t="shared" si="52"/>
        <v>0</v>
      </c>
      <c r="BE100" s="42">
        <f t="shared" si="52"/>
        <v>0</v>
      </c>
      <c r="BF100" s="42">
        <f t="shared" si="52"/>
        <v>10</v>
      </c>
      <c r="BG100" s="42">
        <f t="shared" si="52"/>
        <v>0</v>
      </c>
      <c r="BH100" s="42">
        <f t="shared" si="52"/>
        <v>0</v>
      </c>
      <c r="BI100" s="42">
        <f t="shared" si="51"/>
        <v>0</v>
      </c>
      <c r="BJ100" s="42">
        <f t="shared" si="69"/>
        <v>0</v>
      </c>
      <c r="BK100" s="42">
        <f t="shared" si="69"/>
        <v>10</v>
      </c>
    </row>
    <row r="101" spans="1:63" ht="43.5" customHeight="1" x14ac:dyDescent="0.25">
      <c r="A101" s="298" t="s">
        <v>280</v>
      </c>
      <c r="B101" s="299" t="s">
        <v>278</v>
      </c>
      <c r="C101" s="1547"/>
      <c r="D101" s="1549"/>
      <c r="E101" s="1549"/>
      <c r="F101" s="1549"/>
      <c r="G101" s="1549"/>
      <c r="H101" s="1549"/>
      <c r="I101" s="1425"/>
      <c r="J101" s="1425"/>
      <c r="K101" s="1425" t="s">
        <v>323</v>
      </c>
      <c r="L101" s="301"/>
      <c r="M101" s="1425" t="s">
        <v>45</v>
      </c>
      <c r="N101" s="1425" t="s">
        <v>46</v>
      </c>
      <c r="O101" s="1425" t="s">
        <v>47</v>
      </c>
      <c r="P101" s="16" t="s">
        <v>324</v>
      </c>
      <c r="Q101" s="302" t="s">
        <v>325</v>
      </c>
      <c r="R101" s="303">
        <v>2015</v>
      </c>
      <c r="S101" s="303">
        <v>1</v>
      </c>
      <c r="T101" s="303">
        <v>1</v>
      </c>
      <c r="U101" s="572">
        <v>2</v>
      </c>
      <c r="V101" s="572">
        <v>3</v>
      </c>
      <c r="W101" s="572">
        <v>4</v>
      </c>
      <c r="X101" s="572">
        <v>4</v>
      </c>
      <c r="Y101" s="481"/>
      <c r="Z101" s="481"/>
      <c r="AA101" s="579">
        <v>10</v>
      </c>
      <c r="AB101" s="481"/>
      <c r="AC101" s="481"/>
      <c r="AD101" s="481"/>
      <c r="AE101" s="481"/>
      <c r="AF101" s="578">
        <f t="shared" si="65"/>
        <v>10</v>
      </c>
      <c r="AG101" s="548"/>
      <c r="AH101" s="548"/>
      <c r="AI101" s="491">
        <v>6</v>
      </c>
      <c r="AJ101" s="548"/>
      <c r="AK101" s="548"/>
      <c r="AL101" s="548"/>
      <c r="AM101" s="548">
        <f t="shared" si="66"/>
        <v>6</v>
      </c>
      <c r="AN101" s="481"/>
      <c r="AO101" s="481"/>
      <c r="AP101" s="491">
        <v>6</v>
      </c>
      <c r="AQ101" s="481"/>
      <c r="AR101" s="481"/>
      <c r="AS101" s="481"/>
      <c r="AT101" s="481"/>
      <c r="AU101" s="481">
        <f t="shared" si="67"/>
        <v>6</v>
      </c>
      <c r="AV101" s="548"/>
      <c r="AW101" s="548"/>
      <c r="AX101" s="491">
        <v>6</v>
      </c>
      <c r="AY101" s="548"/>
      <c r="AZ101" s="548"/>
      <c r="BA101" s="548"/>
      <c r="BB101" s="548"/>
      <c r="BC101" s="548">
        <f t="shared" si="68"/>
        <v>6</v>
      </c>
      <c r="BD101" s="42">
        <f t="shared" si="52"/>
        <v>0</v>
      </c>
      <c r="BE101" s="42">
        <f t="shared" si="52"/>
        <v>0</v>
      </c>
      <c r="BF101" s="42">
        <f t="shared" si="52"/>
        <v>28</v>
      </c>
      <c r="BG101" s="42">
        <f t="shared" si="52"/>
        <v>0</v>
      </c>
      <c r="BH101" s="42">
        <f t="shared" si="52"/>
        <v>0</v>
      </c>
      <c r="BI101" s="42">
        <f t="shared" si="51"/>
        <v>0</v>
      </c>
      <c r="BJ101" s="42">
        <f t="shared" si="69"/>
        <v>0</v>
      </c>
      <c r="BK101" s="42">
        <f t="shared" si="69"/>
        <v>28</v>
      </c>
    </row>
    <row r="102" spans="1:63" ht="33" customHeight="1" x14ac:dyDescent="0.25">
      <c r="A102" s="298" t="s">
        <v>280</v>
      </c>
      <c r="B102" s="299" t="s">
        <v>278</v>
      </c>
      <c r="C102" s="1547"/>
      <c r="D102" s="1549"/>
      <c r="E102" s="1549"/>
      <c r="F102" s="1549"/>
      <c r="G102" s="1549"/>
      <c r="H102" s="1549"/>
      <c r="I102" s="1425"/>
      <c r="J102" s="1425"/>
      <c r="K102" s="1425" t="s">
        <v>326</v>
      </c>
      <c r="L102" s="301"/>
      <c r="M102" s="1425" t="s">
        <v>45</v>
      </c>
      <c r="N102" s="1425" t="s">
        <v>46</v>
      </c>
      <c r="O102" s="1425" t="s">
        <v>47</v>
      </c>
      <c r="P102" s="16" t="s">
        <v>327</v>
      </c>
      <c r="Q102" s="302" t="s">
        <v>328</v>
      </c>
      <c r="R102" s="303">
        <v>2015</v>
      </c>
      <c r="S102" s="303">
        <v>1</v>
      </c>
      <c r="T102" s="303">
        <v>1</v>
      </c>
      <c r="U102" s="572">
        <v>2</v>
      </c>
      <c r="V102" s="572">
        <v>3</v>
      </c>
      <c r="W102" s="572">
        <v>4</v>
      </c>
      <c r="X102" s="572">
        <v>4</v>
      </c>
      <c r="Y102" s="481"/>
      <c r="Z102" s="481"/>
      <c r="AA102" s="579">
        <v>6</v>
      </c>
      <c r="AB102" s="481"/>
      <c r="AC102" s="481"/>
      <c r="AD102" s="481">
        <v>1</v>
      </c>
      <c r="AE102" s="481"/>
      <c r="AF102" s="578">
        <f t="shared" si="65"/>
        <v>7</v>
      </c>
      <c r="AG102" s="548"/>
      <c r="AH102" s="548"/>
      <c r="AI102" s="491">
        <v>6</v>
      </c>
      <c r="AJ102" s="548"/>
      <c r="AK102" s="548"/>
      <c r="AL102" s="548"/>
      <c r="AM102" s="548">
        <f t="shared" si="66"/>
        <v>6</v>
      </c>
      <c r="AN102" s="481"/>
      <c r="AO102" s="481"/>
      <c r="AP102" s="491">
        <v>6</v>
      </c>
      <c r="AQ102" s="481"/>
      <c r="AR102" s="481"/>
      <c r="AS102" s="481"/>
      <c r="AT102" s="481"/>
      <c r="AU102" s="481">
        <f t="shared" si="67"/>
        <v>6</v>
      </c>
      <c r="AV102" s="548"/>
      <c r="AW102" s="548"/>
      <c r="AX102" s="491">
        <v>6</v>
      </c>
      <c r="AY102" s="548"/>
      <c r="AZ102" s="548"/>
      <c r="BA102" s="548"/>
      <c r="BB102" s="548"/>
      <c r="BC102" s="548">
        <f>SUM(AV102:BB102)</f>
        <v>6</v>
      </c>
      <c r="BD102" s="42">
        <f>+AV102+AN102+AG102+Y102</f>
        <v>0</v>
      </c>
      <c r="BE102" s="42">
        <f>+AW102+AO102+AH102+Z102</f>
        <v>0</v>
      </c>
      <c r="BF102" s="42">
        <f>+AX102+AP102+AI102+AA102</f>
        <v>24</v>
      </c>
      <c r="BG102" s="42">
        <f>+AY102+AQ102+AJ102+AB102</f>
        <v>0</v>
      </c>
      <c r="BH102" s="42">
        <f>+AZ102+AR102+AK102+AC102</f>
        <v>0</v>
      </c>
      <c r="BI102" s="42">
        <f t="shared" si="51"/>
        <v>1</v>
      </c>
      <c r="BJ102" s="42">
        <f>+BB102+AT102+AL102+AE102</f>
        <v>0</v>
      </c>
      <c r="BK102" s="42">
        <f>+BC102+AU102+AM102+AF102</f>
        <v>25</v>
      </c>
    </row>
    <row r="103" spans="1:63" ht="29.25" customHeight="1" x14ac:dyDescent="0.25">
      <c r="A103" s="298" t="s">
        <v>280</v>
      </c>
      <c r="B103" s="299" t="s">
        <v>278</v>
      </c>
      <c r="C103" s="1547"/>
      <c r="D103" s="1549"/>
      <c r="E103" s="1549"/>
      <c r="F103" s="1549"/>
      <c r="G103" s="1549"/>
      <c r="H103" s="1549"/>
      <c r="I103" s="1425"/>
      <c r="J103" s="1425"/>
      <c r="K103" s="1425" t="s">
        <v>329</v>
      </c>
      <c r="L103" s="301"/>
      <c r="M103" s="1425" t="s">
        <v>45</v>
      </c>
      <c r="N103" s="1425" t="s">
        <v>46</v>
      </c>
      <c r="O103" s="1425" t="s">
        <v>73</v>
      </c>
      <c r="P103" s="16" t="s">
        <v>330</v>
      </c>
      <c r="Q103" s="302" t="s">
        <v>331</v>
      </c>
      <c r="R103" s="303">
        <v>2015</v>
      </c>
      <c r="S103" s="303">
        <v>8</v>
      </c>
      <c r="T103" s="303">
        <v>12</v>
      </c>
      <c r="U103" s="572">
        <v>12</v>
      </c>
      <c r="V103" s="572">
        <v>12</v>
      </c>
      <c r="W103" s="572">
        <v>12</v>
      </c>
      <c r="X103" s="572">
        <v>12</v>
      </c>
      <c r="Y103" s="481"/>
      <c r="Z103" s="481"/>
      <c r="AA103" s="579">
        <v>8</v>
      </c>
      <c r="AB103" s="481"/>
      <c r="AC103" s="481"/>
      <c r="AD103" s="481"/>
      <c r="AE103" s="481"/>
      <c r="AF103" s="578">
        <f t="shared" si="65"/>
        <v>8</v>
      </c>
      <c r="AG103" s="548"/>
      <c r="AH103" s="548"/>
      <c r="AI103" s="548">
        <v>20</v>
      </c>
      <c r="AJ103" s="548"/>
      <c r="AK103" s="548"/>
      <c r="AL103" s="548"/>
      <c r="AM103" s="548">
        <f t="shared" si="66"/>
        <v>20</v>
      </c>
      <c r="AN103" s="481"/>
      <c r="AO103" s="481"/>
      <c r="AP103" s="491">
        <v>14</v>
      </c>
      <c r="AQ103" s="481"/>
      <c r="AR103" s="481"/>
      <c r="AS103" s="481"/>
      <c r="AT103" s="481"/>
      <c r="AU103" s="481">
        <f t="shared" si="67"/>
        <v>14</v>
      </c>
      <c r="AV103" s="548"/>
      <c r="AW103" s="548"/>
      <c r="AX103" s="548">
        <v>20</v>
      </c>
      <c r="AY103" s="548"/>
      <c r="AZ103" s="548"/>
      <c r="BA103" s="548"/>
      <c r="BB103" s="548"/>
      <c r="BC103" s="548">
        <f t="shared" si="68"/>
        <v>20</v>
      </c>
      <c r="BD103" s="42">
        <f t="shared" si="52"/>
        <v>0</v>
      </c>
      <c r="BE103" s="42">
        <f t="shared" si="52"/>
        <v>0</v>
      </c>
      <c r="BF103" s="42">
        <f t="shared" si="52"/>
        <v>62</v>
      </c>
      <c r="BG103" s="42">
        <f t="shared" si="52"/>
        <v>0</v>
      </c>
      <c r="BH103" s="42">
        <f t="shared" si="52"/>
        <v>0</v>
      </c>
      <c r="BI103" s="42">
        <f t="shared" si="51"/>
        <v>0</v>
      </c>
      <c r="BJ103" s="42">
        <f t="shared" si="69"/>
        <v>0</v>
      </c>
      <c r="BK103" s="42">
        <f t="shared" si="69"/>
        <v>62</v>
      </c>
    </row>
    <row r="104" spans="1:63" ht="33.75" customHeight="1" x14ac:dyDescent="0.25">
      <c r="A104" s="298" t="s">
        <v>280</v>
      </c>
      <c r="B104" s="299" t="s">
        <v>278</v>
      </c>
      <c r="C104" s="1547"/>
      <c r="D104" s="1549"/>
      <c r="E104" s="1549"/>
      <c r="F104" s="1549"/>
      <c r="G104" s="1549"/>
      <c r="H104" s="1549"/>
      <c r="I104" s="1425"/>
      <c r="J104" s="1425"/>
      <c r="K104" s="1425" t="s">
        <v>332</v>
      </c>
      <c r="L104" s="301"/>
      <c r="M104" s="1425" t="s">
        <v>45</v>
      </c>
      <c r="N104" s="1425" t="s">
        <v>46</v>
      </c>
      <c r="O104" s="1425" t="s">
        <v>73</v>
      </c>
      <c r="P104" s="16" t="s">
        <v>333</v>
      </c>
      <c r="Q104" s="302" t="s">
        <v>334</v>
      </c>
      <c r="R104" s="303">
        <v>2015</v>
      </c>
      <c r="S104" s="303">
        <v>1</v>
      </c>
      <c r="T104" s="303">
        <v>1</v>
      </c>
      <c r="U104" s="572">
        <v>1</v>
      </c>
      <c r="V104" s="572">
        <v>1</v>
      </c>
      <c r="W104" s="572">
        <v>1</v>
      </c>
      <c r="X104" s="572">
        <v>1</v>
      </c>
      <c r="Y104" s="481"/>
      <c r="Z104" s="481"/>
      <c r="AA104" s="492">
        <v>4</v>
      </c>
      <c r="AB104" s="481"/>
      <c r="AC104" s="481"/>
      <c r="AD104" s="481"/>
      <c r="AE104" s="481"/>
      <c r="AF104" s="578">
        <f t="shared" si="65"/>
        <v>4</v>
      </c>
      <c r="AG104" s="548"/>
      <c r="AH104" s="548"/>
      <c r="AI104" s="491">
        <v>6</v>
      </c>
      <c r="AJ104" s="548"/>
      <c r="AK104" s="548"/>
      <c r="AL104" s="548"/>
      <c r="AM104" s="548">
        <f t="shared" si="66"/>
        <v>6</v>
      </c>
      <c r="AN104" s="481"/>
      <c r="AO104" s="481"/>
      <c r="AP104" s="491">
        <v>6</v>
      </c>
      <c r="AQ104" s="481"/>
      <c r="AR104" s="481"/>
      <c r="AS104" s="481"/>
      <c r="AT104" s="481"/>
      <c r="AU104" s="481">
        <f t="shared" si="67"/>
        <v>6</v>
      </c>
      <c r="AV104" s="548"/>
      <c r="AW104" s="548"/>
      <c r="AX104" s="491">
        <v>6</v>
      </c>
      <c r="AY104" s="548"/>
      <c r="AZ104" s="548"/>
      <c r="BA104" s="548"/>
      <c r="BB104" s="548"/>
      <c r="BC104" s="548">
        <f t="shared" si="68"/>
        <v>6</v>
      </c>
      <c r="BD104" s="42">
        <f t="shared" si="52"/>
        <v>0</v>
      </c>
      <c r="BE104" s="42">
        <f t="shared" si="52"/>
        <v>0</v>
      </c>
      <c r="BF104" s="42">
        <f t="shared" si="52"/>
        <v>22</v>
      </c>
      <c r="BG104" s="42">
        <f t="shared" si="52"/>
        <v>0</v>
      </c>
      <c r="BH104" s="42">
        <f t="shared" si="52"/>
        <v>0</v>
      </c>
      <c r="BI104" s="42">
        <f t="shared" si="51"/>
        <v>0</v>
      </c>
      <c r="BJ104" s="42">
        <f t="shared" si="69"/>
        <v>0</v>
      </c>
      <c r="BK104" s="42">
        <f t="shared" si="69"/>
        <v>22</v>
      </c>
    </row>
    <row r="105" spans="1:63" ht="29.25" customHeight="1" x14ac:dyDescent="0.25">
      <c r="A105" s="298" t="s">
        <v>280</v>
      </c>
      <c r="B105" s="299" t="s">
        <v>278</v>
      </c>
      <c r="C105" s="1547"/>
      <c r="D105" s="1549"/>
      <c r="E105" s="1549"/>
      <c r="F105" s="1549"/>
      <c r="G105" s="1549"/>
      <c r="H105" s="1549"/>
      <c r="I105" s="1425"/>
      <c r="J105" s="1425"/>
      <c r="K105" s="1425" t="s">
        <v>335</v>
      </c>
      <c r="L105" s="301"/>
      <c r="M105" s="1425" t="s">
        <v>45</v>
      </c>
      <c r="N105" s="1425" t="s">
        <v>46</v>
      </c>
      <c r="O105" s="1425" t="s">
        <v>47</v>
      </c>
      <c r="P105" s="16" t="s">
        <v>336</v>
      </c>
      <c r="Q105" s="302" t="s">
        <v>337</v>
      </c>
      <c r="R105" s="303">
        <v>2015</v>
      </c>
      <c r="S105" s="303">
        <v>1</v>
      </c>
      <c r="T105" s="303">
        <v>2</v>
      </c>
      <c r="U105" s="572">
        <v>4</v>
      </c>
      <c r="V105" s="572">
        <v>6</v>
      </c>
      <c r="W105" s="572">
        <v>8</v>
      </c>
      <c r="X105" s="572">
        <v>8</v>
      </c>
      <c r="Y105" s="481"/>
      <c r="Z105" s="481"/>
      <c r="AA105" s="492">
        <v>2</v>
      </c>
      <c r="AB105" s="481"/>
      <c r="AC105" s="481"/>
      <c r="AD105" s="481"/>
      <c r="AE105" s="481"/>
      <c r="AF105" s="578">
        <f t="shared" si="65"/>
        <v>2</v>
      </c>
      <c r="AG105" s="548"/>
      <c r="AH105" s="548"/>
      <c r="AI105" s="548">
        <v>5</v>
      </c>
      <c r="AJ105" s="548"/>
      <c r="AK105" s="548"/>
      <c r="AL105" s="548"/>
      <c r="AM105" s="548">
        <f t="shared" si="66"/>
        <v>5</v>
      </c>
      <c r="AN105" s="481"/>
      <c r="AO105" s="481"/>
      <c r="AP105" s="481">
        <v>5</v>
      </c>
      <c r="AQ105" s="481"/>
      <c r="AR105" s="481"/>
      <c r="AS105" s="481"/>
      <c r="AT105" s="481"/>
      <c r="AU105" s="481">
        <f t="shared" si="67"/>
        <v>5</v>
      </c>
      <c r="AV105" s="548"/>
      <c r="AW105" s="548"/>
      <c r="AX105" s="548">
        <v>5</v>
      </c>
      <c r="AY105" s="548"/>
      <c r="AZ105" s="548"/>
      <c r="BA105" s="548"/>
      <c r="BB105" s="548"/>
      <c r="BC105" s="548">
        <f t="shared" si="68"/>
        <v>5</v>
      </c>
      <c r="BD105" s="42">
        <f t="shared" si="52"/>
        <v>0</v>
      </c>
      <c r="BE105" s="42">
        <f t="shared" si="52"/>
        <v>0</v>
      </c>
      <c r="BF105" s="42">
        <f t="shared" si="52"/>
        <v>17</v>
      </c>
      <c r="BG105" s="42">
        <f t="shared" si="52"/>
        <v>0</v>
      </c>
      <c r="BH105" s="42">
        <f t="shared" si="52"/>
        <v>0</v>
      </c>
      <c r="BI105" s="42">
        <f t="shared" si="51"/>
        <v>0</v>
      </c>
      <c r="BJ105" s="42">
        <f t="shared" si="69"/>
        <v>0</v>
      </c>
      <c r="BK105" s="42">
        <f t="shared" si="69"/>
        <v>17</v>
      </c>
    </row>
    <row r="106" spans="1:63" ht="43.5" customHeight="1" x14ac:dyDescent="0.25">
      <c r="A106" s="298" t="s">
        <v>280</v>
      </c>
      <c r="B106" s="299" t="s">
        <v>278</v>
      </c>
      <c r="C106" s="1547"/>
      <c r="D106" s="1549"/>
      <c r="E106" s="1549"/>
      <c r="F106" s="1549"/>
      <c r="G106" s="1549"/>
      <c r="H106" s="1549"/>
      <c r="I106" s="1425"/>
      <c r="J106" s="1425"/>
      <c r="K106" s="1425" t="s">
        <v>338</v>
      </c>
      <c r="L106" s="301"/>
      <c r="M106" s="1425" t="s">
        <v>45</v>
      </c>
      <c r="N106" s="1425" t="s">
        <v>46</v>
      </c>
      <c r="O106" s="1425" t="s">
        <v>47</v>
      </c>
      <c r="P106" s="16" t="s">
        <v>339</v>
      </c>
      <c r="Q106" s="302" t="s">
        <v>340</v>
      </c>
      <c r="R106" s="303">
        <v>2015</v>
      </c>
      <c r="S106" s="303">
        <v>1600</v>
      </c>
      <c r="T106" s="303">
        <v>1600</v>
      </c>
      <c r="U106" s="572">
        <v>1600</v>
      </c>
      <c r="V106" s="572">
        <v>1600</v>
      </c>
      <c r="W106" s="572">
        <v>1600</v>
      </c>
      <c r="X106" s="572">
        <v>1600</v>
      </c>
      <c r="Y106" s="483"/>
      <c r="Z106" s="483"/>
      <c r="AA106" s="577">
        <v>15.5</v>
      </c>
      <c r="AB106" s="483"/>
      <c r="AC106" s="483"/>
      <c r="AD106" s="483"/>
      <c r="AE106" s="483"/>
      <c r="AF106" s="578">
        <f t="shared" si="65"/>
        <v>15.5</v>
      </c>
      <c r="AG106" s="587"/>
      <c r="AH106" s="587"/>
      <c r="AI106" s="491">
        <v>6</v>
      </c>
      <c r="AJ106" s="587"/>
      <c r="AK106" s="587"/>
      <c r="AL106" s="587"/>
      <c r="AM106" s="587">
        <f t="shared" si="66"/>
        <v>6</v>
      </c>
      <c r="AN106" s="483"/>
      <c r="AO106" s="483"/>
      <c r="AP106" s="491">
        <v>6</v>
      </c>
      <c r="AQ106" s="483"/>
      <c r="AR106" s="483"/>
      <c r="AS106" s="483"/>
      <c r="AT106" s="483"/>
      <c r="AU106" s="483">
        <f t="shared" si="67"/>
        <v>6</v>
      </c>
      <c r="AV106" s="587"/>
      <c r="AW106" s="587"/>
      <c r="AX106" s="491">
        <v>6</v>
      </c>
      <c r="AY106" s="587"/>
      <c r="AZ106" s="587"/>
      <c r="BA106" s="587"/>
      <c r="BB106" s="587"/>
      <c r="BC106" s="587">
        <f t="shared" si="68"/>
        <v>6</v>
      </c>
      <c r="BD106" s="44">
        <f t="shared" si="52"/>
        <v>0</v>
      </c>
      <c r="BE106" s="44">
        <f t="shared" si="52"/>
        <v>0</v>
      </c>
      <c r="BF106" s="44">
        <f t="shared" si="52"/>
        <v>33.5</v>
      </c>
      <c r="BG106" s="44">
        <f t="shared" si="52"/>
        <v>0</v>
      </c>
      <c r="BH106" s="44">
        <f t="shared" si="52"/>
        <v>0</v>
      </c>
      <c r="BI106" s="44">
        <f t="shared" si="51"/>
        <v>0</v>
      </c>
      <c r="BJ106" s="44">
        <f t="shared" si="69"/>
        <v>0</v>
      </c>
      <c r="BK106" s="44">
        <f t="shared" si="69"/>
        <v>33.5</v>
      </c>
    </row>
    <row r="107" spans="1:63" ht="58.5" customHeight="1" x14ac:dyDescent="0.25">
      <c r="A107" s="298" t="s">
        <v>280</v>
      </c>
      <c r="B107" s="299" t="s">
        <v>278</v>
      </c>
      <c r="C107" s="1548"/>
      <c r="D107" s="1549"/>
      <c r="E107" s="1549"/>
      <c r="F107" s="1549"/>
      <c r="G107" s="1549"/>
      <c r="H107" s="1549"/>
      <c r="I107" s="1425"/>
      <c r="J107" s="1425"/>
      <c r="K107" s="1425" t="s">
        <v>341</v>
      </c>
      <c r="L107" s="301"/>
      <c r="M107" s="1425" t="s">
        <v>45</v>
      </c>
      <c r="N107" s="1425" t="s">
        <v>46</v>
      </c>
      <c r="O107" s="1425" t="s">
        <v>47</v>
      </c>
      <c r="P107" s="16" t="s">
        <v>342</v>
      </c>
      <c r="Q107" s="302" t="s">
        <v>313</v>
      </c>
      <c r="R107" s="303">
        <v>2015</v>
      </c>
      <c r="S107" s="303">
        <v>0</v>
      </c>
      <c r="T107" s="303">
        <v>1</v>
      </c>
      <c r="U107" s="572">
        <v>0</v>
      </c>
      <c r="V107" s="572">
        <v>1</v>
      </c>
      <c r="W107" s="572">
        <v>0</v>
      </c>
      <c r="X107" s="572">
        <v>2</v>
      </c>
      <c r="Y107" s="481"/>
      <c r="Z107" s="481"/>
      <c r="AA107" s="579">
        <v>25</v>
      </c>
      <c r="AB107" s="481"/>
      <c r="AC107" s="481"/>
      <c r="AD107" s="481"/>
      <c r="AE107" s="481"/>
      <c r="AF107" s="578">
        <f t="shared" si="65"/>
        <v>25</v>
      </c>
      <c r="AG107" s="548"/>
      <c r="AH107" s="548"/>
      <c r="AI107" s="491"/>
      <c r="AJ107" s="548"/>
      <c r="AK107" s="548"/>
      <c r="AL107" s="548"/>
      <c r="AM107" s="548">
        <f t="shared" si="66"/>
        <v>0</v>
      </c>
      <c r="AN107" s="481"/>
      <c r="AO107" s="481"/>
      <c r="AP107" s="491">
        <v>6</v>
      </c>
      <c r="AQ107" s="481"/>
      <c r="AR107" s="481"/>
      <c r="AS107" s="481"/>
      <c r="AT107" s="481"/>
      <c r="AU107" s="481">
        <f t="shared" si="67"/>
        <v>6</v>
      </c>
      <c r="AV107" s="548"/>
      <c r="AW107" s="548"/>
      <c r="AX107" s="491"/>
      <c r="AY107" s="548"/>
      <c r="AZ107" s="548"/>
      <c r="BA107" s="548"/>
      <c r="BB107" s="548"/>
      <c r="BC107" s="548">
        <f t="shared" si="68"/>
        <v>0</v>
      </c>
      <c r="BD107" s="42">
        <f t="shared" si="52"/>
        <v>0</v>
      </c>
      <c r="BE107" s="42">
        <f t="shared" si="52"/>
        <v>0</v>
      </c>
      <c r="BF107" s="42">
        <f t="shared" si="52"/>
        <v>31</v>
      </c>
      <c r="BG107" s="42">
        <f t="shared" si="52"/>
        <v>0</v>
      </c>
      <c r="BH107" s="42">
        <f t="shared" si="52"/>
        <v>0</v>
      </c>
      <c r="BI107" s="42">
        <f t="shared" si="51"/>
        <v>0</v>
      </c>
      <c r="BJ107" s="42">
        <f t="shared" si="69"/>
        <v>0</v>
      </c>
      <c r="BK107" s="42">
        <f t="shared" si="69"/>
        <v>31</v>
      </c>
    </row>
    <row r="108" spans="1:63" ht="4.5" customHeight="1" x14ac:dyDescent="0.2">
      <c r="A108" s="151"/>
      <c r="B108" s="7" t="s">
        <v>343</v>
      </c>
      <c r="C108" s="7"/>
      <c r="D108" s="1442"/>
      <c r="E108" s="1442"/>
      <c r="F108" s="1442"/>
      <c r="G108" s="1442"/>
      <c r="H108" s="1442"/>
      <c r="I108" s="1442"/>
      <c r="J108" s="1442"/>
      <c r="K108" s="1442"/>
      <c r="L108" s="1442"/>
      <c r="M108" s="1442"/>
      <c r="N108" s="11"/>
      <c r="O108" s="1442"/>
      <c r="P108" s="1440"/>
      <c r="Q108" s="302"/>
      <c r="R108" s="303"/>
      <c r="S108" s="303"/>
      <c r="T108" s="303"/>
      <c r="U108" s="572"/>
      <c r="V108" s="572"/>
      <c r="W108" s="572"/>
      <c r="X108" s="572"/>
      <c r="Y108" s="42">
        <v>20</v>
      </c>
      <c r="Z108" s="42"/>
      <c r="AA108" s="42">
        <v>94</v>
      </c>
      <c r="AB108" s="42"/>
      <c r="AC108" s="42"/>
      <c r="AD108" s="42">
        <v>745.7</v>
      </c>
      <c r="AE108" s="42"/>
      <c r="AF108" s="42">
        <f t="shared" si="65"/>
        <v>859.7</v>
      </c>
      <c r="AG108" s="42">
        <f>+Y108*1.04</f>
        <v>20.8</v>
      </c>
      <c r="AH108" s="42"/>
      <c r="AI108" s="42">
        <f>+AA108*1.04</f>
        <v>97.76</v>
      </c>
      <c r="AJ108" s="42"/>
      <c r="AK108" s="42"/>
      <c r="AL108" s="42"/>
      <c r="AM108" s="42"/>
      <c r="AN108" s="42">
        <f>+AG108*1.04</f>
        <v>21.632000000000001</v>
      </c>
      <c r="AO108" s="42"/>
      <c r="AP108" s="42">
        <f>+AI108*1.04</f>
        <v>101.67040000000001</v>
      </c>
      <c r="AQ108" s="42"/>
      <c r="AR108" s="42"/>
      <c r="AS108" s="42"/>
      <c r="AT108" s="42"/>
      <c r="AU108" s="42"/>
      <c r="AV108" s="42">
        <f>+AN108*1.04</f>
        <v>22.497280000000003</v>
      </c>
      <c r="AW108" s="42"/>
      <c r="AX108" s="42">
        <f>+AP108*1.04</f>
        <v>105.73721600000002</v>
      </c>
      <c r="AY108" s="42"/>
      <c r="AZ108" s="42"/>
      <c r="BA108" s="42"/>
      <c r="BB108" s="42"/>
      <c r="BC108" s="42"/>
      <c r="BD108" s="42">
        <f t="shared" si="52"/>
        <v>84.929280000000006</v>
      </c>
      <c r="BE108" s="42">
        <f t="shared" si="52"/>
        <v>0</v>
      </c>
      <c r="BF108" s="42">
        <f t="shared" si="52"/>
        <v>399.16761600000001</v>
      </c>
      <c r="BG108" s="42">
        <f t="shared" si="52"/>
        <v>0</v>
      </c>
      <c r="BH108" s="42">
        <f t="shared" si="52"/>
        <v>0</v>
      </c>
      <c r="BI108" s="42">
        <f t="shared" si="51"/>
        <v>745.7</v>
      </c>
      <c r="BJ108" s="42">
        <f t="shared" si="69"/>
        <v>0</v>
      </c>
      <c r="BK108" s="42">
        <f t="shared" si="69"/>
        <v>859.7</v>
      </c>
    </row>
    <row r="109" spans="1:63" ht="18" x14ac:dyDescent="0.2">
      <c r="A109" s="420"/>
      <c r="B109" s="1553" t="s">
        <v>344</v>
      </c>
      <c r="C109" s="1554"/>
      <c r="D109" s="1554"/>
      <c r="E109" s="1554"/>
      <c r="F109" s="1554"/>
      <c r="G109" s="1554"/>
      <c r="H109" s="1554"/>
      <c r="I109" s="1554"/>
      <c r="J109" s="1554"/>
      <c r="K109" s="1554"/>
      <c r="L109" s="1554"/>
      <c r="M109" s="1555"/>
      <c r="N109" s="597"/>
      <c r="O109" s="597"/>
      <c r="P109" s="597"/>
      <c r="Q109" s="598"/>
      <c r="R109" s="597"/>
      <c r="S109" s="597"/>
      <c r="T109" s="597"/>
      <c r="U109" s="599"/>
      <c r="V109" s="599"/>
      <c r="W109" s="599"/>
      <c r="X109" s="599"/>
      <c r="Y109" s="600">
        <f>+Y110+Y116</f>
        <v>20</v>
      </c>
      <c r="Z109" s="600">
        <f t="shared" ref="Z109:AE109" si="74">+Z110+Z116</f>
        <v>0</v>
      </c>
      <c r="AA109" s="600">
        <f t="shared" si="74"/>
        <v>94</v>
      </c>
      <c r="AB109" s="600">
        <f t="shared" si="74"/>
        <v>0</v>
      </c>
      <c r="AC109" s="600">
        <f t="shared" si="74"/>
        <v>0</v>
      </c>
      <c r="AD109" s="600">
        <f t="shared" si="74"/>
        <v>745.7</v>
      </c>
      <c r="AE109" s="600">
        <f t="shared" si="74"/>
        <v>0</v>
      </c>
      <c r="AF109" s="600">
        <f t="shared" si="65"/>
        <v>859.7</v>
      </c>
      <c r="AG109" s="600">
        <f t="shared" ref="AG109:AL109" si="75">+AG110+AG116</f>
        <v>20</v>
      </c>
      <c r="AH109" s="600">
        <f t="shared" si="75"/>
        <v>0</v>
      </c>
      <c r="AI109" s="600">
        <f t="shared" si="75"/>
        <v>0</v>
      </c>
      <c r="AJ109" s="600">
        <f t="shared" si="75"/>
        <v>700</v>
      </c>
      <c r="AK109" s="600">
        <f t="shared" si="75"/>
        <v>0</v>
      </c>
      <c r="AL109" s="600">
        <f t="shared" si="75"/>
        <v>300</v>
      </c>
      <c r="AM109" s="600">
        <f t="shared" ref="AM109:AM120" si="76">SUM(AG109:AL109)</f>
        <v>1020</v>
      </c>
      <c r="AN109" s="600">
        <f t="shared" ref="AN109:AT109" si="77">+AN110+AN116</f>
        <v>21</v>
      </c>
      <c r="AO109" s="600">
        <f t="shared" si="77"/>
        <v>0</v>
      </c>
      <c r="AP109" s="600">
        <f t="shared" si="77"/>
        <v>101</v>
      </c>
      <c r="AQ109" s="600">
        <f t="shared" si="77"/>
        <v>0</v>
      </c>
      <c r="AR109" s="600">
        <f t="shared" si="77"/>
        <v>0</v>
      </c>
      <c r="AS109" s="600">
        <f t="shared" si="77"/>
        <v>0</v>
      </c>
      <c r="AT109" s="600">
        <f t="shared" si="77"/>
        <v>0</v>
      </c>
      <c r="AU109" s="600">
        <f t="shared" ref="AU109:AU120" si="78">SUM(AN109:AT109)</f>
        <v>122</v>
      </c>
      <c r="AV109" s="600">
        <f t="shared" ref="AV109:BB109" si="79">+AV110+AV116</f>
        <v>22.5</v>
      </c>
      <c r="AW109" s="600">
        <f t="shared" si="79"/>
        <v>0</v>
      </c>
      <c r="AX109" s="600">
        <f t="shared" si="79"/>
        <v>105</v>
      </c>
      <c r="AY109" s="600">
        <f t="shared" si="79"/>
        <v>0</v>
      </c>
      <c r="AZ109" s="600">
        <f t="shared" si="79"/>
        <v>0</v>
      </c>
      <c r="BA109" s="600">
        <f t="shared" si="79"/>
        <v>0</v>
      </c>
      <c r="BB109" s="600">
        <f t="shared" si="79"/>
        <v>0</v>
      </c>
      <c r="BC109" s="600">
        <f t="shared" ref="BC109:BC120" si="80">SUM(AV109:BB109)</f>
        <v>127.5</v>
      </c>
      <c r="BD109" s="33">
        <f t="shared" si="52"/>
        <v>83.5</v>
      </c>
      <c r="BE109" s="33">
        <f t="shared" si="52"/>
        <v>0</v>
      </c>
      <c r="BF109" s="33">
        <f t="shared" si="52"/>
        <v>300</v>
      </c>
      <c r="BG109" s="33">
        <f t="shared" si="52"/>
        <v>700</v>
      </c>
      <c r="BH109" s="33">
        <f t="shared" si="52"/>
        <v>0</v>
      </c>
      <c r="BI109" s="33">
        <f t="shared" si="51"/>
        <v>745.7</v>
      </c>
      <c r="BJ109" s="33">
        <f t="shared" si="69"/>
        <v>300</v>
      </c>
      <c r="BK109" s="33">
        <f t="shared" si="69"/>
        <v>2129.1999999999998</v>
      </c>
    </row>
    <row r="110" spans="1:63" ht="12.75" x14ac:dyDescent="0.2">
      <c r="A110" s="603"/>
      <c r="B110" s="154" t="s">
        <v>343</v>
      </c>
      <c r="C110" s="6"/>
      <c r="D110" s="2" t="s">
        <v>345</v>
      </c>
      <c r="E110" s="1"/>
      <c r="F110" s="1"/>
      <c r="G110" s="1"/>
      <c r="H110" s="1"/>
      <c r="I110" s="1"/>
      <c r="J110" s="1"/>
      <c r="K110" s="1"/>
      <c r="L110" s="1"/>
      <c r="M110" s="1"/>
      <c r="N110" s="1"/>
      <c r="O110" s="1"/>
      <c r="P110" s="1"/>
      <c r="Q110" s="573"/>
      <c r="R110" s="574"/>
      <c r="S110" s="574"/>
      <c r="T110" s="574"/>
      <c r="U110" s="575"/>
      <c r="V110" s="575"/>
      <c r="W110" s="575"/>
      <c r="X110" s="575"/>
      <c r="Y110" s="34">
        <f>SUM(Y111:Y115)</f>
        <v>0</v>
      </c>
      <c r="Z110" s="34">
        <f t="shared" ref="Z110:AE110" si="81">SUM(Z111:Z115)</f>
        <v>0</v>
      </c>
      <c r="AA110" s="34">
        <f t="shared" si="81"/>
        <v>0</v>
      </c>
      <c r="AB110" s="34">
        <f t="shared" si="81"/>
        <v>0</v>
      </c>
      <c r="AC110" s="34">
        <f t="shared" si="81"/>
        <v>0</v>
      </c>
      <c r="AD110" s="34">
        <f t="shared" si="81"/>
        <v>745.7</v>
      </c>
      <c r="AE110" s="34">
        <f t="shared" si="81"/>
        <v>0</v>
      </c>
      <c r="AF110" s="34">
        <f t="shared" si="65"/>
        <v>745.7</v>
      </c>
      <c r="AG110" s="34">
        <f t="shared" ref="AG110:AL110" si="82">SUM(AG111:AG115)</f>
        <v>1</v>
      </c>
      <c r="AH110" s="34">
        <f t="shared" si="82"/>
        <v>0</v>
      </c>
      <c r="AI110" s="34">
        <f t="shared" si="82"/>
        <v>0</v>
      </c>
      <c r="AJ110" s="34">
        <f t="shared" si="82"/>
        <v>500</v>
      </c>
      <c r="AK110" s="34">
        <f t="shared" si="82"/>
        <v>0</v>
      </c>
      <c r="AL110" s="34">
        <f t="shared" si="82"/>
        <v>0</v>
      </c>
      <c r="AM110" s="34">
        <f t="shared" si="76"/>
        <v>501</v>
      </c>
      <c r="AN110" s="34">
        <f t="shared" ref="AN110:AT110" si="83">SUM(AN111:AN115)</f>
        <v>0</v>
      </c>
      <c r="AO110" s="34">
        <f t="shared" si="83"/>
        <v>0</v>
      </c>
      <c r="AP110" s="34">
        <f t="shared" si="83"/>
        <v>101</v>
      </c>
      <c r="AQ110" s="34">
        <f t="shared" si="83"/>
        <v>0</v>
      </c>
      <c r="AR110" s="34">
        <f t="shared" si="83"/>
        <v>0</v>
      </c>
      <c r="AS110" s="34">
        <f t="shared" si="83"/>
        <v>0</v>
      </c>
      <c r="AT110" s="34">
        <f t="shared" si="83"/>
        <v>0</v>
      </c>
      <c r="AU110" s="34">
        <f t="shared" si="78"/>
        <v>101</v>
      </c>
      <c r="AV110" s="34">
        <f t="shared" ref="AV110:BB110" si="84">SUM(AV111:AV115)</f>
        <v>0</v>
      </c>
      <c r="AW110" s="34">
        <f t="shared" si="84"/>
        <v>0</v>
      </c>
      <c r="AX110" s="34">
        <f t="shared" si="84"/>
        <v>105</v>
      </c>
      <c r="AY110" s="34">
        <f t="shared" si="84"/>
        <v>0</v>
      </c>
      <c r="AZ110" s="34">
        <f t="shared" si="84"/>
        <v>0</v>
      </c>
      <c r="BA110" s="34">
        <f t="shared" si="84"/>
        <v>0</v>
      </c>
      <c r="BB110" s="34">
        <f t="shared" si="84"/>
        <v>0</v>
      </c>
      <c r="BC110" s="34">
        <f t="shared" si="80"/>
        <v>105</v>
      </c>
      <c r="BD110" s="34">
        <f t="shared" si="52"/>
        <v>1</v>
      </c>
      <c r="BE110" s="34">
        <f t="shared" si="52"/>
        <v>0</v>
      </c>
      <c r="BF110" s="34">
        <f t="shared" si="52"/>
        <v>206</v>
      </c>
      <c r="BG110" s="34">
        <f t="shared" si="52"/>
        <v>500</v>
      </c>
      <c r="BH110" s="34">
        <f t="shared" si="52"/>
        <v>0</v>
      </c>
      <c r="BI110" s="34">
        <f t="shared" si="51"/>
        <v>745.7</v>
      </c>
      <c r="BJ110" s="34">
        <f t="shared" si="69"/>
        <v>0</v>
      </c>
      <c r="BK110" s="34">
        <f t="shared" si="69"/>
        <v>1452.7</v>
      </c>
    </row>
    <row r="111" spans="1:63" ht="70.5" customHeight="1" x14ac:dyDescent="0.25">
      <c r="A111" s="298" t="s">
        <v>346</v>
      </c>
      <c r="B111" s="299" t="s">
        <v>343</v>
      </c>
      <c r="C111" s="1546" t="s">
        <v>347</v>
      </c>
      <c r="D111" s="1549" t="s">
        <v>348</v>
      </c>
      <c r="E111" s="1549" t="s">
        <v>349</v>
      </c>
      <c r="F111" s="1549">
        <v>2015</v>
      </c>
      <c r="G111" s="1549">
        <v>37.700000000000003</v>
      </c>
      <c r="H111" s="1549">
        <v>33</v>
      </c>
      <c r="I111" s="1425" t="s">
        <v>53</v>
      </c>
      <c r="J111" s="1425"/>
      <c r="K111" s="1425" t="s">
        <v>350</v>
      </c>
      <c r="L111" s="301" t="s">
        <v>179</v>
      </c>
      <c r="M111" s="1425" t="s">
        <v>351</v>
      </c>
      <c r="N111" s="1425" t="s">
        <v>352</v>
      </c>
      <c r="O111" s="1425" t="s">
        <v>47</v>
      </c>
      <c r="P111" s="16" t="s">
        <v>353</v>
      </c>
      <c r="Q111" s="302" t="s">
        <v>354</v>
      </c>
      <c r="R111" s="303">
        <v>2015</v>
      </c>
      <c r="S111" s="303" t="s">
        <v>177</v>
      </c>
      <c r="T111" s="303">
        <v>200</v>
      </c>
      <c r="U111" s="572">
        <v>150</v>
      </c>
      <c r="V111" s="572">
        <v>50</v>
      </c>
      <c r="W111" s="572">
        <v>50</v>
      </c>
      <c r="X111" s="572">
        <f>SUBTOTAL(9,T111:W111)</f>
        <v>450</v>
      </c>
      <c r="Y111" s="481"/>
      <c r="Z111" s="481"/>
      <c r="AA111" s="481"/>
      <c r="AB111" s="481"/>
      <c r="AC111" s="481"/>
      <c r="AD111" s="481">
        <v>745.7</v>
      </c>
      <c r="AE111" s="481"/>
      <c r="AF111" s="481">
        <f t="shared" si="65"/>
        <v>745.7</v>
      </c>
      <c r="AG111" s="548"/>
      <c r="AH111" s="548"/>
      <c r="AI111" s="716"/>
      <c r="AJ111" s="548">
        <v>490</v>
      </c>
      <c r="AK111" s="548"/>
      <c r="AL111" s="548"/>
      <c r="AM111" s="548">
        <f t="shared" si="76"/>
        <v>490</v>
      </c>
      <c r="AN111" s="481"/>
      <c r="AO111" s="481"/>
      <c r="AP111" s="481">
        <v>101</v>
      </c>
      <c r="AQ111" s="481"/>
      <c r="AR111" s="481"/>
      <c r="AS111" s="481"/>
      <c r="AT111" s="481"/>
      <c r="AU111" s="481">
        <f t="shared" si="78"/>
        <v>101</v>
      </c>
      <c r="AV111" s="548"/>
      <c r="AW111" s="548"/>
      <c r="AX111" s="548">
        <v>105</v>
      </c>
      <c r="AY111" s="548"/>
      <c r="AZ111" s="548"/>
      <c r="BA111" s="548"/>
      <c r="BB111" s="548"/>
      <c r="BC111" s="548">
        <f t="shared" si="80"/>
        <v>105</v>
      </c>
      <c r="BD111" s="42">
        <f t="shared" si="52"/>
        <v>0</v>
      </c>
      <c r="BE111" s="42">
        <f t="shared" si="52"/>
        <v>0</v>
      </c>
      <c r="BF111" s="42">
        <f t="shared" si="52"/>
        <v>206</v>
      </c>
      <c r="BG111" s="42">
        <f t="shared" si="52"/>
        <v>490</v>
      </c>
      <c r="BH111" s="42">
        <f t="shared" si="52"/>
        <v>0</v>
      </c>
      <c r="BI111" s="42">
        <f t="shared" si="51"/>
        <v>745.7</v>
      </c>
      <c r="BJ111" s="42">
        <f t="shared" si="69"/>
        <v>0</v>
      </c>
      <c r="BK111" s="42">
        <f t="shared" si="69"/>
        <v>1441.7</v>
      </c>
    </row>
    <row r="112" spans="1:63" ht="53.25" customHeight="1" x14ac:dyDescent="0.25">
      <c r="A112" s="298" t="s">
        <v>346</v>
      </c>
      <c r="B112" s="299" t="s">
        <v>343</v>
      </c>
      <c r="C112" s="1547"/>
      <c r="D112" s="1549"/>
      <c r="E112" s="1549"/>
      <c r="F112" s="1549"/>
      <c r="G112" s="1549"/>
      <c r="H112" s="1549"/>
      <c r="I112" s="1425"/>
      <c r="J112" s="1425"/>
      <c r="K112" s="1425" t="s">
        <v>355</v>
      </c>
      <c r="L112" s="301" t="s">
        <v>179</v>
      </c>
      <c r="M112" s="1425" t="s">
        <v>351</v>
      </c>
      <c r="N112" s="1425" t="s">
        <v>352</v>
      </c>
      <c r="O112" s="1425" t="s">
        <v>47</v>
      </c>
      <c r="P112" s="16" t="s">
        <v>356</v>
      </c>
      <c r="Q112" s="302" t="s">
        <v>357</v>
      </c>
      <c r="R112" s="303">
        <v>2015</v>
      </c>
      <c r="S112" s="303">
        <v>0</v>
      </c>
      <c r="T112" s="303">
        <v>0</v>
      </c>
      <c r="U112" s="572">
        <v>1</v>
      </c>
      <c r="V112" s="572">
        <v>1</v>
      </c>
      <c r="W112" s="572">
        <v>0</v>
      </c>
      <c r="X112" s="572">
        <f>SUBTOTAL(9,T112:W112)</f>
        <v>2</v>
      </c>
      <c r="Y112" s="481"/>
      <c r="Z112" s="481"/>
      <c r="AA112" s="481"/>
      <c r="AB112" s="481"/>
      <c r="AC112" s="481"/>
      <c r="AD112" s="481"/>
      <c r="AE112" s="481"/>
      <c r="AF112" s="481">
        <f t="shared" si="65"/>
        <v>0</v>
      </c>
      <c r="AG112" s="548">
        <v>0.5</v>
      </c>
      <c r="AH112" s="548"/>
      <c r="AI112" s="716"/>
      <c r="AJ112" s="548"/>
      <c r="AK112" s="548"/>
      <c r="AL112" s="548"/>
      <c r="AM112" s="548">
        <f t="shared" si="76"/>
        <v>0.5</v>
      </c>
      <c r="AN112" s="481"/>
      <c r="AO112" s="481"/>
      <c r="AP112" s="481"/>
      <c r="AQ112" s="481"/>
      <c r="AR112" s="481"/>
      <c r="AS112" s="481"/>
      <c r="AT112" s="481"/>
      <c r="AU112" s="481">
        <f t="shared" si="78"/>
        <v>0</v>
      </c>
      <c r="AV112" s="548"/>
      <c r="AW112" s="548"/>
      <c r="AX112" s="548"/>
      <c r="AY112" s="548"/>
      <c r="AZ112" s="548"/>
      <c r="BA112" s="548"/>
      <c r="BB112" s="548"/>
      <c r="BC112" s="548">
        <f t="shared" si="80"/>
        <v>0</v>
      </c>
      <c r="BD112" s="42">
        <f t="shared" ref="BD112:BH144" si="85">+AV112+AN112+AG112+Y112</f>
        <v>0.5</v>
      </c>
      <c r="BE112" s="42">
        <f t="shared" si="85"/>
        <v>0</v>
      </c>
      <c r="BF112" s="42">
        <f t="shared" si="85"/>
        <v>0</v>
      </c>
      <c r="BG112" s="42">
        <f t="shared" si="85"/>
        <v>0</v>
      </c>
      <c r="BH112" s="42">
        <f t="shared" si="85"/>
        <v>0</v>
      </c>
      <c r="BI112" s="42">
        <f t="shared" si="51"/>
        <v>0</v>
      </c>
      <c r="BJ112" s="42">
        <f t="shared" si="69"/>
        <v>0</v>
      </c>
      <c r="BK112" s="42">
        <f t="shared" si="69"/>
        <v>0.5</v>
      </c>
    </row>
    <row r="113" spans="1:63" ht="68.25" customHeight="1" x14ac:dyDescent="0.25">
      <c r="A113" s="298" t="s">
        <v>346</v>
      </c>
      <c r="B113" s="299" t="s">
        <v>343</v>
      </c>
      <c r="C113" s="1547"/>
      <c r="D113" s="1549"/>
      <c r="E113" s="1549"/>
      <c r="F113" s="1549"/>
      <c r="G113" s="1549"/>
      <c r="H113" s="1549"/>
      <c r="I113" s="1425"/>
      <c r="J113" s="1425"/>
      <c r="K113" s="1425" t="s">
        <v>358</v>
      </c>
      <c r="L113" s="301" t="s">
        <v>179</v>
      </c>
      <c r="M113" s="1425" t="s">
        <v>351</v>
      </c>
      <c r="N113" s="1425" t="s">
        <v>352</v>
      </c>
      <c r="O113" s="1425" t="s">
        <v>47</v>
      </c>
      <c r="P113" s="16" t="s">
        <v>360</v>
      </c>
      <c r="Q113" s="302" t="s">
        <v>361</v>
      </c>
      <c r="R113" s="303">
        <v>2015</v>
      </c>
      <c r="S113" s="303">
        <v>0</v>
      </c>
      <c r="T113" s="303">
        <v>2000</v>
      </c>
      <c r="U113" s="572">
        <v>3000</v>
      </c>
      <c r="V113" s="572">
        <v>4500</v>
      </c>
      <c r="W113" s="572">
        <v>5500</v>
      </c>
      <c r="X113" s="572">
        <f>SUBTOTAL(9,T113:W113)</f>
        <v>15000</v>
      </c>
      <c r="Y113" s="483"/>
      <c r="Z113" s="483"/>
      <c r="AA113" s="483"/>
      <c r="AB113" s="483"/>
      <c r="AC113" s="483"/>
      <c r="AD113" s="483"/>
      <c r="AE113" s="483"/>
      <c r="AF113" s="483">
        <f t="shared" si="65"/>
        <v>0</v>
      </c>
      <c r="AG113" s="587"/>
      <c r="AH113" s="587"/>
      <c r="AI113" s="719"/>
      <c r="AJ113" s="587">
        <v>10</v>
      </c>
      <c r="AK113" s="587"/>
      <c r="AL113" s="587"/>
      <c r="AM113" s="587">
        <f t="shared" si="76"/>
        <v>10</v>
      </c>
      <c r="AN113" s="483"/>
      <c r="AO113" s="483"/>
      <c r="AP113" s="483"/>
      <c r="AQ113" s="483"/>
      <c r="AR113" s="483"/>
      <c r="AS113" s="483"/>
      <c r="AT113" s="483"/>
      <c r="AU113" s="483">
        <f t="shared" si="78"/>
        <v>0</v>
      </c>
      <c r="AV113" s="587"/>
      <c r="AW113" s="587"/>
      <c r="AX113" s="587"/>
      <c r="AY113" s="587"/>
      <c r="AZ113" s="587"/>
      <c r="BA113" s="587"/>
      <c r="BB113" s="587"/>
      <c r="BC113" s="587">
        <f t="shared" si="80"/>
        <v>0</v>
      </c>
      <c r="BD113" s="44">
        <f t="shared" si="85"/>
        <v>0</v>
      </c>
      <c r="BE113" s="44">
        <f t="shared" si="85"/>
        <v>0</v>
      </c>
      <c r="BF113" s="44">
        <f t="shared" si="85"/>
        <v>0</v>
      </c>
      <c r="BG113" s="44">
        <f t="shared" si="85"/>
        <v>10</v>
      </c>
      <c r="BH113" s="44">
        <f t="shared" si="85"/>
        <v>0</v>
      </c>
      <c r="BI113" s="44">
        <f t="shared" si="51"/>
        <v>0</v>
      </c>
      <c r="BJ113" s="44">
        <f t="shared" si="69"/>
        <v>0</v>
      </c>
      <c r="BK113" s="44">
        <f t="shared" si="69"/>
        <v>10</v>
      </c>
    </row>
    <row r="114" spans="1:63" ht="48.75" customHeight="1" x14ac:dyDescent="0.25">
      <c r="A114" s="298" t="s">
        <v>346</v>
      </c>
      <c r="B114" s="299" t="s">
        <v>343</v>
      </c>
      <c r="C114" s="1547"/>
      <c r="D114" s="1549"/>
      <c r="E114" s="1549"/>
      <c r="F114" s="1549"/>
      <c r="G114" s="1549"/>
      <c r="H114" s="1549"/>
      <c r="I114" s="1425"/>
      <c r="J114" s="1425"/>
      <c r="K114" s="1425" t="s">
        <v>362</v>
      </c>
      <c r="L114" s="301" t="s">
        <v>179</v>
      </c>
      <c r="M114" s="1425" t="s">
        <v>351</v>
      </c>
      <c r="N114" s="1425" t="s">
        <v>352</v>
      </c>
      <c r="O114" s="1425" t="s">
        <v>47</v>
      </c>
      <c r="P114" s="16" t="s">
        <v>363</v>
      </c>
      <c r="Q114" s="302" t="s">
        <v>364</v>
      </c>
      <c r="R114" s="303">
        <v>2015</v>
      </c>
      <c r="S114" s="303">
        <v>0</v>
      </c>
      <c r="T114" s="303">
        <v>0</v>
      </c>
      <c r="U114" s="572">
        <v>0</v>
      </c>
      <c r="V114" s="572">
        <v>1</v>
      </c>
      <c r="W114" s="572">
        <v>0</v>
      </c>
      <c r="X114" s="572">
        <f>SUBTOTAL(9,T114:W114)</f>
        <v>1</v>
      </c>
      <c r="Y114" s="481"/>
      <c r="Z114" s="481"/>
      <c r="AA114" s="481"/>
      <c r="AB114" s="481"/>
      <c r="AC114" s="481"/>
      <c r="AD114" s="481"/>
      <c r="AE114" s="481"/>
      <c r="AF114" s="481">
        <f t="shared" si="65"/>
        <v>0</v>
      </c>
      <c r="AG114" s="548"/>
      <c r="AH114" s="548"/>
      <c r="AI114" s="716"/>
      <c r="AJ114" s="548"/>
      <c r="AK114" s="548"/>
      <c r="AL114" s="548"/>
      <c r="AM114" s="548">
        <f t="shared" si="76"/>
        <v>0</v>
      </c>
      <c r="AN114" s="481"/>
      <c r="AO114" s="481"/>
      <c r="AP114" s="481"/>
      <c r="AQ114" s="481"/>
      <c r="AR114" s="481"/>
      <c r="AS114" s="481"/>
      <c r="AT114" s="481"/>
      <c r="AU114" s="481">
        <f t="shared" si="78"/>
        <v>0</v>
      </c>
      <c r="AV114" s="548"/>
      <c r="AW114" s="548"/>
      <c r="AX114" s="548"/>
      <c r="AY114" s="548"/>
      <c r="AZ114" s="548"/>
      <c r="BA114" s="548"/>
      <c r="BB114" s="548"/>
      <c r="BC114" s="548">
        <f t="shared" si="80"/>
        <v>0</v>
      </c>
      <c r="BD114" s="42">
        <f t="shared" si="85"/>
        <v>0</v>
      </c>
      <c r="BE114" s="42">
        <f t="shared" si="85"/>
        <v>0</v>
      </c>
      <c r="BF114" s="42">
        <f t="shared" si="85"/>
        <v>0</v>
      </c>
      <c r="BG114" s="42">
        <f t="shared" si="85"/>
        <v>0</v>
      </c>
      <c r="BH114" s="42">
        <f t="shared" si="85"/>
        <v>0</v>
      </c>
      <c r="BI114" s="42">
        <f t="shared" si="51"/>
        <v>0</v>
      </c>
      <c r="BJ114" s="42">
        <f t="shared" si="69"/>
        <v>0</v>
      </c>
      <c r="BK114" s="42">
        <f t="shared" si="69"/>
        <v>0</v>
      </c>
    </row>
    <row r="115" spans="1:63" ht="57.75" customHeight="1" x14ac:dyDescent="0.25">
      <c r="A115" s="298" t="s">
        <v>346</v>
      </c>
      <c r="B115" s="299" t="s">
        <v>343</v>
      </c>
      <c r="C115" s="1548"/>
      <c r="D115" s="1549"/>
      <c r="E115" s="1549"/>
      <c r="F115" s="1549"/>
      <c r="G115" s="1549"/>
      <c r="H115" s="1549"/>
      <c r="I115" s="1425"/>
      <c r="J115" s="1425"/>
      <c r="K115" s="1425" t="s">
        <v>365</v>
      </c>
      <c r="L115" s="301" t="s">
        <v>179</v>
      </c>
      <c r="M115" s="1425" t="s">
        <v>351</v>
      </c>
      <c r="N115" s="1425" t="s">
        <v>352</v>
      </c>
      <c r="O115" s="1425" t="s">
        <v>47</v>
      </c>
      <c r="P115" s="16" t="s">
        <v>366</v>
      </c>
      <c r="Q115" s="302" t="s">
        <v>367</v>
      </c>
      <c r="R115" s="303">
        <v>2015</v>
      </c>
      <c r="S115" s="303">
        <v>0</v>
      </c>
      <c r="T115" s="303">
        <v>2</v>
      </c>
      <c r="U115" s="572">
        <v>2</v>
      </c>
      <c r="V115" s="572">
        <v>2</v>
      </c>
      <c r="W115" s="572">
        <v>2</v>
      </c>
      <c r="X115" s="572">
        <f>SUBTOTAL(9,T115:W115)</f>
        <v>8</v>
      </c>
      <c r="Y115" s="481"/>
      <c r="Z115" s="481"/>
      <c r="AA115" s="481"/>
      <c r="AB115" s="481"/>
      <c r="AC115" s="481"/>
      <c r="AD115" s="481"/>
      <c r="AE115" s="481"/>
      <c r="AF115" s="481">
        <f t="shared" si="65"/>
        <v>0</v>
      </c>
      <c r="AG115" s="548">
        <v>0.5</v>
      </c>
      <c r="AH115" s="548"/>
      <c r="AI115" s="716"/>
      <c r="AJ115" s="548"/>
      <c r="AK115" s="548"/>
      <c r="AL115" s="548"/>
      <c r="AM115" s="548">
        <f t="shared" si="76"/>
        <v>0.5</v>
      </c>
      <c r="AN115" s="481"/>
      <c r="AO115" s="481"/>
      <c r="AP115" s="481"/>
      <c r="AQ115" s="481"/>
      <c r="AR115" s="481"/>
      <c r="AS115" s="481"/>
      <c r="AT115" s="481"/>
      <c r="AU115" s="481">
        <f t="shared" si="78"/>
        <v>0</v>
      </c>
      <c r="AV115" s="548"/>
      <c r="AW115" s="548"/>
      <c r="AX115" s="548"/>
      <c r="AY115" s="548"/>
      <c r="AZ115" s="548"/>
      <c r="BA115" s="548"/>
      <c r="BB115" s="548"/>
      <c r="BC115" s="548">
        <f t="shared" si="80"/>
        <v>0</v>
      </c>
      <c r="BD115" s="42">
        <f t="shared" si="85"/>
        <v>0.5</v>
      </c>
      <c r="BE115" s="42">
        <f t="shared" si="85"/>
        <v>0</v>
      </c>
      <c r="BF115" s="42">
        <f t="shared" si="85"/>
        <v>0</v>
      </c>
      <c r="BG115" s="42">
        <f t="shared" si="85"/>
        <v>0</v>
      </c>
      <c r="BH115" s="42">
        <f t="shared" si="85"/>
        <v>0</v>
      </c>
      <c r="BI115" s="42">
        <f t="shared" si="51"/>
        <v>0</v>
      </c>
      <c r="BJ115" s="42">
        <f t="shared" si="69"/>
        <v>0</v>
      </c>
      <c r="BK115" s="42">
        <f t="shared" si="69"/>
        <v>0.5</v>
      </c>
    </row>
    <row r="116" spans="1:63" ht="12.75" x14ac:dyDescent="0.2">
      <c r="A116" s="295" t="s">
        <v>346</v>
      </c>
      <c r="B116" s="154" t="s">
        <v>343</v>
      </c>
      <c r="C116" s="6"/>
      <c r="D116" s="2" t="s">
        <v>368</v>
      </c>
      <c r="E116" s="1"/>
      <c r="F116" s="1"/>
      <c r="G116" s="1"/>
      <c r="H116" s="1"/>
      <c r="I116" s="1"/>
      <c r="J116" s="1"/>
      <c r="K116" s="1"/>
      <c r="L116" s="1"/>
      <c r="M116" s="1"/>
      <c r="N116" s="1"/>
      <c r="O116" s="1"/>
      <c r="P116" s="1"/>
      <c r="Q116" s="22"/>
      <c r="R116" s="1"/>
      <c r="S116" s="1"/>
      <c r="T116" s="1"/>
      <c r="U116" s="49"/>
      <c r="V116" s="49"/>
      <c r="W116" s="49"/>
      <c r="X116" s="49"/>
      <c r="Y116" s="34">
        <f>SUM(Y117:Y120)</f>
        <v>20</v>
      </c>
      <c r="Z116" s="34">
        <f t="shared" ref="Z116:AE116" si="86">SUM(Z117:Z120)</f>
        <v>0</v>
      </c>
      <c r="AA116" s="34">
        <f>SUM(AA117:AA120)</f>
        <v>94</v>
      </c>
      <c r="AB116" s="34">
        <f t="shared" si="86"/>
        <v>0</v>
      </c>
      <c r="AC116" s="34">
        <f t="shared" si="86"/>
        <v>0</v>
      </c>
      <c r="AD116" s="34">
        <f t="shared" si="86"/>
        <v>0</v>
      </c>
      <c r="AE116" s="34">
        <f t="shared" si="86"/>
        <v>0</v>
      </c>
      <c r="AF116" s="34">
        <f t="shared" si="65"/>
        <v>114</v>
      </c>
      <c r="AG116" s="34">
        <f t="shared" ref="AG116:AL116" si="87">SUM(AG117:AG120)</f>
        <v>19</v>
      </c>
      <c r="AH116" s="34">
        <f t="shared" si="87"/>
        <v>0</v>
      </c>
      <c r="AI116" s="34">
        <f t="shared" si="87"/>
        <v>0</v>
      </c>
      <c r="AJ116" s="34">
        <f t="shared" si="87"/>
        <v>200</v>
      </c>
      <c r="AK116" s="34">
        <f t="shared" si="87"/>
        <v>0</v>
      </c>
      <c r="AL116" s="34">
        <f t="shared" si="87"/>
        <v>300</v>
      </c>
      <c r="AM116" s="34">
        <f t="shared" si="76"/>
        <v>519</v>
      </c>
      <c r="AN116" s="34">
        <f t="shared" ref="AN116:AT116" si="88">SUM(AN117:AN120)</f>
        <v>21</v>
      </c>
      <c r="AO116" s="34">
        <f t="shared" si="88"/>
        <v>0</v>
      </c>
      <c r="AP116" s="34">
        <f t="shared" si="88"/>
        <v>0</v>
      </c>
      <c r="AQ116" s="34">
        <f t="shared" si="88"/>
        <v>0</v>
      </c>
      <c r="AR116" s="34">
        <f t="shared" si="88"/>
        <v>0</v>
      </c>
      <c r="AS116" s="34">
        <f t="shared" si="88"/>
        <v>0</v>
      </c>
      <c r="AT116" s="34">
        <f t="shared" si="88"/>
        <v>0</v>
      </c>
      <c r="AU116" s="34">
        <f t="shared" si="78"/>
        <v>21</v>
      </c>
      <c r="AV116" s="34">
        <f t="shared" ref="AV116:BB116" si="89">SUM(AV117:AV120)</f>
        <v>22.5</v>
      </c>
      <c r="AW116" s="34">
        <f t="shared" si="89"/>
        <v>0</v>
      </c>
      <c r="AX116" s="34">
        <f t="shared" si="89"/>
        <v>0</v>
      </c>
      <c r="AY116" s="34">
        <f t="shared" si="89"/>
        <v>0</v>
      </c>
      <c r="AZ116" s="34">
        <f t="shared" si="89"/>
        <v>0</v>
      </c>
      <c r="BA116" s="34">
        <f t="shared" si="89"/>
        <v>0</v>
      </c>
      <c r="BB116" s="34">
        <f t="shared" si="89"/>
        <v>0</v>
      </c>
      <c r="BC116" s="34">
        <f t="shared" si="80"/>
        <v>22.5</v>
      </c>
      <c r="BD116" s="34">
        <f t="shared" si="85"/>
        <v>82.5</v>
      </c>
      <c r="BE116" s="34">
        <f t="shared" si="85"/>
        <v>0</v>
      </c>
      <c r="BF116" s="34">
        <f t="shared" si="85"/>
        <v>94</v>
      </c>
      <c r="BG116" s="34">
        <f t="shared" si="85"/>
        <v>200</v>
      </c>
      <c r="BH116" s="34">
        <f t="shared" si="85"/>
        <v>0</v>
      </c>
      <c r="BI116" s="34">
        <f t="shared" si="51"/>
        <v>0</v>
      </c>
      <c r="BJ116" s="34">
        <f t="shared" si="69"/>
        <v>300</v>
      </c>
      <c r="BK116" s="34">
        <f t="shared" si="69"/>
        <v>676.5</v>
      </c>
    </row>
    <row r="117" spans="1:63" ht="43.5" customHeight="1" x14ac:dyDescent="0.25">
      <c r="A117" s="298" t="s">
        <v>346</v>
      </c>
      <c r="B117" s="299" t="s">
        <v>343</v>
      </c>
      <c r="C117" s="1546" t="s">
        <v>369</v>
      </c>
      <c r="D117" s="1549" t="s">
        <v>370</v>
      </c>
      <c r="E117" s="1549" t="s">
        <v>371</v>
      </c>
      <c r="F117" s="1549">
        <v>2015</v>
      </c>
      <c r="G117" s="1549">
        <v>18.899999999999999</v>
      </c>
      <c r="H117" s="1549">
        <v>16.399999999999999</v>
      </c>
      <c r="I117" s="1425" t="s">
        <v>53</v>
      </c>
      <c r="J117" s="1425"/>
      <c r="K117" s="1425" t="s">
        <v>372</v>
      </c>
      <c r="L117" s="301" t="s">
        <v>179</v>
      </c>
      <c r="M117" s="1425" t="s">
        <v>351</v>
      </c>
      <c r="N117" s="1425" t="s">
        <v>352</v>
      </c>
      <c r="O117" s="1425" t="s">
        <v>47</v>
      </c>
      <c r="P117" s="16" t="s">
        <v>373</v>
      </c>
      <c r="Q117" s="302" t="s">
        <v>374</v>
      </c>
      <c r="R117" s="303">
        <v>2015</v>
      </c>
      <c r="S117" s="303">
        <v>0</v>
      </c>
      <c r="T117" s="303">
        <v>185</v>
      </c>
      <c r="U117" s="572">
        <v>300</v>
      </c>
      <c r="V117" s="572">
        <v>0</v>
      </c>
      <c r="W117" s="572">
        <v>0</v>
      </c>
      <c r="X117" s="572">
        <f>SUBTOTAL(9,T117:W117)</f>
        <v>485</v>
      </c>
      <c r="Y117" s="481"/>
      <c r="Z117" s="481"/>
      <c r="AA117" s="481"/>
      <c r="AB117" s="481"/>
      <c r="AC117" s="481"/>
      <c r="AD117" s="481"/>
      <c r="AE117" s="481"/>
      <c r="AF117" s="481">
        <f t="shared" si="65"/>
        <v>0</v>
      </c>
      <c r="AG117" s="548">
        <v>18.5</v>
      </c>
      <c r="AH117" s="548"/>
      <c r="AI117" s="548"/>
      <c r="AJ117" s="548">
        <v>200</v>
      </c>
      <c r="AK117" s="548"/>
      <c r="AL117" s="548"/>
      <c r="AM117" s="548">
        <f t="shared" si="76"/>
        <v>218.5</v>
      </c>
      <c r="AN117" s="481">
        <v>21</v>
      </c>
      <c r="AO117" s="481"/>
      <c r="AP117" s="481"/>
      <c r="AQ117" s="481"/>
      <c r="AR117" s="481"/>
      <c r="AS117" s="481"/>
      <c r="AT117" s="481"/>
      <c r="AU117" s="481">
        <f t="shared" si="78"/>
        <v>21</v>
      </c>
      <c r="AV117" s="548">
        <v>22.5</v>
      </c>
      <c r="AW117" s="548"/>
      <c r="AX117" s="548"/>
      <c r="AY117" s="548"/>
      <c r="AZ117" s="548"/>
      <c r="BA117" s="548"/>
      <c r="BB117" s="548"/>
      <c r="BC117" s="548">
        <f t="shared" si="80"/>
        <v>22.5</v>
      </c>
      <c r="BD117" s="42">
        <f t="shared" si="85"/>
        <v>62</v>
      </c>
      <c r="BE117" s="42">
        <f t="shared" si="85"/>
        <v>0</v>
      </c>
      <c r="BF117" s="42">
        <f t="shared" si="85"/>
        <v>0</v>
      </c>
      <c r="BG117" s="42">
        <f t="shared" si="85"/>
        <v>200</v>
      </c>
      <c r="BH117" s="42">
        <f t="shared" si="85"/>
        <v>0</v>
      </c>
      <c r="BI117" s="42">
        <f t="shared" si="51"/>
        <v>0</v>
      </c>
      <c r="BJ117" s="42">
        <f t="shared" si="69"/>
        <v>0</v>
      </c>
      <c r="BK117" s="42">
        <f t="shared" si="69"/>
        <v>262</v>
      </c>
    </row>
    <row r="118" spans="1:63" ht="51.75" customHeight="1" x14ac:dyDescent="0.25">
      <c r="A118" s="298" t="s">
        <v>346</v>
      </c>
      <c r="B118" s="299" t="s">
        <v>343</v>
      </c>
      <c r="C118" s="1547"/>
      <c r="D118" s="1549"/>
      <c r="E118" s="1549"/>
      <c r="F118" s="1549"/>
      <c r="G118" s="1549"/>
      <c r="H118" s="1549"/>
      <c r="I118" s="1425"/>
      <c r="J118" s="1425"/>
      <c r="K118" s="1425" t="s">
        <v>375</v>
      </c>
      <c r="L118" s="301" t="s">
        <v>179</v>
      </c>
      <c r="M118" s="1425" t="s">
        <v>351</v>
      </c>
      <c r="N118" s="1425" t="s">
        <v>352</v>
      </c>
      <c r="O118" s="1425" t="s">
        <v>47</v>
      </c>
      <c r="P118" s="16" t="s">
        <v>376</v>
      </c>
      <c r="Q118" s="302" t="s">
        <v>377</v>
      </c>
      <c r="R118" s="303">
        <v>2015</v>
      </c>
      <c r="S118" s="303">
        <v>0</v>
      </c>
      <c r="T118" s="303">
        <v>1</v>
      </c>
      <c r="U118" s="572">
        <v>1</v>
      </c>
      <c r="V118" s="572">
        <v>1</v>
      </c>
      <c r="W118" s="572">
        <v>1</v>
      </c>
      <c r="X118" s="572">
        <f>SUBTOTAL(9,T118:W118)</f>
        <v>4</v>
      </c>
      <c r="Y118" s="481"/>
      <c r="Z118" s="481"/>
      <c r="AA118" s="481"/>
      <c r="AB118" s="481"/>
      <c r="AC118" s="481"/>
      <c r="AD118" s="481"/>
      <c r="AE118" s="481"/>
      <c r="AF118" s="481">
        <f t="shared" si="65"/>
        <v>0</v>
      </c>
      <c r="AG118" s="548">
        <v>0.5</v>
      </c>
      <c r="AH118" s="548"/>
      <c r="AI118" s="716"/>
      <c r="AJ118" s="548"/>
      <c r="AK118" s="548"/>
      <c r="AL118" s="548"/>
      <c r="AM118" s="548">
        <f t="shared" si="76"/>
        <v>0.5</v>
      </c>
      <c r="AN118" s="481"/>
      <c r="AO118" s="481"/>
      <c r="AP118" s="481"/>
      <c r="AQ118" s="481"/>
      <c r="AR118" s="481"/>
      <c r="AS118" s="481"/>
      <c r="AT118" s="481"/>
      <c r="AU118" s="481">
        <f t="shared" si="78"/>
        <v>0</v>
      </c>
      <c r="AV118" s="548"/>
      <c r="AW118" s="548"/>
      <c r="AX118" s="548"/>
      <c r="AY118" s="548"/>
      <c r="AZ118" s="548"/>
      <c r="BA118" s="548"/>
      <c r="BB118" s="548"/>
      <c r="BC118" s="548">
        <f t="shared" si="80"/>
        <v>0</v>
      </c>
      <c r="BD118" s="42">
        <f t="shared" si="85"/>
        <v>0.5</v>
      </c>
      <c r="BE118" s="42">
        <f t="shared" si="85"/>
        <v>0</v>
      </c>
      <c r="BF118" s="42">
        <f t="shared" si="85"/>
        <v>0</v>
      </c>
      <c r="BG118" s="42">
        <f t="shared" si="85"/>
        <v>0</v>
      </c>
      <c r="BH118" s="42">
        <f t="shared" si="85"/>
        <v>0</v>
      </c>
      <c r="BI118" s="42">
        <f t="shared" si="51"/>
        <v>0</v>
      </c>
      <c r="BJ118" s="42">
        <f t="shared" si="69"/>
        <v>0</v>
      </c>
      <c r="BK118" s="42">
        <f t="shared" si="69"/>
        <v>0.5</v>
      </c>
    </row>
    <row r="119" spans="1:63" ht="50.25" customHeight="1" x14ac:dyDescent="0.25">
      <c r="A119" s="298" t="s">
        <v>346</v>
      </c>
      <c r="B119" s="299" t="s">
        <v>343</v>
      </c>
      <c r="C119" s="1547"/>
      <c r="D119" s="1549"/>
      <c r="E119" s="1549"/>
      <c r="F119" s="1549"/>
      <c r="G119" s="1549"/>
      <c r="H119" s="1549"/>
      <c r="I119" s="1425"/>
      <c r="J119" s="1425"/>
      <c r="K119" s="1425" t="s">
        <v>378</v>
      </c>
      <c r="L119" s="301" t="s">
        <v>179</v>
      </c>
      <c r="M119" s="1425" t="s">
        <v>351</v>
      </c>
      <c r="N119" s="1425" t="s">
        <v>352</v>
      </c>
      <c r="O119" s="1425" t="s">
        <v>47</v>
      </c>
      <c r="P119" s="16" t="s">
        <v>379</v>
      </c>
      <c r="Q119" s="302" t="s">
        <v>380</v>
      </c>
      <c r="R119" s="303">
        <v>2015</v>
      </c>
      <c r="S119" s="303">
        <v>0</v>
      </c>
      <c r="T119" s="303">
        <v>50</v>
      </c>
      <c r="U119" s="572">
        <v>0</v>
      </c>
      <c r="V119" s="572">
        <v>0</v>
      </c>
      <c r="W119" s="572">
        <v>0</v>
      </c>
      <c r="X119" s="572">
        <f>SUBTOTAL(9,T119:W119)</f>
        <v>50</v>
      </c>
      <c r="Y119" s="481"/>
      <c r="Z119" s="481"/>
      <c r="AA119" s="481"/>
      <c r="AB119" s="481"/>
      <c r="AC119" s="481"/>
      <c r="AD119" s="481"/>
      <c r="AE119" s="481"/>
      <c r="AF119" s="481">
        <f t="shared" si="65"/>
        <v>0</v>
      </c>
      <c r="AG119" s="548"/>
      <c r="AH119" s="548"/>
      <c r="AI119" s="548"/>
      <c r="AJ119" s="548"/>
      <c r="AK119" s="548"/>
      <c r="AL119" s="548"/>
      <c r="AM119" s="548">
        <f t="shared" si="76"/>
        <v>0</v>
      </c>
      <c r="AN119" s="481"/>
      <c r="AO119" s="481"/>
      <c r="AP119" s="481"/>
      <c r="AQ119" s="481"/>
      <c r="AR119" s="481"/>
      <c r="AS119" s="481"/>
      <c r="AT119" s="481"/>
      <c r="AU119" s="481">
        <f t="shared" si="78"/>
        <v>0</v>
      </c>
      <c r="AV119" s="548"/>
      <c r="AW119" s="548"/>
      <c r="AX119" s="548"/>
      <c r="AY119" s="548"/>
      <c r="AZ119" s="548"/>
      <c r="BA119" s="548"/>
      <c r="BB119" s="548"/>
      <c r="BC119" s="548">
        <f t="shared" si="80"/>
        <v>0</v>
      </c>
      <c r="BD119" s="42">
        <f t="shared" si="85"/>
        <v>0</v>
      </c>
      <c r="BE119" s="42">
        <f t="shared" si="85"/>
        <v>0</v>
      </c>
      <c r="BF119" s="42">
        <f t="shared" si="85"/>
        <v>0</v>
      </c>
      <c r="BG119" s="42">
        <f t="shared" si="85"/>
        <v>0</v>
      </c>
      <c r="BH119" s="42">
        <f t="shared" si="85"/>
        <v>0</v>
      </c>
      <c r="BI119" s="42">
        <f t="shared" si="51"/>
        <v>0</v>
      </c>
      <c r="BJ119" s="42">
        <f t="shared" si="69"/>
        <v>0</v>
      </c>
      <c r="BK119" s="42">
        <f t="shared" si="69"/>
        <v>0</v>
      </c>
    </row>
    <row r="120" spans="1:63" ht="44.25" customHeight="1" x14ac:dyDescent="0.25">
      <c r="A120" s="298" t="s">
        <v>346</v>
      </c>
      <c r="B120" s="299" t="s">
        <v>343</v>
      </c>
      <c r="C120" s="1548"/>
      <c r="D120" s="1549"/>
      <c r="E120" s="1549"/>
      <c r="F120" s="1549"/>
      <c r="G120" s="1549"/>
      <c r="H120" s="1549"/>
      <c r="I120" s="1425" t="s">
        <v>53</v>
      </c>
      <c r="J120" s="1425"/>
      <c r="K120" s="1425" t="s">
        <v>381</v>
      </c>
      <c r="L120" s="301" t="s">
        <v>179</v>
      </c>
      <c r="M120" s="1425" t="s">
        <v>351</v>
      </c>
      <c r="N120" s="1425" t="s">
        <v>352</v>
      </c>
      <c r="O120" s="1425" t="s">
        <v>47</v>
      </c>
      <c r="P120" s="16" t="s">
        <v>382</v>
      </c>
      <c r="Q120" s="302" t="s">
        <v>383</v>
      </c>
      <c r="R120" s="303">
        <v>2015</v>
      </c>
      <c r="S120" s="303">
        <v>0</v>
      </c>
      <c r="T120" s="303">
        <v>1</v>
      </c>
      <c r="U120" s="572">
        <v>1</v>
      </c>
      <c r="V120" s="572">
        <v>0</v>
      </c>
      <c r="W120" s="572">
        <v>0</v>
      </c>
      <c r="X120" s="572">
        <f>SUBTOTAL(9,T120:W120)</f>
        <v>2</v>
      </c>
      <c r="Y120" s="481">
        <v>20</v>
      </c>
      <c r="Z120" s="481"/>
      <c r="AA120" s="481">
        <v>94</v>
      </c>
      <c r="AB120" s="481"/>
      <c r="AC120" s="481"/>
      <c r="AD120" s="481"/>
      <c r="AE120" s="481"/>
      <c r="AF120" s="481">
        <f t="shared" si="65"/>
        <v>114</v>
      </c>
      <c r="AG120" s="548"/>
      <c r="AH120" s="548"/>
      <c r="AI120" s="548"/>
      <c r="AJ120" s="548"/>
      <c r="AK120" s="548"/>
      <c r="AL120" s="548">
        <v>300</v>
      </c>
      <c r="AM120" s="548">
        <f t="shared" si="76"/>
        <v>300</v>
      </c>
      <c r="AN120" s="481"/>
      <c r="AO120" s="481"/>
      <c r="AP120" s="481"/>
      <c r="AQ120" s="481"/>
      <c r="AR120" s="481"/>
      <c r="AS120" s="481"/>
      <c r="AT120" s="481"/>
      <c r="AU120" s="481">
        <f t="shared" si="78"/>
        <v>0</v>
      </c>
      <c r="AV120" s="548"/>
      <c r="AW120" s="548"/>
      <c r="AX120" s="548"/>
      <c r="AY120" s="548"/>
      <c r="AZ120" s="548"/>
      <c r="BA120" s="548"/>
      <c r="BB120" s="548"/>
      <c r="BC120" s="548">
        <f t="shared" si="80"/>
        <v>0</v>
      </c>
      <c r="BD120" s="42">
        <f t="shared" si="85"/>
        <v>20</v>
      </c>
      <c r="BE120" s="42">
        <f t="shared" si="85"/>
        <v>0</v>
      </c>
      <c r="BF120" s="42">
        <f t="shared" si="85"/>
        <v>94</v>
      </c>
      <c r="BG120" s="42">
        <f t="shared" si="85"/>
        <v>0</v>
      </c>
      <c r="BH120" s="42">
        <f t="shared" si="85"/>
        <v>0</v>
      </c>
      <c r="BI120" s="42">
        <f t="shared" si="51"/>
        <v>0</v>
      </c>
      <c r="BJ120" s="42">
        <f t="shared" si="69"/>
        <v>300</v>
      </c>
      <c r="BK120" s="42">
        <f t="shared" si="69"/>
        <v>414</v>
      </c>
    </row>
    <row r="121" spans="1:63" ht="2.25" customHeight="1" x14ac:dyDescent="0.2">
      <c r="A121" s="151"/>
      <c r="B121" s="7" t="s">
        <v>384</v>
      </c>
      <c r="C121" s="7"/>
      <c r="D121" s="1442"/>
      <c r="E121" s="1442"/>
      <c r="F121" s="1442"/>
      <c r="G121" s="1442"/>
      <c r="H121" s="1442"/>
      <c r="I121" s="1442"/>
      <c r="J121" s="1442"/>
      <c r="K121" s="1442"/>
      <c r="L121" s="1442"/>
      <c r="M121" s="1442"/>
      <c r="N121" s="11"/>
      <c r="O121" s="1442"/>
      <c r="P121" s="1440"/>
      <c r="Q121" s="1440"/>
      <c r="R121" s="1442"/>
      <c r="S121" s="1442"/>
      <c r="T121" s="1442"/>
      <c r="U121" s="63"/>
      <c r="V121" s="63"/>
      <c r="W121" s="63"/>
      <c r="X121" s="63"/>
      <c r="Y121" s="42"/>
      <c r="Z121" s="42"/>
      <c r="AA121" s="42"/>
      <c r="AB121" s="42"/>
      <c r="AC121" s="42"/>
      <c r="AD121" s="42"/>
      <c r="AE121" s="42"/>
      <c r="AF121" s="42"/>
      <c r="AG121" s="42"/>
      <c r="AH121" s="42"/>
      <c r="AI121" s="42">
        <f>+AA122*1.035</f>
        <v>2473.9605000000001</v>
      </c>
      <c r="AJ121" s="42"/>
      <c r="AK121" s="42"/>
      <c r="AL121" s="42"/>
      <c r="AM121" s="42"/>
      <c r="AN121" s="42"/>
      <c r="AO121" s="42"/>
      <c r="AP121" s="42">
        <f>+AI121*1.035</f>
        <v>2560.5491174999997</v>
      </c>
      <c r="AQ121" s="42"/>
      <c r="AR121" s="42"/>
      <c r="AS121" s="42"/>
      <c r="AT121" s="42"/>
      <c r="AU121" s="42"/>
      <c r="AV121" s="42"/>
      <c r="AW121" s="42"/>
      <c r="AX121" s="42">
        <f>+AP121*1.035</f>
        <v>2650.1683366124994</v>
      </c>
      <c r="AY121" s="42"/>
      <c r="AZ121" s="42"/>
      <c r="BA121" s="42"/>
      <c r="BB121" s="42"/>
      <c r="BC121" s="42"/>
      <c r="BD121" s="42">
        <f t="shared" si="85"/>
        <v>0</v>
      </c>
      <c r="BE121" s="42">
        <f t="shared" si="85"/>
        <v>0</v>
      </c>
      <c r="BF121" s="42">
        <f t="shared" si="85"/>
        <v>7684.6779541124988</v>
      </c>
      <c r="BG121" s="42">
        <f t="shared" si="85"/>
        <v>0</v>
      </c>
      <c r="BH121" s="42">
        <f t="shared" si="85"/>
        <v>0</v>
      </c>
      <c r="BI121" s="42">
        <f t="shared" si="51"/>
        <v>0</v>
      </c>
      <c r="BJ121" s="42">
        <f t="shared" si="69"/>
        <v>0</v>
      </c>
      <c r="BK121" s="42">
        <f t="shared" si="69"/>
        <v>0</v>
      </c>
    </row>
    <row r="122" spans="1:63" ht="18" x14ac:dyDescent="0.2">
      <c r="A122" s="420"/>
      <c r="B122" s="1556" t="s">
        <v>384</v>
      </c>
      <c r="C122" s="1557"/>
      <c r="D122" s="1557"/>
      <c r="E122" s="1557"/>
      <c r="F122" s="1557"/>
      <c r="G122" s="1557"/>
      <c r="H122" s="1557"/>
      <c r="I122" s="1557"/>
      <c r="J122" s="1557"/>
      <c r="K122" s="1557"/>
      <c r="L122" s="1557"/>
      <c r="M122" s="1558"/>
      <c r="N122" s="597"/>
      <c r="O122" s="597"/>
      <c r="P122" s="597"/>
      <c r="Q122" s="598"/>
      <c r="R122" s="597"/>
      <c r="S122" s="597"/>
      <c r="T122" s="597"/>
      <c r="U122" s="599"/>
      <c r="V122" s="599"/>
      <c r="W122" s="599"/>
      <c r="X122" s="599"/>
      <c r="Y122" s="600">
        <f t="shared" ref="Y122:BK122" si="90">+Y123+Y138+Y148</f>
        <v>0</v>
      </c>
      <c r="Z122" s="600">
        <f t="shared" si="90"/>
        <v>0</v>
      </c>
      <c r="AA122" s="600">
        <f t="shared" si="90"/>
        <v>2390.3000000000002</v>
      </c>
      <c r="AB122" s="600">
        <f t="shared" si="90"/>
        <v>0</v>
      </c>
      <c r="AC122" s="600">
        <f t="shared" si="90"/>
        <v>0</v>
      </c>
      <c r="AD122" s="600">
        <f t="shared" si="90"/>
        <v>95.1</v>
      </c>
      <c r="AE122" s="600">
        <f t="shared" si="90"/>
        <v>0</v>
      </c>
      <c r="AF122" s="600">
        <f t="shared" si="90"/>
        <v>2485.4</v>
      </c>
      <c r="AG122" s="600">
        <f t="shared" si="90"/>
        <v>0</v>
      </c>
      <c r="AH122" s="600">
        <f t="shared" si="90"/>
        <v>0</v>
      </c>
      <c r="AI122" s="600">
        <f t="shared" si="90"/>
        <v>2190.3850000000002</v>
      </c>
      <c r="AJ122" s="600">
        <f t="shared" si="90"/>
        <v>0</v>
      </c>
      <c r="AK122" s="600">
        <f t="shared" si="90"/>
        <v>0</v>
      </c>
      <c r="AL122" s="600">
        <f t="shared" si="90"/>
        <v>0</v>
      </c>
      <c r="AM122" s="600">
        <f t="shared" si="90"/>
        <v>2190.3850000000002</v>
      </c>
      <c r="AN122" s="600">
        <f t="shared" si="90"/>
        <v>0</v>
      </c>
      <c r="AO122" s="600">
        <f t="shared" si="90"/>
        <v>0</v>
      </c>
      <c r="AP122" s="600">
        <f t="shared" si="90"/>
        <v>2268.8264749999998</v>
      </c>
      <c r="AQ122" s="600">
        <f t="shared" si="90"/>
        <v>800</v>
      </c>
      <c r="AR122" s="600">
        <f t="shared" si="90"/>
        <v>0</v>
      </c>
      <c r="AS122" s="600">
        <f t="shared" si="90"/>
        <v>0</v>
      </c>
      <c r="AT122" s="600">
        <f t="shared" si="90"/>
        <v>5050</v>
      </c>
      <c r="AU122" s="600">
        <f t="shared" si="90"/>
        <v>8118.8264750000008</v>
      </c>
      <c r="AV122" s="600">
        <f t="shared" si="90"/>
        <v>0</v>
      </c>
      <c r="AW122" s="600">
        <f t="shared" si="90"/>
        <v>0</v>
      </c>
      <c r="AX122" s="600">
        <f t="shared" si="90"/>
        <v>2348.0599516249995</v>
      </c>
      <c r="AY122" s="600">
        <f t="shared" si="90"/>
        <v>500</v>
      </c>
      <c r="AZ122" s="600">
        <f t="shared" si="90"/>
        <v>0</v>
      </c>
      <c r="BA122" s="600">
        <f t="shared" si="90"/>
        <v>0</v>
      </c>
      <c r="BB122" s="600">
        <f t="shared" si="90"/>
        <v>0</v>
      </c>
      <c r="BC122" s="600">
        <f t="shared" si="90"/>
        <v>2848.0599516249995</v>
      </c>
      <c r="BD122" s="33">
        <f t="shared" si="90"/>
        <v>0</v>
      </c>
      <c r="BE122" s="33">
        <f t="shared" si="90"/>
        <v>0</v>
      </c>
      <c r="BF122" s="33">
        <f t="shared" si="90"/>
        <v>9197.5714266249997</v>
      </c>
      <c r="BG122" s="33">
        <f t="shared" si="90"/>
        <v>1300</v>
      </c>
      <c r="BH122" s="33">
        <f t="shared" si="90"/>
        <v>0</v>
      </c>
      <c r="BI122" s="33">
        <f t="shared" si="51"/>
        <v>95.1</v>
      </c>
      <c r="BJ122" s="33">
        <f t="shared" si="90"/>
        <v>5050</v>
      </c>
      <c r="BK122" s="33">
        <f t="shared" si="90"/>
        <v>15642.671426625</v>
      </c>
    </row>
    <row r="123" spans="1:63" ht="12.75" x14ac:dyDescent="0.2">
      <c r="A123" s="603"/>
      <c r="B123" s="154" t="s">
        <v>384</v>
      </c>
      <c r="C123" s="6"/>
      <c r="D123" s="2" t="s">
        <v>385</v>
      </c>
      <c r="E123" s="1"/>
      <c r="F123" s="1"/>
      <c r="G123" s="1"/>
      <c r="H123" s="1"/>
      <c r="I123" s="1"/>
      <c r="J123" s="1"/>
      <c r="K123" s="1"/>
      <c r="L123" s="1"/>
      <c r="M123" s="1"/>
      <c r="N123" s="1"/>
      <c r="O123" s="1"/>
      <c r="P123" s="1"/>
      <c r="Q123" s="22"/>
      <c r="R123" s="1"/>
      <c r="S123" s="1"/>
      <c r="T123" s="1"/>
      <c r="U123" s="49"/>
      <c r="V123" s="49"/>
      <c r="W123" s="49"/>
      <c r="X123" s="49"/>
      <c r="Y123" s="34">
        <f t="shared" ref="Y123:AE123" si="91">SUM(Y124:Y137)</f>
        <v>0</v>
      </c>
      <c r="Z123" s="34">
        <f t="shared" si="91"/>
        <v>0</v>
      </c>
      <c r="AA123" s="34">
        <f t="shared" si="91"/>
        <v>796.7</v>
      </c>
      <c r="AB123" s="34">
        <f t="shared" si="91"/>
        <v>0</v>
      </c>
      <c r="AC123" s="34">
        <f t="shared" si="91"/>
        <v>0</v>
      </c>
      <c r="AD123" s="34">
        <f t="shared" si="91"/>
        <v>0</v>
      </c>
      <c r="AE123" s="34">
        <f t="shared" si="91"/>
        <v>0</v>
      </c>
      <c r="AF123" s="34">
        <f t="shared" ref="AF123:AF155" si="92">SUM(Y123:AE123)</f>
        <v>796.7</v>
      </c>
      <c r="AG123" s="34">
        <f t="shared" ref="AG123:AL123" si="93">SUM(AG124:AG137)</f>
        <v>0</v>
      </c>
      <c r="AH123" s="34">
        <f t="shared" si="93"/>
        <v>0</v>
      </c>
      <c r="AI123" s="34">
        <f t="shared" si="93"/>
        <v>1045.52</v>
      </c>
      <c r="AJ123" s="34">
        <f t="shared" si="93"/>
        <v>0</v>
      </c>
      <c r="AK123" s="34">
        <f t="shared" si="93"/>
        <v>0</v>
      </c>
      <c r="AL123" s="34">
        <f t="shared" si="93"/>
        <v>0</v>
      </c>
      <c r="AM123" s="34">
        <f>SUM(AG123:AL123)</f>
        <v>1045.52</v>
      </c>
      <c r="AN123" s="34">
        <f t="shared" ref="AN123:AT123" si="94">SUM(AN124:AN137)</f>
        <v>0</v>
      </c>
      <c r="AO123" s="34">
        <f t="shared" si="94"/>
        <v>0</v>
      </c>
      <c r="AP123" s="34">
        <f t="shared" si="94"/>
        <v>1218.1511999999998</v>
      </c>
      <c r="AQ123" s="34">
        <f t="shared" si="94"/>
        <v>0</v>
      </c>
      <c r="AR123" s="34">
        <f t="shared" si="94"/>
        <v>0</v>
      </c>
      <c r="AS123" s="34">
        <f t="shared" si="94"/>
        <v>0</v>
      </c>
      <c r="AT123" s="34">
        <f t="shared" si="94"/>
        <v>0</v>
      </c>
      <c r="AU123" s="34">
        <f t="shared" ref="AU123:AU128" si="95">SUM(AN123:AT123)</f>
        <v>1218.1511999999998</v>
      </c>
      <c r="AV123" s="34">
        <f t="shared" ref="AV123:BB123" si="96">SUM(AV124:AV137)</f>
        <v>0</v>
      </c>
      <c r="AW123" s="34">
        <f t="shared" si="96"/>
        <v>0</v>
      </c>
      <c r="AX123" s="34">
        <f t="shared" si="96"/>
        <v>1227.1260419999999</v>
      </c>
      <c r="AY123" s="34">
        <f>SUM(AY124:AY137)</f>
        <v>500</v>
      </c>
      <c r="AZ123" s="34">
        <f t="shared" si="96"/>
        <v>0</v>
      </c>
      <c r="BA123" s="34">
        <f t="shared" si="96"/>
        <v>0</v>
      </c>
      <c r="BB123" s="34">
        <f t="shared" si="96"/>
        <v>0</v>
      </c>
      <c r="BC123" s="34">
        <f>SUM(AV123:BB123)</f>
        <v>1727.1260419999999</v>
      </c>
      <c r="BD123" s="34">
        <f t="shared" si="85"/>
        <v>0</v>
      </c>
      <c r="BE123" s="34">
        <f t="shared" si="85"/>
        <v>0</v>
      </c>
      <c r="BF123" s="34">
        <f t="shared" si="85"/>
        <v>4287.4972419999995</v>
      </c>
      <c r="BG123" s="34">
        <f t="shared" si="85"/>
        <v>500</v>
      </c>
      <c r="BH123" s="34">
        <f t="shared" si="85"/>
        <v>0</v>
      </c>
      <c r="BI123" s="34">
        <f t="shared" si="51"/>
        <v>0</v>
      </c>
      <c r="BJ123" s="34">
        <f t="shared" si="69"/>
        <v>0</v>
      </c>
      <c r="BK123" s="34">
        <f t="shared" si="69"/>
        <v>4787.4972419999995</v>
      </c>
    </row>
    <row r="124" spans="1:63" ht="55.5" customHeight="1" x14ac:dyDescent="0.25">
      <c r="A124" s="298" t="s">
        <v>386</v>
      </c>
      <c r="B124" s="299" t="s">
        <v>384</v>
      </c>
      <c r="C124" s="1546" t="s">
        <v>387</v>
      </c>
      <c r="D124" s="1549" t="s">
        <v>388</v>
      </c>
      <c r="E124" s="1549" t="s">
        <v>389</v>
      </c>
      <c r="F124" s="1559">
        <v>2005</v>
      </c>
      <c r="G124" s="1560">
        <v>0.65100000000000002</v>
      </c>
      <c r="H124" s="1561">
        <v>0.7</v>
      </c>
      <c r="I124" s="1430" t="s">
        <v>53</v>
      </c>
      <c r="J124" s="1430"/>
      <c r="K124" s="1430" t="s">
        <v>390</v>
      </c>
      <c r="L124" s="301" t="s">
        <v>391</v>
      </c>
      <c r="M124" s="1425" t="s">
        <v>392</v>
      </c>
      <c r="N124" s="476" t="s">
        <v>393</v>
      </c>
      <c r="O124" s="1425" t="s">
        <v>47</v>
      </c>
      <c r="P124" s="71" t="s">
        <v>394</v>
      </c>
      <c r="Q124" s="302" t="s">
        <v>395</v>
      </c>
      <c r="R124" s="303">
        <v>2015</v>
      </c>
      <c r="S124" s="303">
        <v>0</v>
      </c>
      <c r="T124" s="303">
        <v>0</v>
      </c>
      <c r="U124" s="572">
        <v>0</v>
      </c>
      <c r="V124" s="572">
        <v>0</v>
      </c>
      <c r="W124" s="572">
        <v>1</v>
      </c>
      <c r="X124" s="572">
        <v>1</v>
      </c>
      <c r="Y124" s="481"/>
      <c r="Z124" s="481"/>
      <c r="AA124" s="481"/>
      <c r="AB124" s="481"/>
      <c r="AC124" s="481"/>
      <c r="AD124" s="481"/>
      <c r="AE124" s="481"/>
      <c r="AF124" s="481">
        <f t="shared" si="92"/>
        <v>0</v>
      </c>
      <c r="AG124" s="548"/>
      <c r="AH124" s="548"/>
      <c r="AI124" s="548"/>
      <c r="AJ124" s="588"/>
      <c r="AK124" s="548"/>
      <c r="AL124" s="548"/>
      <c r="AM124" s="548">
        <f>SUM(AG124:AL124)</f>
        <v>0</v>
      </c>
      <c r="AN124" s="481"/>
      <c r="AO124" s="481"/>
      <c r="AP124" s="481"/>
      <c r="AQ124" s="481"/>
      <c r="AR124" s="481"/>
      <c r="AS124" s="481"/>
      <c r="AT124" s="481"/>
      <c r="AU124" s="481">
        <f t="shared" si="95"/>
        <v>0</v>
      </c>
      <c r="AV124" s="548"/>
      <c r="AW124" s="548"/>
      <c r="AX124" s="548"/>
      <c r="AY124" s="43">
        <v>500</v>
      </c>
      <c r="AZ124" s="548"/>
      <c r="BA124" s="548"/>
      <c r="BB124" s="548"/>
      <c r="BC124" s="548">
        <f>SUM(AV124:BB124)</f>
        <v>500</v>
      </c>
      <c r="BD124" s="42">
        <f t="shared" si="85"/>
        <v>0</v>
      </c>
      <c r="BE124" s="42">
        <f t="shared" si="85"/>
        <v>0</v>
      </c>
      <c r="BF124" s="42">
        <f t="shared" si="85"/>
        <v>0</v>
      </c>
      <c r="BG124" s="43">
        <f t="shared" si="85"/>
        <v>500</v>
      </c>
      <c r="BH124" s="42">
        <f t="shared" si="85"/>
        <v>0</v>
      </c>
      <c r="BI124" s="42">
        <f t="shared" si="51"/>
        <v>0</v>
      </c>
      <c r="BJ124" s="42">
        <f t="shared" si="69"/>
        <v>0</v>
      </c>
      <c r="BK124" s="42">
        <f t="shared" si="69"/>
        <v>500</v>
      </c>
    </row>
    <row r="125" spans="1:63" ht="53.25" customHeight="1" x14ac:dyDescent="0.25">
      <c r="A125" s="298" t="s">
        <v>386</v>
      </c>
      <c r="B125" s="299" t="s">
        <v>384</v>
      </c>
      <c r="C125" s="1547"/>
      <c r="D125" s="1549"/>
      <c r="E125" s="1549"/>
      <c r="F125" s="1559"/>
      <c r="G125" s="1560"/>
      <c r="H125" s="1561"/>
      <c r="I125" s="1430"/>
      <c r="J125" s="1430"/>
      <c r="K125" s="1430" t="s">
        <v>396</v>
      </c>
      <c r="L125" s="301" t="s">
        <v>391</v>
      </c>
      <c r="M125" s="1425" t="s">
        <v>392</v>
      </c>
      <c r="N125" s="476" t="s">
        <v>393</v>
      </c>
      <c r="O125" s="1425" t="s">
        <v>73</v>
      </c>
      <c r="P125" s="16" t="s">
        <v>397</v>
      </c>
      <c r="Q125" s="302" t="s">
        <v>398</v>
      </c>
      <c r="R125" s="303">
        <v>2015</v>
      </c>
      <c r="S125" s="303">
        <v>1</v>
      </c>
      <c r="T125" s="303">
        <v>1</v>
      </c>
      <c r="U125" s="572">
        <v>1</v>
      </c>
      <c r="V125" s="572">
        <v>1</v>
      </c>
      <c r="W125" s="572">
        <v>1</v>
      </c>
      <c r="X125" s="572">
        <v>1</v>
      </c>
      <c r="Y125" s="481"/>
      <c r="Z125" s="481"/>
      <c r="AA125" s="481">
        <v>20</v>
      </c>
      <c r="AB125" s="481"/>
      <c r="AC125" s="481"/>
      <c r="AD125" s="481"/>
      <c r="AE125" s="481"/>
      <c r="AF125" s="481">
        <f t="shared" si="92"/>
        <v>20</v>
      </c>
      <c r="AG125" s="548"/>
      <c r="AH125" s="548"/>
      <c r="AI125" s="491">
        <v>19.7</v>
      </c>
      <c r="AJ125" s="548"/>
      <c r="AK125" s="548"/>
      <c r="AL125" s="548"/>
      <c r="AM125" s="548">
        <f t="shared" ref="AM125:AM137" si="97">SUM(AG125:AL125)</f>
        <v>19.7</v>
      </c>
      <c r="AN125" s="481"/>
      <c r="AO125" s="481"/>
      <c r="AP125" s="481">
        <f>+AI125*1.035</f>
        <v>20.389499999999998</v>
      </c>
      <c r="AQ125" s="481"/>
      <c r="AR125" s="481"/>
      <c r="AS125" s="481"/>
      <c r="AT125" s="481"/>
      <c r="AU125" s="481">
        <f t="shared" si="95"/>
        <v>20.389499999999998</v>
      </c>
      <c r="AV125" s="548"/>
      <c r="AW125" s="548"/>
      <c r="AX125" s="548">
        <f>+AP125*1.035</f>
        <v>21.103132499999997</v>
      </c>
      <c r="AY125" s="548"/>
      <c r="AZ125" s="548"/>
      <c r="BA125" s="548"/>
      <c r="BB125" s="548"/>
      <c r="BC125" s="548">
        <f t="shared" ref="BC125:BC137" si="98">SUM(AV125:BB125)</f>
        <v>21.103132499999997</v>
      </c>
      <c r="BD125" s="42">
        <f t="shared" si="85"/>
        <v>0</v>
      </c>
      <c r="BE125" s="42">
        <f t="shared" si="85"/>
        <v>0</v>
      </c>
      <c r="BF125" s="42">
        <f t="shared" si="85"/>
        <v>81.192632500000002</v>
      </c>
      <c r="BG125" s="42">
        <f t="shared" si="85"/>
        <v>0</v>
      </c>
      <c r="BH125" s="42">
        <f t="shared" si="85"/>
        <v>0</v>
      </c>
      <c r="BI125" s="42">
        <f t="shared" si="51"/>
        <v>0</v>
      </c>
      <c r="BJ125" s="42">
        <f t="shared" si="69"/>
        <v>0</v>
      </c>
      <c r="BK125" s="42">
        <f t="shared" si="69"/>
        <v>81.192632500000002</v>
      </c>
    </row>
    <row r="126" spans="1:63" ht="42.75" customHeight="1" x14ac:dyDescent="0.25">
      <c r="A126" s="298" t="s">
        <v>386</v>
      </c>
      <c r="B126" s="299" t="s">
        <v>384</v>
      </c>
      <c r="C126" s="1547"/>
      <c r="D126" s="1549"/>
      <c r="E126" s="1549"/>
      <c r="F126" s="1559"/>
      <c r="G126" s="1560"/>
      <c r="H126" s="1561"/>
      <c r="I126" s="1430"/>
      <c r="J126" s="1430"/>
      <c r="K126" s="1430" t="s">
        <v>399</v>
      </c>
      <c r="L126" s="301" t="s">
        <v>391</v>
      </c>
      <c r="M126" s="1425" t="s">
        <v>392</v>
      </c>
      <c r="N126" s="476" t="s">
        <v>393</v>
      </c>
      <c r="O126" s="1425" t="s">
        <v>47</v>
      </c>
      <c r="P126" s="71" t="s">
        <v>400</v>
      </c>
      <c r="Q126" s="302" t="s">
        <v>401</v>
      </c>
      <c r="R126" s="303">
        <v>2015</v>
      </c>
      <c r="S126" s="303">
        <v>0</v>
      </c>
      <c r="T126" s="303">
        <v>1</v>
      </c>
      <c r="U126" s="572">
        <v>1</v>
      </c>
      <c r="V126" s="572">
        <v>1</v>
      </c>
      <c r="W126" s="572">
        <v>1</v>
      </c>
      <c r="X126" s="572">
        <v>1</v>
      </c>
      <c r="Y126" s="481"/>
      <c r="Z126" s="481"/>
      <c r="AA126" s="481">
        <v>5</v>
      </c>
      <c r="AB126" s="481"/>
      <c r="AC126" s="481"/>
      <c r="AD126" s="481"/>
      <c r="AE126" s="481"/>
      <c r="AF126" s="481">
        <f t="shared" si="92"/>
        <v>5</v>
      </c>
      <c r="AG126" s="548"/>
      <c r="AH126" s="548"/>
      <c r="AI126" s="491">
        <v>1</v>
      </c>
      <c r="AJ126" s="548"/>
      <c r="AK126" s="548"/>
      <c r="AL126" s="548"/>
      <c r="AM126" s="548">
        <f t="shared" si="97"/>
        <v>1</v>
      </c>
      <c r="AN126" s="481"/>
      <c r="AO126" s="481"/>
      <c r="AP126" s="481"/>
      <c r="AQ126" s="481"/>
      <c r="AR126" s="481"/>
      <c r="AS126" s="481"/>
      <c r="AT126" s="481"/>
      <c r="AU126" s="481">
        <f t="shared" si="95"/>
        <v>0</v>
      </c>
      <c r="AV126" s="548"/>
      <c r="AW126" s="548"/>
      <c r="AX126" s="491">
        <v>10</v>
      </c>
      <c r="AY126" s="548"/>
      <c r="AZ126" s="548"/>
      <c r="BA126" s="548"/>
      <c r="BB126" s="548"/>
      <c r="BC126" s="548">
        <f t="shared" si="98"/>
        <v>10</v>
      </c>
      <c r="BD126" s="42">
        <f t="shared" si="85"/>
        <v>0</v>
      </c>
      <c r="BE126" s="42">
        <f t="shared" si="85"/>
        <v>0</v>
      </c>
      <c r="BF126" s="42">
        <f t="shared" si="85"/>
        <v>16</v>
      </c>
      <c r="BG126" s="42">
        <f t="shared" si="85"/>
        <v>0</v>
      </c>
      <c r="BH126" s="42">
        <f t="shared" si="85"/>
        <v>0</v>
      </c>
      <c r="BI126" s="42">
        <f t="shared" si="51"/>
        <v>0</v>
      </c>
      <c r="BJ126" s="42">
        <f t="shared" si="69"/>
        <v>0</v>
      </c>
      <c r="BK126" s="42">
        <f t="shared" si="69"/>
        <v>16</v>
      </c>
    </row>
    <row r="127" spans="1:63" ht="43.5" customHeight="1" x14ac:dyDescent="0.25">
      <c r="A127" s="298" t="s">
        <v>386</v>
      </c>
      <c r="B127" s="299" t="s">
        <v>384</v>
      </c>
      <c r="C127" s="1547"/>
      <c r="D127" s="1549"/>
      <c r="E127" s="1549"/>
      <c r="F127" s="1559"/>
      <c r="G127" s="1560"/>
      <c r="H127" s="1561"/>
      <c r="I127" s="1430" t="s">
        <v>53</v>
      </c>
      <c r="J127" s="1430"/>
      <c r="K127" s="1430" t="s">
        <v>402</v>
      </c>
      <c r="L127" s="301" t="s">
        <v>391</v>
      </c>
      <c r="M127" s="1425" t="s">
        <v>392</v>
      </c>
      <c r="N127" s="476" t="s">
        <v>393</v>
      </c>
      <c r="O127" s="1425" t="s">
        <v>47</v>
      </c>
      <c r="P127" s="71" t="s">
        <v>403</v>
      </c>
      <c r="Q127" s="302" t="s">
        <v>404</v>
      </c>
      <c r="R127" s="303">
        <v>2015</v>
      </c>
      <c r="S127" s="303">
        <v>1</v>
      </c>
      <c r="T127" s="303">
        <v>0</v>
      </c>
      <c r="U127" s="572">
        <v>0</v>
      </c>
      <c r="V127" s="572">
        <v>1</v>
      </c>
      <c r="W127" s="572">
        <v>0</v>
      </c>
      <c r="X127" s="572">
        <v>1</v>
      </c>
      <c r="Y127" s="481"/>
      <c r="Z127" s="481"/>
      <c r="AA127" s="481"/>
      <c r="AB127" s="481"/>
      <c r="AC127" s="481"/>
      <c r="AD127" s="481"/>
      <c r="AE127" s="481"/>
      <c r="AF127" s="481">
        <f t="shared" si="92"/>
        <v>0</v>
      </c>
      <c r="AG127" s="548"/>
      <c r="AH127" s="548"/>
      <c r="AI127" s="548"/>
      <c r="AJ127" s="548"/>
      <c r="AK127" s="548"/>
      <c r="AL127" s="548"/>
      <c r="AM127" s="548">
        <f t="shared" si="97"/>
        <v>0</v>
      </c>
      <c r="AN127" s="481"/>
      <c r="AO127" s="481"/>
      <c r="AP127" s="491">
        <v>99</v>
      </c>
      <c r="AQ127" s="481"/>
      <c r="AR127" s="481"/>
      <c r="AS127" s="481"/>
      <c r="AT127" s="481"/>
      <c r="AU127" s="481">
        <f t="shared" si="95"/>
        <v>99</v>
      </c>
      <c r="AV127" s="548"/>
      <c r="AW127" s="548"/>
      <c r="AX127" s="548"/>
      <c r="AY127" s="548"/>
      <c r="AZ127" s="548"/>
      <c r="BA127" s="548"/>
      <c r="BB127" s="548"/>
      <c r="BC127" s="548">
        <f t="shared" si="98"/>
        <v>0</v>
      </c>
      <c r="BD127" s="42">
        <f t="shared" si="85"/>
        <v>0</v>
      </c>
      <c r="BE127" s="42">
        <f t="shared" si="85"/>
        <v>0</v>
      </c>
      <c r="BF127" s="42">
        <f t="shared" si="85"/>
        <v>99</v>
      </c>
      <c r="BG127" s="42">
        <f t="shared" si="85"/>
        <v>0</v>
      </c>
      <c r="BH127" s="42">
        <f t="shared" si="85"/>
        <v>0</v>
      </c>
      <c r="BI127" s="42">
        <f t="shared" si="51"/>
        <v>0</v>
      </c>
      <c r="BJ127" s="42">
        <f t="shared" si="69"/>
        <v>0</v>
      </c>
      <c r="BK127" s="42">
        <f t="shared" si="69"/>
        <v>99</v>
      </c>
    </row>
    <row r="128" spans="1:63" ht="50.25" customHeight="1" x14ac:dyDescent="0.25">
      <c r="A128" s="298" t="s">
        <v>386</v>
      </c>
      <c r="B128" s="299" t="s">
        <v>384</v>
      </c>
      <c r="C128" s="1547"/>
      <c r="D128" s="1549"/>
      <c r="E128" s="1549"/>
      <c r="F128" s="1559"/>
      <c r="G128" s="1560"/>
      <c r="H128" s="1561"/>
      <c r="I128" s="1430"/>
      <c r="J128" s="1430"/>
      <c r="K128" s="1430" t="s">
        <v>405</v>
      </c>
      <c r="L128" s="301" t="s">
        <v>391</v>
      </c>
      <c r="M128" s="1425" t="s">
        <v>392</v>
      </c>
      <c r="N128" s="476" t="s">
        <v>393</v>
      </c>
      <c r="O128" s="1425" t="s">
        <v>47</v>
      </c>
      <c r="P128" s="71" t="s">
        <v>406</v>
      </c>
      <c r="Q128" s="302" t="s">
        <v>407</v>
      </c>
      <c r="R128" s="303">
        <v>2015</v>
      </c>
      <c r="S128" s="303">
        <v>250</v>
      </c>
      <c r="T128" s="303">
        <v>250</v>
      </c>
      <c r="U128" s="572">
        <v>500</v>
      </c>
      <c r="V128" s="572">
        <v>900</v>
      </c>
      <c r="W128" s="572">
        <v>1300</v>
      </c>
      <c r="X128" s="572">
        <v>1300</v>
      </c>
      <c r="Y128" s="481"/>
      <c r="Z128" s="481"/>
      <c r="AA128" s="481">
        <v>55</v>
      </c>
      <c r="AB128" s="481"/>
      <c r="AC128" s="481"/>
      <c r="AD128" s="481"/>
      <c r="AE128" s="481"/>
      <c r="AF128" s="481">
        <f t="shared" si="92"/>
        <v>55</v>
      </c>
      <c r="AG128" s="548"/>
      <c r="AH128" s="548"/>
      <c r="AI128" s="548">
        <f>+AA128*1.035</f>
        <v>56.924999999999997</v>
      </c>
      <c r="AJ128" s="548"/>
      <c r="AK128" s="548"/>
      <c r="AL128" s="548"/>
      <c r="AM128" s="548">
        <f t="shared" si="97"/>
        <v>56.924999999999997</v>
      </c>
      <c r="AN128" s="481"/>
      <c r="AO128" s="481"/>
      <c r="AP128" s="481">
        <f>+AI128*1.035</f>
        <v>58.917374999999993</v>
      </c>
      <c r="AQ128" s="481"/>
      <c r="AR128" s="481"/>
      <c r="AS128" s="481"/>
      <c r="AT128" s="481"/>
      <c r="AU128" s="481">
        <f t="shared" si="95"/>
        <v>58.917374999999993</v>
      </c>
      <c r="AV128" s="548"/>
      <c r="AW128" s="548"/>
      <c r="AX128" s="548">
        <f>+AP128*1.035</f>
        <v>60.979483124999987</v>
      </c>
      <c r="AY128" s="548"/>
      <c r="AZ128" s="548"/>
      <c r="BA128" s="548"/>
      <c r="BB128" s="548"/>
      <c r="BC128" s="548">
        <f t="shared" si="98"/>
        <v>60.979483124999987</v>
      </c>
      <c r="BD128" s="42">
        <f t="shared" si="85"/>
        <v>0</v>
      </c>
      <c r="BE128" s="42">
        <f t="shared" si="85"/>
        <v>0</v>
      </c>
      <c r="BF128" s="42">
        <f t="shared" si="85"/>
        <v>231.82185812499998</v>
      </c>
      <c r="BG128" s="42">
        <f t="shared" si="85"/>
        <v>0</v>
      </c>
      <c r="BH128" s="42">
        <f t="shared" si="85"/>
        <v>0</v>
      </c>
      <c r="BI128" s="42">
        <f t="shared" si="51"/>
        <v>0</v>
      </c>
      <c r="BJ128" s="42">
        <f t="shared" si="69"/>
        <v>0</v>
      </c>
      <c r="BK128" s="42">
        <f t="shared" si="69"/>
        <v>231.82185812499998</v>
      </c>
    </row>
    <row r="129" spans="1:64" s="38" customFormat="1" ht="60" customHeight="1" x14ac:dyDescent="0.25">
      <c r="A129" s="354" t="s">
        <v>386</v>
      </c>
      <c r="B129" s="477" t="s">
        <v>384</v>
      </c>
      <c r="C129" s="1547"/>
      <c r="D129" s="1549"/>
      <c r="E129" s="1549"/>
      <c r="F129" s="1559"/>
      <c r="G129" s="1560"/>
      <c r="H129" s="1561"/>
      <c r="I129" s="478"/>
      <c r="J129" s="478"/>
      <c r="K129" s="478" t="s">
        <v>408</v>
      </c>
      <c r="L129" s="372" t="s">
        <v>391</v>
      </c>
      <c r="M129" s="1425" t="s">
        <v>392</v>
      </c>
      <c r="N129" s="476" t="s">
        <v>393</v>
      </c>
      <c r="O129" s="1432" t="s">
        <v>73</v>
      </c>
      <c r="P129" s="71" t="s">
        <v>409</v>
      </c>
      <c r="Q129" s="345" t="s">
        <v>410</v>
      </c>
      <c r="R129" s="346">
        <v>2015</v>
      </c>
      <c r="S129" s="346">
        <v>100</v>
      </c>
      <c r="T129" s="346">
        <v>100</v>
      </c>
      <c r="U129" s="576">
        <v>100</v>
      </c>
      <c r="V129" s="576">
        <v>100</v>
      </c>
      <c r="W129" s="576">
        <v>100</v>
      </c>
      <c r="X129" s="576">
        <v>100</v>
      </c>
      <c r="Y129" s="579"/>
      <c r="Z129" s="579"/>
      <c r="AA129" s="492">
        <v>152</v>
      </c>
      <c r="AB129" s="579"/>
      <c r="AC129" s="579"/>
      <c r="AD129" s="579"/>
      <c r="AE129" s="579"/>
      <c r="AF129" s="579">
        <f t="shared" si="92"/>
        <v>152</v>
      </c>
      <c r="AG129" s="589"/>
      <c r="AH129" s="589"/>
      <c r="AI129" s="589">
        <f>+AA129*1.035</f>
        <v>157.32</v>
      </c>
      <c r="AJ129" s="589"/>
      <c r="AK129" s="589"/>
      <c r="AL129" s="589"/>
      <c r="AM129" s="589">
        <f t="shared" si="97"/>
        <v>157.32</v>
      </c>
      <c r="AN129" s="579"/>
      <c r="AO129" s="579"/>
      <c r="AP129" s="579">
        <f>+AI129*1.035</f>
        <v>162.82619999999997</v>
      </c>
      <c r="AQ129" s="579"/>
      <c r="AR129" s="579"/>
      <c r="AS129" s="579"/>
      <c r="AT129" s="579"/>
      <c r="AU129" s="579">
        <f>SUM(AN129:AT129)</f>
        <v>162.82619999999997</v>
      </c>
      <c r="AV129" s="589"/>
      <c r="AW129" s="589"/>
      <c r="AX129" s="589">
        <f>+AP129*1.035</f>
        <v>168.52511699999997</v>
      </c>
      <c r="AY129" s="589"/>
      <c r="AZ129" s="589"/>
      <c r="BA129" s="589"/>
      <c r="BB129" s="589"/>
      <c r="BC129" s="589">
        <f t="shared" si="98"/>
        <v>168.52511699999997</v>
      </c>
      <c r="BD129" s="61">
        <f t="shared" si="85"/>
        <v>0</v>
      </c>
      <c r="BE129" s="61">
        <f t="shared" si="85"/>
        <v>0</v>
      </c>
      <c r="BF129" s="61">
        <f t="shared" si="85"/>
        <v>640.67131699999993</v>
      </c>
      <c r="BG129" s="61">
        <f t="shared" si="85"/>
        <v>0</v>
      </c>
      <c r="BH129" s="61">
        <f t="shared" si="85"/>
        <v>0</v>
      </c>
      <c r="BI129" s="61">
        <f t="shared" si="51"/>
        <v>0</v>
      </c>
      <c r="BJ129" s="61">
        <f t="shared" si="69"/>
        <v>0</v>
      </c>
      <c r="BK129" s="61">
        <f t="shared" si="69"/>
        <v>640.67131699999993</v>
      </c>
      <c r="BL129" s="223"/>
    </row>
    <row r="130" spans="1:64" ht="52.5" customHeight="1" x14ac:dyDescent="0.25">
      <c r="A130" s="298" t="s">
        <v>386</v>
      </c>
      <c r="B130" s="299" t="s">
        <v>384</v>
      </c>
      <c r="C130" s="1547"/>
      <c r="D130" s="1549"/>
      <c r="E130" s="1549"/>
      <c r="F130" s="1559"/>
      <c r="G130" s="1560"/>
      <c r="H130" s="1561"/>
      <c r="I130" s="1430"/>
      <c r="J130" s="1430"/>
      <c r="K130" s="1430" t="s">
        <v>411</v>
      </c>
      <c r="L130" s="301" t="s">
        <v>391</v>
      </c>
      <c r="M130" s="1425" t="s">
        <v>392</v>
      </c>
      <c r="N130" s="476" t="s">
        <v>393</v>
      </c>
      <c r="O130" s="1425" t="s">
        <v>73</v>
      </c>
      <c r="P130" s="16" t="s">
        <v>412</v>
      </c>
      <c r="Q130" s="302" t="s">
        <v>413</v>
      </c>
      <c r="R130" s="303">
        <v>2015</v>
      </c>
      <c r="S130" s="303">
        <v>1</v>
      </c>
      <c r="T130" s="303">
        <v>2</v>
      </c>
      <c r="U130" s="572">
        <v>2</v>
      </c>
      <c r="V130" s="572">
        <v>2</v>
      </c>
      <c r="W130" s="572">
        <v>2</v>
      </c>
      <c r="X130" s="572">
        <v>8</v>
      </c>
      <c r="Y130" s="481"/>
      <c r="Z130" s="481"/>
      <c r="AA130" s="491">
        <v>10</v>
      </c>
      <c r="AB130" s="481"/>
      <c r="AC130" s="481"/>
      <c r="AD130" s="481"/>
      <c r="AE130" s="481"/>
      <c r="AF130" s="481">
        <f t="shared" si="92"/>
        <v>10</v>
      </c>
      <c r="AG130" s="548"/>
      <c r="AH130" s="548"/>
      <c r="AI130" s="548">
        <f>+AA130*1.035</f>
        <v>10.35</v>
      </c>
      <c r="AJ130" s="548"/>
      <c r="AK130" s="548"/>
      <c r="AL130" s="548"/>
      <c r="AM130" s="548">
        <f>SUM(AG130:AL130)</f>
        <v>10.35</v>
      </c>
      <c r="AN130" s="481"/>
      <c r="AO130" s="481"/>
      <c r="AP130" s="481">
        <f>+AI130*1.035</f>
        <v>10.712249999999999</v>
      </c>
      <c r="AQ130" s="481"/>
      <c r="AR130" s="481"/>
      <c r="AS130" s="481"/>
      <c r="AT130" s="481"/>
      <c r="AU130" s="481">
        <f>SUM(AN130:AT130)</f>
        <v>10.712249999999999</v>
      </c>
      <c r="AV130" s="548"/>
      <c r="AW130" s="548"/>
      <c r="AX130" s="548">
        <f>+AP130*1.035</f>
        <v>11.087178749999998</v>
      </c>
      <c r="AY130" s="548"/>
      <c r="AZ130" s="548"/>
      <c r="BA130" s="548"/>
      <c r="BB130" s="548"/>
      <c r="BC130" s="548">
        <f>SUM(AV130:BB130)</f>
        <v>11.087178749999998</v>
      </c>
      <c r="BD130" s="42">
        <f t="shared" si="85"/>
        <v>0</v>
      </c>
      <c r="BE130" s="42">
        <f t="shared" si="85"/>
        <v>0</v>
      </c>
      <c r="BF130" s="42">
        <f t="shared" si="85"/>
        <v>42.149428749999998</v>
      </c>
      <c r="BG130" s="42">
        <f t="shared" si="85"/>
        <v>0</v>
      </c>
      <c r="BH130" s="42">
        <f t="shared" si="85"/>
        <v>0</v>
      </c>
      <c r="BI130" s="42">
        <f t="shared" si="51"/>
        <v>0</v>
      </c>
      <c r="BJ130" s="42">
        <f t="shared" ref="BJ130:BK154" si="99">+BB130+AT130+AL130+AE130</f>
        <v>0</v>
      </c>
      <c r="BK130" s="42">
        <f t="shared" si="99"/>
        <v>42.149428749999998</v>
      </c>
    </row>
    <row r="131" spans="1:64" ht="30.75" customHeight="1" x14ac:dyDescent="0.25">
      <c r="A131" s="298" t="s">
        <v>386</v>
      </c>
      <c r="B131" s="299" t="s">
        <v>384</v>
      </c>
      <c r="C131" s="1547"/>
      <c r="D131" s="1549"/>
      <c r="E131" s="1549"/>
      <c r="F131" s="1559"/>
      <c r="G131" s="1560"/>
      <c r="H131" s="1561"/>
      <c r="I131" s="1430"/>
      <c r="J131" s="1430"/>
      <c r="K131" s="1430" t="s">
        <v>414</v>
      </c>
      <c r="L131" s="301" t="s">
        <v>391</v>
      </c>
      <c r="M131" s="1425" t="s">
        <v>392</v>
      </c>
      <c r="N131" s="476" t="s">
        <v>393</v>
      </c>
      <c r="O131" s="1425" t="s">
        <v>47</v>
      </c>
      <c r="P131" s="16" t="s">
        <v>415</v>
      </c>
      <c r="Q131" s="302" t="s">
        <v>416</v>
      </c>
      <c r="R131" s="303">
        <v>2015</v>
      </c>
      <c r="S131" s="303">
        <v>287</v>
      </c>
      <c r="T131" s="303">
        <v>300</v>
      </c>
      <c r="U131" s="572">
        <v>300</v>
      </c>
      <c r="V131" s="572">
        <v>300</v>
      </c>
      <c r="W131" s="572">
        <v>300</v>
      </c>
      <c r="X131" s="572">
        <v>1200</v>
      </c>
      <c r="Y131" s="481"/>
      <c r="Z131" s="481"/>
      <c r="AA131" s="491">
        <v>1</v>
      </c>
      <c r="AB131" s="481"/>
      <c r="AC131" s="481"/>
      <c r="AD131" s="481"/>
      <c r="AE131" s="481"/>
      <c r="AF131" s="481">
        <f t="shared" si="92"/>
        <v>1</v>
      </c>
      <c r="AG131" s="548"/>
      <c r="AH131" s="548"/>
      <c r="AI131" s="491">
        <v>1</v>
      </c>
      <c r="AJ131" s="548"/>
      <c r="AK131" s="548"/>
      <c r="AL131" s="548"/>
      <c r="AM131" s="548">
        <f t="shared" si="97"/>
        <v>1</v>
      </c>
      <c r="AN131" s="481"/>
      <c r="AO131" s="481"/>
      <c r="AP131" s="491">
        <v>1</v>
      </c>
      <c r="AQ131" s="481"/>
      <c r="AR131" s="481"/>
      <c r="AS131" s="481"/>
      <c r="AT131" s="481"/>
      <c r="AU131" s="481">
        <f>SUM(AN131:AT131)</f>
        <v>1</v>
      </c>
      <c r="AV131" s="548"/>
      <c r="AW131" s="548"/>
      <c r="AX131" s="491">
        <v>25</v>
      </c>
      <c r="AY131" s="548"/>
      <c r="AZ131" s="548"/>
      <c r="BA131" s="548"/>
      <c r="BB131" s="548"/>
      <c r="BC131" s="548">
        <f t="shared" si="98"/>
        <v>25</v>
      </c>
      <c r="BD131" s="42">
        <f t="shared" si="85"/>
        <v>0</v>
      </c>
      <c r="BE131" s="42">
        <f t="shared" si="85"/>
        <v>0</v>
      </c>
      <c r="BF131" s="42">
        <f t="shared" si="85"/>
        <v>28</v>
      </c>
      <c r="BG131" s="42">
        <f t="shared" si="85"/>
        <v>0</v>
      </c>
      <c r="BH131" s="42">
        <f t="shared" si="85"/>
        <v>0</v>
      </c>
      <c r="BI131" s="42">
        <f t="shared" si="51"/>
        <v>0</v>
      </c>
      <c r="BJ131" s="42">
        <f t="shared" si="99"/>
        <v>0</v>
      </c>
      <c r="BK131" s="42">
        <f t="shared" si="99"/>
        <v>28</v>
      </c>
    </row>
    <row r="132" spans="1:64" ht="38.25" customHeight="1" x14ac:dyDescent="0.25">
      <c r="A132" s="298" t="s">
        <v>386</v>
      </c>
      <c r="B132" s="299" t="s">
        <v>384</v>
      </c>
      <c r="C132" s="1547"/>
      <c r="D132" s="1549"/>
      <c r="E132" s="1549"/>
      <c r="F132" s="1559"/>
      <c r="G132" s="1560"/>
      <c r="H132" s="1561"/>
      <c r="I132" s="1430"/>
      <c r="J132" s="1430"/>
      <c r="K132" s="1430" t="s">
        <v>417</v>
      </c>
      <c r="L132" s="301" t="s">
        <v>391</v>
      </c>
      <c r="M132" s="1425" t="s">
        <v>392</v>
      </c>
      <c r="N132" s="476" t="s">
        <v>393</v>
      </c>
      <c r="O132" s="1425" t="s">
        <v>47</v>
      </c>
      <c r="P132" s="16" t="s">
        <v>418</v>
      </c>
      <c r="Q132" s="302" t="s">
        <v>419</v>
      </c>
      <c r="R132" s="303">
        <v>2015</v>
      </c>
      <c r="S132" s="303">
        <v>0</v>
      </c>
      <c r="T132" s="303">
        <v>2</v>
      </c>
      <c r="U132" s="572">
        <v>2</v>
      </c>
      <c r="V132" s="572">
        <v>2</v>
      </c>
      <c r="W132" s="572">
        <v>2</v>
      </c>
      <c r="X132" s="572">
        <v>8</v>
      </c>
      <c r="Y132" s="481"/>
      <c r="Z132" s="481"/>
      <c r="AA132" s="491">
        <v>1</v>
      </c>
      <c r="AB132" s="481"/>
      <c r="AC132" s="481"/>
      <c r="AD132" s="481"/>
      <c r="AE132" s="481"/>
      <c r="AF132" s="481">
        <f t="shared" si="92"/>
        <v>1</v>
      </c>
      <c r="AG132" s="548"/>
      <c r="AH132" s="548"/>
      <c r="AI132" s="491">
        <v>1</v>
      </c>
      <c r="AJ132" s="548"/>
      <c r="AK132" s="548"/>
      <c r="AL132" s="548"/>
      <c r="AM132" s="548">
        <f t="shared" si="97"/>
        <v>1</v>
      </c>
      <c r="AN132" s="481"/>
      <c r="AO132" s="481"/>
      <c r="AP132" s="491">
        <v>1</v>
      </c>
      <c r="AQ132" s="481"/>
      <c r="AR132" s="481"/>
      <c r="AS132" s="481"/>
      <c r="AT132" s="481"/>
      <c r="AU132" s="481">
        <f>SUM(AN132:AT132)</f>
        <v>1</v>
      </c>
      <c r="AV132" s="548"/>
      <c r="AW132" s="548"/>
      <c r="AX132" s="491">
        <v>10</v>
      </c>
      <c r="AY132" s="548"/>
      <c r="AZ132" s="548"/>
      <c r="BA132" s="548"/>
      <c r="BB132" s="548"/>
      <c r="BC132" s="548">
        <f t="shared" si="98"/>
        <v>10</v>
      </c>
      <c r="BD132" s="42">
        <f t="shared" si="85"/>
        <v>0</v>
      </c>
      <c r="BE132" s="42">
        <f t="shared" si="85"/>
        <v>0</v>
      </c>
      <c r="BF132" s="42">
        <f t="shared" si="85"/>
        <v>13</v>
      </c>
      <c r="BG132" s="42">
        <f t="shared" si="85"/>
        <v>0</v>
      </c>
      <c r="BH132" s="42">
        <f t="shared" si="85"/>
        <v>0</v>
      </c>
      <c r="BI132" s="42">
        <f t="shared" si="51"/>
        <v>0</v>
      </c>
      <c r="BJ132" s="42">
        <f t="shared" si="99"/>
        <v>0</v>
      </c>
      <c r="BK132" s="42">
        <f t="shared" si="99"/>
        <v>13</v>
      </c>
    </row>
    <row r="133" spans="1:64" ht="64.5" customHeight="1" x14ac:dyDescent="0.25">
      <c r="A133" s="298" t="s">
        <v>386</v>
      </c>
      <c r="B133" s="299" t="s">
        <v>384</v>
      </c>
      <c r="C133" s="1547"/>
      <c r="D133" s="1549"/>
      <c r="E133" s="1549"/>
      <c r="F133" s="1559"/>
      <c r="G133" s="1560"/>
      <c r="H133" s="1561"/>
      <c r="I133" s="1430" t="s">
        <v>53</v>
      </c>
      <c r="J133" s="1430"/>
      <c r="K133" s="1430" t="s">
        <v>420</v>
      </c>
      <c r="L133" s="301" t="s">
        <v>391</v>
      </c>
      <c r="M133" s="1425" t="s">
        <v>392</v>
      </c>
      <c r="N133" s="476" t="s">
        <v>393</v>
      </c>
      <c r="O133" s="1425" t="s">
        <v>47</v>
      </c>
      <c r="P133" s="72" t="s">
        <v>421</v>
      </c>
      <c r="Q133" s="302" t="s">
        <v>422</v>
      </c>
      <c r="R133" s="303">
        <v>2015</v>
      </c>
      <c r="S133" s="303">
        <v>1145</v>
      </c>
      <c r="T133" s="303">
        <v>600</v>
      </c>
      <c r="U133" s="572">
        <v>600</v>
      </c>
      <c r="V133" s="572">
        <v>600</v>
      </c>
      <c r="W133" s="572">
        <v>600</v>
      </c>
      <c r="X133" s="572">
        <v>2400</v>
      </c>
      <c r="Y133" s="481"/>
      <c r="Z133" s="481"/>
      <c r="AA133" s="491">
        <v>299</v>
      </c>
      <c r="AB133" s="481"/>
      <c r="AC133" s="481"/>
      <c r="AD133" s="481"/>
      <c r="AE133" s="481"/>
      <c r="AF133" s="481">
        <f t="shared" si="92"/>
        <v>299</v>
      </c>
      <c r="AG133" s="548"/>
      <c r="AH133" s="548"/>
      <c r="AI133" s="548">
        <f>(+AA133*1.035)+16.56</f>
        <v>326.02499999999998</v>
      </c>
      <c r="AJ133" s="548"/>
      <c r="AK133" s="548"/>
      <c r="AL133" s="548"/>
      <c r="AM133" s="548">
        <f>SUM(AG133:AL133)</f>
        <v>326.02499999999998</v>
      </c>
      <c r="AN133" s="481"/>
      <c r="AO133" s="481"/>
      <c r="AP133" s="481">
        <f>+AI133*1.035</f>
        <v>337.43587499999995</v>
      </c>
      <c r="AQ133" s="481"/>
      <c r="AR133" s="481"/>
      <c r="AS133" s="481"/>
      <c r="AT133" s="481"/>
      <c r="AU133" s="481">
        <f>SUM(AN133:AT133)</f>
        <v>337.43587499999995</v>
      </c>
      <c r="AV133" s="548"/>
      <c r="AW133" s="548"/>
      <c r="AX133" s="548">
        <f>+AP133*1.035</f>
        <v>349.24613062499992</v>
      </c>
      <c r="AY133" s="548"/>
      <c r="AZ133" s="548"/>
      <c r="BA133" s="548"/>
      <c r="BB133" s="548"/>
      <c r="BC133" s="548">
        <f>SUM(AV133:BB133)</f>
        <v>349.24613062499992</v>
      </c>
      <c r="BD133" s="42">
        <f t="shared" si="85"/>
        <v>0</v>
      </c>
      <c r="BE133" s="42">
        <f t="shared" si="85"/>
        <v>0</v>
      </c>
      <c r="BF133" s="42">
        <f t="shared" si="85"/>
        <v>1311.707005625</v>
      </c>
      <c r="BG133" s="42">
        <f t="shared" si="85"/>
        <v>0</v>
      </c>
      <c r="BH133" s="42">
        <f t="shared" si="85"/>
        <v>0</v>
      </c>
      <c r="BI133" s="42">
        <f t="shared" si="51"/>
        <v>0</v>
      </c>
      <c r="BJ133" s="42">
        <f t="shared" si="99"/>
        <v>0</v>
      </c>
      <c r="BK133" s="42">
        <f t="shared" si="99"/>
        <v>1311.707005625</v>
      </c>
    </row>
    <row r="134" spans="1:64" ht="42.75" customHeight="1" x14ac:dyDescent="0.25">
      <c r="A134" s="298" t="s">
        <v>386</v>
      </c>
      <c r="B134" s="299" t="s">
        <v>384</v>
      </c>
      <c r="C134" s="1547"/>
      <c r="D134" s="1549"/>
      <c r="E134" s="1549"/>
      <c r="F134" s="1559"/>
      <c r="G134" s="1560"/>
      <c r="H134" s="1561"/>
      <c r="I134" s="1430"/>
      <c r="J134" s="1430"/>
      <c r="K134" s="1430" t="s">
        <v>423</v>
      </c>
      <c r="L134" s="301" t="s">
        <v>391</v>
      </c>
      <c r="M134" s="1425" t="s">
        <v>392</v>
      </c>
      <c r="N134" s="476" t="s">
        <v>393</v>
      </c>
      <c r="O134" s="1425" t="s">
        <v>47</v>
      </c>
      <c r="P134" s="16" t="s">
        <v>424</v>
      </c>
      <c r="Q134" s="302" t="s">
        <v>425</v>
      </c>
      <c r="R134" s="303">
        <v>2015</v>
      </c>
      <c r="S134" s="303">
        <v>0</v>
      </c>
      <c r="T134" s="303">
        <v>0</v>
      </c>
      <c r="U134" s="572">
        <v>0</v>
      </c>
      <c r="V134" s="498">
        <v>0</v>
      </c>
      <c r="W134" s="572">
        <v>1</v>
      </c>
      <c r="X134" s="572">
        <v>1</v>
      </c>
      <c r="Y134" s="481"/>
      <c r="Z134" s="481"/>
      <c r="AA134" s="481"/>
      <c r="AB134" s="481"/>
      <c r="AC134" s="481"/>
      <c r="AD134" s="481"/>
      <c r="AE134" s="481"/>
      <c r="AF134" s="481">
        <f t="shared" si="92"/>
        <v>0</v>
      </c>
      <c r="AG134" s="548"/>
      <c r="AH134" s="548"/>
      <c r="AI134" s="548"/>
      <c r="AJ134" s="548"/>
      <c r="AK134" s="548"/>
      <c r="AL134" s="548"/>
      <c r="AM134" s="548">
        <f t="shared" si="97"/>
        <v>0</v>
      </c>
      <c r="AN134" s="481"/>
      <c r="AO134" s="481"/>
      <c r="AP134" s="481"/>
      <c r="AQ134" s="481"/>
      <c r="AR134" s="481"/>
      <c r="AS134" s="481"/>
      <c r="AT134" s="481"/>
      <c r="AU134" s="481">
        <f t="shared" ref="AU134:AU142" si="100">SUM(AN134:AT134)</f>
        <v>0</v>
      </c>
      <c r="AV134" s="548"/>
      <c r="AW134" s="548"/>
      <c r="AX134" s="491">
        <v>10.18</v>
      </c>
      <c r="AY134" s="548"/>
      <c r="AZ134" s="548"/>
      <c r="BA134" s="548"/>
      <c r="BB134" s="548"/>
      <c r="BC134" s="548">
        <f t="shared" si="98"/>
        <v>10.18</v>
      </c>
      <c r="BD134" s="42">
        <f t="shared" si="85"/>
        <v>0</v>
      </c>
      <c r="BE134" s="42">
        <f t="shared" si="85"/>
        <v>0</v>
      </c>
      <c r="BF134" s="42">
        <f t="shared" si="85"/>
        <v>10.18</v>
      </c>
      <c r="BG134" s="42">
        <f t="shared" si="85"/>
        <v>0</v>
      </c>
      <c r="BH134" s="42">
        <f t="shared" si="85"/>
        <v>0</v>
      </c>
      <c r="BI134" s="42">
        <f t="shared" si="51"/>
        <v>0</v>
      </c>
      <c r="BJ134" s="42">
        <f t="shared" si="99"/>
        <v>0</v>
      </c>
      <c r="BK134" s="42">
        <f t="shared" si="99"/>
        <v>10.18</v>
      </c>
    </row>
    <row r="135" spans="1:64" ht="52.5" customHeight="1" x14ac:dyDescent="0.25">
      <c r="A135" s="298" t="s">
        <v>386</v>
      </c>
      <c r="B135" s="299" t="s">
        <v>384</v>
      </c>
      <c r="C135" s="1547"/>
      <c r="D135" s="1549"/>
      <c r="E135" s="1549"/>
      <c r="F135" s="1559"/>
      <c r="G135" s="1560"/>
      <c r="H135" s="1561"/>
      <c r="I135" s="1430"/>
      <c r="J135" s="1430"/>
      <c r="K135" s="1430" t="s">
        <v>426</v>
      </c>
      <c r="L135" s="301" t="s">
        <v>391</v>
      </c>
      <c r="M135" s="1425" t="s">
        <v>392</v>
      </c>
      <c r="N135" s="479" t="s">
        <v>352</v>
      </c>
      <c r="O135" s="1425" t="s">
        <v>47</v>
      </c>
      <c r="P135" s="16" t="s">
        <v>427</v>
      </c>
      <c r="Q135" s="302" t="s">
        <v>428</v>
      </c>
      <c r="R135" s="303">
        <v>2015</v>
      </c>
      <c r="S135" s="303">
        <v>0</v>
      </c>
      <c r="T135" s="303">
        <v>0</v>
      </c>
      <c r="U135" s="572">
        <v>600</v>
      </c>
      <c r="V135" s="572">
        <v>900</v>
      </c>
      <c r="W135" s="572">
        <v>1200</v>
      </c>
      <c r="X135" s="572">
        <v>1200</v>
      </c>
      <c r="Y135" s="481"/>
      <c r="Z135" s="481"/>
      <c r="AA135" s="481"/>
      <c r="AB135" s="481"/>
      <c r="AC135" s="481"/>
      <c r="AD135" s="481"/>
      <c r="AE135" s="481"/>
      <c r="AF135" s="481">
        <f t="shared" si="92"/>
        <v>0</v>
      </c>
      <c r="AG135" s="548"/>
      <c r="AH135" s="548"/>
      <c r="AI135" s="491">
        <v>48</v>
      </c>
      <c r="AJ135" s="548"/>
      <c r="AK135" s="548"/>
      <c r="AL135" s="548"/>
      <c r="AM135" s="548">
        <f t="shared" si="97"/>
        <v>48</v>
      </c>
      <c r="AN135" s="481"/>
      <c r="AO135" s="481"/>
      <c r="AP135" s="491">
        <v>99.86</v>
      </c>
      <c r="AQ135" s="481"/>
      <c r="AR135" s="481"/>
      <c r="AS135" s="481"/>
      <c r="AT135" s="481"/>
      <c r="AU135" s="481">
        <f t="shared" si="100"/>
        <v>99.86</v>
      </c>
      <c r="AV135" s="548"/>
      <c r="AW135" s="548"/>
      <c r="AX135" s="548">
        <v>300</v>
      </c>
      <c r="AY135" s="548"/>
      <c r="AZ135" s="548"/>
      <c r="BA135" s="548"/>
      <c r="BB135" s="548"/>
      <c r="BC135" s="548">
        <f t="shared" si="98"/>
        <v>300</v>
      </c>
      <c r="BD135" s="42">
        <f t="shared" si="85"/>
        <v>0</v>
      </c>
      <c r="BE135" s="42">
        <f t="shared" si="85"/>
        <v>0</v>
      </c>
      <c r="BF135" s="42">
        <f t="shared" si="85"/>
        <v>447.86</v>
      </c>
      <c r="BG135" s="42">
        <f t="shared" si="85"/>
        <v>0</v>
      </c>
      <c r="BH135" s="42">
        <f t="shared" si="85"/>
        <v>0</v>
      </c>
      <c r="BI135" s="42">
        <f t="shared" si="51"/>
        <v>0</v>
      </c>
      <c r="BJ135" s="42">
        <f t="shared" si="99"/>
        <v>0</v>
      </c>
      <c r="BK135" s="42">
        <f t="shared" si="99"/>
        <v>447.86</v>
      </c>
    </row>
    <row r="136" spans="1:64" ht="33.75" customHeight="1" x14ac:dyDescent="0.25">
      <c r="A136" s="298" t="s">
        <v>386</v>
      </c>
      <c r="B136" s="299" t="s">
        <v>384</v>
      </c>
      <c r="C136" s="1547"/>
      <c r="D136" s="1549"/>
      <c r="E136" s="1549"/>
      <c r="F136" s="1559"/>
      <c r="G136" s="1560"/>
      <c r="H136" s="1561"/>
      <c r="I136" s="1430"/>
      <c r="J136" s="1430"/>
      <c r="K136" s="1430" t="s">
        <v>429</v>
      </c>
      <c r="L136" s="301" t="s">
        <v>391</v>
      </c>
      <c r="M136" s="1425" t="s">
        <v>392</v>
      </c>
      <c r="N136" s="479" t="s">
        <v>352</v>
      </c>
      <c r="O136" s="1425" t="s">
        <v>47</v>
      </c>
      <c r="P136" s="16" t="s">
        <v>430</v>
      </c>
      <c r="Q136" s="302" t="s">
        <v>428</v>
      </c>
      <c r="R136" s="303">
        <v>2015</v>
      </c>
      <c r="S136" s="303">
        <v>0</v>
      </c>
      <c r="T136" s="303">
        <v>0</v>
      </c>
      <c r="U136" s="572">
        <v>500</v>
      </c>
      <c r="V136" s="572">
        <v>250</v>
      </c>
      <c r="W136" s="572">
        <v>250</v>
      </c>
      <c r="X136" s="572">
        <v>1000</v>
      </c>
      <c r="Y136" s="481"/>
      <c r="Z136" s="481"/>
      <c r="AA136" s="481"/>
      <c r="AB136" s="481"/>
      <c r="AC136" s="481"/>
      <c r="AD136" s="481"/>
      <c r="AE136" s="481"/>
      <c r="AF136" s="481">
        <f>SUM(Y136:AE136)</f>
        <v>0</v>
      </c>
      <c r="AG136" s="548"/>
      <c r="AH136" s="548"/>
      <c r="AI136" s="491">
        <v>224.2</v>
      </c>
      <c r="AJ136" s="548"/>
      <c r="AK136" s="548"/>
      <c r="AL136" s="548"/>
      <c r="AM136" s="548">
        <f t="shared" si="97"/>
        <v>224.2</v>
      </c>
      <c r="AN136" s="481"/>
      <c r="AO136" s="481"/>
      <c r="AP136" s="491">
        <v>220.01</v>
      </c>
      <c r="AQ136" s="481"/>
      <c r="AR136" s="481"/>
      <c r="AS136" s="481"/>
      <c r="AT136" s="481"/>
      <c r="AU136" s="481">
        <f t="shared" si="100"/>
        <v>220.01</v>
      </c>
      <c r="AV136" s="548"/>
      <c r="AW136" s="548"/>
      <c r="AX136" s="491">
        <v>46.76</v>
      </c>
      <c r="AY136" s="548"/>
      <c r="AZ136" s="548"/>
      <c r="BA136" s="548"/>
      <c r="BB136" s="548"/>
      <c r="BC136" s="548">
        <f t="shared" si="98"/>
        <v>46.76</v>
      </c>
      <c r="BD136" s="42">
        <f t="shared" si="85"/>
        <v>0</v>
      </c>
      <c r="BE136" s="42">
        <f t="shared" si="85"/>
        <v>0</v>
      </c>
      <c r="BF136" s="42">
        <f t="shared" si="85"/>
        <v>490.96999999999997</v>
      </c>
      <c r="BG136" s="42">
        <f t="shared" si="85"/>
        <v>0</v>
      </c>
      <c r="BH136" s="42">
        <f t="shared" si="85"/>
        <v>0</v>
      </c>
      <c r="BI136" s="42">
        <f t="shared" si="51"/>
        <v>0</v>
      </c>
      <c r="BJ136" s="42">
        <f>+BB136+AT136+AL136+AE136</f>
        <v>0</v>
      </c>
      <c r="BK136" s="42">
        <f>+BC136+AU136+AM136+AF136</f>
        <v>490.96999999999997</v>
      </c>
    </row>
    <row r="137" spans="1:64" ht="54" customHeight="1" x14ac:dyDescent="0.25">
      <c r="A137" s="298" t="s">
        <v>386</v>
      </c>
      <c r="B137" s="299" t="s">
        <v>384</v>
      </c>
      <c r="C137" s="1548"/>
      <c r="D137" s="1549"/>
      <c r="E137" s="1549"/>
      <c r="F137" s="1559"/>
      <c r="G137" s="1560"/>
      <c r="H137" s="1561"/>
      <c r="I137" s="1430"/>
      <c r="J137" s="1430"/>
      <c r="K137" s="1430" t="s">
        <v>431</v>
      </c>
      <c r="L137" s="301" t="s">
        <v>391</v>
      </c>
      <c r="M137" s="1425" t="s">
        <v>392</v>
      </c>
      <c r="N137" s="476" t="s">
        <v>393</v>
      </c>
      <c r="O137" s="1425" t="s">
        <v>73</v>
      </c>
      <c r="P137" s="16" t="s">
        <v>432</v>
      </c>
      <c r="Q137" s="302" t="s">
        <v>433</v>
      </c>
      <c r="R137" s="303">
        <v>2015</v>
      </c>
      <c r="S137" s="303">
        <v>1</v>
      </c>
      <c r="T137" s="303">
        <v>1</v>
      </c>
      <c r="U137" s="572">
        <v>1</v>
      </c>
      <c r="V137" s="572">
        <v>1</v>
      </c>
      <c r="W137" s="572">
        <v>1</v>
      </c>
      <c r="X137" s="572">
        <v>1</v>
      </c>
      <c r="Y137" s="581"/>
      <c r="Z137" s="581"/>
      <c r="AA137" s="495">
        <v>253.7</v>
      </c>
      <c r="AB137" s="581"/>
      <c r="AC137" s="581"/>
      <c r="AD137" s="581"/>
      <c r="AE137" s="581"/>
      <c r="AF137" s="481">
        <f>SUM(Y137:AE137)</f>
        <v>253.7</v>
      </c>
      <c r="AG137" s="590"/>
      <c r="AH137" s="590"/>
      <c r="AI137" s="718">
        <v>200</v>
      </c>
      <c r="AJ137" s="590"/>
      <c r="AK137" s="590"/>
      <c r="AL137" s="590"/>
      <c r="AM137" s="548">
        <f t="shared" si="97"/>
        <v>200</v>
      </c>
      <c r="AN137" s="581"/>
      <c r="AO137" s="581"/>
      <c r="AP137" s="581">
        <f>+AI137*1.035</f>
        <v>206.99999999999997</v>
      </c>
      <c r="AQ137" s="581"/>
      <c r="AR137" s="581"/>
      <c r="AS137" s="581"/>
      <c r="AT137" s="581"/>
      <c r="AU137" s="481">
        <f t="shared" si="100"/>
        <v>206.99999999999997</v>
      </c>
      <c r="AV137" s="590"/>
      <c r="AW137" s="590"/>
      <c r="AX137" s="590">
        <f>+AP137*1.035</f>
        <v>214.24499999999995</v>
      </c>
      <c r="AY137" s="590"/>
      <c r="AZ137" s="590"/>
      <c r="BA137" s="590"/>
      <c r="BB137" s="590"/>
      <c r="BC137" s="548">
        <f t="shared" si="98"/>
        <v>214.24499999999995</v>
      </c>
      <c r="BD137" s="60">
        <f t="shared" si="85"/>
        <v>0</v>
      </c>
      <c r="BE137" s="60">
        <f t="shared" si="85"/>
        <v>0</v>
      </c>
      <c r="BF137" s="60">
        <f t="shared" si="85"/>
        <v>874.94499999999994</v>
      </c>
      <c r="BG137" s="60">
        <f t="shared" si="85"/>
        <v>0</v>
      </c>
      <c r="BH137" s="60">
        <f t="shared" si="85"/>
        <v>0</v>
      </c>
      <c r="BI137" s="60">
        <f t="shared" si="51"/>
        <v>0</v>
      </c>
      <c r="BJ137" s="60">
        <f>+BB137+AT137+AL137+AE137</f>
        <v>0</v>
      </c>
      <c r="BK137" s="60">
        <f>+BC137+AU137+AM137+AF137</f>
        <v>874.94499999999994</v>
      </c>
    </row>
    <row r="138" spans="1:64" ht="12.75" x14ac:dyDescent="0.2">
      <c r="A138" s="295" t="s">
        <v>386</v>
      </c>
      <c r="B138" s="154" t="s">
        <v>384</v>
      </c>
      <c r="C138" s="6"/>
      <c r="D138" s="2" t="s">
        <v>434</v>
      </c>
      <c r="E138" s="1"/>
      <c r="F138" s="1"/>
      <c r="G138" s="1"/>
      <c r="H138" s="1"/>
      <c r="I138" s="1"/>
      <c r="J138" s="1"/>
      <c r="K138" s="1"/>
      <c r="L138" s="1"/>
      <c r="M138" s="1"/>
      <c r="N138" s="1"/>
      <c r="O138" s="1"/>
      <c r="P138" s="1"/>
      <c r="Q138" s="22"/>
      <c r="R138" s="1"/>
      <c r="S138" s="1"/>
      <c r="T138" s="1"/>
      <c r="U138" s="49"/>
      <c r="V138" s="49"/>
      <c r="W138" s="49"/>
      <c r="X138" s="49"/>
      <c r="Y138" s="34">
        <f t="shared" ref="Y138:AE138" si="101">SUM(Y139:Y147)</f>
        <v>0</v>
      </c>
      <c r="Z138" s="34">
        <f t="shared" si="101"/>
        <v>0</v>
      </c>
      <c r="AA138" s="34">
        <f t="shared" si="101"/>
        <v>799</v>
      </c>
      <c r="AB138" s="34">
        <f t="shared" si="101"/>
        <v>0</v>
      </c>
      <c r="AC138" s="34">
        <f t="shared" si="101"/>
        <v>0</v>
      </c>
      <c r="AD138" s="34">
        <f t="shared" si="101"/>
        <v>0</v>
      </c>
      <c r="AE138" s="34">
        <f t="shared" si="101"/>
        <v>0</v>
      </c>
      <c r="AF138" s="34">
        <f t="shared" si="92"/>
        <v>799</v>
      </c>
      <c r="AG138" s="34">
        <f t="shared" ref="AG138:AL138" si="102">SUM(AG139:AG147)</f>
        <v>0</v>
      </c>
      <c r="AH138" s="34">
        <f t="shared" si="102"/>
        <v>0</v>
      </c>
      <c r="AI138" s="34">
        <f t="shared" si="102"/>
        <v>797.61500000000001</v>
      </c>
      <c r="AJ138" s="34">
        <f t="shared" si="102"/>
        <v>0</v>
      </c>
      <c r="AK138" s="34">
        <f t="shared" si="102"/>
        <v>0</v>
      </c>
      <c r="AL138" s="34">
        <f t="shared" si="102"/>
        <v>0</v>
      </c>
      <c r="AM138" s="34">
        <f>SUM(AG138:AL138)</f>
        <v>797.61500000000001</v>
      </c>
      <c r="AN138" s="34">
        <f t="shared" ref="AN138:AT138" si="103">SUM(AN139:AN147)</f>
        <v>0</v>
      </c>
      <c r="AO138" s="34">
        <f t="shared" si="103"/>
        <v>0</v>
      </c>
      <c r="AP138" s="34">
        <f t="shared" si="103"/>
        <v>692.65652499999999</v>
      </c>
      <c r="AQ138" s="34">
        <f t="shared" si="103"/>
        <v>800</v>
      </c>
      <c r="AR138" s="34">
        <f t="shared" si="103"/>
        <v>0</v>
      </c>
      <c r="AS138" s="34">
        <f t="shared" si="103"/>
        <v>0</v>
      </c>
      <c r="AT138" s="34">
        <f t="shared" si="103"/>
        <v>5050</v>
      </c>
      <c r="AU138" s="34">
        <f t="shared" si="100"/>
        <v>6542.6565250000003</v>
      </c>
      <c r="AV138" s="34">
        <f t="shared" ref="AV138:BB138" si="104">SUM(AV139:AV147)</f>
        <v>0</v>
      </c>
      <c r="AW138" s="34">
        <f t="shared" si="104"/>
        <v>0</v>
      </c>
      <c r="AX138" s="34">
        <f t="shared" si="104"/>
        <v>746.41950337499986</v>
      </c>
      <c r="AY138" s="34">
        <f t="shared" si="104"/>
        <v>0</v>
      </c>
      <c r="AZ138" s="34">
        <f t="shared" si="104"/>
        <v>0</v>
      </c>
      <c r="BA138" s="34">
        <f t="shared" si="104"/>
        <v>0</v>
      </c>
      <c r="BB138" s="34">
        <f t="shared" si="104"/>
        <v>0</v>
      </c>
      <c r="BC138" s="34">
        <f>SUM(AV138:BB138)</f>
        <v>746.41950337499986</v>
      </c>
      <c r="BD138" s="34">
        <f t="shared" si="85"/>
        <v>0</v>
      </c>
      <c r="BE138" s="34">
        <f t="shared" si="85"/>
        <v>0</v>
      </c>
      <c r="BF138" s="34">
        <f t="shared" si="85"/>
        <v>3035.6910283749999</v>
      </c>
      <c r="BG138" s="34">
        <f t="shared" si="85"/>
        <v>800</v>
      </c>
      <c r="BH138" s="34">
        <f t="shared" si="85"/>
        <v>0</v>
      </c>
      <c r="BI138" s="34">
        <f t="shared" si="51"/>
        <v>0</v>
      </c>
      <c r="BJ138" s="34">
        <f t="shared" si="99"/>
        <v>5050</v>
      </c>
      <c r="BK138" s="34">
        <f t="shared" si="99"/>
        <v>8885.6910283750003</v>
      </c>
    </row>
    <row r="139" spans="1:64" ht="53.25" customHeight="1" x14ac:dyDescent="0.25">
      <c r="A139" s="298" t="s">
        <v>386</v>
      </c>
      <c r="B139" s="299" t="s">
        <v>384</v>
      </c>
      <c r="C139" s="1546" t="s">
        <v>435</v>
      </c>
      <c r="D139" s="1549" t="s">
        <v>436</v>
      </c>
      <c r="E139" s="1549" t="s">
        <v>437</v>
      </c>
      <c r="F139" s="1549">
        <v>2005</v>
      </c>
      <c r="G139" s="1549">
        <v>53</v>
      </c>
      <c r="H139" s="1549">
        <v>55</v>
      </c>
      <c r="I139" s="1425"/>
      <c r="J139" s="1425"/>
      <c r="K139" s="1425" t="s">
        <v>438</v>
      </c>
      <c r="L139" s="301" t="s">
        <v>391</v>
      </c>
      <c r="M139" s="1425" t="s">
        <v>392</v>
      </c>
      <c r="N139" s="476" t="s">
        <v>393</v>
      </c>
      <c r="O139" s="1425" t="s">
        <v>47</v>
      </c>
      <c r="P139" s="16" t="s">
        <v>439</v>
      </c>
      <c r="Q139" s="302" t="s">
        <v>440</v>
      </c>
      <c r="R139" s="303">
        <v>2015</v>
      </c>
      <c r="S139" s="303">
        <v>0</v>
      </c>
      <c r="T139" s="303">
        <v>0</v>
      </c>
      <c r="U139" s="572">
        <v>1</v>
      </c>
      <c r="V139" s="498">
        <v>0</v>
      </c>
      <c r="W139" s="498">
        <v>0</v>
      </c>
      <c r="X139" s="572">
        <v>1</v>
      </c>
      <c r="Y139" s="483"/>
      <c r="Z139" s="483"/>
      <c r="AA139" s="483"/>
      <c r="AB139" s="483"/>
      <c r="AC139" s="483"/>
      <c r="AD139" s="483"/>
      <c r="AE139" s="483"/>
      <c r="AF139" s="481">
        <f t="shared" si="92"/>
        <v>0</v>
      </c>
      <c r="AG139" s="587"/>
      <c r="AH139" s="587"/>
      <c r="AI139" s="493">
        <v>100</v>
      </c>
      <c r="AJ139" s="587"/>
      <c r="AK139" s="587"/>
      <c r="AL139" s="587"/>
      <c r="AM139" s="587">
        <f>SUM(AG139:AL139)</f>
        <v>100</v>
      </c>
      <c r="AN139" s="483"/>
      <c r="AO139" s="483"/>
      <c r="AP139" s="483"/>
      <c r="AQ139" s="483"/>
      <c r="AR139" s="483"/>
      <c r="AS139" s="483"/>
      <c r="AT139" s="483"/>
      <c r="AU139" s="483">
        <f t="shared" si="100"/>
        <v>0</v>
      </c>
      <c r="AV139" s="587"/>
      <c r="AW139" s="587"/>
      <c r="AX139" s="587"/>
      <c r="AY139" s="587"/>
      <c r="AZ139" s="587"/>
      <c r="BA139" s="587"/>
      <c r="BB139" s="587"/>
      <c r="BC139" s="548">
        <f t="shared" ref="BC139:BC147" si="105">SUM(AV139:BB139)</f>
        <v>0</v>
      </c>
      <c r="BD139" s="44">
        <f t="shared" si="85"/>
        <v>0</v>
      </c>
      <c r="BE139" s="44">
        <f t="shared" si="85"/>
        <v>0</v>
      </c>
      <c r="BF139" s="44">
        <f t="shared" si="85"/>
        <v>100</v>
      </c>
      <c r="BG139" s="44">
        <f t="shared" si="85"/>
        <v>0</v>
      </c>
      <c r="BH139" s="44">
        <f t="shared" si="85"/>
        <v>0</v>
      </c>
      <c r="BI139" s="44">
        <f t="shared" si="51"/>
        <v>0</v>
      </c>
      <c r="BJ139" s="44">
        <f t="shared" si="99"/>
        <v>0</v>
      </c>
      <c r="BK139" s="44">
        <f t="shared" si="99"/>
        <v>100</v>
      </c>
    </row>
    <row r="140" spans="1:64" ht="83.25" customHeight="1" x14ac:dyDescent="0.25">
      <c r="A140" s="298" t="s">
        <v>386</v>
      </c>
      <c r="B140" s="299" t="s">
        <v>384</v>
      </c>
      <c r="C140" s="1547"/>
      <c r="D140" s="1549"/>
      <c r="E140" s="1549"/>
      <c r="F140" s="1549"/>
      <c r="G140" s="1549"/>
      <c r="H140" s="1549"/>
      <c r="I140" s="1425" t="s">
        <v>53</v>
      </c>
      <c r="J140" s="1425"/>
      <c r="K140" s="1425" t="s">
        <v>441</v>
      </c>
      <c r="L140" s="301" t="s">
        <v>391</v>
      </c>
      <c r="M140" s="1425" t="s">
        <v>392</v>
      </c>
      <c r="N140" s="476" t="s">
        <v>393</v>
      </c>
      <c r="O140" s="1425" t="s">
        <v>47</v>
      </c>
      <c r="P140" s="16" t="s">
        <v>442</v>
      </c>
      <c r="Q140" s="302" t="s">
        <v>443</v>
      </c>
      <c r="R140" s="303">
        <v>2015</v>
      </c>
      <c r="S140" s="303">
        <v>0</v>
      </c>
      <c r="T140" s="303">
        <v>0</v>
      </c>
      <c r="U140" s="572">
        <v>1</v>
      </c>
      <c r="V140" s="572">
        <v>1</v>
      </c>
      <c r="W140" s="572">
        <v>0</v>
      </c>
      <c r="X140" s="572">
        <v>1</v>
      </c>
      <c r="Y140" s="481"/>
      <c r="Z140" s="481"/>
      <c r="AA140" s="481"/>
      <c r="AB140" s="481"/>
      <c r="AC140" s="481"/>
      <c r="AD140" s="481"/>
      <c r="AE140" s="481"/>
      <c r="AF140" s="481">
        <f t="shared" si="92"/>
        <v>0</v>
      </c>
      <c r="AG140" s="548"/>
      <c r="AH140" s="548"/>
      <c r="AI140" s="491">
        <v>50</v>
      </c>
      <c r="AJ140" s="588"/>
      <c r="AK140" s="548"/>
      <c r="AL140" s="548"/>
      <c r="AM140" s="587">
        <f t="shared" ref="AM140:AM147" si="106">SUM(AG140:AL140)</f>
        <v>50</v>
      </c>
      <c r="AN140" s="481"/>
      <c r="AO140" s="481"/>
      <c r="AP140" s="481"/>
      <c r="AQ140" s="491">
        <v>700</v>
      </c>
      <c r="AR140" s="481"/>
      <c r="AS140" s="481"/>
      <c r="AT140" s="481"/>
      <c r="AU140" s="481">
        <f t="shared" si="100"/>
        <v>700</v>
      </c>
      <c r="AV140" s="548"/>
      <c r="AW140" s="548"/>
      <c r="AX140" s="548"/>
      <c r="AY140" s="548"/>
      <c r="AZ140" s="548"/>
      <c r="BA140" s="548"/>
      <c r="BB140" s="548"/>
      <c r="BC140" s="548">
        <f t="shared" si="105"/>
        <v>0</v>
      </c>
      <c r="BD140" s="42">
        <f t="shared" si="85"/>
        <v>0</v>
      </c>
      <c r="BE140" s="42">
        <f t="shared" si="85"/>
        <v>0</v>
      </c>
      <c r="BF140" s="42">
        <f t="shared" si="85"/>
        <v>50</v>
      </c>
      <c r="BG140" s="42">
        <f t="shared" si="85"/>
        <v>700</v>
      </c>
      <c r="BH140" s="42">
        <f t="shared" si="85"/>
        <v>0</v>
      </c>
      <c r="BI140" s="42">
        <f t="shared" si="51"/>
        <v>0</v>
      </c>
      <c r="BJ140" s="42">
        <f t="shared" si="99"/>
        <v>0</v>
      </c>
      <c r="BK140" s="42">
        <f t="shared" si="99"/>
        <v>750</v>
      </c>
    </row>
    <row r="141" spans="1:64" ht="48.75" customHeight="1" x14ac:dyDescent="0.25">
      <c r="A141" s="298" t="s">
        <v>386</v>
      </c>
      <c r="B141" s="299" t="s">
        <v>384</v>
      </c>
      <c r="C141" s="1547"/>
      <c r="D141" s="1549"/>
      <c r="E141" s="1549"/>
      <c r="F141" s="1549"/>
      <c r="G141" s="1549"/>
      <c r="H141" s="1549"/>
      <c r="I141" s="1425"/>
      <c r="J141" s="1425"/>
      <c r="K141" s="1425" t="s">
        <v>444</v>
      </c>
      <c r="L141" s="301" t="s">
        <v>391</v>
      </c>
      <c r="M141" s="1425" t="s">
        <v>392</v>
      </c>
      <c r="N141" s="476" t="s">
        <v>393</v>
      </c>
      <c r="O141" s="1425" t="s">
        <v>47</v>
      </c>
      <c r="P141" s="16" t="s">
        <v>445</v>
      </c>
      <c r="Q141" s="302" t="s">
        <v>446</v>
      </c>
      <c r="R141" s="303">
        <v>2015</v>
      </c>
      <c r="S141" s="303">
        <v>0</v>
      </c>
      <c r="T141" s="303">
        <v>1</v>
      </c>
      <c r="U141" s="572">
        <v>1</v>
      </c>
      <c r="V141" s="572">
        <v>1</v>
      </c>
      <c r="W141" s="572">
        <v>1</v>
      </c>
      <c r="X141" s="572">
        <v>1</v>
      </c>
      <c r="Y141" s="481"/>
      <c r="Z141" s="481"/>
      <c r="AA141" s="481">
        <v>87</v>
      </c>
      <c r="AB141" s="481"/>
      <c r="AC141" s="481"/>
      <c r="AD141" s="481"/>
      <c r="AE141" s="481"/>
      <c r="AF141" s="481">
        <f t="shared" si="92"/>
        <v>87</v>
      </c>
      <c r="AG141" s="548"/>
      <c r="AH141" s="548"/>
      <c r="AI141" s="491">
        <v>52</v>
      </c>
      <c r="AJ141" s="548"/>
      <c r="AK141" s="548"/>
      <c r="AL141" s="548"/>
      <c r="AM141" s="587">
        <f t="shared" si="106"/>
        <v>52</v>
      </c>
      <c r="AN141" s="481"/>
      <c r="AO141" s="481"/>
      <c r="AP141" s="481"/>
      <c r="AQ141" s="491">
        <v>100</v>
      </c>
      <c r="AR141" s="481"/>
      <c r="AS141" s="481"/>
      <c r="AT141" s="481"/>
      <c r="AU141" s="481">
        <f t="shared" si="100"/>
        <v>100</v>
      </c>
      <c r="AV141" s="548"/>
      <c r="AW141" s="548"/>
      <c r="AX141" s="491">
        <v>2</v>
      </c>
      <c r="AY141" s="548"/>
      <c r="AZ141" s="548"/>
      <c r="BA141" s="548"/>
      <c r="BB141" s="548"/>
      <c r="BC141" s="548">
        <f t="shared" si="105"/>
        <v>2</v>
      </c>
      <c r="BD141" s="42">
        <f t="shared" si="85"/>
        <v>0</v>
      </c>
      <c r="BE141" s="42">
        <f t="shared" si="85"/>
        <v>0</v>
      </c>
      <c r="BF141" s="42">
        <f t="shared" si="85"/>
        <v>141</v>
      </c>
      <c r="BG141" s="42">
        <f t="shared" si="85"/>
        <v>100</v>
      </c>
      <c r="BH141" s="42">
        <f t="shared" si="85"/>
        <v>0</v>
      </c>
      <c r="BI141" s="42">
        <f t="shared" ref="BI141:BI206" si="107">+AD141+AS141+BA141</f>
        <v>0</v>
      </c>
      <c r="BJ141" s="42">
        <f t="shared" si="99"/>
        <v>0</v>
      </c>
      <c r="BK141" s="42">
        <f t="shared" si="99"/>
        <v>241</v>
      </c>
    </row>
    <row r="142" spans="1:64" ht="44.25" customHeight="1" x14ac:dyDescent="0.25">
      <c r="A142" s="298" t="s">
        <v>386</v>
      </c>
      <c r="B142" s="299" t="s">
        <v>384</v>
      </c>
      <c r="C142" s="1547"/>
      <c r="D142" s="1549"/>
      <c r="E142" s="1549"/>
      <c r="F142" s="1549"/>
      <c r="G142" s="1549"/>
      <c r="H142" s="1549"/>
      <c r="I142" s="1425"/>
      <c r="J142" s="1425"/>
      <c r="K142" s="1425" t="s">
        <v>447</v>
      </c>
      <c r="L142" s="301" t="s">
        <v>391</v>
      </c>
      <c r="M142" s="1425" t="s">
        <v>392</v>
      </c>
      <c r="N142" s="476" t="s">
        <v>393</v>
      </c>
      <c r="O142" s="1425" t="s">
        <v>47</v>
      </c>
      <c r="P142" s="16" t="s">
        <v>448</v>
      </c>
      <c r="Q142" s="302" t="s">
        <v>449</v>
      </c>
      <c r="R142" s="303">
        <v>2015</v>
      </c>
      <c r="S142" s="303">
        <v>0</v>
      </c>
      <c r="T142" s="303">
        <v>1</v>
      </c>
      <c r="U142" s="699">
        <v>0</v>
      </c>
      <c r="V142" s="699">
        <v>0</v>
      </c>
      <c r="W142" s="699">
        <v>0</v>
      </c>
      <c r="X142" s="572">
        <v>1</v>
      </c>
      <c r="Y142" s="481">
        <v>0</v>
      </c>
      <c r="Z142" s="481"/>
      <c r="AA142" s="481">
        <v>17</v>
      </c>
      <c r="AB142" s="481"/>
      <c r="AC142" s="481"/>
      <c r="AD142" s="481"/>
      <c r="AE142" s="481"/>
      <c r="AF142" s="481">
        <f t="shared" si="92"/>
        <v>17</v>
      </c>
      <c r="AG142" s="548">
        <v>0</v>
      </c>
      <c r="AH142" s="548"/>
      <c r="AI142" s="548"/>
      <c r="AJ142" s="548"/>
      <c r="AK142" s="548"/>
      <c r="AL142" s="548"/>
      <c r="AM142" s="587">
        <f t="shared" si="106"/>
        <v>0</v>
      </c>
      <c r="AN142" s="481">
        <v>0</v>
      </c>
      <c r="AO142" s="481"/>
      <c r="AP142" s="481"/>
      <c r="AQ142" s="481"/>
      <c r="AR142" s="481"/>
      <c r="AS142" s="481"/>
      <c r="AT142" s="481"/>
      <c r="AU142" s="481">
        <f t="shared" si="100"/>
        <v>0</v>
      </c>
      <c r="AV142" s="548">
        <v>0</v>
      </c>
      <c r="AW142" s="548"/>
      <c r="AX142" s="548">
        <v>0</v>
      </c>
      <c r="AY142" s="548"/>
      <c r="AZ142" s="548"/>
      <c r="BA142" s="548"/>
      <c r="BB142" s="548"/>
      <c r="BC142" s="548">
        <f t="shared" si="105"/>
        <v>0</v>
      </c>
      <c r="BD142" s="42">
        <f t="shared" si="85"/>
        <v>0</v>
      </c>
      <c r="BE142" s="42">
        <f t="shared" si="85"/>
        <v>0</v>
      </c>
      <c r="BF142" s="42">
        <f t="shared" si="85"/>
        <v>17</v>
      </c>
      <c r="BG142" s="42">
        <f t="shared" si="85"/>
        <v>0</v>
      </c>
      <c r="BH142" s="42">
        <f t="shared" si="85"/>
        <v>0</v>
      </c>
      <c r="BI142" s="42">
        <f t="shared" si="107"/>
        <v>0</v>
      </c>
      <c r="BJ142" s="42">
        <f t="shared" si="99"/>
        <v>0</v>
      </c>
      <c r="BK142" s="42">
        <f t="shared" si="99"/>
        <v>17</v>
      </c>
    </row>
    <row r="143" spans="1:64" ht="59.25" customHeight="1" x14ac:dyDescent="0.25">
      <c r="A143" s="298" t="s">
        <v>386</v>
      </c>
      <c r="B143" s="299" t="s">
        <v>384</v>
      </c>
      <c r="C143" s="1547"/>
      <c r="D143" s="1549"/>
      <c r="E143" s="1549"/>
      <c r="F143" s="1549"/>
      <c r="G143" s="1549"/>
      <c r="H143" s="1549"/>
      <c r="I143" s="1425" t="s">
        <v>53</v>
      </c>
      <c r="J143" s="1425"/>
      <c r="K143" s="1425" t="s">
        <v>450</v>
      </c>
      <c r="L143" s="301" t="s">
        <v>391</v>
      </c>
      <c r="M143" s="1425" t="s">
        <v>392</v>
      </c>
      <c r="N143" s="476" t="s">
        <v>393</v>
      </c>
      <c r="O143" s="1425" t="s">
        <v>47</v>
      </c>
      <c r="P143" s="16" t="s">
        <v>451</v>
      </c>
      <c r="Q143" s="302" t="s">
        <v>452</v>
      </c>
      <c r="R143" s="303">
        <v>2015</v>
      </c>
      <c r="S143" s="303">
        <v>738</v>
      </c>
      <c r="T143" s="303">
        <v>700</v>
      </c>
      <c r="U143" s="572">
        <v>7000</v>
      </c>
      <c r="V143" s="572">
        <v>700</v>
      </c>
      <c r="W143" s="572">
        <v>700</v>
      </c>
      <c r="X143" s="572">
        <v>2800</v>
      </c>
      <c r="Y143" s="481"/>
      <c r="Z143" s="481"/>
      <c r="AA143" s="481">
        <f>498</f>
        <v>498</v>
      </c>
      <c r="AB143" s="481"/>
      <c r="AC143" s="481"/>
      <c r="AD143" s="481"/>
      <c r="AE143" s="481"/>
      <c r="AF143" s="481">
        <f t="shared" si="92"/>
        <v>498</v>
      </c>
      <c r="AG143" s="548"/>
      <c r="AH143" s="548"/>
      <c r="AI143" s="716">
        <v>389.42</v>
      </c>
      <c r="AJ143" s="548"/>
      <c r="AK143" s="548"/>
      <c r="AL143" s="548"/>
      <c r="AM143" s="587">
        <f t="shared" si="106"/>
        <v>389.42</v>
      </c>
      <c r="AN143" s="481"/>
      <c r="AO143" s="481"/>
      <c r="AP143" s="481">
        <f>+AI143*1.035</f>
        <v>403.04969999999997</v>
      </c>
      <c r="AQ143" s="481"/>
      <c r="AR143" s="481"/>
      <c r="AS143" s="481"/>
      <c r="AT143" s="481"/>
      <c r="AU143" s="481">
        <f t="shared" ref="AU143:AU155" si="108">SUM(AN143:AT143)</f>
        <v>403.04969999999997</v>
      </c>
      <c r="AV143" s="548"/>
      <c r="AW143" s="548"/>
      <c r="AX143" s="548">
        <f>(+AP143*1.035)+119</f>
        <v>536.15643949999992</v>
      </c>
      <c r="AY143" s="548"/>
      <c r="AZ143" s="548"/>
      <c r="BA143" s="548"/>
      <c r="BB143" s="548"/>
      <c r="BC143" s="548">
        <f t="shared" si="105"/>
        <v>536.15643949999992</v>
      </c>
      <c r="BD143" s="42">
        <f t="shared" si="85"/>
        <v>0</v>
      </c>
      <c r="BE143" s="42">
        <f t="shared" si="85"/>
        <v>0</v>
      </c>
      <c r="BF143" s="42">
        <f t="shared" si="85"/>
        <v>1826.6261394999999</v>
      </c>
      <c r="BG143" s="42">
        <f t="shared" si="85"/>
        <v>0</v>
      </c>
      <c r="BH143" s="42">
        <f t="shared" si="85"/>
        <v>0</v>
      </c>
      <c r="BI143" s="42">
        <f t="shared" si="107"/>
        <v>0</v>
      </c>
      <c r="BJ143" s="42">
        <f t="shared" si="99"/>
        <v>0</v>
      </c>
      <c r="BK143" s="42">
        <f t="shared" si="99"/>
        <v>1826.6261394999999</v>
      </c>
    </row>
    <row r="144" spans="1:64" ht="49.5" customHeight="1" x14ac:dyDescent="0.25">
      <c r="A144" s="298" t="s">
        <v>386</v>
      </c>
      <c r="B144" s="299" t="s">
        <v>384</v>
      </c>
      <c r="C144" s="1547"/>
      <c r="D144" s="1549"/>
      <c r="E144" s="1549"/>
      <c r="F144" s="1549"/>
      <c r="G144" s="1549"/>
      <c r="H144" s="1549"/>
      <c r="I144" s="1425"/>
      <c r="J144" s="1425"/>
      <c r="K144" s="1425" t="s">
        <v>453</v>
      </c>
      <c r="L144" s="301" t="s">
        <v>391</v>
      </c>
      <c r="M144" s="1425" t="s">
        <v>392</v>
      </c>
      <c r="N144" s="476" t="s">
        <v>393</v>
      </c>
      <c r="O144" s="1425" t="s">
        <v>47</v>
      </c>
      <c r="P144" s="16" t="s">
        <v>454</v>
      </c>
      <c r="Q144" s="302" t="s">
        <v>455</v>
      </c>
      <c r="R144" s="303">
        <v>2015</v>
      </c>
      <c r="S144" s="303">
        <v>257</v>
      </c>
      <c r="T144" s="303">
        <v>270</v>
      </c>
      <c r="U144" s="572">
        <f>270+270</f>
        <v>540</v>
      </c>
      <c r="V144" s="572">
        <f>270+540</f>
        <v>810</v>
      </c>
      <c r="W144" s="572">
        <f>270+810</f>
        <v>1080</v>
      </c>
      <c r="X144" s="572">
        <v>1080</v>
      </c>
      <c r="Y144" s="481"/>
      <c r="Z144" s="481"/>
      <c r="AA144" s="491">
        <v>3</v>
      </c>
      <c r="AB144" s="481"/>
      <c r="AC144" s="481"/>
      <c r="AD144" s="481"/>
      <c r="AE144" s="481"/>
      <c r="AF144" s="481">
        <f t="shared" si="92"/>
        <v>3</v>
      </c>
      <c r="AG144" s="548"/>
      <c r="AH144" s="548"/>
      <c r="AI144" s="491">
        <v>3</v>
      </c>
      <c r="AJ144" s="548"/>
      <c r="AK144" s="548"/>
      <c r="AL144" s="548"/>
      <c r="AM144" s="587">
        <f t="shared" si="106"/>
        <v>3</v>
      </c>
      <c r="AN144" s="481"/>
      <c r="AO144" s="481"/>
      <c r="AP144" s="491">
        <v>3</v>
      </c>
      <c r="AQ144" s="481"/>
      <c r="AR144" s="481"/>
      <c r="AS144" s="481"/>
      <c r="AT144" s="481"/>
      <c r="AU144" s="481">
        <f t="shared" si="108"/>
        <v>3</v>
      </c>
      <c r="AV144" s="548"/>
      <c r="AW144" s="548"/>
      <c r="AX144" s="491">
        <v>5</v>
      </c>
      <c r="AY144" s="548"/>
      <c r="AZ144" s="548"/>
      <c r="BA144" s="548"/>
      <c r="BB144" s="548"/>
      <c r="BC144" s="548">
        <f t="shared" si="105"/>
        <v>5</v>
      </c>
      <c r="BD144" s="42">
        <f t="shared" si="85"/>
        <v>0</v>
      </c>
      <c r="BE144" s="42">
        <f t="shared" si="85"/>
        <v>0</v>
      </c>
      <c r="BF144" s="42">
        <f t="shared" si="85"/>
        <v>14</v>
      </c>
      <c r="BG144" s="42">
        <f t="shared" si="85"/>
        <v>0</v>
      </c>
      <c r="BH144" s="42">
        <f t="shared" si="85"/>
        <v>0</v>
      </c>
      <c r="BI144" s="42">
        <f t="shared" si="107"/>
        <v>0</v>
      </c>
      <c r="BJ144" s="42">
        <f t="shared" si="99"/>
        <v>0</v>
      </c>
      <c r="BK144" s="42">
        <f t="shared" si="99"/>
        <v>14</v>
      </c>
    </row>
    <row r="145" spans="1:64" ht="68.25" customHeight="1" x14ac:dyDescent="0.25">
      <c r="A145" s="298" t="s">
        <v>386</v>
      </c>
      <c r="B145" s="299" t="s">
        <v>384</v>
      </c>
      <c r="C145" s="1547"/>
      <c r="D145" s="1549"/>
      <c r="E145" s="1549"/>
      <c r="F145" s="1549"/>
      <c r="G145" s="1549"/>
      <c r="H145" s="1549"/>
      <c r="I145" s="1425"/>
      <c r="J145" s="1425"/>
      <c r="K145" s="1425" t="s">
        <v>456</v>
      </c>
      <c r="L145" s="301" t="s">
        <v>391</v>
      </c>
      <c r="M145" s="1425" t="s">
        <v>392</v>
      </c>
      <c r="N145" s="476" t="s">
        <v>393</v>
      </c>
      <c r="O145" s="1425" t="s">
        <v>47</v>
      </c>
      <c r="P145" s="16" t="s">
        <v>457</v>
      </c>
      <c r="Q145" s="302" t="s">
        <v>458</v>
      </c>
      <c r="R145" s="303">
        <v>2015</v>
      </c>
      <c r="S145" s="303">
        <v>0</v>
      </c>
      <c r="T145" s="303">
        <v>0</v>
      </c>
      <c r="U145" s="572">
        <v>0</v>
      </c>
      <c r="V145" s="572">
        <v>0.5</v>
      </c>
      <c r="W145" s="572">
        <v>0.5</v>
      </c>
      <c r="X145" s="572">
        <v>1</v>
      </c>
      <c r="Y145" s="481"/>
      <c r="Z145" s="481"/>
      <c r="AA145" s="481"/>
      <c r="AB145" s="481"/>
      <c r="AC145" s="481"/>
      <c r="AD145" s="481"/>
      <c r="AE145" s="481"/>
      <c r="AF145" s="481">
        <f t="shared" si="92"/>
        <v>0</v>
      </c>
      <c r="AG145" s="548"/>
      <c r="AH145" s="548"/>
      <c r="AI145" s="548"/>
      <c r="AJ145" s="548"/>
      <c r="AK145" s="548"/>
      <c r="AL145" s="548"/>
      <c r="AM145" s="587">
        <f t="shared" si="106"/>
        <v>0</v>
      </c>
      <c r="AN145" s="481"/>
      <c r="AO145" s="481"/>
      <c r="AP145" s="481"/>
      <c r="AQ145" s="481"/>
      <c r="AR145" s="481"/>
      <c r="AS145" s="481"/>
      <c r="AT145" s="481">
        <v>5050</v>
      </c>
      <c r="AU145" s="481">
        <f t="shared" si="108"/>
        <v>5050</v>
      </c>
      <c r="AV145" s="548"/>
      <c r="AW145" s="548"/>
      <c r="AX145" s="491">
        <v>5</v>
      </c>
      <c r="AY145" s="548"/>
      <c r="AZ145" s="548"/>
      <c r="BA145" s="548"/>
      <c r="BB145" s="548"/>
      <c r="BC145" s="548">
        <f t="shared" si="105"/>
        <v>5</v>
      </c>
      <c r="BD145" s="42">
        <f t="shared" ref="BD145:BH154" si="109">+AV145+AN145+AG145+Y145</f>
        <v>0</v>
      </c>
      <c r="BE145" s="42">
        <f t="shared" si="109"/>
        <v>0</v>
      </c>
      <c r="BF145" s="42">
        <f t="shared" si="109"/>
        <v>5</v>
      </c>
      <c r="BG145" s="42">
        <f t="shared" si="109"/>
        <v>0</v>
      </c>
      <c r="BH145" s="42">
        <f t="shared" si="109"/>
        <v>0</v>
      </c>
      <c r="BI145" s="42">
        <f t="shared" si="107"/>
        <v>0</v>
      </c>
      <c r="BJ145" s="42">
        <f t="shared" si="99"/>
        <v>5050</v>
      </c>
      <c r="BK145" s="42">
        <f t="shared" si="99"/>
        <v>5055</v>
      </c>
    </row>
    <row r="146" spans="1:64" ht="48.75" customHeight="1" x14ac:dyDescent="0.25">
      <c r="A146" s="298" t="s">
        <v>386</v>
      </c>
      <c r="B146" s="299" t="s">
        <v>384</v>
      </c>
      <c r="C146" s="1547"/>
      <c r="D146" s="1549"/>
      <c r="E146" s="1549"/>
      <c r="F146" s="1549"/>
      <c r="G146" s="1549"/>
      <c r="H146" s="1549"/>
      <c r="I146" s="1425"/>
      <c r="J146" s="1425"/>
      <c r="K146" s="1425" t="s">
        <v>459</v>
      </c>
      <c r="L146" s="301" t="s">
        <v>391</v>
      </c>
      <c r="M146" s="1425" t="s">
        <v>392</v>
      </c>
      <c r="N146" s="476" t="s">
        <v>393</v>
      </c>
      <c r="O146" s="1425" t="s">
        <v>73</v>
      </c>
      <c r="P146" s="16" t="s">
        <v>460</v>
      </c>
      <c r="Q146" s="302" t="s">
        <v>410</v>
      </c>
      <c r="R146" s="303">
        <v>2015</v>
      </c>
      <c r="S146" s="303">
        <v>100</v>
      </c>
      <c r="T146" s="303">
        <v>100</v>
      </c>
      <c r="U146" s="572">
        <v>100</v>
      </c>
      <c r="V146" s="572">
        <v>100</v>
      </c>
      <c r="W146" s="572">
        <v>100</v>
      </c>
      <c r="X146" s="572">
        <v>100</v>
      </c>
      <c r="Y146" s="481"/>
      <c r="Z146" s="481"/>
      <c r="AA146" s="492">
        <v>177</v>
      </c>
      <c r="AB146" s="481"/>
      <c r="AC146" s="481"/>
      <c r="AD146" s="481"/>
      <c r="AE146" s="481"/>
      <c r="AF146" s="481">
        <f t="shared" si="92"/>
        <v>177</v>
      </c>
      <c r="AG146" s="548"/>
      <c r="AH146" s="548"/>
      <c r="AI146" s="548">
        <f>+AA146*1.035</f>
        <v>183.19499999999999</v>
      </c>
      <c r="AJ146" s="548"/>
      <c r="AK146" s="548"/>
      <c r="AL146" s="548"/>
      <c r="AM146" s="587">
        <f t="shared" si="106"/>
        <v>183.19499999999999</v>
      </c>
      <c r="AN146" s="481"/>
      <c r="AO146" s="481"/>
      <c r="AP146" s="481">
        <f>+AI146*1.035</f>
        <v>189.60682499999999</v>
      </c>
      <c r="AQ146" s="481"/>
      <c r="AR146" s="481"/>
      <c r="AS146" s="481"/>
      <c r="AT146" s="481"/>
      <c r="AU146" s="481">
        <f t="shared" si="108"/>
        <v>189.60682499999999</v>
      </c>
      <c r="AV146" s="548"/>
      <c r="AW146" s="548"/>
      <c r="AX146" s="42">
        <f>+AP146*1.035</f>
        <v>196.24306387499996</v>
      </c>
      <c r="AY146" s="548"/>
      <c r="AZ146" s="548"/>
      <c r="BA146" s="548"/>
      <c r="BB146" s="548"/>
      <c r="BC146" s="548">
        <f t="shared" si="105"/>
        <v>196.24306387499996</v>
      </c>
      <c r="BD146" s="42">
        <f t="shared" si="109"/>
        <v>0</v>
      </c>
      <c r="BE146" s="42">
        <f t="shared" si="109"/>
        <v>0</v>
      </c>
      <c r="BF146" s="42">
        <f t="shared" si="109"/>
        <v>746.04488887499997</v>
      </c>
      <c r="BG146" s="42">
        <f t="shared" si="109"/>
        <v>0</v>
      </c>
      <c r="BH146" s="42">
        <f t="shared" si="109"/>
        <v>0</v>
      </c>
      <c r="BI146" s="42">
        <f t="shared" si="107"/>
        <v>0</v>
      </c>
      <c r="BJ146" s="42">
        <f t="shared" si="99"/>
        <v>0</v>
      </c>
      <c r="BK146" s="42">
        <f t="shared" si="99"/>
        <v>746.04488887499997</v>
      </c>
    </row>
    <row r="147" spans="1:64" ht="50.25" customHeight="1" x14ac:dyDescent="0.25">
      <c r="A147" s="298" t="s">
        <v>386</v>
      </c>
      <c r="B147" s="299" t="s">
        <v>384</v>
      </c>
      <c r="C147" s="1548"/>
      <c r="D147" s="1549"/>
      <c r="E147" s="1549"/>
      <c r="F147" s="1549"/>
      <c r="G147" s="1549"/>
      <c r="H147" s="1549"/>
      <c r="I147" s="1425"/>
      <c r="J147" s="1425"/>
      <c r="K147" s="1425" t="s">
        <v>461</v>
      </c>
      <c r="L147" s="301" t="s">
        <v>391</v>
      </c>
      <c r="M147" s="1425" t="s">
        <v>392</v>
      </c>
      <c r="N147" s="479" t="s">
        <v>352</v>
      </c>
      <c r="O147" s="1425" t="s">
        <v>47</v>
      </c>
      <c r="P147" s="16" t="s">
        <v>462</v>
      </c>
      <c r="Q147" s="302" t="s">
        <v>463</v>
      </c>
      <c r="R147" s="303">
        <v>2015</v>
      </c>
      <c r="S147" s="303">
        <v>0</v>
      </c>
      <c r="T147" s="699">
        <v>50</v>
      </c>
      <c r="U147" s="572">
        <v>50</v>
      </c>
      <c r="V147" s="572">
        <v>100</v>
      </c>
      <c r="W147" s="572">
        <v>50</v>
      </c>
      <c r="X147" s="572">
        <v>250</v>
      </c>
      <c r="Y147" s="481"/>
      <c r="Z147" s="481"/>
      <c r="AA147" s="491">
        <v>17</v>
      </c>
      <c r="AB147" s="481"/>
      <c r="AC147" s="481"/>
      <c r="AD147" s="481"/>
      <c r="AE147" s="481"/>
      <c r="AF147" s="481">
        <f t="shared" si="92"/>
        <v>17</v>
      </c>
      <c r="AG147" s="548"/>
      <c r="AH147" s="548"/>
      <c r="AI147" s="491">
        <v>20</v>
      </c>
      <c r="AJ147" s="548"/>
      <c r="AK147" s="548"/>
      <c r="AL147" s="548"/>
      <c r="AM147" s="587">
        <f t="shared" si="106"/>
        <v>20</v>
      </c>
      <c r="AN147" s="481"/>
      <c r="AO147" s="481"/>
      <c r="AP147" s="491">
        <v>97</v>
      </c>
      <c r="AQ147" s="481"/>
      <c r="AR147" s="481"/>
      <c r="AS147" s="481"/>
      <c r="AT147" s="481"/>
      <c r="AU147" s="481">
        <f t="shared" si="108"/>
        <v>97</v>
      </c>
      <c r="AV147" s="548"/>
      <c r="AW147" s="548"/>
      <c r="AX147" s="491">
        <v>2.02</v>
      </c>
      <c r="AY147" s="548"/>
      <c r="AZ147" s="548"/>
      <c r="BA147" s="548"/>
      <c r="BB147" s="548"/>
      <c r="BC147" s="548">
        <f t="shared" si="105"/>
        <v>2.02</v>
      </c>
      <c r="BD147" s="42">
        <f t="shared" si="109"/>
        <v>0</v>
      </c>
      <c r="BE147" s="42">
        <f t="shared" si="109"/>
        <v>0</v>
      </c>
      <c r="BF147" s="42">
        <f t="shared" si="109"/>
        <v>136.01999999999998</v>
      </c>
      <c r="BG147" s="42">
        <f t="shared" si="109"/>
        <v>0</v>
      </c>
      <c r="BH147" s="42">
        <f t="shared" si="109"/>
        <v>0</v>
      </c>
      <c r="BI147" s="42">
        <f t="shared" si="107"/>
        <v>0</v>
      </c>
      <c r="BJ147" s="42">
        <f t="shared" si="99"/>
        <v>0</v>
      </c>
      <c r="BK147" s="42">
        <f t="shared" si="99"/>
        <v>136.01999999999998</v>
      </c>
    </row>
    <row r="148" spans="1:64" ht="12.75" x14ac:dyDescent="0.2">
      <c r="A148" s="295" t="s">
        <v>386</v>
      </c>
      <c r="B148" s="154" t="s">
        <v>384</v>
      </c>
      <c r="C148" s="154"/>
      <c r="D148" s="2" t="s">
        <v>464</v>
      </c>
      <c r="E148" s="1"/>
      <c r="F148" s="1"/>
      <c r="G148" s="1"/>
      <c r="H148" s="1"/>
      <c r="I148" s="1"/>
      <c r="J148" s="1"/>
      <c r="K148" s="1"/>
      <c r="L148" s="1"/>
      <c r="M148" s="1"/>
      <c r="N148" s="1"/>
      <c r="O148" s="1"/>
      <c r="P148" s="22"/>
      <c r="Q148" s="22"/>
      <c r="R148" s="1"/>
      <c r="S148" s="1"/>
      <c r="T148" s="1"/>
      <c r="U148" s="49"/>
      <c r="V148" s="49"/>
      <c r="W148" s="49"/>
      <c r="X148" s="49"/>
      <c r="Y148" s="34">
        <f t="shared" ref="Y148:AE148" si="110">SUM(Y149:Y155)</f>
        <v>0</v>
      </c>
      <c r="Z148" s="34">
        <f t="shared" si="110"/>
        <v>0</v>
      </c>
      <c r="AA148" s="34">
        <f t="shared" si="110"/>
        <v>794.6</v>
      </c>
      <c r="AB148" s="34">
        <f t="shared" si="110"/>
        <v>0</v>
      </c>
      <c r="AC148" s="34">
        <f t="shared" si="110"/>
        <v>0</v>
      </c>
      <c r="AD148" s="34">
        <f t="shared" si="110"/>
        <v>95.1</v>
      </c>
      <c r="AE148" s="34">
        <f t="shared" si="110"/>
        <v>0</v>
      </c>
      <c r="AF148" s="34">
        <f t="shared" si="92"/>
        <v>889.7</v>
      </c>
      <c r="AG148" s="34">
        <f t="shared" ref="AG148:AL148" si="111">SUM(AG149:AG155)</f>
        <v>0</v>
      </c>
      <c r="AH148" s="34">
        <f t="shared" si="111"/>
        <v>0</v>
      </c>
      <c r="AI148" s="34">
        <f t="shared" si="111"/>
        <v>347.25</v>
      </c>
      <c r="AJ148" s="34">
        <f t="shared" si="111"/>
        <v>0</v>
      </c>
      <c r="AK148" s="34">
        <f t="shared" si="111"/>
        <v>0</v>
      </c>
      <c r="AL148" s="34">
        <f t="shared" si="111"/>
        <v>0</v>
      </c>
      <c r="AM148" s="34">
        <f t="shared" ref="AM148:AM155" si="112">SUM(AG148:AL148)</f>
        <v>347.25</v>
      </c>
      <c r="AN148" s="34">
        <f t="shared" ref="AN148:AT148" si="113">SUM(AN149:AN155)</f>
        <v>0</v>
      </c>
      <c r="AO148" s="34">
        <f t="shared" si="113"/>
        <v>0</v>
      </c>
      <c r="AP148" s="34">
        <f t="shared" si="113"/>
        <v>358.01874999999995</v>
      </c>
      <c r="AQ148" s="34">
        <f t="shared" si="113"/>
        <v>0</v>
      </c>
      <c r="AR148" s="34">
        <f t="shared" si="113"/>
        <v>0</v>
      </c>
      <c r="AS148" s="34">
        <f t="shared" si="113"/>
        <v>0</v>
      </c>
      <c r="AT148" s="34">
        <f t="shared" si="113"/>
        <v>0</v>
      </c>
      <c r="AU148" s="34">
        <f t="shared" si="108"/>
        <v>358.01874999999995</v>
      </c>
      <c r="AV148" s="34">
        <f t="shared" ref="AV148:BB148" si="114">SUM(AV149:AV155)</f>
        <v>0</v>
      </c>
      <c r="AW148" s="34">
        <f t="shared" si="114"/>
        <v>0</v>
      </c>
      <c r="AX148" s="34">
        <f t="shared" si="114"/>
        <v>374.51440624999992</v>
      </c>
      <c r="AY148" s="34">
        <f t="shared" si="114"/>
        <v>0</v>
      </c>
      <c r="AZ148" s="34">
        <f t="shared" si="114"/>
        <v>0</v>
      </c>
      <c r="BA148" s="34">
        <f t="shared" si="114"/>
        <v>0</v>
      </c>
      <c r="BB148" s="34">
        <f t="shared" si="114"/>
        <v>0</v>
      </c>
      <c r="BC148" s="34">
        <f>SUM(AV148:BB148)</f>
        <v>374.51440624999992</v>
      </c>
      <c r="BD148" s="34">
        <f t="shared" si="109"/>
        <v>0</v>
      </c>
      <c r="BE148" s="34">
        <f t="shared" si="109"/>
        <v>0</v>
      </c>
      <c r="BF148" s="34">
        <f t="shared" si="109"/>
        <v>1874.38315625</v>
      </c>
      <c r="BG148" s="34">
        <f t="shared" si="109"/>
        <v>0</v>
      </c>
      <c r="BH148" s="34">
        <f t="shared" si="109"/>
        <v>0</v>
      </c>
      <c r="BI148" s="34">
        <f t="shared" si="107"/>
        <v>95.1</v>
      </c>
      <c r="BJ148" s="34">
        <f t="shared" si="99"/>
        <v>0</v>
      </c>
      <c r="BK148" s="34">
        <f t="shared" si="99"/>
        <v>1969.4831562499999</v>
      </c>
    </row>
    <row r="149" spans="1:64" ht="64.5" customHeight="1" x14ac:dyDescent="0.25">
      <c r="A149" s="298" t="s">
        <v>386</v>
      </c>
      <c r="B149" s="299" t="s">
        <v>384</v>
      </c>
      <c r="C149" s="1546" t="s">
        <v>465</v>
      </c>
      <c r="D149" s="1549" t="s">
        <v>466</v>
      </c>
      <c r="E149" s="1549" t="s">
        <v>467</v>
      </c>
      <c r="F149" s="1549">
        <v>2015</v>
      </c>
      <c r="G149" s="1549">
        <v>98</v>
      </c>
      <c r="H149" s="1549">
        <v>100</v>
      </c>
      <c r="I149" s="1425" t="s">
        <v>53</v>
      </c>
      <c r="J149" s="1425"/>
      <c r="K149" s="1425" t="s">
        <v>468</v>
      </c>
      <c r="L149" s="301" t="s">
        <v>391</v>
      </c>
      <c r="M149" s="1425" t="s">
        <v>392</v>
      </c>
      <c r="N149" s="476" t="s">
        <v>393</v>
      </c>
      <c r="O149" s="1425" t="s">
        <v>47</v>
      </c>
      <c r="P149" s="16" t="s">
        <v>469</v>
      </c>
      <c r="Q149" s="302" t="s">
        <v>470</v>
      </c>
      <c r="R149" s="303">
        <v>2015</v>
      </c>
      <c r="S149" s="303">
        <v>0</v>
      </c>
      <c r="T149" s="303">
        <v>1</v>
      </c>
      <c r="U149" s="498">
        <v>0</v>
      </c>
      <c r="V149" s="572">
        <v>0</v>
      </c>
      <c r="W149" s="572">
        <v>0</v>
      </c>
      <c r="X149" s="572">
        <v>1</v>
      </c>
      <c r="Y149" s="581"/>
      <c r="Z149" s="581"/>
      <c r="AA149" s="581">
        <v>356.1</v>
      </c>
      <c r="AB149" s="581"/>
      <c r="AC149" s="581"/>
      <c r="AD149" s="581">
        <v>95.1</v>
      </c>
      <c r="AE149" s="581"/>
      <c r="AF149" s="481">
        <f t="shared" si="92"/>
        <v>451.20000000000005</v>
      </c>
      <c r="AG149" s="590"/>
      <c r="AH149" s="590"/>
      <c r="AI149" s="590"/>
      <c r="AJ149" s="590"/>
      <c r="AK149" s="590"/>
      <c r="AL149" s="590"/>
      <c r="AM149" s="590">
        <f t="shared" si="112"/>
        <v>0</v>
      </c>
      <c r="AN149" s="581"/>
      <c r="AO149" s="581"/>
      <c r="AP149" s="581"/>
      <c r="AQ149" s="581"/>
      <c r="AR149" s="581"/>
      <c r="AS149" s="581"/>
      <c r="AT149" s="581"/>
      <c r="AU149" s="581">
        <f t="shared" si="108"/>
        <v>0</v>
      </c>
      <c r="AV149" s="590"/>
      <c r="AW149" s="590"/>
      <c r="AX149" s="590"/>
      <c r="AY149" s="590"/>
      <c r="AZ149" s="590"/>
      <c r="BA149" s="590"/>
      <c r="BB149" s="590"/>
      <c r="BC149" s="548">
        <f t="shared" ref="BC149:BC154" si="115">SUM(AV149:BB149)</f>
        <v>0</v>
      </c>
      <c r="BD149" s="60">
        <f t="shared" si="109"/>
        <v>0</v>
      </c>
      <c r="BE149" s="60">
        <f t="shared" si="109"/>
        <v>0</v>
      </c>
      <c r="BF149" s="60">
        <f t="shared" si="109"/>
        <v>356.1</v>
      </c>
      <c r="BG149" s="60">
        <f t="shared" si="109"/>
        <v>0</v>
      </c>
      <c r="BH149" s="60">
        <f t="shared" si="109"/>
        <v>0</v>
      </c>
      <c r="BI149" s="60">
        <f t="shared" si="107"/>
        <v>95.1</v>
      </c>
      <c r="BJ149" s="60">
        <f t="shared" si="99"/>
        <v>0</v>
      </c>
      <c r="BK149" s="60">
        <f t="shared" si="99"/>
        <v>451.20000000000005</v>
      </c>
    </row>
    <row r="150" spans="1:64" ht="43.5" customHeight="1" x14ac:dyDescent="0.25">
      <c r="A150" s="298" t="s">
        <v>386</v>
      </c>
      <c r="B150" s="299" t="s">
        <v>384</v>
      </c>
      <c r="C150" s="1547"/>
      <c r="D150" s="1549"/>
      <c r="E150" s="1549"/>
      <c r="F150" s="1549"/>
      <c r="G150" s="1549"/>
      <c r="H150" s="1549"/>
      <c r="I150" s="1425"/>
      <c r="J150" s="1425"/>
      <c r="K150" s="1425" t="s">
        <v>471</v>
      </c>
      <c r="L150" s="301" t="s">
        <v>391</v>
      </c>
      <c r="M150" s="1425" t="s">
        <v>392</v>
      </c>
      <c r="N150" s="476" t="s">
        <v>393</v>
      </c>
      <c r="O150" s="1425" t="s">
        <v>73</v>
      </c>
      <c r="P150" s="16" t="s">
        <v>472</v>
      </c>
      <c r="Q150" s="302" t="s">
        <v>473</v>
      </c>
      <c r="R150" s="303">
        <v>2015</v>
      </c>
      <c r="S150" s="303">
        <v>0</v>
      </c>
      <c r="T150" s="303">
        <v>1</v>
      </c>
      <c r="U150" s="572">
        <v>1</v>
      </c>
      <c r="V150" s="572">
        <v>1</v>
      </c>
      <c r="W150" s="572">
        <v>1</v>
      </c>
      <c r="X150" s="572">
        <v>1</v>
      </c>
      <c r="Y150" s="581"/>
      <c r="Z150" s="581"/>
      <c r="AA150" s="495">
        <v>207.5</v>
      </c>
      <c r="AB150" s="581"/>
      <c r="AC150" s="581"/>
      <c r="AD150" s="581"/>
      <c r="AE150" s="581"/>
      <c r="AF150" s="481">
        <f t="shared" si="92"/>
        <v>207.5</v>
      </c>
      <c r="AG150" s="590"/>
      <c r="AH150" s="590"/>
      <c r="AI150" s="718">
        <v>114.76</v>
      </c>
      <c r="AJ150" s="590"/>
      <c r="AK150" s="590"/>
      <c r="AL150" s="590"/>
      <c r="AM150" s="590">
        <f t="shared" si="112"/>
        <v>114.76</v>
      </c>
      <c r="AN150" s="581"/>
      <c r="AO150" s="581"/>
      <c r="AP150" s="581">
        <f>+AI150*1.035</f>
        <v>118.7766</v>
      </c>
      <c r="AQ150" s="581"/>
      <c r="AR150" s="581"/>
      <c r="AS150" s="581"/>
      <c r="AT150" s="581"/>
      <c r="AU150" s="581">
        <f t="shared" si="108"/>
        <v>118.7766</v>
      </c>
      <c r="AV150" s="590"/>
      <c r="AW150" s="590"/>
      <c r="AX150" s="590">
        <f>+AP150*1.035</f>
        <v>122.933781</v>
      </c>
      <c r="AY150" s="590"/>
      <c r="AZ150" s="590"/>
      <c r="BA150" s="590"/>
      <c r="BB150" s="590"/>
      <c r="BC150" s="548">
        <f t="shared" si="115"/>
        <v>122.933781</v>
      </c>
      <c r="BD150" s="60">
        <f t="shared" si="109"/>
        <v>0</v>
      </c>
      <c r="BE150" s="60">
        <f t="shared" si="109"/>
        <v>0</v>
      </c>
      <c r="BF150" s="60">
        <f t="shared" si="109"/>
        <v>563.97038099999997</v>
      </c>
      <c r="BG150" s="60">
        <f t="shared" si="109"/>
        <v>0</v>
      </c>
      <c r="BH150" s="60">
        <f t="shared" si="109"/>
        <v>0</v>
      </c>
      <c r="BI150" s="60">
        <f t="shared" si="107"/>
        <v>0</v>
      </c>
      <c r="BJ150" s="60">
        <f t="shared" si="99"/>
        <v>0</v>
      </c>
      <c r="BK150" s="60">
        <f t="shared" si="99"/>
        <v>563.97038099999997</v>
      </c>
    </row>
    <row r="151" spans="1:64" ht="33.75" customHeight="1" x14ac:dyDescent="0.25">
      <c r="A151" s="298" t="s">
        <v>386</v>
      </c>
      <c r="B151" s="299" t="s">
        <v>384</v>
      </c>
      <c r="C151" s="1547"/>
      <c r="D151" s="1549"/>
      <c r="E151" s="1549"/>
      <c r="F151" s="1549"/>
      <c r="G151" s="1549"/>
      <c r="H151" s="1549"/>
      <c r="I151" s="1425"/>
      <c r="J151" s="1425"/>
      <c r="K151" s="1425" t="s">
        <v>474</v>
      </c>
      <c r="L151" s="301" t="s">
        <v>391</v>
      </c>
      <c r="M151" s="1425" t="s">
        <v>392</v>
      </c>
      <c r="N151" s="480" t="s">
        <v>352</v>
      </c>
      <c r="O151" s="1425" t="s">
        <v>73</v>
      </c>
      <c r="P151" s="16" t="s">
        <v>475</v>
      </c>
      <c r="Q151" s="302" t="s">
        <v>476</v>
      </c>
      <c r="R151" s="303">
        <v>2015</v>
      </c>
      <c r="S151" s="303">
        <v>1</v>
      </c>
      <c r="T151" s="303">
        <v>1</v>
      </c>
      <c r="U151" s="572">
        <v>1</v>
      </c>
      <c r="V151" s="572">
        <v>1</v>
      </c>
      <c r="W151" s="572">
        <v>1</v>
      </c>
      <c r="X151" s="572">
        <v>1</v>
      </c>
      <c r="Y151" s="581"/>
      <c r="Z151" s="581"/>
      <c r="AA151" s="581">
        <v>50</v>
      </c>
      <c r="AB151" s="581"/>
      <c r="AC151" s="581"/>
      <c r="AD151" s="581"/>
      <c r="AE151" s="581"/>
      <c r="AF151" s="481">
        <f t="shared" si="92"/>
        <v>50</v>
      </c>
      <c r="AG151" s="590"/>
      <c r="AH151" s="590"/>
      <c r="AI151" s="590">
        <f>+AA151*1.035</f>
        <v>51.749999999999993</v>
      </c>
      <c r="AJ151" s="590"/>
      <c r="AK151" s="590"/>
      <c r="AL151" s="590"/>
      <c r="AM151" s="590">
        <f t="shared" si="112"/>
        <v>51.749999999999993</v>
      </c>
      <c r="AN151" s="581"/>
      <c r="AO151" s="581"/>
      <c r="AP151" s="581">
        <f>+AI151*1.035</f>
        <v>53.561249999999987</v>
      </c>
      <c r="AQ151" s="581"/>
      <c r="AR151" s="581"/>
      <c r="AS151" s="581"/>
      <c r="AT151" s="581"/>
      <c r="AU151" s="581">
        <f t="shared" si="108"/>
        <v>53.561249999999987</v>
      </c>
      <c r="AV151" s="590"/>
      <c r="AW151" s="590"/>
      <c r="AX151" s="590">
        <f>+AP151*1.035</f>
        <v>55.435893749999984</v>
      </c>
      <c r="AY151" s="590"/>
      <c r="AZ151" s="590"/>
      <c r="BA151" s="590"/>
      <c r="BB151" s="590"/>
      <c r="BC151" s="548">
        <f t="shared" si="115"/>
        <v>55.435893749999984</v>
      </c>
      <c r="BD151" s="60">
        <f t="shared" si="109"/>
        <v>0</v>
      </c>
      <c r="BE151" s="60">
        <f t="shared" si="109"/>
        <v>0</v>
      </c>
      <c r="BF151" s="60">
        <f t="shared" si="109"/>
        <v>210.74714374999996</v>
      </c>
      <c r="BG151" s="60">
        <f t="shared" si="109"/>
        <v>0</v>
      </c>
      <c r="BH151" s="60">
        <f t="shared" si="109"/>
        <v>0</v>
      </c>
      <c r="BI151" s="60">
        <f t="shared" si="107"/>
        <v>0</v>
      </c>
      <c r="BJ151" s="60">
        <f t="shared" si="99"/>
        <v>0</v>
      </c>
      <c r="BK151" s="60">
        <f t="shared" si="99"/>
        <v>210.74714374999996</v>
      </c>
    </row>
    <row r="152" spans="1:64" ht="50.25" customHeight="1" x14ac:dyDescent="0.25">
      <c r="A152" s="298" t="s">
        <v>386</v>
      </c>
      <c r="B152" s="299" t="s">
        <v>384</v>
      </c>
      <c r="C152" s="1547"/>
      <c r="D152" s="1549"/>
      <c r="E152" s="1549"/>
      <c r="F152" s="1549"/>
      <c r="G152" s="1549"/>
      <c r="H152" s="1549"/>
      <c r="I152" s="1425"/>
      <c r="J152" s="1425"/>
      <c r="K152" s="1425" t="s">
        <v>477</v>
      </c>
      <c r="L152" s="301" t="s">
        <v>391</v>
      </c>
      <c r="M152" s="1425" t="s">
        <v>392</v>
      </c>
      <c r="N152" s="476" t="s">
        <v>393</v>
      </c>
      <c r="O152" s="1425" t="s">
        <v>47</v>
      </c>
      <c r="P152" s="73" t="s">
        <v>478</v>
      </c>
      <c r="Q152" s="302" t="s">
        <v>479</v>
      </c>
      <c r="R152" s="303">
        <v>2015</v>
      </c>
      <c r="S152" s="303">
        <v>1</v>
      </c>
      <c r="T152" s="303">
        <v>1</v>
      </c>
      <c r="U152" s="572">
        <v>0</v>
      </c>
      <c r="V152" s="572">
        <v>0</v>
      </c>
      <c r="W152" s="572">
        <v>0</v>
      </c>
      <c r="X152" s="572">
        <v>1</v>
      </c>
      <c r="Y152" s="581"/>
      <c r="Z152" s="581"/>
      <c r="AA152" s="581">
        <v>16</v>
      </c>
      <c r="AB152" s="581"/>
      <c r="AC152" s="581"/>
      <c r="AD152" s="581"/>
      <c r="AE152" s="581"/>
      <c r="AF152" s="481">
        <f t="shared" si="92"/>
        <v>16</v>
      </c>
      <c r="AG152" s="590"/>
      <c r="AH152" s="590"/>
      <c r="AI152" s="590">
        <v>0</v>
      </c>
      <c r="AJ152" s="590"/>
      <c r="AK152" s="590"/>
      <c r="AL152" s="590"/>
      <c r="AM152" s="590">
        <f t="shared" si="112"/>
        <v>0</v>
      </c>
      <c r="AN152" s="581"/>
      <c r="AO152" s="581"/>
      <c r="AP152" s="581"/>
      <c r="AQ152" s="581"/>
      <c r="AR152" s="581"/>
      <c r="AS152" s="581"/>
      <c r="AT152" s="581"/>
      <c r="AU152" s="581">
        <f t="shared" si="108"/>
        <v>0</v>
      </c>
      <c r="AV152" s="590"/>
      <c r="AW152" s="590"/>
      <c r="AX152" s="590"/>
      <c r="AY152" s="590"/>
      <c r="AZ152" s="590"/>
      <c r="BA152" s="590"/>
      <c r="BB152" s="590"/>
      <c r="BC152" s="548">
        <f t="shared" si="115"/>
        <v>0</v>
      </c>
      <c r="BD152" s="60">
        <f t="shared" si="109"/>
        <v>0</v>
      </c>
      <c r="BE152" s="60">
        <f t="shared" si="109"/>
        <v>0</v>
      </c>
      <c r="BF152" s="60">
        <f t="shared" si="109"/>
        <v>16</v>
      </c>
      <c r="BG152" s="60">
        <f t="shared" si="109"/>
        <v>0</v>
      </c>
      <c r="BH152" s="60">
        <f t="shared" si="109"/>
        <v>0</v>
      </c>
      <c r="BI152" s="60">
        <f t="shared" si="107"/>
        <v>0</v>
      </c>
      <c r="BJ152" s="60">
        <f t="shared" si="99"/>
        <v>0</v>
      </c>
      <c r="BK152" s="60">
        <f t="shared" si="99"/>
        <v>16</v>
      </c>
    </row>
    <row r="153" spans="1:64" ht="46.5" customHeight="1" x14ac:dyDescent="0.25">
      <c r="A153" s="298" t="s">
        <v>386</v>
      </c>
      <c r="B153" s="299" t="s">
        <v>384</v>
      </c>
      <c r="C153" s="1547"/>
      <c r="D153" s="1549"/>
      <c r="E153" s="1549"/>
      <c r="F153" s="1549"/>
      <c r="G153" s="1549"/>
      <c r="H153" s="1549"/>
      <c r="I153" s="1425"/>
      <c r="J153" s="1425"/>
      <c r="K153" s="1425" t="s">
        <v>480</v>
      </c>
      <c r="L153" s="301" t="s">
        <v>391</v>
      </c>
      <c r="M153" s="1425" t="s">
        <v>392</v>
      </c>
      <c r="N153" s="476" t="s">
        <v>393</v>
      </c>
      <c r="O153" s="1425" t="s">
        <v>73</v>
      </c>
      <c r="P153" s="16" t="s">
        <v>481</v>
      </c>
      <c r="Q153" s="302" t="s">
        <v>482</v>
      </c>
      <c r="R153" s="303">
        <v>2015</v>
      </c>
      <c r="S153" s="303">
        <v>100</v>
      </c>
      <c r="T153" s="303">
        <v>100</v>
      </c>
      <c r="U153" s="572">
        <v>100</v>
      </c>
      <c r="V153" s="572">
        <v>100</v>
      </c>
      <c r="W153" s="572">
        <v>100</v>
      </c>
      <c r="X153" s="572">
        <v>100</v>
      </c>
      <c r="Y153" s="581"/>
      <c r="Z153" s="581"/>
      <c r="AA153" s="496">
        <v>164</v>
      </c>
      <c r="AB153" s="581"/>
      <c r="AC153" s="581"/>
      <c r="AD153" s="581"/>
      <c r="AE153" s="581"/>
      <c r="AF153" s="481">
        <f t="shared" si="92"/>
        <v>164</v>
      </c>
      <c r="AG153" s="590"/>
      <c r="AH153" s="590"/>
      <c r="AI153" s="590">
        <f>+AA153*1.035</f>
        <v>169.73999999999998</v>
      </c>
      <c r="AJ153" s="590"/>
      <c r="AK153" s="590"/>
      <c r="AL153" s="590"/>
      <c r="AM153" s="590">
        <f t="shared" si="112"/>
        <v>169.73999999999998</v>
      </c>
      <c r="AN153" s="581"/>
      <c r="AO153" s="581"/>
      <c r="AP153" s="581">
        <f>+AI153*1.035</f>
        <v>175.68089999999998</v>
      </c>
      <c r="AQ153" s="581"/>
      <c r="AR153" s="581"/>
      <c r="AS153" s="581"/>
      <c r="AT153" s="581"/>
      <c r="AU153" s="581">
        <f t="shared" si="108"/>
        <v>175.68089999999998</v>
      </c>
      <c r="AV153" s="590"/>
      <c r="AW153" s="590"/>
      <c r="AX153" s="590">
        <f>+AP153*1.035</f>
        <v>181.82973149999995</v>
      </c>
      <c r="AY153" s="590"/>
      <c r="AZ153" s="590"/>
      <c r="BA153" s="590"/>
      <c r="BB153" s="590"/>
      <c r="BC153" s="548">
        <f t="shared" si="115"/>
        <v>181.82973149999995</v>
      </c>
      <c r="BD153" s="60">
        <f t="shared" si="109"/>
        <v>0</v>
      </c>
      <c r="BE153" s="60">
        <f t="shared" si="109"/>
        <v>0</v>
      </c>
      <c r="BF153" s="60">
        <f t="shared" si="109"/>
        <v>691.25063149999994</v>
      </c>
      <c r="BG153" s="60">
        <f t="shared" si="109"/>
        <v>0</v>
      </c>
      <c r="BH153" s="60">
        <f t="shared" si="109"/>
        <v>0</v>
      </c>
      <c r="BI153" s="60">
        <f t="shared" si="107"/>
        <v>0</v>
      </c>
      <c r="BJ153" s="60">
        <f t="shared" si="99"/>
        <v>0</v>
      </c>
      <c r="BK153" s="60">
        <f t="shared" si="99"/>
        <v>691.25063149999994</v>
      </c>
    </row>
    <row r="154" spans="1:64" ht="72" customHeight="1" x14ac:dyDescent="0.25">
      <c r="A154" s="298" t="s">
        <v>386</v>
      </c>
      <c r="B154" s="299" t="s">
        <v>384</v>
      </c>
      <c r="C154" s="1547"/>
      <c r="D154" s="1549"/>
      <c r="E154" s="1549"/>
      <c r="F154" s="1549"/>
      <c r="G154" s="1549"/>
      <c r="H154" s="1549"/>
      <c r="I154" s="1425"/>
      <c r="J154" s="1425"/>
      <c r="K154" s="1425" t="s">
        <v>483</v>
      </c>
      <c r="L154" s="301" t="s">
        <v>391</v>
      </c>
      <c r="M154" s="1425" t="s">
        <v>392</v>
      </c>
      <c r="N154" s="476" t="s">
        <v>393</v>
      </c>
      <c r="O154" s="1425" t="s">
        <v>73</v>
      </c>
      <c r="P154" s="16" t="s">
        <v>484</v>
      </c>
      <c r="Q154" s="302" t="s">
        <v>485</v>
      </c>
      <c r="R154" s="303">
        <v>2015</v>
      </c>
      <c r="S154" s="303">
        <v>275</v>
      </c>
      <c r="T154" s="303">
        <v>275</v>
      </c>
      <c r="U154" s="572">
        <f>275+275</f>
        <v>550</v>
      </c>
      <c r="V154" s="572">
        <f>275+550</f>
        <v>825</v>
      </c>
      <c r="W154" s="572">
        <f>275+825</f>
        <v>1100</v>
      </c>
      <c r="X154" s="572">
        <v>1100</v>
      </c>
      <c r="Y154" s="581"/>
      <c r="Z154" s="581"/>
      <c r="AA154" s="495">
        <v>1</v>
      </c>
      <c r="AB154" s="581"/>
      <c r="AC154" s="581"/>
      <c r="AD154" s="581"/>
      <c r="AE154" s="581"/>
      <c r="AF154" s="481">
        <f t="shared" si="92"/>
        <v>1</v>
      </c>
      <c r="AG154" s="590"/>
      <c r="AH154" s="590"/>
      <c r="AI154" s="495">
        <v>1</v>
      </c>
      <c r="AJ154" s="590"/>
      <c r="AK154" s="590"/>
      <c r="AL154" s="590"/>
      <c r="AM154" s="590">
        <f t="shared" si="112"/>
        <v>1</v>
      </c>
      <c r="AN154" s="581"/>
      <c r="AO154" s="581"/>
      <c r="AP154" s="495">
        <v>1</v>
      </c>
      <c r="AQ154" s="581"/>
      <c r="AR154" s="581"/>
      <c r="AS154" s="581"/>
      <c r="AT154" s="581"/>
      <c r="AU154" s="581">
        <f t="shared" si="108"/>
        <v>1</v>
      </c>
      <c r="AV154" s="590"/>
      <c r="AW154" s="590"/>
      <c r="AX154" s="495">
        <v>5</v>
      </c>
      <c r="AY154" s="590"/>
      <c r="AZ154" s="590"/>
      <c r="BA154" s="590"/>
      <c r="BB154" s="590"/>
      <c r="BC154" s="548">
        <f t="shared" si="115"/>
        <v>5</v>
      </c>
      <c r="BD154" s="60">
        <f t="shared" si="109"/>
        <v>0</v>
      </c>
      <c r="BE154" s="60">
        <f t="shared" si="109"/>
        <v>0</v>
      </c>
      <c r="BF154" s="60">
        <f t="shared" si="109"/>
        <v>8</v>
      </c>
      <c r="BG154" s="60">
        <f t="shared" si="109"/>
        <v>0</v>
      </c>
      <c r="BH154" s="60">
        <f t="shared" si="109"/>
        <v>0</v>
      </c>
      <c r="BI154" s="60">
        <f t="shared" si="107"/>
        <v>0</v>
      </c>
      <c r="BJ154" s="60">
        <f t="shared" si="99"/>
        <v>0</v>
      </c>
      <c r="BK154" s="60">
        <f t="shared" si="99"/>
        <v>8</v>
      </c>
    </row>
    <row r="155" spans="1:64" ht="80.25" customHeight="1" x14ac:dyDescent="0.25">
      <c r="A155" s="298" t="s">
        <v>386</v>
      </c>
      <c r="B155" s="299" t="s">
        <v>384</v>
      </c>
      <c r="C155" s="1548"/>
      <c r="D155" s="1549"/>
      <c r="E155" s="1549"/>
      <c r="F155" s="1549"/>
      <c r="G155" s="1549"/>
      <c r="H155" s="1549"/>
      <c r="I155" s="1425"/>
      <c r="J155" s="1425"/>
      <c r="K155" s="1425" t="s">
        <v>486</v>
      </c>
      <c r="L155" s="301" t="s">
        <v>391</v>
      </c>
      <c r="M155" s="1425" t="s">
        <v>392</v>
      </c>
      <c r="N155" s="476" t="s">
        <v>393</v>
      </c>
      <c r="O155" s="1425" t="s">
        <v>47</v>
      </c>
      <c r="P155" s="71" t="s">
        <v>487</v>
      </c>
      <c r="Q155" s="302" t="s">
        <v>488</v>
      </c>
      <c r="R155" s="303">
        <v>2015</v>
      </c>
      <c r="S155" s="303">
        <v>0</v>
      </c>
      <c r="T155" s="303">
        <v>0</v>
      </c>
      <c r="U155" s="572">
        <v>1</v>
      </c>
      <c r="V155" s="572">
        <v>1</v>
      </c>
      <c r="W155" s="572">
        <v>1</v>
      </c>
      <c r="X155" s="572">
        <v>1</v>
      </c>
      <c r="Y155" s="581"/>
      <c r="Z155" s="581"/>
      <c r="AA155" s="581"/>
      <c r="AB155" s="581"/>
      <c r="AC155" s="581"/>
      <c r="AD155" s="581"/>
      <c r="AE155" s="581"/>
      <c r="AF155" s="481">
        <f t="shared" si="92"/>
        <v>0</v>
      </c>
      <c r="AG155" s="590"/>
      <c r="AH155" s="590"/>
      <c r="AI155" s="590">
        <v>10</v>
      </c>
      <c r="AJ155" s="590"/>
      <c r="AK155" s="590"/>
      <c r="AL155" s="590"/>
      <c r="AM155" s="590">
        <f t="shared" si="112"/>
        <v>10</v>
      </c>
      <c r="AN155" s="581"/>
      <c r="AO155" s="581"/>
      <c r="AP155" s="495">
        <v>9</v>
      </c>
      <c r="AQ155" s="581"/>
      <c r="AR155" s="581"/>
      <c r="AS155" s="581"/>
      <c r="AT155" s="581"/>
      <c r="AU155" s="581">
        <f t="shared" si="108"/>
        <v>9</v>
      </c>
      <c r="AV155" s="590"/>
      <c r="AW155" s="590"/>
      <c r="AX155" s="60">
        <f>+AP155*1.035</f>
        <v>9.3149999999999995</v>
      </c>
      <c r="AY155" s="590"/>
      <c r="AZ155" s="590"/>
      <c r="BA155" s="590"/>
      <c r="BB155" s="590"/>
      <c r="BC155" s="548">
        <f>SUM(AV155:BB155)</f>
        <v>9.3149999999999995</v>
      </c>
      <c r="BD155" s="60">
        <f>+AV155+AN155+AG155+Y155</f>
        <v>0</v>
      </c>
      <c r="BE155" s="60">
        <f>+AW155+AO155+AH155+Z155</f>
        <v>0</v>
      </c>
      <c r="BF155" s="60">
        <f>+AX155+AP155+AI155+AA155</f>
        <v>28.314999999999998</v>
      </c>
      <c r="BG155" s="60">
        <f>+AY155+AQ155+AJ155+AB155</f>
        <v>0</v>
      </c>
      <c r="BH155" s="60">
        <f>+AZ155+AR155+AK155+AC155</f>
        <v>0</v>
      </c>
      <c r="BI155" s="60">
        <f t="shared" si="107"/>
        <v>0</v>
      </c>
      <c r="BJ155" s="60">
        <f>+BB155+AT155+AL155+AE155</f>
        <v>0</v>
      </c>
      <c r="BK155" s="60">
        <f>+BC155+AU155+AM155+AF155</f>
        <v>28.314999999999998</v>
      </c>
    </row>
    <row r="156" spans="1:64" ht="17.399999999999999" x14ac:dyDescent="0.25">
      <c r="A156" s="290"/>
      <c r="B156" s="1556" t="s">
        <v>489</v>
      </c>
      <c r="C156" s="1557"/>
      <c r="D156" s="1557"/>
      <c r="E156" s="1557"/>
      <c r="F156" s="1557"/>
      <c r="G156" s="1557"/>
      <c r="H156" s="1557"/>
      <c r="I156" s="1557"/>
      <c r="J156" s="1557"/>
      <c r="K156" s="1557"/>
      <c r="L156" s="1557"/>
      <c r="M156" s="1558"/>
      <c r="N156" s="597"/>
      <c r="O156" s="597"/>
      <c r="P156" s="598"/>
      <c r="Q156" s="598"/>
      <c r="R156" s="597"/>
      <c r="S156" s="597"/>
      <c r="T156" s="597"/>
      <c r="U156" s="599"/>
      <c r="V156" s="599"/>
      <c r="W156" s="599"/>
      <c r="X156" s="599"/>
      <c r="Y156" s="599">
        <f t="shared" ref="Y156:BH156" si="116">+Y157+Y182+Y193+Y201+Y212+Y221+Y227+Y235+Y243</f>
        <v>161.84</v>
      </c>
      <c r="Z156" s="600">
        <f t="shared" si="116"/>
        <v>56</v>
      </c>
      <c r="AA156" s="706">
        <f t="shared" si="116"/>
        <v>111.69</v>
      </c>
      <c r="AB156" s="600">
        <f t="shared" si="116"/>
        <v>500</v>
      </c>
      <c r="AC156" s="600">
        <f t="shared" si="116"/>
        <v>0</v>
      </c>
      <c r="AD156" s="600">
        <f t="shared" si="116"/>
        <v>288.98</v>
      </c>
      <c r="AE156" s="600">
        <f t="shared" si="116"/>
        <v>0</v>
      </c>
      <c r="AF156" s="600">
        <f t="shared" si="116"/>
        <v>1118.5100000000002</v>
      </c>
      <c r="AG156" s="600">
        <f t="shared" si="116"/>
        <v>169.81</v>
      </c>
      <c r="AH156" s="600">
        <f t="shared" si="116"/>
        <v>56</v>
      </c>
      <c r="AI156" s="600">
        <f t="shared" si="116"/>
        <v>113.99499999999999</v>
      </c>
      <c r="AJ156" s="600">
        <f t="shared" si="116"/>
        <v>0</v>
      </c>
      <c r="AK156" s="600">
        <f t="shared" si="116"/>
        <v>0</v>
      </c>
      <c r="AL156" s="600">
        <f t="shared" si="116"/>
        <v>0</v>
      </c>
      <c r="AM156" s="600">
        <f t="shared" si="116"/>
        <v>339.80499999999995</v>
      </c>
      <c r="AN156" s="600">
        <f t="shared" si="116"/>
        <v>177.78</v>
      </c>
      <c r="AO156" s="600">
        <f t="shared" si="116"/>
        <v>56</v>
      </c>
      <c r="AP156" s="600">
        <f t="shared" si="116"/>
        <v>116.27600000000001</v>
      </c>
      <c r="AQ156" s="600">
        <f t="shared" si="116"/>
        <v>0</v>
      </c>
      <c r="AR156" s="600">
        <f t="shared" si="116"/>
        <v>0</v>
      </c>
      <c r="AS156" s="600">
        <f t="shared" si="116"/>
        <v>0</v>
      </c>
      <c r="AT156" s="600">
        <f t="shared" si="116"/>
        <v>0</v>
      </c>
      <c r="AU156" s="600">
        <f t="shared" si="116"/>
        <v>350.05599999999998</v>
      </c>
      <c r="AV156" s="600">
        <f t="shared" si="116"/>
        <v>170.04499999999999</v>
      </c>
      <c r="AW156" s="600">
        <f t="shared" si="116"/>
        <v>56</v>
      </c>
      <c r="AX156" s="600">
        <f t="shared" si="116"/>
        <v>118.71000000000001</v>
      </c>
      <c r="AY156" s="600">
        <f t="shared" si="116"/>
        <v>0</v>
      </c>
      <c r="AZ156" s="600">
        <f t="shared" si="116"/>
        <v>0</v>
      </c>
      <c r="BA156" s="600">
        <f t="shared" si="116"/>
        <v>0</v>
      </c>
      <c r="BB156" s="600">
        <f t="shared" si="116"/>
        <v>0</v>
      </c>
      <c r="BC156" s="600">
        <f t="shared" si="116"/>
        <v>344.755</v>
      </c>
      <c r="BD156" s="33">
        <f t="shared" si="116"/>
        <v>678.47500000000014</v>
      </c>
      <c r="BE156" s="33">
        <f t="shared" si="116"/>
        <v>224</v>
      </c>
      <c r="BF156" s="33">
        <f t="shared" si="116"/>
        <v>449.971</v>
      </c>
      <c r="BG156" s="33">
        <f t="shared" si="116"/>
        <v>500</v>
      </c>
      <c r="BH156" s="33">
        <f t="shared" si="116"/>
        <v>0</v>
      </c>
      <c r="BI156" s="33">
        <f t="shared" si="107"/>
        <v>288.98</v>
      </c>
      <c r="BJ156" s="33">
        <f>+BJ157+BJ182+BJ193+BJ201+BJ212+BJ221+BJ227+BJ235+BJ243</f>
        <v>0</v>
      </c>
      <c r="BK156" s="33">
        <f>+BK157+BK182+BK193+BK201+BK212+BK221+BK227+BK235+BK243</f>
        <v>2142.9260000000004</v>
      </c>
    </row>
    <row r="157" spans="1:64" x14ac:dyDescent="0.25">
      <c r="A157" s="296"/>
      <c r="B157" s="155" t="s">
        <v>489</v>
      </c>
      <c r="C157" s="154"/>
      <c r="D157" s="2"/>
      <c r="E157" s="1"/>
      <c r="F157" s="1"/>
      <c r="G157" s="1"/>
      <c r="H157" s="1"/>
      <c r="I157" s="1"/>
      <c r="J157" s="1"/>
      <c r="K157" s="1"/>
      <c r="L157" s="1"/>
      <c r="M157" s="1"/>
      <c r="N157" s="1"/>
      <c r="O157" s="1"/>
      <c r="P157" s="22" t="s">
        <v>490</v>
      </c>
      <c r="Q157" s="22"/>
      <c r="R157" s="1"/>
      <c r="S157" s="1"/>
      <c r="T157" s="1"/>
      <c r="U157" s="1"/>
      <c r="V157" s="1"/>
      <c r="W157" s="1"/>
      <c r="X157" s="1"/>
      <c r="Y157" s="34">
        <f t="shared" ref="Y157:BH157" si="117">SUM(Y158:Y181)</f>
        <v>49.64</v>
      </c>
      <c r="Z157" s="34">
        <f t="shared" si="117"/>
        <v>0</v>
      </c>
      <c r="AA157" s="34">
        <f t="shared" si="117"/>
        <v>43.63</v>
      </c>
      <c r="AB157" s="34">
        <f t="shared" si="117"/>
        <v>0</v>
      </c>
      <c r="AC157" s="34">
        <f t="shared" si="117"/>
        <v>0</v>
      </c>
      <c r="AD157" s="34">
        <f t="shared" si="117"/>
        <v>241.26</v>
      </c>
      <c r="AE157" s="34">
        <f t="shared" si="117"/>
        <v>0</v>
      </c>
      <c r="AF157" s="34">
        <f t="shared" si="117"/>
        <v>334.53</v>
      </c>
      <c r="AG157" s="34">
        <f t="shared" si="117"/>
        <v>58.24</v>
      </c>
      <c r="AH157" s="34">
        <f t="shared" si="117"/>
        <v>0</v>
      </c>
      <c r="AI157" s="34">
        <f t="shared" si="117"/>
        <v>37.33</v>
      </c>
      <c r="AJ157" s="34">
        <f t="shared" si="117"/>
        <v>0</v>
      </c>
      <c r="AK157" s="34">
        <f t="shared" si="117"/>
        <v>0</v>
      </c>
      <c r="AL157" s="34">
        <f t="shared" si="117"/>
        <v>0</v>
      </c>
      <c r="AM157" s="34">
        <f t="shared" si="117"/>
        <v>95.57</v>
      </c>
      <c r="AN157" s="34">
        <f t="shared" si="117"/>
        <v>60.28</v>
      </c>
      <c r="AO157" s="34">
        <f t="shared" si="117"/>
        <v>0</v>
      </c>
      <c r="AP157" s="34">
        <f t="shared" si="117"/>
        <v>38.56</v>
      </c>
      <c r="AQ157" s="34">
        <f t="shared" si="117"/>
        <v>0</v>
      </c>
      <c r="AR157" s="34">
        <f t="shared" si="117"/>
        <v>0</v>
      </c>
      <c r="AS157" s="34">
        <f t="shared" si="117"/>
        <v>0</v>
      </c>
      <c r="AT157" s="34">
        <f t="shared" si="117"/>
        <v>0</v>
      </c>
      <c r="AU157" s="34">
        <f t="shared" si="117"/>
        <v>98.84</v>
      </c>
      <c r="AV157" s="34">
        <f t="shared" si="117"/>
        <v>62.384999999999998</v>
      </c>
      <c r="AW157" s="34">
        <f t="shared" si="117"/>
        <v>0</v>
      </c>
      <c r="AX157" s="34">
        <f t="shared" si="117"/>
        <v>39.909999999999997</v>
      </c>
      <c r="AY157" s="34">
        <f t="shared" si="117"/>
        <v>0</v>
      </c>
      <c r="AZ157" s="34">
        <f t="shared" si="117"/>
        <v>0</v>
      </c>
      <c r="BA157" s="34">
        <f t="shared" si="117"/>
        <v>0</v>
      </c>
      <c r="BB157" s="34">
        <f t="shared" si="117"/>
        <v>0</v>
      </c>
      <c r="BC157" s="34">
        <f t="shared" si="117"/>
        <v>102.29499999999999</v>
      </c>
      <c r="BD157" s="34">
        <f t="shared" si="117"/>
        <v>229.54500000000002</v>
      </c>
      <c r="BE157" s="34">
        <f t="shared" si="117"/>
        <v>0</v>
      </c>
      <c r="BF157" s="34">
        <f t="shared" si="117"/>
        <v>158.93</v>
      </c>
      <c r="BG157" s="34">
        <f t="shared" si="117"/>
        <v>0</v>
      </c>
      <c r="BH157" s="34">
        <f t="shared" si="117"/>
        <v>0</v>
      </c>
      <c r="BI157" s="34">
        <f t="shared" si="107"/>
        <v>241.26</v>
      </c>
      <c r="BJ157" s="34">
        <f>SUM(BJ158:BJ181)</f>
        <v>0</v>
      </c>
      <c r="BK157" s="34">
        <f>SUM(BK158:BK181)</f>
        <v>631.23500000000001</v>
      </c>
      <c r="BL157" s="3"/>
    </row>
    <row r="158" spans="1:64" ht="60" customHeight="1" x14ac:dyDescent="0.25">
      <c r="A158" s="298" t="s">
        <v>491</v>
      </c>
      <c r="B158" s="299" t="s">
        <v>489</v>
      </c>
      <c r="C158" s="1546" t="s">
        <v>492</v>
      </c>
      <c r="D158" s="1550" t="s">
        <v>493</v>
      </c>
      <c r="E158" s="1550" t="s">
        <v>494</v>
      </c>
      <c r="F158" s="1550">
        <v>2015</v>
      </c>
      <c r="G158" s="1550" t="s">
        <v>177</v>
      </c>
      <c r="H158" s="1550">
        <v>50</v>
      </c>
      <c r="I158" s="1425"/>
      <c r="J158" s="1425"/>
      <c r="K158" s="1425" t="s">
        <v>495</v>
      </c>
      <c r="L158" s="301" t="s">
        <v>496</v>
      </c>
      <c r="M158" s="1425" t="s">
        <v>497</v>
      </c>
      <c r="N158" s="476"/>
      <c r="O158" s="1425" t="s">
        <v>73</v>
      </c>
      <c r="P158" s="16" t="s">
        <v>498</v>
      </c>
      <c r="Q158" s="302" t="s">
        <v>499</v>
      </c>
      <c r="R158" s="303">
        <v>2015</v>
      </c>
      <c r="S158" s="303">
        <v>0</v>
      </c>
      <c r="T158" s="303">
        <v>4</v>
      </c>
      <c r="U158" s="303">
        <v>4</v>
      </c>
      <c r="V158" s="303">
        <v>4</v>
      </c>
      <c r="W158" s="303">
        <v>4</v>
      </c>
      <c r="X158" s="303">
        <v>4</v>
      </c>
      <c r="Y158" s="481">
        <v>0</v>
      </c>
      <c r="Z158" s="481">
        <v>0</v>
      </c>
      <c r="AA158" s="481">
        <v>0</v>
      </c>
      <c r="AB158" s="481">
        <v>0</v>
      </c>
      <c r="AC158" s="481">
        <v>0</v>
      </c>
      <c r="AD158" s="491">
        <v>1</v>
      </c>
      <c r="AE158" s="481">
        <v>0</v>
      </c>
      <c r="AF158" s="481">
        <f t="shared" ref="AF158:AF222" si="118">SUM(Y158:AE158)</f>
        <v>1</v>
      </c>
      <c r="AG158" s="491">
        <v>1</v>
      </c>
      <c r="AH158" s="548">
        <v>0</v>
      </c>
      <c r="AI158" s="548">
        <v>0</v>
      </c>
      <c r="AJ158" s="548">
        <v>0</v>
      </c>
      <c r="AK158" s="548">
        <v>0</v>
      </c>
      <c r="AL158" s="548">
        <v>0</v>
      </c>
      <c r="AM158" s="548">
        <f t="shared" ref="AM158:AM222" si="119">SUM(AG158:AL158)</f>
        <v>1</v>
      </c>
      <c r="AN158" s="491">
        <v>1</v>
      </c>
      <c r="AO158" s="481">
        <v>0</v>
      </c>
      <c r="AP158" s="481">
        <v>0</v>
      </c>
      <c r="AQ158" s="481">
        <v>0</v>
      </c>
      <c r="AR158" s="481">
        <v>0</v>
      </c>
      <c r="AS158" s="481">
        <v>0</v>
      </c>
      <c r="AT158" s="481">
        <v>0</v>
      </c>
      <c r="AU158" s="481">
        <f t="shared" ref="AU158:AU222" si="120">SUM(AN158:AT158)</f>
        <v>1</v>
      </c>
      <c r="AV158" s="548">
        <v>1</v>
      </c>
      <c r="AW158" s="548">
        <f t="shared" ref="AW158:BB158" si="121">AO158*1.035</f>
        <v>0</v>
      </c>
      <c r="AX158" s="548">
        <f t="shared" si="121"/>
        <v>0</v>
      </c>
      <c r="AY158" s="548">
        <f t="shared" si="121"/>
        <v>0</v>
      </c>
      <c r="AZ158" s="548">
        <f t="shared" si="121"/>
        <v>0</v>
      </c>
      <c r="BA158" s="548">
        <f t="shared" si="121"/>
        <v>0</v>
      </c>
      <c r="BB158" s="548">
        <f t="shared" si="121"/>
        <v>0</v>
      </c>
      <c r="BC158" s="548">
        <f t="shared" ref="BC158:BC222" si="122">SUM(AV158:BB158)</f>
        <v>1</v>
      </c>
      <c r="BD158" s="42">
        <f>+AV158+AN158+AG158+Y158</f>
        <v>3</v>
      </c>
      <c r="BE158" s="42">
        <f>+AW158+AO158+AH158+Z158</f>
        <v>0</v>
      </c>
      <c r="BF158" s="42">
        <f>+AX158+AP158+AI158+AA158</f>
        <v>0</v>
      </c>
      <c r="BG158" s="42">
        <f>+AY158+AQ158+AJ158+AB158</f>
        <v>0</v>
      </c>
      <c r="BH158" s="42">
        <f>+AZ158+AR158+AK158+AC158</f>
        <v>0</v>
      </c>
      <c r="BI158" s="42">
        <f t="shared" si="107"/>
        <v>1</v>
      </c>
      <c r="BJ158" s="42">
        <f>+BB158+AT158+AL158+AE158</f>
        <v>0</v>
      </c>
      <c r="BK158" s="42">
        <f>+BC158+AU158+AM158+AF158</f>
        <v>4</v>
      </c>
      <c r="BL158" s="3"/>
    </row>
    <row r="159" spans="1:64" ht="45.75" customHeight="1" x14ac:dyDescent="0.25">
      <c r="A159" s="298" t="s">
        <v>491</v>
      </c>
      <c r="B159" s="299" t="s">
        <v>489</v>
      </c>
      <c r="C159" s="1547"/>
      <c r="D159" s="1551"/>
      <c r="E159" s="1551"/>
      <c r="F159" s="1551"/>
      <c r="G159" s="1551"/>
      <c r="H159" s="1551"/>
      <c r="I159" s="1425"/>
      <c r="J159" s="1425"/>
      <c r="K159" s="1425" t="s">
        <v>500</v>
      </c>
      <c r="L159" s="301" t="s">
        <v>496</v>
      </c>
      <c r="M159" s="1425" t="s">
        <v>497</v>
      </c>
      <c r="N159" s="476"/>
      <c r="O159" s="1425" t="s">
        <v>73</v>
      </c>
      <c r="P159" s="16" t="s">
        <v>501</v>
      </c>
      <c r="Q159" s="302" t="s">
        <v>502</v>
      </c>
      <c r="R159" s="303">
        <v>2015</v>
      </c>
      <c r="S159" s="303">
        <v>0</v>
      </c>
      <c r="T159" s="303">
        <v>0</v>
      </c>
      <c r="U159" s="303">
        <v>1</v>
      </c>
      <c r="V159" s="303">
        <v>1</v>
      </c>
      <c r="W159" s="303">
        <v>1</v>
      </c>
      <c r="X159" s="303">
        <v>1</v>
      </c>
      <c r="Y159" s="482"/>
      <c r="Z159" s="481">
        <v>0</v>
      </c>
      <c r="AA159" s="481">
        <v>0</v>
      </c>
      <c r="AB159" s="481">
        <v>0</v>
      </c>
      <c r="AC159" s="481">
        <v>0</v>
      </c>
      <c r="AD159" s="481"/>
      <c r="AE159" s="481">
        <v>0</v>
      </c>
      <c r="AF159" s="481">
        <f t="shared" si="118"/>
        <v>0</v>
      </c>
      <c r="AG159" s="700">
        <v>0.5</v>
      </c>
      <c r="AH159" s="548">
        <v>0</v>
      </c>
      <c r="AI159" s="548">
        <v>0</v>
      </c>
      <c r="AJ159" s="548">
        <v>0</v>
      </c>
      <c r="AK159" s="548">
        <v>0</v>
      </c>
      <c r="AL159" s="548">
        <v>0</v>
      </c>
      <c r="AM159" s="548">
        <f t="shared" si="119"/>
        <v>0.5</v>
      </c>
      <c r="AN159" s="700">
        <v>0.5</v>
      </c>
      <c r="AO159" s="481">
        <v>0</v>
      </c>
      <c r="AP159" s="481">
        <v>0</v>
      </c>
      <c r="AQ159" s="481">
        <v>0</v>
      </c>
      <c r="AR159" s="481">
        <v>0</v>
      </c>
      <c r="AS159" s="481">
        <v>0</v>
      </c>
      <c r="AT159" s="481">
        <v>0</v>
      </c>
      <c r="AU159" s="481">
        <f t="shared" si="120"/>
        <v>0.5</v>
      </c>
      <c r="AV159" s="548">
        <v>0</v>
      </c>
      <c r="AW159" s="548">
        <v>0</v>
      </c>
      <c r="AX159" s="548">
        <v>20</v>
      </c>
      <c r="AY159" s="548">
        <v>0</v>
      </c>
      <c r="AZ159" s="548">
        <v>0</v>
      </c>
      <c r="BA159" s="548"/>
      <c r="BB159" s="548">
        <v>0</v>
      </c>
      <c r="BC159" s="548">
        <f t="shared" si="122"/>
        <v>20</v>
      </c>
      <c r="BD159" s="42">
        <f t="shared" ref="BD159:BH181" si="123">+AV159+AN159+AG159+Y159</f>
        <v>1</v>
      </c>
      <c r="BE159" s="42">
        <f t="shared" si="123"/>
        <v>0</v>
      </c>
      <c r="BF159" s="42">
        <f t="shared" si="123"/>
        <v>20</v>
      </c>
      <c r="BG159" s="42">
        <f t="shared" si="123"/>
        <v>0</v>
      </c>
      <c r="BH159" s="42">
        <f t="shared" si="123"/>
        <v>0</v>
      </c>
      <c r="BI159" s="42">
        <f t="shared" si="107"/>
        <v>0</v>
      </c>
      <c r="BJ159" s="42">
        <f t="shared" ref="BJ159:BK181" si="124">+BB159+AT159+AL159+AE159</f>
        <v>0</v>
      </c>
      <c r="BK159" s="42">
        <f t="shared" si="124"/>
        <v>21</v>
      </c>
      <c r="BL159" s="3"/>
    </row>
    <row r="160" spans="1:64" ht="48.75" customHeight="1" x14ac:dyDescent="0.25">
      <c r="A160" s="298" t="s">
        <v>491</v>
      </c>
      <c r="B160" s="299" t="s">
        <v>489</v>
      </c>
      <c r="C160" s="1547"/>
      <c r="D160" s="1551"/>
      <c r="E160" s="1551"/>
      <c r="F160" s="1551"/>
      <c r="G160" s="1551"/>
      <c r="H160" s="1551"/>
      <c r="I160" s="1425"/>
      <c r="J160" s="1425"/>
      <c r="K160" s="1425" t="s">
        <v>503</v>
      </c>
      <c r="L160" s="301" t="s">
        <v>496</v>
      </c>
      <c r="M160" s="1425" t="s">
        <v>497</v>
      </c>
      <c r="N160" s="476"/>
      <c r="O160" s="1425" t="s">
        <v>73</v>
      </c>
      <c r="P160" s="16" t="s">
        <v>504</v>
      </c>
      <c r="Q160" s="302" t="s">
        <v>505</v>
      </c>
      <c r="R160" s="303">
        <v>2015</v>
      </c>
      <c r="S160" s="303">
        <v>1</v>
      </c>
      <c r="T160" s="303">
        <v>1</v>
      </c>
      <c r="U160" s="303">
        <v>1</v>
      </c>
      <c r="V160" s="303">
        <v>1</v>
      </c>
      <c r="W160" s="303">
        <v>1</v>
      </c>
      <c r="X160" s="303">
        <v>1</v>
      </c>
      <c r="Y160" s="481">
        <v>0</v>
      </c>
      <c r="Z160" s="481">
        <v>0</v>
      </c>
      <c r="AA160" s="481">
        <v>0</v>
      </c>
      <c r="AB160" s="481">
        <v>0</v>
      </c>
      <c r="AC160" s="481">
        <v>0</v>
      </c>
      <c r="AD160" s="491">
        <v>1</v>
      </c>
      <c r="AE160" s="481">
        <v>0</v>
      </c>
      <c r="AF160" s="481">
        <f t="shared" si="118"/>
        <v>1</v>
      </c>
      <c r="AG160" s="491">
        <v>0.5</v>
      </c>
      <c r="AH160" s="548">
        <v>0</v>
      </c>
      <c r="AI160" s="548">
        <v>0</v>
      </c>
      <c r="AJ160" s="548">
        <v>0</v>
      </c>
      <c r="AK160" s="548">
        <v>0</v>
      </c>
      <c r="AL160" s="548">
        <v>0</v>
      </c>
      <c r="AM160" s="548">
        <f t="shared" si="119"/>
        <v>0.5</v>
      </c>
      <c r="AN160" s="491">
        <v>0.5</v>
      </c>
      <c r="AO160" s="481">
        <v>0</v>
      </c>
      <c r="AP160" s="481">
        <v>0</v>
      </c>
      <c r="AQ160" s="481">
        <v>0</v>
      </c>
      <c r="AR160" s="481">
        <v>0</v>
      </c>
      <c r="AS160" s="481">
        <v>0</v>
      </c>
      <c r="AT160" s="481">
        <v>0</v>
      </c>
      <c r="AU160" s="481">
        <f t="shared" si="120"/>
        <v>0.5</v>
      </c>
      <c r="AV160" s="491">
        <v>0.5</v>
      </c>
      <c r="AW160" s="548">
        <v>0</v>
      </c>
      <c r="AX160" s="548">
        <v>0</v>
      </c>
      <c r="AY160" s="548">
        <v>0</v>
      </c>
      <c r="AZ160" s="548">
        <v>0</v>
      </c>
      <c r="BA160" s="548">
        <v>0</v>
      </c>
      <c r="BB160" s="548">
        <v>0</v>
      </c>
      <c r="BC160" s="548">
        <f t="shared" si="122"/>
        <v>0.5</v>
      </c>
      <c r="BD160" s="42">
        <f t="shared" si="123"/>
        <v>1.5</v>
      </c>
      <c r="BE160" s="42">
        <f t="shared" si="123"/>
        <v>0</v>
      </c>
      <c r="BF160" s="42">
        <f t="shared" si="123"/>
        <v>0</v>
      </c>
      <c r="BG160" s="42">
        <f t="shared" si="123"/>
        <v>0</v>
      </c>
      <c r="BH160" s="42">
        <f t="shared" si="123"/>
        <v>0</v>
      </c>
      <c r="BI160" s="42">
        <f t="shared" si="107"/>
        <v>1</v>
      </c>
      <c r="BJ160" s="42">
        <f t="shared" si="124"/>
        <v>0</v>
      </c>
      <c r="BK160" s="42">
        <f t="shared" si="124"/>
        <v>2.5</v>
      </c>
      <c r="BL160" s="3"/>
    </row>
    <row r="161" spans="1:64" ht="55.5" customHeight="1" x14ac:dyDescent="0.25">
      <c r="A161" s="298" t="s">
        <v>491</v>
      </c>
      <c r="B161" s="299" t="s">
        <v>489</v>
      </c>
      <c r="C161" s="1547"/>
      <c r="D161" s="1551"/>
      <c r="E161" s="1551"/>
      <c r="F161" s="1551"/>
      <c r="G161" s="1551"/>
      <c r="H161" s="1551"/>
      <c r="I161" s="1425"/>
      <c r="J161" s="1425"/>
      <c r="K161" s="1425" t="s">
        <v>506</v>
      </c>
      <c r="L161" s="301" t="s">
        <v>496</v>
      </c>
      <c r="M161" s="1425" t="s">
        <v>497</v>
      </c>
      <c r="N161" s="476"/>
      <c r="O161" s="1425" t="s">
        <v>73</v>
      </c>
      <c r="P161" s="16" t="s">
        <v>507</v>
      </c>
      <c r="Q161" s="302" t="s">
        <v>508</v>
      </c>
      <c r="R161" s="303">
        <v>2015</v>
      </c>
      <c r="S161" s="303">
        <v>1</v>
      </c>
      <c r="T161" s="303">
        <v>1</v>
      </c>
      <c r="U161" s="303">
        <v>1</v>
      </c>
      <c r="V161" s="303">
        <v>1</v>
      </c>
      <c r="W161" s="303">
        <v>1</v>
      </c>
      <c r="X161" s="303">
        <v>1</v>
      </c>
      <c r="Y161" s="481">
        <v>0</v>
      </c>
      <c r="Z161" s="481">
        <v>0</v>
      </c>
      <c r="AA161" s="481">
        <v>0</v>
      </c>
      <c r="AB161" s="481">
        <v>0</v>
      </c>
      <c r="AC161" s="481">
        <v>0</v>
      </c>
      <c r="AD161" s="491">
        <v>18</v>
      </c>
      <c r="AE161" s="481">
        <v>0</v>
      </c>
      <c r="AF161" s="481">
        <f t="shared" si="118"/>
        <v>18</v>
      </c>
      <c r="AG161" s="491">
        <v>9</v>
      </c>
      <c r="AH161" s="548">
        <v>0</v>
      </c>
      <c r="AI161" s="548">
        <v>1.33</v>
      </c>
      <c r="AJ161" s="548">
        <v>0</v>
      </c>
      <c r="AK161" s="548">
        <v>0</v>
      </c>
      <c r="AL161" s="548">
        <v>0</v>
      </c>
      <c r="AM161" s="548">
        <f t="shared" si="119"/>
        <v>10.33</v>
      </c>
      <c r="AN161" s="491">
        <v>10.24</v>
      </c>
      <c r="AO161" s="481">
        <v>0</v>
      </c>
      <c r="AP161" s="481"/>
      <c r="AQ161" s="481">
        <v>0</v>
      </c>
      <c r="AR161" s="481">
        <v>0</v>
      </c>
      <c r="AS161" s="481">
        <v>0</v>
      </c>
      <c r="AT161" s="481">
        <v>0</v>
      </c>
      <c r="AU161" s="481">
        <f t="shared" si="120"/>
        <v>10.24</v>
      </c>
      <c r="AV161" s="491">
        <v>8.5</v>
      </c>
      <c r="AW161" s="548">
        <v>0</v>
      </c>
      <c r="AX161" s="548">
        <v>0</v>
      </c>
      <c r="AY161" s="548">
        <v>0</v>
      </c>
      <c r="AZ161" s="548">
        <v>0</v>
      </c>
      <c r="BA161" s="548"/>
      <c r="BB161" s="548">
        <v>0</v>
      </c>
      <c r="BC161" s="548">
        <f t="shared" si="122"/>
        <v>8.5</v>
      </c>
      <c r="BD161" s="42">
        <f t="shared" si="123"/>
        <v>27.740000000000002</v>
      </c>
      <c r="BE161" s="42">
        <f t="shared" si="123"/>
        <v>0</v>
      </c>
      <c r="BF161" s="42">
        <f t="shared" si="123"/>
        <v>1.33</v>
      </c>
      <c r="BG161" s="42">
        <f t="shared" si="123"/>
        <v>0</v>
      </c>
      <c r="BH161" s="42">
        <f t="shared" si="123"/>
        <v>0</v>
      </c>
      <c r="BI161" s="42">
        <f t="shared" si="107"/>
        <v>18</v>
      </c>
      <c r="BJ161" s="42">
        <f t="shared" si="124"/>
        <v>0</v>
      </c>
      <c r="BK161" s="42">
        <f t="shared" si="124"/>
        <v>47.07</v>
      </c>
      <c r="BL161" s="3"/>
    </row>
    <row r="162" spans="1:64" ht="77.25" customHeight="1" x14ac:dyDescent="0.25">
      <c r="A162" s="298" t="s">
        <v>491</v>
      </c>
      <c r="B162" s="299" t="s">
        <v>489</v>
      </c>
      <c r="C162" s="1547"/>
      <c r="D162" s="1551"/>
      <c r="E162" s="1551"/>
      <c r="F162" s="1551"/>
      <c r="G162" s="1551"/>
      <c r="H162" s="1551"/>
      <c r="I162" s="1425"/>
      <c r="J162" s="1425"/>
      <c r="K162" s="1425" t="s">
        <v>509</v>
      </c>
      <c r="L162" s="301" t="s">
        <v>496</v>
      </c>
      <c r="M162" s="1425" t="s">
        <v>497</v>
      </c>
      <c r="N162" s="476"/>
      <c r="O162" s="1425" t="s">
        <v>73</v>
      </c>
      <c r="P162" s="16" t="s">
        <v>510</v>
      </c>
      <c r="Q162" s="302" t="s">
        <v>511</v>
      </c>
      <c r="R162" s="303">
        <v>2015</v>
      </c>
      <c r="S162" s="303">
        <v>1</v>
      </c>
      <c r="T162" s="303">
        <v>1</v>
      </c>
      <c r="U162" s="303">
        <v>1</v>
      </c>
      <c r="V162" s="303">
        <v>1</v>
      </c>
      <c r="W162" s="303">
        <v>1</v>
      </c>
      <c r="X162" s="303">
        <v>1</v>
      </c>
      <c r="Y162" s="481">
        <v>0</v>
      </c>
      <c r="Z162" s="481">
        <v>0</v>
      </c>
      <c r="AA162" s="481">
        <v>0</v>
      </c>
      <c r="AB162" s="481">
        <v>0</v>
      </c>
      <c r="AC162" s="481">
        <v>0</v>
      </c>
      <c r="AD162" s="481">
        <v>11</v>
      </c>
      <c r="AE162" s="481">
        <v>0</v>
      </c>
      <c r="AF162" s="481">
        <f t="shared" si="118"/>
        <v>11</v>
      </c>
      <c r="AG162" s="491">
        <v>1</v>
      </c>
      <c r="AH162" s="548">
        <v>0</v>
      </c>
      <c r="AI162" s="716"/>
      <c r="AJ162" s="548">
        <v>0</v>
      </c>
      <c r="AK162" s="548">
        <v>0</v>
      </c>
      <c r="AL162" s="548">
        <v>0</v>
      </c>
      <c r="AM162" s="548">
        <f t="shared" si="119"/>
        <v>1</v>
      </c>
      <c r="AN162" s="481">
        <v>2.04</v>
      </c>
      <c r="AO162" s="481">
        <v>0</v>
      </c>
      <c r="AP162" s="481">
        <v>2.56</v>
      </c>
      <c r="AQ162" s="481">
        <v>0</v>
      </c>
      <c r="AR162" s="481">
        <v>0</v>
      </c>
      <c r="AS162" s="481">
        <v>0</v>
      </c>
      <c r="AT162" s="481">
        <v>0</v>
      </c>
      <c r="AU162" s="481">
        <f t="shared" si="120"/>
        <v>4.5999999999999996</v>
      </c>
      <c r="AV162" s="548">
        <v>0</v>
      </c>
      <c r="AW162" s="548">
        <v>0</v>
      </c>
      <c r="AX162" s="491">
        <v>18.91</v>
      </c>
      <c r="AY162" s="548">
        <v>0</v>
      </c>
      <c r="AZ162" s="548">
        <v>0</v>
      </c>
      <c r="BA162" s="548"/>
      <c r="BB162" s="548">
        <v>0</v>
      </c>
      <c r="BC162" s="548">
        <f t="shared" si="122"/>
        <v>18.91</v>
      </c>
      <c r="BD162" s="42">
        <f t="shared" si="123"/>
        <v>3.04</v>
      </c>
      <c r="BE162" s="42">
        <f t="shared" si="123"/>
        <v>0</v>
      </c>
      <c r="BF162" s="42">
        <f t="shared" si="123"/>
        <v>21.47</v>
      </c>
      <c r="BG162" s="42">
        <f t="shared" si="123"/>
        <v>0</v>
      </c>
      <c r="BH162" s="42">
        <f t="shared" si="123"/>
        <v>0</v>
      </c>
      <c r="BI162" s="42">
        <f t="shared" si="107"/>
        <v>11</v>
      </c>
      <c r="BJ162" s="42">
        <f t="shared" si="124"/>
        <v>0</v>
      </c>
      <c r="BK162" s="42">
        <f t="shared" si="124"/>
        <v>35.51</v>
      </c>
      <c r="BL162" s="3"/>
    </row>
    <row r="163" spans="1:64" ht="73.5" customHeight="1" x14ac:dyDescent="0.25">
      <c r="A163" s="298"/>
      <c r="B163" s="299"/>
      <c r="C163" s="1547"/>
      <c r="D163" s="1551"/>
      <c r="E163" s="1551"/>
      <c r="F163" s="1551"/>
      <c r="G163" s="1551"/>
      <c r="H163" s="1551"/>
      <c r="I163" s="1425"/>
      <c r="J163" s="1425"/>
      <c r="K163" s="1425" t="s">
        <v>512</v>
      </c>
      <c r="L163" s="301" t="s">
        <v>496</v>
      </c>
      <c r="M163" s="1425" t="s">
        <v>497</v>
      </c>
      <c r="N163" s="476"/>
      <c r="O163" s="1425" t="s">
        <v>47</v>
      </c>
      <c r="P163" s="16" t="s">
        <v>513</v>
      </c>
      <c r="Q163" s="302" t="s">
        <v>337</v>
      </c>
      <c r="R163" s="303">
        <v>2015</v>
      </c>
      <c r="S163" s="303"/>
      <c r="T163" s="303">
        <v>3</v>
      </c>
      <c r="U163" s="303">
        <v>3</v>
      </c>
      <c r="V163" s="303">
        <v>3</v>
      </c>
      <c r="W163" s="303">
        <v>3</v>
      </c>
      <c r="X163" s="303">
        <v>12</v>
      </c>
      <c r="Y163" s="481"/>
      <c r="Z163" s="481"/>
      <c r="AA163" s="481"/>
      <c r="AB163" s="481"/>
      <c r="AC163" s="481"/>
      <c r="AD163" s="491">
        <v>1</v>
      </c>
      <c r="AE163" s="481"/>
      <c r="AF163" s="481">
        <f>SUM(Y163:AE163)</f>
        <v>1</v>
      </c>
      <c r="AG163" s="491">
        <v>0.5</v>
      </c>
      <c r="AH163" s="548"/>
      <c r="AI163" s="548"/>
      <c r="AJ163" s="548"/>
      <c r="AK163" s="548"/>
      <c r="AL163" s="548"/>
      <c r="AM163" s="548">
        <f>SUM(AG163:AL163)</f>
        <v>0.5</v>
      </c>
      <c r="AN163" s="491">
        <v>0.5</v>
      </c>
      <c r="AO163" s="481"/>
      <c r="AP163" s="481"/>
      <c r="AQ163" s="481"/>
      <c r="AR163" s="481"/>
      <c r="AS163" s="481"/>
      <c r="AT163" s="481"/>
      <c r="AU163" s="481">
        <f>SUM(AN163:AT163)</f>
        <v>0.5</v>
      </c>
      <c r="AV163" s="548"/>
      <c r="AW163" s="548"/>
      <c r="AX163" s="491">
        <v>0.5</v>
      </c>
      <c r="AY163" s="548"/>
      <c r="AZ163" s="548"/>
      <c r="BA163" s="548"/>
      <c r="BB163" s="548"/>
      <c r="BC163" s="548">
        <f>SUM(AV163:BB163)</f>
        <v>0.5</v>
      </c>
      <c r="BD163" s="42"/>
      <c r="BE163" s="42"/>
      <c r="BF163" s="42"/>
      <c r="BG163" s="42"/>
      <c r="BH163" s="42"/>
      <c r="BI163" s="42"/>
      <c r="BJ163" s="42"/>
      <c r="BK163" s="42">
        <f t="shared" si="124"/>
        <v>2.5</v>
      </c>
      <c r="BL163" s="3"/>
    </row>
    <row r="164" spans="1:64" ht="69" customHeight="1" x14ac:dyDescent="0.25">
      <c r="A164" s="298" t="s">
        <v>491</v>
      </c>
      <c r="B164" s="299" t="s">
        <v>489</v>
      </c>
      <c r="C164" s="1547"/>
      <c r="D164" s="1551"/>
      <c r="E164" s="1551"/>
      <c r="F164" s="1551"/>
      <c r="G164" s="1551"/>
      <c r="H164" s="1551"/>
      <c r="I164" s="1425"/>
      <c r="J164" s="1425"/>
      <c r="K164" s="1425" t="s">
        <v>514</v>
      </c>
      <c r="L164" s="301" t="s">
        <v>496</v>
      </c>
      <c r="M164" s="1425" t="s">
        <v>497</v>
      </c>
      <c r="N164" s="476"/>
      <c r="O164" s="1425" t="s">
        <v>47</v>
      </c>
      <c r="P164" s="16" t="s">
        <v>515</v>
      </c>
      <c r="Q164" s="302" t="s">
        <v>516</v>
      </c>
      <c r="R164" s="303">
        <v>2015</v>
      </c>
      <c r="S164" s="303">
        <v>0</v>
      </c>
      <c r="T164" s="303">
        <v>3</v>
      </c>
      <c r="U164" s="303">
        <v>3</v>
      </c>
      <c r="V164" s="303">
        <v>3</v>
      </c>
      <c r="W164" s="303">
        <v>3</v>
      </c>
      <c r="X164" s="303">
        <v>12</v>
      </c>
      <c r="Y164" s="481">
        <v>0</v>
      </c>
      <c r="Z164" s="481">
        <v>0</v>
      </c>
      <c r="AA164" s="481">
        <v>0</v>
      </c>
      <c r="AB164" s="481">
        <v>0</v>
      </c>
      <c r="AC164" s="481">
        <v>0</v>
      </c>
      <c r="AD164" s="491">
        <v>0.5</v>
      </c>
      <c r="AE164" s="481">
        <v>0</v>
      </c>
      <c r="AF164" s="481">
        <f t="shared" si="118"/>
        <v>0.5</v>
      </c>
      <c r="AG164" s="491">
        <v>0.5</v>
      </c>
      <c r="AH164" s="548">
        <v>0</v>
      </c>
      <c r="AI164" s="716"/>
      <c r="AJ164" s="548">
        <v>0</v>
      </c>
      <c r="AK164" s="548">
        <v>0</v>
      </c>
      <c r="AL164" s="548">
        <v>0</v>
      </c>
      <c r="AM164" s="548">
        <f t="shared" si="119"/>
        <v>0.5</v>
      </c>
      <c r="AN164" s="491">
        <v>0.5</v>
      </c>
      <c r="AO164" s="481">
        <v>0</v>
      </c>
      <c r="AP164" s="481">
        <v>0</v>
      </c>
      <c r="AQ164" s="481">
        <v>0</v>
      </c>
      <c r="AR164" s="481">
        <v>0</v>
      </c>
      <c r="AS164" s="481">
        <v>0</v>
      </c>
      <c r="AT164" s="481">
        <v>0</v>
      </c>
      <c r="AU164" s="481">
        <f t="shared" si="120"/>
        <v>0.5</v>
      </c>
      <c r="AV164" s="548">
        <v>0</v>
      </c>
      <c r="AW164" s="548">
        <v>0</v>
      </c>
      <c r="AX164" s="491">
        <v>0.5</v>
      </c>
      <c r="AY164" s="548">
        <v>0</v>
      </c>
      <c r="AZ164" s="548">
        <v>0</v>
      </c>
      <c r="BA164" s="548">
        <v>0</v>
      </c>
      <c r="BB164" s="548">
        <v>0</v>
      </c>
      <c r="BC164" s="548">
        <f t="shared" si="122"/>
        <v>0.5</v>
      </c>
      <c r="BD164" s="42">
        <f t="shared" si="123"/>
        <v>1</v>
      </c>
      <c r="BE164" s="42">
        <f t="shared" si="123"/>
        <v>0</v>
      </c>
      <c r="BF164" s="42">
        <f t="shared" si="123"/>
        <v>0.5</v>
      </c>
      <c r="BG164" s="42">
        <f t="shared" si="123"/>
        <v>0</v>
      </c>
      <c r="BH164" s="42">
        <f t="shared" si="123"/>
        <v>0</v>
      </c>
      <c r="BI164" s="42">
        <f t="shared" si="107"/>
        <v>0.5</v>
      </c>
      <c r="BJ164" s="42">
        <f t="shared" si="124"/>
        <v>0</v>
      </c>
      <c r="BK164" s="42">
        <f t="shared" si="124"/>
        <v>2</v>
      </c>
      <c r="BL164" s="3"/>
    </row>
    <row r="165" spans="1:64" ht="72" customHeight="1" x14ac:dyDescent="0.25">
      <c r="A165" s="298" t="s">
        <v>491</v>
      </c>
      <c r="B165" s="299" t="s">
        <v>489</v>
      </c>
      <c r="C165" s="1547"/>
      <c r="D165" s="1551"/>
      <c r="E165" s="1551"/>
      <c r="F165" s="1551"/>
      <c r="G165" s="1551"/>
      <c r="H165" s="1551"/>
      <c r="I165" s="1425"/>
      <c r="J165" s="1425"/>
      <c r="K165" s="1425" t="s">
        <v>517</v>
      </c>
      <c r="L165" s="301" t="s">
        <v>496</v>
      </c>
      <c r="M165" s="1425" t="s">
        <v>497</v>
      </c>
      <c r="N165" s="476"/>
      <c r="O165" s="1425" t="s">
        <v>47</v>
      </c>
      <c r="P165" s="16" t="s">
        <v>518</v>
      </c>
      <c r="Q165" s="302" t="s">
        <v>519</v>
      </c>
      <c r="R165" s="303">
        <v>2015</v>
      </c>
      <c r="S165" s="303">
        <v>2</v>
      </c>
      <c r="T165" s="303">
        <v>3</v>
      </c>
      <c r="U165" s="303">
        <v>3</v>
      </c>
      <c r="V165" s="303">
        <v>3</v>
      </c>
      <c r="W165" s="303">
        <v>3</v>
      </c>
      <c r="X165" s="303">
        <v>12</v>
      </c>
      <c r="Y165" s="481">
        <v>0</v>
      </c>
      <c r="Z165" s="481">
        <v>0</v>
      </c>
      <c r="AA165" s="481">
        <v>0</v>
      </c>
      <c r="AB165" s="481">
        <v>0</v>
      </c>
      <c r="AC165" s="481">
        <v>0</v>
      </c>
      <c r="AD165" s="491">
        <v>6</v>
      </c>
      <c r="AE165" s="481">
        <v>0</v>
      </c>
      <c r="AF165" s="481">
        <f t="shared" si="118"/>
        <v>6</v>
      </c>
      <c r="AG165" s="491">
        <v>4</v>
      </c>
      <c r="AH165" s="548">
        <v>0</v>
      </c>
      <c r="AI165" s="548">
        <v>0</v>
      </c>
      <c r="AJ165" s="548">
        <v>0</v>
      </c>
      <c r="AK165" s="548">
        <v>0</v>
      </c>
      <c r="AL165" s="548">
        <v>0</v>
      </c>
      <c r="AM165" s="548">
        <f t="shared" si="119"/>
        <v>4</v>
      </c>
      <c r="AN165" s="491">
        <v>4</v>
      </c>
      <c r="AO165" s="481">
        <v>0</v>
      </c>
      <c r="AP165" s="481">
        <v>0</v>
      </c>
      <c r="AQ165" s="481">
        <v>0</v>
      </c>
      <c r="AR165" s="481">
        <v>0</v>
      </c>
      <c r="AS165" s="481">
        <v>0</v>
      </c>
      <c r="AT165" s="481">
        <v>0</v>
      </c>
      <c r="AU165" s="481">
        <f t="shared" si="120"/>
        <v>4</v>
      </c>
      <c r="AV165" s="548">
        <v>4</v>
      </c>
      <c r="AW165" s="548">
        <v>0</v>
      </c>
      <c r="AX165" s="548">
        <v>0</v>
      </c>
      <c r="AY165" s="548">
        <v>0</v>
      </c>
      <c r="AZ165" s="548">
        <v>0</v>
      </c>
      <c r="BA165" s="548"/>
      <c r="BB165" s="548">
        <v>0</v>
      </c>
      <c r="BC165" s="548">
        <f t="shared" si="122"/>
        <v>4</v>
      </c>
      <c r="BD165" s="42">
        <f t="shared" si="123"/>
        <v>12</v>
      </c>
      <c r="BE165" s="42">
        <f t="shared" si="123"/>
        <v>0</v>
      </c>
      <c r="BF165" s="42">
        <f t="shared" si="123"/>
        <v>0</v>
      </c>
      <c r="BG165" s="42">
        <f t="shared" si="123"/>
        <v>0</v>
      </c>
      <c r="BH165" s="42">
        <f t="shared" si="123"/>
        <v>0</v>
      </c>
      <c r="BI165" s="42">
        <f t="shared" si="107"/>
        <v>6</v>
      </c>
      <c r="BJ165" s="42">
        <f t="shared" si="124"/>
        <v>0</v>
      </c>
      <c r="BK165" s="42">
        <f t="shared" si="124"/>
        <v>18</v>
      </c>
      <c r="BL165" s="3"/>
    </row>
    <row r="166" spans="1:64" ht="59.25" customHeight="1" x14ac:dyDescent="0.25">
      <c r="A166" s="298" t="s">
        <v>491</v>
      </c>
      <c r="B166" s="299" t="s">
        <v>489</v>
      </c>
      <c r="C166" s="1547"/>
      <c r="D166" s="1551"/>
      <c r="E166" s="1551"/>
      <c r="F166" s="1551"/>
      <c r="G166" s="1551"/>
      <c r="H166" s="1551"/>
      <c r="I166" s="1425"/>
      <c r="J166" s="1425"/>
      <c r="K166" s="1425" t="s">
        <v>520</v>
      </c>
      <c r="L166" s="301" t="s">
        <v>496</v>
      </c>
      <c r="M166" s="1425" t="s">
        <v>497</v>
      </c>
      <c r="N166" s="476"/>
      <c r="O166" s="1425" t="s">
        <v>73</v>
      </c>
      <c r="P166" s="71" t="s">
        <v>521</v>
      </c>
      <c r="Q166" s="302" t="s">
        <v>522</v>
      </c>
      <c r="R166" s="303">
        <v>2015</v>
      </c>
      <c r="S166" s="303">
        <v>0</v>
      </c>
      <c r="T166" s="303">
        <v>1</v>
      </c>
      <c r="U166" s="303">
        <v>1</v>
      </c>
      <c r="V166" s="303">
        <v>1</v>
      </c>
      <c r="W166" s="303">
        <v>1</v>
      </c>
      <c r="X166" s="303">
        <v>1</v>
      </c>
      <c r="Y166" s="481">
        <v>0</v>
      </c>
      <c r="Z166" s="481">
        <v>0</v>
      </c>
      <c r="AA166" s="481">
        <v>0</v>
      </c>
      <c r="AB166" s="481">
        <v>0</v>
      </c>
      <c r="AC166" s="481">
        <v>0</v>
      </c>
      <c r="AD166" s="481">
        <v>3</v>
      </c>
      <c r="AE166" s="481">
        <v>0</v>
      </c>
      <c r="AF166" s="481">
        <f t="shared" si="118"/>
        <v>3</v>
      </c>
      <c r="AG166" s="491">
        <v>0.5</v>
      </c>
      <c r="AH166" s="548">
        <v>0</v>
      </c>
      <c r="AI166" s="716"/>
      <c r="AJ166" s="548">
        <v>0</v>
      </c>
      <c r="AK166" s="548">
        <v>0</v>
      </c>
      <c r="AL166" s="548">
        <v>0</v>
      </c>
      <c r="AM166" s="548">
        <f t="shared" si="119"/>
        <v>0.5</v>
      </c>
      <c r="AN166" s="491">
        <v>0.5</v>
      </c>
      <c r="AO166" s="481">
        <v>0</v>
      </c>
      <c r="AP166" s="481">
        <v>0</v>
      </c>
      <c r="AQ166" s="481">
        <v>0</v>
      </c>
      <c r="AR166" s="481">
        <v>0</v>
      </c>
      <c r="AS166" s="481">
        <v>0</v>
      </c>
      <c r="AT166" s="481">
        <v>0</v>
      </c>
      <c r="AU166" s="481">
        <f t="shared" si="120"/>
        <v>0.5</v>
      </c>
      <c r="AV166" s="548">
        <f>AN166*1.035</f>
        <v>0.51749999999999996</v>
      </c>
      <c r="AW166" s="548">
        <f>AO166*1.035</f>
        <v>0</v>
      </c>
      <c r="AX166" s="548">
        <f>AP166*1.035</f>
        <v>0</v>
      </c>
      <c r="AY166" s="548">
        <f>AQ166*1.035</f>
        <v>0</v>
      </c>
      <c r="AZ166" s="548">
        <f>AR166*1.035</f>
        <v>0</v>
      </c>
      <c r="BA166" s="548"/>
      <c r="BB166" s="548">
        <v>0</v>
      </c>
      <c r="BC166" s="548">
        <f t="shared" si="122"/>
        <v>0.51749999999999996</v>
      </c>
      <c r="BD166" s="42">
        <f t="shared" si="123"/>
        <v>1.5175000000000001</v>
      </c>
      <c r="BE166" s="42">
        <f t="shared" si="123"/>
        <v>0</v>
      </c>
      <c r="BF166" s="42">
        <f t="shared" si="123"/>
        <v>0</v>
      </c>
      <c r="BG166" s="42">
        <f t="shared" si="123"/>
        <v>0</v>
      </c>
      <c r="BH166" s="42">
        <f t="shared" si="123"/>
        <v>0</v>
      </c>
      <c r="BI166" s="42">
        <f t="shared" si="107"/>
        <v>3</v>
      </c>
      <c r="BJ166" s="42">
        <f t="shared" si="124"/>
        <v>0</v>
      </c>
      <c r="BK166" s="42">
        <f t="shared" si="124"/>
        <v>4.5175000000000001</v>
      </c>
      <c r="BL166" s="3"/>
    </row>
    <row r="167" spans="1:64" ht="73.5" customHeight="1" x14ac:dyDescent="0.25">
      <c r="A167" s="298" t="s">
        <v>491</v>
      </c>
      <c r="B167" s="299" t="s">
        <v>489</v>
      </c>
      <c r="C167" s="1547"/>
      <c r="D167" s="1551"/>
      <c r="E167" s="1551"/>
      <c r="F167" s="1551"/>
      <c r="G167" s="1551"/>
      <c r="H167" s="1551"/>
      <c r="I167" s="1425"/>
      <c r="J167" s="1425"/>
      <c r="K167" s="1425" t="s">
        <v>523</v>
      </c>
      <c r="L167" s="301" t="s">
        <v>496</v>
      </c>
      <c r="M167" s="1425" t="s">
        <v>497</v>
      </c>
      <c r="N167" s="476"/>
      <c r="O167" s="1425" t="s">
        <v>47</v>
      </c>
      <c r="P167" s="71" t="s">
        <v>524</v>
      </c>
      <c r="Q167" s="302" t="s">
        <v>525</v>
      </c>
      <c r="R167" s="303">
        <v>2015</v>
      </c>
      <c r="S167" s="303">
        <v>0</v>
      </c>
      <c r="T167" s="303">
        <v>1</v>
      </c>
      <c r="U167" s="303">
        <v>0</v>
      </c>
      <c r="V167" s="303">
        <v>1</v>
      </c>
      <c r="W167" s="303">
        <v>0</v>
      </c>
      <c r="X167" s="303">
        <v>2</v>
      </c>
      <c r="Y167" s="481"/>
      <c r="Z167" s="481"/>
      <c r="AA167" s="481"/>
      <c r="AB167" s="481"/>
      <c r="AC167" s="481"/>
      <c r="AD167" s="491">
        <v>0.5</v>
      </c>
      <c r="AE167" s="481"/>
      <c r="AF167" s="481">
        <f t="shared" si="118"/>
        <v>0.5</v>
      </c>
      <c r="AG167" s="548"/>
      <c r="AH167" s="548"/>
      <c r="AI167" s="548"/>
      <c r="AJ167" s="548"/>
      <c r="AK167" s="548"/>
      <c r="AL167" s="548"/>
      <c r="AM167" s="548">
        <f t="shared" si="119"/>
        <v>0</v>
      </c>
      <c r="AN167" s="491">
        <v>0.5</v>
      </c>
      <c r="AO167" s="481"/>
      <c r="AP167" s="481"/>
      <c r="AQ167" s="481"/>
      <c r="AR167" s="481"/>
      <c r="AS167" s="481"/>
      <c r="AT167" s="481"/>
      <c r="AU167" s="481">
        <f t="shared" si="120"/>
        <v>0.5</v>
      </c>
      <c r="AV167" s="548"/>
      <c r="AW167" s="548"/>
      <c r="AX167" s="548"/>
      <c r="AY167" s="548"/>
      <c r="AZ167" s="548"/>
      <c r="BA167" s="548"/>
      <c r="BB167" s="548"/>
      <c r="BC167" s="548">
        <f t="shared" si="122"/>
        <v>0</v>
      </c>
      <c r="BD167" s="42">
        <f t="shared" si="123"/>
        <v>0.5</v>
      </c>
      <c r="BE167" s="42">
        <f t="shared" si="123"/>
        <v>0</v>
      </c>
      <c r="BF167" s="42">
        <f t="shared" si="123"/>
        <v>0</v>
      </c>
      <c r="BG167" s="42">
        <f t="shared" si="123"/>
        <v>0</v>
      </c>
      <c r="BH167" s="42">
        <f t="shared" si="123"/>
        <v>0</v>
      </c>
      <c r="BI167" s="42">
        <f t="shared" si="107"/>
        <v>0.5</v>
      </c>
      <c r="BJ167" s="42">
        <f t="shared" si="124"/>
        <v>0</v>
      </c>
      <c r="BK167" s="42">
        <f t="shared" si="124"/>
        <v>1</v>
      </c>
      <c r="BL167" s="3"/>
    </row>
    <row r="168" spans="1:64" ht="89.25" customHeight="1" x14ac:dyDescent="0.25">
      <c r="A168" s="298" t="s">
        <v>491</v>
      </c>
      <c r="B168" s="299" t="s">
        <v>489</v>
      </c>
      <c r="C168" s="1547"/>
      <c r="D168" s="1551"/>
      <c r="E168" s="1551"/>
      <c r="F168" s="1551"/>
      <c r="G168" s="1551"/>
      <c r="H168" s="1551"/>
      <c r="I168" s="1425"/>
      <c r="J168" s="1425"/>
      <c r="K168" s="1425" t="s">
        <v>526</v>
      </c>
      <c r="L168" s="301" t="s">
        <v>496</v>
      </c>
      <c r="M168" s="1425" t="s">
        <v>497</v>
      </c>
      <c r="N168" s="476"/>
      <c r="O168" s="1425" t="s">
        <v>47</v>
      </c>
      <c r="P168" s="16" t="s">
        <v>527</v>
      </c>
      <c r="Q168" s="302" t="s">
        <v>337</v>
      </c>
      <c r="R168" s="303">
        <v>2015</v>
      </c>
      <c r="S168" s="303">
        <v>0</v>
      </c>
      <c r="T168" s="303">
        <v>4</v>
      </c>
      <c r="U168" s="303">
        <v>4</v>
      </c>
      <c r="V168" s="303">
        <v>4</v>
      </c>
      <c r="W168" s="303">
        <v>4</v>
      </c>
      <c r="X168" s="303">
        <v>16</v>
      </c>
      <c r="Y168" s="483">
        <v>0</v>
      </c>
      <c r="Z168" s="483">
        <v>0</v>
      </c>
      <c r="AA168" s="483">
        <v>0</v>
      </c>
      <c r="AB168" s="483">
        <v>0</v>
      </c>
      <c r="AC168" s="483">
        <v>0</v>
      </c>
      <c r="AD168" s="483">
        <v>2</v>
      </c>
      <c r="AE168" s="483">
        <v>0</v>
      </c>
      <c r="AF168" s="481">
        <f t="shared" si="118"/>
        <v>2</v>
      </c>
      <c r="AG168" s="491">
        <v>0.5</v>
      </c>
      <c r="AH168" s="587">
        <v>0</v>
      </c>
      <c r="AI168" s="587">
        <v>0</v>
      </c>
      <c r="AJ168" s="587">
        <v>0</v>
      </c>
      <c r="AK168" s="587">
        <v>0</v>
      </c>
      <c r="AL168" s="587">
        <v>0</v>
      </c>
      <c r="AM168" s="548">
        <f t="shared" si="119"/>
        <v>0.5</v>
      </c>
      <c r="AN168" s="491">
        <v>0.5</v>
      </c>
      <c r="AO168" s="483">
        <v>0</v>
      </c>
      <c r="AP168" s="483">
        <v>0</v>
      </c>
      <c r="AQ168" s="483">
        <v>0</v>
      </c>
      <c r="AR168" s="483">
        <v>0</v>
      </c>
      <c r="AS168" s="483">
        <v>0</v>
      </c>
      <c r="AT168" s="483">
        <v>0</v>
      </c>
      <c r="AU168" s="481">
        <f t="shared" si="120"/>
        <v>0.5</v>
      </c>
      <c r="AV168" s="491">
        <v>0.5</v>
      </c>
      <c r="AW168" s="548">
        <v>0</v>
      </c>
      <c r="AX168" s="548">
        <v>0</v>
      </c>
      <c r="AY168" s="548">
        <v>0</v>
      </c>
      <c r="AZ168" s="548">
        <v>0</v>
      </c>
      <c r="BA168" s="548"/>
      <c r="BB168" s="548">
        <v>0</v>
      </c>
      <c r="BC168" s="548">
        <f t="shared" si="122"/>
        <v>0.5</v>
      </c>
      <c r="BD168" s="42">
        <f t="shared" si="123"/>
        <v>1.5</v>
      </c>
      <c r="BE168" s="42">
        <f t="shared" si="123"/>
        <v>0</v>
      </c>
      <c r="BF168" s="42">
        <f t="shared" si="123"/>
        <v>0</v>
      </c>
      <c r="BG168" s="42">
        <f t="shared" si="123"/>
        <v>0</v>
      </c>
      <c r="BH168" s="42">
        <f t="shared" si="123"/>
        <v>0</v>
      </c>
      <c r="BI168" s="42">
        <f t="shared" si="107"/>
        <v>2</v>
      </c>
      <c r="BJ168" s="42">
        <f t="shared" si="124"/>
        <v>0</v>
      </c>
      <c r="BK168" s="42">
        <f t="shared" si="124"/>
        <v>3.5</v>
      </c>
      <c r="BL168" s="3"/>
    </row>
    <row r="169" spans="1:64" ht="78.75" customHeight="1" x14ac:dyDescent="0.25">
      <c r="A169" s="298" t="s">
        <v>491</v>
      </c>
      <c r="B169" s="299" t="s">
        <v>489</v>
      </c>
      <c r="C169" s="1547"/>
      <c r="D169" s="1551"/>
      <c r="E169" s="1551"/>
      <c r="F169" s="1551"/>
      <c r="G169" s="1551"/>
      <c r="H169" s="1551"/>
      <c r="I169" s="1425"/>
      <c r="J169" s="1425"/>
      <c r="K169" s="1425" t="s">
        <v>528</v>
      </c>
      <c r="L169" s="301" t="s">
        <v>496</v>
      </c>
      <c r="M169" s="1425" t="s">
        <v>497</v>
      </c>
      <c r="N169" s="476"/>
      <c r="O169" s="1425" t="s">
        <v>73</v>
      </c>
      <c r="P169" s="71" t="s">
        <v>529</v>
      </c>
      <c r="Q169" s="302" t="s">
        <v>530</v>
      </c>
      <c r="R169" s="303">
        <v>2015</v>
      </c>
      <c r="S169" s="303">
        <v>0</v>
      </c>
      <c r="T169" s="303">
        <v>1</v>
      </c>
      <c r="U169" s="303">
        <v>1</v>
      </c>
      <c r="V169" s="303">
        <v>1</v>
      </c>
      <c r="W169" s="303">
        <v>1</v>
      </c>
      <c r="X169" s="303">
        <v>1</v>
      </c>
      <c r="Y169" s="481">
        <v>0</v>
      </c>
      <c r="Z169" s="481">
        <v>0</v>
      </c>
      <c r="AA169" s="481">
        <v>0</v>
      </c>
      <c r="AB169" s="481">
        <v>0</v>
      </c>
      <c r="AC169" s="481">
        <v>0</v>
      </c>
      <c r="AD169" s="491">
        <v>0.5</v>
      </c>
      <c r="AE169" s="481">
        <v>0</v>
      </c>
      <c r="AF169" s="481">
        <f t="shared" si="118"/>
        <v>0.5</v>
      </c>
      <c r="AG169" s="491">
        <v>0.5</v>
      </c>
      <c r="AH169" s="548">
        <v>0</v>
      </c>
      <c r="AI169" s="548">
        <v>0</v>
      </c>
      <c r="AJ169" s="548">
        <v>0</v>
      </c>
      <c r="AK169" s="548">
        <v>0</v>
      </c>
      <c r="AL169" s="548">
        <v>0</v>
      </c>
      <c r="AM169" s="548">
        <f t="shared" si="119"/>
        <v>0.5</v>
      </c>
      <c r="AN169" s="491">
        <v>0.5</v>
      </c>
      <c r="AO169" s="481">
        <v>0</v>
      </c>
      <c r="AP169" s="481">
        <v>0</v>
      </c>
      <c r="AQ169" s="481">
        <v>0</v>
      </c>
      <c r="AR169" s="481">
        <v>0</v>
      </c>
      <c r="AS169" s="481">
        <v>0</v>
      </c>
      <c r="AT169" s="481">
        <v>0</v>
      </c>
      <c r="AU169" s="481">
        <f t="shared" si="120"/>
        <v>0.5</v>
      </c>
      <c r="AV169" s="491">
        <v>0.5</v>
      </c>
      <c r="AW169" s="548">
        <v>0</v>
      </c>
      <c r="AX169" s="548">
        <v>0</v>
      </c>
      <c r="AY169" s="548">
        <v>0</v>
      </c>
      <c r="AZ169" s="548">
        <v>0</v>
      </c>
      <c r="BA169" s="548">
        <v>0</v>
      </c>
      <c r="BB169" s="548">
        <v>0</v>
      </c>
      <c r="BC169" s="548">
        <f t="shared" si="122"/>
        <v>0.5</v>
      </c>
      <c r="BD169" s="42">
        <f t="shared" si="123"/>
        <v>1.5</v>
      </c>
      <c r="BE169" s="42">
        <f t="shared" si="123"/>
        <v>0</v>
      </c>
      <c r="BF169" s="42">
        <f t="shared" si="123"/>
        <v>0</v>
      </c>
      <c r="BG169" s="42">
        <f t="shared" si="123"/>
        <v>0</v>
      </c>
      <c r="BH169" s="42">
        <f t="shared" si="123"/>
        <v>0</v>
      </c>
      <c r="BI169" s="42">
        <f t="shared" si="107"/>
        <v>0.5</v>
      </c>
      <c r="BJ169" s="42">
        <f t="shared" si="124"/>
        <v>0</v>
      </c>
      <c r="BK169" s="42">
        <f t="shared" si="124"/>
        <v>2</v>
      </c>
      <c r="BL169" s="3"/>
    </row>
    <row r="170" spans="1:64" ht="62.25" customHeight="1" x14ac:dyDescent="0.25">
      <c r="A170" s="298" t="s">
        <v>491</v>
      </c>
      <c r="B170" s="299" t="s">
        <v>489</v>
      </c>
      <c r="C170" s="1547"/>
      <c r="D170" s="1551"/>
      <c r="E170" s="1551"/>
      <c r="F170" s="1551"/>
      <c r="G170" s="1551"/>
      <c r="H170" s="1551"/>
      <c r="I170" s="1425"/>
      <c r="J170" s="1425"/>
      <c r="K170" s="1425" t="s">
        <v>531</v>
      </c>
      <c r="L170" s="301" t="s">
        <v>496</v>
      </c>
      <c r="M170" s="1425" t="s">
        <v>497</v>
      </c>
      <c r="N170" s="476"/>
      <c r="O170" s="1425" t="s">
        <v>47</v>
      </c>
      <c r="P170" s="16" t="s">
        <v>532</v>
      </c>
      <c r="Q170" s="302" t="s">
        <v>533</v>
      </c>
      <c r="R170" s="303">
        <v>2015</v>
      </c>
      <c r="S170" s="303">
        <v>0</v>
      </c>
      <c r="T170" s="303">
        <v>0</v>
      </c>
      <c r="U170" s="303">
        <v>1</v>
      </c>
      <c r="V170" s="303">
        <v>0</v>
      </c>
      <c r="W170" s="303">
        <v>1</v>
      </c>
      <c r="X170" s="303">
        <v>2</v>
      </c>
      <c r="Y170" s="481">
        <v>0</v>
      </c>
      <c r="Z170" s="481">
        <v>0</v>
      </c>
      <c r="AA170" s="481">
        <v>0</v>
      </c>
      <c r="AB170" s="481">
        <v>0</v>
      </c>
      <c r="AC170" s="481">
        <v>0</v>
      </c>
      <c r="AD170" s="481"/>
      <c r="AE170" s="481">
        <v>0</v>
      </c>
      <c r="AF170" s="481">
        <f t="shared" si="118"/>
        <v>0</v>
      </c>
      <c r="AG170" s="491">
        <v>0.5</v>
      </c>
      <c r="AH170" s="548">
        <v>0</v>
      </c>
      <c r="AI170" s="548">
        <v>0</v>
      </c>
      <c r="AJ170" s="548">
        <v>0</v>
      </c>
      <c r="AK170" s="548">
        <v>0</v>
      </c>
      <c r="AL170" s="548">
        <v>0</v>
      </c>
      <c r="AM170" s="548">
        <f t="shared" si="119"/>
        <v>0.5</v>
      </c>
      <c r="AN170" s="481">
        <v>0</v>
      </c>
      <c r="AO170" s="481">
        <v>0</v>
      </c>
      <c r="AP170" s="481">
        <v>0</v>
      </c>
      <c r="AQ170" s="481">
        <v>0</v>
      </c>
      <c r="AR170" s="481">
        <v>0</v>
      </c>
      <c r="AS170" s="481">
        <v>0</v>
      </c>
      <c r="AT170" s="481">
        <v>0</v>
      </c>
      <c r="AU170" s="481">
        <f t="shared" si="120"/>
        <v>0</v>
      </c>
      <c r="AV170" s="491">
        <v>0.5</v>
      </c>
      <c r="AW170" s="548">
        <f t="shared" ref="AV170:AZ171" si="125">AO170*1.035</f>
        <v>0</v>
      </c>
      <c r="AX170" s="548">
        <f t="shared" si="125"/>
        <v>0</v>
      </c>
      <c r="AY170" s="548">
        <f t="shared" si="125"/>
        <v>0</v>
      </c>
      <c r="AZ170" s="548">
        <f t="shared" si="125"/>
        <v>0</v>
      </c>
      <c r="BA170" s="548"/>
      <c r="BB170" s="548">
        <v>0</v>
      </c>
      <c r="BC170" s="548">
        <f t="shared" si="122"/>
        <v>0.5</v>
      </c>
      <c r="BD170" s="42">
        <f t="shared" si="123"/>
        <v>1</v>
      </c>
      <c r="BE170" s="42">
        <f t="shared" si="123"/>
        <v>0</v>
      </c>
      <c r="BF170" s="42">
        <f t="shared" si="123"/>
        <v>0</v>
      </c>
      <c r="BG170" s="42">
        <f t="shared" si="123"/>
        <v>0</v>
      </c>
      <c r="BH170" s="42">
        <f t="shared" si="123"/>
        <v>0</v>
      </c>
      <c r="BI170" s="42">
        <f t="shared" si="107"/>
        <v>0</v>
      </c>
      <c r="BJ170" s="42">
        <f t="shared" si="124"/>
        <v>0</v>
      </c>
      <c r="BK170" s="42">
        <f t="shared" si="124"/>
        <v>1</v>
      </c>
      <c r="BL170" s="3"/>
    </row>
    <row r="171" spans="1:64" ht="61.5" customHeight="1" x14ac:dyDescent="0.25">
      <c r="A171" s="298" t="s">
        <v>491</v>
      </c>
      <c r="B171" s="299" t="s">
        <v>489</v>
      </c>
      <c r="C171" s="1547"/>
      <c r="D171" s="1551"/>
      <c r="E171" s="1551"/>
      <c r="F171" s="1551"/>
      <c r="G171" s="1551"/>
      <c r="H171" s="1551"/>
      <c r="I171" s="1425"/>
      <c r="J171" s="1425"/>
      <c r="K171" s="1425" t="s">
        <v>534</v>
      </c>
      <c r="L171" s="301" t="s">
        <v>496</v>
      </c>
      <c r="M171" s="1425" t="s">
        <v>497</v>
      </c>
      <c r="N171" s="476"/>
      <c r="O171" s="1425" t="s">
        <v>47</v>
      </c>
      <c r="P171" s="16" t="s">
        <v>535</v>
      </c>
      <c r="Q171" s="302" t="s">
        <v>536</v>
      </c>
      <c r="R171" s="303">
        <v>2015</v>
      </c>
      <c r="S171" s="303">
        <v>0</v>
      </c>
      <c r="T171" s="303">
        <v>3</v>
      </c>
      <c r="U171" s="303">
        <v>4</v>
      </c>
      <c r="V171" s="303">
        <v>4</v>
      </c>
      <c r="W171" s="303">
        <v>4</v>
      </c>
      <c r="X171" s="303">
        <v>15</v>
      </c>
      <c r="Y171" s="481">
        <v>0</v>
      </c>
      <c r="Z171" s="481">
        <v>0</v>
      </c>
      <c r="AA171" s="481">
        <v>0</v>
      </c>
      <c r="AB171" s="481">
        <v>0</v>
      </c>
      <c r="AC171" s="481">
        <v>0</v>
      </c>
      <c r="AD171" s="491">
        <v>0.5</v>
      </c>
      <c r="AE171" s="481">
        <v>0</v>
      </c>
      <c r="AF171" s="481">
        <f t="shared" si="118"/>
        <v>0.5</v>
      </c>
      <c r="AG171" s="491">
        <v>0.5</v>
      </c>
      <c r="AH171" s="548">
        <v>0</v>
      </c>
      <c r="AI171" s="548">
        <v>0</v>
      </c>
      <c r="AJ171" s="548">
        <v>0</v>
      </c>
      <c r="AK171" s="548">
        <v>0</v>
      </c>
      <c r="AL171" s="548">
        <v>0</v>
      </c>
      <c r="AM171" s="548">
        <f t="shared" si="119"/>
        <v>0.5</v>
      </c>
      <c r="AN171" s="491">
        <v>0.5</v>
      </c>
      <c r="AO171" s="481">
        <v>0</v>
      </c>
      <c r="AP171" s="481">
        <v>0</v>
      </c>
      <c r="AQ171" s="481">
        <v>0</v>
      </c>
      <c r="AR171" s="481">
        <v>0</v>
      </c>
      <c r="AS171" s="481">
        <v>0</v>
      </c>
      <c r="AT171" s="481">
        <v>0</v>
      </c>
      <c r="AU171" s="481">
        <f t="shared" si="120"/>
        <v>0.5</v>
      </c>
      <c r="AV171" s="548">
        <f t="shared" si="125"/>
        <v>0.51749999999999996</v>
      </c>
      <c r="AW171" s="548">
        <f t="shared" si="125"/>
        <v>0</v>
      </c>
      <c r="AX171" s="548">
        <f t="shared" si="125"/>
        <v>0</v>
      </c>
      <c r="AY171" s="548">
        <f t="shared" si="125"/>
        <v>0</v>
      </c>
      <c r="AZ171" s="548">
        <f t="shared" si="125"/>
        <v>0</v>
      </c>
      <c r="BA171" s="548">
        <f>AS171*1.035</f>
        <v>0</v>
      </c>
      <c r="BB171" s="548">
        <f>AT171*1.035</f>
        <v>0</v>
      </c>
      <c r="BC171" s="548">
        <f t="shared" si="122"/>
        <v>0.51749999999999996</v>
      </c>
      <c r="BD171" s="42">
        <f t="shared" si="123"/>
        <v>1.5175000000000001</v>
      </c>
      <c r="BE171" s="42">
        <f t="shared" si="123"/>
        <v>0</v>
      </c>
      <c r="BF171" s="42">
        <f t="shared" si="123"/>
        <v>0</v>
      </c>
      <c r="BG171" s="42">
        <f t="shared" si="123"/>
        <v>0</v>
      </c>
      <c r="BH171" s="42">
        <f t="shared" si="123"/>
        <v>0</v>
      </c>
      <c r="BI171" s="42">
        <f t="shared" si="107"/>
        <v>0.5</v>
      </c>
      <c r="BJ171" s="42">
        <f t="shared" si="124"/>
        <v>0</v>
      </c>
      <c r="BK171" s="42">
        <f t="shared" si="124"/>
        <v>2.0175000000000001</v>
      </c>
      <c r="BL171" s="3"/>
    </row>
    <row r="172" spans="1:64" ht="63" customHeight="1" x14ac:dyDescent="0.25">
      <c r="A172" s="298" t="s">
        <v>491</v>
      </c>
      <c r="B172" s="299" t="s">
        <v>489</v>
      </c>
      <c r="C172" s="1547"/>
      <c r="D172" s="1551"/>
      <c r="E172" s="1551"/>
      <c r="F172" s="1551"/>
      <c r="G172" s="1551"/>
      <c r="H172" s="1551"/>
      <c r="I172" s="1425"/>
      <c r="J172" s="1425"/>
      <c r="K172" s="1425" t="s">
        <v>537</v>
      </c>
      <c r="L172" s="301" t="s">
        <v>496</v>
      </c>
      <c r="M172" s="1425" t="s">
        <v>497</v>
      </c>
      <c r="N172" s="476"/>
      <c r="O172" s="1425" t="s">
        <v>73</v>
      </c>
      <c r="P172" s="16" t="s">
        <v>538</v>
      </c>
      <c r="Q172" s="302" t="s">
        <v>539</v>
      </c>
      <c r="R172" s="303">
        <v>2015</v>
      </c>
      <c r="S172" s="303">
        <v>1</v>
      </c>
      <c r="T172" s="303">
        <v>1</v>
      </c>
      <c r="U172" s="303">
        <v>1</v>
      </c>
      <c r="V172" s="303">
        <v>1</v>
      </c>
      <c r="W172" s="303">
        <v>1</v>
      </c>
      <c r="X172" s="303">
        <v>1</v>
      </c>
      <c r="Y172" s="481">
        <v>0</v>
      </c>
      <c r="Z172" s="481">
        <v>0</v>
      </c>
      <c r="AA172" s="481">
        <v>0</v>
      </c>
      <c r="AB172" s="481">
        <v>0</v>
      </c>
      <c r="AC172" s="481">
        <v>0</v>
      </c>
      <c r="AD172" s="491">
        <v>18</v>
      </c>
      <c r="AE172" s="481">
        <v>0</v>
      </c>
      <c r="AF172" s="481">
        <f t="shared" si="118"/>
        <v>18</v>
      </c>
      <c r="AG172" s="491">
        <v>9</v>
      </c>
      <c r="AH172" s="548">
        <v>0</v>
      </c>
      <c r="AI172" s="548">
        <v>0</v>
      </c>
      <c r="AJ172" s="548">
        <v>0</v>
      </c>
      <c r="AK172" s="548">
        <v>0</v>
      </c>
      <c r="AL172" s="548">
        <v>0</v>
      </c>
      <c r="AM172" s="548">
        <f t="shared" si="119"/>
        <v>9</v>
      </c>
      <c r="AN172" s="491">
        <v>9</v>
      </c>
      <c r="AO172" s="481">
        <v>0</v>
      </c>
      <c r="AP172" s="481">
        <v>0</v>
      </c>
      <c r="AQ172" s="481">
        <v>0</v>
      </c>
      <c r="AR172" s="481">
        <v>0</v>
      </c>
      <c r="AS172" s="481">
        <v>0</v>
      </c>
      <c r="AT172" s="481">
        <v>0</v>
      </c>
      <c r="AU172" s="481">
        <f t="shared" si="120"/>
        <v>9</v>
      </c>
      <c r="AV172" s="491">
        <v>10</v>
      </c>
      <c r="AW172" s="548">
        <v>0</v>
      </c>
      <c r="AX172" s="548">
        <v>0</v>
      </c>
      <c r="AY172" s="548">
        <v>0</v>
      </c>
      <c r="AZ172" s="548">
        <v>0</v>
      </c>
      <c r="BA172" s="548"/>
      <c r="BB172" s="548">
        <v>0</v>
      </c>
      <c r="BC172" s="548">
        <f t="shared" si="122"/>
        <v>10</v>
      </c>
      <c r="BD172" s="42">
        <f t="shared" si="123"/>
        <v>28</v>
      </c>
      <c r="BE172" s="42">
        <f t="shared" si="123"/>
        <v>0</v>
      </c>
      <c r="BF172" s="42">
        <f t="shared" si="123"/>
        <v>0</v>
      </c>
      <c r="BG172" s="42">
        <f t="shared" si="123"/>
        <v>0</v>
      </c>
      <c r="BH172" s="42">
        <f t="shared" si="123"/>
        <v>0</v>
      </c>
      <c r="BI172" s="42">
        <f t="shared" si="107"/>
        <v>18</v>
      </c>
      <c r="BJ172" s="42">
        <f t="shared" si="124"/>
        <v>0</v>
      </c>
      <c r="BK172" s="42">
        <f t="shared" si="124"/>
        <v>46</v>
      </c>
      <c r="BL172" s="3"/>
    </row>
    <row r="173" spans="1:64" ht="68.25" customHeight="1" x14ac:dyDescent="0.25">
      <c r="A173" s="298" t="s">
        <v>491</v>
      </c>
      <c r="B173" s="299" t="s">
        <v>489</v>
      </c>
      <c r="C173" s="1547"/>
      <c r="D173" s="1551"/>
      <c r="E173" s="1551"/>
      <c r="F173" s="1551"/>
      <c r="G173" s="1551"/>
      <c r="H173" s="1551"/>
      <c r="I173" s="1425"/>
      <c r="J173" s="1425"/>
      <c r="K173" s="1425" t="s">
        <v>540</v>
      </c>
      <c r="L173" s="301" t="s">
        <v>496</v>
      </c>
      <c r="M173" s="1425" t="s">
        <v>497</v>
      </c>
      <c r="N173" s="476"/>
      <c r="O173" s="1425" t="s">
        <v>73</v>
      </c>
      <c r="P173" s="16" t="s">
        <v>541</v>
      </c>
      <c r="Q173" s="302" t="s">
        <v>542</v>
      </c>
      <c r="R173" s="303">
        <v>2015</v>
      </c>
      <c r="S173" s="303">
        <v>0</v>
      </c>
      <c r="T173" s="303">
        <v>1</v>
      </c>
      <c r="U173" s="303">
        <v>1</v>
      </c>
      <c r="V173" s="303">
        <v>1</v>
      </c>
      <c r="W173" s="303">
        <v>1</v>
      </c>
      <c r="X173" s="303">
        <v>1</v>
      </c>
      <c r="Y173" s="481"/>
      <c r="Z173" s="481"/>
      <c r="AA173" s="481"/>
      <c r="AB173" s="481"/>
      <c r="AC173" s="481"/>
      <c r="AD173" s="481">
        <v>30</v>
      </c>
      <c r="AE173" s="481"/>
      <c r="AF173" s="481">
        <f t="shared" si="118"/>
        <v>30</v>
      </c>
      <c r="AG173" s="491">
        <v>9.24</v>
      </c>
      <c r="AH173" s="548"/>
      <c r="AI173" s="716"/>
      <c r="AJ173" s="548"/>
      <c r="AK173" s="548"/>
      <c r="AL173" s="548"/>
      <c r="AM173" s="548">
        <f t="shared" si="119"/>
        <v>9.24</v>
      </c>
      <c r="AN173" s="491">
        <v>9</v>
      </c>
      <c r="AO173" s="481"/>
      <c r="AP173" s="481"/>
      <c r="AQ173" s="481"/>
      <c r="AR173" s="481"/>
      <c r="AS173" s="481">
        <v>0</v>
      </c>
      <c r="AT173" s="481"/>
      <c r="AU173" s="481">
        <f t="shared" si="120"/>
        <v>9</v>
      </c>
      <c r="AV173" s="491">
        <v>10.35</v>
      </c>
      <c r="AW173" s="548"/>
      <c r="AX173" s="548"/>
      <c r="AY173" s="548"/>
      <c r="AZ173" s="548"/>
      <c r="BA173" s="548"/>
      <c r="BB173" s="548"/>
      <c r="BC173" s="548">
        <f t="shared" si="122"/>
        <v>10.35</v>
      </c>
      <c r="BD173" s="42">
        <f t="shared" si="123"/>
        <v>28.590000000000003</v>
      </c>
      <c r="BE173" s="42">
        <f t="shared" si="123"/>
        <v>0</v>
      </c>
      <c r="BF173" s="42">
        <f t="shared" si="123"/>
        <v>0</v>
      </c>
      <c r="BG173" s="42">
        <f t="shared" si="123"/>
        <v>0</v>
      </c>
      <c r="BH173" s="42">
        <f t="shared" si="123"/>
        <v>0</v>
      </c>
      <c r="BI173" s="42">
        <f t="shared" si="107"/>
        <v>30</v>
      </c>
      <c r="BJ173" s="42">
        <f t="shared" si="124"/>
        <v>0</v>
      </c>
      <c r="BK173" s="42">
        <f t="shared" si="124"/>
        <v>58.59</v>
      </c>
      <c r="BL173" s="3"/>
    </row>
    <row r="174" spans="1:64" ht="75" customHeight="1" x14ac:dyDescent="0.25">
      <c r="A174" s="298" t="s">
        <v>491</v>
      </c>
      <c r="B174" s="299" t="s">
        <v>489</v>
      </c>
      <c r="C174" s="1547"/>
      <c r="D174" s="1551"/>
      <c r="E174" s="1551"/>
      <c r="F174" s="1551"/>
      <c r="G174" s="1551"/>
      <c r="H174" s="1551"/>
      <c r="I174" s="1425"/>
      <c r="J174" s="1425"/>
      <c r="K174" s="1425" t="s">
        <v>543</v>
      </c>
      <c r="L174" s="301" t="s">
        <v>496</v>
      </c>
      <c r="M174" s="1425" t="s">
        <v>497</v>
      </c>
      <c r="N174" s="476"/>
      <c r="O174" s="1425" t="s">
        <v>47</v>
      </c>
      <c r="P174" s="16" t="s">
        <v>544</v>
      </c>
      <c r="Q174" s="302" t="s">
        <v>545</v>
      </c>
      <c r="R174" s="303">
        <v>2015</v>
      </c>
      <c r="S174" s="303">
        <v>0</v>
      </c>
      <c r="T174" s="303">
        <v>3</v>
      </c>
      <c r="U174" s="303">
        <v>3</v>
      </c>
      <c r="V174" s="303">
        <v>3</v>
      </c>
      <c r="W174" s="303">
        <v>3</v>
      </c>
      <c r="X174" s="303">
        <v>12</v>
      </c>
      <c r="Y174" s="481">
        <v>0</v>
      </c>
      <c r="Z174" s="481">
        <v>0</v>
      </c>
      <c r="AA174" s="481">
        <v>0</v>
      </c>
      <c r="AB174" s="481">
        <v>0</v>
      </c>
      <c r="AC174" s="481">
        <v>0</v>
      </c>
      <c r="AD174" s="491">
        <v>0.5</v>
      </c>
      <c r="AE174" s="481">
        <v>0</v>
      </c>
      <c r="AF174" s="481">
        <f t="shared" si="118"/>
        <v>0.5</v>
      </c>
      <c r="AG174" s="491">
        <v>0.5</v>
      </c>
      <c r="AH174" s="548">
        <v>0</v>
      </c>
      <c r="AI174" s="548">
        <v>0</v>
      </c>
      <c r="AJ174" s="548">
        <v>0</v>
      </c>
      <c r="AK174" s="548">
        <v>0</v>
      </c>
      <c r="AL174" s="548">
        <v>0</v>
      </c>
      <c r="AM174" s="548">
        <f t="shared" si="119"/>
        <v>0.5</v>
      </c>
      <c r="AN174" s="491">
        <v>0.5</v>
      </c>
      <c r="AO174" s="481">
        <v>0</v>
      </c>
      <c r="AP174" s="481">
        <v>0</v>
      </c>
      <c r="AQ174" s="481">
        <v>0</v>
      </c>
      <c r="AR174" s="481">
        <v>0</v>
      </c>
      <c r="AS174" s="481">
        <v>0</v>
      </c>
      <c r="AT174" s="481">
        <v>0</v>
      </c>
      <c r="AU174" s="481">
        <f t="shared" si="120"/>
        <v>0.5</v>
      </c>
      <c r="AV174" s="491">
        <v>0.5</v>
      </c>
      <c r="AW174" s="548">
        <v>0</v>
      </c>
      <c r="AX174" s="548">
        <v>0</v>
      </c>
      <c r="AY174" s="548">
        <v>0</v>
      </c>
      <c r="AZ174" s="548">
        <v>0</v>
      </c>
      <c r="BA174" s="548">
        <v>0</v>
      </c>
      <c r="BB174" s="548">
        <v>0</v>
      </c>
      <c r="BC174" s="548">
        <f t="shared" si="122"/>
        <v>0.5</v>
      </c>
      <c r="BD174" s="42">
        <f t="shared" si="123"/>
        <v>1.5</v>
      </c>
      <c r="BE174" s="42">
        <f t="shared" si="123"/>
        <v>0</v>
      </c>
      <c r="BF174" s="42">
        <f t="shared" si="123"/>
        <v>0</v>
      </c>
      <c r="BG174" s="42">
        <f t="shared" si="123"/>
        <v>0</v>
      </c>
      <c r="BH174" s="42">
        <f t="shared" si="123"/>
        <v>0</v>
      </c>
      <c r="BI174" s="42">
        <f t="shared" si="107"/>
        <v>0.5</v>
      </c>
      <c r="BJ174" s="42">
        <f t="shared" si="124"/>
        <v>0</v>
      </c>
      <c r="BK174" s="42">
        <f t="shared" si="124"/>
        <v>2</v>
      </c>
      <c r="BL174" s="3"/>
    </row>
    <row r="175" spans="1:64" ht="78" customHeight="1" x14ac:dyDescent="0.25">
      <c r="A175" s="298" t="s">
        <v>491</v>
      </c>
      <c r="B175" s="299" t="s">
        <v>489</v>
      </c>
      <c r="C175" s="1547"/>
      <c r="D175" s="1551"/>
      <c r="E175" s="1551"/>
      <c r="F175" s="1551"/>
      <c r="G175" s="1551"/>
      <c r="H175" s="1551"/>
      <c r="I175" s="1425"/>
      <c r="J175" s="1425"/>
      <c r="K175" s="1425" t="s">
        <v>546</v>
      </c>
      <c r="L175" s="301" t="s">
        <v>496</v>
      </c>
      <c r="M175" s="1425" t="s">
        <v>497</v>
      </c>
      <c r="N175" s="476"/>
      <c r="O175" s="1425" t="s">
        <v>73</v>
      </c>
      <c r="P175" s="16" t="s">
        <v>547</v>
      </c>
      <c r="Q175" s="302" t="s">
        <v>548</v>
      </c>
      <c r="R175" s="303">
        <v>2015</v>
      </c>
      <c r="S175" s="303">
        <v>0</v>
      </c>
      <c r="T175" s="303">
        <v>1</v>
      </c>
      <c r="U175" s="303">
        <v>1</v>
      </c>
      <c r="V175" s="303">
        <v>1</v>
      </c>
      <c r="W175" s="303">
        <v>1</v>
      </c>
      <c r="X175" s="303">
        <v>1</v>
      </c>
      <c r="Y175" s="481">
        <v>0</v>
      </c>
      <c r="Z175" s="481">
        <v>0</v>
      </c>
      <c r="AA175" s="481">
        <v>0</v>
      </c>
      <c r="AB175" s="481">
        <v>0</v>
      </c>
      <c r="AC175" s="481">
        <v>0</v>
      </c>
      <c r="AD175" s="481">
        <v>10</v>
      </c>
      <c r="AE175" s="481">
        <v>0</v>
      </c>
      <c r="AF175" s="481">
        <f t="shared" si="118"/>
        <v>10</v>
      </c>
      <c r="AG175" s="491">
        <v>0.5</v>
      </c>
      <c r="AH175" s="548">
        <v>0</v>
      </c>
      <c r="AI175" s="548">
        <v>0</v>
      </c>
      <c r="AJ175" s="548">
        <v>0</v>
      </c>
      <c r="AK175" s="548">
        <v>0</v>
      </c>
      <c r="AL175" s="548">
        <v>0</v>
      </c>
      <c r="AM175" s="548">
        <f t="shared" si="119"/>
        <v>0.5</v>
      </c>
      <c r="AN175" s="491">
        <v>0.5</v>
      </c>
      <c r="AO175" s="481">
        <v>0</v>
      </c>
      <c r="AP175" s="481">
        <v>0</v>
      </c>
      <c r="AQ175" s="481">
        <v>0</v>
      </c>
      <c r="AR175" s="481">
        <v>0</v>
      </c>
      <c r="AS175" s="481">
        <v>0</v>
      </c>
      <c r="AT175" s="481">
        <v>0</v>
      </c>
      <c r="AU175" s="481">
        <f t="shared" si="120"/>
        <v>0.5</v>
      </c>
      <c r="AV175" s="491">
        <v>0.5</v>
      </c>
      <c r="AW175" s="548">
        <v>0</v>
      </c>
      <c r="AX175" s="548">
        <v>0</v>
      </c>
      <c r="AY175" s="548">
        <v>0</v>
      </c>
      <c r="AZ175" s="548">
        <v>0</v>
      </c>
      <c r="BA175" s="548"/>
      <c r="BB175" s="548">
        <v>0</v>
      </c>
      <c r="BC175" s="548">
        <f t="shared" si="122"/>
        <v>0.5</v>
      </c>
      <c r="BD175" s="42">
        <f t="shared" si="123"/>
        <v>1.5</v>
      </c>
      <c r="BE175" s="42">
        <f t="shared" si="123"/>
        <v>0</v>
      </c>
      <c r="BF175" s="42">
        <f t="shared" si="123"/>
        <v>0</v>
      </c>
      <c r="BG175" s="42">
        <f t="shared" si="123"/>
        <v>0</v>
      </c>
      <c r="BH175" s="42">
        <f t="shared" si="123"/>
        <v>0</v>
      </c>
      <c r="BI175" s="42">
        <f t="shared" si="107"/>
        <v>10</v>
      </c>
      <c r="BJ175" s="42">
        <f t="shared" si="124"/>
        <v>0</v>
      </c>
      <c r="BK175" s="42">
        <f t="shared" si="124"/>
        <v>11.5</v>
      </c>
      <c r="BL175" s="3"/>
    </row>
    <row r="176" spans="1:64" ht="87.75" customHeight="1" x14ac:dyDescent="0.25">
      <c r="A176" s="298" t="s">
        <v>491</v>
      </c>
      <c r="B176" s="299" t="s">
        <v>489</v>
      </c>
      <c r="C176" s="1547"/>
      <c r="D176" s="1551"/>
      <c r="E176" s="1551"/>
      <c r="F176" s="1551"/>
      <c r="G176" s="1551"/>
      <c r="H176" s="1551"/>
      <c r="I176" s="1425"/>
      <c r="J176" s="1425"/>
      <c r="K176" s="1425" t="s">
        <v>549</v>
      </c>
      <c r="L176" s="301" t="s">
        <v>496</v>
      </c>
      <c r="M176" s="1425" t="s">
        <v>497</v>
      </c>
      <c r="N176" s="476"/>
      <c r="O176" s="1425" t="s">
        <v>47</v>
      </c>
      <c r="P176" s="16" t="s">
        <v>550</v>
      </c>
      <c r="Q176" s="302" t="s">
        <v>551</v>
      </c>
      <c r="R176" s="303">
        <v>2015</v>
      </c>
      <c r="S176" s="303">
        <v>48</v>
      </c>
      <c r="T176" s="303">
        <v>24</v>
      </c>
      <c r="U176" s="303">
        <v>24</v>
      </c>
      <c r="V176" s="303">
        <v>24</v>
      </c>
      <c r="W176" s="303">
        <v>24</v>
      </c>
      <c r="X176" s="303">
        <v>96</v>
      </c>
      <c r="Y176" s="481">
        <v>0</v>
      </c>
      <c r="Z176" s="481">
        <v>0</v>
      </c>
      <c r="AA176" s="491">
        <v>7.63</v>
      </c>
      <c r="AB176" s="481">
        <v>0</v>
      </c>
      <c r="AC176" s="481">
        <v>0</v>
      </c>
      <c r="AD176" s="491">
        <v>0.5</v>
      </c>
      <c r="AE176" s="481">
        <v>0</v>
      </c>
      <c r="AF176" s="481">
        <f t="shared" si="118"/>
        <v>8.129999999999999</v>
      </c>
      <c r="AG176" s="491">
        <v>0.5</v>
      </c>
      <c r="AH176" s="548">
        <v>0</v>
      </c>
      <c r="AI176" s="548">
        <v>0</v>
      </c>
      <c r="AJ176" s="548">
        <v>0</v>
      </c>
      <c r="AK176" s="548">
        <v>0</v>
      </c>
      <c r="AL176" s="548">
        <v>0</v>
      </c>
      <c r="AM176" s="548">
        <f t="shared" si="119"/>
        <v>0.5</v>
      </c>
      <c r="AN176" s="491">
        <v>0.5</v>
      </c>
      <c r="AO176" s="481">
        <v>0</v>
      </c>
      <c r="AP176" s="481">
        <v>0</v>
      </c>
      <c r="AQ176" s="481">
        <v>0</v>
      </c>
      <c r="AR176" s="481">
        <v>0</v>
      </c>
      <c r="AS176" s="481">
        <v>0</v>
      </c>
      <c r="AT176" s="481">
        <v>0</v>
      </c>
      <c r="AU176" s="481">
        <f t="shared" si="120"/>
        <v>0.5</v>
      </c>
      <c r="AV176" s="491">
        <v>0.5</v>
      </c>
      <c r="AW176" s="548">
        <v>0</v>
      </c>
      <c r="AX176" s="548">
        <v>0</v>
      </c>
      <c r="AY176" s="548">
        <v>0</v>
      </c>
      <c r="AZ176" s="548">
        <v>0</v>
      </c>
      <c r="BA176" s="548"/>
      <c r="BB176" s="548">
        <v>0</v>
      </c>
      <c r="BC176" s="548">
        <f t="shared" si="122"/>
        <v>0.5</v>
      </c>
      <c r="BD176" s="42">
        <f t="shared" si="123"/>
        <v>1.5</v>
      </c>
      <c r="BE176" s="42">
        <f t="shared" si="123"/>
        <v>0</v>
      </c>
      <c r="BF176" s="42">
        <f t="shared" si="123"/>
        <v>7.63</v>
      </c>
      <c r="BG176" s="42">
        <f t="shared" si="123"/>
        <v>0</v>
      </c>
      <c r="BH176" s="42">
        <f t="shared" si="123"/>
        <v>0</v>
      </c>
      <c r="BI176" s="42">
        <f t="shared" si="107"/>
        <v>0.5</v>
      </c>
      <c r="BJ176" s="42">
        <f t="shared" si="124"/>
        <v>0</v>
      </c>
      <c r="BK176" s="42">
        <f t="shared" si="124"/>
        <v>9.629999999999999</v>
      </c>
      <c r="BL176" s="3"/>
    </row>
    <row r="177" spans="1:64" ht="86.25" customHeight="1" x14ac:dyDescent="0.25">
      <c r="A177" s="298" t="s">
        <v>491</v>
      </c>
      <c r="B177" s="299" t="s">
        <v>489</v>
      </c>
      <c r="C177" s="1547"/>
      <c r="D177" s="1551"/>
      <c r="E177" s="1551"/>
      <c r="F177" s="1551"/>
      <c r="G177" s="1551"/>
      <c r="H177" s="1551"/>
      <c r="I177" s="1425"/>
      <c r="J177" s="1425"/>
      <c r="K177" s="1425" t="s">
        <v>552</v>
      </c>
      <c r="L177" s="301" t="s">
        <v>496</v>
      </c>
      <c r="M177" s="1425" t="s">
        <v>497</v>
      </c>
      <c r="N177" s="476"/>
      <c r="O177" s="1425" t="s">
        <v>73</v>
      </c>
      <c r="P177" s="16" t="s">
        <v>553</v>
      </c>
      <c r="Q177" s="302" t="s">
        <v>554</v>
      </c>
      <c r="R177" s="303">
        <v>2015</v>
      </c>
      <c r="S177" s="303">
        <v>3</v>
      </c>
      <c r="T177" s="303">
        <v>3</v>
      </c>
      <c r="U177" s="303">
        <v>3</v>
      </c>
      <c r="V177" s="303">
        <v>3</v>
      </c>
      <c r="W177" s="303">
        <v>3</v>
      </c>
      <c r="X177" s="303">
        <v>3</v>
      </c>
      <c r="Y177" s="481"/>
      <c r="Z177" s="481"/>
      <c r="AA177" s="481"/>
      <c r="AB177" s="481"/>
      <c r="AC177" s="481"/>
      <c r="AD177" s="491">
        <v>0.5</v>
      </c>
      <c r="AE177" s="481"/>
      <c r="AF177" s="481">
        <f t="shared" si="118"/>
        <v>0.5</v>
      </c>
      <c r="AG177" s="491">
        <v>0.5</v>
      </c>
      <c r="AH177" s="548"/>
      <c r="AI177" s="548"/>
      <c r="AJ177" s="548"/>
      <c r="AK177" s="548"/>
      <c r="AL177" s="548"/>
      <c r="AM177" s="548">
        <f t="shared" si="119"/>
        <v>0.5</v>
      </c>
      <c r="AN177" s="491">
        <v>0.5</v>
      </c>
      <c r="AO177" s="481"/>
      <c r="AP177" s="481"/>
      <c r="AQ177" s="481"/>
      <c r="AR177" s="481"/>
      <c r="AS177" s="481"/>
      <c r="AT177" s="481"/>
      <c r="AU177" s="481">
        <f t="shared" si="120"/>
        <v>0.5</v>
      </c>
      <c r="AV177" s="491">
        <v>0.5</v>
      </c>
      <c r="AW177" s="548"/>
      <c r="AX177" s="548"/>
      <c r="AY177" s="548"/>
      <c r="AZ177" s="548"/>
      <c r="BA177" s="548"/>
      <c r="BB177" s="548"/>
      <c r="BC177" s="548">
        <f t="shared" si="122"/>
        <v>0.5</v>
      </c>
      <c r="BD177" s="42">
        <f t="shared" si="123"/>
        <v>1.5</v>
      </c>
      <c r="BE177" s="42">
        <f t="shared" si="123"/>
        <v>0</v>
      </c>
      <c r="BF177" s="42">
        <f t="shared" si="123"/>
        <v>0</v>
      </c>
      <c r="BG177" s="42">
        <f t="shared" si="123"/>
        <v>0</v>
      </c>
      <c r="BH177" s="42">
        <f t="shared" si="123"/>
        <v>0</v>
      </c>
      <c r="BI177" s="42">
        <f t="shared" si="107"/>
        <v>0.5</v>
      </c>
      <c r="BJ177" s="42">
        <f t="shared" si="124"/>
        <v>0</v>
      </c>
      <c r="BK177" s="42">
        <f t="shared" si="124"/>
        <v>2</v>
      </c>
      <c r="BL177" s="3"/>
    </row>
    <row r="178" spans="1:64" ht="37.5" customHeight="1" x14ac:dyDescent="0.25">
      <c r="A178" s="298" t="s">
        <v>491</v>
      </c>
      <c r="B178" s="299" t="s">
        <v>489</v>
      </c>
      <c r="C178" s="1547"/>
      <c r="D178" s="1551"/>
      <c r="E178" s="1551"/>
      <c r="F178" s="1551"/>
      <c r="G178" s="1551"/>
      <c r="H178" s="1551"/>
      <c r="I178" s="1425"/>
      <c r="J178" s="1425"/>
      <c r="K178" s="1425" t="s">
        <v>555</v>
      </c>
      <c r="L178" s="301" t="s">
        <v>496</v>
      </c>
      <c r="M178" s="1425" t="s">
        <v>497</v>
      </c>
      <c r="N178" s="476"/>
      <c r="O178" s="1425" t="s">
        <v>73</v>
      </c>
      <c r="P178" s="16" t="s">
        <v>556</v>
      </c>
      <c r="Q178" s="302" t="s">
        <v>557</v>
      </c>
      <c r="R178" s="303">
        <v>2015</v>
      </c>
      <c r="S178" s="303">
        <v>1</v>
      </c>
      <c r="T178" s="303">
        <v>1</v>
      </c>
      <c r="U178" s="303">
        <v>1</v>
      </c>
      <c r="V178" s="303">
        <v>1</v>
      </c>
      <c r="W178" s="303">
        <v>1</v>
      </c>
      <c r="X178" s="303">
        <v>1</v>
      </c>
      <c r="Y178" s="481">
        <v>0</v>
      </c>
      <c r="Z178" s="481">
        <v>0</v>
      </c>
      <c r="AA178" s="481">
        <v>0</v>
      </c>
      <c r="AB178" s="481">
        <v>0</v>
      </c>
      <c r="AC178" s="481">
        <v>0</v>
      </c>
      <c r="AD178" s="481">
        <v>5</v>
      </c>
      <c r="AE178" s="481">
        <v>0</v>
      </c>
      <c r="AF178" s="481">
        <f t="shared" si="118"/>
        <v>5</v>
      </c>
      <c r="AG178" s="491">
        <v>0.5</v>
      </c>
      <c r="AH178" s="548">
        <v>0</v>
      </c>
      <c r="AI178" s="548">
        <v>0</v>
      </c>
      <c r="AJ178" s="548">
        <v>0</v>
      </c>
      <c r="AK178" s="548">
        <v>0</v>
      </c>
      <c r="AL178" s="548">
        <v>0</v>
      </c>
      <c r="AM178" s="548">
        <f t="shared" si="119"/>
        <v>0.5</v>
      </c>
      <c r="AN178" s="491">
        <v>0.5</v>
      </c>
      <c r="AO178" s="481">
        <v>0</v>
      </c>
      <c r="AP178" s="481">
        <v>0</v>
      </c>
      <c r="AQ178" s="481">
        <v>0</v>
      </c>
      <c r="AR178" s="481">
        <v>0</v>
      </c>
      <c r="AS178" s="481">
        <v>0</v>
      </c>
      <c r="AT178" s="481">
        <v>0</v>
      </c>
      <c r="AU178" s="481">
        <f t="shared" si="120"/>
        <v>0.5</v>
      </c>
      <c r="AV178" s="491">
        <v>0.5</v>
      </c>
      <c r="AW178" s="548">
        <v>0</v>
      </c>
      <c r="AX178" s="548">
        <v>0</v>
      </c>
      <c r="AY178" s="548">
        <v>0</v>
      </c>
      <c r="AZ178" s="548">
        <v>0</v>
      </c>
      <c r="BA178" s="548"/>
      <c r="BB178" s="548">
        <v>0</v>
      </c>
      <c r="BC178" s="548">
        <f t="shared" si="122"/>
        <v>0.5</v>
      </c>
      <c r="BD178" s="42">
        <f t="shared" si="123"/>
        <v>1.5</v>
      </c>
      <c r="BE178" s="42">
        <f t="shared" si="123"/>
        <v>0</v>
      </c>
      <c r="BF178" s="42">
        <f t="shared" si="123"/>
        <v>0</v>
      </c>
      <c r="BG178" s="42">
        <f t="shared" si="123"/>
        <v>0</v>
      </c>
      <c r="BH178" s="42">
        <f t="shared" si="123"/>
        <v>0</v>
      </c>
      <c r="BI178" s="42">
        <f t="shared" si="107"/>
        <v>5</v>
      </c>
      <c r="BJ178" s="42">
        <f t="shared" si="124"/>
        <v>0</v>
      </c>
      <c r="BK178" s="42">
        <f t="shared" si="124"/>
        <v>6.5</v>
      </c>
      <c r="BL178" s="3"/>
    </row>
    <row r="179" spans="1:64" ht="61.5" customHeight="1" x14ac:dyDescent="0.25">
      <c r="A179" s="298" t="s">
        <v>491</v>
      </c>
      <c r="B179" s="299" t="s">
        <v>489</v>
      </c>
      <c r="C179" s="1547"/>
      <c r="D179" s="1551"/>
      <c r="E179" s="1551"/>
      <c r="F179" s="1551"/>
      <c r="G179" s="1551"/>
      <c r="H179" s="1551"/>
      <c r="I179" s="1425"/>
      <c r="J179" s="1425"/>
      <c r="K179" s="1425" t="s">
        <v>558</v>
      </c>
      <c r="L179" s="301" t="s">
        <v>496</v>
      </c>
      <c r="M179" s="1425" t="s">
        <v>497</v>
      </c>
      <c r="N179" s="476"/>
      <c r="O179" s="1425" t="s">
        <v>73</v>
      </c>
      <c r="P179" s="16" t="s">
        <v>559</v>
      </c>
      <c r="Q179" s="302" t="s">
        <v>560</v>
      </c>
      <c r="R179" s="303">
        <v>2015</v>
      </c>
      <c r="S179" s="303">
        <v>1</v>
      </c>
      <c r="T179" s="303">
        <v>1</v>
      </c>
      <c r="U179" s="303">
        <v>1</v>
      </c>
      <c r="V179" s="303">
        <v>1</v>
      </c>
      <c r="W179" s="303">
        <v>1</v>
      </c>
      <c r="X179" s="303">
        <v>1</v>
      </c>
      <c r="Y179" s="481">
        <v>4</v>
      </c>
      <c r="Z179" s="481"/>
      <c r="AA179" s="481"/>
      <c r="AB179" s="481"/>
      <c r="AC179" s="481"/>
      <c r="AD179" s="491">
        <v>0.5</v>
      </c>
      <c r="AE179" s="481"/>
      <c r="AF179" s="481">
        <f t="shared" si="118"/>
        <v>4.5</v>
      </c>
      <c r="AG179" s="548">
        <v>4</v>
      </c>
      <c r="AH179" s="548"/>
      <c r="AI179" s="548"/>
      <c r="AJ179" s="548"/>
      <c r="AK179" s="548"/>
      <c r="AL179" s="548"/>
      <c r="AM179" s="548">
        <f t="shared" si="119"/>
        <v>4</v>
      </c>
      <c r="AN179" s="481">
        <v>4</v>
      </c>
      <c r="AO179" s="481"/>
      <c r="AP179" s="481"/>
      <c r="AQ179" s="481"/>
      <c r="AR179" s="481"/>
      <c r="AS179" s="481"/>
      <c r="AT179" s="481"/>
      <c r="AU179" s="481">
        <f t="shared" si="120"/>
        <v>4</v>
      </c>
      <c r="AV179" s="548">
        <v>4</v>
      </c>
      <c r="AW179" s="548"/>
      <c r="AX179" s="548"/>
      <c r="AY179" s="548"/>
      <c r="AZ179" s="548"/>
      <c r="BA179" s="548"/>
      <c r="BB179" s="548"/>
      <c r="BC179" s="548">
        <f t="shared" si="122"/>
        <v>4</v>
      </c>
      <c r="BD179" s="42">
        <f t="shared" si="123"/>
        <v>16</v>
      </c>
      <c r="BE179" s="42">
        <f t="shared" si="123"/>
        <v>0</v>
      </c>
      <c r="BF179" s="42">
        <f t="shared" si="123"/>
        <v>0</v>
      </c>
      <c r="BG179" s="42">
        <f t="shared" si="123"/>
        <v>0</v>
      </c>
      <c r="BH179" s="42">
        <f t="shared" si="123"/>
        <v>0</v>
      </c>
      <c r="BI179" s="42">
        <f t="shared" si="107"/>
        <v>0.5</v>
      </c>
      <c r="BJ179" s="42">
        <f t="shared" si="124"/>
        <v>0</v>
      </c>
      <c r="BK179" s="42">
        <f t="shared" si="124"/>
        <v>16.5</v>
      </c>
      <c r="BL179" s="3"/>
    </row>
    <row r="180" spans="1:64" ht="141" customHeight="1" x14ac:dyDescent="0.25">
      <c r="A180" s="298" t="s">
        <v>491</v>
      </c>
      <c r="B180" s="299" t="s">
        <v>489</v>
      </c>
      <c r="C180" s="1547"/>
      <c r="D180" s="1551"/>
      <c r="E180" s="1551"/>
      <c r="F180" s="1551"/>
      <c r="G180" s="1551"/>
      <c r="H180" s="1551"/>
      <c r="I180" s="1425"/>
      <c r="J180" s="1425"/>
      <c r="K180" s="1425" t="s">
        <v>561</v>
      </c>
      <c r="L180" s="301" t="s">
        <v>496</v>
      </c>
      <c r="M180" s="1425" t="s">
        <v>497</v>
      </c>
      <c r="N180" s="476"/>
      <c r="O180" s="1425" t="s">
        <v>73</v>
      </c>
      <c r="P180" s="16" t="s">
        <v>562</v>
      </c>
      <c r="Q180" s="302" t="s">
        <v>563</v>
      </c>
      <c r="R180" s="303">
        <v>2015</v>
      </c>
      <c r="S180" s="303">
        <v>1</v>
      </c>
      <c r="T180" s="303">
        <v>1</v>
      </c>
      <c r="U180" s="303">
        <v>1</v>
      </c>
      <c r="V180" s="303">
        <v>1</v>
      </c>
      <c r="W180" s="303">
        <v>1</v>
      </c>
      <c r="X180" s="303">
        <v>1</v>
      </c>
      <c r="Y180" s="491">
        <v>29.37</v>
      </c>
      <c r="Z180" s="481"/>
      <c r="AA180" s="481">
        <v>36</v>
      </c>
      <c r="AB180" s="481"/>
      <c r="AC180" s="481"/>
      <c r="AD180" s="481">
        <v>100</v>
      </c>
      <c r="AE180" s="481"/>
      <c r="AF180" s="481">
        <f t="shared" si="118"/>
        <v>165.37</v>
      </c>
      <c r="AG180" s="491">
        <v>14</v>
      </c>
      <c r="AH180" s="548"/>
      <c r="AI180" s="548">
        <v>36</v>
      </c>
      <c r="AJ180" s="548"/>
      <c r="AK180" s="548"/>
      <c r="AL180" s="548"/>
      <c r="AM180" s="548">
        <f t="shared" si="119"/>
        <v>50</v>
      </c>
      <c r="AN180" s="491">
        <v>14</v>
      </c>
      <c r="AO180" s="481"/>
      <c r="AP180" s="481">
        <v>36</v>
      </c>
      <c r="AQ180" s="481"/>
      <c r="AR180" s="481"/>
      <c r="AS180" s="481">
        <v>0</v>
      </c>
      <c r="AT180" s="481"/>
      <c r="AU180" s="481">
        <f t="shared" si="120"/>
        <v>50</v>
      </c>
      <c r="AV180" s="491">
        <v>19</v>
      </c>
      <c r="AW180" s="548"/>
      <c r="AX180" s="548"/>
      <c r="AY180" s="548"/>
      <c r="AZ180" s="548"/>
      <c r="BA180" s="548"/>
      <c r="BB180" s="548"/>
      <c r="BC180" s="548">
        <f t="shared" si="122"/>
        <v>19</v>
      </c>
      <c r="BD180" s="42">
        <f t="shared" si="123"/>
        <v>76.37</v>
      </c>
      <c r="BE180" s="42">
        <f t="shared" si="123"/>
        <v>0</v>
      </c>
      <c r="BF180" s="42">
        <f t="shared" si="123"/>
        <v>108</v>
      </c>
      <c r="BG180" s="42">
        <f t="shared" si="123"/>
        <v>0</v>
      </c>
      <c r="BH180" s="42">
        <f t="shared" si="123"/>
        <v>0</v>
      </c>
      <c r="BI180" s="42">
        <f t="shared" si="107"/>
        <v>100</v>
      </c>
      <c r="BJ180" s="42">
        <f t="shared" si="124"/>
        <v>0</v>
      </c>
      <c r="BK180" s="42">
        <f t="shared" si="124"/>
        <v>284.37</v>
      </c>
      <c r="BL180" s="3"/>
    </row>
    <row r="181" spans="1:64" ht="60" customHeight="1" x14ac:dyDescent="0.25">
      <c r="A181" s="298" t="s">
        <v>491</v>
      </c>
      <c r="B181" s="299" t="s">
        <v>489</v>
      </c>
      <c r="C181" s="1548"/>
      <c r="D181" s="1552"/>
      <c r="E181" s="1552"/>
      <c r="F181" s="1552"/>
      <c r="G181" s="1552"/>
      <c r="H181" s="1552"/>
      <c r="I181" s="1425"/>
      <c r="J181" s="1425"/>
      <c r="K181" s="1425" t="s">
        <v>564</v>
      </c>
      <c r="L181" s="301" t="s">
        <v>496</v>
      </c>
      <c r="M181" s="1425" t="s">
        <v>497</v>
      </c>
      <c r="N181" s="476"/>
      <c r="O181" s="1425" t="s">
        <v>47</v>
      </c>
      <c r="P181" s="71" t="s">
        <v>565</v>
      </c>
      <c r="Q181" s="345" t="s">
        <v>566</v>
      </c>
      <c r="R181" s="303">
        <v>2015</v>
      </c>
      <c r="S181" s="303" t="s">
        <v>177</v>
      </c>
      <c r="T181" s="303">
        <v>2</v>
      </c>
      <c r="U181" s="303">
        <v>0</v>
      </c>
      <c r="V181" s="303">
        <v>0</v>
      </c>
      <c r="W181" s="303">
        <v>0</v>
      </c>
      <c r="X181" s="303">
        <v>2</v>
      </c>
      <c r="Y181" s="481">
        <v>16.27</v>
      </c>
      <c r="Z181" s="481"/>
      <c r="AA181" s="481"/>
      <c r="AB181" s="481"/>
      <c r="AC181" s="481"/>
      <c r="AD181" s="481">
        <v>31.26</v>
      </c>
      <c r="AE181" s="481"/>
      <c r="AF181" s="481">
        <f t="shared" si="118"/>
        <v>47.53</v>
      </c>
      <c r="AG181" s="548">
        <v>0</v>
      </c>
      <c r="AH181" s="548"/>
      <c r="AI181" s="548"/>
      <c r="AJ181" s="548"/>
      <c r="AK181" s="548"/>
      <c r="AL181" s="548"/>
      <c r="AM181" s="548">
        <f t="shared" si="119"/>
        <v>0</v>
      </c>
      <c r="AN181" s="481">
        <v>0</v>
      </c>
      <c r="AO181" s="481"/>
      <c r="AP181" s="481"/>
      <c r="AQ181" s="481"/>
      <c r="AR181" s="481"/>
      <c r="AS181" s="481"/>
      <c r="AT181" s="481"/>
      <c r="AU181" s="481">
        <f t="shared" si="120"/>
        <v>0</v>
      </c>
      <c r="AV181" s="548"/>
      <c r="AW181" s="548"/>
      <c r="AX181" s="548"/>
      <c r="AY181" s="548"/>
      <c r="AZ181" s="548"/>
      <c r="BA181" s="548"/>
      <c r="BB181" s="548"/>
      <c r="BC181" s="548">
        <f t="shared" si="122"/>
        <v>0</v>
      </c>
      <c r="BD181" s="42">
        <f t="shared" si="123"/>
        <v>16.27</v>
      </c>
      <c r="BE181" s="42">
        <f t="shared" si="123"/>
        <v>0</v>
      </c>
      <c r="BF181" s="42">
        <f t="shared" si="123"/>
        <v>0</v>
      </c>
      <c r="BG181" s="42">
        <f t="shared" si="123"/>
        <v>0</v>
      </c>
      <c r="BH181" s="42">
        <f t="shared" si="123"/>
        <v>0</v>
      </c>
      <c r="BI181" s="42">
        <f t="shared" si="107"/>
        <v>31.26</v>
      </c>
      <c r="BJ181" s="42">
        <f t="shared" si="124"/>
        <v>0</v>
      </c>
      <c r="BK181" s="42">
        <f t="shared" si="124"/>
        <v>47.53</v>
      </c>
      <c r="BL181" s="3"/>
    </row>
    <row r="182" spans="1:64" ht="39.6" x14ac:dyDescent="0.25">
      <c r="A182" s="295" t="s">
        <v>491</v>
      </c>
      <c r="B182" s="154" t="s">
        <v>489</v>
      </c>
      <c r="C182" s="154"/>
      <c r="D182" s="2" t="s">
        <v>567</v>
      </c>
      <c r="E182" s="1"/>
      <c r="F182" s="1"/>
      <c r="G182" s="1"/>
      <c r="H182" s="1"/>
      <c r="I182" s="1"/>
      <c r="J182" s="1"/>
      <c r="K182" s="1"/>
      <c r="L182" s="1"/>
      <c r="M182" s="1"/>
      <c r="N182" s="1"/>
      <c r="O182" s="1"/>
      <c r="P182" s="22" t="s">
        <v>568</v>
      </c>
      <c r="Q182" s="22"/>
      <c r="R182" s="1"/>
      <c r="S182" s="1"/>
      <c r="T182" s="1"/>
      <c r="U182" s="1"/>
      <c r="V182" s="1"/>
      <c r="W182" s="1"/>
      <c r="X182" s="1"/>
      <c r="Y182" s="34">
        <f t="shared" ref="Y182:BK182" si="126">SUM(Y183:Y192)</f>
        <v>13</v>
      </c>
      <c r="Z182" s="34">
        <f t="shared" si="126"/>
        <v>0</v>
      </c>
      <c r="AA182" s="34">
        <f t="shared" si="126"/>
        <v>3</v>
      </c>
      <c r="AB182" s="34">
        <f t="shared" si="126"/>
        <v>0</v>
      </c>
      <c r="AC182" s="34">
        <f t="shared" si="126"/>
        <v>0</v>
      </c>
      <c r="AD182" s="34">
        <f t="shared" si="126"/>
        <v>8</v>
      </c>
      <c r="AE182" s="34">
        <f t="shared" si="126"/>
        <v>0</v>
      </c>
      <c r="AF182" s="34">
        <f t="shared" si="118"/>
        <v>24</v>
      </c>
      <c r="AG182" s="34">
        <f t="shared" si="126"/>
        <v>14</v>
      </c>
      <c r="AH182" s="34">
        <f t="shared" si="126"/>
        <v>0</v>
      </c>
      <c r="AI182" s="34">
        <f t="shared" si="126"/>
        <v>3</v>
      </c>
      <c r="AJ182" s="34">
        <f t="shared" si="126"/>
        <v>0</v>
      </c>
      <c r="AK182" s="34">
        <f t="shared" si="126"/>
        <v>0</v>
      </c>
      <c r="AL182" s="34">
        <f t="shared" si="126"/>
        <v>0</v>
      </c>
      <c r="AM182" s="34">
        <f t="shared" si="119"/>
        <v>17</v>
      </c>
      <c r="AN182" s="34">
        <f t="shared" si="126"/>
        <v>14</v>
      </c>
      <c r="AO182" s="34">
        <f t="shared" si="126"/>
        <v>0</v>
      </c>
      <c r="AP182" s="34">
        <f t="shared" si="126"/>
        <v>3</v>
      </c>
      <c r="AQ182" s="34">
        <f t="shared" si="126"/>
        <v>0</v>
      </c>
      <c r="AR182" s="34">
        <f t="shared" si="126"/>
        <v>0</v>
      </c>
      <c r="AS182" s="34">
        <f t="shared" si="126"/>
        <v>0</v>
      </c>
      <c r="AT182" s="34">
        <f t="shared" si="126"/>
        <v>0</v>
      </c>
      <c r="AU182" s="34">
        <f t="shared" si="120"/>
        <v>17</v>
      </c>
      <c r="AV182" s="34">
        <f t="shared" si="126"/>
        <v>14</v>
      </c>
      <c r="AW182" s="34">
        <f t="shared" si="126"/>
        <v>0</v>
      </c>
      <c r="AX182" s="34">
        <f t="shared" si="126"/>
        <v>3</v>
      </c>
      <c r="AY182" s="34">
        <f t="shared" si="126"/>
        <v>0</v>
      </c>
      <c r="AZ182" s="34">
        <f t="shared" si="126"/>
        <v>0</v>
      </c>
      <c r="BA182" s="34">
        <f t="shared" si="126"/>
        <v>0</v>
      </c>
      <c r="BB182" s="34">
        <f t="shared" si="126"/>
        <v>0</v>
      </c>
      <c r="BC182" s="34">
        <f t="shared" si="122"/>
        <v>17</v>
      </c>
      <c r="BD182" s="34">
        <f t="shared" si="126"/>
        <v>55</v>
      </c>
      <c r="BE182" s="34">
        <f t="shared" si="126"/>
        <v>0</v>
      </c>
      <c r="BF182" s="34">
        <f t="shared" si="126"/>
        <v>12</v>
      </c>
      <c r="BG182" s="34">
        <f t="shared" si="126"/>
        <v>0</v>
      </c>
      <c r="BH182" s="34">
        <f t="shared" si="126"/>
        <v>0</v>
      </c>
      <c r="BI182" s="34">
        <f t="shared" si="107"/>
        <v>8</v>
      </c>
      <c r="BJ182" s="34">
        <f t="shared" si="126"/>
        <v>0</v>
      </c>
      <c r="BK182" s="34">
        <f t="shared" si="126"/>
        <v>75</v>
      </c>
      <c r="BL182" s="3"/>
    </row>
    <row r="183" spans="1:64" ht="68.25" customHeight="1" x14ac:dyDescent="0.25">
      <c r="A183" s="298" t="s">
        <v>491</v>
      </c>
      <c r="B183" s="299" t="s">
        <v>489</v>
      </c>
      <c r="C183" s="1546" t="s">
        <v>569</v>
      </c>
      <c r="D183" s="1550" t="s">
        <v>570</v>
      </c>
      <c r="E183" s="1550" t="s">
        <v>571</v>
      </c>
      <c r="F183" s="1550">
        <v>2015</v>
      </c>
      <c r="G183" s="1550" t="s">
        <v>177</v>
      </c>
      <c r="H183" s="1550">
        <v>10</v>
      </c>
      <c r="I183" s="1425"/>
      <c r="J183" s="1425"/>
      <c r="K183" s="1425" t="s">
        <v>572</v>
      </c>
      <c r="L183" s="301" t="s">
        <v>496</v>
      </c>
      <c r="M183" s="1425" t="s">
        <v>497</v>
      </c>
      <c r="N183" s="476"/>
      <c r="O183" s="1425" t="s">
        <v>73</v>
      </c>
      <c r="P183" s="16" t="s">
        <v>573</v>
      </c>
      <c r="Q183" s="302" t="s">
        <v>574</v>
      </c>
      <c r="R183" s="303">
        <v>2015</v>
      </c>
      <c r="S183" s="303">
        <v>0</v>
      </c>
      <c r="T183" s="303">
        <v>1</v>
      </c>
      <c r="U183" s="303">
        <v>1</v>
      </c>
      <c r="V183" s="303">
        <v>1</v>
      </c>
      <c r="W183" s="303">
        <v>1</v>
      </c>
      <c r="X183" s="303">
        <v>1</v>
      </c>
      <c r="Y183" s="491">
        <v>3</v>
      </c>
      <c r="Z183" s="481"/>
      <c r="AA183" s="481"/>
      <c r="AB183" s="481"/>
      <c r="AC183" s="481"/>
      <c r="AD183" s="481"/>
      <c r="AE183" s="481"/>
      <c r="AF183" s="481">
        <f t="shared" si="118"/>
        <v>3</v>
      </c>
      <c r="AG183" s="491">
        <v>3</v>
      </c>
      <c r="AH183" s="548"/>
      <c r="AI183" s="548"/>
      <c r="AJ183" s="548"/>
      <c r="AK183" s="548"/>
      <c r="AL183" s="548"/>
      <c r="AM183" s="548">
        <f t="shared" si="119"/>
        <v>3</v>
      </c>
      <c r="AN183" s="491">
        <v>3</v>
      </c>
      <c r="AO183" s="481"/>
      <c r="AP183" s="481"/>
      <c r="AQ183" s="481"/>
      <c r="AR183" s="481"/>
      <c r="AS183" s="481"/>
      <c r="AT183" s="481"/>
      <c r="AU183" s="481">
        <f t="shared" si="120"/>
        <v>3</v>
      </c>
      <c r="AV183" s="491">
        <v>3</v>
      </c>
      <c r="AW183" s="548"/>
      <c r="AX183" s="548"/>
      <c r="AY183" s="548"/>
      <c r="AZ183" s="548"/>
      <c r="BA183" s="548"/>
      <c r="BB183" s="548"/>
      <c r="BC183" s="548">
        <f t="shared" si="122"/>
        <v>3</v>
      </c>
      <c r="BD183" s="42">
        <f t="shared" ref="BD183:BH198" si="127">+AV183+AN183+AG183+Y183</f>
        <v>12</v>
      </c>
      <c r="BE183" s="42">
        <f t="shared" si="127"/>
        <v>0</v>
      </c>
      <c r="BF183" s="42">
        <f t="shared" si="127"/>
        <v>0</v>
      </c>
      <c r="BG183" s="42">
        <f t="shared" si="127"/>
        <v>0</v>
      </c>
      <c r="BH183" s="42">
        <f t="shared" si="127"/>
        <v>0</v>
      </c>
      <c r="BI183" s="42">
        <f t="shared" si="107"/>
        <v>0</v>
      </c>
      <c r="BJ183" s="42">
        <f t="shared" ref="BJ183:BK198" si="128">+BB183+AT183+AL183+AE183</f>
        <v>0</v>
      </c>
      <c r="BK183" s="42">
        <f t="shared" si="128"/>
        <v>12</v>
      </c>
      <c r="BL183" s="3"/>
    </row>
    <row r="184" spans="1:64" ht="84.75" customHeight="1" x14ac:dyDescent="0.25">
      <c r="A184" s="298" t="s">
        <v>491</v>
      </c>
      <c r="B184" s="299" t="s">
        <v>489</v>
      </c>
      <c r="C184" s="1547"/>
      <c r="D184" s="1551"/>
      <c r="E184" s="1551"/>
      <c r="F184" s="1551"/>
      <c r="G184" s="1551"/>
      <c r="H184" s="1551"/>
      <c r="I184" s="1425"/>
      <c r="J184" s="1425"/>
      <c r="K184" s="1425" t="s">
        <v>575</v>
      </c>
      <c r="L184" s="301" t="s">
        <v>496</v>
      </c>
      <c r="M184" s="1425" t="s">
        <v>497</v>
      </c>
      <c r="N184" s="476"/>
      <c r="O184" s="1425" t="s">
        <v>47</v>
      </c>
      <c r="P184" s="16" t="s">
        <v>576</v>
      </c>
      <c r="Q184" s="302" t="s">
        <v>577</v>
      </c>
      <c r="R184" s="303">
        <v>2015</v>
      </c>
      <c r="S184" s="303">
        <v>0</v>
      </c>
      <c r="T184" s="303">
        <v>2</v>
      </c>
      <c r="U184" s="303">
        <v>2</v>
      </c>
      <c r="V184" s="303">
        <v>2</v>
      </c>
      <c r="W184" s="303">
        <v>2</v>
      </c>
      <c r="X184" s="303">
        <v>8</v>
      </c>
      <c r="Y184" s="491">
        <v>0.5</v>
      </c>
      <c r="Z184" s="481"/>
      <c r="AA184" s="481"/>
      <c r="AB184" s="481"/>
      <c r="AC184" s="481"/>
      <c r="AD184" s="481"/>
      <c r="AE184" s="481"/>
      <c r="AF184" s="481">
        <f t="shared" si="118"/>
        <v>0.5</v>
      </c>
      <c r="AG184" s="491">
        <v>0.5</v>
      </c>
      <c r="AH184" s="548"/>
      <c r="AI184" s="548"/>
      <c r="AJ184" s="548"/>
      <c r="AK184" s="548"/>
      <c r="AL184" s="548"/>
      <c r="AM184" s="548">
        <f t="shared" si="119"/>
        <v>0.5</v>
      </c>
      <c r="AN184" s="491">
        <v>0.5</v>
      </c>
      <c r="AO184" s="481"/>
      <c r="AP184" s="481"/>
      <c r="AQ184" s="481"/>
      <c r="AR184" s="481"/>
      <c r="AS184" s="481"/>
      <c r="AT184" s="481"/>
      <c r="AU184" s="481">
        <f t="shared" si="120"/>
        <v>0.5</v>
      </c>
      <c r="AV184" s="491">
        <v>0.5</v>
      </c>
      <c r="AW184" s="548"/>
      <c r="AX184" s="548"/>
      <c r="AY184" s="548"/>
      <c r="AZ184" s="548"/>
      <c r="BA184" s="548"/>
      <c r="BB184" s="548"/>
      <c r="BC184" s="548">
        <f t="shared" si="122"/>
        <v>0.5</v>
      </c>
      <c r="BD184" s="42">
        <f t="shared" si="127"/>
        <v>2</v>
      </c>
      <c r="BE184" s="42">
        <f t="shared" si="127"/>
        <v>0</v>
      </c>
      <c r="BF184" s="42">
        <f t="shared" si="127"/>
        <v>0</v>
      </c>
      <c r="BG184" s="42">
        <f t="shared" si="127"/>
        <v>0</v>
      </c>
      <c r="BH184" s="42">
        <f t="shared" si="127"/>
        <v>0</v>
      </c>
      <c r="BI184" s="42">
        <f t="shared" si="107"/>
        <v>0</v>
      </c>
      <c r="BJ184" s="42">
        <f t="shared" si="128"/>
        <v>0</v>
      </c>
      <c r="BK184" s="42">
        <f t="shared" si="128"/>
        <v>2</v>
      </c>
      <c r="BL184" s="3"/>
    </row>
    <row r="185" spans="1:64" ht="90" customHeight="1" x14ac:dyDescent="0.25">
      <c r="A185" s="298" t="s">
        <v>491</v>
      </c>
      <c r="B185" s="299" t="s">
        <v>489</v>
      </c>
      <c r="C185" s="1547"/>
      <c r="D185" s="1551"/>
      <c r="E185" s="1551"/>
      <c r="F185" s="1551"/>
      <c r="G185" s="1551"/>
      <c r="H185" s="1551"/>
      <c r="I185" s="1425"/>
      <c r="J185" s="1425"/>
      <c r="K185" s="1425" t="s">
        <v>578</v>
      </c>
      <c r="L185" s="301" t="s">
        <v>496</v>
      </c>
      <c r="M185" s="1425" t="s">
        <v>497</v>
      </c>
      <c r="N185" s="476"/>
      <c r="O185" s="1425" t="s">
        <v>47</v>
      </c>
      <c r="P185" s="16" t="s">
        <v>579</v>
      </c>
      <c r="Q185" s="302" t="s">
        <v>580</v>
      </c>
      <c r="R185" s="303">
        <v>2015</v>
      </c>
      <c r="S185" s="303">
        <v>0</v>
      </c>
      <c r="T185" s="303">
        <v>1</v>
      </c>
      <c r="U185" s="303">
        <v>1</v>
      </c>
      <c r="V185" s="303">
        <v>1</v>
      </c>
      <c r="W185" s="303">
        <v>1</v>
      </c>
      <c r="X185" s="303">
        <v>4</v>
      </c>
      <c r="Y185" s="491">
        <v>0.5</v>
      </c>
      <c r="Z185" s="481"/>
      <c r="AA185" s="481"/>
      <c r="AB185" s="481"/>
      <c r="AC185" s="481"/>
      <c r="AD185" s="481"/>
      <c r="AE185" s="481"/>
      <c r="AF185" s="481">
        <f t="shared" si="118"/>
        <v>0.5</v>
      </c>
      <c r="AG185" s="491">
        <v>0.5</v>
      </c>
      <c r="AH185" s="548"/>
      <c r="AI185" s="548"/>
      <c r="AJ185" s="548"/>
      <c r="AK185" s="548"/>
      <c r="AL185" s="548"/>
      <c r="AM185" s="548">
        <f t="shared" si="119"/>
        <v>0.5</v>
      </c>
      <c r="AN185" s="491">
        <v>0.5</v>
      </c>
      <c r="AO185" s="481"/>
      <c r="AP185" s="481"/>
      <c r="AQ185" s="481"/>
      <c r="AR185" s="481"/>
      <c r="AS185" s="481"/>
      <c r="AT185" s="481"/>
      <c r="AU185" s="481">
        <f t="shared" si="120"/>
        <v>0.5</v>
      </c>
      <c r="AV185" s="491">
        <v>0.5</v>
      </c>
      <c r="AW185" s="548"/>
      <c r="AX185" s="548"/>
      <c r="AY185" s="548"/>
      <c r="AZ185" s="548"/>
      <c r="BA185" s="548"/>
      <c r="BB185" s="548"/>
      <c r="BC185" s="548">
        <f t="shared" si="122"/>
        <v>0.5</v>
      </c>
      <c r="BD185" s="42">
        <f t="shared" si="127"/>
        <v>2</v>
      </c>
      <c r="BE185" s="42">
        <f t="shared" si="127"/>
        <v>0</v>
      </c>
      <c r="BF185" s="42">
        <f t="shared" si="127"/>
        <v>0</v>
      </c>
      <c r="BG185" s="42">
        <f t="shared" si="127"/>
        <v>0</v>
      </c>
      <c r="BH185" s="42">
        <f t="shared" si="127"/>
        <v>0</v>
      </c>
      <c r="BI185" s="42">
        <f t="shared" si="107"/>
        <v>0</v>
      </c>
      <c r="BJ185" s="42">
        <f t="shared" si="128"/>
        <v>0</v>
      </c>
      <c r="BK185" s="42">
        <f t="shared" si="128"/>
        <v>2</v>
      </c>
      <c r="BL185" s="3"/>
    </row>
    <row r="186" spans="1:64" ht="57" customHeight="1" x14ac:dyDescent="0.25">
      <c r="A186" s="298" t="s">
        <v>491</v>
      </c>
      <c r="B186" s="299" t="s">
        <v>489</v>
      </c>
      <c r="C186" s="1547"/>
      <c r="D186" s="1551"/>
      <c r="E186" s="1551"/>
      <c r="F186" s="1551"/>
      <c r="G186" s="1551"/>
      <c r="H186" s="1551"/>
      <c r="I186" s="1425"/>
      <c r="J186" s="1425"/>
      <c r="K186" s="1425" t="s">
        <v>581</v>
      </c>
      <c r="L186" s="301" t="s">
        <v>496</v>
      </c>
      <c r="M186" s="1425" t="s">
        <v>497</v>
      </c>
      <c r="N186" s="476"/>
      <c r="O186" s="1425" t="s">
        <v>47</v>
      </c>
      <c r="P186" s="16" t="s">
        <v>582</v>
      </c>
      <c r="Q186" s="302" t="s">
        <v>583</v>
      </c>
      <c r="R186" s="303">
        <v>2015</v>
      </c>
      <c r="S186" s="303">
        <v>0</v>
      </c>
      <c r="T186" s="303">
        <v>1</v>
      </c>
      <c r="U186" s="303">
        <v>1</v>
      </c>
      <c r="V186" s="303">
        <v>1</v>
      </c>
      <c r="W186" s="303">
        <v>1</v>
      </c>
      <c r="X186" s="303">
        <v>4</v>
      </c>
      <c r="Y186" s="481">
        <v>5</v>
      </c>
      <c r="Z186" s="481"/>
      <c r="AA186" s="481"/>
      <c r="AB186" s="481"/>
      <c r="AC186" s="481"/>
      <c r="AD186" s="481"/>
      <c r="AE186" s="481"/>
      <c r="AF186" s="481">
        <f t="shared" si="118"/>
        <v>5</v>
      </c>
      <c r="AG186" s="548">
        <v>2</v>
      </c>
      <c r="AH186" s="548"/>
      <c r="AI186" s="548"/>
      <c r="AJ186" s="548"/>
      <c r="AK186" s="548"/>
      <c r="AL186" s="548"/>
      <c r="AM186" s="548">
        <f t="shared" si="119"/>
        <v>2</v>
      </c>
      <c r="AN186" s="481">
        <v>2</v>
      </c>
      <c r="AO186" s="481"/>
      <c r="AP186" s="481"/>
      <c r="AQ186" s="481"/>
      <c r="AR186" s="481"/>
      <c r="AS186" s="481"/>
      <c r="AT186" s="481"/>
      <c r="AU186" s="481">
        <f t="shared" si="120"/>
        <v>2</v>
      </c>
      <c r="AV186" s="548">
        <v>2</v>
      </c>
      <c r="AW186" s="548"/>
      <c r="AX186" s="548"/>
      <c r="AY186" s="548"/>
      <c r="AZ186" s="548"/>
      <c r="BA186" s="548"/>
      <c r="BB186" s="548"/>
      <c r="BC186" s="548">
        <f t="shared" si="122"/>
        <v>2</v>
      </c>
      <c r="BD186" s="42">
        <f t="shared" si="127"/>
        <v>11</v>
      </c>
      <c r="BE186" s="42">
        <f t="shared" si="127"/>
        <v>0</v>
      </c>
      <c r="BF186" s="42">
        <f t="shared" si="127"/>
        <v>0</v>
      </c>
      <c r="BG186" s="42">
        <f t="shared" si="127"/>
        <v>0</v>
      </c>
      <c r="BH186" s="42">
        <f t="shared" si="127"/>
        <v>0</v>
      </c>
      <c r="BI186" s="42">
        <f t="shared" si="107"/>
        <v>0</v>
      </c>
      <c r="BJ186" s="42">
        <f t="shared" si="128"/>
        <v>0</v>
      </c>
      <c r="BK186" s="42">
        <f t="shared" si="128"/>
        <v>11</v>
      </c>
      <c r="BL186" s="3"/>
    </row>
    <row r="187" spans="1:64" ht="72.75" customHeight="1" x14ac:dyDescent="0.25">
      <c r="A187" s="298" t="s">
        <v>491</v>
      </c>
      <c r="B187" s="299" t="s">
        <v>489</v>
      </c>
      <c r="C187" s="1547"/>
      <c r="D187" s="1551"/>
      <c r="E187" s="1551"/>
      <c r="F187" s="1551"/>
      <c r="G187" s="1551"/>
      <c r="H187" s="1551"/>
      <c r="I187" s="1425"/>
      <c r="J187" s="1425"/>
      <c r="K187" s="1425" t="s">
        <v>584</v>
      </c>
      <c r="L187" s="301" t="s">
        <v>496</v>
      </c>
      <c r="M187" s="1425" t="s">
        <v>497</v>
      </c>
      <c r="N187" s="476"/>
      <c r="O187" s="1425" t="s">
        <v>73</v>
      </c>
      <c r="P187" s="16" t="s">
        <v>585</v>
      </c>
      <c r="Q187" s="302" t="s">
        <v>586</v>
      </c>
      <c r="R187" s="303">
        <v>2015</v>
      </c>
      <c r="S187" s="303">
        <v>0</v>
      </c>
      <c r="T187" s="303">
        <v>0</v>
      </c>
      <c r="U187" s="303">
        <v>1</v>
      </c>
      <c r="V187" s="303">
        <v>1</v>
      </c>
      <c r="W187" s="303">
        <v>1</v>
      </c>
      <c r="X187" s="303">
        <v>1</v>
      </c>
      <c r="Y187" s="491"/>
      <c r="Z187" s="481">
        <v>0</v>
      </c>
      <c r="AA187" s="481">
        <v>0</v>
      </c>
      <c r="AB187" s="481">
        <v>0</v>
      </c>
      <c r="AC187" s="481">
        <v>0</v>
      </c>
      <c r="AD187" s="481">
        <v>0</v>
      </c>
      <c r="AE187" s="481">
        <v>0</v>
      </c>
      <c r="AF187" s="481">
        <f t="shared" si="118"/>
        <v>0</v>
      </c>
      <c r="AG187" s="491">
        <v>3.5</v>
      </c>
      <c r="AH187" s="548">
        <v>0</v>
      </c>
      <c r="AI187" s="548">
        <v>2</v>
      </c>
      <c r="AJ187" s="548">
        <v>0</v>
      </c>
      <c r="AK187" s="548">
        <v>0</v>
      </c>
      <c r="AL187" s="548">
        <v>0</v>
      </c>
      <c r="AM187" s="548">
        <f t="shared" si="119"/>
        <v>5.5</v>
      </c>
      <c r="AN187" s="491">
        <v>3.5</v>
      </c>
      <c r="AO187" s="481">
        <v>0</v>
      </c>
      <c r="AP187" s="481">
        <v>2</v>
      </c>
      <c r="AQ187" s="481">
        <v>0</v>
      </c>
      <c r="AR187" s="481">
        <v>0</v>
      </c>
      <c r="AS187" s="481">
        <v>0</v>
      </c>
      <c r="AT187" s="481">
        <v>0</v>
      </c>
      <c r="AU187" s="481">
        <f t="shared" si="120"/>
        <v>5.5</v>
      </c>
      <c r="AV187" s="491">
        <v>4</v>
      </c>
      <c r="AW187" s="548">
        <v>0</v>
      </c>
      <c r="AX187" s="548">
        <v>2</v>
      </c>
      <c r="AY187" s="548">
        <v>0</v>
      </c>
      <c r="AZ187" s="548">
        <v>0</v>
      </c>
      <c r="BA187" s="548">
        <v>0</v>
      </c>
      <c r="BB187" s="548">
        <v>0</v>
      </c>
      <c r="BC187" s="548">
        <f t="shared" si="122"/>
        <v>6</v>
      </c>
      <c r="BD187" s="42">
        <f t="shared" si="127"/>
        <v>11</v>
      </c>
      <c r="BE187" s="42">
        <f t="shared" si="127"/>
        <v>0</v>
      </c>
      <c r="BF187" s="42">
        <f t="shared" si="127"/>
        <v>6</v>
      </c>
      <c r="BG187" s="42">
        <f t="shared" si="127"/>
        <v>0</v>
      </c>
      <c r="BH187" s="42">
        <f t="shared" si="127"/>
        <v>0</v>
      </c>
      <c r="BI187" s="42">
        <f t="shared" si="107"/>
        <v>0</v>
      </c>
      <c r="BJ187" s="42">
        <f t="shared" si="128"/>
        <v>0</v>
      </c>
      <c r="BK187" s="42">
        <f t="shared" si="128"/>
        <v>17</v>
      </c>
      <c r="BL187" s="3"/>
    </row>
    <row r="188" spans="1:64" ht="84.75" customHeight="1" x14ac:dyDescent="0.25">
      <c r="A188" s="298" t="s">
        <v>491</v>
      </c>
      <c r="B188" s="299" t="s">
        <v>489</v>
      </c>
      <c r="C188" s="1547"/>
      <c r="D188" s="1551"/>
      <c r="E188" s="1551"/>
      <c r="F188" s="1551"/>
      <c r="G188" s="1551"/>
      <c r="H188" s="1551"/>
      <c r="I188" s="1425"/>
      <c r="J188" s="1425"/>
      <c r="K188" s="1425" t="s">
        <v>587</v>
      </c>
      <c r="L188" s="301" t="s">
        <v>496</v>
      </c>
      <c r="M188" s="1425" t="s">
        <v>497</v>
      </c>
      <c r="N188" s="476"/>
      <c r="O188" s="1425" t="s">
        <v>73</v>
      </c>
      <c r="P188" s="16" t="s">
        <v>588</v>
      </c>
      <c r="Q188" s="302" t="s">
        <v>589</v>
      </c>
      <c r="R188" s="303">
        <v>2015</v>
      </c>
      <c r="S188" s="303">
        <v>0</v>
      </c>
      <c r="T188" s="303">
        <v>1</v>
      </c>
      <c r="U188" s="303">
        <v>1</v>
      </c>
      <c r="V188" s="303">
        <v>1</v>
      </c>
      <c r="W188" s="303">
        <v>1</v>
      </c>
      <c r="X188" s="303">
        <v>1</v>
      </c>
      <c r="Y188" s="491">
        <v>0.5</v>
      </c>
      <c r="Z188" s="481">
        <v>0</v>
      </c>
      <c r="AA188" s="481">
        <v>0</v>
      </c>
      <c r="AB188" s="481">
        <v>0</v>
      </c>
      <c r="AC188" s="481">
        <v>0</v>
      </c>
      <c r="AD188" s="481">
        <v>8</v>
      </c>
      <c r="AE188" s="481">
        <v>0</v>
      </c>
      <c r="AF188" s="481">
        <f t="shared" si="118"/>
        <v>8.5</v>
      </c>
      <c r="AG188" s="491">
        <v>0.5</v>
      </c>
      <c r="AH188" s="548">
        <v>0</v>
      </c>
      <c r="AI188" s="548">
        <v>0</v>
      </c>
      <c r="AJ188" s="548">
        <v>0</v>
      </c>
      <c r="AK188" s="548">
        <v>0</v>
      </c>
      <c r="AL188" s="548">
        <v>0</v>
      </c>
      <c r="AM188" s="548">
        <f t="shared" si="119"/>
        <v>0.5</v>
      </c>
      <c r="AN188" s="491">
        <v>0.5</v>
      </c>
      <c r="AO188" s="481">
        <v>0</v>
      </c>
      <c r="AP188" s="481">
        <v>0</v>
      </c>
      <c r="AQ188" s="481">
        <v>0</v>
      </c>
      <c r="AR188" s="481">
        <v>0</v>
      </c>
      <c r="AS188" s="481"/>
      <c r="AT188" s="481">
        <v>0</v>
      </c>
      <c r="AU188" s="481">
        <f t="shared" si="120"/>
        <v>0.5</v>
      </c>
      <c r="AV188" s="491">
        <v>0.5</v>
      </c>
      <c r="AW188" s="548">
        <v>0</v>
      </c>
      <c r="AX188" s="548">
        <v>0</v>
      </c>
      <c r="AY188" s="548">
        <v>0</v>
      </c>
      <c r="AZ188" s="548">
        <v>0</v>
      </c>
      <c r="BA188" s="548"/>
      <c r="BB188" s="548">
        <v>0</v>
      </c>
      <c r="BC188" s="548">
        <f t="shared" si="122"/>
        <v>0.5</v>
      </c>
      <c r="BD188" s="42">
        <f t="shared" si="127"/>
        <v>2</v>
      </c>
      <c r="BE188" s="42">
        <f t="shared" si="127"/>
        <v>0</v>
      </c>
      <c r="BF188" s="42">
        <f t="shared" si="127"/>
        <v>0</v>
      </c>
      <c r="BG188" s="42">
        <f t="shared" si="127"/>
        <v>0</v>
      </c>
      <c r="BH188" s="42">
        <f t="shared" si="127"/>
        <v>0</v>
      </c>
      <c r="BI188" s="42">
        <f t="shared" si="107"/>
        <v>8</v>
      </c>
      <c r="BJ188" s="42">
        <f t="shared" si="128"/>
        <v>0</v>
      </c>
      <c r="BK188" s="42">
        <f t="shared" si="128"/>
        <v>10</v>
      </c>
      <c r="BL188" s="3"/>
    </row>
    <row r="189" spans="1:64" ht="105.6" x14ac:dyDescent="0.25">
      <c r="A189" s="298" t="s">
        <v>491</v>
      </c>
      <c r="B189" s="299" t="s">
        <v>489</v>
      </c>
      <c r="C189" s="1547"/>
      <c r="D189" s="1551"/>
      <c r="E189" s="1551"/>
      <c r="F189" s="1551"/>
      <c r="G189" s="1551"/>
      <c r="H189" s="1551"/>
      <c r="I189" s="1425"/>
      <c r="J189" s="1425"/>
      <c r="K189" s="1425" t="s">
        <v>590</v>
      </c>
      <c r="L189" s="301" t="s">
        <v>496</v>
      </c>
      <c r="M189" s="1425" t="s">
        <v>497</v>
      </c>
      <c r="N189" s="476"/>
      <c r="O189" s="1425" t="s">
        <v>47</v>
      </c>
      <c r="P189" s="16" t="s">
        <v>591</v>
      </c>
      <c r="Q189" s="302" t="s">
        <v>592</v>
      </c>
      <c r="R189" s="303">
        <v>2015</v>
      </c>
      <c r="S189" s="303">
        <v>0</v>
      </c>
      <c r="T189" s="303">
        <v>0</v>
      </c>
      <c r="U189" s="303">
        <v>1</v>
      </c>
      <c r="V189" s="303">
        <v>1</v>
      </c>
      <c r="W189" s="303">
        <v>0</v>
      </c>
      <c r="X189" s="303">
        <v>2</v>
      </c>
      <c r="Y189" s="701"/>
      <c r="Z189" s="481"/>
      <c r="AA189" s="481"/>
      <c r="AB189" s="481"/>
      <c r="AC189" s="481"/>
      <c r="AD189" s="481"/>
      <c r="AE189" s="481"/>
      <c r="AF189" s="481">
        <f t="shared" si="118"/>
        <v>0</v>
      </c>
      <c r="AG189" s="491">
        <v>0.5</v>
      </c>
      <c r="AH189" s="548"/>
      <c r="AI189" s="548"/>
      <c r="AJ189" s="548"/>
      <c r="AK189" s="548"/>
      <c r="AL189" s="548"/>
      <c r="AM189" s="548">
        <f t="shared" si="119"/>
        <v>0.5</v>
      </c>
      <c r="AN189" s="491">
        <v>0.5</v>
      </c>
      <c r="AO189" s="481"/>
      <c r="AP189" s="481"/>
      <c r="AQ189" s="481"/>
      <c r="AR189" s="481"/>
      <c r="AS189" s="481"/>
      <c r="AT189" s="481"/>
      <c r="AU189" s="481">
        <f t="shared" si="120"/>
        <v>0.5</v>
      </c>
      <c r="AV189" s="548"/>
      <c r="AW189" s="548"/>
      <c r="AX189" s="548"/>
      <c r="AY189" s="548"/>
      <c r="AZ189" s="548"/>
      <c r="BA189" s="548"/>
      <c r="BB189" s="548"/>
      <c r="BC189" s="548">
        <f t="shared" si="122"/>
        <v>0</v>
      </c>
      <c r="BD189" s="42">
        <f t="shared" si="127"/>
        <v>1</v>
      </c>
      <c r="BE189" s="42">
        <f t="shared" si="127"/>
        <v>0</v>
      </c>
      <c r="BF189" s="42">
        <f t="shared" si="127"/>
        <v>0</v>
      </c>
      <c r="BG189" s="42">
        <f t="shared" si="127"/>
        <v>0</v>
      </c>
      <c r="BH189" s="42">
        <f t="shared" si="127"/>
        <v>0</v>
      </c>
      <c r="BI189" s="42">
        <f t="shared" si="107"/>
        <v>0</v>
      </c>
      <c r="BJ189" s="42">
        <f t="shared" si="128"/>
        <v>0</v>
      </c>
      <c r="BK189" s="42">
        <f t="shared" si="128"/>
        <v>1</v>
      </c>
      <c r="BL189" s="3"/>
    </row>
    <row r="190" spans="1:64" ht="84.75" customHeight="1" x14ac:dyDescent="0.25">
      <c r="A190" s="298" t="s">
        <v>491</v>
      </c>
      <c r="B190" s="299" t="s">
        <v>489</v>
      </c>
      <c r="C190" s="1547"/>
      <c r="D190" s="1551"/>
      <c r="E190" s="1551"/>
      <c r="F190" s="1551"/>
      <c r="G190" s="1551"/>
      <c r="H190" s="1551"/>
      <c r="I190" s="1425"/>
      <c r="J190" s="1425"/>
      <c r="K190" s="1425" t="s">
        <v>593</v>
      </c>
      <c r="L190" s="301" t="s">
        <v>496</v>
      </c>
      <c r="M190" s="1425" t="s">
        <v>497</v>
      </c>
      <c r="N190" s="476"/>
      <c r="O190" s="1425" t="s">
        <v>47</v>
      </c>
      <c r="P190" s="16" t="s">
        <v>594</v>
      </c>
      <c r="Q190" s="302" t="s">
        <v>595</v>
      </c>
      <c r="R190" s="303">
        <v>2015</v>
      </c>
      <c r="S190" s="303">
        <v>0</v>
      </c>
      <c r="T190" s="303">
        <v>1</v>
      </c>
      <c r="U190" s="303">
        <v>1</v>
      </c>
      <c r="V190" s="303">
        <v>1</v>
      </c>
      <c r="W190" s="303">
        <v>1</v>
      </c>
      <c r="X190" s="303">
        <v>4</v>
      </c>
      <c r="Y190" s="481"/>
      <c r="Z190" s="481"/>
      <c r="AA190" s="481">
        <v>3</v>
      </c>
      <c r="AB190" s="481"/>
      <c r="AC190" s="481"/>
      <c r="AD190" s="481"/>
      <c r="AE190" s="481"/>
      <c r="AF190" s="481">
        <f t="shared" si="118"/>
        <v>3</v>
      </c>
      <c r="AG190" s="548"/>
      <c r="AH190" s="548"/>
      <c r="AI190" s="548">
        <v>1</v>
      </c>
      <c r="AJ190" s="548"/>
      <c r="AK190" s="548"/>
      <c r="AL190" s="548"/>
      <c r="AM190" s="548">
        <f t="shared" si="119"/>
        <v>1</v>
      </c>
      <c r="AN190" s="481"/>
      <c r="AO190" s="481"/>
      <c r="AP190" s="481">
        <v>1</v>
      </c>
      <c r="AQ190" s="481"/>
      <c r="AR190" s="481"/>
      <c r="AS190" s="481"/>
      <c r="AT190" s="481"/>
      <c r="AU190" s="481">
        <f t="shared" si="120"/>
        <v>1</v>
      </c>
      <c r="AV190" s="548"/>
      <c r="AW190" s="548"/>
      <c r="AX190" s="548">
        <v>1</v>
      </c>
      <c r="AY190" s="548"/>
      <c r="AZ190" s="548"/>
      <c r="BA190" s="548"/>
      <c r="BB190" s="548"/>
      <c r="BC190" s="548">
        <f t="shared" si="122"/>
        <v>1</v>
      </c>
      <c r="BD190" s="42">
        <f t="shared" si="127"/>
        <v>0</v>
      </c>
      <c r="BE190" s="42">
        <f t="shared" si="127"/>
        <v>0</v>
      </c>
      <c r="BF190" s="42">
        <f t="shared" si="127"/>
        <v>6</v>
      </c>
      <c r="BG190" s="42">
        <f t="shared" si="127"/>
        <v>0</v>
      </c>
      <c r="BH190" s="42">
        <f t="shared" si="127"/>
        <v>0</v>
      </c>
      <c r="BI190" s="42">
        <f t="shared" si="107"/>
        <v>0</v>
      </c>
      <c r="BJ190" s="42">
        <f t="shared" si="128"/>
        <v>0</v>
      </c>
      <c r="BK190" s="42">
        <f t="shared" si="128"/>
        <v>6</v>
      </c>
      <c r="BL190" s="3"/>
    </row>
    <row r="191" spans="1:64" ht="77.25" customHeight="1" x14ac:dyDescent="0.25">
      <c r="A191" s="298" t="s">
        <v>491</v>
      </c>
      <c r="B191" s="299" t="s">
        <v>489</v>
      </c>
      <c r="C191" s="1547"/>
      <c r="D191" s="1551"/>
      <c r="E191" s="1551"/>
      <c r="F191" s="1551"/>
      <c r="G191" s="1551"/>
      <c r="H191" s="1551"/>
      <c r="I191" s="1425"/>
      <c r="J191" s="1425"/>
      <c r="K191" s="1425" t="s">
        <v>596</v>
      </c>
      <c r="L191" s="301" t="s">
        <v>496</v>
      </c>
      <c r="M191" s="1425" t="s">
        <v>497</v>
      </c>
      <c r="N191" s="476"/>
      <c r="O191" s="1425" t="s">
        <v>47</v>
      </c>
      <c r="P191" s="16" t="s">
        <v>597</v>
      </c>
      <c r="Q191" s="302" t="s">
        <v>598</v>
      </c>
      <c r="R191" s="303">
        <v>2015</v>
      </c>
      <c r="S191" s="303">
        <v>0</v>
      </c>
      <c r="T191" s="303">
        <v>3</v>
      </c>
      <c r="U191" s="303">
        <v>4</v>
      </c>
      <c r="V191" s="303">
        <v>4</v>
      </c>
      <c r="W191" s="303">
        <v>4</v>
      </c>
      <c r="X191" s="303">
        <v>15</v>
      </c>
      <c r="Y191" s="491">
        <v>0.5</v>
      </c>
      <c r="Z191" s="481"/>
      <c r="AA191" s="481"/>
      <c r="AB191" s="481"/>
      <c r="AC191" s="481"/>
      <c r="AD191" s="481"/>
      <c r="AE191" s="481"/>
      <c r="AF191" s="481">
        <f t="shared" si="118"/>
        <v>0.5</v>
      </c>
      <c r="AG191" s="491">
        <v>0.5</v>
      </c>
      <c r="AH191" s="548"/>
      <c r="AI191" s="548"/>
      <c r="AJ191" s="548"/>
      <c r="AK191" s="548"/>
      <c r="AL191" s="548"/>
      <c r="AM191" s="548">
        <f t="shared" si="119"/>
        <v>0.5</v>
      </c>
      <c r="AN191" s="491">
        <v>0.5</v>
      </c>
      <c r="AO191" s="481"/>
      <c r="AP191" s="481"/>
      <c r="AQ191" s="481"/>
      <c r="AR191" s="481"/>
      <c r="AS191" s="481"/>
      <c r="AT191" s="481"/>
      <c r="AU191" s="481">
        <f t="shared" si="120"/>
        <v>0.5</v>
      </c>
      <c r="AV191" s="491">
        <v>0.5</v>
      </c>
      <c r="AW191" s="548"/>
      <c r="AX191" s="548"/>
      <c r="AY191" s="548"/>
      <c r="AZ191" s="548"/>
      <c r="BA191" s="548"/>
      <c r="BB191" s="548"/>
      <c r="BC191" s="548">
        <f t="shared" si="122"/>
        <v>0.5</v>
      </c>
      <c r="BD191" s="42">
        <f t="shared" si="127"/>
        <v>2</v>
      </c>
      <c r="BE191" s="42">
        <f t="shared" si="127"/>
        <v>0</v>
      </c>
      <c r="BF191" s="42">
        <f t="shared" si="127"/>
        <v>0</v>
      </c>
      <c r="BG191" s="42">
        <f t="shared" si="127"/>
        <v>0</v>
      </c>
      <c r="BH191" s="42">
        <f t="shared" si="127"/>
        <v>0</v>
      </c>
      <c r="BI191" s="42">
        <f t="shared" si="107"/>
        <v>0</v>
      </c>
      <c r="BJ191" s="42">
        <f t="shared" si="128"/>
        <v>0</v>
      </c>
      <c r="BK191" s="42">
        <f t="shared" si="128"/>
        <v>2</v>
      </c>
      <c r="BL191" s="3"/>
    </row>
    <row r="192" spans="1:64" ht="102.75" customHeight="1" x14ac:dyDescent="0.25">
      <c r="A192" s="298" t="s">
        <v>491</v>
      </c>
      <c r="B192" s="299" t="s">
        <v>489</v>
      </c>
      <c r="C192" s="1548"/>
      <c r="D192" s="1552"/>
      <c r="E192" s="1552"/>
      <c r="F192" s="1552"/>
      <c r="G192" s="1552"/>
      <c r="H192" s="1552"/>
      <c r="I192" s="1425"/>
      <c r="J192" s="1425"/>
      <c r="K192" s="1425" t="s">
        <v>599</v>
      </c>
      <c r="L192" s="301" t="s">
        <v>496</v>
      </c>
      <c r="M192" s="1425" t="s">
        <v>497</v>
      </c>
      <c r="N192" s="476"/>
      <c r="O192" s="1425" t="s">
        <v>47</v>
      </c>
      <c r="P192" s="16" t="s">
        <v>600</v>
      </c>
      <c r="Q192" s="302" t="s">
        <v>601</v>
      </c>
      <c r="R192" s="303">
        <v>2015</v>
      </c>
      <c r="S192" s="303">
        <v>0</v>
      </c>
      <c r="T192" s="303">
        <v>1</v>
      </c>
      <c r="U192" s="303">
        <v>1</v>
      </c>
      <c r="V192" s="303">
        <v>1</v>
      </c>
      <c r="W192" s="303">
        <v>1</v>
      </c>
      <c r="X192" s="303">
        <v>4</v>
      </c>
      <c r="Y192" s="481">
        <v>3</v>
      </c>
      <c r="Z192" s="481"/>
      <c r="AA192" s="481"/>
      <c r="AB192" s="481"/>
      <c r="AC192" s="481"/>
      <c r="AD192" s="481"/>
      <c r="AE192" s="481"/>
      <c r="AF192" s="481">
        <f t="shared" si="118"/>
        <v>3</v>
      </c>
      <c r="AG192" s="548">
        <v>3</v>
      </c>
      <c r="AH192" s="548"/>
      <c r="AI192" s="548"/>
      <c r="AJ192" s="548"/>
      <c r="AK192" s="548"/>
      <c r="AL192" s="548"/>
      <c r="AM192" s="548">
        <f t="shared" si="119"/>
        <v>3</v>
      </c>
      <c r="AN192" s="481">
        <v>3</v>
      </c>
      <c r="AO192" s="481"/>
      <c r="AP192" s="481"/>
      <c r="AQ192" s="481"/>
      <c r="AR192" s="481"/>
      <c r="AS192" s="481"/>
      <c r="AT192" s="481"/>
      <c r="AU192" s="481">
        <f t="shared" si="120"/>
        <v>3</v>
      </c>
      <c r="AV192" s="548">
        <v>3</v>
      </c>
      <c r="AW192" s="548"/>
      <c r="AX192" s="548"/>
      <c r="AY192" s="548"/>
      <c r="AZ192" s="548"/>
      <c r="BA192" s="548"/>
      <c r="BB192" s="548"/>
      <c r="BC192" s="548">
        <f t="shared" si="122"/>
        <v>3</v>
      </c>
      <c r="BD192" s="42">
        <f t="shared" si="127"/>
        <v>12</v>
      </c>
      <c r="BE192" s="42">
        <f t="shared" si="127"/>
        <v>0</v>
      </c>
      <c r="BF192" s="42">
        <f t="shared" si="127"/>
        <v>0</v>
      </c>
      <c r="BG192" s="42">
        <f t="shared" si="127"/>
        <v>0</v>
      </c>
      <c r="BH192" s="42">
        <f t="shared" si="127"/>
        <v>0</v>
      </c>
      <c r="BI192" s="42">
        <f t="shared" si="107"/>
        <v>0</v>
      </c>
      <c r="BJ192" s="42">
        <f t="shared" si="128"/>
        <v>0</v>
      </c>
      <c r="BK192" s="42">
        <f t="shared" si="128"/>
        <v>12</v>
      </c>
      <c r="BL192" s="3"/>
    </row>
    <row r="193" spans="1:64" s="38" customFormat="1" ht="39.6" x14ac:dyDescent="0.25">
      <c r="A193" s="295" t="s">
        <v>491</v>
      </c>
      <c r="B193" s="24" t="s">
        <v>489</v>
      </c>
      <c r="C193" s="51"/>
      <c r="D193" s="52" t="s">
        <v>602</v>
      </c>
      <c r="E193" s="53"/>
      <c r="F193" s="53"/>
      <c r="G193" s="53"/>
      <c r="H193" s="53"/>
      <c r="I193" s="53"/>
      <c r="J193" s="53"/>
      <c r="K193" s="53"/>
      <c r="L193" s="53"/>
      <c r="M193" s="53"/>
      <c r="N193" s="1"/>
      <c r="O193" s="53"/>
      <c r="P193" s="62" t="s">
        <v>603</v>
      </c>
      <c r="Q193" s="62"/>
      <c r="R193" s="53"/>
      <c r="S193" s="53"/>
      <c r="T193" s="53"/>
      <c r="U193" s="53"/>
      <c r="V193" s="53"/>
      <c r="W193" s="53"/>
      <c r="X193" s="53"/>
      <c r="Y193" s="54">
        <f t="shared" ref="Y193:BK193" si="129">SUM(Y194:Y200)</f>
        <v>4.2</v>
      </c>
      <c r="Z193" s="54">
        <f t="shared" si="129"/>
        <v>0</v>
      </c>
      <c r="AA193" s="54">
        <f t="shared" si="129"/>
        <v>5</v>
      </c>
      <c r="AB193" s="54">
        <f t="shared" si="129"/>
        <v>0</v>
      </c>
      <c r="AC193" s="54">
        <f t="shared" si="129"/>
        <v>0</v>
      </c>
      <c r="AD193" s="54">
        <f t="shared" si="129"/>
        <v>0</v>
      </c>
      <c r="AE193" s="54">
        <f t="shared" si="129"/>
        <v>0</v>
      </c>
      <c r="AF193" s="54">
        <f t="shared" si="129"/>
        <v>9.1999999999999993</v>
      </c>
      <c r="AG193" s="54">
        <f t="shared" si="129"/>
        <v>9.370000000000001</v>
      </c>
      <c r="AH193" s="54">
        <f t="shared" si="129"/>
        <v>0</v>
      </c>
      <c r="AI193" s="54">
        <f t="shared" si="129"/>
        <v>5.1749999999999998</v>
      </c>
      <c r="AJ193" s="54">
        <f t="shared" si="129"/>
        <v>0</v>
      </c>
      <c r="AK193" s="54">
        <f t="shared" si="129"/>
        <v>0</v>
      </c>
      <c r="AL193" s="54">
        <f t="shared" si="129"/>
        <v>0</v>
      </c>
      <c r="AM193" s="54">
        <f t="shared" si="129"/>
        <v>14.545</v>
      </c>
      <c r="AN193" s="54">
        <f t="shared" si="129"/>
        <v>14.5</v>
      </c>
      <c r="AO193" s="54">
        <f t="shared" si="129"/>
        <v>0</v>
      </c>
      <c r="AP193" s="54">
        <f t="shared" si="129"/>
        <v>5.3559999999999999</v>
      </c>
      <c r="AQ193" s="54">
        <f t="shared" si="129"/>
        <v>0</v>
      </c>
      <c r="AR193" s="54">
        <f t="shared" si="129"/>
        <v>0</v>
      </c>
      <c r="AS193" s="54">
        <f t="shared" si="129"/>
        <v>0</v>
      </c>
      <c r="AT193" s="54">
        <f t="shared" si="129"/>
        <v>0</v>
      </c>
      <c r="AU193" s="54">
        <f t="shared" si="129"/>
        <v>19.856000000000002</v>
      </c>
      <c r="AV193" s="54">
        <f t="shared" si="129"/>
        <v>4.66</v>
      </c>
      <c r="AW193" s="54">
        <f t="shared" si="129"/>
        <v>0</v>
      </c>
      <c r="AX193" s="54">
        <f t="shared" si="129"/>
        <v>5.54</v>
      </c>
      <c r="AY193" s="54">
        <f t="shared" si="129"/>
        <v>0</v>
      </c>
      <c r="AZ193" s="54">
        <f t="shared" si="129"/>
        <v>0</v>
      </c>
      <c r="BA193" s="54">
        <f t="shared" si="129"/>
        <v>0</v>
      </c>
      <c r="BB193" s="54">
        <f t="shared" si="129"/>
        <v>0</v>
      </c>
      <c r="BC193" s="54">
        <f t="shared" si="129"/>
        <v>10.199999999999999</v>
      </c>
      <c r="BD193" s="54">
        <f t="shared" si="129"/>
        <v>32.729999999999997</v>
      </c>
      <c r="BE193" s="54">
        <f t="shared" si="129"/>
        <v>0</v>
      </c>
      <c r="BF193" s="54">
        <f t="shared" si="129"/>
        <v>21.070999999999998</v>
      </c>
      <c r="BG193" s="54">
        <f t="shared" si="129"/>
        <v>0</v>
      </c>
      <c r="BH193" s="54">
        <f t="shared" si="129"/>
        <v>0</v>
      </c>
      <c r="BI193" s="54">
        <f t="shared" si="107"/>
        <v>0</v>
      </c>
      <c r="BJ193" s="54">
        <f t="shared" si="129"/>
        <v>0</v>
      </c>
      <c r="BK193" s="54">
        <f t="shared" si="129"/>
        <v>53.801000000000002</v>
      </c>
    </row>
    <row r="194" spans="1:64" ht="66.75" customHeight="1" x14ac:dyDescent="0.25">
      <c r="A194" s="298" t="s">
        <v>491</v>
      </c>
      <c r="B194" s="299" t="s">
        <v>489</v>
      </c>
      <c r="C194" s="1546" t="s">
        <v>604</v>
      </c>
      <c r="D194" s="1549" t="s">
        <v>605</v>
      </c>
      <c r="E194" s="1549" t="s">
        <v>606</v>
      </c>
      <c r="F194" s="1549">
        <v>2015</v>
      </c>
      <c r="G194" s="1549" t="s">
        <v>177</v>
      </c>
      <c r="H194" s="1549">
        <v>12</v>
      </c>
      <c r="I194" s="1425"/>
      <c r="J194" s="1425"/>
      <c r="K194" s="1425" t="s">
        <v>607</v>
      </c>
      <c r="L194" s="301" t="s">
        <v>608</v>
      </c>
      <c r="M194" s="1425" t="s">
        <v>497</v>
      </c>
      <c r="N194" s="476"/>
      <c r="O194" s="1425" t="s">
        <v>47</v>
      </c>
      <c r="P194" s="16" t="s">
        <v>609</v>
      </c>
      <c r="Q194" s="302" t="s">
        <v>610</v>
      </c>
      <c r="R194" s="303">
        <v>2015</v>
      </c>
      <c r="S194" s="303">
        <v>0</v>
      </c>
      <c r="T194" s="303">
        <v>0</v>
      </c>
      <c r="U194" s="303">
        <v>1</v>
      </c>
      <c r="V194" s="303">
        <v>0</v>
      </c>
      <c r="W194" s="303">
        <v>0</v>
      </c>
      <c r="X194" s="303">
        <v>1</v>
      </c>
      <c r="Y194" s="481"/>
      <c r="Z194" s="481"/>
      <c r="AA194" s="481"/>
      <c r="AB194" s="481"/>
      <c r="AC194" s="481"/>
      <c r="AD194" s="481"/>
      <c r="AE194" s="481"/>
      <c r="AF194" s="481">
        <f t="shared" si="118"/>
        <v>0</v>
      </c>
      <c r="AG194" s="491">
        <v>3</v>
      </c>
      <c r="AH194" s="548"/>
      <c r="AI194" s="548"/>
      <c r="AJ194" s="548"/>
      <c r="AK194" s="548"/>
      <c r="AL194" s="548"/>
      <c r="AM194" s="548">
        <f t="shared" si="119"/>
        <v>3</v>
      </c>
      <c r="AN194" s="481"/>
      <c r="AO194" s="481"/>
      <c r="AP194" s="481"/>
      <c r="AQ194" s="481"/>
      <c r="AR194" s="481"/>
      <c r="AS194" s="481"/>
      <c r="AT194" s="481"/>
      <c r="AU194" s="481">
        <f t="shared" si="120"/>
        <v>0</v>
      </c>
      <c r="AV194" s="548"/>
      <c r="AW194" s="548"/>
      <c r="AX194" s="548"/>
      <c r="AY194" s="548"/>
      <c r="AZ194" s="548"/>
      <c r="BA194" s="548"/>
      <c r="BB194" s="548"/>
      <c r="BC194" s="548">
        <f t="shared" si="122"/>
        <v>0</v>
      </c>
      <c r="BD194" s="42">
        <f t="shared" si="127"/>
        <v>3</v>
      </c>
      <c r="BE194" s="42">
        <f t="shared" si="127"/>
        <v>0</v>
      </c>
      <c r="BF194" s="42">
        <f t="shared" si="127"/>
        <v>0</v>
      </c>
      <c r="BG194" s="42">
        <f t="shared" si="127"/>
        <v>0</v>
      </c>
      <c r="BH194" s="42">
        <f t="shared" si="127"/>
        <v>0</v>
      </c>
      <c r="BI194" s="42">
        <f t="shared" si="107"/>
        <v>0</v>
      </c>
      <c r="BJ194" s="42">
        <f t="shared" si="128"/>
        <v>0</v>
      </c>
      <c r="BK194" s="42">
        <f t="shared" si="128"/>
        <v>3</v>
      </c>
      <c r="BL194" s="3"/>
    </row>
    <row r="195" spans="1:64" ht="63.75" customHeight="1" x14ac:dyDescent="0.25">
      <c r="A195" s="298" t="s">
        <v>491</v>
      </c>
      <c r="B195" s="299" t="s">
        <v>489</v>
      </c>
      <c r="C195" s="1547"/>
      <c r="D195" s="1549"/>
      <c r="E195" s="1549"/>
      <c r="F195" s="1549"/>
      <c r="G195" s="1549"/>
      <c r="H195" s="1549"/>
      <c r="I195" s="1425"/>
      <c r="J195" s="1425"/>
      <c r="K195" s="1425" t="s">
        <v>611</v>
      </c>
      <c r="L195" s="301" t="s">
        <v>608</v>
      </c>
      <c r="M195" s="1425" t="s">
        <v>497</v>
      </c>
      <c r="N195" s="476"/>
      <c r="O195" s="1425" t="s">
        <v>47</v>
      </c>
      <c r="P195" s="16" t="s">
        <v>612</v>
      </c>
      <c r="Q195" s="302" t="s">
        <v>613</v>
      </c>
      <c r="R195" s="303">
        <v>2015</v>
      </c>
      <c r="S195" s="303">
        <v>0</v>
      </c>
      <c r="T195" s="303">
        <v>1</v>
      </c>
      <c r="U195" s="303">
        <v>1</v>
      </c>
      <c r="V195" s="303">
        <v>1</v>
      </c>
      <c r="W195" s="303">
        <v>1</v>
      </c>
      <c r="X195" s="303">
        <v>4</v>
      </c>
      <c r="Y195" s="481">
        <v>2</v>
      </c>
      <c r="Z195" s="481"/>
      <c r="AA195" s="481">
        <v>3</v>
      </c>
      <c r="AB195" s="481"/>
      <c r="AC195" s="481"/>
      <c r="AD195" s="481"/>
      <c r="AE195" s="481"/>
      <c r="AF195" s="481">
        <f t="shared" si="118"/>
        <v>5</v>
      </c>
      <c r="AG195" s="548">
        <v>2</v>
      </c>
      <c r="AH195" s="548"/>
      <c r="AI195" s="548">
        <v>3</v>
      </c>
      <c r="AJ195" s="548"/>
      <c r="AK195" s="548"/>
      <c r="AL195" s="548"/>
      <c r="AM195" s="548">
        <f t="shared" si="119"/>
        <v>5</v>
      </c>
      <c r="AN195" s="481">
        <v>2</v>
      </c>
      <c r="AO195" s="481"/>
      <c r="AP195" s="481">
        <v>3.3559999999999999</v>
      </c>
      <c r="AQ195" s="481"/>
      <c r="AR195" s="481"/>
      <c r="AS195" s="481"/>
      <c r="AT195" s="481"/>
      <c r="AU195" s="481">
        <f t="shared" si="120"/>
        <v>5.3559999999999999</v>
      </c>
      <c r="AV195" s="491">
        <v>2.44</v>
      </c>
      <c r="AW195" s="548"/>
      <c r="AX195" s="548">
        <v>3</v>
      </c>
      <c r="AY195" s="548"/>
      <c r="AZ195" s="548"/>
      <c r="BA195" s="548"/>
      <c r="BB195" s="548"/>
      <c r="BC195" s="548">
        <f t="shared" si="122"/>
        <v>5.4399999999999995</v>
      </c>
      <c r="BD195" s="42">
        <f t="shared" si="127"/>
        <v>8.44</v>
      </c>
      <c r="BE195" s="42">
        <f t="shared" si="127"/>
        <v>0</v>
      </c>
      <c r="BF195" s="42">
        <f t="shared" si="127"/>
        <v>12.356</v>
      </c>
      <c r="BG195" s="42">
        <f t="shared" si="127"/>
        <v>0</v>
      </c>
      <c r="BH195" s="42">
        <f t="shared" si="127"/>
        <v>0</v>
      </c>
      <c r="BI195" s="42">
        <f t="shared" si="107"/>
        <v>0</v>
      </c>
      <c r="BJ195" s="42">
        <f t="shared" si="128"/>
        <v>0</v>
      </c>
      <c r="BK195" s="42">
        <f t="shared" si="128"/>
        <v>20.795999999999999</v>
      </c>
      <c r="BL195" s="3"/>
    </row>
    <row r="196" spans="1:64" ht="64.5" customHeight="1" x14ac:dyDescent="0.25">
      <c r="A196" s="298" t="s">
        <v>491</v>
      </c>
      <c r="B196" s="299" t="s">
        <v>489</v>
      </c>
      <c r="C196" s="1547"/>
      <c r="D196" s="1549"/>
      <c r="E196" s="1549"/>
      <c r="F196" s="1549"/>
      <c r="G196" s="1549"/>
      <c r="H196" s="1549"/>
      <c r="I196" s="1425"/>
      <c r="J196" s="1425"/>
      <c r="K196" s="1425" t="s">
        <v>614</v>
      </c>
      <c r="L196" s="301" t="s">
        <v>608</v>
      </c>
      <c r="M196" s="1425" t="s">
        <v>497</v>
      </c>
      <c r="N196" s="476"/>
      <c r="O196" s="1425" t="s">
        <v>47</v>
      </c>
      <c r="P196" s="16" t="s">
        <v>615</v>
      </c>
      <c r="Q196" s="302" t="s">
        <v>616</v>
      </c>
      <c r="R196" s="303">
        <v>2015</v>
      </c>
      <c r="S196" s="303">
        <v>0</v>
      </c>
      <c r="T196" s="303">
        <v>0</v>
      </c>
      <c r="U196" s="303">
        <v>0</v>
      </c>
      <c r="V196" s="303">
        <v>1</v>
      </c>
      <c r="W196" s="303">
        <v>0</v>
      </c>
      <c r="X196" s="303">
        <v>1</v>
      </c>
      <c r="Y196" s="481"/>
      <c r="Z196" s="481"/>
      <c r="AA196" s="481"/>
      <c r="AB196" s="481"/>
      <c r="AC196" s="481"/>
      <c r="AD196" s="481"/>
      <c r="AE196" s="481"/>
      <c r="AF196" s="481">
        <f t="shared" si="118"/>
        <v>0</v>
      </c>
      <c r="AG196" s="548"/>
      <c r="AH196" s="548"/>
      <c r="AI196" s="548"/>
      <c r="AJ196" s="548"/>
      <c r="AK196" s="548"/>
      <c r="AL196" s="548"/>
      <c r="AM196" s="548">
        <f t="shared" si="119"/>
        <v>0</v>
      </c>
      <c r="AN196" s="481">
        <v>10</v>
      </c>
      <c r="AO196" s="481"/>
      <c r="AP196" s="481">
        <v>0</v>
      </c>
      <c r="AQ196" s="481"/>
      <c r="AR196" s="481"/>
      <c r="AS196" s="481"/>
      <c r="AT196" s="481"/>
      <c r="AU196" s="481">
        <f t="shared" si="120"/>
        <v>10</v>
      </c>
      <c r="AV196" s="548"/>
      <c r="AW196" s="548"/>
      <c r="AX196" s="548"/>
      <c r="AY196" s="548"/>
      <c r="AZ196" s="548"/>
      <c r="BA196" s="548"/>
      <c r="BB196" s="548"/>
      <c r="BC196" s="548">
        <f t="shared" si="122"/>
        <v>0</v>
      </c>
      <c r="BD196" s="42">
        <f t="shared" si="127"/>
        <v>10</v>
      </c>
      <c r="BE196" s="42">
        <f t="shared" si="127"/>
        <v>0</v>
      </c>
      <c r="BF196" s="42">
        <f t="shared" si="127"/>
        <v>0</v>
      </c>
      <c r="BG196" s="42">
        <f t="shared" si="127"/>
        <v>0</v>
      </c>
      <c r="BH196" s="42">
        <f t="shared" si="127"/>
        <v>0</v>
      </c>
      <c r="BI196" s="42">
        <f t="shared" si="107"/>
        <v>0</v>
      </c>
      <c r="BJ196" s="42">
        <f t="shared" si="128"/>
        <v>0</v>
      </c>
      <c r="BK196" s="42">
        <f t="shared" si="128"/>
        <v>10</v>
      </c>
      <c r="BL196" s="3"/>
    </row>
    <row r="197" spans="1:64" ht="51" customHeight="1" x14ac:dyDescent="0.25">
      <c r="A197" s="298" t="s">
        <v>491</v>
      </c>
      <c r="B197" s="299" t="s">
        <v>489</v>
      </c>
      <c r="C197" s="1547"/>
      <c r="D197" s="1549"/>
      <c r="E197" s="1549"/>
      <c r="F197" s="1549"/>
      <c r="G197" s="1549"/>
      <c r="H197" s="1549"/>
      <c r="I197" s="1425"/>
      <c r="J197" s="1425"/>
      <c r="K197" s="1425" t="s">
        <v>617</v>
      </c>
      <c r="L197" s="301" t="s">
        <v>608</v>
      </c>
      <c r="M197" s="1425" t="s">
        <v>497</v>
      </c>
      <c r="N197" s="476"/>
      <c r="O197" s="1425" t="s">
        <v>47</v>
      </c>
      <c r="P197" s="16" t="s">
        <v>618</v>
      </c>
      <c r="Q197" s="302" t="s">
        <v>377</v>
      </c>
      <c r="R197" s="303">
        <v>2015</v>
      </c>
      <c r="S197" s="303">
        <v>0</v>
      </c>
      <c r="T197" s="303">
        <v>0</v>
      </c>
      <c r="U197" s="303">
        <v>1</v>
      </c>
      <c r="V197" s="303">
        <v>0</v>
      </c>
      <c r="W197" s="303">
        <v>0</v>
      </c>
      <c r="X197" s="303">
        <v>1</v>
      </c>
      <c r="Y197" s="481"/>
      <c r="Z197" s="481"/>
      <c r="AA197" s="481"/>
      <c r="AB197" s="481"/>
      <c r="AC197" s="481"/>
      <c r="AD197" s="481"/>
      <c r="AE197" s="481"/>
      <c r="AF197" s="481">
        <f t="shared" si="118"/>
        <v>0</v>
      </c>
      <c r="AG197" s="491">
        <v>1</v>
      </c>
      <c r="AH197" s="548"/>
      <c r="AI197" s="716"/>
      <c r="AJ197" s="548"/>
      <c r="AK197" s="548"/>
      <c r="AL197" s="548"/>
      <c r="AM197" s="548">
        <f t="shared" si="119"/>
        <v>1</v>
      </c>
      <c r="AN197" s="481"/>
      <c r="AO197" s="481"/>
      <c r="AP197" s="481"/>
      <c r="AQ197" s="481"/>
      <c r="AR197" s="481"/>
      <c r="AS197" s="481"/>
      <c r="AT197" s="481"/>
      <c r="AU197" s="481">
        <f t="shared" si="120"/>
        <v>0</v>
      </c>
      <c r="AV197" s="548"/>
      <c r="AW197" s="548"/>
      <c r="AX197" s="548"/>
      <c r="AY197" s="548"/>
      <c r="AZ197" s="548"/>
      <c r="BA197" s="548"/>
      <c r="BB197" s="548"/>
      <c r="BC197" s="548">
        <f>SUM(AV197:BB197)</f>
        <v>0</v>
      </c>
      <c r="BD197" s="42">
        <f t="shared" si="127"/>
        <v>1</v>
      </c>
      <c r="BE197" s="42">
        <f t="shared" si="127"/>
        <v>0</v>
      </c>
      <c r="BF197" s="42">
        <f t="shared" si="127"/>
        <v>0</v>
      </c>
      <c r="BG197" s="42">
        <f t="shared" si="127"/>
        <v>0</v>
      </c>
      <c r="BH197" s="42">
        <f t="shared" si="127"/>
        <v>0</v>
      </c>
      <c r="BI197" s="42">
        <f>+AD197+AS197+BA197</f>
        <v>0</v>
      </c>
      <c r="BJ197" s="42">
        <f t="shared" si="128"/>
        <v>0</v>
      </c>
      <c r="BK197" s="42">
        <f t="shared" si="128"/>
        <v>1</v>
      </c>
      <c r="BL197" s="3"/>
    </row>
    <row r="198" spans="1:64" ht="62.25" customHeight="1" x14ac:dyDescent="0.25">
      <c r="A198" s="298" t="s">
        <v>491</v>
      </c>
      <c r="B198" s="299" t="s">
        <v>489</v>
      </c>
      <c r="C198" s="1547"/>
      <c r="D198" s="1549"/>
      <c r="E198" s="1549"/>
      <c r="F198" s="1549"/>
      <c r="G198" s="1549"/>
      <c r="H198" s="1549"/>
      <c r="I198" s="1425"/>
      <c r="J198" s="1425"/>
      <c r="K198" s="1425" t="s">
        <v>619</v>
      </c>
      <c r="L198" s="301" t="s">
        <v>608</v>
      </c>
      <c r="M198" s="1425" t="s">
        <v>497</v>
      </c>
      <c r="N198" s="476"/>
      <c r="O198" s="1425" t="s">
        <v>47</v>
      </c>
      <c r="P198" s="16" t="s">
        <v>620</v>
      </c>
      <c r="Q198" s="302" t="s">
        <v>621</v>
      </c>
      <c r="R198" s="303">
        <v>2015</v>
      </c>
      <c r="S198" s="303">
        <v>1</v>
      </c>
      <c r="T198" s="303">
        <v>1</v>
      </c>
      <c r="U198" s="303">
        <v>1</v>
      </c>
      <c r="V198" s="303">
        <v>1</v>
      </c>
      <c r="W198" s="303">
        <v>1</v>
      </c>
      <c r="X198" s="303">
        <v>4</v>
      </c>
      <c r="Y198" s="491">
        <v>1.2</v>
      </c>
      <c r="Z198" s="481"/>
      <c r="AA198" s="481">
        <v>2</v>
      </c>
      <c r="AB198" s="481"/>
      <c r="AC198" s="481"/>
      <c r="AD198" s="481"/>
      <c r="AE198" s="481"/>
      <c r="AF198" s="481">
        <f t="shared" si="118"/>
        <v>3.2</v>
      </c>
      <c r="AG198" s="548">
        <v>2.37</v>
      </c>
      <c r="AH198" s="548"/>
      <c r="AI198" s="548">
        <v>2.1749999999999998</v>
      </c>
      <c r="AJ198" s="548"/>
      <c r="AK198" s="548"/>
      <c r="AL198" s="548"/>
      <c r="AM198" s="548">
        <f t="shared" si="119"/>
        <v>4.5449999999999999</v>
      </c>
      <c r="AN198" s="491">
        <v>1.5</v>
      </c>
      <c r="AO198" s="481"/>
      <c r="AP198" s="481">
        <v>2</v>
      </c>
      <c r="AQ198" s="481"/>
      <c r="AR198" s="481"/>
      <c r="AS198" s="481"/>
      <c r="AT198" s="481"/>
      <c r="AU198" s="481">
        <f t="shared" si="120"/>
        <v>3.5</v>
      </c>
      <c r="AV198" s="548">
        <v>1.22</v>
      </c>
      <c r="AW198" s="548"/>
      <c r="AX198" s="548">
        <v>2.54</v>
      </c>
      <c r="AY198" s="548"/>
      <c r="AZ198" s="548"/>
      <c r="BA198" s="548"/>
      <c r="BB198" s="548"/>
      <c r="BC198" s="548">
        <f t="shared" si="122"/>
        <v>3.76</v>
      </c>
      <c r="BD198" s="42">
        <f t="shared" si="127"/>
        <v>6.29</v>
      </c>
      <c r="BE198" s="42">
        <f t="shared" si="127"/>
        <v>0</v>
      </c>
      <c r="BF198" s="42">
        <f t="shared" si="127"/>
        <v>8.7149999999999999</v>
      </c>
      <c r="BG198" s="42">
        <f t="shared" si="127"/>
        <v>0</v>
      </c>
      <c r="BH198" s="42">
        <f t="shared" si="127"/>
        <v>0</v>
      </c>
      <c r="BI198" s="42">
        <f t="shared" si="107"/>
        <v>0</v>
      </c>
      <c r="BJ198" s="42">
        <f t="shared" si="128"/>
        <v>0</v>
      </c>
      <c r="BK198" s="42">
        <f t="shared" si="128"/>
        <v>15.004999999999999</v>
      </c>
      <c r="BL198" s="3"/>
    </row>
    <row r="199" spans="1:64" ht="55.5" customHeight="1" x14ac:dyDescent="0.25">
      <c r="A199" s="298" t="s">
        <v>491</v>
      </c>
      <c r="B199" s="299" t="s">
        <v>489</v>
      </c>
      <c r="C199" s="1547"/>
      <c r="D199" s="1549"/>
      <c r="E199" s="1549"/>
      <c r="F199" s="1549"/>
      <c r="G199" s="1549"/>
      <c r="H199" s="1549"/>
      <c r="I199" s="1425"/>
      <c r="J199" s="1425"/>
      <c r="K199" s="1425" t="s">
        <v>622</v>
      </c>
      <c r="L199" s="301" t="s">
        <v>608</v>
      </c>
      <c r="M199" s="1425" t="s">
        <v>497</v>
      </c>
      <c r="N199" s="476"/>
      <c r="O199" s="1425" t="s">
        <v>73</v>
      </c>
      <c r="P199" s="16" t="s">
        <v>623</v>
      </c>
      <c r="Q199" s="302" t="s">
        <v>624</v>
      </c>
      <c r="R199" s="303">
        <v>2015</v>
      </c>
      <c r="S199" s="303">
        <v>2</v>
      </c>
      <c r="T199" s="303">
        <v>2</v>
      </c>
      <c r="U199" s="303">
        <v>2</v>
      </c>
      <c r="V199" s="303">
        <v>2</v>
      </c>
      <c r="W199" s="303">
        <v>2</v>
      </c>
      <c r="X199" s="303">
        <v>2</v>
      </c>
      <c r="Y199" s="491">
        <v>0.5</v>
      </c>
      <c r="Z199" s="481"/>
      <c r="AA199" s="481"/>
      <c r="AB199" s="481"/>
      <c r="AC199" s="481"/>
      <c r="AD199" s="481"/>
      <c r="AE199" s="481"/>
      <c r="AF199" s="481">
        <f t="shared" si="118"/>
        <v>0.5</v>
      </c>
      <c r="AG199" s="491">
        <v>0.5</v>
      </c>
      <c r="AH199" s="548"/>
      <c r="AI199" s="548"/>
      <c r="AJ199" s="548"/>
      <c r="AK199" s="548"/>
      <c r="AL199" s="548"/>
      <c r="AM199" s="548">
        <f t="shared" si="119"/>
        <v>0.5</v>
      </c>
      <c r="AN199" s="491">
        <v>0.5</v>
      </c>
      <c r="AO199" s="481"/>
      <c r="AP199" s="481"/>
      <c r="AQ199" s="481"/>
      <c r="AR199" s="481"/>
      <c r="AS199" s="481"/>
      <c r="AT199" s="481"/>
      <c r="AU199" s="481">
        <f t="shared" si="120"/>
        <v>0.5</v>
      </c>
      <c r="AV199" s="491">
        <v>0.5</v>
      </c>
      <c r="AW199" s="548"/>
      <c r="AX199" s="548"/>
      <c r="AY199" s="548"/>
      <c r="AZ199" s="548"/>
      <c r="BA199" s="548"/>
      <c r="BB199" s="548"/>
      <c r="BC199" s="548">
        <f t="shared" si="122"/>
        <v>0.5</v>
      </c>
      <c r="BD199" s="42">
        <f t="shared" ref="BD199:BH233" si="130">+AV199+AN199+AG199+Y199</f>
        <v>2</v>
      </c>
      <c r="BE199" s="42">
        <f t="shared" si="130"/>
        <v>0</v>
      </c>
      <c r="BF199" s="42">
        <f t="shared" si="130"/>
        <v>0</v>
      </c>
      <c r="BG199" s="42">
        <f t="shared" si="130"/>
        <v>0</v>
      </c>
      <c r="BH199" s="42">
        <f t="shared" si="130"/>
        <v>0</v>
      </c>
      <c r="BI199" s="42">
        <f t="shared" si="107"/>
        <v>0</v>
      </c>
      <c r="BJ199" s="42">
        <f t="shared" ref="BJ199:BK233" si="131">+BB199+AT199+AL199+AE199</f>
        <v>0</v>
      </c>
      <c r="BK199" s="42">
        <f t="shared" si="131"/>
        <v>2</v>
      </c>
      <c r="BL199" s="3"/>
    </row>
    <row r="200" spans="1:64" ht="49.5" customHeight="1" x14ac:dyDescent="0.25">
      <c r="A200" s="298" t="s">
        <v>491</v>
      </c>
      <c r="B200" s="299" t="s">
        <v>489</v>
      </c>
      <c r="C200" s="1548"/>
      <c r="D200" s="1549"/>
      <c r="E200" s="1549"/>
      <c r="F200" s="1549"/>
      <c r="G200" s="1549"/>
      <c r="H200" s="1549"/>
      <c r="I200" s="1425"/>
      <c r="J200" s="1425"/>
      <c r="K200" s="1425" t="s">
        <v>625</v>
      </c>
      <c r="L200" s="301" t="s">
        <v>608</v>
      </c>
      <c r="M200" s="1425" t="s">
        <v>497</v>
      </c>
      <c r="N200" s="476"/>
      <c r="O200" s="1425" t="s">
        <v>73</v>
      </c>
      <c r="P200" s="16" t="s">
        <v>626</v>
      </c>
      <c r="Q200" s="302" t="s">
        <v>627</v>
      </c>
      <c r="R200" s="303">
        <v>2015</v>
      </c>
      <c r="S200" s="303">
        <v>0</v>
      </c>
      <c r="T200" s="303">
        <v>1</v>
      </c>
      <c r="U200" s="303">
        <v>1</v>
      </c>
      <c r="V200" s="303">
        <v>1</v>
      </c>
      <c r="W200" s="303">
        <v>1</v>
      </c>
      <c r="X200" s="303">
        <v>1</v>
      </c>
      <c r="Y200" s="491">
        <v>0.5</v>
      </c>
      <c r="Z200" s="481"/>
      <c r="AA200" s="481"/>
      <c r="AB200" s="481"/>
      <c r="AC200" s="481"/>
      <c r="AD200" s="481"/>
      <c r="AE200" s="481"/>
      <c r="AF200" s="481">
        <f t="shared" si="118"/>
        <v>0.5</v>
      </c>
      <c r="AG200" s="491">
        <v>0.5</v>
      </c>
      <c r="AH200" s="548"/>
      <c r="AI200" s="548"/>
      <c r="AJ200" s="548"/>
      <c r="AK200" s="548"/>
      <c r="AL200" s="548"/>
      <c r="AM200" s="548">
        <f t="shared" si="119"/>
        <v>0.5</v>
      </c>
      <c r="AN200" s="491">
        <v>0.5</v>
      </c>
      <c r="AO200" s="481"/>
      <c r="AP200" s="481"/>
      <c r="AQ200" s="481"/>
      <c r="AR200" s="481"/>
      <c r="AS200" s="481"/>
      <c r="AT200" s="481"/>
      <c r="AU200" s="481">
        <f t="shared" si="120"/>
        <v>0.5</v>
      </c>
      <c r="AV200" s="491">
        <v>0.5</v>
      </c>
      <c r="AW200" s="548"/>
      <c r="AX200" s="548"/>
      <c r="AY200" s="548"/>
      <c r="AZ200" s="548"/>
      <c r="BA200" s="548"/>
      <c r="BB200" s="548"/>
      <c r="BC200" s="548">
        <f t="shared" si="122"/>
        <v>0.5</v>
      </c>
      <c r="BD200" s="42">
        <f t="shared" si="130"/>
        <v>2</v>
      </c>
      <c r="BE200" s="42">
        <f t="shared" si="130"/>
        <v>0</v>
      </c>
      <c r="BF200" s="42">
        <f t="shared" si="130"/>
        <v>0</v>
      </c>
      <c r="BG200" s="42">
        <f t="shared" si="130"/>
        <v>0</v>
      </c>
      <c r="BH200" s="42">
        <f t="shared" si="130"/>
        <v>0</v>
      </c>
      <c r="BI200" s="42">
        <f t="shared" si="107"/>
        <v>0</v>
      </c>
      <c r="BJ200" s="42">
        <f t="shared" si="131"/>
        <v>0</v>
      </c>
      <c r="BK200" s="42">
        <f t="shared" si="131"/>
        <v>2</v>
      </c>
      <c r="BL200" s="3"/>
    </row>
    <row r="201" spans="1:64" ht="30.75" customHeight="1" x14ac:dyDescent="0.25">
      <c r="A201" s="295" t="s">
        <v>491</v>
      </c>
      <c r="B201" s="24" t="s">
        <v>489</v>
      </c>
      <c r="C201" s="6"/>
      <c r="D201" s="2" t="s">
        <v>628</v>
      </c>
      <c r="E201" s="1"/>
      <c r="F201" s="1"/>
      <c r="G201" s="1"/>
      <c r="H201" s="1"/>
      <c r="I201" s="1"/>
      <c r="J201" s="1"/>
      <c r="K201" s="1"/>
      <c r="L201" s="1"/>
      <c r="M201" s="1"/>
      <c r="N201" s="1"/>
      <c r="O201" s="1"/>
      <c r="P201" s="62" t="s">
        <v>629</v>
      </c>
      <c r="Q201" s="22"/>
      <c r="R201" s="1"/>
      <c r="S201" s="1"/>
      <c r="T201" s="1"/>
      <c r="U201" s="1"/>
      <c r="V201" s="1"/>
      <c r="W201" s="1"/>
      <c r="X201" s="1"/>
      <c r="Y201" s="34">
        <f t="shared" ref="Y201:BK201" si="132">SUM(Y202:Y211)</f>
        <v>0</v>
      </c>
      <c r="Z201" s="34">
        <f t="shared" si="132"/>
        <v>56</v>
      </c>
      <c r="AA201" s="34">
        <f t="shared" si="132"/>
        <v>0</v>
      </c>
      <c r="AB201" s="34">
        <f t="shared" si="132"/>
        <v>500</v>
      </c>
      <c r="AC201" s="34">
        <f t="shared" si="132"/>
        <v>0</v>
      </c>
      <c r="AD201" s="34">
        <f t="shared" si="132"/>
        <v>29.72</v>
      </c>
      <c r="AE201" s="34">
        <f t="shared" si="132"/>
        <v>0</v>
      </c>
      <c r="AF201" s="34">
        <f t="shared" si="132"/>
        <v>585.72</v>
      </c>
      <c r="AG201" s="34">
        <f t="shared" si="132"/>
        <v>0</v>
      </c>
      <c r="AH201" s="34">
        <f t="shared" si="132"/>
        <v>56</v>
      </c>
      <c r="AI201" s="34">
        <f t="shared" si="132"/>
        <v>0</v>
      </c>
      <c r="AJ201" s="34">
        <f t="shared" si="132"/>
        <v>0</v>
      </c>
      <c r="AK201" s="34">
        <f t="shared" si="132"/>
        <v>0</v>
      </c>
      <c r="AL201" s="34">
        <f t="shared" si="132"/>
        <v>0</v>
      </c>
      <c r="AM201" s="34">
        <f t="shared" si="132"/>
        <v>56</v>
      </c>
      <c r="AN201" s="34">
        <f t="shared" si="132"/>
        <v>0</v>
      </c>
      <c r="AO201" s="34">
        <f t="shared" si="132"/>
        <v>56</v>
      </c>
      <c r="AP201" s="34">
        <f t="shared" si="132"/>
        <v>0</v>
      </c>
      <c r="AQ201" s="34">
        <f t="shared" si="132"/>
        <v>0</v>
      </c>
      <c r="AR201" s="34">
        <f t="shared" si="132"/>
        <v>0</v>
      </c>
      <c r="AS201" s="34">
        <f t="shared" si="132"/>
        <v>0</v>
      </c>
      <c r="AT201" s="34">
        <f t="shared" si="132"/>
        <v>0</v>
      </c>
      <c r="AU201" s="34">
        <f t="shared" si="132"/>
        <v>56</v>
      </c>
      <c r="AV201" s="34">
        <f t="shared" si="132"/>
        <v>0</v>
      </c>
      <c r="AW201" s="34">
        <f t="shared" si="132"/>
        <v>56</v>
      </c>
      <c r="AX201" s="34">
        <f t="shared" si="132"/>
        <v>0</v>
      </c>
      <c r="AY201" s="34">
        <f t="shared" si="132"/>
        <v>0</v>
      </c>
      <c r="AZ201" s="34">
        <f t="shared" si="132"/>
        <v>0</v>
      </c>
      <c r="BA201" s="34">
        <f t="shared" si="132"/>
        <v>0</v>
      </c>
      <c r="BB201" s="34">
        <f t="shared" si="132"/>
        <v>0</v>
      </c>
      <c r="BC201" s="34">
        <f t="shared" si="132"/>
        <v>56</v>
      </c>
      <c r="BD201" s="34">
        <f t="shared" si="132"/>
        <v>0</v>
      </c>
      <c r="BE201" s="34">
        <f t="shared" si="132"/>
        <v>224</v>
      </c>
      <c r="BF201" s="34">
        <f t="shared" si="132"/>
        <v>0</v>
      </c>
      <c r="BG201" s="34">
        <f t="shared" si="132"/>
        <v>500</v>
      </c>
      <c r="BH201" s="34">
        <f t="shared" si="132"/>
        <v>0</v>
      </c>
      <c r="BI201" s="34">
        <f t="shared" si="107"/>
        <v>29.72</v>
      </c>
      <c r="BJ201" s="34">
        <f t="shared" si="132"/>
        <v>0</v>
      </c>
      <c r="BK201" s="34">
        <f t="shared" si="132"/>
        <v>753.72</v>
      </c>
      <c r="BL201" s="3"/>
    </row>
    <row r="202" spans="1:64" ht="49.5" customHeight="1" x14ac:dyDescent="0.25">
      <c r="A202" s="298" t="s">
        <v>491</v>
      </c>
      <c r="B202" s="299" t="s">
        <v>489</v>
      </c>
      <c r="C202" s="1546" t="s">
        <v>630</v>
      </c>
      <c r="D202" s="1549" t="s">
        <v>631</v>
      </c>
      <c r="E202" s="1549" t="s">
        <v>632</v>
      </c>
      <c r="F202" s="1549">
        <v>2015</v>
      </c>
      <c r="G202" s="1549" t="s">
        <v>177</v>
      </c>
      <c r="H202" s="1549">
        <v>35</v>
      </c>
      <c r="I202" s="1425"/>
      <c r="J202" s="1425"/>
      <c r="K202" s="1425" t="s">
        <v>633</v>
      </c>
      <c r="L202" s="301" t="s">
        <v>496</v>
      </c>
      <c r="M202" s="1425" t="s">
        <v>497</v>
      </c>
      <c r="N202" s="476"/>
      <c r="O202" s="1425" t="s">
        <v>47</v>
      </c>
      <c r="P202" s="16" t="s">
        <v>634</v>
      </c>
      <c r="Q202" s="302" t="s">
        <v>635</v>
      </c>
      <c r="R202" s="303">
        <v>2015</v>
      </c>
      <c r="S202" s="303">
        <v>0</v>
      </c>
      <c r="T202" s="303">
        <v>2</v>
      </c>
      <c r="U202" s="303">
        <v>2</v>
      </c>
      <c r="V202" s="303">
        <v>2</v>
      </c>
      <c r="W202" s="303">
        <v>2</v>
      </c>
      <c r="X202" s="303">
        <v>8</v>
      </c>
      <c r="Y202" s="481"/>
      <c r="Z202" s="481">
        <v>2</v>
      </c>
      <c r="AA202" s="481"/>
      <c r="AB202" s="481"/>
      <c r="AC202" s="481"/>
      <c r="AD202" s="481"/>
      <c r="AE202" s="481"/>
      <c r="AF202" s="481">
        <f t="shared" si="118"/>
        <v>2</v>
      </c>
      <c r="AG202" s="548"/>
      <c r="AH202" s="491">
        <v>3.5</v>
      </c>
      <c r="AI202" s="548"/>
      <c r="AJ202" s="548"/>
      <c r="AK202" s="548"/>
      <c r="AL202" s="548"/>
      <c r="AM202" s="548">
        <f t="shared" si="119"/>
        <v>3.5</v>
      </c>
      <c r="AN202" s="481"/>
      <c r="AO202" s="481">
        <v>2</v>
      </c>
      <c r="AP202" s="481"/>
      <c r="AQ202" s="481"/>
      <c r="AR202" s="481"/>
      <c r="AS202" s="481"/>
      <c r="AT202" s="481"/>
      <c r="AU202" s="481">
        <f t="shared" si="120"/>
        <v>2</v>
      </c>
      <c r="AV202" s="548"/>
      <c r="AW202" s="491">
        <v>3.5</v>
      </c>
      <c r="AX202" s="548"/>
      <c r="AY202" s="548"/>
      <c r="AZ202" s="548"/>
      <c r="BA202" s="548"/>
      <c r="BB202" s="548"/>
      <c r="BC202" s="548">
        <f t="shared" si="122"/>
        <v>3.5</v>
      </c>
      <c r="BD202" s="42">
        <f t="shared" si="130"/>
        <v>0</v>
      </c>
      <c r="BE202" s="42">
        <f t="shared" si="130"/>
        <v>11</v>
      </c>
      <c r="BF202" s="42">
        <f t="shared" si="130"/>
        <v>0</v>
      </c>
      <c r="BG202" s="42">
        <f t="shared" si="130"/>
        <v>0</v>
      </c>
      <c r="BH202" s="42">
        <f t="shared" si="130"/>
        <v>0</v>
      </c>
      <c r="BI202" s="42">
        <f t="shared" si="107"/>
        <v>0</v>
      </c>
      <c r="BJ202" s="42">
        <f t="shared" si="131"/>
        <v>0</v>
      </c>
      <c r="BK202" s="42">
        <f t="shared" si="131"/>
        <v>11</v>
      </c>
      <c r="BL202" s="3"/>
    </row>
    <row r="203" spans="1:64" ht="43.5" customHeight="1" x14ac:dyDescent="0.25">
      <c r="A203" s="298" t="s">
        <v>491</v>
      </c>
      <c r="B203" s="299" t="s">
        <v>489</v>
      </c>
      <c r="C203" s="1547"/>
      <c r="D203" s="1549"/>
      <c r="E203" s="1549"/>
      <c r="F203" s="1549"/>
      <c r="G203" s="1549"/>
      <c r="H203" s="1549"/>
      <c r="I203" s="1425"/>
      <c r="J203" s="1425"/>
      <c r="K203" s="1425" t="s">
        <v>636</v>
      </c>
      <c r="L203" s="301" t="s">
        <v>496</v>
      </c>
      <c r="M203" s="1425" t="s">
        <v>497</v>
      </c>
      <c r="N203" s="476"/>
      <c r="O203" s="1425" t="s">
        <v>47</v>
      </c>
      <c r="P203" s="16" t="s">
        <v>637</v>
      </c>
      <c r="Q203" s="302" t="s">
        <v>638</v>
      </c>
      <c r="R203" s="303">
        <v>2015</v>
      </c>
      <c r="S203" s="303">
        <v>0</v>
      </c>
      <c r="T203" s="303">
        <v>0.5</v>
      </c>
      <c r="U203" s="303">
        <v>0.5</v>
      </c>
      <c r="V203" s="303">
        <v>0</v>
      </c>
      <c r="W203" s="303">
        <v>0</v>
      </c>
      <c r="X203" s="303">
        <v>1</v>
      </c>
      <c r="Y203" s="481"/>
      <c r="Z203" s="481">
        <v>0</v>
      </c>
      <c r="AA203" s="481"/>
      <c r="AB203" s="481"/>
      <c r="AC203" s="481"/>
      <c r="AD203" s="481">
        <v>20</v>
      </c>
      <c r="AE203" s="481"/>
      <c r="AF203" s="481">
        <f t="shared" si="118"/>
        <v>20</v>
      </c>
      <c r="AG203" s="548"/>
      <c r="AH203" s="548">
        <v>3</v>
      </c>
      <c r="AI203" s="548"/>
      <c r="AJ203" s="548"/>
      <c r="AK203" s="548"/>
      <c r="AL203" s="548"/>
      <c r="AM203" s="548">
        <f t="shared" si="119"/>
        <v>3</v>
      </c>
      <c r="AN203" s="481"/>
      <c r="AO203" s="481">
        <v>0</v>
      </c>
      <c r="AP203" s="481"/>
      <c r="AQ203" s="481"/>
      <c r="AR203" s="481"/>
      <c r="AS203" s="481"/>
      <c r="AT203" s="481"/>
      <c r="AU203" s="481">
        <f t="shared" si="120"/>
        <v>0</v>
      </c>
      <c r="AV203" s="548"/>
      <c r="AW203" s="548">
        <v>0</v>
      </c>
      <c r="AX203" s="548"/>
      <c r="AY203" s="548"/>
      <c r="AZ203" s="548"/>
      <c r="BA203" s="548"/>
      <c r="BB203" s="548"/>
      <c r="BC203" s="548">
        <f t="shared" si="122"/>
        <v>0</v>
      </c>
      <c r="BD203" s="42">
        <f t="shared" si="130"/>
        <v>0</v>
      </c>
      <c r="BE203" s="42">
        <f t="shared" si="130"/>
        <v>3</v>
      </c>
      <c r="BF203" s="42">
        <f t="shared" si="130"/>
        <v>0</v>
      </c>
      <c r="BG203" s="42">
        <f t="shared" si="130"/>
        <v>0</v>
      </c>
      <c r="BH203" s="42">
        <f t="shared" si="130"/>
        <v>0</v>
      </c>
      <c r="BI203" s="42">
        <f t="shared" si="107"/>
        <v>20</v>
      </c>
      <c r="BJ203" s="42">
        <f t="shared" si="131"/>
        <v>0</v>
      </c>
      <c r="BK203" s="42">
        <f t="shared" si="131"/>
        <v>23</v>
      </c>
      <c r="BL203" s="3"/>
    </row>
    <row r="204" spans="1:64" ht="46.5" customHeight="1" x14ac:dyDescent="0.25">
      <c r="A204" s="298" t="s">
        <v>491</v>
      </c>
      <c r="B204" s="299" t="s">
        <v>489</v>
      </c>
      <c r="C204" s="1547"/>
      <c r="D204" s="1549"/>
      <c r="E204" s="1549"/>
      <c r="F204" s="1549"/>
      <c r="G204" s="1549"/>
      <c r="H204" s="1549"/>
      <c r="I204" s="1425"/>
      <c r="J204" s="1425"/>
      <c r="K204" s="1425" t="s">
        <v>639</v>
      </c>
      <c r="L204" s="301" t="s">
        <v>496</v>
      </c>
      <c r="M204" s="1425" t="s">
        <v>497</v>
      </c>
      <c r="N204" s="476"/>
      <c r="O204" s="1425" t="s">
        <v>47</v>
      </c>
      <c r="P204" s="16" t="s">
        <v>640</v>
      </c>
      <c r="Q204" s="302" t="s">
        <v>641</v>
      </c>
      <c r="R204" s="303">
        <v>2015</v>
      </c>
      <c r="S204" s="303">
        <v>0</v>
      </c>
      <c r="T204" s="303">
        <v>1</v>
      </c>
      <c r="U204" s="303">
        <v>0</v>
      </c>
      <c r="V204" s="303">
        <v>1</v>
      </c>
      <c r="W204" s="303">
        <v>0</v>
      </c>
      <c r="X204" s="303">
        <v>2</v>
      </c>
      <c r="Y204" s="481"/>
      <c r="Z204" s="481">
        <v>1.5</v>
      </c>
      <c r="AA204" s="481"/>
      <c r="AB204" s="481"/>
      <c r="AC204" s="481"/>
      <c r="AD204" s="481"/>
      <c r="AE204" s="481"/>
      <c r="AF204" s="481">
        <f t="shared" si="118"/>
        <v>1.5</v>
      </c>
      <c r="AG204" s="548"/>
      <c r="AH204" s="491"/>
      <c r="AI204" s="548"/>
      <c r="AJ204" s="548"/>
      <c r="AK204" s="548"/>
      <c r="AL204" s="548"/>
      <c r="AM204" s="548">
        <f t="shared" si="119"/>
        <v>0</v>
      </c>
      <c r="AN204" s="481"/>
      <c r="AO204" s="481">
        <v>1.5</v>
      </c>
      <c r="AP204" s="481"/>
      <c r="AQ204" s="481"/>
      <c r="AR204" s="481"/>
      <c r="AS204" s="481"/>
      <c r="AT204" s="481"/>
      <c r="AU204" s="481">
        <f t="shared" si="120"/>
        <v>1.5</v>
      </c>
      <c r="AV204" s="548"/>
      <c r="AW204" s="491"/>
      <c r="AX204" s="548"/>
      <c r="AY204" s="548"/>
      <c r="AZ204" s="548"/>
      <c r="BA204" s="548"/>
      <c r="BB204" s="548"/>
      <c r="BC204" s="548">
        <f t="shared" si="122"/>
        <v>0</v>
      </c>
      <c r="BD204" s="42">
        <f t="shared" si="130"/>
        <v>0</v>
      </c>
      <c r="BE204" s="42">
        <f t="shared" si="130"/>
        <v>3</v>
      </c>
      <c r="BF204" s="42">
        <f t="shared" si="130"/>
        <v>0</v>
      </c>
      <c r="BG204" s="42">
        <f t="shared" si="130"/>
        <v>0</v>
      </c>
      <c r="BH204" s="42">
        <f t="shared" si="130"/>
        <v>0</v>
      </c>
      <c r="BI204" s="42">
        <f t="shared" si="107"/>
        <v>0</v>
      </c>
      <c r="BJ204" s="42">
        <f t="shared" si="131"/>
        <v>0</v>
      </c>
      <c r="BK204" s="42">
        <f t="shared" si="131"/>
        <v>3</v>
      </c>
      <c r="BL204" s="3"/>
    </row>
    <row r="205" spans="1:64" ht="45" customHeight="1" x14ac:dyDescent="0.25">
      <c r="A205" s="298" t="s">
        <v>491</v>
      </c>
      <c r="B205" s="299" t="s">
        <v>489</v>
      </c>
      <c r="C205" s="1547"/>
      <c r="D205" s="1549"/>
      <c r="E205" s="1549"/>
      <c r="F205" s="1549"/>
      <c r="G205" s="1549"/>
      <c r="H205" s="1549"/>
      <c r="I205" s="1425"/>
      <c r="J205" s="1425"/>
      <c r="K205" s="1425" t="s">
        <v>642</v>
      </c>
      <c r="L205" s="301" t="s">
        <v>496</v>
      </c>
      <c r="M205" s="1425" t="s">
        <v>497</v>
      </c>
      <c r="N205" s="476"/>
      <c r="O205" s="1425" t="s">
        <v>47</v>
      </c>
      <c r="P205" s="16" t="s">
        <v>643</v>
      </c>
      <c r="Q205" s="302" t="s">
        <v>644</v>
      </c>
      <c r="R205" s="303">
        <v>2015</v>
      </c>
      <c r="S205" s="303">
        <v>0</v>
      </c>
      <c r="T205" s="303">
        <v>1</v>
      </c>
      <c r="U205" s="303">
        <v>1</v>
      </c>
      <c r="V205" s="303">
        <v>1</v>
      </c>
      <c r="W205" s="303">
        <v>1</v>
      </c>
      <c r="X205" s="303">
        <v>4</v>
      </c>
      <c r="Y205" s="481"/>
      <c r="Z205" s="481">
        <v>5</v>
      </c>
      <c r="AA205" s="481"/>
      <c r="AB205" s="481"/>
      <c r="AC205" s="481"/>
      <c r="AD205" s="481"/>
      <c r="AE205" s="481"/>
      <c r="AF205" s="481">
        <f t="shared" si="118"/>
        <v>5</v>
      </c>
      <c r="AG205" s="548"/>
      <c r="AH205" s="548">
        <v>2</v>
      </c>
      <c r="AI205" s="548"/>
      <c r="AJ205" s="548"/>
      <c r="AK205" s="548"/>
      <c r="AL205" s="548"/>
      <c r="AM205" s="548">
        <f t="shared" si="119"/>
        <v>2</v>
      </c>
      <c r="AN205" s="481"/>
      <c r="AO205" s="481">
        <v>5</v>
      </c>
      <c r="AP205" s="481"/>
      <c r="AQ205" s="481"/>
      <c r="AR205" s="481"/>
      <c r="AS205" s="481"/>
      <c r="AT205" s="481"/>
      <c r="AU205" s="481">
        <f t="shared" si="120"/>
        <v>5</v>
      </c>
      <c r="AV205" s="548"/>
      <c r="AW205" s="548">
        <v>5</v>
      </c>
      <c r="AX205" s="548"/>
      <c r="AY205" s="548"/>
      <c r="AZ205" s="548"/>
      <c r="BA205" s="548"/>
      <c r="BB205" s="548"/>
      <c r="BC205" s="548">
        <f t="shared" si="122"/>
        <v>5</v>
      </c>
      <c r="BD205" s="42">
        <f t="shared" si="130"/>
        <v>0</v>
      </c>
      <c r="BE205" s="42">
        <f t="shared" si="130"/>
        <v>17</v>
      </c>
      <c r="BF205" s="42">
        <f t="shared" si="130"/>
        <v>0</v>
      </c>
      <c r="BG205" s="42">
        <f t="shared" si="130"/>
        <v>0</v>
      </c>
      <c r="BH205" s="42">
        <f t="shared" si="130"/>
        <v>0</v>
      </c>
      <c r="BI205" s="42">
        <f t="shared" si="107"/>
        <v>0</v>
      </c>
      <c r="BJ205" s="42">
        <f t="shared" si="131"/>
        <v>0</v>
      </c>
      <c r="BK205" s="42">
        <f t="shared" si="131"/>
        <v>17</v>
      </c>
      <c r="BL205" s="3"/>
    </row>
    <row r="206" spans="1:64" ht="56.25" customHeight="1" x14ac:dyDescent="0.25">
      <c r="A206" s="298" t="s">
        <v>491</v>
      </c>
      <c r="B206" s="299" t="s">
        <v>489</v>
      </c>
      <c r="C206" s="1547"/>
      <c r="D206" s="1549"/>
      <c r="E206" s="1549"/>
      <c r="F206" s="1549"/>
      <c r="G206" s="1549"/>
      <c r="H206" s="1549"/>
      <c r="I206" s="1425"/>
      <c r="J206" s="1425"/>
      <c r="K206" s="1425" t="s">
        <v>645</v>
      </c>
      <c r="L206" s="301" t="s">
        <v>496</v>
      </c>
      <c r="M206" s="1425" t="s">
        <v>497</v>
      </c>
      <c r="N206" s="476"/>
      <c r="O206" s="1425" t="s">
        <v>73</v>
      </c>
      <c r="P206" s="16" t="s">
        <v>646</v>
      </c>
      <c r="Q206" s="302" t="s">
        <v>647</v>
      </c>
      <c r="R206" s="303">
        <v>2015</v>
      </c>
      <c r="S206" s="303">
        <v>0</v>
      </c>
      <c r="T206" s="303">
        <v>4</v>
      </c>
      <c r="U206" s="303">
        <v>4</v>
      </c>
      <c r="V206" s="303">
        <v>4</v>
      </c>
      <c r="W206" s="303">
        <v>4</v>
      </c>
      <c r="X206" s="303">
        <v>4</v>
      </c>
      <c r="Y206" s="481"/>
      <c r="Z206" s="481">
        <v>16</v>
      </c>
      <c r="AA206" s="481"/>
      <c r="AB206" s="481"/>
      <c r="AC206" s="481"/>
      <c r="AD206" s="481"/>
      <c r="AE206" s="481"/>
      <c r="AF206" s="481">
        <f t="shared" si="118"/>
        <v>16</v>
      </c>
      <c r="AG206" s="548"/>
      <c r="AH206" s="548">
        <v>16</v>
      </c>
      <c r="AI206" s="548"/>
      <c r="AJ206" s="548"/>
      <c r="AK206" s="548"/>
      <c r="AL206" s="548"/>
      <c r="AM206" s="548">
        <f t="shared" si="119"/>
        <v>16</v>
      </c>
      <c r="AN206" s="481"/>
      <c r="AO206" s="481">
        <v>16</v>
      </c>
      <c r="AP206" s="481"/>
      <c r="AQ206" s="481"/>
      <c r="AR206" s="481"/>
      <c r="AS206" s="481"/>
      <c r="AT206" s="481"/>
      <c r="AU206" s="481">
        <f t="shared" si="120"/>
        <v>16</v>
      </c>
      <c r="AV206" s="548"/>
      <c r="AW206" s="548">
        <v>16</v>
      </c>
      <c r="AX206" s="548"/>
      <c r="AY206" s="548"/>
      <c r="AZ206" s="548"/>
      <c r="BA206" s="548"/>
      <c r="BB206" s="548"/>
      <c r="BC206" s="548">
        <f t="shared" si="122"/>
        <v>16</v>
      </c>
      <c r="BD206" s="42">
        <f t="shared" si="130"/>
        <v>0</v>
      </c>
      <c r="BE206" s="42">
        <f t="shared" si="130"/>
        <v>64</v>
      </c>
      <c r="BF206" s="42">
        <f t="shared" si="130"/>
        <v>0</v>
      </c>
      <c r="BG206" s="42">
        <f t="shared" si="130"/>
        <v>0</v>
      </c>
      <c r="BH206" s="42">
        <f t="shared" si="130"/>
        <v>0</v>
      </c>
      <c r="BI206" s="42">
        <f t="shared" si="107"/>
        <v>0</v>
      </c>
      <c r="BJ206" s="42">
        <f t="shared" si="131"/>
        <v>0</v>
      </c>
      <c r="BK206" s="42">
        <f t="shared" si="131"/>
        <v>64</v>
      </c>
      <c r="BL206" s="3"/>
    </row>
    <row r="207" spans="1:64" ht="52.5" customHeight="1" x14ac:dyDescent="0.25">
      <c r="A207" s="298" t="s">
        <v>491</v>
      </c>
      <c r="B207" s="299" t="s">
        <v>489</v>
      </c>
      <c r="C207" s="1547"/>
      <c r="D207" s="1549"/>
      <c r="E207" s="1549"/>
      <c r="F207" s="1549"/>
      <c r="G207" s="1549"/>
      <c r="H207" s="1549"/>
      <c r="I207" s="1425" t="s">
        <v>53</v>
      </c>
      <c r="J207" s="1425"/>
      <c r="K207" s="1425" t="s">
        <v>648</v>
      </c>
      <c r="L207" s="301" t="s">
        <v>496</v>
      </c>
      <c r="M207" s="1425" t="s">
        <v>497</v>
      </c>
      <c r="N207" s="476"/>
      <c r="O207" s="1425" t="s">
        <v>47</v>
      </c>
      <c r="P207" s="16" t="s">
        <v>649</v>
      </c>
      <c r="Q207" s="302" t="s">
        <v>650</v>
      </c>
      <c r="R207" s="303">
        <v>2015</v>
      </c>
      <c r="S207" s="303">
        <v>0</v>
      </c>
      <c r="T207" s="303">
        <v>1</v>
      </c>
      <c r="U207" s="303">
        <v>0</v>
      </c>
      <c r="V207" s="303">
        <v>0</v>
      </c>
      <c r="W207" s="303">
        <v>0</v>
      </c>
      <c r="X207" s="303">
        <v>1</v>
      </c>
      <c r="Y207" s="481"/>
      <c r="Z207" s="481"/>
      <c r="AA207" s="481"/>
      <c r="AB207" s="481">
        <v>500</v>
      </c>
      <c r="AC207" s="481"/>
      <c r="AD207" s="481"/>
      <c r="AE207" s="481"/>
      <c r="AF207" s="481">
        <f t="shared" si="118"/>
        <v>500</v>
      </c>
      <c r="AG207" s="548"/>
      <c r="AH207" s="548"/>
      <c r="AI207" s="548"/>
      <c r="AJ207" s="548">
        <v>0</v>
      </c>
      <c r="AK207" s="548"/>
      <c r="AL207" s="548"/>
      <c r="AM207" s="548">
        <f t="shared" si="119"/>
        <v>0</v>
      </c>
      <c r="AN207" s="481"/>
      <c r="AO207" s="481"/>
      <c r="AP207" s="481"/>
      <c r="AQ207" s="481">
        <v>0</v>
      </c>
      <c r="AR207" s="481"/>
      <c r="AS207" s="481"/>
      <c r="AT207" s="481"/>
      <c r="AU207" s="481">
        <f t="shared" si="120"/>
        <v>0</v>
      </c>
      <c r="AV207" s="548"/>
      <c r="AW207" s="548"/>
      <c r="AX207" s="548"/>
      <c r="AY207" s="548">
        <v>0</v>
      </c>
      <c r="AZ207" s="548"/>
      <c r="BA207" s="548"/>
      <c r="BB207" s="548"/>
      <c r="BC207" s="548">
        <f t="shared" si="122"/>
        <v>0</v>
      </c>
      <c r="BD207" s="42">
        <f t="shared" si="130"/>
        <v>0</v>
      </c>
      <c r="BE207" s="42">
        <f t="shared" si="130"/>
        <v>0</v>
      </c>
      <c r="BF207" s="42">
        <f t="shared" si="130"/>
        <v>0</v>
      </c>
      <c r="BG207" s="42">
        <f t="shared" si="130"/>
        <v>500</v>
      </c>
      <c r="BH207" s="42">
        <f t="shared" si="130"/>
        <v>0</v>
      </c>
      <c r="BI207" s="42">
        <f t="shared" ref="BI207:BI270" si="133">+AD207+AS207+BA207</f>
        <v>0</v>
      </c>
      <c r="BJ207" s="42">
        <f t="shared" si="131"/>
        <v>0</v>
      </c>
      <c r="BK207" s="42">
        <f t="shared" si="131"/>
        <v>500</v>
      </c>
      <c r="BL207" s="3"/>
    </row>
    <row r="208" spans="1:64" ht="47.25" customHeight="1" x14ac:dyDescent="0.25">
      <c r="A208" s="298" t="s">
        <v>491</v>
      </c>
      <c r="B208" s="299" t="s">
        <v>489</v>
      </c>
      <c r="C208" s="1547"/>
      <c r="D208" s="1549"/>
      <c r="E208" s="1549"/>
      <c r="F208" s="1549"/>
      <c r="G208" s="1549"/>
      <c r="H208" s="1549"/>
      <c r="I208" s="1425"/>
      <c r="J208" s="1425"/>
      <c r="K208" s="1425" t="s">
        <v>651</v>
      </c>
      <c r="L208" s="301" t="s">
        <v>496</v>
      </c>
      <c r="M208" s="1425" t="s">
        <v>497</v>
      </c>
      <c r="N208" s="476"/>
      <c r="O208" s="1425" t="s">
        <v>73</v>
      </c>
      <c r="P208" s="71" t="s">
        <v>652</v>
      </c>
      <c r="Q208" s="302" t="s">
        <v>653</v>
      </c>
      <c r="R208" s="303">
        <v>2015</v>
      </c>
      <c r="S208" s="303">
        <v>0</v>
      </c>
      <c r="T208" s="303">
        <v>1</v>
      </c>
      <c r="U208" s="303">
        <v>1</v>
      </c>
      <c r="V208" s="303">
        <v>1</v>
      </c>
      <c r="W208" s="303">
        <v>1</v>
      </c>
      <c r="X208" s="303">
        <v>1</v>
      </c>
      <c r="Y208" s="481"/>
      <c r="Z208" s="481">
        <v>1</v>
      </c>
      <c r="AA208" s="481"/>
      <c r="AB208" s="481"/>
      <c r="AC208" s="481"/>
      <c r="AD208" s="481">
        <v>3.72</v>
      </c>
      <c r="AE208" s="481"/>
      <c r="AF208" s="481">
        <f t="shared" si="118"/>
        <v>4.7200000000000006</v>
      </c>
      <c r="AG208" s="548"/>
      <c r="AH208" s="548">
        <v>1</v>
      </c>
      <c r="AI208" s="548"/>
      <c r="AJ208" s="548"/>
      <c r="AK208" s="548"/>
      <c r="AL208" s="548"/>
      <c r="AM208" s="548">
        <f t="shared" si="119"/>
        <v>1</v>
      </c>
      <c r="AN208" s="481"/>
      <c r="AO208" s="481">
        <v>1</v>
      </c>
      <c r="AP208" s="481"/>
      <c r="AQ208" s="481"/>
      <c r="AR208" s="481"/>
      <c r="AS208" s="481"/>
      <c r="AT208" s="481"/>
      <c r="AU208" s="481">
        <f t="shared" si="120"/>
        <v>1</v>
      </c>
      <c r="AV208" s="548"/>
      <c r="AW208" s="548">
        <v>1</v>
      </c>
      <c r="AX208" s="548"/>
      <c r="AY208" s="548"/>
      <c r="AZ208" s="548"/>
      <c r="BA208" s="548"/>
      <c r="BB208" s="548"/>
      <c r="BC208" s="548">
        <f t="shared" si="122"/>
        <v>1</v>
      </c>
      <c r="BD208" s="42">
        <f t="shared" si="130"/>
        <v>0</v>
      </c>
      <c r="BE208" s="42">
        <f t="shared" si="130"/>
        <v>4</v>
      </c>
      <c r="BF208" s="42">
        <f t="shared" si="130"/>
        <v>0</v>
      </c>
      <c r="BG208" s="42">
        <f t="shared" si="130"/>
        <v>0</v>
      </c>
      <c r="BH208" s="42">
        <f t="shared" si="130"/>
        <v>0</v>
      </c>
      <c r="BI208" s="42">
        <f t="shared" si="133"/>
        <v>3.72</v>
      </c>
      <c r="BJ208" s="42">
        <f t="shared" si="131"/>
        <v>0</v>
      </c>
      <c r="BK208" s="42">
        <f t="shared" si="131"/>
        <v>7.7200000000000006</v>
      </c>
      <c r="BL208" s="3"/>
    </row>
    <row r="209" spans="1:64" ht="50.25" customHeight="1" x14ac:dyDescent="0.25">
      <c r="A209" s="298" t="s">
        <v>491</v>
      </c>
      <c r="B209" s="299" t="s">
        <v>489</v>
      </c>
      <c r="C209" s="1547"/>
      <c r="D209" s="1549"/>
      <c r="E209" s="1549"/>
      <c r="F209" s="1549"/>
      <c r="G209" s="1549"/>
      <c r="H209" s="1549"/>
      <c r="I209" s="1425"/>
      <c r="J209" s="1425"/>
      <c r="K209" s="1425" t="s">
        <v>654</v>
      </c>
      <c r="L209" s="301" t="s">
        <v>496</v>
      </c>
      <c r="M209" s="1425" t="s">
        <v>497</v>
      </c>
      <c r="N209" s="476"/>
      <c r="O209" s="1425" t="s">
        <v>47</v>
      </c>
      <c r="P209" s="71" t="s">
        <v>655</v>
      </c>
      <c r="Q209" s="302" t="s">
        <v>656</v>
      </c>
      <c r="R209" s="303">
        <v>2015</v>
      </c>
      <c r="S209" s="303">
        <v>0</v>
      </c>
      <c r="T209" s="303">
        <v>1</v>
      </c>
      <c r="U209" s="303">
        <v>1</v>
      </c>
      <c r="V209" s="303">
        <v>1</v>
      </c>
      <c r="W209" s="303">
        <v>1</v>
      </c>
      <c r="X209" s="303">
        <v>8</v>
      </c>
      <c r="Y209" s="481"/>
      <c r="Z209" s="481">
        <v>4</v>
      </c>
      <c r="AA209" s="481"/>
      <c r="AB209" s="481"/>
      <c r="AC209" s="481"/>
      <c r="AD209" s="481">
        <v>6</v>
      </c>
      <c r="AE209" s="481"/>
      <c r="AF209" s="481">
        <f t="shared" si="118"/>
        <v>10</v>
      </c>
      <c r="AG209" s="548"/>
      <c r="AH209" s="548">
        <v>4</v>
      </c>
      <c r="AI209" s="548"/>
      <c r="AJ209" s="548"/>
      <c r="AK209" s="548"/>
      <c r="AL209" s="548"/>
      <c r="AM209" s="548">
        <f t="shared" si="119"/>
        <v>4</v>
      </c>
      <c r="AN209" s="481"/>
      <c r="AO209" s="481">
        <v>4</v>
      </c>
      <c r="AP209" s="481"/>
      <c r="AQ209" s="481"/>
      <c r="AR209" s="481"/>
      <c r="AS209" s="481"/>
      <c r="AT209" s="481"/>
      <c r="AU209" s="481">
        <f t="shared" si="120"/>
        <v>4</v>
      </c>
      <c r="AV209" s="548"/>
      <c r="AW209" s="548">
        <v>4</v>
      </c>
      <c r="AX209" s="548"/>
      <c r="AY209" s="548"/>
      <c r="AZ209" s="548"/>
      <c r="BA209" s="548"/>
      <c r="BB209" s="548"/>
      <c r="BC209" s="548">
        <f t="shared" si="122"/>
        <v>4</v>
      </c>
      <c r="BD209" s="42">
        <f t="shared" si="130"/>
        <v>0</v>
      </c>
      <c r="BE209" s="42">
        <f t="shared" si="130"/>
        <v>16</v>
      </c>
      <c r="BF209" s="42">
        <f t="shared" si="130"/>
        <v>0</v>
      </c>
      <c r="BG209" s="42">
        <f t="shared" si="130"/>
        <v>0</v>
      </c>
      <c r="BH209" s="42">
        <f t="shared" si="130"/>
        <v>0</v>
      </c>
      <c r="BI209" s="42">
        <f t="shared" si="133"/>
        <v>6</v>
      </c>
      <c r="BJ209" s="42">
        <f t="shared" si="131"/>
        <v>0</v>
      </c>
      <c r="BK209" s="42">
        <f t="shared" si="131"/>
        <v>22</v>
      </c>
      <c r="BL209" s="3"/>
    </row>
    <row r="210" spans="1:64" ht="39.75" customHeight="1" x14ac:dyDescent="0.25">
      <c r="A210" s="298" t="s">
        <v>491</v>
      </c>
      <c r="B210" s="299" t="s">
        <v>489</v>
      </c>
      <c r="C210" s="1547"/>
      <c r="D210" s="1549"/>
      <c r="E210" s="1549"/>
      <c r="F210" s="1549"/>
      <c r="G210" s="1549"/>
      <c r="H210" s="1549"/>
      <c r="I210" s="1425"/>
      <c r="J210" s="1425"/>
      <c r="K210" s="1425" t="s">
        <v>657</v>
      </c>
      <c r="L210" s="301" t="s">
        <v>496</v>
      </c>
      <c r="M210" s="1425" t="s">
        <v>497</v>
      </c>
      <c r="N210" s="476"/>
      <c r="O210" s="1425" t="s">
        <v>73</v>
      </c>
      <c r="P210" s="71" t="s">
        <v>658</v>
      </c>
      <c r="Q210" s="302" t="s">
        <v>659</v>
      </c>
      <c r="R210" s="303">
        <v>2015</v>
      </c>
      <c r="S210" s="303">
        <v>1</v>
      </c>
      <c r="T210" s="303">
        <v>1</v>
      </c>
      <c r="U210" s="303">
        <v>1</v>
      </c>
      <c r="V210" s="303">
        <v>1</v>
      </c>
      <c r="W210" s="303">
        <v>1</v>
      </c>
      <c r="X210" s="303">
        <v>1</v>
      </c>
      <c r="Y210" s="481"/>
      <c r="Z210" s="481">
        <v>12</v>
      </c>
      <c r="AA210" s="481"/>
      <c r="AB210" s="481"/>
      <c r="AC210" s="481"/>
      <c r="AD210" s="481"/>
      <c r="AE210" s="481"/>
      <c r="AF210" s="481">
        <f t="shared" si="118"/>
        <v>12</v>
      </c>
      <c r="AG210" s="548"/>
      <c r="AH210" s="548">
        <v>12</v>
      </c>
      <c r="AI210" s="548"/>
      <c r="AJ210" s="548"/>
      <c r="AK210" s="548"/>
      <c r="AL210" s="548"/>
      <c r="AM210" s="548">
        <f t="shared" si="119"/>
        <v>12</v>
      </c>
      <c r="AN210" s="481"/>
      <c r="AO210" s="481">
        <v>12</v>
      </c>
      <c r="AP210" s="481"/>
      <c r="AQ210" s="481"/>
      <c r="AR210" s="481"/>
      <c r="AS210" s="481"/>
      <c r="AT210" s="481"/>
      <c r="AU210" s="481">
        <f t="shared" si="120"/>
        <v>12</v>
      </c>
      <c r="AV210" s="548"/>
      <c r="AW210" s="548">
        <v>12</v>
      </c>
      <c r="AX210" s="548"/>
      <c r="AY210" s="548"/>
      <c r="AZ210" s="548"/>
      <c r="BA210" s="548"/>
      <c r="BB210" s="548"/>
      <c r="BC210" s="548">
        <f t="shared" si="122"/>
        <v>12</v>
      </c>
      <c r="BD210" s="42">
        <f t="shared" si="130"/>
        <v>0</v>
      </c>
      <c r="BE210" s="42">
        <f t="shared" si="130"/>
        <v>48</v>
      </c>
      <c r="BF210" s="42">
        <f t="shared" si="130"/>
        <v>0</v>
      </c>
      <c r="BG210" s="42">
        <f t="shared" si="130"/>
        <v>0</v>
      </c>
      <c r="BH210" s="42">
        <f t="shared" si="130"/>
        <v>0</v>
      </c>
      <c r="BI210" s="42">
        <f t="shared" si="133"/>
        <v>0</v>
      </c>
      <c r="BJ210" s="42">
        <f t="shared" si="131"/>
        <v>0</v>
      </c>
      <c r="BK210" s="42">
        <f t="shared" si="131"/>
        <v>48</v>
      </c>
      <c r="BL210" s="3"/>
    </row>
    <row r="211" spans="1:64" ht="39.75" customHeight="1" x14ac:dyDescent="0.25">
      <c r="A211" s="298" t="s">
        <v>491</v>
      </c>
      <c r="B211" s="299" t="s">
        <v>489</v>
      </c>
      <c r="C211" s="1548"/>
      <c r="D211" s="1549"/>
      <c r="E211" s="1549"/>
      <c r="F211" s="1549"/>
      <c r="G211" s="1549"/>
      <c r="H211" s="1549"/>
      <c r="I211" s="1425"/>
      <c r="J211" s="1425"/>
      <c r="K211" s="1425" t="s">
        <v>660</v>
      </c>
      <c r="L211" s="301" t="s">
        <v>496</v>
      </c>
      <c r="M211" s="1425" t="s">
        <v>497</v>
      </c>
      <c r="N211" s="476"/>
      <c r="O211" s="1425" t="s">
        <v>73</v>
      </c>
      <c r="P211" s="71" t="s">
        <v>661</v>
      </c>
      <c r="Q211" s="302" t="s">
        <v>659</v>
      </c>
      <c r="R211" s="303">
        <v>2015</v>
      </c>
      <c r="S211" s="303">
        <v>1</v>
      </c>
      <c r="T211" s="303">
        <v>1</v>
      </c>
      <c r="U211" s="303">
        <v>1</v>
      </c>
      <c r="V211" s="303">
        <v>1</v>
      </c>
      <c r="W211" s="303">
        <v>1</v>
      </c>
      <c r="X211" s="303">
        <v>1</v>
      </c>
      <c r="Y211" s="481"/>
      <c r="Z211" s="481">
        <v>14.5</v>
      </c>
      <c r="AA211" s="481"/>
      <c r="AB211" s="481"/>
      <c r="AC211" s="481"/>
      <c r="AD211" s="481"/>
      <c r="AE211" s="481"/>
      <c r="AF211" s="481">
        <f t="shared" si="118"/>
        <v>14.5</v>
      </c>
      <c r="AG211" s="548"/>
      <c r="AH211" s="548">
        <v>14.5</v>
      </c>
      <c r="AI211" s="548"/>
      <c r="AJ211" s="548"/>
      <c r="AK211" s="548"/>
      <c r="AL211" s="548"/>
      <c r="AM211" s="548">
        <f t="shared" si="119"/>
        <v>14.5</v>
      </c>
      <c r="AN211" s="481"/>
      <c r="AO211" s="481">
        <v>14.5</v>
      </c>
      <c r="AP211" s="481"/>
      <c r="AQ211" s="481"/>
      <c r="AR211" s="481"/>
      <c r="AS211" s="481"/>
      <c r="AT211" s="481"/>
      <c r="AU211" s="481">
        <f t="shared" si="120"/>
        <v>14.5</v>
      </c>
      <c r="AV211" s="548"/>
      <c r="AW211" s="548">
        <v>14.5</v>
      </c>
      <c r="AX211" s="548"/>
      <c r="AY211" s="548"/>
      <c r="AZ211" s="548"/>
      <c r="BA211" s="548"/>
      <c r="BB211" s="548"/>
      <c r="BC211" s="548">
        <f t="shared" si="122"/>
        <v>14.5</v>
      </c>
      <c r="BD211" s="42">
        <f t="shared" si="130"/>
        <v>0</v>
      </c>
      <c r="BE211" s="42">
        <f t="shared" si="130"/>
        <v>58</v>
      </c>
      <c r="BF211" s="42">
        <f t="shared" si="130"/>
        <v>0</v>
      </c>
      <c r="BG211" s="42">
        <f t="shared" si="130"/>
        <v>0</v>
      </c>
      <c r="BH211" s="42">
        <f t="shared" si="130"/>
        <v>0</v>
      </c>
      <c r="BI211" s="42">
        <f t="shared" si="133"/>
        <v>0</v>
      </c>
      <c r="BJ211" s="42">
        <f t="shared" si="131"/>
        <v>0</v>
      </c>
      <c r="BK211" s="42">
        <f t="shared" si="131"/>
        <v>58</v>
      </c>
      <c r="BL211" s="3"/>
    </row>
    <row r="212" spans="1:64" ht="39.6" x14ac:dyDescent="0.25">
      <c r="A212" s="295" t="s">
        <v>491</v>
      </c>
      <c r="B212" s="24" t="s">
        <v>489</v>
      </c>
      <c r="C212" s="6"/>
      <c r="D212" s="2" t="s">
        <v>662</v>
      </c>
      <c r="E212" s="1"/>
      <c r="F212" s="1"/>
      <c r="G212" s="1"/>
      <c r="H212" s="1"/>
      <c r="I212" s="1"/>
      <c r="J212" s="1"/>
      <c r="K212" s="1"/>
      <c r="L212" s="1"/>
      <c r="M212" s="1"/>
      <c r="N212" s="1"/>
      <c r="O212" s="1"/>
      <c r="P212" s="22" t="s">
        <v>663</v>
      </c>
      <c r="Q212" s="22"/>
      <c r="R212" s="1"/>
      <c r="S212" s="1"/>
      <c r="T212" s="1"/>
      <c r="U212" s="1"/>
      <c r="V212" s="1"/>
      <c r="W212" s="1"/>
      <c r="X212" s="1"/>
      <c r="Y212" s="34">
        <f>SUM(Y213:Y220)</f>
        <v>10</v>
      </c>
      <c r="Z212" s="34">
        <f t="shared" ref="Z212:BK212" si="134">SUM(Z213:Z220)</f>
        <v>0</v>
      </c>
      <c r="AA212" s="34">
        <f t="shared" si="134"/>
        <v>2.66</v>
      </c>
      <c r="AB212" s="34">
        <f t="shared" si="134"/>
        <v>0</v>
      </c>
      <c r="AC212" s="34">
        <f t="shared" si="134"/>
        <v>0</v>
      </c>
      <c r="AD212" s="34">
        <f t="shared" si="134"/>
        <v>0</v>
      </c>
      <c r="AE212" s="34">
        <f t="shared" si="134"/>
        <v>0</v>
      </c>
      <c r="AF212" s="34">
        <f t="shared" si="134"/>
        <v>12.66</v>
      </c>
      <c r="AG212" s="34">
        <f t="shared" si="134"/>
        <v>10</v>
      </c>
      <c r="AH212" s="34">
        <f t="shared" si="134"/>
        <v>0</v>
      </c>
      <c r="AI212" s="34">
        <f t="shared" si="134"/>
        <v>2.66</v>
      </c>
      <c r="AJ212" s="34">
        <f t="shared" si="134"/>
        <v>0</v>
      </c>
      <c r="AK212" s="34">
        <f t="shared" si="134"/>
        <v>0</v>
      </c>
      <c r="AL212" s="34">
        <f t="shared" si="134"/>
        <v>0</v>
      </c>
      <c r="AM212" s="34">
        <f t="shared" si="134"/>
        <v>12.66</v>
      </c>
      <c r="AN212" s="34">
        <f t="shared" si="134"/>
        <v>10</v>
      </c>
      <c r="AO212" s="34">
        <f t="shared" si="134"/>
        <v>0</v>
      </c>
      <c r="AP212" s="34">
        <f t="shared" si="134"/>
        <v>2.66</v>
      </c>
      <c r="AQ212" s="34">
        <f t="shared" si="134"/>
        <v>0</v>
      </c>
      <c r="AR212" s="34">
        <f t="shared" si="134"/>
        <v>0</v>
      </c>
      <c r="AS212" s="34">
        <f t="shared" si="134"/>
        <v>0</v>
      </c>
      <c r="AT212" s="34">
        <f t="shared" si="134"/>
        <v>0</v>
      </c>
      <c r="AU212" s="34">
        <f t="shared" si="134"/>
        <v>12.66</v>
      </c>
      <c r="AV212" s="34">
        <f t="shared" si="134"/>
        <v>10</v>
      </c>
      <c r="AW212" s="34">
        <f t="shared" si="134"/>
        <v>0</v>
      </c>
      <c r="AX212" s="34">
        <f t="shared" si="134"/>
        <v>2.66</v>
      </c>
      <c r="AY212" s="34">
        <f t="shared" si="134"/>
        <v>0</v>
      </c>
      <c r="AZ212" s="34">
        <f t="shared" si="134"/>
        <v>0</v>
      </c>
      <c r="BA212" s="34">
        <f t="shared" si="134"/>
        <v>0</v>
      </c>
      <c r="BB212" s="34">
        <f t="shared" si="134"/>
        <v>0</v>
      </c>
      <c r="BC212" s="34">
        <f t="shared" si="134"/>
        <v>12.66</v>
      </c>
      <c r="BD212" s="34">
        <f t="shared" si="134"/>
        <v>40</v>
      </c>
      <c r="BE212" s="34">
        <f t="shared" si="134"/>
        <v>0</v>
      </c>
      <c r="BF212" s="34">
        <f t="shared" si="134"/>
        <v>10.64</v>
      </c>
      <c r="BG212" s="34">
        <f t="shared" si="134"/>
        <v>0</v>
      </c>
      <c r="BH212" s="34">
        <f t="shared" si="134"/>
        <v>0</v>
      </c>
      <c r="BI212" s="34">
        <f t="shared" si="133"/>
        <v>0</v>
      </c>
      <c r="BJ212" s="34">
        <f t="shared" si="134"/>
        <v>0</v>
      </c>
      <c r="BK212" s="34">
        <f t="shared" si="134"/>
        <v>50.64</v>
      </c>
      <c r="BL212" s="3"/>
    </row>
    <row r="213" spans="1:64" ht="61.5" customHeight="1" x14ac:dyDescent="0.25">
      <c r="A213" s="298" t="s">
        <v>491</v>
      </c>
      <c r="B213" s="299" t="s">
        <v>489</v>
      </c>
      <c r="C213" s="1546" t="s">
        <v>664</v>
      </c>
      <c r="D213" s="1549" t="s">
        <v>665</v>
      </c>
      <c r="E213" s="1549" t="s">
        <v>252</v>
      </c>
      <c r="F213" s="1549">
        <v>2015</v>
      </c>
      <c r="G213" s="1562">
        <v>11672</v>
      </c>
      <c r="H213" s="1562">
        <v>13500</v>
      </c>
      <c r="I213" s="1428"/>
      <c r="J213" s="1428"/>
      <c r="K213" s="1428" t="s">
        <v>666</v>
      </c>
      <c r="L213" s="301" t="s">
        <v>496</v>
      </c>
      <c r="M213" s="1425" t="s">
        <v>497</v>
      </c>
      <c r="N213" s="476"/>
      <c r="O213" s="1425" t="s">
        <v>73</v>
      </c>
      <c r="P213" s="16" t="s">
        <v>667</v>
      </c>
      <c r="Q213" s="302" t="s">
        <v>668</v>
      </c>
      <c r="R213" s="303">
        <v>2015</v>
      </c>
      <c r="S213" s="303">
        <v>0</v>
      </c>
      <c r="T213" s="303">
        <v>1</v>
      </c>
      <c r="U213" s="303">
        <v>1</v>
      </c>
      <c r="V213" s="303">
        <v>1</v>
      </c>
      <c r="W213" s="303">
        <v>1</v>
      </c>
      <c r="X213" s="303">
        <v>1</v>
      </c>
      <c r="Y213" s="481"/>
      <c r="Z213" s="481"/>
      <c r="AA213" s="481">
        <v>2.66</v>
      </c>
      <c r="AB213" s="481"/>
      <c r="AC213" s="481"/>
      <c r="AD213" s="481"/>
      <c r="AE213" s="481"/>
      <c r="AF213" s="481">
        <f t="shared" si="118"/>
        <v>2.66</v>
      </c>
      <c r="AG213" s="548"/>
      <c r="AH213" s="548"/>
      <c r="AI213" s="548">
        <v>2.66</v>
      </c>
      <c r="AJ213" s="548"/>
      <c r="AK213" s="548"/>
      <c r="AL213" s="548"/>
      <c r="AM213" s="548">
        <f t="shared" si="119"/>
        <v>2.66</v>
      </c>
      <c r="AN213" s="481"/>
      <c r="AO213" s="481"/>
      <c r="AP213" s="481">
        <v>2.66</v>
      </c>
      <c r="AQ213" s="481"/>
      <c r="AR213" s="481"/>
      <c r="AS213" s="481"/>
      <c r="AT213" s="481"/>
      <c r="AU213" s="481">
        <f t="shared" si="120"/>
        <v>2.66</v>
      </c>
      <c r="AV213" s="548"/>
      <c r="AW213" s="548"/>
      <c r="AX213" s="548">
        <v>2.66</v>
      </c>
      <c r="AY213" s="548"/>
      <c r="AZ213" s="548"/>
      <c r="BA213" s="548"/>
      <c r="BB213" s="548"/>
      <c r="BC213" s="548">
        <f t="shared" si="122"/>
        <v>2.66</v>
      </c>
      <c r="BD213" s="42">
        <f t="shared" si="130"/>
        <v>0</v>
      </c>
      <c r="BE213" s="42">
        <f t="shared" si="130"/>
        <v>0</v>
      </c>
      <c r="BF213" s="42">
        <f t="shared" si="130"/>
        <v>10.64</v>
      </c>
      <c r="BG213" s="42">
        <f t="shared" si="130"/>
        <v>0</v>
      </c>
      <c r="BH213" s="42">
        <f t="shared" si="130"/>
        <v>0</v>
      </c>
      <c r="BI213" s="42">
        <f t="shared" si="133"/>
        <v>0</v>
      </c>
      <c r="BJ213" s="42">
        <f t="shared" si="131"/>
        <v>0</v>
      </c>
      <c r="BK213" s="42">
        <f t="shared" si="131"/>
        <v>10.64</v>
      </c>
      <c r="BL213" s="3"/>
    </row>
    <row r="214" spans="1:64" ht="62.25" customHeight="1" x14ac:dyDescent="0.25">
      <c r="A214" s="298" t="s">
        <v>491</v>
      </c>
      <c r="B214" s="299" t="s">
        <v>489</v>
      </c>
      <c r="C214" s="1547"/>
      <c r="D214" s="1549"/>
      <c r="E214" s="1549"/>
      <c r="F214" s="1549"/>
      <c r="G214" s="1549"/>
      <c r="H214" s="1549"/>
      <c r="I214" s="1425"/>
      <c r="J214" s="1425"/>
      <c r="K214" s="1428" t="s">
        <v>669</v>
      </c>
      <c r="L214" s="301" t="s">
        <v>496</v>
      </c>
      <c r="M214" s="1425" t="s">
        <v>497</v>
      </c>
      <c r="N214" s="476"/>
      <c r="O214" s="1425" t="s">
        <v>47</v>
      </c>
      <c r="P214" s="16" t="s">
        <v>670</v>
      </c>
      <c r="Q214" s="302" t="s">
        <v>337</v>
      </c>
      <c r="R214" s="303">
        <v>2015</v>
      </c>
      <c r="S214" s="303">
        <v>0</v>
      </c>
      <c r="T214" s="303">
        <v>1</v>
      </c>
      <c r="U214" s="303">
        <v>0</v>
      </c>
      <c r="V214" s="303">
        <v>1</v>
      </c>
      <c r="W214" s="303">
        <v>0</v>
      </c>
      <c r="X214" s="303">
        <v>2</v>
      </c>
      <c r="Y214" s="491">
        <v>2</v>
      </c>
      <c r="Z214" s="481"/>
      <c r="AA214" s="481"/>
      <c r="AB214" s="481"/>
      <c r="AC214" s="481"/>
      <c r="AD214" s="481"/>
      <c r="AE214" s="481"/>
      <c r="AF214" s="481">
        <f t="shared" si="118"/>
        <v>2</v>
      </c>
      <c r="AG214" s="548"/>
      <c r="AH214" s="548"/>
      <c r="AI214" s="548"/>
      <c r="AJ214" s="548"/>
      <c r="AK214" s="548"/>
      <c r="AL214" s="548"/>
      <c r="AM214" s="548">
        <f t="shared" si="119"/>
        <v>0</v>
      </c>
      <c r="AN214" s="491">
        <v>0.5</v>
      </c>
      <c r="AO214" s="481"/>
      <c r="AP214" s="481"/>
      <c r="AQ214" s="481"/>
      <c r="AR214" s="481"/>
      <c r="AS214" s="481"/>
      <c r="AT214" s="481"/>
      <c r="AU214" s="481">
        <f t="shared" si="120"/>
        <v>0.5</v>
      </c>
      <c r="AV214" s="548"/>
      <c r="AW214" s="548"/>
      <c r="AX214" s="548"/>
      <c r="AY214" s="548"/>
      <c r="AZ214" s="548"/>
      <c r="BA214" s="548"/>
      <c r="BB214" s="548"/>
      <c r="BC214" s="548">
        <f t="shared" si="122"/>
        <v>0</v>
      </c>
      <c r="BD214" s="42">
        <f t="shared" si="130"/>
        <v>2.5</v>
      </c>
      <c r="BE214" s="42">
        <f t="shared" si="130"/>
        <v>0</v>
      </c>
      <c r="BF214" s="42">
        <f t="shared" si="130"/>
        <v>0</v>
      </c>
      <c r="BG214" s="42">
        <f t="shared" si="130"/>
        <v>0</v>
      </c>
      <c r="BH214" s="42">
        <f t="shared" si="130"/>
        <v>0</v>
      </c>
      <c r="BI214" s="42">
        <f t="shared" si="133"/>
        <v>0</v>
      </c>
      <c r="BJ214" s="42">
        <f t="shared" si="131"/>
        <v>0</v>
      </c>
      <c r="BK214" s="42">
        <f t="shared" si="131"/>
        <v>2.5</v>
      </c>
      <c r="BL214" s="3"/>
    </row>
    <row r="215" spans="1:64" ht="65.25" customHeight="1" x14ac:dyDescent="0.25">
      <c r="A215" s="298" t="s">
        <v>491</v>
      </c>
      <c r="B215" s="299" t="s">
        <v>489</v>
      </c>
      <c r="C215" s="1547"/>
      <c r="D215" s="1549"/>
      <c r="E215" s="1549"/>
      <c r="F215" s="1549"/>
      <c r="G215" s="1549"/>
      <c r="H215" s="1549"/>
      <c r="I215" s="1425"/>
      <c r="J215" s="1425"/>
      <c r="K215" s="1428" t="s">
        <v>671</v>
      </c>
      <c r="L215" s="301" t="s">
        <v>496</v>
      </c>
      <c r="M215" s="1425" t="s">
        <v>497</v>
      </c>
      <c r="N215" s="476"/>
      <c r="O215" s="1425" t="s">
        <v>47</v>
      </c>
      <c r="P215" s="16" t="s">
        <v>672</v>
      </c>
      <c r="Q215" s="302" t="s">
        <v>673</v>
      </c>
      <c r="R215" s="303">
        <v>2015</v>
      </c>
      <c r="S215" s="303">
        <v>0</v>
      </c>
      <c r="T215" s="303">
        <v>0</v>
      </c>
      <c r="U215" s="303">
        <v>1</v>
      </c>
      <c r="V215" s="303">
        <v>1</v>
      </c>
      <c r="W215" s="303">
        <v>0</v>
      </c>
      <c r="X215" s="303">
        <v>2</v>
      </c>
      <c r="Y215" s="481"/>
      <c r="Z215" s="481"/>
      <c r="AA215" s="481"/>
      <c r="AB215" s="481"/>
      <c r="AC215" s="481"/>
      <c r="AD215" s="481"/>
      <c r="AE215" s="481"/>
      <c r="AF215" s="481">
        <f t="shared" si="118"/>
        <v>0</v>
      </c>
      <c r="AG215" s="491">
        <v>1</v>
      </c>
      <c r="AH215" s="548"/>
      <c r="AI215" s="548"/>
      <c r="AJ215" s="548"/>
      <c r="AK215" s="548"/>
      <c r="AL215" s="548"/>
      <c r="AM215" s="548">
        <f t="shared" si="119"/>
        <v>1</v>
      </c>
      <c r="AN215" s="491">
        <v>0.5</v>
      </c>
      <c r="AO215" s="481"/>
      <c r="AP215" s="481"/>
      <c r="AQ215" s="481"/>
      <c r="AR215" s="481"/>
      <c r="AS215" s="481"/>
      <c r="AT215" s="481"/>
      <c r="AU215" s="481">
        <f t="shared" si="120"/>
        <v>0.5</v>
      </c>
      <c r="AV215" s="548"/>
      <c r="AW215" s="548"/>
      <c r="AX215" s="548"/>
      <c r="AY215" s="548"/>
      <c r="AZ215" s="548"/>
      <c r="BA215" s="548"/>
      <c r="BB215" s="548"/>
      <c r="BC215" s="548">
        <f t="shared" si="122"/>
        <v>0</v>
      </c>
      <c r="BD215" s="42">
        <f t="shared" si="130"/>
        <v>1.5</v>
      </c>
      <c r="BE215" s="42">
        <f t="shared" si="130"/>
        <v>0</v>
      </c>
      <c r="BF215" s="42">
        <f t="shared" si="130"/>
        <v>0</v>
      </c>
      <c r="BG215" s="42">
        <f t="shared" si="130"/>
        <v>0</v>
      </c>
      <c r="BH215" s="42">
        <f t="shared" si="130"/>
        <v>0</v>
      </c>
      <c r="BI215" s="42">
        <f t="shared" si="133"/>
        <v>0</v>
      </c>
      <c r="BJ215" s="42">
        <f t="shared" si="131"/>
        <v>0</v>
      </c>
      <c r="BK215" s="42">
        <f t="shared" si="131"/>
        <v>1.5</v>
      </c>
      <c r="BL215" s="3"/>
    </row>
    <row r="216" spans="1:64" ht="60" customHeight="1" x14ac:dyDescent="0.25">
      <c r="A216" s="298" t="s">
        <v>491</v>
      </c>
      <c r="B216" s="299" t="s">
        <v>489</v>
      </c>
      <c r="C216" s="1547"/>
      <c r="D216" s="1549"/>
      <c r="E216" s="1549"/>
      <c r="F216" s="1549"/>
      <c r="G216" s="1549"/>
      <c r="H216" s="1549"/>
      <c r="I216" s="1425"/>
      <c r="J216" s="1425"/>
      <c r="K216" s="1428" t="s">
        <v>674</v>
      </c>
      <c r="L216" s="301" t="s">
        <v>496</v>
      </c>
      <c r="M216" s="1425" t="s">
        <v>497</v>
      </c>
      <c r="N216" s="476"/>
      <c r="O216" s="1425" t="s">
        <v>47</v>
      </c>
      <c r="P216" s="16" t="s">
        <v>675</v>
      </c>
      <c r="Q216" s="302" t="s">
        <v>676</v>
      </c>
      <c r="R216" s="303">
        <v>2015</v>
      </c>
      <c r="S216" s="303">
        <v>0</v>
      </c>
      <c r="T216" s="303">
        <v>1</v>
      </c>
      <c r="U216" s="303">
        <v>0</v>
      </c>
      <c r="V216" s="303">
        <v>1</v>
      </c>
      <c r="W216" s="303">
        <v>0</v>
      </c>
      <c r="X216" s="303">
        <v>2</v>
      </c>
      <c r="Y216" s="491">
        <v>5</v>
      </c>
      <c r="Z216" s="481"/>
      <c r="AA216" s="481"/>
      <c r="AB216" s="481"/>
      <c r="AC216" s="481"/>
      <c r="AD216" s="481"/>
      <c r="AE216" s="481"/>
      <c r="AF216" s="481">
        <f t="shared" si="118"/>
        <v>5</v>
      </c>
      <c r="AG216" s="548"/>
      <c r="AH216" s="548"/>
      <c r="AI216" s="548"/>
      <c r="AJ216" s="548"/>
      <c r="AK216" s="548"/>
      <c r="AL216" s="548"/>
      <c r="AM216" s="548">
        <f t="shared" si="119"/>
        <v>0</v>
      </c>
      <c r="AN216" s="491">
        <v>0.5</v>
      </c>
      <c r="AO216" s="481"/>
      <c r="AP216" s="481"/>
      <c r="AQ216" s="481"/>
      <c r="AR216" s="481"/>
      <c r="AS216" s="481"/>
      <c r="AT216" s="481"/>
      <c r="AU216" s="481">
        <f t="shared" si="120"/>
        <v>0.5</v>
      </c>
      <c r="AV216" s="548"/>
      <c r="AW216" s="548"/>
      <c r="AX216" s="548"/>
      <c r="AY216" s="548"/>
      <c r="AZ216" s="548"/>
      <c r="BA216" s="548"/>
      <c r="BB216" s="548"/>
      <c r="BC216" s="548">
        <f t="shared" si="122"/>
        <v>0</v>
      </c>
      <c r="BD216" s="42">
        <f t="shared" si="130"/>
        <v>5.5</v>
      </c>
      <c r="BE216" s="42">
        <f t="shared" si="130"/>
        <v>0</v>
      </c>
      <c r="BF216" s="42">
        <f t="shared" si="130"/>
        <v>0</v>
      </c>
      <c r="BG216" s="42">
        <f t="shared" si="130"/>
        <v>0</v>
      </c>
      <c r="BH216" s="42">
        <f t="shared" si="130"/>
        <v>0</v>
      </c>
      <c r="BI216" s="42">
        <f t="shared" si="133"/>
        <v>0</v>
      </c>
      <c r="BJ216" s="42">
        <f t="shared" si="131"/>
        <v>0</v>
      </c>
      <c r="BK216" s="42">
        <f t="shared" si="131"/>
        <v>5.5</v>
      </c>
      <c r="BL216" s="3"/>
    </row>
    <row r="217" spans="1:64" ht="54" customHeight="1" x14ac:dyDescent="0.25">
      <c r="A217" s="298" t="s">
        <v>491</v>
      </c>
      <c r="B217" s="299" t="s">
        <v>489</v>
      </c>
      <c r="C217" s="1547"/>
      <c r="D217" s="1549"/>
      <c r="E217" s="1549"/>
      <c r="F217" s="1549"/>
      <c r="G217" s="1549"/>
      <c r="H217" s="1549"/>
      <c r="I217" s="1425"/>
      <c r="J217" s="1425"/>
      <c r="K217" s="1428" t="s">
        <v>677</v>
      </c>
      <c r="L217" s="301" t="s">
        <v>496</v>
      </c>
      <c r="M217" s="1425" t="s">
        <v>497</v>
      </c>
      <c r="N217" s="476"/>
      <c r="O217" s="1425" t="s">
        <v>47</v>
      </c>
      <c r="P217" s="16" t="s">
        <v>678</v>
      </c>
      <c r="Q217" s="302" t="s">
        <v>679</v>
      </c>
      <c r="R217" s="303">
        <v>2015</v>
      </c>
      <c r="S217" s="303">
        <v>0</v>
      </c>
      <c r="T217" s="303">
        <v>0</v>
      </c>
      <c r="U217" s="303">
        <v>1</v>
      </c>
      <c r="V217" s="303">
        <v>0</v>
      </c>
      <c r="W217" s="303">
        <v>1</v>
      </c>
      <c r="X217" s="303">
        <v>2</v>
      </c>
      <c r="Y217" s="481"/>
      <c r="Z217" s="481"/>
      <c r="AA217" s="481"/>
      <c r="AB217" s="481"/>
      <c r="AC217" s="481"/>
      <c r="AD217" s="481"/>
      <c r="AE217" s="481"/>
      <c r="AF217" s="481">
        <f t="shared" si="118"/>
        <v>0</v>
      </c>
      <c r="AG217" s="491">
        <v>1</v>
      </c>
      <c r="AH217" s="548"/>
      <c r="AI217" s="548"/>
      <c r="AJ217" s="548"/>
      <c r="AK217" s="548"/>
      <c r="AL217" s="548"/>
      <c r="AM217" s="548">
        <f t="shared" si="119"/>
        <v>1</v>
      </c>
      <c r="AN217" s="481"/>
      <c r="AO217" s="481"/>
      <c r="AP217" s="481"/>
      <c r="AQ217" s="481"/>
      <c r="AR217" s="481"/>
      <c r="AS217" s="481"/>
      <c r="AT217" s="481"/>
      <c r="AU217" s="481">
        <f t="shared" si="120"/>
        <v>0</v>
      </c>
      <c r="AV217" s="491">
        <v>8</v>
      </c>
      <c r="AW217" s="548"/>
      <c r="AX217" s="548"/>
      <c r="AY217" s="548"/>
      <c r="AZ217" s="548"/>
      <c r="BA217" s="548"/>
      <c r="BB217" s="548"/>
      <c r="BC217" s="548">
        <f t="shared" si="122"/>
        <v>8</v>
      </c>
      <c r="BD217" s="42">
        <f t="shared" si="130"/>
        <v>9</v>
      </c>
      <c r="BE217" s="42">
        <f t="shared" si="130"/>
        <v>0</v>
      </c>
      <c r="BF217" s="42">
        <f t="shared" si="130"/>
        <v>0</v>
      </c>
      <c r="BG217" s="42">
        <f t="shared" si="130"/>
        <v>0</v>
      </c>
      <c r="BH217" s="42">
        <f t="shared" si="130"/>
        <v>0</v>
      </c>
      <c r="BI217" s="42">
        <f t="shared" si="133"/>
        <v>0</v>
      </c>
      <c r="BJ217" s="42">
        <f t="shared" si="131"/>
        <v>0</v>
      </c>
      <c r="BK217" s="42">
        <f t="shared" si="131"/>
        <v>9</v>
      </c>
      <c r="BL217" s="3"/>
    </row>
    <row r="218" spans="1:64" ht="58.5" customHeight="1" x14ac:dyDescent="0.25">
      <c r="A218" s="298" t="s">
        <v>491</v>
      </c>
      <c r="B218" s="299" t="s">
        <v>489</v>
      </c>
      <c r="C218" s="1547"/>
      <c r="D218" s="1549"/>
      <c r="E218" s="1549"/>
      <c r="F218" s="1549"/>
      <c r="G218" s="1549"/>
      <c r="H218" s="1549"/>
      <c r="I218" s="1425"/>
      <c r="J218" s="1425"/>
      <c r="K218" s="1428" t="s">
        <v>680</v>
      </c>
      <c r="L218" s="301" t="s">
        <v>496</v>
      </c>
      <c r="M218" s="1425" t="s">
        <v>497</v>
      </c>
      <c r="N218" s="476"/>
      <c r="O218" s="1425" t="s">
        <v>73</v>
      </c>
      <c r="P218" s="16" t="s">
        <v>681</v>
      </c>
      <c r="Q218" s="302" t="s">
        <v>682</v>
      </c>
      <c r="R218" s="303">
        <v>2015</v>
      </c>
      <c r="S218" s="303">
        <v>0</v>
      </c>
      <c r="T218" s="303">
        <v>1</v>
      </c>
      <c r="U218" s="303">
        <v>1</v>
      </c>
      <c r="V218" s="303">
        <v>1</v>
      </c>
      <c r="W218" s="303">
        <v>1</v>
      </c>
      <c r="X218" s="303">
        <v>1</v>
      </c>
      <c r="Y218" s="481">
        <v>3</v>
      </c>
      <c r="Z218" s="481"/>
      <c r="AA218" s="481"/>
      <c r="AB218" s="481"/>
      <c r="AC218" s="481"/>
      <c r="AD218" s="481"/>
      <c r="AE218" s="481"/>
      <c r="AF218" s="481">
        <f t="shared" si="118"/>
        <v>3</v>
      </c>
      <c r="AG218" s="548">
        <v>2</v>
      </c>
      <c r="AH218" s="548"/>
      <c r="AI218" s="548"/>
      <c r="AJ218" s="548"/>
      <c r="AK218" s="548"/>
      <c r="AL218" s="548"/>
      <c r="AM218" s="548">
        <f t="shared" si="119"/>
        <v>2</v>
      </c>
      <c r="AN218" s="481">
        <v>2</v>
      </c>
      <c r="AO218" s="481"/>
      <c r="AP218" s="481"/>
      <c r="AQ218" s="481"/>
      <c r="AR218" s="481"/>
      <c r="AS218" s="481"/>
      <c r="AT218" s="481"/>
      <c r="AU218" s="481">
        <f t="shared" si="120"/>
        <v>2</v>
      </c>
      <c r="AV218" s="548">
        <v>2</v>
      </c>
      <c r="AW218" s="548"/>
      <c r="AX218" s="548"/>
      <c r="AY218" s="548"/>
      <c r="AZ218" s="548"/>
      <c r="BA218" s="548"/>
      <c r="BB218" s="548"/>
      <c r="BC218" s="548">
        <f t="shared" si="122"/>
        <v>2</v>
      </c>
      <c r="BD218" s="42">
        <f t="shared" si="130"/>
        <v>9</v>
      </c>
      <c r="BE218" s="42">
        <f t="shared" si="130"/>
        <v>0</v>
      </c>
      <c r="BF218" s="42">
        <f t="shared" si="130"/>
        <v>0</v>
      </c>
      <c r="BG218" s="42">
        <f t="shared" si="130"/>
        <v>0</v>
      </c>
      <c r="BH218" s="42">
        <f t="shared" si="130"/>
        <v>0</v>
      </c>
      <c r="BI218" s="42">
        <f t="shared" si="133"/>
        <v>0</v>
      </c>
      <c r="BJ218" s="42">
        <f t="shared" si="131"/>
        <v>0</v>
      </c>
      <c r="BK218" s="42">
        <f t="shared" si="131"/>
        <v>9</v>
      </c>
      <c r="BL218" s="3"/>
    </row>
    <row r="219" spans="1:64" s="38" customFormat="1" ht="54.75" customHeight="1" x14ac:dyDescent="0.25">
      <c r="A219" s="298" t="s">
        <v>491</v>
      </c>
      <c r="B219" s="299" t="s">
        <v>489</v>
      </c>
      <c r="C219" s="1547"/>
      <c r="D219" s="1549"/>
      <c r="E219" s="1549"/>
      <c r="F219" s="1549"/>
      <c r="G219" s="1549"/>
      <c r="H219" s="1549"/>
      <c r="I219" s="1432"/>
      <c r="J219" s="1432"/>
      <c r="K219" s="1428" t="s">
        <v>683</v>
      </c>
      <c r="L219" s="301" t="s">
        <v>496</v>
      </c>
      <c r="M219" s="1425" t="s">
        <v>497</v>
      </c>
      <c r="N219" s="476"/>
      <c r="O219" s="1425" t="s">
        <v>47</v>
      </c>
      <c r="P219" s="71" t="s">
        <v>684</v>
      </c>
      <c r="Q219" s="345" t="s">
        <v>685</v>
      </c>
      <c r="R219" s="346">
        <v>2015</v>
      </c>
      <c r="S219" s="346">
        <v>0</v>
      </c>
      <c r="T219" s="346">
        <v>0</v>
      </c>
      <c r="U219" s="346">
        <v>1</v>
      </c>
      <c r="V219" s="346">
        <v>1</v>
      </c>
      <c r="W219" s="346">
        <v>0</v>
      </c>
      <c r="X219" s="346">
        <v>2</v>
      </c>
      <c r="Y219" s="492"/>
      <c r="Z219" s="579"/>
      <c r="AA219" s="579"/>
      <c r="AB219" s="579"/>
      <c r="AC219" s="579"/>
      <c r="AD219" s="579"/>
      <c r="AE219" s="579"/>
      <c r="AF219" s="579">
        <f t="shared" si="118"/>
        <v>0</v>
      </c>
      <c r="AG219" s="492">
        <v>6</v>
      </c>
      <c r="AH219" s="589"/>
      <c r="AI219" s="589"/>
      <c r="AJ219" s="589"/>
      <c r="AK219" s="589"/>
      <c r="AL219" s="589"/>
      <c r="AM219" s="589">
        <f t="shared" si="119"/>
        <v>6</v>
      </c>
      <c r="AN219" s="492">
        <v>6</v>
      </c>
      <c r="AO219" s="579"/>
      <c r="AP219" s="579"/>
      <c r="AQ219" s="579"/>
      <c r="AR219" s="579"/>
      <c r="AS219" s="579"/>
      <c r="AT219" s="579"/>
      <c r="AU219" s="579">
        <f t="shared" si="120"/>
        <v>6</v>
      </c>
      <c r="AV219" s="492"/>
      <c r="AW219" s="589"/>
      <c r="AX219" s="589"/>
      <c r="AY219" s="589"/>
      <c r="AZ219" s="589"/>
      <c r="BA219" s="589"/>
      <c r="BB219" s="589"/>
      <c r="BC219" s="589">
        <f t="shared" si="122"/>
        <v>0</v>
      </c>
      <c r="BD219" s="61">
        <f t="shared" si="130"/>
        <v>12</v>
      </c>
      <c r="BE219" s="61">
        <f t="shared" si="130"/>
        <v>0</v>
      </c>
      <c r="BF219" s="61">
        <f t="shared" si="130"/>
        <v>0</v>
      </c>
      <c r="BG219" s="61">
        <f t="shared" si="130"/>
        <v>0</v>
      </c>
      <c r="BH219" s="61">
        <f t="shared" si="130"/>
        <v>0</v>
      </c>
      <c r="BI219" s="61">
        <f t="shared" si="133"/>
        <v>0</v>
      </c>
      <c r="BJ219" s="61">
        <f t="shared" si="131"/>
        <v>0</v>
      </c>
      <c r="BK219" s="61">
        <f t="shared" si="131"/>
        <v>12</v>
      </c>
    </row>
    <row r="220" spans="1:64" ht="51" customHeight="1" x14ac:dyDescent="0.25">
      <c r="A220" s="298" t="s">
        <v>491</v>
      </c>
      <c r="B220" s="299" t="s">
        <v>489</v>
      </c>
      <c r="C220" s="1547"/>
      <c r="D220" s="1549"/>
      <c r="E220" s="1549"/>
      <c r="F220" s="1549"/>
      <c r="G220" s="1549"/>
      <c r="H220" s="1549"/>
      <c r="I220" s="1425"/>
      <c r="J220" s="1425"/>
      <c r="K220" s="1428" t="s">
        <v>686</v>
      </c>
      <c r="L220" s="301" t="s">
        <v>496</v>
      </c>
      <c r="M220" s="1425" t="s">
        <v>497</v>
      </c>
      <c r="N220" s="476"/>
      <c r="O220" s="1425" t="s">
        <v>47</v>
      </c>
      <c r="P220" s="16" t="s">
        <v>687</v>
      </c>
      <c r="Q220" s="302" t="s">
        <v>688</v>
      </c>
      <c r="R220" s="303">
        <v>2015</v>
      </c>
      <c r="S220" s="303">
        <v>0</v>
      </c>
      <c r="T220" s="303">
        <v>0</v>
      </c>
      <c r="U220" s="303">
        <v>0</v>
      </c>
      <c r="V220" s="303">
        <v>1</v>
      </c>
      <c r="W220" s="303">
        <v>0</v>
      </c>
      <c r="X220" s="303">
        <v>1</v>
      </c>
      <c r="Y220" s="481">
        <v>0</v>
      </c>
      <c r="Z220" s="481"/>
      <c r="AA220" s="481"/>
      <c r="AB220" s="481"/>
      <c r="AC220" s="481"/>
      <c r="AD220" s="481"/>
      <c r="AE220" s="481"/>
      <c r="AF220" s="481">
        <f t="shared" si="118"/>
        <v>0</v>
      </c>
      <c r="AG220" s="548">
        <v>0</v>
      </c>
      <c r="AH220" s="548"/>
      <c r="AI220" s="548"/>
      <c r="AJ220" s="548"/>
      <c r="AK220" s="548"/>
      <c r="AL220" s="548"/>
      <c r="AM220" s="548">
        <f t="shared" si="119"/>
        <v>0</v>
      </c>
      <c r="AN220" s="491">
        <v>0.5</v>
      </c>
      <c r="AO220" s="481"/>
      <c r="AP220" s="481"/>
      <c r="AQ220" s="481"/>
      <c r="AR220" s="481"/>
      <c r="AS220" s="481"/>
      <c r="AT220" s="481"/>
      <c r="AU220" s="481">
        <f t="shared" si="120"/>
        <v>0.5</v>
      </c>
      <c r="AV220" s="548">
        <v>0</v>
      </c>
      <c r="AW220" s="548"/>
      <c r="AX220" s="548"/>
      <c r="AY220" s="548"/>
      <c r="AZ220" s="548"/>
      <c r="BA220" s="548"/>
      <c r="BB220" s="548"/>
      <c r="BC220" s="548">
        <f t="shared" si="122"/>
        <v>0</v>
      </c>
      <c r="BD220" s="42">
        <f t="shared" si="130"/>
        <v>0.5</v>
      </c>
      <c r="BE220" s="42">
        <f t="shared" si="130"/>
        <v>0</v>
      </c>
      <c r="BF220" s="42">
        <f t="shared" si="130"/>
        <v>0</v>
      </c>
      <c r="BG220" s="42">
        <f t="shared" si="130"/>
        <v>0</v>
      </c>
      <c r="BH220" s="42">
        <f t="shared" si="130"/>
        <v>0</v>
      </c>
      <c r="BI220" s="42">
        <f t="shared" si="133"/>
        <v>0</v>
      </c>
      <c r="BJ220" s="42">
        <f t="shared" si="131"/>
        <v>0</v>
      </c>
      <c r="BK220" s="42">
        <f t="shared" si="131"/>
        <v>0.5</v>
      </c>
      <c r="BL220" s="3"/>
    </row>
    <row r="221" spans="1:64" s="37" customFormat="1" ht="39.6" x14ac:dyDescent="0.25">
      <c r="A221" s="298" t="s">
        <v>491</v>
      </c>
      <c r="B221" s="299" t="s">
        <v>489</v>
      </c>
      <c r="C221" s="1547"/>
      <c r="D221" s="1549"/>
      <c r="E221" s="1549"/>
      <c r="F221" s="1549"/>
      <c r="G221" s="1549"/>
      <c r="H221" s="1549"/>
      <c r="I221" s="476"/>
      <c r="J221" s="476"/>
      <c r="K221" s="1428"/>
      <c r="L221" s="476"/>
      <c r="M221" s="476"/>
      <c r="N221" s="476"/>
      <c r="O221" s="476"/>
      <c r="P221" s="62" t="s">
        <v>689</v>
      </c>
      <c r="Q221" s="22"/>
      <c r="R221" s="1"/>
      <c r="S221" s="1"/>
      <c r="T221" s="1"/>
      <c r="U221" s="1"/>
      <c r="V221" s="1"/>
      <c r="W221" s="1"/>
      <c r="X221" s="1"/>
      <c r="Y221" s="34">
        <f>SUM(Y222:Y226)</f>
        <v>0</v>
      </c>
      <c r="Z221" s="34">
        <f t="shared" ref="Z221:BK221" si="135">SUM(Z222:Z226)</f>
        <v>0</v>
      </c>
      <c r="AA221" s="34">
        <f t="shared" si="135"/>
        <v>3</v>
      </c>
      <c r="AB221" s="34">
        <f t="shared" si="135"/>
        <v>0</v>
      </c>
      <c r="AC221" s="34">
        <f t="shared" si="135"/>
        <v>0</v>
      </c>
      <c r="AD221" s="34">
        <f t="shared" si="135"/>
        <v>0</v>
      </c>
      <c r="AE221" s="34">
        <f t="shared" si="135"/>
        <v>0</v>
      </c>
      <c r="AF221" s="34">
        <f t="shared" si="135"/>
        <v>3</v>
      </c>
      <c r="AG221" s="34">
        <f t="shared" si="135"/>
        <v>0</v>
      </c>
      <c r="AH221" s="34">
        <f t="shared" si="135"/>
        <v>0</v>
      </c>
      <c r="AI221" s="34">
        <f t="shared" si="135"/>
        <v>3</v>
      </c>
      <c r="AJ221" s="34">
        <f t="shared" si="135"/>
        <v>0</v>
      </c>
      <c r="AK221" s="34">
        <f t="shared" si="135"/>
        <v>0</v>
      </c>
      <c r="AL221" s="34">
        <f t="shared" si="135"/>
        <v>0</v>
      </c>
      <c r="AM221" s="34">
        <f t="shared" si="135"/>
        <v>3</v>
      </c>
      <c r="AN221" s="34">
        <f t="shared" si="135"/>
        <v>0</v>
      </c>
      <c r="AO221" s="34">
        <f t="shared" si="135"/>
        <v>0</v>
      </c>
      <c r="AP221" s="34">
        <f t="shared" si="135"/>
        <v>3</v>
      </c>
      <c r="AQ221" s="34">
        <f t="shared" si="135"/>
        <v>0</v>
      </c>
      <c r="AR221" s="34">
        <f t="shared" si="135"/>
        <v>0</v>
      </c>
      <c r="AS221" s="34">
        <f t="shared" si="135"/>
        <v>0</v>
      </c>
      <c r="AT221" s="34">
        <f t="shared" si="135"/>
        <v>0</v>
      </c>
      <c r="AU221" s="34">
        <f t="shared" si="135"/>
        <v>3</v>
      </c>
      <c r="AV221" s="34">
        <f t="shared" si="135"/>
        <v>0</v>
      </c>
      <c r="AW221" s="34">
        <f t="shared" si="135"/>
        <v>0</v>
      </c>
      <c r="AX221" s="34">
        <f t="shared" si="135"/>
        <v>3</v>
      </c>
      <c r="AY221" s="34">
        <f t="shared" si="135"/>
        <v>0</v>
      </c>
      <c r="AZ221" s="34">
        <f t="shared" si="135"/>
        <v>0</v>
      </c>
      <c r="BA221" s="34">
        <f t="shared" si="135"/>
        <v>0</v>
      </c>
      <c r="BB221" s="34">
        <f t="shared" si="135"/>
        <v>0</v>
      </c>
      <c r="BC221" s="34">
        <f t="shared" si="135"/>
        <v>3</v>
      </c>
      <c r="BD221" s="34">
        <f t="shared" si="135"/>
        <v>0</v>
      </c>
      <c r="BE221" s="34">
        <f t="shared" si="135"/>
        <v>0</v>
      </c>
      <c r="BF221" s="34">
        <f t="shared" si="135"/>
        <v>12</v>
      </c>
      <c r="BG221" s="34">
        <f t="shared" si="135"/>
        <v>0</v>
      </c>
      <c r="BH221" s="34">
        <f t="shared" si="135"/>
        <v>0</v>
      </c>
      <c r="BI221" s="34">
        <f t="shared" si="133"/>
        <v>0</v>
      </c>
      <c r="BJ221" s="34">
        <f t="shared" si="135"/>
        <v>0</v>
      </c>
      <c r="BK221" s="34">
        <f t="shared" si="135"/>
        <v>12</v>
      </c>
    </row>
    <row r="222" spans="1:64" ht="60" customHeight="1" x14ac:dyDescent="0.25">
      <c r="A222" s="298" t="s">
        <v>491</v>
      </c>
      <c r="B222" s="299" t="s">
        <v>489</v>
      </c>
      <c r="C222" s="1547"/>
      <c r="D222" s="1549"/>
      <c r="E222" s="1549"/>
      <c r="F222" s="1549"/>
      <c r="G222" s="1549"/>
      <c r="H222" s="1549"/>
      <c r="I222" s="1425"/>
      <c r="J222" s="1425"/>
      <c r="K222" s="1428" t="s">
        <v>690</v>
      </c>
      <c r="L222" s="301" t="s">
        <v>496</v>
      </c>
      <c r="M222" s="1425" t="s">
        <v>497</v>
      </c>
      <c r="N222" s="476"/>
      <c r="O222" s="1425" t="s">
        <v>47</v>
      </c>
      <c r="P222" s="16" t="s">
        <v>691</v>
      </c>
      <c r="Q222" s="302" t="s">
        <v>337</v>
      </c>
      <c r="R222" s="303">
        <v>2015</v>
      </c>
      <c r="S222" s="303">
        <v>0</v>
      </c>
      <c r="T222" s="303">
        <v>1</v>
      </c>
      <c r="U222" s="303">
        <v>1</v>
      </c>
      <c r="V222" s="303">
        <v>1</v>
      </c>
      <c r="W222" s="303">
        <v>1</v>
      </c>
      <c r="X222" s="303">
        <v>4</v>
      </c>
      <c r="Y222" s="481"/>
      <c r="Z222" s="481"/>
      <c r="AA222" s="491">
        <v>1</v>
      </c>
      <c r="AB222" s="481"/>
      <c r="AC222" s="481"/>
      <c r="AD222" s="481"/>
      <c r="AE222" s="481"/>
      <c r="AF222" s="481">
        <f t="shared" si="118"/>
        <v>1</v>
      </c>
      <c r="AG222" s="548"/>
      <c r="AH222" s="548"/>
      <c r="AI222" s="491">
        <v>0.6</v>
      </c>
      <c r="AJ222" s="548"/>
      <c r="AK222" s="548"/>
      <c r="AL222" s="548"/>
      <c r="AM222" s="548">
        <f t="shared" si="119"/>
        <v>0.6</v>
      </c>
      <c r="AN222" s="481"/>
      <c r="AO222" s="481"/>
      <c r="AP222" s="491">
        <v>1</v>
      </c>
      <c r="AQ222" s="481"/>
      <c r="AR222" s="481"/>
      <c r="AS222" s="481"/>
      <c r="AT222" s="481"/>
      <c r="AU222" s="481">
        <f t="shared" si="120"/>
        <v>1</v>
      </c>
      <c r="AV222" s="548"/>
      <c r="AW222" s="548"/>
      <c r="AX222" s="491">
        <v>1</v>
      </c>
      <c r="AY222" s="548"/>
      <c r="AZ222" s="548"/>
      <c r="BA222" s="548"/>
      <c r="BB222" s="548"/>
      <c r="BC222" s="548">
        <f t="shared" si="122"/>
        <v>1</v>
      </c>
      <c r="BD222" s="42">
        <f t="shared" si="130"/>
        <v>0</v>
      </c>
      <c r="BE222" s="42">
        <f t="shared" si="130"/>
        <v>0</v>
      </c>
      <c r="BF222" s="42">
        <f t="shared" si="130"/>
        <v>3.6</v>
      </c>
      <c r="BG222" s="42">
        <f t="shared" si="130"/>
        <v>0</v>
      </c>
      <c r="BH222" s="42">
        <f t="shared" si="130"/>
        <v>0</v>
      </c>
      <c r="BI222" s="42">
        <f t="shared" si="133"/>
        <v>0</v>
      </c>
      <c r="BJ222" s="42">
        <f t="shared" si="131"/>
        <v>0</v>
      </c>
      <c r="BK222" s="42">
        <f t="shared" si="131"/>
        <v>3.6</v>
      </c>
      <c r="BL222" s="3"/>
    </row>
    <row r="223" spans="1:64" ht="65.25" customHeight="1" x14ac:dyDescent="0.25">
      <c r="A223" s="298" t="s">
        <v>491</v>
      </c>
      <c r="B223" s="299" t="s">
        <v>489</v>
      </c>
      <c r="C223" s="1547"/>
      <c r="D223" s="1549"/>
      <c r="E223" s="1549"/>
      <c r="F223" s="1549"/>
      <c r="G223" s="1549"/>
      <c r="H223" s="1549"/>
      <c r="I223" s="1425"/>
      <c r="J223" s="1425"/>
      <c r="K223" s="1428" t="s">
        <v>692</v>
      </c>
      <c r="L223" s="301" t="s">
        <v>496</v>
      </c>
      <c r="M223" s="1425" t="s">
        <v>497</v>
      </c>
      <c r="N223" s="476"/>
      <c r="O223" s="1425" t="s">
        <v>47</v>
      </c>
      <c r="P223" s="16" t="s">
        <v>693</v>
      </c>
      <c r="Q223" s="302" t="s">
        <v>337</v>
      </c>
      <c r="R223" s="303">
        <v>2015</v>
      </c>
      <c r="S223" s="303">
        <v>0</v>
      </c>
      <c r="T223" s="303">
        <v>1</v>
      </c>
      <c r="U223" s="303">
        <v>1</v>
      </c>
      <c r="V223" s="303">
        <v>1</v>
      </c>
      <c r="W223" s="303">
        <v>1</v>
      </c>
      <c r="X223" s="303">
        <v>4</v>
      </c>
      <c r="Y223" s="481"/>
      <c r="Z223" s="481"/>
      <c r="AA223" s="491">
        <v>1</v>
      </c>
      <c r="AB223" s="481"/>
      <c r="AC223" s="481"/>
      <c r="AD223" s="481"/>
      <c r="AE223" s="481"/>
      <c r="AF223" s="481">
        <f t="shared" ref="AF223:AF260" si="136">SUM(Y223:AE223)</f>
        <v>1</v>
      </c>
      <c r="AG223" s="548"/>
      <c r="AH223" s="548"/>
      <c r="AI223" s="491">
        <v>0.6</v>
      </c>
      <c r="AJ223" s="548"/>
      <c r="AK223" s="548"/>
      <c r="AL223" s="548"/>
      <c r="AM223" s="548">
        <f t="shared" ref="AM223:AM260" si="137">SUM(AG223:AL223)</f>
        <v>0.6</v>
      </c>
      <c r="AN223" s="481"/>
      <c r="AO223" s="481"/>
      <c r="AP223" s="491">
        <v>1</v>
      </c>
      <c r="AQ223" s="481"/>
      <c r="AR223" s="481"/>
      <c r="AS223" s="481"/>
      <c r="AT223" s="481"/>
      <c r="AU223" s="481">
        <f t="shared" ref="AU223:AU260" si="138">SUM(AN223:AT223)</f>
        <v>1</v>
      </c>
      <c r="AV223" s="548"/>
      <c r="AW223" s="548"/>
      <c r="AX223" s="491">
        <v>1</v>
      </c>
      <c r="AY223" s="548"/>
      <c r="AZ223" s="548"/>
      <c r="BA223" s="548"/>
      <c r="BB223" s="548"/>
      <c r="BC223" s="548">
        <f t="shared" ref="BC223:BC260" si="139">SUM(AV223:BB223)</f>
        <v>1</v>
      </c>
      <c r="BD223" s="42">
        <f t="shared" si="130"/>
        <v>0</v>
      </c>
      <c r="BE223" s="42">
        <f t="shared" si="130"/>
        <v>0</v>
      </c>
      <c r="BF223" s="42">
        <f t="shared" si="130"/>
        <v>3.6</v>
      </c>
      <c r="BG223" s="42">
        <f t="shared" si="130"/>
        <v>0</v>
      </c>
      <c r="BH223" s="42">
        <f t="shared" si="130"/>
        <v>0</v>
      </c>
      <c r="BI223" s="42">
        <f t="shared" si="133"/>
        <v>0</v>
      </c>
      <c r="BJ223" s="42">
        <f t="shared" si="131"/>
        <v>0</v>
      </c>
      <c r="BK223" s="42">
        <f t="shared" si="131"/>
        <v>3.6</v>
      </c>
      <c r="BL223" s="3"/>
    </row>
    <row r="224" spans="1:64" ht="60" customHeight="1" x14ac:dyDescent="0.25">
      <c r="A224" s="298" t="s">
        <v>491</v>
      </c>
      <c r="B224" s="299" t="s">
        <v>489</v>
      </c>
      <c r="C224" s="1547"/>
      <c r="D224" s="1549"/>
      <c r="E224" s="1549"/>
      <c r="F224" s="1549"/>
      <c r="G224" s="1549"/>
      <c r="H224" s="1549"/>
      <c r="I224" s="1425"/>
      <c r="J224" s="1425"/>
      <c r="K224" s="1428" t="s">
        <v>694</v>
      </c>
      <c r="L224" s="301" t="s">
        <v>496</v>
      </c>
      <c r="M224" s="1425" t="s">
        <v>497</v>
      </c>
      <c r="N224" s="476"/>
      <c r="O224" s="1425" t="s">
        <v>47</v>
      </c>
      <c r="P224" s="16" t="s">
        <v>695</v>
      </c>
      <c r="Q224" s="302" t="s">
        <v>696</v>
      </c>
      <c r="R224" s="303">
        <v>2015</v>
      </c>
      <c r="S224" s="303">
        <v>0</v>
      </c>
      <c r="T224" s="303">
        <v>0</v>
      </c>
      <c r="U224" s="303">
        <v>1</v>
      </c>
      <c r="V224" s="303">
        <v>0</v>
      </c>
      <c r="W224" s="303">
        <v>0</v>
      </c>
      <c r="X224" s="303">
        <v>1</v>
      </c>
      <c r="Y224" s="481"/>
      <c r="Z224" s="481"/>
      <c r="AA224" s="481"/>
      <c r="AB224" s="481"/>
      <c r="AC224" s="481"/>
      <c r="AD224" s="481"/>
      <c r="AE224" s="481"/>
      <c r="AF224" s="481">
        <f t="shared" si="136"/>
        <v>0</v>
      </c>
      <c r="AG224" s="548"/>
      <c r="AH224" s="548"/>
      <c r="AI224" s="491">
        <v>0.6</v>
      </c>
      <c r="AJ224" s="548"/>
      <c r="AK224" s="548"/>
      <c r="AL224" s="548"/>
      <c r="AM224" s="548">
        <f t="shared" si="137"/>
        <v>0.6</v>
      </c>
      <c r="AN224" s="481"/>
      <c r="AO224" s="481"/>
      <c r="AP224" s="481"/>
      <c r="AQ224" s="481"/>
      <c r="AR224" s="481"/>
      <c r="AS224" s="481"/>
      <c r="AT224" s="481"/>
      <c r="AU224" s="481">
        <f t="shared" si="138"/>
        <v>0</v>
      </c>
      <c r="AV224" s="548"/>
      <c r="AW224" s="548"/>
      <c r="AX224" s="548"/>
      <c r="AY224" s="548"/>
      <c r="AZ224" s="548"/>
      <c r="BA224" s="548"/>
      <c r="BB224" s="548"/>
      <c r="BC224" s="548">
        <f t="shared" si="139"/>
        <v>0</v>
      </c>
      <c r="BD224" s="42">
        <f t="shared" si="130"/>
        <v>0</v>
      </c>
      <c r="BE224" s="42">
        <f t="shared" si="130"/>
        <v>0</v>
      </c>
      <c r="BF224" s="42">
        <f t="shared" si="130"/>
        <v>0.6</v>
      </c>
      <c r="BG224" s="42">
        <f t="shared" si="130"/>
        <v>0</v>
      </c>
      <c r="BH224" s="42">
        <f t="shared" si="130"/>
        <v>0</v>
      </c>
      <c r="BI224" s="42">
        <f t="shared" si="133"/>
        <v>0</v>
      </c>
      <c r="BJ224" s="42">
        <f t="shared" si="131"/>
        <v>0</v>
      </c>
      <c r="BK224" s="42">
        <f t="shared" si="131"/>
        <v>0.6</v>
      </c>
      <c r="BL224" s="3"/>
    </row>
    <row r="225" spans="1:64" ht="84" customHeight="1" x14ac:dyDescent="0.25">
      <c r="A225" s="298" t="s">
        <v>491</v>
      </c>
      <c r="B225" s="299" t="s">
        <v>489</v>
      </c>
      <c r="C225" s="1547"/>
      <c r="D225" s="1549"/>
      <c r="E225" s="1549"/>
      <c r="F225" s="1549"/>
      <c r="G225" s="1549"/>
      <c r="H225" s="1549"/>
      <c r="I225" s="1425"/>
      <c r="J225" s="1425"/>
      <c r="K225" s="1428" t="s">
        <v>697</v>
      </c>
      <c r="L225" s="301" t="s">
        <v>496</v>
      </c>
      <c r="M225" s="1425" t="s">
        <v>497</v>
      </c>
      <c r="N225" s="476"/>
      <c r="O225" s="1425" t="s">
        <v>47</v>
      </c>
      <c r="P225" s="16" t="s">
        <v>698</v>
      </c>
      <c r="Q225" s="302" t="s">
        <v>699</v>
      </c>
      <c r="R225" s="303">
        <v>2015</v>
      </c>
      <c r="S225" s="303">
        <v>0</v>
      </c>
      <c r="T225" s="303">
        <v>0</v>
      </c>
      <c r="U225" s="303">
        <v>1</v>
      </c>
      <c r="V225" s="303">
        <v>0</v>
      </c>
      <c r="W225" s="303">
        <v>0</v>
      </c>
      <c r="X225" s="303">
        <v>1</v>
      </c>
      <c r="Y225" s="481"/>
      <c r="Z225" s="481"/>
      <c r="AA225" s="491"/>
      <c r="AB225" s="481"/>
      <c r="AC225" s="481"/>
      <c r="AD225" s="481"/>
      <c r="AE225" s="481"/>
      <c r="AF225" s="481">
        <f t="shared" si="136"/>
        <v>0</v>
      </c>
      <c r="AG225" s="548"/>
      <c r="AH225" s="548"/>
      <c r="AI225" s="491">
        <v>0.6</v>
      </c>
      <c r="AJ225" s="548"/>
      <c r="AK225" s="548"/>
      <c r="AL225" s="548"/>
      <c r="AM225" s="548">
        <f t="shared" si="137"/>
        <v>0.6</v>
      </c>
      <c r="AN225" s="481"/>
      <c r="AO225" s="481"/>
      <c r="AP225" s="491"/>
      <c r="AQ225" s="481"/>
      <c r="AR225" s="481"/>
      <c r="AS225" s="481"/>
      <c r="AT225" s="481"/>
      <c r="AU225" s="481">
        <f t="shared" si="138"/>
        <v>0</v>
      </c>
      <c r="AV225" s="548"/>
      <c r="AW225" s="548"/>
      <c r="AX225" s="491"/>
      <c r="AY225" s="548"/>
      <c r="AZ225" s="548"/>
      <c r="BA225" s="548"/>
      <c r="BB225" s="548"/>
      <c r="BC225" s="548">
        <f t="shared" si="139"/>
        <v>0</v>
      </c>
      <c r="BD225" s="42">
        <f t="shared" si="130"/>
        <v>0</v>
      </c>
      <c r="BE225" s="42">
        <f t="shared" si="130"/>
        <v>0</v>
      </c>
      <c r="BF225" s="42">
        <f t="shared" si="130"/>
        <v>0.6</v>
      </c>
      <c r="BG225" s="42">
        <f t="shared" si="130"/>
        <v>0</v>
      </c>
      <c r="BH225" s="42">
        <f t="shared" si="130"/>
        <v>0</v>
      </c>
      <c r="BI225" s="42">
        <f t="shared" si="133"/>
        <v>0</v>
      </c>
      <c r="BJ225" s="42">
        <f t="shared" si="131"/>
        <v>0</v>
      </c>
      <c r="BK225" s="42">
        <f t="shared" si="131"/>
        <v>0.6</v>
      </c>
      <c r="BL225" s="3"/>
    </row>
    <row r="226" spans="1:64" ht="110.25" customHeight="1" x14ac:dyDescent="0.25">
      <c r="A226" s="298" t="s">
        <v>491</v>
      </c>
      <c r="B226" s="299" t="s">
        <v>489</v>
      </c>
      <c r="C226" s="1547"/>
      <c r="D226" s="1549"/>
      <c r="E226" s="1549"/>
      <c r="F226" s="1549"/>
      <c r="G226" s="1549"/>
      <c r="H226" s="1549"/>
      <c r="I226" s="1425"/>
      <c r="J226" s="1425"/>
      <c r="K226" s="1428" t="s">
        <v>700</v>
      </c>
      <c r="L226" s="301" t="s">
        <v>496</v>
      </c>
      <c r="M226" s="1425" t="s">
        <v>497</v>
      </c>
      <c r="N226" s="476"/>
      <c r="O226" s="1425" t="s">
        <v>47</v>
      </c>
      <c r="P226" s="16" t="s">
        <v>701</v>
      </c>
      <c r="Q226" s="302" t="s">
        <v>702</v>
      </c>
      <c r="R226" s="303">
        <v>2015</v>
      </c>
      <c r="S226" s="303">
        <v>0</v>
      </c>
      <c r="T226" s="303">
        <v>2</v>
      </c>
      <c r="U226" s="303">
        <v>2</v>
      </c>
      <c r="V226" s="303">
        <v>2</v>
      </c>
      <c r="W226" s="303">
        <v>2</v>
      </c>
      <c r="X226" s="303">
        <v>8</v>
      </c>
      <c r="Y226" s="481"/>
      <c r="Z226" s="481"/>
      <c r="AA226" s="491">
        <v>1</v>
      </c>
      <c r="AB226" s="481"/>
      <c r="AC226" s="481"/>
      <c r="AD226" s="481"/>
      <c r="AE226" s="481"/>
      <c r="AF226" s="481">
        <f t="shared" si="136"/>
        <v>1</v>
      </c>
      <c r="AG226" s="548"/>
      <c r="AH226" s="548"/>
      <c r="AI226" s="491">
        <v>0.6</v>
      </c>
      <c r="AJ226" s="548"/>
      <c r="AK226" s="548"/>
      <c r="AL226" s="548"/>
      <c r="AM226" s="548">
        <f t="shared" si="137"/>
        <v>0.6</v>
      </c>
      <c r="AN226" s="481"/>
      <c r="AO226" s="481"/>
      <c r="AP226" s="491">
        <v>1</v>
      </c>
      <c r="AQ226" s="481"/>
      <c r="AR226" s="481"/>
      <c r="AS226" s="481"/>
      <c r="AT226" s="481"/>
      <c r="AU226" s="481">
        <f t="shared" si="138"/>
        <v>1</v>
      </c>
      <c r="AV226" s="548"/>
      <c r="AW226" s="548"/>
      <c r="AX226" s="491">
        <v>1</v>
      </c>
      <c r="AY226" s="548"/>
      <c r="AZ226" s="548"/>
      <c r="BA226" s="548"/>
      <c r="BB226" s="548"/>
      <c r="BC226" s="548">
        <f t="shared" si="139"/>
        <v>1</v>
      </c>
      <c r="BD226" s="42">
        <f t="shared" si="130"/>
        <v>0</v>
      </c>
      <c r="BE226" s="42">
        <f t="shared" si="130"/>
        <v>0</v>
      </c>
      <c r="BF226" s="42">
        <f t="shared" si="130"/>
        <v>3.6</v>
      </c>
      <c r="BG226" s="42">
        <f t="shared" si="130"/>
        <v>0</v>
      </c>
      <c r="BH226" s="42">
        <f t="shared" si="130"/>
        <v>0</v>
      </c>
      <c r="BI226" s="42">
        <f t="shared" si="133"/>
        <v>0</v>
      </c>
      <c r="BJ226" s="42">
        <f t="shared" si="131"/>
        <v>0</v>
      </c>
      <c r="BK226" s="42">
        <f t="shared" si="131"/>
        <v>3.6</v>
      </c>
      <c r="BL226" s="3"/>
    </row>
    <row r="227" spans="1:64" ht="39.6" x14ac:dyDescent="0.25">
      <c r="A227" s="298" t="s">
        <v>491</v>
      </c>
      <c r="B227" s="299" t="s">
        <v>489</v>
      </c>
      <c r="C227" s="1547"/>
      <c r="D227" s="1549"/>
      <c r="E227" s="1549"/>
      <c r="F227" s="1549"/>
      <c r="G227" s="1549"/>
      <c r="H227" s="1549"/>
      <c r="I227" s="1425"/>
      <c r="J227" s="1425"/>
      <c r="K227" s="1428"/>
      <c r="L227" s="1425"/>
      <c r="M227" s="1425"/>
      <c r="N227" s="476"/>
      <c r="O227" s="1425"/>
      <c r="P227" s="22" t="s">
        <v>703</v>
      </c>
      <c r="Q227" s="25"/>
      <c r="R227" s="17"/>
      <c r="S227" s="17"/>
      <c r="T227" s="17"/>
      <c r="U227" s="17"/>
      <c r="V227" s="17"/>
      <c r="W227" s="17"/>
      <c r="X227" s="17"/>
      <c r="Y227" s="34">
        <f>SUM(Y228:Y234)</f>
        <v>20</v>
      </c>
      <c r="Z227" s="34">
        <f t="shared" ref="Z227:BK227" si="140">SUM(Z228:Z234)</f>
        <v>0</v>
      </c>
      <c r="AA227" s="34">
        <f t="shared" si="140"/>
        <v>20</v>
      </c>
      <c r="AB227" s="34">
        <f t="shared" si="140"/>
        <v>0</v>
      </c>
      <c r="AC227" s="34">
        <f t="shared" si="140"/>
        <v>0</v>
      </c>
      <c r="AD227" s="34">
        <f t="shared" si="140"/>
        <v>0</v>
      </c>
      <c r="AE227" s="34">
        <f t="shared" si="140"/>
        <v>0</v>
      </c>
      <c r="AF227" s="34">
        <f t="shared" si="140"/>
        <v>40</v>
      </c>
      <c r="AG227" s="34">
        <f t="shared" si="140"/>
        <v>20</v>
      </c>
      <c r="AH227" s="34">
        <f t="shared" si="140"/>
        <v>0</v>
      </c>
      <c r="AI227" s="34">
        <f t="shared" si="140"/>
        <v>20</v>
      </c>
      <c r="AJ227" s="34">
        <f t="shared" si="140"/>
        <v>0</v>
      </c>
      <c r="AK227" s="34">
        <f t="shared" si="140"/>
        <v>0</v>
      </c>
      <c r="AL227" s="34">
        <f t="shared" si="140"/>
        <v>0</v>
      </c>
      <c r="AM227" s="34">
        <f t="shared" si="140"/>
        <v>40</v>
      </c>
      <c r="AN227" s="34">
        <f t="shared" si="140"/>
        <v>20</v>
      </c>
      <c r="AO227" s="34">
        <f t="shared" si="140"/>
        <v>0</v>
      </c>
      <c r="AP227" s="34">
        <f t="shared" si="140"/>
        <v>20</v>
      </c>
      <c r="AQ227" s="34">
        <f t="shared" si="140"/>
        <v>0</v>
      </c>
      <c r="AR227" s="34">
        <f t="shared" si="140"/>
        <v>0</v>
      </c>
      <c r="AS227" s="34">
        <f t="shared" si="140"/>
        <v>0</v>
      </c>
      <c r="AT227" s="34">
        <f t="shared" si="140"/>
        <v>0</v>
      </c>
      <c r="AU227" s="34">
        <f t="shared" si="140"/>
        <v>40</v>
      </c>
      <c r="AV227" s="34">
        <f t="shared" si="140"/>
        <v>20</v>
      </c>
      <c r="AW227" s="34">
        <f t="shared" si="140"/>
        <v>0</v>
      </c>
      <c r="AX227" s="34">
        <f t="shared" si="140"/>
        <v>20</v>
      </c>
      <c r="AY227" s="34">
        <f t="shared" si="140"/>
        <v>0</v>
      </c>
      <c r="AZ227" s="34">
        <f t="shared" si="140"/>
        <v>0</v>
      </c>
      <c r="BA227" s="34">
        <f t="shared" si="140"/>
        <v>0</v>
      </c>
      <c r="BB227" s="34">
        <f t="shared" si="140"/>
        <v>0</v>
      </c>
      <c r="BC227" s="34">
        <f t="shared" si="140"/>
        <v>40</v>
      </c>
      <c r="BD227" s="34">
        <f t="shared" si="140"/>
        <v>80</v>
      </c>
      <c r="BE227" s="34">
        <f t="shared" si="140"/>
        <v>0</v>
      </c>
      <c r="BF227" s="34">
        <f t="shared" si="140"/>
        <v>80</v>
      </c>
      <c r="BG227" s="34">
        <f t="shared" si="140"/>
        <v>0</v>
      </c>
      <c r="BH227" s="34">
        <f t="shared" si="140"/>
        <v>0</v>
      </c>
      <c r="BI227" s="34">
        <f t="shared" si="133"/>
        <v>0</v>
      </c>
      <c r="BJ227" s="34">
        <f t="shared" si="140"/>
        <v>0</v>
      </c>
      <c r="BK227" s="34">
        <f t="shared" si="140"/>
        <v>160</v>
      </c>
      <c r="BL227" s="3"/>
    </row>
    <row r="228" spans="1:64" ht="60" customHeight="1" x14ac:dyDescent="0.25">
      <c r="A228" s="298" t="s">
        <v>491</v>
      </c>
      <c r="B228" s="299" t="s">
        <v>489</v>
      </c>
      <c r="C228" s="1547"/>
      <c r="D228" s="1549"/>
      <c r="E228" s="1549"/>
      <c r="F228" s="1549"/>
      <c r="G228" s="1549"/>
      <c r="H228" s="1549"/>
      <c r="I228" s="1425"/>
      <c r="J228" s="1425"/>
      <c r="K228" s="1428" t="s">
        <v>704</v>
      </c>
      <c r="L228" s="301" t="s">
        <v>496</v>
      </c>
      <c r="M228" s="1425" t="s">
        <v>497</v>
      </c>
      <c r="N228" s="476"/>
      <c r="O228" s="1425" t="s">
        <v>47</v>
      </c>
      <c r="P228" s="16" t="s">
        <v>705</v>
      </c>
      <c r="Q228" s="302" t="s">
        <v>706</v>
      </c>
      <c r="R228" s="303">
        <v>2015</v>
      </c>
      <c r="S228" s="303">
        <v>0</v>
      </c>
      <c r="T228" s="303">
        <v>1</v>
      </c>
      <c r="U228" s="303">
        <v>1</v>
      </c>
      <c r="V228" s="303">
        <v>1</v>
      </c>
      <c r="W228" s="303">
        <v>1</v>
      </c>
      <c r="X228" s="303">
        <v>4</v>
      </c>
      <c r="Y228" s="491">
        <v>20</v>
      </c>
      <c r="Z228" s="481"/>
      <c r="AA228" s="481"/>
      <c r="AB228" s="481"/>
      <c r="AC228" s="481"/>
      <c r="AD228" s="481"/>
      <c r="AE228" s="481"/>
      <c r="AF228" s="481">
        <f t="shared" si="136"/>
        <v>20</v>
      </c>
      <c r="AG228" s="491">
        <v>20</v>
      </c>
      <c r="AH228" s="548"/>
      <c r="AI228" s="548"/>
      <c r="AJ228" s="548"/>
      <c r="AK228" s="548"/>
      <c r="AL228" s="548"/>
      <c r="AM228" s="548">
        <f t="shared" si="137"/>
        <v>20</v>
      </c>
      <c r="AN228" s="491">
        <v>20</v>
      </c>
      <c r="AO228" s="481">
        <v>0</v>
      </c>
      <c r="AP228" s="481">
        <v>0</v>
      </c>
      <c r="AQ228" s="481">
        <v>0</v>
      </c>
      <c r="AR228" s="481">
        <v>0</v>
      </c>
      <c r="AS228" s="481">
        <v>0</v>
      </c>
      <c r="AT228" s="481">
        <v>0</v>
      </c>
      <c r="AU228" s="481">
        <f t="shared" si="138"/>
        <v>20</v>
      </c>
      <c r="AV228" s="491">
        <v>20</v>
      </c>
      <c r="AW228" s="548"/>
      <c r="AX228" s="548"/>
      <c r="AY228" s="548"/>
      <c r="AZ228" s="548"/>
      <c r="BA228" s="548"/>
      <c r="BB228" s="548"/>
      <c r="BC228" s="548">
        <f t="shared" si="139"/>
        <v>20</v>
      </c>
      <c r="BD228" s="42">
        <f t="shared" si="130"/>
        <v>80</v>
      </c>
      <c r="BE228" s="42">
        <f t="shared" si="130"/>
        <v>0</v>
      </c>
      <c r="BF228" s="42">
        <f t="shared" si="130"/>
        <v>0</v>
      </c>
      <c r="BG228" s="42">
        <f t="shared" si="130"/>
        <v>0</v>
      </c>
      <c r="BH228" s="42">
        <f t="shared" si="130"/>
        <v>0</v>
      </c>
      <c r="BI228" s="42">
        <f t="shared" si="133"/>
        <v>0</v>
      </c>
      <c r="BJ228" s="42">
        <f t="shared" si="131"/>
        <v>0</v>
      </c>
      <c r="BK228" s="42">
        <f t="shared" si="131"/>
        <v>80</v>
      </c>
      <c r="BL228" s="3"/>
    </row>
    <row r="229" spans="1:64" ht="76.5" customHeight="1" x14ac:dyDescent="0.25">
      <c r="A229" s="298" t="s">
        <v>491</v>
      </c>
      <c r="B229" s="299" t="s">
        <v>489</v>
      </c>
      <c r="C229" s="1547"/>
      <c r="D229" s="1549"/>
      <c r="E229" s="1549"/>
      <c r="F229" s="1549"/>
      <c r="G229" s="1549"/>
      <c r="H229" s="1549"/>
      <c r="I229" s="1425"/>
      <c r="J229" s="1425"/>
      <c r="K229" s="1428" t="s">
        <v>707</v>
      </c>
      <c r="L229" s="301" t="s">
        <v>496</v>
      </c>
      <c r="M229" s="1425" t="s">
        <v>497</v>
      </c>
      <c r="N229" s="476"/>
      <c r="O229" s="1425" t="s">
        <v>47</v>
      </c>
      <c r="P229" s="16" t="s">
        <v>708</v>
      </c>
      <c r="Q229" s="302" t="s">
        <v>709</v>
      </c>
      <c r="R229" s="303">
        <v>2015</v>
      </c>
      <c r="S229" s="303">
        <v>0</v>
      </c>
      <c r="T229" s="303">
        <v>0</v>
      </c>
      <c r="U229" s="303">
        <v>0</v>
      </c>
      <c r="V229" s="303">
        <v>0</v>
      </c>
      <c r="W229" s="303">
        <v>1</v>
      </c>
      <c r="X229" s="303">
        <v>2</v>
      </c>
      <c r="Y229" s="481"/>
      <c r="Z229" s="481"/>
      <c r="AA229" s="481"/>
      <c r="AB229" s="481"/>
      <c r="AC229" s="481"/>
      <c r="AD229" s="481"/>
      <c r="AE229" s="481"/>
      <c r="AF229" s="481">
        <f t="shared" si="136"/>
        <v>0</v>
      </c>
      <c r="AG229" s="548"/>
      <c r="AH229" s="548"/>
      <c r="AI229" s="548"/>
      <c r="AJ229" s="548"/>
      <c r="AK229" s="548"/>
      <c r="AL229" s="548"/>
      <c r="AM229" s="548">
        <f t="shared" si="137"/>
        <v>0</v>
      </c>
      <c r="AN229" s="481"/>
      <c r="AO229" s="481"/>
      <c r="AP229" s="481"/>
      <c r="AQ229" s="481"/>
      <c r="AR229" s="481"/>
      <c r="AS229" s="481"/>
      <c r="AT229" s="481"/>
      <c r="AU229" s="481">
        <f t="shared" si="138"/>
        <v>0</v>
      </c>
      <c r="AV229" s="481"/>
      <c r="AW229" s="548"/>
      <c r="AX229" s="491">
        <v>10</v>
      </c>
      <c r="AY229" s="548"/>
      <c r="AZ229" s="548"/>
      <c r="BA229" s="548"/>
      <c r="BB229" s="548"/>
      <c r="BC229" s="548">
        <f t="shared" si="139"/>
        <v>10</v>
      </c>
      <c r="BD229" s="42">
        <f t="shared" si="130"/>
        <v>0</v>
      </c>
      <c r="BE229" s="42">
        <f t="shared" si="130"/>
        <v>0</v>
      </c>
      <c r="BF229" s="42">
        <f t="shared" si="130"/>
        <v>10</v>
      </c>
      <c r="BG229" s="42">
        <f t="shared" si="130"/>
        <v>0</v>
      </c>
      <c r="BH229" s="42">
        <f t="shared" si="130"/>
        <v>0</v>
      </c>
      <c r="BI229" s="42">
        <f t="shared" si="133"/>
        <v>0</v>
      </c>
      <c r="BJ229" s="42">
        <f t="shared" si="131"/>
        <v>0</v>
      </c>
      <c r="BK229" s="42">
        <f t="shared" si="131"/>
        <v>10</v>
      </c>
      <c r="BL229" s="3"/>
    </row>
    <row r="230" spans="1:64" ht="57.75" customHeight="1" x14ac:dyDescent="0.25">
      <c r="A230" s="298" t="s">
        <v>491</v>
      </c>
      <c r="B230" s="299" t="s">
        <v>489</v>
      </c>
      <c r="C230" s="1547"/>
      <c r="D230" s="1549"/>
      <c r="E230" s="1549"/>
      <c r="F230" s="1549"/>
      <c r="G230" s="1549"/>
      <c r="H230" s="1549"/>
      <c r="I230" s="1425"/>
      <c r="J230" s="1425"/>
      <c r="K230" s="1428" t="s">
        <v>710</v>
      </c>
      <c r="L230" s="301" t="s">
        <v>496</v>
      </c>
      <c r="M230" s="1425" t="s">
        <v>497</v>
      </c>
      <c r="N230" s="476"/>
      <c r="O230" s="1425" t="s">
        <v>47</v>
      </c>
      <c r="P230" s="71" t="s">
        <v>711</v>
      </c>
      <c r="Q230" s="302" t="s">
        <v>712</v>
      </c>
      <c r="R230" s="303">
        <v>2015</v>
      </c>
      <c r="S230" s="303">
        <v>0</v>
      </c>
      <c r="T230" s="303">
        <v>0</v>
      </c>
      <c r="U230" s="303">
        <v>0</v>
      </c>
      <c r="V230" s="303">
        <v>1</v>
      </c>
      <c r="W230" s="303">
        <v>0</v>
      </c>
      <c r="X230" s="303">
        <v>1</v>
      </c>
      <c r="Y230" s="491"/>
      <c r="Z230" s="481"/>
      <c r="AA230" s="481"/>
      <c r="AB230" s="481"/>
      <c r="AC230" s="481"/>
      <c r="AD230" s="481"/>
      <c r="AE230" s="481"/>
      <c r="AF230" s="481">
        <f t="shared" si="136"/>
        <v>0</v>
      </c>
      <c r="AG230" s="491"/>
      <c r="AH230" s="548"/>
      <c r="AI230" s="491"/>
      <c r="AJ230" s="548"/>
      <c r="AK230" s="548"/>
      <c r="AL230" s="548"/>
      <c r="AM230" s="548">
        <f t="shared" si="137"/>
        <v>0</v>
      </c>
      <c r="AN230" s="491"/>
      <c r="AO230" s="481"/>
      <c r="AP230" s="481">
        <v>10</v>
      </c>
      <c r="AQ230" s="481"/>
      <c r="AR230" s="481"/>
      <c r="AS230" s="481"/>
      <c r="AT230" s="481"/>
      <c r="AU230" s="481">
        <f t="shared" si="138"/>
        <v>10</v>
      </c>
      <c r="AV230" s="491"/>
      <c r="AW230" s="548"/>
      <c r="AX230" s="491"/>
      <c r="AY230" s="548"/>
      <c r="AZ230" s="548"/>
      <c r="BA230" s="548"/>
      <c r="BB230" s="548"/>
      <c r="BC230" s="548">
        <f t="shared" si="139"/>
        <v>0</v>
      </c>
      <c r="BD230" s="42">
        <f t="shared" si="130"/>
        <v>0</v>
      </c>
      <c r="BE230" s="42">
        <f t="shared" si="130"/>
        <v>0</v>
      </c>
      <c r="BF230" s="42">
        <f t="shared" si="130"/>
        <v>10</v>
      </c>
      <c r="BG230" s="42">
        <f t="shared" si="130"/>
        <v>0</v>
      </c>
      <c r="BH230" s="42">
        <f t="shared" si="130"/>
        <v>0</v>
      </c>
      <c r="BI230" s="42">
        <f t="shared" si="133"/>
        <v>0</v>
      </c>
      <c r="BJ230" s="42">
        <f t="shared" si="131"/>
        <v>0</v>
      </c>
      <c r="BK230" s="42">
        <f t="shared" si="131"/>
        <v>10</v>
      </c>
      <c r="BL230" s="3"/>
    </row>
    <row r="231" spans="1:64" ht="45" customHeight="1" x14ac:dyDescent="0.25">
      <c r="A231" s="298" t="s">
        <v>491</v>
      </c>
      <c r="B231" s="299" t="s">
        <v>489</v>
      </c>
      <c r="C231" s="1547"/>
      <c r="D231" s="1549"/>
      <c r="E231" s="1549"/>
      <c r="F231" s="1549"/>
      <c r="G231" s="1549"/>
      <c r="H231" s="1549"/>
      <c r="I231" s="1425"/>
      <c r="J231" s="1425"/>
      <c r="K231" s="1428" t="s">
        <v>713</v>
      </c>
      <c r="L231" s="301" t="s">
        <v>496</v>
      </c>
      <c r="M231" s="1425" t="s">
        <v>497</v>
      </c>
      <c r="N231" s="476"/>
      <c r="O231" s="1425" t="s">
        <v>47</v>
      </c>
      <c r="P231" s="71" t="s">
        <v>714</v>
      </c>
      <c r="Q231" s="302" t="s">
        <v>656</v>
      </c>
      <c r="R231" s="303">
        <v>2015</v>
      </c>
      <c r="S231" s="303">
        <v>0</v>
      </c>
      <c r="T231" s="303">
        <v>1</v>
      </c>
      <c r="U231" s="303">
        <v>1</v>
      </c>
      <c r="V231" s="303">
        <v>1</v>
      </c>
      <c r="W231" s="303">
        <v>1</v>
      </c>
      <c r="X231" s="303">
        <v>4</v>
      </c>
      <c r="Y231" s="481"/>
      <c r="Z231" s="481"/>
      <c r="AA231" s="491">
        <v>20</v>
      </c>
      <c r="AB231" s="481"/>
      <c r="AC231" s="481"/>
      <c r="AD231" s="481"/>
      <c r="AE231" s="481"/>
      <c r="AF231" s="481">
        <f t="shared" si="136"/>
        <v>20</v>
      </c>
      <c r="AG231" s="548"/>
      <c r="AH231" s="548"/>
      <c r="AI231" s="491">
        <v>18</v>
      </c>
      <c r="AJ231" s="548"/>
      <c r="AK231" s="548"/>
      <c r="AL231" s="548"/>
      <c r="AM231" s="548">
        <f t="shared" si="137"/>
        <v>18</v>
      </c>
      <c r="AN231" s="481"/>
      <c r="AO231" s="481"/>
      <c r="AP231" s="481">
        <v>9</v>
      </c>
      <c r="AQ231" s="481"/>
      <c r="AR231" s="481"/>
      <c r="AS231" s="481"/>
      <c r="AT231" s="481"/>
      <c r="AU231" s="481">
        <f t="shared" si="138"/>
        <v>9</v>
      </c>
      <c r="AV231" s="548"/>
      <c r="AW231" s="548"/>
      <c r="AX231" s="548">
        <v>5</v>
      </c>
      <c r="AY231" s="548"/>
      <c r="AZ231" s="548"/>
      <c r="BA231" s="548"/>
      <c r="BB231" s="548"/>
      <c r="BC231" s="548">
        <f t="shared" si="139"/>
        <v>5</v>
      </c>
      <c r="BD231" s="42">
        <f t="shared" si="130"/>
        <v>0</v>
      </c>
      <c r="BE231" s="42">
        <f t="shared" si="130"/>
        <v>0</v>
      </c>
      <c r="BF231" s="42">
        <f t="shared" si="130"/>
        <v>52</v>
      </c>
      <c r="BG231" s="42">
        <f t="shared" si="130"/>
        <v>0</v>
      </c>
      <c r="BH231" s="42">
        <f t="shared" si="130"/>
        <v>0</v>
      </c>
      <c r="BI231" s="42">
        <f t="shared" si="133"/>
        <v>0</v>
      </c>
      <c r="BJ231" s="42">
        <f t="shared" si="131"/>
        <v>0</v>
      </c>
      <c r="BK231" s="42">
        <f t="shared" si="131"/>
        <v>52</v>
      </c>
      <c r="BL231" s="3"/>
    </row>
    <row r="232" spans="1:64" ht="47.25" customHeight="1" x14ac:dyDescent="0.25">
      <c r="A232" s="298" t="s">
        <v>491</v>
      </c>
      <c r="B232" s="299" t="s">
        <v>489</v>
      </c>
      <c r="C232" s="1547"/>
      <c r="D232" s="1549"/>
      <c r="E232" s="1549"/>
      <c r="F232" s="1549"/>
      <c r="G232" s="1549"/>
      <c r="H232" s="1549"/>
      <c r="I232" s="1425"/>
      <c r="J232" s="1425"/>
      <c r="K232" s="1428" t="s">
        <v>715</v>
      </c>
      <c r="L232" s="301" t="s">
        <v>496</v>
      </c>
      <c r="M232" s="1425" t="s">
        <v>497</v>
      </c>
      <c r="N232" s="476"/>
      <c r="O232" s="1425" t="s">
        <v>47</v>
      </c>
      <c r="P232" s="71" t="s">
        <v>716</v>
      </c>
      <c r="Q232" s="302" t="s">
        <v>717</v>
      </c>
      <c r="R232" s="303">
        <v>2015</v>
      </c>
      <c r="S232" s="303">
        <v>0</v>
      </c>
      <c r="T232" s="303">
        <v>0</v>
      </c>
      <c r="U232" s="303">
        <v>0</v>
      </c>
      <c r="V232" s="303">
        <v>0</v>
      </c>
      <c r="W232" s="303">
        <v>0</v>
      </c>
      <c r="X232" s="303">
        <v>1</v>
      </c>
      <c r="Y232" s="481"/>
      <c r="Z232" s="481"/>
      <c r="AA232" s="491"/>
      <c r="AB232" s="481"/>
      <c r="AC232" s="481"/>
      <c r="AD232" s="481"/>
      <c r="AE232" s="481"/>
      <c r="AF232" s="481">
        <f t="shared" si="136"/>
        <v>0</v>
      </c>
      <c r="AG232" s="548"/>
      <c r="AH232" s="548"/>
      <c r="AI232" s="491"/>
      <c r="AJ232" s="548"/>
      <c r="AK232" s="548"/>
      <c r="AL232" s="548"/>
      <c r="AM232" s="548">
        <f t="shared" si="137"/>
        <v>0</v>
      </c>
      <c r="AN232" s="481"/>
      <c r="AO232" s="481"/>
      <c r="AP232" s="491">
        <v>1</v>
      </c>
      <c r="AQ232" s="481"/>
      <c r="AR232" s="481"/>
      <c r="AS232" s="481"/>
      <c r="AT232" s="481"/>
      <c r="AU232" s="481">
        <f t="shared" si="138"/>
        <v>1</v>
      </c>
      <c r="AV232" s="548"/>
      <c r="AW232" s="548"/>
      <c r="AX232" s="491"/>
      <c r="AY232" s="548"/>
      <c r="AZ232" s="548"/>
      <c r="BA232" s="548"/>
      <c r="BB232" s="548"/>
      <c r="BC232" s="548">
        <f t="shared" si="139"/>
        <v>0</v>
      </c>
      <c r="BD232" s="42">
        <f t="shared" si="130"/>
        <v>0</v>
      </c>
      <c r="BE232" s="42">
        <f t="shared" si="130"/>
        <v>0</v>
      </c>
      <c r="BF232" s="42">
        <f t="shared" si="130"/>
        <v>1</v>
      </c>
      <c r="BG232" s="42">
        <f t="shared" si="130"/>
        <v>0</v>
      </c>
      <c r="BH232" s="42">
        <f t="shared" si="130"/>
        <v>0</v>
      </c>
      <c r="BI232" s="42">
        <f t="shared" si="133"/>
        <v>0</v>
      </c>
      <c r="BJ232" s="42">
        <f t="shared" si="131"/>
        <v>0</v>
      </c>
      <c r="BK232" s="42">
        <f t="shared" si="131"/>
        <v>1</v>
      </c>
      <c r="BL232" s="3"/>
    </row>
    <row r="233" spans="1:64" ht="50.25" customHeight="1" x14ac:dyDescent="0.25">
      <c r="A233" s="298" t="s">
        <v>491</v>
      </c>
      <c r="B233" s="299" t="s">
        <v>489</v>
      </c>
      <c r="C233" s="1547"/>
      <c r="D233" s="1549"/>
      <c r="E233" s="1549"/>
      <c r="F233" s="1549"/>
      <c r="G233" s="1549"/>
      <c r="H233" s="1549"/>
      <c r="I233" s="1425"/>
      <c r="J233" s="1425"/>
      <c r="K233" s="1428" t="s">
        <v>718</v>
      </c>
      <c r="L233" s="301" t="s">
        <v>496</v>
      </c>
      <c r="M233" s="1425" t="s">
        <v>497</v>
      </c>
      <c r="N233" s="476"/>
      <c r="O233" s="1425" t="s">
        <v>47</v>
      </c>
      <c r="P233" s="71" t="s">
        <v>719</v>
      </c>
      <c r="Q233" s="302" t="s">
        <v>720</v>
      </c>
      <c r="R233" s="303">
        <v>2015</v>
      </c>
      <c r="S233" s="303">
        <v>0</v>
      </c>
      <c r="T233" s="303">
        <v>0</v>
      </c>
      <c r="U233" s="303">
        <v>0</v>
      </c>
      <c r="V233" s="303">
        <v>0</v>
      </c>
      <c r="W233" s="303">
        <v>0</v>
      </c>
      <c r="X233" s="303">
        <v>1</v>
      </c>
      <c r="Y233" s="481"/>
      <c r="Z233" s="481"/>
      <c r="AA233" s="491"/>
      <c r="AB233" s="481"/>
      <c r="AC233" s="481"/>
      <c r="AD233" s="481"/>
      <c r="AE233" s="481"/>
      <c r="AF233" s="481">
        <f t="shared" si="136"/>
        <v>0</v>
      </c>
      <c r="AG233" s="548"/>
      <c r="AH233" s="548"/>
      <c r="AI233" s="548">
        <v>1</v>
      </c>
      <c r="AJ233" s="548"/>
      <c r="AK233" s="548"/>
      <c r="AL233" s="548"/>
      <c r="AM233" s="548">
        <f t="shared" si="137"/>
        <v>1</v>
      </c>
      <c r="AN233" s="481"/>
      <c r="AO233" s="481"/>
      <c r="AP233" s="481"/>
      <c r="AQ233" s="481"/>
      <c r="AR233" s="481"/>
      <c r="AS233" s="481"/>
      <c r="AT233" s="481"/>
      <c r="AU233" s="481">
        <f t="shared" si="138"/>
        <v>0</v>
      </c>
      <c r="AV233" s="548"/>
      <c r="AW233" s="548"/>
      <c r="AX233" s="548"/>
      <c r="AY233" s="548"/>
      <c r="AZ233" s="548"/>
      <c r="BA233" s="548"/>
      <c r="BB233" s="548"/>
      <c r="BC233" s="548">
        <f t="shared" si="139"/>
        <v>0</v>
      </c>
      <c r="BD233" s="42">
        <f t="shared" si="130"/>
        <v>0</v>
      </c>
      <c r="BE233" s="42">
        <f t="shared" si="130"/>
        <v>0</v>
      </c>
      <c r="BF233" s="42">
        <f t="shared" si="130"/>
        <v>1</v>
      </c>
      <c r="BG233" s="42">
        <f t="shared" si="130"/>
        <v>0</v>
      </c>
      <c r="BH233" s="42">
        <f t="shared" si="130"/>
        <v>0</v>
      </c>
      <c r="BI233" s="42">
        <f t="shared" si="133"/>
        <v>0</v>
      </c>
      <c r="BJ233" s="42">
        <f t="shared" si="131"/>
        <v>0</v>
      </c>
      <c r="BK233" s="42">
        <f t="shared" si="131"/>
        <v>1</v>
      </c>
      <c r="BL233" s="3"/>
    </row>
    <row r="234" spans="1:64" ht="71.25" customHeight="1" x14ac:dyDescent="0.25">
      <c r="A234" s="298" t="s">
        <v>491</v>
      </c>
      <c r="B234" s="299" t="s">
        <v>489</v>
      </c>
      <c r="C234" s="1547"/>
      <c r="D234" s="1549"/>
      <c r="E234" s="1549"/>
      <c r="F234" s="1549"/>
      <c r="G234" s="1549"/>
      <c r="H234" s="1549"/>
      <c r="I234" s="1425"/>
      <c r="J234" s="1425"/>
      <c r="K234" s="1428" t="s">
        <v>721</v>
      </c>
      <c r="L234" s="301" t="s">
        <v>496</v>
      </c>
      <c r="M234" s="1425" t="s">
        <v>497</v>
      </c>
      <c r="N234" s="476"/>
      <c r="O234" s="1425" t="s">
        <v>47</v>
      </c>
      <c r="P234" s="16" t="s">
        <v>722</v>
      </c>
      <c r="Q234" s="302" t="s">
        <v>699</v>
      </c>
      <c r="R234" s="303">
        <v>2015</v>
      </c>
      <c r="S234" s="303">
        <v>0</v>
      </c>
      <c r="T234" s="303">
        <v>0</v>
      </c>
      <c r="U234" s="303">
        <v>0</v>
      </c>
      <c r="V234" s="303">
        <v>0</v>
      </c>
      <c r="W234" s="303">
        <v>1</v>
      </c>
      <c r="X234" s="303">
        <v>2</v>
      </c>
      <c r="Y234" s="481"/>
      <c r="Z234" s="481"/>
      <c r="AA234" s="481"/>
      <c r="AB234" s="481"/>
      <c r="AC234" s="481"/>
      <c r="AD234" s="481"/>
      <c r="AE234" s="481"/>
      <c r="AF234" s="481">
        <f t="shared" si="136"/>
        <v>0</v>
      </c>
      <c r="AG234" s="548"/>
      <c r="AH234" s="548"/>
      <c r="AI234" s="548">
        <v>1</v>
      </c>
      <c r="AJ234" s="548"/>
      <c r="AK234" s="548"/>
      <c r="AL234" s="548"/>
      <c r="AM234" s="548">
        <f t="shared" si="137"/>
        <v>1</v>
      </c>
      <c r="AN234" s="481"/>
      <c r="AO234" s="481"/>
      <c r="AP234" s="481"/>
      <c r="AQ234" s="481"/>
      <c r="AR234" s="481"/>
      <c r="AS234" s="481"/>
      <c r="AT234" s="481"/>
      <c r="AU234" s="481">
        <f t="shared" si="138"/>
        <v>0</v>
      </c>
      <c r="AV234" s="548"/>
      <c r="AW234" s="548"/>
      <c r="AX234" s="491">
        <v>5</v>
      </c>
      <c r="AY234" s="548"/>
      <c r="AZ234" s="548"/>
      <c r="BA234" s="548"/>
      <c r="BB234" s="548"/>
      <c r="BC234" s="548">
        <f t="shared" si="139"/>
        <v>5</v>
      </c>
      <c r="BD234" s="42">
        <f t="shared" ref="BD234:BH238" si="141">+AV234+AN234+AG234+Y234</f>
        <v>0</v>
      </c>
      <c r="BE234" s="42">
        <f t="shared" si="141"/>
        <v>0</v>
      </c>
      <c r="BF234" s="42">
        <f t="shared" si="141"/>
        <v>6</v>
      </c>
      <c r="BG234" s="42">
        <f t="shared" si="141"/>
        <v>0</v>
      </c>
      <c r="BH234" s="42">
        <f t="shared" si="141"/>
        <v>0</v>
      </c>
      <c r="BI234" s="42">
        <f t="shared" si="133"/>
        <v>0</v>
      </c>
      <c r="BJ234" s="42">
        <f t="shared" ref="BJ234:BK238" si="142">+BB234+AT234+AL234+AE234</f>
        <v>0</v>
      </c>
      <c r="BK234" s="42">
        <f t="shared" si="142"/>
        <v>6</v>
      </c>
      <c r="BL234" s="3"/>
    </row>
    <row r="235" spans="1:64" ht="39.6" x14ac:dyDescent="0.25">
      <c r="A235" s="298" t="s">
        <v>491</v>
      </c>
      <c r="B235" s="299" t="s">
        <v>489</v>
      </c>
      <c r="C235" s="1547"/>
      <c r="D235" s="1549"/>
      <c r="E235" s="1549"/>
      <c r="F235" s="1549"/>
      <c r="G235" s="1549"/>
      <c r="H235" s="1549"/>
      <c r="I235" s="1425"/>
      <c r="J235" s="1425"/>
      <c r="K235" s="476"/>
      <c r="L235" s="1425"/>
      <c r="M235" s="1425"/>
      <c r="N235" s="476"/>
      <c r="O235" s="1425"/>
      <c r="P235" s="62" t="s">
        <v>723</v>
      </c>
      <c r="Q235" s="25"/>
      <c r="R235" s="17"/>
      <c r="S235" s="17"/>
      <c r="T235" s="17"/>
      <c r="U235" s="17"/>
      <c r="V235" s="17"/>
      <c r="W235" s="17"/>
      <c r="X235" s="17"/>
      <c r="Y235" s="43">
        <f>SUM(Y236:Y241)</f>
        <v>34</v>
      </c>
      <c r="Z235" s="43">
        <f t="shared" ref="Z235:BK235" si="143">SUM(Z236:Z241)</f>
        <v>0</v>
      </c>
      <c r="AA235" s="43">
        <f t="shared" si="143"/>
        <v>18</v>
      </c>
      <c r="AB235" s="43">
        <f t="shared" si="143"/>
        <v>0</v>
      </c>
      <c r="AC235" s="43">
        <f t="shared" si="143"/>
        <v>0</v>
      </c>
      <c r="AD235" s="43">
        <f t="shared" si="143"/>
        <v>10</v>
      </c>
      <c r="AE235" s="43">
        <f t="shared" si="143"/>
        <v>0</v>
      </c>
      <c r="AF235" s="43">
        <f t="shared" si="143"/>
        <v>62</v>
      </c>
      <c r="AG235" s="43">
        <f t="shared" si="143"/>
        <v>34</v>
      </c>
      <c r="AH235" s="43">
        <f t="shared" si="143"/>
        <v>0</v>
      </c>
      <c r="AI235" s="43">
        <f t="shared" si="143"/>
        <v>18</v>
      </c>
      <c r="AJ235" s="43">
        <f t="shared" si="143"/>
        <v>0</v>
      </c>
      <c r="AK235" s="43">
        <f t="shared" si="143"/>
        <v>0</v>
      </c>
      <c r="AL235" s="43">
        <f t="shared" si="143"/>
        <v>0</v>
      </c>
      <c r="AM235" s="43">
        <f t="shared" si="143"/>
        <v>52</v>
      </c>
      <c r="AN235" s="43">
        <f t="shared" si="143"/>
        <v>34</v>
      </c>
      <c r="AO235" s="43">
        <f t="shared" si="143"/>
        <v>0</v>
      </c>
      <c r="AP235" s="43">
        <f t="shared" si="143"/>
        <v>18</v>
      </c>
      <c r="AQ235" s="43">
        <f t="shared" si="143"/>
        <v>0</v>
      </c>
      <c r="AR235" s="43">
        <f t="shared" si="143"/>
        <v>0</v>
      </c>
      <c r="AS235" s="43">
        <f t="shared" si="143"/>
        <v>0</v>
      </c>
      <c r="AT235" s="43">
        <f t="shared" si="143"/>
        <v>0</v>
      </c>
      <c r="AU235" s="43">
        <f t="shared" si="143"/>
        <v>52</v>
      </c>
      <c r="AV235" s="43">
        <f t="shared" si="143"/>
        <v>34</v>
      </c>
      <c r="AW235" s="43">
        <f t="shared" si="143"/>
        <v>0</v>
      </c>
      <c r="AX235" s="43">
        <f t="shared" si="143"/>
        <v>18</v>
      </c>
      <c r="AY235" s="43">
        <f t="shared" si="143"/>
        <v>0</v>
      </c>
      <c r="AZ235" s="43">
        <f t="shared" si="143"/>
        <v>0</v>
      </c>
      <c r="BA235" s="43">
        <f t="shared" si="143"/>
        <v>0</v>
      </c>
      <c r="BB235" s="43">
        <f t="shared" si="143"/>
        <v>0</v>
      </c>
      <c r="BC235" s="43">
        <f t="shared" si="143"/>
        <v>52</v>
      </c>
      <c r="BD235" s="43">
        <f t="shared" si="143"/>
        <v>136</v>
      </c>
      <c r="BE235" s="43">
        <f t="shared" si="143"/>
        <v>0</v>
      </c>
      <c r="BF235" s="43">
        <f t="shared" si="143"/>
        <v>72</v>
      </c>
      <c r="BG235" s="43">
        <f t="shared" si="143"/>
        <v>0</v>
      </c>
      <c r="BH235" s="43">
        <f t="shared" si="143"/>
        <v>0</v>
      </c>
      <c r="BI235" s="43">
        <f t="shared" si="133"/>
        <v>10</v>
      </c>
      <c r="BJ235" s="43">
        <f t="shared" si="143"/>
        <v>0</v>
      </c>
      <c r="BK235" s="43">
        <f t="shared" si="143"/>
        <v>218</v>
      </c>
      <c r="BL235" s="3"/>
    </row>
    <row r="236" spans="1:64" ht="58.5" customHeight="1" x14ac:dyDescent="0.25">
      <c r="A236" s="298" t="s">
        <v>491</v>
      </c>
      <c r="B236" s="299" t="s">
        <v>489</v>
      </c>
      <c r="C236" s="1547"/>
      <c r="D236" s="1549"/>
      <c r="E236" s="1549"/>
      <c r="F236" s="1549"/>
      <c r="G236" s="1549"/>
      <c r="H236" s="1549"/>
      <c r="I236" s="1425"/>
      <c r="J236" s="1425"/>
      <c r="K236" s="1428" t="s">
        <v>724</v>
      </c>
      <c r="L236" s="301" t="s">
        <v>496</v>
      </c>
      <c r="M236" s="1425" t="s">
        <v>497</v>
      </c>
      <c r="N236" s="476"/>
      <c r="O236" s="1425" t="s">
        <v>47</v>
      </c>
      <c r="P236" s="16" t="s">
        <v>725</v>
      </c>
      <c r="Q236" s="302" t="s">
        <v>726</v>
      </c>
      <c r="R236" s="303">
        <v>2015</v>
      </c>
      <c r="S236" s="303">
        <v>0</v>
      </c>
      <c r="T236" s="303">
        <v>2</v>
      </c>
      <c r="U236" s="303">
        <v>2</v>
      </c>
      <c r="V236" s="303">
        <v>2</v>
      </c>
      <c r="W236" s="303">
        <v>2</v>
      </c>
      <c r="X236" s="303">
        <v>8</v>
      </c>
      <c r="Y236" s="481"/>
      <c r="Z236" s="481"/>
      <c r="AA236" s="491">
        <v>5</v>
      </c>
      <c r="AB236" s="481"/>
      <c r="AC236" s="481"/>
      <c r="AD236" s="481"/>
      <c r="AE236" s="481"/>
      <c r="AF236" s="481">
        <f t="shared" si="136"/>
        <v>5</v>
      </c>
      <c r="AG236" s="548"/>
      <c r="AH236" s="548"/>
      <c r="AI236" s="491">
        <v>5</v>
      </c>
      <c r="AJ236" s="548"/>
      <c r="AK236" s="548"/>
      <c r="AL236" s="548"/>
      <c r="AM236" s="548">
        <f t="shared" si="137"/>
        <v>5</v>
      </c>
      <c r="AN236" s="481"/>
      <c r="AO236" s="481"/>
      <c r="AP236" s="491">
        <v>5</v>
      </c>
      <c r="AQ236" s="481"/>
      <c r="AR236" s="481"/>
      <c r="AS236" s="481"/>
      <c r="AT236" s="481"/>
      <c r="AU236" s="481">
        <f t="shared" si="138"/>
        <v>5</v>
      </c>
      <c r="AV236" s="548"/>
      <c r="AW236" s="548"/>
      <c r="AX236" s="491">
        <v>10</v>
      </c>
      <c r="AY236" s="548"/>
      <c r="AZ236" s="548"/>
      <c r="BA236" s="548"/>
      <c r="BB236" s="548"/>
      <c r="BC236" s="548">
        <f t="shared" si="139"/>
        <v>10</v>
      </c>
      <c r="BD236" s="42">
        <f t="shared" si="141"/>
        <v>0</v>
      </c>
      <c r="BE236" s="42">
        <f t="shared" si="141"/>
        <v>0</v>
      </c>
      <c r="BF236" s="42">
        <f t="shared" si="141"/>
        <v>25</v>
      </c>
      <c r="BG236" s="42">
        <f t="shared" si="141"/>
        <v>0</v>
      </c>
      <c r="BH236" s="42">
        <f t="shared" si="141"/>
        <v>0</v>
      </c>
      <c r="BI236" s="42">
        <f t="shared" si="133"/>
        <v>0</v>
      </c>
      <c r="BJ236" s="42">
        <f t="shared" si="142"/>
        <v>0</v>
      </c>
      <c r="BK236" s="42">
        <f t="shared" si="142"/>
        <v>25</v>
      </c>
      <c r="BL236" s="3"/>
    </row>
    <row r="237" spans="1:64" ht="67.5" customHeight="1" x14ac:dyDescent="0.25">
      <c r="A237" s="298" t="s">
        <v>491</v>
      </c>
      <c r="B237" s="299" t="s">
        <v>489</v>
      </c>
      <c r="C237" s="1547"/>
      <c r="D237" s="1549"/>
      <c r="E237" s="1549"/>
      <c r="F237" s="1549"/>
      <c r="G237" s="1549"/>
      <c r="H237" s="1549"/>
      <c r="I237" s="1425"/>
      <c r="J237" s="1425"/>
      <c r="K237" s="1428" t="s">
        <v>727</v>
      </c>
      <c r="L237" s="301" t="s">
        <v>496</v>
      </c>
      <c r="M237" s="1425" t="s">
        <v>497</v>
      </c>
      <c r="N237" s="476"/>
      <c r="O237" s="1425" t="s">
        <v>47</v>
      </c>
      <c r="P237" s="16" t="s">
        <v>728</v>
      </c>
      <c r="Q237" s="302" t="s">
        <v>729</v>
      </c>
      <c r="R237" s="303">
        <v>2015</v>
      </c>
      <c r="S237" s="303">
        <v>0</v>
      </c>
      <c r="T237" s="303">
        <v>0</v>
      </c>
      <c r="U237" s="303">
        <v>1</v>
      </c>
      <c r="V237" s="303">
        <v>0</v>
      </c>
      <c r="W237" s="303">
        <v>0</v>
      </c>
      <c r="X237" s="303">
        <v>1</v>
      </c>
      <c r="Y237" s="481"/>
      <c r="Z237" s="481"/>
      <c r="AA237" s="491"/>
      <c r="AB237" s="481"/>
      <c r="AC237" s="481"/>
      <c r="AD237" s="481"/>
      <c r="AE237" s="481"/>
      <c r="AF237" s="481">
        <f t="shared" si="136"/>
        <v>0</v>
      </c>
      <c r="AG237" s="548"/>
      <c r="AH237" s="548"/>
      <c r="AI237" s="491">
        <v>5</v>
      </c>
      <c r="AJ237" s="548"/>
      <c r="AK237" s="548"/>
      <c r="AL237" s="548"/>
      <c r="AM237" s="548">
        <f t="shared" si="137"/>
        <v>5</v>
      </c>
      <c r="AN237" s="481"/>
      <c r="AO237" s="481"/>
      <c r="AP237" s="491"/>
      <c r="AQ237" s="481"/>
      <c r="AR237" s="481"/>
      <c r="AS237" s="481"/>
      <c r="AT237" s="481"/>
      <c r="AU237" s="481">
        <f t="shared" si="138"/>
        <v>0</v>
      </c>
      <c r="AV237" s="548"/>
      <c r="AW237" s="548"/>
      <c r="AX237" s="548"/>
      <c r="AY237" s="548"/>
      <c r="AZ237" s="548"/>
      <c r="BA237" s="548"/>
      <c r="BB237" s="548"/>
      <c r="BC237" s="548">
        <f t="shared" si="139"/>
        <v>0</v>
      </c>
      <c r="BD237" s="42">
        <f t="shared" si="141"/>
        <v>0</v>
      </c>
      <c r="BE237" s="42">
        <f t="shared" si="141"/>
        <v>0</v>
      </c>
      <c r="BF237" s="42">
        <f t="shared" si="141"/>
        <v>5</v>
      </c>
      <c r="BG237" s="42">
        <f t="shared" si="141"/>
        <v>0</v>
      </c>
      <c r="BH237" s="42">
        <f t="shared" si="141"/>
        <v>0</v>
      </c>
      <c r="BI237" s="42">
        <f t="shared" si="133"/>
        <v>0</v>
      </c>
      <c r="BJ237" s="42">
        <f t="shared" si="142"/>
        <v>0</v>
      </c>
      <c r="BK237" s="42">
        <f t="shared" si="142"/>
        <v>5</v>
      </c>
      <c r="BL237" s="3"/>
    </row>
    <row r="238" spans="1:64" ht="46.5" customHeight="1" x14ac:dyDescent="0.25">
      <c r="A238" s="298" t="s">
        <v>491</v>
      </c>
      <c r="B238" s="299" t="s">
        <v>489</v>
      </c>
      <c r="C238" s="1547"/>
      <c r="D238" s="1549"/>
      <c r="E238" s="1549"/>
      <c r="F238" s="1549"/>
      <c r="G238" s="1549"/>
      <c r="H238" s="1549"/>
      <c r="I238" s="1425"/>
      <c r="J238" s="1425"/>
      <c r="K238" s="1428" t="s">
        <v>730</v>
      </c>
      <c r="L238" s="301" t="s">
        <v>496</v>
      </c>
      <c r="M238" s="1425" t="s">
        <v>497</v>
      </c>
      <c r="N238" s="476"/>
      <c r="O238" s="1425" t="s">
        <v>47</v>
      </c>
      <c r="P238" s="16" t="s">
        <v>731</v>
      </c>
      <c r="Q238" s="302" t="s">
        <v>732</v>
      </c>
      <c r="R238" s="303">
        <v>2015</v>
      </c>
      <c r="S238" s="303">
        <v>0</v>
      </c>
      <c r="T238" s="303">
        <v>0</v>
      </c>
      <c r="U238" s="303">
        <v>0</v>
      </c>
      <c r="V238" s="303">
        <v>1</v>
      </c>
      <c r="W238" s="303">
        <v>0</v>
      </c>
      <c r="X238" s="303">
        <v>1</v>
      </c>
      <c r="Y238" s="481"/>
      <c r="Z238" s="481"/>
      <c r="AA238" s="481"/>
      <c r="AB238" s="481"/>
      <c r="AC238" s="481"/>
      <c r="AD238" s="481"/>
      <c r="AE238" s="481"/>
      <c r="AF238" s="481">
        <f t="shared" si="136"/>
        <v>0</v>
      </c>
      <c r="AG238" s="548"/>
      <c r="AH238" s="548"/>
      <c r="AI238" s="548"/>
      <c r="AJ238" s="548"/>
      <c r="AK238" s="548"/>
      <c r="AL238" s="548"/>
      <c r="AM238" s="548">
        <f t="shared" si="137"/>
        <v>0</v>
      </c>
      <c r="AN238" s="481"/>
      <c r="AO238" s="481"/>
      <c r="AP238" s="491">
        <v>5</v>
      </c>
      <c r="AQ238" s="481"/>
      <c r="AR238" s="481"/>
      <c r="AS238" s="481"/>
      <c r="AT238" s="481"/>
      <c r="AU238" s="481">
        <f t="shared" si="138"/>
        <v>5</v>
      </c>
      <c r="AV238" s="548"/>
      <c r="AW238" s="548"/>
      <c r="AX238" s="548"/>
      <c r="AY238" s="548"/>
      <c r="AZ238" s="548"/>
      <c r="BA238" s="548"/>
      <c r="BB238" s="548"/>
      <c r="BC238" s="548">
        <f t="shared" si="139"/>
        <v>0</v>
      </c>
      <c r="BD238" s="42">
        <f t="shared" si="141"/>
        <v>0</v>
      </c>
      <c r="BE238" s="42">
        <f t="shared" si="141"/>
        <v>0</v>
      </c>
      <c r="BF238" s="42">
        <f t="shared" si="141"/>
        <v>5</v>
      </c>
      <c r="BG238" s="42">
        <f t="shared" si="141"/>
        <v>0</v>
      </c>
      <c r="BH238" s="42">
        <f t="shared" si="141"/>
        <v>0</v>
      </c>
      <c r="BI238" s="42">
        <f t="shared" si="133"/>
        <v>0</v>
      </c>
      <c r="BJ238" s="42">
        <f t="shared" si="142"/>
        <v>0</v>
      </c>
      <c r="BK238" s="42">
        <f t="shared" si="142"/>
        <v>5</v>
      </c>
      <c r="BL238" s="3"/>
    </row>
    <row r="239" spans="1:64" ht="51" customHeight="1" x14ac:dyDescent="0.25">
      <c r="A239" s="298" t="s">
        <v>491</v>
      </c>
      <c r="B239" s="299" t="s">
        <v>489</v>
      </c>
      <c r="C239" s="1547"/>
      <c r="D239" s="1549"/>
      <c r="E239" s="1549"/>
      <c r="F239" s="1549"/>
      <c r="G239" s="1549"/>
      <c r="H239" s="1549"/>
      <c r="I239" s="1425"/>
      <c r="J239" s="1425"/>
      <c r="K239" s="1428" t="s">
        <v>733</v>
      </c>
      <c r="L239" s="301" t="s">
        <v>496</v>
      </c>
      <c r="M239" s="1425" t="s">
        <v>497</v>
      </c>
      <c r="N239" s="476"/>
      <c r="O239" s="1425" t="s">
        <v>47</v>
      </c>
      <c r="P239" s="16" t="s">
        <v>734</v>
      </c>
      <c r="Q239" s="302" t="s">
        <v>735</v>
      </c>
      <c r="R239" s="303">
        <v>2015</v>
      </c>
      <c r="S239" s="303">
        <v>0</v>
      </c>
      <c r="T239" s="303">
        <v>1</v>
      </c>
      <c r="U239" s="303">
        <v>0</v>
      </c>
      <c r="V239" s="303">
        <v>0</v>
      </c>
      <c r="W239" s="303">
        <v>0</v>
      </c>
      <c r="X239" s="303">
        <v>1</v>
      </c>
      <c r="Y239" s="481"/>
      <c r="Z239" s="481"/>
      <c r="AA239" s="491">
        <v>5</v>
      </c>
      <c r="AB239" s="481"/>
      <c r="AC239" s="481"/>
      <c r="AD239" s="481"/>
      <c r="AE239" s="481"/>
      <c r="AF239" s="481">
        <f t="shared" si="136"/>
        <v>5</v>
      </c>
      <c r="AG239" s="548"/>
      <c r="AH239" s="548"/>
      <c r="AI239" s="548"/>
      <c r="AJ239" s="548"/>
      <c r="AK239" s="548"/>
      <c r="AL239" s="548"/>
      <c r="AM239" s="548">
        <f t="shared" si="137"/>
        <v>0</v>
      </c>
      <c r="AN239" s="481"/>
      <c r="AO239" s="481"/>
      <c r="AP239" s="481"/>
      <c r="AQ239" s="481"/>
      <c r="AR239" s="481"/>
      <c r="AS239" s="481"/>
      <c r="AT239" s="481"/>
      <c r="AU239" s="481">
        <f t="shared" si="138"/>
        <v>0</v>
      </c>
      <c r="AV239" s="548"/>
      <c r="AW239" s="548"/>
      <c r="AX239" s="491"/>
      <c r="AY239" s="548"/>
      <c r="AZ239" s="548"/>
      <c r="BA239" s="548"/>
      <c r="BB239" s="548"/>
      <c r="BC239" s="548">
        <f t="shared" si="139"/>
        <v>0</v>
      </c>
      <c r="BD239" s="42">
        <f>+AV239+AN239+AG239+Y239</f>
        <v>0</v>
      </c>
      <c r="BE239" s="42">
        <f>+AW239+AO239+AH239+Z239</f>
        <v>0</v>
      </c>
      <c r="BF239" s="42">
        <f>+AX239+AP239+AI239+AA239</f>
        <v>5</v>
      </c>
      <c r="BG239" s="42">
        <f>+AY239+AQ239+AJ239+AB239</f>
        <v>0</v>
      </c>
      <c r="BH239" s="42">
        <f>+AZ239+AR239+AK239+AC239</f>
        <v>0</v>
      </c>
      <c r="BI239" s="42">
        <f t="shared" si="133"/>
        <v>0</v>
      </c>
      <c r="BJ239" s="42">
        <f>+BB239+AT239+AL239+AE239</f>
        <v>0</v>
      </c>
      <c r="BK239" s="42">
        <f>+BC239+AU239+AM239+AF239</f>
        <v>5</v>
      </c>
      <c r="BL239" s="3"/>
    </row>
    <row r="240" spans="1:64" ht="45" customHeight="1" x14ac:dyDescent="0.25">
      <c r="A240" s="298" t="s">
        <v>491</v>
      </c>
      <c r="B240" s="299" t="s">
        <v>489</v>
      </c>
      <c r="C240" s="1547"/>
      <c r="D240" s="1549"/>
      <c r="E240" s="1549"/>
      <c r="F240" s="1549"/>
      <c r="G240" s="1549"/>
      <c r="H240" s="1549"/>
      <c r="I240" s="1425"/>
      <c r="J240" s="1425"/>
      <c r="K240" s="1428" t="s">
        <v>736</v>
      </c>
      <c r="L240" s="301" t="s">
        <v>496</v>
      </c>
      <c r="M240" s="1425" t="s">
        <v>497</v>
      </c>
      <c r="N240" s="476"/>
      <c r="O240" s="1425" t="s">
        <v>73</v>
      </c>
      <c r="P240" s="71" t="s">
        <v>737</v>
      </c>
      <c r="Q240" s="302" t="s">
        <v>738</v>
      </c>
      <c r="R240" s="303">
        <v>2015</v>
      </c>
      <c r="S240" s="303">
        <v>1</v>
      </c>
      <c r="T240" s="303">
        <v>1</v>
      </c>
      <c r="U240" s="303">
        <v>1</v>
      </c>
      <c r="V240" s="303">
        <v>1</v>
      </c>
      <c r="W240" s="303">
        <v>1</v>
      </c>
      <c r="X240" s="303">
        <v>1</v>
      </c>
      <c r="Y240" s="481">
        <v>1</v>
      </c>
      <c r="Z240" s="481"/>
      <c r="AA240" s="481"/>
      <c r="AB240" s="481"/>
      <c r="AC240" s="481"/>
      <c r="AD240" s="481">
        <v>10</v>
      </c>
      <c r="AE240" s="481"/>
      <c r="AF240" s="481">
        <f t="shared" si="136"/>
        <v>11</v>
      </c>
      <c r="AG240" s="548">
        <v>1</v>
      </c>
      <c r="AH240" s="548"/>
      <c r="AI240" s="548"/>
      <c r="AJ240" s="548"/>
      <c r="AK240" s="548"/>
      <c r="AL240" s="548"/>
      <c r="AM240" s="548">
        <f t="shared" si="137"/>
        <v>1</v>
      </c>
      <c r="AN240" s="481">
        <v>1</v>
      </c>
      <c r="AO240" s="481"/>
      <c r="AP240" s="481"/>
      <c r="AQ240" s="481"/>
      <c r="AR240" s="481"/>
      <c r="AS240" s="481"/>
      <c r="AT240" s="481"/>
      <c r="AU240" s="481">
        <f t="shared" si="138"/>
        <v>1</v>
      </c>
      <c r="AV240" s="548">
        <v>1</v>
      </c>
      <c r="AW240" s="548"/>
      <c r="AX240" s="548"/>
      <c r="AY240" s="548"/>
      <c r="AZ240" s="548"/>
      <c r="BA240" s="548"/>
      <c r="BB240" s="548"/>
      <c r="BC240" s="548">
        <f t="shared" si="139"/>
        <v>1</v>
      </c>
      <c r="BD240" s="42">
        <f t="shared" ref="BD240:BH242" si="144">+AV240+AN240+AG240+Y240</f>
        <v>4</v>
      </c>
      <c r="BE240" s="42">
        <f t="shared" si="144"/>
        <v>0</v>
      </c>
      <c r="BF240" s="42">
        <f t="shared" si="144"/>
        <v>0</v>
      </c>
      <c r="BG240" s="42">
        <f t="shared" si="144"/>
        <v>0</v>
      </c>
      <c r="BH240" s="42">
        <f t="shared" si="144"/>
        <v>0</v>
      </c>
      <c r="BI240" s="42">
        <f t="shared" si="133"/>
        <v>10</v>
      </c>
      <c r="BJ240" s="42">
        <f t="shared" ref="BJ240:BK242" si="145">+BB240+AT240+AL240+AE240</f>
        <v>0</v>
      </c>
      <c r="BK240" s="42">
        <f t="shared" si="145"/>
        <v>14</v>
      </c>
      <c r="BL240" s="3"/>
    </row>
    <row r="241" spans="1:64" ht="35.25" customHeight="1" x14ac:dyDescent="0.25">
      <c r="A241" s="298" t="s">
        <v>491</v>
      </c>
      <c r="B241" s="299" t="s">
        <v>489</v>
      </c>
      <c r="C241" s="1548"/>
      <c r="D241" s="1549"/>
      <c r="E241" s="1549"/>
      <c r="F241" s="1549"/>
      <c r="G241" s="1549"/>
      <c r="H241" s="1549"/>
      <c r="I241" s="1425"/>
      <c r="J241" s="1425"/>
      <c r="K241" s="1428" t="s">
        <v>739</v>
      </c>
      <c r="L241" s="301" t="s">
        <v>740</v>
      </c>
      <c r="M241" s="1425" t="s">
        <v>497</v>
      </c>
      <c r="N241" s="476"/>
      <c r="O241" s="1425" t="s">
        <v>73</v>
      </c>
      <c r="P241" s="71" t="s">
        <v>741</v>
      </c>
      <c r="Q241" s="302" t="s">
        <v>742</v>
      </c>
      <c r="R241" s="303">
        <v>2015</v>
      </c>
      <c r="S241" s="303">
        <v>1</v>
      </c>
      <c r="T241" s="303">
        <v>1</v>
      </c>
      <c r="U241" s="303">
        <v>1</v>
      </c>
      <c r="V241" s="303">
        <v>1</v>
      </c>
      <c r="W241" s="303">
        <v>1</v>
      </c>
      <c r="X241" s="303">
        <v>1</v>
      </c>
      <c r="Y241" s="481">
        <v>33</v>
      </c>
      <c r="Z241" s="481"/>
      <c r="AA241" s="481">
        <v>8</v>
      </c>
      <c r="AB241" s="481"/>
      <c r="AC241" s="481"/>
      <c r="AD241" s="481"/>
      <c r="AE241" s="481"/>
      <c r="AF241" s="481">
        <f t="shared" si="136"/>
        <v>41</v>
      </c>
      <c r="AG241" s="548">
        <v>33</v>
      </c>
      <c r="AH241" s="548"/>
      <c r="AI241" s="548">
        <v>8</v>
      </c>
      <c r="AJ241" s="548"/>
      <c r="AK241" s="548"/>
      <c r="AL241" s="548"/>
      <c r="AM241" s="548">
        <f t="shared" si="137"/>
        <v>41</v>
      </c>
      <c r="AN241" s="481">
        <v>33</v>
      </c>
      <c r="AO241" s="481"/>
      <c r="AP241" s="481">
        <v>8</v>
      </c>
      <c r="AQ241" s="481"/>
      <c r="AR241" s="481"/>
      <c r="AS241" s="481"/>
      <c r="AT241" s="481"/>
      <c r="AU241" s="481">
        <f t="shared" si="138"/>
        <v>41</v>
      </c>
      <c r="AV241" s="548">
        <v>33</v>
      </c>
      <c r="AW241" s="548"/>
      <c r="AX241" s="548">
        <v>8</v>
      </c>
      <c r="AY241" s="548"/>
      <c r="AZ241" s="548"/>
      <c r="BA241" s="548"/>
      <c r="BB241" s="548"/>
      <c r="BC241" s="548">
        <f t="shared" si="139"/>
        <v>41</v>
      </c>
      <c r="BD241" s="42">
        <f t="shared" si="144"/>
        <v>132</v>
      </c>
      <c r="BE241" s="42">
        <f t="shared" si="144"/>
        <v>0</v>
      </c>
      <c r="BF241" s="42">
        <f t="shared" si="144"/>
        <v>32</v>
      </c>
      <c r="BG241" s="42">
        <f t="shared" si="144"/>
        <v>0</v>
      </c>
      <c r="BH241" s="42">
        <f t="shared" si="144"/>
        <v>0</v>
      </c>
      <c r="BI241" s="42">
        <f t="shared" si="133"/>
        <v>0</v>
      </c>
      <c r="BJ241" s="42">
        <f t="shared" si="145"/>
        <v>0</v>
      </c>
      <c r="BK241" s="42">
        <f t="shared" si="145"/>
        <v>164</v>
      </c>
      <c r="BL241" s="3"/>
    </row>
    <row r="242" spans="1:64" ht="2.25" customHeight="1" x14ac:dyDescent="0.25">
      <c r="A242" s="153" t="s">
        <v>491</v>
      </c>
      <c r="B242" s="19" t="s">
        <v>489</v>
      </c>
      <c r="C242" s="7"/>
      <c r="D242" s="1442"/>
      <c r="E242" s="1442"/>
      <c r="F242" s="1442"/>
      <c r="G242" s="1442"/>
      <c r="H242" s="1442"/>
      <c r="I242" s="1442"/>
      <c r="J242" s="1442"/>
      <c r="K242" s="1442"/>
      <c r="L242" s="1442"/>
      <c r="M242" s="1442"/>
      <c r="N242" s="11"/>
      <c r="O242" s="1442"/>
      <c r="P242" s="1440"/>
      <c r="Q242" s="1440"/>
      <c r="R242" s="1442"/>
      <c r="S242" s="1442"/>
      <c r="T242" s="1442"/>
      <c r="U242" s="1442"/>
      <c r="V242" s="1442"/>
      <c r="W242" s="1442"/>
      <c r="X242" s="1442"/>
      <c r="Y242" s="481">
        <v>22.4</v>
      </c>
      <c r="Z242" s="481"/>
      <c r="AA242" s="481">
        <v>24</v>
      </c>
      <c r="AB242" s="481"/>
      <c r="AC242" s="481"/>
      <c r="AD242" s="481"/>
      <c r="AE242" s="481"/>
      <c r="AF242" s="481">
        <f t="shared" si="136"/>
        <v>46.4</v>
      </c>
      <c r="AG242" s="42">
        <f>+Y242*1.035</f>
        <v>23.183999999999997</v>
      </c>
      <c r="AH242" s="42"/>
      <c r="AI242" s="42">
        <f>+AA242*1.035</f>
        <v>24.839999999999996</v>
      </c>
      <c r="AJ242" s="42"/>
      <c r="AK242" s="42"/>
      <c r="AL242" s="42"/>
      <c r="AM242" s="42">
        <f t="shared" si="137"/>
        <v>48.023999999999994</v>
      </c>
      <c r="AN242" s="42">
        <f>+AG242*1.035</f>
        <v>23.995439999999995</v>
      </c>
      <c r="AO242" s="42"/>
      <c r="AP242" s="42">
        <f>+AI242*1.035</f>
        <v>25.709399999999995</v>
      </c>
      <c r="AQ242" s="42"/>
      <c r="AR242" s="42"/>
      <c r="AS242" s="42"/>
      <c r="AT242" s="42"/>
      <c r="AU242" s="42">
        <f t="shared" si="138"/>
        <v>49.70483999999999</v>
      </c>
      <c r="AV242" s="42">
        <f>+AN242*1.035</f>
        <v>24.835280399999991</v>
      </c>
      <c r="AW242" s="42"/>
      <c r="AX242" s="42">
        <f>+AP242*1.035</f>
        <v>26.609228999999992</v>
      </c>
      <c r="AY242" s="42"/>
      <c r="AZ242" s="42"/>
      <c r="BA242" s="42"/>
      <c r="BB242" s="42"/>
      <c r="BC242" s="42">
        <f t="shared" si="139"/>
        <v>51.444509399999987</v>
      </c>
      <c r="BD242" s="42">
        <f t="shared" si="144"/>
        <v>94.414720399999993</v>
      </c>
      <c r="BE242" s="42">
        <f t="shared" si="144"/>
        <v>0</v>
      </c>
      <c r="BF242" s="42">
        <f t="shared" si="144"/>
        <v>101.15862899999999</v>
      </c>
      <c r="BG242" s="42">
        <f t="shared" si="144"/>
        <v>0</v>
      </c>
      <c r="BH242" s="42">
        <f t="shared" si="144"/>
        <v>0</v>
      </c>
      <c r="BI242" s="42">
        <f t="shared" si="133"/>
        <v>0</v>
      </c>
      <c r="BJ242" s="42">
        <f t="shared" si="145"/>
        <v>0</v>
      </c>
      <c r="BK242" s="42">
        <f t="shared" si="145"/>
        <v>195.57334939999998</v>
      </c>
      <c r="BL242" s="3"/>
    </row>
    <row r="243" spans="1:64" x14ac:dyDescent="0.25">
      <c r="A243" s="295" t="s">
        <v>491</v>
      </c>
      <c r="B243" s="14" t="s">
        <v>489</v>
      </c>
      <c r="C243" s="6"/>
      <c r="D243" s="2" t="s">
        <v>743</v>
      </c>
      <c r="E243" s="1"/>
      <c r="F243" s="1"/>
      <c r="G243" s="1"/>
      <c r="H243" s="1"/>
      <c r="I243" s="1"/>
      <c r="J243" s="1"/>
      <c r="K243" s="1"/>
      <c r="L243" s="1"/>
      <c r="M243" s="1"/>
      <c r="N243" s="1"/>
      <c r="O243" s="1"/>
      <c r="P243" s="22" t="s">
        <v>744</v>
      </c>
      <c r="Q243" s="22"/>
      <c r="R243" s="1"/>
      <c r="S243" s="1"/>
      <c r="T243" s="1"/>
      <c r="U243" s="1"/>
      <c r="V243" s="1"/>
      <c r="W243" s="1"/>
      <c r="X243" s="1"/>
      <c r="Y243" s="34">
        <f>SUM(Y244:Y260)</f>
        <v>31</v>
      </c>
      <c r="Z243" s="34">
        <f t="shared" ref="Z243:BK243" si="146">SUM(Z244:Z260)</f>
        <v>0</v>
      </c>
      <c r="AA243" s="34">
        <f t="shared" si="146"/>
        <v>16.399999999999999</v>
      </c>
      <c r="AB243" s="34">
        <f t="shared" si="146"/>
        <v>0</v>
      </c>
      <c r="AC243" s="34">
        <f t="shared" si="146"/>
        <v>0</v>
      </c>
      <c r="AD243" s="34">
        <f t="shared" si="146"/>
        <v>0</v>
      </c>
      <c r="AE243" s="34">
        <f t="shared" si="146"/>
        <v>0</v>
      </c>
      <c r="AF243" s="34">
        <f t="shared" si="146"/>
        <v>47.4</v>
      </c>
      <c r="AG243" s="34">
        <f t="shared" si="146"/>
        <v>24.2</v>
      </c>
      <c r="AH243" s="34">
        <f t="shared" si="146"/>
        <v>0</v>
      </c>
      <c r="AI243" s="34">
        <f t="shared" si="146"/>
        <v>24.83</v>
      </c>
      <c r="AJ243" s="34">
        <f t="shared" si="146"/>
        <v>0</v>
      </c>
      <c r="AK243" s="34">
        <f t="shared" si="146"/>
        <v>0</v>
      </c>
      <c r="AL243" s="34">
        <f t="shared" si="146"/>
        <v>0</v>
      </c>
      <c r="AM243" s="34">
        <f t="shared" si="146"/>
        <v>49.03</v>
      </c>
      <c r="AN243" s="34">
        <f t="shared" si="146"/>
        <v>25</v>
      </c>
      <c r="AO243" s="34">
        <f t="shared" si="146"/>
        <v>0</v>
      </c>
      <c r="AP243" s="34">
        <f t="shared" si="146"/>
        <v>25.7</v>
      </c>
      <c r="AQ243" s="34">
        <f t="shared" si="146"/>
        <v>0</v>
      </c>
      <c r="AR243" s="34">
        <f t="shared" si="146"/>
        <v>0</v>
      </c>
      <c r="AS243" s="34">
        <f t="shared" si="146"/>
        <v>0</v>
      </c>
      <c r="AT243" s="34">
        <f t="shared" si="146"/>
        <v>0</v>
      </c>
      <c r="AU243" s="34">
        <f t="shared" si="146"/>
        <v>50.7</v>
      </c>
      <c r="AV243" s="34">
        <f t="shared" si="146"/>
        <v>25</v>
      </c>
      <c r="AW243" s="34">
        <f t="shared" si="146"/>
        <v>0</v>
      </c>
      <c r="AX243" s="34">
        <f t="shared" si="146"/>
        <v>26.6</v>
      </c>
      <c r="AY243" s="34">
        <f t="shared" si="146"/>
        <v>0</v>
      </c>
      <c r="AZ243" s="34">
        <f t="shared" si="146"/>
        <v>0</v>
      </c>
      <c r="BA243" s="34">
        <f t="shared" si="146"/>
        <v>0</v>
      </c>
      <c r="BB243" s="34">
        <f t="shared" si="146"/>
        <v>0</v>
      </c>
      <c r="BC243" s="34">
        <f t="shared" si="146"/>
        <v>51.6</v>
      </c>
      <c r="BD243" s="34">
        <f t="shared" si="146"/>
        <v>105.2</v>
      </c>
      <c r="BE243" s="34">
        <f t="shared" si="146"/>
        <v>0</v>
      </c>
      <c r="BF243" s="34">
        <f t="shared" si="146"/>
        <v>83.33</v>
      </c>
      <c r="BG243" s="34">
        <f t="shared" si="146"/>
        <v>0</v>
      </c>
      <c r="BH243" s="34">
        <f t="shared" si="146"/>
        <v>0</v>
      </c>
      <c r="BI243" s="34">
        <f t="shared" si="133"/>
        <v>0</v>
      </c>
      <c r="BJ243" s="34">
        <f t="shared" si="146"/>
        <v>0</v>
      </c>
      <c r="BK243" s="34">
        <f t="shared" si="146"/>
        <v>188.52999999999997</v>
      </c>
      <c r="BL243" s="3"/>
    </row>
    <row r="244" spans="1:64" ht="45" customHeight="1" x14ac:dyDescent="0.25">
      <c r="A244" s="298" t="s">
        <v>491</v>
      </c>
      <c r="B244" s="299" t="s">
        <v>489</v>
      </c>
      <c r="C244" s="1546" t="s">
        <v>745</v>
      </c>
      <c r="D244" s="1550" t="s">
        <v>746</v>
      </c>
      <c r="E244" s="1550" t="s">
        <v>747</v>
      </c>
      <c r="F244" s="1550">
        <v>2015</v>
      </c>
      <c r="G244" s="1550">
        <v>1</v>
      </c>
      <c r="H244" s="1550">
        <v>1</v>
      </c>
      <c r="I244" s="1425"/>
      <c r="J244" s="1425"/>
      <c r="K244" s="1425" t="s">
        <v>748</v>
      </c>
      <c r="L244" s="301" t="s">
        <v>496</v>
      </c>
      <c r="M244" s="1425" t="s">
        <v>497</v>
      </c>
      <c r="N244" s="476"/>
      <c r="O244" s="1425" t="s">
        <v>47</v>
      </c>
      <c r="P244" s="16" t="s">
        <v>749</v>
      </c>
      <c r="Q244" s="302" t="s">
        <v>750</v>
      </c>
      <c r="R244" s="303">
        <v>2015</v>
      </c>
      <c r="S244" s="303">
        <v>4</v>
      </c>
      <c r="T244" s="303">
        <v>4</v>
      </c>
      <c r="U244" s="303">
        <v>4</v>
      </c>
      <c r="V244" s="303">
        <v>4</v>
      </c>
      <c r="W244" s="303">
        <v>4</v>
      </c>
      <c r="X244" s="303">
        <v>16</v>
      </c>
      <c r="Y244" s="579">
        <v>6.5</v>
      </c>
      <c r="Z244" s="579"/>
      <c r="AA244" s="579"/>
      <c r="AB244" s="579"/>
      <c r="AC244" s="579"/>
      <c r="AD244" s="579"/>
      <c r="AE244" s="579"/>
      <c r="AF244" s="481">
        <f t="shared" si="136"/>
        <v>6.5</v>
      </c>
      <c r="AG244" s="492">
        <v>2.5</v>
      </c>
      <c r="AH244" s="589"/>
      <c r="AI244" s="589"/>
      <c r="AJ244" s="589"/>
      <c r="AK244" s="589"/>
      <c r="AL244" s="589"/>
      <c r="AM244" s="548">
        <f t="shared" si="137"/>
        <v>2.5</v>
      </c>
      <c r="AN244" s="492">
        <v>4</v>
      </c>
      <c r="AO244" s="579"/>
      <c r="AP244" s="579"/>
      <c r="AQ244" s="579"/>
      <c r="AR244" s="579"/>
      <c r="AS244" s="579"/>
      <c r="AT244" s="579"/>
      <c r="AU244" s="481">
        <f t="shared" si="138"/>
        <v>4</v>
      </c>
      <c r="AV244" s="492">
        <v>4.5</v>
      </c>
      <c r="AW244" s="589"/>
      <c r="AX244" s="589"/>
      <c r="AY244" s="589"/>
      <c r="AZ244" s="589"/>
      <c r="BA244" s="589"/>
      <c r="BB244" s="589"/>
      <c r="BC244" s="548">
        <f t="shared" si="139"/>
        <v>4.5</v>
      </c>
      <c r="BD244" s="61">
        <f t="shared" ref="BD244:BH250" si="147">+AV244+AN244+AG244+Y244</f>
        <v>17.5</v>
      </c>
      <c r="BE244" s="61">
        <f t="shared" si="147"/>
        <v>0</v>
      </c>
      <c r="BF244" s="61">
        <f t="shared" si="147"/>
        <v>0</v>
      </c>
      <c r="BG244" s="61">
        <f t="shared" si="147"/>
        <v>0</v>
      </c>
      <c r="BH244" s="61">
        <f t="shared" si="147"/>
        <v>0</v>
      </c>
      <c r="BI244" s="61">
        <f t="shared" si="133"/>
        <v>0</v>
      </c>
      <c r="BJ244" s="61">
        <f t="shared" ref="BJ244:BK250" si="148">+BB244+AT244+AL244+AE244</f>
        <v>0</v>
      </c>
      <c r="BK244" s="42">
        <f t="shared" si="148"/>
        <v>17.5</v>
      </c>
      <c r="BL244" s="3"/>
    </row>
    <row r="245" spans="1:64" ht="43.5" customHeight="1" x14ac:dyDescent="0.25">
      <c r="A245" s="298" t="s">
        <v>491</v>
      </c>
      <c r="B245" s="299" t="s">
        <v>489</v>
      </c>
      <c r="C245" s="1547"/>
      <c r="D245" s="1551"/>
      <c r="E245" s="1551"/>
      <c r="F245" s="1551"/>
      <c r="G245" s="1551"/>
      <c r="H245" s="1551"/>
      <c r="I245" s="1425"/>
      <c r="J245" s="1425"/>
      <c r="K245" s="1425" t="s">
        <v>751</v>
      </c>
      <c r="L245" s="301" t="s">
        <v>496</v>
      </c>
      <c r="M245" s="1425" t="s">
        <v>497</v>
      </c>
      <c r="N245" s="476"/>
      <c r="O245" s="1425" t="s">
        <v>73</v>
      </c>
      <c r="P245" s="16" t="s">
        <v>752</v>
      </c>
      <c r="Q245" s="302" t="s">
        <v>753</v>
      </c>
      <c r="R245" s="303">
        <v>2015</v>
      </c>
      <c r="S245" s="303">
        <v>1</v>
      </c>
      <c r="T245" s="303">
        <v>1</v>
      </c>
      <c r="U245" s="303">
        <v>1</v>
      </c>
      <c r="V245" s="303">
        <v>1</v>
      </c>
      <c r="W245" s="303">
        <v>1</v>
      </c>
      <c r="X245" s="303">
        <v>1</v>
      </c>
      <c r="Y245" s="579"/>
      <c r="Z245" s="579"/>
      <c r="AA245" s="579">
        <v>11.6</v>
      </c>
      <c r="AB245" s="579"/>
      <c r="AC245" s="579"/>
      <c r="AD245" s="579"/>
      <c r="AE245" s="579"/>
      <c r="AF245" s="481">
        <f t="shared" si="136"/>
        <v>11.6</v>
      </c>
      <c r="AG245" s="492">
        <v>0.5</v>
      </c>
      <c r="AH245" s="589"/>
      <c r="AI245" s="589">
        <v>12</v>
      </c>
      <c r="AJ245" s="589"/>
      <c r="AK245" s="589"/>
      <c r="AL245" s="589"/>
      <c r="AM245" s="548">
        <f t="shared" si="137"/>
        <v>12.5</v>
      </c>
      <c r="AN245" s="579"/>
      <c r="AO245" s="579"/>
      <c r="AP245" s="579">
        <v>12.5</v>
      </c>
      <c r="AQ245" s="579"/>
      <c r="AR245" s="579"/>
      <c r="AS245" s="579"/>
      <c r="AT245" s="579"/>
      <c r="AU245" s="481">
        <f t="shared" si="138"/>
        <v>12.5</v>
      </c>
      <c r="AV245" s="589"/>
      <c r="AW245" s="589"/>
      <c r="AX245" s="589">
        <v>13</v>
      </c>
      <c r="AY245" s="589"/>
      <c r="AZ245" s="589"/>
      <c r="BA245" s="589"/>
      <c r="BB245" s="589"/>
      <c r="BC245" s="548">
        <f t="shared" si="139"/>
        <v>13</v>
      </c>
      <c r="BD245" s="61">
        <f t="shared" si="147"/>
        <v>0.5</v>
      </c>
      <c r="BE245" s="61">
        <f t="shared" si="147"/>
        <v>0</v>
      </c>
      <c r="BF245" s="61">
        <f t="shared" si="147"/>
        <v>49.1</v>
      </c>
      <c r="BG245" s="61">
        <f t="shared" si="147"/>
        <v>0</v>
      </c>
      <c r="BH245" s="61">
        <f t="shared" si="147"/>
        <v>0</v>
      </c>
      <c r="BI245" s="61">
        <f t="shared" si="133"/>
        <v>0</v>
      </c>
      <c r="BJ245" s="61">
        <f t="shared" si="148"/>
        <v>0</v>
      </c>
      <c r="BK245" s="42">
        <f t="shared" si="148"/>
        <v>49.6</v>
      </c>
      <c r="BL245" s="3"/>
    </row>
    <row r="246" spans="1:64" ht="29.25" customHeight="1" x14ac:dyDescent="0.25">
      <c r="A246" s="298" t="s">
        <v>491</v>
      </c>
      <c r="B246" s="299" t="s">
        <v>489</v>
      </c>
      <c r="C246" s="1547"/>
      <c r="D246" s="1551"/>
      <c r="E246" s="1551"/>
      <c r="F246" s="1551"/>
      <c r="G246" s="1551"/>
      <c r="H246" s="1551"/>
      <c r="I246" s="1425"/>
      <c r="J246" s="1425"/>
      <c r="K246" s="1425" t="s">
        <v>754</v>
      </c>
      <c r="L246" s="301" t="s">
        <v>496</v>
      </c>
      <c r="M246" s="1425" t="s">
        <v>497</v>
      </c>
      <c r="N246" s="476"/>
      <c r="O246" s="1425" t="s">
        <v>73</v>
      </c>
      <c r="P246" s="16" t="s">
        <v>755</v>
      </c>
      <c r="Q246" s="302" t="s">
        <v>756</v>
      </c>
      <c r="R246" s="303">
        <v>2015</v>
      </c>
      <c r="S246" s="303">
        <v>0</v>
      </c>
      <c r="T246" s="303">
        <v>2</v>
      </c>
      <c r="U246" s="303">
        <v>2</v>
      </c>
      <c r="V246" s="303">
        <v>2</v>
      </c>
      <c r="W246" s="303">
        <v>2</v>
      </c>
      <c r="X246" s="303">
        <v>2</v>
      </c>
      <c r="Y246" s="492">
        <v>8</v>
      </c>
      <c r="Z246" s="579"/>
      <c r="AA246" s="579"/>
      <c r="AB246" s="579"/>
      <c r="AC246" s="579"/>
      <c r="AD246" s="579"/>
      <c r="AE246" s="579"/>
      <c r="AF246" s="481">
        <f t="shared" si="136"/>
        <v>8</v>
      </c>
      <c r="AG246" s="492">
        <v>0.5</v>
      </c>
      <c r="AH246" s="589"/>
      <c r="AI246" s="589"/>
      <c r="AJ246" s="589"/>
      <c r="AK246" s="589"/>
      <c r="AL246" s="589"/>
      <c r="AM246" s="548">
        <f t="shared" si="137"/>
        <v>0.5</v>
      </c>
      <c r="AN246" s="492">
        <v>0.5</v>
      </c>
      <c r="AO246" s="579"/>
      <c r="AP246" s="579"/>
      <c r="AQ246" s="579"/>
      <c r="AR246" s="579"/>
      <c r="AS246" s="579"/>
      <c r="AT246" s="579"/>
      <c r="AU246" s="481">
        <f t="shared" si="138"/>
        <v>0.5</v>
      </c>
      <c r="AV246" s="492">
        <v>0.5</v>
      </c>
      <c r="AW246" s="589"/>
      <c r="AX246" s="589"/>
      <c r="AY246" s="589"/>
      <c r="AZ246" s="589"/>
      <c r="BA246" s="589"/>
      <c r="BB246" s="589"/>
      <c r="BC246" s="548">
        <f t="shared" si="139"/>
        <v>0.5</v>
      </c>
      <c r="BD246" s="61">
        <f t="shared" si="147"/>
        <v>9.5</v>
      </c>
      <c r="BE246" s="61">
        <f t="shared" si="147"/>
        <v>0</v>
      </c>
      <c r="BF246" s="61">
        <f t="shared" si="147"/>
        <v>0</v>
      </c>
      <c r="BG246" s="61">
        <f t="shared" si="147"/>
        <v>0</v>
      </c>
      <c r="BH246" s="61">
        <f t="shared" si="147"/>
        <v>0</v>
      </c>
      <c r="BI246" s="61">
        <f t="shared" si="133"/>
        <v>0</v>
      </c>
      <c r="BJ246" s="61">
        <f t="shared" si="148"/>
        <v>0</v>
      </c>
      <c r="BK246" s="42">
        <f t="shared" si="148"/>
        <v>9.5</v>
      </c>
      <c r="BL246" s="3"/>
    </row>
    <row r="247" spans="1:64" ht="33" customHeight="1" x14ac:dyDescent="0.25">
      <c r="A247" s="298" t="s">
        <v>491</v>
      </c>
      <c r="B247" s="299" t="s">
        <v>489</v>
      </c>
      <c r="C247" s="1547"/>
      <c r="D247" s="1551"/>
      <c r="E247" s="1551"/>
      <c r="F247" s="1551"/>
      <c r="G247" s="1551"/>
      <c r="H247" s="1551"/>
      <c r="I247" s="1425"/>
      <c r="J247" s="1425"/>
      <c r="K247" s="1425" t="s">
        <v>757</v>
      </c>
      <c r="L247" s="301" t="s">
        <v>496</v>
      </c>
      <c r="M247" s="1425" t="s">
        <v>497</v>
      </c>
      <c r="N247" s="476"/>
      <c r="O247" s="1425" t="s">
        <v>73</v>
      </c>
      <c r="P247" s="16" t="s">
        <v>758</v>
      </c>
      <c r="Q247" s="302" t="s">
        <v>759</v>
      </c>
      <c r="R247" s="303">
        <v>2015</v>
      </c>
      <c r="S247" s="303">
        <v>0</v>
      </c>
      <c r="T247" s="303">
        <v>2</v>
      </c>
      <c r="U247" s="303">
        <v>2</v>
      </c>
      <c r="V247" s="303">
        <v>2</v>
      </c>
      <c r="W247" s="303">
        <v>2</v>
      </c>
      <c r="X247" s="303">
        <v>2</v>
      </c>
      <c r="Y247" s="579"/>
      <c r="Z247" s="579"/>
      <c r="AA247" s="492">
        <v>2.8</v>
      </c>
      <c r="AB247" s="579"/>
      <c r="AC247" s="579"/>
      <c r="AD247" s="579"/>
      <c r="AE247" s="579"/>
      <c r="AF247" s="481">
        <f t="shared" si="136"/>
        <v>2.8</v>
      </c>
      <c r="AG247" s="492">
        <v>0.5</v>
      </c>
      <c r="AH247" s="589"/>
      <c r="AI247" s="589"/>
      <c r="AJ247" s="589"/>
      <c r="AK247" s="589"/>
      <c r="AL247" s="589"/>
      <c r="AM247" s="548">
        <f t="shared" si="137"/>
        <v>0.5</v>
      </c>
      <c r="AN247" s="492">
        <v>0.5</v>
      </c>
      <c r="AO247" s="579"/>
      <c r="AP247" s="579"/>
      <c r="AQ247" s="579"/>
      <c r="AR247" s="579"/>
      <c r="AS247" s="579"/>
      <c r="AT247" s="579"/>
      <c r="AU247" s="481">
        <f t="shared" si="138"/>
        <v>0.5</v>
      </c>
      <c r="AV247" s="492">
        <v>0.5</v>
      </c>
      <c r="AW247" s="589"/>
      <c r="AX247" s="589"/>
      <c r="AY247" s="589"/>
      <c r="AZ247" s="589"/>
      <c r="BA247" s="589"/>
      <c r="BB247" s="589"/>
      <c r="BC247" s="548">
        <f t="shared" si="139"/>
        <v>0.5</v>
      </c>
      <c r="BD247" s="61">
        <f t="shared" si="147"/>
        <v>1.5</v>
      </c>
      <c r="BE247" s="61">
        <f t="shared" si="147"/>
        <v>0</v>
      </c>
      <c r="BF247" s="61">
        <f t="shared" si="147"/>
        <v>2.8</v>
      </c>
      <c r="BG247" s="61">
        <f t="shared" si="147"/>
        <v>0</v>
      </c>
      <c r="BH247" s="61">
        <f t="shared" si="147"/>
        <v>0</v>
      </c>
      <c r="BI247" s="61">
        <f t="shared" si="133"/>
        <v>0</v>
      </c>
      <c r="BJ247" s="61">
        <f t="shared" si="148"/>
        <v>0</v>
      </c>
      <c r="BK247" s="42">
        <f t="shared" si="148"/>
        <v>4.3</v>
      </c>
      <c r="BL247" s="3"/>
    </row>
    <row r="248" spans="1:64" ht="27.75" customHeight="1" x14ac:dyDescent="0.25">
      <c r="A248" s="298" t="s">
        <v>491</v>
      </c>
      <c r="B248" s="299" t="s">
        <v>489</v>
      </c>
      <c r="C248" s="1547"/>
      <c r="D248" s="1551"/>
      <c r="E248" s="1551"/>
      <c r="F248" s="1551"/>
      <c r="G248" s="1551"/>
      <c r="H248" s="1551"/>
      <c r="I248" s="1425"/>
      <c r="J248" s="1425"/>
      <c r="K248" s="1425" t="s">
        <v>760</v>
      </c>
      <c r="L248" s="301" t="s">
        <v>496</v>
      </c>
      <c r="M248" s="1425" t="s">
        <v>497</v>
      </c>
      <c r="N248" s="476"/>
      <c r="O248" s="1425" t="s">
        <v>47</v>
      </c>
      <c r="P248" s="16" t="s">
        <v>761</v>
      </c>
      <c r="Q248" s="302" t="s">
        <v>762</v>
      </c>
      <c r="R248" s="303">
        <v>2015</v>
      </c>
      <c r="S248" s="303">
        <v>0</v>
      </c>
      <c r="T248" s="303">
        <v>0</v>
      </c>
      <c r="U248" s="303">
        <v>1</v>
      </c>
      <c r="V248" s="303">
        <v>1</v>
      </c>
      <c r="W248" s="303">
        <v>0</v>
      </c>
      <c r="X248" s="303">
        <v>2</v>
      </c>
      <c r="Y248" s="579"/>
      <c r="Z248" s="579"/>
      <c r="AA248" s="579"/>
      <c r="AB248" s="579"/>
      <c r="AC248" s="579"/>
      <c r="AD248" s="579"/>
      <c r="AE248" s="579"/>
      <c r="AF248" s="481">
        <f t="shared" si="136"/>
        <v>0</v>
      </c>
      <c r="AG248" s="492">
        <v>0.5</v>
      </c>
      <c r="AH248" s="589"/>
      <c r="AI248" s="589"/>
      <c r="AJ248" s="589"/>
      <c r="AK248" s="589"/>
      <c r="AL248" s="589"/>
      <c r="AM248" s="548">
        <f t="shared" si="137"/>
        <v>0.5</v>
      </c>
      <c r="AN248" s="492">
        <v>0.5</v>
      </c>
      <c r="AO248" s="579"/>
      <c r="AP248" s="579"/>
      <c r="AQ248" s="579"/>
      <c r="AR248" s="579"/>
      <c r="AS248" s="579"/>
      <c r="AT248" s="579"/>
      <c r="AU248" s="481">
        <f t="shared" si="138"/>
        <v>0.5</v>
      </c>
      <c r="AV248" s="589"/>
      <c r="AW248" s="589"/>
      <c r="AX248" s="589"/>
      <c r="AY248" s="589"/>
      <c r="AZ248" s="589"/>
      <c r="BA248" s="589"/>
      <c r="BB248" s="589"/>
      <c r="BC248" s="548">
        <f t="shared" si="139"/>
        <v>0</v>
      </c>
      <c r="BD248" s="61">
        <f t="shared" si="147"/>
        <v>1</v>
      </c>
      <c r="BE248" s="61">
        <f t="shared" si="147"/>
        <v>0</v>
      </c>
      <c r="BF248" s="61">
        <f t="shared" si="147"/>
        <v>0</v>
      </c>
      <c r="BG248" s="61">
        <f t="shared" si="147"/>
        <v>0</v>
      </c>
      <c r="BH248" s="61">
        <f t="shared" si="147"/>
        <v>0</v>
      </c>
      <c r="BI248" s="61">
        <f t="shared" si="133"/>
        <v>0</v>
      </c>
      <c r="BJ248" s="61">
        <f t="shared" si="148"/>
        <v>0</v>
      </c>
      <c r="BK248" s="42">
        <f t="shared" si="148"/>
        <v>1</v>
      </c>
      <c r="BL248" s="3"/>
    </row>
    <row r="249" spans="1:64" ht="36.75" customHeight="1" x14ac:dyDescent="0.25">
      <c r="A249" s="298" t="s">
        <v>491</v>
      </c>
      <c r="B249" s="299" t="s">
        <v>489</v>
      </c>
      <c r="C249" s="1547"/>
      <c r="D249" s="1551"/>
      <c r="E249" s="1551"/>
      <c r="F249" s="1551"/>
      <c r="G249" s="1551"/>
      <c r="H249" s="1551"/>
      <c r="I249" s="1425"/>
      <c r="J249" s="1425"/>
      <c r="K249" s="1425" t="s">
        <v>763</v>
      </c>
      <c r="L249" s="301" t="s">
        <v>496</v>
      </c>
      <c r="M249" s="1425" t="s">
        <v>497</v>
      </c>
      <c r="N249" s="476"/>
      <c r="O249" s="1425" t="s">
        <v>47</v>
      </c>
      <c r="P249" s="16" t="s">
        <v>764</v>
      </c>
      <c r="Q249" s="302" t="s">
        <v>765</v>
      </c>
      <c r="R249" s="303">
        <v>2015</v>
      </c>
      <c r="S249" s="303">
        <v>0</v>
      </c>
      <c r="T249" s="303">
        <v>0</v>
      </c>
      <c r="U249" s="303">
        <v>1</v>
      </c>
      <c r="V249" s="303">
        <v>1</v>
      </c>
      <c r="W249" s="303">
        <v>1</v>
      </c>
      <c r="X249" s="303">
        <v>3</v>
      </c>
      <c r="Y249" s="579"/>
      <c r="Z249" s="579"/>
      <c r="AA249" s="579"/>
      <c r="AB249" s="579"/>
      <c r="AC249" s="579"/>
      <c r="AD249" s="579"/>
      <c r="AE249" s="579"/>
      <c r="AF249" s="481">
        <f t="shared" si="136"/>
        <v>0</v>
      </c>
      <c r="AG249" s="492">
        <v>0.5</v>
      </c>
      <c r="AH249" s="589"/>
      <c r="AI249" s="589"/>
      <c r="AJ249" s="589"/>
      <c r="AK249" s="589"/>
      <c r="AL249" s="589"/>
      <c r="AM249" s="548">
        <f t="shared" si="137"/>
        <v>0.5</v>
      </c>
      <c r="AN249" s="492">
        <v>0.5</v>
      </c>
      <c r="AO249" s="579"/>
      <c r="AP249" s="579"/>
      <c r="AQ249" s="579"/>
      <c r="AR249" s="579"/>
      <c r="AS249" s="579"/>
      <c r="AT249" s="579"/>
      <c r="AU249" s="481">
        <f t="shared" si="138"/>
        <v>0.5</v>
      </c>
      <c r="AV249" s="492">
        <v>0.5</v>
      </c>
      <c r="AW249" s="589"/>
      <c r="AX249" s="589"/>
      <c r="AY249" s="589"/>
      <c r="AZ249" s="589"/>
      <c r="BA249" s="589"/>
      <c r="BB249" s="589"/>
      <c r="BC249" s="548">
        <f t="shared" si="139"/>
        <v>0.5</v>
      </c>
      <c r="BD249" s="61">
        <f t="shared" si="147"/>
        <v>1.5</v>
      </c>
      <c r="BE249" s="61">
        <f t="shared" si="147"/>
        <v>0</v>
      </c>
      <c r="BF249" s="61">
        <f t="shared" si="147"/>
        <v>0</v>
      </c>
      <c r="BG249" s="61">
        <f t="shared" si="147"/>
        <v>0</v>
      </c>
      <c r="BH249" s="61">
        <f t="shared" si="147"/>
        <v>0</v>
      </c>
      <c r="BI249" s="61">
        <f t="shared" si="133"/>
        <v>0</v>
      </c>
      <c r="BJ249" s="61">
        <f t="shared" si="148"/>
        <v>0</v>
      </c>
      <c r="BK249" s="42">
        <f t="shared" si="148"/>
        <v>1.5</v>
      </c>
      <c r="BL249" s="3"/>
    </row>
    <row r="250" spans="1:64" ht="39" customHeight="1" x14ac:dyDescent="0.25">
      <c r="A250" s="298" t="s">
        <v>491</v>
      </c>
      <c r="B250" s="299" t="s">
        <v>489</v>
      </c>
      <c r="C250" s="1547"/>
      <c r="D250" s="1551"/>
      <c r="E250" s="1551"/>
      <c r="F250" s="1551"/>
      <c r="G250" s="1551"/>
      <c r="H250" s="1551"/>
      <c r="I250" s="1425"/>
      <c r="J250" s="1425"/>
      <c r="K250" s="1425" t="s">
        <v>766</v>
      </c>
      <c r="L250" s="301" t="s">
        <v>496</v>
      </c>
      <c r="M250" s="1425" t="s">
        <v>497</v>
      </c>
      <c r="N250" s="476"/>
      <c r="O250" s="1425" t="s">
        <v>47</v>
      </c>
      <c r="P250" s="16" t="s">
        <v>767</v>
      </c>
      <c r="Q250" s="302" t="s">
        <v>768</v>
      </c>
      <c r="R250" s="303">
        <v>2015</v>
      </c>
      <c r="S250" s="303">
        <v>0</v>
      </c>
      <c r="T250" s="303">
        <v>0</v>
      </c>
      <c r="U250" s="303">
        <v>1</v>
      </c>
      <c r="V250" s="303">
        <v>1</v>
      </c>
      <c r="W250" s="303">
        <v>1</v>
      </c>
      <c r="X250" s="303">
        <v>3</v>
      </c>
      <c r="Y250" s="492"/>
      <c r="Z250" s="579"/>
      <c r="AA250" s="492"/>
      <c r="AB250" s="579"/>
      <c r="AC250" s="579"/>
      <c r="AD250" s="579"/>
      <c r="AE250" s="579"/>
      <c r="AF250" s="481">
        <f t="shared" si="136"/>
        <v>0</v>
      </c>
      <c r="AG250" s="589">
        <v>8.6999999999999993</v>
      </c>
      <c r="AH250" s="589"/>
      <c r="AI250" s="589">
        <v>7.63</v>
      </c>
      <c r="AJ250" s="589"/>
      <c r="AK250" s="589"/>
      <c r="AL250" s="589"/>
      <c r="AM250" s="548">
        <f t="shared" si="137"/>
        <v>16.329999999999998</v>
      </c>
      <c r="AN250" s="579">
        <v>9</v>
      </c>
      <c r="AO250" s="579"/>
      <c r="AP250" s="579">
        <v>7.7</v>
      </c>
      <c r="AQ250" s="579"/>
      <c r="AR250" s="579"/>
      <c r="AS250" s="579"/>
      <c r="AT250" s="579"/>
      <c r="AU250" s="481">
        <f t="shared" si="138"/>
        <v>16.7</v>
      </c>
      <c r="AV250" s="589">
        <v>9</v>
      </c>
      <c r="AW250" s="589"/>
      <c r="AX250" s="589">
        <v>8.1</v>
      </c>
      <c r="AY250" s="589"/>
      <c r="AZ250" s="589"/>
      <c r="BA250" s="589"/>
      <c r="BB250" s="589"/>
      <c r="BC250" s="548">
        <f t="shared" si="139"/>
        <v>17.100000000000001</v>
      </c>
      <c r="BD250" s="61">
        <f t="shared" si="147"/>
        <v>26.7</v>
      </c>
      <c r="BE250" s="61">
        <f t="shared" si="147"/>
        <v>0</v>
      </c>
      <c r="BF250" s="61">
        <f t="shared" si="147"/>
        <v>23.43</v>
      </c>
      <c r="BG250" s="61">
        <f t="shared" si="147"/>
        <v>0</v>
      </c>
      <c r="BH250" s="61">
        <f t="shared" si="147"/>
        <v>0</v>
      </c>
      <c r="BI250" s="61">
        <f t="shared" si="133"/>
        <v>0</v>
      </c>
      <c r="BJ250" s="61">
        <f t="shared" si="148"/>
        <v>0</v>
      </c>
      <c r="BK250" s="42">
        <f t="shared" si="148"/>
        <v>50.129999999999995</v>
      </c>
      <c r="BL250" s="3"/>
    </row>
    <row r="251" spans="1:64" ht="51.75" customHeight="1" x14ac:dyDescent="0.25">
      <c r="A251" s="298" t="s">
        <v>491</v>
      </c>
      <c r="B251" s="299" t="s">
        <v>489</v>
      </c>
      <c r="C251" s="1547"/>
      <c r="D251" s="1551"/>
      <c r="E251" s="1551"/>
      <c r="F251" s="1551"/>
      <c r="G251" s="1551"/>
      <c r="H251" s="1551"/>
      <c r="I251" s="1425"/>
      <c r="J251" s="1425"/>
      <c r="K251" s="1425" t="s">
        <v>769</v>
      </c>
      <c r="L251" s="301" t="s">
        <v>496</v>
      </c>
      <c r="M251" s="1425" t="s">
        <v>497</v>
      </c>
      <c r="N251" s="476"/>
      <c r="O251" s="1425" t="s">
        <v>47</v>
      </c>
      <c r="P251" s="16" t="s">
        <v>770</v>
      </c>
      <c r="Q251" s="302" t="s">
        <v>771</v>
      </c>
      <c r="R251" s="303">
        <v>2015</v>
      </c>
      <c r="S251" s="303">
        <v>0</v>
      </c>
      <c r="T251" s="303">
        <v>0</v>
      </c>
      <c r="U251" s="303">
        <v>1</v>
      </c>
      <c r="V251" s="303">
        <v>1</v>
      </c>
      <c r="W251" s="303">
        <v>1</v>
      </c>
      <c r="X251" s="303">
        <v>3</v>
      </c>
      <c r="Y251" s="579"/>
      <c r="Z251" s="579"/>
      <c r="AA251" s="579"/>
      <c r="AB251" s="579"/>
      <c r="AC251" s="579"/>
      <c r="AD251" s="579"/>
      <c r="AE251" s="579"/>
      <c r="AF251" s="481">
        <f t="shared" si="136"/>
        <v>0</v>
      </c>
      <c r="AG251" s="589"/>
      <c r="AH251" s="589"/>
      <c r="AI251" s="589">
        <v>3.2</v>
      </c>
      <c r="AJ251" s="589"/>
      <c r="AK251" s="589"/>
      <c r="AL251" s="589"/>
      <c r="AM251" s="548">
        <f t="shared" si="137"/>
        <v>3.2</v>
      </c>
      <c r="AN251" s="579"/>
      <c r="AO251" s="579"/>
      <c r="AP251" s="579">
        <v>3.5</v>
      </c>
      <c r="AQ251" s="579"/>
      <c r="AR251" s="579"/>
      <c r="AS251" s="579"/>
      <c r="AT251" s="579"/>
      <c r="AU251" s="481">
        <f t="shared" si="138"/>
        <v>3.5</v>
      </c>
      <c r="AV251" s="589"/>
      <c r="AW251" s="589"/>
      <c r="AX251" s="589">
        <v>3.5</v>
      </c>
      <c r="AY251" s="589"/>
      <c r="AZ251" s="589"/>
      <c r="BA251" s="589"/>
      <c r="BB251" s="589"/>
      <c r="BC251" s="548">
        <f t="shared" si="139"/>
        <v>3.5</v>
      </c>
      <c r="BD251" s="61"/>
      <c r="BE251" s="61"/>
      <c r="BF251" s="61"/>
      <c r="BG251" s="61"/>
      <c r="BH251" s="61"/>
      <c r="BI251" s="61">
        <f t="shared" si="133"/>
        <v>0</v>
      </c>
      <c r="BJ251" s="61"/>
      <c r="BK251" s="42"/>
      <c r="BL251" s="3"/>
    </row>
    <row r="252" spans="1:64" ht="44.25" customHeight="1" x14ac:dyDescent="0.25">
      <c r="A252" s="298" t="s">
        <v>491</v>
      </c>
      <c r="B252" s="299" t="s">
        <v>489</v>
      </c>
      <c r="C252" s="1547"/>
      <c r="D252" s="1551"/>
      <c r="E252" s="1551"/>
      <c r="F252" s="1551"/>
      <c r="G252" s="1551"/>
      <c r="H252" s="1551"/>
      <c r="I252" s="1425"/>
      <c r="J252" s="1425"/>
      <c r="K252" s="1425" t="s">
        <v>772</v>
      </c>
      <c r="L252" s="301" t="s">
        <v>496</v>
      </c>
      <c r="M252" s="1425" t="s">
        <v>497</v>
      </c>
      <c r="N252" s="476"/>
      <c r="O252" s="1425" t="s">
        <v>47</v>
      </c>
      <c r="P252" s="16" t="s">
        <v>773</v>
      </c>
      <c r="Q252" s="302" t="s">
        <v>699</v>
      </c>
      <c r="R252" s="303">
        <v>2015</v>
      </c>
      <c r="S252" s="303">
        <v>0</v>
      </c>
      <c r="T252" s="303">
        <v>0</v>
      </c>
      <c r="U252" s="303">
        <v>1</v>
      </c>
      <c r="V252" s="303">
        <v>0</v>
      </c>
      <c r="W252" s="303">
        <v>0</v>
      </c>
      <c r="X252" s="303">
        <v>1</v>
      </c>
      <c r="Y252" s="579"/>
      <c r="Z252" s="579"/>
      <c r="AA252" s="579"/>
      <c r="AB252" s="579"/>
      <c r="AC252" s="579"/>
      <c r="AD252" s="579"/>
      <c r="AE252" s="579"/>
      <c r="AF252" s="481">
        <f t="shared" si="136"/>
        <v>0</v>
      </c>
      <c r="AG252" s="492">
        <v>0.5</v>
      </c>
      <c r="AH252" s="589"/>
      <c r="AI252" s="589"/>
      <c r="AJ252" s="589"/>
      <c r="AK252" s="589"/>
      <c r="AL252" s="589"/>
      <c r="AM252" s="548">
        <f t="shared" si="137"/>
        <v>0.5</v>
      </c>
      <c r="AN252" s="579"/>
      <c r="AO252" s="579"/>
      <c r="AP252" s="579"/>
      <c r="AQ252" s="579"/>
      <c r="AR252" s="579"/>
      <c r="AS252" s="579"/>
      <c r="AT252" s="579"/>
      <c r="AU252" s="481">
        <f t="shared" si="138"/>
        <v>0</v>
      </c>
      <c r="AV252" s="589"/>
      <c r="AW252" s="589"/>
      <c r="AX252" s="589"/>
      <c r="AY252" s="589"/>
      <c r="AZ252" s="589"/>
      <c r="BA252" s="589"/>
      <c r="BB252" s="589"/>
      <c r="BC252" s="548">
        <f t="shared" si="139"/>
        <v>0</v>
      </c>
      <c r="BD252" s="61">
        <f t="shared" ref="BD252:BH277" si="149">+AV252+AN252+AG252+Y252</f>
        <v>0.5</v>
      </c>
      <c r="BE252" s="61">
        <f t="shared" si="149"/>
        <v>0</v>
      </c>
      <c r="BF252" s="61">
        <f t="shared" si="149"/>
        <v>0</v>
      </c>
      <c r="BG252" s="61">
        <f t="shared" si="149"/>
        <v>0</v>
      </c>
      <c r="BH252" s="61">
        <f t="shared" si="149"/>
        <v>0</v>
      </c>
      <c r="BI252" s="61">
        <f t="shared" si="133"/>
        <v>0</v>
      </c>
      <c r="BJ252" s="61">
        <f t="shared" ref="BJ252:BK277" si="150">+BB252+AT252+AL252+AE252</f>
        <v>0</v>
      </c>
      <c r="BK252" s="42">
        <f t="shared" si="150"/>
        <v>0.5</v>
      </c>
      <c r="BL252" s="3"/>
    </row>
    <row r="253" spans="1:64" ht="42.75" customHeight="1" x14ac:dyDescent="0.25">
      <c r="A253" s="298" t="s">
        <v>491</v>
      </c>
      <c r="B253" s="299" t="s">
        <v>489</v>
      </c>
      <c r="C253" s="1547"/>
      <c r="D253" s="1551"/>
      <c r="E253" s="1551"/>
      <c r="F253" s="1551"/>
      <c r="G253" s="1551"/>
      <c r="H253" s="1551"/>
      <c r="I253" s="1425"/>
      <c r="J253" s="1425"/>
      <c r="K253" s="1425" t="s">
        <v>774</v>
      </c>
      <c r="L253" s="301" t="s">
        <v>496</v>
      </c>
      <c r="M253" s="1425" t="s">
        <v>497</v>
      </c>
      <c r="N253" s="476"/>
      <c r="O253" s="1425" t="s">
        <v>47</v>
      </c>
      <c r="P253" s="16" t="s">
        <v>775</v>
      </c>
      <c r="Q253" s="302" t="s">
        <v>776</v>
      </c>
      <c r="R253" s="303">
        <v>2015</v>
      </c>
      <c r="S253" s="303">
        <v>1</v>
      </c>
      <c r="T253" s="303">
        <v>1</v>
      </c>
      <c r="U253" s="303">
        <v>1</v>
      </c>
      <c r="V253" s="303">
        <v>1</v>
      </c>
      <c r="W253" s="303">
        <v>1</v>
      </c>
      <c r="X253" s="303">
        <v>4</v>
      </c>
      <c r="Y253" s="579">
        <v>1.5</v>
      </c>
      <c r="Z253" s="579"/>
      <c r="AA253" s="579"/>
      <c r="AB253" s="579"/>
      <c r="AC253" s="579"/>
      <c r="AD253" s="579"/>
      <c r="AE253" s="579"/>
      <c r="AF253" s="481">
        <f t="shared" si="136"/>
        <v>1.5</v>
      </c>
      <c r="AG253" s="589">
        <v>1.5</v>
      </c>
      <c r="AH253" s="589"/>
      <c r="AI253" s="589"/>
      <c r="AJ253" s="589"/>
      <c r="AK253" s="589"/>
      <c r="AL253" s="589"/>
      <c r="AM253" s="548">
        <f t="shared" si="137"/>
        <v>1.5</v>
      </c>
      <c r="AN253" s="579">
        <v>1.5</v>
      </c>
      <c r="AO253" s="579"/>
      <c r="AP253" s="579"/>
      <c r="AQ253" s="579"/>
      <c r="AR253" s="579"/>
      <c r="AS253" s="579"/>
      <c r="AT253" s="579"/>
      <c r="AU253" s="481">
        <f t="shared" si="138"/>
        <v>1.5</v>
      </c>
      <c r="AV253" s="589">
        <v>1.5</v>
      </c>
      <c r="AW253" s="589"/>
      <c r="AX253" s="589"/>
      <c r="AY253" s="589"/>
      <c r="AZ253" s="589"/>
      <c r="BA253" s="589"/>
      <c r="BB253" s="589"/>
      <c r="BC253" s="548">
        <f t="shared" si="139"/>
        <v>1.5</v>
      </c>
      <c r="BD253" s="61">
        <f t="shared" si="149"/>
        <v>6</v>
      </c>
      <c r="BE253" s="61">
        <f t="shared" si="149"/>
        <v>0</v>
      </c>
      <c r="BF253" s="61">
        <f t="shared" si="149"/>
        <v>0</v>
      </c>
      <c r="BG253" s="61">
        <f t="shared" si="149"/>
        <v>0</v>
      </c>
      <c r="BH253" s="61">
        <f t="shared" si="149"/>
        <v>0</v>
      </c>
      <c r="BI253" s="61">
        <f t="shared" si="133"/>
        <v>0</v>
      </c>
      <c r="BJ253" s="61">
        <f t="shared" si="150"/>
        <v>0</v>
      </c>
      <c r="BK253" s="42">
        <f t="shared" si="150"/>
        <v>6</v>
      </c>
      <c r="BL253" s="3"/>
    </row>
    <row r="254" spans="1:64" ht="60.75" customHeight="1" x14ac:dyDescent="0.25">
      <c r="A254" s="298" t="s">
        <v>491</v>
      </c>
      <c r="B254" s="299" t="s">
        <v>489</v>
      </c>
      <c r="C254" s="1547"/>
      <c r="D254" s="1551"/>
      <c r="E254" s="1551"/>
      <c r="F254" s="1551"/>
      <c r="G254" s="1551"/>
      <c r="H254" s="1551"/>
      <c r="I254" s="1425"/>
      <c r="J254" s="1425"/>
      <c r="K254" s="1425" t="s">
        <v>777</v>
      </c>
      <c r="L254" s="301" t="s">
        <v>496</v>
      </c>
      <c r="M254" s="1425" t="s">
        <v>497</v>
      </c>
      <c r="N254" s="476"/>
      <c r="O254" s="1425" t="s">
        <v>73</v>
      </c>
      <c r="P254" s="16" t="s">
        <v>778</v>
      </c>
      <c r="Q254" s="302" t="s">
        <v>779</v>
      </c>
      <c r="R254" s="303">
        <v>2015</v>
      </c>
      <c r="S254" s="303">
        <v>0</v>
      </c>
      <c r="T254" s="303">
        <v>1</v>
      </c>
      <c r="U254" s="303">
        <v>1</v>
      </c>
      <c r="V254" s="303">
        <v>1</v>
      </c>
      <c r="W254" s="303">
        <v>1</v>
      </c>
      <c r="X254" s="303">
        <v>1</v>
      </c>
      <c r="Y254" s="492">
        <v>2.63</v>
      </c>
      <c r="Z254" s="579"/>
      <c r="AA254" s="579"/>
      <c r="AB254" s="579"/>
      <c r="AC254" s="579"/>
      <c r="AD254" s="579"/>
      <c r="AE254" s="579"/>
      <c r="AF254" s="481">
        <f t="shared" si="136"/>
        <v>2.63</v>
      </c>
      <c r="AG254" s="492">
        <v>0.5</v>
      </c>
      <c r="AH254" s="589"/>
      <c r="AI254" s="589"/>
      <c r="AJ254" s="589"/>
      <c r="AK254" s="589"/>
      <c r="AL254" s="589"/>
      <c r="AM254" s="548">
        <f t="shared" si="137"/>
        <v>0.5</v>
      </c>
      <c r="AN254" s="492">
        <v>0.5</v>
      </c>
      <c r="AO254" s="579"/>
      <c r="AP254" s="579"/>
      <c r="AQ254" s="579"/>
      <c r="AR254" s="579"/>
      <c r="AS254" s="579"/>
      <c r="AT254" s="579"/>
      <c r="AU254" s="481">
        <f t="shared" si="138"/>
        <v>0.5</v>
      </c>
      <c r="AV254" s="492">
        <v>0.5</v>
      </c>
      <c r="AW254" s="589"/>
      <c r="AX254" s="589"/>
      <c r="AY254" s="589"/>
      <c r="AZ254" s="589"/>
      <c r="BA254" s="589"/>
      <c r="BB254" s="589"/>
      <c r="BC254" s="548">
        <f t="shared" si="139"/>
        <v>0.5</v>
      </c>
      <c r="BD254" s="61">
        <f t="shared" si="149"/>
        <v>4.13</v>
      </c>
      <c r="BE254" s="61">
        <f t="shared" si="149"/>
        <v>0</v>
      </c>
      <c r="BF254" s="61">
        <f t="shared" si="149"/>
        <v>0</v>
      </c>
      <c r="BG254" s="61">
        <f t="shared" si="149"/>
        <v>0</v>
      </c>
      <c r="BH254" s="61">
        <f t="shared" si="149"/>
        <v>0</v>
      </c>
      <c r="BI254" s="61">
        <f t="shared" si="133"/>
        <v>0</v>
      </c>
      <c r="BJ254" s="61">
        <f t="shared" si="150"/>
        <v>0</v>
      </c>
      <c r="BK254" s="42">
        <f t="shared" si="150"/>
        <v>4.13</v>
      </c>
      <c r="BL254" s="3"/>
    </row>
    <row r="255" spans="1:64" ht="42" customHeight="1" x14ac:dyDescent="0.25">
      <c r="A255" s="298" t="s">
        <v>491</v>
      </c>
      <c r="B255" s="299" t="s">
        <v>489</v>
      </c>
      <c r="C255" s="1547"/>
      <c r="D255" s="1551"/>
      <c r="E255" s="1551"/>
      <c r="F255" s="1551"/>
      <c r="G255" s="1551"/>
      <c r="H255" s="1551"/>
      <c r="I255" s="1425"/>
      <c r="J255" s="1425"/>
      <c r="K255" s="1425" t="s">
        <v>780</v>
      </c>
      <c r="L255" s="301" t="s">
        <v>496</v>
      </c>
      <c r="M255" s="1425" t="s">
        <v>497</v>
      </c>
      <c r="N255" s="476"/>
      <c r="O255" s="1425" t="s">
        <v>73</v>
      </c>
      <c r="P255" s="16" t="s">
        <v>781</v>
      </c>
      <c r="Q255" s="302" t="s">
        <v>782</v>
      </c>
      <c r="R255" s="303">
        <v>2015</v>
      </c>
      <c r="S255" s="303">
        <v>1</v>
      </c>
      <c r="T255" s="303">
        <v>1</v>
      </c>
      <c r="U255" s="303">
        <v>1</v>
      </c>
      <c r="V255" s="303">
        <v>1</v>
      </c>
      <c r="W255" s="303">
        <v>1</v>
      </c>
      <c r="X255" s="303">
        <v>1</v>
      </c>
      <c r="Y255" s="579">
        <v>1.37</v>
      </c>
      <c r="Z255" s="579"/>
      <c r="AA255" s="579"/>
      <c r="AB255" s="579"/>
      <c r="AC255" s="579"/>
      <c r="AD255" s="579"/>
      <c r="AE255" s="579"/>
      <c r="AF255" s="481">
        <f t="shared" si="136"/>
        <v>1.37</v>
      </c>
      <c r="AG255" s="492">
        <v>1</v>
      </c>
      <c r="AH255" s="589"/>
      <c r="AI255" s="589"/>
      <c r="AJ255" s="589"/>
      <c r="AK255" s="589"/>
      <c r="AL255" s="589"/>
      <c r="AM255" s="548">
        <f t="shared" si="137"/>
        <v>1</v>
      </c>
      <c r="AN255" s="579">
        <v>1.5</v>
      </c>
      <c r="AO255" s="579"/>
      <c r="AP255" s="579"/>
      <c r="AQ255" s="579"/>
      <c r="AR255" s="579"/>
      <c r="AS255" s="579"/>
      <c r="AT255" s="579"/>
      <c r="AU255" s="481">
        <f t="shared" si="138"/>
        <v>1.5</v>
      </c>
      <c r="AV255" s="589">
        <v>1.5</v>
      </c>
      <c r="AW255" s="589"/>
      <c r="AX255" s="589"/>
      <c r="AY255" s="589"/>
      <c r="AZ255" s="589"/>
      <c r="BA255" s="589"/>
      <c r="BB255" s="589"/>
      <c r="BC255" s="548">
        <f t="shared" si="139"/>
        <v>1.5</v>
      </c>
      <c r="BD255" s="61">
        <f t="shared" si="149"/>
        <v>5.37</v>
      </c>
      <c r="BE255" s="61">
        <f t="shared" si="149"/>
        <v>0</v>
      </c>
      <c r="BF255" s="61">
        <f t="shared" si="149"/>
        <v>0</v>
      </c>
      <c r="BG255" s="61">
        <f t="shared" si="149"/>
        <v>0</v>
      </c>
      <c r="BH255" s="61">
        <f t="shared" si="149"/>
        <v>0</v>
      </c>
      <c r="BI255" s="61">
        <f t="shared" si="133"/>
        <v>0</v>
      </c>
      <c r="BJ255" s="61">
        <f t="shared" si="150"/>
        <v>0</v>
      </c>
      <c r="BK255" s="42">
        <f t="shared" si="150"/>
        <v>5.37</v>
      </c>
      <c r="BL255" s="3"/>
    </row>
    <row r="256" spans="1:64" ht="39.75" customHeight="1" x14ac:dyDescent="0.25">
      <c r="A256" s="298" t="s">
        <v>491</v>
      </c>
      <c r="B256" s="299" t="s">
        <v>489</v>
      </c>
      <c r="C256" s="1547"/>
      <c r="D256" s="1551"/>
      <c r="E256" s="1551"/>
      <c r="F256" s="1551"/>
      <c r="G256" s="1551"/>
      <c r="H256" s="1551"/>
      <c r="I256" s="1425"/>
      <c r="J256" s="1425"/>
      <c r="K256" s="1425" t="s">
        <v>783</v>
      </c>
      <c r="L256" s="301" t="s">
        <v>496</v>
      </c>
      <c r="M256" s="1425" t="s">
        <v>497</v>
      </c>
      <c r="N256" s="476"/>
      <c r="O256" s="1425" t="s">
        <v>47</v>
      </c>
      <c r="P256" s="16" t="s">
        <v>784</v>
      </c>
      <c r="Q256" s="302" t="s">
        <v>720</v>
      </c>
      <c r="R256" s="303">
        <v>2015</v>
      </c>
      <c r="S256" s="303">
        <v>0</v>
      </c>
      <c r="T256" s="303">
        <v>0</v>
      </c>
      <c r="U256" s="303">
        <v>1</v>
      </c>
      <c r="V256" s="303">
        <v>0</v>
      </c>
      <c r="W256" s="303">
        <v>0</v>
      </c>
      <c r="X256" s="303">
        <v>1</v>
      </c>
      <c r="Y256" s="579"/>
      <c r="Z256" s="579"/>
      <c r="AA256" s="492"/>
      <c r="AB256" s="579"/>
      <c r="AC256" s="579"/>
      <c r="AD256" s="579"/>
      <c r="AE256" s="579"/>
      <c r="AF256" s="481">
        <f t="shared" si="136"/>
        <v>0</v>
      </c>
      <c r="AG256" s="492">
        <v>0.5</v>
      </c>
      <c r="AH256" s="589"/>
      <c r="AI256" s="588"/>
      <c r="AJ256" s="589"/>
      <c r="AK256" s="589"/>
      <c r="AL256" s="589"/>
      <c r="AM256" s="548">
        <f t="shared" si="137"/>
        <v>0.5</v>
      </c>
      <c r="AN256" s="579"/>
      <c r="AO256" s="579"/>
      <c r="AP256" s="482"/>
      <c r="AQ256" s="579"/>
      <c r="AR256" s="579"/>
      <c r="AS256" s="579"/>
      <c r="AT256" s="579"/>
      <c r="AU256" s="481">
        <f t="shared" si="138"/>
        <v>0</v>
      </c>
      <c r="AV256" s="589"/>
      <c r="AW256" s="589"/>
      <c r="AX256" s="588"/>
      <c r="AY256" s="589"/>
      <c r="AZ256" s="589"/>
      <c r="BA256" s="589"/>
      <c r="BB256" s="589"/>
      <c r="BC256" s="548">
        <f t="shared" si="139"/>
        <v>0</v>
      </c>
      <c r="BD256" s="61">
        <f t="shared" si="149"/>
        <v>0.5</v>
      </c>
      <c r="BE256" s="61">
        <f t="shared" si="149"/>
        <v>0</v>
      </c>
      <c r="BF256" s="29">
        <f t="shared" si="149"/>
        <v>0</v>
      </c>
      <c r="BG256" s="61">
        <f t="shared" si="149"/>
        <v>0</v>
      </c>
      <c r="BH256" s="61">
        <f t="shared" si="149"/>
        <v>0</v>
      </c>
      <c r="BI256" s="61">
        <f t="shared" si="133"/>
        <v>0</v>
      </c>
      <c r="BJ256" s="61">
        <f t="shared" si="150"/>
        <v>0</v>
      </c>
      <c r="BK256" s="42">
        <f t="shared" si="150"/>
        <v>0.5</v>
      </c>
      <c r="BL256" s="3"/>
    </row>
    <row r="257" spans="1:64" ht="46.5" customHeight="1" x14ac:dyDescent="0.25">
      <c r="A257" s="298" t="s">
        <v>491</v>
      </c>
      <c r="B257" s="299" t="s">
        <v>489</v>
      </c>
      <c r="C257" s="1547"/>
      <c r="D257" s="1551"/>
      <c r="E257" s="1551"/>
      <c r="F257" s="1551"/>
      <c r="G257" s="1551"/>
      <c r="H257" s="1551"/>
      <c r="I257" s="1425"/>
      <c r="J257" s="1425"/>
      <c r="K257" s="1425" t="s">
        <v>785</v>
      </c>
      <c r="L257" s="301" t="s">
        <v>496</v>
      </c>
      <c r="M257" s="1425" t="s">
        <v>497</v>
      </c>
      <c r="N257" s="476"/>
      <c r="O257" s="1425" t="s">
        <v>73</v>
      </c>
      <c r="P257" s="16" t="s">
        <v>786</v>
      </c>
      <c r="Q257" s="302" t="s">
        <v>787</v>
      </c>
      <c r="R257" s="303">
        <v>2015</v>
      </c>
      <c r="S257" s="303">
        <v>1</v>
      </c>
      <c r="T257" s="303">
        <v>1</v>
      </c>
      <c r="U257" s="303">
        <v>1</v>
      </c>
      <c r="V257" s="303">
        <v>1</v>
      </c>
      <c r="W257" s="303">
        <v>1</v>
      </c>
      <c r="X257" s="303">
        <v>1</v>
      </c>
      <c r="Y257" s="579">
        <v>2</v>
      </c>
      <c r="Z257" s="579"/>
      <c r="AA257" s="579"/>
      <c r="AB257" s="579"/>
      <c r="AC257" s="579"/>
      <c r="AD257" s="579"/>
      <c r="AE257" s="579"/>
      <c r="AF257" s="481">
        <f t="shared" si="136"/>
        <v>2</v>
      </c>
      <c r="AG257" s="589">
        <v>2</v>
      </c>
      <c r="AH257" s="589"/>
      <c r="AI257" s="589"/>
      <c r="AJ257" s="589"/>
      <c r="AK257" s="589"/>
      <c r="AL257" s="589"/>
      <c r="AM257" s="548">
        <f t="shared" si="137"/>
        <v>2</v>
      </c>
      <c r="AN257" s="579">
        <v>2</v>
      </c>
      <c r="AO257" s="579"/>
      <c r="AP257" s="579"/>
      <c r="AQ257" s="579"/>
      <c r="AR257" s="579"/>
      <c r="AS257" s="579"/>
      <c r="AT257" s="579"/>
      <c r="AU257" s="481">
        <f t="shared" si="138"/>
        <v>2</v>
      </c>
      <c r="AV257" s="589">
        <v>2</v>
      </c>
      <c r="AW257" s="589"/>
      <c r="AX257" s="589"/>
      <c r="AY257" s="589"/>
      <c r="AZ257" s="589"/>
      <c r="BA257" s="589"/>
      <c r="BB257" s="589"/>
      <c r="BC257" s="548">
        <f t="shared" si="139"/>
        <v>2</v>
      </c>
      <c r="BD257" s="61">
        <f t="shared" si="149"/>
        <v>8</v>
      </c>
      <c r="BE257" s="61">
        <f t="shared" si="149"/>
        <v>0</v>
      </c>
      <c r="BF257" s="61">
        <f t="shared" si="149"/>
        <v>0</v>
      </c>
      <c r="BG257" s="61">
        <f t="shared" si="149"/>
        <v>0</v>
      </c>
      <c r="BH257" s="61">
        <f t="shared" si="149"/>
        <v>0</v>
      </c>
      <c r="BI257" s="61">
        <f t="shared" si="133"/>
        <v>0</v>
      </c>
      <c r="BJ257" s="61">
        <f t="shared" si="150"/>
        <v>0</v>
      </c>
      <c r="BK257" s="42">
        <f t="shared" si="150"/>
        <v>8</v>
      </c>
      <c r="BL257" s="3"/>
    </row>
    <row r="258" spans="1:64" ht="48" customHeight="1" x14ac:dyDescent="0.25">
      <c r="A258" s="298" t="s">
        <v>491</v>
      </c>
      <c r="B258" s="299" t="s">
        <v>489</v>
      </c>
      <c r="C258" s="1547"/>
      <c r="D258" s="1551"/>
      <c r="E258" s="1551"/>
      <c r="F258" s="1551"/>
      <c r="G258" s="1551"/>
      <c r="H258" s="1551"/>
      <c r="I258" s="1425"/>
      <c r="J258" s="1425"/>
      <c r="K258" s="1425" t="s">
        <v>788</v>
      </c>
      <c r="L258" s="301" t="s">
        <v>496</v>
      </c>
      <c r="M258" s="1425" t="s">
        <v>497</v>
      </c>
      <c r="N258" s="476"/>
      <c r="O258" s="1425" t="s">
        <v>73</v>
      </c>
      <c r="P258" s="16" t="s">
        <v>789</v>
      </c>
      <c r="Q258" s="302" t="s">
        <v>790</v>
      </c>
      <c r="R258" s="303">
        <v>2015</v>
      </c>
      <c r="S258" s="303">
        <v>1</v>
      </c>
      <c r="T258" s="303">
        <v>1</v>
      </c>
      <c r="U258" s="303">
        <v>1</v>
      </c>
      <c r="V258" s="303">
        <v>1</v>
      </c>
      <c r="W258" s="303">
        <v>1</v>
      </c>
      <c r="X258" s="303">
        <v>1</v>
      </c>
      <c r="Y258" s="579">
        <v>3</v>
      </c>
      <c r="Z258" s="579"/>
      <c r="AA258" s="579">
        <v>2</v>
      </c>
      <c r="AB258" s="579"/>
      <c r="AC258" s="579"/>
      <c r="AD258" s="579"/>
      <c r="AE258" s="579"/>
      <c r="AF258" s="481">
        <f t="shared" si="136"/>
        <v>5</v>
      </c>
      <c r="AG258" s="589">
        <v>3</v>
      </c>
      <c r="AH258" s="589"/>
      <c r="AI258" s="589">
        <v>2</v>
      </c>
      <c r="AJ258" s="589"/>
      <c r="AK258" s="589"/>
      <c r="AL258" s="589"/>
      <c r="AM258" s="548">
        <f t="shared" si="137"/>
        <v>5</v>
      </c>
      <c r="AN258" s="579">
        <v>3</v>
      </c>
      <c r="AO258" s="579"/>
      <c r="AP258" s="579">
        <v>2</v>
      </c>
      <c r="AQ258" s="579"/>
      <c r="AR258" s="579"/>
      <c r="AS258" s="579"/>
      <c r="AT258" s="579"/>
      <c r="AU258" s="481">
        <f t="shared" si="138"/>
        <v>5</v>
      </c>
      <c r="AV258" s="589">
        <v>3</v>
      </c>
      <c r="AW258" s="589"/>
      <c r="AX258" s="589">
        <v>2</v>
      </c>
      <c r="AY258" s="589"/>
      <c r="AZ258" s="589"/>
      <c r="BA258" s="589"/>
      <c r="BB258" s="589"/>
      <c r="BC258" s="548">
        <f t="shared" si="139"/>
        <v>5</v>
      </c>
      <c r="BD258" s="61">
        <f t="shared" si="149"/>
        <v>12</v>
      </c>
      <c r="BE258" s="61">
        <f t="shared" si="149"/>
        <v>0</v>
      </c>
      <c r="BF258" s="61">
        <f t="shared" si="149"/>
        <v>8</v>
      </c>
      <c r="BG258" s="61">
        <f t="shared" si="149"/>
        <v>0</v>
      </c>
      <c r="BH258" s="61">
        <f t="shared" si="149"/>
        <v>0</v>
      </c>
      <c r="BI258" s="61">
        <f t="shared" si="133"/>
        <v>0</v>
      </c>
      <c r="BJ258" s="61">
        <f t="shared" si="150"/>
        <v>0</v>
      </c>
      <c r="BK258" s="42">
        <f t="shared" si="150"/>
        <v>20</v>
      </c>
      <c r="BL258" s="3"/>
    </row>
    <row r="259" spans="1:64" ht="32.25" customHeight="1" x14ac:dyDescent="0.25">
      <c r="A259" s="298" t="s">
        <v>491</v>
      </c>
      <c r="B259" s="299" t="s">
        <v>489</v>
      </c>
      <c r="C259" s="1547"/>
      <c r="D259" s="1551"/>
      <c r="E259" s="1551"/>
      <c r="F259" s="1551"/>
      <c r="G259" s="1551"/>
      <c r="H259" s="1551"/>
      <c r="I259" s="1425"/>
      <c r="J259" s="1425"/>
      <c r="K259" s="1425" t="s">
        <v>791</v>
      </c>
      <c r="L259" s="301" t="s">
        <v>496</v>
      </c>
      <c r="M259" s="1425" t="s">
        <v>497</v>
      </c>
      <c r="N259" s="476"/>
      <c r="O259" s="1425" t="s">
        <v>47</v>
      </c>
      <c r="P259" s="16" t="s">
        <v>792</v>
      </c>
      <c r="Q259" s="302" t="s">
        <v>793</v>
      </c>
      <c r="R259" s="303">
        <v>2015</v>
      </c>
      <c r="S259" s="303">
        <v>1</v>
      </c>
      <c r="T259" s="303">
        <v>1</v>
      </c>
      <c r="U259" s="303">
        <v>1</v>
      </c>
      <c r="V259" s="303">
        <v>1</v>
      </c>
      <c r="W259" s="303">
        <v>1</v>
      </c>
      <c r="X259" s="303">
        <v>4</v>
      </c>
      <c r="Y259" s="492">
        <v>5</v>
      </c>
      <c r="Z259" s="579"/>
      <c r="AA259" s="579"/>
      <c r="AB259" s="579"/>
      <c r="AC259" s="579"/>
      <c r="AD259" s="579"/>
      <c r="AE259" s="579"/>
      <c r="AF259" s="481">
        <f t="shared" si="136"/>
        <v>5</v>
      </c>
      <c r="AG259" s="492">
        <v>0.5</v>
      </c>
      <c r="AH259" s="589"/>
      <c r="AI259" s="589"/>
      <c r="AJ259" s="589"/>
      <c r="AK259" s="589"/>
      <c r="AL259" s="589"/>
      <c r="AM259" s="548">
        <f t="shared" si="137"/>
        <v>0.5</v>
      </c>
      <c r="AN259" s="492">
        <v>0.5</v>
      </c>
      <c r="AO259" s="579"/>
      <c r="AP259" s="579"/>
      <c r="AQ259" s="579"/>
      <c r="AR259" s="579"/>
      <c r="AS259" s="579"/>
      <c r="AT259" s="579"/>
      <c r="AU259" s="481">
        <f t="shared" si="138"/>
        <v>0.5</v>
      </c>
      <c r="AV259" s="492">
        <v>1.5</v>
      </c>
      <c r="AW259" s="589"/>
      <c r="AX259" s="589"/>
      <c r="AY259" s="589"/>
      <c r="AZ259" s="589"/>
      <c r="BA259" s="589"/>
      <c r="BB259" s="589"/>
      <c r="BC259" s="548">
        <f t="shared" si="139"/>
        <v>1.5</v>
      </c>
      <c r="BD259" s="61">
        <f t="shared" si="149"/>
        <v>7.5</v>
      </c>
      <c r="BE259" s="61">
        <f t="shared" si="149"/>
        <v>0</v>
      </c>
      <c r="BF259" s="61">
        <f t="shared" si="149"/>
        <v>0</v>
      </c>
      <c r="BG259" s="61">
        <f t="shared" si="149"/>
        <v>0</v>
      </c>
      <c r="BH259" s="61">
        <f t="shared" si="149"/>
        <v>0</v>
      </c>
      <c r="BI259" s="61">
        <f t="shared" si="133"/>
        <v>0</v>
      </c>
      <c r="BJ259" s="61">
        <f t="shared" si="150"/>
        <v>0</v>
      </c>
      <c r="BK259" s="42">
        <f t="shared" si="150"/>
        <v>7.5</v>
      </c>
      <c r="BL259" s="3"/>
    </row>
    <row r="260" spans="1:64" ht="47.25" customHeight="1" x14ac:dyDescent="0.25">
      <c r="A260" s="298" t="s">
        <v>491</v>
      </c>
      <c r="B260" s="299" t="s">
        <v>489</v>
      </c>
      <c r="C260" s="1548"/>
      <c r="D260" s="1552"/>
      <c r="E260" s="1552"/>
      <c r="F260" s="1552"/>
      <c r="G260" s="1552"/>
      <c r="H260" s="1552"/>
      <c r="I260" s="1425"/>
      <c r="J260" s="1425"/>
      <c r="K260" s="1425" t="s">
        <v>794</v>
      </c>
      <c r="L260" s="301" t="s">
        <v>496</v>
      </c>
      <c r="M260" s="1425" t="s">
        <v>497</v>
      </c>
      <c r="N260" s="476"/>
      <c r="O260" s="1425" t="s">
        <v>47</v>
      </c>
      <c r="P260" s="16" t="s">
        <v>795</v>
      </c>
      <c r="Q260" s="302" t="s">
        <v>796</v>
      </c>
      <c r="R260" s="303">
        <v>2015</v>
      </c>
      <c r="S260" s="303">
        <v>0</v>
      </c>
      <c r="T260" s="303">
        <v>1</v>
      </c>
      <c r="U260" s="303">
        <v>0</v>
      </c>
      <c r="V260" s="303">
        <v>0</v>
      </c>
      <c r="W260" s="303">
        <v>0</v>
      </c>
      <c r="X260" s="303">
        <v>1</v>
      </c>
      <c r="Y260" s="481">
        <v>1</v>
      </c>
      <c r="Z260" s="481"/>
      <c r="AA260" s="481"/>
      <c r="AB260" s="481"/>
      <c r="AC260" s="481"/>
      <c r="AD260" s="481"/>
      <c r="AE260" s="481"/>
      <c r="AF260" s="481">
        <f t="shared" si="136"/>
        <v>1</v>
      </c>
      <c r="AG260" s="548">
        <v>1</v>
      </c>
      <c r="AH260" s="548"/>
      <c r="AI260" s="548"/>
      <c r="AJ260" s="548"/>
      <c r="AK260" s="548"/>
      <c r="AL260" s="548"/>
      <c r="AM260" s="548">
        <f t="shared" si="137"/>
        <v>1</v>
      </c>
      <c r="AN260" s="481">
        <v>1</v>
      </c>
      <c r="AO260" s="481"/>
      <c r="AP260" s="481"/>
      <c r="AQ260" s="481"/>
      <c r="AR260" s="481"/>
      <c r="AS260" s="481"/>
      <c r="AT260" s="481"/>
      <c r="AU260" s="481">
        <f t="shared" si="138"/>
        <v>1</v>
      </c>
      <c r="AV260" s="491"/>
      <c r="AW260" s="548"/>
      <c r="AX260" s="548"/>
      <c r="AY260" s="548"/>
      <c r="AZ260" s="548"/>
      <c r="BA260" s="548"/>
      <c r="BB260" s="548"/>
      <c r="BC260" s="548">
        <f t="shared" si="139"/>
        <v>0</v>
      </c>
      <c r="BD260" s="42">
        <f>+AV260+AN260+AG260+Y260</f>
        <v>3</v>
      </c>
      <c r="BE260" s="42">
        <f>+AW260+AO260+AH260+Z260</f>
        <v>0</v>
      </c>
      <c r="BF260" s="42">
        <f>+AX260+AP260+AI260+AA260</f>
        <v>0</v>
      </c>
      <c r="BG260" s="42">
        <f>+AY260+AQ260+AJ260+AB260</f>
        <v>0</v>
      </c>
      <c r="BH260" s="42">
        <f>+AZ260+AR260+AK260+AC260</f>
        <v>0</v>
      </c>
      <c r="BI260" s="42">
        <f t="shared" si="133"/>
        <v>0</v>
      </c>
      <c r="BJ260" s="42">
        <f>+BB260+AT260+AL260+AE260</f>
        <v>0</v>
      </c>
      <c r="BK260" s="42">
        <f>+BC260+AU260+AM260+AF260</f>
        <v>3</v>
      </c>
      <c r="BL260" s="3"/>
    </row>
    <row r="261" spans="1:64" ht="15" customHeight="1" x14ac:dyDescent="0.25">
      <c r="A261" s="1563" t="s">
        <v>797</v>
      </c>
      <c r="B261" s="1563"/>
      <c r="C261" s="1563"/>
      <c r="D261" s="1563"/>
      <c r="E261" s="1563"/>
      <c r="F261" s="1563"/>
      <c r="G261" s="1563"/>
      <c r="H261" s="1563"/>
      <c r="I261" s="1563"/>
      <c r="J261" s="1563"/>
      <c r="K261" s="1563"/>
      <c r="L261" s="1563"/>
      <c r="M261" s="1563"/>
      <c r="N261" s="1564"/>
      <c r="O261" s="8"/>
      <c r="P261" s="20"/>
      <c r="Q261" s="20"/>
      <c r="R261" s="8"/>
      <c r="S261" s="8"/>
      <c r="T261" s="8"/>
      <c r="U261" s="65"/>
      <c r="V261" s="65"/>
      <c r="W261" s="65"/>
      <c r="X261" s="65"/>
      <c r="Y261" s="36">
        <f t="shared" ref="Y261:AE261" si="151">+Y263+Y295+Y331+Y355</f>
        <v>472.8</v>
      </c>
      <c r="Z261" s="36">
        <f t="shared" si="151"/>
        <v>43.2</v>
      </c>
      <c r="AA261" s="36">
        <f t="shared" si="151"/>
        <v>412.6</v>
      </c>
      <c r="AB261" s="36">
        <f t="shared" si="151"/>
        <v>219</v>
      </c>
      <c r="AC261" s="36">
        <f t="shared" si="151"/>
        <v>0</v>
      </c>
      <c r="AD261" s="36">
        <f t="shared" si="151"/>
        <v>848</v>
      </c>
      <c r="AE261" s="36">
        <f t="shared" si="151"/>
        <v>650</v>
      </c>
      <c r="AF261" s="36">
        <f>SUM(Y261:AE261)</f>
        <v>2645.6</v>
      </c>
      <c r="AG261" s="36">
        <f t="shared" ref="AG261:AL261" si="152">+AG263+AG295+AG331+AG355</f>
        <v>279</v>
      </c>
      <c r="AH261" s="36">
        <f t="shared" si="152"/>
        <v>44.9</v>
      </c>
      <c r="AI261" s="36">
        <f t="shared" si="152"/>
        <v>584</v>
      </c>
      <c r="AJ261" s="36">
        <f t="shared" si="152"/>
        <v>200</v>
      </c>
      <c r="AK261" s="36">
        <f t="shared" si="152"/>
        <v>0</v>
      </c>
      <c r="AL261" s="36">
        <f t="shared" si="152"/>
        <v>3276</v>
      </c>
      <c r="AM261" s="36">
        <f>SUM(AG261:AL261)</f>
        <v>4383.8999999999996</v>
      </c>
      <c r="AN261" s="36">
        <f t="shared" ref="AN261:AT261" si="153">+AN263+AN295+AN331+AN355</f>
        <v>531</v>
      </c>
      <c r="AO261" s="36">
        <f t="shared" si="153"/>
        <v>46.7</v>
      </c>
      <c r="AP261" s="36">
        <f>+AP263+AP295+AP331+AP355+AP289</f>
        <v>443</v>
      </c>
      <c r="AQ261" s="36">
        <f t="shared" si="153"/>
        <v>1400</v>
      </c>
      <c r="AR261" s="36">
        <f t="shared" si="153"/>
        <v>0</v>
      </c>
      <c r="AS261" s="36">
        <f t="shared" si="153"/>
        <v>0</v>
      </c>
      <c r="AT261" s="36">
        <f t="shared" si="153"/>
        <v>703.04000000000008</v>
      </c>
      <c r="AU261" s="36">
        <f>SUM(AN261:AT261)</f>
        <v>3123.74</v>
      </c>
      <c r="AV261" s="36">
        <f t="shared" ref="AV261:BB261" si="154">+AV263+AV295+AV331+AV355</f>
        <v>373.2</v>
      </c>
      <c r="AW261" s="36">
        <f t="shared" si="154"/>
        <v>48.6</v>
      </c>
      <c r="AX261" s="36">
        <f t="shared" si="154"/>
        <v>453.2</v>
      </c>
      <c r="AY261" s="36">
        <f t="shared" si="154"/>
        <v>1500</v>
      </c>
      <c r="AZ261" s="36">
        <f t="shared" si="154"/>
        <v>0</v>
      </c>
      <c r="BA261" s="36">
        <f t="shared" si="154"/>
        <v>0</v>
      </c>
      <c r="BB261" s="36">
        <f t="shared" si="154"/>
        <v>731.16160000000013</v>
      </c>
      <c r="BC261" s="36">
        <f>SUM(AV261:BB261)</f>
        <v>3106.1616000000004</v>
      </c>
      <c r="BD261" s="36">
        <f t="shared" si="149"/>
        <v>1656</v>
      </c>
      <c r="BE261" s="36">
        <f t="shared" si="149"/>
        <v>183.40000000000003</v>
      </c>
      <c r="BF261" s="36">
        <f t="shared" si="149"/>
        <v>1892.8000000000002</v>
      </c>
      <c r="BG261" s="36">
        <f t="shared" si="149"/>
        <v>3319</v>
      </c>
      <c r="BH261" s="36">
        <f t="shared" si="149"/>
        <v>0</v>
      </c>
      <c r="BI261" s="36">
        <f t="shared" si="133"/>
        <v>848</v>
      </c>
      <c r="BJ261" s="36">
        <f t="shared" si="150"/>
        <v>5360.2016000000003</v>
      </c>
      <c r="BK261" s="36">
        <f t="shared" si="150"/>
        <v>13259.401599999999</v>
      </c>
    </row>
    <row r="262" spans="1:64" ht="26.4" x14ac:dyDescent="0.25">
      <c r="B262" s="7" t="s">
        <v>798</v>
      </c>
      <c r="C262" s="18"/>
      <c r="D262" s="8"/>
      <c r="E262" s="8"/>
      <c r="F262" s="8"/>
      <c r="G262" s="8"/>
      <c r="H262" s="8"/>
      <c r="I262" s="8"/>
      <c r="J262" s="8"/>
      <c r="K262" s="8"/>
      <c r="L262" s="8"/>
      <c r="M262" s="8"/>
      <c r="N262" s="8"/>
      <c r="O262" s="8"/>
      <c r="P262" s="1438"/>
      <c r="Q262" s="1438"/>
      <c r="R262" s="11"/>
      <c r="S262" s="11"/>
      <c r="T262" s="11"/>
      <c r="U262" s="47"/>
      <c r="V262" s="47"/>
      <c r="W262" s="47"/>
      <c r="X262" s="47"/>
      <c r="Y262" s="32">
        <v>25</v>
      </c>
      <c r="Z262" s="32"/>
      <c r="AA262" s="32">
        <v>5</v>
      </c>
      <c r="AB262" s="32"/>
      <c r="AC262" s="32"/>
      <c r="AD262" s="32"/>
      <c r="AE262" s="32"/>
      <c r="AF262" s="32"/>
      <c r="AG262" s="32">
        <f>+Y262*1.04</f>
        <v>26</v>
      </c>
      <c r="AH262" s="32"/>
      <c r="AI262" s="32">
        <f>+AA262*1.04</f>
        <v>5.2</v>
      </c>
      <c r="AJ262" s="32"/>
      <c r="AK262" s="32"/>
      <c r="AL262" s="32"/>
      <c r="AM262" s="32"/>
      <c r="AN262" s="32">
        <f>+AG262*1.04</f>
        <v>27.04</v>
      </c>
      <c r="AO262" s="32"/>
      <c r="AP262" s="32">
        <f>+AI262*1.04</f>
        <v>5.4080000000000004</v>
      </c>
      <c r="AQ262" s="32"/>
      <c r="AR262" s="32"/>
      <c r="AS262" s="32"/>
      <c r="AT262" s="32"/>
      <c r="AU262" s="32"/>
      <c r="AV262" s="31"/>
      <c r="AW262" s="31"/>
      <c r="AX262" s="31"/>
      <c r="AY262" s="31"/>
      <c r="AZ262" s="31"/>
      <c r="BA262" s="31"/>
      <c r="BB262" s="31"/>
      <c r="BC262" s="31"/>
      <c r="BD262" s="32">
        <f t="shared" si="149"/>
        <v>78.039999999999992</v>
      </c>
      <c r="BE262" s="32">
        <f t="shared" si="149"/>
        <v>0</v>
      </c>
      <c r="BF262" s="32">
        <f t="shared" si="149"/>
        <v>15.608000000000001</v>
      </c>
      <c r="BG262" s="32">
        <f t="shared" si="149"/>
        <v>0</v>
      </c>
      <c r="BH262" s="32">
        <f t="shared" si="149"/>
        <v>0</v>
      </c>
      <c r="BI262" s="32">
        <f t="shared" si="133"/>
        <v>0</v>
      </c>
      <c r="BJ262" s="32">
        <f t="shared" si="150"/>
        <v>0</v>
      </c>
      <c r="BK262" s="32">
        <f t="shared" si="150"/>
        <v>0</v>
      </c>
    </row>
    <row r="263" spans="1:64" ht="20.399999999999999" x14ac:dyDescent="0.25">
      <c r="A263" s="290"/>
      <c r="B263" s="1565" t="s">
        <v>798</v>
      </c>
      <c r="C263" s="1566"/>
      <c r="D263" s="1566"/>
      <c r="E263" s="1566"/>
      <c r="F263" s="1566"/>
      <c r="G263" s="1566"/>
      <c r="H263" s="1566"/>
      <c r="I263" s="1566"/>
      <c r="J263" s="1566"/>
      <c r="K263" s="1566"/>
      <c r="L263" s="1566"/>
      <c r="M263" s="1567"/>
      <c r="N263" s="597"/>
      <c r="O263" s="597"/>
      <c r="P263" s="598"/>
      <c r="Q263" s="598"/>
      <c r="R263" s="597"/>
      <c r="S263" s="597"/>
      <c r="T263" s="597"/>
      <c r="U263" s="599"/>
      <c r="V263" s="599"/>
      <c r="W263" s="599"/>
      <c r="X263" s="599"/>
      <c r="Y263" s="600">
        <f t="shared" ref="Y263:AE263" si="155">+Y264+Y276</f>
        <v>25</v>
      </c>
      <c r="Z263" s="600">
        <f t="shared" si="155"/>
        <v>0</v>
      </c>
      <c r="AA263" s="600">
        <f t="shared" si="155"/>
        <v>5</v>
      </c>
      <c r="AB263" s="600">
        <f t="shared" si="155"/>
        <v>0</v>
      </c>
      <c r="AC263" s="600">
        <f t="shared" si="155"/>
        <v>0</v>
      </c>
      <c r="AD263" s="600">
        <f t="shared" si="155"/>
        <v>0</v>
      </c>
      <c r="AE263" s="600">
        <f t="shared" si="155"/>
        <v>0</v>
      </c>
      <c r="AF263" s="600">
        <f t="shared" ref="AF263:AF288" si="156">SUM(Y263:AE263)</f>
        <v>30</v>
      </c>
      <c r="AG263" s="600">
        <f t="shared" ref="AG263:AL263" si="157">+AG264+AG276</f>
        <v>65</v>
      </c>
      <c r="AH263" s="600">
        <f t="shared" si="157"/>
        <v>0</v>
      </c>
      <c r="AI263" s="600">
        <f>+AI264+AI276+AI289</f>
        <v>5</v>
      </c>
      <c r="AJ263" s="600">
        <f t="shared" si="157"/>
        <v>0</v>
      </c>
      <c r="AK263" s="600">
        <f t="shared" si="157"/>
        <v>0</v>
      </c>
      <c r="AL263" s="600">
        <f t="shared" si="157"/>
        <v>0</v>
      </c>
      <c r="AM263" s="600">
        <f t="shared" ref="AM263:AM288" si="158">SUM(AG263:AL263)</f>
        <v>70</v>
      </c>
      <c r="AN263" s="600">
        <f t="shared" ref="AN263:AT263" si="159">+AN264+AN276</f>
        <v>50</v>
      </c>
      <c r="AO263" s="600">
        <f t="shared" si="159"/>
        <v>0</v>
      </c>
      <c r="AP263" s="600">
        <f t="shared" si="159"/>
        <v>4.5</v>
      </c>
      <c r="AQ263" s="600">
        <f t="shared" si="159"/>
        <v>0</v>
      </c>
      <c r="AR263" s="600">
        <f t="shared" si="159"/>
        <v>0</v>
      </c>
      <c r="AS263" s="600">
        <f t="shared" si="159"/>
        <v>0</v>
      </c>
      <c r="AT263" s="600">
        <f t="shared" si="159"/>
        <v>0</v>
      </c>
      <c r="AU263" s="600">
        <f t="shared" ref="AU263:AU288" si="160">SUM(AN263:AT263)</f>
        <v>54.5</v>
      </c>
      <c r="AV263" s="600">
        <f t="shared" ref="AV263:BB263" si="161">+AV264+AV276</f>
        <v>50</v>
      </c>
      <c r="AW263" s="600">
        <f t="shared" si="161"/>
        <v>0</v>
      </c>
      <c r="AX263" s="600">
        <f>+AX264+AX276+AX289</f>
        <v>5.5</v>
      </c>
      <c r="AY263" s="600">
        <f t="shared" si="161"/>
        <v>0</v>
      </c>
      <c r="AZ263" s="600">
        <f t="shared" si="161"/>
        <v>0</v>
      </c>
      <c r="BA263" s="600">
        <f t="shared" si="161"/>
        <v>0</v>
      </c>
      <c r="BB263" s="600">
        <f t="shared" si="161"/>
        <v>0</v>
      </c>
      <c r="BC263" s="600">
        <f t="shared" ref="BC263:BC288" si="162">SUM(AV263:BB263)</f>
        <v>55.5</v>
      </c>
      <c r="BD263" s="33">
        <f t="shared" si="149"/>
        <v>190</v>
      </c>
      <c r="BE263" s="33">
        <f t="shared" si="149"/>
        <v>0</v>
      </c>
      <c r="BF263" s="33">
        <f t="shared" si="149"/>
        <v>20</v>
      </c>
      <c r="BG263" s="33">
        <f t="shared" si="149"/>
        <v>0</v>
      </c>
      <c r="BH263" s="33">
        <f t="shared" si="149"/>
        <v>0</v>
      </c>
      <c r="BI263" s="33">
        <f t="shared" si="133"/>
        <v>0</v>
      </c>
      <c r="BJ263" s="33">
        <f t="shared" si="150"/>
        <v>0</v>
      </c>
      <c r="BK263" s="33">
        <f t="shared" si="150"/>
        <v>210</v>
      </c>
    </row>
    <row r="264" spans="1:64" ht="26.4" x14ac:dyDescent="0.25">
      <c r="A264" s="296"/>
      <c r="B264" s="24" t="s">
        <v>798</v>
      </c>
      <c r="C264" s="6"/>
      <c r="D264" s="2" t="s">
        <v>799</v>
      </c>
      <c r="E264" s="1"/>
      <c r="F264" s="1"/>
      <c r="G264" s="1"/>
      <c r="H264" s="1"/>
      <c r="I264" s="1"/>
      <c r="J264" s="1"/>
      <c r="K264" s="1"/>
      <c r="L264" s="1"/>
      <c r="M264" s="1"/>
      <c r="N264" s="1"/>
      <c r="O264" s="1"/>
      <c r="P264" s="22"/>
      <c r="Q264" s="22"/>
      <c r="R264" s="1"/>
      <c r="S264" s="1"/>
      <c r="T264" s="1"/>
      <c r="U264" s="49"/>
      <c r="V264" s="49"/>
      <c r="W264" s="49"/>
      <c r="X264" s="49"/>
      <c r="Y264" s="34">
        <f t="shared" ref="Y264:AE264" si="163">SUM(Y265:Y275)</f>
        <v>20</v>
      </c>
      <c r="Z264" s="34">
        <f t="shared" si="163"/>
        <v>0</v>
      </c>
      <c r="AA264" s="34">
        <f t="shared" si="163"/>
        <v>4</v>
      </c>
      <c r="AB264" s="34">
        <f t="shared" si="163"/>
        <v>0</v>
      </c>
      <c r="AC264" s="34">
        <f t="shared" si="163"/>
        <v>0</v>
      </c>
      <c r="AD264" s="34">
        <f t="shared" si="163"/>
        <v>0</v>
      </c>
      <c r="AE264" s="34">
        <f t="shared" si="163"/>
        <v>0</v>
      </c>
      <c r="AF264" s="34">
        <f t="shared" si="156"/>
        <v>24</v>
      </c>
      <c r="AG264" s="34">
        <f t="shared" ref="AG264:AL264" si="164">SUM(AG265:AG275)</f>
        <v>55</v>
      </c>
      <c r="AH264" s="34">
        <f t="shared" si="164"/>
        <v>0</v>
      </c>
      <c r="AI264" s="34">
        <f t="shared" si="164"/>
        <v>4</v>
      </c>
      <c r="AJ264" s="34">
        <f t="shared" si="164"/>
        <v>0</v>
      </c>
      <c r="AK264" s="34">
        <f t="shared" si="164"/>
        <v>0</v>
      </c>
      <c r="AL264" s="34">
        <f t="shared" si="164"/>
        <v>0</v>
      </c>
      <c r="AM264" s="34">
        <f t="shared" si="158"/>
        <v>59</v>
      </c>
      <c r="AN264" s="34">
        <f t="shared" ref="AN264:AT264" si="165">SUM(AN265:AN275)</f>
        <v>40</v>
      </c>
      <c r="AO264" s="34">
        <f t="shared" si="165"/>
        <v>0</v>
      </c>
      <c r="AP264" s="34">
        <f t="shared" si="165"/>
        <v>0</v>
      </c>
      <c r="AQ264" s="34">
        <f t="shared" si="165"/>
        <v>0</v>
      </c>
      <c r="AR264" s="34">
        <f t="shared" si="165"/>
        <v>0</v>
      </c>
      <c r="AS264" s="34">
        <f t="shared" si="165"/>
        <v>0</v>
      </c>
      <c r="AT264" s="34">
        <f t="shared" si="165"/>
        <v>0</v>
      </c>
      <c r="AU264" s="34">
        <f t="shared" si="160"/>
        <v>40</v>
      </c>
      <c r="AV264" s="34">
        <f t="shared" ref="AV264:BB264" si="166">SUM(AV265:AV275)</f>
        <v>40</v>
      </c>
      <c r="AW264" s="34">
        <f t="shared" si="166"/>
        <v>0</v>
      </c>
      <c r="AX264" s="34">
        <f t="shared" si="166"/>
        <v>0</v>
      </c>
      <c r="AY264" s="34">
        <f t="shared" si="166"/>
        <v>0</v>
      </c>
      <c r="AZ264" s="34">
        <f t="shared" si="166"/>
        <v>0</v>
      </c>
      <c r="BA264" s="34">
        <f t="shared" si="166"/>
        <v>0</v>
      </c>
      <c r="BB264" s="34">
        <f t="shared" si="166"/>
        <v>0</v>
      </c>
      <c r="BC264" s="34">
        <f t="shared" si="162"/>
        <v>40</v>
      </c>
      <c r="BD264" s="34">
        <f t="shared" si="149"/>
        <v>155</v>
      </c>
      <c r="BE264" s="34">
        <f t="shared" si="149"/>
        <v>0</v>
      </c>
      <c r="BF264" s="34">
        <f t="shared" si="149"/>
        <v>8</v>
      </c>
      <c r="BG264" s="34">
        <f t="shared" si="149"/>
        <v>0</v>
      </c>
      <c r="BH264" s="34">
        <f t="shared" si="149"/>
        <v>0</v>
      </c>
      <c r="BI264" s="34">
        <f t="shared" si="133"/>
        <v>0</v>
      </c>
      <c r="BJ264" s="34">
        <f t="shared" si="150"/>
        <v>0</v>
      </c>
      <c r="BK264" s="34">
        <f t="shared" si="150"/>
        <v>163</v>
      </c>
    </row>
    <row r="265" spans="1:64" ht="66" customHeight="1" x14ac:dyDescent="0.25">
      <c r="A265" s="298" t="s">
        <v>800</v>
      </c>
      <c r="B265" s="299" t="s">
        <v>801</v>
      </c>
      <c r="C265" s="1546" t="s">
        <v>802</v>
      </c>
      <c r="D265" s="1549" t="s">
        <v>803</v>
      </c>
      <c r="E265" s="1549" t="s">
        <v>804</v>
      </c>
      <c r="F265" s="1549">
        <v>2015</v>
      </c>
      <c r="G265" s="1549">
        <v>696</v>
      </c>
      <c r="H265" s="1549">
        <v>800</v>
      </c>
      <c r="I265" s="1425"/>
      <c r="J265" s="1425"/>
      <c r="K265" s="1425" t="s">
        <v>805</v>
      </c>
      <c r="L265" s="301" t="s">
        <v>806</v>
      </c>
      <c r="M265" s="1425" t="s">
        <v>497</v>
      </c>
      <c r="N265" s="476"/>
      <c r="O265" s="1425" t="s">
        <v>47</v>
      </c>
      <c r="P265" s="16" t="s">
        <v>807</v>
      </c>
      <c r="Q265" s="302" t="s">
        <v>808</v>
      </c>
      <c r="R265" s="303">
        <v>2015</v>
      </c>
      <c r="S265" s="303">
        <v>0</v>
      </c>
      <c r="T265" s="303">
        <v>0</v>
      </c>
      <c r="U265" s="572">
        <v>1</v>
      </c>
      <c r="V265" s="572">
        <v>0</v>
      </c>
      <c r="W265" s="572">
        <v>0</v>
      </c>
      <c r="X265" s="572">
        <v>1</v>
      </c>
      <c r="Y265" s="481"/>
      <c r="Z265" s="481"/>
      <c r="AA265" s="481"/>
      <c r="AB265" s="481"/>
      <c r="AC265" s="481"/>
      <c r="AD265" s="481"/>
      <c r="AE265" s="481"/>
      <c r="AF265" s="481">
        <f t="shared" si="156"/>
        <v>0</v>
      </c>
      <c r="AG265" s="491">
        <v>12</v>
      </c>
      <c r="AH265" s="548"/>
      <c r="AI265" s="491">
        <v>4</v>
      </c>
      <c r="AJ265" s="548"/>
      <c r="AK265" s="548"/>
      <c r="AL265" s="548"/>
      <c r="AM265" s="548">
        <f t="shared" si="158"/>
        <v>16</v>
      </c>
      <c r="AN265" s="481"/>
      <c r="AO265" s="481"/>
      <c r="AP265" s="481"/>
      <c r="AQ265" s="481"/>
      <c r="AR265" s="481"/>
      <c r="AS265" s="481"/>
      <c r="AT265" s="481"/>
      <c r="AU265" s="481">
        <f t="shared" si="160"/>
        <v>0</v>
      </c>
      <c r="AV265" s="548"/>
      <c r="AW265" s="548"/>
      <c r="AX265" s="548"/>
      <c r="AY265" s="548"/>
      <c r="AZ265" s="548"/>
      <c r="BA265" s="548"/>
      <c r="BB265" s="548"/>
      <c r="BC265" s="548">
        <f t="shared" si="162"/>
        <v>0</v>
      </c>
      <c r="BD265" s="42">
        <f t="shared" si="149"/>
        <v>12</v>
      </c>
      <c r="BE265" s="42">
        <f t="shared" si="149"/>
        <v>0</v>
      </c>
      <c r="BF265" s="42">
        <f t="shared" si="149"/>
        <v>4</v>
      </c>
      <c r="BG265" s="42">
        <f t="shared" si="149"/>
        <v>0</v>
      </c>
      <c r="BH265" s="42">
        <f t="shared" si="149"/>
        <v>0</v>
      </c>
      <c r="BI265" s="42">
        <f t="shared" si="133"/>
        <v>0</v>
      </c>
      <c r="BJ265" s="42">
        <f t="shared" si="150"/>
        <v>0</v>
      </c>
      <c r="BK265" s="42">
        <f t="shared" si="150"/>
        <v>16</v>
      </c>
    </row>
    <row r="266" spans="1:64" ht="53.25" customHeight="1" x14ac:dyDescent="0.25">
      <c r="A266" s="298" t="s">
        <v>800</v>
      </c>
      <c r="B266" s="299" t="s">
        <v>801</v>
      </c>
      <c r="C266" s="1547"/>
      <c r="D266" s="1549"/>
      <c r="E266" s="1549"/>
      <c r="F266" s="1549"/>
      <c r="G266" s="1549"/>
      <c r="H266" s="1549"/>
      <c r="I266" s="1425"/>
      <c r="J266" s="1425"/>
      <c r="K266" s="1425" t="s">
        <v>809</v>
      </c>
      <c r="L266" s="301" t="s">
        <v>806</v>
      </c>
      <c r="M266" s="1425" t="s">
        <v>497</v>
      </c>
      <c r="N266" s="476"/>
      <c r="O266" s="1425" t="s">
        <v>47</v>
      </c>
      <c r="P266" s="16" t="s">
        <v>810</v>
      </c>
      <c r="Q266" s="302" t="s">
        <v>811</v>
      </c>
      <c r="R266" s="303">
        <v>2015</v>
      </c>
      <c r="S266" s="303">
        <v>0</v>
      </c>
      <c r="T266" s="303">
        <v>0</v>
      </c>
      <c r="U266" s="572">
        <v>1</v>
      </c>
      <c r="V266" s="572">
        <v>0</v>
      </c>
      <c r="W266" s="572">
        <v>0</v>
      </c>
      <c r="X266" s="572">
        <v>1</v>
      </c>
      <c r="Y266" s="481"/>
      <c r="Z266" s="481"/>
      <c r="AA266" s="481"/>
      <c r="AB266" s="481"/>
      <c r="AC266" s="481"/>
      <c r="AD266" s="481"/>
      <c r="AE266" s="481"/>
      <c r="AF266" s="481">
        <f t="shared" si="156"/>
        <v>0</v>
      </c>
      <c r="AG266" s="491">
        <v>0.5</v>
      </c>
      <c r="AH266" s="548"/>
      <c r="AI266" s="548"/>
      <c r="AJ266" s="548"/>
      <c r="AK266" s="548"/>
      <c r="AL266" s="548"/>
      <c r="AM266" s="548">
        <f t="shared" si="158"/>
        <v>0.5</v>
      </c>
      <c r="AN266" s="481"/>
      <c r="AO266" s="481"/>
      <c r="AP266" s="481"/>
      <c r="AQ266" s="481"/>
      <c r="AR266" s="481"/>
      <c r="AS266" s="481"/>
      <c r="AT266" s="481"/>
      <c r="AU266" s="481">
        <f t="shared" si="160"/>
        <v>0</v>
      </c>
      <c r="AV266" s="548"/>
      <c r="AW266" s="548"/>
      <c r="AX266" s="548"/>
      <c r="AY266" s="548"/>
      <c r="AZ266" s="548"/>
      <c r="BA266" s="548"/>
      <c r="BB266" s="548"/>
      <c r="BC266" s="548">
        <f t="shared" si="162"/>
        <v>0</v>
      </c>
      <c r="BD266" s="42">
        <f t="shared" si="149"/>
        <v>0.5</v>
      </c>
      <c r="BE266" s="42">
        <f t="shared" si="149"/>
        <v>0</v>
      </c>
      <c r="BF266" s="42">
        <f t="shared" si="149"/>
        <v>0</v>
      </c>
      <c r="BG266" s="42">
        <f t="shared" si="149"/>
        <v>0</v>
      </c>
      <c r="BH266" s="42">
        <f t="shared" si="149"/>
        <v>0</v>
      </c>
      <c r="BI266" s="42">
        <f t="shared" si="133"/>
        <v>0</v>
      </c>
      <c r="BJ266" s="42">
        <f t="shared" si="150"/>
        <v>0</v>
      </c>
      <c r="BK266" s="42">
        <f t="shared" si="150"/>
        <v>0.5</v>
      </c>
    </row>
    <row r="267" spans="1:64" ht="53.25" customHeight="1" x14ac:dyDescent="0.25">
      <c r="A267" s="298" t="s">
        <v>800</v>
      </c>
      <c r="B267" s="299" t="s">
        <v>801</v>
      </c>
      <c r="C267" s="1547"/>
      <c r="D267" s="1549"/>
      <c r="E267" s="1549"/>
      <c r="F267" s="1549"/>
      <c r="G267" s="1549"/>
      <c r="H267" s="1549"/>
      <c r="I267" s="1425"/>
      <c r="J267" s="1425"/>
      <c r="K267" s="1425" t="s">
        <v>812</v>
      </c>
      <c r="L267" s="301" t="s">
        <v>806</v>
      </c>
      <c r="M267" s="1425" t="s">
        <v>497</v>
      </c>
      <c r="N267" s="476"/>
      <c r="O267" s="1425" t="s">
        <v>47</v>
      </c>
      <c r="P267" s="16" t="s">
        <v>813</v>
      </c>
      <c r="Q267" s="302" t="s">
        <v>814</v>
      </c>
      <c r="R267" s="303">
        <v>2015</v>
      </c>
      <c r="S267" s="303">
        <v>0</v>
      </c>
      <c r="T267" s="303">
        <v>0</v>
      </c>
      <c r="U267" s="572">
        <v>1</v>
      </c>
      <c r="V267" s="572">
        <v>0</v>
      </c>
      <c r="W267" s="572">
        <v>0</v>
      </c>
      <c r="X267" s="572">
        <v>1</v>
      </c>
      <c r="Y267" s="481"/>
      <c r="Z267" s="481"/>
      <c r="AA267" s="481"/>
      <c r="AB267" s="481"/>
      <c r="AC267" s="481"/>
      <c r="AD267" s="481"/>
      <c r="AE267" s="481"/>
      <c r="AF267" s="481">
        <f t="shared" si="156"/>
        <v>0</v>
      </c>
      <c r="AG267" s="548">
        <v>10</v>
      </c>
      <c r="AH267" s="548"/>
      <c r="AI267" s="548"/>
      <c r="AJ267" s="548"/>
      <c r="AK267" s="548"/>
      <c r="AL267" s="548"/>
      <c r="AM267" s="548">
        <f t="shared" si="158"/>
        <v>10</v>
      </c>
      <c r="AN267" s="481"/>
      <c r="AO267" s="481"/>
      <c r="AP267" s="481"/>
      <c r="AQ267" s="481"/>
      <c r="AR267" s="481"/>
      <c r="AS267" s="481"/>
      <c r="AT267" s="481"/>
      <c r="AU267" s="481">
        <f t="shared" si="160"/>
        <v>0</v>
      </c>
      <c r="AV267" s="548"/>
      <c r="AW267" s="548"/>
      <c r="AX267" s="548"/>
      <c r="AY267" s="548"/>
      <c r="AZ267" s="548"/>
      <c r="BA267" s="548"/>
      <c r="BB267" s="548"/>
      <c r="BC267" s="548">
        <f t="shared" si="162"/>
        <v>0</v>
      </c>
      <c r="BD267" s="42">
        <f t="shared" si="149"/>
        <v>10</v>
      </c>
      <c r="BE267" s="42">
        <f t="shared" si="149"/>
        <v>0</v>
      </c>
      <c r="BF267" s="42">
        <f t="shared" si="149"/>
        <v>0</v>
      </c>
      <c r="BG267" s="42">
        <f t="shared" si="149"/>
        <v>0</v>
      </c>
      <c r="BH267" s="42">
        <f t="shared" si="149"/>
        <v>0</v>
      </c>
      <c r="BI267" s="42">
        <f t="shared" si="133"/>
        <v>0</v>
      </c>
      <c r="BJ267" s="42">
        <f t="shared" si="150"/>
        <v>0</v>
      </c>
      <c r="BK267" s="42">
        <f t="shared" si="150"/>
        <v>10</v>
      </c>
    </row>
    <row r="268" spans="1:64" ht="45.75" customHeight="1" x14ac:dyDescent="0.25">
      <c r="A268" s="298" t="s">
        <v>800</v>
      </c>
      <c r="B268" s="299" t="s">
        <v>801</v>
      </c>
      <c r="C268" s="1547"/>
      <c r="D268" s="1549"/>
      <c r="E268" s="1549"/>
      <c r="F268" s="1549"/>
      <c r="G268" s="1549"/>
      <c r="H268" s="1549"/>
      <c r="I268" s="1425"/>
      <c r="J268" s="1425"/>
      <c r="K268" s="1425" t="s">
        <v>815</v>
      </c>
      <c r="L268" s="301" t="s">
        <v>806</v>
      </c>
      <c r="M268" s="1425" t="s">
        <v>497</v>
      </c>
      <c r="N268" s="476"/>
      <c r="O268" s="1425" t="s">
        <v>47</v>
      </c>
      <c r="P268" s="16" t="s">
        <v>816</v>
      </c>
      <c r="Q268" s="302" t="s">
        <v>817</v>
      </c>
      <c r="R268" s="303">
        <v>2015</v>
      </c>
      <c r="S268" s="303">
        <v>0</v>
      </c>
      <c r="T268" s="303">
        <v>0</v>
      </c>
      <c r="U268" s="572">
        <v>1</v>
      </c>
      <c r="V268" s="572">
        <v>1</v>
      </c>
      <c r="W268" s="572">
        <v>0</v>
      </c>
      <c r="X268" s="572">
        <v>2</v>
      </c>
      <c r="Y268" s="481"/>
      <c r="Z268" s="481"/>
      <c r="AA268" s="481"/>
      <c r="AB268" s="481"/>
      <c r="AC268" s="481"/>
      <c r="AD268" s="481"/>
      <c r="AE268" s="481"/>
      <c r="AF268" s="481">
        <f t="shared" si="156"/>
        <v>0</v>
      </c>
      <c r="AG268" s="491">
        <v>0.5</v>
      </c>
      <c r="AH268" s="548"/>
      <c r="AI268" s="716"/>
      <c r="AJ268" s="548"/>
      <c r="AK268" s="548"/>
      <c r="AL268" s="548"/>
      <c r="AM268" s="548">
        <f t="shared" si="158"/>
        <v>0.5</v>
      </c>
      <c r="AN268" s="481">
        <v>5</v>
      </c>
      <c r="AO268" s="481"/>
      <c r="AP268" s="481"/>
      <c r="AQ268" s="481"/>
      <c r="AR268" s="481"/>
      <c r="AS268" s="481"/>
      <c r="AT268" s="481"/>
      <c r="AU268" s="481">
        <f t="shared" si="160"/>
        <v>5</v>
      </c>
      <c r="AV268" s="548"/>
      <c r="AW268" s="548"/>
      <c r="AX268" s="548"/>
      <c r="AY268" s="548"/>
      <c r="AZ268" s="548"/>
      <c r="BA268" s="548"/>
      <c r="BB268" s="548"/>
      <c r="BC268" s="548">
        <f t="shared" si="162"/>
        <v>0</v>
      </c>
      <c r="BD268" s="42">
        <f t="shared" si="149"/>
        <v>5.5</v>
      </c>
      <c r="BE268" s="42">
        <f t="shared" si="149"/>
        <v>0</v>
      </c>
      <c r="BF268" s="42">
        <f t="shared" si="149"/>
        <v>0</v>
      </c>
      <c r="BG268" s="42">
        <f t="shared" si="149"/>
        <v>0</v>
      </c>
      <c r="BH268" s="42">
        <f t="shared" si="149"/>
        <v>0</v>
      </c>
      <c r="BI268" s="42">
        <f t="shared" si="133"/>
        <v>0</v>
      </c>
      <c r="BJ268" s="42">
        <f t="shared" si="150"/>
        <v>0</v>
      </c>
      <c r="BK268" s="42">
        <f t="shared" si="150"/>
        <v>5.5</v>
      </c>
    </row>
    <row r="269" spans="1:64" ht="47.25" customHeight="1" x14ac:dyDescent="0.25">
      <c r="A269" s="298" t="s">
        <v>800</v>
      </c>
      <c r="B269" s="299" t="s">
        <v>801</v>
      </c>
      <c r="C269" s="1547"/>
      <c r="D269" s="1549"/>
      <c r="E269" s="1549"/>
      <c r="F269" s="1549"/>
      <c r="G269" s="1549"/>
      <c r="H269" s="1549"/>
      <c r="I269" s="1425"/>
      <c r="J269" s="1425"/>
      <c r="K269" s="1425" t="s">
        <v>818</v>
      </c>
      <c r="L269" s="301" t="s">
        <v>806</v>
      </c>
      <c r="M269" s="1425" t="s">
        <v>497</v>
      </c>
      <c r="N269" s="476"/>
      <c r="O269" s="1425" t="s">
        <v>47</v>
      </c>
      <c r="P269" s="16" t="s">
        <v>819</v>
      </c>
      <c r="Q269" s="302" t="s">
        <v>820</v>
      </c>
      <c r="R269" s="303">
        <v>2015</v>
      </c>
      <c r="S269" s="303">
        <v>0</v>
      </c>
      <c r="T269" s="303">
        <v>0</v>
      </c>
      <c r="U269" s="572">
        <v>5</v>
      </c>
      <c r="V269" s="572">
        <v>5</v>
      </c>
      <c r="W269" s="572">
        <v>10</v>
      </c>
      <c r="X269" s="572">
        <v>20</v>
      </c>
      <c r="Y269" s="481"/>
      <c r="Z269" s="481"/>
      <c r="AA269" s="481"/>
      <c r="AB269" s="481"/>
      <c r="AC269" s="481"/>
      <c r="AD269" s="481"/>
      <c r="AE269" s="481"/>
      <c r="AF269" s="481">
        <f t="shared" si="156"/>
        <v>0</v>
      </c>
      <c r="AG269" s="548">
        <v>10</v>
      </c>
      <c r="AH269" s="548"/>
      <c r="AI269" s="548"/>
      <c r="AJ269" s="548"/>
      <c r="AK269" s="548"/>
      <c r="AL269" s="548"/>
      <c r="AM269" s="548">
        <f t="shared" si="158"/>
        <v>10</v>
      </c>
      <c r="AN269" s="491">
        <v>7</v>
      </c>
      <c r="AO269" s="481"/>
      <c r="AP269" s="481"/>
      <c r="AQ269" s="481"/>
      <c r="AR269" s="481"/>
      <c r="AS269" s="481"/>
      <c r="AT269" s="481"/>
      <c r="AU269" s="481">
        <f t="shared" si="160"/>
        <v>7</v>
      </c>
      <c r="AV269" s="548">
        <v>10</v>
      </c>
      <c r="AW269" s="548"/>
      <c r="AX269" s="548"/>
      <c r="AY269" s="548"/>
      <c r="AZ269" s="548"/>
      <c r="BA269" s="548"/>
      <c r="BB269" s="548"/>
      <c r="BC269" s="548">
        <f t="shared" si="162"/>
        <v>10</v>
      </c>
      <c r="BD269" s="42">
        <f t="shared" si="149"/>
        <v>27</v>
      </c>
      <c r="BE269" s="42">
        <f t="shared" si="149"/>
        <v>0</v>
      </c>
      <c r="BF269" s="42">
        <f t="shared" si="149"/>
        <v>0</v>
      </c>
      <c r="BG269" s="42">
        <f t="shared" si="149"/>
        <v>0</v>
      </c>
      <c r="BH269" s="42">
        <f t="shared" si="149"/>
        <v>0</v>
      </c>
      <c r="BI269" s="42">
        <f t="shared" si="133"/>
        <v>0</v>
      </c>
      <c r="BJ269" s="42">
        <f t="shared" si="150"/>
        <v>0</v>
      </c>
      <c r="BK269" s="42">
        <f t="shared" si="150"/>
        <v>27</v>
      </c>
    </row>
    <row r="270" spans="1:64" ht="51" customHeight="1" x14ac:dyDescent="0.25">
      <c r="A270" s="298" t="s">
        <v>800</v>
      </c>
      <c r="B270" s="299" t="s">
        <v>801</v>
      </c>
      <c r="C270" s="1547"/>
      <c r="D270" s="1549"/>
      <c r="E270" s="1549"/>
      <c r="F270" s="1549"/>
      <c r="G270" s="1549"/>
      <c r="H270" s="1549"/>
      <c r="I270" s="1425"/>
      <c r="J270" s="1425"/>
      <c r="K270" s="1425" t="s">
        <v>821</v>
      </c>
      <c r="L270" s="301" t="s">
        <v>806</v>
      </c>
      <c r="M270" s="1425" t="s">
        <v>497</v>
      </c>
      <c r="N270" s="476"/>
      <c r="O270" s="1425" t="s">
        <v>47</v>
      </c>
      <c r="P270" s="16" t="s">
        <v>822</v>
      </c>
      <c r="Q270" s="302" t="s">
        <v>823</v>
      </c>
      <c r="R270" s="303">
        <v>2015</v>
      </c>
      <c r="S270" s="303" t="s">
        <v>177</v>
      </c>
      <c r="T270" s="303">
        <v>500</v>
      </c>
      <c r="U270" s="572">
        <v>500</v>
      </c>
      <c r="V270" s="572">
        <v>500</v>
      </c>
      <c r="W270" s="572">
        <v>500</v>
      </c>
      <c r="X270" s="572">
        <v>2000</v>
      </c>
      <c r="Y270" s="481">
        <v>10</v>
      </c>
      <c r="Z270" s="481"/>
      <c r="AA270" s="481"/>
      <c r="AB270" s="481"/>
      <c r="AC270" s="481"/>
      <c r="AD270" s="481"/>
      <c r="AE270" s="481"/>
      <c r="AF270" s="481">
        <f t="shared" si="156"/>
        <v>10</v>
      </c>
      <c r="AG270" s="548">
        <v>10</v>
      </c>
      <c r="AH270" s="548"/>
      <c r="AI270" s="548"/>
      <c r="AJ270" s="548"/>
      <c r="AK270" s="548"/>
      <c r="AL270" s="548"/>
      <c r="AM270" s="548">
        <f t="shared" si="158"/>
        <v>10</v>
      </c>
      <c r="AN270" s="481">
        <v>10</v>
      </c>
      <c r="AO270" s="481"/>
      <c r="AP270" s="481"/>
      <c r="AQ270" s="481"/>
      <c r="AR270" s="481"/>
      <c r="AS270" s="481"/>
      <c r="AT270" s="481"/>
      <c r="AU270" s="481">
        <f t="shared" si="160"/>
        <v>10</v>
      </c>
      <c r="AV270" s="548">
        <v>10</v>
      </c>
      <c r="AW270" s="548"/>
      <c r="AX270" s="548"/>
      <c r="AY270" s="548"/>
      <c r="AZ270" s="548"/>
      <c r="BA270" s="548"/>
      <c r="BB270" s="548"/>
      <c r="BC270" s="548">
        <f t="shared" si="162"/>
        <v>10</v>
      </c>
      <c r="BD270" s="42">
        <f t="shared" si="149"/>
        <v>40</v>
      </c>
      <c r="BE270" s="42">
        <f t="shared" si="149"/>
        <v>0</v>
      </c>
      <c r="BF270" s="42">
        <f t="shared" si="149"/>
        <v>0</v>
      </c>
      <c r="BG270" s="42">
        <f t="shared" si="149"/>
        <v>0</v>
      </c>
      <c r="BH270" s="42">
        <f t="shared" si="149"/>
        <v>0</v>
      </c>
      <c r="BI270" s="42">
        <f t="shared" si="133"/>
        <v>0</v>
      </c>
      <c r="BJ270" s="42">
        <f t="shared" si="150"/>
        <v>0</v>
      </c>
      <c r="BK270" s="42">
        <f t="shared" si="150"/>
        <v>40</v>
      </c>
    </row>
    <row r="271" spans="1:64" ht="49.5" customHeight="1" x14ac:dyDescent="0.25">
      <c r="A271" s="298" t="s">
        <v>800</v>
      </c>
      <c r="B271" s="299" t="s">
        <v>801</v>
      </c>
      <c r="C271" s="1547"/>
      <c r="D271" s="1549"/>
      <c r="E271" s="1549"/>
      <c r="F271" s="1549"/>
      <c r="G271" s="1549"/>
      <c r="H271" s="1549"/>
      <c r="I271" s="1425"/>
      <c r="J271" s="1425"/>
      <c r="K271" s="1425" t="s">
        <v>824</v>
      </c>
      <c r="L271" s="301" t="s">
        <v>806</v>
      </c>
      <c r="M271" s="1425" t="s">
        <v>497</v>
      </c>
      <c r="N271" s="476"/>
      <c r="O271" s="1425" t="s">
        <v>47</v>
      </c>
      <c r="P271" s="16" t="s">
        <v>825</v>
      </c>
      <c r="Q271" s="302" t="s">
        <v>826</v>
      </c>
      <c r="R271" s="303">
        <v>2015</v>
      </c>
      <c r="S271" s="303">
        <v>0</v>
      </c>
      <c r="T271" s="303">
        <v>1</v>
      </c>
      <c r="U271" s="572">
        <v>1</v>
      </c>
      <c r="V271" s="572">
        <v>1</v>
      </c>
      <c r="W271" s="572">
        <v>1</v>
      </c>
      <c r="X271" s="572">
        <v>4</v>
      </c>
      <c r="Y271" s="481"/>
      <c r="Z271" s="481"/>
      <c r="AA271" s="491">
        <v>1</v>
      </c>
      <c r="AB271" s="481"/>
      <c r="AC271" s="481"/>
      <c r="AD271" s="481"/>
      <c r="AE271" s="481"/>
      <c r="AF271" s="481">
        <f t="shared" si="156"/>
        <v>1</v>
      </c>
      <c r="AG271" s="491">
        <v>0.5</v>
      </c>
      <c r="AH271" s="548"/>
      <c r="AI271" s="548"/>
      <c r="AJ271" s="548"/>
      <c r="AK271" s="548"/>
      <c r="AL271" s="548"/>
      <c r="AM271" s="548">
        <f t="shared" si="158"/>
        <v>0.5</v>
      </c>
      <c r="AN271" s="491">
        <v>1</v>
      </c>
      <c r="AO271" s="481"/>
      <c r="AP271" s="481"/>
      <c r="AQ271" s="481"/>
      <c r="AR271" s="481"/>
      <c r="AS271" s="481"/>
      <c r="AT271" s="481"/>
      <c r="AU271" s="481">
        <f t="shared" si="160"/>
        <v>1</v>
      </c>
      <c r="AV271" s="548">
        <v>5</v>
      </c>
      <c r="AW271" s="548"/>
      <c r="AX271" s="548"/>
      <c r="AY271" s="548"/>
      <c r="AZ271" s="548"/>
      <c r="BA271" s="548"/>
      <c r="BB271" s="548"/>
      <c r="BC271" s="548">
        <f t="shared" si="162"/>
        <v>5</v>
      </c>
      <c r="BD271" s="42">
        <f t="shared" si="149"/>
        <v>6.5</v>
      </c>
      <c r="BE271" s="42">
        <f t="shared" si="149"/>
        <v>0</v>
      </c>
      <c r="BF271" s="42">
        <f t="shared" si="149"/>
        <v>1</v>
      </c>
      <c r="BG271" s="42">
        <f t="shared" si="149"/>
        <v>0</v>
      </c>
      <c r="BH271" s="42">
        <f t="shared" si="149"/>
        <v>0</v>
      </c>
      <c r="BI271" s="42">
        <f t="shared" ref="BI271:BI338" si="167">+AD271+AS271+BA271</f>
        <v>0</v>
      </c>
      <c r="BJ271" s="42">
        <f t="shared" si="150"/>
        <v>0</v>
      </c>
      <c r="BK271" s="42">
        <f t="shared" si="150"/>
        <v>7.5</v>
      </c>
    </row>
    <row r="272" spans="1:64" ht="51.75" customHeight="1" x14ac:dyDescent="0.25">
      <c r="A272" s="298" t="s">
        <v>800</v>
      </c>
      <c r="B272" s="299" t="s">
        <v>801</v>
      </c>
      <c r="C272" s="1547"/>
      <c r="D272" s="1549"/>
      <c r="E272" s="1549"/>
      <c r="F272" s="1549"/>
      <c r="G272" s="1549"/>
      <c r="H272" s="1549"/>
      <c r="I272" s="1425"/>
      <c r="J272" s="1425"/>
      <c r="K272" s="1425" t="s">
        <v>827</v>
      </c>
      <c r="L272" s="301" t="s">
        <v>806</v>
      </c>
      <c r="M272" s="1425" t="s">
        <v>497</v>
      </c>
      <c r="N272" s="476"/>
      <c r="O272" s="1425" t="s">
        <v>47</v>
      </c>
      <c r="P272" s="16" t="s">
        <v>828</v>
      </c>
      <c r="Q272" s="302" t="s">
        <v>829</v>
      </c>
      <c r="R272" s="303">
        <v>2015</v>
      </c>
      <c r="S272" s="303">
        <v>0</v>
      </c>
      <c r="T272" s="303">
        <v>1</v>
      </c>
      <c r="U272" s="572">
        <v>1</v>
      </c>
      <c r="V272" s="572">
        <v>1</v>
      </c>
      <c r="W272" s="572">
        <v>1</v>
      </c>
      <c r="X272" s="572">
        <v>4</v>
      </c>
      <c r="Y272" s="481"/>
      <c r="Z272" s="481"/>
      <c r="AA272" s="491">
        <v>1</v>
      </c>
      <c r="AB272" s="481"/>
      <c r="AC272" s="481"/>
      <c r="AD272" s="481"/>
      <c r="AE272" s="481"/>
      <c r="AF272" s="481">
        <f t="shared" si="156"/>
        <v>1</v>
      </c>
      <c r="AG272" s="491">
        <v>0.5</v>
      </c>
      <c r="AH272" s="548"/>
      <c r="AI272" s="716"/>
      <c r="AJ272" s="548"/>
      <c r="AK272" s="548"/>
      <c r="AL272" s="548"/>
      <c r="AM272" s="548">
        <f t="shared" si="158"/>
        <v>0.5</v>
      </c>
      <c r="AN272" s="491">
        <v>1</v>
      </c>
      <c r="AO272" s="481"/>
      <c r="AP272" s="481"/>
      <c r="AQ272" s="481"/>
      <c r="AR272" s="481"/>
      <c r="AS272" s="481"/>
      <c r="AT272" s="481"/>
      <c r="AU272" s="481">
        <f t="shared" si="160"/>
        <v>1</v>
      </c>
      <c r="AV272" s="491">
        <v>1</v>
      </c>
      <c r="AW272" s="548"/>
      <c r="AX272" s="548"/>
      <c r="AY272" s="548"/>
      <c r="AZ272" s="548"/>
      <c r="BA272" s="548"/>
      <c r="BB272" s="548"/>
      <c r="BC272" s="548">
        <f t="shared" si="162"/>
        <v>1</v>
      </c>
      <c r="BD272" s="42">
        <f t="shared" si="149"/>
        <v>2.5</v>
      </c>
      <c r="BE272" s="42">
        <f t="shared" si="149"/>
        <v>0</v>
      </c>
      <c r="BF272" s="42">
        <f t="shared" si="149"/>
        <v>1</v>
      </c>
      <c r="BG272" s="42">
        <f t="shared" si="149"/>
        <v>0</v>
      </c>
      <c r="BH272" s="42">
        <f t="shared" si="149"/>
        <v>0</v>
      </c>
      <c r="BI272" s="42">
        <f t="shared" si="167"/>
        <v>0</v>
      </c>
      <c r="BJ272" s="42">
        <f t="shared" si="150"/>
        <v>0</v>
      </c>
      <c r="BK272" s="42">
        <f t="shared" si="150"/>
        <v>3.5</v>
      </c>
    </row>
    <row r="273" spans="1:63" ht="53.25" customHeight="1" x14ac:dyDescent="0.25">
      <c r="A273" s="298" t="s">
        <v>800</v>
      </c>
      <c r="B273" s="299" t="s">
        <v>801</v>
      </c>
      <c r="C273" s="1547"/>
      <c r="D273" s="1549"/>
      <c r="E273" s="1549"/>
      <c r="F273" s="1549"/>
      <c r="G273" s="1549"/>
      <c r="H273" s="1549"/>
      <c r="I273" s="1425"/>
      <c r="J273" s="1425"/>
      <c r="K273" s="1425" t="s">
        <v>830</v>
      </c>
      <c r="L273" s="301" t="s">
        <v>806</v>
      </c>
      <c r="M273" s="1425" t="s">
        <v>497</v>
      </c>
      <c r="N273" s="476"/>
      <c r="O273" s="1425" t="s">
        <v>73</v>
      </c>
      <c r="P273" s="16" t="s">
        <v>831</v>
      </c>
      <c r="Q273" s="302" t="s">
        <v>832</v>
      </c>
      <c r="R273" s="303">
        <v>2015</v>
      </c>
      <c r="S273" s="303">
        <v>2</v>
      </c>
      <c r="T273" s="303">
        <v>3</v>
      </c>
      <c r="U273" s="572">
        <v>3</v>
      </c>
      <c r="V273" s="572">
        <v>3</v>
      </c>
      <c r="W273" s="572">
        <v>3</v>
      </c>
      <c r="X273" s="572">
        <v>3</v>
      </c>
      <c r="Y273" s="481">
        <v>10</v>
      </c>
      <c r="Z273" s="481"/>
      <c r="AA273" s="481"/>
      <c r="AB273" s="481"/>
      <c r="AC273" s="481"/>
      <c r="AD273" s="481"/>
      <c r="AE273" s="481"/>
      <c r="AF273" s="481">
        <f t="shared" si="156"/>
        <v>10</v>
      </c>
      <c r="AG273" s="548">
        <v>10</v>
      </c>
      <c r="AH273" s="548"/>
      <c r="AI273" s="548"/>
      <c r="AJ273" s="548"/>
      <c r="AK273" s="548"/>
      <c r="AL273" s="548"/>
      <c r="AM273" s="548">
        <f t="shared" si="158"/>
        <v>10</v>
      </c>
      <c r="AN273" s="481">
        <v>10</v>
      </c>
      <c r="AO273" s="481"/>
      <c r="AP273" s="481"/>
      <c r="AQ273" s="481"/>
      <c r="AR273" s="481"/>
      <c r="AS273" s="481"/>
      <c r="AT273" s="481"/>
      <c r="AU273" s="481">
        <f t="shared" si="160"/>
        <v>10</v>
      </c>
      <c r="AV273" s="548">
        <v>10</v>
      </c>
      <c r="AW273" s="548"/>
      <c r="AX273" s="548"/>
      <c r="AY273" s="548"/>
      <c r="AZ273" s="548"/>
      <c r="BA273" s="548"/>
      <c r="BB273" s="548"/>
      <c r="BC273" s="548">
        <f t="shared" si="162"/>
        <v>10</v>
      </c>
      <c r="BD273" s="42">
        <f t="shared" si="149"/>
        <v>40</v>
      </c>
      <c r="BE273" s="42">
        <f t="shared" si="149"/>
        <v>0</v>
      </c>
      <c r="BF273" s="42">
        <f t="shared" si="149"/>
        <v>0</v>
      </c>
      <c r="BG273" s="42">
        <f t="shared" si="149"/>
        <v>0</v>
      </c>
      <c r="BH273" s="42">
        <f t="shared" si="149"/>
        <v>0</v>
      </c>
      <c r="BI273" s="42">
        <f t="shared" si="167"/>
        <v>0</v>
      </c>
      <c r="BJ273" s="42">
        <f t="shared" si="150"/>
        <v>0</v>
      </c>
      <c r="BK273" s="42">
        <f t="shared" si="150"/>
        <v>40</v>
      </c>
    </row>
    <row r="274" spans="1:63" ht="45.75" customHeight="1" x14ac:dyDescent="0.25">
      <c r="A274" s="298" t="s">
        <v>800</v>
      </c>
      <c r="B274" s="299" t="s">
        <v>801</v>
      </c>
      <c r="C274" s="1547"/>
      <c r="D274" s="1549"/>
      <c r="E274" s="1549"/>
      <c r="F274" s="1549"/>
      <c r="G274" s="1549"/>
      <c r="H274" s="1549"/>
      <c r="I274" s="1425"/>
      <c r="J274" s="1425"/>
      <c r="K274" s="1425" t="s">
        <v>833</v>
      </c>
      <c r="L274" s="301" t="s">
        <v>806</v>
      </c>
      <c r="M274" s="1425" t="s">
        <v>497</v>
      </c>
      <c r="N274" s="476"/>
      <c r="O274" s="1425" t="s">
        <v>47</v>
      </c>
      <c r="P274" s="16" t="s">
        <v>834</v>
      </c>
      <c r="Q274" s="302" t="s">
        <v>835</v>
      </c>
      <c r="R274" s="303">
        <v>2015</v>
      </c>
      <c r="S274" s="303">
        <v>1</v>
      </c>
      <c r="T274" s="303">
        <v>1</v>
      </c>
      <c r="U274" s="572">
        <v>1</v>
      </c>
      <c r="V274" s="572">
        <v>1</v>
      </c>
      <c r="W274" s="572">
        <v>1</v>
      </c>
      <c r="X274" s="572">
        <v>4</v>
      </c>
      <c r="Y274" s="481"/>
      <c r="Z274" s="481"/>
      <c r="AA274" s="491">
        <v>1</v>
      </c>
      <c r="AB274" s="481"/>
      <c r="AC274" s="481"/>
      <c r="AD274" s="481"/>
      <c r="AE274" s="481"/>
      <c r="AF274" s="481">
        <f t="shared" si="156"/>
        <v>1</v>
      </c>
      <c r="AG274" s="491">
        <v>0.5</v>
      </c>
      <c r="AH274" s="548"/>
      <c r="AI274" s="548"/>
      <c r="AJ274" s="548"/>
      <c r="AK274" s="548"/>
      <c r="AL274" s="548"/>
      <c r="AM274" s="548">
        <f t="shared" si="158"/>
        <v>0.5</v>
      </c>
      <c r="AN274" s="491">
        <v>1</v>
      </c>
      <c r="AO274" s="481"/>
      <c r="AP274" s="481"/>
      <c r="AQ274" s="481"/>
      <c r="AR274" s="481"/>
      <c r="AS274" s="481"/>
      <c r="AT274" s="481"/>
      <c r="AU274" s="481">
        <f t="shared" si="160"/>
        <v>1</v>
      </c>
      <c r="AV274" s="491">
        <v>1</v>
      </c>
      <c r="AW274" s="548"/>
      <c r="AX274" s="548"/>
      <c r="AY274" s="548"/>
      <c r="AZ274" s="548"/>
      <c r="BA274" s="548"/>
      <c r="BB274" s="548"/>
      <c r="BC274" s="548">
        <f t="shared" si="162"/>
        <v>1</v>
      </c>
      <c r="BD274" s="42">
        <f t="shared" si="149"/>
        <v>2.5</v>
      </c>
      <c r="BE274" s="42">
        <f t="shared" si="149"/>
        <v>0</v>
      </c>
      <c r="BF274" s="42">
        <f t="shared" si="149"/>
        <v>1</v>
      </c>
      <c r="BG274" s="42">
        <f t="shared" si="149"/>
        <v>0</v>
      </c>
      <c r="BH274" s="42">
        <f t="shared" si="149"/>
        <v>0</v>
      </c>
      <c r="BI274" s="42">
        <f t="shared" si="167"/>
        <v>0</v>
      </c>
      <c r="BJ274" s="42">
        <f t="shared" si="150"/>
        <v>0</v>
      </c>
      <c r="BK274" s="42">
        <f t="shared" si="150"/>
        <v>3.5</v>
      </c>
    </row>
    <row r="275" spans="1:63" ht="47.25" customHeight="1" x14ac:dyDescent="0.25">
      <c r="A275" s="298" t="s">
        <v>800</v>
      </c>
      <c r="B275" s="299" t="s">
        <v>801</v>
      </c>
      <c r="C275" s="1548"/>
      <c r="D275" s="1549"/>
      <c r="E275" s="1549"/>
      <c r="F275" s="1549"/>
      <c r="G275" s="1549"/>
      <c r="H275" s="1549"/>
      <c r="I275" s="1425"/>
      <c r="J275" s="1425"/>
      <c r="K275" s="1425" t="s">
        <v>836</v>
      </c>
      <c r="L275" s="301" t="s">
        <v>806</v>
      </c>
      <c r="M275" s="1425" t="s">
        <v>497</v>
      </c>
      <c r="N275" s="476"/>
      <c r="O275" s="1425" t="s">
        <v>73</v>
      </c>
      <c r="P275" s="16" t="s">
        <v>837</v>
      </c>
      <c r="Q275" s="302" t="s">
        <v>838</v>
      </c>
      <c r="R275" s="303">
        <v>2015</v>
      </c>
      <c r="S275" s="303">
        <v>1</v>
      </c>
      <c r="T275" s="303">
        <v>1</v>
      </c>
      <c r="U275" s="572">
        <v>1</v>
      </c>
      <c r="V275" s="572">
        <v>1</v>
      </c>
      <c r="W275" s="572">
        <v>1</v>
      </c>
      <c r="X275" s="572">
        <v>1</v>
      </c>
      <c r="Y275" s="481"/>
      <c r="Z275" s="481"/>
      <c r="AA275" s="491">
        <v>1</v>
      </c>
      <c r="AB275" s="481"/>
      <c r="AC275" s="481"/>
      <c r="AD275" s="481"/>
      <c r="AE275" s="481"/>
      <c r="AF275" s="481">
        <f t="shared" si="156"/>
        <v>1</v>
      </c>
      <c r="AG275" s="491">
        <v>0.5</v>
      </c>
      <c r="AH275" s="548"/>
      <c r="AI275" s="716"/>
      <c r="AJ275" s="548"/>
      <c r="AK275" s="548"/>
      <c r="AL275" s="548"/>
      <c r="AM275" s="548">
        <f t="shared" si="158"/>
        <v>0.5</v>
      </c>
      <c r="AN275" s="481">
        <v>5</v>
      </c>
      <c r="AO275" s="481"/>
      <c r="AP275" s="481"/>
      <c r="AQ275" s="481"/>
      <c r="AR275" s="481"/>
      <c r="AS275" s="481"/>
      <c r="AT275" s="481"/>
      <c r="AU275" s="481">
        <f t="shared" si="160"/>
        <v>5</v>
      </c>
      <c r="AV275" s="491">
        <v>3</v>
      </c>
      <c r="AW275" s="548"/>
      <c r="AX275" s="548"/>
      <c r="AY275" s="548"/>
      <c r="AZ275" s="548"/>
      <c r="BA275" s="548"/>
      <c r="BB275" s="548"/>
      <c r="BC275" s="548">
        <f t="shared" si="162"/>
        <v>3</v>
      </c>
      <c r="BD275" s="42">
        <f t="shared" si="149"/>
        <v>8.5</v>
      </c>
      <c r="BE275" s="42">
        <f t="shared" si="149"/>
        <v>0</v>
      </c>
      <c r="BF275" s="42">
        <f t="shared" si="149"/>
        <v>1</v>
      </c>
      <c r="BG275" s="42">
        <f t="shared" si="149"/>
        <v>0</v>
      </c>
      <c r="BH275" s="42">
        <f t="shared" si="149"/>
        <v>0</v>
      </c>
      <c r="BI275" s="42">
        <f t="shared" si="167"/>
        <v>0</v>
      </c>
      <c r="BJ275" s="42">
        <f t="shared" si="150"/>
        <v>0</v>
      </c>
      <c r="BK275" s="42">
        <f t="shared" si="150"/>
        <v>9.5</v>
      </c>
    </row>
    <row r="276" spans="1:63" ht="26.4" x14ac:dyDescent="0.25">
      <c r="A276" s="295" t="s">
        <v>800</v>
      </c>
      <c r="B276" s="24" t="s">
        <v>798</v>
      </c>
      <c r="C276" s="6"/>
      <c r="D276" s="2" t="s">
        <v>839</v>
      </c>
      <c r="E276" s="1"/>
      <c r="F276" s="1"/>
      <c r="G276" s="1"/>
      <c r="H276" s="1"/>
      <c r="I276" s="1"/>
      <c r="J276" s="1"/>
      <c r="K276" s="1"/>
      <c r="L276" s="1"/>
      <c r="M276" s="1"/>
      <c r="N276" s="1"/>
      <c r="O276" s="1"/>
      <c r="P276" s="22"/>
      <c r="Q276" s="22"/>
      <c r="R276" s="1"/>
      <c r="S276" s="1"/>
      <c r="T276" s="1"/>
      <c r="U276" s="49"/>
      <c r="V276" s="49"/>
      <c r="W276" s="49"/>
      <c r="X276" s="49"/>
      <c r="Y276" s="34">
        <f t="shared" ref="Y276:AE276" si="168">SUM(Y277:Y288)</f>
        <v>5</v>
      </c>
      <c r="Z276" s="34">
        <f t="shared" si="168"/>
        <v>0</v>
      </c>
      <c r="AA276" s="34">
        <f t="shared" si="168"/>
        <v>1</v>
      </c>
      <c r="AB276" s="34">
        <f t="shared" si="168"/>
        <v>0</v>
      </c>
      <c r="AC276" s="34">
        <f t="shared" si="168"/>
        <v>0</v>
      </c>
      <c r="AD276" s="34">
        <f t="shared" si="168"/>
        <v>0</v>
      </c>
      <c r="AE276" s="34">
        <f t="shared" si="168"/>
        <v>0</v>
      </c>
      <c r="AF276" s="34">
        <f t="shared" si="156"/>
        <v>6</v>
      </c>
      <c r="AG276" s="34">
        <f t="shared" ref="AG276:AL276" si="169">SUM(AG277:AG288)</f>
        <v>10</v>
      </c>
      <c r="AH276" s="34">
        <f t="shared" si="169"/>
        <v>0</v>
      </c>
      <c r="AI276" s="34">
        <f t="shared" si="169"/>
        <v>0</v>
      </c>
      <c r="AJ276" s="34">
        <f t="shared" si="169"/>
        <v>0</v>
      </c>
      <c r="AK276" s="34">
        <f t="shared" si="169"/>
        <v>0</v>
      </c>
      <c r="AL276" s="34">
        <f t="shared" si="169"/>
        <v>0</v>
      </c>
      <c r="AM276" s="34">
        <f t="shared" si="158"/>
        <v>10</v>
      </c>
      <c r="AN276" s="34">
        <f t="shared" ref="AN276:AT276" si="170">SUM(AN277:AN288)</f>
        <v>10</v>
      </c>
      <c r="AO276" s="34">
        <f t="shared" si="170"/>
        <v>0</v>
      </c>
      <c r="AP276" s="34">
        <f t="shared" si="170"/>
        <v>4.5</v>
      </c>
      <c r="AQ276" s="34">
        <f t="shared" si="170"/>
        <v>0</v>
      </c>
      <c r="AR276" s="34">
        <f t="shared" si="170"/>
        <v>0</v>
      </c>
      <c r="AS276" s="34">
        <f t="shared" si="170"/>
        <v>0</v>
      </c>
      <c r="AT276" s="34">
        <f t="shared" si="170"/>
        <v>0</v>
      </c>
      <c r="AU276" s="34">
        <f t="shared" si="160"/>
        <v>14.5</v>
      </c>
      <c r="AV276" s="34">
        <f t="shared" ref="AV276:BB276" si="171">SUM(AV277:AV288)</f>
        <v>10</v>
      </c>
      <c r="AW276" s="34">
        <f t="shared" si="171"/>
        <v>0</v>
      </c>
      <c r="AX276" s="34">
        <f t="shared" si="171"/>
        <v>5</v>
      </c>
      <c r="AY276" s="34">
        <f t="shared" si="171"/>
        <v>0</v>
      </c>
      <c r="AZ276" s="34">
        <f t="shared" si="171"/>
        <v>0</v>
      </c>
      <c r="BA276" s="34">
        <f t="shared" si="171"/>
        <v>0</v>
      </c>
      <c r="BB276" s="34">
        <f t="shared" si="171"/>
        <v>0</v>
      </c>
      <c r="BC276" s="34">
        <f t="shared" si="162"/>
        <v>15</v>
      </c>
      <c r="BD276" s="34">
        <f t="shared" si="149"/>
        <v>35</v>
      </c>
      <c r="BE276" s="34">
        <f t="shared" si="149"/>
        <v>0</v>
      </c>
      <c r="BF276" s="34">
        <f t="shared" si="149"/>
        <v>10.5</v>
      </c>
      <c r="BG276" s="34">
        <f t="shared" si="149"/>
        <v>0</v>
      </c>
      <c r="BH276" s="34">
        <f t="shared" si="149"/>
        <v>0</v>
      </c>
      <c r="BI276" s="34">
        <f t="shared" si="167"/>
        <v>0</v>
      </c>
      <c r="BJ276" s="34">
        <f t="shared" si="150"/>
        <v>0</v>
      </c>
      <c r="BK276" s="34">
        <f t="shared" si="150"/>
        <v>45.5</v>
      </c>
    </row>
    <row r="277" spans="1:63" ht="36.75" customHeight="1" x14ac:dyDescent="0.25">
      <c r="A277" s="298" t="s">
        <v>800</v>
      </c>
      <c r="B277" s="299" t="s">
        <v>801</v>
      </c>
      <c r="C277" s="1546" t="s">
        <v>840</v>
      </c>
      <c r="D277" s="1549" t="s">
        <v>841</v>
      </c>
      <c r="E277" s="1549" t="s">
        <v>842</v>
      </c>
      <c r="F277" s="1549">
        <v>2015</v>
      </c>
      <c r="G277" s="1562">
        <v>20000</v>
      </c>
      <c r="H277" s="1562">
        <v>22000</v>
      </c>
      <c r="I277" s="1428"/>
      <c r="J277" s="1428"/>
      <c r="K277" s="1428" t="s">
        <v>843</v>
      </c>
      <c r="L277" s="301" t="s">
        <v>806</v>
      </c>
      <c r="M277" s="1425" t="s">
        <v>45</v>
      </c>
      <c r="N277" s="476" t="s">
        <v>46</v>
      </c>
      <c r="O277" s="1425" t="s">
        <v>47</v>
      </c>
      <c r="P277" s="16" t="s">
        <v>844</v>
      </c>
      <c r="Q277" s="302" t="s">
        <v>845</v>
      </c>
      <c r="R277" s="303">
        <v>2015</v>
      </c>
      <c r="S277" s="303">
        <v>0</v>
      </c>
      <c r="T277" s="303">
        <v>0</v>
      </c>
      <c r="U277" s="572">
        <v>0</v>
      </c>
      <c r="V277" s="572">
        <v>1</v>
      </c>
      <c r="W277" s="572">
        <v>1</v>
      </c>
      <c r="X277" s="572">
        <v>1</v>
      </c>
      <c r="Y277" s="481"/>
      <c r="Z277" s="481"/>
      <c r="AA277" s="481"/>
      <c r="AB277" s="481"/>
      <c r="AC277" s="481"/>
      <c r="AD277" s="481"/>
      <c r="AE277" s="481"/>
      <c r="AF277" s="481">
        <f t="shared" si="156"/>
        <v>0</v>
      </c>
      <c r="AG277" s="548"/>
      <c r="AH277" s="548"/>
      <c r="AI277" s="548"/>
      <c r="AJ277" s="548"/>
      <c r="AK277" s="548"/>
      <c r="AL277" s="548"/>
      <c r="AM277" s="548">
        <f t="shared" si="158"/>
        <v>0</v>
      </c>
      <c r="AN277" s="491">
        <v>0.5</v>
      </c>
      <c r="AO277" s="481"/>
      <c r="AP277" s="481"/>
      <c r="AQ277" s="481"/>
      <c r="AR277" s="481"/>
      <c r="AS277" s="481"/>
      <c r="AT277" s="481"/>
      <c r="AU277" s="481">
        <f t="shared" si="160"/>
        <v>0.5</v>
      </c>
      <c r="AV277" s="491">
        <v>0.5</v>
      </c>
      <c r="AW277" s="548"/>
      <c r="AX277" s="548"/>
      <c r="AY277" s="548"/>
      <c r="AZ277" s="548"/>
      <c r="BA277" s="548"/>
      <c r="BB277" s="548"/>
      <c r="BC277" s="548">
        <f t="shared" si="162"/>
        <v>0.5</v>
      </c>
      <c r="BD277" s="42">
        <f t="shared" si="149"/>
        <v>1</v>
      </c>
      <c r="BE277" s="42">
        <f t="shared" si="149"/>
        <v>0</v>
      </c>
      <c r="BF277" s="42">
        <f t="shared" si="149"/>
        <v>0</v>
      </c>
      <c r="BG277" s="42">
        <f t="shared" si="149"/>
        <v>0</v>
      </c>
      <c r="BH277" s="42">
        <f t="shared" si="149"/>
        <v>0</v>
      </c>
      <c r="BI277" s="42">
        <f t="shared" si="167"/>
        <v>0</v>
      </c>
      <c r="BJ277" s="42">
        <f t="shared" si="150"/>
        <v>0</v>
      </c>
      <c r="BK277" s="42">
        <f t="shared" si="150"/>
        <v>1</v>
      </c>
    </row>
    <row r="278" spans="1:63" ht="49.5" customHeight="1" x14ac:dyDescent="0.25">
      <c r="A278" s="298" t="s">
        <v>800</v>
      </c>
      <c r="B278" s="299" t="s">
        <v>801</v>
      </c>
      <c r="C278" s="1547"/>
      <c r="D278" s="1549"/>
      <c r="E278" s="1549"/>
      <c r="F278" s="1549"/>
      <c r="G278" s="1549"/>
      <c r="H278" s="1549"/>
      <c r="I278" s="1425"/>
      <c r="J278" s="1425"/>
      <c r="K278" s="1428" t="s">
        <v>846</v>
      </c>
      <c r="L278" s="301" t="s">
        <v>806</v>
      </c>
      <c r="M278" s="1425" t="s">
        <v>45</v>
      </c>
      <c r="N278" s="476" t="s">
        <v>46</v>
      </c>
      <c r="O278" s="1425" t="s">
        <v>47</v>
      </c>
      <c r="P278" s="16" t="s">
        <v>847</v>
      </c>
      <c r="Q278" s="302" t="s">
        <v>337</v>
      </c>
      <c r="R278" s="303">
        <v>2015</v>
      </c>
      <c r="S278" s="303">
        <v>0</v>
      </c>
      <c r="T278" s="303">
        <v>1</v>
      </c>
      <c r="U278" s="572">
        <v>3</v>
      </c>
      <c r="V278" s="572">
        <v>6</v>
      </c>
      <c r="W278" s="572">
        <v>8</v>
      </c>
      <c r="X278" s="572">
        <v>8</v>
      </c>
      <c r="Y278" s="481">
        <v>0</v>
      </c>
      <c r="Z278" s="481"/>
      <c r="AA278" s="491">
        <v>1</v>
      </c>
      <c r="AB278" s="481"/>
      <c r="AC278" s="481"/>
      <c r="AD278" s="481"/>
      <c r="AE278" s="481"/>
      <c r="AF278" s="481">
        <f t="shared" si="156"/>
        <v>1</v>
      </c>
      <c r="AG278" s="491">
        <v>5</v>
      </c>
      <c r="AH278" s="548"/>
      <c r="AI278" s="548"/>
      <c r="AJ278" s="548"/>
      <c r="AK278" s="548"/>
      <c r="AL278" s="548"/>
      <c r="AM278" s="548">
        <f t="shared" si="158"/>
        <v>5</v>
      </c>
      <c r="AN278" s="491">
        <v>5</v>
      </c>
      <c r="AO278" s="481"/>
      <c r="AP278" s="481"/>
      <c r="AQ278" s="481"/>
      <c r="AR278" s="481"/>
      <c r="AS278" s="481"/>
      <c r="AT278" s="481"/>
      <c r="AU278" s="481">
        <f t="shared" si="160"/>
        <v>5</v>
      </c>
      <c r="AV278" s="491">
        <v>5</v>
      </c>
      <c r="AW278" s="548"/>
      <c r="AX278" s="548"/>
      <c r="AY278" s="548"/>
      <c r="AZ278" s="548"/>
      <c r="BA278" s="548"/>
      <c r="BB278" s="548"/>
      <c r="BC278" s="548">
        <f t="shared" si="162"/>
        <v>5</v>
      </c>
      <c r="BD278" s="42">
        <f t="shared" ref="BD278:BH312" si="172">+AV278+AN278+AG278+Y278</f>
        <v>15</v>
      </c>
      <c r="BE278" s="42">
        <f t="shared" si="172"/>
        <v>0</v>
      </c>
      <c r="BF278" s="42">
        <f t="shared" si="172"/>
        <v>1</v>
      </c>
      <c r="BG278" s="42">
        <f t="shared" si="172"/>
        <v>0</v>
      </c>
      <c r="BH278" s="42">
        <f t="shared" si="172"/>
        <v>0</v>
      </c>
      <c r="BI278" s="42">
        <f t="shared" si="167"/>
        <v>0</v>
      </c>
      <c r="BJ278" s="42">
        <f t="shared" ref="BJ278:BK312" si="173">+BB278+AT278+AL278+AE278</f>
        <v>0</v>
      </c>
      <c r="BK278" s="42">
        <f t="shared" si="173"/>
        <v>16</v>
      </c>
    </row>
    <row r="279" spans="1:63" ht="35.25" customHeight="1" x14ac:dyDescent="0.25">
      <c r="A279" s="298" t="s">
        <v>800</v>
      </c>
      <c r="B279" s="299" t="s">
        <v>801</v>
      </c>
      <c r="C279" s="1547"/>
      <c r="D279" s="1549"/>
      <c r="E279" s="1549"/>
      <c r="F279" s="1549"/>
      <c r="G279" s="1549"/>
      <c r="H279" s="1549"/>
      <c r="I279" s="1425"/>
      <c r="J279" s="1425"/>
      <c r="K279" s="1428" t="s">
        <v>848</v>
      </c>
      <c r="L279" s="301" t="s">
        <v>806</v>
      </c>
      <c r="M279" s="1425" t="s">
        <v>45</v>
      </c>
      <c r="N279" s="476" t="s">
        <v>46</v>
      </c>
      <c r="O279" s="1425" t="s">
        <v>47</v>
      </c>
      <c r="P279" s="16" t="s">
        <v>849</v>
      </c>
      <c r="Q279" s="302" t="s">
        <v>850</v>
      </c>
      <c r="R279" s="303">
        <v>2015</v>
      </c>
      <c r="S279" s="303">
        <v>0</v>
      </c>
      <c r="T279" s="303">
        <v>0</v>
      </c>
      <c r="U279" s="572">
        <v>0</v>
      </c>
      <c r="V279" s="572">
        <v>1</v>
      </c>
      <c r="W279" s="572">
        <v>2</v>
      </c>
      <c r="X279" s="572">
        <v>2</v>
      </c>
      <c r="Y279" s="481"/>
      <c r="Z279" s="481"/>
      <c r="AA279" s="481"/>
      <c r="AB279" s="481"/>
      <c r="AC279" s="481"/>
      <c r="AD279" s="481"/>
      <c r="AE279" s="481"/>
      <c r="AF279" s="481">
        <f t="shared" si="156"/>
        <v>0</v>
      </c>
      <c r="AG279" s="548"/>
      <c r="AH279" s="548"/>
      <c r="AI279" s="548"/>
      <c r="AJ279" s="548"/>
      <c r="AK279" s="548"/>
      <c r="AL279" s="548"/>
      <c r="AM279" s="548">
        <f t="shared" si="158"/>
        <v>0</v>
      </c>
      <c r="AN279" s="491">
        <v>0.5</v>
      </c>
      <c r="AO279" s="481"/>
      <c r="AP279" s="481"/>
      <c r="AQ279" s="481"/>
      <c r="AR279" s="481"/>
      <c r="AS279" s="481"/>
      <c r="AT279" s="481"/>
      <c r="AU279" s="481">
        <f t="shared" si="160"/>
        <v>0.5</v>
      </c>
      <c r="AV279" s="491">
        <v>0.5</v>
      </c>
      <c r="AW279" s="548"/>
      <c r="AX279" s="548"/>
      <c r="AY279" s="548"/>
      <c r="AZ279" s="548"/>
      <c r="BA279" s="548"/>
      <c r="BB279" s="548"/>
      <c r="BC279" s="548">
        <f t="shared" si="162"/>
        <v>0.5</v>
      </c>
      <c r="BD279" s="42">
        <f t="shared" si="172"/>
        <v>1</v>
      </c>
      <c r="BE279" s="42">
        <f t="shared" si="172"/>
        <v>0</v>
      </c>
      <c r="BF279" s="42">
        <f t="shared" si="172"/>
        <v>0</v>
      </c>
      <c r="BG279" s="42">
        <f t="shared" si="172"/>
        <v>0</v>
      </c>
      <c r="BH279" s="42">
        <f t="shared" si="172"/>
        <v>0</v>
      </c>
      <c r="BI279" s="42">
        <f t="shared" si="167"/>
        <v>0</v>
      </c>
      <c r="BJ279" s="42">
        <f t="shared" si="173"/>
        <v>0</v>
      </c>
      <c r="BK279" s="42">
        <f t="shared" si="173"/>
        <v>1</v>
      </c>
    </row>
    <row r="280" spans="1:63" ht="24.75" customHeight="1" x14ac:dyDescent="0.25">
      <c r="A280" s="298" t="s">
        <v>800</v>
      </c>
      <c r="B280" s="299" t="s">
        <v>801</v>
      </c>
      <c r="C280" s="1547"/>
      <c r="D280" s="1549"/>
      <c r="E280" s="1549"/>
      <c r="F280" s="1549"/>
      <c r="G280" s="1549"/>
      <c r="H280" s="1549"/>
      <c r="I280" s="1425"/>
      <c r="J280" s="1425"/>
      <c r="K280" s="1428" t="s">
        <v>851</v>
      </c>
      <c r="L280" s="301" t="s">
        <v>806</v>
      </c>
      <c r="M280" s="1425" t="s">
        <v>45</v>
      </c>
      <c r="N280" s="476" t="s">
        <v>46</v>
      </c>
      <c r="O280" s="1425" t="s">
        <v>47</v>
      </c>
      <c r="P280" s="16" t="s">
        <v>852</v>
      </c>
      <c r="Q280" s="302" t="s">
        <v>853</v>
      </c>
      <c r="R280" s="303">
        <v>2015</v>
      </c>
      <c r="S280" s="303">
        <v>0</v>
      </c>
      <c r="T280" s="303">
        <v>0</v>
      </c>
      <c r="U280" s="572">
        <v>0</v>
      </c>
      <c r="V280" s="572">
        <v>2</v>
      </c>
      <c r="W280" s="572">
        <v>4</v>
      </c>
      <c r="X280" s="572">
        <v>4</v>
      </c>
      <c r="Y280" s="481"/>
      <c r="Z280" s="481"/>
      <c r="AA280" s="481"/>
      <c r="AB280" s="481"/>
      <c r="AC280" s="481"/>
      <c r="AD280" s="481"/>
      <c r="AE280" s="481"/>
      <c r="AF280" s="481">
        <f t="shared" si="156"/>
        <v>0</v>
      </c>
      <c r="AG280" s="548"/>
      <c r="AH280" s="548"/>
      <c r="AI280" s="548"/>
      <c r="AJ280" s="548"/>
      <c r="AK280" s="548"/>
      <c r="AL280" s="548"/>
      <c r="AM280" s="548">
        <f t="shared" si="158"/>
        <v>0</v>
      </c>
      <c r="AN280" s="491">
        <v>0.5</v>
      </c>
      <c r="AO280" s="481"/>
      <c r="AP280" s="481"/>
      <c r="AQ280" s="481"/>
      <c r="AR280" s="481"/>
      <c r="AS280" s="481"/>
      <c r="AT280" s="481"/>
      <c r="AU280" s="481">
        <f t="shared" si="160"/>
        <v>0.5</v>
      </c>
      <c r="AV280" s="491">
        <v>0.5</v>
      </c>
      <c r="AW280" s="548"/>
      <c r="AX280" s="548"/>
      <c r="AY280" s="548"/>
      <c r="AZ280" s="548"/>
      <c r="BA280" s="548"/>
      <c r="BB280" s="548"/>
      <c r="BC280" s="548">
        <f t="shared" si="162"/>
        <v>0.5</v>
      </c>
      <c r="BD280" s="42">
        <f t="shared" si="172"/>
        <v>1</v>
      </c>
      <c r="BE280" s="42">
        <f t="shared" si="172"/>
        <v>0</v>
      </c>
      <c r="BF280" s="42">
        <f t="shared" si="172"/>
        <v>0</v>
      </c>
      <c r="BG280" s="42">
        <f t="shared" si="172"/>
        <v>0</v>
      </c>
      <c r="BH280" s="42">
        <f t="shared" si="172"/>
        <v>0</v>
      </c>
      <c r="BI280" s="42">
        <f t="shared" si="167"/>
        <v>0</v>
      </c>
      <c r="BJ280" s="42">
        <f t="shared" si="173"/>
        <v>0</v>
      </c>
      <c r="BK280" s="42">
        <f t="shared" si="173"/>
        <v>1</v>
      </c>
    </row>
    <row r="281" spans="1:63" ht="35.25" customHeight="1" x14ac:dyDescent="0.25">
      <c r="A281" s="298" t="s">
        <v>800</v>
      </c>
      <c r="B281" s="299" t="s">
        <v>801</v>
      </c>
      <c r="C281" s="1547"/>
      <c r="D281" s="1549"/>
      <c r="E281" s="1549"/>
      <c r="F281" s="1549"/>
      <c r="G281" s="1549"/>
      <c r="H281" s="1549"/>
      <c r="I281" s="1425"/>
      <c r="J281" s="1425"/>
      <c r="K281" s="1428" t="s">
        <v>854</v>
      </c>
      <c r="L281" s="301" t="s">
        <v>806</v>
      </c>
      <c r="M281" s="1425" t="s">
        <v>45</v>
      </c>
      <c r="N281" s="476" t="s">
        <v>46</v>
      </c>
      <c r="O281" s="1425" t="s">
        <v>47</v>
      </c>
      <c r="P281" s="16" t="s">
        <v>855</v>
      </c>
      <c r="Q281" s="302" t="s">
        <v>856</v>
      </c>
      <c r="R281" s="303">
        <v>2015</v>
      </c>
      <c r="S281" s="303">
        <v>0</v>
      </c>
      <c r="T281" s="303">
        <v>1</v>
      </c>
      <c r="U281" s="572">
        <v>2</v>
      </c>
      <c r="V281" s="572">
        <v>3</v>
      </c>
      <c r="W281" s="572">
        <v>4</v>
      </c>
      <c r="X281" s="572">
        <v>4</v>
      </c>
      <c r="Y281" s="481">
        <v>2</v>
      </c>
      <c r="Z281" s="481"/>
      <c r="AA281" s="481"/>
      <c r="AB281" s="481"/>
      <c r="AC281" s="481"/>
      <c r="AD281" s="481"/>
      <c r="AE281" s="481"/>
      <c r="AF281" s="481">
        <f t="shared" si="156"/>
        <v>2</v>
      </c>
      <c r="AG281" s="491">
        <v>1</v>
      </c>
      <c r="AH281" s="548"/>
      <c r="AI281" s="716"/>
      <c r="AJ281" s="548"/>
      <c r="AK281" s="548"/>
      <c r="AL281" s="548"/>
      <c r="AM281" s="548">
        <f t="shared" si="158"/>
        <v>1</v>
      </c>
      <c r="AN281" s="491">
        <v>0.5</v>
      </c>
      <c r="AO281" s="481"/>
      <c r="AP281" s="481"/>
      <c r="AQ281" s="481"/>
      <c r="AR281" s="481"/>
      <c r="AS281" s="481"/>
      <c r="AT281" s="481"/>
      <c r="AU281" s="481">
        <f t="shared" si="160"/>
        <v>0.5</v>
      </c>
      <c r="AV281" s="491">
        <v>0.5</v>
      </c>
      <c r="AW281" s="548"/>
      <c r="AX281" s="548"/>
      <c r="AY281" s="548"/>
      <c r="AZ281" s="548"/>
      <c r="BA281" s="548"/>
      <c r="BB281" s="548"/>
      <c r="BC281" s="548">
        <f t="shared" si="162"/>
        <v>0.5</v>
      </c>
      <c r="BD281" s="42">
        <f t="shared" si="172"/>
        <v>4</v>
      </c>
      <c r="BE281" s="42">
        <f t="shared" si="172"/>
        <v>0</v>
      </c>
      <c r="BF281" s="42">
        <f t="shared" si="172"/>
        <v>0</v>
      </c>
      <c r="BG281" s="42">
        <f t="shared" si="172"/>
        <v>0</v>
      </c>
      <c r="BH281" s="42">
        <f t="shared" si="172"/>
        <v>0</v>
      </c>
      <c r="BI281" s="42">
        <f t="shared" si="167"/>
        <v>0</v>
      </c>
      <c r="BJ281" s="42">
        <f t="shared" si="173"/>
        <v>0</v>
      </c>
      <c r="BK281" s="42">
        <f t="shared" si="173"/>
        <v>4</v>
      </c>
    </row>
    <row r="282" spans="1:63" ht="33.75" customHeight="1" x14ac:dyDescent="0.25">
      <c r="A282" s="298" t="s">
        <v>800</v>
      </c>
      <c r="B282" s="299" t="s">
        <v>801</v>
      </c>
      <c r="C282" s="1547"/>
      <c r="D282" s="1549"/>
      <c r="E282" s="1549"/>
      <c r="F282" s="1549"/>
      <c r="G282" s="1549"/>
      <c r="H282" s="1549"/>
      <c r="I282" s="1425"/>
      <c r="J282" s="1425"/>
      <c r="K282" s="1428" t="s">
        <v>857</v>
      </c>
      <c r="L282" s="301" t="s">
        <v>806</v>
      </c>
      <c r="M282" s="1425" t="s">
        <v>45</v>
      </c>
      <c r="N282" s="476" t="s">
        <v>46</v>
      </c>
      <c r="O282" s="1425" t="s">
        <v>47</v>
      </c>
      <c r="P282" s="16" t="s">
        <v>858</v>
      </c>
      <c r="Q282" s="302" t="s">
        <v>859</v>
      </c>
      <c r="R282" s="303">
        <v>2015</v>
      </c>
      <c r="S282" s="303">
        <v>0</v>
      </c>
      <c r="T282" s="303">
        <v>0</v>
      </c>
      <c r="U282" s="572">
        <v>0</v>
      </c>
      <c r="V282" s="572">
        <v>1</v>
      </c>
      <c r="W282" s="572">
        <v>1</v>
      </c>
      <c r="X282" s="572">
        <v>1</v>
      </c>
      <c r="Y282" s="481"/>
      <c r="Z282" s="481"/>
      <c r="AA282" s="481"/>
      <c r="AB282" s="481"/>
      <c r="AC282" s="481"/>
      <c r="AD282" s="481"/>
      <c r="AE282" s="481"/>
      <c r="AF282" s="481">
        <f t="shared" si="156"/>
        <v>0</v>
      </c>
      <c r="AG282" s="548"/>
      <c r="AH282" s="548"/>
      <c r="AI282" s="548"/>
      <c r="AJ282" s="548"/>
      <c r="AK282" s="548"/>
      <c r="AL282" s="548"/>
      <c r="AM282" s="548">
        <f t="shared" si="158"/>
        <v>0</v>
      </c>
      <c r="AN282" s="491">
        <v>0.5</v>
      </c>
      <c r="AO282" s="481"/>
      <c r="AP282" s="481"/>
      <c r="AQ282" s="481"/>
      <c r="AR282" s="481"/>
      <c r="AS282" s="481"/>
      <c r="AT282" s="481"/>
      <c r="AU282" s="481">
        <f t="shared" si="160"/>
        <v>0.5</v>
      </c>
      <c r="AV282" s="491">
        <v>0.5</v>
      </c>
      <c r="AW282" s="548"/>
      <c r="AX282" s="548"/>
      <c r="AY282" s="548"/>
      <c r="AZ282" s="548"/>
      <c r="BA282" s="548"/>
      <c r="BB282" s="548"/>
      <c r="BC282" s="548">
        <f t="shared" si="162"/>
        <v>0.5</v>
      </c>
      <c r="BD282" s="42">
        <f t="shared" si="172"/>
        <v>1</v>
      </c>
      <c r="BE282" s="42">
        <f t="shared" si="172"/>
        <v>0</v>
      </c>
      <c r="BF282" s="42">
        <f t="shared" si="172"/>
        <v>0</v>
      </c>
      <c r="BG282" s="42">
        <f t="shared" si="172"/>
        <v>0</v>
      </c>
      <c r="BH282" s="42">
        <f t="shared" si="172"/>
        <v>0</v>
      </c>
      <c r="BI282" s="42">
        <f t="shared" si="167"/>
        <v>0</v>
      </c>
      <c r="BJ282" s="42">
        <f t="shared" si="173"/>
        <v>0</v>
      </c>
      <c r="BK282" s="42">
        <f t="shared" si="173"/>
        <v>1</v>
      </c>
    </row>
    <row r="283" spans="1:63" ht="33" customHeight="1" x14ac:dyDescent="0.25">
      <c r="A283" s="298" t="s">
        <v>800</v>
      </c>
      <c r="B283" s="299" t="s">
        <v>801</v>
      </c>
      <c r="C283" s="1547"/>
      <c r="D283" s="1549"/>
      <c r="E283" s="1549"/>
      <c r="F283" s="1549"/>
      <c r="G283" s="1549"/>
      <c r="H283" s="1549"/>
      <c r="I283" s="1425"/>
      <c r="J283" s="1425"/>
      <c r="K283" s="1428" t="s">
        <v>860</v>
      </c>
      <c r="L283" s="301" t="s">
        <v>806</v>
      </c>
      <c r="M283" s="1425" t="s">
        <v>45</v>
      </c>
      <c r="N283" s="476" t="s">
        <v>46</v>
      </c>
      <c r="O283" s="1425" t="s">
        <v>47</v>
      </c>
      <c r="P283" s="16" t="s">
        <v>861</v>
      </c>
      <c r="Q283" s="302" t="s">
        <v>862</v>
      </c>
      <c r="R283" s="303">
        <v>2015</v>
      </c>
      <c r="S283" s="303">
        <v>0</v>
      </c>
      <c r="T283" s="303">
        <v>0</v>
      </c>
      <c r="U283" s="572">
        <v>0</v>
      </c>
      <c r="V283" s="572">
        <v>1</v>
      </c>
      <c r="W283" s="572">
        <v>2</v>
      </c>
      <c r="X283" s="572">
        <v>2</v>
      </c>
      <c r="Y283" s="481"/>
      <c r="Z283" s="481"/>
      <c r="AA283" s="481"/>
      <c r="AB283" s="481"/>
      <c r="AC283" s="481"/>
      <c r="AD283" s="481"/>
      <c r="AE283" s="481"/>
      <c r="AF283" s="481">
        <f t="shared" si="156"/>
        <v>0</v>
      </c>
      <c r="AG283" s="548"/>
      <c r="AH283" s="548"/>
      <c r="AI283" s="548"/>
      <c r="AJ283" s="548"/>
      <c r="AK283" s="548"/>
      <c r="AL283" s="548"/>
      <c r="AM283" s="548">
        <f t="shared" si="158"/>
        <v>0</v>
      </c>
      <c r="AN283" s="491">
        <v>0.5</v>
      </c>
      <c r="AO283" s="481"/>
      <c r="AP283" s="481"/>
      <c r="AQ283" s="481"/>
      <c r="AR283" s="481"/>
      <c r="AS283" s="481"/>
      <c r="AT283" s="481"/>
      <c r="AU283" s="481">
        <f t="shared" si="160"/>
        <v>0.5</v>
      </c>
      <c r="AV283" s="491">
        <v>0.5</v>
      </c>
      <c r="AW283" s="548"/>
      <c r="AX283" s="548"/>
      <c r="AY283" s="548"/>
      <c r="AZ283" s="548"/>
      <c r="BA283" s="548"/>
      <c r="BB283" s="548"/>
      <c r="BC283" s="548">
        <f t="shared" si="162"/>
        <v>0.5</v>
      </c>
      <c r="BD283" s="42">
        <f t="shared" si="172"/>
        <v>1</v>
      </c>
      <c r="BE283" s="42">
        <f t="shared" si="172"/>
        <v>0</v>
      </c>
      <c r="BF283" s="42">
        <f t="shared" si="172"/>
        <v>0</v>
      </c>
      <c r="BG283" s="42">
        <f t="shared" si="172"/>
        <v>0</v>
      </c>
      <c r="BH283" s="42">
        <f t="shared" si="172"/>
        <v>0</v>
      </c>
      <c r="BI283" s="42">
        <f t="shared" si="167"/>
        <v>0</v>
      </c>
      <c r="BJ283" s="42">
        <f t="shared" si="173"/>
        <v>0</v>
      </c>
      <c r="BK283" s="42">
        <f t="shared" si="173"/>
        <v>1</v>
      </c>
    </row>
    <row r="284" spans="1:63" ht="36.75" customHeight="1" x14ac:dyDescent="0.25">
      <c r="A284" s="298" t="s">
        <v>800</v>
      </c>
      <c r="B284" s="299" t="s">
        <v>801</v>
      </c>
      <c r="C284" s="1547"/>
      <c r="D284" s="1549"/>
      <c r="E284" s="1549"/>
      <c r="F284" s="1549"/>
      <c r="G284" s="1549"/>
      <c r="H284" s="1549"/>
      <c r="I284" s="1425"/>
      <c r="J284" s="1425"/>
      <c r="K284" s="1428" t="s">
        <v>863</v>
      </c>
      <c r="L284" s="301" t="s">
        <v>806</v>
      </c>
      <c r="M284" s="1425" t="s">
        <v>45</v>
      </c>
      <c r="N284" s="476" t="s">
        <v>46</v>
      </c>
      <c r="O284" s="1425" t="s">
        <v>47</v>
      </c>
      <c r="P284" s="16" t="s">
        <v>864</v>
      </c>
      <c r="Q284" s="302" t="s">
        <v>865</v>
      </c>
      <c r="R284" s="303">
        <v>2015</v>
      </c>
      <c r="S284" s="303">
        <v>0</v>
      </c>
      <c r="T284" s="303">
        <v>0</v>
      </c>
      <c r="U284" s="572">
        <v>0</v>
      </c>
      <c r="V284" s="572">
        <v>1</v>
      </c>
      <c r="W284" s="572">
        <v>2</v>
      </c>
      <c r="X284" s="572">
        <v>2</v>
      </c>
      <c r="Y284" s="481"/>
      <c r="Z284" s="481"/>
      <c r="AA284" s="481"/>
      <c r="AB284" s="481"/>
      <c r="AC284" s="481"/>
      <c r="AD284" s="481"/>
      <c r="AE284" s="481"/>
      <c r="AF284" s="481">
        <f t="shared" si="156"/>
        <v>0</v>
      </c>
      <c r="AG284" s="548"/>
      <c r="AH284" s="548"/>
      <c r="AI284" s="548"/>
      <c r="AJ284" s="548"/>
      <c r="AK284" s="548"/>
      <c r="AL284" s="548"/>
      <c r="AM284" s="548">
        <f t="shared" si="158"/>
        <v>0</v>
      </c>
      <c r="AN284" s="491">
        <v>0.5</v>
      </c>
      <c r="AO284" s="481"/>
      <c r="AP284" s="481"/>
      <c r="AQ284" s="481"/>
      <c r="AR284" s="481"/>
      <c r="AS284" s="481"/>
      <c r="AT284" s="481"/>
      <c r="AU284" s="481">
        <f t="shared" si="160"/>
        <v>0.5</v>
      </c>
      <c r="AV284" s="491">
        <v>0.5</v>
      </c>
      <c r="AW284" s="548"/>
      <c r="AX284" s="548"/>
      <c r="AY284" s="548"/>
      <c r="AZ284" s="548"/>
      <c r="BA284" s="548"/>
      <c r="BB284" s="548"/>
      <c r="BC284" s="548">
        <f t="shared" si="162"/>
        <v>0.5</v>
      </c>
      <c r="BD284" s="42">
        <f t="shared" si="172"/>
        <v>1</v>
      </c>
      <c r="BE284" s="42">
        <f t="shared" si="172"/>
        <v>0</v>
      </c>
      <c r="BF284" s="42">
        <f t="shared" si="172"/>
        <v>0</v>
      </c>
      <c r="BG284" s="42">
        <f t="shared" si="172"/>
        <v>0</v>
      </c>
      <c r="BH284" s="42">
        <f t="shared" si="172"/>
        <v>0</v>
      </c>
      <c r="BI284" s="42">
        <f t="shared" si="167"/>
        <v>0</v>
      </c>
      <c r="BJ284" s="42">
        <f t="shared" si="173"/>
        <v>0</v>
      </c>
      <c r="BK284" s="42">
        <f t="shared" si="173"/>
        <v>1</v>
      </c>
    </row>
    <row r="285" spans="1:63" ht="35.25" customHeight="1" x14ac:dyDescent="0.25">
      <c r="A285" s="298" t="s">
        <v>800</v>
      </c>
      <c r="B285" s="299" t="s">
        <v>801</v>
      </c>
      <c r="C285" s="1547"/>
      <c r="D285" s="1549"/>
      <c r="E285" s="1549"/>
      <c r="F285" s="1549"/>
      <c r="G285" s="1549"/>
      <c r="H285" s="1549"/>
      <c r="I285" s="1425"/>
      <c r="J285" s="1425"/>
      <c r="K285" s="1428" t="s">
        <v>866</v>
      </c>
      <c r="L285" s="301" t="s">
        <v>806</v>
      </c>
      <c r="M285" s="1425" t="s">
        <v>45</v>
      </c>
      <c r="N285" s="476" t="s">
        <v>46</v>
      </c>
      <c r="O285" s="1425" t="s">
        <v>47</v>
      </c>
      <c r="P285" s="16" t="s">
        <v>867</v>
      </c>
      <c r="Q285" s="302" t="s">
        <v>868</v>
      </c>
      <c r="R285" s="303">
        <v>2015</v>
      </c>
      <c r="S285" s="303">
        <v>0</v>
      </c>
      <c r="T285" s="303">
        <v>0</v>
      </c>
      <c r="U285" s="572">
        <v>1</v>
      </c>
      <c r="V285" s="572">
        <v>1</v>
      </c>
      <c r="W285" s="572">
        <v>1</v>
      </c>
      <c r="X285" s="572">
        <v>1</v>
      </c>
      <c r="Y285" s="481"/>
      <c r="Z285" s="481"/>
      <c r="AA285" s="481"/>
      <c r="AB285" s="481"/>
      <c r="AC285" s="481"/>
      <c r="AD285" s="481"/>
      <c r="AE285" s="481"/>
      <c r="AF285" s="481">
        <f t="shared" si="156"/>
        <v>0</v>
      </c>
      <c r="AG285" s="491">
        <v>1</v>
      </c>
      <c r="AH285" s="548"/>
      <c r="AI285" s="716"/>
      <c r="AJ285" s="548"/>
      <c r="AK285" s="548"/>
      <c r="AL285" s="548"/>
      <c r="AM285" s="548">
        <f t="shared" si="158"/>
        <v>1</v>
      </c>
      <c r="AN285" s="491">
        <v>0.5</v>
      </c>
      <c r="AO285" s="481"/>
      <c r="AP285" s="481"/>
      <c r="AQ285" s="481"/>
      <c r="AR285" s="481"/>
      <c r="AS285" s="481"/>
      <c r="AT285" s="481"/>
      <c r="AU285" s="481">
        <f t="shared" si="160"/>
        <v>0.5</v>
      </c>
      <c r="AV285" s="491">
        <v>0.5</v>
      </c>
      <c r="AW285" s="548"/>
      <c r="AX285" s="548"/>
      <c r="AY285" s="548"/>
      <c r="AZ285" s="548"/>
      <c r="BA285" s="548"/>
      <c r="BB285" s="548"/>
      <c r="BC285" s="548">
        <f t="shared" si="162"/>
        <v>0.5</v>
      </c>
      <c r="BD285" s="42">
        <f t="shared" si="172"/>
        <v>2</v>
      </c>
      <c r="BE285" s="42">
        <f t="shared" si="172"/>
        <v>0</v>
      </c>
      <c r="BF285" s="42">
        <f t="shared" si="172"/>
        <v>0</v>
      </c>
      <c r="BG285" s="42">
        <f t="shared" si="172"/>
        <v>0</v>
      </c>
      <c r="BH285" s="42">
        <f t="shared" si="172"/>
        <v>0</v>
      </c>
      <c r="BI285" s="42">
        <f t="shared" si="167"/>
        <v>0</v>
      </c>
      <c r="BJ285" s="42">
        <f t="shared" si="173"/>
        <v>0</v>
      </c>
      <c r="BK285" s="42">
        <f t="shared" si="173"/>
        <v>2</v>
      </c>
    </row>
    <row r="286" spans="1:63" ht="33" customHeight="1" x14ac:dyDescent="0.25">
      <c r="A286" s="298" t="s">
        <v>800</v>
      </c>
      <c r="B286" s="299" t="s">
        <v>801</v>
      </c>
      <c r="C286" s="1547"/>
      <c r="D286" s="1549"/>
      <c r="E286" s="1549"/>
      <c r="F286" s="1549"/>
      <c r="G286" s="1549"/>
      <c r="H286" s="1549"/>
      <c r="I286" s="1425"/>
      <c r="J286" s="1425"/>
      <c r="K286" s="1428" t="s">
        <v>869</v>
      </c>
      <c r="L286" s="301" t="s">
        <v>806</v>
      </c>
      <c r="M286" s="1425" t="s">
        <v>45</v>
      </c>
      <c r="N286" s="476" t="s">
        <v>46</v>
      </c>
      <c r="O286" s="1425" t="s">
        <v>47</v>
      </c>
      <c r="P286" s="16" t="s">
        <v>870</v>
      </c>
      <c r="Q286" s="302" t="s">
        <v>871</v>
      </c>
      <c r="R286" s="303">
        <v>2015</v>
      </c>
      <c r="S286" s="303">
        <v>0</v>
      </c>
      <c r="T286" s="303">
        <v>1</v>
      </c>
      <c r="U286" s="572">
        <v>2</v>
      </c>
      <c r="V286" s="572">
        <v>3</v>
      </c>
      <c r="W286" s="572">
        <v>4</v>
      </c>
      <c r="X286" s="572">
        <v>4</v>
      </c>
      <c r="Y286" s="491">
        <v>1</v>
      </c>
      <c r="Z286" s="481"/>
      <c r="AA286" s="481"/>
      <c r="AB286" s="481"/>
      <c r="AC286" s="481"/>
      <c r="AD286" s="481"/>
      <c r="AE286" s="481"/>
      <c r="AF286" s="481">
        <f t="shared" si="156"/>
        <v>1</v>
      </c>
      <c r="AG286" s="491">
        <v>1</v>
      </c>
      <c r="AH286" s="548"/>
      <c r="AI286" s="548"/>
      <c r="AJ286" s="548"/>
      <c r="AK286" s="548"/>
      <c r="AL286" s="548"/>
      <c r="AM286" s="548">
        <f t="shared" si="158"/>
        <v>1</v>
      </c>
      <c r="AN286" s="491">
        <v>0.5</v>
      </c>
      <c r="AO286" s="481"/>
      <c r="AP286" s="481"/>
      <c r="AQ286" s="481"/>
      <c r="AR286" s="481"/>
      <c r="AS286" s="481"/>
      <c r="AT286" s="481"/>
      <c r="AU286" s="481">
        <f t="shared" si="160"/>
        <v>0.5</v>
      </c>
      <c r="AV286" s="491">
        <v>0.5</v>
      </c>
      <c r="AW286" s="548"/>
      <c r="AX286" s="548"/>
      <c r="AY286" s="548"/>
      <c r="AZ286" s="548"/>
      <c r="BA286" s="548"/>
      <c r="BB286" s="548"/>
      <c r="BC286" s="548">
        <f t="shared" si="162"/>
        <v>0.5</v>
      </c>
      <c r="BD286" s="42">
        <f t="shared" si="172"/>
        <v>3</v>
      </c>
      <c r="BE286" s="42">
        <f t="shared" si="172"/>
        <v>0</v>
      </c>
      <c r="BF286" s="42">
        <f t="shared" si="172"/>
        <v>0</v>
      </c>
      <c r="BG286" s="42">
        <f t="shared" si="172"/>
        <v>0</v>
      </c>
      <c r="BH286" s="42">
        <f t="shared" si="172"/>
        <v>0</v>
      </c>
      <c r="BI286" s="42">
        <f t="shared" si="167"/>
        <v>0</v>
      </c>
      <c r="BJ286" s="42">
        <f t="shared" si="173"/>
        <v>0</v>
      </c>
      <c r="BK286" s="42">
        <f t="shared" si="173"/>
        <v>3</v>
      </c>
    </row>
    <row r="287" spans="1:63" ht="30.75" customHeight="1" x14ac:dyDescent="0.25">
      <c r="A287" s="298" t="s">
        <v>800</v>
      </c>
      <c r="B287" s="299" t="s">
        <v>801</v>
      </c>
      <c r="C287" s="1547"/>
      <c r="D287" s="1549"/>
      <c r="E287" s="1549"/>
      <c r="F287" s="1549"/>
      <c r="G287" s="1549"/>
      <c r="H287" s="1549"/>
      <c r="I287" s="1425"/>
      <c r="J287" s="1425"/>
      <c r="K287" s="1428" t="s">
        <v>872</v>
      </c>
      <c r="L287" s="301" t="s">
        <v>806</v>
      </c>
      <c r="M287" s="1425" t="s">
        <v>45</v>
      </c>
      <c r="N287" s="476" t="s">
        <v>46</v>
      </c>
      <c r="O287" s="1425" t="s">
        <v>47</v>
      </c>
      <c r="P287" s="16" t="s">
        <v>873</v>
      </c>
      <c r="Q287" s="302" t="s">
        <v>874</v>
      </c>
      <c r="R287" s="303">
        <v>2015</v>
      </c>
      <c r="S287" s="303">
        <v>0</v>
      </c>
      <c r="T287" s="303">
        <v>15</v>
      </c>
      <c r="U287" s="572">
        <v>30</v>
      </c>
      <c r="V287" s="572">
        <v>45</v>
      </c>
      <c r="W287" s="572">
        <v>60</v>
      </c>
      <c r="X287" s="572">
        <v>60</v>
      </c>
      <c r="Y287" s="491">
        <v>1</v>
      </c>
      <c r="Z287" s="481"/>
      <c r="AA287" s="481"/>
      <c r="AB287" s="481"/>
      <c r="AC287" s="481"/>
      <c r="AD287" s="481"/>
      <c r="AE287" s="481"/>
      <c r="AF287" s="481">
        <f t="shared" si="156"/>
        <v>1</v>
      </c>
      <c r="AG287" s="491">
        <v>1</v>
      </c>
      <c r="AH287" s="548"/>
      <c r="AI287" s="716"/>
      <c r="AJ287" s="548"/>
      <c r="AK287" s="548"/>
      <c r="AL287" s="548"/>
      <c r="AM287" s="548">
        <f t="shared" si="158"/>
        <v>1</v>
      </c>
      <c r="AN287" s="481"/>
      <c r="AO287" s="481"/>
      <c r="AP287" s="491">
        <v>4.5</v>
      </c>
      <c r="AQ287" s="481"/>
      <c r="AR287" s="481"/>
      <c r="AS287" s="481"/>
      <c r="AT287" s="481"/>
      <c r="AU287" s="481">
        <f t="shared" si="160"/>
        <v>4.5</v>
      </c>
      <c r="AV287" s="481"/>
      <c r="AW287" s="548"/>
      <c r="AX287" s="491">
        <v>5</v>
      </c>
      <c r="AY287" s="548"/>
      <c r="AZ287" s="548"/>
      <c r="BA287" s="548"/>
      <c r="BB287" s="548"/>
      <c r="BC287" s="548">
        <f t="shared" si="162"/>
        <v>5</v>
      </c>
      <c r="BD287" s="42">
        <f t="shared" si="172"/>
        <v>2</v>
      </c>
      <c r="BE287" s="42">
        <f t="shared" si="172"/>
        <v>0</v>
      </c>
      <c r="BF287" s="42">
        <f t="shared" si="172"/>
        <v>9.5</v>
      </c>
      <c r="BG287" s="42">
        <f t="shared" si="172"/>
        <v>0</v>
      </c>
      <c r="BH287" s="42">
        <f t="shared" si="172"/>
        <v>0</v>
      </c>
      <c r="BI287" s="42">
        <f t="shared" si="167"/>
        <v>0</v>
      </c>
      <c r="BJ287" s="42">
        <f t="shared" si="173"/>
        <v>0</v>
      </c>
      <c r="BK287" s="42">
        <f t="shared" si="173"/>
        <v>11.5</v>
      </c>
    </row>
    <row r="288" spans="1:63" ht="39.75" customHeight="1" x14ac:dyDescent="0.25">
      <c r="A288" s="298" t="s">
        <v>800</v>
      </c>
      <c r="B288" s="299" t="s">
        <v>801</v>
      </c>
      <c r="C288" s="1548"/>
      <c r="D288" s="1549"/>
      <c r="E288" s="1549"/>
      <c r="F288" s="1549"/>
      <c r="G288" s="1549"/>
      <c r="H288" s="1549"/>
      <c r="I288" s="1425"/>
      <c r="J288" s="1425"/>
      <c r="K288" s="1428" t="s">
        <v>875</v>
      </c>
      <c r="L288" s="301" t="s">
        <v>806</v>
      </c>
      <c r="M288" s="1425" t="s">
        <v>45</v>
      </c>
      <c r="N288" s="476" t="s">
        <v>46</v>
      </c>
      <c r="O288" s="1425" t="s">
        <v>73</v>
      </c>
      <c r="P288" s="16" t="s">
        <v>876</v>
      </c>
      <c r="Q288" s="302" t="s">
        <v>877</v>
      </c>
      <c r="R288" s="303">
        <v>2015</v>
      </c>
      <c r="S288" s="303">
        <v>0</v>
      </c>
      <c r="T288" s="303">
        <v>1</v>
      </c>
      <c r="U288" s="572">
        <v>1</v>
      </c>
      <c r="V288" s="572">
        <v>1</v>
      </c>
      <c r="W288" s="572">
        <v>1</v>
      </c>
      <c r="X288" s="572">
        <v>1</v>
      </c>
      <c r="Y288" s="491">
        <v>1</v>
      </c>
      <c r="Z288" s="481"/>
      <c r="AA288" s="481"/>
      <c r="AB288" s="481"/>
      <c r="AC288" s="481"/>
      <c r="AD288" s="481"/>
      <c r="AE288" s="481"/>
      <c r="AF288" s="481">
        <f t="shared" si="156"/>
        <v>1</v>
      </c>
      <c r="AG288" s="491">
        <v>1</v>
      </c>
      <c r="AH288" s="548"/>
      <c r="AI288" s="548"/>
      <c r="AJ288" s="548"/>
      <c r="AK288" s="548"/>
      <c r="AL288" s="548"/>
      <c r="AM288" s="548">
        <f t="shared" si="158"/>
        <v>1</v>
      </c>
      <c r="AN288" s="491">
        <v>0.5</v>
      </c>
      <c r="AO288" s="481"/>
      <c r="AP288" s="481"/>
      <c r="AQ288" s="481"/>
      <c r="AR288" s="481"/>
      <c r="AS288" s="481"/>
      <c r="AT288" s="481"/>
      <c r="AU288" s="481">
        <f t="shared" si="160"/>
        <v>0.5</v>
      </c>
      <c r="AV288" s="491">
        <v>0.5</v>
      </c>
      <c r="AW288" s="548"/>
      <c r="AX288" s="548"/>
      <c r="AY288" s="548"/>
      <c r="AZ288" s="548"/>
      <c r="BA288" s="548"/>
      <c r="BB288" s="548"/>
      <c r="BC288" s="548">
        <f t="shared" si="162"/>
        <v>0.5</v>
      </c>
      <c r="BD288" s="42">
        <f t="shared" si="172"/>
        <v>3</v>
      </c>
      <c r="BE288" s="42">
        <f t="shared" si="172"/>
        <v>0</v>
      </c>
      <c r="BF288" s="42">
        <f t="shared" si="172"/>
        <v>0</v>
      </c>
      <c r="BG288" s="42">
        <f t="shared" si="172"/>
        <v>0</v>
      </c>
      <c r="BH288" s="42">
        <f t="shared" si="172"/>
        <v>0</v>
      </c>
      <c r="BI288" s="42">
        <f t="shared" si="167"/>
        <v>0</v>
      </c>
      <c r="BJ288" s="42">
        <f t="shared" si="173"/>
        <v>0</v>
      </c>
      <c r="BK288" s="42">
        <f t="shared" si="173"/>
        <v>3</v>
      </c>
    </row>
    <row r="289" spans="1:63" ht="26.4" x14ac:dyDescent="0.25">
      <c r="A289" s="295" t="s">
        <v>800</v>
      </c>
      <c r="B289" s="24" t="s">
        <v>798</v>
      </c>
      <c r="C289" s="6"/>
      <c r="D289" s="2" t="s">
        <v>878</v>
      </c>
      <c r="E289" s="1"/>
      <c r="F289" s="1"/>
      <c r="G289" s="1"/>
      <c r="H289" s="1"/>
      <c r="I289" s="1"/>
      <c r="J289" s="1"/>
      <c r="K289" s="1"/>
      <c r="L289" s="1"/>
      <c r="M289" s="1"/>
      <c r="N289" s="1"/>
      <c r="O289" s="1"/>
      <c r="P289" s="22"/>
      <c r="Q289" s="22"/>
      <c r="R289" s="1"/>
      <c r="S289" s="1"/>
      <c r="T289" s="1"/>
      <c r="U289" s="49"/>
      <c r="V289" s="49"/>
      <c r="W289" s="49"/>
      <c r="X289" s="49"/>
      <c r="Y289" s="497"/>
      <c r="Z289" s="497">
        <f>SUM(Z294:Z305)</f>
        <v>0</v>
      </c>
      <c r="AA289" s="497"/>
      <c r="AB289" s="497">
        <f>SUM(AB294:AB305)</f>
        <v>0</v>
      </c>
      <c r="AC289" s="497">
        <f>SUM(AC294:AC305)</f>
        <v>0</v>
      </c>
      <c r="AD289" s="497"/>
      <c r="AE289" s="497"/>
      <c r="AF289" s="497">
        <f>SUM(Y289:AE289)</f>
        <v>0</v>
      </c>
      <c r="AG289" s="34"/>
      <c r="AH289" s="34">
        <f>SUM(AH294:AH305)</f>
        <v>0</v>
      </c>
      <c r="AI289" s="34">
        <f>SUM(AI290:AI293)</f>
        <v>1</v>
      </c>
      <c r="AJ289" s="34"/>
      <c r="AK289" s="34">
        <f>SUM(AK294:AK305)</f>
        <v>0</v>
      </c>
      <c r="AL289" s="34">
        <f>SUM(AL294:AL305)</f>
        <v>400</v>
      </c>
      <c r="AM289" s="34">
        <f>SUM(AG289:AL289)</f>
        <v>401</v>
      </c>
      <c r="AN289" s="34"/>
      <c r="AO289" s="34">
        <f t="shared" ref="AO289:AT289" si="174">SUM(AO294:AO305)</f>
        <v>0</v>
      </c>
      <c r="AP289" s="34">
        <f>SUM(AP290:AP293)</f>
        <v>1</v>
      </c>
      <c r="AQ289" s="34"/>
      <c r="AR289" s="34">
        <f t="shared" si="174"/>
        <v>0</v>
      </c>
      <c r="AS289" s="34">
        <f t="shared" si="174"/>
        <v>0</v>
      </c>
      <c r="AT289" s="34">
        <f t="shared" si="174"/>
        <v>0</v>
      </c>
      <c r="AU289" s="34">
        <f>SUM(AN289:AT289)</f>
        <v>1</v>
      </c>
      <c r="AV289" s="34"/>
      <c r="AW289" s="34">
        <f t="shared" ref="AW289:BB289" si="175">SUM(AW294:AW305)</f>
        <v>0</v>
      </c>
      <c r="AX289" s="34">
        <f>SUM(AX290:AX293)</f>
        <v>0.5</v>
      </c>
      <c r="AY289" s="34">
        <f t="shared" si="175"/>
        <v>0</v>
      </c>
      <c r="AZ289" s="34">
        <f t="shared" si="175"/>
        <v>0</v>
      </c>
      <c r="BA289" s="34">
        <f t="shared" si="175"/>
        <v>0</v>
      </c>
      <c r="BB289" s="34">
        <f t="shared" si="175"/>
        <v>0</v>
      </c>
      <c r="BC289" s="34">
        <f>SUM(AV289:BB289)</f>
        <v>0.5</v>
      </c>
      <c r="BD289" s="34">
        <f t="shared" si="172"/>
        <v>0</v>
      </c>
      <c r="BE289" s="34">
        <f t="shared" si="172"/>
        <v>0</v>
      </c>
      <c r="BF289" s="34">
        <f t="shared" si="172"/>
        <v>2.5</v>
      </c>
      <c r="BG289" s="34">
        <f t="shared" si="172"/>
        <v>0</v>
      </c>
      <c r="BH289" s="34">
        <f t="shared" si="172"/>
        <v>0</v>
      </c>
      <c r="BI289" s="34">
        <f t="shared" si="167"/>
        <v>0</v>
      </c>
      <c r="BJ289" s="34">
        <f t="shared" si="173"/>
        <v>400</v>
      </c>
      <c r="BK289" s="34">
        <f t="shared" si="173"/>
        <v>402.5</v>
      </c>
    </row>
    <row r="290" spans="1:63" ht="51.75" customHeight="1" x14ac:dyDescent="0.25">
      <c r="A290" s="373" t="s">
        <v>800</v>
      </c>
      <c r="B290" s="299" t="s">
        <v>801</v>
      </c>
      <c r="C290" s="1546" t="s">
        <v>879</v>
      </c>
      <c r="D290" s="1550" t="s">
        <v>880</v>
      </c>
      <c r="E290" s="1550" t="s">
        <v>881</v>
      </c>
      <c r="F290" s="1550">
        <v>2015</v>
      </c>
      <c r="G290" s="1550">
        <v>0</v>
      </c>
      <c r="H290" s="1550">
        <v>1</v>
      </c>
      <c r="I290" s="476"/>
      <c r="J290" s="476"/>
      <c r="K290" s="1428" t="s">
        <v>882</v>
      </c>
      <c r="L290" s="301" t="s">
        <v>883</v>
      </c>
      <c r="M290" s="1425" t="s">
        <v>45</v>
      </c>
      <c r="N290" s="476" t="s">
        <v>46</v>
      </c>
      <c r="O290" s="1425" t="s">
        <v>47</v>
      </c>
      <c r="P290" s="16" t="s">
        <v>884</v>
      </c>
      <c r="Q290" s="302" t="s">
        <v>146</v>
      </c>
      <c r="R290" s="303">
        <v>2015</v>
      </c>
      <c r="S290" s="303">
        <v>0</v>
      </c>
      <c r="T290" s="303">
        <v>0</v>
      </c>
      <c r="U290" s="303">
        <v>0</v>
      </c>
      <c r="V290" s="303">
        <v>1</v>
      </c>
      <c r="W290" s="303">
        <v>0</v>
      </c>
      <c r="X290" s="572">
        <v>1</v>
      </c>
      <c r="Y290" s="582"/>
      <c r="Z290" s="582"/>
      <c r="AA290" s="582"/>
      <c r="AB290" s="582"/>
      <c r="AC290" s="582"/>
      <c r="AD290" s="582"/>
      <c r="AE290" s="582"/>
      <c r="AF290" s="582"/>
      <c r="AG290" s="31"/>
      <c r="AH290" s="31"/>
      <c r="AI290" s="31"/>
      <c r="AJ290" s="31"/>
      <c r="AK290" s="31"/>
      <c r="AL290" s="31"/>
      <c r="AM290" s="31"/>
      <c r="AN290" s="582"/>
      <c r="AO290" s="582"/>
      <c r="AP290" s="491">
        <v>0.5</v>
      </c>
      <c r="AQ290" s="582"/>
      <c r="AR290" s="582"/>
      <c r="AS290" s="582"/>
      <c r="AT290" s="582"/>
      <c r="AU290" s="582"/>
      <c r="AV290" s="31"/>
      <c r="AW290" s="31"/>
      <c r="AX290" s="31"/>
      <c r="AY290" s="31"/>
      <c r="AZ290" s="31"/>
      <c r="BA290" s="31"/>
      <c r="BB290" s="31"/>
      <c r="BC290" s="31"/>
      <c r="BD290" s="32"/>
      <c r="BE290" s="32"/>
      <c r="BF290" s="32"/>
      <c r="BG290" s="32"/>
      <c r="BH290" s="32"/>
      <c r="BI290" s="32"/>
      <c r="BJ290" s="32"/>
      <c r="BK290" s="32"/>
    </row>
    <row r="291" spans="1:63" ht="52.5" customHeight="1" x14ac:dyDescent="0.25">
      <c r="A291" s="373" t="s">
        <v>800</v>
      </c>
      <c r="B291" s="299" t="s">
        <v>801</v>
      </c>
      <c r="C291" s="1547"/>
      <c r="D291" s="1551"/>
      <c r="E291" s="1551"/>
      <c r="F291" s="1551"/>
      <c r="G291" s="1551"/>
      <c r="H291" s="1551"/>
      <c r="I291" s="476"/>
      <c r="J291" s="476"/>
      <c r="K291" s="1428" t="s">
        <v>885</v>
      </c>
      <c r="L291" s="301" t="s">
        <v>883</v>
      </c>
      <c r="M291" s="1425" t="s">
        <v>45</v>
      </c>
      <c r="N291" s="476" t="s">
        <v>46</v>
      </c>
      <c r="O291" s="1425" t="s">
        <v>47</v>
      </c>
      <c r="P291" s="16" t="s">
        <v>886</v>
      </c>
      <c r="Q291" s="302" t="s">
        <v>887</v>
      </c>
      <c r="R291" s="303">
        <v>2015</v>
      </c>
      <c r="S291" s="303">
        <v>0</v>
      </c>
      <c r="T291" s="303">
        <v>0</v>
      </c>
      <c r="U291" s="303">
        <v>1</v>
      </c>
      <c r="V291" s="303">
        <v>0</v>
      </c>
      <c r="W291" s="303">
        <v>0</v>
      </c>
      <c r="X291" s="572">
        <v>1</v>
      </c>
      <c r="Y291" s="582"/>
      <c r="Z291" s="582"/>
      <c r="AA291" s="582"/>
      <c r="AB291" s="582"/>
      <c r="AC291" s="582"/>
      <c r="AD291" s="582"/>
      <c r="AE291" s="582"/>
      <c r="AF291" s="582"/>
      <c r="AG291" s="31"/>
      <c r="AH291" s="31"/>
      <c r="AI291" s="491">
        <v>0.5</v>
      </c>
      <c r="AJ291" s="31"/>
      <c r="AK291" s="31"/>
      <c r="AL291" s="31"/>
      <c r="AM291" s="31">
        <f>SUM(AG291:AL291)</f>
        <v>0.5</v>
      </c>
      <c r="AN291" s="582"/>
      <c r="AO291" s="582"/>
      <c r="AP291" s="582"/>
      <c r="AQ291" s="582"/>
      <c r="AR291" s="582"/>
      <c r="AS291" s="582"/>
      <c r="AT291" s="582"/>
      <c r="AU291" s="582"/>
      <c r="AV291" s="31"/>
      <c r="AW291" s="31"/>
      <c r="AX291" s="31"/>
      <c r="AY291" s="31"/>
      <c r="AZ291" s="31"/>
      <c r="BA291" s="31"/>
      <c r="BB291" s="31"/>
      <c r="BC291" s="31"/>
      <c r="BD291" s="32"/>
      <c r="BE291" s="32"/>
      <c r="BF291" s="32"/>
      <c r="BG291" s="32"/>
      <c r="BH291" s="32"/>
      <c r="BI291" s="32"/>
      <c r="BJ291" s="32"/>
      <c r="BK291" s="32"/>
    </row>
    <row r="292" spans="1:63" ht="47.25" customHeight="1" x14ac:dyDescent="0.25">
      <c r="A292" s="298" t="s">
        <v>800</v>
      </c>
      <c r="B292" s="299" t="s">
        <v>801</v>
      </c>
      <c r="C292" s="1547"/>
      <c r="D292" s="1551"/>
      <c r="E292" s="1551"/>
      <c r="F292" s="1551"/>
      <c r="G292" s="1551"/>
      <c r="H292" s="1551"/>
      <c r="I292" s="1425"/>
      <c r="J292" s="1425"/>
      <c r="K292" s="1428" t="s">
        <v>888</v>
      </c>
      <c r="L292" s="301" t="s">
        <v>883</v>
      </c>
      <c r="M292" s="1425" t="s">
        <v>45</v>
      </c>
      <c r="N292" s="476" t="s">
        <v>46</v>
      </c>
      <c r="O292" s="1425" t="s">
        <v>47</v>
      </c>
      <c r="P292" s="16" t="s">
        <v>889</v>
      </c>
      <c r="Q292" s="302" t="s">
        <v>890</v>
      </c>
      <c r="R292" s="303">
        <v>2015</v>
      </c>
      <c r="S292" s="303">
        <v>0</v>
      </c>
      <c r="T292" s="303">
        <v>0</v>
      </c>
      <c r="U292" s="303">
        <v>0</v>
      </c>
      <c r="V292" s="303">
        <v>1</v>
      </c>
      <c r="W292" s="303">
        <v>0</v>
      </c>
      <c r="X292" s="572">
        <v>1</v>
      </c>
      <c r="Y292" s="481"/>
      <c r="Z292" s="481"/>
      <c r="AA292" s="481"/>
      <c r="AB292" s="481"/>
      <c r="AC292" s="481"/>
      <c r="AD292" s="481"/>
      <c r="AE292" s="481"/>
      <c r="AF292" s="481">
        <f>SUM(Y292:AE292)</f>
        <v>0</v>
      </c>
      <c r="AG292" s="548"/>
      <c r="AH292" s="548"/>
      <c r="AI292" s="548"/>
      <c r="AJ292" s="548"/>
      <c r="AK292" s="548"/>
      <c r="AL292" s="548"/>
      <c r="AM292" s="548">
        <f>SUM(AG292:AL292)</f>
        <v>0</v>
      </c>
      <c r="AN292" s="481"/>
      <c r="AO292" s="481"/>
      <c r="AP292" s="491">
        <v>0.3</v>
      </c>
      <c r="AQ292" s="481"/>
      <c r="AR292" s="481"/>
      <c r="AS292" s="481"/>
      <c r="AT292" s="481"/>
      <c r="AU292" s="481">
        <f>SUM(AN292:AT292)</f>
        <v>0.3</v>
      </c>
      <c r="AV292" s="548"/>
      <c r="AW292" s="548"/>
      <c r="AX292" s="548"/>
      <c r="AY292" s="548"/>
      <c r="AZ292" s="548"/>
      <c r="BA292" s="548"/>
      <c r="BB292" s="548"/>
      <c r="BC292" s="548">
        <f>SUM(AV292:BB292)</f>
        <v>0</v>
      </c>
      <c r="BD292" s="42">
        <f>+AV292+AN292+AG292+Y292</f>
        <v>0</v>
      </c>
      <c r="BE292" s="42">
        <f>+AW292+AO292+AH292+Z292</f>
        <v>0</v>
      </c>
      <c r="BF292" s="42">
        <f>+AX292+AP292+AI292+AA292</f>
        <v>0.3</v>
      </c>
      <c r="BG292" s="42">
        <f>+AY292+AQ292+AJ292+AB292</f>
        <v>0</v>
      </c>
      <c r="BH292" s="42">
        <f>+AZ292+AR292+AK292+AC292</f>
        <v>0</v>
      </c>
      <c r="BI292" s="42">
        <f>+AD292+AS292+BA292</f>
        <v>0</v>
      </c>
      <c r="BJ292" s="42">
        <f>+BB292+AT292+AL292+AE292</f>
        <v>0</v>
      </c>
      <c r="BK292" s="42">
        <f>+BC292+AU292+AM292+AF292</f>
        <v>0.3</v>
      </c>
    </row>
    <row r="293" spans="1:63" ht="49.5" customHeight="1" x14ac:dyDescent="0.25">
      <c r="A293" s="373" t="s">
        <v>800</v>
      </c>
      <c r="B293" s="299" t="s">
        <v>801</v>
      </c>
      <c r="C293" s="1547"/>
      <c r="D293" s="1552"/>
      <c r="E293" s="1552"/>
      <c r="F293" s="1552"/>
      <c r="G293" s="1552"/>
      <c r="H293" s="1552"/>
      <c r="I293" s="476"/>
      <c r="J293" s="476"/>
      <c r="K293" s="1428" t="s">
        <v>891</v>
      </c>
      <c r="L293" s="301" t="s">
        <v>883</v>
      </c>
      <c r="M293" s="1425" t="s">
        <v>45</v>
      </c>
      <c r="N293" s="476" t="s">
        <v>46</v>
      </c>
      <c r="O293" s="1425" t="s">
        <v>47</v>
      </c>
      <c r="P293" s="16" t="s">
        <v>892</v>
      </c>
      <c r="Q293" s="302" t="s">
        <v>893</v>
      </c>
      <c r="R293" s="303">
        <v>2015</v>
      </c>
      <c r="S293" s="303">
        <v>0</v>
      </c>
      <c r="T293" s="303">
        <v>0</v>
      </c>
      <c r="U293" s="303">
        <v>1</v>
      </c>
      <c r="V293" s="303">
        <v>1</v>
      </c>
      <c r="W293" s="303">
        <v>2</v>
      </c>
      <c r="X293" s="572">
        <v>4</v>
      </c>
      <c r="Y293" s="582"/>
      <c r="Z293" s="582"/>
      <c r="AA293" s="582"/>
      <c r="AB293" s="582"/>
      <c r="AC293" s="582"/>
      <c r="AD293" s="582"/>
      <c r="AE293" s="582"/>
      <c r="AF293" s="582"/>
      <c r="AG293" s="31"/>
      <c r="AH293" s="31"/>
      <c r="AI293" s="491">
        <v>0.5</v>
      </c>
      <c r="AJ293" s="31"/>
      <c r="AK293" s="31"/>
      <c r="AL293" s="31"/>
      <c r="AM293" s="31">
        <f>SUM(AG293:AL293)</f>
        <v>0.5</v>
      </c>
      <c r="AN293" s="582"/>
      <c r="AO293" s="582"/>
      <c r="AP293" s="582">
        <v>0.2</v>
      </c>
      <c r="AQ293" s="582"/>
      <c r="AR293" s="582"/>
      <c r="AS293" s="582"/>
      <c r="AT293" s="582"/>
      <c r="AU293" s="582"/>
      <c r="AV293" s="31"/>
      <c r="AW293" s="31"/>
      <c r="AX293" s="491">
        <v>0.5</v>
      </c>
      <c r="AY293" s="31"/>
      <c r="AZ293" s="31"/>
      <c r="BA293" s="31"/>
      <c r="BB293" s="31"/>
      <c r="BC293" s="31"/>
      <c r="BD293" s="32"/>
      <c r="BE293" s="32"/>
      <c r="BF293" s="32"/>
      <c r="BG293" s="32"/>
      <c r="BH293" s="32"/>
      <c r="BI293" s="32"/>
      <c r="BJ293" s="32"/>
      <c r="BK293" s="32"/>
    </row>
    <row r="294" spans="1:63" ht="3.75" customHeight="1" x14ac:dyDescent="0.2">
      <c r="A294" s="151"/>
      <c r="B294" s="7" t="s">
        <v>894</v>
      </c>
      <c r="C294" s="7"/>
      <c r="D294" s="1442"/>
      <c r="E294" s="1442"/>
      <c r="F294" s="1442"/>
      <c r="G294" s="1442"/>
      <c r="H294" s="1442"/>
      <c r="I294" s="1442"/>
      <c r="J294" s="1442"/>
      <c r="K294" s="1442"/>
      <c r="L294" s="1442"/>
      <c r="M294" s="1442"/>
      <c r="N294" s="11"/>
      <c r="O294" s="1442"/>
      <c r="P294" s="1440"/>
      <c r="Q294" s="1440"/>
      <c r="R294" s="1442"/>
      <c r="S294" s="1442"/>
      <c r="T294" s="1442"/>
      <c r="U294" s="63"/>
      <c r="V294" s="63"/>
      <c r="W294" s="63"/>
      <c r="X294" s="63"/>
      <c r="Y294" s="42">
        <v>55</v>
      </c>
      <c r="Z294" s="42"/>
      <c r="AA294" s="42">
        <v>111</v>
      </c>
      <c r="AB294" s="42"/>
      <c r="AC294" s="42"/>
      <c r="AD294" s="42">
        <v>79.7</v>
      </c>
      <c r="AE294" s="42"/>
      <c r="AF294" s="42"/>
      <c r="AG294" s="42">
        <f>+Y294*1.04</f>
        <v>57.2</v>
      </c>
      <c r="AH294" s="42"/>
      <c r="AI294" s="42">
        <f>+AA294*1.04</f>
        <v>115.44</v>
      </c>
      <c r="AJ294" s="42"/>
      <c r="AK294" s="42"/>
      <c r="AL294" s="42"/>
      <c r="AM294" s="42"/>
      <c r="AN294" s="42">
        <f>+AG294*1.04</f>
        <v>59.488000000000007</v>
      </c>
      <c r="AO294" s="42"/>
      <c r="AP294" s="42">
        <f>+AI294*1.04</f>
        <v>120.05760000000001</v>
      </c>
      <c r="AQ294" s="42"/>
      <c r="AR294" s="42"/>
      <c r="AS294" s="42"/>
      <c r="AT294" s="42"/>
      <c r="AU294" s="42"/>
      <c r="AV294" s="42">
        <f>+AN294*1.04</f>
        <v>61.867520000000006</v>
      </c>
      <c r="AW294" s="42"/>
      <c r="AX294" s="42">
        <f>+AP294*1.04</f>
        <v>124.85990400000001</v>
      </c>
      <c r="AY294" s="42"/>
      <c r="AZ294" s="42"/>
      <c r="BA294" s="42"/>
      <c r="BB294" s="42"/>
      <c r="BC294" s="42"/>
      <c r="BD294" s="42">
        <f t="shared" si="172"/>
        <v>233.55552</v>
      </c>
      <c r="BE294" s="42">
        <f t="shared" si="172"/>
        <v>0</v>
      </c>
      <c r="BF294" s="42">
        <f t="shared" si="172"/>
        <v>471.35750400000001</v>
      </c>
      <c r="BG294" s="42">
        <f t="shared" si="172"/>
        <v>0</v>
      </c>
      <c r="BH294" s="42">
        <f t="shared" si="172"/>
        <v>0</v>
      </c>
      <c r="BI294" s="42">
        <f t="shared" si="167"/>
        <v>79.7</v>
      </c>
      <c r="BJ294" s="42">
        <f t="shared" si="173"/>
        <v>0</v>
      </c>
      <c r="BK294" s="42">
        <f t="shared" si="173"/>
        <v>0</v>
      </c>
    </row>
    <row r="295" spans="1:63" ht="20.25" x14ac:dyDescent="0.2">
      <c r="A295" s="290"/>
      <c r="B295" s="1565" t="s">
        <v>894</v>
      </c>
      <c r="C295" s="1566"/>
      <c r="D295" s="1566"/>
      <c r="E295" s="1566"/>
      <c r="F295" s="1566"/>
      <c r="G295" s="1566"/>
      <c r="H295" s="1566"/>
      <c r="I295" s="1566"/>
      <c r="J295" s="1566"/>
      <c r="K295" s="1566"/>
      <c r="L295" s="1566"/>
      <c r="M295" s="1567"/>
      <c r="N295" s="597"/>
      <c r="O295" s="597"/>
      <c r="P295" s="598"/>
      <c r="Q295" s="598"/>
      <c r="R295" s="597"/>
      <c r="S295" s="597"/>
      <c r="T295" s="597"/>
      <c r="U295" s="599"/>
      <c r="V295" s="599"/>
      <c r="W295" s="599"/>
      <c r="X295" s="599"/>
      <c r="Y295" s="600">
        <f>+Y296</f>
        <v>50</v>
      </c>
      <c r="Z295" s="600">
        <f t="shared" ref="Z295:AE295" si="176">+Z296</f>
        <v>0</v>
      </c>
      <c r="AA295" s="600">
        <f t="shared" si="176"/>
        <v>111</v>
      </c>
      <c r="AB295" s="600">
        <f t="shared" si="176"/>
        <v>0</v>
      </c>
      <c r="AC295" s="600">
        <f t="shared" si="176"/>
        <v>0</v>
      </c>
      <c r="AD295" s="600">
        <f t="shared" si="176"/>
        <v>79.7</v>
      </c>
      <c r="AE295" s="600">
        <f t="shared" si="176"/>
        <v>0</v>
      </c>
      <c r="AF295" s="600">
        <f t="shared" ref="AF295:AF305" si="177">SUM(Y295:AE295)</f>
        <v>240.7</v>
      </c>
      <c r="AG295" s="600">
        <f t="shared" ref="AG295:AL295" si="178">+AG296</f>
        <v>70</v>
      </c>
      <c r="AH295" s="600">
        <f t="shared" si="178"/>
        <v>0</v>
      </c>
      <c r="AI295" s="600">
        <f t="shared" si="178"/>
        <v>103</v>
      </c>
      <c r="AJ295" s="600">
        <f t="shared" si="178"/>
        <v>100</v>
      </c>
      <c r="AK295" s="600">
        <f t="shared" si="178"/>
        <v>0</v>
      </c>
      <c r="AL295" s="600">
        <f t="shared" si="178"/>
        <v>200</v>
      </c>
      <c r="AM295" s="600">
        <f t="shared" ref="AM295:AM304" si="179">SUM(AG295:AL295)</f>
        <v>473</v>
      </c>
      <c r="AN295" s="600">
        <f t="shared" ref="AN295:AT295" si="180">+AN296</f>
        <v>81</v>
      </c>
      <c r="AO295" s="600">
        <f t="shared" si="180"/>
        <v>0</v>
      </c>
      <c r="AP295" s="600">
        <f t="shared" si="180"/>
        <v>120</v>
      </c>
      <c r="AQ295" s="600">
        <f t="shared" si="180"/>
        <v>200</v>
      </c>
      <c r="AR295" s="600">
        <f t="shared" si="180"/>
        <v>0</v>
      </c>
      <c r="AS295" s="600">
        <f t="shared" si="180"/>
        <v>0</v>
      </c>
      <c r="AT295" s="600">
        <f t="shared" si="180"/>
        <v>0</v>
      </c>
      <c r="AU295" s="600">
        <f t="shared" ref="AU295:AU329" si="181">SUM(AN295:AT295)</f>
        <v>401</v>
      </c>
      <c r="AV295" s="600">
        <f t="shared" ref="AV295:BB295" si="182">+AV296</f>
        <v>112</v>
      </c>
      <c r="AW295" s="600">
        <f t="shared" si="182"/>
        <v>0</v>
      </c>
      <c r="AX295" s="600">
        <f t="shared" si="182"/>
        <v>125</v>
      </c>
      <c r="AY295" s="600">
        <f t="shared" si="182"/>
        <v>0</v>
      </c>
      <c r="AZ295" s="600">
        <f t="shared" si="182"/>
        <v>0</v>
      </c>
      <c r="BA295" s="600">
        <f t="shared" si="182"/>
        <v>0</v>
      </c>
      <c r="BB295" s="600">
        <f t="shared" si="182"/>
        <v>0</v>
      </c>
      <c r="BC295" s="600">
        <f t="shared" ref="BC295:BC329" si="183">SUM(AV295:BB295)</f>
        <v>237</v>
      </c>
      <c r="BD295" s="33">
        <f t="shared" si="172"/>
        <v>313</v>
      </c>
      <c r="BE295" s="33">
        <f t="shared" si="172"/>
        <v>0</v>
      </c>
      <c r="BF295" s="33">
        <f t="shared" si="172"/>
        <v>459</v>
      </c>
      <c r="BG295" s="33">
        <f t="shared" si="172"/>
        <v>300</v>
      </c>
      <c r="BH295" s="33">
        <f t="shared" si="172"/>
        <v>0</v>
      </c>
      <c r="BI295" s="33">
        <f t="shared" si="167"/>
        <v>79.7</v>
      </c>
      <c r="BJ295" s="33">
        <f t="shared" si="173"/>
        <v>200</v>
      </c>
      <c r="BK295" s="33">
        <f t="shared" si="173"/>
        <v>1351.7</v>
      </c>
    </row>
    <row r="296" spans="1:63" ht="12.75" x14ac:dyDescent="0.2">
      <c r="A296" s="296"/>
      <c r="B296" s="154" t="s">
        <v>894</v>
      </c>
      <c r="C296" s="6"/>
      <c r="D296" s="2" t="s">
        <v>895</v>
      </c>
      <c r="E296" s="1"/>
      <c r="F296" s="1"/>
      <c r="G296" s="1"/>
      <c r="H296" s="1"/>
      <c r="I296" s="1"/>
      <c r="J296" s="1"/>
      <c r="K296" s="1"/>
      <c r="L296" s="1"/>
      <c r="M296" s="1"/>
      <c r="N296" s="1"/>
      <c r="O296" s="1"/>
      <c r="P296" s="22"/>
      <c r="Q296" s="22"/>
      <c r="R296" s="1"/>
      <c r="S296" s="1"/>
      <c r="T296" s="1"/>
      <c r="U296" s="49"/>
      <c r="V296" s="49"/>
      <c r="W296" s="49"/>
      <c r="X296" s="49"/>
      <c r="Y296" s="34">
        <f t="shared" ref="Y296:AE296" si="184">SUM(Y297:Y329)</f>
        <v>50</v>
      </c>
      <c r="Z296" s="34">
        <f t="shared" si="184"/>
        <v>0</v>
      </c>
      <c r="AA296" s="34">
        <f t="shared" si="184"/>
        <v>111</v>
      </c>
      <c r="AB296" s="34">
        <f t="shared" si="184"/>
        <v>0</v>
      </c>
      <c r="AC296" s="34">
        <f t="shared" si="184"/>
        <v>0</v>
      </c>
      <c r="AD296" s="34">
        <f t="shared" si="184"/>
        <v>79.7</v>
      </c>
      <c r="AE296" s="34">
        <f t="shared" si="184"/>
        <v>0</v>
      </c>
      <c r="AF296" s="34">
        <f t="shared" si="177"/>
        <v>240.7</v>
      </c>
      <c r="AG296" s="34">
        <f t="shared" ref="AG296:AL296" si="185">SUM(AG297:AG329)</f>
        <v>70</v>
      </c>
      <c r="AH296" s="34">
        <f t="shared" si="185"/>
        <v>0</v>
      </c>
      <c r="AI296" s="34">
        <f t="shared" si="185"/>
        <v>103</v>
      </c>
      <c r="AJ296" s="34">
        <f t="shared" si="185"/>
        <v>100</v>
      </c>
      <c r="AK296" s="34">
        <f t="shared" si="185"/>
        <v>0</v>
      </c>
      <c r="AL296" s="34">
        <f t="shared" si="185"/>
        <v>200</v>
      </c>
      <c r="AM296" s="34">
        <f t="shared" si="179"/>
        <v>473</v>
      </c>
      <c r="AN296" s="34">
        <f t="shared" ref="AN296:AT296" si="186">SUM(AN297:AN329)</f>
        <v>81</v>
      </c>
      <c r="AO296" s="34">
        <f t="shared" si="186"/>
        <v>0</v>
      </c>
      <c r="AP296" s="34">
        <f t="shared" si="186"/>
        <v>120</v>
      </c>
      <c r="AQ296" s="34">
        <f t="shared" si="186"/>
        <v>200</v>
      </c>
      <c r="AR296" s="34">
        <f t="shared" si="186"/>
        <v>0</v>
      </c>
      <c r="AS296" s="34">
        <f t="shared" si="186"/>
        <v>0</v>
      </c>
      <c r="AT296" s="34">
        <f t="shared" si="186"/>
        <v>0</v>
      </c>
      <c r="AU296" s="34">
        <f t="shared" si="181"/>
        <v>401</v>
      </c>
      <c r="AV296" s="34">
        <f t="shared" ref="AV296:BB296" si="187">SUM(AV297:AV329)</f>
        <v>112</v>
      </c>
      <c r="AW296" s="34">
        <f t="shared" si="187"/>
        <v>0</v>
      </c>
      <c r="AX296" s="34">
        <f t="shared" si="187"/>
        <v>125</v>
      </c>
      <c r="AY296" s="34">
        <f t="shared" si="187"/>
        <v>0</v>
      </c>
      <c r="AZ296" s="34">
        <f t="shared" si="187"/>
        <v>0</v>
      </c>
      <c r="BA296" s="34">
        <f t="shared" si="187"/>
        <v>0</v>
      </c>
      <c r="BB296" s="34">
        <f t="shared" si="187"/>
        <v>0</v>
      </c>
      <c r="BC296" s="34">
        <f t="shared" si="183"/>
        <v>237</v>
      </c>
      <c r="BD296" s="34">
        <f t="shared" si="172"/>
        <v>313</v>
      </c>
      <c r="BE296" s="34">
        <f t="shared" si="172"/>
        <v>0</v>
      </c>
      <c r="BF296" s="34">
        <f t="shared" si="172"/>
        <v>459</v>
      </c>
      <c r="BG296" s="34">
        <f t="shared" si="172"/>
        <v>300</v>
      </c>
      <c r="BH296" s="34">
        <f t="shared" si="172"/>
        <v>0</v>
      </c>
      <c r="BI296" s="34">
        <f t="shared" si="167"/>
        <v>79.7</v>
      </c>
      <c r="BJ296" s="34">
        <f t="shared" si="173"/>
        <v>200</v>
      </c>
      <c r="BK296" s="34">
        <f t="shared" si="173"/>
        <v>1351.7</v>
      </c>
    </row>
    <row r="297" spans="1:63" ht="28.5" customHeight="1" x14ac:dyDescent="0.25">
      <c r="A297" s="298" t="s">
        <v>896</v>
      </c>
      <c r="B297" s="299" t="s">
        <v>894</v>
      </c>
      <c r="C297" s="1546" t="s">
        <v>897</v>
      </c>
      <c r="D297" s="1549" t="s">
        <v>898</v>
      </c>
      <c r="E297" s="1549" t="s">
        <v>899</v>
      </c>
      <c r="F297" s="1549">
        <v>2015</v>
      </c>
      <c r="G297" s="1562">
        <v>3803</v>
      </c>
      <c r="H297" s="1562">
        <v>4200</v>
      </c>
      <c r="I297" s="1428" t="s">
        <v>53</v>
      </c>
      <c r="J297" s="1428"/>
      <c r="K297" s="1428" t="s">
        <v>900</v>
      </c>
      <c r="L297" s="301" t="s">
        <v>901</v>
      </c>
      <c r="M297" s="1425" t="s">
        <v>902</v>
      </c>
      <c r="N297" s="476" t="s">
        <v>903</v>
      </c>
      <c r="O297" s="1425" t="s">
        <v>73</v>
      </c>
      <c r="P297" s="16" t="s">
        <v>904</v>
      </c>
      <c r="Q297" s="302" t="s">
        <v>905</v>
      </c>
      <c r="R297" s="303">
        <v>2015</v>
      </c>
      <c r="S297" s="303">
        <v>0</v>
      </c>
      <c r="T297" s="303">
        <v>0</v>
      </c>
      <c r="U297" s="572">
        <v>0</v>
      </c>
      <c r="V297" s="572">
        <v>1</v>
      </c>
      <c r="W297" s="572">
        <v>1</v>
      </c>
      <c r="X297" s="572">
        <v>1</v>
      </c>
      <c r="Y297" s="481"/>
      <c r="Z297" s="481"/>
      <c r="AA297" s="481"/>
      <c r="AB297" s="481"/>
      <c r="AC297" s="481"/>
      <c r="AD297" s="481"/>
      <c r="AE297" s="481"/>
      <c r="AF297" s="481">
        <f t="shared" si="177"/>
        <v>0</v>
      </c>
      <c r="AG297" s="42"/>
      <c r="AH297" s="548"/>
      <c r="AI297" s="548"/>
      <c r="AJ297" s="588"/>
      <c r="AK297" s="548"/>
      <c r="AL297" s="548"/>
      <c r="AM297" s="548">
        <f t="shared" si="179"/>
        <v>0</v>
      </c>
      <c r="AN297" s="481"/>
      <c r="AO297" s="481"/>
      <c r="AP297" s="481"/>
      <c r="AQ297" s="481">
        <v>200</v>
      </c>
      <c r="AR297" s="481"/>
      <c r="AS297" s="481"/>
      <c r="AT297" s="481"/>
      <c r="AU297" s="481">
        <f t="shared" si="181"/>
        <v>200</v>
      </c>
      <c r="AV297" s="491">
        <v>3</v>
      </c>
      <c r="AW297" s="548"/>
      <c r="AX297" s="548"/>
      <c r="AY297" s="588"/>
      <c r="AZ297" s="548"/>
      <c r="BA297" s="548"/>
      <c r="BB297" s="548"/>
      <c r="BC297" s="548">
        <f t="shared" si="183"/>
        <v>3</v>
      </c>
      <c r="BD297" s="42">
        <f t="shared" si="172"/>
        <v>3</v>
      </c>
      <c r="BE297" s="42">
        <f t="shared" si="172"/>
        <v>0</v>
      </c>
      <c r="BF297" s="42">
        <f t="shared" si="172"/>
        <v>0</v>
      </c>
      <c r="BG297" s="29">
        <f t="shared" si="172"/>
        <v>200</v>
      </c>
      <c r="BH297" s="42">
        <f t="shared" si="172"/>
        <v>0</v>
      </c>
      <c r="BI297" s="42">
        <f t="shared" si="167"/>
        <v>0</v>
      </c>
      <c r="BJ297" s="42">
        <f t="shared" si="173"/>
        <v>0</v>
      </c>
      <c r="BK297" s="42">
        <f t="shared" si="173"/>
        <v>203</v>
      </c>
    </row>
    <row r="298" spans="1:63" ht="50.25" customHeight="1" x14ac:dyDescent="0.25">
      <c r="A298" s="298" t="s">
        <v>896</v>
      </c>
      <c r="B298" s="299" t="s">
        <v>894</v>
      </c>
      <c r="C298" s="1547"/>
      <c r="D298" s="1549"/>
      <c r="E298" s="1549"/>
      <c r="F298" s="1549"/>
      <c r="G298" s="1549"/>
      <c r="H298" s="1549"/>
      <c r="I298" s="1425"/>
      <c r="J298" s="1425"/>
      <c r="K298" s="1428" t="s">
        <v>906</v>
      </c>
      <c r="L298" s="301" t="s">
        <v>901</v>
      </c>
      <c r="M298" s="1425" t="s">
        <v>902</v>
      </c>
      <c r="N298" s="476" t="s">
        <v>903</v>
      </c>
      <c r="O298" s="1425" t="s">
        <v>47</v>
      </c>
      <c r="P298" s="16" t="s">
        <v>907</v>
      </c>
      <c r="Q298" s="302" t="s">
        <v>908</v>
      </c>
      <c r="R298" s="303">
        <v>2015</v>
      </c>
      <c r="S298" s="303">
        <v>0</v>
      </c>
      <c r="T298" s="303">
        <v>0</v>
      </c>
      <c r="U298" s="572">
        <v>5</v>
      </c>
      <c r="V298" s="572">
        <v>10</v>
      </c>
      <c r="W298" s="572">
        <v>14</v>
      </c>
      <c r="X298" s="572">
        <v>14</v>
      </c>
      <c r="Y298" s="481"/>
      <c r="Z298" s="481"/>
      <c r="AA298" s="481"/>
      <c r="AB298" s="481"/>
      <c r="AC298" s="481"/>
      <c r="AD298" s="481"/>
      <c r="AE298" s="481"/>
      <c r="AF298" s="481">
        <f t="shared" si="177"/>
        <v>0</v>
      </c>
      <c r="AG298" s="491">
        <v>2</v>
      </c>
      <c r="AH298" s="548"/>
      <c r="AI298" s="548">
        <v>10</v>
      </c>
      <c r="AJ298" s="548"/>
      <c r="AK298" s="548"/>
      <c r="AL298" s="548"/>
      <c r="AM298" s="548">
        <f t="shared" si="179"/>
        <v>12</v>
      </c>
      <c r="AN298" s="491">
        <v>2</v>
      </c>
      <c r="AO298" s="481"/>
      <c r="AP298" s="481"/>
      <c r="AQ298" s="481"/>
      <c r="AR298" s="481"/>
      <c r="AS298" s="481"/>
      <c r="AT298" s="481"/>
      <c r="AU298" s="481">
        <f t="shared" si="181"/>
        <v>2</v>
      </c>
      <c r="AV298" s="491">
        <v>3</v>
      </c>
      <c r="AW298" s="548"/>
      <c r="AX298" s="548"/>
      <c r="AY298" s="548"/>
      <c r="AZ298" s="548"/>
      <c r="BA298" s="548"/>
      <c r="BB298" s="548"/>
      <c r="BC298" s="548">
        <f t="shared" si="183"/>
        <v>3</v>
      </c>
      <c r="BD298" s="42">
        <f t="shared" si="172"/>
        <v>7</v>
      </c>
      <c r="BE298" s="42">
        <f t="shared" si="172"/>
        <v>0</v>
      </c>
      <c r="BF298" s="42">
        <f t="shared" si="172"/>
        <v>10</v>
      </c>
      <c r="BG298" s="42">
        <f t="shared" si="172"/>
        <v>0</v>
      </c>
      <c r="BH298" s="42">
        <f t="shared" si="172"/>
        <v>0</v>
      </c>
      <c r="BI298" s="42">
        <f t="shared" si="167"/>
        <v>0</v>
      </c>
      <c r="BJ298" s="42">
        <f t="shared" si="173"/>
        <v>0</v>
      </c>
      <c r="BK298" s="42">
        <f t="shared" si="173"/>
        <v>17</v>
      </c>
    </row>
    <row r="299" spans="1:63" ht="56.25" customHeight="1" x14ac:dyDescent="0.25">
      <c r="A299" s="298" t="s">
        <v>896</v>
      </c>
      <c r="B299" s="299" t="s">
        <v>894</v>
      </c>
      <c r="C299" s="1547"/>
      <c r="D299" s="1549"/>
      <c r="E299" s="1549"/>
      <c r="F299" s="1549"/>
      <c r="G299" s="1549"/>
      <c r="H299" s="1549"/>
      <c r="I299" s="1425"/>
      <c r="J299" s="1425"/>
      <c r="K299" s="1428" t="s">
        <v>909</v>
      </c>
      <c r="L299" s="301" t="s">
        <v>901</v>
      </c>
      <c r="M299" s="1425" t="s">
        <v>902</v>
      </c>
      <c r="N299" s="476" t="s">
        <v>903</v>
      </c>
      <c r="O299" s="1425" t="s">
        <v>47</v>
      </c>
      <c r="P299" s="16" t="s">
        <v>910</v>
      </c>
      <c r="Q299" s="302" t="s">
        <v>911</v>
      </c>
      <c r="R299" s="303">
        <v>2015</v>
      </c>
      <c r="S299" s="303">
        <v>0</v>
      </c>
      <c r="T299" s="303">
        <v>0</v>
      </c>
      <c r="U299" s="572">
        <v>1</v>
      </c>
      <c r="V299" s="572">
        <v>2</v>
      </c>
      <c r="W299" s="572">
        <v>3</v>
      </c>
      <c r="X299" s="572">
        <v>3</v>
      </c>
      <c r="Y299" s="481"/>
      <c r="Z299" s="481"/>
      <c r="AA299" s="481"/>
      <c r="AB299" s="481"/>
      <c r="AC299" s="481"/>
      <c r="AD299" s="481"/>
      <c r="AE299" s="481"/>
      <c r="AF299" s="481">
        <f t="shared" si="177"/>
        <v>0</v>
      </c>
      <c r="AG299" s="491">
        <v>2</v>
      </c>
      <c r="AH299" s="548"/>
      <c r="AI299" s="716"/>
      <c r="AJ299" s="548"/>
      <c r="AK299" s="548"/>
      <c r="AL299" s="548"/>
      <c r="AM299" s="548">
        <f t="shared" si="179"/>
        <v>2</v>
      </c>
      <c r="AN299" s="491">
        <v>2</v>
      </c>
      <c r="AO299" s="481"/>
      <c r="AP299" s="481"/>
      <c r="AQ299" s="481"/>
      <c r="AR299" s="481"/>
      <c r="AS299" s="481"/>
      <c r="AT299" s="481"/>
      <c r="AU299" s="481">
        <f t="shared" si="181"/>
        <v>2</v>
      </c>
      <c r="AV299" s="491">
        <v>3</v>
      </c>
      <c r="AW299" s="548"/>
      <c r="AX299" s="548"/>
      <c r="AY299" s="548"/>
      <c r="AZ299" s="548"/>
      <c r="BA299" s="548"/>
      <c r="BB299" s="548"/>
      <c r="BC299" s="548">
        <f t="shared" si="183"/>
        <v>3</v>
      </c>
      <c r="BD299" s="42">
        <f t="shared" si="172"/>
        <v>7</v>
      </c>
      <c r="BE299" s="42">
        <f t="shared" si="172"/>
        <v>0</v>
      </c>
      <c r="BF299" s="42">
        <f t="shared" si="172"/>
        <v>0</v>
      </c>
      <c r="BG299" s="42">
        <f t="shared" si="172"/>
        <v>0</v>
      </c>
      <c r="BH299" s="42">
        <f t="shared" si="172"/>
        <v>0</v>
      </c>
      <c r="BI299" s="42">
        <f t="shared" si="167"/>
        <v>0</v>
      </c>
      <c r="BJ299" s="42">
        <f t="shared" si="173"/>
        <v>0</v>
      </c>
      <c r="BK299" s="42">
        <f t="shared" si="173"/>
        <v>7</v>
      </c>
    </row>
    <row r="300" spans="1:63" ht="33" customHeight="1" x14ac:dyDescent="0.25">
      <c r="A300" s="298" t="s">
        <v>896</v>
      </c>
      <c r="B300" s="299" t="s">
        <v>894</v>
      </c>
      <c r="C300" s="1547"/>
      <c r="D300" s="1549"/>
      <c r="E300" s="1549"/>
      <c r="F300" s="1549"/>
      <c r="G300" s="1549"/>
      <c r="H300" s="1549"/>
      <c r="I300" s="1425"/>
      <c r="J300" s="1425"/>
      <c r="K300" s="1428" t="s">
        <v>912</v>
      </c>
      <c r="L300" s="301" t="s">
        <v>901</v>
      </c>
      <c r="M300" s="1425" t="s">
        <v>902</v>
      </c>
      <c r="N300" s="476" t="s">
        <v>903</v>
      </c>
      <c r="O300" s="1425" t="s">
        <v>47</v>
      </c>
      <c r="P300" s="16" t="s">
        <v>913</v>
      </c>
      <c r="Q300" s="302" t="s">
        <v>914</v>
      </c>
      <c r="R300" s="303">
        <v>2015</v>
      </c>
      <c r="S300" s="303">
        <v>0</v>
      </c>
      <c r="T300" s="303">
        <v>1</v>
      </c>
      <c r="U300" s="572">
        <v>2</v>
      </c>
      <c r="V300" s="572">
        <v>3</v>
      </c>
      <c r="W300" s="572">
        <v>4</v>
      </c>
      <c r="X300" s="572">
        <v>4</v>
      </c>
      <c r="Y300" s="579">
        <v>1</v>
      </c>
      <c r="Z300" s="481"/>
      <c r="AA300" s="481">
        <v>0</v>
      </c>
      <c r="AB300" s="481"/>
      <c r="AC300" s="481"/>
      <c r="AD300" s="481"/>
      <c r="AE300" s="481"/>
      <c r="AF300" s="481">
        <f t="shared" si="177"/>
        <v>1</v>
      </c>
      <c r="AG300" s="42">
        <v>1</v>
      </c>
      <c r="AH300" s="548"/>
      <c r="AI300" s="548"/>
      <c r="AJ300" s="548"/>
      <c r="AK300" s="548"/>
      <c r="AL300" s="548"/>
      <c r="AM300" s="548">
        <f t="shared" si="179"/>
        <v>1</v>
      </c>
      <c r="AN300" s="42">
        <v>1</v>
      </c>
      <c r="AO300" s="481"/>
      <c r="AP300" s="481"/>
      <c r="AQ300" s="481"/>
      <c r="AR300" s="481"/>
      <c r="AS300" s="481"/>
      <c r="AT300" s="481"/>
      <c r="AU300" s="481">
        <f t="shared" si="181"/>
        <v>1</v>
      </c>
      <c r="AV300" s="548">
        <v>1</v>
      </c>
      <c r="AW300" s="548"/>
      <c r="AX300" s="548"/>
      <c r="AY300" s="548"/>
      <c r="AZ300" s="548"/>
      <c r="BA300" s="548"/>
      <c r="BB300" s="548"/>
      <c r="BC300" s="548">
        <f t="shared" si="183"/>
        <v>1</v>
      </c>
      <c r="BD300" s="42">
        <f t="shared" si="172"/>
        <v>4</v>
      </c>
      <c r="BE300" s="42">
        <f t="shared" si="172"/>
        <v>0</v>
      </c>
      <c r="BF300" s="42">
        <f t="shared" si="172"/>
        <v>0</v>
      </c>
      <c r="BG300" s="42">
        <f t="shared" si="172"/>
        <v>0</v>
      </c>
      <c r="BH300" s="42">
        <f t="shared" si="172"/>
        <v>0</v>
      </c>
      <c r="BI300" s="42">
        <f t="shared" si="167"/>
        <v>0</v>
      </c>
      <c r="BJ300" s="42">
        <f t="shared" si="173"/>
        <v>0</v>
      </c>
      <c r="BK300" s="42">
        <f t="shared" si="173"/>
        <v>4</v>
      </c>
    </row>
    <row r="301" spans="1:63" ht="36.75" customHeight="1" x14ac:dyDescent="0.25">
      <c r="A301" s="298" t="s">
        <v>896</v>
      </c>
      <c r="B301" s="299" t="s">
        <v>894</v>
      </c>
      <c r="C301" s="1547"/>
      <c r="D301" s="1549"/>
      <c r="E301" s="1549"/>
      <c r="F301" s="1549"/>
      <c r="G301" s="1549"/>
      <c r="H301" s="1549"/>
      <c r="I301" s="1425"/>
      <c r="J301" s="1425"/>
      <c r="K301" s="1428" t="s">
        <v>915</v>
      </c>
      <c r="L301" s="301" t="s">
        <v>901</v>
      </c>
      <c r="M301" s="1425" t="s">
        <v>902</v>
      </c>
      <c r="N301" s="476" t="s">
        <v>903</v>
      </c>
      <c r="O301" s="1425" t="s">
        <v>47</v>
      </c>
      <c r="P301" s="16" t="s">
        <v>916</v>
      </c>
      <c r="Q301" s="302" t="s">
        <v>917</v>
      </c>
      <c r="R301" s="303">
        <v>2015</v>
      </c>
      <c r="S301" s="303">
        <v>0</v>
      </c>
      <c r="T301" s="303">
        <v>0</v>
      </c>
      <c r="U301" s="572">
        <v>33</v>
      </c>
      <c r="V301" s="572">
        <v>66</v>
      </c>
      <c r="W301" s="572">
        <v>100</v>
      </c>
      <c r="X301" s="572">
        <v>100</v>
      </c>
      <c r="Y301" s="481"/>
      <c r="Z301" s="481"/>
      <c r="AA301" s="481"/>
      <c r="AB301" s="481"/>
      <c r="AC301" s="481"/>
      <c r="AD301" s="481"/>
      <c r="AE301" s="481"/>
      <c r="AF301" s="481">
        <f t="shared" si="177"/>
        <v>0</v>
      </c>
      <c r="AG301" s="491">
        <v>5</v>
      </c>
      <c r="AH301" s="548"/>
      <c r="AI301" s="548"/>
      <c r="AJ301" s="548"/>
      <c r="AK301" s="548"/>
      <c r="AL301" s="548"/>
      <c r="AM301" s="548">
        <f t="shared" si="179"/>
        <v>5</v>
      </c>
      <c r="AN301" s="491">
        <v>5</v>
      </c>
      <c r="AO301" s="481"/>
      <c r="AP301" s="481"/>
      <c r="AQ301" s="481"/>
      <c r="AR301" s="481"/>
      <c r="AS301" s="481"/>
      <c r="AT301" s="481"/>
      <c r="AU301" s="481">
        <f t="shared" si="181"/>
        <v>5</v>
      </c>
      <c r="AV301" s="491">
        <v>7</v>
      </c>
      <c r="AW301" s="548"/>
      <c r="AX301" s="548"/>
      <c r="AY301" s="548"/>
      <c r="AZ301" s="548"/>
      <c r="BA301" s="548"/>
      <c r="BB301" s="548"/>
      <c r="BC301" s="548">
        <f t="shared" si="183"/>
        <v>7</v>
      </c>
      <c r="BD301" s="42">
        <f t="shared" si="172"/>
        <v>17</v>
      </c>
      <c r="BE301" s="42">
        <f t="shared" si="172"/>
        <v>0</v>
      </c>
      <c r="BF301" s="42">
        <f t="shared" si="172"/>
        <v>0</v>
      </c>
      <c r="BG301" s="42">
        <f t="shared" si="172"/>
        <v>0</v>
      </c>
      <c r="BH301" s="42">
        <f t="shared" si="172"/>
        <v>0</v>
      </c>
      <c r="BI301" s="42">
        <f t="shared" si="167"/>
        <v>0</v>
      </c>
      <c r="BJ301" s="42">
        <f t="shared" si="173"/>
        <v>0</v>
      </c>
      <c r="BK301" s="42">
        <f t="shared" si="173"/>
        <v>17</v>
      </c>
    </row>
    <row r="302" spans="1:63" ht="53.25" customHeight="1" x14ac:dyDescent="0.25">
      <c r="A302" s="298" t="s">
        <v>896</v>
      </c>
      <c r="B302" s="299" t="s">
        <v>894</v>
      </c>
      <c r="C302" s="1547"/>
      <c r="D302" s="1549"/>
      <c r="E302" s="1549"/>
      <c r="F302" s="1549"/>
      <c r="G302" s="1549"/>
      <c r="H302" s="1549"/>
      <c r="I302" s="1425"/>
      <c r="J302" s="1425"/>
      <c r="K302" s="1428" t="s">
        <v>918</v>
      </c>
      <c r="L302" s="301" t="s">
        <v>901</v>
      </c>
      <c r="M302" s="1425" t="s">
        <v>902</v>
      </c>
      <c r="N302" s="476" t="s">
        <v>903</v>
      </c>
      <c r="O302" s="1425" t="s">
        <v>73</v>
      </c>
      <c r="P302" s="16" t="s">
        <v>919</v>
      </c>
      <c r="Q302" s="302" t="s">
        <v>194</v>
      </c>
      <c r="R302" s="303">
        <v>2015</v>
      </c>
      <c r="S302" s="303">
        <v>0</v>
      </c>
      <c r="T302" s="303">
        <v>1</v>
      </c>
      <c r="U302" s="572">
        <v>1</v>
      </c>
      <c r="V302" s="572">
        <v>1</v>
      </c>
      <c r="W302" s="572">
        <v>1</v>
      </c>
      <c r="X302" s="572">
        <v>1</v>
      </c>
      <c r="Y302" s="481">
        <v>10</v>
      </c>
      <c r="Z302" s="481"/>
      <c r="AA302" s="481">
        <v>30</v>
      </c>
      <c r="AB302" s="481"/>
      <c r="AC302" s="481"/>
      <c r="AD302" s="481">
        <v>20.7</v>
      </c>
      <c r="AE302" s="481"/>
      <c r="AF302" s="481">
        <f t="shared" si="177"/>
        <v>60.7</v>
      </c>
      <c r="AG302" s="491">
        <v>5</v>
      </c>
      <c r="AH302" s="548"/>
      <c r="AI302" s="548">
        <v>30</v>
      </c>
      <c r="AJ302" s="548"/>
      <c r="AK302" s="548"/>
      <c r="AL302" s="548"/>
      <c r="AM302" s="548">
        <f t="shared" si="179"/>
        <v>35</v>
      </c>
      <c r="AN302" s="491">
        <v>5</v>
      </c>
      <c r="AO302" s="481"/>
      <c r="AP302" s="481">
        <v>30</v>
      </c>
      <c r="AQ302" s="481"/>
      <c r="AR302" s="481"/>
      <c r="AS302" s="481"/>
      <c r="AT302" s="481"/>
      <c r="AU302" s="481">
        <f t="shared" si="181"/>
        <v>35</v>
      </c>
      <c r="AV302" s="548">
        <v>10</v>
      </c>
      <c r="AW302" s="548"/>
      <c r="AX302" s="548">
        <v>30</v>
      </c>
      <c r="AY302" s="548"/>
      <c r="AZ302" s="548"/>
      <c r="BA302" s="548"/>
      <c r="BB302" s="548"/>
      <c r="BC302" s="548">
        <f t="shared" si="183"/>
        <v>40</v>
      </c>
      <c r="BD302" s="42">
        <f t="shared" si="172"/>
        <v>30</v>
      </c>
      <c r="BE302" s="42">
        <f t="shared" si="172"/>
        <v>0</v>
      </c>
      <c r="BF302" s="42">
        <f t="shared" si="172"/>
        <v>120</v>
      </c>
      <c r="BG302" s="42">
        <f t="shared" si="172"/>
        <v>0</v>
      </c>
      <c r="BH302" s="42">
        <f t="shared" si="172"/>
        <v>0</v>
      </c>
      <c r="BI302" s="42">
        <f t="shared" si="167"/>
        <v>20.7</v>
      </c>
      <c r="BJ302" s="42">
        <f t="shared" si="173"/>
        <v>0</v>
      </c>
      <c r="BK302" s="42">
        <f t="shared" si="173"/>
        <v>170.7</v>
      </c>
    </row>
    <row r="303" spans="1:63" ht="43.5" customHeight="1" x14ac:dyDescent="0.25">
      <c r="A303" s="298" t="s">
        <v>896</v>
      </c>
      <c r="B303" s="299" t="s">
        <v>894</v>
      </c>
      <c r="C303" s="1547"/>
      <c r="D303" s="1549"/>
      <c r="E303" s="1549"/>
      <c r="F303" s="1549"/>
      <c r="G303" s="1549"/>
      <c r="H303" s="1549"/>
      <c r="I303" s="1425"/>
      <c r="J303" s="1425"/>
      <c r="K303" s="1428" t="s">
        <v>920</v>
      </c>
      <c r="L303" s="301" t="s">
        <v>901</v>
      </c>
      <c r="M303" s="1425" t="s">
        <v>902</v>
      </c>
      <c r="N303" s="476" t="s">
        <v>903</v>
      </c>
      <c r="O303" s="1425" t="s">
        <v>47</v>
      </c>
      <c r="P303" s="16" t="s">
        <v>921</v>
      </c>
      <c r="Q303" s="302" t="s">
        <v>71</v>
      </c>
      <c r="R303" s="303">
        <v>2015</v>
      </c>
      <c r="S303" s="303">
        <v>0</v>
      </c>
      <c r="T303" s="303">
        <v>6</v>
      </c>
      <c r="U303" s="572">
        <v>12</v>
      </c>
      <c r="V303" s="572">
        <v>18</v>
      </c>
      <c r="W303" s="572">
        <v>25</v>
      </c>
      <c r="X303" s="572">
        <v>25</v>
      </c>
      <c r="Y303" s="481">
        <v>2</v>
      </c>
      <c r="Z303" s="481"/>
      <c r="AA303" s="481">
        <v>3</v>
      </c>
      <c r="AB303" s="481"/>
      <c r="AC303" s="481"/>
      <c r="AD303" s="481"/>
      <c r="AE303" s="481"/>
      <c r="AF303" s="481">
        <f t="shared" si="177"/>
        <v>5</v>
      </c>
      <c r="AG303" s="42">
        <v>2</v>
      </c>
      <c r="AH303" s="548"/>
      <c r="AI303" s="716"/>
      <c r="AJ303" s="548"/>
      <c r="AK303" s="548"/>
      <c r="AL303" s="548"/>
      <c r="AM303" s="548">
        <f t="shared" si="179"/>
        <v>2</v>
      </c>
      <c r="AN303" s="42">
        <v>2</v>
      </c>
      <c r="AO303" s="481"/>
      <c r="AP303" s="481">
        <v>3</v>
      </c>
      <c r="AQ303" s="481"/>
      <c r="AR303" s="481"/>
      <c r="AS303" s="481"/>
      <c r="AT303" s="481"/>
      <c r="AU303" s="481">
        <f t="shared" si="181"/>
        <v>5</v>
      </c>
      <c r="AV303" s="548">
        <v>2</v>
      </c>
      <c r="AW303" s="548"/>
      <c r="AX303" s="548">
        <v>3</v>
      </c>
      <c r="AY303" s="548"/>
      <c r="AZ303" s="548"/>
      <c r="BA303" s="548"/>
      <c r="BB303" s="548"/>
      <c r="BC303" s="548">
        <f t="shared" si="183"/>
        <v>5</v>
      </c>
      <c r="BD303" s="42">
        <f t="shared" si="172"/>
        <v>8</v>
      </c>
      <c r="BE303" s="42">
        <f t="shared" si="172"/>
        <v>0</v>
      </c>
      <c r="BF303" s="42">
        <f t="shared" si="172"/>
        <v>9</v>
      </c>
      <c r="BG303" s="42">
        <f t="shared" si="172"/>
        <v>0</v>
      </c>
      <c r="BH303" s="42">
        <f t="shared" si="172"/>
        <v>0</v>
      </c>
      <c r="BI303" s="42">
        <f t="shared" si="167"/>
        <v>0</v>
      </c>
      <c r="BJ303" s="42">
        <f t="shared" si="173"/>
        <v>0</v>
      </c>
      <c r="BK303" s="42">
        <f t="shared" si="173"/>
        <v>17</v>
      </c>
    </row>
    <row r="304" spans="1:63" ht="61.5" customHeight="1" x14ac:dyDescent="0.25">
      <c r="A304" s="298" t="s">
        <v>896</v>
      </c>
      <c r="B304" s="299" t="s">
        <v>894</v>
      </c>
      <c r="C304" s="1547"/>
      <c r="D304" s="1549"/>
      <c r="E304" s="1549"/>
      <c r="F304" s="1549"/>
      <c r="G304" s="1549"/>
      <c r="H304" s="1549"/>
      <c r="I304" s="1425"/>
      <c r="J304" s="1425"/>
      <c r="K304" s="1428" t="s">
        <v>922</v>
      </c>
      <c r="L304" s="301" t="s">
        <v>901</v>
      </c>
      <c r="M304" s="1425" t="s">
        <v>902</v>
      </c>
      <c r="N304" s="476" t="s">
        <v>903</v>
      </c>
      <c r="O304" s="1425" t="s">
        <v>47</v>
      </c>
      <c r="P304" s="16" t="s">
        <v>923</v>
      </c>
      <c r="Q304" s="302" t="s">
        <v>924</v>
      </c>
      <c r="R304" s="303">
        <v>2015</v>
      </c>
      <c r="S304" s="303">
        <v>400</v>
      </c>
      <c r="T304" s="303">
        <v>200</v>
      </c>
      <c r="U304" s="572">
        <v>400</v>
      </c>
      <c r="V304" s="572">
        <v>600</v>
      </c>
      <c r="W304" s="572">
        <v>800</v>
      </c>
      <c r="X304" s="572">
        <v>800</v>
      </c>
      <c r="Y304" s="579">
        <v>12</v>
      </c>
      <c r="Z304" s="583"/>
      <c r="AA304" s="583">
        <v>0</v>
      </c>
      <c r="AB304" s="481"/>
      <c r="AC304" s="481"/>
      <c r="AD304" s="481"/>
      <c r="AE304" s="481"/>
      <c r="AF304" s="481">
        <f t="shared" si="177"/>
        <v>12</v>
      </c>
      <c r="AG304" s="491">
        <v>5</v>
      </c>
      <c r="AH304" s="548"/>
      <c r="AI304" s="716"/>
      <c r="AJ304" s="548"/>
      <c r="AK304" s="548"/>
      <c r="AL304" s="548"/>
      <c r="AM304" s="548">
        <f t="shared" si="179"/>
        <v>5</v>
      </c>
      <c r="AN304" s="491">
        <v>5</v>
      </c>
      <c r="AO304" s="481"/>
      <c r="AP304" s="481"/>
      <c r="AQ304" s="481"/>
      <c r="AR304" s="481"/>
      <c r="AS304" s="481"/>
      <c r="AT304" s="481"/>
      <c r="AU304" s="481">
        <f t="shared" si="181"/>
        <v>5</v>
      </c>
      <c r="AV304" s="548">
        <v>12</v>
      </c>
      <c r="AW304" s="548"/>
      <c r="AX304" s="548"/>
      <c r="AY304" s="548"/>
      <c r="AZ304" s="548"/>
      <c r="BA304" s="548"/>
      <c r="BB304" s="548"/>
      <c r="BC304" s="548">
        <f t="shared" si="183"/>
        <v>12</v>
      </c>
      <c r="BD304" s="42">
        <f t="shared" si="172"/>
        <v>34</v>
      </c>
      <c r="BE304" s="42">
        <f t="shared" si="172"/>
        <v>0</v>
      </c>
      <c r="BF304" s="42">
        <f t="shared" si="172"/>
        <v>0</v>
      </c>
      <c r="BG304" s="42">
        <f t="shared" si="172"/>
        <v>0</v>
      </c>
      <c r="BH304" s="42">
        <f t="shared" si="172"/>
        <v>0</v>
      </c>
      <c r="BI304" s="42">
        <f t="shared" si="167"/>
        <v>0</v>
      </c>
      <c r="BJ304" s="42">
        <f t="shared" si="173"/>
        <v>0</v>
      </c>
      <c r="BK304" s="42">
        <f t="shared" si="173"/>
        <v>34</v>
      </c>
    </row>
    <row r="305" spans="1:63" ht="31.5" customHeight="1" x14ac:dyDescent="0.25">
      <c r="A305" s="298" t="s">
        <v>896</v>
      </c>
      <c r="B305" s="299" t="s">
        <v>894</v>
      </c>
      <c r="C305" s="1547"/>
      <c r="D305" s="1549"/>
      <c r="E305" s="1549"/>
      <c r="F305" s="1549"/>
      <c r="G305" s="1549"/>
      <c r="H305" s="1549"/>
      <c r="I305" s="1425"/>
      <c r="J305" s="1425"/>
      <c r="K305" s="1428" t="s">
        <v>925</v>
      </c>
      <c r="L305" s="301" t="s">
        <v>901</v>
      </c>
      <c r="M305" s="1425" t="s">
        <v>902</v>
      </c>
      <c r="N305" s="476" t="s">
        <v>903</v>
      </c>
      <c r="O305" s="1425" t="s">
        <v>47</v>
      </c>
      <c r="P305" s="16" t="s">
        <v>926</v>
      </c>
      <c r="Q305" s="302" t="s">
        <v>927</v>
      </c>
      <c r="R305" s="303">
        <v>2015</v>
      </c>
      <c r="S305" s="303" t="s">
        <v>177</v>
      </c>
      <c r="T305" s="303">
        <v>500</v>
      </c>
      <c r="U305" s="572">
        <v>1000</v>
      </c>
      <c r="V305" s="572">
        <v>1500</v>
      </c>
      <c r="W305" s="572">
        <v>2000</v>
      </c>
      <c r="X305" s="572">
        <v>2000</v>
      </c>
      <c r="Y305" s="481">
        <v>10</v>
      </c>
      <c r="Z305" s="481"/>
      <c r="AA305" s="481">
        <v>10</v>
      </c>
      <c r="AB305" s="481"/>
      <c r="AC305" s="481"/>
      <c r="AD305" s="481"/>
      <c r="AE305" s="481"/>
      <c r="AF305" s="481">
        <f t="shared" si="177"/>
        <v>20</v>
      </c>
      <c r="AG305" s="491">
        <v>5</v>
      </c>
      <c r="AH305" s="548"/>
      <c r="AI305" s="716"/>
      <c r="AJ305" s="548"/>
      <c r="AK305" s="548"/>
      <c r="AL305" s="548"/>
      <c r="AM305" s="548">
        <f>SUM(AG305:AL305)</f>
        <v>5</v>
      </c>
      <c r="AN305" s="491">
        <v>5</v>
      </c>
      <c r="AO305" s="481"/>
      <c r="AP305" s="491">
        <v>9</v>
      </c>
      <c r="AQ305" s="481"/>
      <c r="AR305" s="481"/>
      <c r="AS305" s="481"/>
      <c r="AT305" s="481"/>
      <c r="AU305" s="481">
        <f t="shared" si="181"/>
        <v>14</v>
      </c>
      <c r="AV305" s="491">
        <v>7</v>
      </c>
      <c r="AW305" s="548"/>
      <c r="AX305" s="491">
        <v>9</v>
      </c>
      <c r="AY305" s="548"/>
      <c r="AZ305" s="548"/>
      <c r="BA305" s="548"/>
      <c r="BB305" s="548"/>
      <c r="BC305" s="548">
        <f t="shared" si="183"/>
        <v>16</v>
      </c>
      <c r="BD305" s="42">
        <f t="shared" si="172"/>
        <v>27</v>
      </c>
      <c r="BE305" s="42">
        <f t="shared" si="172"/>
        <v>0</v>
      </c>
      <c r="BF305" s="42">
        <f t="shared" si="172"/>
        <v>28</v>
      </c>
      <c r="BG305" s="42">
        <f t="shared" si="172"/>
        <v>0</v>
      </c>
      <c r="BH305" s="42">
        <f t="shared" si="172"/>
        <v>0</v>
      </c>
      <c r="BI305" s="42">
        <f t="shared" si="167"/>
        <v>0</v>
      </c>
      <c r="BJ305" s="42">
        <f t="shared" si="173"/>
        <v>0</v>
      </c>
      <c r="BK305" s="42">
        <f t="shared" si="173"/>
        <v>55</v>
      </c>
    </row>
    <row r="306" spans="1:63" ht="39.75" customHeight="1" x14ac:dyDescent="0.25">
      <c r="A306" s="298" t="s">
        <v>896</v>
      </c>
      <c r="B306" s="299" t="s">
        <v>894</v>
      </c>
      <c r="C306" s="1547"/>
      <c r="D306" s="1549"/>
      <c r="E306" s="1549"/>
      <c r="F306" s="1549"/>
      <c r="G306" s="1549"/>
      <c r="H306" s="1549"/>
      <c r="I306" s="1425"/>
      <c r="J306" s="1425"/>
      <c r="K306" s="1428" t="s">
        <v>928</v>
      </c>
      <c r="L306" s="301" t="s">
        <v>901</v>
      </c>
      <c r="M306" s="1425" t="s">
        <v>902</v>
      </c>
      <c r="N306" s="476" t="s">
        <v>903</v>
      </c>
      <c r="O306" s="1425" t="s">
        <v>47</v>
      </c>
      <c r="P306" s="16" t="s">
        <v>929</v>
      </c>
      <c r="Q306" s="302" t="s">
        <v>930</v>
      </c>
      <c r="R306" s="303">
        <v>2015</v>
      </c>
      <c r="S306" s="303" t="s">
        <v>177</v>
      </c>
      <c r="T306" s="303">
        <v>250</v>
      </c>
      <c r="U306" s="572">
        <v>500</v>
      </c>
      <c r="V306" s="572">
        <v>750</v>
      </c>
      <c r="W306" s="572">
        <v>1000</v>
      </c>
      <c r="X306" s="572">
        <v>1000</v>
      </c>
      <c r="Y306" s="481">
        <v>5</v>
      </c>
      <c r="Z306" s="481"/>
      <c r="AA306" s="481">
        <v>10</v>
      </c>
      <c r="AB306" s="481"/>
      <c r="AC306" s="481"/>
      <c r="AD306" s="481"/>
      <c r="AE306" s="481"/>
      <c r="AF306" s="481">
        <f t="shared" ref="AF306:AF329" si="188">SUM(Y306:AE306)</f>
        <v>15</v>
      </c>
      <c r="AG306" s="491">
        <v>3</v>
      </c>
      <c r="AH306" s="548"/>
      <c r="AI306" s="716"/>
      <c r="AJ306" s="548"/>
      <c r="AK306" s="548"/>
      <c r="AL306" s="548"/>
      <c r="AM306" s="548">
        <f t="shared" ref="AM306:AM329" si="189">SUM(AG306:AL306)</f>
        <v>3</v>
      </c>
      <c r="AN306" s="42">
        <v>5</v>
      </c>
      <c r="AO306" s="481"/>
      <c r="AP306" s="491">
        <v>9</v>
      </c>
      <c r="AQ306" s="481"/>
      <c r="AR306" s="481"/>
      <c r="AS306" s="481"/>
      <c r="AT306" s="481"/>
      <c r="AU306" s="481">
        <f t="shared" si="181"/>
        <v>14</v>
      </c>
      <c r="AV306" s="548">
        <v>5</v>
      </c>
      <c r="AW306" s="548"/>
      <c r="AX306" s="548">
        <v>10</v>
      </c>
      <c r="AY306" s="548"/>
      <c r="AZ306" s="548"/>
      <c r="BA306" s="548"/>
      <c r="BB306" s="548"/>
      <c r="BC306" s="548">
        <f t="shared" si="183"/>
        <v>15</v>
      </c>
      <c r="BD306" s="42">
        <f t="shared" si="172"/>
        <v>18</v>
      </c>
      <c r="BE306" s="42">
        <f t="shared" si="172"/>
        <v>0</v>
      </c>
      <c r="BF306" s="42">
        <f t="shared" si="172"/>
        <v>29</v>
      </c>
      <c r="BG306" s="42">
        <f t="shared" si="172"/>
        <v>0</v>
      </c>
      <c r="BH306" s="42">
        <f t="shared" si="172"/>
        <v>0</v>
      </c>
      <c r="BI306" s="42">
        <f t="shared" si="167"/>
        <v>0</v>
      </c>
      <c r="BJ306" s="42">
        <f t="shared" si="173"/>
        <v>0</v>
      </c>
      <c r="BK306" s="42">
        <f t="shared" si="173"/>
        <v>47</v>
      </c>
    </row>
    <row r="307" spans="1:63" ht="36.75" customHeight="1" x14ac:dyDescent="0.25">
      <c r="A307" s="298" t="s">
        <v>896</v>
      </c>
      <c r="B307" s="299" t="s">
        <v>894</v>
      </c>
      <c r="C307" s="1547"/>
      <c r="D307" s="1549"/>
      <c r="E307" s="1549"/>
      <c r="F307" s="1549"/>
      <c r="G307" s="1549"/>
      <c r="H307" s="1549"/>
      <c r="I307" s="1425"/>
      <c r="J307" s="1425"/>
      <c r="K307" s="1428" t="s">
        <v>931</v>
      </c>
      <c r="L307" s="301" t="s">
        <v>901</v>
      </c>
      <c r="M307" s="1425" t="s">
        <v>902</v>
      </c>
      <c r="N307" s="476" t="s">
        <v>903</v>
      </c>
      <c r="O307" s="1425" t="s">
        <v>47</v>
      </c>
      <c r="P307" s="16" t="s">
        <v>932</v>
      </c>
      <c r="Q307" s="302" t="s">
        <v>933</v>
      </c>
      <c r="R307" s="303">
        <v>2015</v>
      </c>
      <c r="S307" s="303">
        <v>0</v>
      </c>
      <c r="T307" s="303">
        <v>6</v>
      </c>
      <c r="U307" s="572">
        <v>12</v>
      </c>
      <c r="V307" s="572">
        <v>18</v>
      </c>
      <c r="W307" s="572">
        <v>24</v>
      </c>
      <c r="X307" s="572">
        <v>24</v>
      </c>
      <c r="Y307" s="481">
        <v>0</v>
      </c>
      <c r="Z307" s="481"/>
      <c r="AA307" s="481">
        <v>10</v>
      </c>
      <c r="AB307" s="481"/>
      <c r="AC307" s="481"/>
      <c r="AD307" s="481">
        <v>0</v>
      </c>
      <c r="AE307" s="481"/>
      <c r="AF307" s="481">
        <f t="shared" si="188"/>
        <v>10</v>
      </c>
      <c r="AG307" s="42">
        <v>2</v>
      </c>
      <c r="AH307" s="548"/>
      <c r="AI307" s="716"/>
      <c r="AJ307" s="548"/>
      <c r="AK307" s="548"/>
      <c r="AL307" s="548"/>
      <c r="AM307" s="548">
        <f t="shared" si="189"/>
        <v>2</v>
      </c>
      <c r="AN307" s="42"/>
      <c r="AO307" s="481"/>
      <c r="AP307" s="491">
        <v>9</v>
      </c>
      <c r="AQ307" s="481"/>
      <c r="AR307" s="481"/>
      <c r="AS307" s="481"/>
      <c r="AT307" s="481"/>
      <c r="AU307" s="481">
        <f t="shared" si="181"/>
        <v>9</v>
      </c>
      <c r="AV307" s="548"/>
      <c r="AW307" s="548"/>
      <c r="AX307" s="548">
        <v>10</v>
      </c>
      <c r="AY307" s="548"/>
      <c r="AZ307" s="548"/>
      <c r="BA307" s="548"/>
      <c r="BB307" s="548"/>
      <c r="BC307" s="548">
        <f t="shared" si="183"/>
        <v>10</v>
      </c>
      <c r="BD307" s="42">
        <f t="shared" si="172"/>
        <v>2</v>
      </c>
      <c r="BE307" s="42">
        <f t="shared" si="172"/>
        <v>0</v>
      </c>
      <c r="BF307" s="42">
        <f t="shared" si="172"/>
        <v>29</v>
      </c>
      <c r="BG307" s="42">
        <f t="shared" si="172"/>
        <v>0</v>
      </c>
      <c r="BH307" s="42">
        <f t="shared" si="172"/>
        <v>0</v>
      </c>
      <c r="BI307" s="42">
        <f t="shared" si="167"/>
        <v>0</v>
      </c>
      <c r="BJ307" s="42">
        <f t="shared" si="173"/>
        <v>0</v>
      </c>
      <c r="BK307" s="42">
        <f t="shared" si="173"/>
        <v>31</v>
      </c>
    </row>
    <row r="308" spans="1:63" ht="46.5" customHeight="1" x14ac:dyDescent="0.25">
      <c r="A308" s="298" t="s">
        <v>896</v>
      </c>
      <c r="B308" s="299" t="s">
        <v>894</v>
      </c>
      <c r="C308" s="1547"/>
      <c r="D308" s="1549"/>
      <c r="E308" s="1549"/>
      <c r="F308" s="1549"/>
      <c r="G308" s="1549"/>
      <c r="H308" s="1549"/>
      <c r="I308" s="1425"/>
      <c r="J308" s="1425"/>
      <c r="K308" s="1428" t="s">
        <v>934</v>
      </c>
      <c r="L308" s="301" t="s">
        <v>901</v>
      </c>
      <c r="M308" s="1425" t="s">
        <v>902</v>
      </c>
      <c r="N308" s="476" t="s">
        <v>903</v>
      </c>
      <c r="O308" s="1425" t="s">
        <v>47</v>
      </c>
      <c r="P308" s="16" t="s">
        <v>935</v>
      </c>
      <c r="Q308" s="302" t="s">
        <v>936</v>
      </c>
      <c r="R308" s="303">
        <v>2015</v>
      </c>
      <c r="S308" s="303">
        <v>0</v>
      </c>
      <c r="T308" s="303">
        <v>10</v>
      </c>
      <c r="U308" s="572">
        <v>20</v>
      </c>
      <c r="V308" s="572">
        <v>30</v>
      </c>
      <c r="W308" s="572">
        <v>40</v>
      </c>
      <c r="X308" s="572">
        <v>40</v>
      </c>
      <c r="Y308" s="481">
        <v>0</v>
      </c>
      <c r="Z308" s="481"/>
      <c r="AA308" s="481"/>
      <c r="AB308" s="481"/>
      <c r="AC308" s="481"/>
      <c r="AD308" s="481">
        <v>4</v>
      </c>
      <c r="AE308" s="481"/>
      <c r="AF308" s="481">
        <f t="shared" si="188"/>
        <v>4</v>
      </c>
      <c r="AG308" s="491">
        <v>1.5</v>
      </c>
      <c r="AH308" s="548"/>
      <c r="AI308" s="716"/>
      <c r="AJ308" s="548"/>
      <c r="AK308" s="548"/>
      <c r="AL308" s="548"/>
      <c r="AM308" s="548">
        <f t="shared" si="189"/>
        <v>1.5</v>
      </c>
      <c r="AN308" s="42">
        <v>4</v>
      </c>
      <c r="AO308" s="481"/>
      <c r="AP308" s="42"/>
      <c r="AQ308" s="481"/>
      <c r="AR308" s="481"/>
      <c r="AS308" s="481"/>
      <c r="AT308" s="481"/>
      <c r="AU308" s="481">
        <f t="shared" si="181"/>
        <v>4</v>
      </c>
      <c r="AV308" s="548">
        <v>4</v>
      </c>
      <c r="AW308" s="548"/>
      <c r="AX308" s="548"/>
      <c r="AY308" s="548"/>
      <c r="AZ308" s="548"/>
      <c r="BA308" s="548"/>
      <c r="BB308" s="548"/>
      <c r="BC308" s="548">
        <f t="shared" si="183"/>
        <v>4</v>
      </c>
      <c r="BD308" s="42">
        <f t="shared" si="172"/>
        <v>9.5</v>
      </c>
      <c r="BE308" s="42">
        <f t="shared" si="172"/>
        <v>0</v>
      </c>
      <c r="BF308" s="42">
        <f t="shared" si="172"/>
        <v>0</v>
      </c>
      <c r="BG308" s="42">
        <f t="shared" si="172"/>
        <v>0</v>
      </c>
      <c r="BH308" s="42">
        <f t="shared" si="172"/>
        <v>0</v>
      </c>
      <c r="BI308" s="42">
        <f t="shared" si="167"/>
        <v>4</v>
      </c>
      <c r="BJ308" s="42">
        <f t="shared" si="173"/>
        <v>0</v>
      </c>
      <c r="BK308" s="42">
        <f t="shared" si="173"/>
        <v>13.5</v>
      </c>
    </row>
    <row r="309" spans="1:63" ht="22.5" customHeight="1" x14ac:dyDescent="0.25">
      <c r="A309" s="298" t="s">
        <v>896</v>
      </c>
      <c r="B309" s="299" t="s">
        <v>894</v>
      </c>
      <c r="C309" s="1547"/>
      <c r="D309" s="1549"/>
      <c r="E309" s="1549"/>
      <c r="F309" s="1549"/>
      <c r="G309" s="1549"/>
      <c r="H309" s="1549"/>
      <c r="I309" s="1425"/>
      <c r="J309" s="1425"/>
      <c r="K309" s="1428" t="s">
        <v>937</v>
      </c>
      <c r="L309" s="301" t="s">
        <v>901</v>
      </c>
      <c r="M309" s="1425" t="s">
        <v>902</v>
      </c>
      <c r="N309" s="476" t="s">
        <v>903</v>
      </c>
      <c r="O309" s="1425" t="s">
        <v>47</v>
      </c>
      <c r="P309" s="16" t="s">
        <v>938</v>
      </c>
      <c r="Q309" s="302" t="s">
        <v>939</v>
      </c>
      <c r="R309" s="303">
        <v>2015</v>
      </c>
      <c r="S309" s="303">
        <v>0</v>
      </c>
      <c r="T309" s="303">
        <v>25</v>
      </c>
      <c r="U309" s="572">
        <v>50</v>
      </c>
      <c r="V309" s="572">
        <v>75</v>
      </c>
      <c r="W309" s="572">
        <v>100</v>
      </c>
      <c r="X309" s="572">
        <v>100</v>
      </c>
      <c r="Y309" s="491">
        <v>4</v>
      </c>
      <c r="Z309" s="481"/>
      <c r="AA309" s="481">
        <v>10</v>
      </c>
      <c r="AB309" s="481"/>
      <c r="AC309" s="481"/>
      <c r="AD309" s="481"/>
      <c r="AE309" s="481"/>
      <c r="AF309" s="481">
        <f t="shared" si="188"/>
        <v>14</v>
      </c>
      <c r="AG309" s="491">
        <v>3</v>
      </c>
      <c r="AH309" s="548"/>
      <c r="AI309" s="716"/>
      <c r="AJ309" s="548"/>
      <c r="AK309" s="548"/>
      <c r="AL309" s="548"/>
      <c r="AM309" s="548">
        <f t="shared" si="189"/>
        <v>3</v>
      </c>
      <c r="AN309" s="491">
        <v>3</v>
      </c>
      <c r="AO309" s="481"/>
      <c r="AP309" s="491">
        <v>9</v>
      </c>
      <c r="AQ309" s="481"/>
      <c r="AR309" s="481"/>
      <c r="AS309" s="481"/>
      <c r="AT309" s="481"/>
      <c r="AU309" s="481">
        <f t="shared" si="181"/>
        <v>12</v>
      </c>
      <c r="AV309" s="548">
        <v>5</v>
      </c>
      <c r="AW309" s="548"/>
      <c r="AX309" s="548">
        <v>10</v>
      </c>
      <c r="AY309" s="548"/>
      <c r="AZ309" s="548"/>
      <c r="BA309" s="548"/>
      <c r="BB309" s="548"/>
      <c r="BC309" s="548">
        <f t="shared" si="183"/>
        <v>15</v>
      </c>
      <c r="BD309" s="42">
        <f t="shared" si="172"/>
        <v>15</v>
      </c>
      <c r="BE309" s="42">
        <f t="shared" si="172"/>
        <v>0</v>
      </c>
      <c r="BF309" s="42">
        <f t="shared" si="172"/>
        <v>29</v>
      </c>
      <c r="BG309" s="42">
        <f t="shared" si="172"/>
        <v>0</v>
      </c>
      <c r="BH309" s="42">
        <f t="shared" si="172"/>
        <v>0</v>
      </c>
      <c r="BI309" s="42">
        <f t="shared" si="167"/>
        <v>0</v>
      </c>
      <c r="BJ309" s="42">
        <f t="shared" si="173"/>
        <v>0</v>
      </c>
      <c r="BK309" s="42">
        <f t="shared" si="173"/>
        <v>44</v>
      </c>
    </row>
    <row r="310" spans="1:63" ht="41.25" customHeight="1" x14ac:dyDescent="0.25">
      <c r="A310" s="298" t="s">
        <v>896</v>
      </c>
      <c r="B310" s="299" t="s">
        <v>894</v>
      </c>
      <c r="C310" s="1547"/>
      <c r="D310" s="1549"/>
      <c r="E310" s="1549"/>
      <c r="F310" s="1549"/>
      <c r="G310" s="1549"/>
      <c r="H310" s="1549"/>
      <c r="I310" s="1425"/>
      <c r="J310" s="1425"/>
      <c r="K310" s="1428" t="s">
        <v>940</v>
      </c>
      <c r="L310" s="301" t="s">
        <v>901</v>
      </c>
      <c r="M310" s="1425" t="s">
        <v>902</v>
      </c>
      <c r="N310" s="476" t="s">
        <v>903</v>
      </c>
      <c r="O310" s="1425" t="s">
        <v>47</v>
      </c>
      <c r="P310" s="16" t="s">
        <v>941</v>
      </c>
      <c r="Q310" s="302" t="s">
        <v>942</v>
      </c>
      <c r="R310" s="303">
        <v>2015</v>
      </c>
      <c r="S310" s="303">
        <v>0</v>
      </c>
      <c r="T310" s="303">
        <v>50</v>
      </c>
      <c r="U310" s="572">
        <v>100</v>
      </c>
      <c r="V310" s="572">
        <v>150</v>
      </c>
      <c r="W310" s="572">
        <v>200</v>
      </c>
      <c r="X310" s="572">
        <v>200</v>
      </c>
      <c r="Y310" s="584"/>
      <c r="Z310" s="481"/>
      <c r="AA310" s="481">
        <v>10</v>
      </c>
      <c r="AB310" s="481"/>
      <c r="AC310" s="481"/>
      <c r="AD310" s="481"/>
      <c r="AE310" s="481"/>
      <c r="AF310" s="481">
        <f t="shared" si="188"/>
        <v>10</v>
      </c>
      <c r="AG310" s="548"/>
      <c r="AH310" s="548"/>
      <c r="AI310" s="491">
        <v>5</v>
      </c>
      <c r="AJ310" s="548"/>
      <c r="AK310" s="548"/>
      <c r="AL310" s="548"/>
      <c r="AM310" s="548">
        <f t="shared" si="189"/>
        <v>5</v>
      </c>
      <c r="AN310" s="42"/>
      <c r="AO310" s="481"/>
      <c r="AP310" s="491">
        <v>9</v>
      </c>
      <c r="AQ310" s="481"/>
      <c r="AR310" s="481"/>
      <c r="AS310" s="481"/>
      <c r="AT310" s="481"/>
      <c r="AU310" s="481">
        <f t="shared" si="181"/>
        <v>9</v>
      </c>
      <c r="AV310" s="548"/>
      <c r="AW310" s="548"/>
      <c r="AX310" s="548">
        <v>10</v>
      </c>
      <c r="AY310" s="548"/>
      <c r="AZ310" s="548"/>
      <c r="BA310" s="548"/>
      <c r="BB310" s="548"/>
      <c r="BC310" s="548">
        <f t="shared" si="183"/>
        <v>10</v>
      </c>
      <c r="BD310" s="42">
        <f t="shared" si="172"/>
        <v>0</v>
      </c>
      <c r="BE310" s="42">
        <f t="shared" si="172"/>
        <v>0</v>
      </c>
      <c r="BF310" s="42">
        <f t="shared" si="172"/>
        <v>34</v>
      </c>
      <c r="BG310" s="42">
        <f t="shared" si="172"/>
        <v>0</v>
      </c>
      <c r="BH310" s="42">
        <f t="shared" si="172"/>
        <v>0</v>
      </c>
      <c r="BI310" s="42">
        <f t="shared" si="167"/>
        <v>0</v>
      </c>
      <c r="BJ310" s="42">
        <f t="shared" si="173"/>
        <v>0</v>
      </c>
      <c r="BK310" s="42">
        <f t="shared" si="173"/>
        <v>34</v>
      </c>
    </row>
    <row r="311" spans="1:63" ht="46.5" customHeight="1" x14ac:dyDescent="0.25">
      <c r="A311" s="298" t="s">
        <v>896</v>
      </c>
      <c r="B311" s="299" t="s">
        <v>894</v>
      </c>
      <c r="C311" s="1547"/>
      <c r="D311" s="1549"/>
      <c r="E311" s="1549"/>
      <c r="F311" s="1549"/>
      <c r="G311" s="1549"/>
      <c r="H311" s="1549"/>
      <c r="I311" s="1425"/>
      <c r="J311" s="1425"/>
      <c r="K311" s="1428" t="s">
        <v>943</v>
      </c>
      <c r="L311" s="301" t="s">
        <v>901</v>
      </c>
      <c r="M311" s="1425" t="s">
        <v>902</v>
      </c>
      <c r="N311" s="476" t="s">
        <v>903</v>
      </c>
      <c r="O311" s="1425" t="s">
        <v>47</v>
      </c>
      <c r="P311" s="16" t="s">
        <v>944</v>
      </c>
      <c r="Q311" s="302" t="s">
        <v>945</v>
      </c>
      <c r="R311" s="303">
        <v>2015</v>
      </c>
      <c r="S311" s="303">
        <v>1</v>
      </c>
      <c r="T311" s="303">
        <v>2</v>
      </c>
      <c r="U311" s="572">
        <v>4</v>
      </c>
      <c r="V311" s="572">
        <v>6</v>
      </c>
      <c r="W311" s="572">
        <v>8</v>
      </c>
      <c r="X311" s="572">
        <v>2</v>
      </c>
      <c r="Y311" s="584"/>
      <c r="Z311" s="481"/>
      <c r="AA311" s="481">
        <v>0</v>
      </c>
      <c r="AB311" s="481"/>
      <c r="AC311" s="481"/>
      <c r="AD311" s="481">
        <v>50</v>
      </c>
      <c r="AE311" s="481"/>
      <c r="AF311" s="481">
        <f t="shared" si="188"/>
        <v>50</v>
      </c>
      <c r="AG311" s="548"/>
      <c r="AH311" s="548"/>
      <c r="AI311" s="491">
        <v>15</v>
      </c>
      <c r="AJ311" s="548"/>
      <c r="AK311" s="548"/>
      <c r="AL311" s="548"/>
      <c r="AM311" s="548">
        <f t="shared" si="189"/>
        <v>15</v>
      </c>
      <c r="AN311" s="42"/>
      <c r="AO311" s="481"/>
      <c r="AP311" s="481">
        <v>20</v>
      </c>
      <c r="AQ311" s="481"/>
      <c r="AR311" s="481"/>
      <c r="AS311" s="481"/>
      <c r="AT311" s="481"/>
      <c r="AU311" s="481">
        <f t="shared" si="181"/>
        <v>20</v>
      </c>
      <c r="AV311" s="548"/>
      <c r="AW311" s="548"/>
      <c r="AX311" s="548">
        <v>20</v>
      </c>
      <c r="AY311" s="548"/>
      <c r="AZ311" s="548"/>
      <c r="BA311" s="548"/>
      <c r="BB311" s="548"/>
      <c r="BC311" s="548">
        <f t="shared" si="183"/>
        <v>20</v>
      </c>
      <c r="BD311" s="42">
        <f t="shared" si="172"/>
        <v>0</v>
      </c>
      <c r="BE311" s="42">
        <f t="shared" si="172"/>
        <v>0</v>
      </c>
      <c r="BF311" s="42">
        <f t="shared" si="172"/>
        <v>55</v>
      </c>
      <c r="BG311" s="42">
        <f t="shared" si="172"/>
        <v>0</v>
      </c>
      <c r="BH311" s="42">
        <f t="shared" si="172"/>
        <v>0</v>
      </c>
      <c r="BI311" s="42">
        <f t="shared" si="167"/>
        <v>50</v>
      </c>
      <c r="BJ311" s="42">
        <f t="shared" si="173"/>
        <v>0</v>
      </c>
      <c r="BK311" s="42">
        <f t="shared" si="173"/>
        <v>105</v>
      </c>
    </row>
    <row r="312" spans="1:63" ht="39" customHeight="1" x14ac:dyDescent="0.25">
      <c r="A312" s="298" t="s">
        <v>896</v>
      </c>
      <c r="B312" s="299" t="s">
        <v>894</v>
      </c>
      <c r="C312" s="1547"/>
      <c r="D312" s="1549"/>
      <c r="E312" s="1549"/>
      <c r="F312" s="1549"/>
      <c r="G312" s="1549"/>
      <c r="H312" s="1549"/>
      <c r="I312" s="1425"/>
      <c r="J312" s="1425"/>
      <c r="K312" s="1428" t="s">
        <v>946</v>
      </c>
      <c r="L312" s="301" t="s">
        <v>901</v>
      </c>
      <c r="M312" s="1425" t="s">
        <v>902</v>
      </c>
      <c r="N312" s="476" t="s">
        <v>903</v>
      </c>
      <c r="O312" s="1425" t="s">
        <v>47</v>
      </c>
      <c r="P312" s="16" t="s">
        <v>947</v>
      </c>
      <c r="Q312" s="302" t="s">
        <v>948</v>
      </c>
      <c r="R312" s="303">
        <v>2015</v>
      </c>
      <c r="S312" s="303">
        <v>0</v>
      </c>
      <c r="T312" s="303">
        <v>0</v>
      </c>
      <c r="U312" s="572">
        <v>0</v>
      </c>
      <c r="V312" s="572">
        <v>1</v>
      </c>
      <c r="W312" s="572">
        <v>1</v>
      </c>
      <c r="X312" s="572">
        <v>2</v>
      </c>
      <c r="Y312" s="481"/>
      <c r="Z312" s="481"/>
      <c r="AA312" s="481"/>
      <c r="AB312" s="481"/>
      <c r="AC312" s="481"/>
      <c r="AD312" s="481"/>
      <c r="AE312" s="481"/>
      <c r="AF312" s="481">
        <f t="shared" si="188"/>
        <v>0</v>
      </c>
      <c r="AG312" s="548">
        <v>0</v>
      </c>
      <c r="AH312" s="548"/>
      <c r="AI312" s="548"/>
      <c r="AJ312" s="548"/>
      <c r="AK312" s="548"/>
      <c r="AL312" s="548"/>
      <c r="AM312" s="548">
        <f t="shared" si="189"/>
        <v>0</v>
      </c>
      <c r="AN312" s="42">
        <v>3</v>
      </c>
      <c r="AO312" s="481"/>
      <c r="AP312" s="481"/>
      <c r="AQ312" s="481"/>
      <c r="AR312" s="481"/>
      <c r="AS312" s="481"/>
      <c r="AT312" s="481"/>
      <c r="AU312" s="481">
        <f t="shared" si="181"/>
        <v>3</v>
      </c>
      <c r="AV312" s="548">
        <v>3</v>
      </c>
      <c r="AW312" s="548"/>
      <c r="AX312" s="548"/>
      <c r="AY312" s="548"/>
      <c r="AZ312" s="548"/>
      <c r="BA312" s="548"/>
      <c r="BB312" s="548"/>
      <c r="BC312" s="548">
        <f t="shared" si="183"/>
        <v>3</v>
      </c>
      <c r="BD312" s="42">
        <f t="shared" si="172"/>
        <v>6</v>
      </c>
      <c r="BE312" s="42">
        <f t="shared" si="172"/>
        <v>0</v>
      </c>
      <c r="BF312" s="42">
        <f t="shared" si="172"/>
        <v>0</v>
      </c>
      <c r="BG312" s="42">
        <f t="shared" si="172"/>
        <v>0</v>
      </c>
      <c r="BH312" s="42">
        <f t="shared" si="172"/>
        <v>0</v>
      </c>
      <c r="BI312" s="42">
        <f t="shared" si="167"/>
        <v>0</v>
      </c>
      <c r="BJ312" s="42">
        <f t="shared" si="173"/>
        <v>0</v>
      </c>
      <c r="BK312" s="42">
        <f t="shared" si="173"/>
        <v>6</v>
      </c>
    </row>
    <row r="313" spans="1:63" ht="33" customHeight="1" x14ac:dyDescent="0.25">
      <c r="A313" s="298" t="s">
        <v>896</v>
      </c>
      <c r="B313" s="299" t="s">
        <v>894</v>
      </c>
      <c r="C313" s="1547"/>
      <c r="D313" s="1549"/>
      <c r="E313" s="1549"/>
      <c r="F313" s="1549"/>
      <c r="G313" s="1549"/>
      <c r="H313" s="1549"/>
      <c r="I313" s="1425"/>
      <c r="J313" s="1425"/>
      <c r="K313" s="1428" t="s">
        <v>949</v>
      </c>
      <c r="L313" s="301" t="s">
        <v>901</v>
      </c>
      <c r="M313" s="1425" t="s">
        <v>902</v>
      </c>
      <c r="N313" s="476" t="s">
        <v>903</v>
      </c>
      <c r="O313" s="1425" t="s">
        <v>47</v>
      </c>
      <c r="P313" s="16" t="s">
        <v>950</v>
      </c>
      <c r="Q313" s="302" t="s">
        <v>951</v>
      </c>
      <c r="R313" s="303">
        <v>2015</v>
      </c>
      <c r="S313" s="303">
        <v>0</v>
      </c>
      <c r="T313" s="303">
        <v>0</v>
      </c>
      <c r="U313" s="572">
        <v>1</v>
      </c>
      <c r="V313" s="572">
        <v>1</v>
      </c>
      <c r="W313" s="572">
        <v>1</v>
      </c>
      <c r="X313" s="572">
        <v>1</v>
      </c>
      <c r="Y313" s="481"/>
      <c r="Z313" s="481"/>
      <c r="AA313" s="481"/>
      <c r="AB313" s="481"/>
      <c r="AC313" s="481"/>
      <c r="AD313" s="481"/>
      <c r="AE313" s="481"/>
      <c r="AF313" s="481">
        <f t="shared" si="188"/>
        <v>0</v>
      </c>
      <c r="AG313" s="548"/>
      <c r="AH313" s="548"/>
      <c r="AI313" s="491">
        <v>5</v>
      </c>
      <c r="AJ313" s="548"/>
      <c r="AK313" s="548"/>
      <c r="AL313" s="548"/>
      <c r="AM313" s="548">
        <f t="shared" si="189"/>
        <v>5</v>
      </c>
      <c r="AN313" s="491">
        <v>2</v>
      </c>
      <c r="AO313" s="481"/>
      <c r="AP313" s="481"/>
      <c r="AQ313" s="481"/>
      <c r="AR313" s="481"/>
      <c r="AS313" s="481"/>
      <c r="AT313" s="481"/>
      <c r="AU313" s="481">
        <f t="shared" si="181"/>
        <v>2</v>
      </c>
      <c r="AV313" s="491">
        <v>7</v>
      </c>
      <c r="AW313" s="548"/>
      <c r="AX313" s="548"/>
      <c r="AY313" s="548"/>
      <c r="AZ313" s="548"/>
      <c r="BA313" s="548"/>
      <c r="BB313" s="548"/>
      <c r="BC313" s="548">
        <f t="shared" si="183"/>
        <v>7</v>
      </c>
      <c r="BD313" s="42">
        <f t="shared" ref="BD313:BH346" si="190">+AV313+AN313+AG313+Y313</f>
        <v>9</v>
      </c>
      <c r="BE313" s="42">
        <f t="shared" si="190"/>
        <v>0</v>
      </c>
      <c r="BF313" s="42">
        <f t="shared" si="190"/>
        <v>5</v>
      </c>
      <c r="BG313" s="42">
        <f t="shared" si="190"/>
        <v>0</v>
      </c>
      <c r="BH313" s="42">
        <f t="shared" si="190"/>
        <v>0</v>
      </c>
      <c r="BI313" s="42">
        <f t="shared" si="167"/>
        <v>0</v>
      </c>
      <c r="BJ313" s="42">
        <f t="shared" ref="BJ313:BK346" si="191">+BB313+AT313+AL313+AE313</f>
        <v>0</v>
      </c>
      <c r="BK313" s="42">
        <f t="shared" si="191"/>
        <v>14</v>
      </c>
    </row>
    <row r="314" spans="1:63" ht="42" customHeight="1" x14ac:dyDescent="0.25">
      <c r="A314" s="298" t="s">
        <v>896</v>
      </c>
      <c r="B314" s="299" t="s">
        <v>894</v>
      </c>
      <c r="C314" s="1547"/>
      <c r="D314" s="1549"/>
      <c r="E314" s="1549"/>
      <c r="F314" s="1549"/>
      <c r="G314" s="1549"/>
      <c r="H314" s="1549"/>
      <c r="I314" s="1425"/>
      <c r="J314" s="1425"/>
      <c r="K314" s="1428" t="s">
        <v>952</v>
      </c>
      <c r="L314" s="301" t="s">
        <v>901</v>
      </c>
      <c r="M314" s="1425" t="s">
        <v>902</v>
      </c>
      <c r="N314" s="476" t="s">
        <v>903</v>
      </c>
      <c r="O314" s="1425" t="s">
        <v>47</v>
      </c>
      <c r="P314" s="16" t="s">
        <v>953</v>
      </c>
      <c r="Q314" s="302" t="s">
        <v>954</v>
      </c>
      <c r="R314" s="303">
        <v>2015</v>
      </c>
      <c r="S314" s="303">
        <v>0</v>
      </c>
      <c r="T314" s="303">
        <v>0</v>
      </c>
      <c r="U314" s="572">
        <v>1</v>
      </c>
      <c r="V314" s="572">
        <v>2</v>
      </c>
      <c r="W314" s="572">
        <v>3</v>
      </c>
      <c r="X314" s="572">
        <v>3</v>
      </c>
      <c r="Y314" s="481"/>
      <c r="Z314" s="481"/>
      <c r="AA314" s="481"/>
      <c r="AB314" s="481"/>
      <c r="AC314" s="481"/>
      <c r="AD314" s="481"/>
      <c r="AE314" s="481"/>
      <c r="AF314" s="481">
        <f t="shared" si="188"/>
        <v>0</v>
      </c>
      <c r="AG314" s="491">
        <v>5</v>
      </c>
      <c r="AH314" s="548"/>
      <c r="AI314" s="548"/>
      <c r="AJ314" s="548"/>
      <c r="AK314" s="548"/>
      <c r="AL314" s="548"/>
      <c r="AM314" s="548">
        <f t="shared" si="189"/>
        <v>5</v>
      </c>
      <c r="AN314" s="491">
        <v>8</v>
      </c>
      <c r="AO314" s="481"/>
      <c r="AP314" s="481"/>
      <c r="AQ314" s="481"/>
      <c r="AR314" s="481"/>
      <c r="AS314" s="481"/>
      <c r="AT314" s="481"/>
      <c r="AU314" s="481">
        <f t="shared" si="181"/>
        <v>8</v>
      </c>
      <c r="AV314" s="548">
        <v>10</v>
      </c>
      <c r="AW314" s="548"/>
      <c r="AX314" s="548"/>
      <c r="AY314" s="548"/>
      <c r="AZ314" s="548"/>
      <c r="BA314" s="548"/>
      <c r="BB314" s="548"/>
      <c r="BC314" s="548">
        <f t="shared" si="183"/>
        <v>10</v>
      </c>
      <c r="BD314" s="42">
        <f t="shared" si="190"/>
        <v>23</v>
      </c>
      <c r="BE314" s="42">
        <f t="shared" si="190"/>
        <v>0</v>
      </c>
      <c r="BF314" s="42">
        <f t="shared" si="190"/>
        <v>0</v>
      </c>
      <c r="BG314" s="42">
        <f t="shared" si="190"/>
        <v>0</v>
      </c>
      <c r="BH314" s="42">
        <f t="shared" si="190"/>
        <v>0</v>
      </c>
      <c r="BI314" s="42">
        <f t="shared" si="167"/>
        <v>0</v>
      </c>
      <c r="BJ314" s="42">
        <f t="shared" si="191"/>
        <v>0</v>
      </c>
      <c r="BK314" s="42">
        <f t="shared" si="191"/>
        <v>23</v>
      </c>
    </row>
    <row r="315" spans="1:63" ht="21" customHeight="1" x14ac:dyDescent="0.25">
      <c r="A315" s="298" t="s">
        <v>896</v>
      </c>
      <c r="B315" s="299" t="s">
        <v>894</v>
      </c>
      <c r="C315" s="1547"/>
      <c r="D315" s="1549"/>
      <c r="E315" s="1549"/>
      <c r="F315" s="1549"/>
      <c r="G315" s="1549"/>
      <c r="H315" s="1549"/>
      <c r="I315" s="1425"/>
      <c r="J315" s="1425"/>
      <c r="K315" s="1428" t="s">
        <v>955</v>
      </c>
      <c r="L315" s="301" t="s">
        <v>901</v>
      </c>
      <c r="M315" s="1425" t="s">
        <v>902</v>
      </c>
      <c r="N315" s="476" t="s">
        <v>903</v>
      </c>
      <c r="O315" s="1425" t="s">
        <v>47</v>
      </c>
      <c r="P315" s="16" t="s">
        <v>956</v>
      </c>
      <c r="Q315" s="302" t="s">
        <v>957</v>
      </c>
      <c r="R315" s="303">
        <v>2015</v>
      </c>
      <c r="S315" s="303">
        <v>0</v>
      </c>
      <c r="T315" s="303">
        <v>1</v>
      </c>
      <c r="U315" s="572">
        <v>2</v>
      </c>
      <c r="V315" s="572">
        <v>3</v>
      </c>
      <c r="W315" s="572">
        <v>4</v>
      </c>
      <c r="X315" s="572">
        <v>4</v>
      </c>
      <c r="Y315" s="491">
        <v>0.5</v>
      </c>
      <c r="Z315" s="481"/>
      <c r="AA315" s="481"/>
      <c r="AB315" s="481"/>
      <c r="AC315" s="481"/>
      <c r="AD315" s="481"/>
      <c r="AE315" s="481"/>
      <c r="AF315" s="481">
        <f t="shared" si="188"/>
        <v>0.5</v>
      </c>
      <c r="AG315" s="491">
        <v>0.5</v>
      </c>
      <c r="AH315" s="548"/>
      <c r="AI315" s="548"/>
      <c r="AJ315" s="548"/>
      <c r="AK315" s="548"/>
      <c r="AL315" s="548"/>
      <c r="AM315" s="548">
        <f t="shared" si="189"/>
        <v>0.5</v>
      </c>
      <c r="AN315" s="491">
        <v>0.5</v>
      </c>
      <c r="AO315" s="481"/>
      <c r="AP315" s="481"/>
      <c r="AQ315" s="481"/>
      <c r="AR315" s="481"/>
      <c r="AS315" s="481"/>
      <c r="AT315" s="481"/>
      <c r="AU315" s="481">
        <f t="shared" si="181"/>
        <v>0.5</v>
      </c>
      <c r="AV315" s="491">
        <v>1</v>
      </c>
      <c r="AW315" s="548"/>
      <c r="AX315" s="548"/>
      <c r="AY315" s="548"/>
      <c r="AZ315" s="548"/>
      <c r="BA315" s="548"/>
      <c r="BB315" s="548"/>
      <c r="BC315" s="548">
        <f t="shared" si="183"/>
        <v>1</v>
      </c>
      <c r="BD315" s="42">
        <f t="shared" si="190"/>
        <v>2.5</v>
      </c>
      <c r="BE315" s="42">
        <f t="shared" si="190"/>
        <v>0</v>
      </c>
      <c r="BF315" s="42">
        <f t="shared" si="190"/>
        <v>0</v>
      </c>
      <c r="BG315" s="42">
        <f t="shared" si="190"/>
        <v>0</v>
      </c>
      <c r="BH315" s="42">
        <f t="shared" si="190"/>
        <v>0</v>
      </c>
      <c r="BI315" s="42">
        <f t="shared" si="167"/>
        <v>0</v>
      </c>
      <c r="BJ315" s="42">
        <f t="shared" si="191"/>
        <v>0</v>
      </c>
      <c r="BK315" s="42">
        <f t="shared" si="191"/>
        <v>2.5</v>
      </c>
    </row>
    <row r="316" spans="1:63" ht="57" customHeight="1" x14ac:dyDescent="0.25">
      <c r="A316" s="298" t="s">
        <v>896</v>
      </c>
      <c r="B316" s="299" t="s">
        <v>894</v>
      </c>
      <c r="C316" s="1547"/>
      <c r="D316" s="1549"/>
      <c r="E316" s="1549"/>
      <c r="F316" s="1549"/>
      <c r="G316" s="1549"/>
      <c r="H316" s="1549"/>
      <c r="I316" s="1425" t="s">
        <v>53</v>
      </c>
      <c r="J316" s="1425"/>
      <c r="K316" s="1428" t="s">
        <v>958</v>
      </c>
      <c r="L316" s="301" t="s">
        <v>901</v>
      </c>
      <c r="M316" s="1425" t="s">
        <v>902</v>
      </c>
      <c r="N316" s="476" t="s">
        <v>903</v>
      </c>
      <c r="O316" s="1425" t="s">
        <v>47</v>
      </c>
      <c r="P316" s="16" t="s">
        <v>959</v>
      </c>
      <c r="Q316" s="302" t="s">
        <v>960</v>
      </c>
      <c r="R316" s="303">
        <v>2015</v>
      </c>
      <c r="S316" s="303">
        <v>0</v>
      </c>
      <c r="T316" s="303">
        <v>0</v>
      </c>
      <c r="U316" s="572">
        <v>1</v>
      </c>
      <c r="V316" s="572">
        <v>1</v>
      </c>
      <c r="W316" s="572">
        <v>1</v>
      </c>
      <c r="X316" s="572">
        <v>1</v>
      </c>
      <c r="Y316" s="481"/>
      <c r="Z316" s="481"/>
      <c r="AA316" s="481"/>
      <c r="AB316" s="481"/>
      <c r="AC316" s="481"/>
      <c r="AD316" s="481"/>
      <c r="AE316" s="481"/>
      <c r="AF316" s="481">
        <f t="shared" si="188"/>
        <v>0</v>
      </c>
      <c r="AG316" s="548"/>
      <c r="AH316" s="548"/>
      <c r="AI316" s="548"/>
      <c r="AJ316" s="548">
        <v>100</v>
      </c>
      <c r="AK316" s="548"/>
      <c r="AL316" s="548"/>
      <c r="AM316" s="548">
        <f t="shared" si="189"/>
        <v>100</v>
      </c>
      <c r="AN316" s="491">
        <v>0.5</v>
      </c>
      <c r="AO316" s="481"/>
      <c r="AP316" s="481"/>
      <c r="AQ316" s="481"/>
      <c r="AR316" s="481"/>
      <c r="AS316" s="481"/>
      <c r="AT316" s="481"/>
      <c r="AU316" s="481">
        <f t="shared" si="181"/>
        <v>0.5</v>
      </c>
      <c r="AV316" s="491">
        <v>1</v>
      </c>
      <c r="AW316" s="548"/>
      <c r="AX316" s="548"/>
      <c r="AY316" s="548"/>
      <c r="AZ316" s="548"/>
      <c r="BA316" s="548"/>
      <c r="BB316" s="548"/>
      <c r="BC316" s="548">
        <f t="shared" si="183"/>
        <v>1</v>
      </c>
      <c r="BD316" s="42">
        <f t="shared" si="190"/>
        <v>1.5</v>
      </c>
      <c r="BE316" s="42">
        <f t="shared" si="190"/>
        <v>0</v>
      </c>
      <c r="BF316" s="42">
        <f t="shared" si="190"/>
        <v>0</v>
      </c>
      <c r="BG316" s="42">
        <f t="shared" si="190"/>
        <v>100</v>
      </c>
      <c r="BH316" s="42">
        <f t="shared" si="190"/>
        <v>0</v>
      </c>
      <c r="BI316" s="42">
        <f t="shared" si="167"/>
        <v>0</v>
      </c>
      <c r="BJ316" s="42">
        <f t="shared" si="191"/>
        <v>0</v>
      </c>
      <c r="BK316" s="42">
        <f t="shared" si="191"/>
        <v>101.5</v>
      </c>
    </row>
    <row r="317" spans="1:63" ht="55.5" customHeight="1" x14ac:dyDescent="0.25">
      <c r="A317" s="298" t="s">
        <v>896</v>
      </c>
      <c r="B317" s="299" t="s">
        <v>894</v>
      </c>
      <c r="C317" s="1547"/>
      <c r="D317" s="1549"/>
      <c r="E317" s="1549"/>
      <c r="F317" s="1549"/>
      <c r="G317" s="1549"/>
      <c r="H317" s="1549"/>
      <c r="I317" s="1425" t="s">
        <v>53</v>
      </c>
      <c r="J317" s="1425"/>
      <c r="K317" s="1428" t="s">
        <v>961</v>
      </c>
      <c r="L317" s="301" t="s">
        <v>901</v>
      </c>
      <c r="M317" s="1425" t="s">
        <v>902</v>
      </c>
      <c r="N317" s="476" t="s">
        <v>903</v>
      </c>
      <c r="O317" s="1425" t="s">
        <v>47</v>
      </c>
      <c r="P317" s="16" t="s">
        <v>962</v>
      </c>
      <c r="Q317" s="302" t="s">
        <v>963</v>
      </c>
      <c r="R317" s="303">
        <v>2015</v>
      </c>
      <c r="S317" s="303">
        <v>0</v>
      </c>
      <c r="T317" s="303">
        <v>1</v>
      </c>
      <c r="U317" s="572">
        <v>1</v>
      </c>
      <c r="V317" s="572">
        <v>1</v>
      </c>
      <c r="W317" s="572">
        <v>1</v>
      </c>
      <c r="X317" s="572">
        <v>1</v>
      </c>
      <c r="Y317" s="491">
        <v>0.5</v>
      </c>
      <c r="Z317" s="481"/>
      <c r="AA317" s="481"/>
      <c r="AB317" s="481"/>
      <c r="AC317" s="481"/>
      <c r="AD317" s="481"/>
      <c r="AE317" s="481"/>
      <c r="AF317" s="481">
        <f t="shared" si="188"/>
        <v>0.5</v>
      </c>
      <c r="AG317" s="491">
        <v>0.5</v>
      </c>
      <c r="AH317" s="548"/>
      <c r="AI317" s="548"/>
      <c r="AJ317" s="548"/>
      <c r="AK317" s="548"/>
      <c r="AL317" s="548"/>
      <c r="AM317" s="548">
        <f t="shared" si="189"/>
        <v>0.5</v>
      </c>
      <c r="AN317" s="491">
        <v>0.5</v>
      </c>
      <c r="AO317" s="481"/>
      <c r="AP317" s="481"/>
      <c r="AQ317" s="481"/>
      <c r="AR317" s="481"/>
      <c r="AS317" s="481"/>
      <c r="AT317" s="481"/>
      <c r="AU317" s="481">
        <f t="shared" si="181"/>
        <v>0.5</v>
      </c>
      <c r="AV317" s="491">
        <v>1</v>
      </c>
      <c r="AW317" s="548"/>
      <c r="AX317" s="548"/>
      <c r="AY317" s="548"/>
      <c r="AZ317" s="548"/>
      <c r="BA317" s="548"/>
      <c r="BB317" s="548"/>
      <c r="BC317" s="548">
        <f t="shared" si="183"/>
        <v>1</v>
      </c>
      <c r="BD317" s="42">
        <f t="shared" si="190"/>
        <v>2.5</v>
      </c>
      <c r="BE317" s="42">
        <f t="shared" si="190"/>
        <v>0</v>
      </c>
      <c r="BF317" s="42">
        <f t="shared" si="190"/>
        <v>0</v>
      </c>
      <c r="BG317" s="42">
        <f t="shared" si="190"/>
        <v>0</v>
      </c>
      <c r="BH317" s="42">
        <f t="shared" si="190"/>
        <v>0</v>
      </c>
      <c r="BI317" s="42">
        <f t="shared" si="167"/>
        <v>0</v>
      </c>
      <c r="BJ317" s="42">
        <f t="shared" si="191"/>
        <v>0</v>
      </c>
      <c r="BK317" s="42">
        <f t="shared" si="191"/>
        <v>2.5</v>
      </c>
    </row>
    <row r="318" spans="1:63" ht="57" customHeight="1" x14ac:dyDescent="0.25">
      <c r="A318" s="298" t="s">
        <v>896</v>
      </c>
      <c r="B318" s="299" t="s">
        <v>894</v>
      </c>
      <c r="C318" s="1547"/>
      <c r="D318" s="1549"/>
      <c r="E318" s="1549"/>
      <c r="F318" s="1549"/>
      <c r="G318" s="1549"/>
      <c r="H318" s="1549"/>
      <c r="I318" s="1425"/>
      <c r="J318" s="1425"/>
      <c r="K318" s="1428" t="s">
        <v>964</v>
      </c>
      <c r="L318" s="301" t="s">
        <v>901</v>
      </c>
      <c r="M318" s="1425" t="s">
        <v>902</v>
      </c>
      <c r="N318" s="476" t="s">
        <v>903</v>
      </c>
      <c r="O318" s="1425" t="s">
        <v>47</v>
      </c>
      <c r="P318" s="16" t="s">
        <v>965</v>
      </c>
      <c r="Q318" s="302" t="s">
        <v>966</v>
      </c>
      <c r="R318" s="303">
        <v>2015</v>
      </c>
      <c r="S318" s="303">
        <v>0</v>
      </c>
      <c r="T318" s="303">
        <v>1</v>
      </c>
      <c r="U318" s="572">
        <v>2</v>
      </c>
      <c r="V318" s="572">
        <v>2</v>
      </c>
      <c r="W318" s="572">
        <v>2</v>
      </c>
      <c r="X318" s="572">
        <v>2</v>
      </c>
      <c r="Y318" s="482"/>
      <c r="Z318" s="481"/>
      <c r="AA318" s="481"/>
      <c r="AB318" s="481"/>
      <c r="AC318" s="481"/>
      <c r="AD318" s="481">
        <v>5</v>
      </c>
      <c r="AE318" s="482"/>
      <c r="AF318" s="481">
        <f t="shared" si="188"/>
        <v>5</v>
      </c>
      <c r="AG318" s="491">
        <v>2.5</v>
      </c>
      <c r="AH318" s="548"/>
      <c r="AI318" s="548"/>
      <c r="AJ318" s="548"/>
      <c r="AK318" s="548"/>
      <c r="AL318" s="548"/>
      <c r="AM318" s="548">
        <f t="shared" si="189"/>
        <v>2.5</v>
      </c>
      <c r="AN318" s="491">
        <v>3</v>
      </c>
      <c r="AO318" s="481"/>
      <c r="AP318" s="481"/>
      <c r="AQ318" s="481"/>
      <c r="AR318" s="481"/>
      <c r="AS318" s="481"/>
      <c r="AT318" s="481"/>
      <c r="AU318" s="481">
        <f t="shared" si="181"/>
        <v>3</v>
      </c>
      <c r="AV318" s="491">
        <v>3</v>
      </c>
      <c r="AW318" s="548"/>
      <c r="AX318" s="548"/>
      <c r="AY318" s="548"/>
      <c r="AZ318" s="548"/>
      <c r="BA318" s="548"/>
      <c r="BB318" s="548"/>
      <c r="BC318" s="548">
        <f t="shared" si="183"/>
        <v>3</v>
      </c>
      <c r="BD318" s="42">
        <f t="shared" si="190"/>
        <v>8.5</v>
      </c>
      <c r="BE318" s="42">
        <f t="shared" si="190"/>
        <v>0</v>
      </c>
      <c r="BF318" s="42">
        <f t="shared" si="190"/>
        <v>0</v>
      </c>
      <c r="BG318" s="42">
        <f t="shared" si="190"/>
        <v>0</v>
      </c>
      <c r="BH318" s="42">
        <f t="shared" si="190"/>
        <v>0</v>
      </c>
      <c r="BI318" s="42">
        <f t="shared" si="167"/>
        <v>5</v>
      </c>
      <c r="BJ318" s="42">
        <f t="shared" si="191"/>
        <v>0</v>
      </c>
      <c r="BK318" s="42">
        <f t="shared" si="191"/>
        <v>13.5</v>
      </c>
    </row>
    <row r="319" spans="1:63" ht="69.75" customHeight="1" x14ac:dyDescent="0.25">
      <c r="A319" s="298" t="s">
        <v>896</v>
      </c>
      <c r="B319" s="299" t="s">
        <v>894</v>
      </c>
      <c r="C319" s="1547"/>
      <c r="D319" s="1549"/>
      <c r="E319" s="1549"/>
      <c r="F319" s="1549"/>
      <c r="G319" s="1549"/>
      <c r="H319" s="1549"/>
      <c r="I319" s="1425"/>
      <c r="J319" s="379"/>
      <c r="K319" s="1428" t="s">
        <v>967</v>
      </c>
      <c r="L319" s="301" t="s">
        <v>901</v>
      </c>
      <c r="M319" s="1425" t="s">
        <v>902</v>
      </c>
      <c r="N319" s="476" t="s">
        <v>903</v>
      </c>
      <c r="O319" s="1425" t="s">
        <v>47</v>
      </c>
      <c r="P319" s="16" t="s">
        <v>968</v>
      </c>
      <c r="Q319" s="348" t="s">
        <v>966</v>
      </c>
      <c r="R319" s="303">
        <v>2015</v>
      </c>
      <c r="S319" s="303">
        <v>0</v>
      </c>
      <c r="T319" s="303">
        <v>1</v>
      </c>
      <c r="U319" s="572">
        <v>1</v>
      </c>
      <c r="V319" s="572">
        <v>0</v>
      </c>
      <c r="W319" s="572">
        <v>0</v>
      </c>
      <c r="X319" s="572">
        <v>1</v>
      </c>
      <c r="Y319" s="481"/>
      <c r="Z319" s="481"/>
      <c r="AA319" s="491">
        <v>0.5</v>
      </c>
      <c r="AB319" s="481"/>
      <c r="AC319" s="481"/>
      <c r="AD319" s="481"/>
      <c r="AE319" s="481"/>
      <c r="AF319" s="481">
        <f t="shared" si="188"/>
        <v>0.5</v>
      </c>
      <c r="AG319" s="491">
        <v>0.5</v>
      </c>
      <c r="AH319" s="548"/>
      <c r="AI319" s="548"/>
      <c r="AJ319" s="548"/>
      <c r="AK319" s="548"/>
      <c r="AL319" s="548"/>
      <c r="AM319" s="548">
        <f t="shared" si="189"/>
        <v>0.5</v>
      </c>
      <c r="AN319" s="491"/>
      <c r="AO319" s="481"/>
      <c r="AP319" s="481"/>
      <c r="AQ319" s="481"/>
      <c r="AR319" s="481"/>
      <c r="AS319" s="481"/>
      <c r="AT319" s="481"/>
      <c r="AU319" s="481">
        <f t="shared" si="181"/>
        <v>0</v>
      </c>
      <c r="AV319" s="491"/>
      <c r="AW319" s="548"/>
      <c r="AX319" s="548"/>
      <c r="AY319" s="548"/>
      <c r="AZ319" s="548"/>
      <c r="BA319" s="548"/>
      <c r="BB319" s="548"/>
      <c r="BC319" s="548">
        <f t="shared" si="183"/>
        <v>0</v>
      </c>
      <c r="BD319" s="42">
        <f t="shared" si="190"/>
        <v>0.5</v>
      </c>
      <c r="BE319" s="42">
        <f t="shared" si="190"/>
        <v>0</v>
      </c>
      <c r="BF319" s="42">
        <f t="shared" si="190"/>
        <v>0.5</v>
      </c>
      <c r="BG319" s="42">
        <f t="shared" si="190"/>
        <v>0</v>
      </c>
      <c r="BH319" s="42">
        <f t="shared" si="190"/>
        <v>0</v>
      </c>
      <c r="BI319" s="42">
        <f t="shared" si="167"/>
        <v>0</v>
      </c>
      <c r="BJ319" s="42">
        <f t="shared" si="191"/>
        <v>0</v>
      </c>
      <c r="BK319" s="42">
        <f t="shared" si="191"/>
        <v>1</v>
      </c>
    </row>
    <row r="320" spans="1:63" ht="69" customHeight="1" x14ac:dyDescent="0.25">
      <c r="A320" s="298" t="s">
        <v>896</v>
      </c>
      <c r="B320" s="299" t="s">
        <v>894</v>
      </c>
      <c r="C320" s="1547"/>
      <c r="D320" s="1549"/>
      <c r="E320" s="1549"/>
      <c r="F320" s="1549"/>
      <c r="G320" s="1549"/>
      <c r="H320" s="1549"/>
      <c r="I320" s="1425"/>
      <c r="J320" s="379"/>
      <c r="K320" s="1428" t="s">
        <v>969</v>
      </c>
      <c r="L320" s="301" t="s">
        <v>970</v>
      </c>
      <c r="M320" s="1425" t="s">
        <v>902</v>
      </c>
      <c r="N320" s="476" t="s">
        <v>903</v>
      </c>
      <c r="O320" s="1425" t="s">
        <v>47</v>
      </c>
      <c r="P320" s="71" t="s">
        <v>971</v>
      </c>
      <c r="Q320" s="348" t="s">
        <v>972</v>
      </c>
      <c r="R320" s="303" t="s">
        <v>973</v>
      </c>
      <c r="S320" s="303">
        <v>750</v>
      </c>
      <c r="T320" s="303">
        <v>0</v>
      </c>
      <c r="U320" s="303">
        <v>600</v>
      </c>
      <c r="V320" s="303">
        <v>0</v>
      </c>
      <c r="W320" s="572">
        <v>0</v>
      </c>
      <c r="X320" s="572">
        <v>600</v>
      </c>
      <c r="Y320" s="481"/>
      <c r="Z320" s="481"/>
      <c r="AA320" s="481">
        <v>0</v>
      </c>
      <c r="AB320" s="481"/>
      <c r="AC320" s="481"/>
      <c r="AD320" s="481"/>
      <c r="AE320" s="481"/>
      <c r="AF320" s="481">
        <f t="shared" si="188"/>
        <v>0</v>
      </c>
      <c r="AG320" s="491">
        <v>4.5</v>
      </c>
      <c r="AH320" s="548"/>
      <c r="AI320" s="548"/>
      <c r="AJ320" s="548"/>
      <c r="AK320" s="548"/>
      <c r="AL320" s="491">
        <v>200</v>
      </c>
      <c r="AM320" s="548">
        <f t="shared" si="189"/>
        <v>204.5</v>
      </c>
      <c r="AN320" s="491"/>
      <c r="AO320" s="481"/>
      <c r="AP320" s="481"/>
      <c r="AQ320" s="481"/>
      <c r="AR320" s="481"/>
      <c r="AS320" s="481"/>
      <c r="AT320" s="481"/>
      <c r="AU320" s="481">
        <f t="shared" si="181"/>
        <v>0</v>
      </c>
      <c r="AV320" s="491"/>
      <c r="AW320" s="548"/>
      <c r="AX320" s="548"/>
      <c r="AY320" s="548"/>
      <c r="AZ320" s="548"/>
      <c r="BA320" s="548"/>
      <c r="BB320" s="548"/>
      <c r="BC320" s="548">
        <f t="shared" si="183"/>
        <v>0</v>
      </c>
      <c r="BD320" s="42">
        <f t="shared" si="190"/>
        <v>4.5</v>
      </c>
      <c r="BE320" s="42">
        <f t="shared" si="190"/>
        <v>0</v>
      </c>
      <c r="BF320" s="42">
        <f t="shared" si="190"/>
        <v>0</v>
      </c>
      <c r="BG320" s="42">
        <f t="shared" si="190"/>
        <v>0</v>
      </c>
      <c r="BH320" s="42">
        <f t="shared" si="190"/>
        <v>0</v>
      </c>
      <c r="BI320" s="42">
        <f t="shared" si="167"/>
        <v>0</v>
      </c>
      <c r="BJ320" s="42">
        <f t="shared" si="191"/>
        <v>200</v>
      </c>
      <c r="BK320" s="42">
        <f t="shared" si="191"/>
        <v>204.5</v>
      </c>
    </row>
    <row r="321" spans="1:63" ht="64.5" customHeight="1" x14ac:dyDescent="0.25">
      <c r="A321" s="298" t="s">
        <v>896</v>
      </c>
      <c r="B321" s="299" t="s">
        <v>894</v>
      </c>
      <c r="C321" s="1547"/>
      <c r="D321" s="1549"/>
      <c r="E321" s="1549"/>
      <c r="F321" s="1549"/>
      <c r="G321" s="1549"/>
      <c r="H321" s="1549"/>
      <c r="I321" s="1425"/>
      <c r="J321" s="379"/>
      <c r="K321" s="1428" t="s">
        <v>974</v>
      </c>
      <c r="L321" s="301" t="s">
        <v>901</v>
      </c>
      <c r="M321" s="1425" t="s">
        <v>902</v>
      </c>
      <c r="N321" s="476" t="s">
        <v>903</v>
      </c>
      <c r="O321" s="1425" t="s">
        <v>47</v>
      </c>
      <c r="P321" s="16" t="s">
        <v>975</v>
      </c>
      <c r="Q321" s="348" t="s">
        <v>976</v>
      </c>
      <c r="R321" s="303" t="s">
        <v>973</v>
      </c>
      <c r="S321" s="303">
        <v>450</v>
      </c>
      <c r="T321" s="303">
        <v>0</v>
      </c>
      <c r="U321" s="572">
        <v>0</v>
      </c>
      <c r="V321" s="572">
        <v>50</v>
      </c>
      <c r="W321" s="572">
        <v>100</v>
      </c>
      <c r="X321" s="572">
        <v>100</v>
      </c>
      <c r="Y321" s="481"/>
      <c r="Z321" s="481"/>
      <c r="AA321" s="481"/>
      <c r="AB321" s="481"/>
      <c r="AC321" s="481"/>
      <c r="AD321" s="481"/>
      <c r="AE321" s="481"/>
      <c r="AF321" s="481">
        <f t="shared" si="188"/>
        <v>0</v>
      </c>
      <c r="AG321" s="548"/>
      <c r="AH321" s="548"/>
      <c r="AI321" s="548"/>
      <c r="AJ321" s="548"/>
      <c r="AK321" s="548"/>
      <c r="AL321" s="548"/>
      <c r="AM321" s="548">
        <f t="shared" si="189"/>
        <v>0</v>
      </c>
      <c r="AN321" s="491">
        <v>4</v>
      </c>
      <c r="AO321" s="481"/>
      <c r="AP321" s="481"/>
      <c r="AQ321" s="481"/>
      <c r="AR321" s="481"/>
      <c r="AS321" s="481"/>
      <c r="AT321" s="481"/>
      <c r="AU321" s="481">
        <f t="shared" si="181"/>
        <v>4</v>
      </c>
      <c r="AV321" s="548">
        <v>6</v>
      </c>
      <c r="AW321" s="548"/>
      <c r="AX321" s="548"/>
      <c r="AY321" s="548"/>
      <c r="AZ321" s="548"/>
      <c r="BA321" s="548"/>
      <c r="BB321" s="548"/>
      <c r="BC321" s="548">
        <f t="shared" si="183"/>
        <v>6</v>
      </c>
      <c r="BD321" s="42">
        <f t="shared" si="190"/>
        <v>10</v>
      </c>
      <c r="BE321" s="42">
        <f t="shared" si="190"/>
        <v>0</v>
      </c>
      <c r="BF321" s="42">
        <f t="shared" si="190"/>
        <v>0</v>
      </c>
      <c r="BG321" s="42">
        <f t="shared" si="190"/>
        <v>0</v>
      </c>
      <c r="BH321" s="42">
        <f t="shared" si="190"/>
        <v>0</v>
      </c>
      <c r="BI321" s="42">
        <f t="shared" si="167"/>
        <v>0</v>
      </c>
      <c r="BJ321" s="42">
        <f t="shared" si="191"/>
        <v>0</v>
      </c>
      <c r="BK321" s="42">
        <f t="shared" si="191"/>
        <v>10</v>
      </c>
    </row>
    <row r="322" spans="1:63" ht="39.75" customHeight="1" x14ac:dyDescent="0.25">
      <c r="A322" s="298" t="s">
        <v>896</v>
      </c>
      <c r="B322" s="299" t="s">
        <v>894</v>
      </c>
      <c r="C322" s="1547"/>
      <c r="D322" s="1549"/>
      <c r="E322" s="1549"/>
      <c r="F322" s="1549"/>
      <c r="G322" s="1549"/>
      <c r="H322" s="1549"/>
      <c r="I322" s="1425"/>
      <c r="J322" s="379"/>
      <c r="K322" s="1428" t="s">
        <v>977</v>
      </c>
      <c r="L322" s="301" t="s">
        <v>901</v>
      </c>
      <c r="M322" s="1425" t="s">
        <v>902</v>
      </c>
      <c r="N322" s="476" t="s">
        <v>903</v>
      </c>
      <c r="O322" s="1425" t="s">
        <v>47</v>
      </c>
      <c r="P322" s="16" t="s">
        <v>978</v>
      </c>
      <c r="Q322" s="348" t="s">
        <v>979</v>
      </c>
      <c r="R322" s="303">
        <v>2015</v>
      </c>
      <c r="S322" s="303">
        <v>0</v>
      </c>
      <c r="T322" s="303">
        <v>0</v>
      </c>
      <c r="U322" s="572">
        <v>5</v>
      </c>
      <c r="V322" s="572">
        <v>10</v>
      </c>
      <c r="W322" s="572">
        <v>10</v>
      </c>
      <c r="X322" s="572">
        <v>10</v>
      </c>
      <c r="Y322" s="481"/>
      <c r="Z322" s="481"/>
      <c r="AA322" s="481"/>
      <c r="AB322" s="481"/>
      <c r="AC322" s="481"/>
      <c r="AD322" s="481"/>
      <c r="AE322" s="481"/>
      <c r="AF322" s="481">
        <f t="shared" si="188"/>
        <v>0</v>
      </c>
      <c r="AG322" s="548">
        <v>5</v>
      </c>
      <c r="AH322" s="548"/>
      <c r="AI322" s="548"/>
      <c r="AJ322" s="548"/>
      <c r="AK322" s="548"/>
      <c r="AL322" s="548"/>
      <c r="AM322" s="548">
        <f t="shared" si="189"/>
        <v>5</v>
      </c>
      <c r="AN322" s="42">
        <v>5</v>
      </c>
      <c r="AO322" s="481"/>
      <c r="AP322" s="481"/>
      <c r="AQ322" s="481"/>
      <c r="AR322" s="481"/>
      <c r="AS322" s="481"/>
      <c r="AT322" s="481"/>
      <c r="AU322" s="481">
        <f t="shared" si="181"/>
        <v>5</v>
      </c>
      <c r="AV322" s="491">
        <v>1</v>
      </c>
      <c r="AW322" s="548"/>
      <c r="AX322" s="548"/>
      <c r="AY322" s="548"/>
      <c r="AZ322" s="548"/>
      <c r="BA322" s="548"/>
      <c r="BB322" s="548"/>
      <c r="BC322" s="548">
        <f t="shared" si="183"/>
        <v>1</v>
      </c>
      <c r="BD322" s="42">
        <f t="shared" si="190"/>
        <v>11</v>
      </c>
      <c r="BE322" s="42">
        <f t="shared" si="190"/>
        <v>0</v>
      </c>
      <c r="BF322" s="42">
        <f t="shared" si="190"/>
        <v>0</v>
      </c>
      <c r="BG322" s="42">
        <f t="shared" si="190"/>
        <v>0</v>
      </c>
      <c r="BH322" s="42">
        <f t="shared" si="190"/>
        <v>0</v>
      </c>
      <c r="BI322" s="42">
        <f t="shared" si="167"/>
        <v>0</v>
      </c>
      <c r="BJ322" s="42">
        <f t="shared" si="191"/>
        <v>0</v>
      </c>
      <c r="BK322" s="42">
        <f t="shared" si="191"/>
        <v>11</v>
      </c>
    </row>
    <row r="323" spans="1:63" ht="77.25" customHeight="1" x14ac:dyDescent="0.25">
      <c r="A323" s="298" t="s">
        <v>896</v>
      </c>
      <c r="B323" s="299" t="s">
        <v>894</v>
      </c>
      <c r="C323" s="1547"/>
      <c r="D323" s="1549"/>
      <c r="E323" s="1549"/>
      <c r="F323" s="1549"/>
      <c r="G323" s="1549"/>
      <c r="H323" s="1549"/>
      <c r="I323" s="1425"/>
      <c r="J323" s="379"/>
      <c r="K323" s="1428" t="s">
        <v>980</v>
      </c>
      <c r="L323" s="301" t="s">
        <v>901</v>
      </c>
      <c r="M323" s="1425" t="s">
        <v>902</v>
      </c>
      <c r="N323" s="476" t="s">
        <v>903</v>
      </c>
      <c r="O323" s="1425" t="s">
        <v>47</v>
      </c>
      <c r="P323" s="16" t="s">
        <v>981</v>
      </c>
      <c r="Q323" s="348" t="s">
        <v>982</v>
      </c>
      <c r="R323" s="303">
        <v>2015</v>
      </c>
      <c r="S323" s="303">
        <v>0</v>
      </c>
      <c r="T323" s="303">
        <v>0</v>
      </c>
      <c r="U323" s="572">
        <v>1</v>
      </c>
      <c r="V323" s="572">
        <v>1</v>
      </c>
      <c r="W323" s="572">
        <v>1</v>
      </c>
      <c r="X323" s="572">
        <v>1</v>
      </c>
      <c r="Y323" s="481">
        <v>0</v>
      </c>
      <c r="Z323" s="481"/>
      <c r="AA323" s="481"/>
      <c r="AB323" s="481"/>
      <c r="AC323" s="481"/>
      <c r="AD323" s="481"/>
      <c r="AE323" s="481"/>
      <c r="AF323" s="481">
        <f t="shared" si="188"/>
        <v>0</v>
      </c>
      <c r="AG323" s="491">
        <v>3</v>
      </c>
      <c r="AH323" s="548"/>
      <c r="AI323" s="548"/>
      <c r="AJ323" s="548"/>
      <c r="AK323" s="548"/>
      <c r="AL323" s="548"/>
      <c r="AM323" s="548">
        <f t="shared" si="189"/>
        <v>3</v>
      </c>
      <c r="AN323" s="491">
        <v>0.5</v>
      </c>
      <c r="AO323" s="481"/>
      <c r="AP323" s="481"/>
      <c r="AQ323" s="481"/>
      <c r="AR323" s="481"/>
      <c r="AS323" s="481"/>
      <c r="AT323" s="481"/>
      <c r="AU323" s="481">
        <f t="shared" si="181"/>
        <v>0.5</v>
      </c>
      <c r="AV323" s="491">
        <v>1</v>
      </c>
      <c r="AW323" s="548"/>
      <c r="AX323" s="548"/>
      <c r="AY323" s="548"/>
      <c r="AZ323" s="548"/>
      <c r="BA323" s="548"/>
      <c r="BB323" s="548"/>
      <c r="BC323" s="548">
        <f>SUM(AV323:BB323)</f>
        <v>1</v>
      </c>
      <c r="BD323" s="42">
        <f>+AV323+AN323+AG323+Y323</f>
        <v>4.5</v>
      </c>
      <c r="BE323" s="42">
        <f>+AW323+AO323+AH323+Z323</f>
        <v>0</v>
      </c>
      <c r="BF323" s="42">
        <f>+AX323+AP323+AI323+AA323</f>
        <v>0</v>
      </c>
      <c r="BG323" s="42">
        <f>+AY323+AQ323+AJ323+AB323</f>
        <v>0</v>
      </c>
      <c r="BH323" s="42">
        <f>+AZ323+AR323+AK323+AC323</f>
        <v>0</v>
      </c>
      <c r="BI323" s="42">
        <f>+AD323+AS323+BA323</f>
        <v>0</v>
      </c>
      <c r="BJ323" s="42">
        <f>+BB323+AT323+AL323+AE323</f>
        <v>0</v>
      </c>
      <c r="BK323" s="42">
        <f>+BC323+AU323+AM323+AF323</f>
        <v>4.5</v>
      </c>
    </row>
    <row r="324" spans="1:63" ht="53.25" customHeight="1" x14ac:dyDescent="0.25">
      <c r="A324" s="298" t="s">
        <v>896</v>
      </c>
      <c r="B324" s="299" t="s">
        <v>894</v>
      </c>
      <c r="C324" s="1547"/>
      <c r="D324" s="1549"/>
      <c r="E324" s="1549"/>
      <c r="F324" s="1549"/>
      <c r="G324" s="1549"/>
      <c r="H324" s="1549"/>
      <c r="I324" s="1425"/>
      <c r="J324" s="379"/>
      <c r="K324" s="1428" t="s">
        <v>983</v>
      </c>
      <c r="L324" s="301" t="s">
        <v>901</v>
      </c>
      <c r="M324" s="1425" t="s">
        <v>902</v>
      </c>
      <c r="N324" s="476" t="s">
        <v>903</v>
      </c>
      <c r="O324" s="1425" t="s">
        <v>47</v>
      </c>
      <c r="P324" s="16" t="s">
        <v>984</v>
      </c>
      <c r="Q324" s="348" t="s">
        <v>985</v>
      </c>
      <c r="R324" s="303">
        <v>2015</v>
      </c>
      <c r="S324" s="303">
        <v>1</v>
      </c>
      <c r="T324" s="303">
        <v>0</v>
      </c>
      <c r="U324" s="572">
        <v>0</v>
      </c>
      <c r="V324" s="572">
        <v>1</v>
      </c>
      <c r="W324" s="572">
        <v>0</v>
      </c>
      <c r="X324" s="572">
        <v>1</v>
      </c>
      <c r="Y324" s="481"/>
      <c r="Z324" s="481"/>
      <c r="AA324" s="481"/>
      <c r="AB324" s="481"/>
      <c r="AC324" s="481"/>
      <c r="AD324" s="481"/>
      <c r="AE324" s="481"/>
      <c r="AF324" s="481">
        <f t="shared" si="188"/>
        <v>0</v>
      </c>
      <c r="AG324" s="548"/>
      <c r="AH324" s="548"/>
      <c r="AI324" s="548"/>
      <c r="AJ324" s="548"/>
      <c r="AK324" s="548"/>
      <c r="AL324" s="548"/>
      <c r="AM324" s="548">
        <f t="shared" si="189"/>
        <v>0</v>
      </c>
      <c r="AN324" s="491">
        <v>4</v>
      </c>
      <c r="AO324" s="481"/>
      <c r="AP324" s="481"/>
      <c r="AQ324" s="481"/>
      <c r="AR324" s="481"/>
      <c r="AS324" s="481"/>
      <c r="AT324" s="481"/>
      <c r="AU324" s="481">
        <f t="shared" si="181"/>
        <v>4</v>
      </c>
      <c r="AV324" s="548"/>
      <c r="AW324" s="548"/>
      <c r="AX324" s="548"/>
      <c r="AY324" s="548"/>
      <c r="AZ324" s="548"/>
      <c r="BA324" s="548"/>
      <c r="BB324" s="548"/>
      <c r="BC324" s="548">
        <f t="shared" si="183"/>
        <v>0</v>
      </c>
      <c r="BD324" s="42">
        <f t="shared" si="190"/>
        <v>4</v>
      </c>
      <c r="BE324" s="42">
        <f t="shared" si="190"/>
        <v>0</v>
      </c>
      <c r="BF324" s="42">
        <f t="shared" si="190"/>
        <v>0</v>
      </c>
      <c r="BG324" s="42">
        <f t="shared" si="190"/>
        <v>0</v>
      </c>
      <c r="BH324" s="42">
        <f t="shared" si="190"/>
        <v>0</v>
      </c>
      <c r="BI324" s="42">
        <f t="shared" si="167"/>
        <v>0</v>
      </c>
      <c r="BJ324" s="42">
        <f t="shared" si="191"/>
        <v>0</v>
      </c>
      <c r="BK324" s="42">
        <f t="shared" si="191"/>
        <v>4</v>
      </c>
    </row>
    <row r="325" spans="1:63" ht="54" customHeight="1" x14ac:dyDescent="0.25">
      <c r="A325" s="298" t="s">
        <v>896</v>
      </c>
      <c r="B325" s="299" t="s">
        <v>894</v>
      </c>
      <c r="C325" s="1547"/>
      <c r="D325" s="1549"/>
      <c r="E325" s="1549"/>
      <c r="F325" s="1549"/>
      <c r="G325" s="1549"/>
      <c r="H325" s="1549"/>
      <c r="I325" s="1425"/>
      <c r="J325" s="379"/>
      <c r="K325" s="1428" t="s">
        <v>986</v>
      </c>
      <c r="L325" s="301" t="s">
        <v>901</v>
      </c>
      <c r="M325" s="1425" t="s">
        <v>902</v>
      </c>
      <c r="N325" s="476" t="s">
        <v>903</v>
      </c>
      <c r="O325" s="1425" t="s">
        <v>73</v>
      </c>
      <c r="P325" s="16" t="s">
        <v>987</v>
      </c>
      <c r="Q325" s="348" t="s">
        <v>539</v>
      </c>
      <c r="R325" s="303">
        <v>2015</v>
      </c>
      <c r="S325" s="303">
        <v>1</v>
      </c>
      <c r="T325" s="303">
        <v>1</v>
      </c>
      <c r="U325" s="572">
        <v>1</v>
      </c>
      <c r="V325" s="572">
        <v>1</v>
      </c>
      <c r="W325" s="572">
        <v>1</v>
      </c>
      <c r="X325" s="572">
        <v>1</v>
      </c>
      <c r="Y325" s="481">
        <v>0</v>
      </c>
      <c r="Z325" s="481"/>
      <c r="AA325" s="491">
        <v>4.5</v>
      </c>
      <c r="AB325" s="481"/>
      <c r="AC325" s="481"/>
      <c r="AD325" s="481">
        <v>0</v>
      </c>
      <c r="AE325" s="481"/>
      <c r="AF325" s="481">
        <f t="shared" si="188"/>
        <v>4.5</v>
      </c>
      <c r="AG325" s="491">
        <v>2</v>
      </c>
      <c r="AH325" s="548"/>
      <c r="AI325" s="548">
        <v>0</v>
      </c>
      <c r="AJ325" s="548"/>
      <c r="AK325" s="548"/>
      <c r="AL325" s="548"/>
      <c r="AM325" s="548">
        <f t="shared" si="189"/>
        <v>2</v>
      </c>
      <c r="AN325" s="491">
        <v>0.5</v>
      </c>
      <c r="AO325" s="481"/>
      <c r="AP325" s="481">
        <v>0</v>
      </c>
      <c r="AQ325" s="481"/>
      <c r="AR325" s="481"/>
      <c r="AS325" s="481"/>
      <c r="AT325" s="481"/>
      <c r="AU325" s="481">
        <f t="shared" si="181"/>
        <v>0.5</v>
      </c>
      <c r="AV325" s="491">
        <v>1</v>
      </c>
      <c r="AW325" s="548"/>
      <c r="AX325" s="548">
        <v>0</v>
      </c>
      <c r="AY325" s="548"/>
      <c r="AZ325" s="548"/>
      <c r="BA325" s="548"/>
      <c r="BB325" s="548"/>
      <c r="BC325" s="548">
        <f t="shared" si="183"/>
        <v>1</v>
      </c>
      <c r="BD325" s="42">
        <f t="shared" si="190"/>
        <v>3.5</v>
      </c>
      <c r="BE325" s="42">
        <f t="shared" si="190"/>
        <v>0</v>
      </c>
      <c r="BF325" s="42">
        <f t="shared" si="190"/>
        <v>4.5</v>
      </c>
      <c r="BG325" s="42">
        <f t="shared" si="190"/>
        <v>0</v>
      </c>
      <c r="BH325" s="42">
        <f t="shared" si="190"/>
        <v>0</v>
      </c>
      <c r="BI325" s="42">
        <f t="shared" si="167"/>
        <v>0</v>
      </c>
      <c r="BJ325" s="42">
        <f t="shared" si="191"/>
        <v>0</v>
      </c>
      <c r="BK325" s="42">
        <f t="shared" si="191"/>
        <v>8</v>
      </c>
    </row>
    <row r="326" spans="1:63" ht="54" customHeight="1" x14ac:dyDescent="0.25">
      <c r="A326" s="298" t="s">
        <v>896</v>
      </c>
      <c r="B326" s="299" t="s">
        <v>894</v>
      </c>
      <c r="C326" s="1547"/>
      <c r="D326" s="1549"/>
      <c r="E326" s="1549"/>
      <c r="F326" s="1549"/>
      <c r="G326" s="1549"/>
      <c r="H326" s="1549"/>
      <c r="I326" s="1425"/>
      <c r="J326" s="379"/>
      <c r="K326" s="1428" t="s">
        <v>988</v>
      </c>
      <c r="L326" s="301" t="s">
        <v>901</v>
      </c>
      <c r="M326" s="1425" t="s">
        <v>902</v>
      </c>
      <c r="N326" s="476" t="s">
        <v>903</v>
      </c>
      <c r="O326" s="1425" t="s">
        <v>47</v>
      </c>
      <c r="P326" s="16" t="s">
        <v>989</v>
      </c>
      <c r="Q326" s="348" t="s">
        <v>990</v>
      </c>
      <c r="R326" s="303">
        <v>2015</v>
      </c>
      <c r="S326" s="303">
        <v>0</v>
      </c>
      <c r="T326" s="303">
        <v>0</v>
      </c>
      <c r="U326" s="572">
        <v>1</v>
      </c>
      <c r="V326" s="572">
        <v>1</v>
      </c>
      <c r="W326" s="572">
        <v>1</v>
      </c>
      <c r="X326" s="572">
        <v>1</v>
      </c>
      <c r="Y326" s="481"/>
      <c r="Z326" s="481"/>
      <c r="AA326" s="583">
        <v>0</v>
      </c>
      <c r="AB326" s="481"/>
      <c r="AC326" s="481"/>
      <c r="AD326" s="481"/>
      <c r="AE326" s="481"/>
      <c r="AF326" s="481"/>
      <c r="AG326" s="548"/>
      <c r="AH326" s="548"/>
      <c r="AI326" s="548">
        <v>19</v>
      </c>
      <c r="AJ326" s="548"/>
      <c r="AK326" s="548"/>
      <c r="AL326" s="548"/>
      <c r="AM326" s="548">
        <f>SUM(AG326:AL326)</f>
        <v>19</v>
      </c>
      <c r="AN326" s="491">
        <v>0.5</v>
      </c>
      <c r="AO326" s="481"/>
      <c r="AP326" s="481"/>
      <c r="AQ326" s="481"/>
      <c r="AR326" s="481"/>
      <c r="AS326" s="481"/>
      <c r="AT326" s="481"/>
      <c r="AU326" s="481">
        <f>SUM(AN326:AT326)</f>
        <v>0.5</v>
      </c>
      <c r="AV326" s="491">
        <v>5</v>
      </c>
      <c r="AW326" s="548"/>
      <c r="AX326" s="548"/>
      <c r="AY326" s="548"/>
      <c r="AZ326" s="548"/>
      <c r="BA326" s="548"/>
      <c r="BB326" s="548"/>
      <c r="BC326" s="548">
        <f>SUM(AV326:BB326)</f>
        <v>5</v>
      </c>
      <c r="BD326" s="42"/>
      <c r="BE326" s="42"/>
      <c r="BF326" s="42"/>
      <c r="BG326" s="42"/>
      <c r="BH326" s="42"/>
      <c r="BI326" s="42"/>
      <c r="BJ326" s="42"/>
      <c r="BK326" s="42"/>
    </row>
    <row r="327" spans="1:63" ht="62.25" customHeight="1" x14ac:dyDescent="0.25">
      <c r="A327" s="298" t="s">
        <v>896</v>
      </c>
      <c r="B327" s="299" t="s">
        <v>894</v>
      </c>
      <c r="C327" s="1547"/>
      <c r="D327" s="1549"/>
      <c r="E327" s="1549"/>
      <c r="F327" s="1549"/>
      <c r="G327" s="1549"/>
      <c r="H327" s="1549"/>
      <c r="I327" s="1425"/>
      <c r="J327" s="379"/>
      <c r="K327" s="1428" t="s">
        <v>991</v>
      </c>
      <c r="L327" s="301" t="s">
        <v>901</v>
      </c>
      <c r="M327" s="1425" t="s">
        <v>902</v>
      </c>
      <c r="N327" s="476" t="s">
        <v>903</v>
      </c>
      <c r="O327" s="1425" t="s">
        <v>47</v>
      </c>
      <c r="P327" s="16" t="s">
        <v>992</v>
      </c>
      <c r="Q327" s="348" t="s">
        <v>993</v>
      </c>
      <c r="R327" s="303">
        <v>2015</v>
      </c>
      <c r="S327" s="303">
        <v>0</v>
      </c>
      <c r="T327" s="303">
        <v>5</v>
      </c>
      <c r="U327" s="572">
        <v>10</v>
      </c>
      <c r="V327" s="572">
        <v>15</v>
      </c>
      <c r="W327" s="572">
        <v>20</v>
      </c>
      <c r="X327" s="572">
        <v>20</v>
      </c>
      <c r="Y327" s="481"/>
      <c r="Z327" s="481"/>
      <c r="AA327" s="481">
        <v>3</v>
      </c>
      <c r="AB327" s="481"/>
      <c r="AC327" s="481"/>
      <c r="AD327" s="481"/>
      <c r="AE327" s="481"/>
      <c r="AF327" s="481">
        <f t="shared" si="188"/>
        <v>3</v>
      </c>
      <c r="AG327" s="548"/>
      <c r="AH327" s="548"/>
      <c r="AI327" s="548">
        <v>3</v>
      </c>
      <c r="AJ327" s="548"/>
      <c r="AK327" s="548"/>
      <c r="AL327" s="548"/>
      <c r="AM327" s="548">
        <f t="shared" si="189"/>
        <v>3</v>
      </c>
      <c r="AN327" s="481"/>
      <c r="AO327" s="481"/>
      <c r="AP327" s="481">
        <v>3</v>
      </c>
      <c r="AQ327" s="481"/>
      <c r="AR327" s="481"/>
      <c r="AS327" s="481"/>
      <c r="AT327" s="481"/>
      <c r="AU327" s="481">
        <f t="shared" si="181"/>
        <v>3</v>
      </c>
      <c r="AV327" s="548"/>
      <c r="AW327" s="548"/>
      <c r="AX327" s="548">
        <v>13</v>
      </c>
      <c r="AY327" s="548"/>
      <c r="AZ327" s="548"/>
      <c r="BA327" s="548"/>
      <c r="BB327" s="548"/>
      <c r="BC327" s="548">
        <f>SUM(AV327:BB327)</f>
        <v>13</v>
      </c>
      <c r="BD327" s="42">
        <f>+AV327+AN327+AG327+Y327</f>
        <v>0</v>
      </c>
      <c r="BE327" s="42">
        <f>+AW327+AO327+AH327+Z327</f>
        <v>0</v>
      </c>
      <c r="BF327" s="42">
        <f>+AX327+AP327+AI327+AA327</f>
        <v>22</v>
      </c>
      <c r="BG327" s="42">
        <f>+AY327+AQ327+AJ327+AB327</f>
        <v>0</v>
      </c>
      <c r="BH327" s="42">
        <f>+AZ327+AR327+AK327+AC327</f>
        <v>0</v>
      </c>
      <c r="BI327" s="42">
        <f t="shared" si="167"/>
        <v>0</v>
      </c>
      <c r="BJ327" s="42">
        <f>+BB327+AT327+AL327+AE327</f>
        <v>0</v>
      </c>
      <c r="BK327" s="42">
        <f>+BC327+AU327+AM327+AF327</f>
        <v>22</v>
      </c>
    </row>
    <row r="328" spans="1:63" ht="54.75" customHeight="1" x14ac:dyDescent="0.25">
      <c r="A328" s="298" t="s">
        <v>896</v>
      </c>
      <c r="B328" s="299" t="s">
        <v>894</v>
      </c>
      <c r="C328" s="1547"/>
      <c r="D328" s="1549"/>
      <c r="E328" s="1549"/>
      <c r="F328" s="1549"/>
      <c r="G328" s="1549"/>
      <c r="H328" s="1549"/>
      <c r="I328" s="1425"/>
      <c r="J328" s="379"/>
      <c r="K328" s="1428" t="s">
        <v>994</v>
      </c>
      <c r="L328" s="301" t="s">
        <v>901</v>
      </c>
      <c r="M328" s="1425" t="s">
        <v>902</v>
      </c>
      <c r="N328" s="476" t="s">
        <v>903</v>
      </c>
      <c r="O328" s="1425" t="s">
        <v>47</v>
      </c>
      <c r="P328" s="16" t="s">
        <v>995</v>
      </c>
      <c r="Q328" s="348" t="s">
        <v>996</v>
      </c>
      <c r="R328" s="303">
        <v>2015</v>
      </c>
      <c r="S328" s="303">
        <v>0</v>
      </c>
      <c r="T328" s="303">
        <v>0</v>
      </c>
      <c r="U328" s="572">
        <v>10</v>
      </c>
      <c r="V328" s="572">
        <v>20</v>
      </c>
      <c r="W328" s="572">
        <v>30</v>
      </c>
      <c r="X328" s="572">
        <v>30</v>
      </c>
      <c r="Y328" s="701">
        <v>5</v>
      </c>
      <c r="Z328" s="701"/>
      <c r="AA328" s="701">
        <v>10</v>
      </c>
      <c r="AB328" s="701"/>
      <c r="AC328" s="701"/>
      <c r="AD328" s="701"/>
      <c r="AE328" s="701"/>
      <c r="AF328" s="701">
        <f t="shared" si="188"/>
        <v>15</v>
      </c>
      <c r="AG328" s="548">
        <v>10</v>
      </c>
      <c r="AH328" s="548"/>
      <c r="AI328" s="491">
        <v>8</v>
      </c>
      <c r="AJ328" s="548"/>
      <c r="AK328" s="548"/>
      <c r="AL328" s="548"/>
      <c r="AM328" s="548">
        <f t="shared" si="189"/>
        <v>18</v>
      </c>
      <c r="AN328" s="481">
        <v>10</v>
      </c>
      <c r="AO328" s="481"/>
      <c r="AP328" s="491">
        <v>9</v>
      </c>
      <c r="AQ328" s="481"/>
      <c r="AR328" s="481"/>
      <c r="AS328" s="481"/>
      <c r="AT328" s="481"/>
      <c r="AU328" s="481">
        <f t="shared" si="181"/>
        <v>19</v>
      </c>
      <c r="AV328" s="548"/>
      <c r="AW328" s="548"/>
      <c r="AX328" s="548">
        <v>0</v>
      </c>
      <c r="AY328" s="548"/>
      <c r="AZ328" s="548"/>
      <c r="BA328" s="548"/>
      <c r="BB328" s="548"/>
      <c r="BC328" s="548">
        <f t="shared" si="183"/>
        <v>0</v>
      </c>
      <c r="BD328" s="42">
        <f t="shared" si="190"/>
        <v>25</v>
      </c>
      <c r="BE328" s="42">
        <f t="shared" si="190"/>
        <v>0</v>
      </c>
      <c r="BF328" s="42">
        <f t="shared" si="190"/>
        <v>27</v>
      </c>
      <c r="BG328" s="42">
        <f t="shared" si="190"/>
        <v>0</v>
      </c>
      <c r="BH328" s="42">
        <f t="shared" si="190"/>
        <v>0</v>
      </c>
      <c r="BI328" s="42">
        <f t="shared" si="167"/>
        <v>0</v>
      </c>
      <c r="BJ328" s="42">
        <f t="shared" si="191"/>
        <v>0</v>
      </c>
      <c r="BK328" s="42">
        <f t="shared" si="191"/>
        <v>52</v>
      </c>
    </row>
    <row r="329" spans="1:63" ht="34.5" customHeight="1" x14ac:dyDescent="0.25">
      <c r="A329" s="298" t="s">
        <v>896</v>
      </c>
      <c r="B329" s="299" t="s">
        <v>894</v>
      </c>
      <c r="C329" s="1548"/>
      <c r="D329" s="1549"/>
      <c r="E329" s="1549"/>
      <c r="F329" s="1549"/>
      <c r="G329" s="1549"/>
      <c r="H329" s="1549"/>
      <c r="I329" s="1425"/>
      <c r="J329" s="1425"/>
      <c r="K329" s="1428" t="s">
        <v>997</v>
      </c>
      <c r="L329" s="301" t="s">
        <v>901</v>
      </c>
      <c r="M329" s="1425" t="s">
        <v>902</v>
      </c>
      <c r="N329" s="476" t="s">
        <v>903</v>
      </c>
      <c r="O329" s="1425" t="s">
        <v>47</v>
      </c>
      <c r="P329" s="16" t="s">
        <v>998</v>
      </c>
      <c r="Q329" s="348" t="s">
        <v>996</v>
      </c>
      <c r="R329" s="303">
        <v>2015</v>
      </c>
      <c r="S329" s="303">
        <v>19</v>
      </c>
      <c r="T329" s="303">
        <v>10</v>
      </c>
      <c r="U329" s="572">
        <v>20</v>
      </c>
      <c r="V329" s="572">
        <v>30</v>
      </c>
      <c r="W329" s="572">
        <v>40</v>
      </c>
      <c r="X329" s="572">
        <v>40</v>
      </c>
      <c r="Y329" s="701"/>
      <c r="Z329" s="701"/>
      <c r="AA329" s="701">
        <v>10</v>
      </c>
      <c r="AB329" s="701"/>
      <c r="AC329" s="701"/>
      <c r="AD329" s="701"/>
      <c r="AE329" s="701"/>
      <c r="AF329" s="701">
        <f t="shared" si="188"/>
        <v>10</v>
      </c>
      <c r="AG329" s="548"/>
      <c r="AH329" s="548"/>
      <c r="AI329" s="491">
        <v>8</v>
      </c>
      <c r="AJ329" s="548"/>
      <c r="AK329" s="548"/>
      <c r="AL329" s="548"/>
      <c r="AM329" s="548">
        <f t="shared" si="189"/>
        <v>8</v>
      </c>
      <c r="AN329" s="481"/>
      <c r="AO329" s="481"/>
      <c r="AP329" s="481">
        <v>10</v>
      </c>
      <c r="AQ329" s="481"/>
      <c r="AR329" s="481"/>
      <c r="AS329" s="481"/>
      <c r="AT329" s="481"/>
      <c r="AU329" s="481">
        <f t="shared" si="181"/>
        <v>10</v>
      </c>
      <c r="AV329" s="548">
        <v>10</v>
      </c>
      <c r="AW329" s="548"/>
      <c r="AX329" s="548">
        <v>10</v>
      </c>
      <c r="AY329" s="548"/>
      <c r="AZ329" s="548"/>
      <c r="BA329" s="548"/>
      <c r="BB329" s="548"/>
      <c r="BC329" s="548">
        <f t="shared" si="183"/>
        <v>20</v>
      </c>
      <c r="BD329" s="42">
        <f t="shared" si="190"/>
        <v>10</v>
      </c>
      <c r="BE329" s="42">
        <f t="shared" si="190"/>
        <v>0</v>
      </c>
      <c r="BF329" s="42">
        <f t="shared" si="190"/>
        <v>38</v>
      </c>
      <c r="BG329" s="42">
        <f t="shared" si="190"/>
        <v>0</v>
      </c>
      <c r="BH329" s="42">
        <f t="shared" si="190"/>
        <v>0</v>
      </c>
      <c r="BI329" s="42">
        <f t="shared" si="167"/>
        <v>0</v>
      </c>
      <c r="BJ329" s="42">
        <f t="shared" si="191"/>
        <v>0</v>
      </c>
      <c r="BK329" s="42">
        <f t="shared" si="191"/>
        <v>48</v>
      </c>
    </row>
    <row r="330" spans="1:63" ht="2.25" customHeight="1" x14ac:dyDescent="0.2">
      <c r="A330" s="151"/>
      <c r="B330" s="7" t="s">
        <v>999</v>
      </c>
      <c r="C330" s="7"/>
      <c r="D330" s="1442"/>
      <c r="E330" s="1442"/>
      <c r="F330" s="1442"/>
      <c r="G330" s="1442"/>
      <c r="H330" s="1442"/>
      <c r="I330" s="1442"/>
      <c r="J330" s="1442"/>
      <c r="K330" s="147"/>
      <c r="L330" s="147"/>
      <c r="M330" s="147"/>
      <c r="N330" s="11"/>
      <c r="O330" s="147"/>
      <c r="P330" s="26"/>
      <c r="Q330" s="25"/>
      <c r="R330" s="1442"/>
      <c r="S330" s="1442"/>
      <c r="T330" s="1442"/>
      <c r="U330" s="63"/>
      <c r="V330" s="63"/>
      <c r="W330" s="63"/>
      <c r="X330" s="63"/>
      <c r="Y330" s="42">
        <v>387</v>
      </c>
      <c r="Z330" s="42"/>
      <c r="AA330" s="42">
        <v>290.60000000000002</v>
      </c>
      <c r="AB330" s="42"/>
      <c r="AC330" s="42"/>
      <c r="AD330" s="42">
        <v>648</v>
      </c>
      <c r="AE330" s="42"/>
      <c r="AF330" s="42">
        <f>SUBTOTAL(9,Y330:AE330)</f>
        <v>1325.6</v>
      </c>
      <c r="AG330" s="42"/>
      <c r="AH330" s="42"/>
      <c r="AI330" s="42">
        <f>+AA330*1.035</f>
        <v>300.77100000000002</v>
      </c>
      <c r="AJ330" s="42"/>
      <c r="AK330" s="42"/>
      <c r="AL330" s="42"/>
      <c r="AM330" s="42"/>
      <c r="AN330" s="42"/>
      <c r="AO330" s="42"/>
      <c r="AP330" s="42">
        <f>+AI330*1.035</f>
        <v>311.29798499999998</v>
      </c>
      <c r="AQ330" s="42"/>
      <c r="AR330" s="42"/>
      <c r="AS330" s="42"/>
      <c r="AT330" s="42"/>
      <c r="AU330" s="42"/>
      <c r="AV330" s="42"/>
      <c r="AW330" s="42"/>
      <c r="AX330" s="42"/>
      <c r="AY330" s="42"/>
      <c r="AZ330" s="42"/>
      <c r="BA330" s="42"/>
      <c r="BB330" s="42"/>
      <c r="BC330" s="42"/>
      <c r="BD330" s="42">
        <f t="shared" si="190"/>
        <v>387</v>
      </c>
      <c r="BE330" s="42">
        <f t="shared" si="190"/>
        <v>0</v>
      </c>
      <c r="BF330" s="42">
        <f t="shared" si="190"/>
        <v>902.66898500000002</v>
      </c>
      <c r="BG330" s="42">
        <f t="shared" si="190"/>
        <v>0</v>
      </c>
      <c r="BH330" s="42">
        <f t="shared" si="190"/>
        <v>0</v>
      </c>
      <c r="BI330" s="42">
        <f t="shared" si="167"/>
        <v>648</v>
      </c>
      <c r="BJ330" s="42">
        <f t="shared" si="191"/>
        <v>0</v>
      </c>
      <c r="BK330" s="42">
        <f t="shared" si="191"/>
        <v>1325.6</v>
      </c>
    </row>
    <row r="331" spans="1:63" ht="20.25" x14ac:dyDescent="0.2">
      <c r="A331" s="420"/>
      <c r="B331" s="1565" t="s">
        <v>1000</v>
      </c>
      <c r="C331" s="1566"/>
      <c r="D331" s="1566"/>
      <c r="E331" s="1566"/>
      <c r="F331" s="1566"/>
      <c r="G331" s="1566"/>
      <c r="H331" s="1566"/>
      <c r="I331" s="1566"/>
      <c r="J331" s="1566"/>
      <c r="K331" s="1566"/>
      <c r="L331" s="1566"/>
      <c r="M331" s="1567"/>
      <c r="N331" s="597"/>
      <c r="O331" s="597"/>
      <c r="P331" s="598"/>
      <c r="Q331" s="598"/>
      <c r="R331" s="597"/>
      <c r="S331" s="597"/>
      <c r="T331" s="597"/>
      <c r="U331" s="599"/>
      <c r="V331" s="599"/>
      <c r="W331" s="599"/>
      <c r="X331" s="599"/>
      <c r="Y331" s="600">
        <f>+Y332</f>
        <v>387.8</v>
      </c>
      <c r="Z331" s="600">
        <f t="shared" ref="Z331:BK331" si="192">+Z332</f>
        <v>0</v>
      </c>
      <c r="AA331" s="600">
        <f t="shared" si="192"/>
        <v>290.60000000000002</v>
      </c>
      <c r="AB331" s="600">
        <f t="shared" si="192"/>
        <v>0</v>
      </c>
      <c r="AC331" s="600">
        <f t="shared" si="192"/>
        <v>0</v>
      </c>
      <c r="AD331" s="600">
        <f t="shared" si="192"/>
        <v>648</v>
      </c>
      <c r="AE331" s="600">
        <f t="shared" si="192"/>
        <v>0</v>
      </c>
      <c r="AF331" s="600">
        <f t="shared" si="192"/>
        <v>1326.4</v>
      </c>
      <c r="AG331" s="600">
        <f t="shared" si="192"/>
        <v>134</v>
      </c>
      <c r="AH331" s="600">
        <f t="shared" si="192"/>
        <v>0</v>
      </c>
      <c r="AI331" s="600">
        <f t="shared" si="192"/>
        <v>440</v>
      </c>
      <c r="AJ331" s="600">
        <f t="shared" si="192"/>
        <v>100</v>
      </c>
      <c r="AK331" s="600">
        <f t="shared" si="192"/>
        <v>0</v>
      </c>
      <c r="AL331" s="600">
        <f t="shared" si="192"/>
        <v>2400</v>
      </c>
      <c r="AM331" s="600">
        <f t="shared" si="192"/>
        <v>3074</v>
      </c>
      <c r="AN331" s="600">
        <f t="shared" si="192"/>
        <v>390</v>
      </c>
      <c r="AO331" s="600">
        <f t="shared" si="192"/>
        <v>0</v>
      </c>
      <c r="AP331" s="600">
        <f t="shared" si="192"/>
        <v>311</v>
      </c>
      <c r="AQ331" s="600">
        <f t="shared" si="192"/>
        <v>1200</v>
      </c>
      <c r="AR331" s="600">
        <f t="shared" si="192"/>
        <v>0</v>
      </c>
      <c r="AS331" s="600">
        <f t="shared" si="192"/>
        <v>0</v>
      </c>
      <c r="AT331" s="600">
        <f t="shared" si="192"/>
        <v>0</v>
      </c>
      <c r="AU331" s="600">
        <f t="shared" si="192"/>
        <v>1901</v>
      </c>
      <c r="AV331" s="600">
        <f t="shared" si="192"/>
        <v>200</v>
      </c>
      <c r="AW331" s="600">
        <f t="shared" si="192"/>
        <v>0</v>
      </c>
      <c r="AX331" s="600">
        <f t="shared" si="192"/>
        <v>316</v>
      </c>
      <c r="AY331" s="600">
        <f t="shared" si="192"/>
        <v>200</v>
      </c>
      <c r="AZ331" s="600">
        <f t="shared" si="192"/>
        <v>0</v>
      </c>
      <c r="BA331" s="600">
        <f t="shared" si="192"/>
        <v>0</v>
      </c>
      <c r="BB331" s="600">
        <f t="shared" si="192"/>
        <v>0</v>
      </c>
      <c r="BC331" s="600">
        <f t="shared" si="192"/>
        <v>716</v>
      </c>
      <c r="BD331" s="33">
        <f t="shared" si="192"/>
        <v>1111.8</v>
      </c>
      <c r="BE331" s="33">
        <f t="shared" si="192"/>
        <v>0</v>
      </c>
      <c r="BF331" s="33">
        <f t="shared" si="192"/>
        <v>1357.6</v>
      </c>
      <c r="BG331" s="33">
        <f t="shared" si="192"/>
        <v>1500</v>
      </c>
      <c r="BH331" s="33">
        <f t="shared" si="192"/>
        <v>0</v>
      </c>
      <c r="BI331" s="33">
        <f t="shared" si="167"/>
        <v>648</v>
      </c>
      <c r="BJ331" s="33">
        <f t="shared" si="192"/>
        <v>2400</v>
      </c>
      <c r="BK331" s="33">
        <f t="shared" si="192"/>
        <v>7017.4</v>
      </c>
    </row>
    <row r="332" spans="1:63" ht="12.75" x14ac:dyDescent="0.2">
      <c r="A332" s="603"/>
      <c r="B332" s="154" t="s">
        <v>999</v>
      </c>
      <c r="C332" s="6"/>
      <c r="D332" s="2" t="s">
        <v>1001</v>
      </c>
      <c r="E332" s="1"/>
      <c r="F332" s="1"/>
      <c r="G332" s="1"/>
      <c r="H332" s="1"/>
      <c r="I332" s="1"/>
      <c r="J332" s="1"/>
      <c r="K332" s="1"/>
      <c r="L332" s="1"/>
      <c r="M332" s="1"/>
      <c r="N332" s="1"/>
      <c r="O332" s="1"/>
      <c r="P332" s="22"/>
      <c r="Q332" s="22"/>
      <c r="R332" s="1"/>
      <c r="S332" s="1"/>
      <c r="T332" s="1"/>
      <c r="U332" s="49"/>
      <c r="V332" s="49"/>
      <c r="W332" s="49"/>
      <c r="X332" s="49"/>
      <c r="Y332" s="34">
        <f t="shared" ref="Y332:AE332" si="193">SUM(Y333:Y353)</f>
        <v>387.8</v>
      </c>
      <c r="Z332" s="34">
        <f t="shared" si="193"/>
        <v>0</v>
      </c>
      <c r="AA332" s="34">
        <f t="shared" si="193"/>
        <v>290.60000000000002</v>
      </c>
      <c r="AB332" s="34">
        <f t="shared" si="193"/>
        <v>0</v>
      </c>
      <c r="AC332" s="34">
        <f t="shared" si="193"/>
        <v>0</v>
      </c>
      <c r="AD332" s="34">
        <f t="shared" si="193"/>
        <v>648</v>
      </c>
      <c r="AE332" s="34">
        <f t="shared" si="193"/>
        <v>0</v>
      </c>
      <c r="AF332" s="34">
        <f>SUM(Y332:AE332)</f>
        <v>1326.4</v>
      </c>
      <c r="AG332" s="34">
        <f t="shared" ref="AG332:AL332" si="194">SUM(AG333:AG353)</f>
        <v>134</v>
      </c>
      <c r="AH332" s="34">
        <f t="shared" si="194"/>
        <v>0</v>
      </c>
      <c r="AI332" s="34">
        <f t="shared" si="194"/>
        <v>440</v>
      </c>
      <c r="AJ332" s="34">
        <f t="shared" si="194"/>
        <v>100</v>
      </c>
      <c r="AK332" s="34">
        <f t="shared" si="194"/>
        <v>0</v>
      </c>
      <c r="AL332" s="34">
        <f t="shared" si="194"/>
        <v>2400</v>
      </c>
      <c r="AM332" s="34">
        <f>SUM(AG332:AL332)</f>
        <v>3074</v>
      </c>
      <c r="AN332" s="34">
        <f t="shared" ref="AN332:AT332" si="195">SUM(AN333:AN353)</f>
        <v>390</v>
      </c>
      <c r="AO332" s="34">
        <f t="shared" si="195"/>
        <v>0</v>
      </c>
      <c r="AP332" s="34">
        <f t="shared" si="195"/>
        <v>311</v>
      </c>
      <c r="AQ332" s="34">
        <f t="shared" si="195"/>
        <v>1200</v>
      </c>
      <c r="AR332" s="34">
        <f t="shared" si="195"/>
        <v>0</v>
      </c>
      <c r="AS332" s="34">
        <f t="shared" si="195"/>
        <v>0</v>
      </c>
      <c r="AT332" s="34">
        <f t="shared" si="195"/>
        <v>0</v>
      </c>
      <c r="AU332" s="34">
        <f>SUM(AN332:AT332)</f>
        <v>1901</v>
      </c>
      <c r="AV332" s="34">
        <f t="shared" ref="AV332:BB332" si="196">SUM(AV333:AV353)</f>
        <v>200</v>
      </c>
      <c r="AW332" s="34">
        <f t="shared" si="196"/>
        <v>0</v>
      </c>
      <c r="AX332" s="34">
        <f t="shared" si="196"/>
        <v>316</v>
      </c>
      <c r="AY332" s="34">
        <f t="shared" si="196"/>
        <v>200</v>
      </c>
      <c r="AZ332" s="34">
        <f t="shared" si="196"/>
        <v>0</v>
      </c>
      <c r="BA332" s="34">
        <f t="shared" si="196"/>
        <v>0</v>
      </c>
      <c r="BB332" s="34">
        <f t="shared" si="196"/>
        <v>0</v>
      </c>
      <c r="BC332" s="34">
        <f>SUM(AV332:BB332)</f>
        <v>716</v>
      </c>
      <c r="BD332" s="34">
        <f t="shared" si="190"/>
        <v>1111.8</v>
      </c>
      <c r="BE332" s="34">
        <f t="shared" si="190"/>
        <v>0</v>
      </c>
      <c r="BF332" s="34">
        <f t="shared" si="190"/>
        <v>1357.6</v>
      </c>
      <c r="BG332" s="34">
        <f t="shared" si="190"/>
        <v>1500</v>
      </c>
      <c r="BH332" s="34">
        <f t="shared" si="190"/>
        <v>0</v>
      </c>
      <c r="BI332" s="34">
        <f t="shared" si="167"/>
        <v>648</v>
      </c>
      <c r="BJ332" s="34">
        <f t="shared" si="191"/>
        <v>2400</v>
      </c>
      <c r="BK332" s="34">
        <f t="shared" si="191"/>
        <v>7017.4</v>
      </c>
    </row>
    <row r="333" spans="1:63" ht="52.5" customHeight="1" x14ac:dyDescent="0.25">
      <c r="A333" s="298" t="s">
        <v>1002</v>
      </c>
      <c r="B333" s="299" t="s">
        <v>999</v>
      </c>
      <c r="C333" s="1546" t="s">
        <v>1003</v>
      </c>
      <c r="D333" s="1550" t="s">
        <v>1004</v>
      </c>
      <c r="E333" s="1550" t="s">
        <v>1005</v>
      </c>
      <c r="F333" s="1550">
        <v>2015</v>
      </c>
      <c r="G333" s="1550">
        <v>98</v>
      </c>
      <c r="H333" s="1550">
        <v>98</v>
      </c>
      <c r="I333" s="1425"/>
      <c r="J333" s="1425"/>
      <c r="K333" s="1425" t="s">
        <v>1006</v>
      </c>
      <c r="L333" s="301" t="s">
        <v>179</v>
      </c>
      <c r="M333" s="1425" t="s">
        <v>1007</v>
      </c>
      <c r="N333" s="1425" t="s">
        <v>1008</v>
      </c>
      <c r="O333" s="1425" t="s">
        <v>73</v>
      </c>
      <c r="P333" s="16" t="s">
        <v>1009</v>
      </c>
      <c r="Q333" s="302" t="s">
        <v>1010</v>
      </c>
      <c r="R333" s="303">
        <v>2015</v>
      </c>
      <c r="S333" s="303">
        <v>0</v>
      </c>
      <c r="T333" s="303">
        <v>0</v>
      </c>
      <c r="U333" s="572">
        <v>1</v>
      </c>
      <c r="V333" s="572">
        <v>1</v>
      </c>
      <c r="W333" s="572">
        <v>1</v>
      </c>
      <c r="X333" s="572">
        <v>1</v>
      </c>
      <c r="Y333" s="481"/>
      <c r="Z333" s="481"/>
      <c r="AA333" s="481"/>
      <c r="AB333" s="481"/>
      <c r="AC333" s="481"/>
      <c r="AD333" s="481"/>
      <c r="AE333" s="481"/>
      <c r="AF333" s="481">
        <f t="shared" ref="AF333:AF353" si="197">SUBTOTAL(9,Y333:AE333)</f>
        <v>0</v>
      </c>
      <c r="AG333" s="491">
        <v>5</v>
      </c>
      <c r="AH333" s="548"/>
      <c r="AI333" s="548"/>
      <c r="AJ333" s="548"/>
      <c r="AK333" s="548"/>
      <c r="AL333" s="548"/>
      <c r="AM333" s="548">
        <f>SUM(AG333:AL333)</f>
        <v>5</v>
      </c>
      <c r="AN333" s="491">
        <v>10</v>
      </c>
      <c r="AO333" s="481"/>
      <c r="AP333" s="481"/>
      <c r="AQ333" s="481"/>
      <c r="AR333" s="481"/>
      <c r="AS333" s="481"/>
      <c r="AT333" s="481"/>
      <c r="AU333" s="481">
        <f>SUM(AN333:AT333)</f>
        <v>10</v>
      </c>
      <c r="AV333" s="491">
        <v>10</v>
      </c>
      <c r="AW333" s="548"/>
      <c r="AX333" s="548"/>
      <c r="AY333" s="548"/>
      <c r="AZ333" s="548"/>
      <c r="BA333" s="548"/>
      <c r="BB333" s="548"/>
      <c r="BC333" s="548">
        <f>SUM(AV333:BB333)</f>
        <v>10</v>
      </c>
      <c r="BD333" s="42">
        <f t="shared" si="190"/>
        <v>25</v>
      </c>
      <c r="BE333" s="42">
        <f t="shared" si="190"/>
        <v>0</v>
      </c>
      <c r="BF333" s="42">
        <f t="shared" si="190"/>
        <v>0</v>
      </c>
      <c r="BG333" s="42">
        <f t="shared" si="190"/>
        <v>0</v>
      </c>
      <c r="BH333" s="42">
        <f t="shared" si="190"/>
        <v>0</v>
      </c>
      <c r="BI333" s="42">
        <f t="shared" si="167"/>
        <v>0</v>
      </c>
      <c r="BJ333" s="42">
        <f t="shared" si="191"/>
        <v>0</v>
      </c>
      <c r="BK333" s="42">
        <f t="shared" si="191"/>
        <v>25</v>
      </c>
    </row>
    <row r="334" spans="1:63" ht="49.5" customHeight="1" x14ac:dyDescent="0.25">
      <c r="A334" s="298" t="s">
        <v>1002</v>
      </c>
      <c r="B334" s="299" t="s">
        <v>999</v>
      </c>
      <c r="C334" s="1547"/>
      <c r="D334" s="1551"/>
      <c r="E334" s="1551"/>
      <c r="F334" s="1551"/>
      <c r="G334" s="1551"/>
      <c r="H334" s="1551"/>
      <c r="I334" s="1425"/>
      <c r="J334" s="1425"/>
      <c r="K334" s="1425" t="s">
        <v>1011</v>
      </c>
      <c r="L334" s="301" t="s">
        <v>179</v>
      </c>
      <c r="M334" s="1425" t="s">
        <v>1007</v>
      </c>
      <c r="N334" s="1425" t="s">
        <v>1008</v>
      </c>
      <c r="O334" s="1425" t="s">
        <v>47</v>
      </c>
      <c r="P334" s="16" t="s">
        <v>1012</v>
      </c>
      <c r="Q334" s="302" t="s">
        <v>1013</v>
      </c>
      <c r="R334" s="303">
        <v>2015</v>
      </c>
      <c r="S334" s="303">
        <v>0</v>
      </c>
      <c r="T334" s="303">
        <v>1</v>
      </c>
      <c r="U334" s="572">
        <v>2</v>
      </c>
      <c r="V334" s="572">
        <v>3</v>
      </c>
      <c r="W334" s="572">
        <v>3</v>
      </c>
      <c r="X334" s="572">
        <v>4</v>
      </c>
      <c r="Y334" s="491">
        <v>10</v>
      </c>
      <c r="Z334" s="481"/>
      <c r="AA334" s="584"/>
      <c r="AB334" s="481"/>
      <c r="AC334" s="481"/>
      <c r="AD334" s="481"/>
      <c r="AE334" s="481"/>
      <c r="AF334" s="481">
        <f t="shared" si="197"/>
        <v>10</v>
      </c>
      <c r="AG334" s="491">
        <v>10</v>
      </c>
      <c r="AH334" s="548"/>
      <c r="AI334" s="548"/>
      <c r="AJ334" s="548"/>
      <c r="AK334" s="548"/>
      <c r="AL334" s="548"/>
      <c r="AM334" s="548">
        <f t="shared" ref="AM334:AM353" si="198">SUM(AG334:AL334)</f>
        <v>10</v>
      </c>
      <c r="AN334" s="491">
        <v>10</v>
      </c>
      <c r="AO334" s="481"/>
      <c r="AP334" s="481"/>
      <c r="AQ334" s="481"/>
      <c r="AR334" s="481"/>
      <c r="AS334" s="481"/>
      <c r="AT334" s="481"/>
      <c r="AU334" s="481">
        <f t="shared" ref="AU334:AU353" si="199">SUM(AN334:AT334)</f>
        <v>10</v>
      </c>
      <c r="AV334" s="491">
        <v>15</v>
      </c>
      <c r="AW334" s="548"/>
      <c r="AX334" s="548"/>
      <c r="AY334" s="548"/>
      <c r="AZ334" s="548"/>
      <c r="BA334" s="548"/>
      <c r="BB334" s="548"/>
      <c r="BC334" s="548">
        <f>SUM(AV334:BB334)</f>
        <v>15</v>
      </c>
      <c r="BD334" s="42">
        <f t="shared" si="190"/>
        <v>45</v>
      </c>
      <c r="BE334" s="42">
        <f t="shared" si="190"/>
        <v>0</v>
      </c>
      <c r="BF334" s="42">
        <f t="shared" si="190"/>
        <v>0</v>
      </c>
      <c r="BG334" s="42">
        <f t="shared" si="190"/>
        <v>0</v>
      </c>
      <c r="BH334" s="42">
        <f t="shared" si="190"/>
        <v>0</v>
      </c>
      <c r="BI334" s="42">
        <f t="shared" si="167"/>
        <v>0</v>
      </c>
      <c r="BJ334" s="42">
        <f t="shared" si="191"/>
        <v>0</v>
      </c>
      <c r="BK334" s="42">
        <f t="shared" si="191"/>
        <v>45</v>
      </c>
    </row>
    <row r="335" spans="1:63" ht="57.75" customHeight="1" x14ac:dyDescent="0.25">
      <c r="A335" s="298" t="s">
        <v>1002</v>
      </c>
      <c r="B335" s="299" t="s">
        <v>999</v>
      </c>
      <c r="C335" s="1547"/>
      <c r="D335" s="1551"/>
      <c r="E335" s="1551"/>
      <c r="F335" s="1551"/>
      <c r="G335" s="1551"/>
      <c r="H335" s="1551"/>
      <c r="I335" s="1425"/>
      <c r="J335" s="1425"/>
      <c r="K335" s="1425" t="s">
        <v>1014</v>
      </c>
      <c r="L335" s="301" t="s">
        <v>179</v>
      </c>
      <c r="M335" s="1425" t="s">
        <v>1007</v>
      </c>
      <c r="N335" s="1425" t="s">
        <v>1008</v>
      </c>
      <c r="O335" s="1425" t="s">
        <v>47</v>
      </c>
      <c r="P335" s="16" t="s">
        <v>1015</v>
      </c>
      <c r="Q335" s="302" t="s">
        <v>1016</v>
      </c>
      <c r="R335" s="303">
        <v>2015</v>
      </c>
      <c r="S335" s="303">
        <v>0</v>
      </c>
      <c r="T335" s="303">
        <v>0</v>
      </c>
      <c r="U335" s="572">
        <v>1</v>
      </c>
      <c r="V335" s="572">
        <v>0</v>
      </c>
      <c r="W335" s="572">
        <v>0</v>
      </c>
      <c r="X335" s="572">
        <v>1</v>
      </c>
      <c r="Y335" s="481"/>
      <c r="Z335" s="481"/>
      <c r="AA335" s="584"/>
      <c r="AB335" s="481"/>
      <c r="AC335" s="481"/>
      <c r="AD335" s="481"/>
      <c r="AE335" s="481"/>
      <c r="AF335" s="481">
        <f t="shared" si="197"/>
        <v>0</v>
      </c>
      <c r="AG335" s="491">
        <v>5</v>
      </c>
      <c r="AH335" s="548"/>
      <c r="AI335" s="548"/>
      <c r="AJ335" s="591"/>
      <c r="AK335" s="548"/>
      <c r="AL335" s="548"/>
      <c r="AM335" s="548">
        <f t="shared" si="198"/>
        <v>5</v>
      </c>
      <c r="AN335" s="481"/>
      <c r="AO335" s="481"/>
      <c r="AP335" s="481"/>
      <c r="AQ335" s="481"/>
      <c r="AR335" s="481"/>
      <c r="AS335" s="481"/>
      <c r="AT335" s="481"/>
      <c r="AU335" s="481">
        <f t="shared" si="199"/>
        <v>0</v>
      </c>
      <c r="AV335" s="548"/>
      <c r="AW335" s="548"/>
      <c r="AX335" s="548"/>
      <c r="AY335" s="548"/>
      <c r="AZ335" s="548"/>
      <c r="BA335" s="548"/>
      <c r="BB335" s="548"/>
      <c r="BC335" s="548">
        <f t="shared" ref="BC335:BC353" si="200">SUM(AV335:BB335)</f>
        <v>0</v>
      </c>
      <c r="BD335" s="42"/>
      <c r="BE335" s="42"/>
      <c r="BF335" s="42"/>
      <c r="BG335" s="42"/>
      <c r="BH335" s="42"/>
      <c r="BI335" s="42">
        <f t="shared" si="167"/>
        <v>0</v>
      </c>
      <c r="BJ335" s="42"/>
      <c r="BK335" s="42"/>
    </row>
    <row r="336" spans="1:63" ht="41.25" customHeight="1" x14ac:dyDescent="0.25">
      <c r="A336" s="298" t="s">
        <v>1002</v>
      </c>
      <c r="B336" s="299" t="s">
        <v>999</v>
      </c>
      <c r="C336" s="1547"/>
      <c r="D336" s="1551"/>
      <c r="E336" s="1551"/>
      <c r="F336" s="1551"/>
      <c r="G336" s="1551"/>
      <c r="H336" s="1551"/>
      <c r="I336" s="1425" t="s">
        <v>53</v>
      </c>
      <c r="J336" s="1425"/>
      <c r="K336" s="1425" t="s">
        <v>1017</v>
      </c>
      <c r="L336" s="301" t="s">
        <v>179</v>
      </c>
      <c r="M336" s="1425" t="s">
        <v>1007</v>
      </c>
      <c r="N336" s="1425" t="s">
        <v>1008</v>
      </c>
      <c r="O336" s="1425" t="s">
        <v>73</v>
      </c>
      <c r="P336" s="16" t="s">
        <v>1018</v>
      </c>
      <c r="Q336" s="302" t="s">
        <v>835</v>
      </c>
      <c r="R336" s="303">
        <v>2015</v>
      </c>
      <c r="S336" s="303">
        <v>0</v>
      </c>
      <c r="T336" s="303">
        <v>1</v>
      </c>
      <c r="U336" s="572">
        <v>1</v>
      </c>
      <c r="V336" s="572">
        <v>1</v>
      </c>
      <c r="W336" s="572">
        <v>1</v>
      </c>
      <c r="X336" s="572">
        <v>1</v>
      </c>
      <c r="Y336" s="491">
        <v>20</v>
      </c>
      <c r="Z336" s="481"/>
      <c r="AA336" s="584"/>
      <c r="AB336" s="481"/>
      <c r="AC336" s="481"/>
      <c r="AD336" s="481"/>
      <c r="AE336" s="481"/>
      <c r="AF336" s="481">
        <f t="shared" si="197"/>
        <v>20</v>
      </c>
      <c r="AG336" s="491">
        <v>5</v>
      </c>
      <c r="AH336" s="548"/>
      <c r="AI336" s="548"/>
      <c r="AJ336" s="588"/>
      <c r="AK336" s="548"/>
      <c r="AL336" s="548"/>
      <c r="AM336" s="548">
        <f t="shared" si="198"/>
        <v>5</v>
      </c>
      <c r="AN336" s="491">
        <v>20</v>
      </c>
      <c r="AO336" s="481"/>
      <c r="AP336" s="481"/>
      <c r="AQ336" s="481"/>
      <c r="AR336" s="481"/>
      <c r="AS336" s="481"/>
      <c r="AT336" s="481"/>
      <c r="AU336" s="481">
        <f t="shared" si="199"/>
        <v>20</v>
      </c>
      <c r="AV336" s="491">
        <v>15</v>
      </c>
      <c r="AW336" s="548"/>
      <c r="AX336" s="548"/>
      <c r="AY336" s="491"/>
      <c r="AZ336" s="548"/>
      <c r="BA336" s="548"/>
      <c r="BB336" s="548"/>
      <c r="BC336" s="548">
        <f t="shared" si="200"/>
        <v>15</v>
      </c>
      <c r="BD336" s="42">
        <f t="shared" si="190"/>
        <v>60</v>
      </c>
      <c r="BE336" s="42">
        <f t="shared" si="190"/>
        <v>0</v>
      </c>
      <c r="BF336" s="42">
        <f t="shared" si="190"/>
        <v>0</v>
      </c>
      <c r="BG336" s="42">
        <f t="shared" si="190"/>
        <v>0</v>
      </c>
      <c r="BH336" s="42">
        <f t="shared" si="190"/>
        <v>0</v>
      </c>
      <c r="BI336" s="42">
        <f t="shared" si="167"/>
        <v>0</v>
      </c>
      <c r="BJ336" s="42">
        <f t="shared" si="191"/>
        <v>0</v>
      </c>
      <c r="BK336" s="42">
        <f t="shared" si="191"/>
        <v>60</v>
      </c>
    </row>
    <row r="337" spans="1:63" ht="53.25" customHeight="1" x14ac:dyDescent="0.25">
      <c r="A337" s="298" t="s">
        <v>1002</v>
      </c>
      <c r="B337" s="299" t="s">
        <v>999</v>
      </c>
      <c r="C337" s="1547"/>
      <c r="D337" s="1551"/>
      <c r="E337" s="1551"/>
      <c r="F337" s="1551"/>
      <c r="G337" s="1551"/>
      <c r="H337" s="1551"/>
      <c r="I337" s="1425"/>
      <c r="J337" s="1425"/>
      <c r="K337" s="1425" t="s">
        <v>1019</v>
      </c>
      <c r="L337" s="301" t="s">
        <v>179</v>
      </c>
      <c r="M337" s="1425" t="s">
        <v>1007</v>
      </c>
      <c r="N337" s="1425" t="s">
        <v>1008</v>
      </c>
      <c r="O337" s="1425" t="s">
        <v>73</v>
      </c>
      <c r="P337" s="16" t="s">
        <v>1020</v>
      </c>
      <c r="Q337" s="302" t="s">
        <v>1021</v>
      </c>
      <c r="R337" s="303">
        <v>2015</v>
      </c>
      <c r="S337" s="303">
        <v>0</v>
      </c>
      <c r="T337" s="303">
        <v>3</v>
      </c>
      <c r="U337" s="572">
        <v>3</v>
      </c>
      <c r="V337" s="572">
        <v>3</v>
      </c>
      <c r="W337" s="572">
        <v>3</v>
      </c>
      <c r="X337" s="572">
        <v>3</v>
      </c>
      <c r="Y337" s="491">
        <v>10</v>
      </c>
      <c r="Z337" s="481"/>
      <c r="AA337" s="481"/>
      <c r="AB337" s="481"/>
      <c r="AC337" s="481"/>
      <c r="AD337" s="481"/>
      <c r="AE337" s="481"/>
      <c r="AF337" s="481">
        <f t="shared" si="197"/>
        <v>10</v>
      </c>
      <c r="AG337" s="491">
        <v>5</v>
      </c>
      <c r="AH337" s="548"/>
      <c r="AI337" s="548"/>
      <c r="AJ337" s="548"/>
      <c r="AK337" s="548"/>
      <c r="AL337" s="548"/>
      <c r="AM337" s="548">
        <f t="shared" si="198"/>
        <v>5</v>
      </c>
      <c r="AN337" s="491">
        <v>10</v>
      </c>
      <c r="AO337" s="481"/>
      <c r="AP337" s="481"/>
      <c r="AQ337" s="481"/>
      <c r="AR337" s="481"/>
      <c r="AS337" s="481"/>
      <c r="AT337" s="481"/>
      <c r="AU337" s="481">
        <f t="shared" si="199"/>
        <v>10</v>
      </c>
      <c r="AV337" s="491">
        <v>5</v>
      </c>
      <c r="AW337" s="548"/>
      <c r="AX337" s="548"/>
      <c r="AY337" s="548"/>
      <c r="AZ337" s="548"/>
      <c r="BA337" s="548"/>
      <c r="BB337" s="548"/>
      <c r="BC337" s="548">
        <f t="shared" si="200"/>
        <v>5</v>
      </c>
      <c r="BD337" s="42">
        <f t="shared" si="190"/>
        <v>30</v>
      </c>
      <c r="BE337" s="42">
        <f t="shared" si="190"/>
        <v>0</v>
      </c>
      <c r="BF337" s="42">
        <f t="shared" si="190"/>
        <v>0</v>
      </c>
      <c r="BG337" s="42">
        <f t="shared" si="190"/>
        <v>0</v>
      </c>
      <c r="BH337" s="42">
        <f t="shared" si="190"/>
        <v>0</v>
      </c>
      <c r="BI337" s="42">
        <f t="shared" si="167"/>
        <v>0</v>
      </c>
      <c r="BJ337" s="42">
        <f t="shared" si="191"/>
        <v>0</v>
      </c>
      <c r="BK337" s="42">
        <f t="shared" si="191"/>
        <v>30</v>
      </c>
    </row>
    <row r="338" spans="1:63" ht="66" customHeight="1" x14ac:dyDescent="0.25">
      <c r="A338" s="298" t="s">
        <v>1002</v>
      </c>
      <c r="B338" s="299" t="s">
        <v>999</v>
      </c>
      <c r="C338" s="1547"/>
      <c r="D338" s="1551"/>
      <c r="E338" s="1551"/>
      <c r="F338" s="1551"/>
      <c r="G338" s="1551"/>
      <c r="H338" s="1551"/>
      <c r="I338" s="1425"/>
      <c r="J338" s="1425"/>
      <c r="K338" s="1425" t="s">
        <v>1022</v>
      </c>
      <c r="L338" s="301" t="s">
        <v>179</v>
      </c>
      <c r="M338" s="1425" t="s">
        <v>1007</v>
      </c>
      <c r="N338" s="1425" t="s">
        <v>1008</v>
      </c>
      <c r="O338" s="1425" t="s">
        <v>73</v>
      </c>
      <c r="P338" s="16" t="s">
        <v>1023</v>
      </c>
      <c r="Q338" s="302" t="s">
        <v>1024</v>
      </c>
      <c r="R338" s="303">
        <v>2015</v>
      </c>
      <c r="S338" s="303">
        <v>0</v>
      </c>
      <c r="T338" s="303">
        <v>1</v>
      </c>
      <c r="U338" s="572">
        <v>1</v>
      </c>
      <c r="V338" s="572">
        <v>1</v>
      </c>
      <c r="W338" s="572">
        <v>1</v>
      </c>
      <c r="X338" s="572">
        <v>1</v>
      </c>
      <c r="Y338" s="491">
        <v>20</v>
      </c>
      <c r="Z338" s="481"/>
      <c r="AA338" s="481"/>
      <c r="AB338" s="481"/>
      <c r="AC338" s="481"/>
      <c r="AD338" s="481"/>
      <c r="AE338" s="481"/>
      <c r="AF338" s="481">
        <f t="shared" si="197"/>
        <v>20</v>
      </c>
      <c r="AG338" s="491">
        <v>10</v>
      </c>
      <c r="AH338" s="548"/>
      <c r="AI338" s="548"/>
      <c r="AJ338" s="548"/>
      <c r="AK338" s="548"/>
      <c r="AL338" s="548"/>
      <c r="AM338" s="548">
        <f t="shared" si="198"/>
        <v>10</v>
      </c>
      <c r="AN338" s="491">
        <v>20</v>
      </c>
      <c r="AO338" s="481"/>
      <c r="AP338" s="481"/>
      <c r="AQ338" s="481"/>
      <c r="AR338" s="481"/>
      <c r="AS338" s="481"/>
      <c r="AT338" s="481"/>
      <c r="AU338" s="481">
        <f t="shared" si="199"/>
        <v>20</v>
      </c>
      <c r="AV338" s="491">
        <v>15</v>
      </c>
      <c r="AW338" s="548"/>
      <c r="AX338" s="548"/>
      <c r="AY338" s="548"/>
      <c r="AZ338" s="548"/>
      <c r="BA338" s="548"/>
      <c r="BB338" s="548"/>
      <c r="BC338" s="548">
        <f t="shared" si="200"/>
        <v>15</v>
      </c>
      <c r="BD338" s="42">
        <f t="shared" si="190"/>
        <v>65</v>
      </c>
      <c r="BE338" s="42">
        <f t="shared" si="190"/>
        <v>0</v>
      </c>
      <c r="BF338" s="42">
        <f t="shared" si="190"/>
        <v>0</v>
      </c>
      <c r="BG338" s="42">
        <f t="shared" si="190"/>
        <v>0</v>
      </c>
      <c r="BH338" s="42">
        <f t="shared" si="190"/>
        <v>0</v>
      </c>
      <c r="BI338" s="42">
        <f t="shared" si="167"/>
        <v>0</v>
      </c>
      <c r="BJ338" s="42">
        <f t="shared" si="191"/>
        <v>0</v>
      </c>
      <c r="BK338" s="42">
        <f t="shared" si="191"/>
        <v>65</v>
      </c>
    </row>
    <row r="339" spans="1:63" ht="67.5" customHeight="1" x14ac:dyDescent="0.25">
      <c r="A339" s="298" t="s">
        <v>1002</v>
      </c>
      <c r="B339" s="299" t="s">
        <v>999</v>
      </c>
      <c r="C339" s="1547"/>
      <c r="D339" s="1551"/>
      <c r="E339" s="1551"/>
      <c r="F339" s="1551"/>
      <c r="G339" s="1551"/>
      <c r="H339" s="1551"/>
      <c r="I339" s="1425"/>
      <c r="J339" s="1425"/>
      <c r="K339" s="1425" t="s">
        <v>1025</v>
      </c>
      <c r="L339" s="301" t="s">
        <v>179</v>
      </c>
      <c r="M339" s="1425" t="s">
        <v>1007</v>
      </c>
      <c r="N339" s="1425" t="s">
        <v>1008</v>
      </c>
      <c r="O339" s="1425" t="s">
        <v>47</v>
      </c>
      <c r="P339" s="71" t="s">
        <v>1026</v>
      </c>
      <c r="Q339" s="302" t="s">
        <v>1027</v>
      </c>
      <c r="R339" s="303">
        <v>2015</v>
      </c>
      <c r="S339" s="303">
        <v>0</v>
      </c>
      <c r="T339" s="303">
        <v>1</v>
      </c>
      <c r="U339" s="572">
        <v>0</v>
      </c>
      <c r="V339" s="572">
        <v>0</v>
      </c>
      <c r="W339" s="572">
        <v>0</v>
      </c>
      <c r="X339" s="572">
        <v>1</v>
      </c>
      <c r="Y339" s="491">
        <v>70</v>
      </c>
      <c r="Z339" s="481"/>
      <c r="AA339" s="481"/>
      <c r="AB339" s="481"/>
      <c r="AC339" s="481"/>
      <c r="AD339" s="481"/>
      <c r="AE339" s="481"/>
      <c r="AF339" s="481">
        <f t="shared" si="197"/>
        <v>70</v>
      </c>
      <c r="AG339" s="491"/>
      <c r="AH339" s="548"/>
      <c r="AI339" s="548"/>
      <c r="AJ339" s="548"/>
      <c r="AK339" s="548"/>
      <c r="AL339" s="548"/>
      <c r="AM339" s="548">
        <f t="shared" si="198"/>
        <v>0</v>
      </c>
      <c r="AN339" s="481"/>
      <c r="AO339" s="481"/>
      <c r="AP339" s="481"/>
      <c r="AQ339" s="481"/>
      <c r="AR339" s="481"/>
      <c r="AS339" s="481"/>
      <c r="AT339" s="481"/>
      <c r="AU339" s="481">
        <f t="shared" si="199"/>
        <v>0</v>
      </c>
      <c r="AV339" s="548"/>
      <c r="AW339" s="548"/>
      <c r="AX339" s="548"/>
      <c r="AY339" s="548"/>
      <c r="AZ339" s="548"/>
      <c r="BA339" s="548"/>
      <c r="BB339" s="548"/>
      <c r="BC339" s="548">
        <f t="shared" si="200"/>
        <v>0</v>
      </c>
      <c r="BD339" s="42">
        <f t="shared" si="190"/>
        <v>70</v>
      </c>
      <c r="BE339" s="42">
        <f t="shared" si="190"/>
        <v>0</v>
      </c>
      <c r="BF339" s="42">
        <f t="shared" si="190"/>
        <v>0</v>
      </c>
      <c r="BG339" s="42">
        <f t="shared" si="190"/>
        <v>0</v>
      </c>
      <c r="BH339" s="42">
        <f t="shared" si="190"/>
        <v>0</v>
      </c>
      <c r="BI339" s="42">
        <f t="shared" ref="BI339:BI403" si="201">+AD339+AS339+BA339</f>
        <v>0</v>
      </c>
      <c r="BJ339" s="42">
        <f t="shared" si="191"/>
        <v>0</v>
      </c>
      <c r="BK339" s="42">
        <f t="shared" si="191"/>
        <v>70</v>
      </c>
    </row>
    <row r="340" spans="1:63" ht="78" customHeight="1" x14ac:dyDescent="0.25">
      <c r="A340" s="298" t="s">
        <v>1002</v>
      </c>
      <c r="B340" s="299" t="s">
        <v>999</v>
      </c>
      <c r="C340" s="1547"/>
      <c r="D340" s="1551"/>
      <c r="E340" s="1551"/>
      <c r="F340" s="1551"/>
      <c r="G340" s="1551"/>
      <c r="H340" s="1551"/>
      <c r="I340" s="1425"/>
      <c r="J340" s="1425"/>
      <c r="K340" s="1425" t="s">
        <v>1028</v>
      </c>
      <c r="L340" s="301" t="s">
        <v>179</v>
      </c>
      <c r="M340" s="1425" t="s">
        <v>1007</v>
      </c>
      <c r="N340" s="1425" t="s">
        <v>1008</v>
      </c>
      <c r="O340" s="1425" t="s">
        <v>47</v>
      </c>
      <c r="P340" s="16" t="s">
        <v>1029</v>
      </c>
      <c r="Q340" s="302" t="s">
        <v>1030</v>
      </c>
      <c r="R340" s="303">
        <v>2015</v>
      </c>
      <c r="S340" s="303">
        <v>0</v>
      </c>
      <c r="T340" s="303">
        <v>0</v>
      </c>
      <c r="U340" s="572">
        <v>1</v>
      </c>
      <c r="V340" s="572">
        <v>0</v>
      </c>
      <c r="W340" s="498">
        <v>1</v>
      </c>
      <c r="X340" s="572">
        <v>2</v>
      </c>
      <c r="Y340" s="481"/>
      <c r="Z340" s="481"/>
      <c r="AA340" s="481"/>
      <c r="AB340" s="481"/>
      <c r="AC340" s="481"/>
      <c r="AD340" s="481"/>
      <c r="AE340" s="481"/>
      <c r="AF340" s="481">
        <f t="shared" si="197"/>
        <v>0</v>
      </c>
      <c r="AG340" s="491">
        <v>10</v>
      </c>
      <c r="AH340" s="548"/>
      <c r="AI340" s="548"/>
      <c r="AJ340" s="548"/>
      <c r="AK340" s="548"/>
      <c r="AL340" s="548"/>
      <c r="AM340" s="548">
        <f t="shared" si="198"/>
        <v>10</v>
      </c>
      <c r="AN340" s="481"/>
      <c r="AO340" s="481"/>
      <c r="AP340" s="481"/>
      <c r="AQ340" s="481"/>
      <c r="AR340" s="481"/>
      <c r="AS340" s="481"/>
      <c r="AT340" s="481"/>
      <c r="AU340" s="481">
        <f t="shared" si="199"/>
        <v>0</v>
      </c>
      <c r="AV340" s="491">
        <v>50</v>
      </c>
      <c r="AW340" s="548"/>
      <c r="AX340" s="548"/>
      <c r="AY340" s="548"/>
      <c r="AZ340" s="548"/>
      <c r="BA340" s="548"/>
      <c r="BB340" s="548"/>
      <c r="BC340" s="548">
        <f t="shared" si="200"/>
        <v>50</v>
      </c>
      <c r="BD340" s="42">
        <f t="shared" si="190"/>
        <v>60</v>
      </c>
      <c r="BE340" s="42">
        <f t="shared" si="190"/>
        <v>0</v>
      </c>
      <c r="BF340" s="42">
        <f t="shared" si="190"/>
        <v>0</v>
      </c>
      <c r="BG340" s="42">
        <f t="shared" si="190"/>
        <v>0</v>
      </c>
      <c r="BH340" s="42">
        <f t="shared" si="190"/>
        <v>0</v>
      </c>
      <c r="BI340" s="42">
        <f t="shared" si="201"/>
        <v>0</v>
      </c>
      <c r="BJ340" s="42">
        <f t="shared" si="191"/>
        <v>0</v>
      </c>
      <c r="BK340" s="42">
        <f t="shared" si="191"/>
        <v>60</v>
      </c>
    </row>
    <row r="341" spans="1:63" ht="76.5" customHeight="1" x14ac:dyDescent="0.25">
      <c r="A341" s="298" t="s">
        <v>1002</v>
      </c>
      <c r="B341" s="299" t="s">
        <v>999</v>
      </c>
      <c r="C341" s="1547"/>
      <c r="D341" s="1551"/>
      <c r="E341" s="1551"/>
      <c r="F341" s="1551"/>
      <c r="G341" s="1551"/>
      <c r="H341" s="1551"/>
      <c r="I341" s="1425"/>
      <c r="J341" s="1425"/>
      <c r="K341" s="1425" t="s">
        <v>1031</v>
      </c>
      <c r="L341" s="301" t="s">
        <v>179</v>
      </c>
      <c r="M341" s="1425" t="s">
        <v>1007</v>
      </c>
      <c r="N341" s="1425" t="s">
        <v>1008</v>
      </c>
      <c r="O341" s="1425" t="s">
        <v>47</v>
      </c>
      <c r="P341" s="16" t="s">
        <v>1032</v>
      </c>
      <c r="Q341" s="302" t="s">
        <v>1033</v>
      </c>
      <c r="R341" s="303">
        <v>2015</v>
      </c>
      <c r="S341" s="303">
        <v>0</v>
      </c>
      <c r="T341" s="303">
        <v>100</v>
      </c>
      <c r="U341" s="572">
        <v>200</v>
      </c>
      <c r="V341" s="572">
        <v>200</v>
      </c>
      <c r="W341" s="572">
        <v>200</v>
      </c>
      <c r="X341" s="66">
        <v>700</v>
      </c>
      <c r="Y341" s="491">
        <v>20</v>
      </c>
      <c r="Z341" s="481"/>
      <c r="AA341" s="481"/>
      <c r="AB341" s="481"/>
      <c r="AC341" s="481"/>
      <c r="AD341" s="481"/>
      <c r="AE341" s="481"/>
      <c r="AF341" s="481">
        <f t="shared" si="197"/>
        <v>20</v>
      </c>
      <c r="AG341" s="491">
        <v>10</v>
      </c>
      <c r="AH341" s="548"/>
      <c r="AI341" s="548"/>
      <c r="AJ341" s="548"/>
      <c r="AK341" s="548"/>
      <c r="AL341" s="548"/>
      <c r="AM341" s="548">
        <f t="shared" si="198"/>
        <v>10</v>
      </c>
      <c r="AN341" s="491">
        <v>50</v>
      </c>
      <c r="AO341" s="481"/>
      <c r="AP341" s="481"/>
      <c r="AQ341" s="481"/>
      <c r="AR341" s="481"/>
      <c r="AS341" s="481"/>
      <c r="AT341" s="481"/>
      <c r="AU341" s="481">
        <f t="shared" si="199"/>
        <v>50</v>
      </c>
      <c r="AV341" s="491">
        <v>20</v>
      </c>
      <c r="AW341" s="548"/>
      <c r="AX341" s="548"/>
      <c r="AY341" s="548"/>
      <c r="AZ341" s="548"/>
      <c r="BA341" s="548"/>
      <c r="BB341" s="548"/>
      <c r="BC341" s="548">
        <f t="shared" si="200"/>
        <v>20</v>
      </c>
      <c r="BD341" s="42">
        <f t="shared" si="190"/>
        <v>100</v>
      </c>
      <c r="BE341" s="42">
        <f t="shared" si="190"/>
        <v>0</v>
      </c>
      <c r="BF341" s="42">
        <f t="shared" si="190"/>
        <v>0</v>
      </c>
      <c r="BG341" s="42">
        <f t="shared" si="190"/>
        <v>0</v>
      </c>
      <c r="BH341" s="42">
        <f t="shared" si="190"/>
        <v>0</v>
      </c>
      <c r="BI341" s="42">
        <f t="shared" si="201"/>
        <v>0</v>
      </c>
      <c r="BJ341" s="42">
        <f t="shared" si="191"/>
        <v>0</v>
      </c>
      <c r="BK341" s="42">
        <f t="shared" si="191"/>
        <v>100</v>
      </c>
    </row>
    <row r="342" spans="1:63" ht="72" customHeight="1" x14ac:dyDescent="0.25">
      <c r="A342" s="298" t="s">
        <v>1002</v>
      </c>
      <c r="B342" s="299" t="s">
        <v>999</v>
      </c>
      <c r="C342" s="1547"/>
      <c r="D342" s="1551"/>
      <c r="E342" s="1551"/>
      <c r="F342" s="1551"/>
      <c r="G342" s="1551"/>
      <c r="H342" s="1551"/>
      <c r="I342" s="1425"/>
      <c r="J342" s="1425"/>
      <c r="K342" s="1425" t="s">
        <v>1034</v>
      </c>
      <c r="L342" s="301" t="s">
        <v>179</v>
      </c>
      <c r="M342" s="1425" t="s">
        <v>1007</v>
      </c>
      <c r="N342" s="1425" t="s">
        <v>1008</v>
      </c>
      <c r="O342" s="1425" t="s">
        <v>73</v>
      </c>
      <c r="P342" s="16" t="s">
        <v>1035</v>
      </c>
      <c r="Q342" s="302" t="s">
        <v>1036</v>
      </c>
      <c r="R342" s="303">
        <v>2015</v>
      </c>
      <c r="S342" s="303">
        <v>0</v>
      </c>
      <c r="T342" s="303">
        <v>17</v>
      </c>
      <c r="U342" s="572">
        <v>17</v>
      </c>
      <c r="V342" s="572">
        <v>17</v>
      </c>
      <c r="W342" s="572">
        <v>17</v>
      </c>
      <c r="X342" s="572">
        <v>17</v>
      </c>
      <c r="Y342" s="491">
        <v>100</v>
      </c>
      <c r="Z342" s="481"/>
      <c r="AA342" s="481"/>
      <c r="AB342" s="481"/>
      <c r="AC342" s="481"/>
      <c r="AD342" s="481"/>
      <c r="AE342" s="481"/>
      <c r="AF342" s="481">
        <f t="shared" si="197"/>
        <v>100</v>
      </c>
      <c r="AG342" s="491">
        <v>30</v>
      </c>
      <c r="AH342" s="548"/>
      <c r="AI342" s="548"/>
      <c r="AJ342" s="548"/>
      <c r="AK342" s="548"/>
      <c r="AL342" s="548"/>
      <c r="AM342" s="548">
        <f t="shared" si="198"/>
        <v>30</v>
      </c>
      <c r="AN342" s="491">
        <v>130</v>
      </c>
      <c r="AO342" s="481"/>
      <c r="AP342" s="481"/>
      <c r="AQ342" s="481"/>
      <c r="AR342" s="481"/>
      <c r="AS342" s="481"/>
      <c r="AT342" s="481"/>
      <c r="AU342" s="481">
        <f t="shared" si="199"/>
        <v>130</v>
      </c>
      <c r="AV342" s="491">
        <v>60</v>
      </c>
      <c r="AW342" s="548"/>
      <c r="AX342" s="548"/>
      <c r="AY342" s="548"/>
      <c r="AZ342" s="548"/>
      <c r="BA342" s="548"/>
      <c r="BB342" s="548"/>
      <c r="BC342" s="548">
        <f t="shared" si="200"/>
        <v>60</v>
      </c>
      <c r="BD342" s="42">
        <f t="shared" si="190"/>
        <v>320</v>
      </c>
      <c r="BE342" s="42">
        <f t="shared" si="190"/>
        <v>0</v>
      </c>
      <c r="BF342" s="42">
        <f t="shared" si="190"/>
        <v>0</v>
      </c>
      <c r="BG342" s="42">
        <f t="shared" si="190"/>
        <v>0</v>
      </c>
      <c r="BH342" s="42">
        <f t="shared" si="190"/>
        <v>0</v>
      </c>
      <c r="BI342" s="42">
        <f t="shared" si="201"/>
        <v>0</v>
      </c>
      <c r="BJ342" s="42">
        <f t="shared" si="191"/>
        <v>0</v>
      </c>
      <c r="BK342" s="42">
        <f t="shared" si="191"/>
        <v>320</v>
      </c>
    </row>
    <row r="343" spans="1:63" ht="40.5" customHeight="1" x14ac:dyDescent="0.25">
      <c r="A343" s="298" t="s">
        <v>1002</v>
      </c>
      <c r="B343" s="299" t="s">
        <v>999</v>
      </c>
      <c r="C343" s="1547"/>
      <c r="D343" s="1551"/>
      <c r="E343" s="1551"/>
      <c r="F343" s="1551"/>
      <c r="G343" s="1551"/>
      <c r="H343" s="1551"/>
      <c r="I343" s="1425"/>
      <c r="J343" s="1425"/>
      <c r="K343" s="1425" t="s">
        <v>1037</v>
      </c>
      <c r="L343" s="301" t="s">
        <v>179</v>
      </c>
      <c r="M343" s="1425" t="s">
        <v>1007</v>
      </c>
      <c r="N343" s="1425" t="s">
        <v>1008</v>
      </c>
      <c r="O343" s="1425" t="s">
        <v>73</v>
      </c>
      <c r="P343" s="16" t="s">
        <v>1038</v>
      </c>
      <c r="Q343" s="302" t="s">
        <v>1039</v>
      </c>
      <c r="R343" s="303">
        <v>2015</v>
      </c>
      <c r="S343" s="303">
        <v>1</v>
      </c>
      <c r="T343" s="303">
        <v>1</v>
      </c>
      <c r="U343" s="572">
        <v>1</v>
      </c>
      <c r="V343" s="572">
        <v>1</v>
      </c>
      <c r="W343" s="572">
        <v>1</v>
      </c>
      <c r="X343" s="572">
        <v>1</v>
      </c>
      <c r="Y343" s="491">
        <v>10</v>
      </c>
      <c r="Z343" s="481"/>
      <c r="AA343" s="481"/>
      <c r="AB343" s="481"/>
      <c r="AC343" s="481"/>
      <c r="AD343" s="481"/>
      <c r="AE343" s="481"/>
      <c r="AF343" s="481">
        <f t="shared" si="197"/>
        <v>10</v>
      </c>
      <c r="AG343" s="491">
        <v>10</v>
      </c>
      <c r="AH343" s="548"/>
      <c r="AI343" s="548"/>
      <c r="AJ343" s="548"/>
      <c r="AK343" s="548"/>
      <c r="AL343" s="548"/>
      <c r="AM343" s="548">
        <f t="shared" si="198"/>
        <v>10</v>
      </c>
      <c r="AN343" s="491">
        <v>10</v>
      </c>
      <c r="AO343" s="481"/>
      <c r="AP343" s="481"/>
      <c r="AQ343" s="481"/>
      <c r="AR343" s="481"/>
      <c r="AS343" s="481"/>
      <c r="AT343" s="481"/>
      <c r="AU343" s="481">
        <f t="shared" si="199"/>
        <v>10</v>
      </c>
      <c r="AV343" s="491">
        <v>10</v>
      </c>
      <c r="AW343" s="548"/>
      <c r="AX343" s="548"/>
      <c r="AY343" s="548"/>
      <c r="AZ343" s="548"/>
      <c r="BA343" s="548"/>
      <c r="BB343" s="548"/>
      <c r="BC343" s="548">
        <f t="shared" si="200"/>
        <v>10</v>
      </c>
      <c r="BD343" s="42">
        <f t="shared" si="190"/>
        <v>40</v>
      </c>
      <c r="BE343" s="42">
        <f t="shared" si="190"/>
        <v>0</v>
      </c>
      <c r="BF343" s="42">
        <f t="shared" si="190"/>
        <v>0</v>
      </c>
      <c r="BG343" s="42">
        <f t="shared" si="190"/>
        <v>0</v>
      </c>
      <c r="BH343" s="42">
        <f t="shared" si="190"/>
        <v>0</v>
      </c>
      <c r="BI343" s="42">
        <f t="shared" si="201"/>
        <v>0</v>
      </c>
      <c r="BJ343" s="42">
        <f t="shared" si="191"/>
        <v>0</v>
      </c>
      <c r="BK343" s="42">
        <f t="shared" si="191"/>
        <v>40</v>
      </c>
    </row>
    <row r="344" spans="1:63" ht="57.75" customHeight="1" x14ac:dyDescent="0.25">
      <c r="A344" s="298" t="s">
        <v>1002</v>
      </c>
      <c r="B344" s="299" t="s">
        <v>999</v>
      </c>
      <c r="C344" s="1547"/>
      <c r="D344" s="1551"/>
      <c r="E344" s="1551"/>
      <c r="F344" s="1551"/>
      <c r="G344" s="1551"/>
      <c r="H344" s="1551"/>
      <c r="I344" s="1425"/>
      <c r="J344" s="1425"/>
      <c r="K344" s="1425" t="s">
        <v>1040</v>
      </c>
      <c r="L344" s="301" t="s">
        <v>179</v>
      </c>
      <c r="M344" s="1425" t="s">
        <v>1041</v>
      </c>
      <c r="N344" s="1425" t="s">
        <v>1008</v>
      </c>
      <c r="O344" s="1425" t="s">
        <v>47</v>
      </c>
      <c r="P344" s="16" t="s">
        <v>1042</v>
      </c>
      <c r="Q344" s="302" t="s">
        <v>1043</v>
      </c>
      <c r="R344" s="303">
        <v>2015</v>
      </c>
      <c r="S344" s="303">
        <v>1</v>
      </c>
      <c r="T344" s="303">
        <v>1</v>
      </c>
      <c r="U344" s="572">
        <v>1</v>
      </c>
      <c r="V344" s="572">
        <v>1</v>
      </c>
      <c r="W344" s="572">
        <v>1</v>
      </c>
      <c r="X344" s="572">
        <v>4</v>
      </c>
      <c r="Y344" s="491">
        <v>30</v>
      </c>
      <c r="Z344" s="481"/>
      <c r="AA344" s="482"/>
      <c r="AB344" s="481"/>
      <c r="AC344" s="481"/>
      <c r="AD344" s="481"/>
      <c r="AE344" s="481"/>
      <c r="AF344" s="481">
        <f t="shared" si="197"/>
        <v>30</v>
      </c>
      <c r="AG344" s="548"/>
      <c r="AH344" s="548"/>
      <c r="AI344" s="716">
        <v>60</v>
      </c>
      <c r="AJ344" s="548"/>
      <c r="AK344" s="548"/>
      <c r="AL344" s="548"/>
      <c r="AM344" s="548">
        <f t="shared" si="198"/>
        <v>60</v>
      </c>
      <c r="AN344" s="491">
        <v>30</v>
      </c>
      <c r="AO344" s="481"/>
      <c r="AP344" s="481"/>
      <c r="AQ344" s="481"/>
      <c r="AR344" s="481"/>
      <c r="AS344" s="481"/>
      <c r="AT344" s="481"/>
      <c r="AU344" s="481">
        <f t="shared" si="199"/>
        <v>30</v>
      </c>
      <c r="AV344" s="548"/>
      <c r="AW344" s="548"/>
      <c r="AX344" s="548">
        <v>30</v>
      </c>
      <c r="AY344" s="548"/>
      <c r="AZ344" s="548"/>
      <c r="BA344" s="548"/>
      <c r="BB344" s="548"/>
      <c r="BC344" s="548">
        <f t="shared" si="200"/>
        <v>30</v>
      </c>
      <c r="BD344" s="42">
        <f t="shared" si="190"/>
        <v>60</v>
      </c>
      <c r="BE344" s="42">
        <f t="shared" si="190"/>
        <v>0</v>
      </c>
      <c r="BF344" s="42">
        <f t="shared" si="190"/>
        <v>90</v>
      </c>
      <c r="BG344" s="42">
        <f t="shared" si="190"/>
        <v>0</v>
      </c>
      <c r="BH344" s="42">
        <f t="shared" si="190"/>
        <v>0</v>
      </c>
      <c r="BI344" s="42">
        <f t="shared" si="201"/>
        <v>0</v>
      </c>
      <c r="BJ344" s="42">
        <f t="shared" si="191"/>
        <v>0</v>
      </c>
      <c r="BK344" s="42">
        <f t="shared" si="191"/>
        <v>150</v>
      </c>
    </row>
    <row r="345" spans="1:63" ht="63" customHeight="1" x14ac:dyDescent="0.25">
      <c r="A345" s="298" t="s">
        <v>1002</v>
      </c>
      <c r="B345" s="299" t="s">
        <v>999</v>
      </c>
      <c r="C345" s="1547"/>
      <c r="D345" s="1551"/>
      <c r="E345" s="1551"/>
      <c r="F345" s="1551"/>
      <c r="G345" s="1551"/>
      <c r="H345" s="1551"/>
      <c r="I345" s="1425" t="s">
        <v>53</v>
      </c>
      <c r="J345" s="1425"/>
      <c r="K345" s="1425" t="s">
        <v>1044</v>
      </c>
      <c r="L345" s="301" t="s">
        <v>179</v>
      </c>
      <c r="M345" s="1425" t="s">
        <v>1041</v>
      </c>
      <c r="N345" s="1425" t="s">
        <v>1008</v>
      </c>
      <c r="O345" s="1425" t="s">
        <v>47</v>
      </c>
      <c r="P345" s="16" t="s">
        <v>1045</v>
      </c>
      <c r="Q345" s="302" t="s">
        <v>1046</v>
      </c>
      <c r="R345" s="303">
        <v>2015</v>
      </c>
      <c r="S345" s="303">
        <v>0</v>
      </c>
      <c r="T345" s="684">
        <v>0</v>
      </c>
      <c r="U345" s="572">
        <v>1</v>
      </c>
      <c r="V345" s="572">
        <v>0</v>
      </c>
      <c r="W345" s="572">
        <v>0</v>
      </c>
      <c r="X345" s="572">
        <v>1</v>
      </c>
      <c r="Y345" s="481"/>
      <c r="Z345" s="481"/>
      <c r="AA345" s="481"/>
      <c r="AB345" s="481"/>
      <c r="AC345" s="481"/>
      <c r="AD345" s="481"/>
      <c r="AE345" s="481"/>
      <c r="AF345" s="481">
        <f t="shared" si="197"/>
        <v>0</v>
      </c>
      <c r="AG345" s="548"/>
      <c r="AH345" s="548"/>
      <c r="AI345" s="548"/>
      <c r="AJ345" s="548"/>
      <c r="AK345" s="548"/>
      <c r="AL345" s="548">
        <v>1000</v>
      </c>
      <c r="AM345" s="548">
        <f>SUM(AG345:AL345)</f>
        <v>1000</v>
      </c>
      <c r="AN345" s="481"/>
      <c r="AO345" s="481"/>
      <c r="AP345" s="481"/>
      <c r="AQ345" s="481"/>
      <c r="AR345" s="481"/>
      <c r="AS345" s="481"/>
      <c r="AT345" s="481"/>
      <c r="AU345" s="481">
        <f t="shared" si="199"/>
        <v>0</v>
      </c>
      <c r="AV345" s="548"/>
      <c r="AW345" s="548"/>
      <c r="AX345" s="548"/>
      <c r="AY345" s="548"/>
      <c r="AZ345" s="548"/>
      <c r="BA345" s="548"/>
      <c r="BB345" s="548"/>
      <c r="BC345" s="548">
        <f t="shared" si="200"/>
        <v>0</v>
      </c>
      <c r="BD345" s="42">
        <f t="shared" si="190"/>
        <v>0</v>
      </c>
      <c r="BE345" s="42">
        <f t="shared" si="190"/>
        <v>0</v>
      </c>
      <c r="BF345" s="42">
        <f t="shared" si="190"/>
        <v>0</v>
      </c>
      <c r="BG345" s="42">
        <f t="shared" si="190"/>
        <v>0</v>
      </c>
      <c r="BH345" s="42">
        <f t="shared" si="190"/>
        <v>0</v>
      </c>
      <c r="BI345" s="42">
        <f t="shared" si="201"/>
        <v>0</v>
      </c>
      <c r="BJ345" s="42">
        <f t="shared" si="191"/>
        <v>1000</v>
      </c>
      <c r="BK345" s="42">
        <f t="shared" si="191"/>
        <v>1000</v>
      </c>
    </row>
    <row r="346" spans="1:63" ht="58.5" customHeight="1" x14ac:dyDescent="0.25">
      <c r="A346" s="298" t="s">
        <v>1002</v>
      </c>
      <c r="B346" s="299" t="s">
        <v>999</v>
      </c>
      <c r="C346" s="1547"/>
      <c r="D346" s="1551"/>
      <c r="E346" s="1551"/>
      <c r="F346" s="1551"/>
      <c r="G346" s="1551"/>
      <c r="H346" s="1551"/>
      <c r="I346" s="1425" t="s">
        <v>53</v>
      </c>
      <c r="J346" s="1425"/>
      <c r="K346" s="1425" t="s">
        <v>1047</v>
      </c>
      <c r="L346" s="301" t="s">
        <v>179</v>
      </c>
      <c r="M346" s="1425" t="s">
        <v>1041</v>
      </c>
      <c r="N346" s="1425" t="s">
        <v>1008</v>
      </c>
      <c r="O346" s="1425" t="s">
        <v>47</v>
      </c>
      <c r="P346" s="16" t="s">
        <v>1048</v>
      </c>
      <c r="Q346" s="302" t="s">
        <v>1049</v>
      </c>
      <c r="R346" s="303">
        <v>2015</v>
      </c>
      <c r="S346" s="303">
        <v>0</v>
      </c>
      <c r="T346" s="303">
        <v>0.5</v>
      </c>
      <c r="U346" s="685">
        <v>0.5</v>
      </c>
      <c r="V346" s="572">
        <v>0</v>
      </c>
      <c r="W346" s="572">
        <v>0</v>
      </c>
      <c r="X346" s="572">
        <v>1</v>
      </c>
      <c r="Y346" s="491">
        <v>2.8</v>
      </c>
      <c r="Z346" s="481"/>
      <c r="AA346" s="481"/>
      <c r="AB346" s="481"/>
      <c r="AC346" s="481"/>
      <c r="AD346" s="481"/>
      <c r="AE346" s="481"/>
      <c r="AF346" s="481">
        <f t="shared" si="197"/>
        <v>2.8</v>
      </c>
      <c r="AG346" s="548"/>
      <c r="AH346" s="548"/>
      <c r="AI346" s="548"/>
      <c r="AJ346" s="548"/>
      <c r="AK346" s="548"/>
      <c r="AL346" s="548">
        <v>400</v>
      </c>
      <c r="AM346" s="548">
        <f t="shared" si="198"/>
        <v>400</v>
      </c>
      <c r="AN346" s="481"/>
      <c r="AO346" s="481"/>
      <c r="AP346" s="481"/>
      <c r="AQ346" s="481"/>
      <c r="AR346" s="481"/>
      <c r="AS346" s="481"/>
      <c r="AT346" s="481"/>
      <c r="AU346" s="481">
        <f t="shared" si="199"/>
        <v>0</v>
      </c>
      <c r="AV346" s="548"/>
      <c r="AW346" s="548"/>
      <c r="AX346" s="548"/>
      <c r="AY346" s="548"/>
      <c r="AZ346" s="548"/>
      <c r="BA346" s="548"/>
      <c r="BB346" s="548"/>
      <c r="BC346" s="548">
        <f t="shared" si="200"/>
        <v>0</v>
      </c>
      <c r="BD346" s="42">
        <f t="shared" si="190"/>
        <v>2.8</v>
      </c>
      <c r="BE346" s="42">
        <f t="shared" si="190"/>
        <v>0</v>
      </c>
      <c r="BF346" s="42">
        <f t="shared" si="190"/>
        <v>0</v>
      </c>
      <c r="BG346" s="42">
        <f t="shared" si="190"/>
        <v>0</v>
      </c>
      <c r="BH346" s="42">
        <f t="shared" si="190"/>
        <v>0</v>
      </c>
      <c r="BI346" s="42">
        <f t="shared" si="201"/>
        <v>0</v>
      </c>
      <c r="BJ346" s="42">
        <f t="shared" si="191"/>
        <v>400</v>
      </c>
      <c r="BK346" s="42">
        <f t="shared" si="191"/>
        <v>402.8</v>
      </c>
    </row>
    <row r="347" spans="1:63" ht="70.5" customHeight="1" x14ac:dyDescent="0.25">
      <c r="A347" s="298" t="s">
        <v>1002</v>
      </c>
      <c r="B347" s="299" t="s">
        <v>999</v>
      </c>
      <c r="C347" s="1547"/>
      <c r="D347" s="1551"/>
      <c r="E347" s="1551"/>
      <c r="F347" s="1551"/>
      <c r="G347" s="1551"/>
      <c r="H347" s="1551"/>
      <c r="I347" s="1425" t="s">
        <v>53</v>
      </c>
      <c r="J347" s="1425"/>
      <c r="K347" s="1425" t="s">
        <v>1050</v>
      </c>
      <c r="L347" s="301" t="s">
        <v>179</v>
      </c>
      <c r="M347" s="1425" t="s">
        <v>1041</v>
      </c>
      <c r="N347" s="1425" t="s">
        <v>1008</v>
      </c>
      <c r="O347" s="1425" t="s">
        <v>47</v>
      </c>
      <c r="P347" s="16" t="s">
        <v>1051</v>
      </c>
      <c r="Q347" s="302" t="s">
        <v>1052</v>
      </c>
      <c r="R347" s="303">
        <v>2015</v>
      </c>
      <c r="S347" s="303">
        <v>0</v>
      </c>
      <c r="T347" s="303">
        <v>7000</v>
      </c>
      <c r="U347" s="572">
        <v>9000</v>
      </c>
      <c r="V347" s="572">
        <v>9000</v>
      </c>
      <c r="W347" s="572">
        <v>9000</v>
      </c>
      <c r="X347" s="572">
        <v>34000</v>
      </c>
      <c r="Y347" s="491">
        <v>30</v>
      </c>
      <c r="Z347" s="481"/>
      <c r="AA347" s="481">
        <v>80</v>
      </c>
      <c r="AB347" s="481"/>
      <c r="AC347" s="481"/>
      <c r="AD347" s="481">
        <v>648</v>
      </c>
      <c r="AE347" s="481"/>
      <c r="AF347" s="481">
        <f t="shared" si="197"/>
        <v>758</v>
      </c>
      <c r="AG347" s="491">
        <v>14</v>
      </c>
      <c r="AH347" s="548"/>
      <c r="AI347" s="491">
        <v>50</v>
      </c>
      <c r="AJ347" s="588"/>
      <c r="AK347" s="548"/>
      <c r="AL347" s="548">
        <v>1000</v>
      </c>
      <c r="AM347" s="548">
        <f t="shared" si="198"/>
        <v>1064</v>
      </c>
      <c r="AN347" s="491">
        <v>20</v>
      </c>
      <c r="AO347" s="481"/>
      <c r="AP347" s="481">
        <v>80</v>
      </c>
      <c r="AQ347" s="481">
        <v>1000</v>
      </c>
      <c r="AR347" s="481"/>
      <c r="AS347" s="481"/>
      <c r="AT347" s="481"/>
      <c r="AU347" s="481">
        <f t="shared" si="199"/>
        <v>1100</v>
      </c>
      <c r="AV347" s="491"/>
      <c r="AW347" s="548"/>
      <c r="AX347" s="491">
        <v>50</v>
      </c>
      <c r="AY347" s="491">
        <v>100</v>
      </c>
      <c r="AZ347" s="548"/>
      <c r="BA347" s="548"/>
      <c r="BB347" s="548"/>
      <c r="BC347" s="548">
        <f t="shared" si="200"/>
        <v>150</v>
      </c>
      <c r="BD347" s="42">
        <f t="shared" ref="BD347:BH379" si="202">+AV347+AN347+AG347+Y347</f>
        <v>64</v>
      </c>
      <c r="BE347" s="42">
        <f t="shared" si="202"/>
        <v>0</v>
      </c>
      <c r="BF347" s="42">
        <f t="shared" si="202"/>
        <v>260</v>
      </c>
      <c r="BG347" s="42">
        <f t="shared" si="202"/>
        <v>1100</v>
      </c>
      <c r="BH347" s="42">
        <f t="shared" si="202"/>
        <v>0</v>
      </c>
      <c r="BI347" s="42">
        <f t="shared" si="201"/>
        <v>648</v>
      </c>
      <c r="BJ347" s="42">
        <f t="shared" ref="BJ347:BK379" si="203">+BB347+AT347+AL347+AE347</f>
        <v>1000</v>
      </c>
      <c r="BK347" s="42">
        <f t="shared" si="203"/>
        <v>3072</v>
      </c>
    </row>
    <row r="348" spans="1:63" ht="69.75" customHeight="1" x14ac:dyDescent="0.25">
      <c r="A348" s="298" t="s">
        <v>1002</v>
      </c>
      <c r="B348" s="299" t="s">
        <v>999</v>
      </c>
      <c r="C348" s="1547"/>
      <c r="D348" s="1551"/>
      <c r="E348" s="1551"/>
      <c r="F348" s="1551"/>
      <c r="G348" s="1551"/>
      <c r="H348" s="1551"/>
      <c r="I348" s="1425" t="s">
        <v>53</v>
      </c>
      <c r="J348" s="1425"/>
      <c r="K348" s="1425" t="s">
        <v>1053</v>
      </c>
      <c r="L348" s="301" t="s">
        <v>179</v>
      </c>
      <c r="M348" s="1425" t="s">
        <v>1041</v>
      </c>
      <c r="N348" s="1425" t="s">
        <v>1008</v>
      </c>
      <c r="O348" s="1425" t="s">
        <v>47</v>
      </c>
      <c r="P348" s="16" t="s">
        <v>1054</v>
      </c>
      <c r="Q348" s="302" t="s">
        <v>1055</v>
      </c>
      <c r="R348" s="303">
        <v>2015</v>
      </c>
      <c r="S348" s="303">
        <v>0</v>
      </c>
      <c r="T348" s="303">
        <v>400</v>
      </c>
      <c r="U348" s="572">
        <v>400</v>
      </c>
      <c r="V348" s="572">
        <v>400</v>
      </c>
      <c r="W348" s="572">
        <v>400</v>
      </c>
      <c r="X348" s="572">
        <v>1200</v>
      </c>
      <c r="Y348" s="491">
        <v>15</v>
      </c>
      <c r="Z348" s="481"/>
      <c r="AA348" s="481"/>
      <c r="AB348" s="481"/>
      <c r="AC348" s="481"/>
      <c r="AD348" s="481"/>
      <c r="AE348" s="481"/>
      <c r="AF348" s="481">
        <f t="shared" si="197"/>
        <v>15</v>
      </c>
      <c r="AG348" s="548"/>
      <c r="AH348" s="548"/>
      <c r="AI348" s="548"/>
      <c r="AJ348" s="548">
        <v>75</v>
      </c>
      <c r="AK348" s="548"/>
      <c r="AL348" s="548"/>
      <c r="AM348" s="548">
        <f t="shared" si="198"/>
        <v>75</v>
      </c>
      <c r="AN348" s="491">
        <v>15</v>
      </c>
      <c r="AO348" s="481"/>
      <c r="AP348" s="481"/>
      <c r="AQ348" s="481"/>
      <c r="AR348" s="481"/>
      <c r="AS348" s="481"/>
      <c r="AT348" s="481"/>
      <c r="AU348" s="481">
        <f t="shared" si="199"/>
        <v>15</v>
      </c>
      <c r="AV348" s="548"/>
      <c r="AW348" s="548"/>
      <c r="AX348" s="491">
        <v>50</v>
      </c>
      <c r="AY348" s="548"/>
      <c r="AZ348" s="548"/>
      <c r="BA348" s="548"/>
      <c r="BB348" s="548"/>
      <c r="BC348" s="548">
        <f t="shared" si="200"/>
        <v>50</v>
      </c>
      <c r="BD348" s="42">
        <f t="shared" si="202"/>
        <v>30</v>
      </c>
      <c r="BE348" s="42">
        <f t="shared" si="202"/>
        <v>0</v>
      </c>
      <c r="BF348" s="42">
        <f t="shared" si="202"/>
        <v>50</v>
      </c>
      <c r="BG348" s="42">
        <f t="shared" si="202"/>
        <v>75</v>
      </c>
      <c r="BH348" s="42">
        <f t="shared" si="202"/>
        <v>0</v>
      </c>
      <c r="BI348" s="42">
        <f t="shared" si="201"/>
        <v>0</v>
      </c>
      <c r="BJ348" s="42">
        <f t="shared" si="203"/>
        <v>0</v>
      </c>
      <c r="BK348" s="42">
        <f t="shared" si="203"/>
        <v>155</v>
      </c>
    </row>
    <row r="349" spans="1:63" ht="57" customHeight="1" x14ac:dyDescent="0.25">
      <c r="A349" s="298" t="s">
        <v>1002</v>
      </c>
      <c r="B349" s="299" t="s">
        <v>999</v>
      </c>
      <c r="C349" s="1547"/>
      <c r="D349" s="1551"/>
      <c r="E349" s="1551"/>
      <c r="F349" s="1551"/>
      <c r="G349" s="1551"/>
      <c r="H349" s="1551"/>
      <c r="I349" s="1425"/>
      <c r="J349" s="1425"/>
      <c r="K349" s="1425" t="s">
        <v>1056</v>
      </c>
      <c r="L349" s="301" t="s">
        <v>179</v>
      </c>
      <c r="M349" s="1425" t="s">
        <v>1041</v>
      </c>
      <c r="N349" s="1425" t="s">
        <v>1008</v>
      </c>
      <c r="O349" s="1425" t="s">
        <v>47</v>
      </c>
      <c r="P349" s="16" t="s">
        <v>1057</v>
      </c>
      <c r="Q349" s="302" t="s">
        <v>1058</v>
      </c>
      <c r="R349" s="303">
        <v>2015</v>
      </c>
      <c r="S349" s="303">
        <v>0</v>
      </c>
      <c r="T349" s="303">
        <v>125</v>
      </c>
      <c r="U349" s="572">
        <v>125</v>
      </c>
      <c r="V349" s="572">
        <v>125</v>
      </c>
      <c r="W349" s="572">
        <v>125</v>
      </c>
      <c r="X349" s="572">
        <v>500</v>
      </c>
      <c r="Y349" s="491">
        <v>10</v>
      </c>
      <c r="Z349" s="481"/>
      <c r="AA349" s="481">
        <v>170.6</v>
      </c>
      <c r="AB349" s="481"/>
      <c r="AC349" s="481"/>
      <c r="AD349" s="481"/>
      <c r="AE349" s="481"/>
      <c r="AF349" s="481">
        <f t="shared" si="197"/>
        <v>180.6</v>
      </c>
      <c r="AG349" s="491">
        <v>20</v>
      </c>
      <c r="AH349" s="548"/>
      <c r="AI349" s="491">
        <v>100</v>
      </c>
      <c r="AJ349" s="548"/>
      <c r="AK349" s="548"/>
      <c r="AL349" s="548"/>
      <c r="AM349" s="548">
        <f t="shared" si="198"/>
        <v>120</v>
      </c>
      <c r="AN349" s="491">
        <v>15</v>
      </c>
      <c r="AO349" s="481"/>
      <c r="AP349" s="481">
        <v>170</v>
      </c>
      <c r="AQ349" s="481"/>
      <c r="AR349" s="481"/>
      <c r="AS349" s="481"/>
      <c r="AT349" s="481"/>
      <c r="AU349" s="481">
        <f t="shared" si="199"/>
        <v>185</v>
      </c>
      <c r="AV349" s="491"/>
      <c r="AW349" s="548"/>
      <c r="AX349" s="491">
        <v>50</v>
      </c>
      <c r="AY349" s="491">
        <v>100</v>
      </c>
      <c r="AZ349" s="548"/>
      <c r="BA349" s="548"/>
      <c r="BB349" s="548"/>
      <c r="BC349" s="548">
        <f t="shared" si="200"/>
        <v>150</v>
      </c>
      <c r="BD349" s="42">
        <f t="shared" si="202"/>
        <v>45</v>
      </c>
      <c r="BE349" s="42">
        <f t="shared" si="202"/>
        <v>0</v>
      </c>
      <c r="BF349" s="42">
        <f t="shared" si="202"/>
        <v>490.6</v>
      </c>
      <c r="BG349" s="42">
        <f t="shared" si="202"/>
        <v>100</v>
      </c>
      <c r="BH349" s="42">
        <f t="shared" si="202"/>
        <v>0</v>
      </c>
      <c r="BI349" s="42">
        <f t="shared" si="201"/>
        <v>0</v>
      </c>
      <c r="BJ349" s="42">
        <f t="shared" si="203"/>
        <v>0</v>
      </c>
      <c r="BK349" s="42">
        <f t="shared" si="203"/>
        <v>635.6</v>
      </c>
    </row>
    <row r="350" spans="1:63" ht="80.25" customHeight="1" x14ac:dyDescent="0.25">
      <c r="A350" s="298" t="s">
        <v>1002</v>
      </c>
      <c r="B350" s="299" t="s">
        <v>999</v>
      </c>
      <c r="C350" s="1547"/>
      <c r="D350" s="1551"/>
      <c r="E350" s="1551"/>
      <c r="F350" s="1551"/>
      <c r="G350" s="1551"/>
      <c r="H350" s="1551"/>
      <c r="I350" s="1425" t="s">
        <v>53</v>
      </c>
      <c r="J350" s="1425"/>
      <c r="K350" s="1425" t="s">
        <v>1059</v>
      </c>
      <c r="L350" s="301" t="s">
        <v>179</v>
      </c>
      <c r="M350" s="1425" t="s">
        <v>1041</v>
      </c>
      <c r="N350" s="1425" t="s">
        <v>1008</v>
      </c>
      <c r="O350" s="1425" t="s">
        <v>47</v>
      </c>
      <c r="P350" s="16" t="s">
        <v>1060</v>
      </c>
      <c r="Q350" s="302" t="s">
        <v>1061</v>
      </c>
      <c r="R350" s="303">
        <v>2015</v>
      </c>
      <c r="S350" s="303">
        <v>0</v>
      </c>
      <c r="T350" s="303">
        <v>300</v>
      </c>
      <c r="U350" s="572">
        <v>700</v>
      </c>
      <c r="V350" s="572">
        <v>1000</v>
      </c>
      <c r="W350" s="572">
        <v>1000</v>
      </c>
      <c r="X350" s="572">
        <v>3000</v>
      </c>
      <c r="Y350" s="491">
        <v>10</v>
      </c>
      <c r="Z350" s="481"/>
      <c r="AA350" s="481"/>
      <c r="AB350" s="481"/>
      <c r="AC350" s="481"/>
      <c r="AD350" s="481"/>
      <c r="AE350" s="481"/>
      <c r="AF350" s="481">
        <f t="shared" si="197"/>
        <v>10</v>
      </c>
      <c r="AG350" s="548"/>
      <c r="AH350" s="548"/>
      <c r="AI350" s="716">
        <v>130</v>
      </c>
      <c r="AJ350" s="588"/>
      <c r="AK350" s="548"/>
      <c r="AL350" s="548"/>
      <c r="AM350" s="548">
        <f t="shared" si="198"/>
        <v>130</v>
      </c>
      <c r="AN350" s="491">
        <v>15</v>
      </c>
      <c r="AO350" s="481"/>
      <c r="AP350" s="481"/>
      <c r="AQ350" s="481">
        <v>150</v>
      </c>
      <c r="AR350" s="481"/>
      <c r="AS350" s="481"/>
      <c r="AT350" s="481"/>
      <c r="AU350" s="481">
        <f t="shared" si="199"/>
        <v>165</v>
      </c>
      <c r="AV350" s="548"/>
      <c r="AW350" s="548"/>
      <c r="AX350" s="491">
        <v>35</v>
      </c>
      <c r="AY350" s="548"/>
      <c r="AZ350" s="548"/>
      <c r="BA350" s="548"/>
      <c r="BB350" s="548"/>
      <c r="BC350" s="548">
        <f t="shared" si="200"/>
        <v>35</v>
      </c>
      <c r="BD350" s="42">
        <f t="shared" si="202"/>
        <v>25</v>
      </c>
      <c r="BE350" s="42">
        <f t="shared" si="202"/>
        <v>0</v>
      </c>
      <c r="BF350" s="42">
        <f t="shared" si="202"/>
        <v>165</v>
      </c>
      <c r="BG350" s="42">
        <f t="shared" si="202"/>
        <v>150</v>
      </c>
      <c r="BH350" s="42">
        <f t="shared" si="202"/>
        <v>0</v>
      </c>
      <c r="BI350" s="42">
        <f t="shared" si="201"/>
        <v>0</v>
      </c>
      <c r="BJ350" s="42">
        <f t="shared" si="203"/>
        <v>0</v>
      </c>
      <c r="BK350" s="42">
        <f t="shared" si="203"/>
        <v>340</v>
      </c>
    </row>
    <row r="351" spans="1:63" ht="64.5" customHeight="1" x14ac:dyDescent="0.25">
      <c r="A351" s="298" t="s">
        <v>1002</v>
      </c>
      <c r="B351" s="299" t="s">
        <v>999</v>
      </c>
      <c r="C351" s="1547"/>
      <c r="D351" s="1551"/>
      <c r="E351" s="1551"/>
      <c r="F351" s="1551"/>
      <c r="G351" s="1551"/>
      <c r="H351" s="1551"/>
      <c r="I351" s="1425" t="s">
        <v>53</v>
      </c>
      <c r="J351" s="1425"/>
      <c r="K351" s="1425" t="s">
        <v>1062</v>
      </c>
      <c r="L351" s="301" t="s">
        <v>179</v>
      </c>
      <c r="M351" s="1425" t="s">
        <v>1041</v>
      </c>
      <c r="N351" s="1425" t="s">
        <v>1008</v>
      </c>
      <c r="O351" s="1425" t="s">
        <v>47</v>
      </c>
      <c r="P351" s="16" t="s">
        <v>1063</v>
      </c>
      <c r="Q351" s="302" t="s">
        <v>1064</v>
      </c>
      <c r="R351" s="303">
        <v>2015</v>
      </c>
      <c r="S351" s="303">
        <v>0</v>
      </c>
      <c r="T351" s="303">
        <v>20</v>
      </c>
      <c r="U351" s="572">
        <v>20</v>
      </c>
      <c r="V351" s="572">
        <v>40</v>
      </c>
      <c r="W351" s="572">
        <v>40</v>
      </c>
      <c r="X351" s="572">
        <v>120</v>
      </c>
      <c r="Y351" s="491">
        <v>10</v>
      </c>
      <c r="Z351" s="481"/>
      <c r="AA351" s="481"/>
      <c r="AB351" s="481"/>
      <c r="AC351" s="481"/>
      <c r="AD351" s="481"/>
      <c r="AE351" s="481"/>
      <c r="AF351" s="481">
        <f t="shared" si="197"/>
        <v>10</v>
      </c>
      <c r="AG351" s="548"/>
      <c r="AH351" s="548"/>
      <c r="AI351" s="491">
        <v>20</v>
      </c>
      <c r="AJ351" s="548"/>
      <c r="AK351" s="548"/>
      <c r="AL351" s="548"/>
      <c r="AM351" s="548">
        <f t="shared" si="198"/>
        <v>20</v>
      </c>
      <c r="AN351" s="491">
        <v>15</v>
      </c>
      <c r="AO351" s="481"/>
      <c r="AP351" s="481">
        <v>21</v>
      </c>
      <c r="AQ351" s="481"/>
      <c r="AR351" s="481"/>
      <c r="AS351" s="481"/>
      <c r="AT351" s="481"/>
      <c r="AU351" s="481">
        <f t="shared" si="199"/>
        <v>36</v>
      </c>
      <c r="AV351" s="548"/>
      <c r="AW351" s="548"/>
      <c r="AX351" s="548">
        <v>21</v>
      </c>
      <c r="AY351" s="548"/>
      <c r="AZ351" s="548"/>
      <c r="BA351" s="548"/>
      <c r="BB351" s="548"/>
      <c r="BC351" s="548">
        <f t="shared" si="200"/>
        <v>21</v>
      </c>
      <c r="BD351" s="42">
        <f t="shared" si="202"/>
        <v>25</v>
      </c>
      <c r="BE351" s="42">
        <f t="shared" si="202"/>
        <v>0</v>
      </c>
      <c r="BF351" s="42">
        <f t="shared" si="202"/>
        <v>62</v>
      </c>
      <c r="BG351" s="42">
        <f t="shared" si="202"/>
        <v>0</v>
      </c>
      <c r="BH351" s="42">
        <f t="shared" si="202"/>
        <v>0</v>
      </c>
      <c r="BI351" s="42">
        <f t="shared" si="201"/>
        <v>0</v>
      </c>
      <c r="BJ351" s="42">
        <f t="shared" si="203"/>
        <v>0</v>
      </c>
      <c r="BK351" s="42">
        <f t="shared" si="203"/>
        <v>87</v>
      </c>
    </row>
    <row r="352" spans="1:63" ht="76.5" customHeight="1" x14ac:dyDescent="0.25">
      <c r="A352" s="298" t="s">
        <v>1002</v>
      </c>
      <c r="B352" s="299" t="s">
        <v>999</v>
      </c>
      <c r="C352" s="1547"/>
      <c r="D352" s="1551"/>
      <c r="E352" s="1551"/>
      <c r="F352" s="1551"/>
      <c r="G352" s="1551"/>
      <c r="H352" s="1551"/>
      <c r="I352" s="1425" t="s">
        <v>53</v>
      </c>
      <c r="J352" s="1425"/>
      <c r="K352" s="1425" t="s">
        <v>1065</v>
      </c>
      <c r="L352" s="301" t="s">
        <v>179</v>
      </c>
      <c r="M352" s="1425" t="s">
        <v>1041</v>
      </c>
      <c r="N352" s="1425" t="s">
        <v>1008</v>
      </c>
      <c r="O352" s="1425" t="s">
        <v>47</v>
      </c>
      <c r="P352" s="16" t="s">
        <v>1066</v>
      </c>
      <c r="Q352" s="302" t="s">
        <v>1067</v>
      </c>
      <c r="R352" s="303">
        <v>2015</v>
      </c>
      <c r="S352" s="303">
        <v>0</v>
      </c>
      <c r="T352" s="303">
        <v>1</v>
      </c>
      <c r="U352" s="572">
        <v>1</v>
      </c>
      <c r="V352" s="572">
        <v>1</v>
      </c>
      <c r="W352" s="572">
        <v>1</v>
      </c>
      <c r="X352" s="572">
        <v>4</v>
      </c>
      <c r="Y352" s="491">
        <v>10</v>
      </c>
      <c r="Z352" s="481"/>
      <c r="AA352" s="481">
        <v>40</v>
      </c>
      <c r="AB352" s="481"/>
      <c r="AC352" s="481"/>
      <c r="AD352" s="481"/>
      <c r="AE352" s="481"/>
      <c r="AF352" s="481">
        <f t="shared" si="197"/>
        <v>50</v>
      </c>
      <c r="AG352" s="548"/>
      <c r="AH352" s="548"/>
      <c r="AI352" s="491">
        <v>30</v>
      </c>
      <c r="AJ352" s="548">
        <v>25</v>
      </c>
      <c r="AK352" s="548"/>
      <c r="AL352" s="548"/>
      <c r="AM352" s="548">
        <f t="shared" si="198"/>
        <v>55</v>
      </c>
      <c r="AN352" s="491">
        <v>10</v>
      </c>
      <c r="AO352" s="481"/>
      <c r="AP352" s="481">
        <v>40</v>
      </c>
      <c r="AQ352" s="481">
        <v>50</v>
      </c>
      <c r="AR352" s="481"/>
      <c r="AS352" s="481"/>
      <c r="AT352" s="481"/>
      <c r="AU352" s="481">
        <f t="shared" si="199"/>
        <v>100</v>
      </c>
      <c r="AV352" s="548"/>
      <c r="AW352" s="548"/>
      <c r="AX352" s="548">
        <v>45</v>
      </c>
      <c r="AY352" s="548"/>
      <c r="AZ352" s="548"/>
      <c r="BA352" s="548"/>
      <c r="BB352" s="548"/>
      <c r="BC352" s="548">
        <f t="shared" si="200"/>
        <v>45</v>
      </c>
      <c r="BD352" s="42">
        <f t="shared" si="202"/>
        <v>20</v>
      </c>
      <c r="BE352" s="42">
        <f t="shared" si="202"/>
        <v>0</v>
      </c>
      <c r="BF352" s="42">
        <f t="shared" si="202"/>
        <v>155</v>
      </c>
      <c r="BG352" s="42">
        <f t="shared" si="202"/>
        <v>75</v>
      </c>
      <c r="BH352" s="42">
        <f t="shared" si="202"/>
        <v>0</v>
      </c>
      <c r="BI352" s="42">
        <f t="shared" si="201"/>
        <v>0</v>
      </c>
      <c r="BJ352" s="42">
        <f t="shared" si="203"/>
        <v>0</v>
      </c>
      <c r="BK352" s="42">
        <f t="shared" si="203"/>
        <v>250</v>
      </c>
    </row>
    <row r="353" spans="1:63" ht="83.25" customHeight="1" x14ac:dyDescent="0.25">
      <c r="A353" s="298" t="s">
        <v>1002</v>
      </c>
      <c r="B353" s="299" t="s">
        <v>999</v>
      </c>
      <c r="C353" s="1548"/>
      <c r="D353" s="1552"/>
      <c r="E353" s="1552"/>
      <c r="F353" s="1552"/>
      <c r="G353" s="1552"/>
      <c r="H353" s="1552"/>
      <c r="I353" s="1425" t="s">
        <v>53</v>
      </c>
      <c r="J353" s="1425"/>
      <c r="K353" s="1425" t="s">
        <v>1068</v>
      </c>
      <c r="L353" s="301" t="s">
        <v>179</v>
      </c>
      <c r="M353" s="1425" t="s">
        <v>1041</v>
      </c>
      <c r="N353" s="1425" t="s">
        <v>1008</v>
      </c>
      <c r="O353" s="1425" t="s">
        <v>47</v>
      </c>
      <c r="P353" s="16" t="s">
        <v>1069</v>
      </c>
      <c r="Q353" s="302" t="s">
        <v>1070</v>
      </c>
      <c r="R353" s="303">
        <v>2015</v>
      </c>
      <c r="S353" s="303">
        <v>0</v>
      </c>
      <c r="T353" s="303">
        <v>250</v>
      </c>
      <c r="U353" s="572">
        <v>250</v>
      </c>
      <c r="V353" s="572">
        <v>250</v>
      </c>
      <c r="W353" s="572">
        <v>250</v>
      </c>
      <c r="X353" s="572">
        <v>1000</v>
      </c>
      <c r="Y353" s="491">
        <v>10</v>
      </c>
      <c r="Z353" s="481"/>
      <c r="AA353" s="481"/>
      <c r="AB353" s="481"/>
      <c r="AC353" s="481"/>
      <c r="AD353" s="481"/>
      <c r="AE353" s="481"/>
      <c r="AF353" s="481">
        <f t="shared" si="197"/>
        <v>10</v>
      </c>
      <c r="AG353" s="548"/>
      <c r="AH353" s="548"/>
      <c r="AI353" s="716">
        <v>50</v>
      </c>
      <c r="AJ353" s="548"/>
      <c r="AK353" s="548"/>
      <c r="AL353" s="548"/>
      <c r="AM353" s="548">
        <f t="shared" si="198"/>
        <v>50</v>
      </c>
      <c r="AN353" s="491">
        <v>10</v>
      </c>
      <c r="AO353" s="481"/>
      <c r="AP353" s="481"/>
      <c r="AQ353" s="481"/>
      <c r="AR353" s="481"/>
      <c r="AS353" s="481"/>
      <c r="AT353" s="481"/>
      <c r="AU353" s="481">
        <f t="shared" si="199"/>
        <v>10</v>
      </c>
      <c r="AV353" s="548"/>
      <c r="AW353" s="548"/>
      <c r="AX353" s="491">
        <v>35</v>
      </c>
      <c r="AY353" s="548"/>
      <c r="AZ353" s="548"/>
      <c r="BA353" s="548"/>
      <c r="BB353" s="548"/>
      <c r="BC353" s="548">
        <f t="shared" si="200"/>
        <v>35</v>
      </c>
      <c r="BD353" s="42">
        <f t="shared" si="202"/>
        <v>20</v>
      </c>
      <c r="BE353" s="42">
        <f t="shared" si="202"/>
        <v>0</v>
      </c>
      <c r="BF353" s="42">
        <f t="shared" si="202"/>
        <v>85</v>
      </c>
      <c r="BG353" s="42">
        <f t="shared" si="202"/>
        <v>0</v>
      </c>
      <c r="BH353" s="42">
        <f t="shared" si="202"/>
        <v>0</v>
      </c>
      <c r="BI353" s="42">
        <f t="shared" si="201"/>
        <v>0</v>
      </c>
      <c r="BJ353" s="42">
        <f t="shared" si="203"/>
        <v>0</v>
      </c>
      <c r="BK353" s="42">
        <f t="shared" si="203"/>
        <v>105</v>
      </c>
    </row>
    <row r="354" spans="1:63" ht="2.25" customHeight="1" x14ac:dyDescent="0.25">
      <c r="A354" s="151"/>
      <c r="B354" s="7" t="s">
        <v>1071</v>
      </c>
      <c r="C354" s="149"/>
      <c r="D354" s="1445"/>
      <c r="E354" s="1445"/>
      <c r="F354" s="1445"/>
      <c r="G354" s="1445"/>
      <c r="H354" s="1445"/>
      <c r="I354" s="1442"/>
      <c r="J354" s="1442"/>
      <c r="K354" s="1442"/>
      <c r="L354" s="1442"/>
      <c r="M354" s="1442"/>
      <c r="N354" s="11"/>
      <c r="O354" s="1442"/>
      <c r="P354" s="1440"/>
      <c r="Q354" s="1440"/>
      <c r="R354" s="1442"/>
      <c r="S354" s="1442"/>
      <c r="T354" s="67"/>
      <c r="U354" s="68"/>
      <c r="V354" s="68"/>
      <c r="W354" s="68"/>
      <c r="X354" s="63"/>
      <c r="Y354" s="42">
        <v>10</v>
      </c>
      <c r="Z354" s="42">
        <v>43.2</v>
      </c>
      <c r="AA354" s="42">
        <v>6</v>
      </c>
      <c r="AB354" s="42">
        <v>219</v>
      </c>
      <c r="AC354" s="42"/>
      <c r="AD354" s="42">
        <v>52</v>
      </c>
      <c r="AE354" s="42"/>
      <c r="AF354" s="42"/>
      <c r="AG354" s="42">
        <f>+Y354*1.04</f>
        <v>10.4</v>
      </c>
      <c r="AH354" s="42">
        <f>+Z354*1.04</f>
        <v>44.928000000000004</v>
      </c>
      <c r="AI354" s="42">
        <f>+AA354*1.04</f>
        <v>6.24</v>
      </c>
      <c r="AJ354" s="42"/>
      <c r="AK354" s="42"/>
      <c r="AL354" s="42">
        <v>676</v>
      </c>
      <c r="AM354" s="42"/>
      <c r="AN354" s="42">
        <f>+AG354*1.04</f>
        <v>10.816000000000001</v>
      </c>
      <c r="AO354" s="42">
        <f>+AH354*1.04</f>
        <v>46.725120000000004</v>
      </c>
      <c r="AP354" s="42">
        <f>+AI354*1.04</f>
        <v>6.4896000000000003</v>
      </c>
      <c r="AQ354" s="42"/>
      <c r="AR354" s="42"/>
      <c r="AS354" s="42"/>
      <c r="AT354" s="42"/>
      <c r="AU354" s="42"/>
      <c r="AV354" s="42">
        <f>+AN354*1.04</f>
        <v>11.248640000000002</v>
      </c>
      <c r="AW354" s="42">
        <f>+AO354*1.04</f>
        <v>48.594124800000003</v>
      </c>
      <c r="AX354" s="42">
        <f>+AP354*1.04</f>
        <v>6.7491840000000005</v>
      </c>
      <c r="AY354" s="42"/>
      <c r="AZ354" s="42"/>
      <c r="BA354" s="42"/>
      <c r="BB354" s="42"/>
      <c r="BC354" s="42"/>
      <c r="BD354" s="42">
        <f t="shared" si="202"/>
        <v>42.464640000000003</v>
      </c>
      <c r="BE354" s="42">
        <f t="shared" si="202"/>
        <v>183.44724480000002</v>
      </c>
      <c r="BF354" s="42">
        <f t="shared" si="202"/>
        <v>25.478784000000001</v>
      </c>
      <c r="BG354" s="42">
        <f t="shared" si="202"/>
        <v>219</v>
      </c>
      <c r="BH354" s="42">
        <f t="shared" si="202"/>
        <v>0</v>
      </c>
      <c r="BI354" s="42">
        <f t="shared" si="201"/>
        <v>52</v>
      </c>
      <c r="BJ354" s="42">
        <f t="shared" si="203"/>
        <v>676</v>
      </c>
      <c r="BK354" s="42">
        <f t="shared" si="203"/>
        <v>0</v>
      </c>
    </row>
    <row r="355" spans="1:63" ht="20.399999999999999" x14ac:dyDescent="0.25">
      <c r="A355" s="420"/>
      <c r="B355" s="1565" t="s">
        <v>1071</v>
      </c>
      <c r="C355" s="1566"/>
      <c r="D355" s="1566"/>
      <c r="E355" s="1566"/>
      <c r="F355" s="1566"/>
      <c r="G355" s="1566"/>
      <c r="H355" s="1566"/>
      <c r="I355" s="1566"/>
      <c r="J355" s="1566"/>
      <c r="K355" s="1566"/>
      <c r="L355" s="1566"/>
      <c r="M355" s="1567"/>
      <c r="N355" s="597"/>
      <c r="O355" s="597"/>
      <c r="P355" s="598"/>
      <c r="Q355" s="598"/>
      <c r="R355" s="597"/>
      <c r="S355" s="597"/>
      <c r="T355" s="597"/>
      <c r="U355" s="599"/>
      <c r="V355" s="599"/>
      <c r="W355" s="599"/>
      <c r="X355" s="599"/>
      <c r="Y355" s="600">
        <f t="shared" ref="Y355:AE355" si="204">+Y356+Y359</f>
        <v>10</v>
      </c>
      <c r="Z355" s="600">
        <f t="shared" si="204"/>
        <v>43.2</v>
      </c>
      <c r="AA355" s="600">
        <f t="shared" si="204"/>
        <v>6</v>
      </c>
      <c r="AB355" s="600">
        <f t="shared" si="204"/>
        <v>219</v>
      </c>
      <c r="AC355" s="600">
        <f t="shared" si="204"/>
        <v>0</v>
      </c>
      <c r="AD355" s="600">
        <f t="shared" si="204"/>
        <v>120.3</v>
      </c>
      <c r="AE355" s="600">
        <f t="shared" si="204"/>
        <v>650</v>
      </c>
      <c r="AF355" s="600">
        <f t="shared" ref="AF355:AF361" si="205">SUM(Y355:AE355)</f>
        <v>1048.5</v>
      </c>
      <c r="AG355" s="600">
        <f t="shared" ref="AG355:AL355" si="206">+AG356+AG359</f>
        <v>10</v>
      </c>
      <c r="AH355" s="600">
        <f t="shared" si="206"/>
        <v>44.9</v>
      </c>
      <c r="AI355" s="600">
        <f t="shared" si="206"/>
        <v>36</v>
      </c>
      <c r="AJ355" s="600">
        <f t="shared" si="206"/>
        <v>0</v>
      </c>
      <c r="AK355" s="600">
        <f t="shared" si="206"/>
        <v>0</v>
      </c>
      <c r="AL355" s="600">
        <f t="shared" si="206"/>
        <v>676</v>
      </c>
      <c r="AM355" s="600">
        <f t="shared" ref="AM355:AM361" si="207">SUM(AG355:AL355)</f>
        <v>766.9</v>
      </c>
      <c r="AN355" s="600">
        <f t="shared" ref="AN355:AT355" si="208">+AN356+AN359</f>
        <v>10</v>
      </c>
      <c r="AO355" s="600">
        <f t="shared" si="208"/>
        <v>46.7</v>
      </c>
      <c r="AP355" s="600">
        <f t="shared" si="208"/>
        <v>6.5</v>
      </c>
      <c r="AQ355" s="600">
        <f t="shared" si="208"/>
        <v>0</v>
      </c>
      <c r="AR355" s="600">
        <f t="shared" si="208"/>
        <v>0</v>
      </c>
      <c r="AS355" s="600">
        <f t="shared" si="208"/>
        <v>0</v>
      </c>
      <c r="AT355" s="600">
        <f t="shared" si="208"/>
        <v>703.04000000000008</v>
      </c>
      <c r="AU355" s="600">
        <f t="shared" ref="AU355:AU361" si="209">SUM(AN355:AT355)</f>
        <v>766.24000000000012</v>
      </c>
      <c r="AV355" s="600">
        <f t="shared" ref="AV355:BB355" si="210">+AV356+AV359</f>
        <v>11.2</v>
      </c>
      <c r="AW355" s="600">
        <f t="shared" si="210"/>
        <v>48.6</v>
      </c>
      <c r="AX355" s="600">
        <f t="shared" si="210"/>
        <v>6.7</v>
      </c>
      <c r="AY355" s="600">
        <f t="shared" si="210"/>
        <v>1300</v>
      </c>
      <c r="AZ355" s="600">
        <f t="shared" si="210"/>
        <v>0</v>
      </c>
      <c r="BA355" s="600">
        <f t="shared" si="210"/>
        <v>0</v>
      </c>
      <c r="BB355" s="600">
        <f t="shared" si="210"/>
        <v>731.16160000000013</v>
      </c>
      <c r="BC355" s="600">
        <f t="shared" ref="BC355:BC361" si="211">SUM(AV355:BB355)</f>
        <v>2097.6616000000004</v>
      </c>
      <c r="BD355" s="33">
        <f t="shared" si="202"/>
        <v>41.2</v>
      </c>
      <c r="BE355" s="33">
        <f t="shared" si="202"/>
        <v>183.40000000000003</v>
      </c>
      <c r="BF355" s="33">
        <f t="shared" si="202"/>
        <v>55.2</v>
      </c>
      <c r="BG355" s="33">
        <f t="shared" si="202"/>
        <v>1519</v>
      </c>
      <c r="BH355" s="33">
        <f t="shared" si="202"/>
        <v>0</v>
      </c>
      <c r="BI355" s="33">
        <f t="shared" si="201"/>
        <v>120.3</v>
      </c>
      <c r="BJ355" s="33">
        <f t="shared" si="203"/>
        <v>2760.2016000000003</v>
      </c>
      <c r="BK355" s="33">
        <f t="shared" si="203"/>
        <v>4679.3016000000007</v>
      </c>
    </row>
    <row r="356" spans="1:63" x14ac:dyDescent="0.25">
      <c r="A356" s="603"/>
      <c r="B356" s="24" t="s">
        <v>1071</v>
      </c>
      <c r="C356" s="2"/>
      <c r="D356" s="2" t="s">
        <v>1072</v>
      </c>
      <c r="E356" s="1"/>
      <c r="F356" s="1"/>
      <c r="G356" s="1"/>
      <c r="H356" s="1"/>
      <c r="I356" s="1"/>
      <c r="J356" s="1"/>
      <c r="K356" s="1"/>
      <c r="L356" s="1"/>
      <c r="M356" s="1"/>
      <c r="N356" s="1"/>
      <c r="O356" s="1"/>
      <c r="P356" s="22"/>
      <c r="Q356" s="22"/>
      <c r="R356" s="1"/>
      <c r="S356" s="1"/>
      <c r="T356" s="1"/>
      <c r="U356" s="49"/>
      <c r="V356" s="49"/>
      <c r="W356" s="49"/>
      <c r="X356" s="49"/>
      <c r="Y356" s="34">
        <f t="shared" ref="Y356:AE356" si="212">SUM(Y357:Y358)</f>
        <v>10</v>
      </c>
      <c r="Z356" s="34">
        <f t="shared" si="212"/>
        <v>43.2</v>
      </c>
      <c r="AA356" s="34">
        <f t="shared" si="212"/>
        <v>6</v>
      </c>
      <c r="AB356" s="34">
        <f t="shared" si="212"/>
        <v>219</v>
      </c>
      <c r="AC356" s="34">
        <f t="shared" si="212"/>
        <v>0</v>
      </c>
      <c r="AD356" s="34">
        <f t="shared" si="212"/>
        <v>120.3</v>
      </c>
      <c r="AE356" s="34">
        <f t="shared" si="212"/>
        <v>650</v>
      </c>
      <c r="AF356" s="34">
        <f t="shared" si="205"/>
        <v>1048.5</v>
      </c>
      <c r="AG356" s="34">
        <f t="shared" ref="AG356:AL356" si="213">SUM(AG357:AG358)</f>
        <v>10</v>
      </c>
      <c r="AH356" s="34">
        <f t="shared" si="213"/>
        <v>30</v>
      </c>
      <c r="AI356" s="34">
        <f t="shared" si="213"/>
        <v>36</v>
      </c>
      <c r="AJ356" s="34">
        <f t="shared" si="213"/>
        <v>0</v>
      </c>
      <c r="AK356" s="34">
        <f t="shared" si="213"/>
        <v>0</v>
      </c>
      <c r="AL356" s="34">
        <f t="shared" si="213"/>
        <v>676</v>
      </c>
      <c r="AM356" s="34">
        <f t="shared" si="207"/>
        <v>752</v>
      </c>
      <c r="AN356" s="34">
        <f t="shared" ref="AN356:AT356" si="214">SUM(AN357:AN358)</f>
        <v>10</v>
      </c>
      <c r="AO356" s="34">
        <f t="shared" si="214"/>
        <v>40</v>
      </c>
      <c r="AP356" s="34">
        <f t="shared" si="214"/>
        <v>6.5</v>
      </c>
      <c r="AQ356" s="34">
        <f t="shared" si="214"/>
        <v>0</v>
      </c>
      <c r="AR356" s="34">
        <f t="shared" si="214"/>
        <v>0</v>
      </c>
      <c r="AS356" s="34">
        <f t="shared" si="214"/>
        <v>0</v>
      </c>
      <c r="AT356" s="34">
        <f t="shared" si="214"/>
        <v>703.04000000000008</v>
      </c>
      <c r="AU356" s="34">
        <f t="shared" si="209"/>
        <v>759.54000000000008</v>
      </c>
      <c r="AV356" s="34">
        <f t="shared" ref="AV356:BB356" si="215">SUM(AV357:AV358)</f>
        <v>11.2</v>
      </c>
      <c r="AW356" s="34">
        <f t="shared" si="215"/>
        <v>48.6</v>
      </c>
      <c r="AX356" s="34">
        <f t="shared" si="215"/>
        <v>6.7</v>
      </c>
      <c r="AY356" s="34">
        <f t="shared" si="215"/>
        <v>500</v>
      </c>
      <c r="AZ356" s="34">
        <f t="shared" si="215"/>
        <v>0</v>
      </c>
      <c r="BA356" s="34">
        <f t="shared" si="215"/>
        <v>0</v>
      </c>
      <c r="BB356" s="34">
        <f t="shared" si="215"/>
        <v>731.16160000000013</v>
      </c>
      <c r="BC356" s="34">
        <f t="shared" si="211"/>
        <v>1297.6616000000001</v>
      </c>
      <c r="BD356" s="34">
        <f t="shared" si="202"/>
        <v>41.2</v>
      </c>
      <c r="BE356" s="34">
        <f t="shared" si="202"/>
        <v>161.80000000000001</v>
      </c>
      <c r="BF356" s="34">
        <f t="shared" si="202"/>
        <v>55.2</v>
      </c>
      <c r="BG356" s="34">
        <f t="shared" si="202"/>
        <v>719</v>
      </c>
      <c r="BH356" s="34">
        <f t="shared" si="202"/>
        <v>0</v>
      </c>
      <c r="BI356" s="34">
        <f t="shared" si="201"/>
        <v>120.3</v>
      </c>
      <c r="BJ356" s="34">
        <f t="shared" si="203"/>
        <v>2760.2016000000003</v>
      </c>
      <c r="BK356" s="34">
        <f t="shared" si="203"/>
        <v>3857.7016000000003</v>
      </c>
    </row>
    <row r="357" spans="1:63" ht="39.75" customHeight="1" x14ac:dyDescent="0.25">
      <c r="A357" s="298" t="s">
        <v>1073</v>
      </c>
      <c r="B357" s="299" t="s">
        <v>1071</v>
      </c>
      <c r="C357" s="1429" t="s">
        <v>1074</v>
      </c>
      <c r="D357" s="1425" t="s">
        <v>1075</v>
      </c>
      <c r="E357" s="1425" t="s">
        <v>1076</v>
      </c>
      <c r="F357" s="1425">
        <v>2005</v>
      </c>
      <c r="G357" s="1425">
        <v>92.6</v>
      </c>
      <c r="H357" s="1425">
        <v>94</v>
      </c>
      <c r="I357" s="1425" t="s">
        <v>53</v>
      </c>
      <c r="J357" s="1425"/>
      <c r="K357" s="1425" t="s">
        <v>1077</v>
      </c>
      <c r="L357" s="301" t="s">
        <v>1078</v>
      </c>
      <c r="M357" s="1425" t="s">
        <v>1041</v>
      </c>
      <c r="N357" s="1425" t="s">
        <v>1008</v>
      </c>
      <c r="O357" s="1425" t="s">
        <v>47</v>
      </c>
      <c r="P357" s="16" t="s">
        <v>1079</v>
      </c>
      <c r="Q357" s="302" t="s">
        <v>1080</v>
      </c>
      <c r="R357" s="303">
        <v>2015</v>
      </c>
      <c r="S357" s="303">
        <v>0</v>
      </c>
      <c r="T357" s="303">
        <v>100</v>
      </c>
      <c r="U357" s="572">
        <v>50</v>
      </c>
      <c r="V357" s="572">
        <v>50</v>
      </c>
      <c r="W357" s="572">
        <v>100</v>
      </c>
      <c r="X357" s="572">
        <v>300</v>
      </c>
      <c r="Y357" s="481">
        <v>10</v>
      </c>
      <c r="Z357" s="481">
        <v>43.2</v>
      </c>
      <c r="AA357" s="481">
        <v>6</v>
      </c>
      <c r="AB357" s="481">
        <v>219</v>
      </c>
      <c r="AC357" s="481"/>
      <c r="AD357" s="481">
        <f>52+68.3</f>
        <v>120.3</v>
      </c>
      <c r="AE357" s="481"/>
      <c r="AF357" s="481">
        <f t="shared" si="205"/>
        <v>398.5</v>
      </c>
      <c r="AG357" s="548">
        <v>10</v>
      </c>
      <c r="AH357" s="491">
        <v>30</v>
      </c>
      <c r="AI357" s="548">
        <v>6</v>
      </c>
      <c r="AJ357" s="592"/>
      <c r="AK357" s="548"/>
      <c r="AL357" s="548"/>
      <c r="AM357" s="548">
        <f t="shared" si="207"/>
        <v>46</v>
      </c>
      <c r="AN357" s="481">
        <v>10</v>
      </c>
      <c r="AO357" s="491">
        <v>40</v>
      </c>
      <c r="AP357" s="481">
        <v>6.5</v>
      </c>
      <c r="AQ357" s="481"/>
      <c r="AR357" s="481"/>
      <c r="AS357" s="481"/>
      <c r="AT357" s="481"/>
      <c r="AU357" s="481">
        <f t="shared" si="209"/>
        <v>56.5</v>
      </c>
      <c r="AV357" s="548">
        <v>11.2</v>
      </c>
      <c r="AW357" s="548">
        <v>48.6</v>
      </c>
      <c r="AX357" s="548">
        <v>6.7</v>
      </c>
      <c r="AY357" s="548">
        <v>500</v>
      </c>
      <c r="AZ357" s="548"/>
      <c r="BA357" s="548"/>
      <c r="BB357" s="548"/>
      <c r="BC357" s="548">
        <f t="shared" si="211"/>
        <v>566.5</v>
      </c>
      <c r="BD357" s="42">
        <f t="shared" si="202"/>
        <v>41.2</v>
      </c>
      <c r="BE357" s="42">
        <f t="shared" si="202"/>
        <v>161.80000000000001</v>
      </c>
      <c r="BF357" s="42">
        <f t="shared" si="202"/>
        <v>25.2</v>
      </c>
      <c r="BG357" s="42">
        <f t="shared" si="202"/>
        <v>719</v>
      </c>
      <c r="BH357" s="42">
        <f t="shared" si="202"/>
        <v>0</v>
      </c>
      <c r="BI357" s="42">
        <f t="shared" si="201"/>
        <v>120.3</v>
      </c>
      <c r="BJ357" s="42">
        <f t="shared" si="203"/>
        <v>0</v>
      </c>
      <c r="BK357" s="42">
        <f t="shared" si="203"/>
        <v>1067.5</v>
      </c>
    </row>
    <row r="358" spans="1:63" ht="54.75" customHeight="1" x14ac:dyDescent="0.25">
      <c r="A358" s="298" t="s">
        <v>1073</v>
      </c>
      <c r="B358" s="299" t="s">
        <v>1071</v>
      </c>
      <c r="C358" s="1429" t="s">
        <v>1081</v>
      </c>
      <c r="D358" s="1425" t="s">
        <v>1082</v>
      </c>
      <c r="E358" s="1425" t="s">
        <v>1083</v>
      </c>
      <c r="F358" s="1425">
        <v>2005</v>
      </c>
      <c r="G358" s="1425">
        <v>95</v>
      </c>
      <c r="H358" s="1425">
        <v>95</v>
      </c>
      <c r="I358" s="1425"/>
      <c r="J358" s="1425"/>
      <c r="K358" s="1425" t="s">
        <v>1084</v>
      </c>
      <c r="L358" s="301" t="s">
        <v>1078</v>
      </c>
      <c r="M358" s="1425" t="s">
        <v>1041</v>
      </c>
      <c r="N358" s="1425" t="s">
        <v>1008</v>
      </c>
      <c r="O358" s="1425" t="s">
        <v>73</v>
      </c>
      <c r="P358" s="16" t="s">
        <v>1085</v>
      </c>
      <c r="Q358" s="302" t="s">
        <v>1086</v>
      </c>
      <c r="R358" s="303">
        <v>2015</v>
      </c>
      <c r="S358" s="303">
        <v>0</v>
      </c>
      <c r="T358" s="303">
        <v>1</v>
      </c>
      <c r="U358" s="572">
        <v>1</v>
      </c>
      <c r="V358" s="572">
        <v>1</v>
      </c>
      <c r="W358" s="572">
        <v>1</v>
      </c>
      <c r="X358" s="572">
        <v>1</v>
      </c>
      <c r="Y358" s="481"/>
      <c r="Z358" s="481"/>
      <c r="AA358" s="481"/>
      <c r="AB358" s="481"/>
      <c r="AC358" s="481"/>
      <c r="AD358" s="481"/>
      <c r="AE358" s="481">
        <v>650</v>
      </c>
      <c r="AF358" s="481">
        <f t="shared" si="205"/>
        <v>650</v>
      </c>
      <c r="AG358" s="548"/>
      <c r="AH358" s="548"/>
      <c r="AI358" s="716">
        <v>30</v>
      </c>
      <c r="AJ358" s="548"/>
      <c r="AK358" s="548"/>
      <c r="AL358" s="548">
        <f>+AE358*1.04</f>
        <v>676</v>
      </c>
      <c r="AM358" s="548">
        <f t="shared" si="207"/>
        <v>706</v>
      </c>
      <c r="AN358" s="481"/>
      <c r="AO358" s="481"/>
      <c r="AP358" s="481"/>
      <c r="AQ358" s="481"/>
      <c r="AR358" s="481"/>
      <c r="AS358" s="481"/>
      <c r="AT358" s="481">
        <f>+AL358*1.04</f>
        <v>703.04000000000008</v>
      </c>
      <c r="AU358" s="481">
        <f t="shared" si="209"/>
        <v>703.04000000000008</v>
      </c>
      <c r="AV358" s="548"/>
      <c r="AW358" s="548"/>
      <c r="AX358" s="548"/>
      <c r="AY358" s="548"/>
      <c r="AZ358" s="548"/>
      <c r="BA358" s="548"/>
      <c r="BB358" s="548">
        <f>+AT358*1.04</f>
        <v>731.16160000000013</v>
      </c>
      <c r="BC358" s="548">
        <f t="shared" si="211"/>
        <v>731.16160000000013</v>
      </c>
      <c r="BD358" s="42">
        <f t="shared" si="202"/>
        <v>0</v>
      </c>
      <c r="BE358" s="42">
        <f t="shared" si="202"/>
        <v>0</v>
      </c>
      <c r="BF358" s="42">
        <f t="shared" si="202"/>
        <v>30</v>
      </c>
      <c r="BG358" s="42">
        <f t="shared" si="202"/>
        <v>0</v>
      </c>
      <c r="BH358" s="42">
        <f t="shared" si="202"/>
        <v>0</v>
      </c>
      <c r="BI358" s="42">
        <f t="shared" si="201"/>
        <v>0</v>
      </c>
      <c r="BJ358" s="42">
        <f t="shared" si="203"/>
        <v>2760.2016000000003</v>
      </c>
      <c r="BK358" s="42">
        <f t="shared" si="203"/>
        <v>2790.2016000000003</v>
      </c>
    </row>
    <row r="359" spans="1:63" x14ac:dyDescent="0.25">
      <c r="A359" s="295" t="s">
        <v>1073</v>
      </c>
      <c r="B359" s="24" t="s">
        <v>1071</v>
      </c>
      <c r="C359" s="2"/>
      <c r="D359" s="2" t="s">
        <v>1087</v>
      </c>
      <c r="E359" s="1"/>
      <c r="F359" s="1"/>
      <c r="G359" s="1"/>
      <c r="H359" s="1"/>
      <c r="I359" s="1"/>
      <c r="J359" s="1"/>
      <c r="K359" s="1"/>
      <c r="L359" s="1"/>
      <c r="M359" s="1"/>
      <c r="N359" s="1"/>
      <c r="O359" s="1"/>
      <c r="P359" s="22"/>
      <c r="Q359" s="22"/>
      <c r="R359" s="1"/>
      <c r="S359" s="1"/>
      <c r="T359" s="1"/>
      <c r="U359" s="49"/>
      <c r="V359" s="49"/>
      <c r="W359" s="49"/>
      <c r="X359" s="49"/>
      <c r="Y359" s="34">
        <f>SUM(Y360)</f>
        <v>0</v>
      </c>
      <c r="Z359" s="34">
        <f t="shared" ref="Z359:AE359" si="216">SUM(Z360)</f>
        <v>0</v>
      </c>
      <c r="AA359" s="34">
        <f t="shared" si="216"/>
        <v>0</v>
      </c>
      <c r="AB359" s="34">
        <f t="shared" si="216"/>
        <v>0</v>
      </c>
      <c r="AC359" s="34">
        <f t="shared" si="216"/>
        <v>0</v>
      </c>
      <c r="AD359" s="34">
        <f t="shared" si="216"/>
        <v>0</v>
      </c>
      <c r="AE359" s="34">
        <f t="shared" si="216"/>
        <v>0</v>
      </c>
      <c r="AF359" s="34">
        <f t="shared" si="205"/>
        <v>0</v>
      </c>
      <c r="AG359" s="34">
        <f t="shared" ref="AG359:AL359" si="217">SUM(AG360)</f>
        <v>0</v>
      </c>
      <c r="AH359" s="34">
        <f t="shared" si="217"/>
        <v>14.9</v>
      </c>
      <c r="AI359" s="34">
        <f t="shared" si="217"/>
        <v>0</v>
      </c>
      <c r="AJ359" s="34">
        <f t="shared" si="217"/>
        <v>0</v>
      </c>
      <c r="AK359" s="34">
        <f t="shared" si="217"/>
        <v>0</v>
      </c>
      <c r="AL359" s="34">
        <f t="shared" si="217"/>
        <v>0</v>
      </c>
      <c r="AM359" s="34">
        <f t="shared" si="207"/>
        <v>14.9</v>
      </c>
      <c r="AN359" s="34">
        <f t="shared" ref="AN359:AT359" si="218">SUM(AN360)</f>
        <v>0</v>
      </c>
      <c r="AO359" s="34">
        <f t="shared" si="218"/>
        <v>6.7</v>
      </c>
      <c r="AP359" s="34">
        <f t="shared" si="218"/>
        <v>0</v>
      </c>
      <c r="AQ359" s="34">
        <f t="shared" si="218"/>
        <v>0</v>
      </c>
      <c r="AR359" s="34">
        <f t="shared" si="218"/>
        <v>0</v>
      </c>
      <c r="AS359" s="34">
        <f t="shared" si="218"/>
        <v>0</v>
      </c>
      <c r="AT359" s="34">
        <f t="shared" si="218"/>
        <v>0</v>
      </c>
      <c r="AU359" s="34">
        <f t="shared" si="209"/>
        <v>6.7</v>
      </c>
      <c r="AV359" s="34">
        <f t="shared" ref="AV359:BB359" si="219">SUM(AV360)</f>
        <v>0</v>
      </c>
      <c r="AW359" s="34">
        <f t="shared" si="219"/>
        <v>0</v>
      </c>
      <c r="AX359" s="34">
        <f t="shared" si="219"/>
        <v>0</v>
      </c>
      <c r="AY359" s="34">
        <f t="shared" si="219"/>
        <v>800</v>
      </c>
      <c r="AZ359" s="34">
        <f t="shared" si="219"/>
        <v>0</v>
      </c>
      <c r="BA359" s="34">
        <f t="shared" si="219"/>
        <v>0</v>
      </c>
      <c r="BB359" s="34">
        <f t="shared" si="219"/>
        <v>0</v>
      </c>
      <c r="BC359" s="34">
        <f t="shared" si="211"/>
        <v>800</v>
      </c>
      <c r="BD359" s="34">
        <f t="shared" si="202"/>
        <v>0</v>
      </c>
      <c r="BE359" s="34">
        <f t="shared" si="202"/>
        <v>21.6</v>
      </c>
      <c r="BF359" s="34">
        <f t="shared" si="202"/>
        <v>0</v>
      </c>
      <c r="BG359" s="34">
        <f t="shared" si="202"/>
        <v>800</v>
      </c>
      <c r="BH359" s="34">
        <f t="shared" si="202"/>
        <v>0</v>
      </c>
      <c r="BI359" s="34">
        <f t="shared" si="201"/>
        <v>0</v>
      </c>
      <c r="BJ359" s="34">
        <f t="shared" si="203"/>
        <v>0</v>
      </c>
      <c r="BK359" s="34">
        <f t="shared" si="203"/>
        <v>821.6</v>
      </c>
    </row>
    <row r="360" spans="1:63" ht="49.5" customHeight="1" x14ac:dyDescent="0.25">
      <c r="A360" s="298" t="s">
        <v>1073</v>
      </c>
      <c r="B360" s="299" t="s">
        <v>1071</v>
      </c>
      <c r="C360" s="1429" t="s">
        <v>1088</v>
      </c>
      <c r="D360" s="1425" t="s">
        <v>1089</v>
      </c>
      <c r="E360" s="1425" t="s">
        <v>1090</v>
      </c>
      <c r="F360" s="1425">
        <v>2005</v>
      </c>
      <c r="G360" s="1425">
        <v>87.9</v>
      </c>
      <c r="H360" s="1425">
        <v>90</v>
      </c>
      <c r="I360" s="1425" t="s">
        <v>53</v>
      </c>
      <c r="J360" s="1425"/>
      <c r="K360" s="1425" t="s">
        <v>1091</v>
      </c>
      <c r="L360" s="301" t="s">
        <v>1078</v>
      </c>
      <c r="M360" s="1425" t="s">
        <v>1041</v>
      </c>
      <c r="N360" s="1425" t="s">
        <v>1008</v>
      </c>
      <c r="O360" s="1425" t="s">
        <v>47</v>
      </c>
      <c r="P360" s="16" t="s">
        <v>1092</v>
      </c>
      <c r="Q360" s="302" t="s">
        <v>1093</v>
      </c>
      <c r="R360" s="303">
        <v>2015</v>
      </c>
      <c r="S360" s="303">
        <v>0</v>
      </c>
      <c r="T360" s="303">
        <v>0</v>
      </c>
      <c r="U360" s="572">
        <v>100</v>
      </c>
      <c r="V360" s="572">
        <v>200</v>
      </c>
      <c r="W360" s="572">
        <v>200</v>
      </c>
      <c r="X360" s="572">
        <v>500</v>
      </c>
      <c r="Y360" s="481"/>
      <c r="Z360" s="481"/>
      <c r="AA360" s="481"/>
      <c r="AB360" s="481"/>
      <c r="AC360" s="481"/>
      <c r="AD360" s="481"/>
      <c r="AE360" s="481"/>
      <c r="AF360" s="481">
        <f t="shared" si="205"/>
        <v>0</v>
      </c>
      <c r="AG360" s="548"/>
      <c r="AH360" s="491">
        <v>14.9</v>
      </c>
      <c r="AI360" s="548"/>
      <c r="AJ360" s="592"/>
      <c r="AK360" s="548"/>
      <c r="AL360" s="548"/>
      <c r="AM360" s="548">
        <f t="shared" si="207"/>
        <v>14.9</v>
      </c>
      <c r="AN360" s="481"/>
      <c r="AO360" s="491">
        <v>6.7</v>
      </c>
      <c r="AP360" s="481"/>
      <c r="AQ360" s="481"/>
      <c r="AR360" s="481"/>
      <c r="AS360" s="481"/>
      <c r="AT360" s="481"/>
      <c r="AU360" s="481">
        <f t="shared" si="209"/>
        <v>6.7</v>
      </c>
      <c r="AV360" s="548"/>
      <c r="AW360" s="548"/>
      <c r="AX360" s="548"/>
      <c r="AY360" s="548">
        <v>800</v>
      </c>
      <c r="AZ360" s="548"/>
      <c r="BA360" s="548"/>
      <c r="BB360" s="548"/>
      <c r="BC360" s="548">
        <f t="shared" si="211"/>
        <v>800</v>
      </c>
      <c r="BD360" s="42">
        <f t="shared" si="202"/>
        <v>0</v>
      </c>
      <c r="BE360" s="42">
        <f t="shared" si="202"/>
        <v>21.6</v>
      </c>
      <c r="BF360" s="42">
        <f t="shared" si="202"/>
        <v>0</v>
      </c>
      <c r="BG360" s="42">
        <f t="shared" si="202"/>
        <v>800</v>
      </c>
      <c r="BH360" s="42">
        <f t="shared" si="202"/>
        <v>0</v>
      </c>
      <c r="BI360" s="42">
        <f t="shared" si="201"/>
        <v>0</v>
      </c>
      <c r="BJ360" s="42">
        <f t="shared" si="203"/>
        <v>0</v>
      </c>
      <c r="BK360" s="42">
        <f t="shared" si="203"/>
        <v>821.6</v>
      </c>
    </row>
    <row r="361" spans="1:63" ht="22.8" x14ac:dyDescent="0.25">
      <c r="A361" s="604"/>
      <c r="B361" s="1571" t="s">
        <v>1094</v>
      </c>
      <c r="C361" s="1572"/>
      <c r="D361" s="1572"/>
      <c r="E361" s="1572"/>
      <c r="F361" s="1572"/>
      <c r="G361" s="1572"/>
      <c r="H361" s="1572"/>
      <c r="I361" s="1572"/>
      <c r="J361" s="1572"/>
      <c r="K361" s="1572"/>
      <c r="L361" s="1572"/>
      <c r="M361" s="1572"/>
      <c r="N361" s="1573"/>
      <c r="O361" s="8"/>
      <c r="P361" s="20"/>
      <c r="Q361" s="20"/>
      <c r="R361" s="8"/>
      <c r="S361" s="8"/>
      <c r="T361" s="8"/>
      <c r="U361" s="65"/>
      <c r="V361" s="65"/>
      <c r="W361" s="65"/>
      <c r="X361" s="65"/>
      <c r="Y361" s="36">
        <f t="shared" ref="Y361:AE361" si="220">+Y363+Y375+Y402+Y415</f>
        <v>337.4</v>
      </c>
      <c r="Z361" s="36">
        <f t="shared" si="220"/>
        <v>400.9</v>
      </c>
      <c r="AA361" s="36">
        <f t="shared" si="220"/>
        <v>565.6</v>
      </c>
      <c r="AB361" s="497">
        <f t="shared" si="220"/>
        <v>390</v>
      </c>
      <c r="AC361" s="36">
        <f t="shared" si="220"/>
        <v>0</v>
      </c>
      <c r="AD361" s="36">
        <f t="shared" si="220"/>
        <v>752.7</v>
      </c>
      <c r="AE361" s="36">
        <f t="shared" si="220"/>
        <v>850</v>
      </c>
      <c r="AF361" s="36">
        <f t="shared" si="205"/>
        <v>3296.6000000000004</v>
      </c>
      <c r="AG361" s="36">
        <f t="shared" ref="AG361:AL361" si="221">+AG363+AG375+AG402+AG415</f>
        <v>335</v>
      </c>
      <c r="AH361" s="36">
        <f t="shared" si="221"/>
        <v>378</v>
      </c>
      <c r="AI361" s="36">
        <f t="shared" si="221"/>
        <v>652</v>
      </c>
      <c r="AJ361" s="36">
        <f t="shared" si="221"/>
        <v>0</v>
      </c>
      <c r="AK361" s="36">
        <f t="shared" si="221"/>
        <v>0</v>
      </c>
      <c r="AL361" s="36">
        <f t="shared" si="221"/>
        <v>1800</v>
      </c>
      <c r="AM361" s="36">
        <f t="shared" si="207"/>
        <v>3165</v>
      </c>
      <c r="AN361" s="36">
        <f t="shared" ref="AN361:AT361" si="222">+AN363+AN375+AN402+AN415</f>
        <v>332.4</v>
      </c>
      <c r="AO361" s="36">
        <f t="shared" si="222"/>
        <v>399.5</v>
      </c>
      <c r="AP361" s="36">
        <f t="shared" si="222"/>
        <v>552</v>
      </c>
      <c r="AQ361" s="36">
        <f t="shared" si="222"/>
        <v>0</v>
      </c>
      <c r="AR361" s="36">
        <f t="shared" si="222"/>
        <v>0</v>
      </c>
      <c r="AS361" s="36">
        <f t="shared" si="222"/>
        <v>0</v>
      </c>
      <c r="AT361" s="36">
        <f t="shared" si="222"/>
        <v>0</v>
      </c>
      <c r="AU361" s="36">
        <f t="shared" si="209"/>
        <v>1283.9000000000001</v>
      </c>
      <c r="AV361" s="36">
        <f t="shared" ref="AV361:BB361" si="223">+AV363+AV375+AV402+AV415</f>
        <v>348</v>
      </c>
      <c r="AW361" s="36">
        <f t="shared" si="223"/>
        <v>392</v>
      </c>
      <c r="AX361" s="36">
        <f t="shared" si="223"/>
        <v>572</v>
      </c>
      <c r="AY361" s="36">
        <f t="shared" si="223"/>
        <v>0</v>
      </c>
      <c r="AZ361" s="36">
        <f t="shared" si="223"/>
        <v>0</v>
      </c>
      <c r="BA361" s="36">
        <f t="shared" si="223"/>
        <v>0</v>
      </c>
      <c r="BB361" s="36">
        <f t="shared" si="223"/>
        <v>0</v>
      </c>
      <c r="BC361" s="36">
        <f t="shared" si="211"/>
        <v>1312</v>
      </c>
      <c r="BD361" s="36">
        <f t="shared" si="202"/>
        <v>1352.8</v>
      </c>
      <c r="BE361" s="36">
        <f t="shared" si="202"/>
        <v>1570.4</v>
      </c>
      <c r="BF361" s="36">
        <f t="shared" si="202"/>
        <v>2341.6</v>
      </c>
      <c r="BG361" s="36">
        <f t="shared" si="202"/>
        <v>390</v>
      </c>
      <c r="BH361" s="36">
        <f t="shared" si="202"/>
        <v>0</v>
      </c>
      <c r="BI361" s="36">
        <f t="shared" si="201"/>
        <v>752.7</v>
      </c>
      <c r="BJ361" s="36">
        <f t="shared" si="203"/>
        <v>2650</v>
      </c>
      <c r="BK361" s="36">
        <f t="shared" si="203"/>
        <v>9057.5</v>
      </c>
    </row>
    <row r="362" spans="1:63" ht="2.25" customHeight="1" x14ac:dyDescent="0.25">
      <c r="A362" s="151"/>
      <c r="B362" s="7" t="s">
        <v>1095</v>
      </c>
      <c r="C362" s="18"/>
      <c r="D362" s="8"/>
      <c r="E362" s="8"/>
      <c r="F362" s="8"/>
      <c r="G362" s="8"/>
      <c r="H362" s="8"/>
      <c r="I362" s="11"/>
      <c r="J362" s="11"/>
      <c r="K362" s="11"/>
      <c r="L362" s="11"/>
      <c r="M362" s="11"/>
      <c r="N362" s="11"/>
      <c r="O362" s="11"/>
      <c r="P362" s="1438"/>
      <c r="Q362" s="1438"/>
      <c r="R362" s="11"/>
      <c r="S362" s="11"/>
      <c r="T362" s="11"/>
      <c r="U362" s="47"/>
      <c r="V362" s="47"/>
      <c r="W362" s="47"/>
      <c r="X362" s="47"/>
      <c r="Y362" s="32">
        <v>20</v>
      </c>
      <c r="Z362" s="32">
        <v>50.9</v>
      </c>
      <c r="AA362" s="32">
        <v>29</v>
      </c>
      <c r="AB362" s="32"/>
      <c r="AC362" s="32"/>
      <c r="AD362" s="32">
        <v>126</v>
      </c>
      <c r="AE362" s="32"/>
      <c r="AF362" s="32">
        <f>SUBTOTAL(9,Y362:AE362)</f>
        <v>225.9</v>
      </c>
      <c r="AG362" s="32">
        <f>+Y362*1.035</f>
        <v>20.7</v>
      </c>
      <c r="AH362" s="32">
        <f>+Z362*1.035</f>
        <v>52.681499999999993</v>
      </c>
      <c r="AI362" s="32">
        <f>+AA362*1.035</f>
        <v>30.014999999999997</v>
      </c>
      <c r="AJ362" s="32"/>
      <c r="AK362" s="32"/>
      <c r="AL362" s="32"/>
      <c r="AM362" s="32">
        <f>SUBTOTAL(9,AG362:AL362)</f>
        <v>103.39649999999999</v>
      </c>
      <c r="AN362" s="32">
        <f>+AG362*1.035</f>
        <v>21.424499999999998</v>
      </c>
      <c r="AO362" s="32">
        <f>+AH362*1.035</f>
        <v>54.52535249999999</v>
      </c>
      <c r="AP362" s="32">
        <f>+AI362*1.035</f>
        <v>31.065524999999994</v>
      </c>
      <c r="AQ362" s="32"/>
      <c r="AR362" s="32"/>
      <c r="AS362" s="32"/>
      <c r="AT362" s="32"/>
      <c r="AU362" s="32"/>
      <c r="AV362" s="32">
        <f>+AN362*1.035</f>
        <v>22.174357499999996</v>
      </c>
      <c r="AW362" s="32">
        <f>+AO362*1.035</f>
        <v>56.433739837499985</v>
      </c>
      <c r="AX362" s="32">
        <f>+AP362*1.035</f>
        <v>32.152818374999988</v>
      </c>
      <c r="AY362" s="32"/>
      <c r="AZ362" s="32"/>
      <c r="BA362" s="32"/>
      <c r="BB362" s="32"/>
      <c r="BC362" s="32"/>
      <c r="BD362" s="32">
        <f t="shared" si="202"/>
        <v>84.298857499999997</v>
      </c>
      <c r="BE362" s="32">
        <f t="shared" si="202"/>
        <v>214.54059233749999</v>
      </c>
      <c r="BF362" s="32">
        <f t="shared" si="202"/>
        <v>122.23334337499998</v>
      </c>
      <c r="BG362" s="32">
        <f t="shared" si="202"/>
        <v>0</v>
      </c>
      <c r="BH362" s="32">
        <f t="shared" si="202"/>
        <v>0</v>
      </c>
      <c r="BI362" s="32">
        <f t="shared" si="201"/>
        <v>126</v>
      </c>
      <c r="BJ362" s="32">
        <f t="shared" si="203"/>
        <v>0</v>
      </c>
      <c r="BK362" s="32">
        <f t="shared" si="203"/>
        <v>329.29649999999998</v>
      </c>
    </row>
    <row r="363" spans="1:63" ht="20.399999999999999" x14ac:dyDescent="0.25">
      <c r="A363" s="420"/>
      <c r="B363" s="1565" t="s">
        <v>1095</v>
      </c>
      <c r="C363" s="1566"/>
      <c r="D363" s="1566"/>
      <c r="E363" s="1566"/>
      <c r="F363" s="1566"/>
      <c r="G363" s="1566"/>
      <c r="H363" s="1566"/>
      <c r="I363" s="1566"/>
      <c r="J363" s="1566"/>
      <c r="K363" s="1566"/>
      <c r="L363" s="1566"/>
      <c r="M363" s="1567"/>
      <c r="N363" s="597"/>
      <c r="O363" s="597"/>
      <c r="P363" s="598"/>
      <c r="Q363" s="598"/>
      <c r="R363" s="597"/>
      <c r="S363" s="597"/>
      <c r="T363" s="597"/>
      <c r="U363" s="599"/>
      <c r="V363" s="599"/>
      <c r="W363" s="599"/>
      <c r="X363" s="599"/>
      <c r="Y363" s="600">
        <f>+Y364</f>
        <v>20</v>
      </c>
      <c r="Z363" s="600">
        <f t="shared" ref="Z363:AE363" si="224">+Z364</f>
        <v>50.9</v>
      </c>
      <c r="AA363" s="600">
        <f t="shared" si="224"/>
        <v>29</v>
      </c>
      <c r="AB363" s="600">
        <f t="shared" si="224"/>
        <v>0</v>
      </c>
      <c r="AC363" s="600">
        <f t="shared" si="224"/>
        <v>0</v>
      </c>
      <c r="AD363" s="600">
        <f t="shared" si="224"/>
        <v>126</v>
      </c>
      <c r="AE363" s="600">
        <f t="shared" si="224"/>
        <v>850</v>
      </c>
      <c r="AF363" s="600">
        <f t="shared" ref="AF363:AF371" si="225">SUM(Y363:AE363)</f>
        <v>1075.9000000000001</v>
      </c>
      <c r="AG363" s="600">
        <f t="shared" ref="AG363:AL363" si="226">+AG364</f>
        <v>20</v>
      </c>
      <c r="AH363" s="600">
        <f t="shared" si="226"/>
        <v>53</v>
      </c>
      <c r="AI363" s="600">
        <f t="shared" si="226"/>
        <v>40</v>
      </c>
      <c r="AJ363" s="600">
        <f t="shared" si="226"/>
        <v>0</v>
      </c>
      <c r="AK363" s="600">
        <f t="shared" si="226"/>
        <v>0</v>
      </c>
      <c r="AL363" s="600">
        <f t="shared" si="226"/>
        <v>1500</v>
      </c>
      <c r="AM363" s="600">
        <f>SUM(AG363:AL363)</f>
        <v>1613</v>
      </c>
      <c r="AN363" s="600">
        <f t="shared" ref="AN363:AT363" si="227">+AN364</f>
        <v>21.4</v>
      </c>
      <c r="AO363" s="600">
        <f t="shared" si="227"/>
        <v>54.5</v>
      </c>
      <c r="AP363" s="600">
        <f t="shared" si="227"/>
        <v>31</v>
      </c>
      <c r="AQ363" s="600">
        <f t="shared" si="227"/>
        <v>0</v>
      </c>
      <c r="AR363" s="600">
        <f t="shared" si="227"/>
        <v>0</v>
      </c>
      <c r="AS363" s="600">
        <f t="shared" si="227"/>
        <v>0</v>
      </c>
      <c r="AT363" s="600">
        <f t="shared" si="227"/>
        <v>0</v>
      </c>
      <c r="AU363" s="600">
        <f>SUM(AN363:AT363)</f>
        <v>106.9</v>
      </c>
      <c r="AV363" s="600">
        <f t="shared" ref="AV363:BB363" si="228">+AV364</f>
        <v>22</v>
      </c>
      <c r="AW363" s="600">
        <f t="shared" si="228"/>
        <v>57</v>
      </c>
      <c r="AX363" s="600">
        <f t="shared" si="228"/>
        <v>32</v>
      </c>
      <c r="AY363" s="600">
        <f t="shared" si="228"/>
        <v>0</v>
      </c>
      <c r="AZ363" s="600">
        <f t="shared" si="228"/>
        <v>0</v>
      </c>
      <c r="BA363" s="600">
        <f t="shared" si="228"/>
        <v>0</v>
      </c>
      <c r="BB363" s="600">
        <f t="shared" si="228"/>
        <v>0</v>
      </c>
      <c r="BC363" s="600">
        <f>SUM(AV363:BB363)</f>
        <v>111</v>
      </c>
      <c r="BD363" s="33">
        <f t="shared" si="202"/>
        <v>83.4</v>
      </c>
      <c r="BE363" s="33">
        <f t="shared" si="202"/>
        <v>215.4</v>
      </c>
      <c r="BF363" s="33">
        <f t="shared" si="202"/>
        <v>132</v>
      </c>
      <c r="BG363" s="33">
        <f t="shared" si="202"/>
        <v>0</v>
      </c>
      <c r="BH363" s="33">
        <f t="shared" si="202"/>
        <v>0</v>
      </c>
      <c r="BI363" s="33">
        <f t="shared" si="201"/>
        <v>126</v>
      </c>
      <c r="BJ363" s="33">
        <f t="shared" si="203"/>
        <v>2350</v>
      </c>
      <c r="BK363" s="33">
        <f t="shared" si="203"/>
        <v>2906.8</v>
      </c>
    </row>
    <row r="364" spans="1:63" x14ac:dyDescent="0.25">
      <c r="A364" s="603"/>
      <c r="B364" s="24" t="s">
        <v>1095</v>
      </c>
      <c r="C364" s="6"/>
      <c r="D364" s="2" t="s">
        <v>1096</v>
      </c>
      <c r="E364" s="1"/>
      <c r="F364" s="1"/>
      <c r="G364" s="1"/>
      <c r="H364" s="1"/>
      <c r="I364" s="1"/>
      <c r="J364" s="1"/>
      <c r="K364" s="1"/>
      <c r="L364" s="1"/>
      <c r="M364" s="1"/>
      <c r="N364" s="1"/>
      <c r="O364" s="1"/>
      <c r="P364" s="22"/>
      <c r="Q364" s="22"/>
      <c r="R364" s="1"/>
      <c r="S364" s="1"/>
      <c r="T364" s="1"/>
      <c r="U364" s="49"/>
      <c r="V364" s="49"/>
      <c r="W364" s="49"/>
      <c r="X364" s="49"/>
      <c r="Y364" s="34">
        <f t="shared" ref="Y364:AE364" si="229">SUM(Y365:Y372)</f>
        <v>20</v>
      </c>
      <c r="Z364" s="34">
        <f t="shared" si="229"/>
        <v>50.9</v>
      </c>
      <c r="AA364" s="34">
        <f t="shared" si="229"/>
        <v>29</v>
      </c>
      <c r="AB364" s="34">
        <f t="shared" si="229"/>
        <v>0</v>
      </c>
      <c r="AC364" s="34">
        <f t="shared" si="229"/>
        <v>0</v>
      </c>
      <c r="AD364" s="34">
        <f t="shared" si="229"/>
        <v>126</v>
      </c>
      <c r="AE364" s="34">
        <f t="shared" si="229"/>
        <v>850</v>
      </c>
      <c r="AF364" s="34">
        <f t="shared" si="225"/>
        <v>1075.9000000000001</v>
      </c>
      <c r="AG364" s="34">
        <f>SUM(AG365:AG373)</f>
        <v>20</v>
      </c>
      <c r="AH364" s="34">
        <f>SUM(AH365:AH372)</f>
        <v>53</v>
      </c>
      <c r="AI364" s="34">
        <f>SUM(AI365:AI372)</f>
        <v>40</v>
      </c>
      <c r="AJ364" s="34">
        <f>SUM(AJ365:AJ372)</f>
        <v>0</v>
      </c>
      <c r="AK364" s="34">
        <f>SUM(AK365:AK372)</f>
        <v>0</v>
      </c>
      <c r="AL364" s="34">
        <f>SUM(AL365:AL372)</f>
        <v>1500</v>
      </c>
      <c r="AM364" s="34">
        <f>SUM(AG364:AL364)</f>
        <v>1613</v>
      </c>
      <c r="AN364" s="34">
        <f t="shared" ref="AN364:AT364" si="230">SUM(AN365:AN372)</f>
        <v>21.4</v>
      </c>
      <c r="AO364" s="34">
        <f t="shared" si="230"/>
        <v>54.5</v>
      </c>
      <c r="AP364" s="34">
        <f t="shared" si="230"/>
        <v>31</v>
      </c>
      <c r="AQ364" s="34">
        <f t="shared" si="230"/>
        <v>0</v>
      </c>
      <c r="AR364" s="34">
        <f t="shared" si="230"/>
        <v>0</v>
      </c>
      <c r="AS364" s="34">
        <f t="shared" si="230"/>
        <v>0</v>
      </c>
      <c r="AT364" s="34">
        <f t="shared" si="230"/>
        <v>0</v>
      </c>
      <c r="AU364" s="34">
        <f>SUM(AN364:AT364)</f>
        <v>106.9</v>
      </c>
      <c r="AV364" s="34">
        <f t="shared" ref="AV364:BB364" si="231">SUM(AV365:AV372)</f>
        <v>22</v>
      </c>
      <c r="AW364" s="34">
        <f t="shared" si="231"/>
        <v>57</v>
      </c>
      <c r="AX364" s="34">
        <f t="shared" si="231"/>
        <v>32</v>
      </c>
      <c r="AY364" s="34">
        <f t="shared" si="231"/>
        <v>0</v>
      </c>
      <c r="AZ364" s="34">
        <f t="shared" si="231"/>
        <v>0</v>
      </c>
      <c r="BA364" s="34">
        <f t="shared" si="231"/>
        <v>0</v>
      </c>
      <c r="BB364" s="34">
        <f t="shared" si="231"/>
        <v>0</v>
      </c>
      <c r="BC364" s="34">
        <f>SUM(AV364:BB364)</f>
        <v>111</v>
      </c>
      <c r="BD364" s="34">
        <f t="shared" si="202"/>
        <v>83.4</v>
      </c>
      <c r="BE364" s="34">
        <f t="shared" si="202"/>
        <v>215.4</v>
      </c>
      <c r="BF364" s="34">
        <f t="shared" si="202"/>
        <v>132</v>
      </c>
      <c r="BG364" s="34">
        <f t="shared" si="202"/>
        <v>0</v>
      </c>
      <c r="BH364" s="34">
        <f t="shared" si="202"/>
        <v>0</v>
      </c>
      <c r="BI364" s="34">
        <f t="shared" si="201"/>
        <v>126</v>
      </c>
      <c r="BJ364" s="34">
        <f t="shared" si="203"/>
        <v>2350</v>
      </c>
      <c r="BK364" s="34">
        <f t="shared" si="203"/>
        <v>2906.8</v>
      </c>
    </row>
    <row r="365" spans="1:63" ht="66.75" customHeight="1" x14ac:dyDescent="0.25">
      <c r="A365" s="298" t="s">
        <v>1097</v>
      </c>
      <c r="B365" s="299" t="s">
        <v>1095</v>
      </c>
      <c r="C365" s="1546" t="s">
        <v>1098</v>
      </c>
      <c r="D365" s="1549" t="s">
        <v>1099</v>
      </c>
      <c r="E365" s="1549" t="s">
        <v>1100</v>
      </c>
      <c r="F365" s="1549">
        <v>2015</v>
      </c>
      <c r="G365" s="1549" t="s">
        <v>177</v>
      </c>
      <c r="H365" s="1549">
        <v>80</v>
      </c>
      <c r="I365" s="1425" t="s">
        <v>53</v>
      </c>
      <c r="J365" s="1425"/>
      <c r="K365" s="1425" t="s">
        <v>1101</v>
      </c>
      <c r="L365" s="301" t="s">
        <v>179</v>
      </c>
      <c r="M365" s="1425" t="s">
        <v>1102</v>
      </c>
      <c r="N365" s="476"/>
      <c r="O365" s="1425" t="s">
        <v>47</v>
      </c>
      <c r="P365" s="16" t="s">
        <v>1104</v>
      </c>
      <c r="Q365" s="302" t="s">
        <v>1105</v>
      </c>
      <c r="R365" s="303">
        <v>2015</v>
      </c>
      <c r="S365" s="303">
        <v>0</v>
      </c>
      <c r="T365" s="303">
        <v>1</v>
      </c>
      <c r="U365" s="572">
        <v>1</v>
      </c>
      <c r="V365" s="572">
        <v>1</v>
      </c>
      <c r="W365" s="572">
        <v>1</v>
      </c>
      <c r="X365" s="572">
        <f t="shared" ref="X365:X370" si="232">SUBTOTAL(9,T365:W365)</f>
        <v>4</v>
      </c>
      <c r="Y365" s="481"/>
      <c r="Z365" s="481"/>
      <c r="AA365" s="481"/>
      <c r="AB365" s="481"/>
      <c r="AC365" s="481"/>
      <c r="AD365" s="481">
        <v>22.1</v>
      </c>
      <c r="AE365" s="481"/>
      <c r="AF365" s="481">
        <f t="shared" si="225"/>
        <v>22.1</v>
      </c>
      <c r="AG365" s="548"/>
      <c r="AH365" s="548"/>
      <c r="AI365" s="548"/>
      <c r="AJ365" s="548"/>
      <c r="AK365" s="548"/>
      <c r="AL365" s="548">
        <v>1000</v>
      </c>
      <c r="AM365" s="548">
        <f>SUM(AG365:AL365)</f>
        <v>1000</v>
      </c>
      <c r="AN365" s="481">
        <v>21.4</v>
      </c>
      <c r="AO365" s="481"/>
      <c r="AP365" s="481">
        <v>31</v>
      </c>
      <c r="AQ365" s="481"/>
      <c r="AR365" s="481"/>
      <c r="AS365" s="481"/>
      <c r="AT365" s="481"/>
      <c r="AU365" s="481">
        <f>SUM(AN365:AT365)</f>
        <v>52.4</v>
      </c>
      <c r="AV365" s="548">
        <v>22</v>
      </c>
      <c r="AW365" s="548">
        <v>57</v>
      </c>
      <c r="AX365" s="491">
        <v>20</v>
      </c>
      <c r="AY365" s="548"/>
      <c r="AZ365" s="548"/>
      <c r="BA365" s="548"/>
      <c r="BB365" s="548"/>
      <c r="BC365" s="548">
        <f>SUM(AV365:BB365)</f>
        <v>99</v>
      </c>
      <c r="BD365" s="42">
        <f t="shared" si="202"/>
        <v>43.4</v>
      </c>
      <c r="BE365" s="42">
        <f t="shared" si="202"/>
        <v>57</v>
      </c>
      <c r="BF365" s="42">
        <f t="shared" si="202"/>
        <v>51</v>
      </c>
      <c r="BG365" s="42">
        <f t="shared" si="202"/>
        <v>0</v>
      </c>
      <c r="BH365" s="42">
        <f t="shared" si="202"/>
        <v>0</v>
      </c>
      <c r="BI365" s="42">
        <f t="shared" si="201"/>
        <v>22.1</v>
      </c>
      <c r="BJ365" s="42">
        <f t="shared" si="203"/>
        <v>1000</v>
      </c>
      <c r="BK365" s="42">
        <f t="shared" si="203"/>
        <v>1173.5</v>
      </c>
    </row>
    <row r="366" spans="1:63" ht="64.5" customHeight="1" x14ac:dyDescent="0.25">
      <c r="A366" s="298" t="s">
        <v>1097</v>
      </c>
      <c r="B366" s="299" t="s">
        <v>1095</v>
      </c>
      <c r="C366" s="1547"/>
      <c r="D366" s="1549"/>
      <c r="E366" s="1549"/>
      <c r="F366" s="1549"/>
      <c r="G366" s="1549"/>
      <c r="H366" s="1549"/>
      <c r="I366" s="1425" t="s">
        <v>1106</v>
      </c>
      <c r="J366" s="1425"/>
      <c r="K366" s="1425" t="s">
        <v>1107</v>
      </c>
      <c r="L366" s="301" t="s">
        <v>179</v>
      </c>
      <c r="M366" s="1425" t="s">
        <v>1102</v>
      </c>
      <c r="N366" s="476"/>
      <c r="O366" s="1425" t="s">
        <v>47</v>
      </c>
      <c r="P366" s="16" t="s">
        <v>1108</v>
      </c>
      <c r="Q366" s="302" t="s">
        <v>1109</v>
      </c>
      <c r="R366" s="303">
        <v>2015</v>
      </c>
      <c r="S366" s="303">
        <v>1</v>
      </c>
      <c r="T366" s="303">
        <v>1</v>
      </c>
      <c r="U366" s="572">
        <v>1</v>
      </c>
      <c r="V366" s="572">
        <v>1</v>
      </c>
      <c r="W366" s="572">
        <v>0</v>
      </c>
      <c r="X366" s="572">
        <f t="shared" si="232"/>
        <v>3</v>
      </c>
      <c r="Y366" s="481"/>
      <c r="Z366" s="481">
        <v>50.9</v>
      </c>
      <c r="AA366" s="481"/>
      <c r="AB366" s="481"/>
      <c r="AC366" s="481"/>
      <c r="AD366" s="481">
        <f>17.8+81.1</f>
        <v>98.899999999999991</v>
      </c>
      <c r="AE366" s="481"/>
      <c r="AF366" s="481">
        <f t="shared" si="225"/>
        <v>149.79999999999998</v>
      </c>
      <c r="AG366" s="548"/>
      <c r="AH366" s="491">
        <v>52</v>
      </c>
      <c r="AI366" s="548"/>
      <c r="AJ366" s="548"/>
      <c r="AK366" s="548"/>
      <c r="AL366" s="548"/>
      <c r="AM366" s="548">
        <f t="shared" ref="AM366:AM371" si="233">SUM(AG366:AL366)</f>
        <v>52</v>
      </c>
      <c r="AN366" s="481"/>
      <c r="AO366" s="491">
        <v>40</v>
      </c>
      <c r="AP366" s="481"/>
      <c r="AQ366" s="481"/>
      <c r="AR366" s="481"/>
      <c r="AS366" s="481"/>
      <c r="AT366" s="481"/>
      <c r="AU366" s="481">
        <f t="shared" ref="AU366:AU371" si="234">SUM(AN366:AT366)</f>
        <v>40</v>
      </c>
      <c r="AV366" s="548"/>
      <c r="AW366" s="548"/>
      <c r="AX366" s="548"/>
      <c r="AY366" s="548"/>
      <c r="AZ366" s="548"/>
      <c r="BA366" s="548"/>
      <c r="BB366" s="548"/>
      <c r="BC366" s="548">
        <f t="shared" ref="BC366:BC371" si="235">SUM(AV366:BB366)</f>
        <v>0</v>
      </c>
      <c r="BD366" s="42">
        <f t="shared" si="202"/>
        <v>0</v>
      </c>
      <c r="BE366" s="42">
        <f t="shared" si="202"/>
        <v>142.9</v>
      </c>
      <c r="BF366" s="42">
        <f t="shared" si="202"/>
        <v>0</v>
      </c>
      <c r="BG366" s="42">
        <f t="shared" si="202"/>
        <v>0</v>
      </c>
      <c r="BH366" s="42">
        <f t="shared" si="202"/>
        <v>0</v>
      </c>
      <c r="BI366" s="42">
        <f t="shared" si="201"/>
        <v>98.899999999999991</v>
      </c>
      <c r="BJ366" s="42">
        <f t="shared" si="203"/>
        <v>0</v>
      </c>
      <c r="BK366" s="42">
        <f t="shared" si="203"/>
        <v>241.79999999999998</v>
      </c>
    </row>
    <row r="367" spans="1:63" ht="54" customHeight="1" x14ac:dyDescent="0.25">
      <c r="A367" s="298" t="s">
        <v>1097</v>
      </c>
      <c r="B367" s="299" t="s">
        <v>1095</v>
      </c>
      <c r="C367" s="1547"/>
      <c r="D367" s="1549"/>
      <c r="E367" s="1549"/>
      <c r="F367" s="1549"/>
      <c r="G367" s="1549"/>
      <c r="H367" s="1549"/>
      <c r="I367" s="1425" t="s">
        <v>53</v>
      </c>
      <c r="J367" s="1425"/>
      <c r="K367" s="1425" t="s">
        <v>1110</v>
      </c>
      <c r="L367" s="301" t="s">
        <v>179</v>
      </c>
      <c r="M367" s="1425" t="s">
        <v>1102</v>
      </c>
      <c r="N367" s="476"/>
      <c r="O367" s="1425" t="s">
        <v>47</v>
      </c>
      <c r="P367" s="16" t="s">
        <v>1111</v>
      </c>
      <c r="Q367" s="302" t="s">
        <v>1112</v>
      </c>
      <c r="R367" s="303">
        <v>2015</v>
      </c>
      <c r="S367" s="303">
        <v>0</v>
      </c>
      <c r="T367" s="303">
        <v>0</v>
      </c>
      <c r="U367" s="572">
        <v>1</v>
      </c>
      <c r="V367" s="572">
        <v>0</v>
      </c>
      <c r="W367" s="572">
        <v>0</v>
      </c>
      <c r="X367" s="572">
        <f t="shared" si="232"/>
        <v>1</v>
      </c>
      <c r="Y367" s="481"/>
      <c r="Z367" s="481"/>
      <c r="AA367" s="481"/>
      <c r="AB367" s="481"/>
      <c r="AC367" s="481"/>
      <c r="AD367" s="481"/>
      <c r="AE367" s="481"/>
      <c r="AF367" s="481">
        <f t="shared" si="225"/>
        <v>0</v>
      </c>
      <c r="AG367" s="548"/>
      <c r="AH367" s="548">
        <v>1</v>
      </c>
      <c r="AI367" s="548"/>
      <c r="AJ367" s="548"/>
      <c r="AK367" s="548"/>
      <c r="AL367" s="548"/>
      <c r="AM367" s="548">
        <f t="shared" si="233"/>
        <v>1</v>
      </c>
      <c r="AN367" s="481"/>
      <c r="AO367" s="481"/>
      <c r="AP367" s="481"/>
      <c r="AQ367" s="481"/>
      <c r="AR367" s="481"/>
      <c r="AS367" s="481"/>
      <c r="AT367" s="481"/>
      <c r="AU367" s="481">
        <f t="shared" si="234"/>
        <v>0</v>
      </c>
      <c r="AV367" s="548"/>
      <c r="AW367" s="548"/>
      <c r="AX367" s="548"/>
      <c r="AY367" s="548"/>
      <c r="AZ367" s="548"/>
      <c r="BA367" s="548"/>
      <c r="BB367" s="548"/>
      <c r="BC367" s="548">
        <f t="shared" si="235"/>
        <v>0</v>
      </c>
      <c r="BD367" s="42">
        <f t="shared" si="202"/>
        <v>0</v>
      </c>
      <c r="BE367" s="42">
        <f t="shared" si="202"/>
        <v>1</v>
      </c>
      <c r="BF367" s="42">
        <f t="shared" si="202"/>
        <v>0</v>
      </c>
      <c r="BG367" s="42">
        <f t="shared" si="202"/>
        <v>0</v>
      </c>
      <c r="BH367" s="42">
        <f t="shared" si="202"/>
        <v>0</v>
      </c>
      <c r="BI367" s="42">
        <f t="shared" si="201"/>
        <v>0</v>
      </c>
      <c r="BJ367" s="42">
        <f t="shared" si="203"/>
        <v>0</v>
      </c>
      <c r="BK367" s="42">
        <f t="shared" si="203"/>
        <v>1</v>
      </c>
    </row>
    <row r="368" spans="1:63" ht="54.75" customHeight="1" x14ac:dyDescent="0.25">
      <c r="A368" s="298" t="s">
        <v>1097</v>
      </c>
      <c r="B368" s="299" t="s">
        <v>1095</v>
      </c>
      <c r="C368" s="1547"/>
      <c r="D368" s="1549"/>
      <c r="E368" s="1549"/>
      <c r="F368" s="1549"/>
      <c r="G368" s="1549"/>
      <c r="H368" s="1549"/>
      <c r="I368" s="1425" t="s">
        <v>53</v>
      </c>
      <c r="J368" s="1425"/>
      <c r="K368" s="1425" t="s">
        <v>1113</v>
      </c>
      <c r="L368" s="301" t="s">
        <v>179</v>
      </c>
      <c r="M368" s="1425" t="s">
        <v>1102</v>
      </c>
      <c r="N368" s="476"/>
      <c r="O368" s="1425" t="s">
        <v>47</v>
      </c>
      <c r="P368" s="16" t="s">
        <v>1114</v>
      </c>
      <c r="Q368" s="302" t="s">
        <v>1115</v>
      </c>
      <c r="R368" s="303">
        <v>2015</v>
      </c>
      <c r="S368" s="303">
        <v>0</v>
      </c>
      <c r="T368" s="303">
        <v>1</v>
      </c>
      <c r="U368" s="572">
        <v>0</v>
      </c>
      <c r="V368" s="572">
        <v>0</v>
      </c>
      <c r="W368" s="572">
        <v>0</v>
      </c>
      <c r="X368" s="572">
        <f t="shared" si="232"/>
        <v>1</v>
      </c>
      <c r="Y368" s="481">
        <v>20</v>
      </c>
      <c r="Z368" s="481"/>
      <c r="AA368" s="481"/>
      <c r="AB368" s="481"/>
      <c r="AC368" s="481"/>
      <c r="AD368" s="481">
        <v>5</v>
      </c>
      <c r="AE368" s="481"/>
      <c r="AF368" s="481">
        <f t="shared" si="225"/>
        <v>25</v>
      </c>
      <c r="AG368" s="548"/>
      <c r="AH368" s="548"/>
      <c r="AI368" s="548"/>
      <c r="AJ368" s="548"/>
      <c r="AK368" s="548"/>
      <c r="AL368" s="548"/>
      <c r="AM368" s="548">
        <f t="shared" si="233"/>
        <v>0</v>
      </c>
      <c r="AN368" s="481"/>
      <c r="AO368" s="481"/>
      <c r="AP368" s="481"/>
      <c r="AQ368" s="481"/>
      <c r="AR368" s="481"/>
      <c r="AS368" s="481"/>
      <c r="AT368" s="481"/>
      <c r="AU368" s="481">
        <f t="shared" si="234"/>
        <v>0</v>
      </c>
      <c r="AV368" s="548"/>
      <c r="AW368" s="548"/>
      <c r="AX368" s="548"/>
      <c r="AY368" s="548"/>
      <c r="AZ368" s="548"/>
      <c r="BA368" s="548"/>
      <c r="BB368" s="548"/>
      <c r="BC368" s="548">
        <f t="shared" si="235"/>
        <v>0</v>
      </c>
      <c r="BD368" s="42">
        <f t="shared" si="202"/>
        <v>20</v>
      </c>
      <c r="BE368" s="42">
        <f t="shared" si="202"/>
        <v>0</v>
      </c>
      <c r="BF368" s="42">
        <f t="shared" si="202"/>
        <v>0</v>
      </c>
      <c r="BG368" s="42">
        <f t="shared" si="202"/>
        <v>0</v>
      </c>
      <c r="BH368" s="42">
        <f t="shared" si="202"/>
        <v>0</v>
      </c>
      <c r="BI368" s="42">
        <f t="shared" si="201"/>
        <v>5</v>
      </c>
      <c r="BJ368" s="42">
        <f t="shared" si="203"/>
        <v>0</v>
      </c>
      <c r="BK368" s="42">
        <f t="shared" si="203"/>
        <v>25</v>
      </c>
    </row>
    <row r="369" spans="1:63" ht="45.75" customHeight="1" x14ac:dyDescent="0.25">
      <c r="A369" s="298" t="s">
        <v>1097</v>
      </c>
      <c r="B369" s="299" t="s">
        <v>1095</v>
      </c>
      <c r="C369" s="1547"/>
      <c r="D369" s="1549"/>
      <c r="E369" s="1549"/>
      <c r="F369" s="1549"/>
      <c r="G369" s="1549"/>
      <c r="H369" s="1549"/>
      <c r="I369" s="1425" t="s">
        <v>53</v>
      </c>
      <c r="J369" s="1425"/>
      <c r="K369" s="1425" t="s">
        <v>1116</v>
      </c>
      <c r="L369" s="301" t="s">
        <v>179</v>
      </c>
      <c r="M369" s="1425" t="s">
        <v>1102</v>
      </c>
      <c r="N369" s="476"/>
      <c r="O369" s="1425" t="s">
        <v>47</v>
      </c>
      <c r="P369" s="16" t="s">
        <v>1117</v>
      </c>
      <c r="Q369" s="302" t="s">
        <v>1118</v>
      </c>
      <c r="R369" s="303">
        <v>2015</v>
      </c>
      <c r="S369" s="303">
        <v>0</v>
      </c>
      <c r="T369" s="303">
        <v>0</v>
      </c>
      <c r="U369" s="572">
        <v>1</v>
      </c>
      <c r="V369" s="572">
        <v>0</v>
      </c>
      <c r="W369" s="572">
        <v>0</v>
      </c>
      <c r="X369" s="572">
        <f t="shared" si="232"/>
        <v>1</v>
      </c>
      <c r="Y369" s="481"/>
      <c r="Z369" s="481"/>
      <c r="AA369" s="481"/>
      <c r="AB369" s="481"/>
      <c r="AC369" s="481"/>
      <c r="AD369" s="481"/>
      <c r="AE369" s="481"/>
      <c r="AF369" s="481">
        <f t="shared" si="225"/>
        <v>0</v>
      </c>
      <c r="AG369" s="491">
        <v>10</v>
      </c>
      <c r="AH369" s="548"/>
      <c r="AI369" s="548"/>
      <c r="AJ369" s="548"/>
      <c r="AK369" s="548"/>
      <c r="AL369" s="548">
        <v>500</v>
      </c>
      <c r="AM369" s="548">
        <f t="shared" si="233"/>
        <v>510</v>
      </c>
      <c r="AN369" s="481"/>
      <c r="AO369" s="481"/>
      <c r="AP369" s="481"/>
      <c r="AQ369" s="481"/>
      <c r="AR369" s="481"/>
      <c r="AS369" s="481"/>
      <c r="AT369" s="481"/>
      <c r="AU369" s="481">
        <f t="shared" si="234"/>
        <v>0</v>
      </c>
      <c r="AV369" s="548"/>
      <c r="AW369" s="548"/>
      <c r="AX369" s="548"/>
      <c r="AY369" s="548"/>
      <c r="AZ369" s="548"/>
      <c r="BA369" s="548"/>
      <c r="BB369" s="548"/>
      <c r="BC369" s="548">
        <f t="shared" si="235"/>
        <v>0</v>
      </c>
      <c r="BD369" s="42">
        <f t="shared" si="202"/>
        <v>10</v>
      </c>
      <c r="BE369" s="42">
        <f t="shared" si="202"/>
        <v>0</v>
      </c>
      <c r="BF369" s="42">
        <f t="shared" si="202"/>
        <v>0</v>
      </c>
      <c r="BG369" s="42">
        <f t="shared" si="202"/>
        <v>0</v>
      </c>
      <c r="BH369" s="42">
        <f t="shared" si="202"/>
        <v>0</v>
      </c>
      <c r="BI369" s="42">
        <f t="shared" si="201"/>
        <v>0</v>
      </c>
      <c r="BJ369" s="42">
        <f t="shared" si="203"/>
        <v>500</v>
      </c>
      <c r="BK369" s="42">
        <f t="shared" si="203"/>
        <v>510</v>
      </c>
    </row>
    <row r="370" spans="1:63" ht="58.5" customHeight="1" x14ac:dyDescent="0.25">
      <c r="A370" s="298" t="s">
        <v>1097</v>
      </c>
      <c r="B370" s="299" t="s">
        <v>1095</v>
      </c>
      <c r="C370" s="1547"/>
      <c r="D370" s="1549"/>
      <c r="E370" s="1549"/>
      <c r="F370" s="1549"/>
      <c r="G370" s="1549"/>
      <c r="H370" s="1549"/>
      <c r="I370" s="1425"/>
      <c r="J370" s="1425"/>
      <c r="K370" s="1425" t="s">
        <v>1119</v>
      </c>
      <c r="L370" s="301" t="s">
        <v>179</v>
      </c>
      <c r="M370" s="1425" t="s">
        <v>1102</v>
      </c>
      <c r="N370" s="476"/>
      <c r="O370" s="1425" t="s">
        <v>47</v>
      </c>
      <c r="P370" s="16" t="s">
        <v>1120</v>
      </c>
      <c r="Q370" s="302" t="s">
        <v>1121</v>
      </c>
      <c r="R370" s="303">
        <v>2015</v>
      </c>
      <c r="S370" s="303">
        <v>0</v>
      </c>
      <c r="T370" s="303">
        <v>1</v>
      </c>
      <c r="U370" s="572">
        <v>0</v>
      </c>
      <c r="V370" s="572">
        <v>0</v>
      </c>
      <c r="W370" s="572">
        <v>0</v>
      </c>
      <c r="X370" s="572">
        <f t="shared" si="232"/>
        <v>1</v>
      </c>
      <c r="Y370" s="481"/>
      <c r="Z370" s="481"/>
      <c r="AA370" s="481">
        <v>29</v>
      </c>
      <c r="AB370" s="481"/>
      <c r="AC370" s="481"/>
      <c r="AD370" s="481"/>
      <c r="AE370" s="481">
        <v>850</v>
      </c>
      <c r="AF370" s="481">
        <f t="shared" si="225"/>
        <v>879</v>
      </c>
      <c r="AG370" s="548"/>
      <c r="AH370" s="548"/>
      <c r="AI370" s="548"/>
      <c r="AJ370" s="548"/>
      <c r="AK370" s="548"/>
      <c r="AL370" s="548"/>
      <c r="AM370" s="548">
        <f t="shared" si="233"/>
        <v>0</v>
      </c>
      <c r="AN370" s="481"/>
      <c r="AO370" s="481"/>
      <c r="AP370" s="481"/>
      <c r="AQ370" s="481"/>
      <c r="AR370" s="481"/>
      <c r="AS370" s="481"/>
      <c r="AT370" s="481"/>
      <c r="AU370" s="481">
        <f t="shared" si="234"/>
        <v>0</v>
      </c>
      <c r="AV370" s="548"/>
      <c r="AW370" s="548"/>
      <c r="AX370" s="548"/>
      <c r="AY370" s="548"/>
      <c r="AZ370" s="548"/>
      <c r="BA370" s="548"/>
      <c r="BB370" s="548"/>
      <c r="BC370" s="548">
        <f t="shared" si="235"/>
        <v>0</v>
      </c>
      <c r="BD370" s="42">
        <f t="shared" si="202"/>
        <v>0</v>
      </c>
      <c r="BE370" s="42">
        <f t="shared" si="202"/>
        <v>0</v>
      </c>
      <c r="BF370" s="42">
        <f t="shared" si="202"/>
        <v>29</v>
      </c>
      <c r="BG370" s="42">
        <f t="shared" si="202"/>
        <v>0</v>
      </c>
      <c r="BH370" s="42">
        <f t="shared" si="202"/>
        <v>0</v>
      </c>
      <c r="BI370" s="42">
        <f t="shared" si="201"/>
        <v>0</v>
      </c>
      <c r="BJ370" s="42">
        <f t="shared" si="203"/>
        <v>850</v>
      </c>
      <c r="BK370" s="42">
        <f t="shared" si="203"/>
        <v>879</v>
      </c>
    </row>
    <row r="371" spans="1:63" ht="43.5" customHeight="1" x14ac:dyDescent="0.25">
      <c r="A371" s="298" t="s">
        <v>1097</v>
      </c>
      <c r="B371" s="299" t="s">
        <v>1095</v>
      </c>
      <c r="C371" s="1547"/>
      <c r="D371" s="1549"/>
      <c r="E371" s="1549"/>
      <c r="F371" s="1549"/>
      <c r="G371" s="1549"/>
      <c r="H371" s="1549"/>
      <c r="I371" s="1425"/>
      <c r="J371" s="1425"/>
      <c r="K371" s="1425" t="s">
        <v>1122</v>
      </c>
      <c r="L371" s="301" t="s">
        <v>179</v>
      </c>
      <c r="M371" s="1425" t="s">
        <v>1102</v>
      </c>
      <c r="N371" s="476"/>
      <c r="O371" s="1425" t="s">
        <v>47</v>
      </c>
      <c r="P371" s="16" t="s">
        <v>1123</v>
      </c>
      <c r="Q371" s="302" t="s">
        <v>1124</v>
      </c>
      <c r="R371" s="303">
        <v>2015</v>
      </c>
      <c r="S371" s="303">
        <v>0</v>
      </c>
      <c r="T371" s="303">
        <v>0</v>
      </c>
      <c r="U371" s="572">
        <v>2</v>
      </c>
      <c r="V371" s="572">
        <v>2</v>
      </c>
      <c r="W371" s="572">
        <v>2</v>
      </c>
      <c r="X371" s="572">
        <v>6</v>
      </c>
      <c r="Y371" s="481"/>
      <c r="Z371" s="481"/>
      <c r="AA371" s="481"/>
      <c r="AB371" s="481"/>
      <c r="AC371" s="481"/>
      <c r="AD371" s="481"/>
      <c r="AE371" s="481"/>
      <c r="AF371" s="481">
        <f t="shared" si="225"/>
        <v>0</v>
      </c>
      <c r="AG371" s="548"/>
      <c r="AH371" s="548"/>
      <c r="AI371" s="491">
        <v>10</v>
      </c>
      <c r="AJ371" s="548"/>
      <c r="AK371" s="548"/>
      <c r="AL371" s="548"/>
      <c r="AM371" s="548">
        <f t="shared" si="233"/>
        <v>10</v>
      </c>
      <c r="AN371" s="481"/>
      <c r="AO371" s="491">
        <v>14.5</v>
      </c>
      <c r="AP371" s="481"/>
      <c r="AQ371" s="481"/>
      <c r="AR371" s="481"/>
      <c r="AS371" s="481"/>
      <c r="AT371" s="481"/>
      <c r="AU371" s="481">
        <f t="shared" si="234"/>
        <v>14.5</v>
      </c>
      <c r="AV371" s="548"/>
      <c r="AW371" s="548"/>
      <c r="AX371" s="491">
        <v>12</v>
      </c>
      <c r="AY371" s="548"/>
      <c r="AZ371" s="548"/>
      <c r="BA371" s="548"/>
      <c r="BB371" s="548"/>
      <c r="BC371" s="548">
        <f t="shared" si="235"/>
        <v>12</v>
      </c>
      <c r="BD371" s="42">
        <f>+AV371+AN371+AG371+Y371</f>
        <v>0</v>
      </c>
      <c r="BE371" s="42">
        <f>+AW371+AO371+AH371+Z371</f>
        <v>14.5</v>
      </c>
      <c r="BF371" s="42">
        <f>+AX371+AP371+AI371+AA371</f>
        <v>22</v>
      </c>
      <c r="BG371" s="42">
        <f>+AY371+AQ371+AJ371+AB371</f>
        <v>0</v>
      </c>
      <c r="BH371" s="42">
        <f>+AZ371+AR371+AK371+AC371</f>
        <v>0</v>
      </c>
      <c r="BI371" s="42">
        <f>+AD371+AS371+BA371</f>
        <v>0</v>
      </c>
      <c r="BJ371" s="42">
        <f t="shared" si="203"/>
        <v>0</v>
      </c>
      <c r="BK371" s="42">
        <f t="shared" si="203"/>
        <v>36.5</v>
      </c>
    </row>
    <row r="372" spans="1:63" ht="41.25" customHeight="1" x14ac:dyDescent="0.25">
      <c r="A372" s="298" t="s">
        <v>1097</v>
      </c>
      <c r="B372" s="299" t="s">
        <v>1095</v>
      </c>
      <c r="C372" s="1547"/>
      <c r="D372" s="1549"/>
      <c r="E372" s="1549"/>
      <c r="F372" s="1549"/>
      <c r="G372" s="1549"/>
      <c r="H372" s="1549"/>
      <c r="I372" s="1425"/>
      <c r="J372" s="1425"/>
      <c r="K372" s="1425" t="s">
        <v>1125</v>
      </c>
      <c r="L372" s="301" t="s">
        <v>179</v>
      </c>
      <c r="M372" s="1425" t="s">
        <v>1102</v>
      </c>
      <c r="N372" s="476"/>
      <c r="O372" s="1425" t="s">
        <v>47</v>
      </c>
      <c r="P372" s="16" t="s">
        <v>1127</v>
      </c>
      <c r="Q372" s="302" t="s">
        <v>1128</v>
      </c>
      <c r="R372" s="303">
        <v>2015</v>
      </c>
      <c r="S372" s="303">
        <v>0</v>
      </c>
      <c r="T372" s="303">
        <v>0</v>
      </c>
      <c r="U372" s="572">
        <v>1</v>
      </c>
      <c r="V372" s="572">
        <v>0</v>
      </c>
      <c r="W372" s="572">
        <v>0</v>
      </c>
      <c r="X372" s="572">
        <f>SUBTOTAL(9,T372:W372)</f>
        <v>1</v>
      </c>
      <c r="Y372" s="481"/>
      <c r="Z372" s="481"/>
      <c r="AA372" s="481"/>
      <c r="AB372" s="481"/>
      <c r="AC372" s="481"/>
      <c r="AD372" s="481"/>
      <c r="AE372" s="481"/>
      <c r="AF372" s="481">
        <f>SUM(Y372:AE372)</f>
        <v>0</v>
      </c>
      <c r="AG372" s="548"/>
      <c r="AH372" s="548"/>
      <c r="AI372" s="716">
        <v>30</v>
      </c>
      <c r="AJ372" s="548"/>
      <c r="AK372" s="548"/>
      <c r="AL372" s="548"/>
      <c r="AM372" s="548">
        <f>SUM(AG372:AL372)</f>
        <v>30</v>
      </c>
      <c r="AN372" s="481"/>
      <c r="AO372" s="481"/>
      <c r="AP372" s="481"/>
      <c r="AQ372" s="481"/>
      <c r="AR372" s="481"/>
      <c r="AS372" s="481"/>
      <c r="AT372" s="481"/>
      <c r="AU372" s="481">
        <f>SUM(AN372:AT372)</f>
        <v>0</v>
      </c>
      <c r="AV372" s="548"/>
      <c r="AW372" s="548"/>
      <c r="AX372" s="548"/>
      <c r="AY372" s="548"/>
      <c r="AZ372" s="548"/>
      <c r="BA372" s="548"/>
      <c r="BB372" s="548"/>
      <c r="BC372" s="548">
        <f>SUM(AV372:BB372)</f>
        <v>0</v>
      </c>
      <c r="BD372" s="42">
        <f t="shared" ref="BD372:BH373" si="236">+AV372+AN372+AG372+Y372</f>
        <v>0</v>
      </c>
      <c r="BE372" s="42">
        <f t="shared" si="236"/>
        <v>0</v>
      </c>
      <c r="BF372" s="42">
        <f t="shared" si="236"/>
        <v>30</v>
      </c>
      <c r="BG372" s="42">
        <f t="shared" si="236"/>
        <v>0</v>
      </c>
      <c r="BH372" s="42">
        <f t="shared" si="236"/>
        <v>0</v>
      </c>
      <c r="BI372" s="42">
        <f>+AD372+AS372+BA372</f>
        <v>0</v>
      </c>
      <c r="BJ372" s="42">
        <f t="shared" si="203"/>
        <v>0</v>
      </c>
      <c r="BK372" s="42">
        <f t="shared" si="203"/>
        <v>30</v>
      </c>
    </row>
    <row r="373" spans="1:63" ht="51" customHeight="1" x14ac:dyDescent="0.25">
      <c r="A373" s="298" t="s">
        <v>1097</v>
      </c>
      <c r="B373" s="299" t="s">
        <v>1095</v>
      </c>
      <c r="C373" s="1548"/>
      <c r="D373" s="1549"/>
      <c r="E373" s="1549"/>
      <c r="F373" s="1549"/>
      <c r="G373" s="1549"/>
      <c r="H373" s="1549"/>
      <c r="I373" s="1425"/>
      <c r="J373" s="1425"/>
      <c r="K373" s="1425" t="s">
        <v>1129</v>
      </c>
      <c r="L373" s="301" t="s">
        <v>179</v>
      </c>
      <c r="M373" s="1425" t="s">
        <v>1102</v>
      </c>
      <c r="N373" s="476"/>
      <c r="O373" s="1425" t="s">
        <v>47</v>
      </c>
      <c r="P373" s="16" t="s">
        <v>1130</v>
      </c>
      <c r="Q373" s="302" t="s">
        <v>1131</v>
      </c>
      <c r="R373" s="303">
        <v>2015</v>
      </c>
      <c r="S373" s="303">
        <v>0</v>
      </c>
      <c r="T373" s="303">
        <v>0</v>
      </c>
      <c r="U373" s="572">
        <v>1</v>
      </c>
      <c r="V373" s="572">
        <v>0</v>
      </c>
      <c r="W373" s="572">
        <v>0</v>
      </c>
      <c r="X373" s="572">
        <v>1</v>
      </c>
      <c r="Y373" s="481"/>
      <c r="Z373" s="481"/>
      <c r="AA373" s="481"/>
      <c r="AB373" s="481"/>
      <c r="AC373" s="481"/>
      <c r="AD373" s="481"/>
      <c r="AE373" s="481"/>
      <c r="AF373" s="481">
        <f>SUM(Y373:AE373)</f>
        <v>0</v>
      </c>
      <c r="AG373" s="491">
        <v>10</v>
      </c>
      <c r="AH373" s="548"/>
      <c r="AI373" s="548"/>
      <c r="AJ373" s="548"/>
      <c r="AK373" s="548"/>
      <c r="AL373" s="548"/>
      <c r="AM373" s="548">
        <f>SUM(AG373:AL373)</f>
        <v>10</v>
      </c>
      <c r="AN373" s="481"/>
      <c r="AO373" s="481"/>
      <c r="AP373" s="481"/>
      <c r="AQ373" s="481"/>
      <c r="AR373" s="481"/>
      <c r="AS373" s="481"/>
      <c r="AT373" s="481"/>
      <c r="AU373" s="481">
        <f>SUM(AN373:AT373)</f>
        <v>0</v>
      </c>
      <c r="AV373" s="548"/>
      <c r="AW373" s="548"/>
      <c r="AX373" s="548"/>
      <c r="AY373" s="548"/>
      <c r="AZ373" s="548"/>
      <c r="BA373" s="548"/>
      <c r="BB373" s="548"/>
      <c r="BC373" s="548">
        <f>SUM(AV373:BB373)</f>
        <v>0</v>
      </c>
      <c r="BD373" s="42">
        <f t="shared" si="236"/>
        <v>10</v>
      </c>
      <c r="BE373" s="42">
        <f t="shared" si="236"/>
        <v>0</v>
      </c>
      <c r="BF373" s="42">
        <f t="shared" si="236"/>
        <v>0</v>
      </c>
      <c r="BG373" s="42">
        <f t="shared" si="236"/>
        <v>0</v>
      </c>
      <c r="BH373" s="42">
        <f t="shared" si="236"/>
        <v>0</v>
      </c>
      <c r="BI373" s="42">
        <f>+AD373+AS373+BA373</f>
        <v>0</v>
      </c>
      <c r="BJ373" s="42">
        <f t="shared" si="203"/>
        <v>0</v>
      </c>
      <c r="BK373" s="42">
        <f t="shared" si="203"/>
        <v>10</v>
      </c>
    </row>
    <row r="374" spans="1:63" ht="3" customHeight="1" x14ac:dyDescent="0.25">
      <c r="A374" s="151"/>
      <c r="B374" s="19" t="s">
        <v>1132</v>
      </c>
      <c r="C374" s="19"/>
      <c r="D374" s="1442"/>
      <c r="E374" s="1442"/>
      <c r="F374" s="1442"/>
      <c r="G374" s="1442"/>
      <c r="H374" s="1442"/>
      <c r="I374" s="1442"/>
      <c r="J374" s="1442"/>
      <c r="K374" s="1442"/>
      <c r="L374" s="1442"/>
      <c r="M374" s="1442"/>
      <c r="N374" s="11"/>
      <c r="O374" s="1442"/>
      <c r="P374" s="1440"/>
      <c r="Q374" s="1440"/>
      <c r="R374" s="1442"/>
      <c r="S374" s="1442"/>
      <c r="T374" s="1442"/>
      <c r="U374" s="63"/>
      <c r="V374" s="63"/>
      <c r="W374" s="63"/>
      <c r="X374" s="63"/>
      <c r="Y374" s="42">
        <v>259.5</v>
      </c>
      <c r="Z374" s="42"/>
      <c r="AA374" s="42">
        <v>439</v>
      </c>
      <c r="AB374" s="42"/>
      <c r="AC374" s="42"/>
      <c r="AD374" s="42">
        <v>23.7</v>
      </c>
      <c r="AE374" s="42"/>
      <c r="AF374" s="42">
        <f>SUBTOTAL(9,Y374:AE374)</f>
        <v>722.2</v>
      </c>
      <c r="AG374" s="42">
        <f>+Y374*1.04</f>
        <v>269.88</v>
      </c>
      <c r="AH374" s="42"/>
      <c r="AI374" s="42">
        <f>+AA374*1.04</f>
        <v>456.56</v>
      </c>
      <c r="AJ374" s="42"/>
      <c r="AK374" s="42"/>
      <c r="AL374" s="42"/>
      <c r="AM374" s="42"/>
      <c r="AN374" s="42">
        <f>+AG374*1.04</f>
        <v>280.67520000000002</v>
      </c>
      <c r="AO374" s="42"/>
      <c r="AP374" s="42">
        <f>+AI374*1.04</f>
        <v>474.82240000000002</v>
      </c>
      <c r="AQ374" s="42"/>
      <c r="AR374" s="42"/>
      <c r="AS374" s="42"/>
      <c r="AT374" s="42"/>
      <c r="AU374" s="42"/>
      <c r="AV374" s="42">
        <f>+AN374*1.04</f>
        <v>291.90220800000003</v>
      </c>
      <c r="AW374" s="42"/>
      <c r="AX374" s="42">
        <f>+AP374*1.04</f>
        <v>493.81529600000005</v>
      </c>
      <c r="AY374" s="42"/>
      <c r="AZ374" s="42"/>
      <c r="BA374" s="42"/>
      <c r="BB374" s="42"/>
      <c r="BC374" s="42"/>
      <c r="BD374" s="42">
        <f t="shared" si="202"/>
        <v>1101.9574080000002</v>
      </c>
      <c r="BE374" s="42">
        <f t="shared" si="202"/>
        <v>0</v>
      </c>
      <c r="BF374" s="42">
        <f t="shared" si="202"/>
        <v>1864.197696</v>
      </c>
      <c r="BG374" s="42">
        <f t="shared" si="202"/>
        <v>0</v>
      </c>
      <c r="BH374" s="42">
        <f t="shared" si="202"/>
        <v>0</v>
      </c>
      <c r="BI374" s="42">
        <f t="shared" si="201"/>
        <v>23.7</v>
      </c>
      <c r="BJ374" s="42">
        <f t="shared" si="203"/>
        <v>0</v>
      </c>
      <c r="BK374" s="42">
        <f t="shared" si="203"/>
        <v>722.2</v>
      </c>
    </row>
    <row r="375" spans="1:63" ht="22.8" x14ac:dyDescent="0.25">
      <c r="A375" s="420"/>
      <c r="B375" s="1568" t="s">
        <v>1133</v>
      </c>
      <c r="C375" s="1569"/>
      <c r="D375" s="1569"/>
      <c r="E375" s="1569"/>
      <c r="F375" s="1569"/>
      <c r="G375" s="1569"/>
      <c r="H375" s="1569"/>
      <c r="I375" s="1569"/>
      <c r="J375" s="1569"/>
      <c r="K375" s="1569"/>
      <c r="L375" s="1569"/>
      <c r="M375" s="1570"/>
      <c r="N375" s="597"/>
      <c r="O375" s="597"/>
      <c r="P375" s="598"/>
      <c r="Q375" s="598"/>
      <c r="R375" s="597"/>
      <c r="S375" s="597"/>
      <c r="T375" s="597"/>
      <c r="U375" s="599"/>
      <c r="V375" s="599"/>
      <c r="W375" s="599"/>
      <c r="X375" s="599"/>
      <c r="Y375" s="600">
        <f>+Y376</f>
        <v>259.5</v>
      </c>
      <c r="Z375" s="600">
        <f t="shared" ref="Z375:BK375" si="237">+Z376</f>
        <v>0</v>
      </c>
      <c r="AA375" s="600">
        <f t="shared" si="237"/>
        <v>439.6</v>
      </c>
      <c r="AB375" s="600">
        <f t="shared" si="237"/>
        <v>0</v>
      </c>
      <c r="AC375" s="600">
        <f t="shared" si="237"/>
        <v>0</v>
      </c>
      <c r="AD375" s="600">
        <f t="shared" si="237"/>
        <v>23.7</v>
      </c>
      <c r="AE375" s="600">
        <f t="shared" si="237"/>
        <v>0</v>
      </c>
      <c r="AF375" s="600">
        <f t="shared" si="237"/>
        <v>722.80000000000007</v>
      </c>
      <c r="AG375" s="600">
        <f t="shared" si="237"/>
        <v>269</v>
      </c>
      <c r="AH375" s="600">
        <f t="shared" si="237"/>
        <v>0</v>
      </c>
      <c r="AI375" s="600">
        <f t="shared" si="237"/>
        <v>501</v>
      </c>
      <c r="AJ375" s="600">
        <f t="shared" si="237"/>
        <v>0</v>
      </c>
      <c r="AK375" s="600">
        <f t="shared" si="237"/>
        <v>0</v>
      </c>
      <c r="AL375" s="600">
        <f t="shared" si="237"/>
        <v>300</v>
      </c>
      <c r="AM375" s="600">
        <f t="shared" si="237"/>
        <v>1070</v>
      </c>
      <c r="AN375" s="600">
        <f t="shared" si="237"/>
        <v>280</v>
      </c>
      <c r="AO375" s="600">
        <f t="shared" si="237"/>
        <v>0</v>
      </c>
      <c r="AP375" s="600">
        <f t="shared" si="237"/>
        <v>474</v>
      </c>
      <c r="AQ375" s="600">
        <f t="shared" si="237"/>
        <v>0</v>
      </c>
      <c r="AR375" s="600">
        <f t="shared" si="237"/>
        <v>0</v>
      </c>
      <c r="AS375" s="600">
        <f t="shared" si="237"/>
        <v>0</v>
      </c>
      <c r="AT375" s="600">
        <f t="shared" si="237"/>
        <v>0</v>
      </c>
      <c r="AU375" s="600">
        <f t="shared" si="237"/>
        <v>754</v>
      </c>
      <c r="AV375" s="600">
        <f t="shared" si="237"/>
        <v>280</v>
      </c>
      <c r="AW375" s="600">
        <f t="shared" si="237"/>
        <v>0</v>
      </c>
      <c r="AX375" s="600">
        <f t="shared" si="237"/>
        <v>493</v>
      </c>
      <c r="AY375" s="600">
        <f t="shared" si="237"/>
        <v>0</v>
      </c>
      <c r="AZ375" s="600">
        <f t="shared" si="237"/>
        <v>0</v>
      </c>
      <c r="BA375" s="600">
        <f t="shared" si="237"/>
        <v>0</v>
      </c>
      <c r="BB375" s="600">
        <f t="shared" si="237"/>
        <v>0</v>
      </c>
      <c r="BC375" s="600">
        <f t="shared" si="237"/>
        <v>773</v>
      </c>
      <c r="BD375" s="33">
        <f t="shared" si="237"/>
        <v>1088.5</v>
      </c>
      <c r="BE375" s="33">
        <f t="shared" si="237"/>
        <v>0</v>
      </c>
      <c r="BF375" s="33">
        <f t="shared" si="237"/>
        <v>1907.6</v>
      </c>
      <c r="BG375" s="33">
        <f t="shared" si="237"/>
        <v>0</v>
      </c>
      <c r="BH375" s="33">
        <f t="shared" si="237"/>
        <v>0</v>
      </c>
      <c r="BI375" s="33">
        <f t="shared" si="201"/>
        <v>23.7</v>
      </c>
      <c r="BJ375" s="33">
        <f t="shared" si="237"/>
        <v>300</v>
      </c>
      <c r="BK375" s="33">
        <f t="shared" si="237"/>
        <v>3319.8</v>
      </c>
    </row>
    <row r="376" spans="1:63" x14ac:dyDescent="0.25">
      <c r="A376" s="603"/>
      <c r="B376" s="155" t="s">
        <v>1132</v>
      </c>
      <c r="C376" s="155"/>
      <c r="D376" s="2" t="s">
        <v>1134</v>
      </c>
      <c r="E376" s="1"/>
      <c r="F376" s="1"/>
      <c r="G376" s="1"/>
      <c r="H376" s="1"/>
      <c r="I376" s="1"/>
      <c r="J376" s="1"/>
      <c r="K376" s="1"/>
      <c r="L376" s="1"/>
      <c r="M376" s="1"/>
      <c r="N376" s="1"/>
      <c r="O376" s="1"/>
      <c r="P376" s="22"/>
      <c r="Q376" s="22"/>
      <c r="R376" s="1"/>
      <c r="S376" s="1"/>
      <c r="T376" s="1"/>
      <c r="U376" s="49"/>
      <c r="V376" s="49"/>
      <c r="W376" s="49"/>
      <c r="X376" s="49"/>
      <c r="Y376" s="34">
        <f t="shared" ref="Y376:AE376" si="238">SUM(Y377:Y401)</f>
        <v>259.5</v>
      </c>
      <c r="Z376" s="34">
        <f t="shared" si="238"/>
        <v>0</v>
      </c>
      <c r="AA376" s="34">
        <f t="shared" si="238"/>
        <v>439.6</v>
      </c>
      <c r="AB376" s="34">
        <f t="shared" si="238"/>
        <v>0</v>
      </c>
      <c r="AC376" s="34">
        <f t="shared" si="238"/>
        <v>0</v>
      </c>
      <c r="AD376" s="34">
        <f t="shared" si="238"/>
        <v>23.7</v>
      </c>
      <c r="AE376" s="34">
        <f t="shared" si="238"/>
        <v>0</v>
      </c>
      <c r="AF376" s="34">
        <f t="shared" ref="AF376:AF382" si="239">SUM(Y376:AE376)</f>
        <v>722.80000000000007</v>
      </c>
      <c r="AG376" s="34">
        <f t="shared" ref="AG376:AL376" si="240">SUM(AG377:AG401)</f>
        <v>269</v>
      </c>
      <c r="AH376" s="34">
        <f t="shared" si="240"/>
        <v>0</v>
      </c>
      <c r="AI376" s="34">
        <f t="shared" si="240"/>
        <v>501</v>
      </c>
      <c r="AJ376" s="34">
        <f t="shared" si="240"/>
        <v>0</v>
      </c>
      <c r="AK376" s="34">
        <f t="shared" si="240"/>
        <v>0</v>
      </c>
      <c r="AL376" s="34">
        <f t="shared" si="240"/>
        <v>300</v>
      </c>
      <c r="AM376" s="34">
        <f t="shared" ref="AM376:AM382" si="241">SUM(AG376:AL376)</f>
        <v>1070</v>
      </c>
      <c r="AN376" s="34">
        <f t="shared" ref="AN376:AT376" si="242">SUM(AN377:AN401)</f>
        <v>280</v>
      </c>
      <c r="AO376" s="34">
        <f t="shared" si="242"/>
        <v>0</v>
      </c>
      <c r="AP376" s="34">
        <f t="shared" si="242"/>
        <v>474</v>
      </c>
      <c r="AQ376" s="34">
        <f t="shared" si="242"/>
        <v>0</v>
      </c>
      <c r="AR376" s="34">
        <f t="shared" si="242"/>
        <v>0</v>
      </c>
      <c r="AS376" s="34">
        <f t="shared" si="242"/>
        <v>0</v>
      </c>
      <c r="AT376" s="34">
        <f t="shared" si="242"/>
        <v>0</v>
      </c>
      <c r="AU376" s="34">
        <f t="shared" ref="AU376:AU382" si="243">SUM(AN376:AT376)</f>
        <v>754</v>
      </c>
      <c r="AV376" s="34">
        <f t="shared" ref="AV376:BB376" si="244">SUM(AV377:AV401)</f>
        <v>280</v>
      </c>
      <c r="AW376" s="34">
        <f t="shared" si="244"/>
        <v>0</v>
      </c>
      <c r="AX376" s="34">
        <f t="shared" si="244"/>
        <v>493</v>
      </c>
      <c r="AY376" s="34">
        <f t="shared" si="244"/>
        <v>0</v>
      </c>
      <c r="AZ376" s="34">
        <f t="shared" si="244"/>
        <v>0</v>
      </c>
      <c r="BA376" s="34">
        <f t="shared" si="244"/>
        <v>0</v>
      </c>
      <c r="BB376" s="34">
        <f t="shared" si="244"/>
        <v>0</v>
      </c>
      <c r="BC376" s="34">
        <f t="shared" ref="BC376:BC382" si="245">SUM(AV376:BB376)</f>
        <v>773</v>
      </c>
      <c r="BD376" s="34">
        <f>+Y376+AG376+AN376+AV376</f>
        <v>1088.5</v>
      </c>
      <c r="BE376" s="34">
        <f t="shared" si="202"/>
        <v>0</v>
      </c>
      <c r="BF376" s="34">
        <f t="shared" si="202"/>
        <v>1907.6</v>
      </c>
      <c r="BG376" s="34">
        <f t="shared" si="202"/>
        <v>0</v>
      </c>
      <c r="BH376" s="34">
        <f t="shared" si="202"/>
        <v>0</v>
      </c>
      <c r="BI376" s="34">
        <f t="shared" si="201"/>
        <v>23.7</v>
      </c>
      <c r="BJ376" s="34">
        <f t="shared" si="203"/>
        <v>300</v>
      </c>
      <c r="BK376" s="34">
        <f t="shared" si="203"/>
        <v>3319.8</v>
      </c>
    </row>
    <row r="377" spans="1:63" ht="45" customHeight="1" x14ac:dyDescent="0.25">
      <c r="A377" s="298" t="s">
        <v>1135</v>
      </c>
      <c r="B377" s="299" t="s">
        <v>1132</v>
      </c>
      <c r="C377" s="1546" t="s">
        <v>1136</v>
      </c>
      <c r="D377" s="1549" t="s">
        <v>1137</v>
      </c>
      <c r="E377" s="1549" t="s">
        <v>1138</v>
      </c>
      <c r="F377" s="1549">
        <v>2015</v>
      </c>
      <c r="G377" s="1549">
        <v>75.61</v>
      </c>
      <c r="H377" s="1549">
        <v>78</v>
      </c>
      <c r="I377" s="1425"/>
      <c r="J377" s="1425"/>
      <c r="K377" s="1425" t="s">
        <v>1139</v>
      </c>
      <c r="L377" s="301" t="s">
        <v>1140</v>
      </c>
      <c r="M377" s="1425" t="s">
        <v>1141</v>
      </c>
      <c r="N377" s="476"/>
      <c r="O377" s="1425" t="s">
        <v>47</v>
      </c>
      <c r="P377" s="16" t="s">
        <v>1142</v>
      </c>
      <c r="Q377" s="302" t="s">
        <v>522</v>
      </c>
      <c r="R377" s="303">
        <v>2015</v>
      </c>
      <c r="S377" s="303">
        <v>2</v>
      </c>
      <c r="T377" s="303">
        <v>2</v>
      </c>
      <c r="U377" s="572">
        <v>2</v>
      </c>
      <c r="V377" s="572">
        <v>2</v>
      </c>
      <c r="W377" s="572">
        <v>2</v>
      </c>
      <c r="X377" s="572">
        <f>SUBTOTAL(9,T377:W377)</f>
        <v>8</v>
      </c>
      <c r="Y377" s="481">
        <f>259.5-217.2</f>
        <v>42.300000000000011</v>
      </c>
      <c r="Z377" s="481"/>
      <c r="AA377" s="481"/>
      <c r="AB377" s="481"/>
      <c r="AC377" s="481"/>
      <c r="AD377" s="481"/>
      <c r="AE377" s="481"/>
      <c r="AF377" s="481">
        <f t="shared" si="239"/>
        <v>42.300000000000011</v>
      </c>
      <c r="AG377" s="548">
        <v>49</v>
      </c>
      <c r="AH377" s="548"/>
      <c r="AI377" s="548"/>
      <c r="AJ377" s="548"/>
      <c r="AK377" s="548"/>
      <c r="AL377" s="548"/>
      <c r="AM377" s="548">
        <f t="shared" si="241"/>
        <v>49</v>
      </c>
      <c r="AN377" s="481">
        <v>50</v>
      </c>
      <c r="AO377" s="481"/>
      <c r="AP377" s="481"/>
      <c r="AQ377" s="481"/>
      <c r="AR377" s="481"/>
      <c r="AS377" s="481"/>
      <c r="AT377" s="481"/>
      <c r="AU377" s="481">
        <f t="shared" si="243"/>
        <v>50</v>
      </c>
      <c r="AV377" s="548">
        <v>50</v>
      </c>
      <c r="AW377" s="548"/>
      <c r="AX377" s="548"/>
      <c r="AY377" s="548"/>
      <c r="AZ377" s="548"/>
      <c r="BA377" s="548"/>
      <c r="BB377" s="548"/>
      <c r="BC377" s="548">
        <f t="shared" si="245"/>
        <v>50</v>
      </c>
      <c r="BD377" s="42">
        <f t="shared" si="202"/>
        <v>191.3</v>
      </c>
      <c r="BE377" s="42">
        <f t="shared" si="202"/>
        <v>0</v>
      </c>
      <c r="BF377" s="42">
        <f t="shared" si="202"/>
        <v>0</v>
      </c>
      <c r="BG377" s="42">
        <f t="shared" si="202"/>
        <v>0</v>
      </c>
      <c r="BH377" s="42">
        <f t="shared" si="202"/>
        <v>0</v>
      </c>
      <c r="BI377" s="42">
        <f t="shared" si="201"/>
        <v>0</v>
      </c>
      <c r="BJ377" s="42">
        <f t="shared" si="203"/>
        <v>0</v>
      </c>
      <c r="BK377" s="42">
        <f t="shared" si="203"/>
        <v>191.3</v>
      </c>
    </row>
    <row r="378" spans="1:63" ht="44.25" customHeight="1" x14ac:dyDescent="0.25">
      <c r="A378" s="298" t="s">
        <v>1135</v>
      </c>
      <c r="B378" s="299" t="s">
        <v>1132</v>
      </c>
      <c r="C378" s="1547"/>
      <c r="D378" s="1549"/>
      <c r="E378" s="1549"/>
      <c r="F378" s="1549"/>
      <c r="G378" s="1549"/>
      <c r="H378" s="1549"/>
      <c r="I378" s="1425"/>
      <c r="J378" s="1425"/>
      <c r="K378" s="1425" t="s">
        <v>1143</v>
      </c>
      <c r="L378" s="301" t="s">
        <v>1140</v>
      </c>
      <c r="M378" s="1425" t="s">
        <v>1141</v>
      </c>
      <c r="N378" s="476"/>
      <c r="O378" s="1425" t="s">
        <v>47</v>
      </c>
      <c r="P378" s="16" t="s">
        <v>1144</v>
      </c>
      <c r="Q378" s="302" t="s">
        <v>1145</v>
      </c>
      <c r="R378" s="303">
        <v>2015</v>
      </c>
      <c r="S378" s="303">
        <v>2</v>
      </c>
      <c r="T378" s="303">
        <v>1</v>
      </c>
      <c r="U378" s="572">
        <v>0</v>
      </c>
      <c r="V378" s="572">
        <v>1</v>
      </c>
      <c r="W378" s="572">
        <v>0</v>
      </c>
      <c r="X378" s="572">
        <f t="shared" ref="X378:X401" si="246">SUBTOTAL(9,T378:W378)</f>
        <v>2</v>
      </c>
      <c r="Y378" s="491">
        <v>15</v>
      </c>
      <c r="Z378" s="481"/>
      <c r="AA378" s="481"/>
      <c r="AB378" s="481"/>
      <c r="AC378" s="481"/>
      <c r="AD378" s="481"/>
      <c r="AE378" s="481"/>
      <c r="AF378" s="481">
        <f t="shared" si="239"/>
        <v>15</v>
      </c>
      <c r="AG378" s="548"/>
      <c r="AH378" s="548"/>
      <c r="AI378" s="548"/>
      <c r="AJ378" s="548"/>
      <c r="AK378" s="548"/>
      <c r="AL378" s="548"/>
      <c r="AM378" s="548">
        <f t="shared" si="241"/>
        <v>0</v>
      </c>
      <c r="AN378" s="491">
        <v>1</v>
      </c>
      <c r="AO378" s="481"/>
      <c r="AP378" s="481"/>
      <c r="AQ378" s="481"/>
      <c r="AR378" s="481"/>
      <c r="AS378" s="481"/>
      <c r="AT378" s="481"/>
      <c r="AU378" s="481">
        <f t="shared" si="243"/>
        <v>1</v>
      </c>
      <c r="AV378" s="548"/>
      <c r="AW378" s="548"/>
      <c r="AX378" s="548"/>
      <c r="AY378" s="548"/>
      <c r="AZ378" s="548"/>
      <c r="BA378" s="548"/>
      <c r="BB378" s="548"/>
      <c r="BC378" s="548">
        <f t="shared" si="245"/>
        <v>0</v>
      </c>
      <c r="BD378" s="42">
        <f t="shared" si="202"/>
        <v>16</v>
      </c>
      <c r="BE378" s="42">
        <f t="shared" si="202"/>
        <v>0</v>
      </c>
      <c r="BF378" s="42">
        <f t="shared" si="202"/>
        <v>0</v>
      </c>
      <c r="BG378" s="42">
        <f t="shared" si="202"/>
        <v>0</v>
      </c>
      <c r="BH378" s="42">
        <f t="shared" si="202"/>
        <v>0</v>
      </c>
      <c r="BI378" s="42">
        <f t="shared" si="201"/>
        <v>0</v>
      </c>
      <c r="BJ378" s="42">
        <f t="shared" si="203"/>
        <v>0</v>
      </c>
      <c r="BK378" s="42">
        <f t="shared" si="203"/>
        <v>16</v>
      </c>
    </row>
    <row r="379" spans="1:63" ht="41.25" customHeight="1" x14ac:dyDescent="0.25">
      <c r="A379" s="298" t="s">
        <v>1135</v>
      </c>
      <c r="B379" s="299" t="s">
        <v>1132</v>
      </c>
      <c r="C379" s="1547"/>
      <c r="D379" s="1549"/>
      <c r="E379" s="1549"/>
      <c r="F379" s="1549"/>
      <c r="G379" s="1549"/>
      <c r="H379" s="1549"/>
      <c r="I379" s="1425"/>
      <c r="J379" s="1425"/>
      <c r="K379" s="1425" t="s">
        <v>1146</v>
      </c>
      <c r="L379" s="301" t="s">
        <v>1140</v>
      </c>
      <c r="M379" s="1425" t="s">
        <v>1141</v>
      </c>
      <c r="N379" s="476"/>
      <c r="O379" s="1425" t="s">
        <v>47</v>
      </c>
      <c r="P379" s="16" t="s">
        <v>1147</v>
      </c>
      <c r="Q379" s="302" t="s">
        <v>367</v>
      </c>
      <c r="R379" s="303">
        <v>2015</v>
      </c>
      <c r="S379" s="303">
        <v>0</v>
      </c>
      <c r="T379" s="303">
        <v>1</v>
      </c>
      <c r="U379" s="572">
        <v>0</v>
      </c>
      <c r="V379" s="572">
        <v>1</v>
      </c>
      <c r="W379" s="572">
        <v>0</v>
      </c>
      <c r="X379" s="572">
        <f t="shared" si="246"/>
        <v>2</v>
      </c>
      <c r="Y379" s="491">
        <v>10</v>
      </c>
      <c r="Z379" s="481"/>
      <c r="AA379" s="481"/>
      <c r="AB379" s="481"/>
      <c r="AC379" s="481"/>
      <c r="AD379" s="481"/>
      <c r="AE379" s="481"/>
      <c r="AF379" s="481">
        <f t="shared" si="239"/>
        <v>10</v>
      </c>
      <c r="AG379" s="548"/>
      <c r="AH379" s="548"/>
      <c r="AI379" s="548"/>
      <c r="AJ379" s="548"/>
      <c r="AK379" s="548"/>
      <c r="AL379" s="548"/>
      <c r="AM379" s="548">
        <f t="shared" si="241"/>
        <v>0</v>
      </c>
      <c r="AN379" s="491">
        <v>1</v>
      </c>
      <c r="AO379" s="481"/>
      <c r="AP379" s="481"/>
      <c r="AQ379" s="481"/>
      <c r="AR379" s="481"/>
      <c r="AS379" s="481"/>
      <c r="AT379" s="481"/>
      <c r="AU379" s="481">
        <f t="shared" si="243"/>
        <v>1</v>
      </c>
      <c r="AV379" s="548"/>
      <c r="AW379" s="548"/>
      <c r="AX379" s="548"/>
      <c r="AY379" s="548"/>
      <c r="AZ379" s="548"/>
      <c r="BA379" s="548"/>
      <c r="BB379" s="548"/>
      <c r="BC379" s="548">
        <f t="shared" si="245"/>
        <v>0</v>
      </c>
      <c r="BD379" s="42">
        <f t="shared" si="202"/>
        <v>11</v>
      </c>
      <c r="BE379" s="42">
        <f t="shared" si="202"/>
        <v>0</v>
      </c>
      <c r="BF379" s="42">
        <f t="shared" si="202"/>
        <v>0</v>
      </c>
      <c r="BG379" s="42">
        <f t="shared" si="202"/>
        <v>0</v>
      </c>
      <c r="BH379" s="42">
        <f t="shared" si="202"/>
        <v>0</v>
      </c>
      <c r="BI379" s="42">
        <f t="shared" si="201"/>
        <v>0</v>
      </c>
      <c r="BJ379" s="42">
        <f t="shared" si="203"/>
        <v>0</v>
      </c>
      <c r="BK379" s="42">
        <f t="shared" si="203"/>
        <v>11</v>
      </c>
    </row>
    <row r="380" spans="1:63" ht="43.5" customHeight="1" x14ac:dyDescent="0.25">
      <c r="A380" s="298" t="s">
        <v>1135</v>
      </c>
      <c r="B380" s="299" t="s">
        <v>1132</v>
      </c>
      <c r="C380" s="1547"/>
      <c r="D380" s="1549"/>
      <c r="E380" s="1549"/>
      <c r="F380" s="1549"/>
      <c r="G380" s="1549"/>
      <c r="H380" s="1549"/>
      <c r="I380" s="1425"/>
      <c r="J380" s="1425"/>
      <c r="K380" s="1425" t="s">
        <v>1148</v>
      </c>
      <c r="L380" s="301" t="s">
        <v>1140</v>
      </c>
      <c r="M380" s="1425" t="s">
        <v>1141</v>
      </c>
      <c r="N380" s="476"/>
      <c r="O380" s="1425" t="s">
        <v>73</v>
      </c>
      <c r="P380" s="16" t="s">
        <v>1149</v>
      </c>
      <c r="Q380" s="302" t="s">
        <v>1150</v>
      </c>
      <c r="R380" s="303">
        <v>2015</v>
      </c>
      <c r="S380" s="303">
        <v>2</v>
      </c>
      <c r="T380" s="303">
        <v>3</v>
      </c>
      <c r="U380" s="572">
        <v>3</v>
      </c>
      <c r="V380" s="572">
        <v>3</v>
      </c>
      <c r="W380" s="572">
        <v>3</v>
      </c>
      <c r="X380" s="572">
        <v>3</v>
      </c>
      <c r="Y380" s="491">
        <v>25</v>
      </c>
      <c r="Z380" s="481"/>
      <c r="AA380" s="481"/>
      <c r="AB380" s="481"/>
      <c r="AC380" s="481"/>
      <c r="AD380" s="481"/>
      <c r="AE380" s="481"/>
      <c r="AF380" s="481">
        <f t="shared" si="239"/>
        <v>25</v>
      </c>
      <c r="AG380" s="491">
        <v>1</v>
      </c>
      <c r="AH380" s="548"/>
      <c r="AI380" s="548"/>
      <c r="AJ380" s="548"/>
      <c r="AK380" s="548"/>
      <c r="AL380" s="548"/>
      <c r="AM380" s="548">
        <f t="shared" si="241"/>
        <v>1</v>
      </c>
      <c r="AN380" s="491">
        <v>1</v>
      </c>
      <c r="AO380" s="481"/>
      <c r="AP380" s="481"/>
      <c r="AQ380" s="481"/>
      <c r="AR380" s="481"/>
      <c r="AS380" s="481"/>
      <c r="AT380" s="481"/>
      <c r="AU380" s="481">
        <f t="shared" si="243"/>
        <v>1</v>
      </c>
      <c r="AV380" s="491">
        <v>1</v>
      </c>
      <c r="AW380" s="548"/>
      <c r="AX380" s="548"/>
      <c r="AY380" s="548"/>
      <c r="AZ380" s="548"/>
      <c r="BA380" s="548"/>
      <c r="BB380" s="548"/>
      <c r="BC380" s="548">
        <f t="shared" si="245"/>
        <v>1</v>
      </c>
      <c r="BD380" s="42">
        <f t="shared" ref="BD380:BH397" si="247">+AV380+AN380+AG380+Y380</f>
        <v>28</v>
      </c>
      <c r="BE380" s="42">
        <f t="shared" si="247"/>
        <v>0</v>
      </c>
      <c r="BF380" s="42">
        <f t="shared" si="247"/>
        <v>0</v>
      </c>
      <c r="BG380" s="42">
        <f t="shared" si="247"/>
        <v>0</v>
      </c>
      <c r="BH380" s="42">
        <f t="shared" si="247"/>
        <v>0</v>
      </c>
      <c r="BI380" s="42">
        <f t="shared" si="201"/>
        <v>0</v>
      </c>
      <c r="BJ380" s="42">
        <f t="shared" ref="BJ380:BK397" si="248">+BB380+AT380+AL380+AE380</f>
        <v>0</v>
      </c>
      <c r="BK380" s="42">
        <f t="shared" si="248"/>
        <v>28</v>
      </c>
    </row>
    <row r="381" spans="1:63" ht="45.75" customHeight="1" x14ac:dyDescent="0.25">
      <c r="A381" s="298" t="s">
        <v>1135</v>
      </c>
      <c r="B381" s="299" t="s">
        <v>1132</v>
      </c>
      <c r="C381" s="1547"/>
      <c r="D381" s="1549"/>
      <c r="E381" s="1549"/>
      <c r="F381" s="1549"/>
      <c r="G381" s="1549"/>
      <c r="H381" s="1549"/>
      <c r="I381" s="1425" t="s">
        <v>1106</v>
      </c>
      <c r="J381" s="1425"/>
      <c r="K381" s="1425" t="s">
        <v>1151</v>
      </c>
      <c r="L381" s="301" t="s">
        <v>1140</v>
      </c>
      <c r="M381" s="1425" t="s">
        <v>1102</v>
      </c>
      <c r="N381" s="476"/>
      <c r="O381" s="1425" t="s">
        <v>47</v>
      </c>
      <c r="P381" s="16" t="s">
        <v>1152</v>
      </c>
      <c r="Q381" s="302" t="s">
        <v>1153</v>
      </c>
      <c r="R381" s="303">
        <v>2015</v>
      </c>
      <c r="S381" s="303">
        <v>0</v>
      </c>
      <c r="T381" s="303">
        <v>0</v>
      </c>
      <c r="U381" s="572">
        <v>1</v>
      </c>
      <c r="V381" s="572">
        <v>0</v>
      </c>
      <c r="W381" s="572">
        <v>0</v>
      </c>
      <c r="X381" s="572">
        <f t="shared" si="246"/>
        <v>1</v>
      </c>
      <c r="Y381" s="491"/>
      <c r="Z381" s="481"/>
      <c r="AA381" s="481"/>
      <c r="AB381" s="481"/>
      <c r="AC381" s="481"/>
      <c r="AD381" s="481"/>
      <c r="AE381" s="481"/>
      <c r="AF381" s="481">
        <f t="shared" si="239"/>
        <v>0</v>
      </c>
      <c r="AG381" s="491">
        <v>1</v>
      </c>
      <c r="AH381" s="548"/>
      <c r="AI381" s="548"/>
      <c r="AJ381" s="548"/>
      <c r="AK381" s="548"/>
      <c r="AL381" s="548">
        <v>300</v>
      </c>
      <c r="AM381" s="548">
        <f t="shared" si="241"/>
        <v>301</v>
      </c>
      <c r="AN381" s="481"/>
      <c r="AO381" s="481"/>
      <c r="AP381" s="481"/>
      <c r="AQ381" s="481"/>
      <c r="AR381" s="481"/>
      <c r="AS381" s="481"/>
      <c r="AT381" s="481"/>
      <c r="AU381" s="481">
        <f t="shared" si="243"/>
        <v>0</v>
      </c>
      <c r="AV381" s="548"/>
      <c r="AW381" s="548"/>
      <c r="AX381" s="548"/>
      <c r="AY381" s="548"/>
      <c r="AZ381" s="548"/>
      <c r="BA381" s="548"/>
      <c r="BB381" s="548"/>
      <c r="BC381" s="548">
        <f t="shared" si="245"/>
        <v>0</v>
      </c>
      <c r="BD381" s="42">
        <f t="shared" si="247"/>
        <v>1</v>
      </c>
      <c r="BE381" s="42">
        <f t="shared" si="247"/>
        <v>0</v>
      </c>
      <c r="BF381" s="42">
        <f t="shared" si="247"/>
        <v>0</v>
      </c>
      <c r="BG381" s="42">
        <f t="shared" si="247"/>
        <v>0</v>
      </c>
      <c r="BH381" s="42">
        <f t="shared" si="247"/>
        <v>0</v>
      </c>
      <c r="BI381" s="42">
        <f t="shared" si="201"/>
        <v>0</v>
      </c>
      <c r="BJ381" s="42">
        <f t="shared" si="248"/>
        <v>300</v>
      </c>
      <c r="BK381" s="42">
        <f t="shared" si="248"/>
        <v>301</v>
      </c>
    </row>
    <row r="382" spans="1:63" ht="33" customHeight="1" x14ac:dyDescent="0.25">
      <c r="A382" s="298" t="s">
        <v>1135</v>
      </c>
      <c r="B382" s="299" t="s">
        <v>1132</v>
      </c>
      <c r="C382" s="1547"/>
      <c r="D382" s="1549"/>
      <c r="E382" s="1549"/>
      <c r="F382" s="1549"/>
      <c r="G382" s="1549"/>
      <c r="H382" s="1549"/>
      <c r="I382" s="1425"/>
      <c r="J382" s="1425"/>
      <c r="K382" s="1425" t="s">
        <v>1154</v>
      </c>
      <c r="L382" s="301" t="s">
        <v>1140</v>
      </c>
      <c r="M382" s="1425" t="s">
        <v>497</v>
      </c>
      <c r="N382" s="476"/>
      <c r="O382" s="1425" t="s">
        <v>47</v>
      </c>
      <c r="P382" s="16" t="s">
        <v>1155</v>
      </c>
      <c r="Q382" s="302" t="s">
        <v>1156</v>
      </c>
      <c r="R382" s="303">
        <v>2015</v>
      </c>
      <c r="S382" s="303">
        <v>0</v>
      </c>
      <c r="T382" s="303">
        <v>1</v>
      </c>
      <c r="U382" s="572">
        <v>0</v>
      </c>
      <c r="V382" s="572">
        <v>0</v>
      </c>
      <c r="W382" s="572">
        <v>0</v>
      </c>
      <c r="X382" s="572">
        <f t="shared" si="246"/>
        <v>1</v>
      </c>
      <c r="Y382" s="481"/>
      <c r="Z382" s="481"/>
      <c r="AA382" s="481">
        <v>50</v>
      </c>
      <c r="AB382" s="481"/>
      <c r="AC382" s="481"/>
      <c r="AD382" s="481"/>
      <c r="AE382" s="481"/>
      <c r="AF382" s="481">
        <f t="shared" si="239"/>
        <v>50</v>
      </c>
      <c r="AG382" s="548"/>
      <c r="AH382" s="548"/>
      <c r="AI382" s="548"/>
      <c r="AJ382" s="548"/>
      <c r="AK382" s="548"/>
      <c r="AL382" s="548"/>
      <c r="AM382" s="548">
        <f t="shared" si="241"/>
        <v>0</v>
      </c>
      <c r="AN382" s="481"/>
      <c r="AO382" s="481"/>
      <c r="AP382" s="481"/>
      <c r="AQ382" s="481"/>
      <c r="AR382" s="481"/>
      <c r="AS382" s="481"/>
      <c r="AT382" s="481"/>
      <c r="AU382" s="481">
        <f t="shared" si="243"/>
        <v>0</v>
      </c>
      <c r="AV382" s="548"/>
      <c r="AW382" s="548"/>
      <c r="AX382" s="548"/>
      <c r="AY382" s="548"/>
      <c r="AZ382" s="548"/>
      <c r="BA382" s="548"/>
      <c r="BB382" s="548"/>
      <c r="BC382" s="548">
        <f t="shared" si="245"/>
        <v>0</v>
      </c>
      <c r="BD382" s="42">
        <f t="shared" si="247"/>
        <v>0</v>
      </c>
      <c r="BE382" s="42">
        <f t="shared" si="247"/>
        <v>0</v>
      </c>
      <c r="BF382" s="42">
        <f t="shared" si="247"/>
        <v>50</v>
      </c>
      <c r="BG382" s="42">
        <f t="shared" si="247"/>
        <v>0</v>
      </c>
      <c r="BH382" s="42">
        <f t="shared" si="247"/>
        <v>0</v>
      </c>
      <c r="BI382" s="42">
        <f t="shared" si="201"/>
        <v>0</v>
      </c>
      <c r="BJ382" s="42">
        <f t="shared" si="248"/>
        <v>0</v>
      </c>
      <c r="BK382" s="42">
        <f t="shared" si="248"/>
        <v>50</v>
      </c>
    </row>
    <row r="383" spans="1:63" ht="42" customHeight="1" x14ac:dyDescent="0.25">
      <c r="A383" s="298" t="s">
        <v>1135</v>
      </c>
      <c r="B383" s="299" t="s">
        <v>1132</v>
      </c>
      <c r="C383" s="1547"/>
      <c r="D383" s="1549"/>
      <c r="E383" s="1549"/>
      <c r="F383" s="1549"/>
      <c r="G383" s="1549"/>
      <c r="H383" s="1549"/>
      <c r="I383" s="1425"/>
      <c r="J383" s="1425"/>
      <c r="K383" s="1425" t="s">
        <v>1157</v>
      </c>
      <c r="L383" s="301" t="s">
        <v>1140</v>
      </c>
      <c r="M383" s="1425" t="s">
        <v>497</v>
      </c>
      <c r="N383" s="476"/>
      <c r="O383" s="1425" t="s">
        <v>73</v>
      </c>
      <c r="P383" s="16" t="s">
        <v>1159</v>
      </c>
      <c r="Q383" s="302" t="s">
        <v>1160</v>
      </c>
      <c r="R383" s="303">
        <v>2015</v>
      </c>
      <c r="S383" s="303">
        <v>1</v>
      </c>
      <c r="T383" s="303">
        <v>1</v>
      </c>
      <c r="U383" s="572">
        <v>1</v>
      </c>
      <c r="V383" s="572">
        <v>1</v>
      </c>
      <c r="W383" s="572">
        <v>1</v>
      </c>
      <c r="X383" s="572">
        <v>1</v>
      </c>
      <c r="Y383" s="491">
        <v>18.5</v>
      </c>
      <c r="Z383" s="481"/>
      <c r="AA383" s="481">
        <f>80+5+59+35.6</f>
        <v>179.6</v>
      </c>
      <c r="AB383" s="481"/>
      <c r="AC383" s="481"/>
      <c r="AD383" s="481">
        <v>23.7</v>
      </c>
      <c r="AE383" s="481"/>
      <c r="AF383" s="481">
        <f>SUM(Y383:AE383)</f>
        <v>221.79999999999998</v>
      </c>
      <c r="AG383" s="548">
        <v>70</v>
      </c>
      <c r="AH383" s="548"/>
      <c r="AI383" s="548">
        <v>265</v>
      </c>
      <c r="AJ383" s="548"/>
      <c r="AK383" s="548"/>
      <c r="AL383" s="548"/>
      <c r="AM383" s="548">
        <f>SUM(AG383:AL383)</f>
        <v>335</v>
      </c>
      <c r="AN383" s="481">
        <v>80</v>
      </c>
      <c r="AO383" s="481"/>
      <c r="AP383" s="481">
        <v>200</v>
      </c>
      <c r="AQ383" s="481"/>
      <c r="AR383" s="481"/>
      <c r="AS383" s="481"/>
      <c r="AT383" s="481"/>
      <c r="AU383" s="481">
        <f>SUM(AN383:AT383)</f>
        <v>280</v>
      </c>
      <c r="AV383" s="548">
        <v>80</v>
      </c>
      <c r="AW383" s="548"/>
      <c r="AX383" s="548">
        <v>210</v>
      </c>
      <c r="AY383" s="548"/>
      <c r="AZ383" s="548"/>
      <c r="BA383" s="548"/>
      <c r="BB383" s="548"/>
      <c r="BC383" s="548">
        <f>SUM(AV383:BB383)</f>
        <v>290</v>
      </c>
      <c r="BD383" s="42">
        <f t="shared" si="247"/>
        <v>248.5</v>
      </c>
      <c r="BE383" s="42">
        <f t="shared" si="247"/>
        <v>0</v>
      </c>
      <c r="BF383" s="42">
        <f t="shared" si="247"/>
        <v>854.6</v>
      </c>
      <c r="BG383" s="42">
        <f t="shared" si="247"/>
        <v>0</v>
      </c>
      <c r="BH383" s="42">
        <f t="shared" si="247"/>
        <v>0</v>
      </c>
      <c r="BI383" s="42">
        <f t="shared" si="201"/>
        <v>23.7</v>
      </c>
      <c r="BJ383" s="42">
        <f t="shared" si="248"/>
        <v>0</v>
      </c>
      <c r="BK383" s="42">
        <f t="shared" si="248"/>
        <v>1126.8</v>
      </c>
    </row>
    <row r="384" spans="1:63" ht="43.5" customHeight="1" x14ac:dyDescent="0.25">
      <c r="A384" s="298" t="s">
        <v>1135</v>
      </c>
      <c r="B384" s="299" t="s">
        <v>1132</v>
      </c>
      <c r="C384" s="1547"/>
      <c r="D384" s="1549"/>
      <c r="E384" s="1549"/>
      <c r="F384" s="1549"/>
      <c r="G384" s="1549"/>
      <c r="H384" s="1549"/>
      <c r="I384" s="1425"/>
      <c r="J384" s="1425"/>
      <c r="K384" s="1425" t="s">
        <v>1161</v>
      </c>
      <c r="L384" s="301" t="s">
        <v>1140</v>
      </c>
      <c r="M384" s="1425" t="s">
        <v>497</v>
      </c>
      <c r="N384" s="476"/>
      <c r="O384" s="1425" t="s">
        <v>47</v>
      </c>
      <c r="P384" s="16" t="s">
        <v>1162</v>
      </c>
      <c r="Q384" s="302" t="s">
        <v>1163</v>
      </c>
      <c r="R384" s="303">
        <v>2015</v>
      </c>
      <c r="S384" s="303">
        <v>4</v>
      </c>
      <c r="T384" s="303">
        <v>1</v>
      </c>
      <c r="U384" s="572">
        <v>1</v>
      </c>
      <c r="V384" s="572">
        <v>1</v>
      </c>
      <c r="W384" s="572">
        <v>1</v>
      </c>
      <c r="X384" s="572">
        <f t="shared" si="246"/>
        <v>4</v>
      </c>
      <c r="Y384" s="491">
        <v>0.5</v>
      </c>
      <c r="Z384" s="481"/>
      <c r="AA384" s="481"/>
      <c r="AB384" s="481"/>
      <c r="AC384" s="481"/>
      <c r="AD384" s="481"/>
      <c r="AE384" s="481"/>
      <c r="AF384" s="481">
        <f>SUM(Y384:AE384)</f>
        <v>0.5</v>
      </c>
      <c r="AG384" s="491">
        <v>1</v>
      </c>
      <c r="AH384" s="548"/>
      <c r="AI384" s="548"/>
      <c r="AJ384" s="548"/>
      <c r="AK384" s="548"/>
      <c r="AL384" s="548"/>
      <c r="AM384" s="548">
        <f>SUM(AG384:AL384)</f>
        <v>1</v>
      </c>
      <c r="AN384" s="491">
        <v>1</v>
      </c>
      <c r="AO384" s="481"/>
      <c r="AP384" s="481"/>
      <c r="AQ384" s="481"/>
      <c r="AR384" s="481"/>
      <c r="AS384" s="481"/>
      <c r="AT384" s="481"/>
      <c r="AU384" s="481">
        <f>SUM(AN384:AT384)</f>
        <v>1</v>
      </c>
      <c r="AV384" s="491">
        <v>1</v>
      </c>
      <c r="AW384" s="548"/>
      <c r="AX384" s="548"/>
      <c r="AY384" s="548"/>
      <c r="AZ384" s="548"/>
      <c r="BA384" s="548"/>
      <c r="BB384" s="548"/>
      <c r="BC384" s="548">
        <f>SUM(AV384:BB384)</f>
        <v>1</v>
      </c>
      <c r="BD384" s="42">
        <f t="shared" si="247"/>
        <v>3.5</v>
      </c>
      <c r="BE384" s="42">
        <f t="shared" si="247"/>
        <v>0</v>
      </c>
      <c r="BF384" s="42">
        <f t="shared" si="247"/>
        <v>0</v>
      </c>
      <c r="BG384" s="42">
        <f t="shared" si="247"/>
        <v>0</v>
      </c>
      <c r="BH384" s="42">
        <f t="shared" si="247"/>
        <v>0</v>
      </c>
      <c r="BI384" s="42">
        <f t="shared" si="201"/>
        <v>0</v>
      </c>
      <c r="BJ384" s="42">
        <f t="shared" si="248"/>
        <v>0</v>
      </c>
      <c r="BK384" s="42">
        <f t="shared" si="248"/>
        <v>3.5</v>
      </c>
    </row>
    <row r="385" spans="1:63" ht="39.75" customHeight="1" x14ac:dyDescent="0.25">
      <c r="A385" s="298" t="s">
        <v>1135</v>
      </c>
      <c r="B385" s="299" t="s">
        <v>1132</v>
      </c>
      <c r="C385" s="1547"/>
      <c r="D385" s="1549"/>
      <c r="E385" s="1549"/>
      <c r="F385" s="1549"/>
      <c r="G385" s="1549"/>
      <c r="H385" s="1549"/>
      <c r="I385" s="1425"/>
      <c r="J385" s="1425"/>
      <c r="K385" s="1425" t="s">
        <v>1164</v>
      </c>
      <c r="L385" s="301" t="s">
        <v>1140</v>
      </c>
      <c r="M385" s="1425" t="s">
        <v>497</v>
      </c>
      <c r="N385" s="476"/>
      <c r="O385" s="1425" t="s">
        <v>73</v>
      </c>
      <c r="P385" s="16" t="s">
        <v>1165</v>
      </c>
      <c r="Q385" s="302" t="s">
        <v>1166</v>
      </c>
      <c r="R385" s="303">
        <v>2015</v>
      </c>
      <c r="S385" s="303" t="s">
        <v>177</v>
      </c>
      <c r="T385" s="303">
        <v>100</v>
      </c>
      <c r="U385" s="572">
        <v>100</v>
      </c>
      <c r="V385" s="572">
        <v>100</v>
      </c>
      <c r="W385" s="572">
        <v>100</v>
      </c>
      <c r="X385" s="572">
        <v>100</v>
      </c>
      <c r="Y385" s="491">
        <v>1</v>
      </c>
      <c r="Z385" s="481"/>
      <c r="AA385" s="481"/>
      <c r="AB385" s="481"/>
      <c r="AC385" s="481"/>
      <c r="AD385" s="481"/>
      <c r="AE385" s="481"/>
      <c r="AF385" s="481">
        <f>SUM(Y385:AE385)</f>
        <v>1</v>
      </c>
      <c r="AG385" s="491">
        <v>1</v>
      </c>
      <c r="AH385" s="548"/>
      <c r="AI385" s="716">
        <v>15</v>
      </c>
      <c r="AJ385" s="548"/>
      <c r="AK385" s="548"/>
      <c r="AL385" s="548"/>
      <c r="AM385" s="548">
        <f>SUM(AG385:AL385)</f>
        <v>16</v>
      </c>
      <c r="AN385" s="491">
        <v>1</v>
      </c>
      <c r="AO385" s="481"/>
      <c r="AP385" s="481"/>
      <c r="AQ385" s="481"/>
      <c r="AR385" s="481"/>
      <c r="AS385" s="481"/>
      <c r="AT385" s="481"/>
      <c r="AU385" s="481">
        <f>SUM(AN385:AT385)</f>
        <v>1</v>
      </c>
      <c r="AV385" s="491">
        <v>1</v>
      </c>
      <c r="AW385" s="548"/>
      <c r="AX385" s="548"/>
      <c r="AY385" s="548"/>
      <c r="AZ385" s="548"/>
      <c r="BA385" s="548"/>
      <c r="BB385" s="548"/>
      <c r="BC385" s="548">
        <f>SUM(AV385:BB385)</f>
        <v>1</v>
      </c>
      <c r="BD385" s="42">
        <f t="shared" si="247"/>
        <v>4</v>
      </c>
      <c r="BE385" s="42">
        <f t="shared" si="247"/>
        <v>0</v>
      </c>
      <c r="BF385" s="42">
        <f t="shared" si="247"/>
        <v>15</v>
      </c>
      <c r="BG385" s="42">
        <f t="shared" si="247"/>
        <v>0</v>
      </c>
      <c r="BH385" s="42">
        <f t="shared" si="247"/>
        <v>0</v>
      </c>
      <c r="BI385" s="42">
        <f t="shared" si="201"/>
        <v>0</v>
      </c>
      <c r="BJ385" s="42">
        <f t="shared" si="248"/>
        <v>0</v>
      </c>
      <c r="BK385" s="42">
        <f t="shared" si="248"/>
        <v>19</v>
      </c>
    </row>
    <row r="386" spans="1:63" ht="38.25" customHeight="1" x14ac:dyDescent="0.25">
      <c r="A386" s="298" t="s">
        <v>1135</v>
      </c>
      <c r="B386" s="299" t="s">
        <v>1132</v>
      </c>
      <c r="C386" s="1547"/>
      <c r="D386" s="1549"/>
      <c r="E386" s="1549"/>
      <c r="F386" s="1549"/>
      <c r="G386" s="1549"/>
      <c r="H386" s="1549"/>
      <c r="I386" s="1425"/>
      <c r="J386" s="1425"/>
      <c r="K386" s="1425" t="s">
        <v>1167</v>
      </c>
      <c r="L386" s="301" t="s">
        <v>1140</v>
      </c>
      <c r="M386" s="1425" t="s">
        <v>497</v>
      </c>
      <c r="N386" s="476"/>
      <c r="O386" s="1425" t="s">
        <v>73</v>
      </c>
      <c r="P386" s="16" t="s">
        <v>1169</v>
      </c>
      <c r="Q386" s="302" t="s">
        <v>1170</v>
      </c>
      <c r="R386" s="303">
        <v>2015</v>
      </c>
      <c r="S386" s="303">
        <v>1</v>
      </c>
      <c r="T386" s="303">
        <v>1</v>
      </c>
      <c r="U386" s="572">
        <v>1</v>
      </c>
      <c r="V386" s="572">
        <v>1</v>
      </c>
      <c r="W386" s="572">
        <v>1</v>
      </c>
      <c r="X386" s="572">
        <v>1</v>
      </c>
      <c r="Y386" s="481"/>
      <c r="Z386" s="481"/>
      <c r="AA386" s="481">
        <v>20</v>
      </c>
      <c r="AB386" s="481"/>
      <c r="AC386" s="481"/>
      <c r="AD386" s="481"/>
      <c r="AE386" s="481"/>
      <c r="AF386" s="481">
        <f>SUM(Y386:AE386)</f>
        <v>20</v>
      </c>
      <c r="AG386" s="548"/>
      <c r="AH386" s="548"/>
      <c r="AI386" s="548">
        <v>25</v>
      </c>
      <c r="AJ386" s="548"/>
      <c r="AK386" s="548"/>
      <c r="AL386" s="548"/>
      <c r="AM386" s="548">
        <f>SUM(AG386:AL386)</f>
        <v>25</v>
      </c>
      <c r="AN386" s="481"/>
      <c r="AO386" s="481"/>
      <c r="AP386" s="481">
        <v>40</v>
      </c>
      <c r="AQ386" s="481"/>
      <c r="AR386" s="481"/>
      <c r="AS386" s="481"/>
      <c r="AT386" s="481"/>
      <c r="AU386" s="481">
        <f>SUM(AN386:AT386)</f>
        <v>40</v>
      </c>
      <c r="AV386" s="548"/>
      <c r="AW386" s="548"/>
      <c r="AX386" s="548">
        <v>40</v>
      </c>
      <c r="AY386" s="548"/>
      <c r="AZ386" s="548"/>
      <c r="BA386" s="548"/>
      <c r="BB386" s="548"/>
      <c r="BC386" s="548">
        <f>SUM(AV386:BB386)</f>
        <v>40</v>
      </c>
      <c r="BD386" s="42">
        <f t="shared" si="247"/>
        <v>0</v>
      </c>
      <c r="BE386" s="42">
        <f t="shared" si="247"/>
        <v>0</v>
      </c>
      <c r="BF386" s="42">
        <f t="shared" si="247"/>
        <v>125</v>
      </c>
      <c r="BG386" s="42">
        <f t="shared" si="247"/>
        <v>0</v>
      </c>
      <c r="BH386" s="42">
        <f t="shared" si="247"/>
        <v>0</v>
      </c>
      <c r="BI386" s="42">
        <f t="shared" si="201"/>
        <v>0</v>
      </c>
      <c r="BJ386" s="42">
        <f t="shared" si="248"/>
        <v>0</v>
      </c>
      <c r="BK386" s="42">
        <f t="shared" si="248"/>
        <v>125</v>
      </c>
    </row>
    <row r="387" spans="1:63" ht="44.25" customHeight="1" x14ac:dyDescent="0.25">
      <c r="A387" s="298" t="s">
        <v>1135</v>
      </c>
      <c r="B387" s="299" t="s">
        <v>1132</v>
      </c>
      <c r="C387" s="1547"/>
      <c r="D387" s="1549"/>
      <c r="E387" s="1549"/>
      <c r="F387" s="1549"/>
      <c r="G387" s="1549"/>
      <c r="H387" s="1549"/>
      <c r="I387" s="1425" t="s">
        <v>53</v>
      </c>
      <c r="J387" s="1425"/>
      <c r="K387" s="1425" t="s">
        <v>1171</v>
      </c>
      <c r="L387" s="301" t="s">
        <v>1140</v>
      </c>
      <c r="M387" s="1425" t="s">
        <v>1102</v>
      </c>
      <c r="N387" s="476"/>
      <c r="O387" s="1425" t="s">
        <v>47</v>
      </c>
      <c r="P387" s="16" t="s">
        <v>1173</v>
      </c>
      <c r="Q387" s="302" t="s">
        <v>1174</v>
      </c>
      <c r="R387" s="303">
        <v>2015</v>
      </c>
      <c r="S387" s="303">
        <v>0</v>
      </c>
      <c r="T387" s="303">
        <v>0</v>
      </c>
      <c r="U387" s="572">
        <v>1</v>
      </c>
      <c r="V387" s="572">
        <v>0</v>
      </c>
      <c r="W387" s="572">
        <v>0</v>
      </c>
      <c r="X387" s="572">
        <f t="shared" si="246"/>
        <v>1</v>
      </c>
      <c r="Y387" s="481"/>
      <c r="Z387" s="481"/>
      <c r="AA387" s="491"/>
      <c r="AB387" s="481"/>
      <c r="AC387" s="481"/>
      <c r="AD387" s="481"/>
      <c r="AE387" s="481"/>
      <c r="AF387" s="481"/>
      <c r="AG387" s="548"/>
      <c r="AH387" s="548"/>
      <c r="AI387" s="548">
        <v>96</v>
      </c>
      <c r="AJ387" s="548"/>
      <c r="AK387" s="548"/>
      <c r="AL387" s="548"/>
      <c r="AM387" s="548">
        <f>SUM(AG387:AL387)</f>
        <v>96</v>
      </c>
      <c r="AN387" s="481"/>
      <c r="AO387" s="481"/>
      <c r="AP387" s="481"/>
      <c r="AQ387" s="481"/>
      <c r="AR387" s="481"/>
      <c r="AS387" s="481"/>
      <c r="AT387" s="481"/>
      <c r="AU387" s="481"/>
      <c r="AV387" s="548"/>
      <c r="AW387" s="548"/>
      <c r="AX387" s="548"/>
      <c r="AY387" s="548"/>
      <c r="AZ387" s="548"/>
      <c r="BA387" s="548"/>
      <c r="BB387" s="548"/>
      <c r="BC387" s="548"/>
      <c r="BD387" s="42">
        <f t="shared" si="247"/>
        <v>0</v>
      </c>
      <c r="BE387" s="42">
        <f t="shared" si="247"/>
        <v>0</v>
      </c>
      <c r="BF387" s="42">
        <f t="shared" si="247"/>
        <v>96</v>
      </c>
      <c r="BG387" s="42">
        <f t="shared" si="247"/>
        <v>0</v>
      </c>
      <c r="BH387" s="42">
        <f t="shared" si="247"/>
        <v>0</v>
      </c>
      <c r="BI387" s="42">
        <f t="shared" si="201"/>
        <v>0</v>
      </c>
      <c r="BJ387" s="42">
        <f t="shared" si="248"/>
        <v>0</v>
      </c>
      <c r="BK387" s="42">
        <f t="shared" si="248"/>
        <v>96</v>
      </c>
    </row>
    <row r="388" spans="1:63" ht="47.25" customHeight="1" x14ac:dyDescent="0.25">
      <c r="A388" s="298" t="s">
        <v>1135</v>
      </c>
      <c r="B388" s="299" t="s">
        <v>1132</v>
      </c>
      <c r="C388" s="1547"/>
      <c r="D388" s="1549"/>
      <c r="E388" s="1549"/>
      <c r="F388" s="1549"/>
      <c r="G388" s="1549"/>
      <c r="H388" s="1549"/>
      <c r="I388" s="1425"/>
      <c r="J388" s="1425"/>
      <c r="K388" s="1425" t="s">
        <v>1175</v>
      </c>
      <c r="L388" s="301" t="s">
        <v>1140</v>
      </c>
      <c r="M388" s="1425" t="s">
        <v>1102</v>
      </c>
      <c r="N388" s="476"/>
      <c r="O388" s="1425" t="s">
        <v>73</v>
      </c>
      <c r="P388" s="16" t="s">
        <v>1176</v>
      </c>
      <c r="Q388" s="302" t="s">
        <v>1177</v>
      </c>
      <c r="R388" s="303">
        <v>2015</v>
      </c>
      <c r="S388" s="303">
        <v>0</v>
      </c>
      <c r="T388" s="303">
        <v>2</v>
      </c>
      <c r="U388" s="572">
        <v>2</v>
      </c>
      <c r="V388" s="572">
        <v>2</v>
      </c>
      <c r="W388" s="572">
        <v>2</v>
      </c>
      <c r="X388" s="572">
        <v>2</v>
      </c>
      <c r="Y388" s="481">
        <v>70</v>
      </c>
      <c r="Z388" s="481"/>
      <c r="AA388" s="481"/>
      <c r="AB388" s="481"/>
      <c r="AC388" s="481"/>
      <c r="AD388" s="481"/>
      <c r="AE388" s="481"/>
      <c r="AF388" s="481">
        <f t="shared" ref="AF388:AF402" si="249">SUM(Y388:AE388)</f>
        <v>70</v>
      </c>
      <c r="AG388" s="548">
        <v>40</v>
      </c>
      <c r="AH388" s="548"/>
      <c r="AI388" s="548"/>
      <c r="AJ388" s="548"/>
      <c r="AK388" s="548"/>
      <c r="AL388" s="548"/>
      <c r="AM388" s="548">
        <f t="shared" ref="AM388:AM403" si="250">SUM(AG388:AL388)</f>
        <v>40</v>
      </c>
      <c r="AN388" s="481">
        <v>40</v>
      </c>
      <c r="AO388" s="481"/>
      <c r="AP388" s="481"/>
      <c r="AQ388" s="481"/>
      <c r="AR388" s="481"/>
      <c r="AS388" s="481"/>
      <c r="AT388" s="481"/>
      <c r="AU388" s="481">
        <f t="shared" ref="AU388:AU402" si="251">SUM(AN388:AT388)</f>
        <v>40</v>
      </c>
      <c r="AV388" s="548">
        <v>40</v>
      </c>
      <c r="AW388" s="548"/>
      <c r="AX388" s="548"/>
      <c r="AY388" s="548"/>
      <c r="AZ388" s="548"/>
      <c r="BA388" s="548"/>
      <c r="BB388" s="548"/>
      <c r="BC388" s="548">
        <f t="shared" ref="BC388:BC402" si="252">SUM(AV388:BB388)</f>
        <v>40</v>
      </c>
      <c r="BD388" s="42">
        <f t="shared" si="247"/>
        <v>190</v>
      </c>
      <c r="BE388" s="42">
        <f t="shared" si="247"/>
        <v>0</v>
      </c>
      <c r="BF388" s="42">
        <f t="shared" si="247"/>
        <v>0</v>
      </c>
      <c r="BG388" s="42">
        <f t="shared" si="247"/>
        <v>0</v>
      </c>
      <c r="BH388" s="42">
        <f t="shared" si="247"/>
        <v>0</v>
      </c>
      <c r="BI388" s="42">
        <f t="shared" si="201"/>
        <v>0</v>
      </c>
      <c r="BJ388" s="42">
        <f t="shared" si="248"/>
        <v>0</v>
      </c>
      <c r="BK388" s="42">
        <f t="shared" si="248"/>
        <v>190</v>
      </c>
    </row>
    <row r="389" spans="1:63" ht="66.75" customHeight="1" x14ac:dyDescent="0.25">
      <c r="A389" s="298" t="s">
        <v>1135</v>
      </c>
      <c r="B389" s="299" t="s">
        <v>1132</v>
      </c>
      <c r="C389" s="1547"/>
      <c r="D389" s="1549"/>
      <c r="E389" s="1549"/>
      <c r="F389" s="1549"/>
      <c r="G389" s="1549"/>
      <c r="H389" s="1549"/>
      <c r="I389" s="1425"/>
      <c r="J389" s="1425"/>
      <c r="K389" s="1425" t="s">
        <v>1178</v>
      </c>
      <c r="L389" s="301" t="s">
        <v>1140</v>
      </c>
      <c r="M389" s="1425" t="s">
        <v>497</v>
      </c>
      <c r="N389" s="476"/>
      <c r="O389" s="1425" t="s">
        <v>47</v>
      </c>
      <c r="P389" s="16" t="s">
        <v>1179</v>
      </c>
      <c r="Q389" s="302" t="s">
        <v>1180</v>
      </c>
      <c r="R389" s="303">
        <v>2015</v>
      </c>
      <c r="S389" s="303">
        <v>64</v>
      </c>
      <c r="T389" s="303">
        <v>65</v>
      </c>
      <c r="U389" s="572">
        <v>67</v>
      </c>
      <c r="V389" s="572">
        <v>70</v>
      </c>
      <c r="W389" s="572">
        <v>70</v>
      </c>
      <c r="X389" s="572">
        <v>70</v>
      </c>
      <c r="Y389" s="481"/>
      <c r="Z389" s="481"/>
      <c r="AA389" s="491">
        <v>20</v>
      </c>
      <c r="AB389" s="481"/>
      <c r="AC389" s="481"/>
      <c r="AD389" s="481"/>
      <c r="AE389" s="481"/>
      <c r="AF389" s="481">
        <f t="shared" si="249"/>
        <v>20</v>
      </c>
      <c r="AG389" s="491">
        <v>1</v>
      </c>
      <c r="AH389" s="548"/>
      <c r="AI389" s="548"/>
      <c r="AJ389" s="548"/>
      <c r="AK389" s="548"/>
      <c r="AL389" s="548"/>
      <c r="AM389" s="548">
        <f t="shared" si="250"/>
        <v>1</v>
      </c>
      <c r="AN389" s="481"/>
      <c r="AO389" s="481"/>
      <c r="AP389" s="481">
        <v>74</v>
      </c>
      <c r="AQ389" s="481"/>
      <c r="AR389" s="481"/>
      <c r="AS389" s="481"/>
      <c r="AT389" s="481"/>
      <c r="AU389" s="481">
        <f t="shared" si="251"/>
        <v>74</v>
      </c>
      <c r="AV389" s="491">
        <v>1</v>
      </c>
      <c r="AW389" s="548"/>
      <c r="AX389" s="548"/>
      <c r="AY389" s="548"/>
      <c r="AZ389" s="548"/>
      <c r="BA389" s="548"/>
      <c r="BB389" s="548"/>
      <c r="BC389" s="548">
        <f t="shared" si="252"/>
        <v>1</v>
      </c>
      <c r="BD389" s="42">
        <f t="shared" si="247"/>
        <v>2</v>
      </c>
      <c r="BE389" s="42">
        <f t="shared" si="247"/>
        <v>0</v>
      </c>
      <c r="BF389" s="42">
        <f t="shared" si="247"/>
        <v>94</v>
      </c>
      <c r="BG389" s="42">
        <f t="shared" si="247"/>
        <v>0</v>
      </c>
      <c r="BH389" s="42">
        <f t="shared" si="247"/>
        <v>0</v>
      </c>
      <c r="BI389" s="42">
        <f t="shared" si="201"/>
        <v>0</v>
      </c>
      <c r="BJ389" s="42">
        <f t="shared" si="248"/>
        <v>0</v>
      </c>
      <c r="BK389" s="42">
        <f t="shared" si="248"/>
        <v>96</v>
      </c>
    </row>
    <row r="390" spans="1:63" ht="54.75" customHeight="1" x14ac:dyDescent="0.25">
      <c r="A390" s="298" t="s">
        <v>1135</v>
      </c>
      <c r="B390" s="299" t="s">
        <v>1132</v>
      </c>
      <c r="C390" s="1547"/>
      <c r="D390" s="1549"/>
      <c r="E390" s="1549"/>
      <c r="F390" s="1549"/>
      <c r="G390" s="1549"/>
      <c r="H390" s="1549"/>
      <c r="I390" s="1425"/>
      <c r="J390" s="1425"/>
      <c r="K390" s="1425" t="s">
        <v>1181</v>
      </c>
      <c r="L390" s="301" t="s">
        <v>1140</v>
      </c>
      <c r="M390" s="1425" t="s">
        <v>497</v>
      </c>
      <c r="N390" s="476"/>
      <c r="O390" s="1425" t="s">
        <v>47</v>
      </c>
      <c r="P390" s="16" t="s">
        <v>1184</v>
      </c>
      <c r="Q390" s="302" t="s">
        <v>1185</v>
      </c>
      <c r="R390" s="303">
        <v>2015</v>
      </c>
      <c r="S390" s="303">
        <v>1</v>
      </c>
      <c r="T390" s="303">
        <v>1</v>
      </c>
      <c r="U390" s="572">
        <v>1</v>
      </c>
      <c r="V390" s="572">
        <v>1</v>
      </c>
      <c r="W390" s="572">
        <v>1</v>
      </c>
      <c r="X390" s="572">
        <f t="shared" si="246"/>
        <v>4</v>
      </c>
      <c r="Y390" s="481">
        <f>20.2+57</f>
        <v>77.2</v>
      </c>
      <c r="Z390" s="481"/>
      <c r="AA390" s="491">
        <v>20</v>
      </c>
      <c r="AB390" s="481"/>
      <c r="AC390" s="481"/>
      <c r="AD390" s="481"/>
      <c r="AE390" s="481"/>
      <c r="AF390" s="481">
        <f t="shared" si="249"/>
        <v>97.2</v>
      </c>
      <c r="AG390" s="491">
        <v>87</v>
      </c>
      <c r="AH390" s="548"/>
      <c r="AI390" s="548">
        <v>50</v>
      </c>
      <c r="AJ390" s="548"/>
      <c r="AK390" s="548"/>
      <c r="AL390" s="548"/>
      <c r="AM390" s="548">
        <f t="shared" si="250"/>
        <v>137</v>
      </c>
      <c r="AN390" s="491">
        <v>90</v>
      </c>
      <c r="AO390" s="481"/>
      <c r="AP390" s="481">
        <v>120</v>
      </c>
      <c r="AQ390" s="481"/>
      <c r="AR390" s="481"/>
      <c r="AS390" s="481"/>
      <c r="AT390" s="481"/>
      <c r="AU390" s="481">
        <f t="shared" si="251"/>
        <v>210</v>
      </c>
      <c r="AV390" s="491">
        <v>94</v>
      </c>
      <c r="AW390" s="548"/>
      <c r="AX390" s="548">
        <v>120</v>
      </c>
      <c r="AY390" s="548"/>
      <c r="AZ390" s="548"/>
      <c r="BA390" s="548"/>
      <c r="BB390" s="548"/>
      <c r="BC390" s="548">
        <f t="shared" si="252"/>
        <v>214</v>
      </c>
      <c r="BD390" s="42">
        <f t="shared" si="247"/>
        <v>348.2</v>
      </c>
      <c r="BE390" s="42">
        <f t="shared" si="247"/>
        <v>0</v>
      </c>
      <c r="BF390" s="42">
        <f t="shared" si="247"/>
        <v>310</v>
      </c>
      <c r="BG390" s="42">
        <f t="shared" si="247"/>
        <v>0</v>
      </c>
      <c r="BH390" s="42">
        <f t="shared" si="247"/>
        <v>0</v>
      </c>
      <c r="BI390" s="42">
        <f t="shared" si="201"/>
        <v>0</v>
      </c>
      <c r="BJ390" s="42">
        <f t="shared" si="248"/>
        <v>0</v>
      </c>
      <c r="BK390" s="42">
        <f t="shared" si="248"/>
        <v>658.2</v>
      </c>
    </row>
    <row r="391" spans="1:63" ht="72" customHeight="1" x14ac:dyDescent="0.25">
      <c r="A391" s="298" t="s">
        <v>1135</v>
      </c>
      <c r="B391" s="299" t="s">
        <v>1132</v>
      </c>
      <c r="C391" s="1547"/>
      <c r="D391" s="1549"/>
      <c r="E391" s="1549"/>
      <c r="F391" s="1549"/>
      <c r="G391" s="1549"/>
      <c r="H391" s="1549"/>
      <c r="I391" s="1425"/>
      <c r="J391" s="1425"/>
      <c r="K391" s="1425" t="s">
        <v>1186</v>
      </c>
      <c r="L391" s="301" t="s">
        <v>1140</v>
      </c>
      <c r="M391" s="1425" t="s">
        <v>497</v>
      </c>
      <c r="N391" s="476"/>
      <c r="O391" s="1425" t="s">
        <v>73</v>
      </c>
      <c r="P391" s="16" t="s">
        <v>1187</v>
      </c>
      <c r="Q391" s="302" t="s">
        <v>1188</v>
      </c>
      <c r="R391" s="303">
        <v>2015</v>
      </c>
      <c r="S391" s="303">
        <v>97.65</v>
      </c>
      <c r="T391" s="303">
        <v>90</v>
      </c>
      <c r="U391" s="572">
        <v>90</v>
      </c>
      <c r="V391" s="572">
        <v>90</v>
      </c>
      <c r="W391" s="572">
        <v>90</v>
      </c>
      <c r="X391" s="572">
        <v>90</v>
      </c>
      <c r="Y391" s="481"/>
      <c r="Z391" s="481"/>
      <c r="AA391" s="491">
        <v>130</v>
      </c>
      <c r="AB391" s="481"/>
      <c r="AC391" s="481"/>
      <c r="AD391" s="481"/>
      <c r="AE391" s="481"/>
      <c r="AF391" s="481">
        <f t="shared" si="249"/>
        <v>130</v>
      </c>
      <c r="AG391" s="491">
        <v>1</v>
      </c>
      <c r="AH391" s="548"/>
      <c r="AI391" s="716">
        <v>35</v>
      </c>
      <c r="AJ391" s="548"/>
      <c r="AK391" s="548"/>
      <c r="AL391" s="548"/>
      <c r="AM391" s="548">
        <f t="shared" si="250"/>
        <v>36</v>
      </c>
      <c r="AN391" s="481"/>
      <c r="AO391" s="481"/>
      <c r="AP391" s="481">
        <v>20</v>
      </c>
      <c r="AQ391" s="481"/>
      <c r="AR391" s="481"/>
      <c r="AS391" s="481"/>
      <c r="AT391" s="481"/>
      <c r="AU391" s="481">
        <f t="shared" si="251"/>
        <v>20</v>
      </c>
      <c r="AV391" s="548"/>
      <c r="AW391" s="548"/>
      <c r="AX391" s="548">
        <v>50</v>
      </c>
      <c r="AY391" s="548"/>
      <c r="AZ391" s="548"/>
      <c r="BA391" s="548"/>
      <c r="BB391" s="548"/>
      <c r="BC391" s="548">
        <f t="shared" si="252"/>
        <v>50</v>
      </c>
      <c r="BD391" s="42">
        <f t="shared" si="247"/>
        <v>1</v>
      </c>
      <c r="BE391" s="42">
        <f t="shared" si="247"/>
        <v>0</v>
      </c>
      <c r="BF391" s="42">
        <f t="shared" si="247"/>
        <v>235</v>
      </c>
      <c r="BG391" s="42">
        <f t="shared" si="247"/>
        <v>0</v>
      </c>
      <c r="BH391" s="42">
        <f t="shared" si="247"/>
        <v>0</v>
      </c>
      <c r="BI391" s="42">
        <f t="shared" si="201"/>
        <v>0</v>
      </c>
      <c r="BJ391" s="42">
        <f t="shared" si="248"/>
        <v>0</v>
      </c>
      <c r="BK391" s="42">
        <f t="shared" si="248"/>
        <v>236</v>
      </c>
    </row>
    <row r="392" spans="1:63" ht="60" customHeight="1" x14ac:dyDescent="0.25">
      <c r="A392" s="298" t="s">
        <v>1135</v>
      </c>
      <c r="B392" s="299" t="s">
        <v>1132</v>
      </c>
      <c r="C392" s="1547"/>
      <c r="D392" s="1549"/>
      <c r="E392" s="1549"/>
      <c r="F392" s="1549"/>
      <c r="G392" s="1549"/>
      <c r="H392" s="1549"/>
      <c r="I392" s="1425"/>
      <c r="J392" s="1425"/>
      <c r="K392" s="1425" t="s">
        <v>1189</v>
      </c>
      <c r="L392" s="301" t="s">
        <v>1140</v>
      </c>
      <c r="M392" s="1425" t="s">
        <v>497</v>
      </c>
      <c r="N392" s="476"/>
      <c r="O392" s="1425" t="s">
        <v>73</v>
      </c>
      <c r="P392" s="16" t="s">
        <v>1190</v>
      </c>
      <c r="Q392" s="302" t="s">
        <v>1191</v>
      </c>
      <c r="R392" s="303">
        <v>2015</v>
      </c>
      <c r="S392" s="303">
        <v>0</v>
      </c>
      <c r="T392" s="303">
        <v>1</v>
      </c>
      <c r="U392" s="572">
        <v>1</v>
      </c>
      <c r="V392" s="572">
        <v>1</v>
      </c>
      <c r="W392" s="572">
        <v>1</v>
      </c>
      <c r="X392" s="572">
        <v>1</v>
      </c>
      <c r="Y392" s="481"/>
      <c r="Z392" s="481"/>
      <c r="AA392" s="491">
        <v>6</v>
      </c>
      <c r="AB392" s="481"/>
      <c r="AC392" s="481"/>
      <c r="AD392" s="481"/>
      <c r="AE392" s="481"/>
      <c r="AF392" s="481">
        <f t="shared" si="249"/>
        <v>6</v>
      </c>
      <c r="AG392" s="491">
        <v>1</v>
      </c>
      <c r="AH392" s="548"/>
      <c r="AI392" s="548"/>
      <c r="AJ392" s="548"/>
      <c r="AK392" s="548"/>
      <c r="AL392" s="548"/>
      <c r="AM392" s="548">
        <f t="shared" si="250"/>
        <v>1</v>
      </c>
      <c r="AN392" s="491">
        <v>1</v>
      </c>
      <c r="AO392" s="481"/>
      <c r="AP392" s="481"/>
      <c r="AQ392" s="481"/>
      <c r="AR392" s="481"/>
      <c r="AS392" s="481"/>
      <c r="AT392" s="481"/>
      <c r="AU392" s="481">
        <f t="shared" si="251"/>
        <v>1</v>
      </c>
      <c r="AV392" s="548"/>
      <c r="AW392" s="548"/>
      <c r="AX392" s="548">
        <v>53</v>
      </c>
      <c r="AY392" s="548"/>
      <c r="AZ392" s="548"/>
      <c r="BA392" s="548"/>
      <c r="BB392" s="548"/>
      <c r="BC392" s="548">
        <f t="shared" si="252"/>
        <v>53</v>
      </c>
      <c r="BD392" s="42">
        <f t="shared" si="247"/>
        <v>2</v>
      </c>
      <c r="BE392" s="42">
        <f t="shared" si="247"/>
        <v>0</v>
      </c>
      <c r="BF392" s="42">
        <f t="shared" si="247"/>
        <v>59</v>
      </c>
      <c r="BG392" s="42">
        <f t="shared" si="247"/>
        <v>0</v>
      </c>
      <c r="BH392" s="42">
        <f t="shared" si="247"/>
        <v>0</v>
      </c>
      <c r="BI392" s="42">
        <f t="shared" si="201"/>
        <v>0</v>
      </c>
      <c r="BJ392" s="42">
        <f t="shared" si="248"/>
        <v>0</v>
      </c>
      <c r="BK392" s="42">
        <f t="shared" si="248"/>
        <v>61</v>
      </c>
    </row>
    <row r="393" spans="1:63" ht="57" customHeight="1" x14ac:dyDescent="0.25">
      <c r="A393" s="298" t="s">
        <v>1135</v>
      </c>
      <c r="B393" s="299" t="s">
        <v>1132</v>
      </c>
      <c r="C393" s="1547"/>
      <c r="D393" s="1549"/>
      <c r="E393" s="1549"/>
      <c r="F393" s="1549"/>
      <c r="G393" s="1549"/>
      <c r="H393" s="1549"/>
      <c r="I393" s="1425"/>
      <c r="J393" s="1425"/>
      <c r="K393" s="1425" t="s">
        <v>1192</v>
      </c>
      <c r="L393" s="301" t="s">
        <v>1140</v>
      </c>
      <c r="M393" s="1425" t="s">
        <v>497</v>
      </c>
      <c r="N393" s="476"/>
      <c r="O393" s="1425" t="s">
        <v>47</v>
      </c>
      <c r="P393" s="16" t="s">
        <v>1193</v>
      </c>
      <c r="Q393" s="302" t="s">
        <v>966</v>
      </c>
      <c r="R393" s="303">
        <v>2015</v>
      </c>
      <c r="S393" s="303">
        <v>0</v>
      </c>
      <c r="T393" s="303">
        <v>0</v>
      </c>
      <c r="U393" s="572">
        <v>0</v>
      </c>
      <c r="V393" s="572">
        <v>1</v>
      </c>
      <c r="W393" s="572">
        <v>1</v>
      </c>
      <c r="X393" s="572">
        <f t="shared" si="246"/>
        <v>2</v>
      </c>
      <c r="Y393" s="481"/>
      <c r="Z393" s="481"/>
      <c r="AA393" s="481"/>
      <c r="AB393" s="481"/>
      <c r="AC393" s="481"/>
      <c r="AD393" s="481"/>
      <c r="AE393" s="481"/>
      <c r="AF393" s="481">
        <f t="shared" si="249"/>
        <v>0</v>
      </c>
      <c r="AG393" s="548"/>
      <c r="AH393" s="548"/>
      <c r="AI393" s="548"/>
      <c r="AJ393" s="548"/>
      <c r="AK393" s="548"/>
      <c r="AL393" s="548"/>
      <c r="AM393" s="548">
        <f t="shared" si="250"/>
        <v>0</v>
      </c>
      <c r="AN393" s="491">
        <v>1</v>
      </c>
      <c r="AO393" s="481"/>
      <c r="AP393" s="481"/>
      <c r="AQ393" s="481"/>
      <c r="AR393" s="481"/>
      <c r="AS393" s="481"/>
      <c r="AT393" s="481"/>
      <c r="AU393" s="481">
        <f t="shared" si="251"/>
        <v>1</v>
      </c>
      <c r="AV393" s="491">
        <v>1</v>
      </c>
      <c r="AW393" s="548"/>
      <c r="AX393" s="548"/>
      <c r="AY393" s="548"/>
      <c r="AZ393" s="548"/>
      <c r="BA393" s="548"/>
      <c r="BB393" s="548"/>
      <c r="BC393" s="548">
        <f t="shared" si="252"/>
        <v>1</v>
      </c>
      <c r="BD393" s="42">
        <f t="shared" si="247"/>
        <v>2</v>
      </c>
      <c r="BE393" s="42">
        <f t="shared" si="247"/>
        <v>0</v>
      </c>
      <c r="BF393" s="42">
        <f t="shared" si="247"/>
        <v>0</v>
      </c>
      <c r="BG393" s="42">
        <f t="shared" si="247"/>
        <v>0</v>
      </c>
      <c r="BH393" s="42">
        <f t="shared" si="247"/>
        <v>0</v>
      </c>
      <c r="BI393" s="42">
        <f t="shared" si="201"/>
        <v>0</v>
      </c>
      <c r="BJ393" s="42">
        <f t="shared" si="248"/>
        <v>0</v>
      </c>
      <c r="BK393" s="42">
        <f t="shared" si="248"/>
        <v>2</v>
      </c>
    </row>
    <row r="394" spans="1:63" ht="66" customHeight="1" x14ac:dyDescent="0.25">
      <c r="A394" s="298" t="s">
        <v>1135</v>
      </c>
      <c r="B394" s="299" t="s">
        <v>1132</v>
      </c>
      <c r="C394" s="1547"/>
      <c r="D394" s="1549"/>
      <c r="E394" s="1549"/>
      <c r="F394" s="1549"/>
      <c r="G394" s="1549"/>
      <c r="H394" s="1549"/>
      <c r="I394" s="1425"/>
      <c r="J394" s="1425"/>
      <c r="K394" s="1425" t="s">
        <v>1194</v>
      </c>
      <c r="L394" s="301" t="s">
        <v>1140</v>
      </c>
      <c r="M394" s="1425" t="s">
        <v>497</v>
      </c>
      <c r="N394" s="476"/>
      <c r="O394" s="1425" t="s">
        <v>47</v>
      </c>
      <c r="P394" s="16" t="s">
        <v>1195</v>
      </c>
      <c r="Q394" s="302" t="s">
        <v>1196</v>
      </c>
      <c r="R394" s="303">
        <v>2015</v>
      </c>
      <c r="S394" s="303">
        <v>0</v>
      </c>
      <c r="T394" s="303">
        <v>1</v>
      </c>
      <c r="U394" s="572">
        <v>0</v>
      </c>
      <c r="V394" s="572">
        <v>1</v>
      </c>
      <c r="W394" s="572">
        <v>0</v>
      </c>
      <c r="X394" s="572">
        <f t="shared" si="246"/>
        <v>2</v>
      </c>
      <c r="Y394" s="481"/>
      <c r="Z394" s="481"/>
      <c r="AA394" s="491">
        <v>0.5</v>
      </c>
      <c r="AB394" s="481"/>
      <c r="AC394" s="481"/>
      <c r="AD394" s="481"/>
      <c r="AE394" s="481"/>
      <c r="AF394" s="481">
        <f t="shared" si="249"/>
        <v>0.5</v>
      </c>
      <c r="AG394" s="548"/>
      <c r="AH394" s="548"/>
      <c r="AI394" s="548"/>
      <c r="AJ394" s="548"/>
      <c r="AK394" s="548"/>
      <c r="AL394" s="548"/>
      <c r="AM394" s="548">
        <f t="shared" si="250"/>
        <v>0</v>
      </c>
      <c r="AN394" s="491">
        <v>1</v>
      </c>
      <c r="AO394" s="481"/>
      <c r="AP394" s="481"/>
      <c r="AQ394" s="481"/>
      <c r="AR394" s="481"/>
      <c r="AS394" s="481"/>
      <c r="AT394" s="481"/>
      <c r="AU394" s="481">
        <f t="shared" si="251"/>
        <v>1</v>
      </c>
      <c r="AV394" s="548"/>
      <c r="AW394" s="548"/>
      <c r="AX394" s="548"/>
      <c r="AY394" s="548"/>
      <c r="AZ394" s="548"/>
      <c r="BA394" s="548"/>
      <c r="BB394" s="548"/>
      <c r="BC394" s="548">
        <f t="shared" si="252"/>
        <v>0</v>
      </c>
      <c r="BD394" s="42">
        <f t="shared" si="247"/>
        <v>1</v>
      </c>
      <c r="BE394" s="42">
        <f t="shared" si="247"/>
        <v>0</v>
      </c>
      <c r="BF394" s="42">
        <f t="shared" si="247"/>
        <v>0.5</v>
      </c>
      <c r="BG394" s="42">
        <f t="shared" si="247"/>
        <v>0</v>
      </c>
      <c r="BH394" s="42">
        <f t="shared" si="247"/>
        <v>0</v>
      </c>
      <c r="BI394" s="42">
        <f t="shared" si="201"/>
        <v>0</v>
      </c>
      <c r="BJ394" s="42">
        <f t="shared" si="248"/>
        <v>0</v>
      </c>
      <c r="BK394" s="42">
        <f t="shared" si="248"/>
        <v>1.5</v>
      </c>
    </row>
    <row r="395" spans="1:63" ht="75.75" customHeight="1" x14ac:dyDescent="0.25">
      <c r="A395" s="298" t="s">
        <v>1135</v>
      </c>
      <c r="B395" s="299" t="s">
        <v>1132</v>
      </c>
      <c r="C395" s="1547"/>
      <c r="D395" s="1549"/>
      <c r="E395" s="1549"/>
      <c r="F395" s="1549"/>
      <c r="G395" s="1549"/>
      <c r="H395" s="1549"/>
      <c r="I395" s="1425"/>
      <c r="J395" s="1425"/>
      <c r="K395" s="1425" t="s">
        <v>1197</v>
      </c>
      <c r="L395" s="301" t="s">
        <v>1140</v>
      </c>
      <c r="M395" s="1425" t="s">
        <v>1102</v>
      </c>
      <c r="N395" s="476"/>
      <c r="O395" s="1425" t="s">
        <v>47</v>
      </c>
      <c r="P395" s="16" t="s">
        <v>1198</v>
      </c>
      <c r="Q395" s="302" t="s">
        <v>1199</v>
      </c>
      <c r="R395" s="303">
        <v>2015</v>
      </c>
      <c r="S395" s="303">
        <v>1</v>
      </c>
      <c r="T395" s="303">
        <v>1</v>
      </c>
      <c r="U395" s="572">
        <v>1</v>
      </c>
      <c r="V395" s="572">
        <v>1</v>
      </c>
      <c r="W395" s="572">
        <v>1</v>
      </c>
      <c r="X395" s="572">
        <f t="shared" si="246"/>
        <v>4</v>
      </c>
      <c r="Y395" s="481"/>
      <c r="Z395" s="481"/>
      <c r="AA395" s="481">
        <v>10</v>
      </c>
      <c r="AB395" s="481"/>
      <c r="AC395" s="481"/>
      <c r="AD395" s="481"/>
      <c r="AE395" s="481"/>
      <c r="AF395" s="481">
        <f t="shared" si="249"/>
        <v>10</v>
      </c>
      <c r="AG395" s="548">
        <v>10</v>
      </c>
      <c r="AH395" s="548"/>
      <c r="AI395" s="548"/>
      <c r="AJ395" s="548"/>
      <c r="AK395" s="548"/>
      <c r="AL395" s="548"/>
      <c r="AM395" s="548">
        <f t="shared" si="250"/>
        <v>10</v>
      </c>
      <c r="AN395" s="481">
        <v>10</v>
      </c>
      <c r="AO395" s="481"/>
      <c r="AP395" s="481">
        <v>10</v>
      </c>
      <c r="AQ395" s="481"/>
      <c r="AR395" s="481"/>
      <c r="AS395" s="481"/>
      <c r="AT395" s="481"/>
      <c r="AU395" s="481">
        <f t="shared" si="251"/>
        <v>20</v>
      </c>
      <c r="AV395" s="548">
        <v>10</v>
      </c>
      <c r="AW395" s="548"/>
      <c r="AX395" s="548">
        <v>10</v>
      </c>
      <c r="AY395" s="548"/>
      <c r="AZ395" s="548"/>
      <c r="BA395" s="548"/>
      <c r="BB395" s="548"/>
      <c r="BC395" s="548">
        <f t="shared" si="252"/>
        <v>20</v>
      </c>
      <c r="BD395" s="42">
        <f t="shared" si="247"/>
        <v>30</v>
      </c>
      <c r="BE395" s="42">
        <f t="shared" si="247"/>
        <v>0</v>
      </c>
      <c r="BF395" s="42">
        <f t="shared" si="247"/>
        <v>30</v>
      </c>
      <c r="BG395" s="42">
        <f t="shared" si="247"/>
        <v>0</v>
      </c>
      <c r="BH395" s="42">
        <f t="shared" si="247"/>
        <v>0</v>
      </c>
      <c r="BI395" s="42">
        <f t="shared" si="201"/>
        <v>0</v>
      </c>
      <c r="BJ395" s="42">
        <f t="shared" si="248"/>
        <v>0</v>
      </c>
      <c r="BK395" s="42">
        <f t="shared" si="248"/>
        <v>60</v>
      </c>
    </row>
    <row r="396" spans="1:63" ht="62.25" customHeight="1" x14ac:dyDescent="0.25">
      <c r="A396" s="298" t="s">
        <v>1135</v>
      </c>
      <c r="B396" s="299" t="s">
        <v>1132</v>
      </c>
      <c r="C396" s="1547"/>
      <c r="D396" s="1549"/>
      <c r="E396" s="1549"/>
      <c r="F396" s="1549"/>
      <c r="G396" s="1549"/>
      <c r="H396" s="1549"/>
      <c r="I396" s="1425"/>
      <c r="J396" s="1425"/>
      <c r="K396" s="1425" t="s">
        <v>1200</v>
      </c>
      <c r="L396" s="301" t="s">
        <v>1140</v>
      </c>
      <c r="M396" s="1425" t="s">
        <v>497</v>
      </c>
      <c r="N396" s="476"/>
      <c r="O396" s="1425" t="s">
        <v>47</v>
      </c>
      <c r="P396" s="16" t="s">
        <v>1201</v>
      </c>
      <c r="Q396" s="302" t="s">
        <v>1202</v>
      </c>
      <c r="R396" s="303">
        <v>2015</v>
      </c>
      <c r="S396" s="303">
        <v>0</v>
      </c>
      <c r="T396" s="303">
        <v>0</v>
      </c>
      <c r="U396" s="572">
        <v>1</v>
      </c>
      <c r="V396" s="572">
        <v>1</v>
      </c>
      <c r="W396" s="572">
        <v>0</v>
      </c>
      <c r="X396" s="572">
        <f t="shared" si="246"/>
        <v>2</v>
      </c>
      <c r="Y396" s="481"/>
      <c r="Z396" s="481"/>
      <c r="AA396" s="481">
        <v>0</v>
      </c>
      <c r="AB396" s="481"/>
      <c r="AC396" s="481"/>
      <c r="AD396" s="481"/>
      <c r="AE396" s="481"/>
      <c r="AF396" s="481">
        <f t="shared" si="249"/>
        <v>0</v>
      </c>
      <c r="AG396" s="491">
        <v>1</v>
      </c>
      <c r="AH396" s="548"/>
      <c r="AI396" s="548"/>
      <c r="AJ396" s="548"/>
      <c r="AK396" s="548"/>
      <c r="AL396" s="548"/>
      <c r="AM396" s="548">
        <f t="shared" si="250"/>
        <v>1</v>
      </c>
      <c r="AN396" s="481"/>
      <c r="AO396" s="481"/>
      <c r="AP396" s="481">
        <v>10</v>
      </c>
      <c r="AQ396" s="481"/>
      <c r="AR396" s="481"/>
      <c r="AS396" s="481"/>
      <c r="AT396" s="481"/>
      <c r="AU396" s="481">
        <f t="shared" si="251"/>
        <v>10</v>
      </c>
      <c r="AV396" s="548"/>
      <c r="AW396" s="548"/>
      <c r="AX396" s="491"/>
      <c r="AY396" s="548"/>
      <c r="AZ396" s="548"/>
      <c r="BA396" s="548"/>
      <c r="BB396" s="548"/>
      <c r="BC396" s="548">
        <f t="shared" si="252"/>
        <v>0</v>
      </c>
      <c r="BD396" s="42">
        <f t="shared" si="247"/>
        <v>1</v>
      </c>
      <c r="BE396" s="42">
        <f t="shared" si="247"/>
        <v>0</v>
      </c>
      <c r="BF396" s="42">
        <f t="shared" si="247"/>
        <v>10</v>
      </c>
      <c r="BG396" s="42">
        <f t="shared" si="247"/>
        <v>0</v>
      </c>
      <c r="BH396" s="42">
        <f t="shared" si="247"/>
        <v>0</v>
      </c>
      <c r="BI396" s="42">
        <f t="shared" si="201"/>
        <v>0</v>
      </c>
      <c r="BJ396" s="42">
        <f t="shared" si="248"/>
        <v>0</v>
      </c>
      <c r="BK396" s="42">
        <f t="shared" si="248"/>
        <v>11</v>
      </c>
    </row>
    <row r="397" spans="1:63" ht="58.5" customHeight="1" x14ac:dyDescent="0.25">
      <c r="A397" s="298" t="s">
        <v>1135</v>
      </c>
      <c r="B397" s="299" t="s">
        <v>1132</v>
      </c>
      <c r="C397" s="1547"/>
      <c r="D397" s="1549"/>
      <c r="E397" s="1549"/>
      <c r="F397" s="1549"/>
      <c r="G397" s="1549"/>
      <c r="H397" s="1549"/>
      <c r="I397" s="1425"/>
      <c r="J397" s="1425"/>
      <c r="K397" s="1425" t="s">
        <v>1203</v>
      </c>
      <c r="L397" s="301" t="s">
        <v>1140</v>
      </c>
      <c r="M397" s="1425" t="s">
        <v>497</v>
      </c>
      <c r="N397" s="476"/>
      <c r="O397" s="1425" t="s">
        <v>47</v>
      </c>
      <c r="P397" s="16" t="s">
        <v>1204</v>
      </c>
      <c r="Q397" s="302" t="s">
        <v>1205</v>
      </c>
      <c r="R397" s="303">
        <v>2015</v>
      </c>
      <c r="S397" s="303">
        <v>0</v>
      </c>
      <c r="T397" s="303">
        <v>1</v>
      </c>
      <c r="U397" s="572">
        <v>1</v>
      </c>
      <c r="V397" s="572">
        <v>1</v>
      </c>
      <c r="W397" s="572">
        <v>1</v>
      </c>
      <c r="X397" s="572">
        <f t="shared" si="246"/>
        <v>4</v>
      </c>
      <c r="Y397" s="481"/>
      <c r="Z397" s="481"/>
      <c r="AA397" s="491">
        <v>1.5</v>
      </c>
      <c r="AB397" s="481"/>
      <c r="AC397" s="481"/>
      <c r="AD397" s="481"/>
      <c r="AE397" s="481"/>
      <c r="AF397" s="481">
        <f t="shared" si="249"/>
        <v>1.5</v>
      </c>
      <c r="AG397" s="491">
        <v>1</v>
      </c>
      <c r="AH397" s="548"/>
      <c r="AI397" s="548"/>
      <c r="AJ397" s="548"/>
      <c r="AK397" s="548"/>
      <c r="AL397" s="548"/>
      <c r="AM397" s="548">
        <f t="shared" si="250"/>
        <v>1</v>
      </c>
      <c r="AN397" s="491">
        <v>1</v>
      </c>
      <c r="AO397" s="481"/>
      <c r="AP397" s="481"/>
      <c r="AQ397" s="481"/>
      <c r="AR397" s="481"/>
      <c r="AS397" s="481"/>
      <c r="AT397" s="481"/>
      <c r="AU397" s="481">
        <f t="shared" si="251"/>
        <v>1</v>
      </c>
      <c r="AV397" s="548"/>
      <c r="AW397" s="548"/>
      <c r="AX397" s="491">
        <v>10</v>
      </c>
      <c r="AY397" s="548"/>
      <c r="AZ397" s="548"/>
      <c r="BA397" s="548"/>
      <c r="BB397" s="548"/>
      <c r="BC397" s="548">
        <f t="shared" si="252"/>
        <v>10</v>
      </c>
      <c r="BD397" s="42">
        <f t="shared" si="247"/>
        <v>2</v>
      </c>
      <c r="BE397" s="42">
        <f t="shared" si="247"/>
        <v>0</v>
      </c>
      <c r="BF397" s="42">
        <f t="shared" si="247"/>
        <v>11.5</v>
      </c>
      <c r="BG397" s="42">
        <f t="shared" si="247"/>
        <v>0</v>
      </c>
      <c r="BH397" s="42">
        <f t="shared" si="247"/>
        <v>0</v>
      </c>
      <c r="BI397" s="42">
        <f t="shared" si="201"/>
        <v>0</v>
      </c>
      <c r="BJ397" s="42">
        <f t="shared" si="248"/>
        <v>0</v>
      </c>
      <c r="BK397" s="42">
        <f t="shared" si="248"/>
        <v>13.5</v>
      </c>
    </row>
    <row r="398" spans="1:63" ht="69.75" customHeight="1" x14ac:dyDescent="0.25">
      <c r="A398" s="298" t="s">
        <v>1135</v>
      </c>
      <c r="B398" s="299" t="s">
        <v>1132</v>
      </c>
      <c r="C398" s="1547"/>
      <c r="D398" s="1549"/>
      <c r="E398" s="1549"/>
      <c r="F398" s="1549"/>
      <c r="G398" s="1549"/>
      <c r="H398" s="1549"/>
      <c r="I398" s="1425"/>
      <c r="J398" s="1425"/>
      <c r="K398" s="1425" t="s">
        <v>1206</v>
      </c>
      <c r="L398" s="301" t="s">
        <v>1140</v>
      </c>
      <c r="M398" s="1425" t="s">
        <v>497</v>
      </c>
      <c r="N398" s="476"/>
      <c r="O398" s="1425" t="s">
        <v>47</v>
      </c>
      <c r="P398" s="16" t="s">
        <v>1207</v>
      </c>
      <c r="Q398" s="302" t="s">
        <v>1208</v>
      </c>
      <c r="R398" s="303">
        <v>2015</v>
      </c>
      <c r="S398" s="303">
        <v>0</v>
      </c>
      <c r="T398" s="303">
        <v>0</v>
      </c>
      <c r="U398" s="572">
        <v>1</v>
      </c>
      <c r="V398" s="572">
        <v>0</v>
      </c>
      <c r="W398" s="572">
        <v>1</v>
      </c>
      <c r="X398" s="572">
        <v>2</v>
      </c>
      <c r="Y398" s="481"/>
      <c r="Z398" s="481"/>
      <c r="AA398" s="481"/>
      <c r="AB398" s="481"/>
      <c r="AC398" s="481"/>
      <c r="AD398" s="481"/>
      <c r="AE398" s="481"/>
      <c r="AF398" s="481"/>
      <c r="AG398" s="491">
        <v>1</v>
      </c>
      <c r="AH398" s="548"/>
      <c r="AI398" s="716">
        <v>15</v>
      </c>
      <c r="AJ398" s="548"/>
      <c r="AK398" s="548"/>
      <c r="AL398" s="548"/>
      <c r="AM398" s="548">
        <f t="shared" si="250"/>
        <v>16</v>
      </c>
      <c r="AN398" s="481"/>
      <c r="AO398" s="481"/>
      <c r="AP398" s="481"/>
      <c r="AQ398" s="481"/>
      <c r="AR398" s="481"/>
      <c r="AS398" s="481"/>
      <c r="AT398" s="481"/>
      <c r="AU398" s="481"/>
      <c r="AV398" s="491">
        <v>1</v>
      </c>
      <c r="AW398" s="548"/>
      <c r="AX398" s="548"/>
      <c r="AY398" s="548"/>
      <c r="AZ398" s="548"/>
      <c r="BA398" s="548"/>
      <c r="BB398" s="548"/>
      <c r="BC398" s="548">
        <f>SUM(AV398:BB398)</f>
        <v>1</v>
      </c>
      <c r="BD398" s="42"/>
      <c r="BE398" s="42"/>
      <c r="BF398" s="42"/>
      <c r="BG398" s="42"/>
      <c r="BH398" s="42"/>
      <c r="BI398" s="42">
        <f t="shared" si="201"/>
        <v>0</v>
      </c>
      <c r="BJ398" s="42"/>
      <c r="BK398" s="42"/>
    </row>
    <row r="399" spans="1:63" ht="60" customHeight="1" x14ac:dyDescent="0.25">
      <c r="A399" s="298" t="s">
        <v>1135</v>
      </c>
      <c r="B399" s="299" t="s">
        <v>1132</v>
      </c>
      <c r="C399" s="1547"/>
      <c r="D399" s="1549"/>
      <c r="E399" s="1549"/>
      <c r="F399" s="1549"/>
      <c r="G399" s="1549"/>
      <c r="H399" s="1549"/>
      <c r="I399" s="1425"/>
      <c r="J399" s="1425"/>
      <c r="K399" s="1425" t="s">
        <v>1209</v>
      </c>
      <c r="L399" s="301" t="s">
        <v>1140</v>
      </c>
      <c r="M399" s="1425" t="s">
        <v>497</v>
      </c>
      <c r="N399" s="476"/>
      <c r="O399" s="1425" t="s">
        <v>47</v>
      </c>
      <c r="P399" s="16" t="s">
        <v>1210</v>
      </c>
      <c r="Q399" s="302" t="s">
        <v>1211</v>
      </c>
      <c r="R399" s="303">
        <v>2015</v>
      </c>
      <c r="S399" s="303">
        <v>0</v>
      </c>
      <c r="T399" s="303">
        <v>1</v>
      </c>
      <c r="U399" s="572">
        <v>1</v>
      </c>
      <c r="V399" s="572">
        <v>0</v>
      </c>
      <c r="W399" s="572">
        <v>0</v>
      </c>
      <c r="X399" s="572">
        <f t="shared" si="246"/>
        <v>2</v>
      </c>
      <c r="Y399" s="481"/>
      <c r="Z399" s="481"/>
      <c r="AA399" s="491">
        <v>1</v>
      </c>
      <c r="AB399" s="481"/>
      <c r="AC399" s="481"/>
      <c r="AD399" s="481"/>
      <c r="AE399" s="481"/>
      <c r="AF399" s="481">
        <f t="shared" si="249"/>
        <v>1</v>
      </c>
      <c r="AG399" s="491">
        <v>1</v>
      </c>
      <c r="AH399" s="548"/>
      <c r="AI399" s="548"/>
      <c r="AJ399" s="548"/>
      <c r="AK399" s="548"/>
      <c r="AL399" s="548"/>
      <c r="AM399" s="548">
        <f t="shared" si="250"/>
        <v>1</v>
      </c>
      <c r="AN399" s="481"/>
      <c r="AO399" s="481"/>
      <c r="AP399" s="481"/>
      <c r="AQ399" s="481"/>
      <c r="AR399" s="481"/>
      <c r="AS399" s="481"/>
      <c r="AT399" s="481"/>
      <c r="AU399" s="481">
        <f t="shared" si="251"/>
        <v>0</v>
      </c>
      <c r="AV399" s="548"/>
      <c r="AW399" s="548"/>
      <c r="AX399" s="548"/>
      <c r="AY399" s="548"/>
      <c r="AZ399" s="548"/>
      <c r="BA399" s="548"/>
      <c r="BB399" s="548"/>
      <c r="BC399" s="548">
        <f t="shared" si="252"/>
        <v>0</v>
      </c>
      <c r="BD399" s="42">
        <f t="shared" ref="BD399:BH431" si="253">+AV399+AN399+AG399+Y399</f>
        <v>1</v>
      </c>
      <c r="BE399" s="42">
        <f t="shared" si="253"/>
        <v>0</v>
      </c>
      <c r="BF399" s="42">
        <f t="shared" si="253"/>
        <v>1</v>
      </c>
      <c r="BG399" s="42">
        <f t="shared" si="253"/>
        <v>0</v>
      </c>
      <c r="BH399" s="42">
        <f t="shared" si="253"/>
        <v>0</v>
      </c>
      <c r="BI399" s="42">
        <f t="shared" si="201"/>
        <v>0</v>
      </c>
      <c r="BJ399" s="42">
        <f t="shared" ref="BJ399:BK431" si="254">+BB399+AT399+AL399+AE399</f>
        <v>0</v>
      </c>
      <c r="BK399" s="42">
        <f t="shared" si="254"/>
        <v>2</v>
      </c>
    </row>
    <row r="400" spans="1:63" ht="65.25" customHeight="1" x14ac:dyDescent="0.25">
      <c r="A400" s="298" t="s">
        <v>1135</v>
      </c>
      <c r="B400" s="299" t="s">
        <v>1132</v>
      </c>
      <c r="C400" s="1547"/>
      <c r="D400" s="1549"/>
      <c r="E400" s="1549"/>
      <c r="F400" s="1549"/>
      <c r="G400" s="1549"/>
      <c r="H400" s="1549"/>
      <c r="I400" s="1425"/>
      <c r="J400" s="1425"/>
      <c r="K400" s="1425" t="s">
        <v>1212</v>
      </c>
      <c r="L400" s="301" t="s">
        <v>1140</v>
      </c>
      <c r="M400" s="1425" t="s">
        <v>497</v>
      </c>
      <c r="N400" s="476"/>
      <c r="O400" s="1425" t="s">
        <v>47</v>
      </c>
      <c r="P400" s="16" t="s">
        <v>1213</v>
      </c>
      <c r="Q400" s="302" t="s">
        <v>1016</v>
      </c>
      <c r="R400" s="303">
        <v>2015</v>
      </c>
      <c r="S400" s="303">
        <v>0</v>
      </c>
      <c r="T400" s="303">
        <v>1</v>
      </c>
      <c r="U400" s="572">
        <v>1</v>
      </c>
      <c r="V400" s="572">
        <v>0</v>
      </c>
      <c r="W400" s="572">
        <v>0</v>
      </c>
      <c r="X400" s="572">
        <f>SUBTOTAL(9,T400:W400)</f>
        <v>2</v>
      </c>
      <c r="Y400" s="481"/>
      <c r="Z400" s="481"/>
      <c r="AA400" s="491">
        <v>1</v>
      </c>
      <c r="AB400" s="481"/>
      <c r="AC400" s="481"/>
      <c r="AD400" s="481"/>
      <c r="AE400" s="481"/>
      <c r="AF400" s="481">
        <f>SUM(Y400:AE400)</f>
        <v>1</v>
      </c>
      <c r="AG400" s="491">
        <v>1</v>
      </c>
      <c r="AH400" s="548"/>
      <c r="AI400" s="548"/>
      <c r="AJ400" s="548"/>
      <c r="AK400" s="548"/>
      <c r="AL400" s="548"/>
      <c r="AM400" s="548">
        <f t="shared" si="250"/>
        <v>1</v>
      </c>
      <c r="AN400" s="481"/>
      <c r="AO400" s="481"/>
      <c r="AP400" s="481"/>
      <c r="AQ400" s="481"/>
      <c r="AR400" s="481"/>
      <c r="AS400" s="481"/>
      <c r="AT400" s="481"/>
      <c r="AU400" s="481">
        <f>SUM(AN400:AT400)</f>
        <v>0</v>
      </c>
      <c r="AV400" s="548"/>
      <c r="AW400" s="548"/>
      <c r="AX400" s="548"/>
      <c r="AY400" s="548"/>
      <c r="AZ400" s="548"/>
      <c r="BA400" s="548"/>
      <c r="BB400" s="548"/>
      <c r="BC400" s="548">
        <f>SUM(AV400:BB400)</f>
        <v>0</v>
      </c>
      <c r="BD400" s="42">
        <f>+AV400+AN400+AG400+Y400</f>
        <v>1</v>
      </c>
      <c r="BE400" s="42">
        <f>+AW400+AO400+AH400+Z400</f>
        <v>0</v>
      </c>
      <c r="BF400" s="42">
        <f>+AX400+AP400+AI400+AA400</f>
        <v>1</v>
      </c>
      <c r="BG400" s="42">
        <f>+AY400+AQ400+AJ400+AB400</f>
        <v>0</v>
      </c>
      <c r="BH400" s="42">
        <f>+AZ400+AR400+AK400+AC400</f>
        <v>0</v>
      </c>
      <c r="BI400" s="42">
        <f t="shared" si="201"/>
        <v>0</v>
      </c>
      <c r="BJ400" s="42">
        <f>+BB400+AT400+AL400+AE400</f>
        <v>0</v>
      </c>
      <c r="BK400" s="42">
        <f>+BC400+AU400+AM400+AF400</f>
        <v>2</v>
      </c>
    </row>
    <row r="401" spans="1:64" ht="65.25" customHeight="1" x14ac:dyDescent="0.25">
      <c r="A401" s="298" t="s">
        <v>1135</v>
      </c>
      <c r="B401" s="299" t="s">
        <v>1132</v>
      </c>
      <c r="C401" s="1548"/>
      <c r="D401" s="1549"/>
      <c r="E401" s="1549"/>
      <c r="F401" s="1549"/>
      <c r="G401" s="1549"/>
      <c r="H401" s="1549"/>
      <c r="I401" s="1425"/>
      <c r="J401" s="1425"/>
      <c r="K401" s="1425" t="s">
        <v>1214</v>
      </c>
      <c r="L401" s="301" t="s">
        <v>1140</v>
      </c>
      <c r="M401" s="1425" t="s">
        <v>497</v>
      </c>
      <c r="N401" s="476"/>
      <c r="O401" s="1425" t="s">
        <v>47</v>
      </c>
      <c r="P401" s="16" t="s">
        <v>1215</v>
      </c>
      <c r="Q401" s="302" t="s">
        <v>1216</v>
      </c>
      <c r="R401" s="303">
        <v>2015</v>
      </c>
      <c r="S401" s="303">
        <v>0</v>
      </c>
      <c r="T401" s="303">
        <v>0</v>
      </c>
      <c r="U401" s="572">
        <v>1</v>
      </c>
      <c r="V401" s="572">
        <v>1</v>
      </c>
      <c r="W401" s="572">
        <v>0</v>
      </c>
      <c r="X401" s="572">
        <f t="shared" si="246"/>
        <v>2</v>
      </c>
      <c r="Y401" s="481"/>
      <c r="Z401" s="481"/>
      <c r="AA401" s="481"/>
      <c r="AB401" s="481"/>
      <c r="AC401" s="481"/>
      <c r="AD401" s="481"/>
      <c r="AE401" s="481"/>
      <c r="AF401" s="481">
        <f t="shared" si="249"/>
        <v>0</v>
      </c>
      <c r="AG401" s="491">
        <v>1</v>
      </c>
      <c r="AH401" s="548"/>
      <c r="AI401" s="548"/>
      <c r="AJ401" s="548"/>
      <c r="AK401" s="548"/>
      <c r="AL401" s="548"/>
      <c r="AM401" s="548">
        <f t="shared" si="250"/>
        <v>1</v>
      </c>
      <c r="AN401" s="491">
        <v>1</v>
      </c>
      <c r="AO401" s="481"/>
      <c r="AP401" s="481"/>
      <c r="AQ401" s="481"/>
      <c r="AR401" s="481"/>
      <c r="AS401" s="481"/>
      <c r="AT401" s="481"/>
      <c r="AU401" s="481">
        <f t="shared" si="251"/>
        <v>1</v>
      </c>
      <c r="AV401" s="548"/>
      <c r="AW401" s="548"/>
      <c r="AX401" s="548"/>
      <c r="AY401" s="548"/>
      <c r="AZ401" s="548"/>
      <c r="BA401" s="548"/>
      <c r="BB401" s="548"/>
      <c r="BC401" s="548">
        <f t="shared" si="252"/>
        <v>0</v>
      </c>
      <c r="BD401" s="42">
        <f t="shared" si="253"/>
        <v>2</v>
      </c>
      <c r="BE401" s="42">
        <f t="shared" si="253"/>
        <v>0</v>
      </c>
      <c r="BF401" s="42">
        <f t="shared" si="253"/>
        <v>0</v>
      </c>
      <c r="BG401" s="42">
        <f t="shared" si="253"/>
        <v>0</v>
      </c>
      <c r="BH401" s="42">
        <f t="shared" si="253"/>
        <v>0</v>
      </c>
      <c r="BI401" s="42">
        <f t="shared" si="201"/>
        <v>0</v>
      </c>
      <c r="BJ401" s="42">
        <f t="shared" si="254"/>
        <v>0</v>
      </c>
      <c r="BK401" s="42">
        <f t="shared" si="254"/>
        <v>2</v>
      </c>
    </row>
    <row r="402" spans="1:64" ht="20.399999999999999" x14ac:dyDescent="0.25">
      <c r="A402" s="420"/>
      <c r="B402" s="1565" t="s">
        <v>1217</v>
      </c>
      <c r="C402" s="1566"/>
      <c r="D402" s="1566"/>
      <c r="E402" s="1566"/>
      <c r="F402" s="1566"/>
      <c r="G402" s="1566"/>
      <c r="H402" s="1566"/>
      <c r="I402" s="1566"/>
      <c r="J402" s="1566"/>
      <c r="K402" s="1566"/>
      <c r="L402" s="1566"/>
      <c r="M402" s="1567"/>
      <c r="N402" s="597"/>
      <c r="O402" s="597"/>
      <c r="P402" s="598"/>
      <c r="Q402" s="598"/>
      <c r="R402" s="597"/>
      <c r="S402" s="597"/>
      <c r="T402" s="597"/>
      <c r="U402" s="599"/>
      <c r="V402" s="599"/>
      <c r="W402" s="599"/>
      <c r="X402" s="599"/>
      <c r="Y402" s="600">
        <f>+Y403</f>
        <v>3</v>
      </c>
      <c r="Z402" s="600">
        <f t="shared" ref="Z402:AE402" si="255">+Z403</f>
        <v>0</v>
      </c>
      <c r="AA402" s="600">
        <f t="shared" si="255"/>
        <v>47</v>
      </c>
      <c r="AB402" s="600">
        <f t="shared" si="255"/>
        <v>0</v>
      </c>
      <c r="AC402" s="600">
        <f t="shared" si="255"/>
        <v>0</v>
      </c>
      <c r="AD402" s="600">
        <f t="shared" si="255"/>
        <v>0</v>
      </c>
      <c r="AE402" s="600">
        <f t="shared" si="255"/>
        <v>0</v>
      </c>
      <c r="AF402" s="600">
        <f t="shared" si="249"/>
        <v>50</v>
      </c>
      <c r="AG402" s="600">
        <f t="shared" ref="AG402:AL402" si="256">+AG403</f>
        <v>3</v>
      </c>
      <c r="AH402" s="600">
        <f t="shared" si="256"/>
        <v>0</v>
      </c>
      <c r="AI402" s="600">
        <f t="shared" si="256"/>
        <v>56</v>
      </c>
      <c r="AJ402" s="600">
        <f t="shared" si="256"/>
        <v>0</v>
      </c>
      <c r="AK402" s="600">
        <f t="shared" si="256"/>
        <v>0</v>
      </c>
      <c r="AL402" s="600">
        <f t="shared" si="256"/>
        <v>0</v>
      </c>
      <c r="AM402" s="600">
        <f t="shared" si="250"/>
        <v>59</v>
      </c>
      <c r="AN402" s="600">
        <f t="shared" ref="AN402:AT402" si="257">+AN403</f>
        <v>3</v>
      </c>
      <c r="AO402" s="600">
        <f t="shared" si="257"/>
        <v>0</v>
      </c>
      <c r="AP402" s="600">
        <f t="shared" si="257"/>
        <v>47</v>
      </c>
      <c r="AQ402" s="600">
        <f t="shared" si="257"/>
        <v>0</v>
      </c>
      <c r="AR402" s="600">
        <f t="shared" si="257"/>
        <v>0</v>
      </c>
      <c r="AS402" s="600">
        <f t="shared" si="257"/>
        <v>0</v>
      </c>
      <c r="AT402" s="600">
        <f t="shared" si="257"/>
        <v>0</v>
      </c>
      <c r="AU402" s="600">
        <f t="shared" si="251"/>
        <v>50</v>
      </c>
      <c r="AV402" s="600">
        <f t="shared" ref="AV402:BB402" si="258">+AV403</f>
        <v>3</v>
      </c>
      <c r="AW402" s="600">
        <f t="shared" si="258"/>
        <v>0</v>
      </c>
      <c r="AX402" s="600">
        <f t="shared" si="258"/>
        <v>47</v>
      </c>
      <c r="AY402" s="600">
        <f t="shared" si="258"/>
        <v>0</v>
      </c>
      <c r="AZ402" s="600">
        <f t="shared" si="258"/>
        <v>0</v>
      </c>
      <c r="BA402" s="600">
        <f t="shared" si="258"/>
        <v>0</v>
      </c>
      <c r="BB402" s="600">
        <f t="shared" si="258"/>
        <v>0</v>
      </c>
      <c r="BC402" s="600">
        <f t="shared" si="252"/>
        <v>50</v>
      </c>
      <c r="BD402" s="33">
        <f t="shared" si="253"/>
        <v>12</v>
      </c>
      <c r="BE402" s="33">
        <f t="shared" si="253"/>
        <v>0</v>
      </c>
      <c r="BF402" s="33">
        <f t="shared" si="253"/>
        <v>197</v>
      </c>
      <c r="BG402" s="33">
        <f t="shared" si="253"/>
        <v>0</v>
      </c>
      <c r="BH402" s="33">
        <f t="shared" si="253"/>
        <v>0</v>
      </c>
      <c r="BI402" s="33">
        <f t="shared" si="201"/>
        <v>0</v>
      </c>
      <c r="BJ402" s="33">
        <f t="shared" si="254"/>
        <v>0</v>
      </c>
      <c r="BK402" s="33">
        <f t="shared" si="254"/>
        <v>209</v>
      </c>
    </row>
    <row r="403" spans="1:64" x14ac:dyDescent="0.25">
      <c r="A403" s="603"/>
      <c r="B403" s="155" t="s">
        <v>1218</v>
      </c>
      <c r="C403" s="155"/>
      <c r="D403" s="2" t="s">
        <v>1219</v>
      </c>
      <c r="E403" s="1"/>
      <c r="F403" s="1"/>
      <c r="G403" s="1"/>
      <c r="H403" s="1"/>
      <c r="I403" s="1"/>
      <c r="J403" s="1"/>
      <c r="K403" s="1"/>
      <c r="L403" s="1"/>
      <c r="M403" s="1"/>
      <c r="N403" s="1"/>
      <c r="O403" s="1"/>
      <c r="P403" s="22"/>
      <c r="Q403" s="22"/>
      <c r="R403" s="1"/>
      <c r="S403" s="1"/>
      <c r="T403" s="1"/>
      <c r="U403" s="49"/>
      <c r="V403" s="49"/>
      <c r="W403" s="49"/>
      <c r="X403" s="49"/>
      <c r="Y403" s="34">
        <f>SUM(Y404:Y414)</f>
        <v>3</v>
      </c>
      <c r="Z403" s="34">
        <f t="shared" ref="Z403:BC403" si="259">SUM(Z404:Z414)</f>
        <v>0</v>
      </c>
      <c r="AA403" s="34">
        <f t="shared" si="259"/>
        <v>47</v>
      </c>
      <c r="AB403" s="34">
        <f t="shared" si="259"/>
        <v>0</v>
      </c>
      <c r="AC403" s="34">
        <f t="shared" si="259"/>
        <v>0</v>
      </c>
      <c r="AD403" s="34">
        <f t="shared" si="259"/>
        <v>0</v>
      </c>
      <c r="AE403" s="34">
        <f t="shared" si="259"/>
        <v>0</v>
      </c>
      <c r="AF403" s="34">
        <f t="shared" si="259"/>
        <v>50</v>
      </c>
      <c r="AG403" s="34">
        <f t="shared" si="259"/>
        <v>3</v>
      </c>
      <c r="AH403" s="34">
        <f t="shared" si="259"/>
        <v>0</v>
      </c>
      <c r="AI403" s="34">
        <f t="shared" si="259"/>
        <v>56</v>
      </c>
      <c r="AJ403" s="34">
        <f t="shared" si="259"/>
        <v>0</v>
      </c>
      <c r="AK403" s="34">
        <f t="shared" si="259"/>
        <v>0</v>
      </c>
      <c r="AL403" s="34">
        <f t="shared" si="259"/>
        <v>0</v>
      </c>
      <c r="AM403" s="34">
        <f t="shared" si="250"/>
        <v>59</v>
      </c>
      <c r="AN403" s="34">
        <f t="shared" si="259"/>
        <v>3</v>
      </c>
      <c r="AO403" s="34">
        <f t="shared" si="259"/>
        <v>0</v>
      </c>
      <c r="AP403" s="34">
        <f t="shared" si="259"/>
        <v>47</v>
      </c>
      <c r="AQ403" s="34">
        <f t="shared" si="259"/>
        <v>0</v>
      </c>
      <c r="AR403" s="34">
        <f t="shared" si="259"/>
        <v>0</v>
      </c>
      <c r="AS403" s="34">
        <f t="shared" si="259"/>
        <v>0</v>
      </c>
      <c r="AT403" s="34">
        <f t="shared" si="259"/>
        <v>0</v>
      </c>
      <c r="AU403" s="34">
        <f t="shared" si="259"/>
        <v>50</v>
      </c>
      <c r="AV403" s="34">
        <f t="shared" si="259"/>
        <v>3</v>
      </c>
      <c r="AW403" s="34">
        <f t="shared" si="259"/>
        <v>0</v>
      </c>
      <c r="AX403" s="34">
        <f t="shared" si="259"/>
        <v>47</v>
      </c>
      <c r="AY403" s="34">
        <f t="shared" si="259"/>
        <v>0</v>
      </c>
      <c r="AZ403" s="34">
        <f t="shared" si="259"/>
        <v>0</v>
      </c>
      <c r="BA403" s="34">
        <f t="shared" si="259"/>
        <v>0</v>
      </c>
      <c r="BB403" s="34">
        <f t="shared" si="259"/>
        <v>0</v>
      </c>
      <c r="BC403" s="34">
        <f t="shared" si="259"/>
        <v>50</v>
      </c>
      <c r="BD403" s="34">
        <f t="shared" si="253"/>
        <v>12</v>
      </c>
      <c r="BE403" s="34">
        <f t="shared" si="253"/>
        <v>0</v>
      </c>
      <c r="BF403" s="34">
        <f t="shared" si="253"/>
        <v>197</v>
      </c>
      <c r="BG403" s="34">
        <f t="shared" si="253"/>
        <v>0</v>
      </c>
      <c r="BH403" s="34">
        <f t="shared" si="253"/>
        <v>0</v>
      </c>
      <c r="BI403" s="34">
        <f t="shared" si="201"/>
        <v>0</v>
      </c>
      <c r="BJ403" s="34">
        <f t="shared" si="254"/>
        <v>0</v>
      </c>
      <c r="BK403" s="34">
        <f t="shared" si="254"/>
        <v>209</v>
      </c>
    </row>
    <row r="404" spans="1:64" ht="40.5" customHeight="1" x14ac:dyDescent="0.25">
      <c r="A404" s="298" t="s">
        <v>1220</v>
      </c>
      <c r="B404" s="299" t="s">
        <v>1218</v>
      </c>
      <c r="C404" s="1546" t="s">
        <v>1221</v>
      </c>
      <c r="D404" s="1549" t="s">
        <v>1222</v>
      </c>
      <c r="E404" s="1549" t="s">
        <v>1223</v>
      </c>
      <c r="F404" s="1549">
        <v>2015</v>
      </c>
      <c r="G404" s="1549" t="s">
        <v>177</v>
      </c>
      <c r="H404" s="1549">
        <v>70</v>
      </c>
      <c r="I404" s="1425"/>
      <c r="J404" s="1425"/>
      <c r="K404" s="1425" t="s">
        <v>1224</v>
      </c>
      <c r="L404" s="301" t="s">
        <v>1140</v>
      </c>
      <c r="M404" s="1425" t="s">
        <v>1225</v>
      </c>
      <c r="N404" s="1425" t="s">
        <v>1226</v>
      </c>
      <c r="O404" s="1425" t="s">
        <v>47</v>
      </c>
      <c r="P404" s="16" t="s">
        <v>1227</v>
      </c>
      <c r="Q404" s="302" t="s">
        <v>1228</v>
      </c>
      <c r="R404" s="303">
        <v>2015</v>
      </c>
      <c r="S404" s="303">
        <v>0</v>
      </c>
      <c r="T404" s="303">
        <v>1</v>
      </c>
      <c r="U404" s="303">
        <v>1</v>
      </c>
      <c r="V404" s="303">
        <v>1</v>
      </c>
      <c r="W404" s="303">
        <v>1</v>
      </c>
      <c r="X404" s="303">
        <v>4</v>
      </c>
      <c r="Y404" s="481">
        <v>0</v>
      </c>
      <c r="Z404" s="481">
        <v>0</v>
      </c>
      <c r="AA404" s="584">
        <v>7</v>
      </c>
      <c r="AB404" s="481">
        <v>0</v>
      </c>
      <c r="AC404" s="481">
        <v>0</v>
      </c>
      <c r="AD404" s="481">
        <v>0</v>
      </c>
      <c r="AE404" s="481">
        <v>0</v>
      </c>
      <c r="AF404" s="481">
        <f t="shared" ref="AF404:AF414" si="260">SUM(Y404:AE404)</f>
        <v>7</v>
      </c>
      <c r="AG404" s="548">
        <v>0</v>
      </c>
      <c r="AH404" s="548">
        <v>0</v>
      </c>
      <c r="AI404" s="592">
        <v>7</v>
      </c>
      <c r="AJ404" s="548">
        <v>0</v>
      </c>
      <c r="AK404" s="548">
        <v>0</v>
      </c>
      <c r="AL404" s="548">
        <v>0</v>
      </c>
      <c r="AM404" s="548">
        <f t="shared" ref="AM404:AM412" si="261">SUM(AG404:AL404)</f>
        <v>7</v>
      </c>
      <c r="AN404" s="481">
        <v>0</v>
      </c>
      <c r="AO404" s="481">
        <v>0</v>
      </c>
      <c r="AP404" s="584">
        <v>7</v>
      </c>
      <c r="AQ404" s="481">
        <v>0</v>
      </c>
      <c r="AR404" s="481">
        <v>0</v>
      </c>
      <c r="AS404" s="481">
        <v>0</v>
      </c>
      <c r="AT404" s="481">
        <v>0</v>
      </c>
      <c r="AU404" s="481">
        <f t="shared" ref="AU404:AU414" si="262">SUM(AN404:AT404)</f>
        <v>7</v>
      </c>
      <c r="AV404" s="548">
        <v>0</v>
      </c>
      <c r="AW404" s="548">
        <v>0</v>
      </c>
      <c r="AX404" s="592">
        <v>7</v>
      </c>
      <c r="AY404" s="548">
        <v>0</v>
      </c>
      <c r="AZ404" s="548">
        <v>0</v>
      </c>
      <c r="BA404" s="548">
        <v>0</v>
      </c>
      <c r="BB404" s="548">
        <v>0</v>
      </c>
      <c r="BC404" s="548">
        <f t="shared" ref="BC404:BC414" si="263">SUM(AV404:BB404)</f>
        <v>7</v>
      </c>
      <c r="BD404" s="42">
        <f t="shared" si="253"/>
        <v>0</v>
      </c>
      <c r="BE404" s="42">
        <f t="shared" si="253"/>
        <v>0</v>
      </c>
      <c r="BF404" s="35">
        <f t="shared" si="253"/>
        <v>28</v>
      </c>
      <c r="BG404" s="42">
        <f t="shared" si="253"/>
        <v>0</v>
      </c>
      <c r="BH404" s="42">
        <f t="shared" si="253"/>
        <v>0</v>
      </c>
      <c r="BI404" s="42">
        <f t="shared" ref="BI404:BI470" si="264">+AD404+AS404+BA404</f>
        <v>0</v>
      </c>
      <c r="BJ404" s="42">
        <f t="shared" si="254"/>
        <v>0</v>
      </c>
      <c r="BK404" s="42">
        <f t="shared" si="254"/>
        <v>28</v>
      </c>
      <c r="BL404" s="3"/>
    </row>
    <row r="405" spans="1:64" ht="54.75" customHeight="1" x14ac:dyDescent="0.25">
      <c r="A405" s="298" t="s">
        <v>1220</v>
      </c>
      <c r="B405" s="299" t="s">
        <v>1218</v>
      </c>
      <c r="C405" s="1547"/>
      <c r="D405" s="1549"/>
      <c r="E405" s="1549"/>
      <c r="F405" s="1549"/>
      <c r="G405" s="1549"/>
      <c r="H405" s="1549"/>
      <c r="I405" s="1425"/>
      <c r="J405" s="1425"/>
      <c r="K405" s="1425" t="s">
        <v>1229</v>
      </c>
      <c r="L405" s="301" t="s">
        <v>1140</v>
      </c>
      <c r="M405" s="1425" t="s">
        <v>1225</v>
      </c>
      <c r="N405" s="1425" t="s">
        <v>1226</v>
      </c>
      <c r="O405" s="1425" t="s">
        <v>47</v>
      </c>
      <c r="P405" s="16" t="s">
        <v>1230</v>
      </c>
      <c r="Q405" s="302" t="s">
        <v>1231</v>
      </c>
      <c r="R405" s="303">
        <v>2015</v>
      </c>
      <c r="S405" s="303">
        <v>0</v>
      </c>
      <c r="T405" s="303">
        <v>1</v>
      </c>
      <c r="U405" s="303">
        <v>1</v>
      </c>
      <c r="V405" s="303">
        <v>1</v>
      </c>
      <c r="W405" s="303">
        <v>1</v>
      </c>
      <c r="X405" s="303">
        <v>4</v>
      </c>
      <c r="Y405" s="481">
        <v>0</v>
      </c>
      <c r="Z405" s="481">
        <v>0</v>
      </c>
      <c r="AA405" s="500">
        <v>5</v>
      </c>
      <c r="AB405" s="481">
        <v>0</v>
      </c>
      <c r="AC405" s="481">
        <v>0</v>
      </c>
      <c r="AD405" s="481">
        <v>0</v>
      </c>
      <c r="AE405" s="481">
        <v>0</v>
      </c>
      <c r="AF405" s="481">
        <f t="shared" si="260"/>
        <v>5</v>
      </c>
      <c r="AG405" s="491">
        <v>1</v>
      </c>
      <c r="AH405" s="548">
        <v>0</v>
      </c>
      <c r="AI405" s="592">
        <v>0</v>
      </c>
      <c r="AJ405" s="548">
        <v>0</v>
      </c>
      <c r="AK405" s="548">
        <v>0</v>
      </c>
      <c r="AL405" s="548">
        <v>0</v>
      </c>
      <c r="AM405" s="548">
        <f t="shared" si="261"/>
        <v>1</v>
      </c>
      <c r="AN405" s="493">
        <v>1</v>
      </c>
      <c r="AO405" s="481">
        <v>0</v>
      </c>
      <c r="AP405" s="584">
        <v>0</v>
      </c>
      <c r="AQ405" s="481">
        <v>0</v>
      </c>
      <c r="AR405" s="481">
        <v>0</v>
      </c>
      <c r="AS405" s="481">
        <v>0</v>
      </c>
      <c r="AT405" s="481">
        <v>0</v>
      </c>
      <c r="AU405" s="481">
        <f t="shared" si="262"/>
        <v>1</v>
      </c>
      <c r="AV405" s="493">
        <v>1</v>
      </c>
      <c r="AW405" s="548">
        <v>0</v>
      </c>
      <c r="AX405" s="592">
        <v>0</v>
      </c>
      <c r="AY405" s="548">
        <v>0</v>
      </c>
      <c r="AZ405" s="548">
        <v>0</v>
      </c>
      <c r="BA405" s="548">
        <v>0</v>
      </c>
      <c r="BB405" s="548">
        <v>0</v>
      </c>
      <c r="BC405" s="548">
        <f t="shared" si="263"/>
        <v>1</v>
      </c>
      <c r="BD405" s="42">
        <f t="shared" si="253"/>
        <v>3</v>
      </c>
      <c r="BE405" s="42">
        <f t="shared" si="253"/>
        <v>0</v>
      </c>
      <c r="BF405" s="35">
        <f t="shared" si="253"/>
        <v>5</v>
      </c>
      <c r="BG405" s="42">
        <f t="shared" si="253"/>
        <v>0</v>
      </c>
      <c r="BH405" s="42">
        <f t="shared" si="253"/>
        <v>0</v>
      </c>
      <c r="BI405" s="42">
        <f t="shared" si="264"/>
        <v>0</v>
      </c>
      <c r="BJ405" s="42">
        <f t="shared" si="254"/>
        <v>0</v>
      </c>
      <c r="BK405" s="42">
        <f t="shared" si="254"/>
        <v>8</v>
      </c>
      <c r="BL405" s="3"/>
    </row>
    <row r="406" spans="1:64" ht="90.75" customHeight="1" x14ac:dyDescent="0.25">
      <c r="A406" s="298" t="s">
        <v>1220</v>
      </c>
      <c r="B406" s="299" t="s">
        <v>1218</v>
      </c>
      <c r="C406" s="1547"/>
      <c r="D406" s="1549"/>
      <c r="E406" s="1549"/>
      <c r="F406" s="1549"/>
      <c r="G406" s="1549"/>
      <c r="H406" s="1549"/>
      <c r="I406" s="1425"/>
      <c r="J406" s="1425"/>
      <c r="K406" s="1425" t="s">
        <v>1232</v>
      </c>
      <c r="L406" s="301" t="s">
        <v>1140</v>
      </c>
      <c r="M406" s="1425" t="s">
        <v>1225</v>
      </c>
      <c r="N406" s="1425" t="s">
        <v>1226</v>
      </c>
      <c r="O406" s="1425" t="s">
        <v>73</v>
      </c>
      <c r="P406" s="16" t="s">
        <v>1233</v>
      </c>
      <c r="Q406" s="302" t="s">
        <v>1234</v>
      </c>
      <c r="R406" s="303">
        <v>2015</v>
      </c>
      <c r="S406" s="303">
        <v>1</v>
      </c>
      <c r="T406" s="303">
        <v>1</v>
      </c>
      <c r="U406" s="303">
        <v>1</v>
      </c>
      <c r="V406" s="303">
        <v>1</v>
      </c>
      <c r="W406" s="303">
        <v>1</v>
      </c>
      <c r="X406" s="303">
        <v>1</v>
      </c>
      <c r="Y406" s="481"/>
      <c r="Z406" s="481"/>
      <c r="AA406" s="500">
        <v>5</v>
      </c>
      <c r="AB406" s="481"/>
      <c r="AC406" s="481"/>
      <c r="AD406" s="481"/>
      <c r="AE406" s="481"/>
      <c r="AF406" s="481">
        <f t="shared" si="260"/>
        <v>5</v>
      </c>
      <c r="AG406" s="548"/>
      <c r="AH406" s="548"/>
      <c r="AI406" s="592">
        <v>10</v>
      </c>
      <c r="AJ406" s="548"/>
      <c r="AK406" s="548"/>
      <c r="AL406" s="548"/>
      <c r="AM406" s="548">
        <f t="shared" si="261"/>
        <v>10</v>
      </c>
      <c r="AN406" s="481"/>
      <c r="AO406" s="481"/>
      <c r="AP406" s="584">
        <v>10</v>
      </c>
      <c r="AQ406" s="481"/>
      <c r="AR406" s="481"/>
      <c r="AS406" s="481"/>
      <c r="AT406" s="481"/>
      <c r="AU406" s="481">
        <f t="shared" si="262"/>
        <v>10</v>
      </c>
      <c r="AV406" s="548"/>
      <c r="AW406" s="548"/>
      <c r="AX406" s="592">
        <v>10</v>
      </c>
      <c r="AY406" s="548"/>
      <c r="AZ406" s="548"/>
      <c r="BA406" s="548"/>
      <c r="BB406" s="548"/>
      <c r="BC406" s="548">
        <f t="shared" si="263"/>
        <v>10</v>
      </c>
      <c r="BD406" s="42">
        <f t="shared" si="253"/>
        <v>0</v>
      </c>
      <c r="BE406" s="42">
        <f t="shared" si="253"/>
        <v>0</v>
      </c>
      <c r="BF406" s="35">
        <f t="shared" si="253"/>
        <v>35</v>
      </c>
      <c r="BG406" s="42">
        <f t="shared" si="253"/>
        <v>0</v>
      </c>
      <c r="BH406" s="42">
        <f t="shared" si="253"/>
        <v>0</v>
      </c>
      <c r="BI406" s="42">
        <f t="shared" si="264"/>
        <v>0</v>
      </c>
      <c r="BJ406" s="42">
        <f t="shared" si="254"/>
        <v>0</v>
      </c>
      <c r="BK406" s="42">
        <f t="shared" si="254"/>
        <v>35</v>
      </c>
      <c r="BL406" s="3"/>
    </row>
    <row r="407" spans="1:64" ht="46.5" customHeight="1" x14ac:dyDescent="0.25">
      <c r="A407" s="298" t="s">
        <v>1220</v>
      </c>
      <c r="B407" s="299" t="s">
        <v>1218</v>
      </c>
      <c r="C407" s="1547"/>
      <c r="D407" s="1549"/>
      <c r="E407" s="1549"/>
      <c r="F407" s="1549"/>
      <c r="G407" s="1549"/>
      <c r="H407" s="1549"/>
      <c r="I407" s="1425"/>
      <c r="J407" s="1425"/>
      <c r="K407" s="1425" t="s">
        <v>1235</v>
      </c>
      <c r="L407" s="301" t="s">
        <v>1140</v>
      </c>
      <c r="M407" s="1425" t="s">
        <v>1225</v>
      </c>
      <c r="N407" s="1425" t="s">
        <v>1226</v>
      </c>
      <c r="O407" s="1425" t="s">
        <v>47</v>
      </c>
      <c r="P407" s="16" t="s">
        <v>1236</v>
      </c>
      <c r="Q407" s="302" t="s">
        <v>337</v>
      </c>
      <c r="R407" s="303">
        <v>2015</v>
      </c>
      <c r="S407" s="303">
        <v>1</v>
      </c>
      <c r="T407" s="303">
        <v>1</v>
      </c>
      <c r="U407" s="303">
        <v>1</v>
      </c>
      <c r="V407" s="303">
        <v>1</v>
      </c>
      <c r="W407" s="303">
        <v>1</v>
      </c>
      <c r="X407" s="303">
        <v>4</v>
      </c>
      <c r="Y407" s="483">
        <v>0</v>
      </c>
      <c r="Z407" s="483">
        <v>0</v>
      </c>
      <c r="AA407" s="500">
        <v>2.5</v>
      </c>
      <c r="AB407" s="483">
        <v>0</v>
      </c>
      <c r="AC407" s="483">
        <v>0</v>
      </c>
      <c r="AD407" s="483">
        <v>0</v>
      </c>
      <c r="AE407" s="483">
        <v>0</v>
      </c>
      <c r="AF407" s="481">
        <f t="shared" si="260"/>
        <v>2.5</v>
      </c>
      <c r="AG407" s="493">
        <v>1</v>
      </c>
      <c r="AH407" s="587">
        <v>0</v>
      </c>
      <c r="AI407" s="592">
        <v>0</v>
      </c>
      <c r="AJ407" s="587">
        <v>0</v>
      </c>
      <c r="AK407" s="587">
        <v>0</v>
      </c>
      <c r="AL407" s="587">
        <v>0</v>
      </c>
      <c r="AM407" s="587">
        <f t="shared" si="261"/>
        <v>1</v>
      </c>
      <c r="AN407" s="493">
        <v>1</v>
      </c>
      <c r="AO407" s="483">
        <v>0</v>
      </c>
      <c r="AP407" s="584">
        <v>0</v>
      </c>
      <c r="AQ407" s="483">
        <v>0</v>
      </c>
      <c r="AR407" s="483">
        <v>0</v>
      </c>
      <c r="AS407" s="483">
        <v>0</v>
      </c>
      <c r="AT407" s="483">
        <v>0</v>
      </c>
      <c r="AU407" s="483">
        <f t="shared" si="262"/>
        <v>1</v>
      </c>
      <c r="AV407" s="493">
        <v>1</v>
      </c>
      <c r="AW407" s="587">
        <v>0</v>
      </c>
      <c r="AX407" s="592">
        <v>0</v>
      </c>
      <c r="AY407" s="587">
        <v>0</v>
      </c>
      <c r="AZ407" s="587">
        <v>0</v>
      </c>
      <c r="BA407" s="587">
        <v>0</v>
      </c>
      <c r="BB407" s="587">
        <v>0</v>
      </c>
      <c r="BC407" s="587">
        <f t="shared" si="263"/>
        <v>1</v>
      </c>
      <c r="BD407" s="44">
        <f t="shared" si="253"/>
        <v>3</v>
      </c>
      <c r="BE407" s="44">
        <f t="shared" si="253"/>
        <v>0</v>
      </c>
      <c r="BF407" s="35">
        <f t="shared" si="253"/>
        <v>2.5</v>
      </c>
      <c r="BG407" s="44">
        <f t="shared" si="253"/>
        <v>0</v>
      </c>
      <c r="BH407" s="44">
        <f t="shared" si="253"/>
        <v>0</v>
      </c>
      <c r="BI407" s="44">
        <f t="shared" si="264"/>
        <v>0</v>
      </c>
      <c r="BJ407" s="44">
        <f t="shared" si="254"/>
        <v>0</v>
      </c>
      <c r="BK407" s="44">
        <f t="shared" si="254"/>
        <v>5.5</v>
      </c>
      <c r="BL407" s="3"/>
    </row>
    <row r="408" spans="1:64" ht="55.5" customHeight="1" x14ac:dyDescent="0.25">
      <c r="A408" s="298" t="s">
        <v>1220</v>
      </c>
      <c r="B408" s="299" t="s">
        <v>1218</v>
      </c>
      <c r="C408" s="1547"/>
      <c r="D408" s="1549"/>
      <c r="E408" s="1549"/>
      <c r="F408" s="1549"/>
      <c r="G408" s="1549"/>
      <c r="H408" s="1549"/>
      <c r="I408" s="1425"/>
      <c r="J408" s="1425"/>
      <c r="K408" s="1425" t="s">
        <v>1237</v>
      </c>
      <c r="L408" s="301" t="s">
        <v>1140</v>
      </c>
      <c r="M408" s="1425" t="s">
        <v>1225</v>
      </c>
      <c r="N408" s="1425" t="s">
        <v>1226</v>
      </c>
      <c r="O408" s="1425" t="s">
        <v>47</v>
      </c>
      <c r="P408" s="16" t="s">
        <v>1238</v>
      </c>
      <c r="Q408" s="302" t="s">
        <v>1239</v>
      </c>
      <c r="R408" s="303">
        <v>2015</v>
      </c>
      <c r="S408" s="303">
        <v>0</v>
      </c>
      <c r="T408" s="303">
        <v>1</v>
      </c>
      <c r="U408" s="303">
        <v>1</v>
      </c>
      <c r="V408" s="303">
        <v>1</v>
      </c>
      <c r="W408" s="303">
        <v>1</v>
      </c>
      <c r="X408" s="303">
        <v>4</v>
      </c>
      <c r="Y408" s="481">
        <v>0</v>
      </c>
      <c r="Z408" s="481">
        <v>0</v>
      </c>
      <c r="AA408" s="500">
        <v>0.5</v>
      </c>
      <c r="AB408" s="481">
        <v>0</v>
      </c>
      <c r="AC408" s="481">
        <v>0</v>
      </c>
      <c r="AD408" s="481">
        <v>0</v>
      </c>
      <c r="AE408" s="481">
        <v>0</v>
      </c>
      <c r="AF408" s="481">
        <f t="shared" si="260"/>
        <v>0.5</v>
      </c>
      <c r="AG408" s="491">
        <v>0.5</v>
      </c>
      <c r="AH408" s="548">
        <v>0</v>
      </c>
      <c r="AI408" s="592">
        <v>0</v>
      </c>
      <c r="AJ408" s="548">
        <v>0</v>
      </c>
      <c r="AK408" s="548">
        <v>0</v>
      </c>
      <c r="AL408" s="548">
        <v>0</v>
      </c>
      <c r="AM408" s="548">
        <f t="shared" si="261"/>
        <v>0.5</v>
      </c>
      <c r="AN408" s="481">
        <v>0</v>
      </c>
      <c r="AO408" s="481">
        <v>0</v>
      </c>
      <c r="AP408" s="493">
        <v>1</v>
      </c>
      <c r="AQ408" s="481">
        <v>0</v>
      </c>
      <c r="AR408" s="481">
        <v>0</v>
      </c>
      <c r="AS408" s="481">
        <v>0</v>
      </c>
      <c r="AT408" s="481">
        <v>0</v>
      </c>
      <c r="AU408" s="481">
        <f t="shared" si="262"/>
        <v>1</v>
      </c>
      <c r="AV408" s="548">
        <v>0</v>
      </c>
      <c r="AW408" s="548">
        <v>0</v>
      </c>
      <c r="AX408" s="493">
        <v>1</v>
      </c>
      <c r="AY408" s="548">
        <v>0</v>
      </c>
      <c r="AZ408" s="548">
        <v>0</v>
      </c>
      <c r="BA408" s="548">
        <v>0</v>
      </c>
      <c r="BB408" s="548">
        <v>0</v>
      </c>
      <c r="BC408" s="548">
        <f t="shared" si="263"/>
        <v>1</v>
      </c>
      <c r="BD408" s="42">
        <f t="shared" si="253"/>
        <v>0.5</v>
      </c>
      <c r="BE408" s="42">
        <f t="shared" si="253"/>
        <v>0</v>
      </c>
      <c r="BF408" s="35">
        <f t="shared" si="253"/>
        <v>2.5</v>
      </c>
      <c r="BG408" s="42">
        <f t="shared" si="253"/>
        <v>0</v>
      </c>
      <c r="BH408" s="42">
        <f t="shared" si="253"/>
        <v>0</v>
      </c>
      <c r="BI408" s="42">
        <f t="shared" si="264"/>
        <v>0</v>
      </c>
      <c r="BJ408" s="42">
        <f t="shared" si="254"/>
        <v>0</v>
      </c>
      <c r="BK408" s="42">
        <f t="shared" si="254"/>
        <v>3</v>
      </c>
      <c r="BL408" s="3"/>
    </row>
    <row r="409" spans="1:64" ht="28.5" customHeight="1" x14ac:dyDescent="0.25">
      <c r="A409" s="298" t="s">
        <v>1220</v>
      </c>
      <c r="B409" s="299" t="s">
        <v>1218</v>
      </c>
      <c r="C409" s="1547"/>
      <c r="D409" s="1549"/>
      <c r="E409" s="1549"/>
      <c r="F409" s="1549"/>
      <c r="G409" s="1549"/>
      <c r="H409" s="1549"/>
      <c r="I409" s="1425"/>
      <c r="J409" s="1425"/>
      <c r="K409" s="1425" t="s">
        <v>1240</v>
      </c>
      <c r="L409" s="301" t="s">
        <v>1140</v>
      </c>
      <c r="M409" s="1425" t="s">
        <v>1225</v>
      </c>
      <c r="N409" s="1425" t="s">
        <v>1226</v>
      </c>
      <c r="O409" s="1425" t="s">
        <v>47</v>
      </c>
      <c r="P409" s="16" t="s">
        <v>1241</v>
      </c>
      <c r="Q409" s="302" t="s">
        <v>1242</v>
      </c>
      <c r="R409" s="303">
        <v>2015</v>
      </c>
      <c r="S409" s="303">
        <v>0</v>
      </c>
      <c r="T409" s="303">
        <v>1</v>
      </c>
      <c r="U409" s="303">
        <v>1</v>
      </c>
      <c r="V409" s="303">
        <v>1</v>
      </c>
      <c r="W409" s="303">
        <v>1</v>
      </c>
      <c r="X409" s="303">
        <v>4</v>
      </c>
      <c r="Y409" s="481">
        <v>0</v>
      </c>
      <c r="Z409" s="481">
        <v>0</v>
      </c>
      <c r="AA409" s="500">
        <v>2</v>
      </c>
      <c r="AB409" s="481">
        <v>0</v>
      </c>
      <c r="AC409" s="481">
        <v>0</v>
      </c>
      <c r="AD409" s="481">
        <v>0</v>
      </c>
      <c r="AE409" s="481">
        <v>0</v>
      </c>
      <c r="AF409" s="481">
        <f t="shared" si="260"/>
        <v>2</v>
      </c>
      <c r="AG409" s="548">
        <v>0</v>
      </c>
      <c r="AH409" s="548">
        <v>0</v>
      </c>
      <c r="AI409" s="493">
        <v>1</v>
      </c>
      <c r="AJ409" s="548">
        <v>0</v>
      </c>
      <c r="AK409" s="548">
        <v>0</v>
      </c>
      <c r="AL409" s="548">
        <v>0</v>
      </c>
      <c r="AM409" s="548">
        <f t="shared" si="261"/>
        <v>1</v>
      </c>
      <c r="AN409" s="481">
        <v>0</v>
      </c>
      <c r="AO409" s="481">
        <v>0</v>
      </c>
      <c r="AP409" s="493">
        <v>1</v>
      </c>
      <c r="AQ409" s="481">
        <v>0</v>
      </c>
      <c r="AR409" s="481">
        <v>0</v>
      </c>
      <c r="AS409" s="481">
        <v>0</v>
      </c>
      <c r="AT409" s="481">
        <v>0</v>
      </c>
      <c r="AU409" s="481">
        <f t="shared" si="262"/>
        <v>1</v>
      </c>
      <c r="AV409" s="548">
        <v>0</v>
      </c>
      <c r="AW409" s="548">
        <v>0</v>
      </c>
      <c r="AX409" s="493">
        <v>1</v>
      </c>
      <c r="AY409" s="548">
        <v>0</v>
      </c>
      <c r="AZ409" s="548">
        <v>0</v>
      </c>
      <c r="BA409" s="548">
        <v>0</v>
      </c>
      <c r="BB409" s="548">
        <v>0</v>
      </c>
      <c r="BC409" s="548">
        <f t="shared" si="263"/>
        <v>1</v>
      </c>
      <c r="BD409" s="42">
        <f t="shared" si="253"/>
        <v>0</v>
      </c>
      <c r="BE409" s="42">
        <f t="shared" si="253"/>
        <v>0</v>
      </c>
      <c r="BF409" s="35">
        <f t="shared" si="253"/>
        <v>5</v>
      </c>
      <c r="BG409" s="42">
        <f t="shared" si="253"/>
        <v>0</v>
      </c>
      <c r="BH409" s="42">
        <f t="shared" si="253"/>
        <v>0</v>
      </c>
      <c r="BI409" s="42">
        <f t="shared" si="264"/>
        <v>0</v>
      </c>
      <c r="BJ409" s="42">
        <f t="shared" si="254"/>
        <v>0</v>
      </c>
      <c r="BK409" s="42">
        <f t="shared" si="254"/>
        <v>5</v>
      </c>
      <c r="BL409" s="3"/>
    </row>
    <row r="410" spans="1:64" ht="36" customHeight="1" x14ac:dyDescent="0.25">
      <c r="A410" s="298" t="s">
        <v>1220</v>
      </c>
      <c r="B410" s="299" t="s">
        <v>1218</v>
      </c>
      <c r="C410" s="1547"/>
      <c r="D410" s="1549"/>
      <c r="E410" s="1549"/>
      <c r="F410" s="1549"/>
      <c r="G410" s="1549"/>
      <c r="H410" s="1549"/>
      <c r="I410" s="1425"/>
      <c r="J410" s="1425"/>
      <c r="K410" s="1425" t="s">
        <v>1243</v>
      </c>
      <c r="L410" s="301" t="s">
        <v>1140</v>
      </c>
      <c r="M410" s="1425" t="s">
        <v>1225</v>
      </c>
      <c r="N410" s="1425" t="s">
        <v>1226</v>
      </c>
      <c r="O410" s="1425" t="s">
        <v>47</v>
      </c>
      <c r="P410" s="16" t="s">
        <v>1244</v>
      </c>
      <c r="Q410" s="302" t="s">
        <v>1245</v>
      </c>
      <c r="R410" s="303">
        <v>2015</v>
      </c>
      <c r="S410" s="303">
        <v>0</v>
      </c>
      <c r="T410" s="303">
        <v>0</v>
      </c>
      <c r="U410" s="303">
        <v>1</v>
      </c>
      <c r="V410" s="303">
        <v>0</v>
      </c>
      <c r="W410" s="303">
        <v>0</v>
      </c>
      <c r="X410" s="303">
        <v>1</v>
      </c>
      <c r="Y410" s="481">
        <v>0</v>
      </c>
      <c r="Z410" s="481">
        <v>0</v>
      </c>
      <c r="AA410" s="584">
        <v>0</v>
      </c>
      <c r="AB410" s="481">
        <v>0</v>
      </c>
      <c r="AC410" s="481">
        <v>0</v>
      </c>
      <c r="AD410" s="481">
        <v>0</v>
      </c>
      <c r="AE410" s="481">
        <v>0</v>
      </c>
      <c r="AF410" s="481">
        <f t="shared" si="260"/>
        <v>0</v>
      </c>
      <c r="AG410" s="548">
        <v>0</v>
      </c>
      <c r="AH410" s="548">
        <v>0</v>
      </c>
      <c r="AI410" s="493">
        <v>1</v>
      </c>
      <c r="AJ410" s="548">
        <v>0</v>
      </c>
      <c r="AK410" s="548">
        <v>0</v>
      </c>
      <c r="AL410" s="548">
        <v>0</v>
      </c>
      <c r="AM410" s="548">
        <f t="shared" si="261"/>
        <v>1</v>
      </c>
      <c r="AN410" s="481">
        <v>0</v>
      </c>
      <c r="AO410" s="481">
        <v>0</v>
      </c>
      <c r="AP410" s="584">
        <v>0</v>
      </c>
      <c r="AQ410" s="481">
        <v>0</v>
      </c>
      <c r="AR410" s="481">
        <v>0</v>
      </c>
      <c r="AS410" s="481">
        <v>0</v>
      </c>
      <c r="AT410" s="481">
        <v>0</v>
      </c>
      <c r="AU410" s="481">
        <f t="shared" si="262"/>
        <v>0</v>
      </c>
      <c r="AV410" s="548">
        <v>0</v>
      </c>
      <c r="AW410" s="548">
        <v>0</v>
      </c>
      <c r="AX410" s="592">
        <v>0</v>
      </c>
      <c r="AY410" s="548">
        <v>0</v>
      </c>
      <c r="AZ410" s="548">
        <v>0</v>
      </c>
      <c r="BA410" s="548">
        <v>0</v>
      </c>
      <c r="BB410" s="548">
        <v>0</v>
      </c>
      <c r="BC410" s="548">
        <f t="shared" si="263"/>
        <v>0</v>
      </c>
      <c r="BD410" s="42">
        <f t="shared" si="253"/>
        <v>0</v>
      </c>
      <c r="BE410" s="42">
        <f t="shared" si="253"/>
        <v>0</v>
      </c>
      <c r="BF410" s="35">
        <f t="shared" si="253"/>
        <v>1</v>
      </c>
      <c r="BG410" s="42">
        <f t="shared" si="253"/>
        <v>0</v>
      </c>
      <c r="BH410" s="42">
        <f t="shared" si="253"/>
        <v>0</v>
      </c>
      <c r="BI410" s="42">
        <f t="shared" si="264"/>
        <v>0</v>
      </c>
      <c r="BJ410" s="42">
        <f t="shared" si="254"/>
        <v>0</v>
      </c>
      <c r="BK410" s="42">
        <f t="shared" si="254"/>
        <v>1</v>
      </c>
      <c r="BL410" s="3"/>
    </row>
    <row r="411" spans="1:64" ht="49.5" customHeight="1" x14ac:dyDescent="0.25">
      <c r="A411" s="298" t="s">
        <v>1220</v>
      </c>
      <c r="B411" s="299" t="s">
        <v>1218</v>
      </c>
      <c r="C411" s="1547"/>
      <c r="D411" s="1549"/>
      <c r="E411" s="1549"/>
      <c r="F411" s="1549"/>
      <c r="G411" s="1549"/>
      <c r="H411" s="1549"/>
      <c r="I411" s="1425"/>
      <c r="J411" s="1425"/>
      <c r="K411" s="1425" t="s">
        <v>1246</v>
      </c>
      <c r="L411" s="301" t="s">
        <v>1140</v>
      </c>
      <c r="M411" s="1425" t="s">
        <v>1225</v>
      </c>
      <c r="N411" s="1425" t="s">
        <v>1226</v>
      </c>
      <c r="O411" s="1425" t="s">
        <v>47</v>
      </c>
      <c r="P411" s="16" t="s">
        <v>1247</v>
      </c>
      <c r="Q411" s="302" t="s">
        <v>1248</v>
      </c>
      <c r="R411" s="303">
        <v>2015</v>
      </c>
      <c r="S411" s="303">
        <v>0</v>
      </c>
      <c r="T411" s="303">
        <v>0</v>
      </c>
      <c r="U411" s="303">
        <v>40</v>
      </c>
      <c r="V411" s="303">
        <v>40</v>
      </c>
      <c r="W411" s="303">
        <v>40</v>
      </c>
      <c r="X411" s="303">
        <v>120</v>
      </c>
      <c r="Y411" s="481"/>
      <c r="Z411" s="481"/>
      <c r="AA411" s="500"/>
      <c r="AB411" s="481"/>
      <c r="AC411" s="481"/>
      <c r="AD411" s="481"/>
      <c r="AE411" s="481"/>
      <c r="AF411" s="481">
        <f t="shared" si="260"/>
        <v>0</v>
      </c>
      <c r="AG411" s="548"/>
      <c r="AH411" s="548"/>
      <c r="AI411" s="500">
        <v>7</v>
      </c>
      <c r="AJ411" s="548"/>
      <c r="AK411" s="548"/>
      <c r="AL411" s="548"/>
      <c r="AM411" s="548">
        <f t="shared" si="261"/>
        <v>7</v>
      </c>
      <c r="AN411" s="481"/>
      <c r="AO411" s="481"/>
      <c r="AP411" s="500">
        <v>7</v>
      </c>
      <c r="AQ411" s="481"/>
      <c r="AR411" s="481"/>
      <c r="AS411" s="481"/>
      <c r="AT411" s="481"/>
      <c r="AU411" s="481">
        <f t="shared" si="262"/>
        <v>7</v>
      </c>
      <c r="AV411" s="548"/>
      <c r="AW411" s="548"/>
      <c r="AX411" s="500">
        <v>7</v>
      </c>
      <c r="AY411" s="548"/>
      <c r="AZ411" s="548"/>
      <c r="BA411" s="548"/>
      <c r="BB411" s="548"/>
      <c r="BC411" s="548">
        <f t="shared" si="263"/>
        <v>7</v>
      </c>
      <c r="BD411" s="42">
        <f t="shared" si="253"/>
        <v>0</v>
      </c>
      <c r="BE411" s="42">
        <f t="shared" si="253"/>
        <v>0</v>
      </c>
      <c r="BF411" s="35">
        <f t="shared" si="253"/>
        <v>21</v>
      </c>
      <c r="BG411" s="42">
        <f t="shared" si="253"/>
        <v>0</v>
      </c>
      <c r="BH411" s="42">
        <f t="shared" si="253"/>
        <v>0</v>
      </c>
      <c r="BI411" s="42">
        <f t="shared" si="264"/>
        <v>0</v>
      </c>
      <c r="BJ411" s="42">
        <f t="shared" si="254"/>
        <v>0</v>
      </c>
      <c r="BK411" s="42">
        <f t="shared" si="254"/>
        <v>21</v>
      </c>
      <c r="BL411" s="3"/>
    </row>
    <row r="412" spans="1:64" ht="48.75" customHeight="1" x14ac:dyDescent="0.25">
      <c r="A412" s="298" t="s">
        <v>1220</v>
      </c>
      <c r="B412" s="299" t="s">
        <v>1218</v>
      </c>
      <c r="C412" s="1547"/>
      <c r="D412" s="1549"/>
      <c r="E412" s="1549"/>
      <c r="F412" s="1549"/>
      <c r="G412" s="1549"/>
      <c r="H412" s="1549"/>
      <c r="I412" s="1425"/>
      <c r="J412" s="1425"/>
      <c r="K412" s="1425" t="s">
        <v>1249</v>
      </c>
      <c r="L412" s="301" t="s">
        <v>1140</v>
      </c>
      <c r="M412" s="1425" t="s">
        <v>1225</v>
      </c>
      <c r="N412" s="1425" t="s">
        <v>1226</v>
      </c>
      <c r="O412" s="1425" t="s">
        <v>47</v>
      </c>
      <c r="P412" s="16" t="s">
        <v>1250</v>
      </c>
      <c r="Q412" s="302" t="s">
        <v>1251</v>
      </c>
      <c r="R412" s="303">
        <v>2015</v>
      </c>
      <c r="S412" s="303">
        <v>1</v>
      </c>
      <c r="T412" s="303">
        <v>1</v>
      </c>
      <c r="U412" s="303">
        <v>1</v>
      </c>
      <c r="V412" s="303">
        <v>1</v>
      </c>
      <c r="W412" s="303">
        <v>1</v>
      </c>
      <c r="X412" s="303">
        <v>4</v>
      </c>
      <c r="Y412" s="481">
        <v>0</v>
      </c>
      <c r="Z412" s="481">
        <v>0</v>
      </c>
      <c r="AA412" s="500">
        <v>5</v>
      </c>
      <c r="AB412" s="481">
        <v>0</v>
      </c>
      <c r="AC412" s="481">
        <v>0</v>
      </c>
      <c r="AD412" s="481">
        <v>0</v>
      </c>
      <c r="AE412" s="481">
        <v>0</v>
      </c>
      <c r="AF412" s="481">
        <f t="shared" si="260"/>
        <v>5</v>
      </c>
      <c r="AG412" s="548">
        <v>0</v>
      </c>
      <c r="AH412" s="548">
        <v>0</v>
      </c>
      <c r="AI412" s="719">
        <v>10</v>
      </c>
      <c r="AJ412" s="548">
        <v>0</v>
      </c>
      <c r="AK412" s="548">
        <v>0</v>
      </c>
      <c r="AL412" s="548">
        <v>0</v>
      </c>
      <c r="AM412" s="548">
        <f t="shared" si="261"/>
        <v>10</v>
      </c>
      <c r="AN412" s="481">
        <v>0</v>
      </c>
      <c r="AO412" s="481">
        <v>0</v>
      </c>
      <c r="AP412" s="493">
        <v>1</v>
      </c>
      <c r="AQ412" s="481">
        <v>0</v>
      </c>
      <c r="AR412" s="481">
        <v>0</v>
      </c>
      <c r="AS412" s="481">
        <v>0</v>
      </c>
      <c r="AT412" s="481">
        <v>0</v>
      </c>
      <c r="AU412" s="481">
        <f t="shared" si="262"/>
        <v>1</v>
      </c>
      <c r="AV412" s="548">
        <v>0</v>
      </c>
      <c r="AW412" s="548">
        <v>0</v>
      </c>
      <c r="AX412" s="493">
        <v>1</v>
      </c>
      <c r="AY412" s="548">
        <v>0</v>
      </c>
      <c r="AZ412" s="548">
        <v>0</v>
      </c>
      <c r="BA412" s="548">
        <v>0</v>
      </c>
      <c r="BB412" s="548">
        <v>0</v>
      </c>
      <c r="BC412" s="548">
        <f t="shared" si="263"/>
        <v>1</v>
      </c>
      <c r="BD412" s="42">
        <f t="shared" si="253"/>
        <v>0</v>
      </c>
      <c r="BE412" s="42">
        <f t="shared" si="253"/>
        <v>0</v>
      </c>
      <c r="BF412" s="35">
        <f t="shared" si="253"/>
        <v>17</v>
      </c>
      <c r="BG412" s="42">
        <f t="shared" si="253"/>
        <v>0</v>
      </c>
      <c r="BH412" s="42">
        <f t="shared" si="253"/>
        <v>0</v>
      </c>
      <c r="BI412" s="42">
        <f t="shared" si="264"/>
        <v>0</v>
      </c>
      <c r="BJ412" s="42">
        <f t="shared" si="254"/>
        <v>0</v>
      </c>
      <c r="BK412" s="42">
        <f t="shared" si="254"/>
        <v>17</v>
      </c>
      <c r="BL412" s="3"/>
    </row>
    <row r="413" spans="1:64" ht="60.75" customHeight="1" x14ac:dyDescent="0.25">
      <c r="A413" s="298" t="s">
        <v>1220</v>
      </c>
      <c r="B413" s="299" t="s">
        <v>1218</v>
      </c>
      <c r="C413" s="1547"/>
      <c r="D413" s="1549"/>
      <c r="E413" s="1549"/>
      <c r="F413" s="1549"/>
      <c r="G413" s="1549"/>
      <c r="H413" s="1549"/>
      <c r="I413" s="1425"/>
      <c r="J413" s="1425"/>
      <c r="K413" s="1425" t="s">
        <v>1252</v>
      </c>
      <c r="L413" s="301" t="s">
        <v>1140</v>
      </c>
      <c r="M413" s="1425" t="s">
        <v>1225</v>
      </c>
      <c r="N413" s="1425" t="s">
        <v>1226</v>
      </c>
      <c r="O413" s="1425" t="s">
        <v>73</v>
      </c>
      <c r="P413" s="16" t="s">
        <v>1253</v>
      </c>
      <c r="Q413" s="302" t="s">
        <v>1254</v>
      </c>
      <c r="R413" s="303">
        <v>2015</v>
      </c>
      <c r="S413" s="303">
        <v>1</v>
      </c>
      <c r="T413" s="303">
        <v>1</v>
      </c>
      <c r="U413" s="303">
        <v>1</v>
      </c>
      <c r="V413" s="303">
        <v>1</v>
      </c>
      <c r="W413" s="303">
        <v>1</v>
      </c>
      <c r="X413" s="303">
        <v>1</v>
      </c>
      <c r="Y413" s="481"/>
      <c r="Z413" s="481"/>
      <c r="AA413" s="584">
        <v>20</v>
      </c>
      <c r="AB413" s="481"/>
      <c r="AC413" s="481"/>
      <c r="AD413" s="481"/>
      <c r="AE413" s="481"/>
      <c r="AF413" s="481">
        <f t="shared" si="260"/>
        <v>20</v>
      </c>
      <c r="AG413" s="548"/>
      <c r="AH413" s="548"/>
      <c r="AI413" s="592">
        <v>20</v>
      </c>
      <c r="AJ413" s="548"/>
      <c r="AK413" s="548"/>
      <c r="AL413" s="548"/>
      <c r="AM413" s="548">
        <f>SUM(AG413:AL413)</f>
        <v>20</v>
      </c>
      <c r="AN413" s="481"/>
      <c r="AO413" s="481"/>
      <c r="AP413" s="584">
        <v>20</v>
      </c>
      <c r="AQ413" s="481"/>
      <c r="AR413" s="481"/>
      <c r="AS413" s="481"/>
      <c r="AT413" s="481"/>
      <c r="AU413" s="481">
        <f t="shared" si="262"/>
        <v>20</v>
      </c>
      <c r="AV413" s="548"/>
      <c r="AW413" s="548"/>
      <c r="AX413" s="592">
        <v>20</v>
      </c>
      <c r="AY413" s="548"/>
      <c r="AZ413" s="548"/>
      <c r="BA413" s="548"/>
      <c r="BB413" s="548"/>
      <c r="BC413" s="548">
        <f t="shared" si="263"/>
        <v>20</v>
      </c>
      <c r="BD413" s="42">
        <f t="shared" si="253"/>
        <v>0</v>
      </c>
      <c r="BE413" s="42">
        <f t="shared" si="253"/>
        <v>0</v>
      </c>
      <c r="BF413" s="35">
        <f t="shared" si="253"/>
        <v>80</v>
      </c>
      <c r="BG413" s="42">
        <f t="shared" si="253"/>
        <v>0</v>
      </c>
      <c r="BH413" s="42">
        <f t="shared" si="253"/>
        <v>0</v>
      </c>
      <c r="BI413" s="42">
        <f t="shared" si="264"/>
        <v>0</v>
      </c>
      <c r="BJ413" s="42">
        <f t="shared" si="254"/>
        <v>0</v>
      </c>
      <c r="BK413" s="42">
        <f t="shared" si="254"/>
        <v>80</v>
      </c>
      <c r="BL413" s="3"/>
    </row>
    <row r="414" spans="1:64" ht="49.5" customHeight="1" x14ac:dyDescent="0.25">
      <c r="A414" s="298" t="s">
        <v>1220</v>
      </c>
      <c r="B414" s="299" t="s">
        <v>1218</v>
      </c>
      <c r="C414" s="1548"/>
      <c r="D414" s="1549"/>
      <c r="E414" s="1549"/>
      <c r="F414" s="1549"/>
      <c r="G414" s="1549"/>
      <c r="H414" s="1549"/>
      <c r="I414" s="1425"/>
      <c r="J414" s="1425"/>
      <c r="K414" s="1425" t="s">
        <v>1255</v>
      </c>
      <c r="L414" s="301" t="s">
        <v>1140</v>
      </c>
      <c r="M414" s="1425" t="s">
        <v>1225</v>
      </c>
      <c r="N414" s="1425" t="s">
        <v>1226</v>
      </c>
      <c r="O414" s="1425" t="s">
        <v>47</v>
      </c>
      <c r="P414" s="16" t="s">
        <v>1256</v>
      </c>
      <c r="Q414" s="302" t="s">
        <v>1257</v>
      </c>
      <c r="R414" s="303">
        <v>2015</v>
      </c>
      <c r="S414" s="303">
        <v>0</v>
      </c>
      <c r="T414" s="303">
        <v>1</v>
      </c>
      <c r="U414" s="303">
        <v>1</v>
      </c>
      <c r="V414" s="303">
        <v>1</v>
      </c>
      <c r="W414" s="303">
        <v>1</v>
      </c>
      <c r="X414" s="303">
        <v>4</v>
      </c>
      <c r="Y414" s="481">
        <v>3</v>
      </c>
      <c r="Z414" s="481"/>
      <c r="AA414" s="584">
        <v>0</v>
      </c>
      <c r="AB414" s="481"/>
      <c r="AC414" s="481"/>
      <c r="AD414" s="481"/>
      <c r="AE414" s="481"/>
      <c r="AF414" s="481">
        <f t="shared" si="260"/>
        <v>3</v>
      </c>
      <c r="AG414" s="491">
        <v>0.5</v>
      </c>
      <c r="AH414" s="548"/>
      <c r="AI414" s="592">
        <v>0</v>
      </c>
      <c r="AJ414" s="548"/>
      <c r="AK414" s="548"/>
      <c r="AL414" s="548"/>
      <c r="AM414" s="548">
        <f>SUM(AG414:AL414)</f>
        <v>0.5</v>
      </c>
      <c r="AN414" s="491">
        <v>1</v>
      </c>
      <c r="AO414" s="481"/>
      <c r="AP414" s="584">
        <v>0</v>
      </c>
      <c r="AQ414" s="481"/>
      <c r="AR414" s="481"/>
      <c r="AS414" s="481"/>
      <c r="AT414" s="481"/>
      <c r="AU414" s="481">
        <f t="shared" si="262"/>
        <v>1</v>
      </c>
      <c r="AV414" s="491">
        <v>1</v>
      </c>
      <c r="AW414" s="548"/>
      <c r="AX414" s="592">
        <v>0</v>
      </c>
      <c r="AY414" s="548"/>
      <c r="AZ414" s="548"/>
      <c r="BA414" s="548"/>
      <c r="BB414" s="548"/>
      <c r="BC414" s="548">
        <f t="shared" si="263"/>
        <v>1</v>
      </c>
      <c r="BD414" s="42">
        <f t="shared" si="253"/>
        <v>5.5</v>
      </c>
      <c r="BE414" s="42">
        <f t="shared" si="253"/>
        <v>0</v>
      </c>
      <c r="BF414" s="35">
        <f t="shared" si="253"/>
        <v>0</v>
      </c>
      <c r="BG414" s="42">
        <f t="shared" si="253"/>
        <v>0</v>
      </c>
      <c r="BH414" s="42">
        <f t="shared" si="253"/>
        <v>0</v>
      </c>
      <c r="BI414" s="42">
        <f t="shared" si="264"/>
        <v>0</v>
      </c>
      <c r="BJ414" s="42">
        <f t="shared" si="254"/>
        <v>0</v>
      </c>
      <c r="BK414" s="42">
        <f t="shared" si="254"/>
        <v>5.5</v>
      </c>
      <c r="BL414" s="3"/>
    </row>
    <row r="415" spans="1:64" ht="20.399999999999999" x14ac:dyDescent="0.25">
      <c r="A415" s="420"/>
      <c r="B415" s="1565" t="s">
        <v>1258</v>
      </c>
      <c r="C415" s="1566"/>
      <c r="D415" s="1566"/>
      <c r="E415" s="1566"/>
      <c r="F415" s="1566"/>
      <c r="G415" s="1566"/>
      <c r="H415" s="1566"/>
      <c r="I415" s="1566"/>
      <c r="J415" s="1566"/>
      <c r="K415" s="1566"/>
      <c r="L415" s="1566"/>
      <c r="M415" s="1567"/>
      <c r="N415" s="597"/>
      <c r="O415" s="597"/>
      <c r="P415" s="598"/>
      <c r="Q415" s="598"/>
      <c r="R415" s="597"/>
      <c r="S415" s="597"/>
      <c r="T415" s="597"/>
      <c r="U415" s="599"/>
      <c r="V415" s="599"/>
      <c r="W415" s="599"/>
      <c r="X415" s="599"/>
      <c r="Y415" s="600">
        <f t="shared" ref="Y415:BC415" si="265">+Y416+Y431</f>
        <v>54.9</v>
      </c>
      <c r="Z415" s="600">
        <f t="shared" si="265"/>
        <v>350</v>
      </c>
      <c r="AA415" s="600">
        <f t="shared" si="265"/>
        <v>50</v>
      </c>
      <c r="AB415" s="600">
        <f t="shared" si="265"/>
        <v>390</v>
      </c>
      <c r="AC415" s="600">
        <f t="shared" si="265"/>
        <v>0</v>
      </c>
      <c r="AD415" s="600">
        <f t="shared" si="265"/>
        <v>603</v>
      </c>
      <c r="AE415" s="600">
        <f t="shared" si="265"/>
        <v>0</v>
      </c>
      <c r="AF415" s="600">
        <f t="shared" si="265"/>
        <v>1447.9</v>
      </c>
      <c r="AG415" s="600">
        <f t="shared" si="265"/>
        <v>43</v>
      </c>
      <c r="AH415" s="600">
        <f t="shared" si="265"/>
        <v>325</v>
      </c>
      <c r="AI415" s="600">
        <f t="shared" si="265"/>
        <v>55</v>
      </c>
      <c r="AJ415" s="600">
        <f t="shared" si="265"/>
        <v>0</v>
      </c>
      <c r="AK415" s="600">
        <f t="shared" si="265"/>
        <v>0</v>
      </c>
      <c r="AL415" s="600">
        <f t="shared" si="265"/>
        <v>0</v>
      </c>
      <c r="AM415" s="600">
        <f t="shared" si="265"/>
        <v>423</v>
      </c>
      <c r="AN415" s="600">
        <f t="shared" si="265"/>
        <v>28</v>
      </c>
      <c r="AO415" s="600">
        <f t="shared" si="265"/>
        <v>345</v>
      </c>
      <c r="AP415" s="600">
        <f t="shared" si="265"/>
        <v>0</v>
      </c>
      <c r="AQ415" s="600">
        <f t="shared" si="265"/>
        <v>0</v>
      </c>
      <c r="AR415" s="600">
        <f t="shared" si="265"/>
        <v>0</v>
      </c>
      <c r="AS415" s="600">
        <f t="shared" si="265"/>
        <v>0</v>
      </c>
      <c r="AT415" s="600">
        <f t="shared" si="265"/>
        <v>0</v>
      </c>
      <c r="AU415" s="600">
        <f t="shared" si="265"/>
        <v>373</v>
      </c>
      <c r="AV415" s="600">
        <f t="shared" si="265"/>
        <v>43</v>
      </c>
      <c r="AW415" s="600">
        <f t="shared" si="265"/>
        <v>335</v>
      </c>
      <c r="AX415" s="600">
        <f t="shared" si="265"/>
        <v>0</v>
      </c>
      <c r="AY415" s="600">
        <f t="shared" si="265"/>
        <v>0</v>
      </c>
      <c r="AZ415" s="600">
        <f t="shared" si="265"/>
        <v>0</v>
      </c>
      <c r="BA415" s="600">
        <f t="shared" si="265"/>
        <v>0</v>
      </c>
      <c r="BB415" s="600">
        <f t="shared" si="265"/>
        <v>0</v>
      </c>
      <c r="BC415" s="600">
        <f t="shared" si="265"/>
        <v>378</v>
      </c>
      <c r="BD415" s="33">
        <f t="shared" si="253"/>
        <v>168.9</v>
      </c>
      <c r="BE415" s="33">
        <f t="shared" si="253"/>
        <v>1355</v>
      </c>
      <c r="BF415" s="33">
        <f t="shared" si="253"/>
        <v>105</v>
      </c>
      <c r="BG415" s="33">
        <f t="shared" si="253"/>
        <v>390</v>
      </c>
      <c r="BH415" s="33">
        <f t="shared" si="253"/>
        <v>0</v>
      </c>
      <c r="BI415" s="33">
        <f t="shared" si="264"/>
        <v>603</v>
      </c>
      <c r="BJ415" s="33">
        <f t="shared" si="254"/>
        <v>0</v>
      </c>
      <c r="BK415" s="33">
        <f t="shared" si="254"/>
        <v>2621.9</v>
      </c>
    </row>
    <row r="416" spans="1:64" x14ac:dyDescent="0.25">
      <c r="A416" s="603"/>
      <c r="B416" s="155" t="s">
        <v>1259</v>
      </c>
      <c r="C416" s="155"/>
      <c r="D416" s="2" t="s">
        <v>1260</v>
      </c>
      <c r="E416" s="1"/>
      <c r="F416" s="1"/>
      <c r="G416" s="1"/>
      <c r="H416" s="1"/>
      <c r="I416" s="1"/>
      <c r="J416" s="1"/>
      <c r="K416" s="1"/>
      <c r="L416" s="1"/>
      <c r="M416" s="1"/>
      <c r="N416" s="1"/>
      <c r="O416" s="1"/>
      <c r="P416" s="22"/>
      <c r="Q416" s="22"/>
      <c r="R416" s="1"/>
      <c r="S416" s="1"/>
      <c r="T416" s="1"/>
      <c r="U416" s="49"/>
      <c r="V416" s="49"/>
      <c r="W416" s="49"/>
      <c r="X416" s="49"/>
      <c r="Y416" s="34">
        <f t="shared" ref="Y416:BC416" si="266">SUM(Y417:Y430)</f>
        <v>29.9</v>
      </c>
      <c r="Z416" s="34">
        <f t="shared" si="266"/>
        <v>45</v>
      </c>
      <c r="AA416" s="34">
        <f t="shared" si="266"/>
        <v>50</v>
      </c>
      <c r="AB416" s="34">
        <f t="shared" si="266"/>
        <v>390</v>
      </c>
      <c r="AC416" s="34">
        <f t="shared" si="266"/>
        <v>0</v>
      </c>
      <c r="AD416" s="34">
        <f t="shared" si="266"/>
        <v>603</v>
      </c>
      <c r="AE416" s="34">
        <f t="shared" si="266"/>
        <v>0</v>
      </c>
      <c r="AF416" s="34">
        <f t="shared" si="266"/>
        <v>1117.9000000000001</v>
      </c>
      <c r="AG416" s="34">
        <f t="shared" si="266"/>
        <v>16</v>
      </c>
      <c r="AH416" s="34">
        <f t="shared" si="266"/>
        <v>280</v>
      </c>
      <c r="AI416" s="34">
        <f t="shared" si="266"/>
        <v>30</v>
      </c>
      <c r="AJ416" s="34">
        <f t="shared" si="266"/>
        <v>0</v>
      </c>
      <c r="AK416" s="34">
        <f t="shared" si="266"/>
        <v>0</v>
      </c>
      <c r="AL416" s="34">
        <f t="shared" si="266"/>
        <v>0</v>
      </c>
      <c r="AM416" s="34">
        <f t="shared" si="266"/>
        <v>326</v>
      </c>
      <c r="AN416" s="34">
        <f t="shared" si="266"/>
        <v>16</v>
      </c>
      <c r="AO416" s="34">
        <f t="shared" si="266"/>
        <v>285</v>
      </c>
      <c r="AP416" s="34">
        <f t="shared" si="266"/>
        <v>0</v>
      </c>
      <c r="AQ416" s="34">
        <f t="shared" si="266"/>
        <v>0</v>
      </c>
      <c r="AR416" s="34">
        <f t="shared" si="266"/>
        <v>0</v>
      </c>
      <c r="AS416" s="34">
        <f t="shared" si="266"/>
        <v>0</v>
      </c>
      <c r="AT416" s="34">
        <f t="shared" si="266"/>
        <v>0</v>
      </c>
      <c r="AU416" s="34">
        <f t="shared" si="266"/>
        <v>301</v>
      </c>
      <c r="AV416" s="34">
        <f t="shared" si="266"/>
        <v>31</v>
      </c>
      <c r="AW416" s="34">
        <f t="shared" si="266"/>
        <v>275</v>
      </c>
      <c r="AX416" s="34">
        <f t="shared" si="266"/>
        <v>0</v>
      </c>
      <c r="AY416" s="34">
        <f t="shared" si="266"/>
        <v>0</v>
      </c>
      <c r="AZ416" s="34">
        <f t="shared" si="266"/>
        <v>0</v>
      </c>
      <c r="BA416" s="34">
        <f t="shared" si="266"/>
        <v>0</v>
      </c>
      <c r="BB416" s="34">
        <f t="shared" si="266"/>
        <v>0</v>
      </c>
      <c r="BC416" s="34">
        <f t="shared" si="266"/>
        <v>306</v>
      </c>
      <c r="BD416" s="34">
        <f t="shared" si="253"/>
        <v>92.9</v>
      </c>
      <c r="BE416" s="34">
        <f t="shared" si="253"/>
        <v>885</v>
      </c>
      <c r="BF416" s="34">
        <f t="shared" si="253"/>
        <v>80</v>
      </c>
      <c r="BG416" s="34">
        <f t="shared" si="253"/>
        <v>390</v>
      </c>
      <c r="BH416" s="34">
        <f t="shared" si="253"/>
        <v>0</v>
      </c>
      <c r="BI416" s="34">
        <f t="shared" si="264"/>
        <v>603</v>
      </c>
      <c r="BJ416" s="34">
        <f t="shared" si="254"/>
        <v>0</v>
      </c>
      <c r="BK416" s="34">
        <f t="shared" si="254"/>
        <v>2050.9</v>
      </c>
    </row>
    <row r="417" spans="1:64" ht="46.5" customHeight="1" x14ac:dyDescent="0.25">
      <c r="A417" s="298" t="s">
        <v>1261</v>
      </c>
      <c r="B417" s="299" t="s">
        <v>1259</v>
      </c>
      <c r="C417" s="1546" t="s">
        <v>1262</v>
      </c>
      <c r="D417" s="1550" t="s">
        <v>1263</v>
      </c>
      <c r="E417" s="1550" t="s">
        <v>1264</v>
      </c>
      <c r="F417" s="1550">
        <v>2015</v>
      </c>
      <c r="G417" s="1550">
        <v>6.49</v>
      </c>
      <c r="H417" s="1550" t="s">
        <v>1265</v>
      </c>
      <c r="I417" s="1425"/>
      <c r="J417" s="1425"/>
      <c r="K417" s="1425" t="s">
        <v>1266</v>
      </c>
      <c r="L417" s="301" t="s">
        <v>1140</v>
      </c>
      <c r="M417" s="1425" t="s">
        <v>497</v>
      </c>
      <c r="N417" s="476"/>
      <c r="O417" s="1425" t="s">
        <v>73</v>
      </c>
      <c r="P417" s="16" t="s">
        <v>1267</v>
      </c>
      <c r="Q417" s="302" t="s">
        <v>1268</v>
      </c>
      <c r="R417" s="303">
        <v>2015</v>
      </c>
      <c r="S417" s="303">
        <v>0</v>
      </c>
      <c r="T417" s="303">
        <v>1</v>
      </c>
      <c r="U417" s="303">
        <v>1</v>
      </c>
      <c r="V417" s="303">
        <v>1</v>
      </c>
      <c r="W417" s="303">
        <v>1</v>
      </c>
      <c r="X417" s="303">
        <v>1</v>
      </c>
      <c r="Y417" s="481">
        <v>0</v>
      </c>
      <c r="Z417" s="482"/>
      <c r="AA417" s="481">
        <v>0</v>
      </c>
      <c r="AB417" s="481">
        <v>0</v>
      </c>
      <c r="AC417" s="481">
        <v>0</v>
      </c>
      <c r="AD417" s="481">
        <v>147</v>
      </c>
      <c r="AE417" s="481">
        <v>0</v>
      </c>
      <c r="AF417" s="481">
        <f t="shared" ref="AF417:AF440" si="267">SUM(Y417:AE417)</f>
        <v>147</v>
      </c>
      <c r="AG417" s="548">
        <v>0</v>
      </c>
      <c r="AH417" s="548">
        <v>250</v>
      </c>
      <c r="AI417" s="548">
        <v>0</v>
      </c>
      <c r="AJ417" s="548">
        <v>0</v>
      </c>
      <c r="AK417" s="548">
        <v>0</v>
      </c>
      <c r="AL417" s="548">
        <v>0</v>
      </c>
      <c r="AM417" s="548">
        <f t="shared" ref="AM417:AM430" si="268">SUM(AG417:AL417)</f>
        <v>250</v>
      </c>
      <c r="AN417" s="481">
        <v>0</v>
      </c>
      <c r="AO417" s="481">
        <v>255</v>
      </c>
      <c r="AP417" s="481">
        <v>0</v>
      </c>
      <c r="AQ417" s="481">
        <v>0</v>
      </c>
      <c r="AR417" s="481">
        <v>0</v>
      </c>
      <c r="AS417" s="481">
        <v>0</v>
      </c>
      <c r="AT417" s="481">
        <v>0</v>
      </c>
      <c r="AU417" s="481">
        <f t="shared" ref="AU417:AU428" si="269">SUM(AN417:AT417)</f>
        <v>255</v>
      </c>
      <c r="AV417" s="548"/>
      <c r="AW417" s="548">
        <v>260</v>
      </c>
      <c r="AX417" s="548"/>
      <c r="AY417" s="548"/>
      <c r="AZ417" s="548"/>
      <c r="BA417" s="548"/>
      <c r="BB417" s="548"/>
      <c r="BC417" s="548">
        <f t="shared" ref="BC417:BC440" si="270">SUM(AV417:BB417)</f>
        <v>260</v>
      </c>
      <c r="BD417" s="42">
        <f t="shared" si="253"/>
        <v>0</v>
      </c>
      <c r="BE417" s="42">
        <f t="shared" si="253"/>
        <v>765</v>
      </c>
      <c r="BF417" s="42">
        <f t="shared" si="253"/>
        <v>0</v>
      </c>
      <c r="BG417" s="42">
        <f t="shared" si="253"/>
        <v>0</v>
      </c>
      <c r="BH417" s="42">
        <f t="shared" si="253"/>
        <v>0</v>
      </c>
      <c r="BI417" s="42">
        <f t="shared" si="264"/>
        <v>147</v>
      </c>
      <c r="BJ417" s="42">
        <f t="shared" si="254"/>
        <v>0</v>
      </c>
      <c r="BK417" s="42">
        <f t="shared" si="254"/>
        <v>912</v>
      </c>
      <c r="BL417" s="3"/>
    </row>
    <row r="418" spans="1:64" ht="43.5" customHeight="1" x14ac:dyDescent="0.25">
      <c r="A418" s="298" t="s">
        <v>1261</v>
      </c>
      <c r="B418" s="299" t="s">
        <v>1259</v>
      </c>
      <c r="C418" s="1547"/>
      <c r="D418" s="1551"/>
      <c r="E418" s="1551"/>
      <c r="F418" s="1551"/>
      <c r="G418" s="1551"/>
      <c r="H418" s="1551"/>
      <c r="I418" s="1425"/>
      <c r="J418" s="1425"/>
      <c r="K418" s="1425" t="s">
        <v>1269</v>
      </c>
      <c r="L418" s="301" t="s">
        <v>1140</v>
      </c>
      <c r="M418" s="1425" t="s">
        <v>497</v>
      </c>
      <c r="N418" s="476"/>
      <c r="O418" s="1425" t="s">
        <v>73</v>
      </c>
      <c r="P418" s="16" t="s">
        <v>1270</v>
      </c>
      <c r="Q418" s="302" t="s">
        <v>1271</v>
      </c>
      <c r="R418" s="303">
        <v>2015</v>
      </c>
      <c r="S418" s="303">
        <v>0</v>
      </c>
      <c r="T418" s="303">
        <v>12</v>
      </c>
      <c r="U418" s="303">
        <v>12</v>
      </c>
      <c r="V418" s="303">
        <v>12</v>
      </c>
      <c r="W418" s="303">
        <v>12</v>
      </c>
      <c r="X418" s="303">
        <v>12</v>
      </c>
      <c r="Y418" s="481">
        <v>0</v>
      </c>
      <c r="Z418" s="491">
        <v>7.5</v>
      </c>
      <c r="AA418" s="481">
        <v>0</v>
      </c>
      <c r="AB418" s="481">
        <v>0</v>
      </c>
      <c r="AC418" s="481">
        <v>0</v>
      </c>
      <c r="AD418" s="481">
        <v>0</v>
      </c>
      <c r="AE418" s="481">
        <v>0</v>
      </c>
      <c r="AF418" s="481">
        <f t="shared" si="267"/>
        <v>7.5</v>
      </c>
      <c r="AG418" s="491">
        <v>0.5</v>
      </c>
      <c r="AH418" s="548">
        <v>0</v>
      </c>
      <c r="AI418" s="548">
        <v>0</v>
      </c>
      <c r="AJ418" s="548">
        <v>0</v>
      </c>
      <c r="AK418" s="548">
        <v>0</v>
      </c>
      <c r="AL418" s="548">
        <v>0</v>
      </c>
      <c r="AM418" s="548">
        <f t="shared" si="268"/>
        <v>0.5</v>
      </c>
      <c r="AN418" s="481">
        <v>0</v>
      </c>
      <c r="AO418" s="491">
        <v>1</v>
      </c>
      <c r="AP418" s="481">
        <v>0</v>
      </c>
      <c r="AQ418" s="481">
        <v>0</v>
      </c>
      <c r="AR418" s="481">
        <v>0</v>
      </c>
      <c r="AS418" s="481">
        <v>0</v>
      </c>
      <c r="AT418" s="481">
        <v>0</v>
      </c>
      <c r="AU418" s="481">
        <f t="shared" si="269"/>
        <v>1</v>
      </c>
      <c r="AV418" s="491">
        <v>1</v>
      </c>
      <c r="AW418" s="548"/>
      <c r="AX418" s="548"/>
      <c r="AY418" s="548"/>
      <c r="AZ418" s="548"/>
      <c r="BA418" s="548"/>
      <c r="BB418" s="548"/>
      <c r="BC418" s="548">
        <f t="shared" si="270"/>
        <v>1</v>
      </c>
      <c r="BD418" s="42">
        <f t="shared" si="253"/>
        <v>1.5</v>
      </c>
      <c r="BE418" s="42">
        <f t="shared" si="253"/>
        <v>8.5</v>
      </c>
      <c r="BF418" s="42">
        <f t="shared" si="253"/>
        <v>0</v>
      </c>
      <c r="BG418" s="42">
        <f t="shared" si="253"/>
        <v>0</v>
      </c>
      <c r="BH418" s="42">
        <f t="shared" si="253"/>
        <v>0</v>
      </c>
      <c r="BI418" s="42">
        <f t="shared" si="264"/>
        <v>0</v>
      </c>
      <c r="BJ418" s="42">
        <f t="shared" si="254"/>
        <v>0</v>
      </c>
      <c r="BK418" s="42">
        <f t="shared" si="254"/>
        <v>10</v>
      </c>
      <c r="BL418" s="3"/>
    </row>
    <row r="419" spans="1:64" ht="47.25" customHeight="1" x14ac:dyDescent="0.25">
      <c r="A419" s="298" t="s">
        <v>1261</v>
      </c>
      <c r="B419" s="299" t="s">
        <v>1259</v>
      </c>
      <c r="C419" s="1547"/>
      <c r="D419" s="1551"/>
      <c r="E419" s="1551"/>
      <c r="F419" s="1551"/>
      <c r="G419" s="1551"/>
      <c r="H419" s="1551"/>
      <c r="I419" s="1425"/>
      <c r="J419" s="1425"/>
      <c r="K419" s="1425" t="s">
        <v>1272</v>
      </c>
      <c r="L419" s="301" t="s">
        <v>1140</v>
      </c>
      <c r="M419" s="1425" t="s">
        <v>497</v>
      </c>
      <c r="N419" s="476"/>
      <c r="O419" s="1425" t="s">
        <v>47</v>
      </c>
      <c r="P419" s="16" t="s">
        <v>1273</v>
      </c>
      <c r="Q419" s="302" t="s">
        <v>1274</v>
      </c>
      <c r="R419" s="303">
        <v>2015</v>
      </c>
      <c r="S419" s="303">
        <v>0</v>
      </c>
      <c r="T419" s="303">
        <v>1</v>
      </c>
      <c r="U419" s="303">
        <v>1</v>
      </c>
      <c r="V419" s="303">
        <v>1</v>
      </c>
      <c r="W419" s="303">
        <v>1</v>
      </c>
      <c r="X419" s="303">
        <v>4</v>
      </c>
      <c r="Y419" s="481">
        <v>0</v>
      </c>
      <c r="Z419" s="491">
        <v>7.5</v>
      </c>
      <c r="AA419" s="481">
        <v>0</v>
      </c>
      <c r="AB419" s="481">
        <v>0</v>
      </c>
      <c r="AC419" s="481">
        <v>0</v>
      </c>
      <c r="AD419" s="481">
        <v>0</v>
      </c>
      <c r="AE419" s="481">
        <v>0</v>
      </c>
      <c r="AF419" s="481">
        <f t="shared" si="267"/>
        <v>7.5</v>
      </c>
      <c r="AG419" s="491">
        <v>0.5</v>
      </c>
      <c r="AH419" s="548">
        <v>0</v>
      </c>
      <c r="AI419" s="548">
        <v>0</v>
      </c>
      <c r="AJ419" s="548">
        <v>0</v>
      </c>
      <c r="AK419" s="548">
        <v>0</v>
      </c>
      <c r="AL419" s="548">
        <v>0</v>
      </c>
      <c r="AM419" s="548">
        <f t="shared" si="268"/>
        <v>0.5</v>
      </c>
      <c r="AN419" s="481">
        <v>0</v>
      </c>
      <c r="AO419" s="491">
        <v>1</v>
      </c>
      <c r="AP419" s="481">
        <v>0</v>
      </c>
      <c r="AQ419" s="481">
        <v>0</v>
      </c>
      <c r="AR419" s="481">
        <v>0</v>
      </c>
      <c r="AS419" s="481">
        <v>0</v>
      </c>
      <c r="AT419" s="481">
        <v>0</v>
      </c>
      <c r="AU419" s="481">
        <f t="shared" si="269"/>
        <v>1</v>
      </c>
      <c r="AV419" s="491">
        <v>1</v>
      </c>
      <c r="AW419" s="548"/>
      <c r="AX419" s="548"/>
      <c r="AY419" s="548"/>
      <c r="AZ419" s="548"/>
      <c r="BA419" s="548"/>
      <c r="BB419" s="548"/>
      <c r="BC419" s="548">
        <f t="shared" si="270"/>
        <v>1</v>
      </c>
      <c r="BD419" s="42">
        <f t="shared" si="253"/>
        <v>1.5</v>
      </c>
      <c r="BE419" s="42">
        <f t="shared" si="253"/>
        <v>8.5</v>
      </c>
      <c r="BF419" s="42">
        <f t="shared" si="253"/>
        <v>0</v>
      </c>
      <c r="BG419" s="42">
        <f t="shared" si="253"/>
        <v>0</v>
      </c>
      <c r="BH419" s="42">
        <f t="shared" si="253"/>
        <v>0</v>
      </c>
      <c r="BI419" s="42">
        <f t="shared" si="264"/>
        <v>0</v>
      </c>
      <c r="BJ419" s="42">
        <f t="shared" si="254"/>
        <v>0</v>
      </c>
      <c r="BK419" s="42">
        <f t="shared" si="254"/>
        <v>10</v>
      </c>
      <c r="BL419" s="3"/>
    </row>
    <row r="420" spans="1:64" ht="45.75" customHeight="1" x14ac:dyDescent="0.25">
      <c r="A420" s="298" t="s">
        <v>1261</v>
      </c>
      <c r="B420" s="299" t="s">
        <v>1259</v>
      </c>
      <c r="C420" s="1547"/>
      <c r="D420" s="1551"/>
      <c r="E420" s="1551"/>
      <c r="F420" s="1551"/>
      <c r="G420" s="1551"/>
      <c r="H420" s="1551"/>
      <c r="I420" s="1425"/>
      <c r="J420" s="1425"/>
      <c r="K420" s="1425" t="s">
        <v>1275</v>
      </c>
      <c r="L420" s="301" t="s">
        <v>1140</v>
      </c>
      <c r="M420" s="1425" t="s">
        <v>497</v>
      </c>
      <c r="N420" s="476"/>
      <c r="O420" s="1425" t="s">
        <v>73</v>
      </c>
      <c r="P420" s="16" t="s">
        <v>1276</v>
      </c>
      <c r="Q420" s="302" t="s">
        <v>1277</v>
      </c>
      <c r="R420" s="303">
        <v>2015</v>
      </c>
      <c r="S420" s="303">
        <v>0</v>
      </c>
      <c r="T420" s="303">
        <v>2</v>
      </c>
      <c r="U420" s="303">
        <v>2</v>
      </c>
      <c r="V420" s="303">
        <v>2</v>
      </c>
      <c r="W420" s="303">
        <v>2</v>
      </c>
      <c r="X420" s="303">
        <v>2</v>
      </c>
      <c r="Y420" s="491">
        <v>9</v>
      </c>
      <c r="Z420" s="481">
        <v>0</v>
      </c>
      <c r="AA420" s="481">
        <v>0</v>
      </c>
      <c r="AB420" s="481">
        <v>0</v>
      </c>
      <c r="AC420" s="481">
        <v>0</v>
      </c>
      <c r="AD420" s="481">
        <v>0</v>
      </c>
      <c r="AE420" s="481">
        <v>0</v>
      </c>
      <c r="AF420" s="481">
        <f t="shared" si="267"/>
        <v>9</v>
      </c>
      <c r="AG420" s="491">
        <v>0.5</v>
      </c>
      <c r="AH420" s="548">
        <v>0</v>
      </c>
      <c r="AI420" s="548">
        <v>0</v>
      </c>
      <c r="AJ420" s="548">
        <v>0</v>
      </c>
      <c r="AK420" s="548">
        <v>0</v>
      </c>
      <c r="AL420" s="548">
        <v>0</v>
      </c>
      <c r="AM420" s="548">
        <f t="shared" si="268"/>
        <v>0.5</v>
      </c>
      <c r="AN420" s="481">
        <v>0</v>
      </c>
      <c r="AO420" s="491">
        <v>1</v>
      </c>
      <c r="AP420" s="481">
        <v>0</v>
      </c>
      <c r="AQ420" s="481">
        <v>0</v>
      </c>
      <c r="AR420" s="481">
        <v>0</v>
      </c>
      <c r="AS420" s="481">
        <v>0</v>
      </c>
      <c r="AT420" s="481">
        <v>0</v>
      </c>
      <c r="AU420" s="481">
        <f t="shared" si="269"/>
        <v>1</v>
      </c>
      <c r="AV420" s="491">
        <v>1</v>
      </c>
      <c r="AW420" s="548">
        <v>0</v>
      </c>
      <c r="AX420" s="548">
        <v>0</v>
      </c>
      <c r="AY420" s="548">
        <v>0</v>
      </c>
      <c r="AZ420" s="548">
        <v>0</v>
      </c>
      <c r="BA420" s="548">
        <v>0</v>
      </c>
      <c r="BB420" s="548">
        <v>0</v>
      </c>
      <c r="BC420" s="548">
        <f t="shared" si="270"/>
        <v>1</v>
      </c>
      <c r="BD420" s="42">
        <f t="shared" si="253"/>
        <v>10.5</v>
      </c>
      <c r="BE420" s="42">
        <f t="shared" si="253"/>
        <v>1</v>
      </c>
      <c r="BF420" s="42">
        <f t="shared" si="253"/>
        <v>0</v>
      </c>
      <c r="BG420" s="42">
        <f t="shared" si="253"/>
        <v>0</v>
      </c>
      <c r="BH420" s="42">
        <f t="shared" si="253"/>
        <v>0</v>
      </c>
      <c r="BI420" s="42">
        <f t="shared" si="264"/>
        <v>0</v>
      </c>
      <c r="BJ420" s="42">
        <f t="shared" si="254"/>
        <v>0</v>
      </c>
      <c r="BK420" s="42">
        <f t="shared" si="254"/>
        <v>11.5</v>
      </c>
      <c r="BL420" s="3"/>
    </row>
    <row r="421" spans="1:64" ht="31.5" customHeight="1" x14ac:dyDescent="0.25">
      <c r="A421" s="298" t="s">
        <v>1261</v>
      </c>
      <c r="B421" s="299" t="s">
        <v>1259</v>
      </c>
      <c r="C421" s="1547"/>
      <c r="D421" s="1551"/>
      <c r="E421" s="1551"/>
      <c r="F421" s="1551"/>
      <c r="G421" s="1551"/>
      <c r="H421" s="1551"/>
      <c r="I421" s="1425"/>
      <c r="J421" s="1425"/>
      <c r="K421" s="1425" t="s">
        <v>1278</v>
      </c>
      <c r="L421" s="301" t="s">
        <v>1140</v>
      </c>
      <c r="M421" s="1425" t="s">
        <v>497</v>
      </c>
      <c r="N421" s="476"/>
      <c r="O421" s="1425" t="s">
        <v>73</v>
      </c>
      <c r="P421" s="16" t="s">
        <v>1279</v>
      </c>
      <c r="Q421" s="302" t="s">
        <v>1280</v>
      </c>
      <c r="R421" s="303">
        <v>2015</v>
      </c>
      <c r="S421" s="303">
        <v>0</v>
      </c>
      <c r="T421" s="303">
        <v>6</v>
      </c>
      <c r="U421" s="303">
        <v>6</v>
      </c>
      <c r="V421" s="303">
        <v>6</v>
      </c>
      <c r="W421" s="303">
        <v>6</v>
      </c>
      <c r="X421" s="303">
        <v>6</v>
      </c>
      <c r="Y421" s="491">
        <v>0.9</v>
      </c>
      <c r="Z421" s="481">
        <v>0</v>
      </c>
      <c r="AA421" s="481">
        <v>0</v>
      </c>
      <c r="AB421" s="481">
        <v>0</v>
      </c>
      <c r="AC421" s="481">
        <v>0</v>
      </c>
      <c r="AD421" s="481">
        <v>0</v>
      </c>
      <c r="AE421" s="481">
        <v>0</v>
      </c>
      <c r="AF421" s="481">
        <f t="shared" si="267"/>
        <v>0.9</v>
      </c>
      <c r="AG421" s="491">
        <v>0.5</v>
      </c>
      <c r="AH421" s="548">
        <v>0</v>
      </c>
      <c r="AI421" s="716">
        <v>10</v>
      </c>
      <c r="AJ421" s="548">
        <v>0</v>
      </c>
      <c r="AK421" s="548">
        <v>0</v>
      </c>
      <c r="AL421" s="548">
        <v>0</v>
      </c>
      <c r="AM421" s="548">
        <f t="shared" si="268"/>
        <v>10.5</v>
      </c>
      <c r="AN421" s="481">
        <v>0</v>
      </c>
      <c r="AO421" s="491">
        <v>1</v>
      </c>
      <c r="AP421" s="481">
        <v>0</v>
      </c>
      <c r="AQ421" s="481">
        <v>0</v>
      </c>
      <c r="AR421" s="481">
        <v>0</v>
      </c>
      <c r="AS421" s="481">
        <v>0</v>
      </c>
      <c r="AT421" s="481">
        <v>0</v>
      </c>
      <c r="AU421" s="481">
        <f t="shared" si="269"/>
        <v>1</v>
      </c>
      <c r="AV421" s="491">
        <v>1</v>
      </c>
      <c r="AW421" s="548">
        <v>0</v>
      </c>
      <c r="AX421" s="548">
        <v>0</v>
      </c>
      <c r="AY421" s="548">
        <v>0</v>
      </c>
      <c r="AZ421" s="548">
        <v>0</v>
      </c>
      <c r="BA421" s="548">
        <v>0</v>
      </c>
      <c r="BB421" s="548">
        <v>0</v>
      </c>
      <c r="BC421" s="548">
        <f t="shared" si="270"/>
        <v>1</v>
      </c>
      <c r="BD421" s="42">
        <f t="shared" si="253"/>
        <v>2.4</v>
      </c>
      <c r="BE421" s="42">
        <f t="shared" si="253"/>
        <v>1</v>
      </c>
      <c r="BF421" s="42">
        <f t="shared" si="253"/>
        <v>10</v>
      </c>
      <c r="BG421" s="42">
        <f t="shared" si="253"/>
        <v>0</v>
      </c>
      <c r="BH421" s="42">
        <f t="shared" si="253"/>
        <v>0</v>
      </c>
      <c r="BI421" s="42">
        <f t="shared" si="264"/>
        <v>0</v>
      </c>
      <c r="BJ421" s="42">
        <f t="shared" si="254"/>
        <v>0</v>
      </c>
      <c r="BK421" s="42">
        <f t="shared" si="254"/>
        <v>13.4</v>
      </c>
      <c r="BL421" s="3"/>
    </row>
    <row r="422" spans="1:64" s="38" customFormat="1" ht="44.25" customHeight="1" x14ac:dyDescent="0.25">
      <c r="A422" s="298" t="s">
        <v>1261</v>
      </c>
      <c r="B422" s="299" t="s">
        <v>1259</v>
      </c>
      <c r="C422" s="1547"/>
      <c r="D422" s="1551"/>
      <c r="E422" s="1551"/>
      <c r="F422" s="1551"/>
      <c r="G422" s="1551"/>
      <c r="H422" s="1551"/>
      <c r="I422" s="1432"/>
      <c r="J422" s="1432"/>
      <c r="K422" s="1425" t="s">
        <v>1281</v>
      </c>
      <c r="L422" s="301" t="s">
        <v>1140</v>
      </c>
      <c r="M422" s="1425" t="s">
        <v>497</v>
      </c>
      <c r="N422" s="476"/>
      <c r="O422" s="1425" t="s">
        <v>73</v>
      </c>
      <c r="P422" s="71" t="s">
        <v>1282</v>
      </c>
      <c r="Q422" s="345" t="s">
        <v>1283</v>
      </c>
      <c r="R422" s="346">
        <v>2015</v>
      </c>
      <c r="S422" s="346">
        <v>0</v>
      </c>
      <c r="T422" s="346">
        <v>10</v>
      </c>
      <c r="U422" s="346">
        <v>10</v>
      </c>
      <c r="V422" s="346">
        <v>10</v>
      </c>
      <c r="W422" s="346">
        <v>10</v>
      </c>
      <c r="X422" s="346">
        <v>10</v>
      </c>
      <c r="Y422" s="579">
        <v>0</v>
      </c>
      <c r="Z422" s="579">
        <v>8</v>
      </c>
      <c r="AA422" s="579">
        <v>0</v>
      </c>
      <c r="AB422" s="579">
        <v>0</v>
      </c>
      <c r="AC422" s="579">
        <v>0</v>
      </c>
      <c r="AD422" s="579">
        <v>0</v>
      </c>
      <c r="AE422" s="579">
        <v>0</v>
      </c>
      <c r="AF422" s="579">
        <f t="shared" si="267"/>
        <v>8</v>
      </c>
      <c r="AG422" s="589">
        <v>8</v>
      </c>
      <c r="AH422" s="589">
        <v>0</v>
      </c>
      <c r="AI422" s="589">
        <v>0</v>
      </c>
      <c r="AJ422" s="589">
        <v>0</v>
      </c>
      <c r="AK422" s="589">
        <v>0</v>
      </c>
      <c r="AL422" s="589">
        <v>0</v>
      </c>
      <c r="AM422" s="589">
        <f t="shared" si="268"/>
        <v>8</v>
      </c>
      <c r="AN422" s="579">
        <v>8</v>
      </c>
      <c r="AO422" s="579">
        <v>0</v>
      </c>
      <c r="AP422" s="579">
        <v>0</v>
      </c>
      <c r="AQ422" s="579">
        <v>0</v>
      </c>
      <c r="AR422" s="579">
        <v>0</v>
      </c>
      <c r="AS422" s="579">
        <v>0</v>
      </c>
      <c r="AT422" s="579">
        <v>0</v>
      </c>
      <c r="AU422" s="579">
        <f t="shared" si="269"/>
        <v>8</v>
      </c>
      <c r="AV422" s="589">
        <v>8</v>
      </c>
      <c r="AW422" s="589">
        <v>0</v>
      </c>
      <c r="AX422" s="589">
        <v>0</v>
      </c>
      <c r="AY422" s="589">
        <v>0</v>
      </c>
      <c r="AZ422" s="589">
        <v>0</v>
      </c>
      <c r="BA422" s="589">
        <v>0</v>
      </c>
      <c r="BB422" s="589">
        <v>0</v>
      </c>
      <c r="BC422" s="589">
        <f t="shared" si="270"/>
        <v>8</v>
      </c>
      <c r="BD422" s="61">
        <f t="shared" si="253"/>
        <v>24</v>
      </c>
      <c r="BE422" s="61">
        <f t="shared" si="253"/>
        <v>8</v>
      </c>
      <c r="BF422" s="61">
        <f t="shared" si="253"/>
        <v>0</v>
      </c>
      <c r="BG422" s="61">
        <f t="shared" si="253"/>
        <v>0</v>
      </c>
      <c r="BH422" s="61">
        <f t="shared" si="253"/>
        <v>0</v>
      </c>
      <c r="BI422" s="61">
        <f t="shared" si="264"/>
        <v>0</v>
      </c>
      <c r="BJ422" s="61">
        <f t="shared" si="254"/>
        <v>0</v>
      </c>
      <c r="BK422" s="61">
        <f t="shared" si="254"/>
        <v>32</v>
      </c>
    </row>
    <row r="423" spans="1:64" ht="46.5" customHeight="1" x14ac:dyDescent="0.25">
      <c r="A423" s="298" t="s">
        <v>1261</v>
      </c>
      <c r="B423" s="299" t="s">
        <v>1259</v>
      </c>
      <c r="C423" s="1547"/>
      <c r="D423" s="1551"/>
      <c r="E423" s="1551"/>
      <c r="F423" s="1551"/>
      <c r="G423" s="1551"/>
      <c r="H423" s="1551"/>
      <c r="I423" s="1425"/>
      <c r="J423" s="1425"/>
      <c r="K423" s="1425" t="s">
        <v>1284</v>
      </c>
      <c r="L423" s="301" t="s">
        <v>1140</v>
      </c>
      <c r="M423" s="1425" t="s">
        <v>497</v>
      </c>
      <c r="N423" s="476"/>
      <c r="O423" s="1425" t="s">
        <v>73</v>
      </c>
      <c r="P423" s="16" t="s">
        <v>1285</v>
      </c>
      <c r="Q423" s="302" t="s">
        <v>1286</v>
      </c>
      <c r="R423" s="303">
        <v>2015</v>
      </c>
      <c r="S423" s="303">
        <v>1</v>
      </c>
      <c r="T423" s="303">
        <v>1</v>
      </c>
      <c r="U423" s="303">
        <v>1</v>
      </c>
      <c r="V423" s="303">
        <v>1</v>
      </c>
      <c r="W423" s="303">
        <v>1</v>
      </c>
      <c r="X423" s="303">
        <v>1</v>
      </c>
      <c r="Y423" s="481">
        <v>20</v>
      </c>
      <c r="Z423" s="481">
        <v>4</v>
      </c>
      <c r="AA423" s="481">
        <v>0</v>
      </c>
      <c r="AB423" s="481">
        <v>0</v>
      </c>
      <c r="AC423" s="481">
        <v>0</v>
      </c>
      <c r="AD423" s="481">
        <v>6</v>
      </c>
      <c r="AE423" s="481">
        <v>0</v>
      </c>
      <c r="AF423" s="481">
        <f t="shared" si="267"/>
        <v>30</v>
      </c>
      <c r="AG423" s="548">
        <v>0</v>
      </c>
      <c r="AH423" s="548">
        <v>10</v>
      </c>
      <c r="AI423" s="548">
        <v>0</v>
      </c>
      <c r="AJ423" s="548">
        <v>0</v>
      </c>
      <c r="AK423" s="548">
        <v>0</v>
      </c>
      <c r="AL423" s="548">
        <v>0</v>
      </c>
      <c r="AM423" s="548">
        <f t="shared" si="268"/>
        <v>10</v>
      </c>
      <c r="AN423" s="481">
        <v>0</v>
      </c>
      <c r="AO423" s="481">
        <v>10</v>
      </c>
      <c r="AP423" s="481">
        <v>0</v>
      </c>
      <c r="AQ423" s="481">
        <v>0</v>
      </c>
      <c r="AR423" s="481">
        <v>0</v>
      </c>
      <c r="AS423" s="481">
        <v>0</v>
      </c>
      <c r="AT423" s="481">
        <v>0</v>
      </c>
      <c r="AU423" s="481">
        <f t="shared" si="269"/>
        <v>10</v>
      </c>
      <c r="AV423" s="548">
        <v>0</v>
      </c>
      <c r="AW423" s="548">
        <v>10</v>
      </c>
      <c r="AX423" s="548">
        <v>0</v>
      </c>
      <c r="AY423" s="548">
        <v>0</v>
      </c>
      <c r="AZ423" s="548">
        <v>0</v>
      </c>
      <c r="BA423" s="548">
        <v>0</v>
      </c>
      <c r="BB423" s="548">
        <v>0</v>
      </c>
      <c r="BC423" s="548">
        <f t="shared" si="270"/>
        <v>10</v>
      </c>
      <c r="BD423" s="42">
        <f t="shared" si="253"/>
        <v>20</v>
      </c>
      <c r="BE423" s="42">
        <f t="shared" si="253"/>
        <v>34</v>
      </c>
      <c r="BF423" s="42">
        <f t="shared" si="253"/>
        <v>0</v>
      </c>
      <c r="BG423" s="42">
        <f t="shared" si="253"/>
        <v>0</v>
      </c>
      <c r="BH423" s="42">
        <f t="shared" si="253"/>
        <v>0</v>
      </c>
      <c r="BI423" s="42">
        <f t="shared" si="264"/>
        <v>6</v>
      </c>
      <c r="BJ423" s="42">
        <f t="shared" si="254"/>
        <v>0</v>
      </c>
      <c r="BK423" s="42">
        <f t="shared" si="254"/>
        <v>60</v>
      </c>
      <c r="BL423" s="3"/>
    </row>
    <row r="424" spans="1:64" ht="36" customHeight="1" x14ac:dyDescent="0.25">
      <c r="A424" s="298" t="s">
        <v>1261</v>
      </c>
      <c r="B424" s="299" t="s">
        <v>1259</v>
      </c>
      <c r="C424" s="1547"/>
      <c r="D424" s="1551"/>
      <c r="E424" s="1551"/>
      <c r="F424" s="1551"/>
      <c r="G424" s="1551"/>
      <c r="H424" s="1551"/>
      <c r="I424" s="1425"/>
      <c r="J424" s="1425"/>
      <c r="K424" s="1425" t="s">
        <v>1287</v>
      </c>
      <c r="L424" s="301" t="s">
        <v>1140</v>
      </c>
      <c r="M424" s="1425" t="s">
        <v>497</v>
      </c>
      <c r="N424" s="476"/>
      <c r="O424" s="1425" t="s">
        <v>47</v>
      </c>
      <c r="P424" s="16" t="s">
        <v>1288</v>
      </c>
      <c r="Q424" s="302" t="s">
        <v>1289</v>
      </c>
      <c r="R424" s="303">
        <v>2015</v>
      </c>
      <c r="S424" s="303">
        <v>0</v>
      </c>
      <c r="T424" s="303">
        <v>10</v>
      </c>
      <c r="U424" s="303">
        <v>0</v>
      </c>
      <c r="V424" s="303">
        <v>0</v>
      </c>
      <c r="W424" s="303">
        <v>0</v>
      </c>
      <c r="X424" s="303">
        <v>10</v>
      </c>
      <c r="Y424" s="481">
        <v>0</v>
      </c>
      <c r="Z424" s="482"/>
      <c r="AA424" s="481">
        <v>0</v>
      </c>
      <c r="AB424" s="481">
        <v>0</v>
      </c>
      <c r="AC424" s="481">
        <v>0</v>
      </c>
      <c r="AD424" s="481">
        <v>150</v>
      </c>
      <c r="AE424" s="481">
        <v>0</v>
      </c>
      <c r="AF424" s="481">
        <f t="shared" si="267"/>
        <v>150</v>
      </c>
      <c r="AG424" s="548">
        <v>0</v>
      </c>
      <c r="AH424" s="548">
        <v>0</v>
      </c>
      <c r="AI424" s="548">
        <v>0</v>
      </c>
      <c r="AJ424" s="548">
        <v>0</v>
      </c>
      <c r="AK424" s="548">
        <v>0</v>
      </c>
      <c r="AL424" s="548">
        <v>0</v>
      </c>
      <c r="AM424" s="548">
        <f t="shared" si="268"/>
        <v>0</v>
      </c>
      <c r="AN424" s="481">
        <v>0</v>
      </c>
      <c r="AO424" s="481">
        <v>0</v>
      </c>
      <c r="AP424" s="481">
        <v>0</v>
      </c>
      <c r="AQ424" s="481">
        <v>0</v>
      </c>
      <c r="AR424" s="481">
        <v>0</v>
      </c>
      <c r="AS424" s="481">
        <v>0</v>
      </c>
      <c r="AT424" s="481">
        <v>0</v>
      </c>
      <c r="AU424" s="481">
        <f t="shared" si="269"/>
        <v>0</v>
      </c>
      <c r="AV424" s="548">
        <v>0</v>
      </c>
      <c r="AW424" s="548">
        <v>0</v>
      </c>
      <c r="AX424" s="548">
        <v>0</v>
      </c>
      <c r="AY424" s="548">
        <v>0</v>
      </c>
      <c r="AZ424" s="548">
        <v>0</v>
      </c>
      <c r="BA424" s="548">
        <v>0</v>
      </c>
      <c r="BB424" s="548">
        <v>0</v>
      </c>
      <c r="BC424" s="548">
        <f t="shared" si="270"/>
        <v>0</v>
      </c>
      <c r="BD424" s="42">
        <f t="shared" si="253"/>
        <v>0</v>
      </c>
      <c r="BE424" s="42">
        <f t="shared" si="253"/>
        <v>0</v>
      </c>
      <c r="BF424" s="42">
        <f t="shared" si="253"/>
        <v>0</v>
      </c>
      <c r="BG424" s="42">
        <f t="shared" si="253"/>
        <v>0</v>
      </c>
      <c r="BH424" s="42">
        <f t="shared" si="253"/>
        <v>0</v>
      </c>
      <c r="BI424" s="42">
        <f t="shared" si="264"/>
        <v>150</v>
      </c>
      <c r="BJ424" s="42">
        <f t="shared" si="254"/>
        <v>0</v>
      </c>
      <c r="BK424" s="42">
        <f t="shared" si="254"/>
        <v>150</v>
      </c>
      <c r="BL424" s="3"/>
    </row>
    <row r="425" spans="1:64" ht="36.75" customHeight="1" x14ac:dyDescent="0.25">
      <c r="A425" s="298" t="s">
        <v>1261</v>
      </c>
      <c r="B425" s="299" t="s">
        <v>1259</v>
      </c>
      <c r="C425" s="1547"/>
      <c r="D425" s="1551"/>
      <c r="E425" s="1551"/>
      <c r="F425" s="1551"/>
      <c r="G425" s="1551"/>
      <c r="H425" s="1551"/>
      <c r="I425" s="1425"/>
      <c r="J425" s="1425"/>
      <c r="K425" s="1425" t="s">
        <v>1290</v>
      </c>
      <c r="L425" s="301" t="s">
        <v>1140</v>
      </c>
      <c r="M425" s="1425" t="s">
        <v>497</v>
      </c>
      <c r="N425" s="476"/>
      <c r="O425" s="1425" t="s">
        <v>47</v>
      </c>
      <c r="P425" s="16" t="s">
        <v>1291</v>
      </c>
      <c r="Q425" s="302" t="s">
        <v>1292</v>
      </c>
      <c r="R425" s="303">
        <v>2015</v>
      </c>
      <c r="S425" s="303">
        <v>0</v>
      </c>
      <c r="T425" s="303">
        <v>1</v>
      </c>
      <c r="U425" s="303">
        <v>0</v>
      </c>
      <c r="V425" s="303">
        <v>0</v>
      </c>
      <c r="W425" s="303">
        <v>0</v>
      </c>
      <c r="X425" s="303">
        <v>1</v>
      </c>
      <c r="Y425" s="481">
        <v>0</v>
      </c>
      <c r="Z425" s="482"/>
      <c r="AA425" s="481">
        <v>0</v>
      </c>
      <c r="AB425" s="491">
        <v>390</v>
      </c>
      <c r="AC425" s="481">
        <v>0</v>
      </c>
      <c r="AD425" s="481">
        <v>300</v>
      </c>
      <c r="AE425" s="481">
        <v>0</v>
      </c>
      <c r="AF425" s="481">
        <f t="shared" si="267"/>
        <v>690</v>
      </c>
      <c r="AG425" s="548">
        <v>0</v>
      </c>
      <c r="AH425" s="548">
        <v>0</v>
      </c>
      <c r="AI425" s="548">
        <v>0</v>
      </c>
      <c r="AJ425" s="548">
        <v>0</v>
      </c>
      <c r="AK425" s="548">
        <v>0</v>
      </c>
      <c r="AL425" s="548">
        <v>0</v>
      </c>
      <c r="AM425" s="548">
        <f t="shared" si="268"/>
        <v>0</v>
      </c>
      <c r="AN425" s="481">
        <v>0</v>
      </c>
      <c r="AO425" s="481">
        <v>0</v>
      </c>
      <c r="AP425" s="481">
        <v>0</v>
      </c>
      <c r="AQ425" s="481">
        <v>0</v>
      </c>
      <c r="AR425" s="481">
        <v>0</v>
      </c>
      <c r="AS425" s="481">
        <v>0</v>
      </c>
      <c r="AT425" s="481">
        <v>0</v>
      </c>
      <c r="AU425" s="481">
        <f t="shared" si="269"/>
        <v>0</v>
      </c>
      <c r="AV425" s="548">
        <v>0</v>
      </c>
      <c r="AW425" s="548">
        <v>0</v>
      </c>
      <c r="AX425" s="548">
        <v>0</v>
      </c>
      <c r="AY425" s="548">
        <v>0</v>
      </c>
      <c r="AZ425" s="548">
        <v>0</v>
      </c>
      <c r="BA425" s="548">
        <v>0</v>
      </c>
      <c r="BB425" s="548">
        <v>0</v>
      </c>
      <c r="BC425" s="548">
        <f t="shared" si="270"/>
        <v>0</v>
      </c>
      <c r="BD425" s="42">
        <f t="shared" si="253"/>
        <v>0</v>
      </c>
      <c r="BE425" s="42">
        <f t="shared" si="253"/>
        <v>0</v>
      </c>
      <c r="BF425" s="42">
        <f t="shared" si="253"/>
        <v>0</v>
      </c>
      <c r="BG425" s="42">
        <f t="shared" si="253"/>
        <v>390</v>
      </c>
      <c r="BH425" s="42">
        <f t="shared" si="253"/>
        <v>0</v>
      </c>
      <c r="BI425" s="42">
        <f t="shared" si="264"/>
        <v>300</v>
      </c>
      <c r="BJ425" s="42">
        <f t="shared" si="254"/>
        <v>0</v>
      </c>
      <c r="BK425" s="42">
        <f t="shared" si="254"/>
        <v>690</v>
      </c>
      <c r="BL425" s="3"/>
    </row>
    <row r="426" spans="1:64" ht="37.5" customHeight="1" x14ac:dyDescent="0.25">
      <c r="A426" s="298" t="s">
        <v>1261</v>
      </c>
      <c r="B426" s="299" t="s">
        <v>1259</v>
      </c>
      <c r="C426" s="1547"/>
      <c r="D426" s="1551"/>
      <c r="E426" s="1551"/>
      <c r="F426" s="1551"/>
      <c r="G426" s="1551"/>
      <c r="H426" s="1551"/>
      <c r="I426" s="1425"/>
      <c r="J426" s="1425"/>
      <c r="K426" s="1425" t="s">
        <v>1293</v>
      </c>
      <c r="L426" s="301" t="s">
        <v>1140</v>
      </c>
      <c r="M426" s="1425" t="s">
        <v>497</v>
      </c>
      <c r="N426" s="476"/>
      <c r="O426" s="1425" t="s">
        <v>73</v>
      </c>
      <c r="P426" s="16" t="s">
        <v>1294</v>
      </c>
      <c r="Q426" s="302" t="s">
        <v>1295</v>
      </c>
      <c r="R426" s="303">
        <v>2015</v>
      </c>
      <c r="S426" s="303">
        <v>0</v>
      </c>
      <c r="T426" s="303">
        <v>1</v>
      </c>
      <c r="U426" s="303">
        <v>1</v>
      </c>
      <c r="V426" s="303">
        <v>1</v>
      </c>
      <c r="W426" s="303">
        <v>1</v>
      </c>
      <c r="X426" s="303">
        <v>1</v>
      </c>
      <c r="Y426" s="481">
        <v>0</v>
      </c>
      <c r="Z426" s="481">
        <v>5</v>
      </c>
      <c r="AA426" s="481">
        <v>0</v>
      </c>
      <c r="AB426" s="481">
        <v>0</v>
      </c>
      <c r="AC426" s="481">
        <v>0</v>
      </c>
      <c r="AD426" s="481">
        <v>0</v>
      </c>
      <c r="AE426" s="481">
        <v>0</v>
      </c>
      <c r="AF426" s="481">
        <f t="shared" si="267"/>
        <v>5</v>
      </c>
      <c r="AG426" s="548">
        <v>0</v>
      </c>
      <c r="AH426" s="548">
        <v>5</v>
      </c>
      <c r="AI426" s="548">
        <v>0</v>
      </c>
      <c r="AJ426" s="548">
        <v>0</v>
      </c>
      <c r="AK426" s="548">
        <v>0</v>
      </c>
      <c r="AL426" s="548">
        <v>0</v>
      </c>
      <c r="AM426" s="548">
        <f t="shared" si="268"/>
        <v>5</v>
      </c>
      <c r="AN426" s="481">
        <v>0</v>
      </c>
      <c r="AO426" s="481">
        <v>5</v>
      </c>
      <c r="AP426" s="481">
        <v>0</v>
      </c>
      <c r="AQ426" s="481">
        <v>0</v>
      </c>
      <c r="AR426" s="481">
        <v>0</v>
      </c>
      <c r="AS426" s="481">
        <v>0</v>
      </c>
      <c r="AT426" s="481">
        <v>0</v>
      </c>
      <c r="AU426" s="481">
        <f t="shared" si="269"/>
        <v>5</v>
      </c>
      <c r="AV426" s="548">
        <v>0</v>
      </c>
      <c r="AW426" s="548">
        <v>5</v>
      </c>
      <c r="AX426" s="548">
        <v>0</v>
      </c>
      <c r="AY426" s="548">
        <v>0</v>
      </c>
      <c r="AZ426" s="548">
        <v>0</v>
      </c>
      <c r="BA426" s="548">
        <v>0</v>
      </c>
      <c r="BB426" s="548">
        <v>0</v>
      </c>
      <c r="BC426" s="548">
        <f t="shared" si="270"/>
        <v>5</v>
      </c>
      <c r="BD426" s="42">
        <f t="shared" si="253"/>
        <v>0</v>
      </c>
      <c r="BE426" s="42">
        <f t="shared" si="253"/>
        <v>20</v>
      </c>
      <c r="BF426" s="42">
        <f t="shared" si="253"/>
        <v>0</v>
      </c>
      <c r="BG426" s="42">
        <f t="shared" si="253"/>
        <v>0</v>
      </c>
      <c r="BH426" s="42">
        <f t="shared" si="253"/>
        <v>0</v>
      </c>
      <c r="BI426" s="42">
        <f t="shared" si="264"/>
        <v>0</v>
      </c>
      <c r="BJ426" s="42">
        <f t="shared" si="254"/>
        <v>0</v>
      </c>
      <c r="BK426" s="42">
        <f t="shared" si="254"/>
        <v>20</v>
      </c>
      <c r="BL426" s="3"/>
    </row>
    <row r="427" spans="1:64" ht="43.5" customHeight="1" x14ac:dyDescent="0.25">
      <c r="A427" s="298" t="s">
        <v>1261</v>
      </c>
      <c r="B427" s="299" t="s">
        <v>1259</v>
      </c>
      <c r="C427" s="1547"/>
      <c r="D427" s="1551"/>
      <c r="E427" s="1551"/>
      <c r="F427" s="1551"/>
      <c r="G427" s="1551"/>
      <c r="H427" s="1551"/>
      <c r="I427" s="1425"/>
      <c r="J427" s="1425"/>
      <c r="K427" s="1425" t="s">
        <v>1296</v>
      </c>
      <c r="L427" s="301" t="s">
        <v>1140</v>
      </c>
      <c r="M427" s="1425" t="s">
        <v>497</v>
      </c>
      <c r="N427" s="476"/>
      <c r="O427" s="1425" t="s">
        <v>73</v>
      </c>
      <c r="P427" s="16" t="s">
        <v>1297</v>
      </c>
      <c r="Q427" s="302" t="s">
        <v>1298</v>
      </c>
      <c r="R427" s="303">
        <v>2015</v>
      </c>
      <c r="S427" s="303">
        <v>0</v>
      </c>
      <c r="T427" s="303">
        <v>4</v>
      </c>
      <c r="U427" s="303">
        <v>4</v>
      </c>
      <c r="V427" s="303">
        <v>4</v>
      </c>
      <c r="W427" s="303">
        <v>4</v>
      </c>
      <c r="X427" s="303">
        <v>4</v>
      </c>
      <c r="Y427" s="481">
        <v>0</v>
      </c>
      <c r="Z427" s="491">
        <v>5</v>
      </c>
      <c r="AA427" s="481">
        <v>0</v>
      </c>
      <c r="AB427" s="481">
        <v>0</v>
      </c>
      <c r="AC427" s="481">
        <v>0</v>
      </c>
      <c r="AD427" s="481">
        <v>0</v>
      </c>
      <c r="AE427" s="481">
        <v>0</v>
      </c>
      <c r="AF427" s="481">
        <f t="shared" si="267"/>
        <v>5</v>
      </c>
      <c r="AG427" s="491">
        <v>0.5</v>
      </c>
      <c r="AH427" s="548">
        <v>0</v>
      </c>
      <c r="AI427" s="548">
        <v>0</v>
      </c>
      <c r="AJ427" s="548">
        <v>0</v>
      </c>
      <c r="AK427" s="548">
        <v>0</v>
      </c>
      <c r="AL427" s="548">
        <v>0</v>
      </c>
      <c r="AM427" s="548">
        <f t="shared" si="268"/>
        <v>0.5</v>
      </c>
      <c r="AN427" s="481">
        <v>0</v>
      </c>
      <c r="AO427" s="491">
        <v>1</v>
      </c>
      <c r="AP427" s="481">
        <v>0</v>
      </c>
      <c r="AQ427" s="481">
        <v>0</v>
      </c>
      <c r="AR427" s="481">
        <v>0</v>
      </c>
      <c r="AS427" s="481">
        <v>0</v>
      </c>
      <c r="AT427" s="481">
        <v>0</v>
      </c>
      <c r="AU427" s="481">
        <f t="shared" si="269"/>
        <v>1</v>
      </c>
      <c r="AV427" s="491">
        <v>1</v>
      </c>
      <c r="AW427" s="548">
        <v>0</v>
      </c>
      <c r="AX427" s="548">
        <v>0</v>
      </c>
      <c r="AY427" s="548">
        <v>0</v>
      </c>
      <c r="AZ427" s="548">
        <v>0</v>
      </c>
      <c r="BA427" s="548">
        <v>0</v>
      </c>
      <c r="BB427" s="548">
        <v>0</v>
      </c>
      <c r="BC427" s="548">
        <f t="shared" si="270"/>
        <v>1</v>
      </c>
      <c r="BD427" s="42">
        <f t="shared" si="253"/>
        <v>1.5</v>
      </c>
      <c r="BE427" s="42">
        <f t="shared" si="253"/>
        <v>6</v>
      </c>
      <c r="BF427" s="42">
        <f t="shared" si="253"/>
        <v>0</v>
      </c>
      <c r="BG427" s="42">
        <f t="shared" si="253"/>
        <v>0</v>
      </c>
      <c r="BH427" s="42">
        <f t="shared" si="253"/>
        <v>0</v>
      </c>
      <c r="BI427" s="42">
        <f t="shared" si="264"/>
        <v>0</v>
      </c>
      <c r="BJ427" s="42">
        <f t="shared" si="254"/>
        <v>0</v>
      </c>
      <c r="BK427" s="42">
        <f t="shared" si="254"/>
        <v>7.5</v>
      </c>
      <c r="BL427" s="3"/>
    </row>
    <row r="428" spans="1:64" ht="45.75" customHeight="1" x14ac:dyDescent="0.25">
      <c r="A428" s="298" t="s">
        <v>1261</v>
      </c>
      <c r="B428" s="299" t="s">
        <v>1259</v>
      </c>
      <c r="C428" s="1547"/>
      <c r="D428" s="1551"/>
      <c r="E428" s="1551"/>
      <c r="F428" s="1551"/>
      <c r="G428" s="1551"/>
      <c r="H428" s="1551"/>
      <c r="I428" s="1425"/>
      <c r="J428" s="1425"/>
      <c r="K428" s="1425" t="s">
        <v>1299</v>
      </c>
      <c r="L428" s="301" t="s">
        <v>1140</v>
      </c>
      <c r="M428" s="1425" t="s">
        <v>497</v>
      </c>
      <c r="N428" s="476"/>
      <c r="O428" s="1425" t="s">
        <v>47</v>
      </c>
      <c r="P428" s="16" t="s">
        <v>1300</v>
      </c>
      <c r="Q428" s="302" t="s">
        <v>1301</v>
      </c>
      <c r="R428" s="303">
        <v>2015</v>
      </c>
      <c r="S428" s="303">
        <v>0</v>
      </c>
      <c r="T428" s="303">
        <v>2</v>
      </c>
      <c r="U428" s="303">
        <v>2</v>
      </c>
      <c r="V428" s="303">
        <v>2</v>
      </c>
      <c r="W428" s="303">
        <v>2</v>
      </c>
      <c r="X428" s="303">
        <v>8</v>
      </c>
      <c r="Y428" s="481">
        <v>0</v>
      </c>
      <c r="Z428" s="481">
        <v>8</v>
      </c>
      <c r="AA428" s="481">
        <v>0</v>
      </c>
      <c r="AB428" s="481">
        <v>0</v>
      </c>
      <c r="AC428" s="481">
        <v>0</v>
      </c>
      <c r="AD428" s="481">
        <v>0</v>
      </c>
      <c r="AE428" s="481">
        <v>0</v>
      </c>
      <c r="AF428" s="481">
        <f t="shared" si="267"/>
        <v>8</v>
      </c>
      <c r="AG428" s="491">
        <v>5</v>
      </c>
      <c r="AH428" s="548">
        <v>0</v>
      </c>
      <c r="AI428" s="548">
        <v>0</v>
      </c>
      <c r="AJ428" s="548">
        <v>0</v>
      </c>
      <c r="AK428" s="548">
        <v>0</v>
      </c>
      <c r="AL428" s="548">
        <v>0</v>
      </c>
      <c r="AM428" s="548">
        <f t="shared" si="268"/>
        <v>5</v>
      </c>
      <c r="AN428" s="481">
        <v>8</v>
      </c>
      <c r="AO428" s="481">
        <v>0</v>
      </c>
      <c r="AP428" s="481">
        <v>0</v>
      </c>
      <c r="AQ428" s="481">
        <v>0</v>
      </c>
      <c r="AR428" s="481">
        <v>0</v>
      </c>
      <c r="AS428" s="481">
        <v>0</v>
      </c>
      <c r="AT428" s="481">
        <v>0</v>
      </c>
      <c r="AU428" s="481">
        <f t="shared" si="269"/>
        <v>8</v>
      </c>
      <c r="AV428" s="548">
        <v>8</v>
      </c>
      <c r="AW428" s="548">
        <v>0</v>
      </c>
      <c r="AX428" s="548">
        <v>0</v>
      </c>
      <c r="AY428" s="548">
        <v>0</v>
      </c>
      <c r="AZ428" s="548">
        <v>0</v>
      </c>
      <c r="BA428" s="548">
        <v>0</v>
      </c>
      <c r="BB428" s="548">
        <v>0</v>
      </c>
      <c r="BC428" s="548">
        <f t="shared" si="270"/>
        <v>8</v>
      </c>
      <c r="BD428" s="42">
        <f t="shared" si="253"/>
        <v>21</v>
      </c>
      <c r="BE428" s="42">
        <f t="shared" si="253"/>
        <v>8</v>
      </c>
      <c r="BF428" s="42">
        <f t="shared" si="253"/>
        <v>0</v>
      </c>
      <c r="BG428" s="42">
        <f t="shared" si="253"/>
        <v>0</v>
      </c>
      <c r="BH428" s="42">
        <f t="shared" si="253"/>
        <v>0</v>
      </c>
      <c r="BI428" s="42">
        <f t="shared" si="264"/>
        <v>0</v>
      </c>
      <c r="BJ428" s="42">
        <f t="shared" si="254"/>
        <v>0</v>
      </c>
      <c r="BK428" s="42">
        <f t="shared" si="254"/>
        <v>29</v>
      </c>
      <c r="BL428" s="3"/>
    </row>
    <row r="429" spans="1:64" ht="47.25" customHeight="1" x14ac:dyDescent="0.25">
      <c r="A429" s="298" t="s">
        <v>1261</v>
      </c>
      <c r="B429" s="299" t="s">
        <v>1259</v>
      </c>
      <c r="C429" s="1547"/>
      <c r="D429" s="1551"/>
      <c r="E429" s="1551"/>
      <c r="F429" s="1551"/>
      <c r="G429" s="1551"/>
      <c r="H429" s="1551"/>
      <c r="I429" s="1425"/>
      <c r="J429" s="1425"/>
      <c r="K429" s="1425" t="s">
        <v>1302</v>
      </c>
      <c r="L429" s="301" t="s">
        <v>1140</v>
      </c>
      <c r="M429" s="1425" t="s">
        <v>497</v>
      </c>
      <c r="N429" s="476"/>
      <c r="O429" s="1425" t="s">
        <v>47</v>
      </c>
      <c r="P429" s="16" t="s">
        <v>1303</v>
      </c>
      <c r="Q429" s="302" t="s">
        <v>1304</v>
      </c>
      <c r="R429" s="303">
        <v>2015</v>
      </c>
      <c r="S429" s="303">
        <v>0</v>
      </c>
      <c r="T429" s="303">
        <v>0</v>
      </c>
      <c r="U429" s="303">
        <v>1</v>
      </c>
      <c r="V429" s="303">
        <v>0</v>
      </c>
      <c r="W429" s="303">
        <v>0</v>
      </c>
      <c r="X429" s="303">
        <v>1</v>
      </c>
      <c r="Y429" s="481">
        <v>0</v>
      </c>
      <c r="Z429" s="491"/>
      <c r="AA429" s="481">
        <v>0</v>
      </c>
      <c r="AB429" s="481">
        <v>0</v>
      </c>
      <c r="AC429" s="481">
        <v>0</v>
      </c>
      <c r="AD429" s="481">
        <v>0</v>
      </c>
      <c r="AE429" s="481">
        <v>0</v>
      </c>
      <c r="AF429" s="481">
        <f t="shared" si="267"/>
        <v>0</v>
      </c>
      <c r="AG429" s="548">
        <v>0</v>
      </c>
      <c r="AH429" s="548">
        <v>15</v>
      </c>
      <c r="AI429" s="548">
        <v>0</v>
      </c>
      <c r="AJ429" s="548">
        <v>0</v>
      </c>
      <c r="AK429" s="548">
        <v>0</v>
      </c>
      <c r="AL429" s="548">
        <v>0</v>
      </c>
      <c r="AM429" s="548">
        <f t="shared" si="268"/>
        <v>15</v>
      </c>
      <c r="AN429" s="481">
        <v>0</v>
      </c>
      <c r="AO429" s="491"/>
      <c r="AP429" s="481">
        <v>0</v>
      </c>
      <c r="AQ429" s="481">
        <v>0</v>
      </c>
      <c r="AR429" s="481">
        <v>0</v>
      </c>
      <c r="AS429" s="481">
        <v>0</v>
      </c>
      <c r="AT429" s="481">
        <v>0</v>
      </c>
      <c r="AU429" s="481">
        <v>0</v>
      </c>
      <c r="AV429" s="491"/>
      <c r="AW429" s="548">
        <v>0</v>
      </c>
      <c r="AX429" s="548">
        <v>0</v>
      </c>
      <c r="AY429" s="548">
        <v>0</v>
      </c>
      <c r="AZ429" s="548">
        <v>0</v>
      </c>
      <c r="BA429" s="548">
        <v>0</v>
      </c>
      <c r="BB429" s="548">
        <v>0</v>
      </c>
      <c r="BC429" s="548">
        <f t="shared" si="270"/>
        <v>0</v>
      </c>
      <c r="BD429" s="42">
        <f t="shared" si="253"/>
        <v>0</v>
      </c>
      <c r="BE429" s="42">
        <f t="shared" si="253"/>
        <v>15</v>
      </c>
      <c r="BF429" s="42">
        <f t="shared" si="253"/>
        <v>0</v>
      </c>
      <c r="BG429" s="42">
        <f t="shared" si="253"/>
        <v>0</v>
      </c>
      <c r="BH429" s="42">
        <f t="shared" si="253"/>
        <v>0</v>
      </c>
      <c r="BI429" s="42">
        <f t="shared" si="264"/>
        <v>0</v>
      </c>
      <c r="BJ429" s="42">
        <f t="shared" si="254"/>
        <v>0</v>
      </c>
      <c r="BK429" s="42">
        <f t="shared" si="254"/>
        <v>15</v>
      </c>
      <c r="BL429" s="3"/>
    </row>
    <row r="430" spans="1:64" ht="45" customHeight="1" x14ac:dyDescent="0.25">
      <c r="A430" s="298" t="s">
        <v>1261</v>
      </c>
      <c r="B430" s="299" t="s">
        <v>1259</v>
      </c>
      <c r="C430" s="1548"/>
      <c r="D430" s="1552"/>
      <c r="E430" s="1552"/>
      <c r="F430" s="1552"/>
      <c r="G430" s="1552"/>
      <c r="H430" s="1552"/>
      <c r="I430" s="1425"/>
      <c r="J430" s="1425"/>
      <c r="K430" s="1425" t="s">
        <v>1305</v>
      </c>
      <c r="L430" s="301" t="s">
        <v>1140</v>
      </c>
      <c r="M430" s="1425" t="s">
        <v>497</v>
      </c>
      <c r="N430" s="476"/>
      <c r="O430" s="1425" t="s">
        <v>73</v>
      </c>
      <c r="P430" s="16" t="s">
        <v>1306</v>
      </c>
      <c r="Q430" s="302" t="s">
        <v>787</v>
      </c>
      <c r="R430" s="303">
        <v>2015</v>
      </c>
      <c r="S430" s="303">
        <v>0</v>
      </c>
      <c r="T430" s="303">
        <v>1</v>
      </c>
      <c r="U430" s="303">
        <v>1</v>
      </c>
      <c r="V430" s="303">
        <v>1</v>
      </c>
      <c r="W430" s="303">
        <v>1</v>
      </c>
      <c r="X430" s="303">
        <v>1</v>
      </c>
      <c r="Y430" s="481">
        <v>0</v>
      </c>
      <c r="Z430" s="481">
        <v>0</v>
      </c>
      <c r="AA430" s="481">
        <v>50</v>
      </c>
      <c r="AB430" s="481">
        <v>0</v>
      </c>
      <c r="AC430" s="481">
        <v>0</v>
      </c>
      <c r="AD430" s="481">
        <v>0</v>
      </c>
      <c r="AE430" s="481">
        <v>0</v>
      </c>
      <c r="AF430" s="481">
        <f t="shared" si="267"/>
        <v>50</v>
      </c>
      <c r="AG430" s="491">
        <v>0.5</v>
      </c>
      <c r="AH430" s="548">
        <v>0</v>
      </c>
      <c r="AI430" s="716">
        <v>20</v>
      </c>
      <c r="AJ430" s="548">
        <v>0</v>
      </c>
      <c r="AK430" s="548">
        <v>0</v>
      </c>
      <c r="AL430" s="548">
        <v>0</v>
      </c>
      <c r="AM430" s="548">
        <f t="shared" si="268"/>
        <v>20.5</v>
      </c>
      <c r="AN430" s="481">
        <v>0</v>
      </c>
      <c r="AO430" s="491">
        <v>10</v>
      </c>
      <c r="AP430" s="481">
        <v>0</v>
      </c>
      <c r="AQ430" s="481">
        <v>0</v>
      </c>
      <c r="AR430" s="481">
        <v>0</v>
      </c>
      <c r="AS430" s="481">
        <v>0</v>
      </c>
      <c r="AT430" s="481">
        <v>0</v>
      </c>
      <c r="AU430" s="481">
        <f t="shared" ref="AU430:AU440" si="271">SUM(AN430:AT430)</f>
        <v>10</v>
      </c>
      <c r="AV430" s="491">
        <v>10</v>
      </c>
      <c r="AW430" s="548">
        <v>0</v>
      </c>
      <c r="AX430" s="548">
        <v>0</v>
      </c>
      <c r="AY430" s="548">
        <v>0</v>
      </c>
      <c r="AZ430" s="548">
        <v>0</v>
      </c>
      <c r="BA430" s="548">
        <v>0</v>
      </c>
      <c r="BB430" s="548">
        <v>0</v>
      </c>
      <c r="BC430" s="548">
        <f t="shared" si="270"/>
        <v>10</v>
      </c>
      <c r="BD430" s="42">
        <f t="shared" si="253"/>
        <v>10.5</v>
      </c>
      <c r="BE430" s="42">
        <f t="shared" si="253"/>
        <v>10</v>
      </c>
      <c r="BF430" s="42">
        <f t="shared" si="253"/>
        <v>70</v>
      </c>
      <c r="BG430" s="42">
        <f t="shared" si="253"/>
        <v>0</v>
      </c>
      <c r="BH430" s="42">
        <f t="shared" si="253"/>
        <v>0</v>
      </c>
      <c r="BI430" s="42">
        <f t="shared" si="264"/>
        <v>0</v>
      </c>
      <c r="BJ430" s="42">
        <f t="shared" si="254"/>
        <v>0</v>
      </c>
      <c r="BK430" s="42">
        <f t="shared" si="254"/>
        <v>90.5</v>
      </c>
      <c r="BL430" s="3"/>
    </row>
    <row r="431" spans="1:64" ht="12" customHeight="1" x14ac:dyDescent="0.25">
      <c r="A431" s="295" t="s">
        <v>1261</v>
      </c>
      <c r="B431" s="24" t="s">
        <v>1259</v>
      </c>
      <c r="C431" s="2"/>
      <c r="D431" s="2" t="s">
        <v>1307</v>
      </c>
      <c r="E431" s="1"/>
      <c r="F431" s="1"/>
      <c r="G431" s="1"/>
      <c r="H431" s="1"/>
      <c r="I431" s="1"/>
      <c r="J431" s="1"/>
      <c r="K431" s="1"/>
      <c r="L431" s="1"/>
      <c r="M431" s="1"/>
      <c r="N431" s="1"/>
      <c r="O431" s="1"/>
      <c r="P431" s="22"/>
      <c r="Q431" s="22"/>
      <c r="R431" s="1"/>
      <c r="S431" s="1"/>
      <c r="T431" s="1"/>
      <c r="U431" s="1"/>
      <c r="V431" s="1"/>
      <c r="W431" s="1"/>
      <c r="X431" s="1"/>
      <c r="Y431" s="34">
        <f t="shared" ref="Y431:BC431" si="272">SUM(Y432:Y444)</f>
        <v>25</v>
      </c>
      <c r="Z431" s="34">
        <f t="shared" si="272"/>
        <v>305</v>
      </c>
      <c r="AA431" s="34">
        <f t="shared" si="272"/>
        <v>0</v>
      </c>
      <c r="AB431" s="34">
        <f t="shared" si="272"/>
        <v>0</v>
      </c>
      <c r="AC431" s="34">
        <f t="shared" si="272"/>
        <v>0</v>
      </c>
      <c r="AD431" s="34">
        <f t="shared" si="272"/>
        <v>0</v>
      </c>
      <c r="AE431" s="34">
        <f t="shared" si="272"/>
        <v>0</v>
      </c>
      <c r="AF431" s="34">
        <f t="shared" si="272"/>
        <v>330</v>
      </c>
      <c r="AG431" s="34">
        <f t="shared" si="272"/>
        <v>27</v>
      </c>
      <c r="AH431" s="34">
        <f t="shared" si="272"/>
        <v>45</v>
      </c>
      <c r="AI431" s="34">
        <f t="shared" si="272"/>
        <v>25</v>
      </c>
      <c r="AJ431" s="34">
        <f t="shared" si="272"/>
        <v>0</v>
      </c>
      <c r="AK431" s="34">
        <f t="shared" si="272"/>
        <v>0</v>
      </c>
      <c r="AL431" s="34">
        <f t="shared" si="272"/>
        <v>0</v>
      </c>
      <c r="AM431" s="34">
        <f t="shared" si="272"/>
        <v>97</v>
      </c>
      <c r="AN431" s="34">
        <f t="shared" si="272"/>
        <v>12</v>
      </c>
      <c r="AO431" s="34">
        <f t="shared" si="272"/>
        <v>60</v>
      </c>
      <c r="AP431" s="34">
        <f t="shared" si="272"/>
        <v>0</v>
      </c>
      <c r="AQ431" s="34">
        <f t="shared" si="272"/>
        <v>0</v>
      </c>
      <c r="AR431" s="34">
        <f t="shared" si="272"/>
        <v>0</v>
      </c>
      <c r="AS431" s="34">
        <f t="shared" si="272"/>
        <v>0</v>
      </c>
      <c r="AT431" s="34">
        <f t="shared" si="272"/>
        <v>0</v>
      </c>
      <c r="AU431" s="34">
        <f t="shared" si="272"/>
        <v>72</v>
      </c>
      <c r="AV431" s="34">
        <f t="shared" si="272"/>
        <v>12</v>
      </c>
      <c r="AW431" s="34">
        <f t="shared" si="272"/>
        <v>60</v>
      </c>
      <c r="AX431" s="34">
        <f t="shared" si="272"/>
        <v>0</v>
      </c>
      <c r="AY431" s="34">
        <f t="shared" si="272"/>
        <v>0</v>
      </c>
      <c r="AZ431" s="34">
        <f t="shared" si="272"/>
        <v>0</v>
      </c>
      <c r="BA431" s="34">
        <f t="shared" si="272"/>
        <v>0</v>
      </c>
      <c r="BB431" s="34">
        <f t="shared" si="272"/>
        <v>0</v>
      </c>
      <c r="BC431" s="34">
        <f t="shared" si="272"/>
        <v>72</v>
      </c>
      <c r="BD431" s="34">
        <f t="shared" si="253"/>
        <v>76</v>
      </c>
      <c r="BE431" s="34">
        <f t="shared" si="253"/>
        <v>470</v>
      </c>
      <c r="BF431" s="34">
        <f t="shared" si="253"/>
        <v>25</v>
      </c>
      <c r="BG431" s="34">
        <f t="shared" si="253"/>
        <v>0</v>
      </c>
      <c r="BH431" s="34">
        <f t="shared" si="253"/>
        <v>0</v>
      </c>
      <c r="BI431" s="34">
        <f t="shared" si="264"/>
        <v>0</v>
      </c>
      <c r="BJ431" s="34">
        <f t="shared" si="254"/>
        <v>0</v>
      </c>
      <c r="BK431" s="34">
        <f t="shared" si="254"/>
        <v>571</v>
      </c>
      <c r="BL431" s="3"/>
    </row>
    <row r="432" spans="1:64" ht="50.25" customHeight="1" x14ac:dyDescent="0.25">
      <c r="A432" s="298" t="s">
        <v>1261</v>
      </c>
      <c r="B432" s="299" t="s">
        <v>1259</v>
      </c>
      <c r="C432" s="1546" t="s">
        <v>1308</v>
      </c>
      <c r="D432" s="1549" t="s">
        <v>1309</v>
      </c>
      <c r="E432" s="1549" t="s">
        <v>1310</v>
      </c>
      <c r="F432" s="1549">
        <v>2015</v>
      </c>
      <c r="G432" s="1549" t="s">
        <v>1311</v>
      </c>
      <c r="H432" s="1549">
        <v>270</v>
      </c>
      <c r="I432" s="1425"/>
      <c r="J432" s="1425"/>
      <c r="K432" s="1425" t="s">
        <v>1312</v>
      </c>
      <c r="L432" s="301" t="s">
        <v>1140</v>
      </c>
      <c r="M432" s="1425" t="s">
        <v>497</v>
      </c>
      <c r="N432" s="476"/>
      <c r="O432" s="1425" t="s">
        <v>47</v>
      </c>
      <c r="P432" s="16" t="s">
        <v>1313</v>
      </c>
      <c r="Q432" s="302" t="s">
        <v>1314</v>
      </c>
      <c r="R432" s="303">
        <v>2015</v>
      </c>
      <c r="S432" s="303">
        <v>0</v>
      </c>
      <c r="T432" s="303">
        <v>6</v>
      </c>
      <c r="U432" s="303">
        <v>2</v>
      </c>
      <c r="V432" s="303">
        <v>2</v>
      </c>
      <c r="W432" s="303">
        <v>0</v>
      </c>
      <c r="X432" s="303">
        <v>10</v>
      </c>
      <c r="Y432" s="481">
        <v>0</v>
      </c>
      <c r="Z432" s="481">
        <v>200</v>
      </c>
      <c r="AA432" s="481">
        <v>0</v>
      </c>
      <c r="AB432" s="481">
        <v>0</v>
      </c>
      <c r="AC432" s="481">
        <v>0</v>
      </c>
      <c r="AD432" s="481">
        <v>0</v>
      </c>
      <c r="AE432" s="481">
        <v>0</v>
      </c>
      <c r="AF432" s="481">
        <f t="shared" si="267"/>
        <v>200</v>
      </c>
      <c r="AG432" s="548">
        <v>0</v>
      </c>
      <c r="AH432" s="491">
        <v>1</v>
      </c>
      <c r="AI432" s="716">
        <v>5</v>
      </c>
      <c r="AJ432" s="548">
        <v>0</v>
      </c>
      <c r="AK432" s="548">
        <v>0</v>
      </c>
      <c r="AL432" s="548">
        <v>0</v>
      </c>
      <c r="AM432" s="548">
        <f t="shared" ref="AM432:AM440" si="273">SUM(AG432:AL432)</f>
        <v>6</v>
      </c>
      <c r="AN432" s="481">
        <v>0</v>
      </c>
      <c r="AO432" s="491">
        <v>1</v>
      </c>
      <c r="AP432" s="481">
        <v>0</v>
      </c>
      <c r="AQ432" s="481">
        <v>0</v>
      </c>
      <c r="AR432" s="481">
        <v>0</v>
      </c>
      <c r="AS432" s="481">
        <v>0</v>
      </c>
      <c r="AT432" s="481">
        <v>0</v>
      </c>
      <c r="AU432" s="481">
        <f t="shared" si="271"/>
        <v>1</v>
      </c>
      <c r="AV432" s="548">
        <v>0</v>
      </c>
      <c r="AW432" s="548">
        <v>0</v>
      </c>
      <c r="AX432" s="548">
        <v>0</v>
      </c>
      <c r="AY432" s="548">
        <v>0</v>
      </c>
      <c r="AZ432" s="548">
        <v>0</v>
      </c>
      <c r="BA432" s="548">
        <v>0</v>
      </c>
      <c r="BB432" s="548">
        <v>0</v>
      </c>
      <c r="BC432" s="548">
        <f t="shared" si="270"/>
        <v>0</v>
      </c>
      <c r="BD432" s="42">
        <f t="shared" ref="BD432:BH466" si="274">+AV432+AN432+AG432+Y432</f>
        <v>0</v>
      </c>
      <c r="BE432" s="42">
        <f t="shared" si="274"/>
        <v>202</v>
      </c>
      <c r="BF432" s="42">
        <f t="shared" si="274"/>
        <v>5</v>
      </c>
      <c r="BG432" s="42">
        <f t="shared" si="274"/>
        <v>0</v>
      </c>
      <c r="BH432" s="42">
        <f t="shared" si="274"/>
        <v>0</v>
      </c>
      <c r="BI432" s="42">
        <f t="shared" si="264"/>
        <v>0</v>
      </c>
      <c r="BJ432" s="42">
        <f t="shared" ref="BJ432:BK466" si="275">+BB432+AT432+AL432+AE432</f>
        <v>0</v>
      </c>
      <c r="BK432" s="42">
        <f t="shared" si="275"/>
        <v>207</v>
      </c>
      <c r="BL432" s="3"/>
    </row>
    <row r="433" spans="1:64" ht="42" customHeight="1" x14ac:dyDescent="0.25">
      <c r="A433" s="298" t="s">
        <v>1261</v>
      </c>
      <c r="B433" s="299" t="s">
        <v>1259</v>
      </c>
      <c r="C433" s="1547"/>
      <c r="D433" s="1549"/>
      <c r="E433" s="1549"/>
      <c r="F433" s="1549"/>
      <c r="G433" s="1549"/>
      <c r="H433" s="1549"/>
      <c r="I433" s="1425"/>
      <c r="J433" s="1425"/>
      <c r="K433" s="1425" t="s">
        <v>1315</v>
      </c>
      <c r="L433" s="301" t="s">
        <v>1140</v>
      </c>
      <c r="M433" s="1425" t="s">
        <v>497</v>
      </c>
      <c r="N433" s="476"/>
      <c r="O433" s="1425" t="s">
        <v>73</v>
      </c>
      <c r="P433" s="16" t="s">
        <v>1316</v>
      </c>
      <c r="Q433" s="302" t="s">
        <v>1317</v>
      </c>
      <c r="R433" s="303">
        <v>2015</v>
      </c>
      <c r="S433" s="303">
        <v>1</v>
      </c>
      <c r="T433" s="303">
        <v>1</v>
      </c>
      <c r="U433" s="303">
        <v>1</v>
      </c>
      <c r="V433" s="303">
        <v>1</v>
      </c>
      <c r="W433" s="303">
        <v>1</v>
      </c>
      <c r="X433" s="303">
        <v>1</v>
      </c>
      <c r="Y433" s="491">
        <v>1</v>
      </c>
      <c r="Z433" s="481"/>
      <c r="AA433" s="481"/>
      <c r="AB433" s="481"/>
      <c r="AC433" s="481"/>
      <c r="AD433" s="481"/>
      <c r="AE433" s="481"/>
      <c r="AF433" s="481">
        <f t="shared" si="267"/>
        <v>1</v>
      </c>
      <c r="AG433" s="548"/>
      <c r="AH433" s="491">
        <v>1</v>
      </c>
      <c r="AI433" s="548"/>
      <c r="AJ433" s="548"/>
      <c r="AK433" s="548"/>
      <c r="AL433" s="548"/>
      <c r="AM433" s="548">
        <f t="shared" si="273"/>
        <v>1</v>
      </c>
      <c r="AN433" s="481"/>
      <c r="AO433" s="491">
        <v>1</v>
      </c>
      <c r="AP433" s="481"/>
      <c r="AQ433" s="481"/>
      <c r="AR433" s="481"/>
      <c r="AS433" s="481"/>
      <c r="AT433" s="481"/>
      <c r="AU433" s="481">
        <f t="shared" si="271"/>
        <v>1</v>
      </c>
      <c r="AV433" s="548"/>
      <c r="AW433" s="491">
        <v>1</v>
      </c>
      <c r="AX433" s="548"/>
      <c r="AY433" s="548"/>
      <c r="AZ433" s="548"/>
      <c r="BA433" s="548"/>
      <c r="BB433" s="548"/>
      <c r="BC433" s="548">
        <f>SUM(AV433:BB433)</f>
        <v>1</v>
      </c>
      <c r="BD433" s="42">
        <f>SUM(AW433:BC433)</f>
        <v>2</v>
      </c>
      <c r="BE433" s="42">
        <f t="shared" si="274"/>
        <v>3</v>
      </c>
      <c r="BF433" s="42">
        <f t="shared" si="274"/>
        <v>0</v>
      </c>
      <c r="BG433" s="42">
        <f t="shared" si="274"/>
        <v>0</v>
      </c>
      <c r="BH433" s="42">
        <f t="shared" si="274"/>
        <v>0</v>
      </c>
      <c r="BI433" s="42">
        <f>+BA433+AS433+AL433+AD433</f>
        <v>0</v>
      </c>
      <c r="BJ433" s="42">
        <f>+AE433+AT433+BB433</f>
        <v>0</v>
      </c>
      <c r="BK433" s="42">
        <f t="shared" si="275"/>
        <v>4</v>
      </c>
      <c r="BL433" s="42">
        <f>+BD433+AV433+AN433+AG433</f>
        <v>2</v>
      </c>
    </row>
    <row r="434" spans="1:64" ht="44.25" customHeight="1" x14ac:dyDescent="0.25">
      <c r="A434" s="298" t="s">
        <v>1261</v>
      </c>
      <c r="B434" s="299" t="s">
        <v>1259</v>
      </c>
      <c r="C434" s="1547"/>
      <c r="D434" s="1549"/>
      <c r="E434" s="1549"/>
      <c r="F434" s="1549"/>
      <c r="G434" s="1549"/>
      <c r="H434" s="1549"/>
      <c r="I434" s="1425"/>
      <c r="J434" s="1425"/>
      <c r="K434" s="1425" t="s">
        <v>1318</v>
      </c>
      <c r="L434" s="301" t="s">
        <v>1140</v>
      </c>
      <c r="M434" s="1425" t="s">
        <v>497</v>
      </c>
      <c r="N434" s="476"/>
      <c r="O434" s="1425" t="s">
        <v>73</v>
      </c>
      <c r="P434" s="16" t="s">
        <v>1319</v>
      </c>
      <c r="Q434" s="302" t="s">
        <v>1320</v>
      </c>
      <c r="R434" s="303">
        <v>2015</v>
      </c>
      <c r="S434" s="303">
        <v>0</v>
      </c>
      <c r="T434" s="303">
        <v>1</v>
      </c>
      <c r="U434" s="303">
        <v>1</v>
      </c>
      <c r="V434" s="303">
        <v>1</v>
      </c>
      <c r="W434" s="303">
        <v>1</v>
      </c>
      <c r="X434" s="303">
        <v>1</v>
      </c>
      <c r="Y434" s="481">
        <v>1</v>
      </c>
      <c r="Z434" s="481">
        <v>0</v>
      </c>
      <c r="AA434" s="481">
        <v>0</v>
      </c>
      <c r="AB434" s="481">
        <v>0</v>
      </c>
      <c r="AC434" s="481">
        <v>0</v>
      </c>
      <c r="AD434" s="481">
        <v>0</v>
      </c>
      <c r="AE434" s="481">
        <v>0</v>
      </c>
      <c r="AF434" s="481">
        <f t="shared" si="267"/>
        <v>1</v>
      </c>
      <c r="AG434" s="548">
        <v>4</v>
      </c>
      <c r="AH434" s="548">
        <v>0</v>
      </c>
      <c r="AI434" s="548">
        <v>0</v>
      </c>
      <c r="AJ434" s="548">
        <v>0</v>
      </c>
      <c r="AK434" s="548">
        <v>0</v>
      </c>
      <c r="AL434" s="548">
        <v>0</v>
      </c>
      <c r="AM434" s="548">
        <f t="shared" si="273"/>
        <v>4</v>
      </c>
      <c r="AN434" s="481">
        <v>4</v>
      </c>
      <c r="AO434" s="481">
        <v>0</v>
      </c>
      <c r="AP434" s="481">
        <v>0</v>
      </c>
      <c r="AQ434" s="481">
        <v>0</v>
      </c>
      <c r="AR434" s="481">
        <v>0</v>
      </c>
      <c r="AS434" s="481">
        <v>0</v>
      </c>
      <c r="AT434" s="481">
        <v>0</v>
      </c>
      <c r="AU434" s="481">
        <f t="shared" si="271"/>
        <v>4</v>
      </c>
      <c r="AV434" s="548">
        <v>4</v>
      </c>
      <c r="AW434" s="548">
        <v>0</v>
      </c>
      <c r="AX434" s="548">
        <v>0</v>
      </c>
      <c r="AY434" s="548">
        <v>0</v>
      </c>
      <c r="AZ434" s="548">
        <v>0</v>
      </c>
      <c r="BA434" s="548">
        <v>0</v>
      </c>
      <c r="BB434" s="548">
        <v>0</v>
      </c>
      <c r="BC434" s="548">
        <f t="shared" si="270"/>
        <v>4</v>
      </c>
      <c r="BD434" s="42">
        <f t="shared" si="274"/>
        <v>13</v>
      </c>
      <c r="BE434" s="42">
        <f t="shared" si="274"/>
        <v>0</v>
      </c>
      <c r="BF434" s="42">
        <f t="shared" si="274"/>
        <v>0</v>
      </c>
      <c r="BG434" s="42">
        <f t="shared" si="274"/>
        <v>0</v>
      </c>
      <c r="BH434" s="42">
        <f t="shared" si="274"/>
        <v>0</v>
      </c>
      <c r="BI434" s="42">
        <f t="shared" si="264"/>
        <v>0</v>
      </c>
      <c r="BJ434" s="42">
        <f t="shared" si="275"/>
        <v>0</v>
      </c>
      <c r="BK434" s="42">
        <f t="shared" si="275"/>
        <v>13</v>
      </c>
      <c r="BL434" s="3"/>
    </row>
    <row r="435" spans="1:64" ht="37.5" customHeight="1" x14ac:dyDescent="0.25">
      <c r="A435" s="298" t="s">
        <v>1261</v>
      </c>
      <c r="B435" s="299" t="s">
        <v>1259</v>
      </c>
      <c r="C435" s="1547"/>
      <c r="D435" s="1549"/>
      <c r="E435" s="1549"/>
      <c r="F435" s="1549"/>
      <c r="G435" s="1549"/>
      <c r="H435" s="1549"/>
      <c r="I435" s="1425"/>
      <c r="J435" s="1425"/>
      <c r="K435" s="1425" t="s">
        <v>1321</v>
      </c>
      <c r="L435" s="301" t="s">
        <v>1140</v>
      </c>
      <c r="M435" s="1425" t="s">
        <v>497</v>
      </c>
      <c r="N435" s="476"/>
      <c r="O435" s="1425" t="s">
        <v>73</v>
      </c>
      <c r="P435" s="16" t="s">
        <v>1322</v>
      </c>
      <c r="Q435" s="302" t="s">
        <v>1323</v>
      </c>
      <c r="R435" s="303">
        <v>2015</v>
      </c>
      <c r="S435" s="303">
        <v>1</v>
      </c>
      <c r="T435" s="303">
        <v>1</v>
      </c>
      <c r="U435" s="303">
        <v>1</v>
      </c>
      <c r="V435" s="303">
        <v>1</v>
      </c>
      <c r="W435" s="303">
        <v>1</v>
      </c>
      <c r="X435" s="303">
        <v>1</v>
      </c>
      <c r="Y435" s="491">
        <v>3</v>
      </c>
      <c r="Z435" s="481">
        <v>0</v>
      </c>
      <c r="AA435" s="481">
        <v>0</v>
      </c>
      <c r="AB435" s="481">
        <v>0</v>
      </c>
      <c r="AC435" s="481">
        <v>0</v>
      </c>
      <c r="AD435" s="481">
        <v>0</v>
      </c>
      <c r="AE435" s="481">
        <v>0</v>
      </c>
      <c r="AF435" s="481">
        <f t="shared" si="267"/>
        <v>3</v>
      </c>
      <c r="AG435" s="548">
        <v>6</v>
      </c>
      <c r="AH435" s="548">
        <v>0</v>
      </c>
      <c r="AI435" s="548">
        <v>0</v>
      </c>
      <c r="AJ435" s="548">
        <v>0</v>
      </c>
      <c r="AK435" s="548">
        <v>0</v>
      </c>
      <c r="AL435" s="548">
        <v>0</v>
      </c>
      <c r="AM435" s="548">
        <f t="shared" si="273"/>
        <v>6</v>
      </c>
      <c r="AN435" s="481">
        <v>6</v>
      </c>
      <c r="AO435" s="481">
        <v>0</v>
      </c>
      <c r="AP435" s="481">
        <v>0</v>
      </c>
      <c r="AQ435" s="481">
        <v>0</v>
      </c>
      <c r="AR435" s="481">
        <v>0</v>
      </c>
      <c r="AS435" s="481">
        <v>0</v>
      </c>
      <c r="AT435" s="481">
        <v>0</v>
      </c>
      <c r="AU435" s="481">
        <f t="shared" si="271"/>
        <v>6</v>
      </c>
      <c r="AV435" s="548">
        <v>6</v>
      </c>
      <c r="AW435" s="548">
        <v>0</v>
      </c>
      <c r="AX435" s="548">
        <v>0</v>
      </c>
      <c r="AY435" s="548">
        <v>0</v>
      </c>
      <c r="AZ435" s="548">
        <v>0</v>
      </c>
      <c r="BA435" s="548">
        <v>0</v>
      </c>
      <c r="BB435" s="548">
        <v>0</v>
      </c>
      <c r="BC435" s="548">
        <f t="shared" si="270"/>
        <v>6</v>
      </c>
      <c r="BD435" s="42">
        <f t="shared" si="274"/>
        <v>21</v>
      </c>
      <c r="BE435" s="42">
        <f t="shared" si="274"/>
        <v>0</v>
      </c>
      <c r="BF435" s="42">
        <f t="shared" si="274"/>
        <v>0</v>
      </c>
      <c r="BG435" s="42">
        <f t="shared" si="274"/>
        <v>0</v>
      </c>
      <c r="BH435" s="42">
        <f t="shared" si="274"/>
        <v>0</v>
      </c>
      <c r="BI435" s="42">
        <f t="shared" si="264"/>
        <v>0</v>
      </c>
      <c r="BJ435" s="42">
        <f t="shared" si="275"/>
        <v>0</v>
      </c>
      <c r="BK435" s="42">
        <f t="shared" si="275"/>
        <v>21</v>
      </c>
      <c r="BL435" s="3"/>
    </row>
    <row r="436" spans="1:64" ht="37.5" customHeight="1" x14ac:dyDescent="0.25">
      <c r="A436" s="298" t="s">
        <v>1261</v>
      </c>
      <c r="B436" s="299" t="s">
        <v>1259</v>
      </c>
      <c r="C436" s="1547"/>
      <c r="D436" s="1549"/>
      <c r="E436" s="1549"/>
      <c r="F436" s="1549"/>
      <c r="G436" s="1549"/>
      <c r="H436" s="1549"/>
      <c r="I436" s="1425"/>
      <c r="J436" s="1425"/>
      <c r="K436" s="1425" t="s">
        <v>1324</v>
      </c>
      <c r="L436" s="301" t="s">
        <v>1140</v>
      </c>
      <c r="M436" s="1425" t="s">
        <v>497</v>
      </c>
      <c r="N436" s="476"/>
      <c r="O436" s="1425" t="s">
        <v>73</v>
      </c>
      <c r="P436" s="71" t="s">
        <v>1325</v>
      </c>
      <c r="Q436" s="302" t="s">
        <v>1326</v>
      </c>
      <c r="R436" s="303">
        <v>2015</v>
      </c>
      <c r="S436" s="303">
        <v>0</v>
      </c>
      <c r="T436" s="303">
        <v>1</v>
      </c>
      <c r="U436" s="303">
        <v>1</v>
      </c>
      <c r="V436" s="303">
        <v>1</v>
      </c>
      <c r="W436" s="303">
        <v>1</v>
      </c>
      <c r="X436" s="303">
        <v>1</v>
      </c>
      <c r="Y436" s="481">
        <v>6</v>
      </c>
      <c r="Z436" s="481"/>
      <c r="AA436" s="481"/>
      <c r="AB436" s="481"/>
      <c r="AC436" s="481"/>
      <c r="AD436" s="481"/>
      <c r="AE436" s="481"/>
      <c r="AF436" s="481">
        <f t="shared" si="267"/>
        <v>6</v>
      </c>
      <c r="AG436" s="548"/>
      <c r="AH436" s="491">
        <v>1</v>
      </c>
      <c r="AI436" s="716">
        <v>5</v>
      </c>
      <c r="AJ436" s="548"/>
      <c r="AK436" s="548"/>
      <c r="AL436" s="548"/>
      <c r="AM436" s="548">
        <f t="shared" si="273"/>
        <v>6</v>
      </c>
      <c r="AN436" s="481"/>
      <c r="AO436" s="491">
        <v>1</v>
      </c>
      <c r="AP436" s="481"/>
      <c r="AQ436" s="481"/>
      <c r="AR436" s="481"/>
      <c r="AS436" s="481"/>
      <c r="AT436" s="481"/>
      <c r="AU436" s="481">
        <f t="shared" si="271"/>
        <v>1</v>
      </c>
      <c r="AV436" s="548"/>
      <c r="AW436" s="491">
        <v>1</v>
      </c>
      <c r="AX436" s="548"/>
      <c r="AY436" s="548"/>
      <c r="AZ436" s="548"/>
      <c r="BA436" s="548"/>
      <c r="BB436" s="548"/>
      <c r="BC436" s="548">
        <f t="shared" si="270"/>
        <v>1</v>
      </c>
      <c r="BD436" s="42">
        <f t="shared" si="274"/>
        <v>6</v>
      </c>
      <c r="BE436" s="42">
        <f t="shared" si="274"/>
        <v>3</v>
      </c>
      <c r="BF436" s="42">
        <f t="shared" si="274"/>
        <v>5</v>
      </c>
      <c r="BG436" s="42">
        <f t="shared" si="274"/>
        <v>0</v>
      </c>
      <c r="BH436" s="42">
        <f t="shared" si="274"/>
        <v>0</v>
      </c>
      <c r="BI436" s="42">
        <f t="shared" si="264"/>
        <v>0</v>
      </c>
      <c r="BJ436" s="42">
        <f t="shared" si="275"/>
        <v>0</v>
      </c>
      <c r="BK436" s="42">
        <f t="shared" si="275"/>
        <v>14</v>
      </c>
      <c r="BL436" s="3"/>
    </row>
    <row r="437" spans="1:64" ht="39" customHeight="1" x14ac:dyDescent="0.25">
      <c r="A437" s="298" t="s">
        <v>1261</v>
      </c>
      <c r="B437" s="299" t="s">
        <v>1259</v>
      </c>
      <c r="C437" s="1547"/>
      <c r="D437" s="1549"/>
      <c r="E437" s="1549"/>
      <c r="F437" s="1549"/>
      <c r="G437" s="1549"/>
      <c r="H437" s="1549"/>
      <c r="I437" s="1425"/>
      <c r="J437" s="1425"/>
      <c r="K437" s="1425" t="s">
        <v>1327</v>
      </c>
      <c r="L437" s="301" t="s">
        <v>1140</v>
      </c>
      <c r="M437" s="1425" t="s">
        <v>497</v>
      </c>
      <c r="N437" s="476"/>
      <c r="O437" s="1425" t="s">
        <v>73</v>
      </c>
      <c r="P437" s="16" t="s">
        <v>1328</v>
      </c>
      <c r="Q437" s="302" t="s">
        <v>1329</v>
      </c>
      <c r="R437" s="303">
        <v>2015</v>
      </c>
      <c r="S437" s="303">
        <v>0</v>
      </c>
      <c r="T437" s="303">
        <v>1</v>
      </c>
      <c r="U437" s="303">
        <v>1</v>
      </c>
      <c r="V437" s="303">
        <v>1</v>
      </c>
      <c r="W437" s="303">
        <v>1</v>
      </c>
      <c r="X437" s="303">
        <v>1</v>
      </c>
      <c r="Y437" s="481">
        <v>2</v>
      </c>
      <c r="Z437" s="481"/>
      <c r="AA437" s="481"/>
      <c r="AB437" s="481"/>
      <c r="AC437" s="481"/>
      <c r="AD437" s="481"/>
      <c r="AE437" s="481"/>
      <c r="AF437" s="481">
        <f t="shared" si="267"/>
        <v>2</v>
      </c>
      <c r="AG437" s="548">
        <v>2</v>
      </c>
      <c r="AH437" s="548"/>
      <c r="AI437" s="548"/>
      <c r="AJ437" s="548"/>
      <c r="AK437" s="548"/>
      <c r="AL437" s="548"/>
      <c r="AM437" s="548">
        <f t="shared" si="273"/>
        <v>2</v>
      </c>
      <c r="AN437" s="481">
        <v>2</v>
      </c>
      <c r="AO437" s="481"/>
      <c r="AP437" s="481"/>
      <c r="AQ437" s="481"/>
      <c r="AR437" s="481"/>
      <c r="AS437" s="481"/>
      <c r="AT437" s="481"/>
      <c r="AU437" s="481">
        <f t="shared" si="271"/>
        <v>2</v>
      </c>
      <c r="AV437" s="548">
        <v>2</v>
      </c>
      <c r="AW437" s="548"/>
      <c r="AX437" s="548"/>
      <c r="AY437" s="548"/>
      <c r="AZ437" s="548"/>
      <c r="BA437" s="548"/>
      <c r="BB437" s="548"/>
      <c r="BC437" s="548">
        <f t="shared" si="270"/>
        <v>2</v>
      </c>
      <c r="BD437" s="42">
        <f t="shared" si="274"/>
        <v>8</v>
      </c>
      <c r="BE437" s="42">
        <f t="shared" si="274"/>
        <v>0</v>
      </c>
      <c r="BF437" s="42">
        <f t="shared" si="274"/>
        <v>0</v>
      </c>
      <c r="BG437" s="42">
        <f t="shared" si="274"/>
        <v>0</v>
      </c>
      <c r="BH437" s="42">
        <f t="shared" si="274"/>
        <v>0</v>
      </c>
      <c r="BI437" s="42">
        <f t="shared" si="264"/>
        <v>0</v>
      </c>
      <c r="BJ437" s="42">
        <f t="shared" si="275"/>
        <v>0</v>
      </c>
      <c r="BK437" s="42">
        <f t="shared" si="275"/>
        <v>8</v>
      </c>
      <c r="BL437" s="3"/>
    </row>
    <row r="438" spans="1:64" ht="49.5" customHeight="1" x14ac:dyDescent="0.25">
      <c r="A438" s="298" t="s">
        <v>1261</v>
      </c>
      <c r="B438" s="299" t="s">
        <v>1259</v>
      </c>
      <c r="C438" s="1547"/>
      <c r="D438" s="1549"/>
      <c r="E438" s="1549"/>
      <c r="F438" s="1549"/>
      <c r="G438" s="1549"/>
      <c r="H438" s="1549"/>
      <c r="I438" s="1425"/>
      <c r="J438" s="1425"/>
      <c r="K438" s="1425" t="s">
        <v>1330</v>
      </c>
      <c r="L438" s="301" t="s">
        <v>1140</v>
      </c>
      <c r="M438" s="1425" t="s">
        <v>497</v>
      </c>
      <c r="N438" s="476"/>
      <c r="O438" s="1425" t="s">
        <v>47</v>
      </c>
      <c r="P438" s="16" t="s">
        <v>1331</v>
      </c>
      <c r="Q438" s="302" t="s">
        <v>337</v>
      </c>
      <c r="R438" s="303">
        <v>2015</v>
      </c>
      <c r="S438" s="303">
        <v>0</v>
      </c>
      <c r="T438" s="303">
        <v>1</v>
      </c>
      <c r="U438" s="303">
        <v>1</v>
      </c>
      <c r="V438" s="303">
        <v>1</v>
      </c>
      <c r="W438" s="303">
        <v>1</v>
      </c>
      <c r="X438" s="303">
        <v>4</v>
      </c>
      <c r="Y438" s="491">
        <v>1</v>
      </c>
      <c r="Z438" s="481"/>
      <c r="AA438" s="481"/>
      <c r="AB438" s="481"/>
      <c r="AC438" s="481"/>
      <c r="AD438" s="481"/>
      <c r="AE438" s="481"/>
      <c r="AF438" s="481">
        <f t="shared" si="267"/>
        <v>1</v>
      </c>
      <c r="AG438" s="548"/>
      <c r="AH438" s="491">
        <v>1</v>
      </c>
      <c r="AI438" s="548"/>
      <c r="AJ438" s="548"/>
      <c r="AK438" s="548"/>
      <c r="AL438" s="548"/>
      <c r="AM438" s="548">
        <f t="shared" si="273"/>
        <v>1</v>
      </c>
      <c r="AN438" s="481"/>
      <c r="AO438" s="491">
        <v>1</v>
      </c>
      <c r="AP438" s="481"/>
      <c r="AQ438" s="481"/>
      <c r="AR438" s="481"/>
      <c r="AS438" s="481"/>
      <c r="AT438" s="481"/>
      <c r="AU438" s="481">
        <f t="shared" si="271"/>
        <v>1</v>
      </c>
      <c r="AV438" s="548"/>
      <c r="AW438" s="491">
        <v>1</v>
      </c>
      <c r="AX438" s="548"/>
      <c r="AY438" s="548"/>
      <c r="AZ438" s="548"/>
      <c r="BA438" s="548"/>
      <c r="BB438" s="548"/>
      <c r="BC438" s="548">
        <f t="shared" si="270"/>
        <v>1</v>
      </c>
      <c r="BD438" s="42">
        <f t="shared" si="274"/>
        <v>1</v>
      </c>
      <c r="BE438" s="42">
        <f t="shared" si="274"/>
        <v>3</v>
      </c>
      <c r="BF438" s="42">
        <f t="shared" si="274"/>
        <v>0</v>
      </c>
      <c r="BG438" s="42">
        <f t="shared" si="274"/>
        <v>0</v>
      </c>
      <c r="BH438" s="42">
        <f t="shared" si="274"/>
        <v>0</v>
      </c>
      <c r="BI438" s="42">
        <f t="shared" si="264"/>
        <v>0</v>
      </c>
      <c r="BJ438" s="42">
        <f t="shared" si="275"/>
        <v>0</v>
      </c>
      <c r="BK438" s="42">
        <f t="shared" si="275"/>
        <v>4</v>
      </c>
      <c r="BL438" s="3"/>
    </row>
    <row r="439" spans="1:64" ht="49.5" customHeight="1" x14ac:dyDescent="0.25">
      <c r="A439" s="298" t="s">
        <v>1261</v>
      </c>
      <c r="B439" s="299" t="s">
        <v>1259</v>
      </c>
      <c r="C439" s="1547"/>
      <c r="D439" s="1549"/>
      <c r="E439" s="1549"/>
      <c r="F439" s="1549"/>
      <c r="G439" s="1549"/>
      <c r="H439" s="1549"/>
      <c r="I439" s="1425"/>
      <c r="J439" s="1425"/>
      <c r="K439" s="1425" t="s">
        <v>1332</v>
      </c>
      <c r="L439" s="301" t="s">
        <v>1140</v>
      </c>
      <c r="M439" s="1425" t="s">
        <v>497</v>
      </c>
      <c r="N439" s="476"/>
      <c r="O439" s="1425" t="s">
        <v>73</v>
      </c>
      <c r="P439" s="16" t="s">
        <v>1333</v>
      </c>
      <c r="Q439" s="302" t="s">
        <v>188</v>
      </c>
      <c r="R439" s="303">
        <v>2015</v>
      </c>
      <c r="S439" s="303">
        <v>0</v>
      </c>
      <c r="T439" s="303">
        <v>1</v>
      </c>
      <c r="U439" s="303">
        <v>1</v>
      </c>
      <c r="V439" s="303">
        <v>1</v>
      </c>
      <c r="W439" s="303">
        <v>1</v>
      </c>
      <c r="X439" s="303">
        <v>1</v>
      </c>
      <c r="Y439" s="481"/>
      <c r="Z439" s="481">
        <v>50</v>
      </c>
      <c r="AA439" s="481"/>
      <c r="AB439" s="481"/>
      <c r="AC439" s="481"/>
      <c r="AD439" s="481"/>
      <c r="AE439" s="481"/>
      <c r="AF439" s="481">
        <f t="shared" si="267"/>
        <v>50</v>
      </c>
      <c r="AG439" s="548"/>
      <c r="AH439" s="548">
        <v>20</v>
      </c>
      <c r="AI439" s="548"/>
      <c r="AJ439" s="548"/>
      <c r="AK439" s="548"/>
      <c r="AL439" s="548"/>
      <c r="AM439" s="548">
        <f t="shared" si="273"/>
        <v>20</v>
      </c>
      <c r="AN439" s="481"/>
      <c r="AO439" s="481">
        <v>20</v>
      </c>
      <c r="AP439" s="481"/>
      <c r="AQ439" s="481"/>
      <c r="AR439" s="481"/>
      <c r="AS439" s="481"/>
      <c r="AT439" s="481"/>
      <c r="AU439" s="481">
        <f t="shared" si="271"/>
        <v>20</v>
      </c>
      <c r="AV439" s="548"/>
      <c r="AW439" s="548">
        <v>20</v>
      </c>
      <c r="AX439" s="548"/>
      <c r="AY439" s="548"/>
      <c r="AZ439" s="548"/>
      <c r="BA439" s="548"/>
      <c r="BB439" s="548"/>
      <c r="BC439" s="548">
        <f t="shared" si="270"/>
        <v>20</v>
      </c>
      <c r="BD439" s="42">
        <f t="shared" si="274"/>
        <v>0</v>
      </c>
      <c r="BE439" s="42">
        <f t="shared" si="274"/>
        <v>110</v>
      </c>
      <c r="BF439" s="42">
        <f t="shared" si="274"/>
        <v>0</v>
      </c>
      <c r="BG439" s="42">
        <f t="shared" si="274"/>
        <v>0</v>
      </c>
      <c r="BH439" s="42">
        <f t="shared" si="274"/>
        <v>0</v>
      </c>
      <c r="BI439" s="42">
        <f t="shared" si="264"/>
        <v>0</v>
      </c>
      <c r="BJ439" s="42">
        <f t="shared" si="275"/>
        <v>0</v>
      </c>
      <c r="BK439" s="42">
        <f t="shared" si="275"/>
        <v>110</v>
      </c>
      <c r="BL439" s="3"/>
    </row>
    <row r="440" spans="1:64" ht="55.5" customHeight="1" x14ac:dyDescent="0.25">
      <c r="A440" s="298" t="s">
        <v>1261</v>
      </c>
      <c r="B440" s="299" t="s">
        <v>1259</v>
      </c>
      <c r="C440" s="1547"/>
      <c r="D440" s="1549"/>
      <c r="E440" s="1549"/>
      <c r="F440" s="1549"/>
      <c r="G440" s="1549"/>
      <c r="H440" s="1549"/>
      <c r="I440" s="1425"/>
      <c r="J440" s="1425"/>
      <c r="K440" s="1425" t="s">
        <v>1334</v>
      </c>
      <c r="L440" s="301" t="s">
        <v>1140</v>
      </c>
      <c r="M440" s="1425" t="s">
        <v>497</v>
      </c>
      <c r="N440" s="476"/>
      <c r="O440" s="1425" t="s">
        <v>73</v>
      </c>
      <c r="P440" s="16" t="s">
        <v>1335</v>
      </c>
      <c r="Q440" s="302" t="s">
        <v>1336</v>
      </c>
      <c r="R440" s="303">
        <v>2015</v>
      </c>
      <c r="S440" s="303">
        <v>0</v>
      </c>
      <c r="T440" s="303">
        <v>1</v>
      </c>
      <c r="U440" s="303">
        <v>1</v>
      </c>
      <c r="V440" s="303">
        <v>1</v>
      </c>
      <c r="W440" s="303">
        <v>1</v>
      </c>
      <c r="X440" s="303">
        <v>1</v>
      </c>
      <c r="Y440" s="481">
        <v>10</v>
      </c>
      <c r="Z440" s="481"/>
      <c r="AA440" s="481"/>
      <c r="AB440" s="481"/>
      <c r="AC440" s="481"/>
      <c r="AD440" s="481"/>
      <c r="AE440" s="481"/>
      <c r="AF440" s="481">
        <f t="shared" si="267"/>
        <v>10</v>
      </c>
      <c r="AG440" s="548"/>
      <c r="AH440" s="491">
        <v>1</v>
      </c>
      <c r="AI440" s="716">
        <v>10</v>
      </c>
      <c r="AJ440" s="548"/>
      <c r="AK440" s="548"/>
      <c r="AL440" s="548"/>
      <c r="AM440" s="548">
        <f t="shared" si="273"/>
        <v>11</v>
      </c>
      <c r="AN440" s="481"/>
      <c r="AO440" s="491">
        <v>1</v>
      </c>
      <c r="AP440" s="481"/>
      <c r="AQ440" s="481"/>
      <c r="AR440" s="481"/>
      <c r="AS440" s="481"/>
      <c r="AT440" s="481"/>
      <c r="AU440" s="481">
        <f t="shared" si="271"/>
        <v>1</v>
      </c>
      <c r="AV440" s="548"/>
      <c r="AW440" s="491">
        <v>1</v>
      </c>
      <c r="AX440" s="548"/>
      <c r="AY440" s="548"/>
      <c r="AZ440" s="548"/>
      <c r="BA440" s="548"/>
      <c r="BB440" s="548"/>
      <c r="BC440" s="548">
        <f t="shared" si="270"/>
        <v>1</v>
      </c>
      <c r="BD440" s="42">
        <f t="shared" si="274"/>
        <v>10</v>
      </c>
      <c r="BE440" s="42">
        <f t="shared" si="274"/>
        <v>3</v>
      </c>
      <c r="BF440" s="42">
        <f t="shared" si="274"/>
        <v>10</v>
      </c>
      <c r="BG440" s="42">
        <f t="shared" si="274"/>
        <v>0</v>
      </c>
      <c r="BH440" s="42">
        <f t="shared" si="274"/>
        <v>0</v>
      </c>
      <c r="BI440" s="42">
        <f t="shared" si="264"/>
        <v>0</v>
      </c>
      <c r="BJ440" s="42">
        <f t="shared" si="275"/>
        <v>0</v>
      </c>
      <c r="BK440" s="42">
        <f t="shared" si="275"/>
        <v>23</v>
      </c>
      <c r="BL440" s="3"/>
    </row>
    <row r="441" spans="1:64" ht="53.25" customHeight="1" x14ac:dyDescent="0.25">
      <c r="A441" s="298" t="s">
        <v>1261</v>
      </c>
      <c r="B441" s="299" t="s">
        <v>1259</v>
      </c>
      <c r="C441" s="1547"/>
      <c r="D441" s="1549"/>
      <c r="E441" s="1549"/>
      <c r="F441" s="1549"/>
      <c r="G441" s="1549"/>
      <c r="H441" s="1549"/>
      <c r="I441" s="1425"/>
      <c r="J441" s="1425"/>
      <c r="K441" s="1425" t="s">
        <v>1337</v>
      </c>
      <c r="L441" s="301" t="s">
        <v>1140</v>
      </c>
      <c r="M441" s="1425" t="s">
        <v>497</v>
      </c>
      <c r="N441" s="476"/>
      <c r="O441" s="1425" t="s">
        <v>73</v>
      </c>
      <c r="P441" s="71" t="s">
        <v>1338</v>
      </c>
      <c r="Q441" s="302" t="s">
        <v>1339</v>
      </c>
      <c r="R441" s="303">
        <v>2015</v>
      </c>
      <c r="S441" s="303">
        <v>1</v>
      </c>
      <c r="T441" s="303">
        <v>1</v>
      </c>
      <c r="U441" s="303">
        <v>1</v>
      </c>
      <c r="V441" s="303">
        <v>1</v>
      </c>
      <c r="W441" s="303">
        <v>1</v>
      </c>
      <c r="X441" s="303">
        <v>1</v>
      </c>
      <c r="Y441" s="481"/>
      <c r="Z441" s="481">
        <v>15</v>
      </c>
      <c r="AA441" s="481"/>
      <c r="AB441" s="481"/>
      <c r="AC441" s="481"/>
      <c r="AD441" s="481"/>
      <c r="AE441" s="481"/>
      <c r="AF441" s="481">
        <f>SUM(Y441:AE441)</f>
        <v>15</v>
      </c>
      <c r="AG441" s="548">
        <v>15</v>
      </c>
      <c r="AH441" s="548"/>
      <c r="AI441" s="548"/>
      <c r="AJ441" s="548"/>
      <c r="AK441" s="548"/>
      <c r="AL441" s="548"/>
      <c r="AM441" s="548">
        <f>SUM(AG441:AL441)</f>
        <v>15</v>
      </c>
      <c r="AN441" s="481"/>
      <c r="AO441" s="481">
        <v>15</v>
      </c>
      <c r="AP441" s="481"/>
      <c r="AQ441" s="481"/>
      <c r="AR441" s="481"/>
      <c r="AS441" s="481"/>
      <c r="AT441" s="481"/>
      <c r="AU441" s="481">
        <f>SUM(AN441:AT441)</f>
        <v>15</v>
      </c>
      <c r="AV441" s="548"/>
      <c r="AW441" s="548">
        <v>15</v>
      </c>
      <c r="AX441" s="548"/>
      <c r="AY441" s="548"/>
      <c r="AZ441" s="548"/>
      <c r="BA441" s="548"/>
      <c r="BB441" s="548"/>
      <c r="BC441" s="548">
        <f>SUM(AV441:BB441)</f>
        <v>15</v>
      </c>
      <c r="BD441" s="42">
        <f t="shared" si="274"/>
        <v>15</v>
      </c>
      <c r="BE441" s="42">
        <f t="shared" si="274"/>
        <v>45</v>
      </c>
      <c r="BF441" s="42">
        <f t="shared" si="274"/>
        <v>0</v>
      </c>
      <c r="BG441" s="42">
        <f t="shared" si="274"/>
        <v>0</v>
      </c>
      <c r="BH441" s="42">
        <f t="shared" si="274"/>
        <v>0</v>
      </c>
      <c r="BI441" s="42">
        <f t="shared" si="264"/>
        <v>0</v>
      </c>
      <c r="BJ441" s="42">
        <f t="shared" si="275"/>
        <v>0</v>
      </c>
      <c r="BK441" s="42">
        <f t="shared" si="275"/>
        <v>60</v>
      </c>
      <c r="BL441" s="3"/>
    </row>
    <row r="442" spans="1:64" ht="63" customHeight="1" x14ac:dyDescent="0.25">
      <c r="A442" s="298" t="s">
        <v>1261</v>
      </c>
      <c r="B442" s="299" t="s">
        <v>1259</v>
      </c>
      <c r="C442" s="1547"/>
      <c r="D442" s="1549"/>
      <c r="E442" s="1549"/>
      <c r="F442" s="1549"/>
      <c r="G442" s="1549"/>
      <c r="H442" s="1549"/>
      <c r="I442" s="1425"/>
      <c r="J442" s="1425"/>
      <c r="K442" s="1425" t="s">
        <v>1340</v>
      </c>
      <c r="L442" s="301" t="s">
        <v>1140</v>
      </c>
      <c r="M442" s="1425" t="s">
        <v>497</v>
      </c>
      <c r="N442" s="476"/>
      <c r="O442" s="1425" t="s">
        <v>47</v>
      </c>
      <c r="P442" s="16" t="s">
        <v>1341</v>
      </c>
      <c r="Q442" s="302" t="s">
        <v>1342</v>
      </c>
      <c r="R442" s="303">
        <v>2015</v>
      </c>
      <c r="S442" s="303">
        <v>0</v>
      </c>
      <c r="T442" s="303">
        <v>2</v>
      </c>
      <c r="U442" s="303">
        <v>2</v>
      </c>
      <c r="V442" s="303">
        <v>2</v>
      </c>
      <c r="W442" s="303">
        <v>2</v>
      </c>
      <c r="X442" s="303">
        <v>8</v>
      </c>
      <c r="Y442" s="481"/>
      <c r="Z442" s="481">
        <v>40</v>
      </c>
      <c r="AA442" s="481"/>
      <c r="AB442" s="481"/>
      <c r="AC442" s="481"/>
      <c r="AD442" s="481"/>
      <c r="AE442" s="481"/>
      <c r="AF442" s="481">
        <f>SUM(Y442:AE442)</f>
        <v>40</v>
      </c>
      <c r="AG442" s="548"/>
      <c r="AH442" s="491">
        <v>18</v>
      </c>
      <c r="AI442" s="548"/>
      <c r="AJ442" s="548"/>
      <c r="AK442" s="548"/>
      <c r="AL442" s="548"/>
      <c r="AM442" s="548">
        <f>SUM(AG442:AL442)</f>
        <v>18</v>
      </c>
      <c r="AN442" s="481"/>
      <c r="AO442" s="491">
        <v>19</v>
      </c>
      <c r="AP442" s="481"/>
      <c r="AQ442" s="481"/>
      <c r="AR442" s="481"/>
      <c r="AS442" s="481"/>
      <c r="AT442" s="481"/>
      <c r="AU442" s="481">
        <f>SUM(AN442:AT442)</f>
        <v>19</v>
      </c>
      <c r="AV442" s="548"/>
      <c r="AW442" s="491">
        <v>20</v>
      </c>
      <c r="AX442" s="548"/>
      <c r="AY442" s="548"/>
      <c r="AZ442" s="548"/>
      <c r="BA442" s="548"/>
      <c r="BB442" s="548"/>
      <c r="BC442" s="548">
        <f>SUM(AV442:BB442)</f>
        <v>20</v>
      </c>
      <c r="BD442" s="42">
        <f t="shared" si="274"/>
        <v>0</v>
      </c>
      <c r="BE442" s="42">
        <f t="shared" si="274"/>
        <v>97</v>
      </c>
      <c r="BF442" s="42">
        <f t="shared" si="274"/>
        <v>0</v>
      </c>
      <c r="BG442" s="42">
        <f t="shared" si="274"/>
        <v>0</v>
      </c>
      <c r="BH442" s="42">
        <f t="shared" si="274"/>
        <v>0</v>
      </c>
      <c r="BI442" s="42">
        <f>+AD442+AS442+BA442</f>
        <v>0</v>
      </c>
      <c r="BJ442" s="42">
        <f>+BB442+AT442+AL442+AE442</f>
        <v>0</v>
      </c>
      <c r="BK442" s="42">
        <f>+BC442+AU442+AM442+AF442</f>
        <v>97</v>
      </c>
      <c r="BL442" s="3"/>
    </row>
    <row r="443" spans="1:64" ht="60.75" customHeight="1" x14ac:dyDescent="0.25">
      <c r="A443" s="298" t="s">
        <v>1261</v>
      </c>
      <c r="B443" s="299" t="s">
        <v>1259</v>
      </c>
      <c r="C443" s="1547"/>
      <c r="D443" s="1549"/>
      <c r="E443" s="1549"/>
      <c r="F443" s="1549"/>
      <c r="G443" s="1549"/>
      <c r="H443" s="1549"/>
      <c r="I443" s="1425"/>
      <c r="J443" s="1425"/>
      <c r="K443" s="1425" t="s">
        <v>1343</v>
      </c>
      <c r="L443" s="301" t="s">
        <v>1140</v>
      </c>
      <c r="M443" s="1425" t="s">
        <v>497</v>
      </c>
      <c r="N443" s="476"/>
      <c r="O443" s="1425" t="s">
        <v>47</v>
      </c>
      <c r="P443" s="71" t="s">
        <v>1344</v>
      </c>
      <c r="Q443" s="302" t="s">
        <v>1345</v>
      </c>
      <c r="R443" s="303">
        <v>2015</v>
      </c>
      <c r="S443" s="303" t="s">
        <v>177</v>
      </c>
      <c r="T443" s="303">
        <v>12</v>
      </c>
      <c r="U443" s="303">
        <v>12</v>
      </c>
      <c r="V443" s="303">
        <v>12</v>
      </c>
      <c r="W443" s="303">
        <v>12</v>
      </c>
      <c r="X443" s="303">
        <v>48</v>
      </c>
      <c r="Y443" s="491">
        <v>1</v>
      </c>
      <c r="Z443" s="481"/>
      <c r="AA443" s="481"/>
      <c r="AB443" s="481"/>
      <c r="AC443" s="481"/>
      <c r="AD443" s="481"/>
      <c r="AE443" s="481"/>
      <c r="AF443" s="481">
        <f>SUM(Y443:AE443)</f>
        <v>1</v>
      </c>
      <c r="AG443" s="548"/>
      <c r="AH443" s="491">
        <v>1</v>
      </c>
      <c r="AI443" s="716">
        <v>5</v>
      </c>
      <c r="AJ443" s="548"/>
      <c r="AK443" s="548"/>
      <c r="AL443" s="548"/>
      <c r="AM443" s="548">
        <f>SUM(AG443:AL443)</f>
        <v>6</v>
      </c>
      <c r="AN443" s="481"/>
      <c r="AO443" s="491">
        <v>1</v>
      </c>
      <c r="AP443" s="481"/>
      <c r="AQ443" s="481"/>
      <c r="AR443" s="481"/>
      <c r="AS443" s="481"/>
      <c r="AT443" s="481"/>
      <c r="AU443" s="481">
        <f>SUM(AN443:AT443)</f>
        <v>1</v>
      </c>
      <c r="AV443" s="548"/>
      <c r="AW443" s="491">
        <v>1</v>
      </c>
      <c r="AX443" s="548"/>
      <c r="AY443" s="548"/>
      <c r="AZ443" s="548"/>
      <c r="BA443" s="548"/>
      <c r="BB443" s="548"/>
      <c r="BC443" s="548">
        <f>SUM(AV443:BB443)</f>
        <v>1</v>
      </c>
      <c r="BD443" s="42">
        <f t="shared" si="274"/>
        <v>1</v>
      </c>
      <c r="BE443" s="42">
        <f t="shared" si="274"/>
        <v>3</v>
      </c>
      <c r="BF443" s="42">
        <f t="shared" si="274"/>
        <v>5</v>
      </c>
      <c r="BG443" s="42">
        <f t="shared" si="274"/>
        <v>0</v>
      </c>
      <c r="BH443" s="42">
        <f t="shared" si="274"/>
        <v>0</v>
      </c>
      <c r="BI443" s="42">
        <f>+AD443+AS443+BA443</f>
        <v>0</v>
      </c>
      <c r="BJ443" s="42">
        <f>+BB443+AT443+AL443+AE443</f>
        <v>0</v>
      </c>
      <c r="BK443" s="42">
        <f>+BC443+AU443+AM443+AF443</f>
        <v>9</v>
      </c>
      <c r="BL443" s="3"/>
    </row>
    <row r="444" spans="1:64" ht="57.75" customHeight="1" x14ac:dyDescent="0.25">
      <c r="A444" s="298" t="s">
        <v>1261</v>
      </c>
      <c r="B444" s="299" t="s">
        <v>1259</v>
      </c>
      <c r="C444" s="1548"/>
      <c r="D444" s="1549"/>
      <c r="E444" s="1549"/>
      <c r="F444" s="1549"/>
      <c r="G444" s="1549"/>
      <c r="H444" s="1549"/>
      <c r="I444" s="1425"/>
      <c r="J444" s="1425"/>
      <c r="K444" s="1425" t="s">
        <v>1346</v>
      </c>
      <c r="L444" s="301" t="s">
        <v>1140</v>
      </c>
      <c r="M444" s="1425" t="s">
        <v>497</v>
      </c>
      <c r="N444" s="476"/>
      <c r="O444" s="1425" t="s">
        <v>47</v>
      </c>
      <c r="P444" s="16" t="s">
        <v>1347</v>
      </c>
      <c r="Q444" s="302" t="s">
        <v>1348</v>
      </c>
      <c r="R444" s="303">
        <v>2015</v>
      </c>
      <c r="S444" s="303">
        <v>0</v>
      </c>
      <c r="T444" s="303">
        <v>0</v>
      </c>
      <c r="U444" s="303">
        <v>1</v>
      </c>
      <c r="V444" s="303">
        <v>0</v>
      </c>
      <c r="W444" s="303">
        <v>0</v>
      </c>
      <c r="X444" s="303">
        <v>1</v>
      </c>
      <c r="Y444" s="481"/>
      <c r="Z444" s="481"/>
      <c r="AA444" s="481"/>
      <c r="AB444" s="481"/>
      <c r="AC444" s="481"/>
      <c r="AD444" s="481"/>
      <c r="AE444" s="481"/>
      <c r="AF444" s="481">
        <f>SUM(Y444:AE444)</f>
        <v>0</v>
      </c>
      <c r="AG444" s="548"/>
      <c r="AH444" s="491">
        <v>1</v>
      </c>
      <c r="AI444" s="548"/>
      <c r="AJ444" s="548"/>
      <c r="AK444" s="548"/>
      <c r="AL444" s="548"/>
      <c r="AM444" s="548">
        <f>SUM(AG444:AL444)</f>
        <v>1</v>
      </c>
      <c r="AN444" s="481"/>
      <c r="AO444" s="481"/>
      <c r="AP444" s="481"/>
      <c r="AQ444" s="481"/>
      <c r="AR444" s="481"/>
      <c r="AS444" s="481"/>
      <c r="AT444" s="481"/>
      <c r="AU444" s="481">
        <f>SUM(AN444:AT444)</f>
        <v>0</v>
      </c>
      <c r="AV444" s="548"/>
      <c r="AW444" s="548"/>
      <c r="AX444" s="548"/>
      <c r="AY444" s="548"/>
      <c r="AZ444" s="548"/>
      <c r="BA444" s="548"/>
      <c r="BB444" s="548"/>
      <c r="BC444" s="548">
        <f>SUM(AV444:BB444)</f>
        <v>0</v>
      </c>
      <c r="BD444" s="42">
        <f t="shared" si="274"/>
        <v>0</v>
      </c>
      <c r="BE444" s="42">
        <f t="shared" si="274"/>
        <v>1</v>
      </c>
      <c r="BF444" s="42">
        <f t="shared" si="274"/>
        <v>0</v>
      </c>
      <c r="BG444" s="42">
        <f t="shared" si="274"/>
        <v>0</v>
      </c>
      <c r="BH444" s="42">
        <f t="shared" si="274"/>
        <v>0</v>
      </c>
      <c r="BI444" s="42">
        <f t="shared" si="264"/>
        <v>0</v>
      </c>
      <c r="BJ444" s="42">
        <f t="shared" si="275"/>
        <v>0</v>
      </c>
      <c r="BK444" s="42">
        <f t="shared" si="275"/>
        <v>1</v>
      </c>
      <c r="BL444" s="3"/>
    </row>
    <row r="445" spans="1:64" ht="22.8" x14ac:dyDescent="0.25">
      <c r="A445" s="604"/>
      <c r="B445" s="1571" t="s">
        <v>1349</v>
      </c>
      <c r="C445" s="1572"/>
      <c r="D445" s="1572"/>
      <c r="E445" s="1572"/>
      <c r="F445" s="1572"/>
      <c r="G445" s="1572"/>
      <c r="H445" s="1572"/>
      <c r="I445" s="1572"/>
      <c r="J445" s="1572"/>
      <c r="K445" s="1572"/>
      <c r="L445" s="1572"/>
      <c r="M445" s="1573"/>
      <c r="N445" s="8"/>
      <c r="O445" s="8"/>
      <c r="P445" s="20"/>
      <c r="Q445" s="20"/>
      <c r="R445" s="8"/>
      <c r="S445" s="8"/>
      <c r="T445" s="8"/>
      <c r="U445" s="65"/>
      <c r="V445" s="65"/>
      <c r="W445" s="65"/>
      <c r="X445" s="65"/>
      <c r="Y445" s="36">
        <f t="shared" ref="Y445:AE445" si="276">+Y447+Y483</f>
        <v>249.2</v>
      </c>
      <c r="Z445" s="36">
        <f t="shared" si="276"/>
        <v>108</v>
      </c>
      <c r="AA445" s="36">
        <f t="shared" si="276"/>
        <v>27.299999999999997</v>
      </c>
      <c r="AB445" s="36">
        <f t="shared" si="276"/>
        <v>0</v>
      </c>
      <c r="AC445" s="36">
        <f t="shared" si="276"/>
        <v>0</v>
      </c>
      <c r="AD445" s="36">
        <f t="shared" si="276"/>
        <v>69.599999999999994</v>
      </c>
      <c r="AE445" s="36">
        <f t="shared" si="276"/>
        <v>0</v>
      </c>
      <c r="AF445" s="36">
        <f>SUM(Y445:AE445)</f>
        <v>454.1</v>
      </c>
      <c r="AG445" s="36">
        <f t="shared" ref="AG445:AL445" si="277">+AG447+AG483</f>
        <v>302</v>
      </c>
      <c r="AH445" s="36">
        <f t="shared" si="277"/>
        <v>113</v>
      </c>
      <c r="AI445" s="36">
        <f t="shared" si="277"/>
        <v>97.9</v>
      </c>
      <c r="AJ445" s="36">
        <f t="shared" si="277"/>
        <v>0</v>
      </c>
      <c r="AK445" s="36">
        <f t="shared" si="277"/>
        <v>0</v>
      </c>
      <c r="AL445" s="36">
        <f t="shared" si="277"/>
        <v>100</v>
      </c>
      <c r="AM445" s="36">
        <f>SUM(AG445:AL445)</f>
        <v>612.9</v>
      </c>
      <c r="AN445" s="36">
        <f t="shared" ref="AN445:AT445" si="278">+AN447+AN483</f>
        <v>291</v>
      </c>
      <c r="AO445" s="36">
        <f t="shared" si="278"/>
        <v>112</v>
      </c>
      <c r="AP445" s="36">
        <f t="shared" si="278"/>
        <v>28.8</v>
      </c>
      <c r="AQ445" s="36">
        <f t="shared" si="278"/>
        <v>0</v>
      </c>
      <c r="AR445" s="36">
        <f t="shared" si="278"/>
        <v>0</v>
      </c>
      <c r="AS445" s="36">
        <f t="shared" si="278"/>
        <v>0</v>
      </c>
      <c r="AT445" s="36">
        <f t="shared" si="278"/>
        <v>0</v>
      </c>
      <c r="AU445" s="36">
        <f>SUM(AN445:AT445)</f>
        <v>431.8</v>
      </c>
      <c r="AV445" s="36">
        <f t="shared" ref="AV445:BB445" si="279">+AV447+AV483</f>
        <v>347</v>
      </c>
      <c r="AW445" s="36">
        <f t="shared" si="279"/>
        <v>100</v>
      </c>
      <c r="AX445" s="36">
        <f t="shared" si="279"/>
        <v>29</v>
      </c>
      <c r="AY445" s="36">
        <f t="shared" si="279"/>
        <v>0</v>
      </c>
      <c r="AZ445" s="36">
        <f t="shared" si="279"/>
        <v>0</v>
      </c>
      <c r="BA445" s="36">
        <f t="shared" si="279"/>
        <v>0</v>
      </c>
      <c r="BB445" s="36">
        <f t="shared" si="279"/>
        <v>0</v>
      </c>
      <c r="BC445" s="36">
        <f>SUM(AV445:BB445)</f>
        <v>476</v>
      </c>
      <c r="BD445" s="36">
        <f t="shared" si="274"/>
        <v>1189.2</v>
      </c>
      <c r="BE445" s="36">
        <f t="shared" si="274"/>
        <v>433</v>
      </c>
      <c r="BF445" s="36">
        <f t="shared" si="274"/>
        <v>183</v>
      </c>
      <c r="BG445" s="36">
        <f t="shared" si="274"/>
        <v>0</v>
      </c>
      <c r="BH445" s="36">
        <f t="shared" si="274"/>
        <v>0</v>
      </c>
      <c r="BI445" s="36">
        <f t="shared" si="264"/>
        <v>69.599999999999994</v>
      </c>
      <c r="BJ445" s="36">
        <f t="shared" si="275"/>
        <v>100</v>
      </c>
      <c r="BK445" s="36">
        <f t="shared" si="275"/>
        <v>1974.7999999999997</v>
      </c>
    </row>
    <row r="446" spans="1:64" ht="1.5" customHeight="1" x14ac:dyDescent="0.25">
      <c r="A446" s="151"/>
      <c r="B446" s="18"/>
      <c r="C446" s="18"/>
      <c r="D446" s="8"/>
      <c r="E446" s="8"/>
      <c r="F446" s="8"/>
      <c r="G446" s="8"/>
      <c r="H446" s="8"/>
      <c r="I446" s="8"/>
      <c r="J446" s="8"/>
      <c r="K446" s="8"/>
      <c r="L446" s="8"/>
      <c r="M446" s="8"/>
      <c r="N446" s="8"/>
      <c r="O446" s="8"/>
      <c r="P446" s="1438"/>
      <c r="Q446" s="20"/>
      <c r="R446" s="8"/>
      <c r="S446" s="8"/>
      <c r="T446" s="8"/>
      <c r="U446" s="65"/>
      <c r="V446" s="47"/>
      <c r="W446" s="47"/>
      <c r="X446" s="65"/>
      <c r="Y446" s="32">
        <v>73.13</v>
      </c>
      <c r="Z446" s="32">
        <v>108</v>
      </c>
      <c r="AA446" s="32">
        <v>11.7</v>
      </c>
      <c r="AB446" s="32"/>
      <c r="AC446" s="32"/>
      <c r="AD446" s="32">
        <v>54.8</v>
      </c>
      <c r="AE446" s="32"/>
      <c r="AF446" s="32"/>
      <c r="AG446" s="32">
        <f>+Y446*1.04</f>
        <v>76.055199999999999</v>
      </c>
      <c r="AH446" s="32">
        <f>+Z446*1.04</f>
        <v>112.32000000000001</v>
      </c>
      <c r="AI446" s="32">
        <f>+AA446*1.04</f>
        <v>12.167999999999999</v>
      </c>
      <c r="AJ446" s="32"/>
      <c r="AK446" s="32"/>
      <c r="AL446" s="32"/>
      <c r="AM446" s="32"/>
      <c r="AN446" s="32">
        <f>+AG446*1.04</f>
        <v>79.097408000000001</v>
      </c>
      <c r="AO446" s="32">
        <f>+AH446*1.04</f>
        <v>116.81280000000001</v>
      </c>
      <c r="AP446" s="32">
        <f>+AI446*1.04</f>
        <v>12.654719999999999</v>
      </c>
      <c r="AQ446" s="32"/>
      <c r="AR446" s="32"/>
      <c r="AS446" s="32"/>
      <c r="AT446" s="32"/>
      <c r="AU446" s="32"/>
      <c r="AV446" s="32">
        <f>+AN446*1.04</f>
        <v>82.261304320000008</v>
      </c>
      <c r="AW446" s="32">
        <f>+AO446*1.04</f>
        <v>121.48531200000001</v>
      </c>
      <c r="AX446" s="32">
        <f>+AP446*1.04</f>
        <v>13.1609088</v>
      </c>
      <c r="AY446" s="32"/>
      <c r="AZ446" s="32"/>
      <c r="BA446" s="32"/>
      <c r="BB446" s="32"/>
      <c r="BC446" s="32"/>
      <c r="BD446" s="32">
        <f t="shared" si="274"/>
        <v>310.54391232</v>
      </c>
      <c r="BE446" s="32">
        <f t="shared" si="274"/>
        <v>458.618112</v>
      </c>
      <c r="BF446" s="32">
        <f t="shared" si="274"/>
        <v>49.683628799999994</v>
      </c>
      <c r="BG446" s="32">
        <f t="shared" si="274"/>
        <v>0</v>
      </c>
      <c r="BH446" s="32">
        <f t="shared" si="274"/>
        <v>0</v>
      </c>
      <c r="BI446" s="32">
        <f t="shared" si="264"/>
        <v>54.8</v>
      </c>
      <c r="BJ446" s="32">
        <f t="shared" si="275"/>
        <v>0</v>
      </c>
      <c r="BK446" s="32">
        <f t="shared" si="275"/>
        <v>0</v>
      </c>
    </row>
    <row r="447" spans="1:64" ht="20.399999999999999" x14ac:dyDescent="0.25">
      <c r="A447" s="420"/>
      <c r="B447" s="1565" t="s">
        <v>1350</v>
      </c>
      <c r="C447" s="1566"/>
      <c r="D447" s="1566"/>
      <c r="E447" s="1566"/>
      <c r="F447" s="1566"/>
      <c r="G447" s="1566"/>
      <c r="H447" s="1566"/>
      <c r="I447" s="1566"/>
      <c r="J447" s="1566"/>
      <c r="K447" s="1566"/>
      <c r="L447" s="1566"/>
      <c r="M447" s="1567"/>
      <c r="N447" s="597"/>
      <c r="O447" s="597"/>
      <c r="P447" s="598"/>
      <c r="Q447" s="598"/>
      <c r="R447" s="597"/>
      <c r="S447" s="597"/>
      <c r="T447" s="597"/>
      <c r="U447" s="599"/>
      <c r="V447" s="599"/>
      <c r="W447" s="599"/>
      <c r="X447" s="599"/>
      <c r="Y447" s="600">
        <f>+Y448</f>
        <v>73.5</v>
      </c>
      <c r="Z447" s="600">
        <f t="shared" ref="Z447:AE447" si="280">+Z448</f>
        <v>108</v>
      </c>
      <c r="AA447" s="600">
        <f t="shared" si="280"/>
        <v>11.7</v>
      </c>
      <c r="AB447" s="600">
        <f t="shared" si="280"/>
        <v>0</v>
      </c>
      <c r="AC447" s="600">
        <f t="shared" si="280"/>
        <v>0</v>
      </c>
      <c r="AD447" s="600">
        <f t="shared" si="280"/>
        <v>54.8</v>
      </c>
      <c r="AE447" s="600">
        <f t="shared" si="280"/>
        <v>0</v>
      </c>
      <c r="AF447" s="600">
        <f t="shared" ref="AF447:AF481" si="281">SUM(Y447:AE447)</f>
        <v>248</v>
      </c>
      <c r="AG447" s="600">
        <f t="shared" ref="AG447:AL447" si="282">+AG448</f>
        <v>120</v>
      </c>
      <c r="AH447" s="600">
        <f t="shared" si="282"/>
        <v>113</v>
      </c>
      <c r="AI447" s="600">
        <f t="shared" si="282"/>
        <v>59.9</v>
      </c>
      <c r="AJ447" s="600">
        <f t="shared" si="282"/>
        <v>0</v>
      </c>
      <c r="AK447" s="600">
        <f t="shared" si="282"/>
        <v>0</v>
      </c>
      <c r="AL447" s="600">
        <f t="shared" si="282"/>
        <v>100</v>
      </c>
      <c r="AM447" s="600">
        <f t="shared" ref="AM447:AM459" si="283">SUM(AG447:AL447)</f>
        <v>392.9</v>
      </c>
      <c r="AN447" s="600">
        <f t="shared" ref="AN447:AT447" si="284">+AN448</f>
        <v>101</v>
      </c>
      <c r="AO447" s="600">
        <f t="shared" si="284"/>
        <v>112</v>
      </c>
      <c r="AP447" s="600">
        <f t="shared" si="284"/>
        <v>12</v>
      </c>
      <c r="AQ447" s="600">
        <f t="shared" si="284"/>
        <v>0</v>
      </c>
      <c r="AR447" s="600">
        <f t="shared" si="284"/>
        <v>0</v>
      </c>
      <c r="AS447" s="600">
        <f t="shared" si="284"/>
        <v>0</v>
      </c>
      <c r="AT447" s="600">
        <f t="shared" si="284"/>
        <v>0</v>
      </c>
      <c r="AU447" s="600">
        <f t="shared" ref="AU447:AU473" si="285">SUM(AN447:AT447)</f>
        <v>225</v>
      </c>
      <c r="AV447" s="600">
        <f t="shared" ref="AV447:BB447" si="286">+AV448</f>
        <v>150</v>
      </c>
      <c r="AW447" s="600">
        <f t="shared" si="286"/>
        <v>100</v>
      </c>
      <c r="AX447" s="600">
        <f t="shared" si="286"/>
        <v>12</v>
      </c>
      <c r="AY447" s="600">
        <f t="shared" si="286"/>
        <v>0</v>
      </c>
      <c r="AZ447" s="600">
        <f t="shared" si="286"/>
        <v>0</v>
      </c>
      <c r="BA447" s="600">
        <f t="shared" si="286"/>
        <v>0</v>
      </c>
      <c r="BB447" s="600">
        <f t="shared" si="286"/>
        <v>0</v>
      </c>
      <c r="BC447" s="600">
        <f t="shared" ref="BC447:BC473" si="287">SUM(AV447:BB447)</f>
        <v>262</v>
      </c>
      <c r="BD447" s="33">
        <f t="shared" si="274"/>
        <v>444.5</v>
      </c>
      <c r="BE447" s="33">
        <f t="shared" si="274"/>
        <v>433</v>
      </c>
      <c r="BF447" s="33">
        <f t="shared" si="274"/>
        <v>95.600000000000009</v>
      </c>
      <c r="BG447" s="33">
        <f t="shared" si="274"/>
        <v>0</v>
      </c>
      <c r="BH447" s="33">
        <f t="shared" si="274"/>
        <v>0</v>
      </c>
      <c r="BI447" s="33">
        <f t="shared" si="264"/>
        <v>54.8</v>
      </c>
      <c r="BJ447" s="33">
        <f t="shared" si="275"/>
        <v>100</v>
      </c>
      <c r="BK447" s="33">
        <f t="shared" si="275"/>
        <v>1127.9000000000001</v>
      </c>
    </row>
    <row r="448" spans="1:64" x14ac:dyDescent="0.25">
      <c r="A448" s="603"/>
      <c r="B448" s="155" t="s">
        <v>1351</v>
      </c>
      <c r="C448" s="155"/>
      <c r="D448" s="2" t="s">
        <v>1352</v>
      </c>
      <c r="E448" s="1"/>
      <c r="F448" s="1"/>
      <c r="G448" s="1"/>
      <c r="H448" s="1"/>
      <c r="I448" s="1"/>
      <c r="J448" s="1"/>
      <c r="K448" s="1"/>
      <c r="L448" s="1"/>
      <c r="M448" s="1"/>
      <c r="N448" s="1"/>
      <c r="O448" s="1"/>
      <c r="P448" s="22"/>
      <c r="Q448" s="22"/>
      <c r="R448" s="1"/>
      <c r="S448" s="1"/>
      <c r="T448" s="1"/>
      <c r="U448" s="49"/>
      <c r="V448" s="49"/>
      <c r="W448" s="49"/>
      <c r="X448" s="49"/>
      <c r="Y448" s="34">
        <f t="shared" ref="Y448:AE448" si="288">SUM(Y449:Y478)</f>
        <v>73.5</v>
      </c>
      <c r="Z448" s="34">
        <f t="shared" si="288"/>
        <v>108</v>
      </c>
      <c r="AA448" s="34">
        <f t="shared" si="288"/>
        <v>11.7</v>
      </c>
      <c r="AB448" s="34">
        <f t="shared" si="288"/>
        <v>0</v>
      </c>
      <c r="AC448" s="34">
        <f t="shared" si="288"/>
        <v>0</v>
      </c>
      <c r="AD448" s="34">
        <f t="shared" si="288"/>
        <v>54.8</v>
      </c>
      <c r="AE448" s="34">
        <f t="shared" si="288"/>
        <v>0</v>
      </c>
      <c r="AF448" s="34">
        <f t="shared" si="281"/>
        <v>248</v>
      </c>
      <c r="AG448" s="34">
        <f t="shared" ref="AG448:AL448" si="289">SUM(AG449:AG478)</f>
        <v>120</v>
      </c>
      <c r="AH448" s="34">
        <f>SUM(AH449:AH480)</f>
        <v>113</v>
      </c>
      <c r="AI448" s="34">
        <f t="shared" si="289"/>
        <v>59.9</v>
      </c>
      <c r="AJ448" s="34">
        <f t="shared" si="289"/>
        <v>0</v>
      </c>
      <c r="AK448" s="34">
        <f t="shared" si="289"/>
        <v>0</v>
      </c>
      <c r="AL448" s="34">
        <f t="shared" si="289"/>
        <v>100</v>
      </c>
      <c r="AM448" s="34">
        <f t="shared" si="283"/>
        <v>392.9</v>
      </c>
      <c r="AN448" s="34">
        <f t="shared" ref="AN448:AT448" si="290">SUM(AN449:AN478)</f>
        <v>101</v>
      </c>
      <c r="AO448" s="34">
        <f t="shared" si="290"/>
        <v>112</v>
      </c>
      <c r="AP448" s="34">
        <f t="shared" si="290"/>
        <v>12</v>
      </c>
      <c r="AQ448" s="34">
        <f t="shared" si="290"/>
        <v>0</v>
      </c>
      <c r="AR448" s="34">
        <f t="shared" si="290"/>
        <v>0</v>
      </c>
      <c r="AS448" s="34">
        <f t="shared" si="290"/>
        <v>0</v>
      </c>
      <c r="AT448" s="34">
        <f t="shared" si="290"/>
        <v>0</v>
      </c>
      <c r="AU448" s="34">
        <f t="shared" si="285"/>
        <v>225</v>
      </c>
      <c r="AV448" s="34">
        <f t="shared" ref="AV448:BB448" si="291">SUM(AV449:AV478)</f>
        <v>150</v>
      </c>
      <c r="AW448" s="34">
        <f t="shared" si="291"/>
        <v>100</v>
      </c>
      <c r="AX448" s="34">
        <f t="shared" si="291"/>
        <v>12</v>
      </c>
      <c r="AY448" s="34">
        <f t="shared" si="291"/>
        <v>0</v>
      </c>
      <c r="AZ448" s="34">
        <f t="shared" si="291"/>
        <v>0</v>
      </c>
      <c r="BA448" s="34">
        <f t="shared" si="291"/>
        <v>0</v>
      </c>
      <c r="BB448" s="34">
        <f t="shared" si="291"/>
        <v>0</v>
      </c>
      <c r="BC448" s="34">
        <f t="shared" si="287"/>
        <v>262</v>
      </c>
      <c r="BD448" s="34">
        <f t="shared" si="274"/>
        <v>444.5</v>
      </c>
      <c r="BE448" s="34">
        <f t="shared" si="274"/>
        <v>433</v>
      </c>
      <c r="BF448" s="34">
        <f t="shared" si="274"/>
        <v>95.600000000000009</v>
      </c>
      <c r="BG448" s="34">
        <f t="shared" si="274"/>
        <v>0</v>
      </c>
      <c r="BH448" s="34">
        <f t="shared" si="274"/>
        <v>0</v>
      </c>
      <c r="BI448" s="34">
        <f t="shared" si="264"/>
        <v>54.8</v>
      </c>
      <c r="BJ448" s="34">
        <f t="shared" si="275"/>
        <v>100</v>
      </c>
      <c r="BK448" s="34">
        <f t="shared" si="275"/>
        <v>1127.9000000000001</v>
      </c>
    </row>
    <row r="449" spans="1:63" ht="50.25" customHeight="1" x14ac:dyDescent="0.25">
      <c r="A449" s="298" t="s">
        <v>1353</v>
      </c>
      <c r="B449" s="299" t="s">
        <v>1351</v>
      </c>
      <c r="C449" s="1546" t="s">
        <v>1354</v>
      </c>
      <c r="D449" s="1550" t="s">
        <v>1355</v>
      </c>
      <c r="E449" s="1550" t="s">
        <v>1356</v>
      </c>
      <c r="F449" s="1550">
        <v>2015</v>
      </c>
      <c r="G449" s="1550">
        <v>12676</v>
      </c>
      <c r="H449" s="1550">
        <v>14000</v>
      </c>
      <c r="I449" s="1428"/>
      <c r="J449" s="1428"/>
      <c r="K449" s="1428" t="s">
        <v>1357</v>
      </c>
      <c r="L449" s="301" t="s">
        <v>1358</v>
      </c>
      <c r="M449" s="1425" t="s">
        <v>902</v>
      </c>
      <c r="N449" s="476" t="s">
        <v>903</v>
      </c>
      <c r="O449" s="1425" t="s">
        <v>47</v>
      </c>
      <c r="P449" s="16" t="s">
        <v>1359</v>
      </c>
      <c r="Q449" s="302" t="s">
        <v>1360</v>
      </c>
      <c r="R449" s="303">
        <v>2015</v>
      </c>
      <c r="S449" s="303">
        <v>195</v>
      </c>
      <c r="T449" s="303">
        <v>10</v>
      </c>
      <c r="U449" s="572">
        <v>20</v>
      </c>
      <c r="V449" s="572">
        <v>30</v>
      </c>
      <c r="W449" s="572">
        <v>44</v>
      </c>
      <c r="X449" s="572">
        <v>44</v>
      </c>
      <c r="Y449" s="481"/>
      <c r="Z449" s="491">
        <v>1</v>
      </c>
      <c r="AA449" s="481"/>
      <c r="AB449" s="481"/>
      <c r="AC449" s="481"/>
      <c r="AD449" s="481"/>
      <c r="AE449" s="481"/>
      <c r="AF449" s="481">
        <f t="shared" si="281"/>
        <v>1</v>
      </c>
      <c r="AG449" s="548"/>
      <c r="AH449" s="491">
        <v>1</v>
      </c>
      <c r="AI449" s="716">
        <v>5</v>
      </c>
      <c r="AJ449" s="548"/>
      <c r="AK449" s="548"/>
      <c r="AL449" s="548"/>
      <c r="AM449" s="548">
        <f t="shared" si="283"/>
        <v>6</v>
      </c>
      <c r="AN449" s="481"/>
      <c r="AO449" s="491">
        <v>1</v>
      </c>
      <c r="AP449" s="481"/>
      <c r="AQ449" s="481"/>
      <c r="AR449" s="481"/>
      <c r="AS449" s="481"/>
      <c r="AT449" s="481"/>
      <c r="AU449" s="481">
        <f t="shared" si="285"/>
        <v>1</v>
      </c>
      <c r="AV449" s="548"/>
      <c r="AW449" s="491">
        <v>10</v>
      </c>
      <c r="AX449" s="548"/>
      <c r="AY449" s="548"/>
      <c r="AZ449" s="548"/>
      <c r="BA449" s="548"/>
      <c r="BB449" s="548"/>
      <c r="BC449" s="548">
        <f t="shared" si="287"/>
        <v>10</v>
      </c>
      <c r="BD449" s="42">
        <f t="shared" si="274"/>
        <v>0</v>
      </c>
      <c r="BE449" s="42">
        <f t="shared" si="274"/>
        <v>13</v>
      </c>
      <c r="BF449" s="42">
        <f t="shared" si="274"/>
        <v>5</v>
      </c>
      <c r="BG449" s="42">
        <f t="shared" si="274"/>
        <v>0</v>
      </c>
      <c r="BH449" s="42">
        <f t="shared" si="274"/>
        <v>0</v>
      </c>
      <c r="BI449" s="42">
        <f t="shared" si="264"/>
        <v>0</v>
      </c>
      <c r="BJ449" s="42">
        <f t="shared" si="275"/>
        <v>0</v>
      </c>
      <c r="BK449" s="42">
        <f t="shared" si="275"/>
        <v>18</v>
      </c>
    </row>
    <row r="450" spans="1:63" ht="79.5" customHeight="1" x14ac:dyDescent="0.25">
      <c r="A450" s="298" t="s">
        <v>1353</v>
      </c>
      <c r="B450" s="299" t="s">
        <v>1351</v>
      </c>
      <c r="C450" s="1547"/>
      <c r="D450" s="1551"/>
      <c r="E450" s="1551"/>
      <c r="F450" s="1551"/>
      <c r="G450" s="1551"/>
      <c r="H450" s="1551"/>
      <c r="I450" s="1425" t="s">
        <v>53</v>
      </c>
      <c r="J450" s="1425"/>
      <c r="K450" s="1428" t="s">
        <v>1361</v>
      </c>
      <c r="L450" s="301" t="s">
        <v>1358</v>
      </c>
      <c r="M450" s="1425" t="s">
        <v>902</v>
      </c>
      <c r="N450" s="476" t="s">
        <v>903</v>
      </c>
      <c r="O450" s="1425" t="s">
        <v>47</v>
      </c>
      <c r="P450" s="16" t="s">
        <v>1362</v>
      </c>
      <c r="Q450" s="302" t="s">
        <v>1363</v>
      </c>
      <c r="R450" s="303">
        <v>2015</v>
      </c>
      <c r="S450" s="303">
        <v>0</v>
      </c>
      <c r="T450" s="303">
        <v>3</v>
      </c>
      <c r="U450" s="572">
        <v>6</v>
      </c>
      <c r="V450" s="572">
        <v>9</v>
      </c>
      <c r="W450" s="572">
        <v>12</v>
      </c>
      <c r="X450" s="572">
        <v>12</v>
      </c>
      <c r="Y450" s="481"/>
      <c r="Z450" s="491">
        <v>23</v>
      </c>
      <c r="AA450" s="481"/>
      <c r="AB450" s="481"/>
      <c r="AC450" s="481"/>
      <c r="AD450" s="481"/>
      <c r="AE450" s="481"/>
      <c r="AF450" s="481">
        <f t="shared" si="281"/>
        <v>23</v>
      </c>
      <c r="AG450" s="548"/>
      <c r="AH450" s="491">
        <v>23</v>
      </c>
      <c r="AI450" s="548"/>
      <c r="AJ450" s="548"/>
      <c r="AK450" s="548"/>
      <c r="AL450" s="548"/>
      <c r="AM450" s="548">
        <f t="shared" si="283"/>
        <v>23</v>
      </c>
      <c r="AN450" s="481"/>
      <c r="AO450" s="491">
        <v>20</v>
      </c>
      <c r="AP450" s="481"/>
      <c r="AQ450" s="481"/>
      <c r="AR450" s="481"/>
      <c r="AS450" s="481"/>
      <c r="AT450" s="481"/>
      <c r="AU450" s="481">
        <f t="shared" si="285"/>
        <v>20</v>
      </c>
      <c r="AV450" s="548"/>
      <c r="AW450" s="491">
        <v>20</v>
      </c>
      <c r="AX450" s="548"/>
      <c r="AY450" s="548"/>
      <c r="AZ450" s="548"/>
      <c r="BA450" s="548"/>
      <c r="BB450" s="548"/>
      <c r="BC450" s="548">
        <f t="shared" si="287"/>
        <v>20</v>
      </c>
      <c r="BD450" s="42">
        <f t="shared" si="274"/>
        <v>0</v>
      </c>
      <c r="BE450" s="42">
        <f t="shared" si="274"/>
        <v>86</v>
      </c>
      <c r="BF450" s="42">
        <f t="shared" si="274"/>
        <v>0</v>
      </c>
      <c r="BG450" s="42">
        <f t="shared" si="274"/>
        <v>0</v>
      </c>
      <c r="BH450" s="42">
        <f t="shared" si="274"/>
        <v>0</v>
      </c>
      <c r="BI450" s="42">
        <f t="shared" si="264"/>
        <v>0</v>
      </c>
      <c r="BJ450" s="42">
        <f t="shared" si="275"/>
        <v>0</v>
      </c>
      <c r="BK450" s="42">
        <f t="shared" si="275"/>
        <v>86</v>
      </c>
    </row>
    <row r="451" spans="1:63" ht="90" customHeight="1" x14ac:dyDescent="0.25">
      <c r="A451" s="298" t="s">
        <v>1353</v>
      </c>
      <c r="B451" s="299" t="s">
        <v>1351</v>
      </c>
      <c r="C451" s="1547"/>
      <c r="D451" s="1551"/>
      <c r="E451" s="1551"/>
      <c r="F451" s="1551"/>
      <c r="G451" s="1551"/>
      <c r="H451" s="1551"/>
      <c r="I451" s="1425"/>
      <c r="J451" s="1425"/>
      <c r="K451" s="1428" t="s">
        <v>1364</v>
      </c>
      <c r="L451" s="301" t="s">
        <v>1358</v>
      </c>
      <c r="M451" s="1425" t="s">
        <v>902</v>
      </c>
      <c r="N451" s="476" t="s">
        <v>903</v>
      </c>
      <c r="O451" s="1425" t="s">
        <v>47</v>
      </c>
      <c r="P451" s="16" t="s">
        <v>1365</v>
      </c>
      <c r="Q451" s="302" t="s">
        <v>1366</v>
      </c>
      <c r="R451" s="303">
        <v>2015</v>
      </c>
      <c r="S451" s="303">
        <v>0</v>
      </c>
      <c r="T451" s="303">
        <v>0</v>
      </c>
      <c r="U451" s="572">
        <v>1</v>
      </c>
      <c r="V451" s="572">
        <v>2</v>
      </c>
      <c r="W451" s="572">
        <v>3</v>
      </c>
      <c r="X451" s="572">
        <v>3</v>
      </c>
      <c r="Y451" s="481"/>
      <c r="Z451" s="481"/>
      <c r="AA451" s="481"/>
      <c r="AB451" s="481"/>
      <c r="AC451" s="481"/>
      <c r="AD451" s="481"/>
      <c r="AE451" s="481"/>
      <c r="AF451" s="481">
        <f t="shared" si="281"/>
        <v>0</v>
      </c>
      <c r="AG451" s="548">
        <v>3</v>
      </c>
      <c r="AH451" s="548"/>
      <c r="AI451" s="716">
        <v>3</v>
      </c>
      <c r="AJ451" s="548"/>
      <c r="AK451" s="548"/>
      <c r="AL451" s="548"/>
      <c r="AM451" s="548">
        <f t="shared" si="283"/>
        <v>6</v>
      </c>
      <c r="AN451" s="481">
        <v>3</v>
      </c>
      <c r="AO451" s="481"/>
      <c r="AP451" s="481"/>
      <c r="AQ451" s="481"/>
      <c r="AR451" s="481"/>
      <c r="AS451" s="481"/>
      <c r="AT451" s="481"/>
      <c r="AU451" s="481">
        <f t="shared" si="285"/>
        <v>3</v>
      </c>
      <c r="AV451" s="548">
        <v>3</v>
      </c>
      <c r="AW451" s="548"/>
      <c r="AX451" s="548"/>
      <c r="AY451" s="548"/>
      <c r="AZ451" s="548"/>
      <c r="BA451" s="548"/>
      <c r="BB451" s="548"/>
      <c r="BC451" s="548">
        <f t="shared" si="287"/>
        <v>3</v>
      </c>
      <c r="BD451" s="42">
        <f t="shared" si="274"/>
        <v>9</v>
      </c>
      <c r="BE451" s="42">
        <f t="shared" si="274"/>
        <v>0</v>
      </c>
      <c r="BF451" s="42">
        <f t="shared" si="274"/>
        <v>3</v>
      </c>
      <c r="BG451" s="42">
        <f t="shared" si="274"/>
        <v>0</v>
      </c>
      <c r="BH451" s="42">
        <f t="shared" si="274"/>
        <v>0</v>
      </c>
      <c r="BI451" s="42">
        <f t="shared" si="264"/>
        <v>0</v>
      </c>
      <c r="BJ451" s="42">
        <f t="shared" si="275"/>
        <v>0</v>
      </c>
      <c r="BK451" s="42">
        <f t="shared" si="275"/>
        <v>12</v>
      </c>
    </row>
    <row r="452" spans="1:63" ht="47.25" customHeight="1" x14ac:dyDescent="0.25">
      <c r="A452" s="298" t="s">
        <v>1353</v>
      </c>
      <c r="B452" s="299" t="s">
        <v>1351</v>
      </c>
      <c r="C452" s="1547"/>
      <c r="D452" s="1551"/>
      <c r="E452" s="1551"/>
      <c r="F452" s="1551"/>
      <c r="G452" s="1551"/>
      <c r="H452" s="1551"/>
      <c r="I452" s="1425"/>
      <c r="J452" s="1425"/>
      <c r="K452" s="1428" t="s">
        <v>1367</v>
      </c>
      <c r="L452" s="301" t="s">
        <v>1358</v>
      </c>
      <c r="M452" s="1425" t="s">
        <v>902</v>
      </c>
      <c r="N452" s="476" t="s">
        <v>903</v>
      </c>
      <c r="O452" s="1425" t="s">
        <v>47</v>
      </c>
      <c r="P452" s="16" t="s">
        <v>1368</v>
      </c>
      <c r="Q452" s="302" t="s">
        <v>1369</v>
      </c>
      <c r="R452" s="303">
        <v>2015</v>
      </c>
      <c r="S452" s="303">
        <v>0</v>
      </c>
      <c r="T452" s="303">
        <v>0</v>
      </c>
      <c r="U452" s="572">
        <v>0</v>
      </c>
      <c r="V452" s="572">
        <v>1</v>
      </c>
      <c r="W452" s="572">
        <v>1</v>
      </c>
      <c r="X452" s="572">
        <v>1</v>
      </c>
      <c r="Y452" s="481"/>
      <c r="Z452" s="481"/>
      <c r="AA452" s="481"/>
      <c r="AB452" s="481"/>
      <c r="AC452" s="481"/>
      <c r="AD452" s="481"/>
      <c r="AE452" s="481"/>
      <c r="AF452" s="481">
        <f t="shared" si="281"/>
        <v>0</v>
      </c>
      <c r="AG452" s="548"/>
      <c r="AH452" s="548"/>
      <c r="AI452" s="548"/>
      <c r="AJ452" s="548"/>
      <c r="AK452" s="548"/>
      <c r="AL452" s="548"/>
      <c r="AM452" s="548">
        <f t="shared" si="283"/>
        <v>0</v>
      </c>
      <c r="AN452" s="481"/>
      <c r="AO452" s="481">
        <v>4</v>
      </c>
      <c r="AP452" s="481"/>
      <c r="AQ452" s="481"/>
      <c r="AR452" s="481"/>
      <c r="AS452" s="481"/>
      <c r="AT452" s="481"/>
      <c r="AU452" s="481">
        <f t="shared" si="285"/>
        <v>4</v>
      </c>
      <c r="AV452" s="491">
        <v>2</v>
      </c>
      <c r="AW452" s="548"/>
      <c r="AX452" s="548"/>
      <c r="AY452" s="548"/>
      <c r="AZ452" s="548"/>
      <c r="BA452" s="548"/>
      <c r="BB452" s="548"/>
      <c r="BC452" s="548">
        <f t="shared" si="287"/>
        <v>2</v>
      </c>
      <c r="BD452" s="42">
        <f t="shared" si="274"/>
        <v>2</v>
      </c>
      <c r="BE452" s="42">
        <f t="shared" si="274"/>
        <v>4</v>
      </c>
      <c r="BF452" s="42">
        <f t="shared" si="274"/>
        <v>0</v>
      </c>
      <c r="BG452" s="42">
        <f t="shared" si="274"/>
        <v>0</v>
      </c>
      <c r="BH452" s="42">
        <f t="shared" si="274"/>
        <v>0</v>
      </c>
      <c r="BI452" s="42">
        <f t="shared" si="264"/>
        <v>0</v>
      </c>
      <c r="BJ452" s="42">
        <f t="shared" si="275"/>
        <v>0</v>
      </c>
      <c r="BK452" s="42">
        <f t="shared" si="275"/>
        <v>6</v>
      </c>
    </row>
    <row r="453" spans="1:63" ht="69.75" customHeight="1" x14ac:dyDescent="0.25">
      <c r="A453" s="298" t="s">
        <v>1353</v>
      </c>
      <c r="B453" s="299" t="s">
        <v>1351</v>
      </c>
      <c r="C453" s="1547"/>
      <c r="D453" s="1551"/>
      <c r="E453" s="1551"/>
      <c r="F453" s="1551"/>
      <c r="G453" s="1551"/>
      <c r="H453" s="1551"/>
      <c r="I453" s="1425"/>
      <c r="J453" s="1425"/>
      <c r="K453" s="1428" t="s">
        <v>1370</v>
      </c>
      <c r="L453" s="301" t="s">
        <v>1358</v>
      </c>
      <c r="M453" s="1425" t="s">
        <v>902</v>
      </c>
      <c r="N453" s="476" t="s">
        <v>903</v>
      </c>
      <c r="O453" s="1425" t="s">
        <v>47</v>
      </c>
      <c r="P453" s="16" t="s">
        <v>1371</v>
      </c>
      <c r="Q453" s="302" t="s">
        <v>1372</v>
      </c>
      <c r="R453" s="303">
        <v>2015</v>
      </c>
      <c r="S453" s="303">
        <v>0</v>
      </c>
      <c r="T453" s="303">
        <v>3000</v>
      </c>
      <c r="U453" s="572">
        <v>6000</v>
      </c>
      <c r="V453" s="572">
        <v>9000</v>
      </c>
      <c r="W453" s="572">
        <v>12000</v>
      </c>
      <c r="X453" s="572">
        <v>12000</v>
      </c>
      <c r="Y453" s="481">
        <v>10</v>
      </c>
      <c r="Z453" s="482"/>
      <c r="AA453" s="481"/>
      <c r="AB453" s="481"/>
      <c r="AC453" s="481"/>
      <c r="AD453" s="481">
        <v>10</v>
      </c>
      <c r="AE453" s="481"/>
      <c r="AF453" s="481">
        <f t="shared" si="281"/>
        <v>20</v>
      </c>
      <c r="AG453" s="491">
        <v>5</v>
      </c>
      <c r="AH453" s="491">
        <v>6</v>
      </c>
      <c r="AI453" s="548"/>
      <c r="AJ453" s="548"/>
      <c r="AK453" s="548"/>
      <c r="AL453" s="548"/>
      <c r="AM453" s="548">
        <f t="shared" si="283"/>
        <v>11</v>
      </c>
      <c r="AN453" s="491">
        <v>5</v>
      </c>
      <c r="AO453" s="491">
        <v>5</v>
      </c>
      <c r="AP453" s="481"/>
      <c r="AQ453" s="481"/>
      <c r="AR453" s="481"/>
      <c r="AS453" s="481"/>
      <c r="AT453" s="481"/>
      <c r="AU453" s="481">
        <f t="shared" si="285"/>
        <v>10</v>
      </c>
      <c r="AV453" s="548">
        <v>10</v>
      </c>
      <c r="AW453" s="548">
        <v>10</v>
      </c>
      <c r="AX453" s="548"/>
      <c r="AY453" s="548"/>
      <c r="AZ453" s="548"/>
      <c r="BA453" s="548"/>
      <c r="BB453" s="548"/>
      <c r="BC453" s="548">
        <f t="shared" si="287"/>
        <v>20</v>
      </c>
      <c r="BD453" s="42">
        <f t="shared" si="274"/>
        <v>30</v>
      </c>
      <c r="BE453" s="42">
        <f t="shared" si="274"/>
        <v>21</v>
      </c>
      <c r="BF453" s="42">
        <f t="shared" si="274"/>
        <v>0</v>
      </c>
      <c r="BG453" s="42">
        <f t="shared" si="274"/>
        <v>0</v>
      </c>
      <c r="BH453" s="42">
        <f t="shared" si="274"/>
        <v>0</v>
      </c>
      <c r="BI453" s="42">
        <f t="shared" si="264"/>
        <v>10</v>
      </c>
      <c r="BJ453" s="42">
        <f t="shared" si="275"/>
        <v>0</v>
      </c>
      <c r="BK453" s="42">
        <f t="shared" si="275"/>
        <v>61</v>
      </c>
    </row>
    <row r="454" spans="1:63" ht="59.25" customHeight="1" x14ac:dyDescent="0.25">
      <c r="A454" s="298" t="s">
        <v>1353</v>
      </c>
      <c r="B454" s="299" t="s">
        <v>1351</v>
      </c>
      <c r="C454" s="1547"/>
      <c r="D454" s="1551"/>
      <c r="E454" s="1551"/>
      <c r="F454" s="1551"/>
      <c r="G454" s="1551"/>
      <c r="H454" s="1551"/>
      <c r="I454" s="1425"/>
      <c r="J454" s="1425"/>
      <c r="K454" s="1428" t="s">
        <v>1373</v>
      </c>
      <c r="L454" s="301" t="s">
        <v>1358</v>
      </c>
      <c r="M454" s="1425" t="s">
        <v>902</v>
      </c>
      <c r="N454" s="476" t="s">
        <v>903</v>
      </c>
      <c r="O454" s="1425" t="s">
        <v>47</v>
      </c>
      <c r="P454" s="16" t="s">
        <v>1374</v>
      </c>
      <c r="Q454" s="302" t="s">
        <v>1375</v>
      </c>
      <c r="R454" s="303">
        <v>2015</v>
      </c>
      <c r="S454" s="303">
        <v>0</v>
      </c>
      <c r="T454" s="303">
        <v>10</v>
      </c>
      <c r="U454" s="572">
        <v>20</v>
      </c>
      <c r="V454" s="572">
        <v>30</v>
      </c>
      <c r="W454" s="572">
        <v>40</v>
      </c>
      <c r="X454" s="572">
        <v>40</v>
      </c>
      <c r="Y454" s="481">
        <v>4</v>
      </c>
      <c r="Z454" s="481">
        <v>5</v>
      </c>
      <c r="AA454" s="481"/>
      <c r="AB454" s="481"/>
      <c r="AC454" s="481"/>
      <c r="AD454" s="481"/>
      <c r="AE454" s="481"/>
      <c r="AF454" s="481">
        <f t="shared" si="281"/>
        <v>9</v>
      </c>
      <c r="AG454" s="548">
        <v>4</v>
      </c>
      <c r="AH454" s="548">
        <v>5</v>
      </c>
      <c r="AI454" s="548"/>
      <c r="AJ454" s="548"/>
      <c r="AK454" s="548"/>
      <c r="AL454" s="548"/>
      <c r="AM454" s="548">
        <f t="shared" si="283"/>
        <v>9</v>
      </c>
      <c r="AN454" s="481">
        <v>4</v>
      </c>
      <c r="AO454" s="481">
        <v>5</v>
      </c>
      <c r="AP454" s="481"/>
      <c r="AQ454" s="481"/>
      <c r="AR454" s="481"/>
      <c r="AS454" s="481"/>
      <c r="AT454" s="481"/>
      <c r="AU454" s="481">
        <f t="shared" si="285"/>
        <v>9</v>
      </c>
      <c r="AV454" s="548">
        <v>4</v>
      </c>
      <c r="AW454" s="548">
        <v>5</v>
      </c>
      <c r="AX454" s="548"/>
      <c r="AY454" s="548"/>
      <c r="AZ454" s="548"/>
      <c r="BA454" s="548"/>
      <c r="BB454" s="548"/>
      <c r="BC454" s="548">
        <f t="shared" si="287"/>
        <v>9</v>
      </c>
      <c r="BD454" s="42">
        <f t="shared" si="274"/>
        <v>16</v>
      </c>
      <c r="BE454" s="42">
        <f t="shared" si="274"/>
        <v>20</v>
      </c>
      <c r="BF454" s="42">
        <f t="shared" si="274"/>
        <v>0</v>
      </c>
      <c r="BG454" s="42">
        <f t="shared" si="274"/>
        <v>0</v>
      </c>
      <c r="BH454" s="42">
        <f t="shared" si="274"/>
        <v>0</v>
      </c>
      <c r="BI454" s="42">
        <f t="shared" si="264"/>
        <v>0</v>
      </c>
      <c r="BJ454" s="42">
        <f t="shared" si="275"/>
        <v>0</v>
      </c>
      <c r="BK454" s="42">
        <f t="shared" si="275"/>
        <v>36</v>
      </c>
    </row>
    <row r="455" spans="1:63" ht="79.5" customHeight="1" x14ac:dyDescent="0.25">
      <c r="A455" s="298" t="s">
        <v>1353</v>
      </c>
      <c r="B455" s="299" t="s">
        <v>1351</v>
      </c>
      <c r="C455" s="1547"/>
      <c r="D455" s="1551"/>
      <c r="E455" s="1551"/>
      <c r="F455" s="1551"/>
      <c r="G455" s="1551"/>
      <c r="H455" s="1551"/>
      <c r="I455" s="1425"/>
      <c r="J455" s="1425"/>
      <c r="K455" s="1428" t="s">
        <v>1376</v>
      </c>
      <c r="L455" s="301" t="s">
        <v>1358</v>
      </c>
      <c r="M455" s="1425" t="s">
        <v>902</v>
      </c>
      <c r="N455" s="476" t="s">
        <v>903</v>
      </c>
      <c r="O455" s="1425" t="s">
        <v>73</v>
      </c>
      <c r="P455" s="16" t="s">
        <v>1377</v>
      </c>
      <c r="Q455" s="302" t="s">
        <v>1378</v>
      </c>
      <c r="R455" s="303">
        <v>2015</v>
      </c>
      <c r="S455" s="303">
        <v>0</v>
      </c>
      <c r="T455" s="303">
        <v>4</v>
      </c>
      <c r="U455" s="572">
        <v>8</v>
      </c>
      <c r="V455" s="572">
        <v>12</v>
      </c>
      <c r="W455" s="572">
        <v>16</v>
      </c>
      <c r="X455" s="572">
        <v>16</v>
      </c>
      <c r="Y455" s="481"/>
      <c r="Z455" s="481">
        <v>5</v>
      </c>
      <c r="AA455" s="481"/>
      <c r="AB455" s="481"/>
      <c r="AC455" s="481"/>
      <c r="AD455" s="481"/>
      <c r="AE455" s="481"/>
      <c r="AF455" s="481">
        <f t="shared" si="281"/>
        <v>5</v>
      </c>
      <c r="AG455" s="548"/>
      <c r="AH455" s="548">
        <v>5</v>
      </c>
      <c r="AI455" s="548"/>
      <c r="AJ455" s="548"/>
      <c r="AK455" s="548"/>
      <c r="AL455" s="548"/>
      <c r="AM455" s="548">
        <f t="shared" si="283"/>
        <v>5</v>
      </c>
      <c r="AN455" s="481"/>
      <c r="AO455" s="481">
        <v>5</v>
      </c>
      <c r="AP455" s="481"/>
      <c r="AQ455" s="481"/>
      <c r="AR455" s="481"/>
      <c r="AS455" s="481"/>
      <c r="AT455" s="481"/>
      <c r="AU455" s="481">
        <f t="shared" si="285"/>
        <v>5</v>
      </c>
      <c r="AV455" s="548"/>
      <c r="AW455" s="548">
        <v>5</v>
      </c>
      <c r="AX455" s="548"/>
      <c r="AY455" s="548"/>
      <c r="AZ455" s="548"/>
      <c r="BA455" s="548"/>
      <c r="BB455" s="548"/>
      <c r="BC455" s="548">
        <f t="shared" si="287"/>
        <v>5</v>
      </c>
      <c r="BD455" s="42">
        <f t="shared" si="274"/>
        <v>0</v>
      </c>
      <c r="BE455" s="42">
        <f t="shared" si="274"/>
        <v>20</v>
      </c>
      <c r="BF455" s="42">
        <f t="shared" si="274"/>
        <v>0</v>
      </c>
      <c r="BG455" s="42">
        <f t="shared" si="274"/>
        <v>0</v>
      </c>
      <c r="BH455" s="42">
        <f t="shared" si="274"/>
        <v>0</v>
      </c>
      <c r="BI455" s="42">
        <f t="shared" si="264"/>
        <v>0</v>
      </c>
      <c r="BJ455" s="42">
        <f t="shared" si="275"/>
        <v>0</v>
      </c>
      <c r="BK455" s="42">
        <f t="shared" si="275"/>
        <v>20</v>
      </c>
    </row>
    <row r="456" spans="1:63" ht="68.25" customHeight="1" x14ac:dyDescent="0.25">
      <c r="A456" s="298" t="s">
        <v>1353</v>
      </c>
      <c r="B456" s="299" t="s">
        <v>1351</v>
      </c>
      <c r="C456" s="1547"/>
      <c r="D456" s="1551"/>
      <c r="E456" s="1551"/>
      <c r="F456" s="1551"/>
      <c r="G456" s="1551"/>
      <c r="H456" s="1551"/>
      <c r="I456" s="1425"/>
      <c r="J456" s="1425"/>
      <c r="K456" s="1428" t="s">
        <v>1379</v>
      </c>
      <c r="L456" s="301" t="s">
        <v>1358</v>
      </c>
      <c r="M456" s="1425" t="s">
        <v>902</v>
      </c>
      <c r="N456" s="476" t="s">
        <v>903</v>
      </c>
      <c r="O456" s="1425" t="s">
        <v>47</v>
      </c>
      <c r="P456" s="16" t="s">
        <v>1380</v>
      </c>
      <c r="Q456" s="302" t="s">
        <v>1381</v>
      </c>
      <c r="R456" s="303">
        <v>2015</v>
      </c>
      <c r="S456" s="303">
        <v>0</v>
      </c>
      <c r="T456" s="303">
        <v>0</v>
      </c>
      <c r="U456" s="572">
        <v>0</v>
      </c>
      <c r="V456" s="572">
        <v>10</v>
      </c>
      <c r="W456" s="572">
        <v>20</v>
      </c>
      <c r="X456" s="572">
        <v>20</v>
      </c>
      <c r="Y456" s="481"/>
      <c r="Z456" s="481"/>
      <c r="AA456" s="481"/>
      <c r="AB456" s="481"/>
      <c r="AC456" s="481"/>
      <c r="AD456" s="481"/>
      <c r="AE456" s="481"/>
      <c r="AF456" s="481">
        <f t="shared" si="281"/>
        <v>0</v>
      </c>
      <c r="AG456" s="548"/>
      <c r="AH456" s="548"/>
      <c r="AI456" s="548"/>
      <c r="AJ456" s="548"/>
      <c r="AK456" s="548"/>
      <c r="AL456" s="548"/>
      <c r="AM456" s="548">
        <f t="shared" si="283"/>
        <v>0</v>
      </c>
      <c r="AN456" s="481"/>
      <c r="AO456" s="481">
        <v>5</v>
      </c>
      <c r="AP456" s="481"/>
      <c r="AQ456" s="481"/>
      <c r="AR456" s="481"/>
      <c r="AS456" s="481"/>
      <c r="AT456" s="481"/>
      <c r="AU456" s="481">
        <f t="shared" si="285"/>
        <v>5</v>
      </c>
      <c r="AV456" s="548"/>
      <c r="AW456" s="548">
        <v>5</v>
      </c>
      <c r="AX456" s="548"/>
      <c r="AY456" s="548"/>
      <c r="AZ456" s="548"/>
      <c r="BA456" s="548"/>
      <c r="BB456" s="548"/>
      <c r="BC456" s="548">
        <f t="shared" si="287"/>
        <v>5</v>
      </c>
      <c r="BD456" s="42">
        <f t="shared" si="274"/>
        <v>0</v>
      </c>
      <c r="BE456" s="42">
        <f t="shared" si="274"/>
        <v>10</v>
      </c>
      <c r="BF456" s="42">
        <f t="shared" si="274"/>
        <v>0</v>
      </c>
      <c r="BG456" s="42">
        <f t="shared" si="274"/>
        <v>0</v>
      </c>
      <c r="BH456" s="42">
        <f t="shared" si="274"/>
        <v>0</v>
      </c>
      <c r="BI456" s="42">
        <f t="shared" si="264"/>
        <v>0</v>
      </c>
      <c r="BJ456" s="42">
        <f t="shared" si="275"/>
        <v>0</v>
      </c>
      <c r="BK456" s="42">
        <f t="shared" si="275"/>
        <v>10</v>
      </c>
    </row>
    <row r="457" spans="1:63" ht="73.5" customHeight="1" x14ac:dyDescent="0.25">
      <c r="A457" s="298" t="s">
        <v>1353</v>
      </c>
      <c r="B457" s="299" t="s">
        <v>1351</v>
      </c>
      <c r="C457" s="1547"/>
      <c r="D457" s="1551"/>
      <c r="E457" s="1551"/>
      <c r="F457" s="1551"/>
      <c r="G457" s="1551"/>
      <c r="H457" s="1551"/>
      <c r="I457" s="1425"/>
      <c r="J457" s="1425"/>
      <c r="K457" s="1428" t="s">
        <v>1382</v>
      </c>
      <c r="L457" s="301" t="s">
        <v>1358</v>
      </c>
      <c r="M457" s="1425" t="s">
        <v>902</v>
      </c>
      <c r="N457" s="476" t="s">
        <v>903</v>
      </c>
      <c r="O457" s="1425" t="s">
        <v>47</v>
      </c>
      <c r="P457" s="16" t="s">
        <v>1383</v>
      </c>
      <c r="Q457" s="302" t="s">
        <v>1384</v>
      </c>
      <c r="R457" s="303">
        <v>2015</v>
      </c>
      <c r="S457" s="303">
        <v>0</v>
      </c>
      <c r="T457" s="303">
        <v>0</v>
      </c>
      <c r="U457" s="572">
        <v>1</v>
      </c>
      <c r="V457" s="572">
        <v>1</v>
      </c>
      <c r="W457" s="572">
        <v>1</v>
      </c>
      <c r="X457" s="572">
        <v>1</v>
      </c>
      <c r="Y457" s="481"/>
      <c r="Z457" s="481"/>
      <c r="AA457" s="481"/>
      <c r="AB457" s="481"/>
      <c r="AC457" s="481"/>
      <c r="AD457" s="481"/>
      <c r="AE457" s="481"/>
      <c r="AF457" s="481">
        <f t="shared" si="281"/>
        <v>0</v>
      </c>
      <c r="AG457" s="548"/>
      <c r="AH457" s="548">
        <v>2</v>
      </c>
      <c r="AI457" s="548"/>
      <c r="AJ457" s="548"/>
      <c r="AK457" s="548"/>
      <c r="AL457" s="548"/>
      <c r="AM457" s="548">
        <f t="shared" si="283"/>
        <v>2</v>
      </c>
      <c r="AN457" s="481"/>
      <c r="AO457" s="481">
        <v>2</v>
      </c>
      <c r="AP457" s="481"/>
      <c r="AQ457" s="481"/>
      <c r="AR457" s="481"/>
      <c r="AS457" s="481"/>
      <c r="AT457" s="481"/>
      <c r="AU457" s="481">
        <f t="shared" si="285"/>
        <v>2</v>
      </c>
      <c r="AV457" s="548"/>
      <c r="AW457" s="548">
        <v>2</v>
      </c>
      <c r="AX457" s="548"/>
      <c r="AY457" s="548"/>
      <c r="AZ457" s="548"/>
      <c r="BA457" s="548"/>
      <c r="BB457" s="548"/>
      <c r="BC457" s="548">
        <f t="shared" si="287"/>
        <v>2</v>
      </c>
      <c r="BD457" s="42">
        <f t="shared" si="274"/>
        <v>0</v>
      </c>
      <c r="BE457" s="42">
        <f t="shared" si="274"/>
        <v>6</v>
      </c>
      <c r="BF457" s="42">
        <f t="shared" si="274"/>
        <v>0</v>
      </c>
      <c r="BG457" s="42">
        <f t="shared" si="274"/>
        <v>0</v>
      </c>
      <c r="BH457" s="42">
        <f t="shared" si="274"/>
        <v>0</v>
      </c>
      <c r="BI457" s="42">
        <f t="shared" si="264"/>
        <v>0</v>
      </c>
      <c r="BJ457" s="42">
        <f t="shared" si="275"/>
        <v>0</v>
      </c>
      <c r="BK457" s="42">
        <f t="shared" si="275"/>
        <v>6</v>
      </c>
    </row>
    <row r="458" spans="1:63" ht="67.5" customHeight="1" x14ac:dyDescent="0.25">
      <c r="A458" s="298" t="s">
        <v>1353</v>
      </c>
      <c r="B458" s="299" t="s">
        <v>1351</v>
      </c>
      <c r="C458" s="1547"/>
      <c r="D458" s="1551"/>
      <c r="E458" s="1551"/>
      <c r="F458" s="1551"/>
      <c r="G458" s="1551"/>
      <c r="H458" s="1551"/>
      <c r="I458" s="1425"/>
      <c r="J458" s="1425"/>
      <c r="K458" s="1428" t="s">
        <v>1385</v>
      </c>
      <c r="L458" s="301" t="s">
        <v>1358</v>
      </c>
      <c r="M458" s="1425" t="s">
        <v>902</v>
      </c>
      <c r="N458" s="476" t="s">
        <v>903</v>
      </c>
      <c r="O458" s="1425" t="s">
        <v>47</v>
      </c>
      <c r="P458" s="16" t="s">
        <v>1386</v>
      </c>
      <c r="Q458" s="302" t="s">
        <v>1387</v>
      </c>
      <c r="R458" s="303">
        <v>2015</v>
      </c>
      <c r="S458" s="303">
        <v>0</v>
      </c>
      <c r="T458" s="303">
        <v>1</v>
      </c>
      <c r="U458" s="572">
        <v>1</v>
      </c>
      <c r="V458" s="572">
        <v>1</v>
      </c>
      <c r="W458" s="572">
        <v>1</v>
      </c>
      <c r="X458" s="572">
        <v>4</v>
      </c>
      <c r="Y458" s="481"/>
      <c r="Z458" s="481">
        <v>2</v>
      </c>
      <c r="AA458" s="481"/>
      <c r="AB458" s="481"/>
      <c r="AC458" s="481"/>
      <c r="AD458" s="481"/>
      <c r="AE458" s="481"/>
      <c r="AF458" s="481">
        <f t="shared" si="281"/>
        <v>2</v>
      </c>
      <c r="AG458" s="548"/>
      <c r="AH458" s="548">
        <v>2</v>
      </c>
      <c r="AI458" s="548"/>
      <c r="AJ458" s="548"/>
      <c r="AK458" s="548"/>
      <c r="AL458" s="548"/>
      <c r="AM458" s="548">
        <f t="shared" si="283"/>
        <v>2</v>
      </c>
      <c r="AN458" s="481"/>
      <c r="AO458" s="481">
        <v>2</v>
      </c>
      <c r="AP458" s="481"/>
      <c r="AQ458" s="481"/>
      <c r="AR458" s="481"/>
      <c r="AS458" s="481"/>
      <c r="AT458" s="481"/>
      <c r="AU458" s="481">
        <f t="shared" si="285"/>
        <v>2</v>
      </c>
      <c r="AV458" s="548"/>
      <c r="AW458" s="548">
        <v>2</v>
      </c>
      <c r="AX458" s="548"/>
      <c r="AY458" s="548"/>
      <c r="AZ458" s="548"/>
      <c r="BA458" s="548"/>
      <c r="BB458" s="548"/>
      <c r="BC458" s="548">
        <f t="shared" si="287"/>
        <v>2</v>
      </c>
      <c r="BD458" s="42">
        <f t="shared" si="274"/>
        <v>0</v>
      </c>
      <c r="BE458" s="42">
        <f t="shared" si="274"/>
        <v>8</v>
      </c>
      <c r="BF458" s="42">
        <f t="shared" si="274"/>
        <v>0</v>
      </c>
      <c r="BG458" s="42">
        <f t="shared" si="274"/>
        <v>0</v>
      </c>
      <c r="BH458" s="42">
        <f t="shared" si="274"/>
        <v>0</v>
      </c>
      <c r="BI458" s="42">
        <f t="shared" si="264"/>
        <v>0</v>
      </c>
      <c r="BJ458" s="42">
        <f t="shared" si="275"/>
        <v>0</v>
      </c>
      <c r="BK458" s="42">
        <f t="shared" si="275"/>
        <v>8</v>
      </c>
    </row>
    <row r="459" spans="1:63" ht="54.75" customHeight="1" x14ac:dyDescent="0.25">
      <c r="A459" s="298" t="s">
        <v>1353</v>
      </c>
      <c r="B459" s="299" t="s">
        <v>1351</v>
      </c>
      <c r="C459" s="1547"/>
      <c r="D459" s="1551"/>
      <c r="E459" s="1551"/>
      <c r="F459" s="1551"/>
      <c r="G459" s="1551"/>
      <c r="H459" s="1551"/>
      <c r="I459" s="1425"/>
      <c r="J459" s="1425"/>
      <c r="K459" s="1428" t="s">
        <v>1388</v>
      </c>
      <c r="L459" s="301" t="s">
        <v>1358</v>
      </c>
      <c r="M459" s="1425" t="s">
        <v>902</v>
      </c>
      <c r="N459" s="476" t="s">
        <v>903</v>
      </c>
      <c r="O459" s="1425" t="s">
        <v>47</v>
      </c>
      <c r="P459" s="16" t="s">
        <v>1389</v>
      </c>
      <c r="Q459" s="302" t="s">
        <v>1390</v>
      </c>
      <c r="R459" s="303">
        <v>2015</v>
      </c>
      <c r="S459" s="303">
        <v>0</v>
      </c>
      <c r="T459" s="303">
        <v>0</v>
      </c>
      <c r="U459" s="572">
        <v>1</v>
      </c>
      <c r="V459" s="572">
        <v>1</v>
      </c>
      <c r="W459" s="572">
        <v>1</v>
      </c>
      <c r="X459" s="572">
        <v>1</v>
      </c>
      <c r="Y459" s="481"/>
      <c r="Z459" s="481"/>
      <c r="AA459" s="481"/>
      <c r="AB459" s="481"/>
      <c r="AC459" s="481"/>
      <c r="AD459" s="481"/>
      <c r="AE459" s="481"/>
      <c r="AF459" s="481">
        <f>SUBTOTAL(9,Y459:AE459)</f>
        <v>0</v>
      </c>
      <c r="AG459" s="491">
        <v>13</v>
      </c>
      <c r="AH459" s="548"/>
      <c r="AI459" s="491">
        <v>6</v>
      </c>
      <c r="AJ459" s="548"/>
      <c r="AK459" s="548"/>
      <c r="AL459" s="548"/>
      <c r="AM459" s="548">
        <f t="shared" si="283"/>
        <v>19</v>
      </c>
      <c r="AN459" s="481"/>
      <c r="AO459" s="491">
        <v>1</v>
      </c>
      <c r="AP459" s="481"/>
      <c r="AQ459" s="481"/>
      <c r="AR459" s="481"/>
      <c r="AS459" s="481"/>
      <c r="AT459" s="481"/>
      <c r="AU459" s="481">
        <f>SUM(AN459:AT459)</f>
        <v>1</v>
      </c>
      <c r="AV459" s="491">
        <v>4</v>
      </c>
      <c r="AW459" s="548"/>
      <c r="AX459" s="548"/>
      <c r="AY459" s="548"/>
      <c r="AZ459" s="548"/>
      <c r="BA459" s="548"/>
      <c r="BB459" s="548"/>
      <c r="BC459" s="548">
        <f>SUM(AV459:BB459)</f>
        <v>4</v>
      </c>
      <c r="BD459" s="42">
        <f>+AV459+AN459+AG459+Y459</f>
        <v>17</v>
      </c>
      <c r="BE459" s="42">
        <f>+AW459+AO459+AH459+Z459</f>
        <v>1</v>
      </c>
      <c r="BF459" s="42">
        <f>+AX459+AP459+AI459+AA459</f>
        <v>6</v>
      </c>
      <c r="BG459" s="42">
        <f>+AY459+AQ459+AJ459+AB459</f>
        <v>0</v>
      </c>
      <c r="BH459" s="42">
        <f>+AZ459+AR459+AK459+AC459</f>
        <v>0</v>
      </c>
      <c r="BI459" s="42">
        <f>+AD459+AS459+BA459</f>
        <v>0</v>
      </c>
      <c r="BJ459" s="42">
        <f>+BB459+AT459+AL459+AE459</f>
        <v>0</v>
      </c>
      <c r="BK459" s="42">
        <f>+BC459+AU459+AM459+AF459</f>
        <v>24</v>
      </c>
    </row>
    <row r="460" spans="1:63" ht="54" customHeight="1" x14ac:dyDescent="0.25">
      <c r="A460" s="298" t="s">
        <v>1353</v>
      </c>
      <c r="B460" s="299" t="s">
        <v>1351</v>
      </c>
      <c r="C460" s="1547"/>
      <c r="D460" s="1551"/>
      <c r="E460" s="1551"/>
      <c r="F460" s="1551"/>
      <c r="G460" s="1551"/>
      <c r="H460" s="1551"/>
      <c r="I460" s="1425"/>
      <c r="J460" s="1425"/>
      <c r="K460" s="1428" t="s">
        <v>1391</v>
      </c>
      <c r="L460" s="301" t="s">
        <v>1358</v>
      </c>
      <c r="M460" s="1425" t="s">
        <v>902</v>
      </c>
      <c r="N460" s="476" t="s">
        <v>903</v>
      </c>
      <c r="O460" s="1425" t="s">
        <v>47</v>
      </c>
      <c r="P460" s="16" t="s">
        <v>1392</v>
      </c>
      <c r="Q460" s="302" t="s">
        <v>1393</v>
      </c>
      <c r="R460" s="303">
        <v>2015</v>
      </c>
      <c r="S460" s="303">
        <v>0</v>
      </c>
      <c r="T460" s="303">
        <v>0</v>
      </c>
      <c r="U460" s="572">
        <v>0</v>
      </c>
      <c r="V460" s="572">
        <v>1</v>
      </c>
      <c r="W460" s="572">
        <v>1</v>
      </c>
      <c r="X460" s="572">
        <v>1</v>
      </c>
      <c r="Y460" s="481"/>
      <c r="Z460" s="481"/>
      <c r="AA460" s="481"/>
      <c r="AB460" s="481"/>
      <c r="AC460" s="481"/>
      <c r="AD460" s="481"/>
      <c r="AE460" s="481"/>
      <c r="AF460" s="481">
        <f t="shared" si="281"/>
        <v>0</v>
      </c>
      <c r="AG460" s="548"/>
      <c r="AH460" s="548"/>
      <c r="AI460" s="548"/>
      <c r="AJ460" s="548"/>
      <c r="AK460" s="548"/>
      <c r="AL460" s="548"/>
      <c r="AM460" s="548">
        <f t="shared" ref="AM460:AM473" si="292">SUM(AG460:AL460)</f>
        <v>0</v>
      </c>
      <c r="AN460" s="491">
        <v>15</v>
      </c>
      <c r="AO460" s="481"/>
      <c r="AP460" s="481"/>
      <c r="AQ460" s="481"/>
      <c r="AR460" s="481"/>
      <c r="AS460" s="481"/>
      <c r="AT460" s="481"/>
      <c r="AU460" s="481">
        <f t="shared" si="285"/>
        <v>15</v>
      </c>
      <c r="AV460" s="491">
        <v>5</v>
      </c>
      <c r="AW460" s="548"/>
      <c r="AX460" s="548"/>
      <c r="AY460" s="548"/>
      <c r="AZ460" s="548"/>
      <c r="BA460" s="548"/>
      <c r="BB460" s="548"/>
      <c r="BC460" s="548">
        <f t="shared" si="287"/>
        <v>5</v>
      </c>
      <c r="BD460" s="42">
        <f t="shared" si="274"/>
        <v>20</v>
      </c>
      <c r="BE460" s="42">
        <f t="shared" si="274"/>
        <v>0</v>
      </c>
      <c r="BF460" s="42">
        <f t="shared" si="274"/>
        <v>0</v>
      </c>
      <c r="BG460" s="42">
        <f t="shared" si="274"/>
        <v>0</v>
      </c>
      <c r="BH460" s="42">
        <f t="shared" si="274"/>
        <v>0</v>
      </c>
      <c r="BI460" s="42">
        <f t="shared" si="264"/>
        <v>0</v>
      </c>
      <c r="BJ460" s="42">
        <f t="shared" si="275"/>
        <v>0</v>
      </c>
      <c r="BK460" s="42">
        <f t="shared" si="275"/>
        <v>20</v>
      </c>
    </row>
    <row r="461" spans="1:63" ht="55.5" customHeight="1" x14ac:dyDescent="0.25">
      <c r="A461" s="298" t="s">
        <v>1353</v>
      </c>
      <c r="B461" s="299" t="s">
        <v>1351</v>
      </c>
      <c r="C461" s="1547"/>
      <c r="D461" s="1551"/>
      <c r="E461" s="1551"/>
      <c r="F461" s="1551"/>
      <c r="G461" s="1551"/>
      <c r="H461" s="1551"/>
      <c r="I461" s="1425"/>
      <c r="J461" s="1425"/>
      <c r="K461" s="1428" t="s">
        <v>1394</v>
      </c>
      <c r="L461" s="301" t="s">
        <v>1358</v>
      </c>
      <c r="M461" s="1425" t="s">
        <v>902</v>
      </c>
      <c r="N461" s="476" t="s">
        <v>903</v>
      </c>
      <c r="O461" s="1425" t="s">
        <v>47</v>
      </c>
      <c r="P461" s="16" t="s">
        <v>1395</v>
      </c>
      <c r="Q461" s="302" t="s">
        <v>337</v>
      </c>
      <c r="R461" s="303">
        <v>2015</v>
      </c>
      <c r="S461" s="303">
        <v>0</v>
      </c>
      <c r="T461" s="303">
        <v>2</v>
      </c>
      <c r="U461" s="572">
        <v>4</v>
      </c>
      <c r="V461" s="572">
        <v>6</v>
      </c>
      <c r="W461" s="572">
        <v>8</v>
      </c>
      <c r="X461" s="572">
        <v>8</v>
      </c>
      <c r="Y461" s="481"/>
      <c r="Z461" s="481">
        <v>5</v>
      </c>
      <c r="AA461" s="481"/>
      <c r="AB461" s="481"/>
      <c r="AC461" s="481"/>
      <c r="AD461" s="481"/>
      <c r="AE461" s="481"/>
      <c r="AF461" s="481">
        <f t="shared" si="281"/>
        <v>5</v>
      </c>
      <c r="AG461" s="548"/>
      <c r="AH461" s="548">
        <v>5</v>
      </c>
      <c r="AI461" s="548"/>
      <c r="AJ461" s="548"/>
      <c r="AK461" s="548"/>
      <c r="AL461" s="548"/>
      <c r="AM461" s="548">
        <f t="shared" si="292"/>
        <v>5</v>
      </c>
      <c r="AN461" s="481"/>
      <c r="AO461" s="481">
        <v>5</v>
      </c>
      <c r="AP461" s="481"/>
      <c r="AQ461" s="481"/>
      <c r="AR461" s="481"/>
      <c r="AS461" s="481"/>
      <c r="AT461" s="481"/>
      <c r="AU461" s="481">
        <f t="shared" si="285"/>
        <v>5</v>
      </c>
      <c r="AV461" s="548"/>
      <c r="AW461" s="548">
        <v>5</v>
      </c>
      <c r="AX461" s="548"/>
      <c r="AY461" s="548"/>
      <c r="AZ461" s="548"/>
      <c r="BA461" s="548"/>
      <c r="BB461" s="548"/>
      <c r="BC461" s="548">
        <f t="shared" si="287"/>
        <v>5</v>
      </c>
      <c r="BD461" s="42">
        <f t="shared" si="274"/>
        <v>0</v>
      </c>
      <c r="BE461" s="42">
        <f t="shared" si="274"/>
        <v>20</v>
      </c>
      <c r="BF461" s="42">
        <f t="shared" si="274"/>
        <v>0</v>
      </c>
      <c r="BG461" s="42">
        <f t="shared" si="274"/>
        <v>0</v>
      </c>
      <c r="BH461" s="42">
        <f t="shared" si="274"/>
        <v>0</v>
      </c>
      <c r="BI461" s="42">
        <f t="shared" si="264"/>
        <v>0</v>
      </c>
      <c r="BJ461" s="42">
        <f t="shared" si="275"/>
        <v>0</v>
      </c>
      <c r="BK461" s="42">
        <f t="shared" si="275"/>
        <v>20</v>
      </c>
    </row>
    <row r="462" spans="1:63" ht="55.5" customHeight="1" x14ac:dyDescent="0.25">
      <c r="A462" s="298" t="s">
        <v>1353</v>
      </c>
      <c r="B462" s="299" t="s">
        <v>1351</v>
      </c>
      <c r="C462" s="1547"/>
      <c r="D462" s="1551"/>
      <c r="E462" s="1551"/>
      <c r="F462" s="1551"/>
      <c r="G462" s="1551"/>
      <c r="H462" s="1551"/>
      <c r="I462" s="1425"/>
      <c r="J462" s="1425"/>
      <c r="K462" s="1428" t="s">
        <v>1396</v>
      </c>
      <c r="L462" s="301" t="s">
        <v>1358</v>
      </c>
      <c r="M462" s="1425" t="s">
        <v>902</v>
      </c>
      <c r="N462" s="476" t="s">
        <v>903</v>
      </c>
      <c r="O462" s="1425" t="s">
        <v>47</v>
      </c>
      <c r="P462" s="16" t="s">
        <v>1397</v>
      </c>
      <c r="Q462" s="302" t="s">
        <v>337</v>
      </c>
      <c r="R462" s="303">
        <v>2015</v>
      </c>
      <c r="S462" s="303">
        <v>0</v>
      </c>
      <c r="T462" s="303">
        <v>4</v>
      </c>
      <c r="U462" s="572">
        <v>8</v>
      </c>
      <c r="V462" s="572">
        <v>10</v>
      </c>
      <c r="W462" s="572">
        <v>10</v>
      </c>
      <c r="X462" s="572">
        <v>10</v>
      </c>
      <c r="Y462" s="481">
        <v>6</v>
      </c>
      <c r="Z462" s="481"/>
      <c r="AA462" s="481"/>
      <c r="AB462" s="481"/>
      <c r="AC462" s="481"/>
      <c r="AD462" s="481"/>
      <c r="AE462" s="481"/>
      <c r="AF462" s="481">
        <f t="shared" si="281"/>
        <v>6</v>
      </c>
      <c r="AG462" s="548">
        <v>3</v>
      </c>
      <c r="AH462" s="548">
        <v>3</v>
      </c>
      <c r="AI462" s="548"/>
      <c r="AJ462" s="548"/>
      <c r="AK462" s="548"/>
      <c r="AL462" s="548"/>
      <c r="AM462" s="548">
        <f t="shared" si="292"/>
        <v>6</v>
      </c>
      <c r="AN462" s="481">
        <v>3</v>
      </c>
      <c r="AO462" s="481">
        <v>3</v>
      </c>
      <c r="AP462" s="481"/>
      <c r="AQ462" s="481"/>
      <c r="AR462" s="481"/>
      <c r="AS462" s="481"/>
      <c r="AT462" s="481"/>
      <c r="AU462" s="481">
        <f t="shared" si="285"/>
        <v>6</v>
      </c>
      <c r="AV462" s="548">
        <v>3</v>
      </c>
      <c r="AW462" s="548">
        <v>3</v>
      </c>
      <c r="AX462" s="548"/>
      <c r="AY462" s="548"/>
      <c r="AZ462" s="548"/>
      <c r="BA462" s="548"/>
      <c r="BB462" s="548"/>
      <c r="BC462" s="548">
        <f t="shared" si="287"/>
        <v>6</v>
      </c>
      <c r="BD462" s="42">
        <f t="shared" si="274"/>
        <v>15</v>
      </c>
      <c r="BE462" s="42">
        <f t="shared" si="274"/>
        <v>9</v>
      </c>
      <c r="BF462" s="42">
        <f t="shared" si="274"/>
        <v>0</v>
      </c>
      <c r="BG462" s="42">
        <f t="shared" si="274"/>
        <v>0</v>
      </c>
      <c r="BH462" s="42">
        <f t="shared" si="274"/>
        <v>0</v>
      </c>
      <c r="BI462" s="42">
        <f t="shared" si="264"/>
        <v>0</v>
      </c>
      <c r="BJ462" s="42">
        <f t="shared" si="275"/>
        <v>0</v>
      </c>
      <c r="BK462" s="42">
        <f t="shared" si="275"/>
        <v>24</v>
      </c>
    </row>
    <row r="463" spans="1:63" ht="57" customHeight="1" x14ac:dyDescent="0.25">
      <c r="A463" s="298" t="s">
        <v>1353</v>
      </c>
      <c r="B463" s="299" t="s">
        <v>1351</v>
      </c>
      <c r="C463" s="1547"/>
      <c r="D463" s="1551"/>
      <c r="E463" s="1551"/>
      <c r="F463" s="1551"/>
      <c r="G463" s="1551"/>
      <c r="H463" s="1551"/>
      <c r="I463" s="1425"/>
      <c r="J463" s="1425"/>
      <c r="K463" s="1428" t="s">
        <v>1398</v>
      </c>
      <c r="L463" s="301" t="s">
        <v>1358</v>
      </c>
      <c r="M463" s="1425" t="s">
        <v>902</v>
      </c>
      <c r="N463" s="476" t="s">
        <v>903</v>
      </c>
      <c r="O463" s="1425" t="s">
        <v>47</v>
      </c>
      <c r="P463" s="16" t="s">
        <v>1399</v>
      </c>
      <c r="Q463" s="302" t="s">
        <v>957</v>
      </c>
      <c r="R463" s="303">
        <v>2015</v>
      </c>
      <c r="S463" s="303">
        <v>0</v>
      </c>
      <c r="T463" s="303">
        <v>1</v>
      </c>
      <c r="U463" s="572">
        <v>2</v>
      </c>
      <c r="V463" s="572">
        <v>3</v>
      </c>
      <c r="W463" s="572">
        <v>4</v>
      </c>
      <c r="X463" s="572">
        <v>4</v>
      </c>
      <c r="Y463" s="491">
        <v>1</v>
      </c>
      <c r="Z463" s="481"/>
      <c r="AA463" s="481"/>
      <c r="AB463" s="481"/>
      <c r="AC463" s="481"/>
      <c r="AD463" s="481"/>
      <c r="AE463" s="481"/>
      <c r="AF463" s="481">
        <f t="shared" si="281"/>
        <v>1</v>
      </c>
      <c r="AG463" s="548"/>
      <c r="AH463" s="491">
        <v>1</v>
      </c>
      <c r="AI463" s="548"/>
      <c r="AJ463" s="548"/>
      <c r="AK463" s="548"/>
      <c r="AL463" s="548"/>
      <c r="AM463" s="548">
        <f t="shared" si="292"/>
        <v>1</v>
      </c>
      <c r="AN463" s="481"/>
      <c r="AO463" s="491">
        <v>1</v>
      </c>
      <c r="AP463" s="481"/>
      <c r="AQ463" s="481"/>
      <c r="AR463" s="481"/>
      <c r="AS463" s="481"/>
      <c r="AT463" s="481"/>
      <c r="AU463" s="481">
        <f t="shared" si="285"/>
        <v>1</v>
      </c>
      <c r="AV463" s="491">
        <v>1</v>
      </c>
      <c r="AW463" s="548"/>
      <c r="AX463" s="548"/>
      <c r="AY463" s="548"/>
      <c r="AZ463" s="548"/>
      <c r="BA463" s="548"/>
      <c r="BB463" s="548"/>
      <c r="BC463" s="548">
        <f t="shared" si="287"/>
        <v>1</v>
      </c>
      <c r="BD463" s="42">
        <f t="shared" si="274"/>
        <v>2</v>
      </c>
      <c r="BE463" s="42">
        <f t="shared" si="274"/>
        <v>2</v>
      </c>
      <c r="BF463" s="42">
        <f t="shared" si="274"/>
        <v>0</v>
      </c>
      <c r="BG463" s="42">
        <f t="shared" si="274"/>
        <v>0</v>
      </c>
      <c r="BH463" s="42">
        <f t="shared" si="274"/>
        <v>0</v>
      </c>
      <c r="BI463" s="42">
        <f t="shared" si="264"/>
        <v>0</v>
      </c>
      <c r="BJ463" s="42">
        <f t="shared" si="275"/>
        <v>0</v>
      </c>
      <c r="BK463" s="42">
        <f t="shared" si="275"/>
        <v>4</v>
      </c>
    </row>
    <row r="464" spans="1:63" ht="65.25" customHeight="1" x14ac:dyDescent="0.25">
      <c r="A464" s="298" t="s">
        <v>1353</v>
      </c>
      <c r="B464" s="299" t="s">
        <v>1351</v>
      </c>
      <c r="C464" s="1547"/>
      <c r="D464" s="1551"/>
      <c r="E464" s="1551"/>
      <c r="F464" s="1551"/>
      <c r="G464" s="1551"/>
      <c r="H464" s="1551"/>
      <c r="I464" s="1425"/>
      <c r="J464" s="1425"/>
      <c r="K464" s="1428" t="s">
        <v>1400</v>
      </c>
      <c r="L464" s="301" t="s">
        <v>1358</v>
      </c>
      <c r="M464" s="1425" t="s">
        <v>902</v>
      </c>
      <c r="N464" s="476" t="s">
        <v>903</v>
      </c>
      <c r="O464" s="1425" t="s">
        <v>47</v>
      </c>
      <c r="P464" s="16" t="s">
        <v>1401</v>
      </c>
      <c r="Q464" s="302" t="s">
        <v>1402</v>
      </c>
      <c r="R464" s="303">
        <v>2015</v>
      </c>
      <c r="S464" s="303">
        <v>0</v>
      </c>
      <c r="T464" s="303">
        <v>0</v>
      </c>
      <c r="U464" s="572">
        <v>1</v>
      </c>
      <c r="V464" s="572">
        <v>1</v>
      </c>
      <c r="W464" s="572">
        <v>1</v>
      </c>
      <c r="X464" s="572">
        <v>1</v>
      </c>
      <c r="Y464" s="481"/>
      <c r="Z464" s="481"/>
      <c r="AA464" s="481"/>
      <c r="AB464" s="481"/>
      <c r="AC464" s="481"/>
      <c r="AD464" s="481"/>
      <c r="AE464" s="481"/>
      <c r="AF464" s="481">
        <f t="shared" si="281"/>
        <v>0</v>
      </c>
      <c r="AG464" s="548"/>
      <c r="AH464" s="491">
        <v>1</v>
      </c>
      <c r="AI464" s="716">
        <v>3</v>
      </c>
      <c r="AJ464" s="548"/>
      <c r="AK464" s="548"/>
      <c r="AL464" s="548"/>
      <c r="AM464" s="548">
        <f t="shared" si="292"/>
        <v>4</v>
      </c>
      <c r="AN464" s="481"/>
      <c r="AO464" s="491">
        <v>1</v>
      </c>
      <c r="AP464" s="481"/>
      <c r="AQ464" s="481"/>
      <c r="AR464" s="481"/>
      <c r="AS464" s="481"/>
      <c r="AT464" s="481"/>
      <c r="AU464" s="481">
        <f t="shared" si="285"/>
        <v>1</v>
      </c>
      <c r="AV464" s="491">
        <v>1</v>
      </c>
      <c r="AW464" s="548"/>
      <c r="AX464" s="548"/>
      <c r="AY464" s="548"/>
      <c r="AZ464" s="548"/>
      <c r="BA464" s="548"/>
      <c r="BB464" s="548"/>
      <c r="BC464" s="548">
        <f t="shared" si="287"/>
        <v>1</v>
      </c>
      <c r="BD464" s="42">
        <f t="shared" si="274"/>
        <v>1</v>
      </c>
      <c r="BE464" s="42">
        <f t="shared" si="274"/>
        <v>2</v>
      </c>
      <c r="BF464" s="42">
        <f t="shared" si="274"/>
        <v>3</v>
      </c>
      <c r="BG464" s="42">
        <f t="shared" si="274"/>
        <v>0</v>
      </c>
      <c r="BH464" s="42">
        <f t="shared" si="274"/>
        <v>0</v>
      </c>
      <c r="BI464" s="42">
        <f t="shared" si="264"/>
        <v>0</v>
      </c>
      <c r="BJ464" s="42">
        <f t="shared" si="275"/>
        <v>0</v>
      </c>
      <c r="BK464" s="42">
        <f t="shared" si="275"/>
        <v>6</v>
      </c>
    </row>
    <row r="465" spans="1:66" ht="56.25" customHeight="1" x14ac:dyDescent="0.25">
      <c r="A465" s="298" t="s">
        <v>1353</v>
      </c>
      <c r="B465" s="299" t="s">
        <v>1351</v>
      </c>
      <c r="C465" s="1547"/>
      <c r="D465" s="1551"/>
      <c r="E465" s="1551"/>
      <c r="F465" s="1551"/>
      <c r="G465" s="1551"/>
      <c r="H465" s="1551"/>
      <c r="I465" s="1425"/>
      <c r="J465" s="1425"/>
      <c r="K465" s="1428" t="s">
        <v>1403</v>
      </c>
      <c r="L465" s="301" t="s">
        <v>1358</v>
      </c>
      <c r="M465" s="1425" t="s">
        <v>902</v>
      </c>
      <c r="N465" s="476" t="s">
        <v>903</v>
      </c>
      <c r="O465" s="1425" t="s">
        <v>47</v>
      </c>
      <c r="P465" s="16" t="s">
        <v>1404</v>
      </c>
      <c r="Q465" s="302" t="s">
        <v>1405</v>
      </c>
      <c r="R465" s="303">
        <v>2015</v>
      </c>
      <c r="S465" s="303">
        <v>0</v>
      </c>
      <c r="T465" s="303">
        <v>0</v>
      </c>
      <c r="U465" s="572">
        <v>1</v>
      </c>
      <c r="V465" s="572">
        <v>1</v>
      </c>
      <c r="W465" s="572">
        <v>1</v>
      </c>
      <c r="X465" s="572">
        <v>1</v>
      </c>
      <c r="Y465" s="481"/>
      <c r="Z465" s="481"/>
      <c r="AA465" s="481"/>
      <c r="AB465" s="481"/>
      <c r="AC465" s="481"/>
      <c r="AD465" s="481"/>
      <c r="AE465" s="481"/>
      <c r="AF465" s="481">
        <f t="shared" si="281"/>
        <v>0</v>
      </c>
      <c r="AG465" s="548"/>
      <c r="AH465" s="548"/>
      <c r="AI465" s="716">
        <v>5</v>
      </c>
      <c r="AJ465" s="548"/>
      <c r="AK465" s="548"/>
      <c r="AL465" s="548"/>
      <c r="AM465" s="548">
        <f t="shared" si="292"/>
        <v>5</v>
      </c>
      <c r="AN465" s="481"/>
      <c r="AO465" s="491">
        <v>1</v>
      </c>
      <c r="AP465" s="481"/>
      <c r="AQ465" s="481"/>
      <c r="AR465" s="481"/>
      <c r="AS465" s="481"/>
      <c r="AT465" s="481"/>
      <c r="AU465" s="481">
        <f t="shared" si="285"/>
        <v>1</v>
      </c>
      <c r="AV465" s="491">
        <v>3</v>
      </c>
      <c r="AW465" s="548"/>
      <c r="AX465" s="548"/>
      <c r="AY465" s="548"/>
      <c r="AZ465" s="548"/>
      <c r="BA465" s="548"/>
      <c r="BB465" s="548"/>
      <c r="BC465" s="548">
        <f>SUM(AV465:BB465)</f>
        <v>3</v>
      </c>
      <c r="BD465" s="42">
        <f>+AV465+AN465+AG465+Y465</f>
        <v>3</v>
      </c>
      <c r="BE465" s="42">
        <f>+AW465+AO465+AH465+Z465</f>
        <v>1</v>
      </c>
      <c r="BF465" s="42">
        <f>+AX465+AP465+AI465+AA465</f>
        <v>5</v>
      </c>
      <c r="BG465" s="42">
        <f>+AY465+AQ465+AJ465+AB465</f>
        <v>0</v>
      </c>
      <c r="BH465" s="42">
        <f>+AZ465+AR465+AK465+AC465</f>
        <v>0</v>
      </c>
      <c r="BI465" s="42">
        <f>+AD465+AS465+BA465</f>
        <v>0</v>
      </c>
      <c r="BJ465" s="42">
        <f>+BB465+AT465+AL465+AE465</f>
        <v>0</v>
      </c>
      <c r="BK465" s="42">
        <f>+BC465+AU465+AM465+AF465</f>
        <v>9</v>
      </c>
    </row>
    <row r="466" spans="1:66" ht="66.75" customHeight="1" x14ac:dyDescent="0.25">
      <c r="A466" s="298" t="s">
        <v>1353</v>
      </c>
      <c r="B466" s="299" t="s">
        <v>1351</v>
      </c>
      <c r="C466" s="1547"/>
      <c r="D466" s="1551"/>
      <c r="E466" s="1551"/>
      <c r="F466" s="1551"/>
      <c r="G466" s="1551"/>
      <c r="H466" s="1551"/>
      <c r="I466" s="1425"/>
      <c r="J466" s="1425"/>
      <c r="K466" s="1428" t="s">
        <v>1406</v>
      </c>
      <c r="L466" s="301" t="s">
        <v>1358</v>
      </c>
      <c r="M466" s="1425" t="s">
        <v>902</v>
      </c>
      <c r="N466" s="476" t="s">
        <v>903</v>
      </c>
      <c r="O466" s="1425" t="s">
        <v>47</v>
      </c>
      <c r="P466" s="16" t="s">
        <v>1407</v>
      </c>
      <c r="Q466" s="302" t="s">
        <v>1408</v>
      </c>
      <c r="R466" s="303">
        <v>2015</v>
      </c>
      <c r="S466" s="303">
        <v>0</v>
      </c>
      <c r="T466" s="303">
        <v>0</v>
      </c>
      <c r="U466" s="572">
        <v>50</v>
      </c>
      <c r="V466" s="572">
        <v>100</v>
      </c>
      <c r="W466" s="572">
        <v>150</v>
      </c>
      <c r="X466" s="572">
        <v>150</v>
      </c>
      <c r="Y466" s="481"/>
      <c r="Z466" s="481"/>
      <c r="AA466" s="481"/>
      <c r="AB466" s="481"/>
      <c r="AC466" s="481"/>
      <c r="AD466" s="481"/>
      <c r="AE466" s="481"/>
      <c r="AF466" s="481">
        <f t="shared" si="281"/>
        <v>0</v>
      </c>
      <c r="AG466" s="491">
        <v>13</v>
      </c>
      <c r="AH466" s="548"/>
      <c r="AI466" s="548"/>
      <c r="AJ466" s="548"/>
      <c r="AK466" s="548"/>
      <c r="AL466" s="548">
        <v>100</v>
      </c>
      <c r="AM466" s="548">
        <f t="shared" si="292"/>
        <v>113</v>
      </c>
      <c r="AN466" s="491">
        <v>10</v>
      </c>
      <c r="AO466" s="481"/>
      <c r="AP466" s="481"/>
      <c r="AQ466" s="481"/>
      <c r="AR466" s="481"/>
      <c r="AS466" s="481"/>
      <c r="AT466" s="481"/>
      <c r="AU466" s="481">
        <f t="shared" si="285"/>
        <v>10</v>
      </c>
      <c r="AV466" s="548">
        <v>20</v>
      </c>
      <c r="AW466" s="548"/>
      <c r="AX466" s="548"/>
      <c r="AY466" s="548"/>
      <c r="AZ466" s="548"/>
      <c r="BA466" s="548"/>
      <c r="BB466" s="491"/>
      <c r="BC466" s="548">
        <f t="shared" si="287"/>
        <v>20</v>
      </c>
      <c r="BD466" s="42">
        <f t="shared" si="274"/>
        <v>43</v>
      </c>
      <c r="BE466" s="42">
        <f t="shared" si="274"/>
        <v>0</v>
      </c>
      <c r="BF466" s="42">
        <f t="shared" si="274"/>
        <v>0</v>
      </c>
      <c r="BG466" s="42">
        <f t="shared" si="274"/>
        <v>0</v>
      </c>
      <c r="BH466" s="42">
        <f t="shared" si="274"/>
        <v>0</v>
      </c>
      <c r="BI466" s="42">
        <f t="shared" si="264"/>
        <v>0</v>
      </c>
      <c r="BJ466" s="42">
        <f t="shared" si="275"/>
        <v>100</v>
      </c>
      <c r="BK466" s="42">
        <f t="shared" si="275"/>
        <v>143</v>
      </c>
    </row>
    <row r="467" spans="1:66" ht="60" customHeight="1" x14ac:dyDescent="0.25">
      <c r="A467" s="298" t="s">
        <v>1353</v>
      </c>
      <c r="B467" s="299" t="s">
        <v>1351</v>
      </c>
      <c r="C467" s="1547"/>
      <c r="D467" s="1551"/>
      <c r="E467" s="1551"/>
      <c r="F467" s="1551"/>
      <c r="G467" s="1551"/>
      <c r="H467" s="1551"/>
      <c r="I467" s="1425"/>
      <c r="J467" s="1425"/>
      <c r="K467" s="1428" t="s">
        <v>1409</v>
      </c>
      <c r="L467" s="301" t="s">
        <v>1358</v>
      </c>
      <c r="M467" s="1425" t="s">
        <v>902</v>
      </c>
      <c r="N467" s="476" t="s">
        <v>903</v>
      </c>
      <c r="O467" s="1425" t="s">
        <v>47</v>
      </c>
      <c r="P467" s="70" t="s">
        <v>1410</v>
      </c>
      <c r="Q467" s="350" t="s">
        <v>966</v>
      </c>
      <c r="R467" s="303">
        <v>2015</v>
      </c>
      <c r="S467" s="303">
        <v>0</v>
      </c>
      <c r="T467" s="303">
        <v>1</v>
      </c>
      <c r="U467" s="572">
        <v>2</v>
      </c>
      <c r="V467" s="572">
        <v>2</v>
      </c>
      <c r="W467" s="572">
        <v>2</v>
      </c>
      <c r="X467" s="572">
        <v>2</v>
      </c>
      <c r="Y467" s="481"/>
      <c r="Z467" s="481">
        <v>2</v>
      </c>
      <c r="AA467" s="481"/>
      <c r="AB467" s="481"/>
      <c r="AC467" s="481"/>
      <c r="AD467" s="481"/>
      <c r="AE467" s="481"/>
      <c r="AF467" s="481">
        <f t="shared" si="281"/>
        <v>2</v>
      </c>
      <c r="AG467" s="548"/>
      <c r="AH467" s="548">
        <v>2</v>
      </c>
      <c r="AI467" s="548"/>
      <c r="AJ467" s="548"/>
      <c r="AK467" s="548"/>
      <c r="AL467" s="548"/>
      <c r="AM467" s="548">
        <f t="shared" si="292"/>
        <v>2</v>
      </c>
      <c r="AN467" s="491">
        <v>1</v>
      </c>
      <c r="AO467" s="481"/>
      <c r="AP467" s="481"/>
      <c r="AQ467" s="481"/>
      <c r="AR467" s="481"/>
      <c r="AS467" s="481"/>
      <c r="AT467" s="481"/>
      <c r="AU467" s="481">
        <f t="shared" si="285"/>
        <v>1</v>
      </c>
      <c r="AV467" s="491">
        <v>2</v>
      </c>
      <c r="AW467" s="548"/>
      <c r="AX467" s="548"/>
      <c r="AY467" s="548"/>
      <c r="AZ467" s="548"/>
      <c r="BA467" s="548"/>
      <c r="BB467" s="548"/>
      <c r="BC467" s="548">
        <f t="shared" si="287"/>
        <v>2</v>
      </c>
      <c r="BD467" s="42">
        <f t="shared" ref="BD467:BH486" si="293">+AV467+AN467+AG467+Y467</f>
        <v>3</v>
      </c>
      <c r="BE467" s="42">
        <f t="shared" si="293"/>
        <v>4</v>
      </c>
      <c r="BF467" s="42">
        <f t="shared" si="293"/>
        <v>0</v>
      </c>
      <c r="BG467" s="42">
        <f t="shared" si="293"/>
        <v>0</v>
      </c>
      <c r="BH467" s="42">
        <f t="shared" si="293"/>
        <v>0</v>
      </c>
      <c r="BI467" s="42">
        <f t="shared" si="264"/>
        <v>0</v>
      </c>
      <c r="BJ467" s="42">
        <f t="shared" ref="BJ467:BK486" si="294">+BB467+AT467+AL467+AE467</f>
        <v>0</v>
      </c>
      <c r="BK467" s="42">
        <f t="shared" si="294"/>
        <v>7</v>
      </c>
    </row>
    <row r="468" spans="1:66" ht="40.5" customHeight="1" x14ac:dyDescent="0.25">
      <c r="A468" s="298" t="s">
        <v>1353</v>
      </c>
      <c r="B468" s="299" t="s">
        <v>1351</v>
      </c>
      <c r="C468" s="1547"/>
      <c r="D468" s="1551"/>
      <c r="E468" s="1551"/>
      <c r="F468" s="1551"/>
      <c r="G468" s="1551"/>
      <c r="H468" s="1551"/>
      <c r="I468" s="1425"/>
      <c r="J468" s="379"/>
      <c r="K468" s="1428" t="s">
        <v>1411</v>
      </c>
      <c r="L468" s="301" t="s">
        <v>1358</v>
      </c>
      <c r="M468" s="1425" t="s">
        <v>902</v>
      </c>
      <c r="N468" s="476" t="s">
        <v>903</v>
      </c>
      <c r="O468" s="1425" t="s">
        <v>47</v>
      </c>
      <c r="P468" s="16" t="s">
        <v>1412</v>
      </c>
      <c r="Q468" s="302" t="s">
        <v>960</v>
      </c>
      <c r="R468" s="351">
        <v>2015</v>
      </c>
      <c r="S468" s="303">
        <v>0</v>
      </c>
      <c r="T468" s="303">
        <v>0</v>
      </c>
      <c r="U468" s="572">
        <v>0</v>
      </c>
      <c r="V468" s="572">
        <v>100</v>
      </c>
      <c r="W468" s="572">
        <v>200</v>
      </c>
      <c r="X468" s="572">
        <v>200</v>
      </c>
      <c r="Y468" s="481"/>
      <c r="Z468" s="481"/>
      <c r="AA468" s="481"/>
      <c r="AB468" s="481"/>
      <c r="AC468" s="481"/>
      <c r="AD468" s="481"/>
      <c r="AE468" s="481"/>
      <c r="AF468" s="481">
        <f t="shared" si="281"/>
        <v>0</v>
      </c>
      <c r="AG468" s="548"/>
      <c r="AH468" s="548"/>
      <c r="AI468" s="548"/>
      <c r="AJ468" s="548"/>
      <c r="AK468" s="548"/>
      <c r="AL468" s="548"/>
      <c r="AM468" s="548">
        <f t="shared" si="292"/>
        <v>0</v>
      </c>
      <c r="AN468" s="491">
        <v>19</v>
      </c>
      <c r="AO468" s="481"/>
      <c r="AP468" s="481"/>
      <c r="AQ468" s="481"/>
      <c r="AR468" s="481"/>
      <c r="AS468" s="481"/>
      <c r="AT468" s="481"/>
      <c r="AU468" s="481">
        <f t="shared" si="285"/>
        <v>19</v>
      </c>
      <c r="AV468" s="548">
        <v>30</v>
      </c>
      <c r="AW468" s="548"/>
      <c r="AX468" s="548"/>
      <c r="AY468" s="548"/>
      <c r="AZ468" s="548"/>
      <c r="BA468" s="548"/>
      <c r="BB468" s="548"/>
      <c r="BC468" s="548">
        <f t="shared" si="287"/>
        <v>30</v>
      </c>
      <c r="BD468" s="42">
        <f t="shared" si="293"/>
        <v>49</v>
      </c>
      <c r="BE468" s="42">
        <f t="shared" si="293"/>
        <v>0</v>
      </c>
      <c r="BF468" s="42">
        <f t="shared" si="293"/>
        <v>0</v>
      </c>
      <c r="BG468" s="42">
        <f t="shared" si="293"/>
        <v>0</v>
      </c>
      <c r="BH468" s="42">
        <f t="shared" si="293"/>
        <v>0</v>
      </c>
      <c r="BI468" s="42">
        <f t="shared" si="264"/>
        <v>0</v>
      </c>
      <c r="BJ468" s="42">
        <f t="shared" si="294"/>
        <v>0</v>
      </c>
      <c r="BK468" s="42">
        <f t="shared" si="294"/>
        <v>49</v>
      </c>
    </row>
    <row r="469" spans="1:66" ht="54.75" customHeight="1" x14ac:dyDescent="0.25">
      <c r="A469" s="298" t="s">
        <v>1353</v>
      </c>
      <c r="B469" s="299" t="s">
        <v>1351</v>
      </c>
      <c r="C469" s="1547"/>
      <c r="D469" s="1551"/>
      <c r="E469" s="1551"/>
      <c r="F469" s="1551"/>
      <c r="G469" s="1551"/>
      <c r="H469" s="1551"/>
      <c r="I469" s="1425"/>
      <c r="J469" s="379"/>
      <c r="K469" s="1428" t="s">
        <v>1413</v>
      </c>
      <c r="L469" s="301" t="s">
        <v>1358</v>
      </c>
      <c r="M469" s="1425" t="s">
        <v>902</v>
      </c>
      <c r="N469" s="476" t="s">
        <v>903</v>
      </c>
      <c r="O469" s="1425" t="s">
        <v>47</v>
      </c>
      <c r="P469" s="16" t="s">
        <v>1414</v>
      </c>
      <c r="Q469" s="302" t="s">
        <v>1415</v>
      </c>
      <c r="R469" s="351">
        <v>2015</v>
      </c>
      <c r="S469" s="303" t="s">
        <v>177</v>
      </c>
      <c r="T469" s="303">
        <v>40</v>
      </c>
      <c r="U469" s="572">
        <v>40</v>
      </c>
      <c r="V469" s="572">
        <v>40</v>
      </c>
      <c r="W469" s="572">
        <v>40</v>
      </c>
      <c r="X469" s="572">
        <v>40</v>
      </c>
      <c r="Y469" s="481">
        <v>32</v>
      </c>
      <c r="Z469" s="481">
        <v>18</v>
      </c>
      <c r="AA469" s="481"/>
      <c r="AB469" s="481"/>
      <c r="AC469" s="481"/>
      <c r="AD469" s="481"/>
      <c r="AE469" s="481"/>
      <c r="AF469" s="481">
        <f t="shared" si="281"/>
        <v>50</v>
      </c>
      <c r="AG469" s="548"/>
      <c r="AH469" s="491">
        <v>1</v>
      </c>
      <c r="AI469" s="716">
        <v>26.9</v>
      </c>
      <c r="AJ469" s="548"/>
      <c r="AK469" s="548"/>
      <c r="AL469" s="548"/>
      <c r="AM469" s="548">
        <f t="shared" si="292"/>
        <v>27.9</v>
      </c>
      <c r="AN469" s="481"/>
      <c r="AO469" s="481">
        <v>0</v>
      </c>
      <c r="AP469" s="491">
        <v>2</v>
      </c>
      <c r="AQ469" s="481"/>
      <c r="AR469" s="481"/>
      <c r="AS469" s="481"/>
      <c r="AT469" s="481"/>
      <c r="AU469" s="481">
        <f t="shared" si="285"/>
        <v>2</v>
      </c>
      <c r="AV469" s="491">
        <v>3</v>
      </c>
      <c r="AW469" s="548"/>
      <c r="AX469" s="548"/>
      <c r="AY469" s="548"/>
      <c r="AZ469" s="548"/>
      <c r="BA469" s="548"/>
      <c r="BB469" s="548"/>
      <c r="BC469" s="548">
        <f t="shared" si="287"/>
        <v>3</v>
      </c>
      <c r="BD469" s="42">
        <f t="shared" si="293"/>
        <v>35</v>
      </c>
      <c r="BE469" s="42">
        <f t="shared" si="293"/>
        <v>19</v>
      </c>
      <c r="BF469" s="42">
        <f t="shared" si="293"/>
        <v>28.9</v>
      </c>
      <c r="BG469" s="42">
        <f t="shared" si="293"/>
        <v>0</v>
      </c>
      <c r="BH469" s="42">
        <f t="shared" si="293"/>
        <v>0</v>
      </c>
      <c r="BI469" s="42">
        <f t="shared" si="264"/>
        <v>0</v>
      </c>
      <c r="BJ469" s="42">
        <f t="shared" si="294"/>
        <v>0</v>
      </c>
      <c r="BK469" s="42">
        <f t="shared" si="294"/>
        <v>82.9</v>
      </c>
    </row>
    <row r="470" spans="1:66" ht="51.75" customHeight="1" x14ac:dyDescent="0.25">
      <c r="A470" s="298" t="s">
        <v>1353</v>
      </c>
      <c r="B470" s="299" t="s">
        <v>1351</v>
      </c>
      <c r="C470" s="1547"/>
      <c r="D470" s="1551"/>
      <c r="E470" s="1551"/>
      <c r="F470" s="1551"/>
      <c r="G470" s="1551"/>
      <c r="H470" s="1551"/>
      <c r="I470" s="1425"/>
      <c r="J470" s="379"/>
      <c r="K470" s="1428" t="s">
        <v>1416</v>
      </c>
      <c r="L470" s="301" t="s">
        <v>1358</v>
      </c>
      <c r="M470" s="1425" t="s">
        <v>902</v>
      </c>
      <c r="N470" s="476" t="s">
        <v>903</v>
      </c>
      <c r="O470" s="1425" t="s">
        <v>47</v>
      </c>
      <c r="P470" s="16" t="s">
        <v>1417</v>
      </c>
      <c r="Q470" s="302" t="s">
        <v>1418</v>
      </c>
      <c r="R470" s="351">
        <v>2015</v>
      </c>
      <c r="S470" s="303">
        <v>0</v>
      </c>
      <c r="T470" s="303">
        <v>0</v>
      </c>
      <c r="U470" s="572">
        <v>1</v>
      </c>
      <c r="V470" s="572">
        <v>0</v>
      </c>
      <c r="W470" s="572">
        <v>0</v>
      </c>
      <c r="X470" s="572">
        <v>1</v>
      </c>
      <c r="Y470" s="481"/>
      <c r="Z470" s="481"/>
      <c r="AA470" s="481"/>
      <c r="AB470" s="481"/>
      <c r="AC470" s="481"/>
      <c r="AD470" s="481"/>
      <c r="AE470" s="481"/>
      <c r="AF470" s="481">
        <f t="shared" si="281"/>
        <v>0</v>
      </c>
      <c r="AG470" s="548"/>
      <c r="AH470" s="491">
        <v>1</v>
      </c>
      <c r="AI470" s="716">
        <v>3</v>
      </c>
      <c r="AJ470" s="548"/>
      <c r="AK470" s="548"/>
      <c r="AL470" s="548"/>
      <c r="AM470" s="548">
        <f t="shared" si="292"/>
        <v>4</v>
      </c>
      <c r="AN470" s="481"/>
      <c r="AO470" s="481"/>
      <c r="AP470" s="481"/>
      <c r="AQ470" s="481"/>
      <c r="AR470" s="481"/>
      <c r="AS470" s="481"/>
      <c r="AT470" s="481"/>
      <c r="AU470" s="481">
        <f t="shared" si="285"/>
        <v>0</v>
      </c>
      <c r="AV470" s="548"/>
      <c r="AW470" s="548"/>
      <c r="AX470" s="548"/>
      <c r="AY470" s="548"/>
      <c r="AZ470" s="548"/>
      <c r="BA470" s="548"/>
      <c r="BB470" s="548"/>
      <c r="BC470" s="548">
        <f t="shared" si="287"/>
        <v>0</v>
      </c>
      <c r="BD470" s="42">
        <f t="shared" si="293"/>
        <v>0</v>
      </c>
      <c r="BE470" s="42">
        <f t="shared" si="293"/>
        <v>1</v>
      </c>
      <c r="BF470" s="42">
        <f t="shared" si="293"/>
        <v>3</v>
      </c>
      <c r="BG470" s="42">
        <f t="shared" si="293"/>
        <v>0</v>
      </c>
      <c r="BH470" s="42">
        <f t="shared" si="293"/>
        <v>0</v>
      </c>
      <c r="BI470" s="42">
        <f t="shared" si="264"/>
        <v>0</v>
      </c>
      <c r="BJ470" s="42">
        <f t="shared" si="294"/>
        <v>0</v>
      </c>
      <c r="BK470" s="42">
        <f t="shared" si="294"/>
        <v>4</v>
      </c>
    </row>
    <row r="471" spans="1:66" ht="58.5" customHeight="1" x14ac:dyDescent="0.25">
      <c r="A471" s="298" t="s">
        <v>1353</v>
      </c>
      <c r="B471" s="299" t="s">
        <v>1351</v>
      </c>
      <c r="C471" s="1547"/>
      <c r="D471" s="1551"/>
      <c r="E471" s="1551"/>
      <c r="F471" s="1551"/>
      <c r="G471" s="1551"/>
      <c r="H471" s="1551"/>
      <c r="I471" s="1425" t="s">
        <v>53</v>
      </c>
      <c r="J471" s="379"/>
      <c r="K471" s="1428" t="s">
        <v>1419</v>
      </c>
      <c r="L471" s="301" t="s">
        <v>1358</v>
      </c>
      <c r="M471" s="1425" t="s">
        <v>902</v>
      </c>
      <c r="N471" s="476" t="s">
        <v>903</v>
      </c>
      <c r="O471" s="1425" t="s">
        <v>47</v>
      </c>
      <c r="P471" s="16" t="s">
        <v>1420</v>
      </c>
      <c r="Q471" s="302" t="s">
        <v>1421</v>
      </c>
      <c r="R471" s="351" t="s">
        <v>1422</v>
      </c>
      <c r="S471" s="303">
        <v>260</v>
      </c>
      <c r="T471" s="303">
        <v>80</v>
      </c>
      <c r="U471" s="572">
        <v>160</v>
      </c>
      <c r="V471" s="572">
        <v>240</v>
      </c>
      <c r="W471" s="572">
        <v>320</v>
      </c>
      <c r="X471" s="572">
        <v>320</v>
      </c>
      <c r="Y471" s="491">
        <v>14.5</v>
      </c>
      <c r="Z471" s="481">
        <v>40</v>
      </c>
      <c r="AA471" s="481">
        <v>11.7</v>
      </c>
      <c r="AB471" s="481"/>
      <c r="AC471" s="481"/>
      <c r="AD471" s="481">
        <v>35.799999999999997</v>
      </c>
      <c r="AE471" s="481"/>
      <c r="AF471" s="481">
        <f t="shared" si="281"/>
        <v>102</v>
      </c>
      <c r="AG471" s="548">
        <v>35</v>
      </c>
      <c r="AH471" s="491">
        <v>52</v>
      </c>
      <c r="AI471" s="491">
        <v>5</v>
      </c>
      <c r="AJ471" s="548"/>
      <c r="AK471" s="548"/>
      <c r="AL471" s="548"/>
      <c r="AM471" s="548">
        <f t="shared" si="292"/>
        <v>92</v>
      </c>
      <c r="AN471" s="491">
        <v>20</v>
      </c>
      <c r="AO471" s="491">
        <v>50</v>
      </c>
      <c r="AP471" s="491">
        <v>10</v>
      </c>
      <c r="AQ471" s="481"/>
      <c r="AR471" s="481"/>
      <c r="AS471" s="481"/>
      <c r="AT471" s="481"/>
      <c r="AU471" s="481">
        <f t="shared" si="285"/>
        <v>80</v>
      </c>
      <c r="AV471" s="548">
        <v>35</v>
      </c>
      <c r="AW471" s="491">
        <v>33</v>
      </c>
      <c r="AX471" s="548">
        <v>12</v>
      </c>
      <c r="AY471" s="548"/>
      <c r="AZ471" s="548"/>
      <c r="BA471" s="548"/>
      <c r="BB471" s="548"/>
      <c r="BC471" s="548">
        <f t="shared" si="287"/>
        <v>80</v>
      </c>
      <c r="BD471" s="42">
        <f t="shared" si="293"/>
        <v>104.5</v>
      </c>
      <c r="BE471" s="42">
        <f t="shared" si="293"/>
        <v>175</v>
      </c>
      <c r="BF471" s="42">
        <f t="shared" si="293"/>
        <v>38.700000000000003</v>
      </c>
      <c r="BG471" s="42">
        <f t="shared" si="293"/>
        <v>0</v>
      </c>
      <c r="BH471" s="42">
        <f t="shared" si="293"/>
        <v>0</v>
      </c>
      <c r="BI471" s="42">
        <f t="shared" ref="BI471:BI499" si="295">+AD471+AS471+BA471</f>
        <v>35.799999999999997</v>
      </c>
      <c r="BJ471" s="42">
        <f t="shared" si="294"/>
        <v>0</v>
      </c>
      <c r="BK471" s="42">
        <f t="shared" si="294"/>
        <v>354</v>
      </c>
      <c r="BN471" s="222"/>
    </row>
    <row r="472" spans="1:66" ht="63.75" customHeight="1" x14ac:dyDescent="0.25">
      <c r="A472" s="298" t="s">
        <v>1353</v>
      </c>
      <c r="B472" s="299" t="s">
        <v>1351</v>
      </c>
      <c r="C472" s="1547"/>
      <c r="D472" s="1551"/>
      <c r="E472" s="1551"/>
      <c r="F472" s="1551"/>
      <c r="G472" s="1551"/>
      <c r="H472" s="1551"/>
      <c r="I472" s="1425"/>
      <c r="J472" s="379"/>
      <c r="K472" s="1428" t="s">
        <v>1423</v>
      </c>
      <c r="L472" s="301" t="s">
        <v>1358</v>
      </c>
      <c r="M472" s="1425" t="s">
        <v>902</v>
      </c>
      <c r="N472" s="476" t="s">
        <v>903</v>
      </c>
      <c r="O472" s="1425" t="s">
        <v>47</v>
      </c>
      <c r="P472" s="16" t="s">
        <v>1424</v>
      </c>
      <c r="Q472" s="302" t="s">
        <v>1425</v>
      </c>
      <c r="R472" s="351">
        <v>2015</v>
      </c>
      <c r="S472" s="303">
        <v>0</v>
      </c>
      <c r="T472" s="303">
        <v>0</v>
      </c>
      <c r="U472" s="572">
        <v>1</v>
      </c>
      <c r="V472" s="572">
        <v>1</v>
      </c>
      <c r="W472" s="572">
        <v>1</v>
      </c>
      <c r="X472" s="572">
        <v>1</v>
      </c>
      <c r="Y472" s="481"/>
      <c r="Z472" s="481"/>
      <c r="AA472" s="481"/>
      <c r="AB472" s="481"/>
      <c r="AC472" s="481"/>
      <c r="AD472" s="481"/>
      <c r="AE472" s="481"/>
      <c r="AF472" s="481">
        <f t="shared" si="281"/>
        <v>0</v>
      </c>
      <c r="AG472" s="548">
        <v>23</v>
      </c>
      <c r="AH472" s="491">
        <v>1</v>
      </c>
      <c r="AI472" s="548"/>
      <c r="AJ472" s="548"/>
      <c r="AK472" s="548"/>
      <c r="AL472" s="548"/>
      <c r="AM472" s="548">
        <f t="shared" si="292"/>
        <v>24</v>
      </c>
      <c r="AN472" s="481"/>
      <c r="AO472" s="491">
        <v>1</v>
      </c>
      <c r="AP472" s="481"/>
      <c r="AQ472" s="481"/>
      <c r="AR472" s="481"/>
      <c r="AS472" s="481"/>
      <c r="AT472" s="481"/>
      <c r="AU472" s="481">
        <f t="shared" si="285"/>
        <v>1</v>
      </c>
      <c r="AV472" s="491">
        <v>2</v>
      </c>
      <c r="AW472" s="548"/>
      <c r="AX472" s="548"/>
      <c r="AY472" s="548"/>
      <c r="AZ472" s="548"/>
      <c r="BA472" s="548"/>
      <c r="BB472" s="548"/>
      <c r="BC472" s="548">
        <f t="shared" si="287"/>
        <v>2</v>
      </c>
      <c r="BD472" s="42">
        <f t="shared" si="293"/>
        <v>25</v>
      </c>
      <c r="BE472" s="42">
        <f t="shared" si="293"/>
        <v>2</v>
      </c>
      <c r="BF472" s="42">
        <f t="shared" si="293"/>
        <v>0</v>
      </c>
      <c r="BG472" s="42">
        <f t="shared" si="293"/>
        <v>0</v>
      </c>
      <c r="BH472" s="42">
        <f t="shared" si="293"/>
        <v>0</v>
      </c>
      <c r="BI472" s="42">
        <f t="shared" si="295"/>
        <v>0</v>
      </c>
      <c r="BJ472" s="42">
        <f t="shared" si="294"/>
        <v>0</v>
      </c>
      <c r="BK472" s="42">
        <f t="shared" si="294"/>
        <v>27</v>
      </c>
    </row>
    <row r="473" spans="1:66" ht="60" customHeight="1" x14ac:dyDescent="0.25">
      <c r="A473" s="298" t="s">
        <v>1353</v>
      </c>
      <c r="B473" s="299" t="s">
        <v>1351</v>
      </c>
      <c r="C473" s="1547"/>
      <c r="D473" s="1551"/>
      <c r="E473" s="1551"/>
      <c r="F473" s="1551"/>
      <c r="G473" s="1551"/>
      <c r="H473" s="1551"/>
      <c r="I473" s="1425"/>
      <c r="J473" s="379"/>
      <c r="K473" s="1428" t="s">
        <v>1426</v>
      </c>
      <c r="L473" s="301" t="s">
        <v>1358</v>
      </c>
      <c r="M473" s="1425" t="s">
        <v>902</v>
      </c>
      <c r="N473" s="476" t="s">
        <v>903</v>
      </c>
      <c r="O473" s="1425" t="s">
        <v>47</v>
      </c>
      <c r="P473" s="16" t="s">
        <v>1427</v>
      </c>
      <c r="Q473" s="302" t="s">
        <v>914</v>
      </c>
      <c r="R473" s="351">
        <v>2015</v>
      </c>
      <c r="S473" s="303">
        <v>0</v>
      </c>
      <c r="T473" s="303">
        <v>1</v>
      </c>
      <c r="U473" s="572">
        <v>2</v>
      </c>
      <c r="V473" s="572">
        <v>0</v>
      </c>
      <c r="W473" s="572">
        <v>0</v>
      </c>
      <c r="X473" s="572">
        <v>2</v>
      </c>
      <c r="Y473" s="481"/>
      <c r="Z473" s="481">
        <v>2</v>
      </c>
      <c r="AA473" s="481"/>
      <c r="AB473" s="481"/>
      <c r="AC473" s="481"/>
      <c r="AD473" s="481"/>
      <c r="AE473" s="481"/>
      <c r="AF473" s="481">
        <f t="shared" si="281"/>
        <v>2</v>
      </c>
      <c r="AG473" s="548">
        <v>2</v>
      </c>
      <c r="AH473" s="548"/>
      <c r="AI473" s="548"/>
      <c r="AJ473" s="548"/>
      <c r="AK473" s="548"/>
      <c r="AL473" s="548"/>
      <c r="AM473" s="548">
        <f t="shared" si="292"/>
        <v>2</v>
      </c>
      <c r="AN473" s="481"/>
      <c r="AO473" s="481"/>
      <c r="AP473" s="481"/>
      <c r="AQ473" s="481"/>
      <c r="AR473" s="481"/>
      <c r="AS473" s="481"/>
      <c r="AT473" s="481"/>
      <c r="AU473" s="481">
        <f t="shared" si="285"/>
        <v>0</v>
      </c>
      <c r="AV473" s="548"/>
      <c r="AW473" s="548"/>
      <c r="AX473" s="548"/>
      <c r="AY473" s="548"/>
      <c r="AZ473" s="548"/>
      <c r="BA473" s="548"/>
      <c r="BB473" s="548"/>
      <c r="BC473" s="548">
        <f t="shared" si="287"/>
        <v>0</v>
      </c>
      <c r="BD473" s="42">
        <f t="shared" si="293"/>
        <v>2</v>
      </c>
      <c r="BE473" s="42">
        <f t="shared" si="293"/>
        <v>2</v>
      </c>
      <c r="BF473" s="42">
        <f t="shared" si="293"/>
        <v>0</v>
      </c>
      <c r="BG473" s="42">
        <f t="shared" si="293"/>
        <v>0</v>
      </c>
      <c r="BH473" s="42">
        <f t="shared" si="293"/>
        <v>0</v>
      </c>
      <c r="BI473" s="42">
        <f t="shared" si="295"/>
        <v>0</v>
      </c>
      <c r="BJ473" s="42">
        <f t="shared" si="294"/>
        <v>0</v>
      </c>
      <c r="BK473" s="42">
        <f t="shared" si="294"/>
        <v>4</v>
      </c>
    </row>
    <row r="474" spans="1:66" ht="51.75" customHeight="1" x14ac:dyDescent="0.25">
      <c r="A474" s="298" t="s">
        <v>1353</v>
      </c>
      <c r="B474" s="299" t="s">
        <v>1351</v>
      </c>
      <c r="C474" s="1547"/>
      <c r="D474" s="1551"/>
      <c r="E474" s="1551"/>
      <c r="F474" s="1551"/>
      <c r="G474" s="1551"/>
      <c r="H474" s="1551"/>
      <c r="I474" s="1425"/>
      <c r="J474" s="379"/>
      <c r="K474" s="1428" t="s">
        <v>1428</v>
      </c>
      <c r="L474" s="301" t="s">
        <v>1358</v>
      </c>
      <c r="M474" s="1425" t="s">
        <v>902</v>
      </c>
      <c r="N474" s="476" t="s">
        <v>903</v>
      </c>
      <c r="O474" s="1425" t="s">
        <v>47</v>
      </c>
      <c r="P474" s="16" t="s">
        <v>1429</v>
      </c>
      <c r="Q474" s="302" t="s">
        <v>1430</v>
      </c>
      <c r="R474" s="351">
        <v>2015</v>
      </c>
      <c r="S474" s="303">
        <v>0</v>
      </c>
      <c r="T474" s="303">
        <v>1</v>
      </c>
      <c r="U474" s="572">
        <v>2</v>
      </c>
      <c r="V474" s="572">
        <v>3</v>
      </c>
      <c r="W474" s="572">
        <v>4</v>
      </c>
      <c r="X474" s="572">
        <v>4</v>
      </c>
      <c r="Y474" s="481"/>
      <c r="Z474" s="584">
        <v>5</v>
      </c>
      <c r="AA474" s="481"/>
      <c r="AB474" s="481"/>
      <c r="AC474" s="481"/>
      <c r="AD474" s="481">
        <v>0</v>
      </c>
      <c r="AE474" s="481"/>
      <c r="AF474" s="481">
        <f t="shared" si="281"/>
        <v>5</v>
      </c>
      <c r="AG474" s="548">
        <v>5</v>
      </c>
      <c r="AH474" s="548"/>
      <c r="AI474" s="548"/>
      <c r="AJ474" s="548"/>
      <c r="AK474" s="548"/>
      <c r="AL474" s="548"/>
      <c r="AM474" s="548">
        <f t="shared" ref="AM474:AM479" si="296">SUM(AG474:AL474)</f>
        <v>5</v>
      </c>
      <c r="AN474" s="481">
        <v>5</v>
      </c>
      <c r="AO474" s="481"/>
      <c r="AP474" s="481"/>
      <c r="AQ474" s="481"/>
      <c r="AR474" s="481"/>
      <c r="AS474" s="481"/>
      <c r="AT474" s="481"/>
      <c r="AU474" s="481">
        <f>SUM(AN474:AT474)</f>
        <v>5</v>
      </c>
      <c r="AV474" s="548">
        <v>5</v>
      </c>
      <c r="AW474" s="548"/>
      <c r="AX474" s="548"/>
      <c r="AY474" s="548"/>
      <c r="AZ474" s="548"/>
      <c r="BA474" s="548"/>
      <c r="BB474" s="548"/>
      <c r="BC474" s="548">
        <f>SUM(AV474:BB474)</f>
        <v>5</v>
      </c>
      <c r="BD474" s="42">
        <f t="shared" si="293"/>
        <v>15</v>
      </c>
      <c r="BE474" s="42">
        <f t="shared" si="293"/>
        <v>5</v>
      </c>
      <c r="BF474" s="42">
        <f t="shared" si="293"/>
        <v>0</v>
      </c>
      <c r="BG474" s="42">
        <f t="shared" si="293"/>
        <v>0</v>
      </c>
      <c r="BH474" s="42">
        <f t="shared" si="293"/>
        <v>0</v>
      </c>
      <c r="BI474" s="42">
        <f t="shared" si="295"/>
        <v>0</v>
      </c>
      <c r="BJ474" s="42">
        <f t="shared" si="294"/>
        <v>0</v>
      </c>
      <c r="BK474" s="42">
        <f t="shared" si="294"/>
        <v>20</v>
      </c>
    </row>
    <row r="475" spans="1:66" ht="60.75" customHeight="1" x14ac:dyDescent="0.25">
      <c r="A475" s="298" t="s">
        <v>1353</v>
      </c>
      <c r="B475" s="299" t="s">
        <v>1351</v>
      </c>
      <c r="C475" s="1547"/>
      <c r="D475" s="1551"/>
      <c r="E475" s="1551"/>
      <c r="F475" s="1551"/>
      <c r="G475" s="1551"/>
      <c r="H475" s="1551"/>
      <c r="I475" s="1425"/>
      <c r="J475" s="379"/>
      <c r="K475" s="1428" t="s">
        <v>1431</v>
      </c>
      <c r="L475" s="301" t="s">
        <v>1358</v>
      </c>
      <c r="M475" s="1425" t="s">
        <v>902</v>
      </c>
      <c r="N475" s="476" t="s">
        <v>903</v>
      </c>
      <c r="O475" s="1425" t="s">
        <v>47</v>
      </c>
      <c r="P475" s="16" t="s">
        <v>1432</v>
      </c>
      <c r="Q475" s="302" t="s">
        <v>1433</v>
      </c>
      <c r="R475" s="351" t="s">
        <v>1434</v>
      </c>
      <c r="S475" s="303">
        <v>30000</v>
      </c>
      <c r="T475" s="303">
        <v>0</v>
      </c>
      <c r="U475" s="572">
        <v>4000</v>
      </c>
      <c r="V475" s="572">
        <v>8000</v>
      </c>
      <c r="W475" s="572">
        <v>12000</v>
      </c>
      <c r="X475" s="572">
        <v>12000</v>
      </c>
      <c r="Y475" s="481"/>
      <c r="Z475" s="584"/>
      <c r="AA475" s="481"/>
      <c r="AB475" s="481"/>
      <c r="AC475" s="481"/>
      <c r="AD475" s="481"/>
      <c r="AE475" s="481"/>
      <c r="AF475" s="481">
        <f t="shared" si="281"/>
        <v>0</v>
      </c>
      <c r="AG475" s="548">
        <v>10</v>
      </c>
      <c r="AH475" s="548"/>
      <c r="AI475" s="548"/>
      <c r="AJ475" s="548"/>
      <c r="AK475" s="548"/>
      <c r="AL475" s="548"/>
      <c r="AM475" s="548">
        <f t="shared" si="296"/>
        <v>10</v>
      </c>
      <c r="AN475" s="491">
        <v>11</v>
      </c>
      <c r="AO475" s="481"/>
      <c r="AP475" s="481"/>
      <c r="AQ475" s="481"/>
      <c r="AR475" s="481"/>
      <c r="AS475" s="481"/>
      <c r="AT475" s="481"/>
      <c r="AU475" s="481">
        <f>SUM(AN475:AT475)</f>
        <v>11</v>
      </c>
      <c r="AV475" s="548">
        <v>10</v>
      </c>
      <c r="AW475" s="548"/>
      <c r="AX475" s="548"/>
      <c r="AY475" s="548"/>
      <c r="AZ475" s="548"/>
      <c r="BA475" s="548"/>
      <c r="BB475" s="548"/>
      <c r="BC475" s="548">
        <f>SUM(AV475:BB475)</f>
        <v>10</v>
      </c>
      <c r="BD475" s="42">
        <f t="shared" si="293"/>
        <v>31</v>
      </c>
      <c r="BE475" s="42">
        <f t="shared" si="293"/>
        <v>0</v>
      </c>
      <c r="BF475" s="42">
        <f t="shared" si="293"/>
        <v>0</v>
      </c>
      <c r="BG475" s="42">
        <f t="shared" si="293"/>
        <v>0</v>
      </c>
      <c r="BH475" s="42">
        <f t="shared" si="293"/>
        <v>0</v>
      </c>
      <c r="BI475" s="42">
        <f t="shared" si="295"/>
        <v>0</v>
      </c>
      <c r="BJ475" s="42">
        <f t="shared" si="294"/>
        <v>0</v>
      </c>
      <c r="BK475" s="42">
        <f t="shared" si="294"/>
        <v>31</v>
      </c>
    </row>
    <row r="476" spans="1:66" ht="37.5" customHeight="1" x14ac:dyDescent="0.25">
      <c r="A476" s="298" t="s">
        <v>1353</v>
      </c>
      <c r="B476" s="299" t="s">
        <v>1351</v>
      </c>
      <c r="C476" s="1547"/>
      <c r="D476" s="1551"/>
      <c r="E476" s="1551"/>
      <c r="F476" s="1551"/>
      <c r="G476" s="1551"/>
      <c r="H476" s="1551"/>
      <c r="I476" s="1425"/>
      <c r="J476" s="379"/>
      <c r="K476" s="1428" t="s">
        <v>1435</v>
      </c>
      <c r="L476" s="301" t="s">
        <v>1358</v>
      </c>
      <c r="M476" s="1425" t="s">
        <v>902</v>
      </c>
      <c r="N476" s="476" t="s">
        <v>903</v>
      </c>
      <c r="O476" s="1425" t="s">
        <v>47</v>
      </c>
      <c r="P476" s="16" t="s">
        <v>1436</v>
      </c>
      <c r="Q476" s="302" t="s">
        <v>1437</v>
      </c>
      <c r="R476" s="351">
        <v>2015</v>
      </c>
      <c r="S476" s="303">
        <v>0</v>
      </c>
      <c r="T476" s="303">
        <v>1</v>
      </c>
      <c r="U476" s="572">
        <v>2</v>
      </c>
      <c r="V476" s="572">
        <v>3</v>
      </c>
      <c r="W476" s="572">
        <v>4</v>
      </c>
      <c r="X476" s="572">
        <v>4</v>
      </c>
      <c r="Y476" s="491">
        <v>1</v>
      </c>
      <c r="Z476" s="584"/>
      <c r="AA476" s="481"/>
      <c r="AB476" s="481"/>
      <c r="AC476" s="481"/>
      <c r="AD476" s="481"/>
      <c r="AE476" s="481"/>
      <c r="AF476" s="481">
        <f t="shared" si="281"/>
        <v>1</v>
      </c>
      <c r="AG476" s="548"/>
      <c r="AH476" s="491">
        <v>1</v>
      </c>
      <c r="AI476" s="548"/>
      <c r="AJ476" s="548"/>
      <c r="AK476" s="548"/>
      <c r="AL476" s="548"/>
      <c r="AM476" s="548">
        <f t="shared" si="296"/>
        <v>1</v>
      </c>
      <c r="AN476" s="491">
        <v>1</v>
      </c>
      <c r="AO476" s="481"/>
      <c r="AP476" s="481"/>
      <c r="AQ476" s="481"/>
      <c r="AR476" s="481"/>
      <c r="AS476" s="481"/>
      <c r="AT476" s="481"/>
      <c r="AU476" s="481">
        <f>SUM(AN476:AT476)</f>
        <v>1</v>
      </c>
      <c r="AV476" s="491">
        <v>3</v>
      </c>
      <c r="AW476" s="548"/>
      <c r="AX476" s="548"/>
      <c r="AY476" s="548"/>
      <c r="AZ476" s="548"/>
      <c r="BA476" s="548"/>
      <c r="BB476" s="548"/>
      <c r="BC476" s="548">
        <f>SUM(AV476:BB476)</f>
        <v>3</v>
      </c>
      <c r="BD476" s="42">
        <f>+AV476+AN476+AG476+Y476</f>
        <v>5</v>
      </c>
      <c r="BE476" s="42">
        <f>+AW476+AO476+AH476+Z476</f>
        <v>1</v>
      </c>
      <c r="BF476" s="42">
        <f>+AX476+AP476+AI476+AA476</f>
        <v>0</v>
      </c>
      <c r="BG476" s="42">
        <f>+AY476+AQ476+AJ476+AB476</f>
        <v>0</v>
      </c>
      <c r="BH476" s="42">
        <f>+AZ476+AR476+AK476+AC476</f>
        <v>0</v>
      </c>
      <c r="BI476" s="42">
        <f>+AD476+AS476+BA476</f>
        <v>0</v>
      </c>
      <c r="BJ476" s="42">
        <f>+BB476+AT476+AL476+AE476</f>
        <v>0</v>
      </c>
      <c r="BK476" s="42">
        <f>+BC476+AU476+AM476+AF476</f>
        <v>6</v>
      </c>
    </row>
    <row r="477" spans="1:66" ht="49.5" customHeight="1" x14ac:dyDescent="0.25">
      <c r="A477" s="298" t="s">
        <v>1353</v>
      </c>
      <c r="B477" s="299" t="s">
        <v>1351</v>
      </c>
      <c r="C477" s="1547"/>
      <c r="D477" s="1551"/>
      <c r="E477" s="1551"/>
      <c r="F477" s="1551"/>
      <c r="G477" s="1551"/>
      <c r="H477" s="1551"/>
      <c r="I477" s="1425"/>
      <c r="J477" s="379"/>
      <c r="K477" s="1428" t="s">
        <v>1438</v>
      </c>
      <c r="L477" s="301" t="s">
        <v>1358</v>
      </c>
      <c r="M477" s="1425" t="s">
        <v>902</v>
      </c>
      <c r="N477" s="476" t="s">
        <v>903</v>
      </c>
      <c r="O477" s="1425" t="s">
        <v>47</v>
      </c>
      <c r="P477" s="16" t="s">
        <v>1439</v>
      </c>
      <c r="Q477" s="302" t="s">
        <v>914</v>
      </c>
      <c r="R477" s="351">
        <v>2015</v>
      </c>
      <c r="S477" s="303">
        <v>0</v>
      </c>
      <c r="T477" s="303">
        <v>1</v>
      </c>
      <c r="U477" s="572">
        <v>1</v>
      </c>
      <c r="V477" s="572">
        <v>1</v>
      </c>
      <c r="W477" s="572">
        <v>1</v>
      </c>
      <c r="X477" s="572">
        <v>4</v>
      </c>
      <c r="Y477" s="481"/>
      <c r="Z477" s="584"/>
      <c r="AA477" s="481"/>
      <c r="AB477" s="481"/>
      <c r="AC477" s="481"/>
      <c r="AD477" s="481">
        <v>2</v>
      </c>
      <c r="AE477" s="481"/>
      <c r="AF477" s="481">
        <f t="shared" si="281"/>
        <v>2</v>
      </c>
      <c r="AG477" s="548">
        <v>2</v>
      </c>
      <c r="AH477" s="548"/>
      <c r="AI477" s="548"/>
      <c r="AJ477" s="548"/>
      <c r="AK477" s="548"/>
      <c r="AL477" s="548"/>
      <c r="AM477" s="548">
        <f t="shared" si="296"/>
        <v>2</v>
      </c>
      <c r="AN477" s="481">
        <v>2</v>
      </c>
      <c r="AO477" s="481"/>
      <c r="AP477" s="481"/>
      <c r="AQ477" s="481"/>
      <c r="AR477" s="481"/>
      <c r="AS477" s="481"/>
      <c r="AT477" s="481"/>
      <c r="AU477" s="481">
        <f>SUM(AN477:AT477)</f>
        <v>2</v>
      </c>
      <c r="AV477" s="548">
        <v>2</v>
      </c>
      <c r="AW477" s="548"/>
      <c r="AX477" s="548"/>
      <c r="AY477" s="548"/>
      <c r="AZ477" s="548"/>
      <c r="BA477" s="548"/>
      <c r="BB477" s="548"/>
      <c r="BC477" s="548">
        <f>SUM(AV477:BB477)</f>
        <v>2</v>
      </c>
      <c r="BD477" s="42">
        <v>2</v>
      </c>
      <c r="BE477" s="42"/>
      <c r="BF477" s="42"/>
      <c r="BG477" s="42"/>
      <c r="BH477" s="42"/>
      <c r="BI477" s="42"/>
      <c r="BJ477" s="42"/>
      <c r="BK477" s="42">
        <f>+BC477+AU477+AM477+AF477</f>
        <v>8</v>
      </c>
    </row>
    <row r="478" spans="1:66" ht="42" customHeight="1" x14ac:dyDescent="0.25">
      <c r="A478" s="298" t="s">
        <v>1353</v>
      </c>
      <c r="B478" s="299" t="s">
        <v>1351</v>
      </c>
      <c r="C478" s="1548"/>
      <c r="D478" s="1552"/>
      <c r="E478" s="1552"/>
      <c r="F478" s="1552"/>
      <c r="G478" s="1552"/>
      <c r="H478" s="1552"/>
      <c r="I478" s="1425"/>
      <c r="J478" s="379"/>
      <c r="K478" s="1428" t="s">
        <v>1440</v>
      </c>
      <c r="L478" s="301" t="s">
        <v>1358</v>
      </c>
      <c r="M478" s="1425" t="s">
        <v>902</v>
      </c>
      <c r="N478" s="476" t="s">
        <v>903</v>
      </c>
      <c r="O478" s="1425" t="s">
        <v>47</v>
      </c>
      <c r="P478" s="16" t="s">
        <v>1441</v>
      </c>
      <c r="Q478" s="302" t="s">
        <v>71</v>
      </c>
      <c r="R478" s="351">
        <v>2015</v>
      </c>
      <c r="S478" s="303">
        <v>0</v>
      </c>
      <c r="T478" s="303">
        <v>1</v>
      </c>
      <c r="U478" s="572">
        <v>2</v>
      </c>
      <c r="V478" s="572">
        <v>3</v>
      </c>
      <c r="W478" s="572">
        <v>4</v>
      </c>
      <c r="X478" s="572">
        <v>4</v>
      </c>
      <c r="Y478" s="481">
        <v>5</v>
      </c>
      <c r="Z478" s="584"/>
      <c r="AA478" s="481"/>
      <c r="AB478" s="481"/>
      <c r="AC478" s="481"/>
      <c r="AD478" s="481">
        <v>7</v>
      </c>
      <c r="AE478" s="481"/>
      <c r="AF478" s="481">
        <f t="shared" si="281"/>
        <v>12</v>
      </c>
      <c r="AG478" s="548">
        <v>2</v>
      </c>
      <c r="AH478" s="548"/>
      <c r="AI478" s="716">
        <v>3</v>
      </c>
      <c r="AJ478" s="548"/>
      <c r="AK478" s="548"/>
      <c r="AL478" s="548"/>
      <c r="AM478" s="548">
        <f t="shared" si="296"/>
        <v>5</v>
      </c>
      <c r="AN478" s="481">
        <v>2</v>
      </c>
      <c r="AO478" s="481"/>
      <c r="AP478" s="481"/>
      <c r="AQ478" s="481"/>
      <c r="AR478" s="481"/>
      <c r="AS478" s="481"/>
      <c r="AT478" s="481"/>
      <c r="AU478" s="481">
        <f>SUM(AN478:AT478)</f>
        <v>2</v>
      </c>
      <c r="AV478" s="548">
        <v>2</v>
      </c>
      <c r="AW478" s="548"/>
      <c r="AX478" s="548"/>
      <c r="AY478" s="548"/>
      <c r="AZ478" s="548"/>
      <c r="BA478" s="548"/>
      <c r="BB478" s="548"/>
      <c r="BC478" s="548">
        <f>SUM(AV478:BB478)</f>
        <v>2</v>
      </c>
      <c r="BD478" s="42">
        <f t="shared" si="293"/>
        <v>11</v>
      </c>
      <c r="BE478" s="42">
        <f t="shared" si="293"/>
        <v>0</v>
      </c>
      <c r="BF478" s="42">
        <f t="shared" si="293"/>
        <v>3</v>
      </c>
      <c r="BG478" s="42">
        <f t="shared" si="293"/>
        <v>0</v>
      </c>
      <c r="BH478" s="42">
        <f t="shared" si="293"/>
        <v>0</v>
      </c>
      <c r="BI478" s="42">
        <f t="shared" si="295"/>
        <v>7</v>
      </c>
      <c r="BJ478" s="42">
        <f t="shared" si="294"/>
        <v>0</v>
      </c>
      <c r="BK478" s="42">
        <f t="shared" si="294"/>
        <v>21</v>
      </c>
    </row>
    <row r="479" spans="1:66" ht="49.5" customHeight="1" x14ac:dyDescent="0.25">
      <c r="A479" s="298" t="s">
        <v>1353</v>
      </c>
      <c r="B479" s="299" t="s">
        <v>1351</v>
      </c>
      <c r="C479" s="1424"/>
      <c r="D479" s="1427"/>
      <c r="E479" s="1427"/>
      <c r="F479" s="1427"/>
      <c r="G479" s="1427"/>
      <c r="H479" s="1427"/>
      <c r="I479" s="1425"/>
      <c r="J479" s="379"/>
      <c r="K479" s="1428" t="s">
        <v>1442</v>
      </c>
      <c r="L479" s="301" t="s">
        <v>1358</v>
      </c>
      <c r="M479" s="1425" t="s">
        <v>902</v>
      </c>
      <c r="N479" s="476" t="s">
        <v>903</v>
      </c>
      <c r="O479" s="1425" t="s">
        <v>47</v>
      </c>
      <c r="P479" s="16" t="s">
        <v>1443</v>
      </c>
      <c r="Q479" s="352" t="s">
        <v>1444</v>
      </c>
      <c r="R479" s="351">
        <v>2015</v>
      </c>
      <c r="S479" s="303">
        <v>0</v>
      </c>
      <c r="T479" s="303">
        <v>0</v>
      </c>
      <c r="U479" s="572">
        <v>1</v>
      </c>
      <c r="V479" s="572">
        <v>0</v>
      </c>
      <c r="W479" s="572">
        <v>0</v>
      </c>
      <c r="X479" s="572">
        <v>1</v>
      </c>
      <c r="Y479" s="481"/>
      <c r="Z479" s="584"/>
      <c r="AA479" s="481"/>
      <c r="AB479" s="481"/>
      <c r="AC479" s="481"/>
      <c r="AD479" s="481"/>
      <c r="AE479" s="481"/>
      <c r="AF479" s="481"/>
      <c r="AG479" s="548"/>
      <c r="AH479" s="491">
        <v>1</v>
      </c>
      <c r="AI479" s="548"/>
      <c r="AJ479" s="548"/>
      <c r="AK479" s="548"/>
      <c r="AL479" s="548"/>
      <c r="AM479" s="548">
        <f t="shared" si="296"/>
        <v>1</v>
      </c>
      <c r="AN479" s="481"/>
      <c r="AO479" s="481"/>
      <c r="AP479" s="481"/>
      <c r="AQ479" s="481"/>
      <c r="AR479" s="481"/>
      <c r="AS479" s="481"/>
      <c r="AT479" s="481"/>
      <c r="AU479" s="481"/>
      <c r="AV479" s="548"/>
      <c r="AW479" s="548"/>
      <c r="AX479" s="548"/>
      <c r="AY479" s="548"/>
      <c r="AZ479" s="548"/>
      <c r="BA479" s="548"/>
      <c r="BB479" s="548"/>
      <c r="BC479" s="548"/>
      <c r="BD479" s="42"/>
      <c r="BE479" s="42"/>
      <c r="BF479" s="42"/>
      <c r="BG479" s="42"/>
      <c r="BH479" s="42"/>
      <c r="BI479" s="42"/>
      <c r="BJ479" s="42"/>
      <c r="BK479" s="42"/>
    </row>
    <row r="480" spans="1:66" ht="46.5" customHeight="1" x14ac:dyDescent="0.25">
      <c r="A480" s="298" t="s">
        <v>1353</v>
      </c>
      <c r="B480" s="299" t="s">
        <v>1351</v>
      </c>
      <c r="C480" s="1424"/>
      <c r="D480" s="1427"/>
      <c r="E480" s="1427"/>
      <c r="F480" s="1427"/>
      <c r="G480" s="1427"/>
      <c r="H480" s="1427"/>
      <c r="I480" s="1425"/>
      <c r="J480" s="379"/>
      <c r="K480" s="1428" t="s">
        <v>1445</v>
      </c>
      <c r="L480" s="301" t="s">
        <v>1358</v>
      </c>
      <c r="M480" s="1425" t="s">
        <v>902</v>
      </c>
      <c r="N480" s="476" t="s">
        <v>903</v>
      </c>
      <c r="O480" s="1425" t="s">
        <v>47</v>
      </c>
      <c r="P480" s="16" t="s">
        <v>1446</v>
      </c>
      <c r="Q480" s="352" t="s">
        <v>1447</v>
      </c>
      <c r="R480" s="351">
        <v>2015</v>
      </c>
      <c r="S480" s="303">
        <v>0</v>
      </c>
      <c r="T480" s="303">
        <v>0</v>
      </c>
      <c r="U480" s="572">
        <v>0</v>
      </c>
      <c r="V480" s="572">
        <v>1</v>
      </c>
      <c r="W480" s="572">
        <v>0</v>
      </c>
      <c r="X480" s="572">
        <v>1</v>
      </c>
      <c r="Y480" s="481"/>
      <c r="Z480" s="584"/>
      <c r="AA480" s="481"/>
      <c r="AB480" s="481"/>
      <c r="AC480" s="481"/>
      <c r="AD480" s="481"/>
      <c r="AE480" s="481"/>
      <c r="AF480" s="481"/>
      <c r="AG480" s="548"/>
      <c r="AH480" s="548"/>
      <c r="AI480" s="548"/>
      <c r="AJ480" s="548"/>
      <c r="AK480" s="548"/>
      <c r="AL480" s="548"/>
      <c r="AM480" s="548"/>
      <c r="AN480" s="481"/>
      <c r="AO480" s="491">
        <v>1</v>
      </c>
      <c r="AP480" s="481"/>
      <c r="AQ480" s="481"/>
      <c r="AR480" s="481"/>
      <c r="AS480" s="481"/>
      <c r="AT480" s="481"/>
      <c r="AU480" s="481">
        <f>SUM(AN480:AT480)</f>
        <v>1</v>
      </c>
      <c r="AV480" s="548"/>
      <c r="AW480" s="548"/>
      <c r="AX480" s="548"/>
      <c r="AY480" s="548"/>
      <c r="AZ480" s="548"/>
      <c r="BA480" s="548"/>
      <c r="BB480" s="548"/>
      <c r="BC480" s="548"/>
      <c r="BD480" s="42"/>
      <c r="BE480" s="42"/>
      <c r="BF480" s="42"/>
      <c r="BG480" s="42"/>
      <c r="BH480" s="42"/>
      <c r="BI480" s="42"/>
      <c r="BJ480" s="42"/>
      <c r="BK480" s="42"/>
    </row>
    <row r="481" spans="1:63" x14ac:dyDescent="0.25">
      <c r="A481" s="151"/>
      <c r="B481" s="7"/>
      <c r="C481" s="7"/>
      <c r="D481" s="1442"/>
      <c r="E481" s="1442"/>
      <c r="F481" s="1442"/>
      <c r="G481" s="1442"/>
      <c r="H481" s="1442"/>
      <c r="I481" s="1442"/>
      <c r="J481" s="64"/>
      <c r="K481" s="148"/>
      <c r="L481" s="148"/>
      <c r="M481" s="148"/>
      <c r="N481" s="11"/>
      <c r="O481" s="148"/>
      <c r="P481" s="1436"/>
      <c r="Q481" s="1436"/>
      <c r="R481" s="69"/>
      <c r="S481" s="1442"/>
      <c r="T481" s="1442"/>
      <c r="U481" s="63"/>
      <c r="V481" s="63"/>
      <c r="W481" s="63"/>
      <c r="X481" s="63"/>
      <c r="Y481" s="42">
        <v>175.7</v>
      </c>
      <c r="Z481" s="35"/>
      <c r="AA481" s="42"/>
      <c r="AB481" s="42"/>
      <c r="AC481" s="42"/>
      <c r="AD481" s="42">
        <v>14.8</v>
      </c>
      <c r="AE481" s="42"/>
      <c r="AF481" s="42">
        <f t="shared" si="281"/>
        <v>190.5</v>
      </c>
      <c r="AG481" s="42"/>
      <c r="AH481" s="42"/>
      <c r="AI481" s="42"/>
      <c r="AJ481" s="42"/>
      <c r="AK481" s="42"/>
      <c r="AL481" s="42"/>
      <c r="AM481" s="42"/>
      <c r="AN481" s="42"/>
      <c r="AO481" s="42"/>
      <c r="AP481" s="42"/>
      <c r="AQ481" s="42"/>
      <c r="AR481" s="42"/>
      <c r="AS481" s="42"/>
      <c r="AT481" s="42"/>
      <c r="AU481" s="42"/>
      <c r="AV481" s="42"/>
      <c r="AW481" s="42"/>
      <c r="AX481" s="42"/>
      <c r="AY481" s="42"/>
      <c r="AZ481" s="42"/>
      <c r="BA481" s="42"/>
      <c r="BB481" s="42"/>
      <c r="BC481" s="42"/>
      <c r="BD481" s="42">
        <f t="shared" si="293"/>
        <v>175.7</v>
      </c>
      <c r="BE481" s="42">
        <f t="shared" si="293"/>
        <v>0</v>
      </c>
      <c r="BF481" s="42">
        <f t="shared" si="293"/>
        <v>0</v>
      </c>
      <c r="BG481" s="42">
        <f t="shared" si="293"/>
        <v>0</v>
      </c>
      <c r="BH481" s="42">
        <f t="shared" si="293"/>
        <v>0</v>
      </c>
      <c r="BI481" s="42">
        <f t="shared" si="295"/>
        <v>14.8</v>
      </c>
      <c r="BJ481" s="42">
        <f t="shared" si="294"/>
        <v>0</v>
      </c>
      <c r="BK481" s="42">
        <f t="shared" si="294"/>
        <v>190.5</v>
      </c>
    </row>
    <row r="482" spans="1:63" ht="2.25" customHeight="1" x14ac:dyDescent="0.25">
      <c r="A482" s="151"/>
      <c r="B482" s="7" t="s">
        <v>1448</v>
      </c>
      <c r="C482" s="7"/>
      <c r="D482" s="1442"/>
      <c r="E482" s="1442"/>
      <c r="F482" s="1442"/>
      <c r="G482" s="1442"/>
      <c r="H482" s="1442"/>
      <c r="I482" s="1442"/>
      <c r="J482" s="64"/>
      <c r="K482" s="148"/>
      <c r="L482" s="148"/>
      <c r="M482" s="148"/>
      <c r="N482" s="11"/>
      <c r="O482" s="148"/>
      <c r="P482" s="1436"/>
      <c r="Q482" s="1436"/>
      <c r="R482" s="69"/>
      <c r="S482" s="1442"/>
      <c r="T482" s="1442"/>
      <c r="U482" s="63"/>
      <c r="V482" s="63"/>
      <c r="W482" s="63"/>
      <c r="X482" s="63"/>
      <c r="Y482" s="42">
        <v>175.7</v>
      </c>
      <c r="Z482" s="35"/>
      <c r="AA482" s="42">
        <v>15.6</v>
      </c>
      <c r="AB482" s="42"/>
      <c r="AC482" s="42"/>
      <c r="AD482" s="42">
        <v>14.8</v>
      </c>
      <c r="AE482" s="42"/>
      <c r="AF482" s="42"/>
      <c r="AG482" s="42">
        <f>+Y482*1.04</f>
        <v>182.72799999999998</v>
      </c>
      <c r="AH482" s="42">
        <f>+Z482*1.04</f>
        <v>0</v>
      </c>
      <c r="AI482" s="42">
        <f>+AA482*1.04</f>
        <v>16.224</v>
      </c>
      <c r="AJ482" s="42">
        <f>+AB482*1.04</f>
        <v>0</v>
      </c>
      <c r="AK482" s="42">
        <f>+AC482*1.04</f>
        <v>0</v>
      </c>
      <c r="AL482" s="42">
        <f>+AE482*1.04</f>
        <v>0</v>
      </c>
      <c r="AM482" s="42"/>
      <c r="AN482" s="42">
        <f>+AG482*1.04</f>
        <v>190.03711999999999</v>
      </c>
      <c r="AO482" s="42">
        <f>+AH482*1.04</f>
        <v>0</v>
      </c>
      <c r="AP482" s="42">
        <f>+AI482*1.04</f>
        <v>16.872959999999999</v>
      </c>
      <c r="AQ482" s="42">
        <f>+AJ482*1.04</f>
        <v>0</v>
      </c>
      <c r="AR482" s="42">
        <f>+AK482*1.04</f>
        <v>0</v>
      </c>
      <c r="AS482" s="42" t="e">
        <f>+#REF!*1.04</f>
        <v>#REF!</v>
      </c>
      <c r="AT482" s="42"/>
      <c r="AU482" s="42"/>
      <c r="AV482" s="42">
        <f t="shared" ref="AV482:BA482" si="297">+AN482*1.04</f>
        <v>197.6386048</v>
      </c>
      <c r="AW482" s="42">
        <f t="shared" si="297"/>
        <v>0</v>
      </c>
      <c r="AX482" s="42">
        <f t="shared" si="297"/>
        <v>17.547878399999998</v>
      </c>
      <c r="AY482" s="42">
        <f t="shared" si="297"/>
        <v>0</v>
      </c>
      <c r="AZ482" s="42">
        <f t="shared" si="297"/>
        <v>0</v>
      </c>
      <c r="BA482" s="42" t="e">
        <f t="shared" si="297"/>
        <v>#REF!</v>
      </c>
      <c r="BB482" s="42"/>
      <c r="BC482" s="42"/>
      <c r="BD482" s="42">
        <f t="shared" si="293"/>
        <v>746.10372480000001</v>
      </c>
      <c r="BE482" s="42">
        <f t="shared" si="293"/>
        <v>0</v>
      </c>
      <c r="BF482" s="42">
        <f t="shared" si="293"/>
        <v>66.244838399999992</v>
      </c>
      <c r="BG482" s="42">
        <f t="shared" si="293"/>
        <v>0</v>
      </c>
      <c r="BH482" s="42">
        <f t="shared" si="293"/>
        <v>0</v>
      </c>
      <c r="BI482" s="42" t="e">
        <f t="shared" si="295"/>
        <v>#REF!</v>
      </c>
      <c r="BJ482" s="42">
        <f t="shared" si="294"/>
        <v>0</v>
      </c>
      <c r="BK482" s="42">
        <f t="shared" si="294"/>
        <v>0</v>
      </c>
    </row>
    <row r="483" spans="1:63" ht="20.399999999999999" x14ac:dyDescent="0.25">
      <c r="A483" s="420"/>
      <c r="B483" s="1565" t="s">
        <v>1448</v>
      </c>
      <c r="C483" s="1566"/>
      <c r="D483" s="1566"/>
      <c r="E483" s="1566"/>
      <c r="F483" s="1566"/>
      <c r="G483" s="1566"/>
      <c r="H483" s="1566"/>
      <c r="I483" s="1566"/>
      <c r="J483" s="1566"/>
      <c r="K483" s="1566"/>
      <c r="L483" s="1566"/>
      <c r="M483" s="1567"/>
      <c r="N483" s="381"/>
      <c r="O483" s="381"/>
      <c r="P483" s="383"/>
      <c r="Q483" s="383"/>
      <c r="R483" s="597"/>
      <c r="S483" s="597"/>
      <c r="T483" s="597"/>
      <c r="U483" s="599"/>
      <c r="V483" s="599"/>
      <c r="W483" s="599"/>
      <c r="X483" s="599"/>
      <c r="Y483" s="600">
        <f>+Y484+Y492</f>
        <v>175.7</v>
      </c>
      <c r="Z483" s="600">
        <f t="shared" ref="Z483:AE483" si="298">+Z484+Z492</f>
        <v>0</v>
      </c>
      <c r="AA483" s="600">
        <f t="shared" si="298"/>
        <v>15.6</v>
      </c>
      <c r="AB483" s="600">
        <f t="shared" si="298"/>
        <v>0</v>
      </c>
      <c r="AC483" s="600">
        <f t="shared" si="298"/>
        <v>0</v>
      </c>
      <c r="AD483" s="600">
        <f t="shared" si="298"/>
        <v>14.8</v>
      </c>
      <c r="AE483" s="600">
        <f t="shared" si="298"/>
        <v>0</v>
      </c>
      <c r="AF483" s="600">
        <f t="shared" ref="AF483:AF499" si="299">SUM(Y483:AE483)</f>
        <v>206.1</v>
      </c>
      <c r="AG483" s="600">
        <f t="shared" ref="AG483:AL483" si="300">+AG484+AG492</f>
        <v>182</v>
      </c>
      <c r="AH483" s="600">
        <f t="shared" si="300"/>
        <v>0</v>
      </c>
      <c r="AI483" s="600">
        <f t="shared" si="300"/>
        <v>38</v>
      </c>
      <c r="AJ483" s="600">
        <f t="shared" si="300"/>
        <v>0</v>
      </c>
      <c r="AK483" s="600">
        <f t="shared" si="300"/>
        <v>0</v>
      </c>
      <c r="AL483" s="600">
        <f t="shared" si="300"/>
        <v>0</v>
      </c>
      <c r="AM483" s="600">
        <f>SUM(AG483:AL483)</f>
        <v>220</v>
      </c>
      <c r="AN483" s="600">
        <f t="shared" ref="AN483:AT483" si="301">+AN484+AN492</f>
        <v>190</v>
      </c>
      <c r="AO483" s="600">
        <f t="shared" si="301"/>
        <v>0</v>
      </c>
      <c r="AP483" s="600">
        <f t="shared" si="301"/>
        <v>16.8</v>
      </c>
      <c r="AQ483" s="600">
        <f t="shared" si="301"/>
        <v>0</v>
      </c>
      <c r="AR483" s="600">
        <f t="shared" si="301"/>
        <v>0</v>
      </c>
      <c r="AS483" s="600">
        <f t="shared" si="301"/>
        <v>0</v>
      </c>
      <c r="AT483" s="600">
        <f t="shared" si="301"/>
        <v>0</v>
      </c>
      <c r="AU483" s="600">
        <f t="shared" ref="AU483:AU499" si="302">SUM(AN483:AT483)</f>
        <v>206.8</v>
      </c>
      <c r="AV483" s="600">
        <f t="shared" ref="AV483:BB483" si="303">+AV484+AV492</f>
        <v>197</v>
      </c>
      <c r="AW483" s="600">
        <f t="shared" si="303"/>
        <v>0</v>
      </c>
      <c r="AX483" s="600">
        <f t="shared" si="303"/>
        <v>17</v>
      </c>
      <c r="AY483" s="600">
        <f t="shared" si="303"/>
        <v>0</v>
      </c>
      <c r="AZ483" s="600">
        <f t="shared" si="303"/>
        <v>0</v>
      </c>
      <c r="BA483" s="600">
        <f t="shared" si="303"/>
        <v>0</v>
      </c>
      <c r="BB483" s="600">
        <f t="shared" si="303"/>
        <v>0</v>
      </c>
      <c r="BC483" s="600">
        <f t="shared" ref="BC483:BC499" si="304">SUM(AV483:BB483)</f>
        <v>214</v>
      </c>
      <c r="BD483" s="33">
        <f t="shared" si="293"/>
        <v>744.7</v>
      </c>
      <c r="BE483" s="33">
        <f t="shared" si="293"/>
        <v>0</v>
      </c>
      <c r="BF483" s="33">
        <f t="shared" si="293"/>
        <v>87.399999999999991</v>
      </c>
      <c r="BG483" s="33">
        <f t="shared" si="293"/>
        <v>0</v>
      </c>
      <c r="BH483" s="33">
        <f t="shared" si="293"/>
        <v>0</v>
      </c>
      <c r="BI483" s="33">
        <f t="shared" si="295"/>
        <v>14.8</v>
      </c>
      <c r="BJ483" s="33">
        <f t="shared" si="294"/>
        <v>0</v>
      </c>
      <c r="BK483" s="33">
        <f t="shared" si="294"/>
        <v>846.9</v>
      </c>
    </row>
    <row r="484" spans="1:63" ht="39.6" x14ac:dyDescent="0.25">
      <c r="A484" s="603"/>
      <c r="B484" s="154" t="s">
        <v>1448</v>
      </c>
      <c r="C484" s="154"/>
      <c r="D484" s="2" t="s">
        <v>1449</v>
      </c>
      <c r="E484" s="1"/>
      <c r="F484" s="1"/>
      <c r="G484" s="1"/>
      <c r="H484" s="1"/>
      <c r="I484" s="1"/>
      <c r="J484" s="1"/>
      <c r="K484" s="1"/>
      <c r="L484" s="1"/>
      <c r="M484" s="1"/>
      <c r="N484" s="1"/>
      <c r="O484" s="1"/>
      <c r="P484" s="22"/>
      <c r="Q484" s="22"/>
      <c r="R484" s="1"/>
      <c r="S484" s="1"/>
      <c r="T484" s="1"/>
      <c r="U484" s="49"/>
      <c r="V484" s="49"/>
      <c r="W484" s="49"/>
      <c r="X484" s="49"/>
      <c r="Y484" s="34">
        <f>SUM(Y485:Y491)</f>
        <v>25.7</v>
      </c>
      <c r="Z484" s="34">
        <f t="shared" ref="Z484:AE484" si="305">SUM(Z485:Z491)</f>
        <v>0</v>
      </c>
      <c r="AA484" s="34">
        <f t="shared" si="305"/>
        <v>15.6</v>
      </c>
      <c r="AB484" s="34">
        <f t="shared" si="305"/>
        <v>0</v>
      </c>
      <c r="AC484" s="34">
        <f t="shared" si="305"/>
        <v>0</v>
      </c>
      <c r="AD484" s="34">
        <f t="shared" si="305"/>
        <v>0</v>
      </c>
      <c r="AE484" s="34">
        <f t="shared" si="305"/>
        <v>0</v>
      </c>
      <c r="AF484" s="34">
        <f t="shared" si="299"/>
        <v>41.3</v>
      </c>
      <c r="AG484" s="34">
        <f t="shared" ref="AG484:AL484" si="306">SUM(AG485:AG491)</f>
        <v>26</v>
      </c>
      <c r="AH484" s="34">
        <f t="shared" si="306"/>
        <v>0</v>
      </c>
      <c r="AI484" s="34">
        <f t="shared" si="306"/>
        <v>0</v>
      </c>
      <c r="AJ484" s="34">
        <f t="shared" si="306"/>
        <v>0</v>
      </c>
      <c r="AK484" s="34">
        <f t="shared" si="306"/>
        <v>0</v>
      </c>
      <c r="AL484" s="34">
        <f t="shared" si="306"/>
        <v>0</v>
      </c>
      <c r="AM484" s="34">
        <f>SUM(AG484:AL484)</f>
        <v>26</v>
      </c>
      <c r="AN484" s="34">
        <f t="shared" ref="AN484:AT484" si="307">SUM(AN485:AN491)</f>
        <v>34</v>
      </c>
      <c r="AO484" s="34">
        <f t="shared" si="307"/>
        <v>0</v>
      </c>
      <c r="AP484" s="34">
        <f t="shared" si="307"/>
        <v>0</v>
      </c>
      <c r="AQ484" s="34">
        <f t="shared" si="307"/>
        <v>0</v>
      </c>
      <c r="AR484" s="34">
        <f t="shared" si="307"/>
        <v>0</v>
      </c>
      <c r="AS484" s="34">
        <f t="shared" si="307"/>
        <v>0</v>
      </c>
      <c r="AT484" s="34">
        <f t="shared" si="307"/>
        <v>0</v>
      </c>
      <c r="AU484" s="34">
        <f t="shared" si="302"/>
        <v>34</v>
      </c>
      <c r="AV484" s="34">
        <f t="shared" ref="AV484:BB484" si="308">SUM(AV485:AV491)</f>
        <v>37</v>
      </c>
      <c r="AW484" s="34">
        <f t="shared" si="308"/>
        <v>0</v>
      </c>
      <c r="AX484" s="34">
        <f t="shared" si="308"/>
        <v>0</v>
      </c>
      <c r="AY484" s="34">
        <f t="shared" si="308"/>
        <v>0</v>
      </c>
      <c r="AZ484" s="34">
        <f t="shared" si="308"/>
        <v>0</v>
      </c>
      <c r="BA484" s="34">
        <f t="shared" si="308"/>
        <v>0</v>
      </c>
      <c r="BB484" s="34">
        <f t="shared" si="308"/>
        <v>0</v>
      </c>
      <c r="BC484" s="34">
        <f t="shared" si="304"/>
        <v>37</v>
      </c>
      <c r="BD484" s="34">
        <f t="shared" si="293"/>
        <v>122.7</v>
      </c>
      <c r="BE484" s="34">
        <f t="shared" si="293"/>
        <v>0</v>
      </c>
      <c r="BF484" s="34">
        <f t="shared" si="293"/>
        <v>15.6</v>
      </c>
      <c r="BG484" s="34">
        <f t="shared" si="293"/>
        <v>0</v>
      </c>
      <c r="BH484" s="34">
        <f t="shared" si="293"/>
        <v>0</v>
      </c>
      <c r="BI484" s="34">
        <f t="shared" si="295"/>
        <v>0</v>
      </c>
      <c r="BJ484" s="34">
        <f t="shared" si="294"/>
        <v>0</v>
      </c>
      <c r="BK484" s="34">
        <f t="shared" si="294"/>
        <v>138.30000000000001</v>
      </c>
    </row>
    <row r="485" spans="1:63" ht="44.25" customHeight="1" x14ac:dyDescent="0.25">
      <c r="A485" s="298" t="s">
        <v>1450</v>
      </c>
      <c r="B485" s="299" t="s">
        <v>1448</v>
      </c>
      <c r="C485" s="1546" t="s">
        <v>1451</v>
      </c>
      <c r="D485" s="1549" t="s">
        <v>1452</v>
      </c>
      <c r="E485" s="1549" t="s">
        <v>1453</v>
      </c>
      <c r="F485" s="1549">
        <v>2015</v>
      </c>
      <c r="G485" s="1549" t="s">
        <v>177</v>
      </c>
      <c r="H485" s="1549">
        <v>20</v>
      </c>
      <c r="I485" s="1425"/>
      <c r="J485" s="1425"/>
      <c r="K485" s="1425" t="s">
        <v>1454</v>
      </c>
      <c r="L485" s="301" t="s">
        <v>179</v>
      </c>
      <c r="M485" s="1425" t="s">
        <v>902</v>
      </c>
      <c r="N485" s="476"/>
      <c r="O485" s="1425" t="s">
        <v>47</v>
      </c>
      <c r="P485" s="16" t="s">
        <v>1455</v>
      </c>
      <c r="Q485" s="302" t="s">
        <v>1456</v>
      </c>
      <c r="R485" s="351">
        <v>2015</v>
      </c>
      <c r="S485" s="303">
        <v>0</v>
      </c>
      <c r="T485" s="303">
        <v>0</v>
      </c>
      <c r="U485" s="572">
        <v>1</v>
      </c>
      <c r="V485" s="572">
        <v>0</v>
      </c>
      <c r="W485" s="572">
        <v>0</v>
      </c>
      <c r="X485" s="572">
        <f>SUBTOTAL(9,T485:W485)</f>
        <v>1</v>
      </c>
      <c r="Y485" s="481"/>
      <c r="Z485" s="481"/>
      <c r="AA485" s="481"/>
      <c r="AB485" s="481"/>
      <c r="AC485" s="481"/>
      <c r="AD485" s="481"/>
      <c r="AE485" s="481"/>
      <c r="AF485" s="481">
        <f t="shared" si="299"/>
        <v>0</v>
      </c>
      <c r="AG485" s="491">
        <v>1</v>
      </c>
      <c r="AH485" s="548"/>
      <c r="AI485" s="548"/>
      <c r="AJ485" s="548"/>
      <c r="AK485" s="548"/>
      <c r="AL485" s="548"/>
      <c r="AM485" s="548">
        <f>SUM(AG485:AL485)</f>
        <v>1</v>
      </c>
      <c r="AN485" s="481"/>
      <c r="AO485" s="481"/>
      <c r="AP485" s="481"/>
      <c r="AQ485" s="481"/>
      <c r="AR485" s="481"/>
      <c r="AS485" s="481"/>
      <c r="AT485" s="481"/>
      <c r="AU485" s="481">
        <f t="shared" si="302"/>
        <v>0</v>
      </c>
      <c r="AV485" s="548"/>
      <c r="AW485" s="548"/>
      <c r="AX485" s="548"/>
      <c r="AY485" s="548"/>
      <c r="AZ485" s="548"/>
      <c r="BA485" s="548"/>
      <c r="BB485" s="548"/>
      <c r="BC485" s="548">
        <f t="shared" si="304"/>
        <v>0</v>
      </c>
      <c r="BD485" s="42">
        <f t="shared" si="293"/>
        <v>1</v>
      </c>
      <c r="BE485" s="42">
        <f t="shared" si="293"/>
        <v>0</v>
      </c>
      <c r="BF485" s="42">
        <f t="shared" si="293"/>
        <v>0</v>
      </c>
      <c r="BG485" s="42">
        <f t="shared" si="293"/>
        <v>0</v>
      </c>
      <c r="BH485" s="42">
        <f t="shared" si="293"/>
        <v>0</v>
      </c>
      <c r="BI485" s="42">
        <f t="shared" si="295"/>
        <v>0</v>
      </c>
      <c r="BJ485" s="42">
        <f t="shared" si="294"/>
        <v>0</v>
      </c>
      <c r="BK485" s="42">
        <f t="shared" si="294"/>
        <v>1</v>
      </c>
    </row>
    <row r="486" spans="1:63" ht="42.75" customHeight="1" x14ac:dyDescent="0.25">
      <c r="A486" s="298" t="s">
        <v>1450</v>
      </c>
      <c r="B486" s="299" t="s">
        <v>1448</v>
      </c>
      <c r="C486" s="1547"/>
      <c r="D486" s="1549"/>
      <c r="E486" s="1549"/>
      <c r="F486" s="1549"/>
      <c r="G486" s="1549"/>
      <c r="H486" s="1549"/>
      <c r="I486" s="1425" t="s">
        <v>53</v>
      </c>
      <c r="J486" s="1425"/>
      <c r="K486" s="1425" t="s">
        <v>1457</v>
      </c>
      <c r="L486" s="301" t="s">
        <v>179</v>
      </c>
      <c r="M486" s="1425" t="s">
        <v>902</v>
      </c>
      <c r="N486" s="476"/>
      <c r="O486" s="1425" t="s">
        <v>47</v>
      </c>
      <c r="P486" s="16" t="s">
        <v>1458</v>
      </c>
      <c r="Q486" s="302" t="s">
        <v>1459</v>
      </c>
      <c r="R486" s="303">
        <v>2015</v>
      </c>
      <c r="S486" s="303">
        <v>0</v>
      </c>
      <c r="T486" s="303">
        <v>0</v>
      </c>
      <c r="U486" s="572">
        <v>1</v>
      </c>
      <c r="V486" s="572">
        <v>0</v>
      </c>
      <c r="W486" s="572">
        <v>0</v>
      </c>
      <c r="X486" s="572">
        <f>SUBTOTAL(9,T486:W486)</f>
        <v>1</v>
      </c>
      <c r="Y486" s="491"/>
      <c r="Z486" s="481"/>
      <c r="AA486" s="481"/>
      <c r="AB486" s="481"/>
      <c r="AC486" s="481"/>
      <c r="AD486" s="481"/>
      <c r="AE486" s="481"/>
      <c r="AF486" s="481">
        <f t="shared" si="299"/>
        <v>0</v>
      </c>
      <c r="AG486" s="548">
        <v>2</v>
      </c>
      <c r="AH486" s="548"/>
      <c r="AI486" s="548"/>
      <c r="AJ486" s="548"/>
      <c r="AK486" s="548"/>
      <c r="AL486" s="548"/>
      <c r="AM486" s="548">
        <f>SUM(AG486:AL486)</f>
        <v>2</v>
      </c>
      <c r="AN486" s="481"/>
      <c r="AO486" s="481"/>
      <c r="AP486" s="481"/>
      <c r="AQ486" s="481"/>
      <c r="AR486" s="481"/>
      <c r="AS486" s="481"/>
      <c r="AT486" s="481"/>
      <c r="AU486" s="481">
        <f t="shared" si="302"/>
        <v>0</v>
      </c>
      <c r="AV486" s="548"/>
      <c r="AW486" s="548"/>
      <c r="AX486" s="548"/>
      <c r="AY486" s="548"/>
      <c r="AZ486" s="548"/>
      <c r="BA486" s="548"/>
      <c r="BB486" s="548"/>
      <c r="BC486" s="548">
        <f t="shared" si="304"/>
        <v>0</v>
      </c>
      <c r="BD486" s="42">
        <f t="shared" si="293"/>
        <v>2</v>
      </c>
      <c r="BE486" s="42">
        <f t="shared" si="293"/>
        <v>0</v>
      </c>
      <c r="BF486" s="42">
        <f t="shared" si="293"/>
        <v>0</v>
      </c>
      <c r="BG486" s="42">
        <f t="shared" si="293"/>
        <v>0</v>
      </c>
      <c r="BH486" s="42">
        <f t="shared" si="293"/>
        <v>0</v>
      </c>
      <c r="BI486" s="42">
        <f t="shared" si="295"/>
        <v>0</v>
      </c>
      <c r="BJ486" s="42">
        <f t="shared" si="294"/>
        <v>0</v>
      </c>
      <c r="BK486" s="42">
        <f t="shared" si="294"/>
        <v>2</v>
      </c>
    </row>
    <row r="487" spans="1:63" ht="25.5" customHeight="1" x14ac:dyDescent="0.25">
      <c r="A487" s="298" t="s">
        <v>1450</v>
      </c>
      <c r="B487" s="299" t="s">
        <v>1448</v>
      </c>
      <c r="C487" s="1547"/>
      <c r="D487" s="1549"/>
      <c r="E487" s="1549"/>
      <c r="F487" s="1549"/>
      <c r="G487" s="1549"/>
      <c r="H487" s="1549"/>
      <c r="I487" s="1425"/>
      <c r="J487" s="1425"/>
      <c r="K487" s="1425" t="s">
        <v>1460</v>
      </c>
      <c r="L487" s="301" t="s">
        <v>179</v>
      </c>
      <c r="M487" s="1425" t="s">
        <v>902</v>
      </c>
      <c r="N487" s="476"/>
      <c r="O487" s="1425" t="s">
        <v>47</v>
      </c>
      <c r="P487" s="16" t="s">
        <v>1461</v>
      </c>
      <c r="Q487" s="302" t="s">
        <v>1462</v>
      </c>
      <c r="R487" s="351">
        <v>2015</v>
      </c>
      <c r="S487" s="303">
        <v>0</v>
      </c>
      <c r="T487" s="303">
        <v>1</v>
      </c>
      <c r="U487" s="572">
        <v>0</v>
      </c>
      <c r="V487" s="572">
        <v>0</v>
      </c>
      <c r="W487" s="572">
        <v>0</v>
      </c>
      <c r="X487" s="572">
        <v>1</v>
      </c>
      <c r="Y487" s="481">
        <v>2</v>
      </c>
      <c r="Z487" s="481"/>
      <c r="AA487" s="481"/>
      <c r="AB487" s="481"/>
      <c r="AC487" s="481"/>
      <c r="AD487" s="481"/>
      <c r="AE487" s="481"/>
      <c r="AF487" s="481">
        <f t="shared" si="299"/>
        <v>2</v>
      </c>
      <c r="AG487" s="548"/>
      <c r="AH487" s="548"/>
      <c r="AI487" s="548"/>
      <c r="AJ487" s="548"/>
      <c r="AK487" s="548"/>
      <c r="AL487" s="548"/>
      <c r="AM487" s="548"/>
      <c r="AN487" s="481"/>
      <c r="AO487" s="481"/>
      <c r="AP487" s="481"/>
      <c r="AQ487" s="481"/>
      <c r="AR487" s="481"/>
      <c r="AS487" s="481"/>
      <c r="AT487" s="481"/>
      <c r="AU487" s="481"/>
      <c r="AV487" s="548"/>
      <c r="AW487" s="548"/>
      <c r="AX487" s="548"/>
      <c r="AY487" s="548"/>
      <c r="AZ487" s="548"/>
      <c r="BA487" s="548"/>
      <c r="BB487" s="548"/>
      <c r="BC487" s="548"/>
      <c r="BD487" s="42"/>
      <c r="BE487" s="42"/>
      <c r="BF487" s="42"/>
      <c r="BG487" s="42"/>
      <c r="BH487" s="42"/>
      <c r="BI487" s="42">
        <f t="shared" si="295"/>
        <v>0</v>
      </c>
      <c r="BJ487" s="42"/>
      <c r="BK487" s="42"/>
    </row>
    <row r="488" spans="1:63" ht="27.75" customHeight="1" x14ac:dyDescent="0.25">
      <c r="A488" s="298" t="s">
        <v>1450</v>
      </c>
      <c r="B488" s="299" t="s">
        <v>1448</v>
      </c>
      <c r="C488" s="1547"/>
      <c r="D488" s="1549"/>
      <c r="E488" s="1549"/>
      <c r="F488" s="1549"/>
      <c r="G488" s="1549"/>
      <c r="H488" s="1549"/>
      <c r="I488" s="1425"/>
      <c r="J488" s="1425"/>
      <c r="K488" s="1425" t="s">
        <v>1463</v>
      </c>
      <c r="L488" s="301" t="s">
        <v>179</v>
      </c>
      <c r="M488" s="1425" t="s">
        <v>902</v>
      </c>
      <c r="N488" s="476"/>
      <c r="O488" s="1425" t="s">
        <v>73</v>
      </c>
      <c r="P488" s="16" t="s">
        <v>1464</v>
      </c>
      <c r="Q488" s="302" t="s">
        <v>1465</v>
      </c>
      <c r="R488" s="351">
        <v>2015</v>
      </c>
      <c r="S488" s="303">
        <v>0</v>
      </c>
      <c r="T488" s="303">
        <v>3</v>
      </c>
      <c r="U488" s="572">
        <v>3</v>
      </c>
      <c r="V488" s="572">
        <v>3</v>
      </c>
      <c r="W488" s="572">
        <v>3</v>
      </c>
      <c r="X488" s="572">
        <v>3</v>
      </c>
      <c r="Y488" s="481"/>
      <c r="Z488" s="481"/>
      <c r="AA488" s="491">
        <v>5.6</v>
      </c>
      <c r="AB488" s="481"/>
      <c r="AC488" s="481"/>
      <c r="AD488" s="481"/>
      <c r="AE488" s="481"/>
      <c r="AF488" s="481">
        <f t="shared" si="299"/>
        <v>5.6</v>
      </c>
      <c r="AG488" s="491">
        <v>1</v>
      </c>
      <c r="AH488" s="548"/>
      <c r="AI488" s="548"/>
      <c r="AJ488" s="548"/>
      <c r="AK488" s="548"/>
      <c r="AL488" s="548"/>
      <c r="AM488" s="548">
        <f t="shared" ref="AM488:AM499" si="309">SUM(AG488:AL488)</f>
        <v>1</v>
      </c>
      <c r="AN488" s="491">
        <v>5</v>
      </c>
      <c r="AO488" s="481"/>
      <c r="AP488" s="481"/>
      <c r="AQ488" s="481"/>
      <c r="AR488" s="481"/>
      <c r="AS488" s="481"/>
      <c r="AT488" s="481"/>
      <c r="AU488" s="481">
        <f t="shared" si="302"/>
        <v>5</v>
      </c>
      <c r="AV488" s="491">
        <v>7</v>
      </c>
      <c r="AW488" s="548"/>
      <c r="AX488" s="548"/>
      <c r="AY488" s="548"/>
      <c r="AZ488" s="548"/>
      <c r="BA488" s="548"/>
      <c r="BB488" s="548"/>
      <c r="BC488" s="548">
        <f t="shared" si="304"/>
        <v>7</v>
      </c>
      <c r="BD488" s="42">
        <f t="shared" ref="BD488:BH499" si="310">+AV488+AN488+AG488+Y488</f>
        <v>13</v>
      </c>
      <c r="BE488" s="42">
        <f t="shared" si="310"/>
        <v>0</v>
      </c>
      <c r="BF488" s="42">
        <f t="shared" si="310"/>
        <v>5.6</v>
      </c>
      <c r="BG488" s="42">
        <f t="shared" si="310"/>
        <v>0</v>
      </c>
      <c r="BH488" s="42">
        <f t="shared" si="310"/>
        <v>0</v>
      </c>
      <c r="BI488" s="42">
        <f t="shared" si="295"/>
        <v>0</v>
      </c>
      <c r="BJ488" s="42">
        <f t="shared" ref="BJ488:BK499" si="311">+BB488+AT488+AL488+AE488</f>
        <v>0</v>
      </c>
      <c r="BK488" s="42">
        <f t="shared" si="311"/>
        <v>18.600000000000001</v>
      </c>
    </row>
    <row r="489" spans="1:63" ht="22.5" customHeight="1" x14ac:dyDescent="0.25">
      <c r="A489" s="298" t="s">
        <v>1450</v>
      </c>
      <c r="B489" s="299" t="s">
        <v>1448</v>
      </c>
      <c r="C489" s="1547"/>
      <c r="D489" s="1549"/>
      <c r="E489" s="1549"/>
      <c r="F489" s="1549"/>
      <c r="G489" s="1549"/>
      <c r="H489" s="1549"/>
      <c r="I489" s="1425"/>
      <c r="J489" s="1425"/>
      <c r="K489" s="1425" t="s">
        <v>1466</v>
      </c>
      <c r="L489" s="301" t="s">
        <v>179</v>
      </c>
      <c r="M489" s="1425" t="s">
        <v>902</v>
      </c>
      <c r="N489" s="476"/>
      <c r="O489" s="1425" t="s">
        <v>47</v>
      </c>
      <c r="P489" s="16" t="s">
        <v>1467</v>
      </c>
      <c r="Q489" s="302" t="s">
        <v>1468</v>
      </c>
      <c r="R489" s="351">
        <v>2015</v>
      </c>
      <c r="S489" s="303">
        <v>0</v>
      </c>
      <c r="T489" s="303">
        <v>0</v>
      </c>
      <c r="U489" s="572">
        <v>0</v>
      </c>
      <c r="V489" s="572">
        <v>1</v>
      </c>
      <c r="W489" s="572">
        <v>0</v>
      </c>
      <c r="X489" s="572">
        <f>SUBTOTAL(9,T489:W489)</f>
        <v>1</v>
      </c>
      <c r="Y489" s="481"/>
      <c r="Z489" s="481"/>
      <c r="AA489" s="481"/>
      <c r="AB489" s="481"/>
      <c r="AC489" s="481"/>
      <c r="AD489" s="481"/>
      <c r="AE489" s="481"/>
      <c r="AF489" s="481">
        <f t="shared" si="299"/>
        <v>0</v>
      </c>
      <c r="AG489" s="548"/>
      <c r="AH489" s="548"/>
      <c r="AI489" s="548"/>
      <c r="AJ489" s="548"/>
      <c r="AK489" s="548"/>
      <c r="AL489" s="548"/>
      <c r="AM489" s="548">
        <f t="shared" si="309"/>
        <v>0</v>
      </c>
      <c r="AN489" s="481">
        <v>5</v>
      </c>
      <c r="AO489" s="481"/>
      <c r="AP489" s="481"/>
      <c r="AQ489" s="481"/>
      <c r="AR489" s="481"/>
      <c r="AS489" s="481"/>
      <c r="AT489" s="481"/>
      <c r="AU489" s="481">
        <f t="shared" si="302"/>
        <v>5</v>
      </c>
      <c r="AV489" s="491"/>
      <c r="AW489" s="548"/>
      <c r="AX489" s="548"/>
      <c r="AY489" s="548"/>
      <c r="AZ489" s="548"/>
      <c r="BA489" s="548"/>
      <c r="BB489" s="548"/>
      <c r="BC489" s="548">
        <f t="shared" si="304"/>
        <v>0</v>
      </c>
      <c r="BD489" s="42">
        <f t="shared" si="310"/>
        <v>5</v>
      </c>
      <c r="BE489" s="42">
        <f t="shared" si="310"/>
        <v>0</v>
      </c>
      <c r="BF489" s="42">
        <f t="shared" si="310"/>
        <v>0</v>
      </c>
      <c r="BG489" s="42">
        <f t="shared" si="310"/>
        <v>0</v>
      </c>
      <c r="BH489" s="42">
        <f t="shared" si="310"/>
        <v>0</v>
      </c>
      <c r="BI489" s="42">
        <f t="shared" si="295"/>
        <v>0</v>
      </c>
      <c r="BJ489" s="42">
        <f t="shared" si="311"/>
        <v>0</v>
      </c>
      <c r="BK489" s="42">
        <f t="shared" si="311"/>
        <v>5</v>
      </c>
    </row>
    <row r="490" spans="1:63" ht="42" customHeight="1" x14ac:dyDescent="0.25">
      <c r="A490" s="298" t="s">
        <v>1450</v>
      </c>
      <c r="B490" s="299" t="s">
        <v>1448</v>
      </c>
      <c r="C490" s="1547"/>
      <c r="D490" s="1549"/>
      <c r="E490" s="1549"/>
      <c r="F490" s="1549"/>
      <c r="G490" s="1549"/>
      <c r="H490" s="1549"/>
      <c r="I490" s="1425"/>
      <c r="J490" s="1425"/>
      <c r="K490" s="1425" t="s">
        <v>1469</v>
      </c>
      <c r="L490" s="301" t="s">
        <v>179</v>
      </c>
      <c r="M490" s="1425" t="s">
        <v>902</v>
      </c>
      <c r="N490" s="476"/>
      <c r="O490" s="1425" t="s">
        <v>47</v>
      </c>
      <c r="P490" s="16" t="s">
        <v>1470</v>
      </c>
      <c r="Q490" s="302" t="s">
        <v>1471</v>
      </c>
      <c r="R490" s="351">
        <v>2015</v>
      </c>
      <c r="S490" s="303">
        <v>0</v>
      </c>
      <c r="T490" s="303">
        <v>1</v>
      </c>
      <c r="U490" s="572">
        <v>0</v>
      </c>
      <c r="V490" s="572">
        <v>1</v>
      </c>
      <c r="W490" s="572">
        <v>0</v>
      </c>
      <c r="X490" s="572">
        <f>SUBTOTAL(9,T490:W490)</f>
        <v>2</v>
      </c>
      <c r="Y490" s="481"/>
      <c r="Z490" s="481"/>
      <c r="AA490" s="491">
        <v>10</v>
      </c>
      <c r="AB490" s="481"/>
      <c r="AC490" s="481"/>
      <c r="AD490" s="481"/>
      <c r="AE490" s="481"/>
      <c r="AF490" s="481">
        <f t="shared" si="299"/>
        <v>10</v>
      </c>
      <c r="AG490" s="548"/>
      <c r="AH490" s="548"/>
      <c r="AI490" s="548"/>
      <c r="AJ490" s="548"/>
      <c r="AK490" s="548"/>
      <c r="AL490" s="548"/>
      <c r="AM490" s="548">
        <f t="shared" si="309"/>
        <v>0</v>
      </c>
      <c r="AN490" s="481">
        <v>4</v>
      </c>
      <c r="AO490" s="481"/>
      <c r="AP490" s="481"/>
      <c r="AQ490" s="481"/>
      <c r="AR490" s="481"/>
      <c r="AS490" s="481"/>
      <c r="AT490" s="481"/>
      <c r="AU490" s="481">
        <f t="shared" si="302"/>
        <v>4</v>
      </c>
      <c r="AV490" s="548"/>
      <c r="AW490" s="548"/>
      <c r="AX490" s="548"/>
      <c r="AY490" s="548"/>
      <c r="AZ490" s="548"/>
      <c r="BA490" s="548"/>
      <c r="BB490" s="548"/>
      <c r="BC490" s="548">
        <f t="shared" si="304"/>
        <v>0</v>
      </c>
      <c r="BD490" s="42">
        <f t="shared" si="310"/>
        <v>4</v>
      </c>
      <c r="BE490" s="42">
        <f t="shared" si="310"/>
        <v>0</v>
      </c>
      <c r="BF490" s="42">
        <f t="shared" si="310"/>
        <v>10</v>
      </c>
      <c r="BG490" s="42">
        <f t="shared" si="310"/>
        <v>0</v>
      </c>
      <c r="BH490" s="42">
        <f t="shared" si="310"/>
        <v>0</v>
      </c>
      <c r="BI490" s="42">
        <f t="shared" si="295"/>
        <v>0</v>
      </c>
      <c r="BJ490" s="42">
        <f t="shared" si="311"/>
        <v>0</v>
      </c>
      <c r="BK490" s="42">
        <f t="shared" si="311"/>
        <v>14</v>
      </c>
    </row>
    <row r="491" spans="1:63" ht="28.5" customHeight="1" x14ac:dyDescent="0.25">
      <c r="A491" s="298" t="s">
        <v>1450</v>
      </c>
      <c r="B491" s="299" t="s">
        <v>1448</v>
      </c>
      <c r="C491" s="1548"/>
      <c r="D491" s="1549"/>
      <c r="E491" s="1549"/>
      <c r="F491" s="1549"/>
      <c r="G491" s="1549"/>
      <c r="H491" s="1549"/>
      <c r="I491" s="1425"/>
      <c r="J491" s="1425"/>
      <c r="K491" s="1425" t="s">
        <v>1472</v>
      </c>
      <c r="L491" s="301" t="s">
        <v>179</v>
      </c>
      <c r="M491" s="1425" t="s">
        <v>902</v>
      </c>
      <c r="N491" s="476"/>
      <c r="O491" s="1425" t="s">
        <v>47</v>
      </c>
      <c r="P491" s="16" t="s">
        <v>1473</v>
      </c>
      <c r="Q491" s="302" t="s">
        <v>1474</v>
      </c>
      <c r="R491" s="351">
        <v>2015</v>
      </c>
      <c r="S491" s="303">
        <v>0</v>
      </c>
      <c r="T491" s="303">
        <v>1</v>
      </c>
      <c r="U491" s="572">
        <v>1</v>
      </c>
      <c r="V491" s="572">
        <v>1</v>
      </c>
      <c r="W491" s="572">
        <v>1</v>
      </c>
      <c r="X491" s="572">
        <f>SUBTOTAL(9,T491:W491)</f>
        <v>4</v>
      </c>
      <c r="Y491" s="481">
        <v>23.7</v>
      </c>
      <c r="Z491" s="481"/>
      <c r="AA491" s="481"/>
      <c r="AB491" s="481"/>
      <c r="AC491" s="481"/>
      <c r="AD491" s="481"/>
      <c r="AE491" s="481"/>
      <c r="AF491" s="481">
        <f t="shared" si="299"/>
        <v>23.7</v>
      </c>
      <c r="AG491" s="491">
        <v>22</v>
      </c>
      <c r="AH491" s="548"/>
      <c r="AI491" s="548"/>
      <c r="AJ491" s="548"/>
      <c r="AK491" s="548"/>
      <c r="AL491" s="548"/>
      <c r="AM491" s="548">
        <f t="shared" si="309"/>
        <v>22</v>
      </c>
      <c r="AN491" s="491">
        <v>20</v>
      </c>
      <c r="AO491" s="481"/>
      <c r="AP491" s="481"/>
      <c r="AQ491" s="481"/>
      <c r="AR491" s="481"/>
      <c r="AS491" s="481"/>
      <c r="AT491" s="481"/>
      <c r="AU491" s="481">
        <f t="shared" si="302"/>
        <v>20</v>
      </c>
      <c r="AV491" s="491">
        <v>30</v>
      </c>
      <c r="AW491" s="548"/>
      <c r="AX491" s="548"/>
      <c r="AY491" s="548"/>
      <c r="AZ491" s="548"/>
      <c r="BA491" s="548"/>
      <c r="BB491" s="548"/>
      <c r="BC491" s="548">
        <f t="shared" si="304"/>
        <v>30</v>
      </c>
      <c r="BD491" s="42">
        <f t="shared" si="310"/>
        <v>95.7</v>
      </c>
      <c r="BE491" s="42">
        <f t="shared" si="310"/>
        <v>0</v>
      </c>
      <c r="BF491" s="42">
        <f t="shared" si="310"/>
        <v>0</v>
      </c>
      <c r="BG491" s="42">
        <f t="shared" si="310"/>
        <v>0</v>
      </c>
      <c r="BH491" s="42">
        <f t="shared" si="310"/>
        <v>0</v>
      </c>
      <c r="BI491" s="42">
        <f t="shared" si="295"/>
        <v>0</v>
      </c>
      <c r="BJ491" s="42">
        <f t="shared" si="311"/>
        <v>0</v>
      </c>
      <c r="BK491" s="42">
        <f t="shared" si="311"/>
        <v>95.7</v>
      </c>
    </row>
    <row r="492" spans="1:63" ht="39.6" x14ac:dyDescent="0.25">
      <c r="A492" s="295" t="s">
        <v>1450</v>
      </c>
      <c r="B492" s="24" t="s">
        <v>1448</v>
      </c>
      <c r="C492" s="6"/>
      <c r="D492" s="2" t="s">
        <v>1475</v>
      </c>
      <c r="E492" s="1"/>
      <c r="F492" s="1"/>
      <c r="G492" s="1"/>
      <c r="H492" s="1"/>
      <c r="I492" s="1"/>
      <c r="J492" s="1"/>
      <c r="K492" s="1"/>
      <c r="L492" s="1"/>
      <c r="M492" s="1"/>
      <c r="N492" s="1"/>
      <c r="O492" s="1"/>
      <c r="P492" s="22"/>
      <c r="Q492" s="22"/>
      <c r="R492" s="1"/>
      <c r="S492" s="1"/>
      <c r="T492" s="1"/>
      <c r="U492" s="49"/>
      <c r="V492" s="49"/>
      <c r="W492" s="49"/>
      <c r="X492" s="49"/>
      <c r="Y492" s="34">
        <f t="shared" ref="Y492:AE492" si="312">SUM(Y493:Y499)</f>
        <v>150</v>
      </c>
      <c r="Z492" s="34">
        <f t="shared" si="312"/>
        <v>0</v>
      </c>
      <c r="AA492" s="34">
        <f t="shared" si="312"/>
        <v>0</v>
      </c>
      <c r="AB492" s="34">
        <f t="shared" si="312"/>
        <v>0</v>
      </c>
      <c r="AC492" s="34">
        <f t="shared" si="312"/>
        <v>0</v>
      </c>
      <c r="AD492" s="34">
        <f t="shared" si="312"/>
        <v>14.8</v>
      </c>
      <c r="AE492" s="34">
        <f t="shared" si="312"/>
        <v>0</v>
      </c>
      <c r="AF492" s="34">
        <f t="shared" si="299"/>
        <v>164.8</v>
      </c>
      <c r="AG492" s="34">
        <f t="shared" ref="AG492:AL492" si="313">SUM(AG493:AG499)</f>
        <v>156</v>
      </c>
      <c r="AH492" s="34">
        <f t="shared" si="313"/>
        <v>0</v>
      </c>
      <c r="AI492" s="34">
        <f t="shared" si="313"/>
        <v>38</v>
      </c>
      <c r="AJ492" s="34">
        <f t="shared" si="313"/>
        <v>0</v>
      </c>
      <c r="AK492" s="34">
        <f t="shared" si="313"/>
        <v>0</v>
      </c>
      <c r="AL492" s="34">
        <f t="shared" si="313"/>
        <v>0</v>
      </c>
      <c r="AM492" s="34">
        <f t="shared" si="309"/>
        <v>194</v>
      </c>
      <c r="AN492" s="34">
        <f t="shared" ref="AN492:AT492" si="314">SUM(AN493:AN499)</f>
        <v>156</v>
      </c>
      <c r="AO492" s="34">
        <f t="shared" si="314"/>
        <v>0</v>
      </c>
      <c r="AP492" s="34">
        <f t="shared" si="314"/>
        <v>16.8</v>
      </c>
      <c r="AQ492" s="34">
        <f t="shared" si="314"/>
        <v>0</v>
      </c>
      <c r="AR492" s="34">
        <f t="shared" si="314"/>
        <v>0</v>
      </c>
      <c r="AS492" s="34">
        <f t="shared" si="314"/>
        <v>0</v>
      </c>
      <c r="AT492" s="34">
        <f t="shared" si="314"/>
        <v>0</v>
      </c>
      <c r="AU492" s="34">
        <f t="shared" si="302"/>
        <v>172.8</v>
      </c>
      <c r="AV492" s="34">
        <f t="shared" ref="AV492:BA492" si="315">SUM(AV493:AV499)</f>
        <v>160</v>
      </c>
      <c r="AW492" s="34">
        <f t="shared" si="315"/>
        <v>0</v>
      </c>
      <c r="AX492" s="34">
        <f t="shared" si="315"/>
        <v>17</v>
      </c>
      <c r="AY492" s="34">
        <f t="shared" si="315"/>
        <v>0</v>
      </c>
      <c r="AZ492" s="34">
        <f t="shared" si="315"/>
        <v>0</v>
      </c>
      <c r="BA492" s="34">
        <f t="shared" si="315"/>
        <v>0</v>
      </c>
      <c r="BB492" s="34">
        <f>SUM(BB493:BB499)</f>
        <v>0</v>
      </c>
      <c r="BC492" s="34">
        <f t="shared" si="304"/>
        <v>177</v>
      </c>
      <c r="BD492" s="34">
        <f t="shared" si="310"/>
        <v>622</v>
      </c>
      <c r="BE492" s="34">
        <f t="shared" si="310"/>
        <v>0</v>
      </c>
      <c r="BF492" s="34">
        <f t="shared" si="310"/>
        <v>71.8</v>
      </c>
      <c r="BG492" s="34">
        <f t="shared" si="310"/>
        <v>0</v>
      </c>
      <c r="BH492" s="34">
        <f t="shared" si="310"/>
        <v>0</v>
      </c>
      <c r="BI492" s="34">
        <f t="shared" si="295"/>
        <v>14.8</v>
      </c>
      <c r="BJ492" s="34">
        <f t="shared" si="311"/>
        <v>0</v>
      </c>
      <c r="BK492" s="34">
        <f t="shared" si="311"/>
        <v>708.59999999999991</v>
      </c>
    </row>
    <row r="493" spans="1:63" ht="42" customHeight="1" x14ac:dyDescent="0.25">
      <c r="A493" s="298" t="s">
        <v>1450</v>
      </c>
      <c r="B493" s="299" t="s">
        <v>1448</v>
      </c>
      <c r="C493" s="1546" t="s">
        <v>1476</v>
      </c>
      <c r="D493" s="1549" t="s">
        <v>1477</v>
      </c>
      <c r="E493" s="1549" t="s">
        <v>1478</v>
      </c>
      <c r="F493" s="1549">
        <v>2015</v>
      </c>
      <c r="G493" s="1549">
        <v>100</v>
      </c>
      <c r="H493" s="1549">
        <v>100</v>
      </c>
      <c r="I493" s="1425"/>
      <c r="J493" s="1425"/>
      <c r="K493" s="1425" t="s">
        <v>1479</v>
      </c>
      <c r="L493" s="301" t="s">
        <v>179</v>
      </c>
      <c r="M493" s="1425" t="s">
        <v>902</v>
      </c>
      <c r="N493" s="476"/>
      <c r="O493" s="1425" t="s">
        <v>47</v>
      </c>
      <c r="P493" s="16" t="s">
        <v>1480</v>
      </c>
      <c r="Q493" s="302" t="s">
        <v>1481</v>
      </c>
      <c r="R493" s="303">
        <v>2015</v>
      </c>
      <c r="S493" s="303">
        <v>1</v>
      </c>
      <c r="T493" s="303">
        <v>1</v>
      </c>
      <c r="U493" s="572">
        <v>1</v>
      </c>
      <c r="V493" s="572">
        <v>1</v>
      </c>
      <c r="W493" s="572">
        <v>1</v>
      </c>
      <c r="X493" s="572">
        <v>4</v>
      </c>
      <c r="Y493" s="491">
        <v>141</v>
      </c>
      <c r="Z493" s="481"/>
      <c r="AA493" s="481"/>
      <c r="AB493" s="481"/>
      <c r="AC493" s="481"/>
      <c r="AD493" s="481">
        <v>14.8</v>
      </c>
      <c r="AE493" s="481"/>
      <c r="AF493" s="481">
        <f t="shared" si="299"/>
        <v>155.80000000000001</v>
      </c>
      <c r="AG493" s="491">
        <v>140</v>
      </c>
      <c r="AH493" s="548"/>
      <c r="AI493" s="548"/>
      <c r="AJ493" s="548"/>
      <c r="AK493" s="548"/>
      <c r="AL493" s="548"/>
      <c r="AM493" s="594">
        <f t="shared" si="309"/>
        <v>140</v>
      </c>
      <c r="AN493" s="491">
        <v>146</v>
      </c>
      <c r="AO493" s="481"/>
      <c r="AP493" s="481"/>
      <c r="AQ493" s="481"/>
      <c r="AR493" s="481"/>
      <c r="AS493" s="481"/>
      <c r="AT493" s="481"/>
      <c r="AU493" s="481">
        <f t="shared" si="302"/>
        <v>146</v>
      </c>
      <c r="AV493" s="548">
        <v>155</v>
      </c>
      <c r="AW493" s="548"/>
      <c r="AX493" s="548"/>
      <c r="AY493" s="548"/>
      <c r="AZ493" s="548"/>
      <c r="BA493" s="548"/>
      <c r="BB493" s="548"/>
      <c r="BC493" s="548">
        <f t="shared" si="304"/>
        <v>155</v>
      </c>
      <c r="BD493" s="42">
        <f t="shared" si="310"/>
        <v>582</v>
      </c>
      <c r="BE493" s="42">
        <f t="shared" si="310"/>
        <v>0</v>
      </c>
      <c r="BF493" s="42">
        <f t="shared" si="310"/>
        <v>0</v>
      </c>
      <c r="BG493" s="42">
        <f t="shared" si="310"/>
        <v>0</v>
      </c>
      <c r="BH493" s="42">
        <f t="shared" si="310"/>
        <v>0</v>
      </c>
      <c r="BI493" s="42">
        <f t="shared" si="295"/>
        <v>14.8</v>
      </c>
      <c r="BJ493" s="42">
        <f t="shared" si="311"/>
        <v>0</v>
      </c>
      <c r="BK493" s="42">
        <f t="shared" si="311"/>
        <v>596.79999999999995</v>
      </c>
    </row>
    <row r="494" spans="1:63" ht="45" customHeight="1" x14ac:dyDescent="0.25">
      <c r="A494" s="298" t="s">
        <v>1450</v>
      </c>
      <c r="B494" s="299" t="s">
        <v>1448</v>
      </c>
      <c r="C494" s="1547"/>
      <c r="D494" s="1549"/>
      <c r="E494" s="1549"/>
      <c r="F494" s="1549"/>
      <c r="G494" s="1549"/>
      <c r="H494" s="1549"/>
      <c r="I494" s="1425"/>
      <c r="J494" s="1425"/>
      <c r="K494" s="1425" t="s">
        <v>1482</v>
      </c>
      <c r="L494" s="301" t="s">
        <v>179</v>
      </c>
      <c r="M494" s="1425" t="s">
        <v>902</v>
      </c>
      <c r="N494" s="476"/>
      <c r="O494" s="1425" t="s">
        <v>73</v>
      </c>
      <c r="P494" s="16" t="s">
        <v>1483</v>
      </c>
      <c r="Q494" s="302" t="s">
        <v>936</v>
      </c>
      <c r="R494" s="303">
        <v>2015</v>
      </c>
      <c r="S494" s="303">
        <v>0</v>
      </c>
      <c r="T494" s="303">
        <v>1</v>
      </c>
      <c r="U494" s="572">
        <v>1</v>
      </c>
      <c r="V494" s="572">
        <v>1</v>
      </c>
      <c r="W494" s="572">
        <v>1</v>
      </c>
      <c r="X494" s="572">
        <v>1</v>
      </c>
      <c r="Y494" s="491">
        <v>1</v>
      </c>
      <c r="Z494" s="481"/>
      <c r="AA494" s="481"/>
      <c r="AB494" s="481"/>
      <c r="AC494" s="481"/>
      <c r="AD494" s="481"/>
      <c r="AE494" s="481"/>
      <c r="AF494" s="481">
        <f t="shared" si="299"/>
        <v>1</v>
      </c>
      <c r="AG494" s="491">
        <v>1</v>
      </c>
      <c r="AH494" s="548"/>
      <c r="AI494" s="548"/>
      <c r="AJ494" s="548"/>
      <c r="AK494" s="548"/>
      <c r="AL494" s="548"/>
      <c r="AM494" s="594">
        <f t="shared" si="309"/>
        <v>1</v>
      </c>
      <c r="AN494" s="491">
        <v>1</v>
      </c>
      <c r="AO494" s="481"/>
      <c r="AP494" s="481"/>
      <c r="AQ494" s="481"/>
      <c r="AR494" s="481"/>
      <c r="AS494" s="481"/>
      <c r="AT494" s="481"/>
      <c r="AU494" s="481">
        <f t="shared" si="302"/>
        <v>1</v>
      </c>
      <c r="AV494" s="491">
        <v>0.5</v>
      </c>
      <c r="AW494" s="548"/>
      <c r="AX494" s="548"/>
      <c r="AY494" s="548"/>
      <c r="AZ494" s="548"/>
      <c r="BA494" s="548"/>
      <c r="BB494" s="548"/>
      <c r="BC494" s="548">
        <f t="shared" si="304"/>
        <v>0.5</v>
      </c>
      <c r="BD494" s="42">
        <f t="shared" si="310"/>
        <v>3.5</v>
      </c>
      <c r="BE494" s="42">
        <f t="shared" si="310"/>
        <v>0</v>
      </c>
      <c r="BF494" s="42">
        <f t="shared" si="310"/>
        <v>0</v>
      </c>
      <c r="BG494" s="42">
        <f t="shared" si="310"/>
        <v>0</v>
      </c>
      <c r="BH494" s="42">
        <f t="shared" si="310"/>
        <v>0</v>
      </c>
      <c r="BI494" s="42">
        <f t="shared" si="295"/>
        <v>0</v>
      </c>
      <c r="BJ494" s="42">
        <f t="shared" si="311"/>
        <v>0</v>
      </c>
      <c r="BK494" s="42">
        <f t="shared" si="311"/>
        <v>3.5</v>
      </c>
    </row>
    <row r="495" spans="1:63" ht="48" customHeight="1" x14ac:dyDescent="0.25">
      <c r="A495" s="298" t="s">
        <v>1450</v>
      </c>
      <c r="B495" s="299" t="s">
        <v>1448</v>
      </c>
      <c r="C495" s="1547"/>
      <c r="D495" s="1549"/>
      <c r="E495" s="1549"/>
      <c r="F495" s="1549"/>
      <c r="G495" s="1549"/>
      <c r="H495" s="1549"/>
      <c r="I495" s="1425"/>
      <c r="J495" s="1425"/>
      <c r="K495" s="1425" t="s">
        <v>1484</v>
      </c>
      <c r="L495" s="301" t="s">
        <v>179</v>
      </c>
      <c r="M495" s="1425" t="s">
        <v>902</v>
      </c>
      <c r="N495" s="476"/>
      <c r="O495" s="1425" t="s">
        <v>47</v>
      </c>
      <c r="P495" s="16" t="s">
        <v>1486</v>
      </c>
      <c r="Q495" s="302" t="s">
        <v>1487</v>
      </c>
      <c r="R495" s="303">
        <v>2015</v>
      </c>
      <c r="S495" s="303">
        <v>0</v>
      </c>
      <c r="T495" s="303">
        <v>1</v>
      </c>
      <c r="U495" s="572">
        <v>1</v>
      </c>
      <c r="V495" s="572">
        <v>1</v>
      </c>
      <c r="W495" s="572">
        <v>1</v>
      </c>
      <c r="X495" s="572">
        <v>4</v>
      </c>
      <c r="Y495" s="491">
        <v>1</v>
      </c>
      <c r="Z495" s="481"/>
      <c r="AA495" s="481"/>
      <c r="AB495" s="481"/>
      <c r="AC495" s="481"/>
      <c r="AD495" s="481"/>
      <c r="AE495" s="481"/>
      <c r="AF495" s="481">
        <f t="shared" si="299"/>
        <v>1</v>
      </c>
      <c r="AG495" s="491">
        <v>1</v>
      </c>
      <c r="AH495" s="548"/>
      <c r="AI495" s="548">
        <v>16</v>
      </c>
      <c r="AJ495" s="548"/>
      <c r="AK495" s="548"/>
      <c r="AL495" s="548"/>
      <c r="AM495" s="594">
        <f t="shared" si="309"/>
        <v>17</v>
      </c>
      <c r="AN495" s="481"/>
      <c r="AO495" s="481"/>
      <c r="AP495" s="481">
        <v>16.8</v>
      </c>
      <c r="AQ495" s="481"/>
      <c r="AR495" s="481"/>
      <c r="AS495" s="481"/>
      <c r="AT495" s="481"/>
      <c r="AU495" s="481">
        <f t="shared" si="302"/>
        <v>16.8</v>
      </c>
      <c r="AV495" s="491">
        <v>0.5</v>
      </c>
      <c r="AW495" s="548"/>
      <c r="AX495" s="548">
        <v>17</v>
      </c>
      <c r="AY495" s="548"/>
      <c r="AZ495" s="548"/>
      <c r="BA495" s="548"/>
      <c r="BB495" s="548"/>
      <c r="BC495" s="548">
        <f t="shared" si="304"/>
        <v>17.5</v>
      </c>
      <c r="BD495" s="42">
        <f t="shared" si="310"/>
        <v>2.5</v>
      </c>
      <c r="BE495" s="42">
        <f t="shared" si="310"/>
        <v>0</v>
      </c>
      <c r="BF495" s="42">
        <f t="shared" si="310"/>
        <v>49.8</v>
      </c>
      <c r="BG495" s="42">
        <f t="shared" si="310"/>
        <v>0</v>
      </c>
      <c r="BH495" s="42">
        <f t="shared" si="310"/>
        <v>0</v>
      </c>
      <c r="BI495" s="42">
        <f t="shared" si="295"/>
        <v>0</v>
      </c>
      <c r="BJ495" s="42">
        <f t="shared" si="311"/>
        <v>0</v>
      </c>
      <c r="BK495" s="42">
        <f t="shared" si="311"/>
        <v>52.3</v>
      </c>
    </row>
    <row r="496" spans="1:63" customFormat="1" ht="28.5" customHeight="1" x14ac:dyDescent="0.3">
      <c r="A496" s="298" t="s">
        <v>1450</v>
      </c>
      <c r="B496" s="299" t="s">
        <v>1448</v>
      </c>
      <c r="C496" s="1547"/>
      <c r="D496" s="1549"/>
      <c r="E496" s="1549"/>
      <c r="F496" s="1549"/>
      <c r="G496" s="1549"/>
      <c r="H496" s="1549"/>
      <c r="I496" s="1425"/>
      <c r="J496" s="1425"/>
      <c r="K496" s="1425" t="s">
        <v>1488</v>
      </c>
      <c r="L496" s="301" t="s">
        <v>179</v>
      </c>
      <c r="M496" s="1425" t="s">
        <v>902</v>
      </c>
      <c r="N496" s="476"/>
      <c r="O496" s="1425" t="s">
        <v>47</v>
      </c>
      <c r="P496" s="16" t="s">
        <v>1489</v>
      </c>
      <c r="Q496" s="302" t="s">
        <v>1490</v>
      </c>
      <c r="R496" s="303">
        <v>2015</v>
      </c>
      <c r="S496" s="303">
        <v>1</v>
      </c>
      <c r="T496" s="303">
        <v>0</v>
      </c>
      <c r="U496" s="572">
        <v>1</v>
      </c>
      <c r="V496" s="572">
        <v>1</v>
      </c>
      <c r="W496" s="572">
        <v>1</v>
      </c>
      <c r="X496" s="572">
        <v>3</v>
      </c>
      <c r="Y496" s="585"/>
      <c r="Z496" s="585"/>
      <c r="AA496" s="586"/>
      <c r="AB496" s="586"/>
      <c r="AC496" s="1429"/>
      <c r="AD496" s="586"/>
      <c r="AE496" s="481"/>
      <c r="AF496" s="481"/>
      <c r="AG496" s="491">
        <v>1</v>
      </c>
      <c r="AH496" s="548"/>
      <c r="AI496" s="548"/>
      <c r="AJ496" s="548"/>
      <c r="AK496" s="548"/>
      <c r="AL496" s="548"/>
      <c r="AM496" s="711">
        <f>SUM(AG496:AL496)</f>
        <v>1</v>
      </c>
      <c r="AN496" s="491">
        <v>2</v>
      </c>
      <c r="AO496" s="595"/>
      <c r="AP496" s="595"/>
      <c r="AQ496" s="595"/>
      <c r="AR496" s="595"/>
      <c r="AS496" s="595"/>
      <c r="AT496" s="595"/>
      <c r="AU496" s="712">
        <f>SUM(AN496:AT496)</f>
        <v>2</v>
      </c>
      <c r="AV496" s="499">
        <v>0.5</v>
      </c>
      <c r="AW496" s="547"/>
      <c r="AX496" s="547"/>
      <c r="AY496" s="547"/>
      <c r="AZ496" s="547"/>
      <c r="BA496" s="547"/>
      <c r="BB496" s="547"/>
      <c r="BC496" s="547">
        <f>SUM(AV496:BB496)</f>
        <v>0.5</v>
      </c>
      <c r="BD496" s="89"/>
      <c r="BE496" s="89"/>
      <c r="BF496" s="89"/>
    </row>
    <row r="497" spans="1:63" ht="27.75" customHeight="1" x14ac:dyDescent="0.25">
      <c r="A497" s="298" t="s">
        <v>1450</v>
      </c>
      <c r="B497" s="299" t="s">
        <v>1448</v>
      </c>
      <c r="C497" s="1547"/>
      <c r="D497" s="1549"/>
      <c r="E497" s="1549"/>
      <c r="F497" s="1549"/>
      <c r="G497" s="1549"/>
      <c r="H497" s="1549"/>
      <c r="I497" s="1425" t="s">
        <v>53</v>
      </c>
      <c r="J497" s="1425"/>
      <c r="K497" s="1425" t="s">
        <v>1488</v>
      </c>
      <c r="L497" s="301" t="s">
        <v>179</v>
      </c>
      <c r="M497" s="1425" t="s">
        <v>902</v>
      </c>
      <c r="N497" s="476"/>
      <c r="O497" s="1425" t="s">
        <v>47</v>
      </c>
      <c r="P497" s="16" t="s">
        <v>1492</v>
      </c>
      <c r="Q497" s="302" t="s">
        <v>1493</v>
      </c>
      <c r="R497" s="303">
        <v>2015</v>
      </c>
      <c r="S497" s="303">
        <v>1</v>
      </c>
      <c r="T497" s="303">
        <v>1</v>
      </c>
      <c r="U497" s="572">
        <v>1</v>
      </c>
      <c r="V497" s="572">
        <v>0</v>
      </c>
      <c r="W497" s="572">
        <v>1</v>
      </c>
      <c r="X497" s="572">
        <v>3</v>
      </c>
      <c r="Y497" s="491">
        <v>1</v>
      </c>
      <c r="Z497" s="481"/>
      <c r="AA497" s="481"/>
      <c r="AB497" s="481"/>
      <c r="AC497" s="481"/>
      <c r="AD497" s="481"/>
      <c r="AE497" s="481"/>
      <c r="AF497" s="481">
        <f t="shared" si="299"/>
        <v>1</v>
      </c>
      <c r="AG497" s="491">
        <v>6</v>
      </c>
      <c r="AH497" s="548"/>
      <c r="AI497" s="716">
        <v>22</v>
      </c>
      <c r="AJ497" s="548"/>
      <c r="AK497" s="548"/>
      <c r="AL497" s="548"/>
      <c r="AM497" s="594">
        <f t="shared" si="309"/>
        <v>28</v>
      </c>
      <c r="AN497" s="481"/>
      <c r="AO497" s="481"/>
      <c r="AP497" s="481"/>
      <c r="AQ497" s="481"/>
      <c r="AR497" s="481"/>
      <c r="AS497" s="481"/>
      <c r="AT497" s="481"/>
      <c r="AU497" s="481">
        <f t="shared" si="302"/>
        <v>0</v>
      </c>
      <c r="AV497" s="491">
        <v>0.5</v>
      </c>
      <c r="AW497" s="548"/>
      <c r="AX497" s="548"/>
      <c r="AY497" s="548"/>
      <c r="AZ497" s="548"/>
      <c r="BA497" s="548"/>
      <c r="BB497" s="548"/>
      <c r="BC497" s="548">
        <f t="shared" si="304"/>
        <v>0.5</v>
      </c>
      <c r="BD497" s="42">
        <f t="shared" si="310"/>
        <v>7.5</v>
      </c>
      <c r="BE497" s="42">
        <f t="shared" si="310"/>
        <v>0</v>
      </c>
      <c r="BF497" s="42">
        <f t="shared" si="310"/>
        <v>22</v>
      </c>
      <c r="BG497" s="42">
        <f t="shared" si="310"/>
        <v>0</v>
      </c>
      <c r="BH497" s="42">
        <f t="shared" si="310"/>
        <v>0</v>
      </c>
      <c r="BI497" s="42">
        <f t="shared" si="295"/>
        <v>0</v>
      </c>
      <c r="BJ497" s="42">
        <f t="shared" si="311"/>
        <v>0</v>
      </c>
      <c r="BK497" s="42">
        <f t="shared" si="311"/>
        <v>29.5</v>
      </c>
    </row>
    <row r="498" spans="1:63" ht="41.25" customHeight="1" x14ac:dyDescent="0.25">
      <c r="A498" s="298" t="s">
        <v>1450</v>
      </c>
      <c r="B498" s="299" t="s">
        <v>1448</v>
      </c>
      <c r="C498" s="1547"/>
      <c r="D498" s="1549"/>
      <c r="E498" s="1549"/>
      <c r="F498" s="1549"/>
      <c r="G498" s="1549"/>
      <c r="H498" s="1549"/>
      <c r="I498" s="1425"/>
      <c r="J498" s="1425"/>
      <c r="K498" s="1425" t="s">
        <v>1494</v>
      </c>
      <c r="L498" s="301" t="s">
        <v>179</v>
      </c>
      <c r="M498" s="1425" t="s">
        <v>902</v>
      </c>
      <c r="N498" s="476"/>
      <c r="O498" s="1425" t="s">
        <v>47</v>
      </c>
      <c r="P498" s="16" t="s">
        <v>1495</v>
      </c>
      <c r="Q498" s="302" t="s">
        <v>1496</v>
      </c>
      <c r="R498" s="303">
        <v>2015</v>
      </c>
      <c r="S498" s="303">
        <v>0</v>
      </c>
      <c r="T498" s="303">
        <v>1</v>
      </c>
      <c r="U498" s="572">
        <v>1</v>
      </c>
      <c r="V498" s="572">
        <v>1</v>
      </c>
      <c r="W498" s="572">
        <v>1</v>
      </c>
      <c r="X498" s="572">
        <v>1</v>
      </c>
      <c r="Y498" s="491">
        <v>1</v>
      </c>
      <c r="Z498" s="481"/>
      <c r="AA498" s="481"/>
      <c r="AB498" s="481"/>
      <c r="AC498" s="481"/>
      <c r="AD498" s="481"/>
      <c r="AE498" s="481"/>
      <c r="AF498" s="481">
        <f t="shared" si="299"/>
        <v>1</v>
      </c>
      <c r="AG498" s="491">
        <v>1</v>
      </c>
      <c r="AH498" s="548"/>
      <c r="AI498" s="548"/>
      <c r="AJ498" s="548"/>
      <c r="AK498" s="548"/>
      <c r="AL498" s="548"/>
      <c r="AM498" s="594">
        <f t="shared" si="309"/>
        <v>1</v>
      </c>
      <c r="AN498" s="491">
        <v>1</v>
      </c>
      <c r="AO498" s="481"/>
      <c r="AP498" s="481"/>
      <c r="AQ498" s="481"/>
      <c r="AR498" s="481"/>
      <c r="AS498" s="481"/>
      <c r="AT498" s="481"/>
      <c r="AU498" s="481">
        <f t="shared" si="302"/>
        <v>1</v>
      </c>
      <c r="AV498" s="491">
        <v>0.5</v>
      </c>
      <c r="AW498" s="548"/>
      <c r="AX498" s="548"/>
      <c r="AY498" s="548"/>
      <c r="AZ498" s="548"/>
      <c r="BA498" s="548"/>
      <c r="BB498" s="548"/>
      <c r="BC498" s="548">
        <f t="shared" si="304"/>
        <v>0.5</v>
      </c>
      <c r="BD498" s="42">
        <f t="shared" si="310"/>
        <v>3.5</v>
      </c>
      <c r="BE498" s="42">
        <f t="shared" si="310"/>
        <v>0</v>
      </c>
      <c r="BF498" s="42">
        <f t="shared" si="310"/>
        <v>0</v>
      </c>
      <c r="BG498" s="42">
        <f t="shared" si="310"/>
        <v>0</v>
      </c>
      <c r="BH498" s="42">
        <f t="shared" si="310"/>
        <v>0</v>
      </c>
      <c r="BI498" s="42">
        <f t="shared" si="295"/>
        <v>0</v>
      </c>
      <c r="BJ498" s="42">
        <f t="shared" si="311"/>
        <v>0</v>
      </c>
      <c r="BK498" s="42">
        <f t="shared" si="311"/>
        <v>3.5</v>
      </c>
    </row>
    <row r="499" spans="1:63" ht="42" customHeight="1" x14ac:dyDescent="0.25">
      <c r="A499" s="298" t="s">
        <v>1450</v>
      </c>
      <c r="B499" s="299" t="s">
        <v>1448</v>
      </c>
      <c r="C499" s="1548"/>
      <c r="D499" s="1549"/>
      <c r="E499" s="1549"/>
      <c r="F499" s="1549"/>
      <c r="G499" s="1549"/>
      <c r="H499" s="1549"/>
      <c r="I499" s="1425"/>
      <c r="J499" s="1425"/>
      <c r="K499" s="1425" t="s">
        <v>1497</v>
      </c>
      <c r="L499" s="301" t="s">
        <v>179</v>
      </c>
      <c r="M499" s="1425" t="s">
        <v>902</v>
      </c>
      <c r="N499" s="476"/>
      <c r="O499" s="1425" t="s">
        <v>47</v>
      </c>
      <c r="P499" s="16" t="s">
        <v>1498</v>
      </c>
      <c r="Q499" s="302" t="s">
        <v>1499</v>
      </c>
      <c r="R499" s="303">
        <v>2015</v>
      </c>
      <c r="S499" s="303">
        <v>0</v>
      </c>
      <c r="T499" s="303">
        <v>1</v>
      </c>
      <c r="U499" s="572">
        <v>1</v>
      </c>
      <c r="V499" s="572">
        <v>1</v>
      </c>
      <c r="W499" s="572">
        <v>1</v>
      </c>
      <c r="X499" s="572">
        <v>4</v>
      </c>
      <c r="Y499" s="481">
        <v>5</v>
      </c>
      <c r="Z499" s="481"/>
      <c r="AA499" s="481"/>
      <c r="AB499" s="481"/>
      <c r="AC499" s="481"/>
      <c r="AD499" s="481"/>
      <c r="AE499" s="481"/>
      <c r="AF499" s="481">
        <f t="shared" si="299"/>
        <v>5</v>
      </c>
      <c r="AG499" s="548">
        <v>6</v>
      </c>
      <c r="AH499" s="548"/>
      <c r="AI499" s="548"/>
      <c r="AJ499" s="548"/>
      <c r="AK499" s="548"/>
      <c r="AL499" s="548"/>
      <c r="AM499" s="594">
        <f t="shared" si="309"/>
        <v>6</v>
      </c>
      <c r="AN499" s="481">
        <v>6</v>
      </c>
      <c r="AO499" s="481"/>
      <c r="AP499" s="481"/>
      <c r="AQ499" s="481"/>
      <c r="AR499" s="481"/>
      <c r="AS499" s="481"/>
      <c r="AT499" s="481"/>
      <c r="AU499" s="481">
        <f t="shared" si="302"/>
        <v>6</v>
      </c>
      <c r="AV499" s="491">
        <v>2.5</v>
      </c>
      <c r="AW499" s="548"/>
      <c r="AX499" s="548"/>
      <c r="AY499" s="548"/>
      <c r="AZ499" s="548"/>
      <c r="BA499" s="548"/>
      <c r="BB499" s="548"/>
      <c r="BC499" s="548">
        <f t="shared" si="304"/>
        <v>2.5</v>
      </c>
      <c r="BD499" s="42">
        <f t="shared" si="310"/>
        <v>19.5</v>
      </c>
      <c r="BE499" s="42">
        <f t="shared" si="310"/>
        <v>0</v>
      </c>
      <c r="BF499" s="42">
        <f t="shared" si="310"/>
        <v>0</v>
      </c>
      <c r="BG499" s="42">
        <f t="shared" si="310"/>
        <v>0</v>
      </c>
      <c r="BH499" s="42">
        <f t="shared" si="310"/>
        <v>0</v>
      </c>
      <c r="BI499" s="42">
        <f t="shared" si="295"/>
        <v>0</v>
      </c>
      <c r="BJ499" s="42">
        <f t="shared" si="311"/>
        <v>0</v>
      </c>
      <c r="BK499" s="42">
        <f t="shared" si="311"/>
        <v>19.5</v>
      </c>
    </row>
    <row r="500" spans="1:63" ht="12.75" customHeight="1" x14ac:dyDescent="0.25"/>
  </sheetData>
  <sheetProtection formatCells="0" formatColumns="0" formatRows="0" insertColumns="0" insertRows="0" insertHyperlinks="0" deleteColumns="0" deleteRows="0" sort="0" autoFilter="0" pivotTables="0"/>
  <autoFilter ref="B4:BK499"/>
  <customSheetViews>
    <customSheetView guid="{92B8BA5A-7984-4526-9F7A-187FF856FCAE}" scale="70" showAutoFilter="1" hiddenColumns="1" state="hidden" topLeftCell="P1">
      <pane ySplit="4" topLeftCell="A340" activePane="bottomLeft" state="frozen"/>
      <selection pane="bottomLeft" activeCell="AI304" sqref="AI304"/>
      <pageMargins left="0" right="0" top="0" bottom="0" header="0" footer="0"/>
      <pageSetup paperSize="9" orientation="portrait" horizontalDpi="4294967292" verticalDpi="4294967292" r:id="rId1"/>
      <autoFilter ref="B4:BK499"/>
    </customSheetView>
  </customSheetViews>
  <mergeCells count="214">
    <mergeCell ref="C493:C499"/>
    <mergeCell ref="D493:D499"/>
    <mergeCell ref="E493:E499"/>
    <mergeCell ref="F493:F499"/>
    <mergeCell ref="G493:G499"/>
    <mergeCell ref="H493:H499"/>
    <mergeCell ref="B483:M483"/>
    <mergeCell ref="C485:C491"/>
    <mergeCell ref="D485:D491"/>
    <mergeCell ref="E485:E491"/>
    <mergeCell ref="F485:F491"/>
    <mergeCell ref="G485:G491"/>
    <mergeCell ref="H485:H491"/>
    <mergeCell ref="B445:M445"/>
    <mergeCell ref="B447:M447"/>
    <mergeCell ref="C449:C478"/>
    <mergeCell ref="D449:D478"/>
    <mergeCell ref="E449:E478"/>
    <mergeCell ref="F449:F478"/>
    <mergeCell ref="G449:G478"/>
    <mergeCell ref="H449:H478"/>
    <mergeCell ref="C432:C444"/>
    <mergeCell ref="D432:D444"/>
    <mergeCell ref="E432:E444"/>
    <mergeCell ref="F432:F444"/>
    <mergeCell ref="G432:G444"/>
    <mergeCell ref="H432:H444"/>
    <mergeCell ref="B415:M415"/>
    <mergeCell ref="C417:C430"/>
    <mergeCell ref="D417:D430"/>
    <mergeCell ref="E417:E430"/>
    <mergeCell ref="F417:F430"/>
    <mergeCell ref="G417:G430"/>
    <mergeCell ref="H417:H430"/>
    <mergeCell ref="B402:M402"/>
    <mergeCell ref="C404:C414"/>
    <mergeCell ref="D404:D414"/>
    <mergeCell ref="E404:E414"/>
    <mergeCell ref="F404:F414"/>
    <mergeCell ref="G404:G414"/>
    <mergeCell ref="H404:H414"/>
    <mergeCell ref="B375:M375"/>
    <mergeCell ref="C377:C401"/>
    <mergeCell ref="D377:D401"/>
    <mergeCell ref="E377:E401"/>
    <mergeCell ref="F377:F401"/>
    <mergeCell ref="G377:G401"/>
    <mergeCell ref="H377:H401"/>
    <mergeCell ref="B355:M355"/>
    <mergeCell ref="B361:N361"/>
    <mergeCell ref="B363:M363"/>
    <mergeCell ref="C365:C373"/>
    <mergeCell ref="D365:D373"/>
    <mergeCell ref="E365:E373"/>
    <mergeCell ref="F365:F373"/>
    <mergeCell ref="G365:G373"/>
    <mergeCell ref="H365:H373"/>
    <mergeCell ref="B331:M331"/>
    <mergeCell ref="C333:C353"/>
    <mergeCell ref="D333:D353"/>
    <mergeCell ref="E333:E353"/>
    <mergeCell ref="F333:F353"/>
    <mergeCell ref="G333:G353"/>
    <mergeCell ref="H333:H353"/>
    <mergeCell ref="B295:M295"/>
    <mergeCell ref="C297:C329"/>
    <mergeCell ref="D297:D329"/>
    <mergeCell ref="E297:E329"/>
    <mergeCell ref="F297:F329"/>
    <mergeCell ref="G297:G329"/>
    <mergeCell ref="H297:H329"/>
    <mergeCell ref="C290:C293"/>
    <mergeCell ref="D290:D293"/>
    <mergeCell ref="E290:E293"/>
    <mergeCell ref="F290:F293"/>
    <mergeCell ref="G290:G293"/>
    <mergeCell ref="H290:H293"/>
    <mergeCell ref="C277:C288"/>
    <mergeCell ref="D277:D288"/>
    <mergeCell ref="E277:E288"/>
    <mergeCell ref="F277:F288"/>
    <mergeCell ref="G277:G288"/>
    <mergeCell ref="H277:H288"/>
    <mergeCell ref="A261:N261"/>
    <mergeCell ref="B263:M263"/>
    <mergeCell ref="C265:C275"/>
    <mergeCell ref="D265:D275"/>
    <mergeCell ref="E265:E275"/>
    <mergeCell ref="F265:F275"/>
    <mergeCell ref="G265:G275"/>
    <mergeCell ref="H265:H275"/>
    <mergeCell ref="C244:C260"/>
    <mergeCell ref="D244:D260"/>
    <mergeCell ref="E244:E260"/>
    <mergeCell ref="F244:F260"/>
    <mergeCell ref="G244:G260"/>
    <mergeCell ref="H244:H260"/>
    <mergeCell ref="C213:C241"/>
    <mergeCell ref="D213:D241"/>
    <mergeCell ref="E213:E241"/>
    <mergeCell ref="F213:F241"/>
    <mergeCell ref="G213:G241"/>
    <mergeCell ref="H213:H241"/>
    <mergeCell ref="C202:C211"/>
    <mergeCell ref="D202:D211"/>
    <mergeCell ref="E202:E211"/>
    <mergeCell ref="F202:F211"/>
    <mergeCell ref="G202:G211"/>
    <mergeCell ref="H202:H211"/>
    <mergeCell ref="C194:C200"/>
    <mergeCell ref="D194:D200"/>
    <mergeCell ref="E194:E200"/>
    <mergeCell ref="F194:F200"/>
    <mergeCell ref="G194:G200"/>
    <mergeCell ref="H194:H200"/>
    <mergeCell ref="C183:C192"/>
    <mergeCell ref="D183:D192"/>
    <mergeCell ref="E183:E192"/>
    <mergeCell ref="F183:F192"/>
    <mergeCell ref="G183:G192"/>
    <mergeCell ref="H183:H192"/>
    <mergeCell ref="B156:M156"/>
    <mergeCell ref="C158:C181"/>
    <mergeCell ref="D158:D181"/>
    <mergeCell ref="E158:E181"/>
    <mergeCell ref="F158:F181"/>
    <mergeCell ref="G158:G181"/>
    <mergeCell ref="H158:H181"/>
    <mergeCell ref="C149:C155"/>
    <mergeCell ref="D149:D155"/>
    <mergeCell ref="E149:E155"/>
    <mergeCell ref="F149:F155"/>
    <mergeCell ref="G149:G155"/>
    <mergeCell ref="H149:H155"/>
    <mergeCell ref="C139:C147"/>
    <mergeCell ref="D139:D147"/>
    <mergeCell ref="E139:E147"/>
    <mergeCell ref="F139:F147"/>
    <mergeCell ref="G139:G147"/>
    <mergeCell ref="H139:H147"/>
    <mergeCell ref="B122:M122"/>
    <mergeCell ref="C124:C137"/>
    <mergeCell ref="D124:D137"/>
    <mergeCell ref="E124:E137"/>
    <mergeCell ref="F124:F137"/>
    <mergeCell ref="G124:G137"/>
    <mergeCell ref="H124:H137"/>
    <mergeCell ref="C117:C120"/>
    <mergeCell ref="D117:D120"/>
    <mergeCell ref="E117:E120"/>
    <mergeCell ref="F117:F120"/>
    <mergeCell ref="G117:G120"/>
    <mergeCell ref="H117:H120"/>
    <mergeCell ref="B109:M109"/>
    <mergeCell ref="C111:C115"/>
    <mergeCell ref="D111:D115"/>
    <mergeCell ref="E111:E115"/>
    <mergeCell ref="F111:F115"/>
    <mergeCell ref="G111:G115"/>
    <mergeCell ref="H111:H115"/>
    <mergeCell ref="C100:C107"/>
    <mergeCell ref="D100:D107"/>
    <mergeCell ref="E100:E107"/>
    <mergeCell ref="F100:F107"/>
    <mergeCell ref="G100:G107"/>
    <mergeCell ref="H100:H107"/>
    <mergeCell ref="B86:M86"/>
    <mergeCell ref="C88:C98"/>
    <mergeCell ref="D88:D98"/>
    <mergeCell ref="E88:E98"/>
    <mergeCell ref="F88:F98"/>
    <mergeCell ref="G88:G98"/>
    <mergeCell ref="H88:H98"/>
    <mergeCell ref="C76:C84"/>
    <mergeCell ref="D76:D84"/>
    <mergeCell ref="E76:E84"/>
    <mergeCell ref="F76:F84"/>
    <mergeCell ref="G76:G84"/>
    <mergeCell ref="H76:H84"/>
    <mergeCell ref="B48:M48"/>
    <mergeCell ref="B50:M50"/>
    <mergeCell ref="C52:C74"/>
    <mergeCell ref="D52:D74"/>
    <mergeCell ref="E52:E74"/>
    <mergeCell ref="F52:F74"/>
    <mergeCell ref="G52:G74"/>
    <mergeCell ref="H52:H74"/>
    <mergeCell ref="C9:C23"/>
    <mergeCell ref="D9:D23"/>
    <mergeCell ref="E9:E23"/>
    <mergeCell ref="F9:F23"/>
    <mergeCell ref="G9:G23"/>
    <mergeCell ref="H9:H23"/>
    <mergeCell ref="C45:C47"/>
    <mergeCell ref="D45:D47"/>
    <mergeCell ref="E45:E47"/>
    <mergeCell ref="F45:F47"/>
    <mergeCell ref="G45:G47"/>
    <mergeCell ref="H45:H47"/>
    <mergeCell ref="C25:C40"/>
    <mergeCell ref="D25:D40"/>
    <mergeCell ref="E25:E40"/>
    <mergeCell ref="F25:F40"/>
    <mergeCell ref="G25:G40"/>
    <mergeCell ref="H25:H40"/>
    <mergeCell ref="B2:M2"/>
    <mergeCell ref="T3:X3"/>
    <mergeCell ref="Y3:AF3"/>
    <mergeCell ref="AG3:AM3"/>
    <mergeCell ref="AN3:AU3"/>
    <mergeCell ref="AV3:BC3"/>
    <mergeCell ref="BD3:BK3"/>
    <mergeCell ref="A5:M5"/>
    <mergeCell ref="B7:M7"/>
  </mergeCells>
  <dataValidations count="5">
    <dataValidation type="list" allowBlank="1" showInputMessage="1" showErrorMessage="1" sqref="AC496">
      <formula1>COOR</formula1>
    </dataValidation>
    <dataValidation type="list" allowBlank="1" showInputMessage="1" showErrorMessage="1" sqref="B9:B260 B447:B480 B482:B499 B362:B444 B262:B360">
      <formula1>SECTOR</formula1>
    </dataValidation>
    <dataValidation type="list" allowBlank="1" showInputMessage="1" showErrorMessage="1" sqref="L485:L491 L9:L23 L449:L480 L44:L47 L25:L42 L88:L98 L100:L107 L76:L84 L111:L115 L117:L120 L124:L137 L139:L147 L194:L200 L52:L74 L149:L155 L183:L192 L202:L211 L213:L220 L222:L226 L228:L234 L236:L241 L244:L260 L158:L181 L290:L293 L357:L358 L360 L365:L373 L377:L401 L404:L414 L417:L430 L277:L288 L265:L275 L297:L329 L333:L353 L432:L444 L493:L499">
      <formula1>ODS</formula1>
    </dataValidation>
    <dataValidation type="list" allowBlank="1" showInputMessage="1" showErrorMessage="1" sqref="M9:M23 M485:M491 M44:M47 M25:M42 M76:M84 M88:M98 M100:M107 M111:M115 M493:M499 M124:M137 M139:M147 M117:M120 M52:M74 M183:M192 M194:M200 M202:M211 M213:M220 M222:M226 M228:M234 M236:M241 M244:M260 M158:M181 M290:M293 M357:M358 M360 M365:M373 M377:M401 M404:M414 M417:M430 M449:M480 M277:M288 M265:M275 M297:M329 M333:M353 M432:M444 M149:M155">
      <formula1>DEPENDENCIA</formula1>
    </dataValidation>
    <dataValidation type="list" allowBlank="1" showInputMessage="1" showErrorMessage="1" sqref="O9:O23 O44:O47 O25:O42 O76:O84 O88:O98 O100:O107 O111:O115 O117:O120 O124:O137 O149:O155 O139:O147 O52:O74 O183:O192 O213:O220 O244:O260 O357:O358 O417:O430 O449:O480 O485:O491 O404:O414 O377:O401 O360 O365:O373 O194:O200 O158:O181 O236:O241 O228:O234 O222:O226 O202:O211 O277:O288 O265:O275 O290:O293 O297:O329 O333:O353 O432:O444 O493:O499">
      <formula1>TIPO</formula1>
    </dataValidation>
  </dataValidations>
  <pageMargins left="0.7" right="0.7" top="0.75" bottom="0.75" header="0.3" footer="0.3"/>
  <pageSetup paperSize="9" orientation="portrait" horizontalDpi="4294967292" verticalDpi="4294967292" r:id="rId2"/>
  <extLst>
    <ext xmlns:x14="http://schemas.microsoft.com/office/spreadsheetml/2009/9/main" uri="{78C0D931-6437-407d-A8EE-F0AAD7539E65}">
      <x14:conditionalFormattings>
        <x14:conditionalFormatting xmlns:xm="http://schemas.microsoft.com/office/excel/2006/main">
          <x14:cfRule type="containsText" priority="1" operator="containsText" text="AZ" id="{DC899C0F-E0D5-424A-BF0C-00A7FFD6441E}">
            <xm:f>NOT(ISERROR(SEARCH("AZ",'PLAN ACCION 2016'!#REF!)))</xm:f>
            <x14:dxf>
              <font>
                <b val="0"/>
                <i val="0"/>
                <color theme="1"/>
              </font>
              <fill>
                <patternFill>
                  <bgColor rgb="FF00B0F0"/>
                </patternFill>
              </fill>
            </x14:dxf>
          </x14:cfRule>
          <x14:cfRule type="containsText" priority="2" operator="containsText" text="RO" id="{CF683627-39F9-4A08-971B-97AC3841CB62}">
            <xm:f>NOT(ISERROR(SEARCH("RO",'PLAN ACCION 2016'!#REF!)))</xm:f>
            <x14:dxf>
              <font>
                <b val="0"/>
                <i val="0"/>
                <color theme="1"/>
              </font>
              <fill>
                <patternFill>
                  <bgColor rgb="FFFF0000"/>
                </patternFill>
              </fill>
            </x14:dxf>
          </x14:cfRule>
          <x14:cfRule type="containsText" priority="3" operator="containsText" text="AM" id="{621FF86D-8648-4863-881B-843F0FCF0506}">
            <xm:f>NOT(ISERROR(SEARCH("AM",'PLAN ACCION 2016'!#REF!)))</xm:f>
            <x14:dxf>
              <font>
                <b val="0"/>
                <i val="0"/>
                <strike val="0"/>
                <color theme="1"/>
              </font>
              <fill>
                <patternFill>
                  <bgColor rgb="FFFFFF00"/>
                </patternFill>
              </fill>
            </x14:dxf>
          </x14:cfRule>
          <x14:cfRule type="containsText" priority="4" operator="containsText" text="VE" id="{112149D7-6825-40AA-B96E-A30068F4823B}">
            <xm:f>NOT(ISERROR(SEARCH("VE",'PLAN ACCION 2016'!#REF!)))</xm:f>
            <x14:dxf>
              <font>
                <b val="0"/>
                <i val="0"/>
                <color theme="1"/>
              </font>
              <fill>
                <patternFill>
                  <fgColor theme="6"/>
                  <bgColor rgb="FF92D050"/>
                </patternFill>
              </fill>
            </x14:dxf>
          </x14:cfRule>
          <xm:sqref>AC496</xm:sqref>
        </x14:conditionalFormatting>
      </x14:conditionalFormatting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75"/>
  <sheetViews>
    <sheetView topLeftCell="A2" zoomScale="61" zoomScaleNormal="61" workbookViewId="0">
      <pane xSplit="2" ySplit="3" topLeftCell="M31" activePane="bottomRight" state="frozen"/>
      <selection pane="topRight" activeCell="C2" sqref="C2"/>
      <selection pane="bottomLeft" activeCell="A5" sqref="A5"/>
      <selection pane="bottomRight" activeCell="AM36" sqref="AM36"/>
    </sheetView>
  </sheetViews>
  <sheetFormatPr baseColWidth="10" defaultColWidth="11.44140625" defaultRowHeight="21" x14ac:dyDescent="0.4"/>
  <cols>
    <col min="1" max="1" width="2.5546875" customWidth="1"/>
    <col min="2" max="2" width="6.6640625" style="1082" customWidth="1"/>
    <col min="3" max="3" width="12.33203125" customWidth="1"/>
    <col min="4" max="4" width="8.109375" style="1081" customWidth="1"/>
    <col min="5" max="5" width="12" customWidth="1"/>
    <col min="6" max="6" width="6.5546875" style="1080" customWidth="1"/>
    <col min="7" max="7" width="6.44140625" style="1079" customWidth="1"/>
    <col min="8" max="8" width="26.33203125" style="1078" customWidth="1"/>
    <col min="9" max="9" width="8.88671875" style="128" customWidth="1"/>
    <col min="10" max="10" width="7" style="128" hidden="1" customWidth="1"/>
    <col min="11" max="11" width="17.33203125" style="128" customWidth="1"/>
    <col min="12" max="12" width="2.33203125" style="128" hidden="1" customWidth="1"/>
    <col min="13" max="13" width="14.33203125" style="90" customWidth="1"/>
    <col min="14" max="16" width="18" style="90" customWidth="1"/>
    <col min="17" max="17" width="18.109375" style="89" customWidth="1"/>
    <col min="18" max="18" width="6.44140625" style="89" customWidth="1"/>
    <col min="19" max="19" width="4.88671875" style="89" customWidth="1"/>
    <col min="20" max="20" width="9.88671875" style="1078" customWidth="1"/>
    <col min="21" max="21" width="12.88671875" style="1078" customWidth="1"/>
    <col min="22" max="22" width="6" style="90" customWidth="1"/>
    <col min="23" max="23" width="8.44140625" style="1077" customWidth="1"/>
    <col min="24" max="24" width="12" style="1076" customWidth="1"/>
    <col min="25" max="25" width="18.109375" style="1073" hidden="1" customWidth="1"/>
    <col min="26" max="26" width="18.33203125" style="1073" hidden="1" customWidth="1"/>
    <col min="27" max="27" width="26" style="1073" customWidth="1"/>
    <col min="28" max="28" width="5.88671875" style="1073" customWidth="1"/>
    <col min="29" max="29" width="8.33203125" style="1075" customWidth="1"/>
    <col min="30" max="30" width="11" style="1073" customWidth="1"/>
    <col min="31" max="31" width="12.6640625" style="1074" customWidth="1"/>
    <col min="32" max="33" width="9.88671875" style="1073" customWidth="1"/>
    <col min="34" max="34" width="20.33203125" style="1073" customWidth="1"/>
    <col min="35" max="35" width="19.6640625" style="1073" customWidth="1"/>
    <col min="36" max="36" width="13" style="1073" customWidth="1"/>
    <col min="37" max="37" width="18.33203125" style="1072" customWidth="1"/>
    <col min="38" max="38" width="12.88671875" customWidth="1"/>
    <col min="39" max="39" width="11.44140625" customWidth="1"/>
  </cols>
  <sheetData>
    <row r="1" spans="1:40" x14ac:dyDescent="0.35">
      <c r="A1" s="1732" t="s">
        <v>4448</v>
      </c>
      <c r="B1" s="1732"/>
      <c r="C1" s="1732"/>
      <c r="D1" s="1732"/>
      <c r="E1" s="1732"/>
      <c r="F1" s="1732"/>
      <c r="G1" s="1732"/>
      <c r="H1" s="1732"/>
      <c r="I1" s="1732"/>
      <c r="J1" s="1732"/>
      <c r="K1" s="1732"/>
      <c r="L1" s="1732"/>
      <c r="M1" s="1732"/>
      <c r="N1" s="1732"/>
      <c r="O1" s="1732"/>
      <c r="P1" s="1732"/>
      <c r="Q1" s="1732"/>
      <c r="R1" s="1732"/>
      <c r="S1" s="1732"/>
      <c r="T1" s="1732"/>
      <c r="U1" s="1732"/>
      <c r="V1" s="1732"/>
      <c r="W1" s="1732"/>
      <c r="X1" s="1732"/>
      <c r="Y1" s="1732"/>
      <c r="Z1" s="1732"/>
      <c r="AA1" s="1732"/>
      <c r="AB1" s="1732"/>
      <c r="AC1" s="1732"/>
    </row>
    <row r="2" spans="1:40" x14ac:dyDescent="0.25">
      <c r="A2" s="1457"/>
      <c r="B2" s="1457"/>
      <c r="C2" s="1457"/>
      <c r="D2" s="1457"/>
      <c r="E2" s="1457"/>
      <c r="F2" s="1195"/>
      <c r="G2" s="1458"/>
      <c r="H2" s="1194"/>
      <c r="I2" s="1194"/>
      <c r="J2" s="1194"/>
      <c r="K2" s="1194"/>
      <c r="L2" s="1194"/>
      <c r="M2" s="1194"/>
      <c r="N2" s="1194"/>
      <c r="O2" s="1194"/>
      <c r="P2" s="1194"/>
      <c r="Q2" s="1194"/>
      <c r="R2" s="1194"/>
      <c r="S2" s="1194"/>
      <c r="T2" s="1194"/>
      <c r="U2" s="1194"/>
      <c r="V2" s="1194"/>
      <c r="W2" s="1193"/>
      <c r="X2" s="1458"/>
      <c r="Y2" s="1733" t="s">
        <v>4449</v>
      </c>
      <c r="Z2" s="1733"/>
      <c r="AA2" s="1733"/>
      <c r="AB2" s="1733"/>
      <c r="AC2" s="1733"/>
      <c r="AD2" s="1733" t="s">
        <v>4450</v>
      </c>
      <c r="AE2" s="1733"/>
      <c r="AF2" s="1733"/>
      <c r="AG2" s="1733"/>
    </row>
    <row r="3" spans="1:40" ht="21" customHeight="1" x14ac:dyDescent="0.3">
      <c r="A3" s="1734" t="s">
        <v>4451</v>
      </c>
      <c r="B3" s="1734" t="s">
        <v>4452</v>
      </c>
      <c r="C3" s="1736" t="s">
        <v>11</v>
      </c>
      <c r="D3" s="1736" t="s">
        <v>3143</v>
      </c>
      <c r="E3" s="1736" t="s">
        <v>4453</v>
      </c>
      <c r="F3" s="1738" t="s">
        <v>4454</v>
      </c>
      <c r="G3" s="1740" t="s">
        <v>4455</v>
      </c>
      <c r="H3" s="1729" t="s">
        <v>24</v>
      </c>
      <c r="I3" s="1729" t="s">
        <v>2575</v>
      </c>
      <c r="J3" s="1729"/>
      <c r="K3" s="1729"/>
      <c r="L3" s="1729"/>
      <c r="M3" s="1729"/>
      <c r="N3" s="1729"/>
      <c r="O3" s="1729"/>
      <c r="P3" s="1459"/>
      <c r="Q3" s="1729" t="s">
        <v>4456</v>
      </c>
      <c r="R3" s="1729" t="s">
        <v>2576</v>
      </c>
      <c r="S3" s="1729" t="s">
        <v>4457</v>
      </c>
      <c r="T3" s="1729" t="s">
        <v>3143</v>
      </c>
      <c r="U3" s="1730" t="s">
        <v>4453</v>
      </c>
      <c r="V3" s="1729" t="s">
        <v>4454</v>
      </c>
      <c r="W3" s="1731" t="s">
        <v>4458</v>
      </c>
      <c r="X3" s="1721" t="s">
        <v>4459</v>
      </c>
      <c r="Y3" s="1721" t="s">
        <v>4460</v>
      </c>
      <c r="Z3" s="1721" t="s">
        <v>4461</v>
      </c>
      <c r="AA3" s="1721" t="s">
        <v>4462</v>
      </c>
      <c r="AB3" s="1721" t="s">
        <v>4463</v>
      </c>
      <c r="AC3" s="1741" t="s">
        <v>4464</v>
      </c>
      <c r="AD3" s="1718" t="s">
        <v>4465</v>
      </c>
      <c r="AE3" s="1718"/>
      <c r="AF3" s="1718"/>
      <c r="AG3" s="1718"/>
      <c r="AH3" s="1718" t="s">
        <v>4466</v>
      </c>
      <c r="AI3" s="1718"/>
      <c r="AJ3" s="1718"/>
      <c r="AK3" s="1192"/>
    </row>
    <row r="4" spans="1:40" ht="94.5" customHeight="1" x14ac:dyDescent="0.3">
      <c r="A4" s="1735"/>
      <c r="B4" s="1735"/>
      <c r="C4" s="1737"/>
      <c r="D4" s="1737"/>
      <c r="E4" s="1737"/>
      <c r="F4" s="1739"/>
      <c r="G4" s="1740"/>
      <c r="H4" s="1729"/>
      <c r="I4" s="1459" t="s">
        <v>4467</v>
      </c>
      <c r="J4" s="1459" t="s">
        <v>4468</v>
      </c>
      <c r="K4" s="1459">
        <v>2018</v>
      </c>
      <c r="L4" s="1459">
        <v>2019</v>
      </c>
      <c r="M4" s="1459" t="s">
        <v>4469</v>
      </c>
      <c r="N4" s="1459" t="s">
        <v>4470</v>
      </c>
      <c r="O4" s="1459" t="s">
        <v>4471</v>
      </c>
      <c r="P4" s="1459" t="s">
        <v>4472</v>
      </c>
      <c r="Q4" s="1729"/>
      <c r="R4" s="1729"/>
      <c r="S4" s="1729"/>
      <c r="T4" s="1729"/>
      <c r="U4" s="1730"/>
      <c r="V4" s="1729"/>
      <c r="W4" s="1731"/>
      <c r="X4" s="1721"/>
      <c r="Y4" s="1721"/>
      <c r="Z4" s="1721"/>
      <c r="AA4" s="1721"/>
      <c r="AB4" s="1721"/>
      <c r="AC4" s="1741"/>
      <c r="AD4" s="1191" t="s">
        <v>4473</v>
      </c>
      <c r="AE4" s="1191" t="s">
        <v>4474</v>
      </c>
      <c r="AF4" s="1191" t="s">
        <v>4475</v>
      </c>
      <c r="AG4" s="1191" t="s">
        <v>4476</v>
      </c>
      <c r="AH4" s="1191" t="s">
        <v>4473</v>
      </c>
      <c r="AI4" s="1191" t="s">
        <v>4474</v>
      </c>
      <c r="AJ4" s="1191" t="s">
        <v>4475</v>
      </c>
      <c r="AK4" s="1191" t="s">
        <v>4476</v>
      </c>
      <c r="AL4" s="1190" t="s">
        <v>4477</v>
      </c>
      <c r="AM4" s="1190" t="s">
        <v>4478</v>
      </c>
    </row>
    <row r="5" spans="1:40" s="1096" customFormat="1" ht="58.5" customHeight="1" x14ac:dyDescent="0.3">
      <c r="A5" s="1108" t="s">
        <v>4479</v>
      </c>
      <c r="B5" s="1448" t="s">
        <v>4480</v>
      </c>
      <c r="C5" s="1183" t="s">
        <v>4481</v>
      </c>
      <c r="D5" s="1104" t="s">
        <v>4482</v>
      </c>
      <c r="E5" s="1104" t="s">
        <v>4483</v>
      </c>
      <c r="F5" s="1454">
        <v>1</v>
      </c>
      <c r="G5" s="1104">
        <v>17500000</v>
      </c>
      <c r="H5" s="1106" t="s">
        <v>4484</v>
      </c>
      <c r="I5" s="1453">
        <v>1</v>
      </c>
      <c r="J5" s="1453"/>
      <c r="K5" s="1453">
        <v>1</v>
      </c>
      <c r="L5" s="1453"/>
      <c r="M5" s="1451">
        <v>0.2</v>
      </c>
      <c r="N5" s="1189">
        <v>0.3</v>
      </c>
      <c r="O5" s="1188"/>
      <c r="P5" s="1188"/>
      <c r="Q5" s="1104" t="s">
        <v>4485</v>
      </c>
      <c r="T5" s="1104" t="s">
        <v>4486</v>
      </c>
      <c r="U5" s="1104" t="s">
        <v>4487</v>
      </c>
      <c r="V5" s="1455">
        <v>1</v>
      </c>
      <c r="W5" s="1454">
        <v>230202</v>
      </c>
      <c r="X5" s="1447" t="s">
        <v>27</v>
      </c>
      <c r="Y5" s="1186">
        <v>8821908.1708781999</v>
      </c>
      <c r="Z5" s="1187">
        <v>6000000</v>
      </c>
      <c r="AA5" s="1186">
        <v>4000000</v>
      </c>
      <c r="AB5" s="1186">
        <v>4600000</v>
      </c>
      <c r="AC5" s="1455">
        <v>1</v>
      </c>
      <c r="AD5" s="1103">
        <v>0</v>
      </c>
      <c r="AI5" s="1185"/>
      <c r="AL5" s="1184">
        <f t="shared" ref="AL5:AL10" si="0">M5+N5+O5+P5</f>
        <v>0.5</v>
      </c>
      <c r="AM5" s="1047">
        <f t="shared" ref="AM5:AM15" si="1">AL5/K5</f>
        <v>0.5</v>
      </c>
      <c r="AN5" s="1096" t="s">
        <v>2604</v>
      </c>
    </row>
    <row r="6" spans="1:40" s="1096" customFormat="1" ht="138" customHeight="1" x14ac:dyDescent="0.3">
      <c r="A6" s="1108" t="s">
        <v>4479</v>
      </c>
      <c r="B6" s="1448" t="s">
        <v>4480</v>
      </c>
      <c r="C6" s="1183" t="s">
        <v>4481</v>
      </c>
      <c r="D6" s="1104" t="s">
        <v>4482</v>
      </c>
      <c r="E6" s="1104" t="s">
        <v>4483</v>
      </c>
      <c r="F6" s="1454">
        <v>1</v>
      </c>
      <c r="G6" s="1104">
        <v>17500000</v>
      </c>
      <c r="H6" s="1177" t="s">
        <v>4488</v>
      </c>
      <c r="I6" s="1452">
        <v>0.1</v>
      </c>
      <c r="J6" s="1453"/>
      <c r="K6" s="1452">
        <v>0.1</v>
      </c>
      <c r="L6" s="1453"/>
      <c r="M6" s="1451">
        <v>0.25</v>
      </c>
      <c r="N6" s="1451">
        <v>0.25</v>
      </c>
      <c r="O6" s="1456"/>
      <c r="P6" s="1456"/>
      <c r="Q6" s="1104" t="s">
        <v>4485</v>
      </c>
      <c r="T6" s="1104" t="s">
        <v>4486</v>
      </c>
      <c r="U6" s="1104" t="s">
        <v>4489</v>
      </c>
      <c r="V6" s="1455">
        <v>2</v>
      </c>
      <c r="W6" s="1454">
        <v>230202</v>
      </c>
      <c r="X6" s="1447" t="s">
        <v>27</v>
      </c>
      <c r="Y6" s="1108">
        <v>8821908.1708781999</v>
      </c>
      <c r="Z6" s="1108">
        <v>6000000</v>
      </c>
      <c r="AA6" s="1108">
        <v>4000000</v>
      </c>
      <c r="AB6" s="1108">
        <v>4500000</v>
      </c>
      <c r="AC6" s="1455">
        <v>2</v>
      </c>
      <c r="AD6" s="1096">
        <v>0</v>
      </c>
      <c r="AI6" s="1103"/>
      <c r="AL6" s="1141">
        <f>M6+N6+O6+P6</f>
        <v>0.5</v>
      </c>
      <c r="AM6" s="1047">
        <f t="shared" si="1"/>
        <v>5</v>
      </c>
      <c r="AN6" s="1096" t="s">
        <v>2598</v>
      </c>
    </row>
    <row r="7" spans="1:40" s="1096" customFormat="1" ht="126.75" customHeight="1" x14ac:dyDescent="0.3">
      <c r="A7" s="1108" t="s">
        <v>4479</v>
      </c>
      <c r="B7" s="1448" t="s">
        <v>4480</v>
      </c>
      <c r="C7" s="1183" t="s">
        <v>4481</v>
      </c>
      <c r="D7" s="1104" t="s">
        <v>4482</v>
      </c>
      <c r="E7" s="1104" t="s">
        <v>4483</v>
      </c>
      <c r="F7" s="1454">
        <v>1</v>
      </c>
      <c r="G7" s="1104">
        <v>18440819.25</v>
      </c>
      <c r="H7" s="1106" t="s">
        <v>4490</v>
      </c>
      <c r="I7" s="1453">
        <v>25</v>
      </c>
      <c r="J7" s="1453"/>
      <c r="K7" s="1453">
        <v>25</v>
      </c>
      <c r="L7" s="1453"/>
      <c r="M7" s="1451">
        <v>0</v>
      </c>
      <c r="N7" s="1161">
        <v>0</v>
      </c>
      <c r="O7" s="1454"/>
      <c r="P7" s="1454"/>
      <c r="Q7" s="1104" t="s">
        <v>4485</v>
      </c>
      <c r="T7" s="1104" t="s">
        <v>4486</v>
      </c>
      <c r="U7" s="1104" t="s">
        <v>4491</v>
      </c>
      <c r="V7" s="1455">
        <v>3</v>
      </c>
      <c r="W7" s="1454">
        <v>230202</v>
      </c>
      <c r="X7" s="1447" t="s">
        <v>27</v>
      </c>
      <c r="Y7" s="1108">
        <v>9296183.6582436003</v>
      </c>
      <c r="Z7" s="1108">
        <v>5000000</v>
      </c>
      <c r="AA7" s="1108">
        <v>5474500</v>
      </c>
      <c r="AB7" s="1108">
        <v>4866319.25</v>
      </c>
      <c r="AC7" s="1455">
        <v>3</v>
      </c>
      <c r="AD7" s="1096">
        <v>0</v>
      </c>
      <c r="AI7" s="1103"/>
      <c r="AL7" s="1167">
        <f t="shared" si="0"/>
        <v>0</v>
      </c>
      <c r="AM7" s="1047">
        <f t="shared" si="1"/>
        <v>0</v>
      </c>
    </row>
    <row r="8" spans="1:40" s="1096" customFormat="1" ht="86.25" customHeight="1" x14ac:dyDescent="0.3">
      <c r="A8" s="1173" t="s">
        <v>4492</v>
      </c>
      <c r="B8" s="1179" t="s">
        <v>4493</v>
      </c>
      <c r="C8" s="1173" t="s">
        <v>4494</v>
      </c>
      <c r="D8" s="1104" t="s">
        <v>4495</v>
      </c>
      <c r="E8" s="1104" t="s">
        <v>4496</v>
      </c>
      <c r="F8" s="1454">
        <v>2</v>
      </c>
      <c r="G8" s="1724">
        <v>119480000</v>
      </c>
      <c r="H8" s="1106" t="s">
        <v>4497</v>
      </c>
      <c r="I8" s="1453">
        <v>1</v>
      </c>
      <c r="J8" s="1453"/>
      <c r="K8" s="1453"/>
      <c r="L8" s="1453"/>
      <c r="M8" s="1451">
        <v>0.2</v>
      </c>
      <c r="N8" s="1451">
        <v>0.3</v>
      </c>
      <c r="O8" s="1454"/>
      <c r="P8" s="1454"/>
      <c r="Q8" s="1104" t="s">
        <v>4498</v>
      </c>
      <c r="T8" s="1104" t="s">
        <v>4486</v>
      </c>
      <c r="U8" s="1104" t="s">
        <v>4499</v>
      </c>
      <c r="V8" s="1455">
        <v>4</v>
      </c>
      <c r="W8" s="1454">
        <v>230202</v>
      </c>
      <c r="X8" s="1447" t="s">
        <v>27</v>
      </c>
      <c r="Y8" s="1725">
        <v>30400000</v>
      </c>
      <c r="Z8" s="1725">
        <v>43200000</v>
      </c>
      <c r="AA8" s="1725">
        <v>27920000</v>
      </c>
      <c r="AB8" s="1725">
        <v>28920000</v>
      </c>
      <c r="AC8" s="1455">
        <v>12</v>
      </c>
      <c r="AD8" s="1742"/>
      <c r="AE8" s="1742"/>
      <c r="AF8" s="1742"/>
      <c r="AG8" s="1742"/>
      <c r="AH8" s="1742"/>
      <c r="AI8" s="1724"/>
      <c r="AJ8" s="1742"/>
      <c r="AK8" s="1742"/>
      <c r="AL8" s="1182">
        <f t="shared" si="0"/>
        <v>0.5</v>
      </c>
      <c r="AM8" s="1047" t="e">
        <f t="shared" si="1"/>
        <v>#DIV/0!</v>
      </c>
    </row>
    <row r="9" spans="1:40" s="1096" customFormat="1" ht="84.75" customHeight="1" x14ac:dyDescent="0.3">
      <c r="A9" s="1173" t="s">
        <v>4492</v>
      </c>
      <c r="B9" s="1179" t="s">
        <v>4493</v>
      </c>
      <c r="C9" s="1173" t="s">
        <v>4494</v>
      </c>
      <c r="D9" s="1104" t="s">
        <v>4495</v>
      </c>
      <c r="E9" s="1104" t="s">
        <v>4496</v>
      </c>
      <c r="F9" s="1454">
        <v>2</v>
      </c>
      <c r="G9" s="1724"/>
      <c r="H9" s="1106" t="s">
        <v>4500</v>
      </c>
      <c r="I9" s="1453">
        <v>9</v>
      </c>
      <c r="J9" s="1453"/>
      <c r="K9" s="1453">
        <v>9</v>
      </c>
      <c r="L9" s="1453"/>
      <c r="M9" s="1451">
        <v>1</v>
      </c>
      <c r="N9" s="1451">
        <v>4</v>
      </c>
      <c r="O9" s="1455"/>
      <c r="P9" s="1455"/>
      <c r="Q9" s="1104" t="s">
        <v>4498</v>
      </c>
      <c r="T9" s="1104" t="s">
        <v>4486</v>
      </c>
      <c r="U9" s="1143" t="s">
        <v>4501</v>
      </c>
      <c r="V9" s="1455">
        <v>5</v>
      </c>
      <c r="W9" s="1454">
        <v>230202</v>
      </c>
      <c r="X9" s="1447" t="s">
        <v>27</v>
      </c>
      <c r="Y9" s="1725"/>
      <c r="Z9" s="1725"/>
      <c r="AA9" s="1725"/>
      <c r="AB9" s="1725"/>
      <c r="AC9" s="1455">
        <v>5</v>
      </c>
      <c r="AD9" s="1742"/>
      <c r="AE9" s="1742"/>
      <c r="AF9" s="1742"/>
      <c r="AG9" s="1742"/>
      <c r="AH9" s="1742"/>
      <c r="AI9" s="1724"/>
      <c r="AJ9" s="1742"/>
      <c r="AK9" s="1742"/>
      <c r="AL9" s="1182">
        <f t="shared" si="0"/>
        <v>5</v>
      </c>
      <c r="AM9" s="1047">
        <f t="shared" si="1"/>
        <v>0.55555555555555558</v>
      </c>
    </row>
    <row r="10" spans="1:40" s="1096" customFormat="1" ht="89.25" customHeight="1" x14ac:dyDescent="0.3">
      <c r="A10" s="1173" t="s">
        <v>4492</v>
      </c>
      <c r="B10" s="1179" t="s">
        <v>4493</v>
      </c>
      <c r="C10" s="1173" t="s">
        <v>4494</v>
      </c>
      <c r="D10" s="1104" t="s">
        <v>4495</v>
      </c>
      <c r="E10" s="1104" t="s">
        <v>4496</v>
      </c>
      <c r="F10" s="1454">
        <v>2</v>
      </c>
      <c r="G10" s="1724"/>
      <c r="H10" s="1106" t="s">
        <v>4502</v>
      </c>
      <c r="I10" s="1171">
        <v>0.1</v>
      </c>
      <c r="J10" s="1181">
        <v>16500</v>
      </c>
      <c r="K10" s="1181">
        <v>16500</v>
      </c>
      <c r="L10" s="1181"/>
      <c r="M10" s="1180">
        <v>2.5000000000000001E-2</v>
      </c>
      <c r="N10" s="1180">
        <v>2.5000000000000001E-2</v>
      </c>
      <c r="O10" s="1168"/>
      <c r="P10" s="1168"/>
      <c r="Q10" s="1104" t="s">
        <v>4498</v>
      </c>
      <c r="T10" s="1104" t="s">
        <v>4503</v>
      </c>
      <c r="U10" s="1104" t="s">
        <v>4504</v>
      </c>
      <c r="V10" s="1455">
        <v>6</v>
      </c>
      <c r="W10" s="1454">
        <v>230202</v>
      </c>
      <c r="X10" s="1447" t="s">
        <v>27</v>
      </c>
      <c r="Y10" s="1725"/>
      <c r="Z10" s="1725"/>
      <c r="AA10" s="1725"/>
      <c r="AB10" s="1725"/>
      <c r="AC10" s="1455">
        <v>6</v>
      </c>
      <c r="AD10" s="1742"/>
      <c r="AE10" s="1742"/>
      <c r="AF10" s="1742"/>
      <c r="AG10" s="1742"/>
      <c r="AH10" s="1742"/>
      <c r="AI10" s="1724"/>
      <c r="AJ10" s="1742"/>
      <c r="AK10" s="1742"/>
      <c r="AL10" s="1167">
        <f t="shared" si="0"/>
        <v>0.05</v>
      </c>
      <c r="AM10" s="1047">
        <f t="shared" si="1"/>
        <v>3.0303030303030305E-6</v>
      </c>
    </row>
    <row r="11" spans="1:40" s="1096" customFormat="1" ht="111.75" customHeight="1" x14ac:dyDescent="0.3">
      <c r="A11" s="1173" t="s">
        <v>4492</v>
      </c>
      <c r="B11" s="1179" t="s">
        <v>4493</v>
      </c>
      <c r="C11" s="1173" t="s">
        <v>4494</v>
      </c>
      <c r="D11" s="1104" t="s">
        <v>4495</v>
      </c>
      <c r="E11" s="1104" t="s">
        <v>4496</v>
      </c>
      <c r="F11" s="1454">
        <v>2</v>
      </c>
      <c r="G11" s="1724"/>
      <c r="H11" s="1106" t="s">
        <v>4505</v>
      </c>
      <c r="I11" s="1453">
        <v>18</v>
      </c>
      <c r="J11" s="1453"/>
      <c r="K11" s="1453">
        <v>18</v>
      </c>
      <c r="L11" s="1453"/>
      <c r="M11" s="1451">
        <v>5</v>
      </c>
      <c r="N11" s="1451">
        <v>10</v>
      </c>
      <c r="O11" s="1455"/>
      <c r="P11" s="1455"/>
      <c r="Q11" s="1104" t="s">
        <v>4498</v>
      </c>
      <c r="T11" s="1104" t="s">
        <v>4486</v>
      </c>
      <c r="U11" s="1104" t="s">
        <v>4506</v>
      </c>
      <c r="V11" s="1455">
        <v>7</v>
      </c>
      <c r="W11" s="1454">
        <v>230202</v>
      </c>
      <c r="X11" s="1447" t="s">
        <v>27</v>
      </c>
      <c r="Y11" s="1725"/>
      <c r="Z11" s="1725"/>
      <c r="AA11" s="1725"/>
      <c r="AB11" s="1725"/>
      <c r="AC11" s="1455">
        <v>7</v>
      </c>
      <c r="AD11" s="1742"/>
      <c r="AE11" s="1742"/>
      <c r="AF11" s="1742"/>
      <c r="AG11" s="1742"/>
      <c r="AH11" s="1742"/>
      <c r="AI11" s="1724"/>
      <c r="AJ11" s="1742"/>
      <c r="AK11" s="1742"/>
      <c r="AL11" s="1117">
        <f>M11+N11+O11</f>
        <v>15</v>
      </c>
      <c r="AM11" s="1047">
        <f t="shared" si="1"/>
        <v>0.83333333333333337</v>
      </c>
    </row>
    <row r="12" spans="1:40" s="1096" customFormat="1" ht="110.25" customHeight="1" x14ac:dyDescent="0.3">
      <c r="A12" s="1173" t="s">
        <v>4492</v>
      </c>
      <c r="B12" s="1116" t="s">
        <v>4507</v>
      </c>
      <c r="C12" s="1173" t="s">
        <v>4494</v>
      </c>
      <c r="D12" s="1104" t="s">
        <v>4495</v>
      </c>
      <c r="E12" s="1104" t="s">
        <v>4496</v>
      </c>
      <c r="F12" s="1454">
        <v>2</v>
      </c>
      <c r="G12" s="1103">
        <v>29870000</v>
      </c>
      <c r="H12" s="1106" t="s">
        <v>4508</v>
      </c>
      <c r="I12" s="1155">
        <v>7.0999999999999994E-2</v>
      </c>
      <c r="J12" s="1155">
        <v>7.0999999999999994E-2</v>
      </c>
      <c r="K12" s="1155">
        <v>7.0999999999999994E-2</v>
      </c>
      <c r="L12" s="1155"/>
      <c r="M12" s="1126">
        <v>5.2999999999999999E-2</v>
      </c>
      <c r="N12" s="1126">
        <v>4.5999999999999999E-2</v>
      </c>
      <c r="O12" s="1127"/>
      <c r="P12" s="1127"/>
      <c r="Q12" s="1104" t="s">
        <v>4498</v>
      </c>
      <c r="T12" s="1104" t="s">
        <v>4509</v>
      </c>
      <c r="U12" s="1104" t="s">
        <v>4510</v>
      </c>
      <c r="V12" s="1455">
        <v>8</v>
      </c>
      <c r="W12" s="1454">
        <v>230202</v>
      </c>
      <c r="X12" s="1447" t="s">
        <v>27</v>
      </c>
      <c r="Y12" s="1103">
        <v>7800000</v>
      </c>
      <c r="Z12" s="1103">
        <v>10800000</v>
      </c>
      <c r="AA12" s="1103">
        <v>6980000</v>
      </c>
      <c r="AB12" s="1103">
        <v>7230000</v>
      </c>
      <c r="AC12" s="1455">
        <v>8</v>
      </c>
      <c r="AI12" s="1103"/>
      <c r="AL12" s="1123">
        <f>(M12+N12+O12+P12)/4</f>
        <v>2.4750000000000001E-2</v>
      </c>
      <c r="AM12" s="1047">
        <f t="shared" si="1"/>
        <v>0.34859154929577468</v>
      </c>
    </row>
    <row r="13" spans="1:40" s="1096" customFormat="1" ht="84" customHeight="1" x14ac:dyDescent="0.3">
      <c r="A13" s="1173" t="s">
        <v>4492</v>
      </c>
      <c r="B13" s="1116" t="s">
        <v>4507</v>
      </c>
      <c r="C13" s="1173" t="s">
        <v>4494</v>
      </c>
      <c r="D13" s="1104" t="s">
        <v>4495</v>
      </c>
      <c r="E13" s="1104" t="s">
        <v>4496</v>
      </c>
      <c r="F13" s="1454">
        <v>2</v>
      </c>
      <c r="G13" s="1103">
        <v>29870000</v>
      </c>
      <c r="H13" s="1178" t="s">
        <v>4511</v>
      </c>
      <c r="I13" s="1453" t="s">
        <v>4512</v>
      </c>
      <c r="J13" s="1453">
        <v>108</v>
      </c>
      <c r="K13" s="1453">
        <v>108</v>
      </c>
      <c r="L13" s="1453"/>
      <c r="M13" s="1451">
        <v>108</v>
      </c>
      <c r="N13" s="1451">
        <v>108</v>
      </c>
      <c r="O13" s="1455"/>
      <c r="P13" s="1455"/>
      <c r="Q13" s="1104" t="s">
        <v>4498</v>
      </c>
      <c r="T13" s="1104" t="s">
        <v>4513</v>
      </c>
      <c r="U13" s="1104" t="s">
        <v>4514</v>
      </c>
      <c r="V13" s="1455">
        <v>9</v>
      </c>
      <c r="W13" s="1454">
        <v>230202</v>
      </c>
      <c r="X13" s="1447" t="s">
        <v>27</v>
      </c>
      <c r="Y13" s="1103">
        <v>7600000</v>
      </c>
      <c r="Z13" s="1103">
        <v>10800000</v>
      </c>
      <c r="AA13" s="1103">
        <v>6980000</v>
      </c>
      <c r="AB13" s="1103">
        <v>7230000</v>
      </c>
      <c r="AC13" s="1455">
        <v>9</v>
      </c>
      <c r="AI13" s="1103"/>
      <c r="AL13" s="1110" t="s">
        <v>4515</v>
      </c>
      <c r="AM13" s="1047" t="e">
        <f t="shared" si="1"/>
        <v>#VALUE!</v>
      </c>
      <c r="AN13" s="1096" t="s">
        <v>2600</v>
      </c>
    </row>
    <row r="14" spans="1:40" s="1096" customFormat="1" ht="138.75" customHeight="1" x14ac:dyDescent="0.3">
      <c r="A14" s="1173" t="s">
        <v>4492</v>
      </c>
      <c r="B14" s="1116" t="s">
        <v>4507</v>
      </c>
      <c r="C14" s="1173" t="s">
        <v>4494</v>
      </c>
      <c r="D14" s="1104" t="s">
        <v>4495</v>
      </c>
      <c r="E14" s="1104" t="s">
        <v>4496</v>
      </c>
      <c r="F14" s="1454">
        <v>2</v>
      </c>
      <c r="G14" s="1103">
        <v>29870000</v>
      </c>
      <c r="H14" s="1177" t="s">
        <v>4516</v>
      </c>
      <c r="I14" s="1452" t="s">
        <v>4517</v>
      </c>
      <c r="J14" s="1454">
        <v>467</v>
      </c>
      <c r="K14" s="1454">
        <v>467</v>
      </c>
      <c r="L14" s="1452"/>
      <c r="M14" s="1136">
        <v>0.03</v>
      </c>
      <c r="N14" s="1136">
        <v>0.03</v>
      </c>
      <c r="O14" s="1454"/>
      <c r="P14" s="1454"/>
      <c r="Q14" s="1104" t="s">
        <v>4498</v>
      </c>
      <c r="T14" s="1104" t="s">
        <v>4518</v>
      </c>
      <c r="U14" s="1104" t="s">
        <v>4519</v>
      </c>
      <c r="V14" s="1455">
        <v>10</v>
      </c>
      <c r="W14" s="1454">
        <v>230202</v>
      </c>
      <c r="X14" s="1447" t="s">
        <v>27</v>
      </c>
      <c r="Y14" s="1158">
        <v>8000000</v>
      </c>
      <c r="Z14" s="1158">
        <v>10800000</v>
      </c>
      <c r="AA14" s="1158">
        <v>6980000</v>
      </c>
      <c r="AB14" s="1158">
        <v>7230000</v>
      </c>
      <c r="AC14" s="1455">
        <v>10</v>
      </c>
      <c r="AI14" s="1103"/>
      <c r="AL14" s="1176">
        <f>M14+N14+O14+P14</f>
        <v>0.06</v>
      </c>
      <c r="AM14" s="1047">
        <f t="shared" si="1"/>
        <v>1.284796573875803E-4</v>
      </c>
    </row>
    <row r="15" spans="1:40" s="1096" customFormat="1" ht="102" customHeight="1" x14ac:dyDescent="0.3">
      <c r="A15" s="1173" t="s">
        <v>4492</v>
      </c>
      <c r="B15" s="1116" t="s">
        <v>4507</v>
      </c>
      <c r="C15" s="1173" t="s">
        <v>4494</v>
      </c>
      <c r="D15" s="1104" t="s">
        <v>4495</v>
      </c>
      <c r="E15" s="1104" t="s">
        <v>4496</v>
      </c>
      <c r="F15" s="1454">
        <v>2</v>
      </c>
      <c r="G15" s="1103">
        <v>29870000</v>
      </c>
      <c r="H15" s="1175" t="s">
        <v>4520</v>
      </c>
      <c r="I15" s="1453" t="s">
        <v>4521</v>
      </c>
      <c r="J15" s="1453">
        <v>2.1</v>
      </c>
      <c r="K15" s="1453">
        <v>2.1</v>
      </c>
      <c r="L15" s="1453"/>
      <c r="M15" s="1174">
        <v>21.1</v>
      </c>
      <c r="N15" s="1174">
        <v>21.1</v>
      </c>
      <c r="O15" s="1456"/>
      <c r="P15" s="1456"/>
      <c r="Q15" s="1104" t="s">
        <v>4498</v>
      </c>
      <c r="T15" s="1104" t="s">
        <v>4522</v>
      </c>
      <c r="U15" s="1104" t="s">
        <v>4523</v>
      </c>
      <c r="V15" s="1455">
        <v>11</v>
      </c>
      <c r="W15" s="1454">
        <v>230202</v>
      </c>
      <c r="X15" s="1447" t="s">
        <v>27</v>
      </c>
      <c r="Y15" s="1158">
        <v>7600000</v>
      </c>
      <c r="Z15" s="1158">
        <v>10800000</v>
      </c>
      <c r="AA15" s="1158">
        <v>6980000</v>
      </c>
      <c r="AB15" s="1158">
        <v>7230000</v>
      </c>
      <c r="AC15" s="1455">
        <v>11</v>
      </c>
      <c r="AI15" s="1103"/>
      <c r="AL15" s="1141" t="s">
        <v>4524</v>
      </c>
      <c r="AM15" s="1047" t="e">
        <f t="shared" si="1"/>
        <v>#VALUE!</v>
      </c>
    </row>
    <row r="16" spans="1:40" s="1096" customFormat="1" ht="90.75" customHeight="1" x14ac:dyDescent="0.3">
      <c r="A16" s="1173" t="s">
        <v>4492</v>
      </c>
      <c r="B16" s="1116" t="s">
        <v>4507</v>
      </c>
      <c r="C16" s="1173" t="s">
        <v>4494</v>
      </c>
      <c r="D16" s="1104" t="s">
        <v>4495</v>
      </c>
      <c r="E16" s="1104" t="s">
        <v>4496</v>
      </c>
      <c r="F16" s="1454">
        <v>2</v>
      </c>
      <c r="G16" s="1103">
        <v>29926016.910000026</v>
      </c>
      <c r="H16" s="1172" t="s">
        <v>4525</v>
      </c>
      <c r="I16" s="1171" t="s">
        <v>4526</v>
      </c>
      <c r="J16" s="1170">
        <v>12295</v>
      </c>
      <c r="K16" s="1170">
        <v>12295</v>
      </c>
      <c r="L16" s="1170"/>
      <c r="M16" s="1169" t="s">
        <v>4527</v>
      </c>
      <c r="N16" s="1169" t="s">
        <v>4527</v>
      </c>
      <c r="O16" s="1168"/>
      <c r="P16" s="1168"/>
      <c r="Q16" s="1104" t="s">
        <v>4498</v>
      </c>
      <c r="T16" s="1104" t="s">
        <v>4528</v>
      </c>
      <c r="U16" s="1133" t="s">
        <v>4529</v>
      </c>
      <c r="V16" s="1455">
        <v>12</v>
      </c>
      <c r="W16" s="1454">
        <v>230202</v>
      </c>
      <c r="X16" s="1447" t="s">
        <v>27</v>
      </c>
      <c r="Y16" s="1158">
        <v>9210983</v>
      </c>
      <c r="Z16" s="1158">
        <v>10840978</v>
      </c>
      <c r="AA16" s="1158">
        <v>7024743.3800000027</v>
      </c>
      <c r="AB16" s="1158">
        <v>7319307.0300000012</v>
      </c>
      <c r="AC16" s="1455">
        <v>12</v>
      </c>
      <c r="AI16" s="1103"/>
      <c r="AL16" s="1167" t="e">
        <f>M16+N16+O16+P16</f>
        <v>#VALUE!</v>
      </c>
      <c r="AM16" s="1102" t="e">
        <f>AL16/J16</f>
        <v>#VALUE!</v>
      </c>
    </row>
    <row r="17" spans="1:40" s="1096" customFormat="1" ht="151.5" customHeight="1" x14ac:dyDescent="0.3">
      <c r="A17" s="1165" t="s">
        <v>4530</v>
      </c>
      <c r="B17" s="1166" t="s">
        <v>4531</v>
      </c>
      <c r="C17" s="1165" t="s">
        <v>4532</v>
      </c>
      <c r="D17" s="1104" t="s">
        <v>4486</v>
      </c>
      <c r="E17" s="1104" t="s">
        <v>4533</v>
      </c>
      <c r="F17" s="1454">
        <v>3</v>
      </c>
      <c r="G17" s="1103">
        <f t="shared" ref="G17:G48" si="2">+Y17+Z17+AA17+AB17</f>
        <v>334463850</v>
      </c>
      <c r="H17" s="1106" t="s">
        <v>4534</v>
      </c>
      <c r="I17" s="1453">
        <v>1</v>
      </c>
      <c r="J17" s="1453">
        <v>1</v>
      </c>
      <c r="K17" s="1453">
        <v>1</v>
      </c>
      <c r="L17" s="1453"/>
      <c r="M17" s="1161">
        <v>1</v>
      </c>
      <c r="N17" s="1161">
        <v>1</v>
      </c>
      <c r="O17" s="1454"/>
      <c r="P17" s="1454"/>
      <c r="Q17" s="1104" t="s">
        <v>4535</v>
      </c>
      <c r="T17" s="1449">
        <v>0</v>
      </c>
      <c r="U17" s="1093" t="s">
        <v>4536</v>
      </c>
      <c r="V17" s="1455">
        <v>13</v>
      </c>
      <c r="W17" s="1454">
        <v>230202</v>
      </c>
      <c r="X17" s="1447" t="s">
        <v>27</v>
      </c>
      <c r="Y17" s="1163">
        <v>135218300</v>
      </c>
      <c r="Z17" s="1158">
        <v>87650000</v>
      </c>
      <c r="AA17" s="1158">
        <v>68461000</v>
      </c>
      <c r="AB17" s="1158">
        <v>43134550</v>
      </c>
      <c r="AC17" s="1455">
        <v>13</v>
      </c>
      <c r="AI17" s="1103"/>
      <c r="AL17" s="1117">
        <f>M17+N17+O17</f>
        <v>2</v>
      </c>
      <c r="AM17" s="1102">
        <f>AL17/K17</f>
        <v>2</v>
      </c>
    </row>
    <row r="18" spans="1:40" s="1096" customFormat="1" ht="70.5" customHeight="1" x14ac:dyDescent="0.3">
      <c r="A18" s="1165" t="s">
        <v>4530</v>
      </c>
      <c r="B18" s="1460" t="s">
        <v>4537</v>
      </c>
      <c r="C18" s="1165" t="s">
        <v>4532</v>
      </c>
      <c r="D18" s="1104" t="s">
        <v>4486</v>
      </c>
      <c r="E18" s="1104" t="s">
        <v>4533</v>
      </c>
      <c r="F18" s="1454">
        <v>3</v>
      </c>
      <c r="G18" s="1103">
        <f t="shared" si="2"/>
        <v>334475701.45999998</v>
      </c>
      <c r="H18" s="1106" t="s">
        <v>4538</v>
      </c>
      <c r="I18" s="1452">
        <v>0.97</v>
      </c>
      <c r="J18" s="1452"/>
      <c r="K18" s="1452">
        <v>0.97</v>
      </c>
      <c r="L18" s="1452"/>
      <c r="M18" s="1164">
        <v>0.88</v>
      </c>
      <c r="N18" s="1164">
        <v>0.76</v>
      </c>
      <c r="O18" s="1447"/>
      <c r="P18" s="1120"/>
      <c r="Q18" s="1104" t="s">
        <v>4535</v>
      </c>
      <c r="T18" s="1456">
        <v>0.95</v>
      </c>
      <c r="U18" s="1104" t="s">
        <v>4539</v>
      </c>
      <c r="V18" s="1455">
        <v>14</v>
      </c>
      <c r="W18" s="1454">
        <v>230202</v>
      </c>
      <c r="X18" s="1447" t="s">
        <v>27</v>
      </c>
      <c r="Y18" s="1163">
        <v>135218424</v>
      </c>
      <c r="Z18" s="1158">
        <v>87663540</v>
      </c>
      <c r="AA18" s="1158">
        <v>68459173.919999987</v>
      </c>
      <c r="AB18" s="1158">
        <v>43134563.540000007</v>
      </c>
      <c r="AC18" s="1455">
        <v>14</v>
      </c>
      <c r="AI18" s="1103"/>
      <c r="AL18" s="1141">
        <v>0.97</v>
      </c>
      <c r="AM18" s="1141">
        <f>AL18/K18</f>
        <v>1</v>
      </c>
    </row>
    <row r="19" spans="1:40" s="1096" customFormat="1" ht="69.75" customHeight="1" x14ac:dyDescent="0.3">
      <c r="A19" s="1159" t="s">
        <v>4540</v>
      </c>
      <c r="B19" s="1160" t="s">
        <v>4541</v>
      </c>
      <c r="C19" s="1159" t="s">
        <v>4542</v>
      </c>
      <c r="D19" s="1103">
        <v>0</v>
      </c>
      <c r="E19" s="1104" t="s">
        <v>4543</v>
      </c>
      <c r="F19" s="1454">
        <v>4</v>
      </c>
      <c r="G19" s="1103">
        <f t="shared" si="2"/>
        <v>19291000</v>
      </c>
      <c r="H19" s="1106" t="s">
        <v>4544</v>
      </c>
      <c r="I19" s="1155" t="s">
        <v>4545</v>
      </c>
      <c r="J19" s="1155">
        <v>2.4E-2</v>
      </c>
      <c r="K19" s="1155">
        <v>2.4E-2</v>
      </c>
      <c r="L19" s="1155"/>
      <c r="M19" s="1450">
        <v>0.02</v>
      </c>
      <c r="N19" s="1132">
        <v>1.7000000000000001E-2</v>
      </c>
      <c r="O19" s="1447"/>
      <c r="P19" s="1456"/>
      <c r="Q19" s="1104" t="s">
        <v>4546</v>
      </c>
      <c r="T19" s="1449" t="s">
        <v>4547</v>
      </c>
      <c r="U19" s="1104" t="s">
        <v>4548</v>
      </c>
      <c r="V19" s="1455">
        <v>15</v>
      </c>
      <c r="W19" s="1454">
        <v>230202</v>
      </c>
      <c r="X19" s="1447" t="s">
        <v>27</v>
      </c>
      <c r="Y19" s="1158">
        <v>5000000</v>
      </c>
      <c r="Z19" s="1158">
        <v>5000000</v>
      </c>
      <c r="AA19" s="1158">
        <v>4591000</v>
      </c>
      <c r="AB19" s="1158">
        <v>4700000</v>
      </c>
      <c r="AC19" s="1455">
        <v>15</v>
      </c>
      <c r="AI19" s="1103"/>
      <c r="AL19" s="1141">
        <v>0.02</v>
      </c>
      <c r="AM19" s="1141">
        <v>1.2</v>
      </c>
      <c r="AN19" s="1156" t="s">
        <v>4549</v>
      </c>
    </row>
    <row r="20" spans="1:40" s="1096" customFormat="1" ht="65.25" customHeight="1" x14ac:dyDescent="0.3">
      <c r="A20" s="1159" t="s">
        <v>4540</v>
      </c>
      <c r="B20" s="1160" t="s">
        <v>4541</v>
      </c>
      <c r="C20" s="1159" t="s">
        <v>4542</v>
      </c>
      <c r="D20" s="1103">
        <v>0</v>
      </c>
      <c r="E20" s="1104" t="s">
        <v>4543</v>
      </c>
      <c r="F20" s="1454">
        <v>4</v>
      </c>
      <c r="G20" s="1103">
        <f t="shared" si="2"/>
        <v>19291000</v>
      </c>
      <c r="H20" s="1106" t="s">
        <v>4550</v>
      </c>
      <c r="I20" s="1452">
        <v>0.11</v>
      </c>
      <c r="J20" s="1452">
        <v>0.11</v>
      </c>
      <c r="K20" s="1452">
        <v>0.11</v>
      </c>
      <c r="L20" s="1452"/>
      <c r="M20" s="1126">
        <v>9.3899999999999997E-2</v>
      </c>
      <c r="N20" s="1126">
        <v>0.1043</v>
      </c>
      <c r="O20" s="1447"/>
      <c r="P20" s="1120"/>
      <c r="Q20" s="1104" t="s">
        <v>4546</v>
      </c>
      <c r="T20" s="1452">
        <v>0.11</v>
      </c>
      <c r="U20" s="1104" t="s">
        <v>4551</v>
      </c>
      <c r="V20" s="1455">
        <v>16</v>
      </c>
      <c r="W20" s="1454">
        <v>230202</v>
      </c>
      <c r="X20" s="1447" t="s">
        <v>27</v>
      </c>
      <c r="Y20" s="1158">
        <v>5000000</v>
      </c>
      <c r="Z20" s="1158">
        <v>5000000</v>
      </c>
      <c r="AA20" s="1158">
        <v>4591000</v>
      </c>
      <c r="AB20" s="1158">
        <v>4700000</v>
      </c>
      <c r="AC20" s="1455">
        <v>16</v>
      </c>
      <c r="AI20" s="1103"/>
      <c r="AL20" s="1142">
        <v>0.11</v>
      </c>
      <c r="AM20" s="1102">
        <f>AL20/K20</f>
        <v>1</v>
      </c>
    </row>
    <row r="21" spans="1:40" s="1096" customFormat="1" ht="84.75" customHeight="1" x14ac:dyDescent="0.3">
      <c r="A21" s="1159" t="s">
        <v>4540</v>
      </c>
      <c r="B21" s="1160" t="s">
        <v>4541</v>
      </c>
      <c r="C21" s="1159" t="s">
        <v>4542</v>
      </c>
      <c r="D21" s="1103">
        <v>0</v>
      </c>
      <c r="E21" s="1104" t="s">
        <v>4543</v>
      </c>
      <c r="F21" s="1454">
        <v>4</v>
      </c>
      <c r="G21" s="1103">
        <f t="shared" si="2"/>
        <v>19291000</v>
      </c>
      <c r="H21" s="1106" t="s">
        <v>4552</v>
      </c>
      <c r="I21" s="1155">
        <v>1.7999999999999999E-2</v>
      </c>
      <c r="J21" s="1155">
        <v>1.7999999999999999E-2</v>
      </c>
      <c r="K21" s="1155">
        <v>1.7999999999999999E-2</v>
      </c>
      <c r="L21" s="1155"/>
      <c r="M21" s="1162">
        <v>1.7999999999999999E-2</v>
      </c>
      <c r="N21" s="1162">
        <v>1.7999999999999999E-2</v>
      </c>
      <c r="O21" s="1447"/>
      <c r="P21" s="1120"/>
      <c r="Q21" s="1104" t="s">
        <v>4546</v>
      </c>
      <c r="T21" s="1449" t="s">
        <v>4553</v>
      </c>
      <c r="U21" s="1104" t="s">
        <v>4554</v>
      </c>
      <c r="V21" s="1455">
        <v>17</v>
      </c>
      <c r="W21" s="1454">
        <v>230202</v>
      </c>
      <c r="X21" s="1447" t="s">
        <v>27</v>
      </c>
      <c r="Y21" s="1158">
        <v>5000000</v>
      </c>
      <c r="Z21" s="1158">
        <v>5000000</v>
      </c>
      <c r="AA21" s="1158">
        <v>4591000</v>
      </c>
      <c r="AB21" s="1158">
        <v>4700000</v>
      </c>
      <c r="AC21" s="1455">
        <v>17</v>
      </c>
      <c r="AI21" s="1103"/>
      <c r="AL21" s="1123">
        <v>0.02</v>
      </c>
      <c r="AM21" s="1119">
        <f>K21/AL21</f>
        <v>0.89999999999999991</v>
      </c>
      <c r="AN21" s="1156" t="s">
        <v>4555</v>
      </c>
    </row>
    <row r="22" spans="1:40" s="1096" customFormat="1" ht="60" customHeight="1" x14ac:dyDescent="0.3">
      <c r="A22" s="1159" t="s">
        <v>4540</v>
      </c>
      <c r="B22" s="1160" t="s">
        <v>4541</v>
      </c>
      <c r="C22" s="1159" t="s">
        <v>4542</v>
      </c>
      <c r="D22" s="1103">
        <v>0</v>
      </c>
      <c r="E22" s="1104" t="s">
        <v>4543</v>
      </c>
      <c r="F22" s="1454">
        <v>4</v>
      </c>
      <c r="G22" s="1103">
        <f t="shared" si="2"/>
        <v>19291000</v>
      </c>
      <c r="H22" s="1106" t="s">
        <v>4556</v>
      </c>
      <c r="I22" s="1453">
        <v>2</v>
      </c>
      <c r="J22" s="1453">
        <v>1.9</v>
      </c>
      <c r="K22" s="1453"/>
      <c r="L22" s="1453"/>
      <c r="M22" s="1161">
        <v>2</v>
      </c>
      <c r="N22" s="1161">
        <v>2</v>
      </c>
      <c r="O22" s="1447"/>
      <c r="P22" s="1447"/>
      <c r="Q22" s="1104" t="s">
        <v>4546</v>
      </c>
      <c r="T22" s="1449" t="s">
        <v>4557</v>
      </c>
      <c r="U22" s="1104" t="s">
        <v>4558</v>
      </c>
      <c r="V22" s="1455">
        <v>18</v>
      </c>
      <c r="W22" s="1454">
        <v>230202</v>
      </c>
      <c r="X22" s="1447" t="s">
        <v>27</v>
      </c>
      <c r="Y22" s="1158">
        <v>5000000</v>
      </c>
      <c r="Z22" s="1158">
        <v>5000000</v>
      </c>
      <c r="AA22" s="1158">
        <v>4591000</v>
      </c>
      <c r="AB22" s="1158">
        <v>4700000</v>
      </c>
      <c r="AC22" s="1455">
        <v>18</v>
      </c>
      <c r="AI22" s="1103"/>
      <c r="AL22" s="1117">
        <v>2</v>
      </c>
      <c r="AM22" s="1102" t="e">
        <f>AL22/K22</f>
        <v>#DIV/0!</v>
      </c>
    </row>
    <row r="23" spans="1:40" s="1096" customFormat="1" ht="69" customHeight="1" x14ac:dyDescent="0.3">
      <c r="A23" s="1159" t="s">
        <v>4540</v>
      </c>
      <c r="B23" s="1160" t="s">
        <v>4541</v>
      </c>
      <c r="C23" s="1159" t="s">
        <v>4542</v>
      </c>
      <c r="D23" s="1103">
        <v>0</v>
      </c>
      <c r="E23" s="1104" t="s">
        <v>4543</v>
      </c>
      <c r="F23" s="1454">
        <v>4</v>
      </c>
      <c r="G23" s="1103">
        <f t="shared" si="2"/>
        <v>19291000</v>
      </c>
      <c r="H23" s="1128" t="s">
        <v>4559</v>
      </c>
      <c r="I23" s="1155">
        <v>4.7E-2</v>
      </c>
      <c r="J23" s="1155">
        <v>4.7E-2</v>
      </c>
      <c r="K23" s="1155">
        <v>4.7E-2</v>
      </c>
      <c r="L23" s="1155"/>
      <c r="M23" s="1450">
        <v>0.05</v>
      </c>
      <c r="N23" s="1132">
        <v>6.2E-2</v>
      </c>
      <c r="O23" s="1447"/>
      <c r="P23" s="1120"/>
      <c r="Q23" s="1104" t="s">
        <v>4546</v>
      </c>
      <c r="T23" s="1449" t="s">
        <v>4560</v>
      </c>
      <c r="U23" s="1104" t="s">
        <v>3324</v>
      </c>
      <c r="V23" s="1455">
        <v>19</v>
      </c>
      <c r="W23" s="1454">
        <v>230202</v>
      </c>
      <c r="X23" s="1447" t="s">
        <v>27</v>
      </c>
      <c r="Y23" s="1158">
        <v>5000000</v>
      </c>
      <c r="Z23" s="1158">
        <v>5000000</v>
      </c>
      <c r="AA23" s="1158">
        <v>4591000</v>
      </c>
      <c r="AB23" s="1158">
        <v>4700000</v>
      </c>
      <c r="AC23" s="1455">
        <v>19</v>
      </c>
      <c r="AI23" s="1103"/>
      <c r="AL23" s="1123">
        <v>0.06</v>
      </c>
      <c r="AM23" s="1119" t="e">
        <f>K23/P23</f>
        <v>#DIV/0!</v>
      </c>
    </row>
    <row r="24" spans="1:40" s="1096" customFormat="1" ht="66" customHeight="1" x14ac:dyDescent="0.3">
      <c r="A24" s="1152" t="s">
        <v>4540</v>
      </c>
      <c r="B24" s="1153" t="s">
        <v>4541</v>
      </c>
      <c r="C24" s="1152" t="s">
        <v>4561</v>
      </c>
      <c r="D24" s="1103" t="s">
        <v>4486</v>
      </c>
      <c r="E24" s="1104" t="s">
        <v>4562</v>
      </c>
      <c r="F24" s="1454">
        <v>5</v>
      </c>
      <c r="G24" s="1103">
        <f t="shared" si="2"/>
        <v>19291000</v>
      </c>
      <c r="H24" s="1106" t="s">
        <v>4563</v>
      </c>
      <c r="I24" s="1155">
        <v>0.185</v>
      </c>
      <c r="J24" s="1155">
        <v>0.185</v>
      </c>
      <c r="K24" s="1155">
        <v>0.185</v>
      </c>
      <c r="L24" s="1155"/>
      <c r="M24" s="1132">
        <v>0.22500000000000001</v>
      </c>
      <c r="N24" s="1450">
        <v>0.18</v>
      </c>
      <c r="O24" s="1447"/>
      <c r="P24" s="1120"/>
      <c r="Q24" s="1104" t="s">
        <v>4546</v>
      </c>
      <c r="T24" s="1449" t="s">
        <v>4564</v>
      </c>
      <c r="U24" s="1104" t="s">
        <v>4565</v>
      </c>
      <c r="V24" s="1455">
        <v>20</v>
      </c>
      <c r="W24" s="1454">
        <v>230202</v>
      </c>
      <c r="X24" s="1447" t="s">
        <v>27</v>
      </c>
      <c r="Y24" s="1158">
        <v>5000000</v>
      </c>
      <c r="Z24" s="1158">
        <v>5000000</v>
      </c>
      <c r="AA24" s="1158">
        <v>4591000</v>
      </c>
      <c r="AB24" s="1158">
        <v>4700000</v>
      </c>
      <c r="AC24" s="1455">
        <v>20</v>
      </c>
      <c r="AI24" s="1103"/>
      <c r="AL24" s="1142">
        <v>0.18</v>
      </c>
      <c r="AM24" s="1157">
        <f>P24/K24</f>
        <v>0</v>
      </c>
      <c r="AN24" s="1156"/>
    </row>
    <row r="25" spans="1:40" s="1096" customFormat="1" ht="66.75" customHeight="1" x14ac:dyDescent="0.3">
      <c r="A25" s="1152" t="s">
        <v>4540</v>
      </c>
      <c r="B25" s="1153" t="s">
        <v>4541</v>
      </c>
      <c r="C25" s="1152" t="s">
        <v>4561</v>
      </c>
      <c r="D25" s="1103" t="s">
        <v>4486</v>
      </c>
      <c r="E25" s="1104" t="s">
        <v>4562</v>
      </c>
      <c r="F25" s="1454">
        <v>5</v>
      </c>
      <c r="G25" s="1103">
        <f t="shared" si="2"/>
        <v>19291000</v>
      </c>
      <c r="H25" s="1106" t="s">
        <v>4566</v>
      </c>
      <c r="I25" s="1155">
        <v>9.1999999999999998E-2</v>
      </c>
      <c r="J25" s="1155">
        <v>9.1999999999999998E-2</v>
      </c>
      <c r="K25" s="1155">
        <v>9.1999999999999998E-2</v>
      </c>
      <c r="L25" s="1155"/>
      <c r="M25" s="1154">
        <v>9.1999999999999998E-2</v>
      </c>
      <c r="N25" s="1154">
        <v>9.1999999999999998E-2</v>
      </c>
      <c r="O25" s="1447"/>
      <c r="P25" s="1120"/>
      <c r="Q25" s="1104" t="s">
        <v>4546</v>
      </c>
      <c r="T25" s="1124">
        <v>9.6000000000000002E-2</v>
      </c>
      <c r="U25" s="1104" t="s">
        <v>4567</v>
      </c>
      <c r="V25" s="1455">
        <v>21</v>
      </c>
      <c r="W25" s="1454">
        <v>230202</v>
      </c>
      <c r="X25" s="1447" t="s">
        <v>27</v>
      </c>
      <c r="Y25" s="1108">
        <v>5000000</v>
      </c>
      <c r="Z25" s="1108">
        <v>5000000</v>
      </c>
      <c r="AA25" s="1108">
        <v>4591000</v>
      </c>
      <c r="AB25" s="1108">
        <v>4700000</v>
      </c>
      <c r="AC25" s="1455">
        <v>21</v>
      </c>
      <c r="AI25" s="1103"/>
      <c r="AL25" s="1142">
        <v>0.09</v>
      </c>
      <c r="AM25" s="1102">
        <v>1.02</v>
      </c>
    </row>
    <row r="26" spans="1:40" s="1096" customFormat="1" ht="45" customHeight="1" x14ac:dyDescent="0.3">
      <c r="A26" s="1152" t="s">
        <v>4540</v>
      </c>
      <c r="B26" s="1153" t="s">
        <v>4541</v>
      </c>
      <c r="C26" s="1152" t="s">
        <v>4561</v>
      </c>
      <c r="D26" s="1103" t="s">
        <v>4486</v>
      </c>
      <c r="E26" s="1104" t="s">
        <v>4562</v>
      </c>
      <c r="F26" s="1454">
        <v>5</v>
      </c>
      <c r="G26" s="1103">
        <f t="shared" si="2"/>
        <v>20292128.32</v>
      </c>
      <c r="H26" s="1106" t="s">
        <v>4568</v>
      </c>
      <c r="I26" s="1452">
        <v>0.7</v>
      </c>
      <c r="J26" s="1452">
        <v>0.69</v>
      </c>
      <c r="K26" s="1452">
        <v>0.7</v>
      </c>
      <c r="L26" s="1452"/>
      <c r="M26" s="1151">
        <v>0.7</v>
      </c>
      <c r="N26" s="1151">
        <v>0.7</v>
      </c>
      <c r="O26" s="1456"/>
      <c r="P26" s="1456"/>
      <c r="Q26" s="1104" t="s">
        <v>4546</v>
      </c>
      <c r="T26" s="1452">
        <v>0.5</v>
      </c>
      <c r="U26" s="1104" t="s">
        <v>4569</v>
      </c>
      <c r="V26" s="1455">
        <v>22</v>
      </c>
      <c r="W26" s="1454">
        <v>230202</v>
      </c>
      <c r="X26" s="1447" t="s">
        <v>27</v>
      </c>
      <c r="Y26" s="1108">
        <v>5000000</v>
      </c>
      <c r="Z26" s="1108">
        <v>6000000</v>
      </c>
      <c r="AA26" s="1108">
        <v>4590500</v>
      </c>
      <c r="AB26" s="1108">
        <v>4701628.32</v>
      </c>
      <c r="AC26" s="1455">
        <v>22</v>
      </c>
      <c r="AI26" s="1103"/>
      <c r="AL26" s="1141">
        <v>0.7</v>
      </c>
      <c r="AM26" s="1102">
        <f>AL26/K26</f>
        <v>1</v>
      </c>
    </row>
    <row r="27" spans="1:40" s="1096" customFormat="1" ht="97.5" customHeight="1" x14ac:dyDescent="0.3">
      <c r="A27" s="1150" t="s">
        <v>4570</v>
      </c>
      <c r="B27" s="1139" t="s">
        <v>4571</v>
      </c>
      <c r="C27" s="1150" t="s">
        <v>4572</v>
      </c>
      <c r="D27" s="1447" t="s">
        <v>4573</v>
      </c>
      <c r="E27" s="1104" t="s">
        <v>4574</v>
      </c>
      <c r="F27" s="1454">
        <v>6</v>
      </c>
      <c r="G27" s="1103">
        <f t="shared" si="2"/>
        <v>22797000</v>
      </c>
      <c r="H27" s="1106" t="s">
        <v>4575</v>
      </c>
      <c r="I27" s="1453" t="s">
        <v>4576</v>
      </c>
      <c r="J27" s="1453">
        <v>0.7</v>
      </c>
      <c r="K27" s="1453">
        <v>0.7</v>
      </c>
      <c r="L27" s="1453"/>
      <c r="M27" s="1451">
        <v>0</v>
      </c>
      <c r="N27" s="1451">
        <v>0</v>
      </c>
      <c r="O27" s="1455"/>
      <c r="P27" s="1455"/>
      <c r="Q27" s="1104" t="s">
        <v>4577</v>
      </c>
      <c r="T27" s="1449">
        <v>7.0000000000000007E-2</v>
      </c>
      <c r="U27" s="1104" t="s">
        <v>4578</v>
      </c>
      <c r="V27" s="1455">
        <v>23</v>
      </c>
      <c r="W27" s="1454">
        <v>230202</v>
      </c>
      <c r="X27" s="1447" t="s">
        <v>27</v>
      </c>
      <c r="Y27" s="1108">
        <v>6000000</v>
      </c>
      <c r="Z27" s="1108">
        <v>6000000</v>
      </c>
      <c r="AA27" s="1108">
        <v>5300000</v>
      </c>
      <c r="AB27" s="1108">
        <v>5497000</v>
      </c>
      <c r="AC27" s="1455">
        <v>23</v>
      </c>
      <c r="AI27" s="1103"/>
      <c r="AL27" s="1117">
        <f>M27+N27+O27</f>
        <v>0</v>
      </c>
      <c r="AM27" s="1102">
        <v>1</v>
      </c>
    </row>
    <row r="28" spans="1:40" s="1096" customFormat="1" ht="62.25" customHeight="1" x14ac:dyDescent="0.3">
      <c r="A28" s="1150" t="s">
        <v>4570</v>
      </c>
      <c r="B28" s="1139" t="s">
        <v>4571</v>
      </c>
      <c r="C28" s="1150" t="s">
        <v>4572</v>
      </c>
      <c r="D28" s="1447" t="s">
        <v>4573</v>
      </c>
      <c r="E28" s="1104" t="s">
        <v>4574</v>
      </c>
      <c r="F28" s="1454">
        <v>6</v>
      </c>
      <c r="G28" s="1103">
        <f t="shared" si="2"/>
        <v>22797000</v>
      </c>
      <c r="H28" s="1106" t="s">
        <v>4579</v>
      </c>
      <c r="I28" s="1453" t="s">
        <v>4580</v>
      </c>
      <c r="J28" s="1453"/>
      <c r="K28" s="1453">
        <v>0</v>
      </c>
      <c r="L28" s="1453"/>
      <c r="M28" s="1451">
        <v>0</v>
      </c>
      <c r="N28" s="1451">
        <v>0</v>
      </c>
      <c r="O28" s="1455"/>
      <c r="P28" s="1455"/>
      <c r="Q28" s="1104" t="s">
        <v>4577</v>
      </c>
      <c r="T28" s="1453">
        <v>0</v>
      </c>
      <c r="U28" s="1104" t="s">
        <v>4581</v>
      </c>
      <c r="V28" s="1455">
        <v>24</v>
      </c>
      <c r="W28" s="1454">
        <v>230202</v>
      </c>
      <c r="X28" s="1447" t="s">
        <v>27</v>
      </c>
      <c r="Y28" s="1108">
        <v>6000000</v>
      </c>
      <c r="Z28" s="1108">
        <v>6000000</v>
      </c>
      <c r="AA28" s="1108">
        <v>5300000</v>
      </c>
      <c r="AB28" s="1108">
        <v>5497000</v>
      </c>
      <c r="AC28" s="1455">
        <v>24</v>
      </c>
      <c r="AI28" s="1103"/>
      <c r="AL28" s="1117">
        <f>M28+N28+O28</f>
        <v>0</v>
      </c>
      <c r="AM28" s="1102">
        <v>1</v>
      </c>
    </row>
    <row r="29" spans="1:40" s="1096" customFormat="1" ht="64.5" customHeight="1" x14ac:dyDescent="0.3">
      <c r="A29" s="1150" t="s">
        <v>4570</v>
      </c>
      <c r="B29" s="1139" t="s">
        <v>4571</v>
      </c>
      <c r="C29" s="1150" t="s">
        <v>4572</v>
      </c>
      <c r="D29" s="1447" t="s">
        <v>4573</v>
      </c>
      <c r="E29" s="1104" t="s">
        <v>4574</v>
      </c>
      <c r="F29" s="1454">
        <v>6</v>
      </c>
      <c r="G29" s="1103">
        <f t="shared" si="2"/>
        <v>22797000</v>
      </c>
      <c r="H29" s="1106" t="s">
        <v>4582</v>
      </c>
      <c r="I29" s="1453">
        <v>12</v>
      </c>
      <c r="J29" s="1453">
        <v>12.2</v>
      </c>
      <c r="K29" s="1453">
        <v>12.1</v>
      </c>
      <c r="L29" s="1453">
        <v>12</v>
      </c>
      <c r="M29" s="1149">
        <v>0.12</v>
      </c>
      <c r="N29" s="1149">
        <v>0.12</v>
      </c>
      <c r="O29" s="1447"/>
      <c r="P29" s="1136"/>
      <c r="Q29" s="1104" t="s">
        <v>4577</v>
      </c>
      <c r="T29" s="1449">
        <v>12.2</v>
      </c>
      <c r="U29" s="1104" t="s">
        <v>4583</v>
      </c>
      <c r="V29" s="1455">
        <v>25</v>
      </c>
      <c r="W29" s="1454">
        <v>230202</v>
      </c>
      <c r="X29" s="1447" t="s">
        <v>27</v>
      </c>
      <c r="Y29" s="1103">
        <v>6000000</v>
      </c>
      <c r="Z29" s="1103">
        <v>6000000</v>
      </c>
      <c r="AA29" s="1103">
        <v>5300000</v>
      </c>
      <c r="AB29" s="1103">
        <v>5497000</v>
      </c>
      <c r="AC29" s="1455">
        <v>25</v>
      </c>
      <c r="AI29" s="1103"/>
      <c r="AL29" s="1102">
        <v>0.12</v>
      </c>
      <c r="AM29" s="1102">
        <v>1</v>
      </c>
    </row>
    <row r="30" spans="1:40" s="1096" customFormat="1" ht="84.75" customHeight="1" x14ac:dyDescent="0.3">
      <c r="A30" s="1104" t="s">
        <v>4570</v>
      </c>
      <c r="B30" s="1139" t="s">
        <v>4571</v>
      </c>
      <c r="C30" s="1107" t="s">
        <v>4584</v>
      </c>
      <c r="D30" s="1449" t="s">
        <v>4585</v>
      </c>
      <c r="E30" s="1143" t="s">
        <v>4586</v>
      </c>
      <c r="F30" s="1454">
        <v>7</v>
      </c>
      <c r="G30" s="1103">
        <f t="shared" si="2"/>
        <v>22797000</v>
      </c>
      <c r="H30" s="1106" t="s">
        <v>4587</v>
      </c>
      <c r="I30" s="1453">
        <v>80</v>
      </c>
      <c r="J30" s="1452">
        <v>0.6</v>
      </c>
      <c r="K30" s="1452">
        <v>0.7</v>
      </c>
      <c r="L30" s="1452">
        <v>0.8</v>
      </c>
      <c r="M30" s="1132">
        <v>0.49099999999999999</v>
      </c>
      <c r="N30" s="1132">
        <v>0.50729999999999997</v>
      </c>
      <c r="O30" s="1447"/>
      <c r="P30" s="1120"/>
      <c r="Q30" s="1104" t="s">
        <v>4577</v>
      </c>
      <c r="T30" s="1124">
        <v>0.67300000000000004</v>
      </c>
      <c r="U30" s="1104" t="s">
        <v>4588</v>
      </c>
      <c r="V30" s="1455">
        <v>26</v>
      </c>
      <c r="W30" s="1454">
        <v>230202</v>
      </c>
      <c r="X30" s="1447" t="s">
        <v>27</v>
      </c>
      <c r="Y30" s="1103">
        <v>6000000</v>
      </c>
      <c r="Z30" s="1103">
        <v>6000000</v>
      </c>
      <c r="AA30" s="1103">
        <v>5300000</v>
      </c>
      <c r="AB30" s="1103">
        <v>5497000</v>
      </c>
      <c r="AC30" s="1455">
        <v>26</v>
      </c>
      <c r="AI30" s="1103"/>
      <c r="AL30" s="1148">
        <v>0.66</v>
      </c>
      <c r="AM30" s="1102">
        <f>AL30/J30</f>
        <v>1.1000000000000001</v>
      </c>
    </row>
    <row r="31" spans="1:40" s="1096" customFormat="1" ht="144.75" customHeight="1" x14ac:dyDescent="0.3">
      <c r="A31" s="1104" t="s">
        <v>4570</v>
      </c>
      <c r="B31" s="1144" t="s">
        <v>4589</v>
      </c>
      <c r="C31" s="1107" t="s">
        <v>4584</v>
      </c>
      <c r="D31" s="1449" t="s">
        <v>4585</v>
      </c>
      <c r="E31" s="1143" t="s">
        <v>4586</v>
      </c>
      <c r="F31" s="1454">
        <v>7</v>
      </c>
      <c r="G31" s="1103">
        <f t="shared" si="2"/>
        <v>22797000</v>
      </c>
      <c r="H31" s="1106" t="s">
        <v>4590</v>
      </c>
      <c r="I31" s="1453">
        <v>95</v>
      </c>
      <c r="J31" s="1452">
        <v>0.8</v>
      </c>
      <c r="K31" s="1452">
        <v>0.85</v>
      </c>
      <c r="L31" s="1452">
        <v>0.95</v>
      </c>
      <c r="M31" s="1136">
        <v>0.875</v>
      </c>
      <c r="N31" s="1132">
        <v>0.86199999999999999</v>
      </c>
      <c r="O31" s="1447"/>
      <c r="P31" s="1120"/>
      <c r="Q31" s="1104" t="s">
        <v>4577</v>
      </c>
      <c r="T31" s="1449" t="s">
        <v>4591</v>
      </c>
      <c r="U31" s="1104" t="s">
        <v>4592</v>
      </c>
      <c r="V31" s="1455">
        <v>27</v>
      </c>
      <c r="W31" s="1454">
        <v>230202</v>
      </c>
      <c r="X31" s="1447" t="s">
        <v>27</v>
      </c>
      <c r="Y31" s="1108">
        <v>6000000</v>
      </c>
      <c r="Z31" s="1108">
        <v>6000000</v>
      </c>
      <c r="AA31" s="1108">
        <v>5300000</v>
      </c>
      <c r="AB31" s="1108">
        <v>5497000</v>
      </c>
      <c r="AC31" s="1455">
        <v>27</v>
      </c>
      <c r="AI31" s="1103"/>
      <c r="AL31" s="1148">
        <v>0.86</v>
      </c>
      <c r="AM31" s="1102">
        <f>AL31/J31</f>
        <v>1.075</v>
      </c>
    </row>
    <row r="32" spans="1:40" s="1096" customFormat="1" ht="120" customHeight="1" x14ac:dyDescent="0.3">
      <c r="A32" s="1104" t="s">
        <v>4570</v>
      </c>
      <c r="B32" s="1460" t="s">
        <v>4571</v>
      </c>
      <c r="C32" s="1107" t="s">
        <v>4584</v>
      </c>
      <c r="D32" s="1449" t="s">
        <v>4585</v>
      </c>
      <c r="E32" s="1143" t="s">
        <v>4586</v>
      </c>
      <c r="F32" s="1454">
        <v>7</v>
      </c>
      <c r="G32" s="1103">
        <f t="shared" si="2"/>
        <v>22797000</v>
      </c>
      <c r="H32" s="1128" t="s">
        <v>4593</v>
      </c>
      <c r="I32" s="1453" t="s">
        <v>4594</v>
      </c>
      <c r="J32" s="1453" t="s">
        <v>4595</v>
      </c>
      <c r="K32" s="1453" t="s">
        <v>4596</v>
      </c>
      <c r="L32" s="1453" t="s">
        <v>4597</v>
      </c>
      <c r="M32" s="1132">
        <v>0.26200000000000001</v>
      </c>
      <c r="N32" s="1132">
        <v>0.499</v>
      </c>
      <c r="O32" s="1447"/>
      <c r="P32" s="1147"/>
      <c r="Q32" s="1104" t="s">
        <v>4577</v>
      </c>
      <c r="T32" s="1453">
        <v>106.7</v>
      </c>
      <c r="U32" s="1104" t="s">
        <v>4598</v>
      </c>
      <c r="V32" s="1455">
        <v>28</v>
      </c>
      <c r="W32" s="1454">
        <v>230202</v>
      </c>
      <c r="X32" s="1447" t="s">
        <v>27</v>
      </c>
      <c r="Y32" s="1108">
        <v>6000000</v>
      </c>
      <c r="Z32" s="1108">
        <v>6000000</v>
      </c>
      <c r="AA32" s="1108">
        <v>5300000</v>
      </c>
      <c r="AB32" s="1108">
        <v>5497000</v>
      </c>
      <c r="AC32" s="1455">
        <v>28</v>
      </c>
      <c r="AI32" s="1103"/>
      <c r="AL32" s="1146">
        <f>M32+N32+O32</f>
        <v>0.76100000000000001</v>
      </c>
      <c r="AM32" s="1145">
        <v>1</v>
      </c>
      <c r="AN32" s="1122" t="s">
        <v>4599</v>
      </c>
    </row>
    <row r="33" spans="1:40" s="1096" customFormat="1" ht="110.25" customHeight="1" x14ac:dyDescent="0.3">
      <c r="A33" s="1104" t="s">
        <v>4570</v>
      </c>
      <c r="B33" s="1144" t="s">
        <v>4589</v>
      </c>
      <c r="C33" s="1107" t="s">
        <v>4584</v>
      </c>
      <c r="D33" s="1449" t="s">
        <v>4585</v>
      </c>
      <c r="E33" s="1143" t="s">
        <v>4586</v>
      </c>
      <c r="F33" s="1454">
        <v>7</v>
      </c>
      <c r="G33" s="1103">
        <f t="shared" si="2"/>
        <v>22797000</v>
      </c>
      <c r="H33" s="1128" t="s">
        <v>4600</v>
      </c>
      <c r="I33" s="1453" t="s">
        <v>4601</v>
      </c>
      <c r="J33" s="1452">
        <v>0.37</v>
      </c>
      <c r="K33" s="1452">
        <v>0.42</v>
      </c>
      <c r="L33" s="1452">
        <v>0.5</v>
      </c>
      <c r="M33" s="1450">
        <v>0.23</v>
      </c>
      <c r="N33" s="1126">
        <v>0.499</v>
      </c>
      <c r="O33" s="1447"/>
      <c r="P33" s="1120"/>
      <c r="Q33" s="1104" t="s">
        <v>4577</v>
      </c>
      <c r="T33" s="1124">
        <v>0.34899999999999998</v>
      </c>
      <c r="U33" s="1104" t="s">
        <v>4602</v>
      </c>
      <c r="V33" s="1455">
        <v>29</v>
      </c>
      <c r="W33" s="1454">
        <v>230202</v>
      </c>
      <c r="X33" s="1447" t="s">
        <v>27</v>
      </c>
      <c r="Y33" s="1103">
        <v>6000000</v>
      </c>
      <c r="Z33" s="1103">
        <v>6000000</v>
      </c>
      <c r="AA33" s="1103">
        <v>5300000</v>
      </c>
      <c r="AB33" s="1103">
        <v>5497000</v>
      </c>
      <c r="AC33" s="1455">
        <v>29</v>
      </c>
      <c r="AI33" s="1103"/>
      <c r="AL33" s="1102">
        <v>0.46</v>
      </c>
      <c r="AM33" s="1102">
        <f>AL33/J33</f>
        <v>1.2432432432432432</v>
      </c>
    </row>
    <row r="34" spans="1:40" s="1096" customFormat="1" ht="90.75" customHeight="1" x14ac:dyDescent="0.3">
      <c r="A34" s="1104" t="s">
        <v>4570</v>
      </c>
      <c r="B34" s="1460" t="s">
        <v>4571</v>
      </c>
      <c r="C34" s="1107" t="s">
        <v>4584</v>
      </c>
      <c r="D34" s="1449" t="s">
        <v>4585</v>
      </c>
      <c r="E34" s="1143" t="s">
        <v>4586</v>
      </c>
      <c r="F34" s="1454">
        <v>7</v>
      </c>
      <c r="G34" s="1103">
        <f t="shared" si="2"/>
        <v>22797000</v>
      </c>
      <c r="H34" s="1106" t="s">
        <v>4603</v>
      </c>
      <c r="I34" s="1453">
        <v>95.3</v>
      </c>
      <c r="J34" s="1124">
        <v>0.95299999999999996</v>
      </c>
      <c r="K34" s="1124">
        <v>0.95299999999999996</v>
      </c>
      <c r="L34" s="1124">
        <v>0.95299999999999996</v>
      </c>
      <c r="M34" s="1131">
        <v>0.95799999999999996</v>
      </c>
      <c r="N34" s="1131">
        <v>0.97099999999999997</v>
      </c>
      <c r="O34" s="1447"/>
      <c r="P34" s="1447"/>
      <c r="Q34" s="1104" t="s">
        <v>4577</v>
      </c>
      <c r="T34" s="1124">
        <v>0.95299999999999996</v>
      </c>
      <c r="U34" s="1104" t="s">
        <v>4604</v>
      </c>
      <c r="V34" s="1455">
        <v>30</v>
      </c>
      <c r="W34" s="1454">
        <v>230202</v>
      </c>
      <c r="X34" s="1447" t="s">
        <v>27</v>
      </c>
      <c r="Y34" s="1108">
        <v>6000000</v>
      </c>
      <c r="Z34" s="1108">
        <v>6000000</v>
      </c>
      <c r="AA34" s="1108">
        <v>5300000</v>
      </c>
      <c r="AB34" s="1108">
        <v>5497000</v>
      </c>
      <c r="AC34" s="1455">
        <v>30</v>
      </c>
      <c r="AI34" s="1103"/>
      <c r="AL34" s="1142">
        <v>0.95299999999999996</v>
      </c>
      <c r="AM34" s="1102">
        <v>1</v>
      </c>
    </row>
    <row r="35" spans="1:40" s="1096" customFormat="1" ht="60.75" customHeight="1" x14ac:dyDescent="0.25">
      <c r="A35" s="1104" t="s">
        <v>4570</v>
      </c>
      <c r="B35" s="1460" t="s">
        <v>4571</v>
      </c>
      <c r="C35" s="1138" t="s">
        <v>4481</v>
      </c>
      <c r="D35" s="1449" t="s">
        <v>4605</v>
      </c>
      <c r="E35" s="1449" t="s">
        <v>4606</v>
      </c>
      <c r="F35" s="1454">
        <v>8</v>
      </c>
      <c r="G35" s="1103">
        <f t="shared" si="2"/>
        <v>22797000</v>
      </c>
      <c r="H35" s="1106" t="s">
        <v>4607</v>
      </c>
      <c r="I35" s="1453" t="s">
        <v>4608</v>
      </c>
      <c r="J35" s="1452">
        <v>1</v>
      </c>
      <c r="K35" s="1452">
        <v>1</v>
      </c>
      <c r="L35" s="1452">
        <v>1</v>
      </c>
      <c r="M35" s="1450">
        <v>1</v>
      </c>
      <c r="N35" s="1450">
        <v>0.94</v>
      </c>
      <c r="O35" s="1456"/>
      <c r="P35" s="1456"/>
      <c r="Q35" s="1104" t="s">
        <v>4577</v>
      </c>
      <c r="T35" s="1452">
        <v>1</v>
      </c>
      <c r="U35" s="1104" t="s">
        <v>4609</v>
      </c>
      <c r="V35" s="1455">
        <v>31</v>
      </c>
      <c r="W35" s="1454">
        <v>230202</v>
      </c>
      <c r="X35" s="1447" t="s">
        <v>27</v>
      </c>
      <c r="Y35" s="1108">
        <v>6000000</v>
      </c>
      <c r="Z35" s="1108">
        <v>6000000</v>
      </c>
      <c r="AA35" s="1108">
        <v>5300000</v>
      </c>
      <c r="AB35" s="1108">
        <v>5497000</v>
      </c>
      <c r="AC35" s="1455">
        <v>31</v>
      </c>
      <c r="AI35" s="1103"/>
      <c r="AL35" s="1141">
        <v>1</v>
      </c>
      <c r="AM35" s="1102">
        <v>1</v>
      </c>
    </row>
    <row r="36" spans="1:40" s="1096" customFormat="1" ht="60.75" customHeight="1" x14ac:dyDescent="0.3">
      <c r="A36" s="1104" t="s">
        <v>4570</v>
      </c>
      <c r="B36" s="1460" t="s">
        <v>4589</v>
      </c>
      <c r="C36" s="1138" t="s">
        <v>4481</v>
      </c>
      <c r="D36" s="1449" t="s">
        <v>4605</v>
      </c>
      <c r="E36" s="1449" t="s">
        <v>4606</v>
      </c>
      <c r="F36" s="1454">
        <v>8</v>
      </c>
      <c r="G36" s="1103">
        <f t="shared" si="2"/>
        <v>22797000</v>
      </c>
      <c r="H36" s="1106" t="s">
        <v>4610</v>
      </c>
      <c r="I36" s="1452">
        <v>0.01</v>
      </c>
      <c r="J36" s="1447" t="s">
        <v>4611</v>
      </c>
      <c r="K36" s="1453">
        <v>0</v>
      </c>
      <c r="L36" s="1453">
        <v>0</v>
      </c>
      <c r="M36" s="1136">
        <v>0</v>
      </c>
      <c r="N36" s="1136">
        <v>0</v>
      </c>
      <c r="O36" s="1455"/>
      <c r="P36" s="1455"/>
      <c r="Q36" s="1104" t="s">
        <v>4577</v>
      </c>
      <c r="T36" s="1449">
        <v>1.6E-2</v>
      </c>
      <c r="U36" s="1104" t="s">
        <v>4612</v>
      </c>
      <c r="V36" s="1455">
        <v>32</v>
      </c>
      <c r="W36" s="1454">
        <v>230202</v>
      </c>
      <c r="X36" s="1447" t="s">
        <v>27</v>
      </c>
      <c r="Y36" s="1108">
        <v>6000000</v>
      </c>
      <c r="Z36" s="1108">
        <v>6000000</v>
      </c>
      <c r="AA36" s="1108">
        <v>5300000</v>
      </c>
      <c r="AB36" s="1108">
        <v>5497000</v>
      </c>
      <c r="AC36" s="1455">
        <v>32</v>
      </c>
      <c r="AI36" s="1103"/>
      <c r="AL36" s="1110">
        <v>0</v>
      </c>
      <c r="AM36" s="1102">
        <v>1</v>
      </c>
    </row>
    <row r="37" spans="1:40" s="1096" customFormat="1" ht="82.5" customHeight="1" x14ac:dyDescent="0.3">
      <c r="A37" s="1104" t="s">
        <v>4570</v>
      </c>
      <c r="B37" s="1460" t="s">
        <v>4589</v>
      </c>
      <c r="C37" s="1138" t="s">
        <v>4481</v>
      </c>
      <c r="D37" s="1449" t="s">
        <v>4605</v>
      </c>
      <c r="E37" s="1449" t="s">
        <v>4606</v>
      </c>
      <c r="F37" s="1454">
        <v>8</v>
      </c>
      <c r="G37" s="1103">
        <f t="shared" si="2"/>
        <v>20906249.740000002</v>
      </c>
      <c r="H37" s="1106" t="s">
        <v>4613</v>
      </c>
      <c r="I37" s="1453" t="s">
        <v>4614</v>
      </c>
      <c r="J37" s="1453">
        <v>0</v>
      </c>
      <c r="K37" s="1453">
        <v>0</v>
      </c>
      <c r="L37" s="1453">
        <v>0</v>
      </c>
      <c r="M37" s="1136">
        <v>0</v>
      </c>
      <c r="N37" s="1136">
        <v>0</v>
      </c>
      <c r="O37" s="1455"/>
      <c r="P37" s="1120"/>
      <c r="Q37" s="1104" t="s">
        <v>4577</v>
      </c>
      <c r="T37" s="1449" t="s">
        <v>4615</v>
      </c>
      <c r="U37" s="1104" t="s">
        <v>4616</v>
      </c>
      <c r="V37" s="1455">
        <v>33</v>
      </c>
      <c r="W37" s="1454">
        <v>230202</v>
      </c>
      <c r="X37" s="1447" t="s">
        <v>27</v>
      </c>
      <c r="Y37" s="1108">
        <v>5284626</v>
      </c>
      <c r="Z37" s="1108">
        <v>4784220</v>
      </c>
      <c r="AA37" s="1108">
        <v>5339014.8500000015</v>
      </c>
      <c r="AB37" s="1108">
        <v>5498388.8900000006</v>
      </c>
      <c r="AC37" s="1455">
        <v>33</v>
      </c>
      <c r="AD37" s="1096">
        <v>0</v>
      </c>
      <c r="AE37" s="1103">
        <v>4784220</v>
      </c>
      <c r="AF37" s="1096">
        <v>0</v>
      </c>
      <c r="AI37" s="1103"/>
      <c r="AL37" s="1110">
        <f>M37+N37+O37</f>
        <v>0</v>
      </c>
      <c r="AM37" s="1102">
        <v>1</v>
      </c>
    </row>
    <row r="38" spans="1:40" s="1096" customFormat="1" ht="82.5" customHeight="1" x14ac:dyDescent="0.25">
      <c r="A38" s="1104" t="s">
        <v>4617</v>
      </c>
      <c r="B38" s="1140" t="s">
        <v>4618</v>
      </c>
      <c r="C38" s="1138" t="s">
        <v>4481</v>
      </c>
      <c r="D38" s="1449" t="s">
        <v>4605</v>
      </c>
      <c r="E38" s="1104" t="s">
        <v>4606</v>
      </c>
      <c r="F38" s="1454">
        <v>9</v>
      </c>
      <c r="G38" s="1103">
        <f t="shared" si="2"/>
        <v>49915161</v>
      </c>
      <c r="H38" s="1106" t="s">
        <v>4619</v>
      </c>
      <c r="I38" s="1453" t="s">
        <v>4580</v>
      </c>
      <c r="J38" s="1453">
        <v>0</v>
      </c>
      <c r="K38" s="1453">
        <v>0</v>
      </c>
      <c r="L38" s="1453">
        <v>0</v>
      </c>
      <c r="M38" s="1136">
        <v>0</v>
      </c>
      <c r="N38" s="1136">
        <v>0</v>
      </c>
      <c r="O38" s="1455"/>
      <c r="P38" s="1455"/>
      <c r="Q38" s="1104" t="s">
        <v>4620</v>
      </c>
      <c r="T38" s="1453">
        <v>0</v>
      </c>
      <c r="U38" s="1104" t="s">
        <v>4621</v>
      </c>
      <c r="V38" s="1455">
        <v>34</v>
      </c>
      <c r="W38" s="1454">
        <v>230202</v>
      </c>
      <c r="X38" s="1447" t="s">
        <v>27</v>
      </c>
      <c r="Y38" s="1108">
        <v>11580000</v>
      </c>
      <c r="Z38" s="1108">
        <v>6072800</v>
      </c>
      <c r="AA38" s="1108">
        <v>14881200</v>
      </c>
      <c r="AB38" s="1108">
        <v>17381161</v>
      </c>
      <c r="AC38" s="1455">
        <v>34</v>
      </c>
      <c r="AD38" s="1096">
        <v>0</v>
      </c>
      <c r="AE38" s="1103">
        <v>6072800</v>
      </c>
      <c r="AF38" s="1096">
        <v>0</v>
      </c>
      <c r="AI38" s="1103"/>
      <c r="AL38" s="1110">
        <f>M38+N38+O38</f>
        <v>0</v>
      </c>
      <c r="AM38" s="1102">
        <v>1</v>
      </c>
    </row>
    <row r="39" spans="1:40" s="1096" customFormat="1" ht="56.25" customHeight="1" x14ac:dyDescent="0.3">
      <c r="A39" s="1104" t="s">
        <v>4617</v>
      </c>
      <c r="B39" s="1140" t="s">
        <v>4618</v>
      </c>
      <c r="C39" s="1138" t="s">
        <v>4481</v>
      </c>
      <c r="D39" s="1449" t="s">
        <v>4605</v>
      </c>
      <c r="E39" s="1104" t="s">
        <v>4606</v>
      </c>
      <c r="F39" s="1454">
        <v>9</v>
      </c>
      <c r="G39" s="1103">
        <f t="shared" si="2"/>
        <v>49915161</v>
      </c>
      <c r="H39" s="1128" t="s">
        <v>4622</v>
      </c>
      <c r="I39" s="1452">
        <v>0.7</v>
      </c>
      <c r="J39" s="1124">
        <v>0.68700000000000006</v>
      </c>
      <c r="K39" s="1453">
        <v>69</v>
      </c>
      <c r="L39" s="1453">
        <v>70</v>
      </c>
      <c r="M39" s="1136">
        <v>0.06</v>
      </c>
      <c r="N39" s="1125">
        <v>0.19350000000000001</v>
      </c>
      <c r="O39" s="1455"/>
      <c r="P39" s="1456"/>
      <c r="Q39" s="1104" t="s">
        <v>4620</v>
      </c>
      <c r="T39" s="1124">
        <v>0.68300000000000005</v>
      </c>
      <c r="U39" s="1104" t="s">
        <v>4623</v>
      </c>
      <c r="V39" s="1455">
        <v>35</v>
      </c>
      <c r="W39" s="1454">
        <v>230202</v>
      </c>
      <c r="X39" s="1447" t="s">
        <v>27</v>
      </c>
      <c r="Y39" s="1108">
        <v>11580000</v>
      </c>
      <c r="Z39" s="1108">
        <v>6072800</v>
      </c>
      <c r="AA39" s="1108">
        <v>14881200</v>
      </c>
      <c r="AB39" s="1108">
        <v>17381161</v>
      </c>
      <c r="AC39" s="1455">
        <v>35</v>
      </c>
      <c r="AD39" s="1096">
        <v>0</v>
      </c>
      <c r="AE39" s="1103">
        <v>6072800</v>
      </c>
      <c r="AF39" s="1096">
        <v>0</v>
      </c>
      <c r="AI39" s="1103"/>
      <c r="AL39" s="1119">
        <v>0.33</v>
      </c>
      <c r="AM39" s="1119">
        <f>AL39/J39</f>
        <v>0.48034934497816595</v>
      </c>
    </row>
    <row r="40" spans="1:40" s="1096" customFormat="1" ht="99.75" customHeight="1" x14ac:dyDescent="0.3">
      <c r="A40" s="1104" t="s">
        <v>4617</v>
      </c>
      <c r="B40" s="1139" t="s">
        <v>4624</v>
      </c>
      <c r="C40" s="1138" t="s">
        <v>4481</v>
      </c>
      <c r="D40" s="1449" t="s">
        <v>4605</v>
      </c>
      <c r="E40" s="1104" t="s">
        <v>4606</v>
      </c>
      <c r="F40" s="1454">
        <v>9</v>
      </c>
      <c r="G40" s="1103">
        <f t="shared" si="2"/>
        <v>49915161</v>
      </c>
      <c r="H40" s="1106" t="s">
        <v>4625</v>
      </c>
      <c r="I40" s="1453" t="s">
        <v>4580</v>
      </c>
      <c r="J40" s="1453"/>
      <c r="K40" s="1453"/>
      <c r="L40" s="1453"/>
      <c r="M40" s="1451">
        <v>0</v>
      </c>
      <c r="N40" s="1451">
        <v>0</v>
      </c>
      <c r="O40" s="1455"/>
      <c r="P40" s="1455"/>
      <c r="Q40" s="1104" t="s">
        <v>4620</v>
      </c>
      <c r="T40" s="1453">
        <v>0</v>
      </c>
      <c r="U40" s="1104" t="s">
        <v>4626</v>
      </c>
      <c r="V40" s="1455">
        <v>36</v>
      </c>
      <c r="W40" s="1454">
        <v>230202</v>
      </c>
      <c r="X40" s="1447" t="s">
        <v>27</v>
      </c>
      <c r="Y40" s="1108">
        <v>11580000</v>
      </c>
      <c r="Z40" s="1108">
        <v>6072800</v>
      </c>
      <c r="AA40" s="1108">
        <v>14881200</v>
      </c>
      <c r="AB40" s="1108">
        <v>17381161</v>
      </c>
      <c r="AC40" s="1455">
        <v>36</v>
      </c>
      <c r="AD40" s="1096">
        <v>0</v>
      </c>
      <c r="AE40" s="1103">
        <v>6072800</v>
      </c>
      <c r="AF40" s="1096">
        <v>0</v>
      </c>
      <c r="AI40" s="1103"/>
      <c r="AL40" s="1117">
        <f>M40+N40+O40</f>
        <v>0</v>
      </c>
      <c r="AM40" s="1102">
        <v>1</v>
      </c>
    </row>
    <row r="41" spans="1:40" s="1096" customFormat="1" ht="132.75" customHeight="1" x14ac:dyDescent="0.3">
      <c r="A41" s="1104" t="s">
        <v>4617</v>
      </c>
      <c r="B41" s="1139" t="s">
        <v>4624</v>
      </c>
      <c r="C41" s="1138" t="s">
        <v>4481</v>
      </c>
      <c r="D41" s="1449" t="s">
        <v>4605</v>
      </c>
      <c r="E41" s="1104" t="s">
        <v>4606</v>
      </c>
      <c r="F41" s="1454">
        <v>9</v>
      </c>
      <c r="G41" s="1103">
        <f t="shared" si="2"/>
        <v>49915161</v>
      </c>
      <c r="H41" s="1106" t="s">
        <v>4627</v>
      </c>
      <c r="I41" s="1453">
        <v>1</v>
      </c>
      <c r="J41" s="1453"/>
      <c r="K41" s="1453"/>
      <c r="L41" s="1453"/>
      <c r="M41" s="1451">
        <v>0.5</v>
      </c>
      <c r="N41" s="1451">
        <v>1</v>
      </c>
      <c r="O41" s="1455"/>
      <c r="P41" s="1455"/>
      <c r="Q41" s="1104" t="s">
        <v>4620</v>
      </c>
      <c r="T41" s="1104" t="s">
        <v>4486</v>
      </c>
      <c r="U41" s="1104" t="s">
        <v>4628</v>
      </c>
      <c r="V41" s="1455">
        <v>37</v>
      </c>
      <c r="W41" s="1454">
        <v>230202</v>
      </c>
      <c r="X41" s="1447" t="s">
        <v>27</v>
      </c>
      <c r="Y41" s="1108">
        <v>11580000</v>
      </c>
      <c r="Z41" s="1108">
        <v>6072800</v>
      </c>
      <c r="AA41" s="1108">
        <v>14881200</v>
      </c>
      <c r="AB41" s="1108">
        <v>17381161</v>
      </c>
      <c r="AC41" s="1455">
        <v>37</v>
      </c>
      <c r="AD41" s="1096">
        <v>0</v>
      </c>
      <c r="AE41" s="1103">
        <v>6072800</v>
      </c>
      <c r="AF41" s="1096">
        <v>0</v>
      </c>
      <c r="AI41" s="1103"/>
      <c r="AL41" s="1117">
        <f>M41+N41+O41</f>
        <v>1.5</v>
      </c>
      <c r="AM41" s="1102" t="e">
        <f>AL41/K41</f>
        <v>#DIV/0!</v>
      </c>
    </row>
    <row r="42" spans="1:40" s="1096" customFormat="1" ht="127.5" customHeight="1" x14ac:dyDescent="0.3">
      <c r="A42" s="1104" t="s">
        <v>4617</v>
      </c>
      <c r="B42" s="1137" t="s">
        <v>4629</v>
      </c>
      <c r="C42" s="1106" t="s">
        <v>4630</v>
      </c>
      <c r="D42" s="1447" t="s">
        <v>4631</v>
      </c>
      <c r="E42" s="1104" t="s">
        <v>3349</v>
      </c>
      <c r="F42" s="1454">
        <v>10</v>
      </c>
      <c r="G42" s="1103">
        <f t="shared" si="2"/>
        <v>49915161</v>
      </c>
      <c r="H42" s="1106" t="s">
        <v>4632</v>
      </c>
      <c r="I42" s="1453" t="s">
        <v>4633</v>
      </c>
      <c r="J42" s="1452">
        <v>0.95</v>
      </c>
      <c r="K42" s="1453">
        <v>95</v>
      </c>
      <c r="L42" s="1453">
        <v>95</v>
      </c>
      <c r="M42" s="1136">
        <v>0.23</v>
      </c>
      <c r="N42" s="1131">
        <v>0.48799999999999999</v>
      </c>
      <c r="O42" s="1455"/>
      <c r="P42" s="1120"/>
      <c r="Q42" s="1104" t="s">
        <v>4620</v>
      </c>
      <c r="T42" s="1452">
        <v>1.04</v>
      </c>
      <c r="U42" s="1104" t="s">
        <v>4634</v>
      </c>
      <c r="V42" s="1455">
        <v>38</v>
      </c>
      <c r="W42" s="1454">
        <v>230202</v>
      </c>
      <c r="X42" s="1447" t="s">
        <v>27</v>
      </c>
      <c r="Y42" s="1103">
        <v>11580000</v>
      </c>
      <c r="Z42" s="1108">
        <v>6072800</v>
      </c>
      <c r="AA42" s="1108">
        <v>14881200</v>
      </c>
      <c r="AB42" s="1108">
        <v>17381161</v>
      </c>
      <c r="AC42" s="1455">
        <v>38</v>
      </c>
      <c r="AD42" s="1096">
        <v>0</v>
      </c>
      <c r="AE42" s="1103">
        <v>6072800</v>
      </c>
      <c r="AF42" s="1096">
        <v>0</v>
      </c>
      <c r="AI42" s="1103"/>
      <c r="AL42" s="1102">
        <v>1.07</v>
      </c>
      <c r="AM42" s="1102">
        <f>AL42/J42</f>
        <v>1.1263157894736844</v>
      </c>
    </row>
    <row r="43" spans="1:40" s="1096" customFormat="1" ht="82.5" customHeight="1" x14ac:dyDescent="0.3">
      <c r="A43" s="1104" t="s">
        <v>4617</v>
      </c>
      <c r="B43" s="1137" t="s">
        <v>4629</v>
      </c>
      <c r="C43" s="1106" t="s">
        <v>4630</v>
      </c>
      <c r="D43" s="1447" t="s">
        <v>4631</v>
      </c>
      <c r="E43" s="1104" t="s">
        <v>3349</v>
      </c>
      <c r="F43" s="1454">
        <v>10</v>
      </c>
      <c r="G43" s="1103">
        <f t="shared" si="2"/>
        <v>49915161</v>
      </c>
      <c r="H43" s="1106" t="s">
        <v>4635</v>
      </c>
      <c r="I43" s="1453" t="s">
        <v>4636</v>
      </c>
      <c r="J43" s="1452">
        <v>0.95</v>
      </c>
      <c r="K43" s="1453">
        <v>95</v>
      </c>
      <c r="L43" s="1453">
        <v>95</v>
      </c>
      <c r="M43" s="1136">
        <v>0.28199999999999997</v>
      </c>
      <c r="N43" s="1136">
        <v>0.51</v>
      </c>
      <c r="O43" s="1447"/>
      <c r="P43" s="1120"/>
      <c r="Q43" s="1104" t="s">
        <v>4620</v>
      </c>
      <c r="T43" s="1452">
        <v>0.99</v>
      </c>
      <c r="U43" s="1104" t="s">
        <v>4637</v>
      </c>
      <c r="V43" s="1455">
        <v>39</v>
      </c>
      <c r="W43" s="1454">
        <v>230202</v>
      </c>
      <c r="X43" s="1447" t="s">
        <v>27</v>
      </c>
      <c r="Y43" s="1103">
        <v>11580000</v>
      </c>
      <c r="Z43" s="1108">
        <v>6072800</v>
      </c>
      <c r="AA43" s="1108">
        <v>14881200</v>
      </c>
      <c r="AB43" s="1108">
        <v>17381161</v>
      </c>
      <c r="AC43" s="1455">
        <v>39</v>
      </c>
      <c r="AD43" s="1096">
        <v>0</v>
      </c>
      <c r="AE43" s="1103">
        <v>6072800</v>
      </c>
      <c r="AF43" s="1096">
        <v>0</v>
      </c>
      <c r="AI43" s="1103"/>
      <c r="AL43" s="1102">
        <v>1.07</v>
      </c>
      <c r="AM43" s="1102">
        <f>AL43/J43</f>
        <v>1.1263157894736844</v>
      </c>
    </row>
    <row r="44" spans="1:40" s="1096" customFormat="1" ht="66" customHeight="1" x14ac:dyDescent="0.3">
      <c r="A44" s="1104" t="s">
        <v>4617</v>
      </c>
      <c r="B44" s="1137" t="s">
        <v>4629</v>
      </c>
      <c r="C44" s="1106" t="s">
        <v>4630</v>
      </c>
      <c r="D44" s="1447" t="s">
        <v>4631</v>
      </c>
      <c r="E44" s="1104" t="s">
        <v>3349</v>
      </c>
      <c r="F44" s="1454">
        <v>10</v>
      </c>
      <c r="G44" s="1103">
        <f t="shared" si="2"/>
        <v>49915416</v>
      </c>
      <c r="H44" s="1106" t="s">
        <v>4638</v>
      </c>
      <c r="I44" s="1453" t="s">
        <v>4639</v>
      </c>
      <c r="J44" s="1452">
        <v>0.94</v>
      </c>
      <c r="K44" s="1453">
        <v>94.5</v>
      </c>
      <c r="L44" s="1453">
        <v>95</v>
      </c>
      <c r="M44" s="1136">
        <v>0.23</v>
      </c>
      <c r="N44" s="1136">
        <v>0.45</v>
      </c>
      <c r="O44" s="1447"/>
      <c r="P44" s="1120"/>
      <c r="Q44" s="1104" t="s">
        <v>4620</v>
      </c>
      <c r="T44" s="1124">
        <v>0.93600000000000005</v>
      </c>
      <c r="U44" s="1104" t="s">
        <v>4640</v>
      </c>
      <c r="V44" s="1455">
        <v>40</v>
      </c>
      <c r="W44" s="1454">
        <v>230202</v>
      </c>
      <c r="X44" s="1447" t="s">
        <v>27</v>
      </c>
      <c r="Y44" s="1103">
        <v>11580000</v>
      </c>
      <c r="Z44" s="1108">
        <v>6073205</v>
      </c>
      <c r="AA44" s="1108">
        <v>14881050</v>
      </c>
      <c r="AB44" s="1108">
        <v>17381161</v>
      </c>
      <c r="AC44" s="1455">
        <v>40</v>
      </c>
      <c r="AD44" s="1096">
        <v>0</v>
      </c>
      <c r="AE44" s="1103">
        <v>6073205</v>
      </c>
      <c r="AF44" s="1096">
        <v>0</v>
      </c>
      <c r="AI44" s="1103"/>
      <c r="AL44" s="1102">
        <v>0.96</v>
      </c>
      <c r="AM44" s="1102">
        <f>AL44/J44</f>
        <v>1.0212765957446808</v>
      </c>
    </row>
    <row r="45" spans="1:40" s="1096" customFormat="1" ht="69" customHeight="1" x14ac:dyDescent="0.3">
      <c r="A45" s="1104" t="s">
        <v>4641</v>
      </c>
      <c r="B45" s="1135" t="s">
        <v>4642</v>
      </c>
      <c r="C45" s="1133" t="s">
        <v>4643</v>
      </c>
      <c r="D45" s="1455" t="s">
        <v>4486</v>
      </c>
      <c r="E45" s="1104" t="s">
        <v>4644</v>
      </c>
      <c r="F45" s="1454">
        <v>11</v>
      </c>
      <c r="G45" s="1103">
        <f t="shared" si="2"/>
        <v>23209992</v>
      </c>
      <c r="H45" s="1106" t="s">
        <v>4645</v>
      </c>
      <c r="I45" s="1452">
        <v>1</v>
      </c>
      <c r="J45" s="1452">
        <v>1</v>
      </c>
      <c r="K45" s="1452">
        <v>1</v>
      </c>
      <c r="L45" s="1452">
        <v>1</v>
      </c>
      <c r="M45" s="1450">
        <v>1</v>
      </c>
      <c r="N45" s="1450">
        <v>1</v>
      </c>
      <c r="O45" s="1456"/>
      <c r="P45" s="1456"/>
      <c r="Q45" s="1104" t="s">
        <v>4646</v>
      </c>
      <c r="T45" s="1453">
        <v>0</v>
      </c>
      <c r="U45" s="1104" t="s">
        <v>4647</v>
      </c>
      <c r="V45" s="1455">
        <v>41</v>
      </c>
      <c r="W45" s="1454">
        <v>230204</v>
      </c>
      <c r="X45" s="1447" t="s">
        <v>4648</v>
      </c>
      <c r="Y45" s="1103">
        <v>6000000</v>
      </c>
      <c r="Z45" s="1108">
        <v>2012000</v>
      </c>
      <c r="AA45" s="1108">
        <v>7462800</v>
      </c>
      <c r="AB45" s="1108">
        <v>7735192</v>
      </c>
      <c r="AC45" s="1455">
        <v>41</v>
      </c>
      <c r="AD45" s="1096">
        <v>0</v>
      </c>
      <c r="AE45" s="1096">
        <v>0</v>
      </c>
      <c r="AF45" s="1096">
        <v>0</v>
      </c>
      <c r="AL45" s="1102">
        <f>M45+N45+O45+P45</f>
        <v>2</v>
      </c>
      <c r="AM45" s="1102">
        <f>AL45/K45</f>
        <v>2</v>
      </c>
    </row>
    <row r="46" spans="1:40" s="1096" customFormat="1" ht="73.5" customHeight="1" x14ac:dyDescent="0.3">
      <c r="A46" s="1104" t="s">
        <v>4649</v>
      </c>
      <c r="B46" s="1134" t="s">
        <v>4650</v>
      </c>
      <c r="C46" s="1133" t="s">
        <v>4651</v>
      </c>
      <c r="D46" s="1449" t="s">
        <v>4486</v>
      </c>
      <c r="E46" s="1104" t="s">
        <v>4652</v>
      </c>
      <c r="F46" s="1454">
        <v>12</v>
      </c>
      <c r="G46" s="1103">
        <f t="shared" si="2"/>
        <v>21609577</v>
      </c>
      <c r="H46" s="1106" t="s">
        <v>4653</v>
      </c>
      <c r="I46" s="1453">
        <v>1</v>
      </c>
      <c r="J46" s="1453">
        <v>1</v>
      </c>
      <c r="K46" s="1453">
        <v>1</v>
      </c>
      <c r="L46" s="1453">
        <v>1</v>
      </c>
      <c r="M46" s="1450">
        <v>0.25</v>
      </c>
      <c r="N46" s="1450">
        <v>0.25</v>
      </c>
      <c r="O46" s="1455"/>
      <c r="P46" s="1455"/>
      <c r="Q46" s="1104" t="s">
        <v>4654</v>
      </c>
      <c r="T46" s="1104" t="s">
        <v>4486</v>
      </c>
      <c r="U46" s="1104" t="s">
        <v>4487</v>
      </c>
      <c r="V46" s="1455">
        <v>42</v>
      </c>
      <c r="W46" s="1454">
        <v>230204</v>
      </c>
      <c r="X46" s="1447" t="s">
        <v>4648</v>
      </c>
      <c r="Y46" s="1103">
        <v>0</v>
      </c>
      <c r="Z46" s="1108">
        <v>10000000</v>
      </c>
      <c r="AA46" s="1108">
        <v>5700750</v>
      </c>
      <c r="AB46" s="1108">
        <v>5908827</v>
      </c>
      <c r="AC46" s="1455">
        <v>42</v>
      </c>
      <c r="AD46" s="1096">
        <v>0</v>
      </c>
      <c r="AE46" s="1096">
        <v>10000000</v>
      </c>
      <c r="AF46" s="1096">
        <v>0</v>
      </c>
      <c r="AL46" s="1110">
        <f>M46+N46+O46+P46</f>
        <v>0.5</v>
      </c>
      <c r="AM46" s="1102">
        <f>AL46/K46</f>
        <v>0.5</v>
      </c>
    </row>
    <row r="47" spans="1:40" s="1096" customFormat="1" ht="90.75" customHeight="1" x14ac:dyDescent="0.3">
      <c r="A47" s="1104" t="s">
        <v>4655</v>
      </c>
      <c r="B47" s="1129" t="s">
        <v>4656</v>
      </c>
      <c r="C47" s="1113" t="s">
        <v>4657</v>
      </c>
      <c r="D47" s="1447" t="s">
        <v>4486</v>
      </c>
      <c r="E47" s="1104" t="s">
        <v>4658</v>
      </c>
      <c r="F47" s="1454">
        <v>13</v>
      </c>
      <c r="G47" s="1103">
        <f t="shared" si="2"/>
        <v>15608322.5</v>
      </c>
      <c r="H47" s="1106" t="s">
        <v>4659</v>
      </c>
      <c r="I47" s="1453" t="s">
        <v>4660</v>
      </c>
      <c r="J47" s="1453">
        <v>11.05</v>
      </c>
      <c r="K47" s="1453">
        <v>11.05</v>
      </c>
      <c r="L47" s="1453">
        <v>11.05</v>
      </c>
      <c r="M47" s="1132">
        <v>7.1999999999999995E-2</v>
      </c>
      <c r="N47" s="1132">
        <v>0.10299999999999999</v>
      </c>
      <c r="O47" s="1447"/>
      <c r="P47" s="1120"/>
      <c r="Q47" s="1104" t="s">
        <v>4661</v>
      </c>
      <c r="T47" s="1449">
        <v>11.05</v>
      </c>
      <c r="U47" s="1104" t="s">
        <v>4662</v>
      </c>
      <c r="V47" s="1455">
        <v>43</v>
      </c>
      <c r="W47" s="1454">
        <v>230202</v>
      </c>
      <c r="X47" s="1447" t="s">
        <v>27</v>
      </c>
      <c r="Y47" s="1103">
        <v>3000000</v>
      </c>
      <c r="Z47" s="1108">
        <v>5000000</v>
      </c>
      <c r="AA47" s="1108">
        <f>10365000-3200000-3000000</f>
        <v>4165000</v>
      </c>
      <c r="AB47" s="1108">
        <f>10743322.5-3800000-3500000</f>
        <v>3443322.5</v>
      </c>
      <c r="AC47" s="1455">
        <v>43</v>
      </c>
      <c r="AD47" s="1096">
        <v>0</v>
      </c>
      <c r="AE47" s="1103">
        <v>5000000</v>
      </c>
      <c r="AF47" s="1096">
        <v>0</v>
      </c>
      <c r="AI47" s="1103"/>
      <c r="AL47" s="1102">
        <v>0.09</v>
      </c>
      <c r="AM47" s="1102">
        <v>1.27</v>
      </c>
    </row>
    <row r="48" spans="1:40" s="1096" customFormat="1" ht="84" customHeight="1" x14ac:dyDescent="0.3">
      <c r="A48" s="1104" t="s">
        <v>4655</v>
      </c>
      <c r="B48" s="1129" t="s">
        <v>4656</v>
      </c>
      <c r="C48" s="1113" t="s">
        <v>4657</v>
      </c>
      <c r="D48" s="1447" t="s">
        <v>4486</v>
      </c>
      <c r="E48" s="1104" t="s">
        <v>4658</v>
      </c>
      <c r="F48" s="1454">
        <v>13</v>
      </c>
      <c r="G48" s="1103">
        <f t="shared" si="2"/>
        <v>12000000</v>
      </c>
      <c r="H48" s="1128" t="s">
        <v>4663</v>
      </c>
      <c r="I48" s="1452">
        <v>0.1</v>
      </c>
      <c r="J48" s="1452">
        <v>0.12</v>
      </c>
      <c r="K48" s="1452">
        <v>0.11</v>
      </c>
      <c r="L48" s="1452">
        <v>0.1</v>
      </c>
      <c r="M48" s="1131">
        <v>0.58599999999999997</v>
      </c>
      <c r="N48" s="1131">
        <v>1.111</v>
      </c>
      <c r="O48" s="1130"/>
      <c r="P48" s="1130"/>
      <c r="Q48" s="1104" t="s">
        <v>4661</v>
      </c>
      <c r="T48" s="1449">
        <v>14.7</v>
      </c>
      <c r="U48" s="1104" t="s">
        <v>4664</v>
      </c>
      <c r="V48" s="1455">
        <v>44</v>
      </c>
      <c r="W48" s="1454">
        <v>230202</v>
      </c>
      <c r="X48" s="1447" t="s">
        <v>27</v>
      </c>
      <c r="Y48" s="1103">
        <v>0</v>
      </c>
      <c r="Z48" s="1108">
        <v>5000000</v>
      </c>
      <c r="AA48" s="1108">
        <v>3200000</v>
      </c>
      <c r="AB48" s="1108">
        <v>3800000</v>
      </c>
      <c r="AC48" s="1455">
        <v>44</v>
      </c>
      <c r="AD48" s="1096">
        <v>0</v>
      </c>
      <c r="AE48" s="1103">
        <v>5000000</v>
      </c>
      <c r="AF48" s="1096">
        <v>0</v>
      </c>
      <c r="AI48" s="1103"/>
      <c r="AL48" s="1123">
        <v>0.104</v>
      </c>
      <c r="AM48" s="1119" t="e">
        <f>J48/O48</f>
        <v>#DIV/0!</v>
      </c>
      <c r="AN48" s="1122"/>
    </row>
    <row r="49" spans="1:40" s="1096" customFormat="1" ht="94.5" customHeight="1" x14ac:dyDescent="0.3">
      <c r="A49" s="1104" t="s">
        <v>4655</v>
      </c>
      <c r="B49" s="1129" t="s">
        <v>4656</v>
      </c>
      <c r="C49" s="1113" t="s">
        <v>4657</v>
      </c>
      <c r="D49" s="1447" t="s">
        <v>4486</v>
      </c>
      <c r="E49" s="1104" t="s">
        <v>4658</v>
      </c>
      <c r="F49" s="1454">
        <v>13</v>
      </c>
      <c r="G49" s="1103">
        <f t="shared" ref="G49:G66" si="3">+Y49+Z49+AA49+AB49</f>
        <v>10500000</v>
      </c>
      <c r="H49" s="1128" t="s">
        <v>4665</v>
      </c>
      <c r="I49" s="1452">
        <v>0.1</v>
      </c>
      <c r="J49" s="1127">
        <v>0.32700000000000001</v>
      </c>
      <c r="K49" s="1452">
        <v>0.25</v>
      </c>
      <c r="L49" s="1452">
        <v>0.1</v>
      </c>
      <c r="M49" s="1126">
        <v>0.13239999999999999</v>
      </c>
      <c r="N49" s="1125">
        <v>0.30370000000000003</v>
      </c>
      <c r="O49" s="1447"/>
      <c r="P49" s="1120"/>
      <c r="Q49" s="1104" t="s">
        <v>4661</v>
      </c>
      <c r="T49" s="1124">
        <v>0.45910000000000001</v>
      </c>
      <c r="U49" s="1104" t="s">
        <v>4666</v>
      </c>
      <c r="V49" s="1455">
        <v>45</v>
      </c>
      <c r="W49" s="1454">
        <v>230202</v>
      </c>
      <c r="X49" s="1447" t="s">
        <v>27</v>
      </c>
      <c r="Y49" s="1103">
        <v>0</v>
      </c>
      <c r="Z49" s="1108">
        <v>4000000</v>
      </c>
      <c r="AA49" s="1108">
        <v>3000000</v>
      </c>
      <c r="AB49" s="1108">
        <v>3500000</v>
      </c>
      <c r="AC49" s="1455">
        <v>45</v>
      </c>
      <c r="AD49" s="1096">
        <v>0</v>
      </c>
      <c r="AE49" s="1103">
        <v>4000000</v>
      </c>
      <c r="AF49" s="1096">
        <v>0</v>
      </c>
      <c r="AI49" s="1103"/>
      <c r="AL49" s="1123">
        <v>3.37</v>
      </c>
      <c r="AM49" s="1119" t="e">
        <f>J49/O49</f>
        <v>#DIV/0!</v>
      </c>
      <c r="AN49" s="1122"/>
    </row>
    <row r="50" spans="1:40" s="1096" customFormat="1" ht="93" customHeight="1" x14ac:dyDescent="0.3">
      <c r="A50" s="1104" t="s">
        <v>4655</v>
      </c>
      <c r="B50" s="1121" t="s">
        <v>4667</v>
      </c>
      <c r="C50" s="1113" t="s">
        <v>4657</v>
      </c>
      <c r="D50" s="1447" t="s">
        <v>4486</v>
      </c>
      <c r="E50" s="1104" t="s">
        <v>4658</v>
      </c>
      <c r="F50" s="1454">
        <v>13</v>
      </c>
      <c r="G50" s="1103">
        <f t="shared" si="3"/>
        <v>7110832.25</v>
      </c>
      <c r="H50" s="1106" t="s">
        <v>4668</v>
      </c>
      <c r="I50" s="1453" t="s">
        <v>4669</v>
      </c>
      <c r="J50" s="1452">
        <v>1</v>
      </c>
      <c r="K50" s="1452">
        <v>1</v>
      </c>
      <c r="L50" s="1452">
        <v>1</v>
      </c>
      <c r="M50" s="1450">
        <v>0.25</v>
      </c>
      <c r="N50" s="1450">
        <v>0.25</v>
      </c>
      <c r="O50" s="1455"/>
      <c r="P50" s="1120"/>
      <c r="Q50" s="1104" t="s">
        <v>4661</v>
      </c>
      <c r="T50" s="1449" t="s">
        <v>4486</v>
      </c>
      <c r="U50" s="1104" t="s">
        <v>4670</v>
      </c>
      <c r="V50" s="1455">
        <v>46</v>
      </c>
      <c r="W50" s="1454">
        <v>230202</v>
      </c>
      <c r="X50" s="1447" t="s">
        <v>27</v>
      </c>
      <c r="Y50" s="1103">
        <v>0</v>
      </c>
      <c r="Z50" s="1108">
        <v>5000000</v>
      </c>
      <c r="AA50" s="1108">
        <v>1036500</v>
      </c>
      <c r="AB50" s="1108">
        <v>1074332.25</v>
      </c>
      <c r="AC50" s="1455">
        <v>46</v>
      </c>
      <c r="AD50" s="1096">
        <v>0</v>
      </c>
      <c r="AE50" s="1103">
        <v>5000000</v>
      </c>
      <c r="AF50" s="1096">
        <v>0</v>
      </c>
      <c r="AI50" s="1103"/>
      <c r="AL50" s="1119">
        <v>0.25</v>
      </c>
      <c r="AM50" s="1119">
        <v>0.25</v>
      </c>
    </row>
    <row r="51" spans="1:40" s="1096" customFormat="1" ht="114.75" customHeight="1" x14ac:dyDescent="0.3">
      <c r="A51" s="1104" t="s">
        <v>4655</v>
      </c>
      <c r="B51" s="1118" t="s">
        <v>4671</v>
      </c>
      <c r="C51" s="1113" t="s">
        <v>4657</v>
      </c>
      <c r="D51" s="1447" t="s">
        <v>4486</v>
      </c>
      <c r="E51" s="1104" t="s">
        <v>4658</v>
      </c>
      <c r="F51" s="1454">
        <v>13</v>
      </c>
      <c r="G51" s="1103">
        <f t="shared" si="3"/>
        <v>9055416.125</v>
      </c>
      <c r="H51" s="1106" t="s">
        <v>4672</v>
      </c>
      <c r="I51" s="1453">
        <v>1</v>
      </c>
      <c r="J51" s="1453">
        <v>1</v>
      </c>
      <c r="K51" s="1453">
        <v>1</v>
      </c>
      <c r="L51" s="1453">
        <v>1</v>
      </c>
      <c r="M51" s="1451">
        <v>1</v>
      </c>
      <c r="N51" s="1451">
        <v>1</v>
      </c>
      <c r="O51" s="1455"/>
      <c r="P51" s="1455"/>
      <c r="Q51" s="1104" t="s">
        <v>4661</v>
      </c>
      <c r="T51" s="1449" t="s">
        <v>4486</v>
      </c>
      <c r="U51" s="1104" t="s">
        <v>4673</v>
      </c>
      <c r="V51" s="1455">
        <v>47</v>
      </c>
      <c r="W51" s="1454">
        <v>230202</v>
      </c>
      <c r="X51" s="1447" t="s">
        <v>27</v>
      </c>
      <c r="Y51" s="1103">
        <v>0</v>
      </c>
      <c r="Z51" s="1108">
        <v>8000000</v>
      </c>
      <c r="AA51" s="1108">
        <v>518250</v>
      </c>
      <c r="AB51" s="1108">
        <v>537166.125</v>
      </c>
      <c r="AC51" s="1117">
        <v>47</v>
      </c>
      <c r="AD51" s="1096">
        <v>0</v>
      </c>
      <c r="AE51" s="1103">
        <v>8000000</v>
      </c>
      <c r="AF51" s="1096">
        <v>0</v>
      </c>
      <c r="AI51" s="1103"/>
      <c r="AL51" s="1110">
        <f>M51+N51+O51+P51</f>
        <v>2</v>
      </c>
      <c r="AM51" s="1102">
        <f t="shared" ref="AM51:AM57" si="4">AL51/K51</f>
        <v>2</v>
      </c>
    </row>
    <row r="52" spans="1:40" s="1096" customFormat="1" ht="97.5" customHeight="1" x14ac:dyDescent="0.3">
      <c r="A52" s="1104" t="s">
        <v>4655</v>
      </c>
      <c r="B52" s="1116" t="s">
        <v>4674</v>
      </c>
      <c r="C52" s="1113" t="s">
        <v>4657</v>
      </c>
      <c r="D52" s="1447" t="s">
        <v>4486</v>
      </c>
      <c r="E52" s="1104" t="s">
        <v>4658</v>
      </c>
      <c r="F52" s="1454">
        <v>13</v>
      </c>
      <c r="G52" s="1103">
        <f t="shared" si="3"/>
        <v>15554161.25</v>
      </c>
      <c r="H52" s="1106" t="s">
        <v>4675</v>
      </c>
      <c r="I52" s="1453">
        <v>1</v>
      </c>
      <c r="J52" s="1453">
        <v>1</v>
      </c>
      <c r="K52" s="1453">
        <v>1</v>
      </c>
      <c r="L52" s="1453">
        <v>1</v>
      </c>
      <c r="M52" s="1451">
        <v>0.25</v>
      </c>
      <c r="N52" s="1451">
        <v>0.25</v>
      </c>
      <c r="O52" s="1455"/>
      <c r="P52" s="1455"/>
      <c r="Q52" s="1104" t="s">
        <v>4661</v>
      </c>
      <c r="T52" s="1449" t="s">
        <v>4486</v>
      </c>
      <c r="U52" s="1104" t="s">
        <v>4676</v>
      </c>
      <c r="V52" s="1455">
        <v>48</v>
      </c>
      <c r="W52" s="1454">
        <v>230202</v>
      </c>
      <c r="X52" s="1447" t="s">
        <v>27</v>
      </c>
      <c r="Y52" s="1103">
        <v>0</v>
      </c>
      <c r="Z52" s="1108">
        <v>5000000</v>
      </c>
      <c r="AA52" s="1108">
        <v>5182500</v>
      </c>
      <c r="AB52" s="1108">
        <v>5371661.25</v>
      </c>
      <c r="AC52" s="1455">
        <v>48</v>
      </c>
      <c r="AD52" s="1096">
        <v>0</v>
      </c>
      <c r="AE52" s="1103">
        <v>5000000</v>
      </c>
      <c r="AF52" s="1096">
        <v>0</v>
      </c>
      <c r="AI52" s="1103"/>
      <c r="AL52" s="1110">
        <f>M52+N52+O52+P52</f>
        <v>0.5</v>
      </c>
      <c r="AM52" s="1102">
        <f t="shared" si="4"/>
        <v>0.5</v>
      </c>
    </row>
    <row r="53" spans="1:40" s="1096" customFormat="1" ht="102.75" customHeight="1" x14ac:dyDescent="0.3">
      <c r="A53" s="1104" t="s">
        <v>4655</v>
      </c>
      <c r="B53" s="1115" t="s">
        <v>4677</v>
      </c>
      <c r="C53" s="1113" t="s">
        <v>4657</v>
      </c>
      <c r="D53" s="1447" t="s">
        <v>4486</v>
      </c>
      <c r="E53" s="1104" t="s">
        <v>4658</v>
      </c>
      <c r="F53" s="1454">
        <v>13</v>
      </c>
      <c r="G53" s="1103">
        <f t="shared" si="3"/>
        <v>79770806.25</v>
      </c>
      <c r="H53" s="1106" t="s">
        <v>4678</v>
      </c>
      <c r="I53" s="1453">
        <v>1</v>
      </c>
      <c r="J53" s="1453">
        <v>1</v>
      </c>
      <c r="K53" s="1453">
        <v>1</v>
      </c>
      <c r="L53" s="1453">
        <v>1</v>
      </c>
      <c r="M53" s="1451">
        <v>0.25</v>
      </c>
      <c r="N53" s="1451">
        <v>0.25</v>
      </c>
      <c r="O53" s="1455"/>
      <c r="P53" s="1455"/>
      <c r="Q53" s="1104" t="s">
        <v>4661</v>
      </c>
      <c r="T53" s="1449" t="s">
        <v>4486</v>
      </c>
      <c r="U53" s="1104" t="s">
        <v>4679</v>
      </c>
      <c r="V53" s="1455">
        <v>49</v>
      </c>
      <c r="W53" s="1454">
        <v>230202</v>
      </c>
      <c r="X53" s="1447" t="s">
        <v>27</v>
      </c>
      <c r="Y53" s="1103">
        <v>0</v>
      </c>
      <c r="Z53" s="1108">
        <v>27000000</v>
      </c>
      <c r="AA53" s="1108">
        <v>25912500</v>
      </c>
      <c r="AB53" s="1108">
        <v>26858306.25</v>
      </c>
      <c r="AC53" s="1455">
        <v>49</v>
      </c>
      <c r="AD53" s="1096">
        <v>0</v>
      </c>
      <c r="AE53" s="1103">
        <v>27000000</v>
      </c>
      <c r="AF53" s="1096">
        <v>0</v>
      </c>
      <c r="AI53" s="1103"/>
      <c r="AL53" s="1110">
        <f>M53+N53+O53+P53</f>
        <v>0.5</v>
      </c>
      <c r="AM53" s="1102">
        <f t="shared" si="4"/>
        <v>0.5</v>
      </c>
    </row>
    <row r="54" spans="1:40" s="1096" customFormat="1" ht="97.5" customHeight="1" x14ac:dyDescent="0.3">
      <c r="A54" s="1104" t="s">
        <v>4655</v>
      </c>
      <c r="B54" s="1114" t="s">
        <v>4680</v>
      </c>
      <c r="C54" s="1113" t="s">
        <v>4657</v>
      </c>
      <c r="D54" s="1447" t="s">
        <v>4486</v>
      </c>
      <c r="E54" s="1104" t="s">
        <v>4658</v>
      </c>
      <c r="F54" s="1454">
        <v>13</v>
      </c>
      <c r="G54" s="1103">
        <f t="shared" si="3"/>
        <v>15554161.25</v>
      </c>
      <c r="H54" s="1106" t="s">
        <v>4681</v>
      </c>
      <c r="I54" s="1453">
        <v>1</v>
      </c>
      <c r="J54" s="1452">
        <v>1</v>
      </c>
      <c r="K54" s="1452">
        <v>1</v>
      </c>
      <c r="L54" s="1452">
        <v>1</v>
      </c>
      <c r="M54" s="1451">
        <v>0.25</v>
      </c>
      <c r="N54" s="1451">
        <v>0.25</v>
      </c>
      <c r="O54" s="1455"/>
      <c r="P54" s="1455"/>
      <c r="Q54" s="1104" t="s">
        <v>4661</v>
      </c>
      <c r="T54" s="1449" t="s">
        <v>4486</v>
      </c>
      <c r="U54" s="1104" t="s">
        <v>4682</v>
      </c>
      <c r="V54" s="1455">
        <v>50</v>
      </c>
      <c r="W54" s="1454">
        <v>230202</v>
      </c>
      <c r="X54" s="1447" t="s">
        <v>27</v>
      </c>
      <c r="Y54" s="1103">
        <v>0</v>
      </c>
      <c r="Z54" s="1108">
        <v>5000000</v>
      </c>
      <c r="AA54" s="1108">
        <v>5182500</v>
      </c>
      <c r="AB54" s="1108">
        <v>5371661.25</v>
      </c>
      <c r="AC54" s="1455">
        <v>50</v>
      </c>
      <c r="AD54" s="1096">
        <v>0</v>
      </c>
      <c r="AE54" s="1103">
        <v>5000000</v>
      </c>
      <c r="AF54" s="1096">
        <v>0</v>
      </c>
      <c r="AI54" s="1103"/>
      <c r="AL54" s="1110">
        <f>M54+N54+O54+P54</f>
        <v>0.5</v>
      </c>
      <c r="AM54" s="1102">
        <f t="shared" si="4"/>
        <v>0.5</v>
      </c>
    </row>
    <row r="55" spans="1:40" s="1096" customFormat="1" ht="88.5" customHeight="1" x14ac:dyDescent="0.3">
      <c r="A55" s="1104" t="s">
        <v>4683</v>
      </c>
      <c r="B55" s="1460" t="s">
        <v>4684</v>
      </c>
      <c r="C55" s="1107" t="s">
        <v>4685</v>
      </c>
      <c r="D55" s="1447" t="s">
        <v>4486</v>
      </c>
      <c r="E55" s="1104" t="s">
        <v>4686</v>
      </c>
      <c r="F55" s="1454">
        <v>14</v>
      </c>
      <c r="G55" s="1103">
        <f t="shared" si="3"/>
        <v>623993900</v>
      </c>
      <c r="H55" s="1106" t="s">
        <v>4687</v>
      </c>
      <c r="I55" s="1452">
        <v>1</v>
      </c>
      <c r="J55" s="1452">
        <v>1</v>
      </c>
      <c r="K55" s="1452">
        <v>1</v>
      </c>
      <c r="L55" s="1452">
        <v>1</v>
      </c>
      <c r="M55" s="1450">
        <v>0.25</v>
      </c>
      <c r="N55" s="1450">
        <v>0.25</v>
      </c>
      <c r="O55" s="1456"/>
      <c r="P55" s="1456"/>
      <c r="Q55" s="1104" t="s">
        <v>4688</v>
      </c>
      <c r="T55" s="1449" t="s">
        <v>4486</v>
      </c>
      <c r="U55" s="1104" t="s">
        <v>4689</v>
      </c>
      <c r="V55" s="1455">
        <v>51</v>
      </c>
      <c r="W55" s="1454">
        <v>230202</v>
      </c>
      <c r="X55" s="1447" t="s">
        <v>27</v>
      </c>
      <c r="Y55" s="1103">
        <v>125946000</v>
      </c>
      <c r="Z55" s="1108">
        <v>170616000</v>
      </c>
      <c r="AA55" s="1108">
        <v>158341900</v>
      </c>
      <c r="AB55" s="1108">
        <v>169090000</v>
      </c>
      <c r="AC55" s="1455">
        <v>51</v>
      </c>
      <c r="AD55" s="1103">
        <f>+V55/4</f>
        <v>12.75</v>
      </c>
      <c r="AE55" s="1103">
        <f>+V55/4</f>
        <v>12.75</v>
      </c>
      <c r="AF55" s="1103">
        <f>+((V55/4)/3)*2</f>
        <v>8.5</v>
      </c>
      <c r="AH55" s="1103"/>
      <c r="AI55" s="1103"/>
      <c r="AJ55" s="1103"/>
      <c r="AK55" s="1103"/>
      <c r="AL55" s="1102">
        <f>M55+N55+O55+P55</f>
        <v>0.5</v>
      </c>
      <c r="AM55" s="1102">
        <f t="shared" si="4"/>
        <v>0.5</v>
      </c>
    </row>
    <row r="56" spans="1:40" s="1096" customFormat="1" ht="73.5" customHeight="1" x14ac:dyDescent="0.3">
      <c r="A56" s="1104" t="s">
        <v>4683</v>
      </c>
      <c r="B56" s="1460" t="s">
        <v>4684</v>
      </c>
      <c r="C56" s="1107" t="s">
        <v>4685</v>
      </c>
      <c r="D56" s="1447" t="s">
        <v>4486</v>
      </c>
      <c r="E56" s="1104" t="s">
        <v>4686</v>
      </c>
      <c r="F56" s="1454">
        <v>14</v>
      </c>
      <c r="G56" s="1103">
        <f t="shared" si="3"/>
        <v>126812700</v>
      </c>
      <c r="H56" s="1106" t="s">
        <v>4690</v>
      </c>
      <c r="I56" s="1452">
        <v>0.92</v>
      </c>
      <c r="J56" s="1112">
        <v>0.92</v>
      </c>
      <c r="K56" s="1112">
        <v>0.92</v>
      </c>
      <c r="L56" s="1112">
        <v>0.92</v>
      </c>
      <c r="M56" s="1450">
        <v>0.92</v>
      </c>
      <c r="N56" s="1450">
        <v>0.92</v>
      </c>
      <c r="O56" s="1456"/>
      <c r="P56" s="1456"/>
      <c r="Q56" s="1104" t="s">
        <v>4688</v>
      </c>
      <c r="T56" s="1112">
        <v>0.92</v>
      </c>
      <c r="U56" s="1104" t="s">
        <v>4691</v>
      </c>
      <c r="V56" s="1455">
        <v>52</v>
      </c>
      <c r="W56" s="1454">
        <v>230202</v>
      </c>
      <c r="X56" s="1447" t="s">
        <v>27</v>
      </c>
      <c r="Y56" s="1103">
        <v>33450800</v>
      </c>
      <c r="Z56" s="1108">
        <v>29611900</v>
      </c>
      <c r="AA56" s="1108">
        <v>31100000</v>
      </c>
      <c r="AB56" s="1108">
        <v>32650000</v>
      </c>
      <c r="AC56" s="1455">
        <v>52</v>
      </c>
      <c r="AD56" s="1103">
        <v>0</v>
      </c>
      <c r="AE56" s="1103">
        <v>0</v>
      </c>
      <c r="AF56" s="1103">
        <f>+((Z56/4)/3)*2</f>
        <v>4935316.666666667</v>
      </c>
      <c r="AH56" s="1103"/>
      <c r="AI56" s="1103"/>
      <c r="AJ56" s="1103"/>
      <c r="AK56" s="1103"/>
      <c r="AL56" s="1102">
        <v>0.92</v>
      </c>
      <c r="AM56" s="1102">
        <f t="shared" si="4"/>
        <v>1</v>
      </c>
    </row>
    <row r="57" spans="1:40" s="1096" customFormat="1" ht="119.25" customHeight="1" x14ac:dyDescent="0.3">
      <c r="A57" s="1104" t="s">
        <v>4683</v>
      </c>
      <c r="B57" s="1460" t="s">
        <v>4684</v>
      </c>
      <c r="C57" s="1107" t="s">
        <v>4685</v>
      </c>
      <c r="D57" s="1447" t="s">
        <v>4486</v>
      </c>
      <c r="E57" s="1104" t="s">
        <v>4686</v>
      </c>
      <c r="F57" s="1454">
        <v>14</v>
      </c>
      <c r="G57" s="1103">
        <f t="shared" si="3"/>
        <v>623995090</v>
      </c>
      <c r="H57" s="1106" t="s">
        <v>4692</v>
      </c>
      <c r="I57" s="1452">
        <v>0.9</v>
      </c>
      <c r="J57" s="1452">
        <v>0.9</v>
      </c>
      <c r="K57" s="1452">
        <v>0.9</v>
      </c>
      <c r="L57" s="1452">
        <v>0.9</v>
      </c>
      <c r="M57" s="1450">
        <v>0.9</v>
      </c>
      <c r="N57" s="1450">
        <v>0.9</v>
      </c>
      <c r="O57" s="1456"/>
      <c r="P57" s="1456"/>
      <c r="Q57" s="1104" t="s">
        <v>4688</v>
      </c>
      <c r="T57" s="1104" t="s">
        <v>4486</v>
      </c>
      <c r="U57" s="1104" t="s">
        <v>4693</v>
      </c>
      <c r="V57" s="1455">
        <v>53</v>
      </c>
      <c r="W57" s="1454">
        <v>230202</v>
      </c>
      <c r="X57" s="1447" t="s">
        <v>27</v>
      </c>
      <c r="Y57" s="1103">
        <v>125946049</v>
      </c>
      <c r="Z57" s="1108">
        <v>170616495</v>
      </c>
      <c r="AA57" s="1108">
        <v>158342054</v>
      </c>
      <c r="AB57" s="1108">
        <v>169090492</v>
      </c>
      <c r="AC57" s="1455">
        <v>53</v>
      </c>
      <c r="AD57" s="1103">
        <f>+V57/4</f>
        <v>13.25</v>
      </c>
      <c r="AE57" s="1103">
        <f>+V57/4</f>
        <v>13.25</v>
      </c>
      <c r="AF57" s="1103">
        <f>+((V57/4)/3)*2</f>
        <v>8.8333333333333339</v>
      </c>
      <c r="AH57" s="1103"/>
      <c r="AI57" s="1103"/>
      <c r="AJ57" s="1103"/>
      <c r="AK57" s="1103"/>
      <c r="AL57" s="1102">
        <v>0.9</v>
      </c>
      <c r="AM57" s="1102">
        <f t="shared" si="4"/>
        <v>1</v>
      </c>
    </row>
    <row r="58" spans="1:40" s="1096" customFormat="1" ht="94.5" customHeight="1" x14ac:dyDescent="0.3">
      <c r="A58" s="1104" t="s">
        <v>4683</v>
      </c>
      <c r="B58" s="1460" t="s">
        <v>4684</v>
      </c>
      <c r="C58" s="1107" t="s">
        <v>4685</v>
      </c>
      <c r="D58" s="1447" t="s">
        <v>4486</v>
      </c>
      <c r="E58" s="1104" t="s">
        <v>4686</v>
      </c>
      <c r="F58" s="1454">
        <v>14</v>
      </c>
      <c r="G58" s="1103">
        <f t="shared" si="3"/>
        <v>126812885</v>
      </c>
      <c r="H58" s="1106" t="s">
        <v>4694</v>
      </c>
      <c r="I58" s="1453">
        <v>1</v>
      </c>
      <c r="J58" s="1453">
        <v>1</v>
      </c>
      <c r="K58" s="1453">
        <v>1</v>
      </c>
      <c r="L58" s="1453">
        <v>1</v>
      </c>
      <c r="M58" s="1451">
        <v>1</v>
      </c>
      <c r="N58" s="1451">
        <v>1</v>
      </c>
      <c r="O58" s="1455"/>
      <c r="P58" s="1455"/>
      <c r="Q58" s="1104" t="s">
        <v>4688</v>
      </c>
      <c r="T58" s="1104" t="s">
        <v>4486</v>
      </c>
      <c r="U58" s="1104" t="s">
        <v>4695</v>
      </c>
      <c r="V58" s="1455">
        <v>54</v>
      </c>
      <c r="W58" s="1454">
        <v>230202</v>
      </c>
      <c r="X58" s="1447" t="s">
        <v>27</v>
      </c>
      <c r="Y58" s="1096">
        <v>33450800</v>
      </c>
      <c r="Z58" s="1109">
        <v>29612085</v>
      </c>
      <c r="AA58" s="1108">
        <v>31100000</v>
      </c>
      <c r="AB58" s="1108">
        <v>32650000</v>
      </c>
      <c r="AC58" s="1455">
        <v>54</v>
      </c>
      <c r="AD58" s="1103">
        <f>+V58/4</f>
        <v>13.5</v>
      </c>
      <c r="AE58" s="1103">
        <f>+V58/4</f>
        <v>13.5</v>
      </c>
      <c r="AF58" s="1103">
        <f>+((V58/4)/3)*2</f>
        <v>9</v>
      </c>
      <c r="AH58" s="1103"/>
      <c r="AI58" s="1103"/>
      <c r="AJ58" s="1103"/>
      <c r="AK58" s="1103"/>
      <c r="AL58" s="1110">
        <f>M58+N58+O58+P58</f>
        <v>2</v>
      </c>
      <c r="AM58" s="1102">
        <v>1</v>
      </c>
    </row>
    <row r="59" spans="1:40" s="1096" customFormat="1" ht="81.75" customHeight="1" x14ac:dyDescent="0.3">
      <c r="A59" s="1727" t="s">
        <v>4683</v>
      </c>
      <c r="B59" s="1720" t="s">
        <v>4684</v>
      </c>
      <c r="C59" s="1719" t="s">
        <v>4685</v>
      </c>
      <c r="D59" s="1724" t="s">
        <v>4486</v>
      </c>
      <c r="E59" s="1727" t="s">
        <v>4686</v>
      </c>
      <c r="F59" s="1751">
        <v>14</v>
      </c>
      <c r="G59" s="1103">
        <f t="shared" si="3"/>
        <v>59120943193</v>
      </c>
      <c r="H59" s="1750" t="s">
        <v>4696</v>
      </c>
      <c r="I59" s="1728">
        <v>0.96</v>
      </c>
      <c r="J59" s="1452">
        <v>0.96</v>
      </c>
      <c r="K59" s="1452">
        <v>0.96</v>
      </c>
      <c r="L59" s="1452">
        <v>0.96</v>
      </c>
      <c r="M59" s="1747">
        <v>0.96</v>
      </c>
      <c r="N59" s="1747">
        <v>0.96</v>
      </c>
      <c r="O59" s="1743"/>
      <c r="P59" s="1744"/>
      <c r="Q59" s="1727" t="s">
        <v>4688</v>
      </c>
      <c r="R59" s="1742"/>
      <c r="S59" s="1742"/>
      <c r="T59" s="1728">
        <v>0.96</v>
      </c>
      <c r="U59" s="1727" t="s">
        <v>4697</v>
      </c>
      <c r="V59" s="1726">
        <v>55</v>
      </c>
      <c r="W59" s="1454">
        <v>230201</v>
      </c>
      <c r="X59" s="1449" t="s">
        <v>27</v>
      </c>
      <c r="Y59" s="1103">
        <v>12891706519</v>
      </c>
      <c r="Z59" s="1103">
        <v>14659236674</v>
      </c>
      <c r="AA59" s="1103">
        <v>15400000000</v>
      </c>
      <c r="AB59" s="1103">
        <v>16170000000</v>
      </c>
      <c r="AC59" s="1726">
        <v>55</v>
      </c>
      <c r="AD59" s="1096">
        <v>11815440357</v>
      </c>
      <c r="AE59" s="1096">
        <v>1435982081</v>
      </c>
      <c r="AK59" s="1103"/>
      <c r="AL59" s="1102">
        <v>0.96</v>
      </c>
      <c r="AM59" s="1102">
        <f t="shared" ref="AM59:AM72" si="5">AL59/K59</f>
        <v>1</v>
      </c>
    </row>
    <row r="60" spans="1:40" s="1096" customFormat="1" ht="28.8" x14ac:dyDescent="0.3">
      <c r="A60" s="1727"/>
      <c r="B60" s="1720"/>
      <c r="C60" s="1719"/>
      <c r="D60" s="1724"/>
      <c r="E60" s="1727"/>
      <c r="F60" s="1751"/>
      <c r="G60" s="1103">
        <f t="shared" si="3"/>
        <v>60932210567.232498</v>
      </c>
      <c r="H60" s="1750"/>
      <c r="I60" s="1749"/>
      <c r="J60" s="1453"/>
      <c r="K60" s="1453"/>
      <c r="L60" s="1453"/>
      <c r="M60" s="1748"/>
      <c r="N60" s="1748"/>
      <c r="O60" s="1726"/>
      <c r="P60" s="1745"/>
      <c r="Q60" s="1727"/>
      <c r="R60" s="1742"/>
      <c r="S60" s="1742"/>
      <c r="T60" s="1727"/>
      <c r="U60" s="1727"/>
      <c r="V60" s="1726"/>
      <c r="W60" s="1454">
        <v>230201</v>
      </c>
      <c r="X60" s="1449" t="s">
        <v>4698</v>
      </c>
      <c r="Y60" s="1103">
        <v>12859305951.35</v>
      </c>
      <c r="Z60" s="1103">
        <v>14502299953</v>
      </c>
      <c r="AA60" s="1103">
        <v>16484460919.657499</v>
      </c>
      <c r="AB60" s="1103">
        <v>17086143743.224998</v>
      </c>
      <c r="AC60" s="1726"/>
      <c r="AD60" s="1096">
        <v>15903966155</v>
      </c>
      <c r="AE60" s="1096">
        <f>-3041667219+1640001017</f>
        <v>-1401666202</v>
      </c>
      <c r="AL60" s="1455">
        <f t="shared" ref="AL60:AL68" si="6">M60+N60+O60</f>
        <v>0</v>
      </c>
      <c r="AM60" s="1111" t="e">
        <f t="shared" si="5"/>
        <v>#DIV/0!</v>
      </c>
    </row>
    <row r="61" spans="1:40" s="1096" customFormat="1" ht="28.8" x14ac:dyDescent="0.3">
      <c r="A61" s="1727"/>
      <c r="B61" s="1720"/>
      <c r="C61" s="1719"/>
      <c r="D61" s="1724"/>
      <c r="E61" s="1727"/>
      <c r="F61" s="1751"/>
      <c r="G61" s="1103">
        <f t="shared" si="3"/>
        <v>2110838855.6675487</v>
      </c>
      <c r="H61" s="1750"/>
      <c r="I61" s="1749"/>
      <c r="J61" s="1453"/>
      <c r="K61" s="1453"/>
      <c r="L61" s="1453"/>
      <c r="M61" s="1748"/>
      <c r="N61" s="1748"/>
      <c r="O61" s="1726"/>
      <c r="P61" s="1745"/>
      <c r="Q61" s="1727"/>
      <c r="R61" s="1742"/>
      <c r="S61" s="1742"/>
      <c r="T61" s="1727"/>
      <c r="U61" s="1727"/>
      <c r="V61" s="1726"/>
      <c r="W61" s="1454">
        <v>230201</v>
      </c>
      <c r="X61" s="1449" t="s">
        <v>4699</v>
      </c>
      <c r="Y61" s="1103">
        <v>447106083.94</v>
      </c>
      <c r="Z61" s="1103">
        <v>534819186</v>
      </c>
      <c r="AA61" s="1103">
        <v>554340086.28900003</v>
      </c>
      <c r="AB61" s="1103">
        <v>574573499.43854856</v>
      </c>
      <c r="AC61" s="1726"/>
      <c r="AE61" s="1096">
        <v>470314020</v>
      </c>
      <c r="AL61" s="1455">
        <f t="shared" si="6"/>
        <v>0</v>
      </c>
      <c r="AM61" s="1111" t="e">
        <f t="shared" si="5"/>
        <v>#DIV/0!</v>
      </c>
    </row>
    <row r="62" spans="1:40" s="1096" customFormat="1" ht="28.8" x14ac:dyDescent="0.3">
      <c r="A62" s="1727"/>
      <c r="B62" s="1720"/>
      <c r="C62" s="1719"/>
      <c r="D62" s="1724"/>
      <c r="E62" s="1727"/>
      <c r="F62" s="1751"/>
      <c r="G62" s="1103">
        <f t="shared" si="3"/>
        <v>3576846300.6755829</v>
      </c>
      <c r="H62" s="1750"/>
      <c r="I62" s="1749"/>
      <c r="J62" s="1453"/>
      <c r="K62" s="1453"/>
      <c r="L62" s="1453"/>
      <c r="M62" s="1748"/>
      <c r="N62" s="1748"/>
      <c r="O62" s="1726"/>
      <c r="P62" s="1745"/>
      <c r="Q62" s="1727"/>
      <c r="R62" s="1742"/>
      <c r="S62" s="1742"/>
      <c r="T62" s="1727"/>
      <c r="U62" s="1727"/>
      <c r="V62" s="1726"/>
      <c r="W62" s="1454">
        <v>230201</v>
      </c>
      <c r="X62" s="1449" t="s">
        <v>4700</v>
      </c>
      <c r="Y62" s="1103">
        <v>832431083</v>
      </c>
      <c r="Z62" s="1103">
        <v>882212539</v>
      </c>
      <c r="AA62" s="1103">
        <v>914413296.67349994</v>
      </c>
      <c r="AB62" s="1103">
        <v>947789382.00208271</v>
      </c>
      <c r="AC62" s="1726"/>
      <c r="AD62" s="1096">
        <v>884212539</v>
      </c>
      <c r="AE62" s="1096">
        <f>-49781456+49781456</f>
        <v>0</v>
      </c>
      <c r="AL62" s="1455">
        <f t="shared" si="6"/>
        <v>0</v>
      </c>
      <c r="AM62" s="1111" t="e">
        <f t="shared" si="5"/>
        <v>#DIV/0!</v>
      </c>
    </row>
    <row r="63" spans="1:40" s="1096" customFormat="1" ht="28.8" x14ac:dyDescent="0.3">
      <c r="A63" s="1727"/>
      <c r="B63" s="1720"/>
      <c r="C63" s="1719"/>
      <c r="D63" s="1724"/>
      <c r="E63" s="1727"/>
      <c r="F63" s="1751"/>
      <c r="G63" s="1103">
        <f t="shared" si="3"/>
        <v>1723431743.102294</v>
      </c>
      <c r="H63" s="1750"/>
      <c r="I63" s="1749"/>
      <c r="J63" s="1453"/>
      <c r="K63" s="1453"/>
      <c r="L63" s="1453"/>
      <c r="M63" s="1748"/>
      <c r="N63" s="1748"/>
      <c r="O63" s="1726"/>
      <c r="P63" s="1745"/>
      <c r="Q63" s="1727"/>
      <c r="R63" s="1742"/>
      <c r="S63" s="1742"/>
      <c r="T63" s="1727"/>
      <c r="U63" s="1727"/>
      <c r="V63" s="1726"/>
      <c r="W63" s="1454">
        <v>230201</v>
      </c>
      <c r="X63" s="1449" t="s">
        <v>4701</v>
      </c>
      <c r="Y63" s="1103">
        <v>397668628</v>
      </c>
      <c r="Z63" s="1103">
        <v>426176344</v>
      </c>
      <c r="AA63" s="1103">
        <v>441731780.55599999</v>
      </c>
      <c r="AB63" s="1103">
        <v>457854990.54629397</v>
      </c>
      <c r="AC63" s="1726"/>
      <c r="AD63" s="1096">
        <v>426176344</v>
      </c>
      <c r="AE63" s="1096">
        <f>39707667-39707667</f>
        <v>0</v>
      </c>
      <c r="AL63" s="1455">
        <f t="shared" si="6"/>
        <v>0</v>
      </c>
      <c r="AM63" s="1111" t="e">
        <f t="shared" si="5"/>
        <v>#DIV/0!</v>
      </c>
    </row>
    <row r="64" spans="1:40" s="1096" customFormat="1" ht="14.4" x14ac:dyDescent="0.3">
      <c r="A64" s="1727"/>
      <c r="B64" s="1720"/>
      <c r="C64" s="1719"/>
      <c r="D64" s="1724"/>
      <c r="E64" s="1727"/>
      <c r="F64" s="1751"/>
      <c r="G64" s="1103">
        <f t="shared" si="3"/>
        <v>2698788000</v>
      </c>
      <c r="H64" s="1750"/>
      <c r="I64" s="1749"/>
      <c r="J64" s="1453"/>
      <c r="K64" s="1453"/>
      <c r="L64" s="1453"/>
      <c r="M64" s="1748"/>
      <c r="N64" s="1748"/>
      <c r="O64" s="1726"/>
      <c r="P64" s="1745"/>
      <c r="Q64" s="1727"/>
      <c r="R64" s="1742"/>
      <c r="S64" s="1742"/>
      <c r="T64" s="1727"/>
      <c r="U64" s="1727"/>
      <c r="V64" s="1726"/>
      <c r="W64" s="1454">
        <v>230201</v>
      </c>
      <c r="X64" s="1449" t="s">
        <v>4702</v>
      </c>
      <c r="Y64" s="1103">
        <v>1946086000</v>
      </c>
      <c r="Z64" s="1103">
        <v>752702000</v>
      </c>
      <c r="AA64" s="1103">
        <v>0</v>
      </c>
      <c r="AB64" s="1103">
        <v>0</v>
      </c>
      <c r="AC64" s="1726"/>
      <c r="AD64" s="1096">
        <v>0</v>
      </c>
      <c r="AE64" s="1096">
        <v>752702000</v>
      </c>
      <c r="AL64" s="1455">
        <f t="shared" si="6"/>
        <v>0</v>
      </c>
      <c r="AM64" s="1111" t="e">
        <f t="shared" si="5"/>
        <v>#DIV/0!</v>
      </c>
    </row>
    <row r="65" spans="1:39" s="1096" customFormat="1" ht="14.4" x14ac:dyDescent="0.3">
      <c r="A65" s="1727"/>
      <c r="B65" s="1720"/>
      <c r="C65" s="1719"/>
      <c r="D65" s="1724"/>
      <c r="E65" s="1727"/>
      <c r="F65" s="1751"/>
      <c r="G65" s="1103">
        <f t="shared" si="3"/>
        <v>615670201.54698825</v>
      </c>
      <c r="H65" s="1750"/>
      <c r="I65" s="1749"/>
      <c r="J65" s="1453"/>
      <c r="K65" s="1453"/>
      <c r="L65" s="1453"/>
      <c r="M65" s="1748"/>
      <c r="N65" s="1748"/>
      <c r="O65" s="1726"/>
      <c r="P65" s="1745"/>
      <c r="Q65" s="1727"/>
      <c r="R65" s="1742"/>
      <c r="S65" s="1742"/>
      <c r="T65" s="1727"/>
      <c r="U65" s="1727"/>
      <c r="V65" s="1726"/>
      <c r="W65" s="1454">
        <v>230201</v>
      </c>
      <c r="X65" s="1449" t="s">
        <v>4703</v>
      </c>
      <c r="Y65" s="1103">
        <v>110867655</v>
      </c>
      <c r="Z65" s="1103">
        <v>162645384</v>
      </c>
      <c r="AA65" s="1103">
        <v>168012355.78049999</v>
      </c>
      <c r="AB65" s="1103">
        <v>174144806.76648825</v>
      </c>
      <c r="AC65" s="1726"/>
      <c r="AD65" s="1096">
        <v>162095857</v>
      </c>
      <c r="AE65" s="1096">
        <f>51777729-51228202</f>
        <v>549527</v>
      </c>
      <c r="AL65" s="1455">
        <f t="shared" si="6"/>
        <v>0</v>
      </c>
      <c r="AM65" s="1111" t="e">
        <f t="shared" si="5"/>
        <v>#DIV/0!</v>
      </c>
    </row>
    <row r="66" spans="1:39" s="1096" customFormat="1" ht="15" customHeight="1" x14ac:dyDescent="0.3">
      <c r="A66" s="1727"/>
      <c r="B66" s="1720"/>
      <c r="C66" s="1719"/>
      <c r="D66" s="1724"/>
      <c r="E66" s="1727"/>
      <c r="F66" s="1751"/>
      <c r="G66" s="1103">
        <f t="shared" si="3"/>
        <v>232383718.22</v>
      </c>
      <c r="H66" s="1750"/>
      <c r="I66" s="1749"/>
      <c r="J66" s="1453"/>
      <c r="K66" s="1453"/>
      <c r="L66" s="1453"/>
      <c r="M66" s="1748"/>
      <c r="N66" s="1748"/>
      <c r="O66" s="1726"/>
      <c r="P66" s="1746"/>
      <c r="Q66" s="1727"/>
      <c r="R66" s="1742"/>
      <c r="S66" s="1742"/>
      <c r="T66" s="1727"/>
      <c r="U66" s="1727"/>
      <c r="V66" s="1726"/>
      <c r="W66" s="1454">
        <v>230201</v>
      </c>
      <c r="X66" s="1449" t="s">
        <v>4704</v>
      </c>
      <c r="Y66" s="1103">
        <v>109174039</v>
      </c>
      <c r="Z66" s="1108">
        <v>97879692.219999999</v>
      </c>
      <c r="AA66" s="1108">
        <v>12438000</v>
      </c>
      <c r="AB66" s="1108">
        <v>12891987</v>
      </c>
      <c r="AC66" s="1726"/>
      <c r="AD66" s="1096">
        <v>0</v>
      </c>
      <c r="AE66" s="1096">
        <v>0</v>
      </c>
      <c r="AL66" s="1455">
        <f t="shared" si="6"/>
        <v>0</v>
      </c>
      <c r="AM66" s="1111" t="e">
        <f t="shared" si="5"/>
        <v>#DIV/0!</v>
      </c>
    </row>
    <row r="67" spans="1:39" s="1096" customFormat="1" ht="26.25" customHeight="1" x14ac:dyDescent="0.3">
      <c r="A67" s="1727"/>
      <c r="B67" s="1720"/>
      <c r="C67" s="1719"/>
      <c r="D67" s="1724"/>
      <c r="E67" s="1727"/>
      <c r="F67" s="1751"/>
      <c r="G67" s="1103"/>
      <c r="H67" s="1750"/>
      <c r="I67" s="1749"/>
      <c r="J67" s="1453"/>
      <c r="K67" s="1453"/>
      <c r="L67" s="1453"/>
      <c r="M67" s="1748"/>
      <c r="N67" s="1748"/>
      <c r="O67" s="1726"/>
      <c r="P67" s="1455"/>
      <c r="Q67" s="1727"/>
      <c r="R67" s="1742"/>
      <c r="S67" s="1742"/>
      <c r="T67" s="1727"/>
      <c r="U67" s="1727"/>
      <c r="V67" s="1726"/>
      <c r="W67" s="1454">
        <v>230201</v>
      </c>
      <c r="X67" s="1449" t="s">
        <v>4705</v>
      </c>
      <c r="Y67" s="1103">
        <v>116119435</v>
      </c>
      <c r="Z67" s="1108">
        <v>125541092</v>
      </c>
      <c r="AA67" s="1108">
        <v>120357794.3775</v>
      </c>
      <c r="AB67" s="1108">
        <v>124750853.87227875</v>
      </c>
      <c r="AC67" s="1726"/>
      <c r="AD67" s="1096">
        <v>0</v>
      </c>
      <c r="AE67" s="1096">
        <v>0</v>
      </c>
      <c r="AL67" s="1455">
        <f t="shared" si="6"/>
        <v>0</v>
      </c>
      <c r="AM67" s="1111" t="e">
        <f t="shared" si="5"/>
        <v>#DIV/0!</v>
      </c>
    </row>
    <row r="68" spans="1:39" s="1096" customFormat="1" ht="40.5" customHeight="1" x14ac:dyDescent="0.3">
      <c r="A68" s="1727"/>
      <c r="B68" s="1720"/>
      <c r="C68" s="1719"/>
      <c r="D68" s="1724"/>
      <c r="E68" s="1727"/>
      <c r="F68" s="1751"/>
      <c r="G68" s="1103">
        <f>+Y68+Z68+AA68+AB68</f>
        <v>1437070032.706938</v>
      </c>
      <c r="H68" s="1750"/>
      <c r="I68" s="1749"/>
      <c r="J68" s="1453"/>
      <c r="K68" s="1453"/>
      <c r="L68" s="1453"/>
      <c r="M68" s="1748"/>
      <c r="N68" s="1748"/>
      <c r="O68" s="1726"/>
      <c r="P68" s="1455"/>
      <c r="Q68" s="1727"/>
      <c r="R68" s="1742"/>
      <c r="S68" s="1742"/>
      <c r="T68" s="1727"/>
      <c r="U68" s="1727"/>
      <c r="V68" s="1726"/>
      <c r="W68" s="1454">
        <v>230203</v>
      </c>
      <c r="X68" s="1449" t="s">
        <v>4706</v>
      </c>
      <c r="Y68" s="1103">
        <v>349581288</v>
      </c>
      <c r="Z68" s="1108">
        <v>349581288</v>
      </c>
      <c r="AA68" s="1108">
        <v>362341005.01200002</v>
      </c>
      <c r="AB68" s="1108">
        <v>375566451.694938</v>
      </c>
      <c r="AC68" s="1726"/>
      <c r="AD68" s="1103">
        <f>349581288-10000000</f>
        <v>339581288</v>
      </c>
      <c r="AE68" s="1096">
        <v>0</v>
      </c>
      <c r="AH68" s="1103"/>
      <c r="AL68" s="1455">
        <f t="shared" si="6"/>
        <v>0</v>
      </c>
      <c r="AM68" s="1111" t="e">
        <f t="shared" si="5"/>
        <v>#DIV/0!</v>
      </c>
    </row>
    <row r="69" spans="1:39" s="1096" customFormat="1" ht="141.75" customHeight="1" x14ac:dyDescent="0.3">
      <c r="A69" s="1104" t="s">
        <v>4683</v>
      </c>
      <c r="B69" s="1460" t="s">
        <v>4684</v>
      </c>
      <c r="C69" s="1107" t="s">
        <v>4685</v>
      </c>
      <c r="D69" s="1447" t="s">
        <v>4486</v>
      </c>
      <c r="E69" s="1104" t="s">
        <v>4686</v>
      </c>
      <c r="F69" s="1454">
        <v>14</v>
      </c>
      <c r="G69" s="1103">
        <f>+Y69+Z69+AA69+AB69</f>
        <v>126812700</v>
      </c>
      <c r="H69" s="1106" t="s">
        <v>4707</v>
      </c>
      <c r="I69" s="1453">
        <v>1</v>
      </c>
      <c r="J69" s="1453">
        <v>1</v>
      </c>
      <c r="K69" s="1453">
        <v>1</v>
      </c>
      <c r="L69" s="1453">
        <v>1</v>
      </c>
      <c r="M69" s="1451">
        <v>1</v>
      </c>
      <c r="N69" s="1451">
        <v>1</v>
      </c>
      <c r="O69" s="1455"/>
      <c r="P69" s="1455"/>
      <c r="Q69" s="1104" t="s">
        <v>4688</v>
      </c>
      <c r="T69" s="1104" t="s">
        <v>4486</v>
      </c>
      <c r="U69" s="1104" t="s">
        <v>4708</v>
      </c>
      <c r="V69" s="1455">
        <v>56</v>
      </c>
      <c r="W69" s="1454">
        <v>230202</v>
      </c>
      <c r="X69" s="1447" t="s">
        <v>27</v>
      </c>
      <c r="Y69" s="1096">
        <v>33450800</v>
      </c>
      <c r="Z69" s="1109">
        <v>29611900</v>
      </c>
      <c r="AA69" s="1108">
        <v>31100000</v>
      </c>
      <c r="AB69" s="1108">
        <v>32650000</v>
      </c>
      <c r="AC69" s="1455">
        <v>56</v>
      </c>
      <c r="AD69" s="1103">
        <f>+V69/4</f>
        <v>14</v>
      </c>
      <c r="AE69" s="1103">
        <f>+V69/4</f>
        <v>14</v>
      </c>
      <c r="AF69" s="1103">
        <f>+((V69/4)/3)*2</f>
        <v>9.3333333333333339</v>
      </c>
      <c r="AH69" s="1103"/>
      <c r="AI69" s="1103"/>
      <c r="AJ69" s="1103"/>
      <c r="AK69" s="1103"/>
      <c r="AL69" s="1110">
        <f>M69+N69+O69+P69</f>
        <v>2</v>
      </c>
      <c r="AM69" s="1102">
        <f t="shared" si="5"/>
        <v>2</v>
      </c>
    </row>
    <row r="70" spans="1:39" s="1096" customFormat="1" ht="102" customHeight="1" x14ac:dyDescent="0.3">
      <c r="A70" s="1104" t="s">
        <v>4683</v>
      </c>
      <c r="B70" s="1460" t="s">
        <v>4684</v>
      </c>
      <c r="C70" s="1107" t="s">
        <v>4685</v>
      </c>
      <c r="D70" s="1447" t="s">
        <v>4486</v>
      </c>
      <c r="E70" s="1104" t="s">
        <v>4686</v>
      </c>
      <c r="F70" s="1454">
        <v>14</v>
      </c>
      <c r="G70" s="1103">
        <f>+Y70+Z70+AA70+AB70</f>
        <v>126812700</v>
      </c>
      <c r="H70" s="1106" t="s">
        <v>4709</v>
      </c>
      <c r="I70" s="1452">
        <v>1</v>
      </c>
      <c r="J70" s="1452">
        <v>1</v>
      </c>
      <c r="K70" s="1452">
        <v>1</v>
      </c>
      <c r="L70" s="1452">
        <v>1</v>
      </c>
      <c r="M70" s="1105">
        <v>1</v>
      </c>
      <c r="N70" s="1105">
        <v>1</v>
      </c>
      <c r="O70" s="1452"/>
      <c r="P70" s="1452"/>
      <c r="Q70" s="1104" t="s">
        <v>4688</v>
      </c>
      <c r="T70" s="1104" t="s">
        <v>4486</v>
      </c>
      <c r="U70" s="1104" t="s">
        <v>4710</v>
      </c>
      <c r="V70" s="1455">
        <v>57</v>
      </c>
      <c r="W70" s="1454">
        <v>230202</v>
      </c>
      <c r="X70" s="1447" t="s">
        <v>27</v>
      </c>
      <c r="Y70" s="1096">
        <v>33450800</v>
      </c>
      <c r="Z70" s="1109">
        <v>29611900</v>
      </c>
      <c r="AA70" s="1108">
        <v>31100000</v>
      </c>
      <c r="AB70" s="1108">
        <v>32650000</v>
      </c>
      <c r="AC70" s="1455">
        <v>57</v>
      </c>
      <c r="AD70" s="1103">
        <f>+V70/4</f>
        <v>14.25</v>
      </c>
      <c r="AE70" s="1103">
        <f>+V70/4</f>
        <v>14.25</v>
      </c>
      <c r="AF70" s="1103">
        <f>+((V70/4)/3)*2</f>
        <v>9.5</v>
      </c>
      <c r="AH70" s="1103"/>
      <c r="AI70" s="1103"/>
      <c r="AJ70" s="1103"/>
      <c r="AL70" s="1102">
        <f>M70+N70+O70+P70</f>
        <v>2</v>
      </c>
      <c r="AM70" s="1102">
        <f t="shared" si="5"/>
        <v>2</v>
      </c>
    </row>
    <row r="71" spans="1:39" s="1096" customFormat="1" ht="114.75" customHeight="1" x14ac:dyDescent="0.3">
      <c r="A71" s="1104" t="s">
        <v>4683</v>
      </c>
      <c r="B71" s="1460" t="s">
        <v>4684</v>
      </c>
      <c r="C71" s="1107" t="s">
        <v>4685</v>
      </c>
      <c r="D71" s="1447" t="s">
        <v>4486</v>
      </c>
      <c r="E71" s="1104" t="s">
        <v>4686</v>
      </c>
      <c r="F71" s="1454">
        <v>14</v>
      </c>
      <c r="G71" s="1103">
        <f>+Y71+Z71+AA71+AB71</f>
        <v>126813023</v>
      </c>
      <c r="H71" s="1106" t="s">
        <v>4711</v>
      </c>
      <c r="I71" s="1452">
        <v>1</v>
      </c>
      <c r="J71" s="1452">
        <v>1</v>
      </c>
      <c r="K71" s="1452">
        <v>1</v>
      </c>
      <c r="L71" s="1452">
        <v>1</v>
      </c>
      <c r="M71" s="1105">
        <v>1</v>
      </c>
      <c r="N71" s="1105">
        <v>1</v>
      </c>
      <c r="O71" s="1452"/>
      <c r="P71" s="1452"/>
      <c r="Q71" s="1104" t="s">
        <v>4688</v>
      </c>
      <c r="T71" s="1104" t="s">
        <v>4486</v>
      </c>
      <c r="U71" s="1104" t="s">
        <v>4712</v>
      </c>
      <c r="V71" s="1455">
        <v>58</v>
      </c>
      <c r="W71" s="1454">
        <v>230202</v>
      </c>
      <c r="X71" s="1447" t="s">
        <v>27</v>
      </c>
      <c r="Y71" s="1096">
        <v>33451123</v>
      </c>
      <c r="Z71" s="1096">
        <v>29611900</v>
      </c>
      <c r="AA71" s="1103">
        <v>31100000</v>
      </c>
      <c r="AB71" s="1103">
        <v>32650000</v>
      </c>
      <c r="AC71" s="1455">
        <v>58</v>
      </c>
      <c r="AD71" s="1103">
        <f>+V71/4</f>
        <v>14.5</v>
      </c>
      <c r="AE71" s="1103">
        <f>+V71/4</f>
        <v>14.5</v>
      </c>
      <c r="AF71" s="1103">
        <f>+((V71/4)/3)*2</f>
        <v>9.6666666666666661</v>
      </c>
      <c r="AH71" s="1103"/>
      <c r="AI71" s="1103"/>
      <c r="AJ71" s="1103"/>
      <c r="AL71" s="1102">
        <f>M71+N71+O71+P71</f>
        <v>2</v>
      </c>
      <c r="AM71" s="1102">
        <f t="shared" si="5"/>
        <v>2</v>
      </c>
    </row>
    <row r="72" spans="1:39" s="1096" customFormat="1" ht="107.25" customHeight="1" x14ac:dyDescent="0.3">
      <c r="A72" s="1104" t="s">
        <v>4683</v>
      </c>
      <c r="B72" s="1460" t="s">
        <v>4684</v>
      </c>
      <c r="C72" s="1107" t="s">
        <v>4685</v>
      </c>
      <c r="D72" s="1447" t="s">
        <v>4486</v>
      </c>
      <c r="E72" s="1104" t="s">
        <v>4686</v>
      </c>
      <c r="F72" s="1454">
        <v>14</v>
      </c>
      <c r="G72" s="1103">
        <f>+Y72+Z72+AA72+AB72</f>
        <v>290000000</v>
      </c>
      <c r="H72" s="1106" t="s">
        <v>4713</v>
      </c>
      <c r="I72" s="1452">
        <v>1</v>
      </c>
      <c r="J72" s="1452">
        <v>1</v>
      </c>
      <c r="K72" s="1452">
        <v>1</v>
      </c>
      <c r="L72" s="1452">
        <v>1</v>
      </c>
      <c r="M72" s="1105">
        <v>0</v>
      </c>
      <c r="N72" s="1105">
        <v>1</v>
      </c>
      <c r="O72" s="1452"/>
      <c r="P72" s="1452"/>
      <c r="Q72" s="1104" t="s">
        <v>4688</v>
      </c>
      <c r="T72" s="1104" t="s">
        <v>4486</v>
      </c>
      <c r="U72" s="1104" t="s">
        <v>4714</v>
      </c>
      <c r="V72" s="1455">
        <v>59</v>
      </c>
      <c r="W72" s="1454">
        <v>230202</v>
      </c>
      <c r="X72" s="1447" t="s">
        <v>27</v>
      </c>
      <c r="Y72" s="1103">
        <v>65000000</v>
      </c>
      <c r="Z72" s="1103">
        <v>65000000</v>
      </c>
      <c r="AA72" s="1103">
        <v>75000000</v>
      </c>
      <c r="AB72" s="1103">
        <v>85000000</v>
      </c>
      <c r="AC72" s="1455">
        <v>59</v>
      </c>
      <c r="AD72" s="1096">
        <v>65000000</v>
      </c>
      <c r="AE72" s="1096">
        <v>0</v>
      </c>
      <c r="AF72" s="1096">
        <v>0</v>
      </c>
      <c r="AL72" s="1102">
        <f>M72+N72+O72+P72</f>
        <v>1</v>
      </c>
      <c r="AM72" s="1102">
        <f t="shared" si="5"/>
        <v>1</v>
      </c>
    </row>
    <row r="73" spans="1:39" s="1073" customFormat="1" x14ac:dyDescent="0.4">
      <c r="A73" s="1722" t="s">
        <v>4715</v>
      </c>
      <c r="B73" s="1722"/>
      <c r="C73" s="1722"/>
      <c r="D73" s="1722"/>
      <c r="E73" s="1722"/>
      <c r="F73" s="1722"/>
      <c r="G73" s="1099">
        <f>SUM(G5:G72)</f>
        <v>136575087026.45685</v>
      </c>
      <c r="H73" s="1723" t="s">
        <v>4716</v>
      </c>
      <c r="I73" s="1723"/>
      <c r="J73" s="1723"/>
      <c r="K73" s="1723"/>
      <c r="L73" s="1723"/>
      <c r="M73" s="1723"/>
      <c r="N73" s="1723"/>
      <c r="O73" s="1723"/>
      <c r="P73" s="1723"/>
      <c r="Q73" s="1723"/>
      <c r="R73" s="1723"/>
      <c r="S73" s="1723"/>
      <c r="T73" s="1723"/>
      <c r="U73" s="1723"/>
      <c r="V73" s="1723"/>
      <c r="W73" s="1101"/>
      <c r="X73" s="1461"/>
      <c r="Y73" s="1100">
        <f>SUM(Y5:Y72)</f>
        <v>31107525387.289997</v>
      </c>
      <c r="Z73" s="1100">
        <f>SUM(Z5:Z72)</f>
        <v>33561247075.220001</v>
      </c>
      <c r="AA73" s="1100">
        <f>SUM(AA5:AA72)</f>
        <v>35479134174.49601</v>
      </c>
      <c r="AB73" s="1100">
        <f>SUM(AB5:AB72)</f>
        <v>36958879559.200623</v>
      </c>
      <c r="AC73" s="1099">
        <f>SUM(AC5:AC72)</f>
        <v>1778</v>
      </c>
      <c r="AD73" s="1098">
        <v>0</v>
      </c>
      <c r="AE73" s="1097">
        <v>0</v>
      </c>
      <c r="AF73" s="1097"/>
      <c r="AG73" s="1097"/>
      <c r="AH73" s="1096"/>
      <c r="AI73" s="1074"/>
      <c r="AK73" s="226"/>
      <c r="AL73" s="1073">
        <f>M73+N73+O73</f>
        <v>0</v>
      </c>
      <c r="AM73" s="1095"/>
    </row>
    <row r="74" spans="1:39" s="1073" customFormat="1" x14ac:dyDescent="0.4">
      <c r="B74" s="1455"/>
      <c r="D74" s="1094"/>
      <c r="F74" s="1454"/>
      <c r="G74" s="1079"/>
      <c r="H74" s="1093"/>
      <c r="I74" s="1453"/>
      <c r="J74" s="1453"/>
      <c r="K74" s="1453"/>
      <c r="L74" s="1453"/>
      <c r="M74" s="1455"/>
      <c r="N74" s="1455"/>
      <c r="O74" s="1455"/>
      <c r="P74" s="1455"/>
      <c r="T74" s="1093"/>
      <c r="U74" s="1093"/>
      <c r="V74" s="1455"/>
      <c r="W74" s="1454"/>
      <c r="X74" s="1455"/>
      <c r="AC74" s="1075"/>
      <c r="AE74" s="1074"/>
    </row>
    <row r="75" spans="1:39" x14ac:dyDescent="0.4">
      <c r="G75" s="1092"/>
      <c r="H75" s="1089"/>
      <c r="I75" s="1091"/>
      <c r="J75" s="1091"/>
      <c r="K75" s="1091"/>
      <c r="L75" s="1091"/>
      <c r="M75" s="1088"/>
      <c r="N75" s="1088"/>
      <c r="O75" s="1088"/>
      <c r="P75" s="1088"/>
      <c r="Q75" s="1090"/>
      <c r="R75" s="1090"/>
      <c r="S75" s="1090"/>
      <c r="T75" s="1089"/>
      <c r="U75" s="1089"/>
      <c r="V75" s="1088"/>
      <c r="W75" s="1087"/>
      <c r="X75" s="1086"/>
      <c r="Y75" s="1083"/>
      <c r="Z75" s="1083"/>
      <c r="AA75" s="1083"/>
      <c r="AB75" s="1083"/>
      <c r="AC75" s="1085"/>
      <c r="AD75" s="1083"/>
      <c r="AE75" s="1084"/>
      <c r="AF75" s="1083"/>
      <c r="AG75" s="1083"/>
      <c r="AH75" s="1083"/>
      <c r="AI75" s="1083"/>
      <c r="AJ75" s="1083"/>
    </row>
  </sheetData>
  <customSheetViews>
    <customSheetView guid="{92B8BA5A-7984-4526-9F7A-187FF856FCAE}" scale="61" hiddenColumns="1" state="hidden" topLeftCell="A2">
      <pane xSplit="2" ySplit="3" topLeftCell="M31" activePane="bottomRight" state="frozen"/>
      <selection pane="bottomRight" activeCell="AM36" sqref="AM36"/>
      <pageMargins left="0" right="0" top="0" bottom="0" header="0" footer="0"/>
      <pageSetup orientation="portrait" r:id="rId1"/>
    </customSheetView>
  </customSheetViews>
  <mergeCells count="61">
    <mergeCell ref="D59:D68"/>
    <mergeCell ref="AB8:AB11"/>
    <mergeCell ref="AD8:AD11"/>
    <mergeCell ref="AE8:AE11"/>
    <mergeCell ref="AF8:AF11"/>
    <mergeCell ref="S59:S68"/>
    <mergeCell ref="R59:R68"/>
    <mergeCell ref="E59:E68"/>
    <mergeCell ref="M59:M68"/>
    <mergeCell ref="I59:I68"/>
    <mergeCell ref="H59:H68"/>
    <mergeCell ref="N59:N68"/>
    <mergeCell ref="F59:F68"/>
    <mergeCell ref="AK8:AK11"/>
    <mergeCell ref="AC59:AC68"/>
    <mergeCell ref="AG8:AG11"/>
    <mergeCell ref="Q59:Q68"/>
    <mergeCell ref="O59:O68"/>
    <mergeCell ref="P59:P66"/>
    <mergeCell ref="AH8:AH11"/>
    <mergeCell ref="AI8:AI11"/>
    <mergeCell ref="AJ8:AJ11"/>
    <mergeCell ref="AA8:AA11"/>
    <mergeCell ref="A1:AC1"/>
    <mergeCell ref="Y2:AC2"/>
    <mergeCell ref="AD2:AG2"/>
    <mergeCell ref="A3:A4"/>
    <mergeCell ref="B3:B4"/>
    <mergeCell ref="C3:C4"/>
    <mergeCell ref="D3:D4"/>
    <mergeCell ref="E3:E4"/>
    <mergeCell ref="F3:F4"/>
    <mergeCell ref="G3:G4"/>
    <mergeCell ref="X3:X4"/>
    <mergeCell ref="AB3:AB4"/>
    <mergeCell ref="AC3:AC4"/>
    <mergeCell ref="AD3:AG3"/>
    <mergeCell ref="H3:H4"/>
    <mergeCell ref="Q3:Q4"/>
    <mergeCell ref="R3:R4"/>
    <mergeCell ref="S3:S4"/>
    <mergeCell ref="I3:O3"/>
    <mergeCell ref="Y3:Y4"/>
    <mergeCell ref="Z3:Z4"/>
    <mergeCell ref="W3:W4"/>
    <mergeCell ref="AH3:AJ3"/>
    <mergeCell ref="C59:C68"/>
    <mergeCell ref="B59:B68"/>
    <mergeCell ref="AA3:AA4"/>
    <mergeCell ref="A73:F73"/>
    <mergeCell ref="H73:V73"/>
    <mergeCell ref="G8:G11"/>
    <mergeCell ref="Y8:Y11"/>
    <mergeCell ref="Z8:Z11"/>
    <mergeCell ref="V59:V68"/>
    <mergeCell ref="U59:U68"/>
    <mergeCell ref="T59:T68"/>
    <mergeCell ref="A59:A68"/>
    <mergeCell ref="T3:T4"/>
    <mergeCell ref="U3:U4"/>
    <mergeCell ref="V3:V4"/>
  </mergeCells>
  <conditionalFormatting sqref="AM5">
    <cfRule type="cellIs" dxfId="343" priority="98" operator="between">
      <formula>0.7</formula>
      <formula>0.84</formula>
    </cfRule>
    <cfRule type="cellIs" dxfId="342" priority="99" operator="equal">
      <formula>"Aplazada"</formula>
    </cfRule>
    <cfRule type="cellIs" dxfId="341" priority="100" stopIfTrue="1" operator="between">
      <formula>0.2</formula>
      <formula>0.39</formula>
    </cfRule>
    <cfRule type="cellIs" dxfId="340" priority="101" operator="between">
      <formula>0.4</formula>
      <formula>0.59</formula>
    </cfRule>
    <cfRule type="cellIs" dxfId="339" priority="102" operator="between">
      <formula>0.6</formula>
      <formula>0.69</formula>
    </cfRule>
    <cfRule type="cellIs" dxfId="338" priority="103" operator="greaterThan">
      <formula>0.85</formula>
    </cfRule>
    <cfRule type="cellIs" dxfId="337" priority="104" operator="lessThan">
      <formula>0.19</formula>
    </cfRule>
  </conditionalFormatting>
  <conditionalFormatting sqref="AM5">
    <cfRule type="cellIs" dxfId="336" priority="97" operator="equal">
      <formula>"No Programada"</formula>
    </cfRule>
  </conditionalFormatting>
  <conditionalFormatting sqref="AM6">
    <cfRule type="cellIs" dxfId="335" priority="90" operator="between">
      <formula>0.7</formula>
      <formula>0.84</formula>
    </cfRule>
    <cfRule type="cellIs" dxfId="334" priority="91" operator="equal">
      <formula>"Aplazada"</formula>
    </cfRule>
    <cfRule type="cellIs" dxfId="333" priority="92" stopIfTrue="1" operator="between">
      <formula>0.2</formula>
      <formula>0.39</formula>
    </cfRule>
    <cfRule type="cellIs" dxfId="332" priority="93" operator="between">
      <formula>0.4</formula>
      <formula>0.59</formula>
    </cfRule>
    <cfRule type="cellIs" dxfId="331" priority="94" operator="between">
      <formula>0.6</formula>
      <formula>0.69</formula>
    </cfRule>
    <cfRule type="cellIs" dxfId="330" priority="95" operator="greaterThan">
      <formula>0.85</formula>
    </cfRule>
    <cfRule type="cellIs" dxfId="329" priority="96" operator="lessThan">
      <formula>0.19</formula>
    </cfRule>
  </conditionalFormatting>
  <conditionalFormatting sqref="AM6">
    <cfRule type="cellIs" dxfId="328" priority="89" operator="equal">
      <formula>"No Programada"</formula>
    </cfRule>
  </conditionalFormatting>
  <conditionalFormatting sqref="AM7">
    <cfRule type="cellIs" dxfId="327" priority="82" operator="between">
      <formula>0.7</formula>
      <formula>0.84</formula>
    </cfRule>
    <cfRule type="cellIs" dxfId="326" priority="83" operator="equal">
      <formula>"Aplazada"</formula>
    </cfRule>
    <cfRule type="cellIs" dxfId="325" priority="84" stopIfTrue="1" operator="between">
      <formula>0.2</formula>
      <formula>0.39</formula>
    </cfRule>
    <cfRule type="cellIs" dxfId="324" priority="85" operator="between">
      <formula>0.4</formula>
      <formula>0.59</formula>
    </cfRule>
    <cfRule type="cellIs" dxfId="323" priority="86" operator="between">
      <formula>0.6</formula>
      <formula>0.69</formula>
    </cfRule>
    <cfRule type="cellIs" dxfId="322" priority="87" operator="greaterThan">
      <formula>0.85</formula>
    </cfRule>
    <cfRule type="cellIs" dxfId="321" priority="88" operator="lessThan">
      <formula>0.19</formula>
    </cfRule>
  </conditionalFormatting>
  <conditionalFormatting sqref="AM7">
    <cfRule type="cellIs" dxfId="320" priority="81" operator="equal">
      <formula>"No Programada"</formula>
    </cfRule>
  </conditionalFormatting>
  <conditionalFormatting sqref="AM8">
    <cfRule type="cellIs" dxfId="319" priority="74" operator="between">
      <formula>0.7</formula>
      <formula>0.84</formula>
    </cfRule>
    <cfRule type="cellIs" dxfId="318" priority="75" operator="equal">
      <formula>"Aplazada"</formula>
    </cfRule>
    <cfRule type="cellIs" dxfId="317" priority="76" stopIfTrue="1" operator="between">
      <formula>0.2</formula>
      <formula>0.39</formula>
    </cfRule>
    <cfRule type="cellIs" dxfId="316" priority="77" operator="between">
      <formula>0.4</formula>
      <formula>0.59</formula>
    </cfRule>
    <cfRule type="cellIs" dxfId="315" priority="78" operator="between">
      <formula>0.6</formula>
      <formula>0.69</formula>
    </cfRule>
    <cfRule type="cellIs" dxfId="314" priority="79" operator="greaterThan">
      <formula>0.85</formula>
    </cfRule>
    <cfRule type="cellIs" dxfId="313" priority="80" operator="lessThan">
      <formula>0.19</formula>
    </cfRule>
  </conditionalFormatting>
  <conditionalFormatting sqref="AM8">
    <cfRule type="cellIs" dxfId="312" priority="73" operator="equal">
      <formula>"No Programada"</formula>
    </cfRule>
  </conditionalFormatting>
  <conditionalFormatting sqref="AM9">
    <cfRule type="cellIs" dxfId="311" priority="66" operator="between">
      <formula>0.7</formula>
      <formula>0.84</formula>
    </cfRule>
    <cfRule type="cellIs" dxfId="310" priority="67" operator="equal">
      <formula>"Aplazada"</formula>
    </cfRule>
    <cfRule type="cellIs" dxfId="309" priority="68" stopIfTrue="1" operator="between">
      <formula>0.2</formula>
      <formula>0.39</formula>
    </cfRule>
    <cfRule type="cellIs" dxfId="308" priority="69" operator="between">
      <formula>0.4</formula>
      <formula>0.59</formula>
    </cfRule>
    <cfRule type="cellIs" dxfId="307" priority="70" operator="between">
      <formula>0.6</formula>
      <formula>0.69</formula>
    </cfRule>
    <cfRule type="cellIs" dxfId="306" priority="71" operator="greaterThan">
      <formula>0.85</formula>
    </cfRule>
    <cfRule type="cellIs" dxfId="305" priority="72" operator="lessThan">
      <formula>0.19</formula>
    </cfRule>
  </conditionalFormatting>
  <conditionalFormatting sqref="AM9">
    <cfRule type="cellIs" dxfId="304" priority="65" operator="equal">
      <formula>"No Programada"</formula>
    </cfRule>
  </conditionalFormatting>
  <conditionalFormatting sqref="AM14">
    <cfRule type="cellIs" dxfId="303" priority="9" operator="equal">
      <formula>"No Programada"</formula>
    </cfRule>
  </conditionalFormatting>
  <conditionalFormatting sqref="AM10">
    <cfRule type="cellIs" dxfId="302" priority="58" operator="between">
      <formula>0.7</formula>
      <formula>0.84</formula>
    </cfRule>
    <cfRule type="cellIs" dxfId="301" priority="59" operator="equal">
      <formula>"Aplazada"</formula>
    </cfRule>
    <cfRule type="cellIs" dxfId="300" priority="60" stopIfTrue="1" operator="between">
      <formula>0.2</formula>
      <formula>0.39</formula>
    </cfRule>
    <cfRule type="cellIs" dxfId="299" priority="61" operator="between">
      <formula>0.4</formula>
      <formula>0.59</formula>
    </cfRule>
    <cfRule type="cellIs" dxfId="298" priority="62" operator="between">
      <formula>0.6</formula>
      <formula>0.69</formula>
    </cfRule>
    <cfRule type="cellIs" dxfId="297" priority="63" operator="greaterThan">
      <formula>0.85</formula>
    </cfRule>
    <cfRule type="cellIs" dxfId="296" priority="64" operator="lessThan">
      <formula>0.19</formula>
    </cfRule>
  </conditionalFormatting>
  <conditionalFormatting sqref="AM10">
    <cfRule type="cellIs" dxfId="295" priority="57" operator="equal">
      <formula>"No Programada"</formula>
    </cfRule>
  </conditionalFormatting>
  <conditionalFormatting sqref="AM14">
    <cfRule type="cellIs" dxfId="294" priority="10" operator="between">
      <formula>0.7</formula>
      <formula>0.84</formula>
    </cfRule>
    <cfRule type="cellIs" dxfId="293" priority="11" operator="equal">
      <formula>"Aplazada"</formula>
    </cfRule>
    <cfRule type="cellIs" dxfId="292" priority="12" stopIfTrue="1" operator="between">
      <formula>0.2</formula>
      <formula>0.39</formula>
    </cfRule>
    <cfRule type="cellIs" dxfId="291" priority="13" operator="between">
      <formula>0.4</formula>
      <formula>0.59</formula>
    </cfRule>
    <cfRule type="cellIs" dxfId="290" priority="14" operator="between">
      <formula>0.6</formula>
      <formula>0.69</formula>
    </cfRule>
    <cfRule type="cellIs" dxfId="289" priority="15" operator="greaterThan">
      <formula>0.85</formula>
    </cfRule>
    <cfRule type="cellIs" dxfId="288" priority="16" operator="lessThan">
      <formula>0.19</formula>
    </cfRule>
  </conditionalFormatting>
  <conditionalFormatting sqref="AM11">
    <cfRule type="cellIs" dxfId="287" priority="42" operator="between">
      <formula>0.7</formula>
      <formula>0.84</formula>
    </cfRule>
    <cfRule type="cellIs" dxfId="286" priority="43" operator="equal">
      <formula>"Aplazada"</formula>
    </cfRule>
    <cfRule type="cellIs" dxfId="285" priority="44" stopIfTrue="1" operator="between">
      <formula>0.2</formula>
      <formula>0.39</formula>
    </cfRule>
    <cfRule type="cellIs" dxfId="284" priority="45" operator="between">
      <formula>0.4</formula>
      <formula>0.59</formula>
    </cfRule>
    <cfRule type="cellIs" dxfId="283" priority="46" operator="between">
      <formula>0.6</formula>
      <formula>0.69</formula>
    </cfRule>
    <cfRule type="cellIs" dxfId="282" priority="47" operator="greaterThan">
      <formula>0.85</formula>
    </cfRule>
    <cfRule type="cellIs" dxfId="281" priority="48" operator="lessThan">
      <formula>0.19</formula>
    </cfRule>
  </conditionalFormatting>
  <conditionalFormatting sqref="AM11">
    <cfRule type="cellIs" dxfId="280" priority="41" operator="equal">
      <formula>"No Programada"</formula>
    </cfRule>
  </conditionalFormatting>
  <conditionalFormatting sqref="AM12">
    <cfRule type="cellIs" dxfId="279" priority="34" operator="between">
      <formula>0.7</formula>
      <formula>0.84</formula>
    </cfRule>
    <cfRule type="cellIs" dxfId="278" priority="35" operator="equal">
      <formula>"Aplazada"</formula>
    </cfRule>
    <cfRule type="cellIs" dxfId="277" priority="36" stopIfTrue="1" operator="between">
      <formula>0.2</formula>
      <formula>0.39</formula>
    </cfRule>
    <cfRule type="cellIs" dxfId="276" priority="37" operator="between">
      <formula>0.4</formula>
      <formula>0.59</formula>
    </cfRule>
    <cfRule type="cellIs" dxfId="275" priority="38" operator="between">
      <formula>0.6</formula>
      <formula>0.69</formula>
    </cfRule>
    <cfRule type="cellIs" dxfId="274" priority="39" operator="greaterThan">
      <formula>0.85</formula>
    </cfRule>
    <cfRule type="cellIs" dxfId="273" priority="40" operator="lessThan">
      <formula>0.19</formula>
    </cfRule>
  </conditionalFormatting>
  <conditionalFormatting sqref="AM12">
    <cfRule type="cellIs" dxfId="272" priority="33" operator="equal">
      <formula>"No Programada"</formula>
    </cfRule>
  </conditionalFormatting>
  <conditionalFormatting sqref="AM13">
    <cfRule type="cellIs" dxfId="271" priority="18" operator="between">
      <formula>0.7</formula>
      <formula>0.84</formula>
    </cfRule>
    <cfRule type="cellIs" dxfId="270" priority="19" operator="equal">
      <formula>"Aplazada"</formula>
    </cfRule>
    <cfRule type="cellIs" dxfId="269" priority="20" stopIfTrue="1" operator="between">
      <formula>0.2</formula>
      <formula>0.39</formula>
    </cfRule>
    <cfRule type="cellIs" dxfId="268" priority="21" operator="between">
      <formula>0.4</formula>
      <formula>0.59</formula>
    </cfRule>
    <cfRule type="cellIs" dxfId="267" priority="22" operator="between">
      <formula>0.6</formula>
      <formula>0.69</formula>
    </cfRule>
    <cfRule type="cellIs" dxfId="266" priority="23" operator="greaterThan">
      <formula>0.85</formula>
    </cfRule>
    <cfRule type="cellIs" dxfId="265" priority="24" operator="lessThan">
      <formula>0.19</formula>
    </cfRule>
  </conditionalFormatting>
  <conditionalFormatting sqref="AM13">
    <cfRule type="cellIs" dxfId="264" priority="17" operator="equal">
      <formula>"No Programada"</formula>
    </cfRule>
  </conditionalFormatting>
  <conditionalFormatting sqref="AM15">
    <cfRule type="cellIs" dxfId="263" priority="1" operator="equal">
      <formula>"No Programada"</formula>
    </cfRule>
  </conditionalFormatting>
  <conditionalFormatting sqref="AM15">
    <cfRule type="cellIs" dxfId="262" priority="2" operator="between">
      <formula>0.7</formula>
      <formula>0.84</formula>
    </cfRule>
    <cfRule type="cellIs" dxfId="261" priority="3" operator="equal">
      <formula>"Aplazada"</formula>
    </cfRule>
    <cfRule type="cellIs" dxfId="260" priority="4" stopIfTrue="1" operator="between">
      <formula>0.2</formula>
      <formula>0.39</formula>
    </cfRule>
    <cfRule type="cellIs" dxfId="259" priority="5" operator="between">
      <formula>0.4</formula>
      <formula>0.59</formula>
    </cfRule>
    <cfRule type="cellIs" dxfId="258" priority="6" operator="between">
      <formula>0.6</formula>
      <formula>0.69</formula>
    </cfRule>
    <cfRule type="cellIs" dxfId="257" priority="7" operator="greaterThan">
      <formula>0.85</formula>
    </cfRule>
    <cfRule type="cellIs" dxfId="256" priority="8" operator="lessThan">
      <formula>0.19</formula>
    </cfRule>
  </conditionalFormatting>
  <pageMargins left="0.7" right="0.7" top="0.75" bottom="0.75" header="0.3" footer="0.3"/>
  <pageSetup orientation="portrait"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74"/>
  <sheetViews>
    <sheetView topLeftCell="B4" workbookViewId="0">
      <pane ySplit="5" topLeftCell="A9" activePane="bottomLeft" state="frozen"/>
      <selection activeCell="C4" sqref="C4"/>
      <selection pane="bottomLeft" activeCell="B11" sqref="A11:XFD11"/>
    </sheetView>
  </sheetViews>
  <sheetFormatPr baseColWidth="10" defaultColWidth="11.44140625" defaultRowHeight="15.6" x14ac:dyDescent="0.3"/>
  <cols>
    <col min="1" max="1" width="2.44140625" style="229" customWidth="1"/>
    <col min="2" max="2" width="3.33203125" style="229" customWidth="1"/>
    <col min="3" max="3" width="34.109375" style="229" customWidth="1"/>
    <col min="4" max="4" width="8.88671875" style="230" customWidth="1"/>
    <col min="5" max="5" width="11.88671875" style="230" customWidth="1"/>
    <col min="6" max="6" width="15.5546875" style="230" customWidth="1"/>
    <col min="7" max="7" width="14.6640625" style="230" customWidth="1"/>
    <col min="8" max="8" width="9.88671875" style="230" customWidth="1"/>
    <col min="9" max="9" width="8.6640625" style="230" customWidth="1"/>
    <col min="10" max="10" width="9.5546875" style="230" customWidth="1"/>
    <col min="11" max="11" width="13.109375" style="230" customWidth="1"/>
    <col min="12" max="12" width="10.33203125" style="230" customWidth="1"/>
    <col min="13" max="13" width="13.88671875" style="230" customWidth="1"/>
    <col min="14" max="14" width="9.6640625" style="230" customWidth="1"/>
    <col min="15" max="15" width="11.109375" style="230" customWidth="1"/>
    <col min="16" max="16" width="10.88671875" style="230" customWidth="1"/>
    <col min="17" max="17" width="11.109375" style="230" customWidth="1"/>
    <col min="18" max="18" width="11.109375" style="283" customWidth="1"/>
    <col min="19" max="19" width="6.88671875" style="283" customWidth="1"/>
    <col min="20" max="20" width="10.5546875" style="229" customWidth="1"/>
    <col min="21" max="21" width="9.109375" style="229" hidden="1" customWidth="1"/>
    <col min="22" max="22" width="32.109375" style="229" customWidth="1"/>
    <col min="23" max="23" width="8.6640625" style="229" customWidth="1"/>
    <col min="24" max="24" width="11.44140625" style="229"/>
    <col min="25" max="25" width="16.109375" style="229" customWidth="1"/>
    <col min="26" max="26" width="15.5546875" style="229" customWidth="1"/>
    <col min="27" max="27" width="47.88671875" style="229" hidden="1" customWidth="1"/>
    <col min="28" max="28" width="10.6640625" style="229" hidden="1" customWidth="1"/>
    <col min="29" max="29" width="10.33203125" style="229" hidden="1" customWidth="1"/>
    <col min="30" max="30" width="16.109375" style="229" hidden="1" customWidth="1"/>
    <col min="31" max="31" width="17" style="229" hidden="1" customWidth="1"/>
    <col min="32" max="34" width="0" style="229" hidden="1" customWidth="1"/>
    <col min="35" max="35" width="14.6640625" style="229" hidden="1" customWidth="1"/>
    <col min="36" max="36" width="0" style="229" hidden="1" customWidth="1"/>
    <col min="37" max="37" width="15.6640625" style="229" hidden="1" customWidth="1"/>
    <col min="38" max="38" width="0" style="229" hidden="1" customWidth="1"/>
    <col min="39" max="39" width="15.5546875" style="229" hidden="1" customWidth="1"/>
    <col min="40" max="41" width="0" style="229" hidden="1" customWidth="1"/>
    <col min="42" max="42" width="33.88671875" style="229" hidden="1" customWidth="1"/>
    <col min="43" max="44" width="0" style="229" hidden="1" customWidth="1"/>
    <col min="45" max="45" width="17.33203125" style="229" hidden="1" customWidth="1"/>
    <col min="46" max="46" width="15.33203125" style="229" hidden="1" customWidth="1"/>
    <col min="47" max="49" width="0" style="229" hidden="1" customWidth="1"/>
    <col min="50" max="50" width="15.109375" style="229" hidden="1" customWidth="1"/>
    <col min="51" max="51" width="0" style="229" hidden="1" customWidth="1"/>
    <col min="52" max="52" width="15.88671875" style="229" hidden="1" customWidth="1"/>
    <col min="53" max="53" width="0" style="229" hidden="1" customWidth="1"/>
    <col min="54" max="54" width="15.109375" style="229" hidden="1" customWidth="1"/>
    <col min="55" max="55" width="0" style="229" hidden="1" customWidth="1"/>
    <col min="56" max="16384" width="11.44140625" style="229"/>
  </cols>
  <sheetData>
    <row r="1" spans="1:55" ht="15.75" x14ac:dyDescent="0.25">
      <c r="AB1" s="230"/>
      <c r="AC1" s="230"/>
      <c r="AD1" s="230"/>
      <c r="AE1" s="230"/>
      <c r="AF1" s="230"/>
      <c r="AG1" s="230"/>
      <c r="AH1" s="230"/>
      <c r="AI1" s="230"/>
      <c r="AJ1" s="230"/>
      <c r="AK1" s="230"/>
      <c r="AL1" s="230"/>
      <c r="AM1" s="230"/>
      <c r="AN1" s="283"/>
      <c r="AQ1" s="230"/>
      <c r="AR1" s="230"/>
      <c r="AS1" s="230"/>
      <c r="AT1" s="230"/>
      <c r="AU1" s="230"/>
      <c r="AV1" s="230"/>
      <c r="AW1" s="230"/>
      <c r="AX1" s="230"/>
      <c r="AY1" s="230"/>
      <c r="AZ1" s="230"/>
      <c r="BA1" s="230"/>
      <c r="BB1" s="230"/>
      <c r="BC1" s="283"/>
    </row>
    <row r="2" spans="1:55" ht="23.25" x14ac:dyDescent="0.25">
      <c r="C2" s="1712" t="s">
        <v>4717</v>
      </c>
      <c r="D2" s="1713"/>
      <c r="E2" s="1713"/>
      <c r="F2" s="1713"/>
      <c r="G2" s="1713"/>
      <c r="H2" s="1713"/>
      <c r="I2" s="1713"/>
      <c r="J2" s="1713"/>
      <c r="K2" s="1713"/>
      <c r="L2" s="1713"/>
      <c r="M2" s="1713"/>
      <c r="N2" s="1713"/>
      <c r="O2" s="1713"/>
      <c r="P2" s="1713"/>
      <c r="Q2" s="1713"/>
      <c r="R2" s="1713"/>
      <c r="S2" s="1713"/>
      <c r="T2" s="1713"/>
      <c r="AA2" s="1712" t="s">
        <v>3108</v>
      </c>
      <c r="AB2" s="1713"/>
      <c r="AC2" s="1713"/>
      <c r="AD2" s="1713"/>
      <c r="AE2" s="1713"/>
      <c r="AF2" s="1713"/>
      <c r="AG2" s="1713"/>
      <c r="AH2" s="1713"/>
      <c r="AI2" s="1713"/>
      <c r="AJ2" s="1713"/>
      <c r="AK2" s="1713"/>
      <c r="AL2" s="1713"/>
      <c r="AM2" s="1713"/>
      <c r="AN2" s="1713"/>
      <c r="AP2" s="1712" t="s">
        <v>3955</v>
      </c>
      <c r="AQ2" s="1713"/>
      <c r="AR2" s="1713"/>
      <c r="AS2" s="1713"/>
      <c r="AT2" s="1713"/>
      <c r="AU2" s="1713"/>
      <c r="AV2" s="1713"/>
      <c r="AW2" s="1713"/>
      <c r="AX2" s="1713"/>
      <c r="AY2" s="1713"/>
      <c r="AZ2" s="1713"/>
      <c r="BA2" s="1713"/>
      <c r="BB2" s="1713"/>
      <c r="BC2" s="1713"/>
    </row>
    <row r="3" spans="1:55" ht="10.5" customHeight="1" x14ac:dyDescent="0.25">
      <c r="AB3" s="230"/>
      <c r="AC3" s="230"/>
      <c r="AD3" s="230"/>
      <c r="AE3" s="230"/>
      <c r="AF3" s="230"/>
      <c r="AG3" s="230"/>
      <c r="AH3" s="230"/>
      <c r="AI3" s="230"/>
      <c r="AJ3" s="230"/>
      <c r="AK3" s="230"/>
      <c r="AL3" s="230"/>
      <c r="AM3" s="230"/>
      <c r="AN3" s="283"/>
      <c r="AQ3" s="230"/>
      <c r="AR3" s="230"/>
      <c r="AS3" s="230"/>
      <c r="AT3" s="230"/>
      <c r="AU3" s="230"/>
      <c r="AV3" s="230"/>
      <c r="AW3" s="230"/>
      <c r="AX3" s="230"/>
      <c r="AY3" s="230"/>
      <c r="AZ3" s="230"/>
      <c r="BA3" s="230"/>
      <c r="BB3" s="230"/>
      <c r="BC3" s="283"/>
    </row>
    <row r="4" spans="1:55" ht="22.5" customHeight="1" x14ac:dyDescent="0.35">
      <c r="C4" s="1753" t="s">
        <v>4718</v>
      </c>
      <c r="D4" s="1753"/>
      <c r="E4" s="1753"/>
      <c r="F4" s="1753"/>
      <c r="G4" s="1753"/>
      <c r="H4" s="1753"/>
      <c r="I4" s="1753"/>
      <c r="J4" s="1753"/>
      <c r="K4" s="1753"/>
      <c r="L4" s="1753"/>
      <c r="M4" s="1753"/>
      <c r="N4" s="1753"/>
      <c r="O4" s="1753"/>
      <c r="P4" s="1753"/>
      <c r="Q4" s="1753"/>
      <c r="R4" s="1753"/>
      <c r="S4" s="1753"/>
      <c r="T4" s="1753"/>
      <c r="AB4" s="230"/>
      <c r="AC4" s="230"/>
      <c r="AD4" s="230"/>
      <c r="AE4" s="230"/>
      <c r="AF4" s="230"/>
      <c r="AG4" s="230"/>
      <c r="AH4" s="230"/>
      <c r="AI4" s="230"/>
      <c r="AJ4" s="230"/>
      <c r="AK4" s="230"/>
      <c r="AL4" s="230"/>
      <c r="AM4" s="230"/>
      <c r="AN4" s="283"/>
      <c r="AQ4" s="230"/>
      <c r="AR4" s="230"/>
      <c r="AS4" s="230"/>
      <c r="AT4" s="230"/>
      <c r="AU4" s="230"/>
      <c r="AV4" s="230"/>
      <c r="AW4" s="230"/>
      <c r="AX4" s="230"/>
      <c r="AY4" s="230"/>
      <c r="AZ4" s="230"/>
      <c r="BA4" s="230"/>
      <c r="BB4" s="230"/>
      <c r="BC4" s="283"/>
    </row>
    <row r="5" spans="1:55" ht="22.5" customHeight="1" x14ac:dyDescent="0.35">
      <c r="C5" s="1462"/>
      <c r="D5" s="1462"/>
      <c r="E5" s="1462"/>
      <c r="F5" s="1462"/>
      <c r="G5" s="1462"/>
      <c r="H5" s="1462"/>
      <c r="I5" s="1462"/>
      <c r="J5" s="1462"/>
      <c r="K5" s="1462"/>
      <c r="L5" s="1462"/>
      <c r="M5" s="1462"/>
      <c r="N5" s="1462"/>
      <c r="O5" s="1462"/>
      <c r="P5" s="1462"/>
      <c r="Q5" s="1462"/>
      <c r="R5" s="1462"/>
      <c r="S5" s="1462"/>
      <c r="T5" s="1462"/>
      <c r="AB5" s="230"/>
      <c r="AC5" s="230"/>
      <c r="AD5" s="230"/>
      <c r="AE5" s="230"/>
      <c r="AF5" s="230"/>
      <c r="AG5" s="230"/>
      <c r="AH5" s="230"/>
      <c r="AI5" s="230"/>
      <c r="AJ5" s="230"/>
      <c r="AK5" s="230"/>
      <c r="AL5" s="230"/>
      <c r="AM5" s="230"/>
      <c r="AN5" s="283"/>
      <c r="AQ5" s="230"/>
      <c r="AR5" s="230"/>
      <c r="AS5" s="230"/>
      <c r="AT5" s="230"/>
      <c r="AU5" s="230"/>
      <c r="AV5" s="230"/>
      <c r="AW5" s="230"/>
      <c r="AX5" s="230"/>
      <c r="AY5" s="230"/>
      <c r="AZ5" s="230"/>
      <c r="BA5" s="230"/>
      <c r="BB5" s="230"/>
      <c r="BC5" s="283"/>
    </row>
    <row r="6" spans="1:55" ht="10.5" customHeight="1" thickBot="1" x14ac:dyDescent="0.3">
      <c r="AB6" s="230"/>
      <c r="AC6" s="230"/>
      <c r="AD6" s="230"/>
      <c r="AE6" s="230"/>
      <c r="AF6" s="230"/>
      <c r="AG6" s="230"/>
      <c r="AH6" s="230"/>
      <c r="AI6" s="230"/>
      <c r="AJ6" s="230"/>
      <c r="AK6" s="230"/>
      <c r="AL6" s="230"/>
      <c r="AM6" s="230"/>
      <c r="AN6" s="283"/>
      <c r="AQ6" s="230"/>
      <c r="AR6" s="230"/>
      <c r="AS6" s="230"/>
      <c r="AT6" s="230"/>
      <c r="AU6" s="230"/>
      <c r="AV6" s="230"/>
      <c r="AW6" s="230"/>
      <c r="AX6" s="230"/>
      <c r="AY6" s="230"/>
      <c r="AZ6" s="230"/>
      <c r="BA6" s="230"/>
      <c r="BB6" s="230"/>
      <c r="BC6" s="283"/>
    </row>
    <row r="7" spans="1:55" ht="34.5" customHeight="1" thickBot="1" x14ac:dyDescent="0.3">
      <c r="F7" s="1267" t="s">
        <v>4719</v>
      </c>
      <c r="G7" s="1268" t="s">
        <v>4720</v>
      </c>
      <c r="H7" s="1269" t="s">
        <v>4721</v>
      </c>
      <c r="I7" s="1270" t="s">
        <v>4722</v>
      </c>
      <c r="J7" s="1271" t="s">
        <v>4723</v>
      </c>
      <c r="K7" s="1272" t="s">
        <v>4724</v>
      </c>
      <c r="L7" s="1273" t="s">
        <v>3112</v>
      </c>
      <c r="M7" s="1274" t="s">
        <v>4725</v>
      </c>
      <c r="N7" s="1275" t="s">
        <v>3647</v>
      </c>
      <c r="O7" s="1276" t="s">
        <v>4726</v>
      </c>
      <c r="P7" s="1752" t="s">
        <v>4727</v>
      </c>
      <c r="Q7" s="1752"/>
      <c r="R7" s="1752"/>
      <c r="S7" s="1752"/>
      <c r="T7" s="1752"/>
      <c r="AB7" s="230"/>
      <c r="AC7" s="230"/>
      <c r="AD7" s="804" t="s">
        <v>4719</v>
      </c>
      <c r="AE7" s="1027" t="s">
        <v>4720</v>
      </c>
      <c r="AF7" s="1028" t="s">
        <v>4721</v>
      </c>
      <c r="AG7" s="1029" t="s">
        <v>4722</v>
      </c>
      <c r="AH7" s="1030" t="s">
        <v>4723</v>
      </c>
      <c r="AI7" s="1031" t="s">
        <v>4724</v>
      </c>
      <c r="AJ7" s="1032" t="s">
        <v>3112</v>
      </c>
      <c r="AK7" s="1243" t="s">
        <v>4725</v>
      </c>
      <c r="AL7" s="1244" t="s">
        <v>3647</v>
      </c>
      <c r="AM7" s="1245" t="s">
        <v>4726</v>
      </c>
      <c r="AN7" s="1251" t="s">
        <v>4727</v>
      </c>
      <c r="AQ7" s="230"/>
      <c r="AR7" s="230"/>
      <c r="AS7" s="804" t="s">
        <v>4719</v>
      </c>
      <c r="AT7" s="1027" t="s">
        <v>4720</v>
      </c>
      <c r="AU7" s="1028" t="s">
        <v>4721</v>
      </c>
      <c r="AV7" s="1029" t="s">
        <v>4722</v>
      </c>
      <c r="AW7" s="1030" t="s">
        <v>4723</v>
      </c>
      <c r="AX7" s="1031" t="s">
        <v>4724</v>
      </c>
      <c r="AY7" s="1032" t="s">
        <v>3112</v>
      </c>
      <c r="AZ7" s="1243" t="s">
        <v>4725</v>
      </c>
      <c r="BA7" s="1244" t="s">
        <v>3647</v>
      </c>
      <c r="BB7" s="1245" t="s">
        <v>4726</v>
      </c>
      <c r="BC7" s="1251" t="s">
        <v>4727</v>
      </c>
    </row>
    <row r="8" spans="1:55" ht="45.75" customHeight="1" thickBot="1" x14ac:dyDescent="0.3">
      <c r="C8" s="1236" t="s">
        <v>9</v>
      </c>
      <c r="D8" s="791" t="s">
        <v>3114</v>
      </c>
      <c r="E8" s="1018" t="s">
        <v>4728</v>
      </c>
      <c r="F8" s="1026" t="s">
        <v>2598</v>
      </c>
      <c r="G8" s="1025" t="s">
        <v>4729</v>
      </c>
      <c r="H8" s="1020" t="s">
        <v>2604</v>
      </c>
      <c r="I8" s="1021" t="s">
        <v>4730</v>
      </c>
      <c r="J8" s="1022" t="s">
        <v>2600</v>
      </c>
      <c r="K8" s="1023" t="s">
        <v>4731</v>
      </c>
      <c r="L8" s="1024" t="s">
        <v>2594</v>
      </c>
      <c r="M8" s="1246" t="s">
        <v>4732</v>
      </c>
      <c r="N8" s="1244" t="s">
        <v>2464</v>
      </c>
      <c r="O8" s="1245" t="s">
        <v>2458</v>
      </c>
      <c r="P8" s="1464">
        <v>2016</v>
      </c>
      <c r="Q8" s="1464" t="s">
        <v>4733</v>
      </c>
      <c r="R8" s="1464" t="s">
        <v>4734</v>
      </c>
      <c r="S8" s="1464" t="s">
        <v>4735</v>
      </c>
      <c r="T8" s="1278" t="s">
        <v>4736</v>
      </c>
      <c r="AA8" s="1236" t="s">
        <v>9</v>
      </c>
      <c r="AB8" s="791" t="s">
        <v>3114</v>
      </c>
      <c r="AC8" s="1018" t="s">
        <v>4737</v>
      </c>
      <c r="AD8" s="1026" t="s">
        <v>2598</v>
      </c>
      <c r="AE8" s="1025" t="s">
        <v>4729</v>
      </c>
      <c r="AF8" s="1020" t="s">
        <v>2604</v>
      </c>
      <c r="AG8" s="1021" t="s">
        <v>4730</v>
      </c>
      <c r="AH8" s="1022" t="s">
        <v>2600</v>
      </c>
      <c r="AI8" s="1023" t="s">
        <v>4731</v>
      </c>
      <c r="AJ8" s="1024" t="s">
        <v>2594</v>
      </c>
      <c r="AK8" s="1246" t="s">
        <v>4732</v>
      </c>
      <c r="AL8" s="1244" t="s">
        <v>2464</v>
      </c>
      <c r="AM8" s="1245" t="s">
        <v>2458</v>
      </c>
      <c r="AN8" s="1464" t="s">
        <v>4738</v>
      </c>
      <c r="AP8" s="1236" t="s">
        <v>9</v>
      </c>
      <c r="AQ8" s="791" t="s">
        <v>3114</v>
      </c>
      <c r="AR8" s="1018" t="s">
        <v>4737</v>
      </c>
      <c r="AS8" s="1026" t="s">
        <v>2598</v>
      </c>
      <c r="AT8" s="1025" t="s">
        <v>4729</v>
      </c>
      <c r="AU8" s="1020" t="s">
        <v>2604</v>
      </c>
      <c r="AV8" s="1021" t="s">
        <v>4730</v>
      </c>
      <c r="AW8" s="1022" t="s">
        <v>2600</v>
      </c>
      <c r="AX8" s="1023" t="s">
        <v>4731</v>
      </c>
      <c r="AY8" s="1024" t="s">
        <v>2594</v>
      </c>
      <c r="AZ8" s="1246" t="s">
        <v>4732</v>
      </c>
      <c r="BA8" s="1244" t="s">
        <v>2464</v>
      </c>
      <c r="BB8" s="1245" t="s">
        <v>2458</v>
      </c>
      <c r="BC8" s="1464" t="s">
        <v>4733</v>
      </c>
    </row>
    <row r="9" spans="1:55" x14ac:dyDescent="0.3">
      <c r="A9" s="955"/>
      <c r="B9">
        <f>SUM(F9:K9)-E9</f>
        <v>1</v>
      </c>
      <c r="C9" s="1058" t="s">
        <v>39</v>
      </c>
      <c r="D9" s="782">
        <v>36</v>
      </c>
      <c r="E9" s="782">
        <f>D9-(L9+M9+N9)</f>
        <v>31</v>
      </c>
      <c r="F9" s="1012">
        <f>COUNTIFS('PLAN ACCION 2018'!$B$8:$B$504,C9,'PLAN ACCION 2018'!$CF$8:$CF$504,$F$8)</f>
        <v>28</v>
      </c>
      <c r="G9" s="1011">
        <f>COUNTIFS('PLAN ACCION 2018'!$B$8:$B$504,C9,'PLAN ACCION 2018'!$CF$8:$CF$504,$G$8)</f>
        <v>2</v>
      </c>
      <c r="H9" s="1016">
        <f>COUNTIFS('PLAN ACCION 2018'!$B$8:$B$504,C9,'PLAN ACCION 2018'!$CF$8:$CF$504,$H$8)</f>
        <v>0</v>
      </c>
      <c r="I9" s="1013">
        <f>COUNTIFS('PLAN ACCION 2018'!$B$8:$B$504,C9,'PLAN ACCION 2018'!$CF$8:$CF$504,$I$8)</f>
        <v>0</v>
      </c>
      <c r="J9" s="785">
        <f>COUNTIFS('PLAN ACCION 2018'!$B$8:$B$504,C9,'PLAN ACCION 2018'!$CF$8:$CF$504,$J$8)</f>
        <v>2</v>
      </c>
      <c r="K9" s="1015">
        <f>COUNTIFS('PLAN ACCION 2018'!$B$8:$B$504,C9,'PLAN ACCION 2018'!$CF$8:$CF$504,$K$8)</f>
        <v>0</v>
      </c>
      <c r="L9" s="1255">
        <f>COUNTIFS('PLAN ACCION 2018'!$B$8:$B$504,C9,'PLAN ACCION 2018'!$CF$8:$CF$504,$L$8)</f>
        <v>0</v>
      </c>
      <c r="M9" s="1257">
        <f>COUNTIFS('PLAN ACCION 2018'!$B$8:$B$504,C9,'PLAN ACCION 2018'!$CF$8:$CF$504,$M$8)</f>
        <v>4</v>
      </c>
      <c r="N9" s="786">
        <f>COUNTIFS('PLAN ACCION 2018'!$B$8:$B$504,C9,'PLAN ACCION 2018'!$CF$8:$CF$504,$N$8)</f>
        <v>1</v>
      </c>
      <c r="O9" s="786">
        <f>COUNTIFS('PLAN ACCION 2018'!$B$8:$B$504,C9,'PLAN ACCION 2018'!$CF$8:$CF$504,$O$8)</f>
        <v>0</v>
      </c>
      <c r="P9" s="787">
        <f>AN9</f>
        <v>62.5</v>
      </c>
      <c r="Q9" s="787">
        <f t="shared" ref="Q9:Q26" si="0">BC9</f>
        <v>86.666666666666671</v>
      </c>
      <c r="R9" s="787">
        <f>+(((F9+G9)*1)/(F9+G9+H9+I9+J9+K9)+(H9*0.5)/(F9+G9+H9+I9+J9+K9))*100</f>
        <v>93.75</v>
      </c>
      <c r="S9" s="787"/>
      <c r="T9" s="1252">
        <f>(P9+Q9+R9+S9)/U9</f>
        <v>80.972222222222229</v>
      </c>
      <c r="U9" s="229">
        <f>COUNTIF(P9:S9,"&gt;=0")</f>
        <v>3</v>
      </c>
      <c r="AA9" s="1058" t="s">
        <v>39</v>
      </c>
      <c r="AB9" s="782">
        <f>COUNTIFS('PLAN ACCION 2018'!$B$7:$B$1003,AA9,'PLAN ACCION 2018'!$A$7:$A$1003,"*")</f>
        <v>37</v>
      </c>
      <c r="AC9" s="782">
        <f t="shared" ref="AC9:AC24" si="1">AB9-(AJ9+AK9+AL9)</f>
        <v>24</v>
      </c>
      <c r="AD9" s="1012">
        <f>COUNTIFS('PLAN ACCION 2018'!$B$8:$B$504,AA9,'PLAN ACCION 2018'!$CD$8:$CD$504,"VE")</f>
        <v>15</v>
      </c>
      <c r="AE9" s="1011">
        <f>COUNTIFS('PLAN ACCION 2018'!$B$8:$B$504,AA9,'PLAN ACCION 2018'!$CD$8:$CD$504,"VEB")</f>
        <v>0</v>
      </c>
      <c r="AF9" s="1016">
        <f>COUNTIFS('PLAN ACCION 2018'!$B$8:$B$504,AA9,'PLAN ACCION 2018'!$CD$8:$CD$504,"AM")</f>
        <v>0</v>
      </c>
      <c r="AG9" s="1013">
        <f>COUNTIFS('PLAN ACCION 2018'!$B$8:$B$504,AA9,'PLAN ACCION 2018'!$CD$8:$CD$504,"AMB")</f>
        <v>1</v>
      </c>
      <c r="AH9" s="785">
        <f>COUNTIFS('PLAN ACCION 2018'!$B$8:$B$504,AA9,'PLAN ACCION 2018'!$CD$8:$CD$504,"RO")</f>
        <v>0</v>
      </c>
      <c r="AI9" s="1015">
        <f>COUNTIFS('PLAN ACCION 2018'!$B$8:$B$504,AA9,'PLAN ACCION 2018'!$CD$8:$CD$504,"ROB")</f>
        <v>8</v>
      </c>
      <c r="AJ9" s="786">
        <f>COUNTIFS('PLAN ACCION 2018'!$B$8:$B$504,AA9,'PLAN ACCION 2018'!$CD$8:$CD$504,"AZ")</f>
        <v>1</v>
      </c>
      <c r="AK9" s="786">
        <f>COUNTIFS('PLAN ACCION 2018'!$B$8:$B$504,AA9,'PLAN ACCION 2018'!$CD$8:$CD$504,"NP")</f>
        <v>12</v>
      </c>
      <c r="AL9" s="786">
        <f>COUNTIFS('PLAN ACCION 2018'!$B$8:$B$504,AA9,'PLAN ACCION 2018'!$CD$8:$CD$504,"E")</f>
        <v>0</v>
      </c>
      <c r="AM9" s="786">
        <f>COUNTIFS('PLAN ACCION 2018'!$B$8:$B$504,AA9,'PLAN ACCION 2018'!$CD$8:$CD$504,"M")</f>
        <v>0</v>
      </c>
      <c r="AN9" s="787">
        <f t="shared" ref="AN9:AN26" si="2">+((AD9*1)/(AD9+AE9+AF9+AG9+AH9+AI9)+(AF9*0.5)/(AD9+AE9+AF9+AG9+AH9+AI9))*100</f>
        <v>62.5</v>
      </c>
      <c r="AP9" s="1058" t="s">
        <v>39</v>
      </c>
      <c r="AQ9" s="782">
        <f>COUNTIFS('PLAN ACCION 2018'!$B$7:$B$1003,AP9,'PLAN ACCION 2018'!$A$7:$A$1003,"*")</f>
        <v>37</v>
      </c>
      <c r="AR9" s="782">
        <f t="shared" ref="AR9:AR24" si="3">AQ9-(AY9+AZ9+BA9)</f>
        <v>30</v>
      </c>
      <c r="AS9" s="1012">
        <f>COUNTIFS('PLAN ACCION 2018'!$B$8:$B$504,AP9,'PLAN ACCION 2018'!$CE$8:$CE$504,"VE")</f>
        <v>26</v>
      </c>
      <c r="AT9" s="1011">
        <f>COUNTIFS('PLAN ACCION 2018'!$B$8:$B$504,AP9,'PLAN ACCION 2018'!$CE$8:$CE$504,"VEB")</f>
        <v>0</v>
      </c>
      <c r="AU9" s="1016">
        <f>COUNTIFS('PLAN ACCION 2018'!$B$8:$B$504,AP9,'PLAN ACCION 2018'!$CE$8:$CE$504,"AM")</f>
        <v>0</v>
      </c>
      <c r="AV9" s="1013">
        <f>COUNTIFS('PLAN ACCION 2018'!$B$8:$B$504,AP9,'PLAN ACCION 2018'!$CE$8:$CE$504,"AMB")</f>
        <v>0</v>
      </c>
      <c r="AW9" s="785">
        <f>COUNTIFS('PLAN ACCION 2018'!$B$8:$B$504,AP9,'PLAN ACCION 2018'!$CE$8:$CE$504,"RO")</f>
        <v>2</v>
      </c>
      <c r="AX9" s="1015">
        <f>COUNTIFS('PLAN ACCION 2018'!$B$8:$B$504,AP9,'PLAN ACCION 2018'!$CE$8:$CE$504,"ROB")</f>
        <v>2</v>
      </c>
      <c r="AY9" s="786">
        <f>COUNTIFS('PLAN ACCION 2018'!$B$8:$B$504,AP9,'PLAN ACCION 2018'!$CE$8:$CE$504,"AZ")</f>
        <v>2</v>
      </c>
      <c r="AZ9" s="786">
        <f>COUNTIFS('PLAN ACCION 2018'!$B$8:$B$504,AP9,'PLAN ACCION 2018'!$CE$8:$CE$504,"NP")</f>
        <v>5</v>
      </c>
      <c r="BA9" s="786">
        <f>COUNTIFS('PLAN ACCION 2018'!$B$8:$B$504,AP9,'PLAN ACCION 2018'!$CE$8:$CE$504,"E")</f>
        <v>0</v>
      </c>
      <c r="BB9" s="786">
        <f>COUNTIFS('PLAN ACCION 2018'!$B$8:$B$504,AP9,'PLAN ACCION 2018'!$CE$8:$CE$504,"M")</f>
        <v>0</v>
      </c>
      <c r="BC9" s="787">
        <f t="shared" ref="BC9:BC26" si="4">+((AS9*1)/(AS9+AT9+AU9+AV9+AW9+AX9)+(AU9*0.5)/(AS9+AT9+AU9+AV9+AW9+AX9))*100</f>
        <v>86.666666666666671</v>
      </c>
    </row>
    <row r="10" spans="1:55" ht="15.75" x14ac:dyDescent="0.25">
      <c r="B10">
        <f t="shared" ref="B10:B25" si="5">SUM(F10:K10)-E10</f>
        <v>-2</v>
      </c>
      <c r="C10" s="1056" t="s">
        <v>2250</v>
      </c>
      <c r="D10" s="782">
        <v>61</v>
      </c>
      <c r="E10" s="782">
        <f t="shared" ref="E10:E26" si="6">D10-(L10+M10+N10)</f>
        <v>61</v>
      </c>
      <c r="F10" s="1012">
        <v>48</v>
      </c>
      <c r="G10" s="1011">
        <v>2</v>
      </c>
      <c r="H10" s="1016">
        <f>COUNTIFS('PLAN ACCION 2018'!$B$8:$B$504,C10,'PLAN ACCION 2018'!$CF$8:$CF$504,$H$8)</f>
        <v>0</v>
      </c>
      <c r="I10" s="1013">
        <v>8</v>
      </c>
      <c r="J10" s="785">
        <v>0</v>
      </c>
      <c r="K10" s="1015">
        <v>1</v>
      </c>
      <c r="L10" s="1255">
        <f>COUNTIFS('PLAN ACCION 2018'!$B$8:$B$504,C10,'PLAN ACCION 2018'!$CF$8:$CF$504,$L$8)</f>
        <v>0</v>
      </c>
      <c r="M10" s="1257">
        <f>COUNTIFS('PLAN ACCION 2018'!$B$8:$B$504,C10,'PLAN ACCION 2018'!$CF$8:$CF$504,$M$8)</f>
        <v>0</v>
      </c>
      <c r="N10" s="786">
        <f>COUNTIFS('PLAN ACCION 2018'!$B$8:$B$504,C10,'PLAN ACCION 2018'!$CF$8:$CF$504,$N$8)</f>
        <v>0</v>
      </c>
      <c r="O10" s="786">
        <f>COUNTIFS('PLAN ACCION 2018'!$B$8:$B$504,C10,'PLAN ACCION 2018'!$CF$8:$CF$504,$O$8)</f>
        <v>0</v>
      </c>
      <c r="P10" s="787">
        <v>97</v>
      </c>
      <c r="Q10" s="787">
        <v>91</v>
      </c>
      <c r="R10" s="787">
        <f t="shared" ref="R10:R26" si="7">+(((F10+G10)*1)/(F10+G10+H10+I10+J10+K10)+((H10+I10)*0.5)/(F10+G10+H10+I10+J10+K10))*100</f>
        <v>91.525423728813564</v>
      </c>
      <c r="S10" s="773"/>
      <c r="T10" s="1252">
        <f t="shared" ref="T10:T26" si="8">(P10+Q10+R10+S10)/U10</f>
        <v>93.175141242937855</v>
      </c>
      <c r="U10" s="229">
        <f t="shared" ref="U10:U26" si="9">COUNTIF(P10:S10,"&gt;=0")</f>
        <v>3</v>
      </c>
      <c r="AA10" s="1056" t="s">
        <v>2250</v>
      </c>
      <c r="AB10" s="782">
        <f>COUNTIFS('PLAN ACCION 2018'!$B$7:$B$1003,AA10,'PLAN ACCION 2018'!$A$7:$A$1003,"*")</f>
        <v>0</v>
      </c>
      <c r="AC10" s="782">
        <f t="shared" si="1"/>
        <v>0</v>
      </c>
      <c r="AD10" s="1012">
        <f>COUNTIFS('PLAN ACCION 2018'!$B$8:$B$504,AA10,'PLAN ACCION 2018'!$CD$8:$CD$504,"VE")</f>
        <v>0</v>
      </c>
      <c r="AE10" s="1011">
        <f>COUNTIFS('PLAN ACCION 2018'!$B$8:$B$504,AA10,'PLAN ACCION 2018'!$CD$8:$CD$504,"VEB")</f>
        <v>0</v>
      </c>
      <c r="AF10" s="1016">
        <f>COUNTIFS('PLAN ACCION 2018'!$B$8:$B$504,AA10,'PLAN ACCION 2018'!$CD$8:$CD$504,"AM")</f>
        <v>0</v>
      </c>
      <c r="AG10" s="1013">
        <f>COUNTIFS('PLAN ACCION 2018'!$B$8:$B$504,AA10,'PLAN ACCION 2018'!$CD$8:$CD$504,"AMB")</f>
        <v>0</v>
      </c>
      <c r="AH10" s="785">
        <f>COUNTIFS('PLAN ACCION 2018'!$B$8:$B$504,AA10,'PLAN ACCION 2018'!$CD$8:$CD$504,"RO")</f>
        <v>0</v>
      </c>
      <c r="AI10" s="1015">
        <f>COUNTIFS('PLAN ACCION 2018'!$B$8:$B$504,AA10,'PLAN ACCION 2018'!$CD$8:$CD$504,"ROB")</f>
        <v>0</v>
      </c>
      <c r="AJ10" s="786">
        <f>COUNTIFS('PLAN ACCION 2018'!$B$8:$B$504,AA10,'PLAN ACCION 2018'!$CD$8:$CD$504,"AZ")</f>
        <v>0</v>
      </c>
      <c r="AK10" s="786">
        <f>COUNTIFS('PLAN ACCION 2018'!$B$8:$B$504,AA10,'PLAN ACCION 2018'!$CD$8:$CD$504,"NP")</f>
        <v>0</v>
      </c>
      <c r="AL10" s="786">
        <f>COUNTIFS('PLAN ACCION 2018'!$B$8:$B$504,AA10,'PLAN ACCION 2018'!$CD$8:$CD$504,"E")</f>
        <v>0</v>
      </c>
      <c r="AM10" s="786">
        <f>COUNTIFS('PLAN ACCION 2018'!$B$8:$B$504,AA10,'PLAN ACCION 2018'!$CD$8:$CD$504,"M")</f>
        <v>0</v>
      </c>
      <c r="AN10" s="787" t="e">
        <f t="shared" si="2"/>
        <v>#DIV/0!</v>
      </c>
      <c r="AP10" s="1056" t="s">
        <v>2250</v>
      </c>
      <c r="AQ10" s="782">
        <f>COUNTIFS('PLAN ACCION 2018'!$B$7:$B$1003,AP10,'PLAN ACCION 2018'!$A$7:$A$1003,"*")</f>
        <v>0</v>
      </c>
      <c r="AR10" s="782">
        <f t="shared" si="3"/>
        <v>0</v>
      </c>
      <c r="AS10" s="1012">
        <f>COUNTIFS('PLAN ACCION 2018'!$B$8:$B$504,AP10,'PLAN ACCION 2018'!$CE$8:$CE$504,"VE")</f>
        <v>0</v>
      </c>
      <c r="AT10" s="1011">
        <f>COUNTIFS('PLAN ACCION 2018'!$B$8:$B$504,AP10,'PLAN ACCION 2018'!$CE$8:$CE$504,"VEB")</f>
        <v>0</v>
      </c>
      <c r="AU10" s="1016">
        <f>COUNTIFS('PLAN ACCION 2018'!$B$8:$B$504,AP10,'PLAN ACCION 2018'!$CE$8:$CE$504,"AM")</f>
        <v>0</v>
      </c>
      <c r="AV10" s="1013">
        <f>COUNTIFS('PLAN ACCION 2018'!$B$8:$B$504,AP10,'PLAN ACCION 2018'!$CE$8:$CE$504,"AMB")</f>
        <v>0</v>
      </c>
      <c r="AW10" s="785">
        <f>COUNTIFS('PLAN ACCION 2018'!$B$8:$B$504,AP10,'PLAN ACCION 2018'!$CE$8:$CE$504,"RO")</f>
        <v>0</v>
      </c>
      <c r="AX10" s="1015">
        <f>COUNTIFS('PLAN ACCION 2018'!$B$8:$B$504,AP10,'PLAN ACCION 2018'!$CE$8:$CE$504,"ROB")</f>
        <v>0</v>
      </c>
      <c r="AY10" s="786">
        <f>COUNTIFS('PLAN ACCION 2018'!$B$8:$B$504,AP10,'PLAN ACCION 2018'!$CE$8:$CE$504,"AZ")</f>
        <v>0</v>
      </c>
      <c r="AZ10" s="786">
        <f>COUNTIFS('PLAN ACCION 2018'!$B$8:$B$504,AP10,'PLAN ACCION 2018'!$CE$8:$CE$504,"NP")</f>
        <v>0</v>
      </c>
      <c r="BA10" s="786">
        <f>COUNTIFS('PLAN ACCION 2018'!$B$8:$B$504,AP10,'PLAN ACCION 2018'!$CE$8:$CE$504,"E")</f>
        <v>0</v>
      </c>
      <c r="BB10" s="786">
        <f>COUNTIFS('PLAN ACCION 2018'!$B$8:$B$504,AP10,'PLAN ACCION 2018'!$CE$8:$CE$504,"M")</f>
        <v>0</v>
      </c>
      <c r="BC10" s="787" t="e">
        <f t="shared" si="4"/>
        <v>#DIV/0!</v>
      </c>
    </row>
    <row r="11" spans="1:55" ht="15.75" x14ac:dyDescent="0.25">
      <c r="A11" s="955"/>
      <c r="B11">
        <f t="shared" si="5"/>
        <v>0</v>
      </c>
      <c r="C11" s="1056" t="s">
        <v>384</v>
      </c>
      <c r="D11" s="782">
        <f>COUNTIFS('PLAN ACCION 2018'!$B$7:$B$1003,C11,'PLAN ACCION 2018'!$A$7:$A$1003,"*")</f>
        <v>30</v>
      </c>
      <c r="E11" s="782">
        <f t="shared" si="6"/>
        <v>22</v>
      </c>
      <c r="F11" s="1012">
        <f>COUNTIFS('PLAN ACCION 2018'!$B$8:$B$504,C11,'PLAN ACCION 2018'!$CF$8:$CF$504,$F$8)</f>
        <v>20</v>
      </c>
      <c r="G11" s="1011">
        <f>COUNTIFS('PLAN ACCION 2018'!$B$8:$B$504,C11,'PLAN ACCION 2018'!$CF$8:$CF$504,$G$8)</f>
        <v>0</v>
      </c>
      <c r="H11" s="1016">
        <f>COUNTIFS('PLAN ACCION 2018'!$B$8:$B$504,C11,'PLAN ACCION 2018'!$CF$8:$CF$504,$H$8)</f>
        <v>0</v>
      </c>
      <c r="I11" s="1013">
        <f>COUNTIFS('PLAN ACCION 2018'!$B$8:$B$504,C11,'PLAN ACCION 2018'!$CF$8:$CF$504,$I$8)</f>
        <v>0</v>
      </c>
      <c r="J11" s="785">
        <f>COUNTIFS('PLAN ACCION 2018'!$B$8:$B$504,C11,'PLAN ACCION 2018'!$CF$8:$CF$504,$J$8)</f>
        <v>1</v>
      </c>
      <c r="K11" s="1015">
        <f>COUNTIFS('PLAN ACCION 2018'!$B$8:$B$504,C11,'PLAN ACCION 2018'!$CF$8:$CF$504,$K$8)</f>
        <v>1</v>
      </c>
      <c r="L11" s="1255">
        <f>COUNTIFS('PLAN ACCION 2018'!$B$8:$B$504,C11,'PLAN ACCION 2018'!$CF$8:$CF$504,$L$8)</f>
        <v>0</v>
      </c>
      <c r="M11" s="1257">
        <f>COUNTIFS('PLAN ACCION 2018'!$B$8:$B$504,C11,'PLAN ACCION 2018'!$CF$8:$CF$504,$M$8)</f>
        <v>8</v>
      </c>
      <c r="N11" s="786">
        <f>COUNTIFS('PLAN ACCION 2018'!$B$8:$B$504,C11,'PLAN ACCION 2018'!$CF$8:$CF$504,$N$8)</f>
        <v>0</v>
      </c>
      <c r="O11" s="786">
        <f>COUNTIFS('PLAN ACCION 2018'!$B$8:$B$504,C11,'PLAN ACCION 2018'!$CF$8:$CF$504,$O$8)</f>
        <v>0</v>
      </c>
      <c r="P11" s="787">
        <v>97</v>
      </c>
      <c r="Q11" s="787">
        <f t="shared" si="0"/>
        <v>95.238095238095227</v>
      </c>
      <c r="R11" s="787">
        <f t="shared" si="7"/>
        <v>90.909090909090907</v>
      </c>
      <c r="S11" s="772"/>
      <c r="T11" s="1252">
        <f t="shared" si="8"/>
        <v>94.382395382395387</v>
      </c>
      <c r="U11" s="229">
        <f t="shared" si="9"/>
        <v>3</v>
      </c>
      <c r="AA11" s="1056" t="s">
        <v>384</v>
      </c>
      <c r="AB11" s="782">
        <f>COUNTIFS('PLAN ACCION 2018'!$B$7:$B$1003,AA11,'PLAN ACCION 2018'!$A$7:$A$1003,"*")</f>
        <v>30</v>
      </c>
      <c r="AC11" s="782">
        <f t="shared" si="1"/>
        <v>24</v>
      </c>
      <c r="AD11" s="1012">
        <f>COUNTIFS('PLAN ACCION 2018'!$B$8:$B$504,AA11,'PLAN ACCION 2018'!$CD$8:$CD$504,"VE")</f>
        <v>22</v>
      </c>
      <c r="AE11" s="1011">
        <f>COUNTIFS('PLAN ACCION 2018'!$B$8:$B$504,AA11,'PLAN ACCION 2018'!$CD$8:$CD$504,"VEB")</f>
        <v>0</v>
      </c>
      <c r="AF11" s="1016">
        <f>COUNTIFS('PLAN ACCION 2018'!$B$8:$B$504,AA11,'PLAN ACCION 2018'!$CD$8:$CD$504,"AM")</f>
        <v>0</v>
      </c>
      <c r="AG11" s="1013">
        <f>COUNTIFS('PLAN ACCION 2018'!$B$8:$B$504,AA11,'PLAN ACCION 2018'!$CD$8:$CD$504,"AMB")</f>
        <v>0</v>
      </c>
      <c r="AH11" s="785">
        <f>COUNTIFS('PLAN ACCION 2018'!$B$8:$B$504,AA11,'PLAN ACCION 2018'!$CD$8:$CD$504,"RO")</f>
        <v>0</v>
      </c>
      <c r="AI11" s="1015">
        <f>COUNTIFS('PLAN ACCION 2018'!$B$8:$B$504,AA11,'PLAN ACCION 2018'!$CD$8:$CD$504,"ROB")</f>
        <v>4</v>
      </c>
      <c r="AJ11" s="786">
        <f>COUNTIFS('PLAN ACCION 2018'!$B$8:$B$504,AA11,'PLAN ACCION 2018'!$CD$8:$CD$504,"AZ")</f>
        <v>2</v>
      </c>
      <c r="AK11" s="786">
        <f>COUNTIFS('PLAN ACCION 2018'!$B$8:$B$504,AA11,'PLAN ACCION 2018'!$CD$8:$CD$504,"NP")</f>
        <v>4</v>
      </c>
      <c r="AL11" s="786">
        <f>COUNTIFS('PLAN ACCION 2018'!$B$8:$B$504,AA11,'PLAN ACCION 2018'!$CD$8:$CD$504,"E")</f>
        <v>0</v>
      </c>
      <c r="AM11" s="786">
        <f>COUNTIFS('PLAN ACCION 2018'!$B$8:$B$504,AA11,'PLAN ACCION 2018'!$CD$8:$CD$504,"M")</f>
        <v>0</v>
      </c>
      <c r="AN11" s="787">
        <f t="shared" si="2"/>
        <v>84.615384615384613</v>
      </c>
      <c r="AP11" s="1056" t="s">
        <v>384</v>
      </c>
      <c r="AQ11" s="782">
        <f>COUNTIFS('PLAN ACCION 2018'!$B$7:$B$1003,AP11,'PLAN ACCION 2018'!$A$7:$A$1003,"*")</f>
        <v>30</v>
      </c>
      <c r="AR11" s="782">
        <f t="shared" si="3"/>
        <v>21</v>
      </c>
      <c r="AS11" s="1012">
        <f>COUNTIFS('PLAN ACCION 2018'!$B$8:$B$504,AP11,'PLAN ACCION 2018'!$CE$8:$CE$504,"VE")</f>
        <v>20</v>
      </c>
      <c r="AT11" s="1011">
        <f>COUNTIFS('PLAN ACCION 2018'!$B$8:$B$504,AP11,'PLAN ACCION 2018'!$CE$8:$CE$504,"VEB")</f>
        <v>0</v>
      </c>
      <c r="AU11" s="1016">
        <f>COUNTIFS('PLAN ACCION 2018'!$B$8:$B$504,AP11,'PLAN ACCION 2018'!$CE$8:$CE$504,"AM")</f>
        <v>0</v>
      </c>
      <c r="AV11" s="1013">
        <f>COUNTIFS('PLAN ACCION 2018'!$B$8:$B$504,AP11,'PLAN ACCION 2018'!$CE$8:$CE$504,"AMB")</f>
        <v>0</v>
      </c>
      <c r="AW11" s="785">
        <f>COUNTIFS('PLAN ACCION 2018'!$B$8:$B$504,AP11,'PLAN ACCION 2018'!$CE$8:$CE$504,"RO")</f>
        <v>0</v>
      </c>
      <c r="AX11" s="1015">
        <f>COUNTIFS('PLAN ACCION 2018'!$B$8:$B$504,AP11,'PLAN ACCION 2018'!$CE$8:$CE$504,"ROB")</f>
        <v>1</v>
      </c>
      <c r="AY11" s="786">
        <f>COUNTIFS('PLAN ACCION 2018'!$B$8:$B$504,AP11,'PLAN ACCION 2018'!$CE$8:$CE$504,"AZ")</f>
        <v>2</v>
      </c>
      <c r="AZ11" s="786">
        <f>COUNTIFS('PLAN ACCION 2018'!$B$8:$B$504,AP11,'PLAN ACCION 2018'!$CE$8:$CE$504,"NP")</f>
        <v>7</v>
      </c>
      <c r="BA11" s="786">
        <f>COUNTIFS('PLAN ACCION 2018'!$B$8:$B$504,AP11,'PLAN ACCION 2018'!$CE$8:$CE$504,"E")</f>
        <v>0</v>
      </c>
      <c r="BB11" s="786">
        <f>COUNTIFS('PLAN ACCION 2018'!$B$8:$B$504,AP11,'PLAN ACCION 2018'!$CE$8:$CE$504,"M")</f>
        <v>0</v>
      </c>
      <c r="BC11" s="787">
        <f t="shared" si="4"/>
        <v>95.238095238095227</v>
      </c>
    </row>
    <row r="12" spans="1:55" ht="13.5" customHeight="1" x14ac:dyDescent="0.3">
      <c r="A12" s="955"/>
      <c r="B12">
        <f t="shared" si="5"/>
        <v>1</v>
      </c>
      <c r="C12" s="1056" t="s">
        <v>278</v>
      </c>
      <c r="D12" s="782">
        <v>18</v>
      </c>
      <c r="E12" s="782">
        <f t="shared" si="6"/>
        <v>14</v>
      </c>
      <c r="F12" s="1012">
        <f>COUNTIFS('PLAN ACCION 2018'!$B$8:$B$504,C12,'PLAN ACCION 2018'!$CF$8:$CF$504,$F$8)</f>
        <v>13</v>
      </c>
      <c r="G12" s="1011">
        <f>COUNTIFS('PLAN ACCION 2018'!$B$8:$B$504,C12,'PLAN ACCION 2018'!$CF$8:$CF$504,$G$8)</f>
        <v>1</v>
      </c>
      <c r="H12" s="1016">
        <f>COUNTIFS('PLAN ACCION 2018'!$B$8:$B$504,C12,'PLAN ACCION 2018'!$CF$8:$CF$504,$H$8)</f>
        <v>0</v>
      </c>
      <c r="I12" s="1013">
        <f>COUNTIFS('PLAN ACCION 2018'!$B$8:$B$504,C12,'PLAN ACCION 2018'!$CF$8:$CF$504,$I$8)</f>
        <v>0</v>
      </c>
      <c r="J12" s="785">
        <f>COUNTIFS('PLAN ACCION 2018'!$B$8:$B$504,C12,'PLAN ACCION 2018'!$CF$8:$CF$504,$J$8)</f>
        <v>0</v>
      </c>
      <c r="K12" s="1015">
        <f>COUNTIFS('PLAN ACCION 2018'!$B$8:$B$504,C12,'PLAN ACCION 2018'!$CF$8:$CF$504,$K$8)</f>
        <v>1</v>
      </c>
      <c r="L12" s="1255">
        <f>COUNTIFS('PLAN ACCION 2018'!$B$8:$B$504,C12,'PLAN ACCION 2018'!$CF$8:$CF$504,$L$8)</f>
        <v>0</v>
      </c>
      <c r="M12" s="1257">
        <f>COUNTIFS('PLAN ACCION 2018'!$B$8:$B$504,C12,'PLAN ACCION 2018'!$CF$8:$CF$504,$M$8)</f>
        <v>4</v>
      </c>
      <c r="N12" s="786">
        <f>COUNTIFS('PLAN ACCION 2018'!$B$8:$B$504,C12,'PLAN ACCION 2018'!$CF$8:$CF$504,$N$8)</f>
        <v>0</v>
      </c>
      <c r="O12" s="786">
        <f>COUNTIFS('PLAN ACCION 2018'!$B$8:$B$504,C12,'PLAN ACCION 2018'!$CF$8:$CF$504,$O$8)</f>
        <v>0</v>
      </c>
      <c r="P12" s="787">
        <f t="shared" ref="P12:P26" si="10">AN12</f>
        <v>76.470588235294116</v>
      </c>
      <c r="Q12" s="787">
        <f t="shared" si="0"/>
        <v>72.222222222222214</v>
      </c>
      <c r="R12" s="787">
        <f t="shared" si="7"/>
        <v>93.333333333333329</v>
      </c>
      <c r="S12" s="772"/>
      <c r="T12" s="1252">
        <f t="shared" si="8"/>
        <v>80.675381263616543</v>
      </c>
      <c r="U12" s="229">
        <f t="shared" si="9"/>
        <v>3</v>
      </c>
      <c r="AA12" s="1056" t="s">
        <v>278</v>
      </c>
      <c r="AB12" s="782">
        <f>COUNTIFS('PLAN ACCION 2018'!$B$7:$B$1003,AA12,'PLAN ACCION 2018'!$A$7:$A$1003,"*")</f>
        <v>19</v>
      </c>
      <c r="AC12" s="782">
        <f t="shared" si="1"/>
        <v>17</v>
      </c>
      <c r="AD12" s="1012">
        <f>COUNTIFS('PLAN ACCION 2018'!$B$8:$B$504,AA12,'PLAN ACCION 2018'!$CD$8:$CD$504,"VE")</f>
        <v>13</v>
      </c>
      <c r="AE12" s="1011">
        <f>COUNTIFS('PLAN ACCION 2018'!$B$8:$B$504,AA12,'PLAN ACCION 2018'!$CD$8:$CD$504,"VEB")</f>
        <v>0</v>
      </c>
      <c r="AF12" s="1016">
        <f>COUNTIFS('PLAN ACCION 2018'!$B$8:$B$504,AA12,'PLAN ACCION 2018'!$CD$8:$CD$504,"AM")</f>
        <v>0</v>
      </c>
      <c r="AG12" s="1013">
        <f>COUNTIFS('PLAN ACCION 2018'!$B$8:$B$504,AA12,'PLAN ACCION 2018'!$CD$8:$CD$504,"AMB")</f>
        <v>0</v>
      </c>
      <c r="AH12" s="785">
        <f>COUNTIFS('PLAN ACCION 2018'!$B$8:$B$504,AA12,'PLAN ACCION 2018'!$CD$8:$CD$504,"RO")</f>
        <v>1</v>
      </c>
      <c r="AI12" s="1015">
        <f>COUNTIFS('PLAN ACCION 2018'!$B$8:$B$504,AA12,'PLAN ACCION 2018'!$CD$8:$CD$504,"ROB")</f>
        <v>3</v>
      </c>
      <c r="AJ12" s="786">
        <f>COUNTIFS('PLAN ACCION 2018'!$B$8:$B$504,AA12,'PLAN ACCION 2018'!$CD$8:$CD$504,"AZ")</f>
        <v>1</v>
      </c>
      <c r="AK12" s="786">
        <f>COUNTIFS('PLAN ACCION 2018'!$B$8:$B$504,AA12,'PLAN ACCION 2018'!$CD$8:$CD$504,"NP")</f>
        <v>1</v>
      </c>
      <c r="AL12" s="786">
        <f>COUNTIFS('PLAN ACCION 2018'!$B$8:$B$504,AA12,'PLAN ACCION 2018'!$CD$8:$CD$504,"E")</f>
        <v>0</v>
      </c>
      <c r="AM12" s="786">
        <f>COUNTIFS('PLAN ACCION 2018'!$B$8:$B$504,AA12,'PLAN ACCION 2018'!$CD$8:$CD$504,"M")</f>
        <v>0</v>
      </c>
      <c r="AN12" s="787">
        <f t="shared" si="2"/>
        <v>76.470588235294116</v>
      </c>
      <c r="AP12" s="1056" t="s">
        <v>278</v>
      </c>
      <c r="AQ12" s="782">
        <f>COUNTIFS('PLAN ACCION 2018'!$B$7:$B$1003,AP12,'PLAN ACCION 2018'!$A$7:$A$1003,"*")</f>
        <v>19</v>
      </c>
      <c r="AR12" s="782">
        <f t="shared" si="3"/>
        <v>18</v>
      </c>
      <c r="AS12" s="1012">
        <f>COUNTIFS('PLAN ACCION 2018'!$B$8:$B$504,AP12,'PLAN ACCION 2018'!$CE$8:$CE$504,"VE")</f>
        <v>13</v>
      </c>
      <c r="AT12" s="1011">
        <f>COUNTIFS('PLAN ACCION 2018'!$B$8:$B$504,AP12,'PLAN ACCION 2018'!$CE$8:$CE$504,"VEB")</f>
        <v>1</v>
      </c>
      <c r="AU12" s="1016">
        <f>COUNTIFS('PLAN ACCION 2018'!$B$8:$B$504,AP12,'PLAN ACCION 2018'!$CE$8:$CE$504,"AM")</f>
        <v>0</v>
      </c>
      <c r="AV12" s="1013">
        <f>COUNTIFS('PLAN ACCION 2018'!$B$8:$B$504,AP12,'PLAN ACCION 2018'!$CE$8:$CE$504,"AMB")</f>
        <v>0</v>
      </c>
      <c r="AW12" s="785">
        <f>COUNTIFS('PLAN ACCION 2018'!$B$8:$B$504,AP12,'PLAN ACCION 2018'!$CE$8:$CE$504,"RO")</f>
        <v>2</v>
      </c>
      <c r="AX12" s="1015">
        <f>COUNTIFS('PLAN ACCION 2018'!$B$8:$B$504,AP12,'PLAN ACCION 2018'!$CE$8:$CE$504,"ROB")</f>
        <v>2</v>
      </c>
      <c r="AY12" s="786">
        <f>COUNTIFS('PLAN ACCION 2018'!$B$8:$B$504,AP12,'PLAN ACCION 2018'!$CE$8:$CE$504,"AZ")</f>
        <v>0</v>
      </c>
      <c r="AZ12" s="786">
        <f>COUNTIFS('PLAN ACCION 2018'!$B$8:$B$504,AP12,'PLAN ACCION 2018'!$CE$8:$CE$504,"NP")</f>
        <v>1</v>
      </c>
      <c r="BA12" s="786">
        <f>COUNTIFS('PLAN ACCION 2018'!$B$8:$B$504,AP12,'PLAN ACCION 2018'!$CE$8:$CE$504,"E")</f>
        <v>0</v>
      </c>
      <c r="BB12" s="786">
        <f>COUNTIFS('PLAN ACCION 2018'!$B$8:$B$504,AP12,'PLAN ACCION 2018'!$CE$8:$CE$504,"M")</f>
        <v>0</v>
      </c>
      <c r="BC12" s="787">
        <f t="shared" si="4"/>
        <v>72.222222222222214</v>
      </c>
    </row>
    <row r="13" spans="1:55" ht="15.75" x14ac:dyDescent="0.25">
      <c r="A13" s="955"/>
      <c r="B13">
        <f t="shared" si="5"/>
        <v>0</v>
      </c>
      <c r="C13" s="1056" t="s">
        <v>169</v>
      </c>
      <c r="D13" s="782">
        <f>COUNTIFS('PLAN ACCION 2018'!$B$7:$B$1003,C13,'PLAN ACCION 2018'!$A$7:$A$1003,"*")</f>
        <v>32</v>
      </c>
      <c r="E13" s="782">
        <f t="shared" si="6"/>
        <v>28</v>
      </c>
      <c r="F13" s="1012">
        <f>COUNTIFS('PLAN ACCION 2018'!$B$8:$B$504,C13,'PLAN ACCION 2018'!$CF$8:$CF$504,$F$8)</f>
        <v>24</v>
      </c>
      <c r="G13" s="1011">
        <f>COUNTIFS('PLAN ACCION 2018'!$B$8:$B$504,C13,'PLAN ACCION 2018'!$CF$8:$CF$504,$G$8)</f>
        <v>1</v>
      </c>
      <c r="H13" s="1016">
        <f>COUNTIFS('PLAN ACCION 2018'!$B$8:$B$504,C13,'PLAN ACCION 2018'!$CF$8:$CF$504,$H$8)</f>
        <v>0</v>
      </c>
      <c r="I13" s="1013">
        <f>COUNTIFS('PLAN ACCION 2018'!$B$8:$B$504,C13,'PLAN ACCION 2018'!$CF$8:$CF$504,$I$8)</f>
        <v>0</v>
      </c>
      <c r="J13" s="785">
        <f>COUNTIFS('PLAN ACCION 2018'!$B$8:$B$504,C13,'PLAN ACCION 2018'!$CF$8:$CF$504,$J$8)</f>
        <v>0</v>
      </c>
      <c r="K13" s="1015">
        <f>COUNTIFS('PLAN ACCION 2018'!$B$8:$B$504,C13,'PLAN ACCION 2018'!$CF$8:$CF$504,$K$8)</f>
        <v>3</v>
      </c>
      <c r="L13" s="1255">
        <f>COUNTIFS('PLAN ACCION 2018'!$B$8:$B$504,C13,'PLAN ACCION 2018'!$CF$8:$CF$504,$L$8)</f>
        <v>0</v>
      </c>
      <c r="M13" s="1257">
        <f>COUNTIFS('PLAN ACCION 2018'!$B$8:$B$504,C13,'PLAN ACCION 2018'!$CF$8:$CF$504,$M$8)</f>
        <v>4</v>
      </c>
      <c r="N13" s="786">
        <f>COUNTIFS('PLAN ACCION 2018'!$B$8:$B$504,C13,'PLAN ACCION 2018'!$CF$8:$CF$504,$N$8)</f>
        <v>0</v>
      </c>
      <c r="O13" s="786">
        <f>COUNTIFS('PLAN ACCION 2018'!$B$8:$B$504,C13,'PLAN ACCION 2018'!$CF$8:$CF$504,$O$8)</f>
        <v>0</v>
      </c>
      <c r="P13" s="787">
        <f t="shared" si="10"/>
        <v>83.333333333333343</v>
      </c>
      <c r="Q13" s="787">
        <f t="shared" si="0"/>
        <v>91.666666666666671</v>
      </c>
      <c r="R13" s="787">
        <f t="shared" si="7"/>
        <v>89.285714285714292</v>
      </c>
      <c r="S13" s="772"/>
      <c r="T13" s="1252">
        <f t="shared" si="8"/>
        <v>88.095238095238088</v>
      </c>
      <c r="U13" s="229">
        <f t="shared" si="9"/>
        <v>3</v>
      </c>
      <c r="AA13" s="1056" t="s">
        <v>169</v>
      </c>
      <c r="AB13" s="782">
        <f>COUNTIFS('PLAN ACCION 2018'!$B$7:$B$1003,AA13,'PLAN ACCION 2018'!$A$7:$A$1003,"*")</f>
        <v>32</v>
      </c>
      <c r="AC13" s="782">
        <f t="shared" si="1"/>
        <v>24</v>
      </c>
      <c r="AD13" s="1012">
        <f>COUNTIFS('PLAN ACCION 2018'!$B$8:$B$504,AA13,'PLAN ACCION 2018'!$CD$8:$CD$504,"VE")</f>
        <v>20</v>
      </c>
      <c r="AE13" s="1011">
        <f>COUNTIFS('PLAN ACCION 2018'!$B$8:$B$504,AA13,'PLAN ACCION 2018'!$CD$8:$CD$504,"VEB")</f>
        <v>0</v>
      </c>
      <c r="AF13" s="1016">
        <f>COUNTIFS('PLAN ACCION 2018'!$B$8:$B$504,AA13,'PLAN ACCION 2018'!$CD$8:$CD$504,"AM")</f>
        <v>0</v>
      </c>
      <c r="AG13" s="1013">
        <f>COUNTIFS('PLAN ACCION 2018'!$B$8:$B$504,AA13,'PLAN ACCION 2018'!$CD$8:$CD$504,"AMB")</f>
        <v>2</v>
      </c>
      <c r="AH13" s="785">
        <f>COUNTIFS('PLAN ACCION 2018'!$B$8:$B$504,AA13,'PLAN ACCION 2018'!$CD$8:$CD$504,"RO")</f>
        <v>0</v>
      </c>
      <c r="AI13" s="1015">
        <f>COUNTIFS('PLAN ACCION 2018'!$B$8:$B$504,AA13,'PLAN ACCION 2018'!$CD$8:$CD$504,"ROB")</f>
        <v>2</v>
      </c>
      <c r="AJ13" s="786">
        <f>COUNTIFS('PLAN ACCION 2018'!$B$8:$B$504,AA13,'PLAN ACCION 2018'!$CD$8:$CD$504,"AZ")</f>
        <v>3</v>
      </c>
      <c r="AK13" s="786">
        <f>COUNTIFS('PLAN ACCION 2018'!$B$8:$B$504,AA13,'PLAN ACCION 2018'!$CD$8:$CD$504,"NP")</f>
        <v>5</v>
      </c>
      <c r="AL13" s="786">
        <f>COUNTIFS('PLAN ACCION 2018'!$B$8:$B$504,AA13,'PLAN ACCION 2018'!$CD$8:$CD$504,"E")</f>
        <v>0</v>
      </c>
      <c r="AM13" s="786">
        <f>COUNTIFS('PLAN ACCION 2018'!$B$8:$B$504,AA13,'PLAN ACCION 2018'!$CD$8:$CD$504,"M")</f>
        <v>0</v>
      </c>
      <c r="AN13" s="787">
        <f t="shared" si="2"/>
        <v>83.333333333333343</v>
      </c>
      <c r="AP13" s="1056" t="s">
        <v>169</v>
      </c>
      <c r="AQ13" s="782">
        <f>COUNTIFS('PLAN ACCION 2018'!$B$7:$B$1003,AP13,'PLAN ACCION 2018'!$A$7:$A$1003,"*")</f>
        <v>32</v>
      </c>
      <c r="AR13" s="782">
        <f t="shared" si="3"/>
        <v>30</v>
      </c>
      <c r="AS13" s="1012">
        <f>COUNTIFS('PLAN ACCION 2018'!$B$8:$B$504,AP13,'PLAN ACCION 2018'!$CE$8:$CE$504,"VE")</f>
        <v>27</v>
      </c>
      <c r="AT13" s="1011">
        <f>COUNTIFS('PLAN ACCION 2018'!$B$8:$B$504,AP13,'PLAN ACCION 2018'!$CE$8:$CE$504,"VEB")</f>
        <v>0</v>
      </c>
      <c r="AU13" s="1016">
        <f>COUNTIFS('PLAN ACCION 2018'!$B$8:$B$504,AP13,'PLAN ACCION 2018'!$CE$8:$CE$504,"AM")</f>
        <v>1</v>
      </c>
      <c r="AV13" s="1013">
        <f>COUNTIFS('PLAN ACCION 2018'!$B$8:$B$504,AP13,'PLAN ACCION 2018'!$CE$8:$CE$504,"AMB")</f>
        <v>0</v>
      </c>
      <c r="AW13" s="785">
        <f>COUNTIFS('PLAN ACCION 2018'!$B$8:$B$504,AP13,'PLAN ACCION 2018'!$CE$8:$CE$504,"RO")</f>
        <v>0</v>
      </c>
      <c r="AX13" s="1015">
        <f>COUNTIFS('PLAN ACCION 2018'!$B$8:$B$504,AP13,'PLAN ACCION 2018'!$CE$8:$CE$504,"ROB")</f>
        <v>2</v>
      </c>
      <c r="AY13" s="786">
        <f>COUNTIFS('PLAN ACCION 2018'!$B$8:$B$504,AP13,'PLAN ACCION 2018'!$CE$8:$CE$504,"AZ")</f>
        <v>1</v>
      </c>
      <c r="AZ13" s="786">
        <f>COUNTIFS('PLAN ACCION 2018'!$B$8:$B$504,AP13,'PLAN ACCION 2018'!$CE$8:$CE$504,"NP")</f>
        <v>1</v>
      </c>
      <c r="BA13" s="786">
        <f>COUNTIFS('PLAN ACCION 2018'!$B$8:$B$504,AP13,'PLAN ACCION 2018'!$CE$8:$CE$504,"E")</f>
        <v>0</v>
      </c>
      <c r="BB13" s="786">
        <f>COUNTIFS('PLAN ACCION 2018'!$B$8:$B$504,AP13,'PLAN ACCION 2018'!$CE$8:$CE$504,"M")</f>
        <v>0</v>
      </c>
      <c r="BC13" s="787">
        <f t="shared" si="4"/>
        <v>91.666666666666671</v>
      </c>
    </row>
    <row r="14" spans="1:55" ht="15.75" customHeight="1" x14ac:dyDescent="0.3">
      <c r="A14" s="955"/>
      <c r="B14">
        <f t="shared" si="5"/>
        <v>0</v>
      </c>
      <c r="C14" s="1056" t="s">
        <v>2527</v>
      </c>
      <c r="D14" s="782">
        <f>COUNTIFS('PLAN ACCION 2018'!$B$7:$B$1003,C14,'PLAN ACCION 2018'!$A$7:$A$1003,"*")</f>
        <v>3</v>
      </c>
      <c r="E14" s="782">
        <f t="shared" si="6"/>
        <v>3</v>
      </c>
      <c r="F14" s="1012">
        <f>COUNTIFS('PLAN ACCION 2018'!$B$8:$B$504,C14,'PLAN ACCION 2018'!$CF$8:$CF$504,$F$8)</f>
        <v>2</v>
      </c>
      <c r="G14" s="1011">
        <f>COUNTIFS('PLAN ACCION 2018'!$B$8:$B$504,C14,'PLAN ACCION 2018'!$CF$8:$CF$504,$G$8)</f>
        <v>0</v>
      </c>
      <c r="H14" s="1016">
        <f>COUNTIFS('PLAN ACCION 2018'!$B$8:$B$504,C14,'PLAN ACCION 2018'!$CF$8:$CF$504,$H$8)</f>
        <v>0</v>
      </c>
      <c r="I14" s="1013">
        <f>COUNTIFS('PLAN ACCION 2018'!$B$8:$B$504,C14,'PLAN ACCION 2018'!$CF$8:$CF$504,$I$8)</f>
        <v>0</v>
      </c>
      <c r="J14" s="785">
        <f>COUNTIFS('PLAN ACCION 2018'!$B$8:$B$504,C14,'PLAN ACCION 2018'!$CF$8:$CF$504,$J$8)</f>
        <v>0</v>
      </c>
      <c r="K14" s="1015">
        <f>COUNTIFS('PLAN ACCION 2018'!$B$8:$B$504,C14,'PLAN ACCION 2018'!$CF$8:$CF$504,$K$8)</f>
        <v>1</v>
      </c>
      <c r="L14" s="1255">
        <f>COUNTIFS('PLAN ACCION 2018'!$B$8:$B$504,C14,'PLAN ACCION 2018'!$CF$8:$CF$504,$L$8)</f>
        <v>0</v>
      </c>
      <c r="M14" s="1257">
        <f>COUNTIFS('PLAN ACCION 2018'!$B$8:$B$504,C14,'PLAN ACCION 2018'!$CF$8:$CF$504,$M$8)</f>
        <v>0</v>
      </c>
      <c r="N14" s="786">
        <f>COUNTIFS('PLAN ACCION 2018'!$B$8:$B$504,C14,'PLAN ACCION 2018'!$CF$8:$CF$504,$N$8)</f>
        <v>0</v>
      </c>
      <c r="O14" s="786">
        <f>COUNTIFS('PLAN ACCION 2018'!$B$8:$B$504,C14,'PLAN ACCION 2018'!$CF$8:$CF$504,$O$8)</f>
        <v>0</v>
      </c>
      <c r="P14" s="787">
        <f t="shared" si="10"/>
        <v>66.666666666666657</v>
      </c>
      <c r="Q14" s="787">
        <f t="shared" si="0"/>
        <v>33.333333333333329</v>
      </c>
      <c r="R14" s="787">
        <f t="shared" si="7"/>
        <v>66.666666666666657</v>
      </c>
      <c r="S14" s="772"/>
      <c r="T14" s="1252">
        <f t="shared" si="8"/>
        <v>55.555555555555543</v>
      </c>
      <c r="U14" s="229">
        <f t="shared" si="9"/>
        <v>3</v>
      </c>
      <c r="AA14" s="1056" t="s">
        <v>2527</v>
      </c>
      <c r="AB14" s="782">
        <f>COUNTIFS('PLAN ACCION 2018'!$B$7:$B$1003,AA14,'PLAN ACCION 2018'!$A$7:$A$1003,"*")</f>
        <v>3</v>
      </c>
      <c r="AC14" s="782">
        <f t="shared" si="1"/>
        <v>3</v>
      </c>
      <c r="AD14" s="1012">
        <f>COUNTIFS('PLAN ACCION 2018'!$B$8:$B$504,AA14,'PLAN ACCION 2018'!$CD$8:$CD$504,"VE")</f>
        <v>2</v>
      </c>
      <c r="AE14" s="1011">
        <f>COUNTIFS('PLAN ACCION 2018'!$B$8:$B$504,AA14,'PLAN ACCION 2018'!$CD$8:$CD$504,"VEB")</f>
        <v>0</v>
      </c>
      <c r="AF14" s="1016">
        <f>COUNTIFS('PLAN ACCION 2018'!$B$8:$B$504,AA14,'PLAN ACCION 2018'!$CD$8:$CD$504,"AM")</f>
        <v>0</v>
      </c>
      <c r="AG14" s="1013">
        <f>COUNTIFS('PLAN ACCION 2018'!$B$8:$B$504,AA14,'PLAN ACCION 2018'!$CD$8:$CD$504,"AMB")</f>
        <v>0</v>
      </c>
      <c r="AH14" s="785">
        <f>COUNTIFS('PLAN ACCION 2018'!$B$8:$B$504,AA14,'PLAN ACCION 2018'!$CD$8:$CD$504,"RO")</f>
        <v>0</v>
      </c>
      <c r="AI14" s="1015">
        <f>COUNTIFS('PLAN ACCION 2018'!$B$8:$B$504,AA14,'PLAN ACCION 2018'!$CD$8:$CD$504,"ROB")</f>
        <v>1</v>
      </c>
      <c r="AJ14" s="786">
        <f>COUNTIFS('PLAN ACCION 2018'!$B$8:$B$504,AA14,'PLAN ACCION 2018'!$CD$8:$CD$504,"AZ")</f>
        <v>0</v>
      </c>
      <c r="AK14" s="786">
        <f>COUNTIFS('PLAN ACCION 2018'!$B$8:$B$504,AA14,'PLAN ACCION 2018'!$CD$8:$CD$504,"NP")</f>
        <v>0</v>
      </c>
      <c r="AL14" s="786">
        <f>COUNTIFS('PLAN ACCION 2018'!$B$8:$B$504,AA14,'PLAN ACCION 2018'!$CD$8:$CD$504,"E")</f>
        <v>0</v>
      </c>
      <c r="AM14" s="786">
        <f>COUNTIFS('PLAN ACCION 2018'!$B$8:$B$504,AA14,'PLAN ACCION 2018'!$CD$8:$CD$504,"M")</f>
        <v>0</v>
      </c>
      <c r="AN14" s="787">
        <f t="shared" si="2"/>
        <v>66.666666666666657</v>
      </c>
      <c r="AP14" s="1056" t="s">
        <v>2527</v>
      </c>
      <c r="AQ14" s="782">
        <f>COUNTIFS('PLAN ACCION 2018'!$B$7:$B$1003,AP14,'PLAN ACCION 2018'!$A$7:$A$1003,"*")</f>
        <v>3</v>
      </c>
      <c r="AR14" s="782">
        <f t="shared" si="3"/>
        <v>3</v>
      </c>
      <c r="AS14" s="1012">
        <f>COUNTIFS('PLAN ACCION 2018'!$B$8:$B$504,AP14,'PLAN ACCION 2018'!$CE$8:$CE$504,"VE")</f>
        <v>1</v>
      </c>
      <c r="AT14" s="1011">
        <f>COUNTIFS('PLAN ACCION 2018'!$B$8:$B$504,AP14,'PLAN ACCION 2018'!$CE$8:$CE$504,"VEB")</f>
        <v>0</v>
      </c>
      <c r="AU14" s="1016">
        <f>COUNTIFS('PLAN ACCION 2018'!$B$8:$B$504,AP14,'PLAN ACCION 2018'!$CE$8:$CE$504,"AM")</f>
        <v>0</v>
      </c>
      <c r="AV14" s="1013">
        <f>COUNTIFS('PLAN ACCION 2018'!$B$8:$B$504,AP14,'PLAN ACCION 2018'!$CE$8:$CE$504,"AMB")</f>
        <v>1</v>
      </c>
      <c r="AW14" s="785">
        <f>COUNTIFS('PLAN ACCION 2018'!$B$8:$B$504,AP14,'PLAN ACCION 2018'!$CE$8:$CE$504,"RO")</f>
        <v>0</v>
      </c>
      <c r="AX14" s="1015">
        <f>COUNTIFS('PLAN ACCION 2018'!$B$8:$B$504,AP14,'PLAN ACCION 2018'!$CE$8:$CE$504,"ROB")</f>
        <v>1</v>
      </c>
      <c r="AY14" s="786">
        <f>COUNTIFS('PLAN ACCION 2018'!$B$8:$B$504,AP14,'PLAN ACCION 2018'!$CE$8:$CE$504,"AZ")</f>
        <v>0</v>
      </c>
      <c r="AZ14" s="786">
        <f>COUNTIFS('PLAN ACCION 2018'!$B$8:$B$504,AP14,'PLAN ACCION 2018'!$CE$8:$CE$504,"NP")</f>
        <v>0</v>
      </c>
      <c r="BA14" s="786">
        <f>COUNTIFS('PLAN ACCION 2018'!$B$8:$B$504,AP14,'PLAN ACCION 2018'!$CE$8:$CE$504,"E")</f>
        <v>0</v>
      </c>
      <c r="BB14" s="786">
        <f>COUNTIFS('PLAN ACCION 2018'!$B$8:$B$504,AP14,'PLAN ACCION 2018'!$CE$8:$CE$504,"M")</f>
        <v>0</v>
      </c>
      <c r="BC14" s="787">
        <f t="shared" si="4"/>
        <v>33.333333333333329</v>
      </c>
    </row>
    <row r="15" spans="1:55" ht="16.5" customHeight="1" x14ac:dyDescent="0.25">
      <c r="A15" s="955"/>
      <c r="B15">
        <f t="shared" si="5"/>
        <v>0</v>
      </c>
      <c r="C15" s="1056" t="s">
        <v>343</v>
      </c>
      <c r="D15" s="782">
        <f>COUNTIFS('PLAN ACCION 2018'!$B$7:$B$1003,C15,'PLAN ACCION 2018'!$A$7:$A$1003,"*")</f>
        <v>9</v>
      </c>
      <c r="E15" s="782">
        <f t="shared" si="6"/>
        <v>7</v>
      </c>
      <c r="F15" s="1012">
        <f>COUNTIFS('PLAN ACCION 2018'!$B$8:$B$504,C15,'PLAN ACCION 2018'!$CF$8:$CF$504,$F$8)</f>
        <v>2</v>
      </c>
      <c r="G15" s="1011">
        <f>COUNTIFS('PLAN ACCION 2018'!$B$8:$B$504,C15,'PLAN ACCION 2018'!$CF$8:$CF$504,$G$8)</f>
        <v>0</v>
      </c>
      <c r="H15" s="1016">
        <f>COUNTIFS('PLAN ACCION 2018'!$B$8:$B$504,C15,'PLAN ACCION 2018'!$CF$8:$CF$504,$H$8)</f>
        <v>2</v>
      </c>
      <c r="I15" s="1013">
        <f>COUNTIFS('PLAN ACCION 2018'!$B$8:$B$504,C15,'PLAN ACCION 2018'!$CF$8:$CF$504,$I$8)</f>
        <v>0</v>
      </c>
      <c r="J15" s="785">
        <f>COUNTIFS('PLAN ACCION 2018'!$B$8:$B$504,C15,'PLAN ACCION 2018'!$CF$8:$CF$504,$J$8)</f>
        <v>0</v>
      </c>
      <c r="K15" s="1015">
        <f>COUNTIFS('PLAN ACCION 2018'!$B$8:$B$504,C15,'PLAN ACCION 2018'!$CF$8:$CF$504,$K$8)</f>
        <v>3</v>
      </c>
      <c r="L15" s="1255">
        <f>COUNTIFS('PLAN ACCION 2018'!$B$8:$B$504,C15,'PLAN ACCION 2018'!$CF$8:$CF$504,$L$8)</f>
        <v>0</v>
      </c>
      <c r="M15" s="1257">
        <f>COUNTIFS('PLAN ACCION 2018'!$B$8:$B$504,C15,'PLAN ACCION 2018'!$CF$8:$CF$504,$M$8)</f>
        <v>2</v>
      </c>
      <c r="N15" s="786">
        <f>COUNTIFS('PLAN ACCION 2018'!$B$8:$B$504,C15,'PLAN ACCION 2018'!$CF$8:$CF$504,$N$8)</f>
        <v>0</v>
      </c>
      <c r="O15" s="786">
        <f>COUNTIFS('PLAN ACCION 2018'!$B$8:$B$504,C15,'PLAN ACCION 2018'!$CF$8:$CF$504,$O$8)</f>
        <v>0</v>
      </c>
      <c r="P15" s="787">
        <f t="shared" si="10"/>
        <v>20</v>
      </c>
      <c r="Q15" s="787">
        <f t="shared" si="0"/>
        <v>83.333333333333343</v>
      </c>
      <c r="R15" s="787">
        <f t="shared" si="7"/>
        <v>42.857142857142854</v>
      </c>
      <c r="S15" s="772"/>
      <c r="T15" s="1252">
        <f t="shared" si="8"/>
        <v>48.730158730158735</v>
      </c>
      <c r="U15" s="229">
        <f t="shared" si="9"/>
        <v>3</v>
      </c>
      <c r="AA15" s="1056" t="s">
        <v>343</v>
      </c>
      <c r="AB15" s="782">
        <f>COUNTIFS('PLAN ACCION 2018'!$B$7:$B$1003,AA15,'PLAN ACCION 2018'!$A$7:$A$1003,"*")</f>
        <v>9</v>
      </c>
      <c r="AC15" s="782">
        <f t="shared" si="1"/>
        <v>5</v>
      </c>
      <c r="AD15" s="1012">
        <f>COUNTIFS('PLAN ACCION 2018'!$B$8:$B$504,AA15,'PLAN ACCION 2018'!$CD$8:$CD$504,"VE")</f>
        <v>1</v>
      </c>
      <c r="AE15" s="1011">
        <f>COUNTIFS('PLAN ACCION 2018'!$B$8:$B$504,AA15,'PLAN ACCION 2018'!$CD$8:$CD$504,"VEB")</f>
        <v>0</v>
      </c>
      <c r="AF15" s="1016">
        <f>COUNTIFS('PLAN ACCION 2018'!$B$8:$B$504,AA15,'PLAN ACCION 2018'!$CD$8:$CD$504,"AM")</f>
        <v>0</v>
      </c>
      <c r="AG15" s="1013">
        <f>COUNTIFS('PLAN ACCION 2018'!$B$8:$B$504,AA15,'PLAN ACCION 2018'!$CD$8:$CD$504,"AMB")</f>
        <v>1</v>
      </c>
      <c r="AH15" s="785">
        <f>COUNTIFS('PLAN ACCION 2018'!$B$8:$B$504,AA15,'PLAN ACCION 2018'!$CD$8:$CD$504,"RO")</f>
        <v>0</v>
      </c>
      <c r="AI15" s="1015">
        <f>COUNTIFS('PLAN ACCION 2018'!$B$8:$B$504,AA15,'PLAN ACCION 2018'!$CD$8:$CD$504,"ROB")</f>
        <v>3</v>
      </c>
      <c r="AJ15" s="786">
        <f>COUNTIFS('PLAN ACCION 2018'!$B$8:$B$504,AA15,'PLAN ACCION 2018'!$CD$8:$CD$504,"AZ")</f>
        <v>0</v>
      </c>
      <c r="AK15" s="786">
        <f>COUNTIFS('PLAN ACCION 2018'!$B$8:$B$504,AA15,'PLAN ACCION 2018'!$CD$8:$CD$504,"NP")</f>
        <v>4</v>
      </c>
      <c r="AL15" s="786">
        <f>COUNTIFS('PLAN ACCION 2018'!$B$8:$B$504,AA15,'PLAN ACCION 2018'!$CD$8:$CD$504,"E")</f>
        <v>0</v>
      </c>
      <c r="AM15" s="786">
        <f>COUNTIFS('PLAN ACCION 2018'!$B$8:$B$504,AA15,'PLAN ACCION 2018'!$CD$8:$CD$504,"M")</f>
        <v>0</v>
      </c>
      <c r="AN15" s="787">
        <f t="shared" si="2"/>
        <v>20</v>
      </c>
      <c r="AP15" s="1056" t="s">
        <v>343</v>
      </c>
      <c r="AQ15" s="782">
        <f>COUNTIFS('PLAN ACCION 2018'!$B$7:$B$1003,AP15,'PLAN ACCION 2018'!$A$7:$A$1003,"*")</f>
        <v>9</v>
      </c>
      <c r="AR15" s="782">
        <f t="shared" si="3"/>
        <v>6</v>
      </c>
      <c r="AS15" s="1012">
        <f>COUNTIFS('PLAN ACCION 2018'!$B$8:$B$504,AP15,'PLAN ACCION 2018'!$CE$8:$CE$504,"VE")</f>
        <v>5</v>
      </c>
      <c r="AT15" s="1011">
        <f>COUNTIFS('PLAN ACCION 2018'!$B$8:$B$504,AP15,'PLAN ACCION 2018'!$CE$8:$CE$504,"VEB")</f>
        <v>1</v>
      </c>
      <c r="AU15" s="1016">
        <f>COUNTIFS('PLAN ACCION 2018'!$B$8:$B$504,AP15,'PLAN ACCION 2018'!$CE$8:$CE$504,"AM")</f>
        <v>0</v>
      </c>
      <c r="AV15" s="1013">
        <f>COUNTIFS('PLAN ACCION 2018'!$B$8:$B$504,AP15,'PLAN ACCION 2018'!$CE$8:$CE$504,"AMB")</f>
        <v>0</v>
      </c>
      <c r="AW15" s="785">
        <f>COUNTIFS('PLAN ACCION 2018'!$B$8:$B$504,AP15,'PLAN ACCION 2018'!$CE$8:$CE$504,"RO")</f>
        <v>0</v>
      </c>
      <c r="AX15" s="1015">
        <f>COUNTIFS('PLAN ACCION 2018'!$B$8:$B$504,AP15,'PLAN ACCION 2018'!$CE$8:$CE$504,"ROB")</f>
        <v>0</v>
      </c>
      <c r="AY15" s="786">
        <f>COUNTIFS('PLAN ACCION 2018'!$B$8:$B$504,AP15,'PLAN ACCION 2018'!$CE$8:$CE$504,"AZ")</f>
        <v>0</v>
      </c>
      <c r="AZ15" s="786">
        <f>COUNTIFS('PLAN ACCION 2018'!$B$8:$B$504,AP15,'PLAN ACCION 2018'!$CE$8:$CE$504,"NP")</f>
        <v>3</v>
      </c>
      <c r="BA15" s="786">
        <f>COUNTIFS('PLAN ACCION 2018'!$B$8:$B$504,AP15,'PLAN ACCION 2018'!$CE$8:$CE$504,"E")</f>
        <v>0</v>
      </c>
      <c r="BB15" s="786">
        <f>COUNTIFS('PLAN ACCION 2018'!$B$8:$B$504,AP15,'PLAN ACCION 2018'!$CE$8:$CE$504,"M")</f>
        <v>0</v>
      </c>
      <c r="BC15" s="787">
        <f t="shared" si="4"/>
        <v>83.333333333333343</v>
      </c>
    </row>
    <row r="16" spans="1:55" ht="14.25" customHeight="1" x14ac:dyDescent="0.25">
      <c r="A16" s="955"/>
      <c r="B16">
        <f t="shared" si="5"/>
        <v>2</v>
      </c>
      <c r="C16" s="1056" t="s">
        <v>894</v>
      </c>
      <c r="D16" s="782">
        <v>31</v>
      </c>
      <c r="E16" s="782">
        <f t="shared" si="6"/>
        <v>19</v>
      </c>
      <c r="F16" s="1012">
        <f>COUNTIFS('PLAN ACCION 2018'!$B$8:$B$504,C16,'PLAN ACCION 2018'!$CF$8:$CF$504,$F$8)</f>
        <v>17</v>
      </c>
      <c r="G16" s="1011">
        <f>COUNTIFS('PLAN ACCION 2018'!$B$8:$B$504,C16,'PLAN ACCION 2018'!$CF$8:$CF$504,$G$8)</f>
        <v>0</v>
      </c>
      <c r="H16" s="1016">
        <f>COUNTIFS('PLAN ACCION 2018'!$B$8:$B$504,C16,'PLAN ACCION 2018'!$CF$8:$CF$504,$H$8)</f>
        <v>0</v>
      </c>
      <c r="I16" s="1013">
        <f>COUNTIFS('PLAN ACCION 2018'!$B$8:$B$504,C16,'PLAN ACCION 2018'!$CF$8:$CF$504,$I$8)</f>
        <v>1</v>
      </c>
      <c r="J16" s="785">
        <f>COUNTIFS('PLAN ACCION 2018'!$B$8:$B$504,C16,'PLAN ACCION 2018'!$CF$8:$CF$504,$J$8)</f>
        <v>0</v>
      </c>
      <c r="K16" s="1015">
        <f>COUNTIFS('PLAN ACCION 2018'!$B$8:$B$504,C16,'PLAN ACCION 2018'!$CF$8:$CF$504,$K$8)</f>
        <v>3</v>
      </c>
      <c r="L16" s="1255">
        <f>COUNTIFS('PLAN ACCION 2018'!$B$8:$B$504,C16,'PLAN ACCION 2018'!$CF$8:$CF$504,$L$8)</f>
        <v>0</v>
      </c>
      <c r="M16" s="1257">
        <f>COUNTIFS('PLAN ACCION 2018'!$B$8:$B$504,C16,'PLAN ACCION 2018'!$CF$8:$CF$504,$M$8)</f>
        <v>11</v>
      </c>
      <c r="N16" s="786">
        <f>COUNTIFS('PLAN ACCION 2018'!$B$8:$B$504,C16,'PLAN ACCION 2018'!$CF$8:$CF$504,$N$8)</f>
        <v>1</v>
      </c>
      <c r="O16" s="786">
        <f>COUNTIFS('PLAN ACCION 2018'!$B$8:$B$504,C16,'PLAN ACCION 2018'!$CF$8:$CF$504,$O$8)</f>
        <v>0</v>
      </c>
      <c r="P16" s="787">
        <f t="shared" si="10"/>
        <v>88.888888888888886</v>
      </c>
      <c r="Q16" s="787">
        <f t="shared" si="0"/>
        <v>92.307692307692307</v>
      </c>
      <c r="R16" s="787">
        <f t="shared" si="7"/>
        <v>83.333333333333343</v>
      </c>
      <c r="S16" s="772"/>
      <c r="T16" s="1252">
        <f t="shared" si="8"/>
        <v>88.176638176638178</v>
      </c>
      <c r="U16" s="229">
        <f t="shared" si="9"/>
        <v>3</v>
      </c>
      <c r="AA16" s="1056" t="s">
        <v>894</v>
      </c>
      <c r="AB16" s="782">
        <f>COUNTIFS('PLAN ACCION 2018'!$B$7:$B$1003,AA16,'PLAN ACCION 2018'!$A$7:$A$1003,"*")</f>
        <v>33</v>
      </c>
      <c r="AC16" s="782">
        <f t="shared" si="1"/>
        <v>18</v>
      </c>
      <c r="AD16" s="1012">
        <f>COUNTIFS('PLAN ACCION 2018'!$B$8:$B$504,AA16,'PLAN ACCION 2018'!$CD$8:$CD$504,"VE")</f>
        <v>16</v>
      </c>
      <c r="AE16" s="1011">
        <f>COUNTIFS('PLAN ACCION 2018'!$B$8:$B$504,AA16,'PLAN ACCION 2018'!$CD$8:$CD$504,"VEB")</f>
        <v>0</v>
      </c>
      <c r="AF16" s="1016">
        <f>COUNTIFS('PLAN ACCION 2018'!$B$8:$B$504,AA16,'PLAN ACCION 2018'!$CD$8:$CD$504,"AM")</f>
        <v>0</v>
      </c>
      <c r="AG16" s="1013">
        <f>COUNTIFS('PLAN ACCION 2018'!$B$8:$B$504,AA16,'PLAN ACCION 2018'!$CD$8:$CD$504,"AMB")</f>
        <v>0</v>
      </c>
      <c r="AH16" s="785">
        <f>COUNTIFS('PLAN ACCION 2018'!$B$8:$B$504,AA16,'PLAN ACCION 2018'!$CD$8:$CD$504,"RO")</f>
        <v>0</v>
      </c>
      <c r="AI16" s="1015">
        <f>COUNTIFS('PLAN ACCION 2018'!$B$8:$B$504,AA16,'PLAN ACCION 2018'!$CD$8:$CD$504,"ROB")</f>
        <v>2</v>
      </c>
      <c r="AJ16" s="786">
        <f>COUNTIFS('PLAN ACCION 2018'!$B$8:$B$504,AA16,'PLAN ACCION 2018'!$CD$8:$CD$504,"AZ")</f>
        <v>15</v>
      </c>
      <c r="AK16" s="786">
        <f>COUNTIFS('PLAN ACCION 2018'!$B$8:$B$504,AA16,'PLAN ACCION 2018'!$CD$8:$CD$504,"NP")</f>
        <v>0</v>
      </c>
      <c r="AL16" s="786">
        <f>COUNTIFS('PLAN ACCION 2018'!$B$8:$B$504,AA16,'PLAN ACCION 2018'!$CD$8:$CD$504,"E")</f>
        <v>0</v>
      </c>
      <c r="AM16" s="786">
        <f>COUNTIFS('PLAN ACCION 2018'!$B$8:$B$504,AA16,'PLAN ACCION 2018'!$CD$8:$CD$504,"M")</f>
        <v>0</v>
      </c>
      <c r="AN16" s="787">
        <f t="shared" si="2"/>
        <v>88.888888888888886</v>
      </c>
      <c r="AP16" s="1056" t="s">
        <v>894</v>
      </c>
      <c r="AQ16" s="782">
        <f>COUNTIFS('PLAN ACCION 2018'!$B$7:$B$1003,AP16,'PLAN ACCION 2018'!$A$7:$A$1003,"*")</f>
        <v>33</v>
      </c>
      <c r="AR16" s="782">
        <f t="shared" si="3"/>
        <v>26</v>
      </c>
      <c r="AS16" s="1012">
        <f>COUNTIFS('PLAN ACCION 2018'!$B$8:$B$504,AP16,'PLAN ACCION 2018'!$CE$8:$CE$504,"VE")</f>
        <v>24</v>
      </c>
      <c r="AT16" s="1011">
        <f>COUNTIFS('PLAN ACCION 2018'!$B$8:$B$504,AP16,'PLAN ACCION 2018'!$CE$8:$CE$504,"VEB")</f>
        <v>0</v>
      </c>
      <c r="AU16" s="1016">
        <f>COUNTIFS('PLAN ACCION 2018'!$B$8:$B$504,AP16,'PLAN ACCION 2018'!$CE$8:$CE$504,"AM")</f>
        <v>0</v>
      </c>
      <c r="AV16" s="1013">
        <f>COUNTIFS('PLAN ACCION 2018'!$B$8:$B$504,AP16,'PLAN ACCION 2018'!$CE$8:$CE$504,"AMB")</f>
        <v>1</v>
      </c>
      <c r="AW16" s="785">
        <f>COUNTIFS('PLAN ACCION 2018'!$B$8:$B$504,AP16,'PLAN ACCION 2018'!$CE$8:$CE$504,"RO")</f>
        <v>1</v>
      </c>
      <c r="AX16" s="1015">
        <f>COUNTIFS('PLAN ACCION 2018'!$B$8:$B$504,AP16,'PLAN ACCION 2018'!$CE$8:$CE$504,"ROB")</f>
        <v>0</v>
      </c>
      <c r="AY16" s="786">
        <f>COUNTIFS('PLAN ACCION 2018'!$B$8:$B$504,AP16,'PLAN ACCION 2018'!$CE$8:$CE$504,"AZ")</f>
        <v>7</v>
      </c>
      <c r="AZ16" s="786">
        <f>COUNTIFS('PLAN ACCION 2018'!$B$8:$B$504,AP16,'PLAN ACCION 2018'!$CE$8:$CE$504,"NP")</f>
        <v>0</v>
      </c>
      <c r="BA16" s="786">
        <f>COUNTIFS('PLAN ACCION 2018'!$B$8:$B$504,AP16,'PLAN ACCION 2018'!$CE$8:$CE$504,"E")</f>
        <v>0</v>
      </c>
      <c r="BB16" s="786">
        <f>COUNTIFS('PLAN ACCION 2018'!$B$8:$B$504,AP16,'PLAN ACCION 2018'!$CE$8:$CE$504,"M")</f>
        <v>0</v>
      </c>
      <c r="BC16" s="787">
        <f t="shared" si="4"/>
        <v>92.307692307692307</v>
      </c>
    </row>
    <row r="17" spans="1:55" ht="15.75" x14ac:dyDescent="0.25">
      <c r="A17" s="955"/>
      <c r="B17">
        <f t="shared" si="5"/>
        <v>0</v>
      </c>
      <c r="C17" s="1056" t="s">
        <v>999</v>
      </c>
      <c r="D17" s="782">
        <f>COUNTIFS('PLAN ACCION 2018'!$B$7:$B$1003,C17,'PLAN ACCION 2018'!$A$7:$A$1003,"*")</f>
        <v>21</v>
      </c>
      <c r="E17" s="782">
        <f t="shared" si="6"/>
        <v>17</v>
      </c>
      <c r="F17" s="1012">
        <f>COUNTIFS('PLAN ACCION 2018'!$B$8:$B$504,C17,'PLAN ACCION 2018'!$CF$8:$CF$504,$F$8)</f>
        <v>8</v>
      </c>
      <c r="G17" s="1011">
        <f>COUNTIFS('PLAN ACCION 2018'!$B$8:$B$504,C17,'PLAN ACCION 2018'!$CF$8:$CF$504,$G$8)</f>
        <v>2</v>
      </c>
      <c r="H17" s="1016">
        <f>COUNTIFS('PLAN ACCION 2018'!$B$8:$B$504,C17,'PLAN ACCION 2018'!$CF$8:$CF$504,$H$8)</f>
        <v>1</v>
      </c>
      <c r="I17" s="1013">
        <f>COUNTIFS('PLAN ACCION 2018'!$B$8:$B$504,C17,'PLAN ACCION 2018'!$CF$8:$CF$504,$I$8)</f>
        <v>1</v>
      </c>
      <c r="J17" s="785">
        <f>COUNTIFS('PLAN ACCION 2018'!$B$8:$B$504,C17,'PLAN ACCION 2018'!$CF$8:$CF$504,$J$8)</f>
        <v>2</v>
      </c>
      <c r="K17" s="1015">
        <f>COUNTIFS('PLAN ACCION 2018'!$B$8:$B$504,C17,'PLAN ACCION 2018'!$CF$8:$CF$504,$K$8)</f>
        <v>3</v>
      </c>
      <c r="L17" s="1255">
        <f>COUNTIFS('PLAN ACCION 2018'!$B$8:$B$504,C17,'PLAN ACCION 2018'!$CF$8:$CF$504,$L$8)</f>
        <v>0</v>
      </c>
      <c r="M17" s="1257">
        <f>COUNTIFS('PLAN ACCION 2018'!$B$8:$B$504,C17,'PLAN ACCION 2018'!$CF$8:$CF$504,$M$8)</f>
        <v>4</v>
      </c>
      <c r="N17" s="786">
        <f>COUNTIFS('PLAN ACCION 2018'!$B$8:$B$504,C17,'PLAN ACCION 2018'!$CF$8:$CF$504,$N$8)</f>
        <v>0</v>
      </c>
      <c r="O17" s="786">
        <f>COUNTIFS('PLAN ACCION 2018'!$B$8:$B$504,C17,'PLAN ACCION 2018'!$CF$8:$CF$504,$O$8)</f>
        <v>0</v>
      </c>
      <c r="P17" s="787">
        <f t="shared" si="10"/>
        <v>60</v>
      </c>
      <c r="Q17" s="787">
        <f t="shared" si="0"/>
        <v>81.578947368421055</v>
      </c>
      <c r="R17" s="787">
        <f t="shared" si="7"/>
        <v>64.705882352941174</v>
      </c>
      <c r="S17" s="772"/>
      <c r="T17" s="1252">
        <f t="shared" si="8"/>
        <v>68.761609907120729</v>
      </c>
      <c r="U17" s="229">
        <f t="shared" si="9"/>
        <v>3</v>
      </c>
      <c r="AA17" s="1056" t="s">
        <v>999</v>
      </c>
      <c r="AB17" s="782">
        <f>COUNTIFS('PLAN ACCION 2018'!$B$7:$B$1003,AA17,'PLAN ACCION 2018'!$A$7:$A$1003,"*")</f>
        <v>21</v>
      </c>
      <c r="AC17" s="782">
        <f t="shared" si="1"/>
        <v>20</v>
      </c>
      <c r="AD17" s="1012">
        <f>COUNTIFS('PLAN ACCION 2018'!$B$8:$B$504,AA17,'PLAN ACCION 2018'!$CD$8:$CD$504,"VE")</f>
        <v>12</v>
      </c>
      <c r="AE17" s="1011">
        <f>COUNTIFS('PLAN ACCION 2018'!$B$8:$B$504,AA17,'PLAN ACCION 2018'!$CD$8:$CD$504,"VEB")</f>
        <v>1</v>
      </c>
      <c r="AF17" s="1016">
        <f>COUNTIFS('PLAN ACCION 2018'!$B$8:$B$504,AA17,'PLAN ACCION 2018'!$CD$8:$CD$504,"AM")</f>
        <v>0</v>
      </c>
      <c r="AG17" s="1013">
        <f>COUNTIFS('PLAN ACCION 2018'!$B$8:$B$504,AA17,'PLAN ACCION 2018'!$CD$8:$CD$504,"AMB")</f>
        <v>1</v>
      </c>
      <c r="AH17" s="785">
        <f>COUNTIFS('PLAN ACCION 2018'!$B$8:$B$504,AA17,'PLAN ACCION 2018'!$CD$8:$CD$504,"RO")</f>
        <v>0</v>
      </c>
      <c r="AI17" s="1015">
        <f>COUNTIFS('PLAN ACCION 2018'!$B$8:$B$504,AA17,'PLAN ACCION 2018'!$CD$8:$CD$504,"ROB")</f>
        <v>6</v>
      </c>
      <c r="AJ17" s="786">
        <f>COUNTIFS('PLAN ACCION 2018'!$B$8:$B$504,AA17,'PLAN ACCION 2018'!$CD$8:$CD$504,"AZ")</f>
        <v>0</v>
      </c>
      <c r="AK17" s="786">
        <f>COUNTIFS('PLAN ACCION 2018'!$B$8:$B$504,AA17,'PLAN ACCION 2018'!$CD$8:$CD$504,"NP")</f>
        <v>1</v>
      </c>
      <c r="AL17" s="786">
        <f>COUNTIFS('PLAN ACCION 2018'!$B$8:$B$504,AA17,'PLAN ACCION 2018'!$CD$8:$CD$504,"E")</f>
        <v>0</v>
      </c>
      <c r="AM17" s="786">
        <f>COUNTIFS('PLAN ACCION 2018'!$B$8:$B$504,AA17,'PLAN ACCION 2018'!$CD$8:$CD$504,"M")</f>
        <v>0</v>
      </c>
      <c r="AN17" s="787">
        <f t="shared" si="2"/>
        <v>60</v>
      </c>
      <c r="AP17" s="1056" t="s">
        <v>999</v>
      </c>
      <c r="AQ17" s="782">
        <f>COUNTIFS('PLAN ACCION 2018'!$B$7:$B$1003,AP17,'PLAN ACCION 2018'!$A$7:$A$1003,"*")</f>
        <v>21</v>
      </c>
      <c r="AR17" s="782">
        <f t="shared" si="3"/>
        <v>19</v>
      </c>
      <c r="AS17" s="1012">
        <f>COUNTIFS('PLAN ACCION 2018'!$B$8:$B$504,AP17,'PLAN ACCION 2018'!$CE$8:$CE$504,"VE")</f>
        <v>15</v>
      </c>
      <c r="AT17" s="1011">
        <f>COUNTIFS('PLAN ACCION 2018'!$B$8:$B$504,AP17,'PLAN ACCION 2018'!$CE$8:$CE$504,"VEB")</f>
        <v>0</v>
      </c>
      <c r="AU17" s="1016">
        <f>COUNTIFS('PLAN ACCION 2018'!$B$8:$B$504,AP17,'PLAN ACCION 2018'!$CE$8:$CE$504,"AM")</f>
        <v>1</v>
      </c>
      <c r="AV17" s="1013">
        <f>COUNTIFS('PLAN ACCION 2018'!$B$8:$B$504,AP17,'PLAN ACCION 2018'!$CE$8:$CE$504,"AMB")</f>
        <v>1</v>
      </c>
      <c r="AW17" s="785">
        <f>COUNTIFS('PLAN ACCION 2018'!$B$8:$B$504,AP17,'PLAN ACCION 2018'!$CE$8:$CE$504,"RO")</f>
        <v>1</v>
      </c>
      <c r="AX17" s="1015">
        <f>COUNTIFS('PLAN ACCION 2018'!$B$8:$B$504,AP17,'PLAN ACCION 2018'!$CE$8:$CE$504,"ROB")</f>
        <v>1</v>
      </c>
      <c r="AY17" s="786">
        <f>COUNTIFS('PLAN ACCION 2018'!$B$8:$B$504,AP17,'PLAN ACCION 2018'!$CE$8:$CE$504,"AZ")</f>
        <v>0</v>
      </c>
      <c r="AZ17" s="786">
        <f>COUNTIFS('PLAN ACCION 2018'!$B$8:$B$504,AP17,'PLAN ACCION 2018'!$CE$8:$CE$504,"NP")</f>
        <v>2</v>
      </c>
      <c r="BA17" s="786">
        <f>COUNTIFS('PLAN ACCION 2018'!$B$8:$B$504,AP17,'PLAN ACCION 2018'!$CE$8:$CE$504,"E")</f>
        <v>0</v>
      </c>
      <c r="BB17" s="786">
        <f>COUNTIFS('PLAN ACCION 2018'!$B$8:$B$504,AP17,'PLAN ACCION 2018'!$CE$8:$CE$504,"M")</f>
        <v>0</v>
      </c>
      <c r="BC17" s="787">
        <f t="shared" si="4"/>
        <v>81.578947368421055</v>
      </c>
    </row>
    <row r="18" spans="1:55" ht="15.75" x14ac:dyDescent="0.25">
      <c r="A18" s="955"/>
      <c r="B18">
        <f t="shared" si="5"/>
        <v>1</v>
      </c>
      <c r="C18" s="1056" t="s">
        <v>1351</v>
      </c>
      <c r="D18" s="782">
        <v>31</v>
      </c>
      <c r="E18" s="782">
        <f t="shared" si="6"/>
        <v>16</v>
      </c>
      <c r="F18" s="1012">
        <f>COUNTIFS('PLAN ACCION 2018'!$B$8:$B$504,C18,'PLAN ACCION 2018'!$CF$8:$CF$504,$F$8)</f>
        <v>12</v>
      </c>
      <c r="G18" s="1011">
        <f>COUNTIFS('PLAN ACCION 2018'!$B$8:$B$504,C18,'PLAN ACCION 2018'!$CF$8:$CF$504,$G$8)</f>
        <v>1</v>
      </c>
      <c r="H18" s="1016">
        <f>COUNTIFS('PLAN ACCION 2018'!$B$8:$B$504,C18,'PLAN ACCION 2018'!$CF$8:$CF$504,$H$8)</f>
        <v>0</v>
      </c>
      <c r="I18" s="1013">
        <f>COUNTIFS('PLAN ACCION 2018'!$B$8:$B$504,C18,'PLAN ACCION 2018'!$CF$8:$CF$504,$I$8)</f>
        <v>0</v>
      </c>
      <c r="J18" s="785">
        <f>COUNTIFS('PLAN ACCION 2018'!$B$8:$B$504,C18,'PLAN ACCION 2018'!$CF$8:$CF$504,$J$8)</f>
        <v>0</v>
      </c>
      <c r="K18" s="1015">
        <f>COUNTIFS('PLAN ACCION 2018'!$B$8:$B$504,C18,'PLAN ACCION 2018'!$CF$8:$CF$504,$K$8)</f>
        <v>4</v>
      </c>
      <c r="L18" s="1255">
        <f>COUNTIFS('PLAN ACCION 2018'!$B$8:$B$504,C18,'PLAN ACCION 2018'!$CF$8:$CF$504,$L$8)</f>
        <v>1</v>
      </c>
      <c r="M18" s="1257">
        <f>COUNTIFS('PLAN ACCION 2018'!$B$8:$B$504,C18,'PLAN ACCION 2018'!$CF$8:$CF$504,$M$8)</f>
        <v>12</v>
      </c>
      <c r="N18" s="786">
        <f>COUNTIFS('PLAN ACCION 2018'!$B$8:$B$504,C18,'PLAN ACCION 2018'!$CF$8:$CF$504,$N$8)</f>
        <v>2</v>
      </c>
      <c r="O18" s="786">
        <f>COUNTIFS('PLAN ACCION 2018'!$B$8:$B$504,C18,'PLAN ACCION 2018'!$CF$8:$CF$504,$O$8)</f>
        <v>0</v>
      </c>
      <c r="P18" s="787">
        <f t="shared" si="10"/>
        <v>94.117647058823522</v>
      </c>
      <c r="Q18" s="787">
        <f t="shared" si="0"/>
        <v>77.777777777777786</v>
      </c>
      <c r="R18" s="787">
        <f t="shared" si="7"/>
        <v>76.470588235294116</v>
      </c>
      <c r="S18" s="772"/>
      <c r="T18" s="1252">
        <f t="shared" si="8"/>
        <v>82.788671023965136</v>
      </c>
      <c r="U18" s="229">
        <f t="shared" si="9"/>
        <v>3</v>
      </c>
      <c r="AA18" s="1056" t="s">
        <v>1351</v>
      </c>
      <c r="AB18" s="782">
        <f>COUNTIFS('PLAN ACCION 2018'!$B$7:$B$1003,AA18,'PLAN ACCION 2018'!$A$7:$A$1003,"*")</f>
        <v>32</v>
      </c>
      <c r="AC18" s="782">
        <f t="shared" si="1"/>
        <v>17</v>
      </c>
      <c r="AD18" s="1012">
        <f>COUNTIFS('PLAN ACCION 2018'!$B$8:$B$504,AA18,'PLAN ACCION 2018'!$CD$8:$CD$504,"VE")</f>
        <v>16</v>
      </c>
      <c r="AE18" s="1011">
        <f>COUNTIFS('PLAN ACCION 2018'!$B$8:$B$504,AA18,'PLAN ACCION 2018'!$CD$8:$CD$504,"VEB")</f>
        <v>0</v>
      </c>
      <c r="AF18" s="1016">
        <f>COUNTIFS('PLAN ACCION 2018'!$B$8:$B$504,AA18,'PLAN ACCION 2018'!$CD$8:$CD$504,"AM")</f>
        <v>0</v>
      </c>
      <c r="AG18" s="1013">
        <f>COUNTIFS('PLAN ACCION 2018'!$B$8:$B$504,AA18,'PLAN ACCION 2018'!$CD$8:$CD$504,"AMB")</f>
        <v>1</v>
      </c>
      <c r="AH18" s="785">
        <f>COUNTIFS('PLAN ACCION 2018'!$B$8:$B$504,AA18,'PLAN ACCION 2018'!$CD$8:$CD$504,"RO")</f>
        <v>0</v>
      </c>
      <c r="AI18" s="1015">
        <f>COUNTIFS('PLAN ACCION 2018'!$B$8:$B$504,AA18,'PLAN ACCION 2018'!$CD$8:$CD$504,"ROB")</f>
        <v>0</v>
      </c>
      <c r="AJ18" s="786">
        <f>COUNTIFS('PLAN ACCION 2018'!$B$8:$B$504,AA18,'PLAN ACCION 2018'!$CD$8:$CD$504,"AZ")</f>
        <v>2</v>
      </c>
      <c r="AK18" s="786">
        <f>COUNTIFS('PLAN ACCION 2018'!$B$8:$B$504,AA18,'PLAN ACCION 2018'!$CD$8:$CD$504,"NP")</f>
        <v>13</v>
      </c>
      <c r="AL18" s="786">
        <f>COUNTIFS('PLAN ACCION 2018'!$B$8:$B$504,AA18,'PLAN ACCION 2018'!$CD$8:$CD$504,"E")</f>
        <v>0</v>
      </c>
      <c r="AM18" s="786">
        <f>COUNTIFS('PLAN ACCION 2018'!$B$8:$B$504,AA18,'PLAN ACCION 2018'!$CD$8:$CD$504,"M")</f>
        <v>0</v>
      </c>
      <c r="AN18" s="787">
        <f t="shared" si="2"/>
        <v>94.117647058823522</v>
      </c>
      <c r="AP18" s="1056" t="s">
        <v>1351</v>
      </c>
      <c r="AQ18" s="782">
        <f>COUNTIFS('PLAN ACCION 2018'!$B$7:$B$1003,AP18,'PLAN ACCION 2018'!$A$7:$A$1003,"*")</f>
        <v>32</v>
      </c>
      <c r="AR18" s="782">
        <f t="shared" si="3"/>
        <v>27</v>
      </c>
      <c r="AS18" s="1012">
        <f>COUNTIFS('PLAN ACCION 2018'!$B$8:$B$504,AP18,'PLAN ACCION 2018'!$CE$8:$CE$504,"VE")</f>
        <v>21</v>
      </c>
      <c r="AT18" s="1011">
        <f>COUNTIFS('PLAN ACCION 2018'!$B$8:$B$504,AP18,'PLAN ACCION 2018'!$CE$8:$CE$504,"VEB")</f>
        <v>1</v>
      </c>
      <c r="AU18" s="1016">
        <f>COUNTIFS('PLAN ACCION 2018'!$B$8:$B$504,AP18,'PLAN ACCION 2018'!$CE$8:$CE$504,"AM")</f>
        <v>0</v>
      </c>
      <c r="AV18" s="1013">
        <f>COUNTIFS('PLAN ACCION 2018'!$B$8:$B$504,AP18,'PLAN ACCION 2018'!$CE$8:$CE$504,"AMB")</f>
        <v>1</v>
      </c>
      <c r="AW18" s="785">
        <f>COUNTIFS('PLAN ACCION 2018'!$B$8:$B$504,AP18,'PLAN ACCION 2018'!$CE$8:$CE$504,"RO")</f>
        <v>1</v>
      </c>
      <c r="AX18" s="1015">
        <f>COUNTIFS('PLAN ACCION 2018'!$B$8:$B$504,AP18,'PLAN ACCION 2018'!$CE$8:$CE$504,"ROB")</f>
        <v>3</v>
      </c>
      <c r="AY18" s="786">
        <f>COUNTIFS('PLAN ACCION 2018'!$B$8:$B$504,AP18,'PLAN ACCION 2018'!$CE$8:$CE$504,"AZ")</f>
        <v>1</v>
      </c>
      <c r="AZ18" s="786">
        <f>COUNTIFS('PLAN ACCION 2018'!$B$8:$B$504,AP18,'PLAN ACCION 2018'!$CE$8:$CE$504,"NP")</f>
        <v>4</v>
      </c>
      <c r="BA18" s="786">
        <f>COUNTIFS('PLAN ACCION 2018'!$B$8:$B$504,AP18,'PLAN ACCION 2018'!$CE$8:$CE$504,"E")</f>
        <v>0</v>
      </c>
      <c r="BB18" s="786">
        <f>COUNTIFS('PLAN ACCION 2018'!$B$8:$B$504,AP18,'PLAN ACCION 2018'!$CE$8:$CE$504,"M")</f>
        <v>0</v>
      </c>
      <c r="BC18" s="787">
        <f t="shared" si="4"/>
        <v>77.777777777777786</v>
      </c>
    </row>
    <row r="19" spans="1:55" ht="18" customHeight="1" x14ac:dyDescent="0.3">
      <c r="A19" s="955"/>
      <c r="B19">
        <f t="shared" si="5"/>
        <v>0</v>
      </c>
      <c r="C19" s="1057" t="s">
        <v>1448</v>
      </c>
      <c r="D19" s="782">
        <f>COUNTIFS('PLAN ACCION 2018'!$B$7:$B$1003,C19,'PLAN ACCION 2018'!$A$7:$A$1003,"*")</f>
        <v>14</v>
      </c>
      <c r="E19" s="782">
        <f t="shared" si="6"/>
        <v>7</v>
      </c>
      <c r="F19" s="1012">
        <f>COUNTIFS('PLAN ACCION 2018'!$B$8:$B$504,C19,'PLAN ACCION 2018'!$CF$8:$CF$504,$F$8)</f>
        <v>7</v>
      </c>
      <c r="G19" s="1011">
        <f>COUNTIFS('PLAN ACCION 2018'!$B$8:$B$504,C19,'PLAN ACCION 2018'!$CF$8:$CF$504,$G$8)</f>
        <v>0</v>
      </c>
      <c r="H19" s="1016">
        <f>COUNTIFS('PLAN ACCION 2018'!$B$8:$B$504,C19,'PLAN ACCION 2018'!$CF$8:$CF$504,$H$8)</f>
        <v>0</v>
      </c>
      <c r="I19" s="1013">
        <f>COUNTIFS('PLAN ACCION 2018'!$B$8:$B$504,C19,'PLAN ACCION 2018'!$CF$8:$CF$504,$I$8)</f>
        <v>0</v>
      </c>
      <c r="J19" s="785">
        <f>COUNTIFS('PLAN ACCION 2018'!$B$8:$B$504,C19,'PLAN ACCION 2018'!$CF$8:$CF$504,$J$8)</f>
        <v>0</v>
      </c>
      <c r="K19" s="1015">
        <f>COUNTIFS('PLAN ACCION 2018'!$B$8:$B$504,C19,'PLAN ACCION 2018'!$CF$8:$CF$504,$K$8)</f>
        <v>0</v>
      </c>
      <c r="L19" s="1255">
        <f>COUNTIFS('PLAN ACCION 2018'!$B$8:$B$504,C19,'PLAN ACCION 2018'!$CF$8:$CF$504,$L$8)</f>
        <v>0</v>
      </c>
      <c r="M19" s="1257">
        <f>COUNTIFS('PLAN ACCION 2018'!$B$8:$B$504,C19,'PLAN ACCION 2018'!$CF$8:$CF$504,$M$8)</f>
        <v>7</v>
      </c>
      <c r="N19" s="786">
        <f>COUNTIFS('PLAN ACCION 2018'!$B$8:$B$504,C19,'PLAN ACCION 2018'!$CF$8:$CF$504,$N$8)</f>
        <v>0</v>
      </c>
      <c r="O19" s="786">
        <f>COUNTIFS('PLAN ACCION 2018'!$B$8:$B$504,C19,'PLAN ACCION 2018'!$CF$8:$CF$504,$O$8)</f>
        <v>0</v>
      </c>
      <c r="P19" s="787">
        <f t="shared" si="10"/>
        <v>75</v>
      </c>
      <c r="Q19" s="787">
        <f t="shared" si="0"/>
        <v>83.333333333333343</v>
      </c>
      <c r="R19" s="787">
        <f t="shared" si="7"/>
        <v>100</v>
      </c>
      <c r="S19" s="772"/>
      <c r="T19" s="1252">
        <f t="shared" si="8"/>
        <v>86.111111111111128</v>
      </c>
      <c r="U19" s="229">
        <f t="shared" si="9"/>
        <v>3</v>
      </c>
      <c r="AA19" s="1253" t="s">
        <v>1448</v>
      </c>
      <c r="AB19" s="782">
        <f>COUNTIFS('PLAN ACCION 2018'!$B$7:$B$1003,AA19,'PLAN ACCION 2018'!$A$7:$A$1003,"*")</f>
        <v>14</v>
      </c>
      <c r="AC19" s="782">
        <f t="shared" si="1"/>
        <v>12</v>
      </c>
      <c r="AD19" s="1012">
        <f>COUNTIFS('PLAN ACCION 2018'!$B$8:$B$504,AA19,'PLAN ACCION 2018'!$CD$8:$CD$504,"VE")</f>
        <v>9</v>
      </c>
      <c r="AE19" s="1011">
        <f>COUNTIFS('PLAN ACCION 2018'!$B$8:$B$504,AA19,'PLAN ACCION 2018'!$CD$8:$CD$504,"VEB")</f>
        <v>0</v>
      </c>
      <c r="AF19" s="1016">
        <f>COUNTIFS('PLAN ACCION 2018'!$B$8:$B$504,AA19,'PLAN ACCION 2018'!$CD$8:$CD$504,"AM")</f>
        <v>0</v>
      </c>
      <c r="AG19" s="1013">
        <f>COUNTIFS('PLAN ACCION 2018'!$B$8:$B$504,AA19,'PLAN ACCION 2018'!$CD$8:$CD$504,"AMB")</f>
        <v>0</v>
      </c>
      <c r="AH19" s="785">
        <f>COUNTIFS('PLAN ACCION 2018'!$B$8:$B$504,AA19,'PLAN ACCION 2018'!$CD$8:$CD$504,"RO")</f>
        <v>0</v>
      </c>
      <c r="AI19" s="1015">
        <f>COUNTIFS('PLAN ACCION 2018'!$B$8:$B$504,AA19,'PLAN ACCION 2018'!$CD$8:$CD$504,"ROB")</f>
        <v>3</v>
      </c>
      <c r="AJ19" s="786">
        <f>COUNTIFS('PLAN ACCION 2018'!$B$8:$B$504,AA19,'PLAN ACCION 2018'!$CD$8:$CD$504,"AZ")</f>
        <v>0</v>
      </c>
      <c r="AK19" s="786">
        <f>COUNTIFS('PLAN ACCION 2018'!$B$8:$B$504,AA19,'PLAN ACCION 2018'!$CD$8:$CD$504,"NP")</f>
        <v>2</v>
      </c>
      <c r="AL19" s="786">
        <f>COUNTIFS('PLAN ACCION 2018'!$B$8:$B$504,AA19,'PLAN ACCION 2018'!$CD$8:$CD$504,"E")</f>
        <v>0</v>
      </c>
      <c r="AM19" s="786">
        <f>COUNTIFS('PLAN ACCION 2018'!$B$8:$B$504,AA19,'PLAN ACCION 2018'!$CD$8:$CD$504,"M")</f>
        <v>0</v>
      </c>
      <c r="AN19" s="787">
        <f t="shared" si="2"/>
        <v>75</v>
      </c>
      <c r="AP19" s="1253" t="s">
        <v>1448</v>
      </c>
      <c r="AQ19" s="782">
        <f>COUNTIFS('PLAN ACCION 2018'!$B$7:$B$1003,AP19,'PLAN ACCION 2018'!$A$7:$A$1003,"*")</f>
        <v>14</v>
      </c>
      <c r="AR19" s="782">
        <f t="shared" si="3"/>
        <v>12</v>
      </c>
      <c r="AS19" s="1012">
        <f>COUNTIFS('PLAN ACCION 2018'!$B$8:$B$504,AP19,'PLAN ACCION 2018'!$CE$8:$CE$504,"VE")</f>
        <v>10</v>
      </c>
      <c r="AT19" s="1011">
        <f>COUNTIFS('PLAN ACCION 2018'!$B$8:$B$504,AP19,'PLAN ACCION 2018'!$CE$8:$CE$504,"VEB")</f>
        <v>0</v>
      </c>
      <c r="AU19" s="1016">
        <f>COUNTIFS('PLAN ACCION 2018'!$B$8:$B$504,AP19,'PLAN ACCION 2018'!$CE$8:$CE$504,"AM")</f>
        <v>0</v>
      </c>
      <c r="AV19" s="1013">
        <f>COUNTIFS('PLAN ACCION 2018'!$B$8:$B$504,AP19,'PLAN ACCION 2018'!$CE$8:$CE$504,"AMB")</f>
        <v>0</v>
      </c>
      <c r="AW19" s="785">
        <f>COUNTIFS('PLAN ACCION 2018'!$B$8:$B$504,AP19,'PLAN ACCION 2018'!$CE$8:$CE$504,"RO")</f>
        <v>0</v>
      </c>
      <c r="AX19" s="1015">
        <f>COUNTIFS('PLAN ACCION 2018'!$B$8:$B$504,AP19,'PLAN ACCION 2018'!$CE$8:$CE$504,"ROB")</f>
        <v>2</v>
      </c>
      <c r="AY19" s="786">
        <f>COUNTIFS('PLAN ACCION 2018'!$B$8:$B$504,AP19,'PLAN ACCION 2018'!$CE$8:$CE$504,"AZ")</f>
        <v>0</v>
      </c>
      <c r="AZ19" s="786">
        <f>COUNTIFS('PLAN ACCION 2018'!$B$8:$B$504,AP19,'PLAN ACCION 2018'!$CE$8:$CE$504,"NP")</f>
        <v>2</v>
      </c>
      <c r="BA19" s="786">
        <f>COUNTIFS('PLAN ACCION 2018'!$B$8:$B$504,AP19,'PLAN ACCION 2018'!$CE$8:$CE$504,"E")</f>
        <v>0</v>
      </c>
      <c r="BB19" s="786">
        <f>COUNTIFS('PLAN ACCION 2018'!$B$8:$B$504,AP19,'PLAN ACCION 2018'!$CE$8:$CE$504,"M")</f>
        <v>0</v>
      </c>
      <c r="BC19" s="787">
        <f t="shared" si="4"/>
        <v>83.333333333333343</v>
      </c>
    </row>
    <row r="20" spans="1:55" ht="15" customHeight="1" x14ac:dyDescent="0.3">
      <c r="A20" s="955"/>
      <c r="B20">
        <f t="shared" si="5"/>
        <v>2</v>
      </c>
      <c r="C20" s="1056" t="s">
        <v>801</v>
      </c>
      <c r="D20" s="782">
        <v>25</v>
      </c>
      <c r="E20" s="782">
        <f t="shared" si="6"/>
        <v>9</v>
      </c>
      <c r="F20" s="1012">
        <f>COUNTIFS('PLAN ACCION 2018'!$B$8:$B$504,C20,'PLAN ACCION 2018'!$CF$8:$CF$504,$F$8)</f>
        <v>7</v>
      </c>
      <c r="G20" s="1011">
        <f>COUNTIFS('PLAN ACCION 2018'!$B$8:$B$504,C20,'PLAN ACCION 2018'!$CF$8:$CF$504,$G$8)</f>
        <v>0</v>
      </c>
      <c r="H20" s="1016">
        <f>COUNTIFS('PLAN ACCION 2018'!$B$8:$B$504,C20,'PLAN ACCION 2018'!$CF$8:$CF$504,$H$8)</f>
        <v>0</v>
      </c>
      <c r="I20" s="1013">
        <f>COUNTIFS('PLAN ACCION 2018'!$B$8:$B$504,C20,'PLAN ACCION 2018'!$CF$8:$CF$504,$I$8)</f>
        <v>1</v>
      </c>
      <c r="J20" s="785">
        <f>COUNTIFS('PLAN ACCION 2018'!$B$8:$B$504,C20,'PLAN ACCION 2018'!$CF$8:$CF$504,$J$8)</f>
        <v>1</v>
      </c>
      <c r="K20" s="1015">
        <f>COUNTIFS('PLAN ACCION 2018'!$B$8:$B$504,C20,'PLAN ACCION 2018'!$CF$8:$CF$504,$K$8)</f>
        <v>2</v>
      </c>
      <c r="L20" s="1255">
        <f>COUNTIFS('PLAN ACCION 2018'!$B$8:$B$504,C20,'PLAN ACCION 2018'!$CF$8:$CF$504,$L$8)</f>
        <v>0</v>
      </c>
      <c r="M20" s="1257">
        <f>COUNTIFS('PLAN ACCION 2018'!$B$8:$B$504,C20,'PLAN ACCION 2018'!$CF$8:$CF$504,$M$8)</f>
        <v>16</v>
      </c>
      <c r="N20" s="786">
        <f>COUNTIFS('PLAN ACCION 2018'!$B$8:$B$504,C20,'PLAN ACCION 2018'!$CF$8:$CF$504,$N$8)</f>
        <v>0</v>
      </c>
      <c r="O20" s="786">
        <f>COUNTIFS('PLAN ACCION 2018'!$B$8:$B$504,C20,'PLAN ACCION 2018'!$CF$8:$CF$504,$O$8)</f>
        <v>0</v>
      </c>
      <c r="P20" s="787">
        <f t="shared" si="10"/>
        <v>28.571428571428569</v>
      </c>
      <c r="Q20" s="787">
        <f t="shared" si="0"/>
        <v>73.333333333333329</v>
      </c>
      <c r="R20" s="787">
        <f t="shared" si="7"/>
        <v>68.181818181818173</v>
      </c>
      <c r="S20" s="772"/>
      <c r="T20" s="1252">
        <f t="shared" si="8"/>
        <v>56.695526695526688</v>
      </c>
      <c r="U20" s="229">
        <f t="shared" si="9"/>
        <v>3</v>
      </c>
      <c r="AA20" s="1056" t="s">
        <v>801</v>
      </c>
      <c r="AB20" s="782">
        <f>COUNTIFS('PLAN ACCION 2018'!$B$7:$B$1003,AA20,'PLAN ACCION 2018'!$A$7:$A$1003,"*")</f>
        <v>27</v>
      </c>
      <c r="AC20" s="782">
        <f t="shared" si="1"/>
        <v>14</v>
      </c>
      <c r="AD20" s="1012">
        <f>COUNTIFS('PLAN ACCION 2018'!$B$8:$B$504,AA20,'PLAN ACCION 2018'!$CD$8:$CD$504,"VE")</f>
        <v>4</v>
      </c>
      <c r="AE20" s="1011">
        <f>COUNTIFS('PLAN ACCION 2018'!$B$8:$B$504,AA20,'PLAN ACCION 2018'!$CD$8:$CD$504,"VEB")</f>
        <v>0</v>
      </c>
      <c r="AF20" s="1016">
        <f>COUNTIFS('PLAN ACCION 2018'!$B$8:$B$504,AA20,'PLAN ACCION 2018'!$CD$8:$CD$504,"AM")</f>
        <v>0</v>
      </c>
      <c r="AG20" s="1013">
        <f>COUNTIFS('PLAN ACCION 2018'!$B$8:$B$504,AA20,'PLAN ACCION 2018'!$CD$8:$CD$504,"AMB")</f>
        <v>0</v>
      </c>
      <c r="AH20" s="785">
        <f>COUNTIFS('PLAN ACCION 2018'!$B$8:$B$504,AA20,'PLAN ACCION 2018'!$CD$8:$CD$504,"RO")</f>
        <v>1</v>
      </c>
      <c r="AI20" s="1015">
        <f>COUNTIFS('PLAN ACCION 2018'!$B$8:$B$504,AA20,'PLAN ACCION 2018'!$CD$8:$CD$504,"ROB")</f>
        <v>9</v>
      </c>
      <c r="AJ20" s="786">
        <f>COUNTIFS('PLAN ACCION 2018'!$B$8:$B$504,AA20,'PLAN ACCION 2018'!$CD$8:$CD$504,"AZ")</f>
        <v>3</v>
      </c>
      <c r="AK20" s="786">
        <f>COUNTIFS('PLAN ACCION 2018'!$B$8:$B$504,AA20,'PLAN ACCION 2018'!$CD$8:$CD$504,"NP")</f>
        <v>10</v>
      </c>
      <c r="AL20" s="786">
        <f>COUNTIFS('PLAN ACCION 2018'!$B$8:$B$504,AA20,'PLAN ACCION 2018'!$CD$8:$CD$504,"E")</f>
        <v>0</v>
      </c>
      <c r="AM20" s="786">
        <f>COUNTIFS('PLAN ACCION 2018'!$B$8:$B$504,AA20,'PLAN ACCION 2018'!$CD$8:$CD$504,"M")</f>
        <v>0</v>
      </c>
      <c r="AN20" s="787">
        <f t="shared" si="2"/>
        <v>28.571428571428569</v>
      </c>
      <c r="AP20" s="1056" t="s">
        <v>801</v>
      </c>
      <c r="AQ20" s="782">
        <f>COUNTIFS('PLAN ACCION 2018'!$B$7:$B$1003,AP20,'PLAN ACCION 2018'!$A$7:$A$1003,"*")</f>
        <v>27</v>
      </c>
      <c r="AR20" s="782">
        <f t="shared" si="3"/>
        <v>15</v>
      </c>
      <c r="AS20" s="1012">
        <f>COUNTIFS('PLAN ACCION 2018'!$B$8:$B$504,AP20,'PLAN ACCION 2018'!$CE$8:$CE$504,"VE")</f>
        <v>10</v>
      </c>
      <c r="AT20" s="1011">
        <f>COUNTIFS('PLAN ACCION 2018'!$B$8:$B$504,AP20,'PLAN ACCION 2018'!$CE$8:$CE$504,"VEB")</f>
        <v>0</v>
      </c>
      <c r="AU20" s="1016">
        <f>COUNTIFS('PLAN ACCION 2018'!$B$8:$B$504,AP20,'PLAN ACCION 2018'!$CE$8:$CE$504,"AM")</f>
        <v>2</v>
      </c>
      <c r="AV20" s="1013">
        <f>COUNTIFS('PLAN ACCION 2018'!$B$8:$B$504,AP20,'PLAN ACCION 2018'!$CE$8:$CE$504,"AMB")</f>
        <v>0</v>
      </c>
      <c r="AW20" s="785">
        <f>COUNTIFS('PLAN ACCION 2018'!$B$8:$B$504,AP20,'PLAN ACCION 2018'!$CE$8:$CE$504,"RO")</f>
        <v>0</v>
      </c>
      <c r="AX20" s="1015">
        <f>COUNTIFS('PLAN ACCION 2018'!$B$8:$B$504,AP20,'PLAN ACCION 2018'!$CE$8:$CE$504,"ROB")</f>
        <v>3</v>
      </c>
      <c r="AY20" s="786">
        <f>COUNTIFS('PLAN ACCION 2018'!$B$8:$B$504,AP20,'PLAN ACCION 2018'!$CE$8:$CE$504,"AZ")</f>
        <v>6</v>
      </c>
      <c r="AZ20" s="786">
        <f>COUNTIFS('PLAN ACCION 2018'!$B$8:$B$504,AP20,'PLAN ACCION 2018'!$CE$8:$CE$504,"NP")</f>
        <v>6</v>
      </c>
      <c r="BA20" s="786">
        <f>COUNTIFS('PLAN ACCION 2018'!$B$8:$B$504,AP20,'PLAN ACCION 2018'!$CE$8:$CE$504,"E")</f>
        <v>0</v>
      </c>
      <c r="BB20" s="786">
        <f>COUNTIFS('PLAN ACCION 2018'!$B$8:$B$504,AP20,'PLAN ACCION 2018'!$CE$8:$CE$504,"M")</f>
        <v>0</v>
      </c>
      <c r="BC20" s="787">
        <f t="shared" si="4"/>
        <v>73.333333333333329</v>
      </c>
    </row>
    <row r="21" spans="1:55" ht="15" customHeight="1" x14ac:dyDescent="0.3">
      <c r="A21" s="955"/>
      <c r="B21">
        <f t="shared" si="5"/>
        <v>-2</v>
      </c>
      <c r="C21" s="1056" t="s">
        <v>489</v>
      </c>
      <c r="D21" s="782">
        <v>95</v>
      </c>
      <c r="E21" s="782">
        <f t="shared" si="6"/>
        <v>79</v>
      </c>
      <c r="F21" s="1012">
        <f>COUNTIFS('PLAN ACCION 2018'!$B$8:$B$504,C21,'PLAN ACCION 2018'!$CF$8:$CF$504,$F$8)</f>
        <v>69</v>
      </c>
      <c r="G21" s="1011">
        <f>COUNTIFS('PLAN ACCION 2018'!$B$8:$B$504,C21,'PLAN ACCION 2018'!$CF$8:$CF$504,$G$8)</f>
        <v>1</v>
      </c>
      <c r="H21" s="1016">
        <f>COUNTIFS('PLAN ACCION 2018'!$B$8:$B$504,C21,'PLAN ACCION 2018'!$CF$8:$CF$504,$H$8)</f>
        <v>0</v>
      </c>
      <c r="I21" s="1013">
        <f>COUNTIFS('PLAN ACCION 2018'!$B$8:$B$504,C21,'PLAN ACCION 2018'!$CF$8:$CF$504,$I$8)</f>
        <v>4</v>
      </c>
      <c r="J21" s="785">
        <f>COUNTIFS('PLAN ACCION 2018'!$B$8:$B$504,C21,'PLAN ACCION 2018'!$CF$8:$CF$504,$J$8)</f>
        <v>0</v>
      </c>
      <c r="K21" s="1015">
        <f>COUNTIFS('PLAN ACCION 2018'!$B$8:$B$504,C21,'PLAN ACCION 2018'!$CF$8:$CF$504,$K$8)</f>
        <v>3</v>
      </c>
      <c r="L21" s="1255">
        <f>COUNTIFS('PLAN ACCION 2018'!$B$8:$B$504,C21,'PLAN ACCION 2018'!$CF$8:$CF$504,$L$8)</f>
        <v>0</v>
      </c>
      <c r="M21" s="1257">
        <f>COUNTIFS('PLAN ACCION 2018'!$B$8:$B$504,C21,'PLAN ACCION 2018'!$CF$8:$CF$504,$M$8)</f>
        <v>16</v>
      </c>
      <c r="N21" s="786">
        <f>COUNTIFS('PLAN ACCION 2018'!$B$8:$B$504,C21,'PLAN ACCION 2018'!$CF$8:$CF$504,$N$8)</f>
        <v>0</v>
      </c>
      <c r="O21" s="786">
        <f>COUNTIFS('PLAN ACCION 2018'!$B$8:$B$504,C21,'PLAN ACCION 2018'!$CF$8:$CF$504,$O$8)</f>
        <v>0</v>
      </c>
      <c r="P21" s="787">
        <f t="shared" si="10"/>
        <v>75.609756097560975</v>
      </c>
      <c r="Q21" s="787">
        <f t="shared" si="0"/>
        <v>84.93150684931507</v>
      </c>
      <c r="R21" s="787">
        <f t="shared" si="7"/>
        <v>93.506493506493499</v>
      </c>
      <c r="S21" s="772"/>
      <c r="T21" s="1252">
        <f t="shared" si="8"/>
        <v>84.68258548445651</v>
      </c>
      <c r="U21" s="229">
        <f t="shared" si="9"/>
        <v>3</v>
      </c>
      <c r="AA21" s="1056" t="s">
        <v>489</v>
      </c>
      <c r="AB21" s="782">
        <f>COUNTIFS('PLAN ACCION 2018'!$B$7:$B$1003,AA21,'PLAN ACCION 2018'!$A$7:$A$1003,"*")</f>
        <v>97</v>
      </c>
      <c r="AC21" s="782">
        <f t="shared" si="1"/>
        <v>84</v>
      </c>
      <c r="AD21" s="1012">
        <f>COUNTIFS('PLAN ACCION 2018'!$B$8:$B$504,AA21,'PLAN ACCION 2018'!$CD$8:$CD$504,"VE")</f>
        <v>62</v>
      </c>
      <c r="AE21" s="1011">
        <f>COUNTIFS('PLAN ACCION 2018'!$B$8:$B$504,AA21,'PLAN ACCION 2018'!$CD$8:$CD$504,"VEB")</f>
        <v>1</v>
      </c>
      <c r="AF21" s="1016">
        <f>COUNTIFS('PLAN ACCION 2018'!$B$8:$B$504,AA21,'PLAN ACCION 2018'!$CD$8:$CD$504,"AM")</f>
        <v>0</v>
      </c>
      <c r="AG21" s="1013">
        <f>COUNTIFS('PLAN ACCION 2018'!$B$8:$B$504,AA21,'PLAN ACCION 2018'!$CD$8:$CD$504,"AMB")</f>
        <v>2</v>
      </c>
      <c r="AH21" s="785">
        <f>COUNTIFS('PLAN ACCION 2018'!$B$8:$B$504,AA21,'PLAN ACCION 2018'!$CD$8:$CD$504,"RO")</f>
        <v>0</v>
      </c>
      <c r="AI21" s="1015">
        <f>COUNTIFS('PLAN ACCION 2018'!$B$8:$B$504,AA21,'PLAN ACCION 2018'!$CD$8:$CD$504,"ROB")</f>
        <v>17</v>
      </c>
      <c r="AJ21" s="786">
        <f>COUNTIFS('PLAN ACCION 2018'!$B$8:$B$504,AA21,'PLAN ACCION 2018'!$CD$8:$CD$504,"AZ")</f>
        <v>12</v>
      </c>
      <c r="AK21" s="786">
        <f>COUNTIFS('PLAN ACCION 2018'!$B$8:$B$504,AA21,'PLAN ACCION 2018'!$CD$8:$CD$504,"NP")</f>
        <v>1</v>
      </c>
      <c r="AL21" s="786">
        <f>COUNTIFS('PLAN ACCION 2018'!$B$8:$B$504,AA21,'PLAN ACCION 2018'!$CD$8:$CD$504,"E")</f>
        <v>0</v>
      </c>
      <c r="AM21" s="786">
        <f>COUNTIFS('PLAN ACCION 2018'!$B$8:$B$504,AA21,'PLAN ACCION 2018'!$CD$8:$CD$504,"M")</f>
        <v>0</v>
      </c>
      <c r="AN21" s="787">
        <f t="shared" si="2"/>
        <v>75.609756097560975</v>
      </c>
      <c r="AP21" s="1056" t="s">
        <v>489</v>
      </c>
      <c r="AQ21" s="782">
        <f>COUNTIFS('PLAN ACCION 2018'!$B$7:$B$1003,AP21,'PLAN ACCION 2018'!$A$7:$A$1003,"*")</f>
        <v>97</v>
      </c>
      <c r="AR21" s="782">
        <f t="shared" si="3"/>
        <v>77</v>
      </c>
      <c r="AS21" s="1012">
        <f>COUNTIFS('PLAN ACCION 2018'!$B$8:$B$504,AP21,'PLAN ACCION 2018'!$CE$8:$CE$504,"VE")</f>
        <v>62</v>
      </c>
      <c r="AT21" s="1011">
        <f>COUNTIFS('PLAN ACCION 2018'!$B$8:$B$504,AP21,'PLAN ACCION 2018'!$CE$8:$CE$504,"VEB")</f>
        <v>0</v>
      </c>
      <c r="AU21" s="1016">
        <f>COUNTIFS('PLAN ACCION 2018'!$B$8:$B$504,AP21,'PLAN ACCION 2018'!$CE$8:$CE$504,"AM")</f>
        <v>0</v>
      </c>
      <c r="AV21" s="1013">
        <f>COUNTIFS('PLAN ACCION 2018'!$B$8:$B$504,AP21,'PLAN ACCION 2018'!$CE$8:$CE$504,"AMB")</f>
        <v>5</v>
      </c>
      <c r="AW21" s="785">
        <f>COUNTIFS('PLAN ACCION 2018'!$B$8:$B$504,AP21,'PLAN ACCION 2018'!$CE$8:$CE$504,"RO")</f>
        <v>1</v>
      </c>
      <c r="AX21" s="1015">
        <f>COUNTIFS('PLAN ACCION 2018'!$B$8:$B$504,AP21,'PLAN ACCION 2018'!$CE$8:$CE$504,"ROB")</f>
        <v>5</v>
      </c>
      <c r="AY21" s="786">
        <f>COUNTIFS('PLAN ACCION 2018'!$B$8:$B$504,AP21,'PLAN ACCION 2018'!$CE$8:$CE$504,"AZ")</f>
        <v>19</v>
      </c>
      <c r="AZ21" s="786">
        <f>COUNTIFS('PLAN ACCION 2018'!$B$8:$B$504,AP21,'PLAN ACCION 2018'!$CE$8:$CE$504,"NP")</f>
        <v>1</v>
      </c>
      <c r="BA21" s="786">
        <f>COUNTIFS('PLAN ACCION 2018'!$B$8:$B$504,AP21,'PLAN ACCION 2018'!$CE$8:$CE$504,"E")</f>
        <v>0</v>
      </c>
      <c r="BB21" s="786">
        <f>COUNTIFS('PLAN ACCION 2018'!$B$8:$B$504,AP21,'PLAN ACCION 2018'!$CE$8:$CE$504,"M")</f>
        <v>0</v>
      </c>
      <c r="BC21" s="787">
        <f t="shared" si="4"/>
        <v>84.93150684931507</v>
      </c>
    </row>
    <row r="22" spans="1:55" ht="15.75" customHeight="1" x14ac:dyDescent="0.25">
      <c r="A22" s="955"/>
      <c r="B22">
        <f t="shared" si="5"/>
        <v>2</v>
      </c>
      <c r="C22" s="1056" t="s">
        <v>1095</v>
      </c>
      <c r="D22" s="782">
        <v>7</v>
      </c>
      <c r="E22" s="782">
        <v>3</v>
      </c>
      <c r="F22" s="1012">
        <f>COUNTIFS('PLAN ACCION 2018'!$B$8:$B$504,C22,'PLAN ACCION 2018'!$CF$8:$CF$504,$F$8)</f>
        <v>3</v>
      </c>
      <c r="G22" s="1011">
        <f>COUNTIFS('PLAN ACCION 2018'!$B$8:$B$504,C22,'PLAN ACCION 2018'!$CF$8:$CF$504,$G$8)</f>
        <v>1</v>
      </c>
      <c r="H22" s="1016">
        <f>COUNTIFS('PLAN ACCION 2018'!$B$8:$B$504,C22,'PLAN ACCION 2018'!$CF$8:$CF$504,$H$8)</f>
        <v>0</v>
      </c>
      <c r="I22" s="1013">
        <f>COUNTIFS('PLAN ACCION 2018'!$B$8:$B$504,C22,'PLAN ACCION 2018'!$CF$8:$CF$504,$I$8)</f>
        <v>0</v>
      </c>
      <c r="J22" s="785">
        <f>COUNTIFS('PLAN ACCION 2018'!$B$8:$B$504,C22,'PLAN ACCION 2018'!$CF$8:$CF$504,$J$8)</f>
        <v>0</v>
      </c>
      <c r="K22" s="1015">
        <f>COUNTIFS('PLAN ACCION 2018'!$B$8:$B$504,C22,'PLAN ACCION 2018'!$CF$8:$CF$504,$K$8)</f>
        <v>1</v>
      </c>
      <c r="L22" s="1255">
        <f>COUNTIFS('PLAN ACCION 2018'!$B$8:$B$504,C22,'PLAN ACCION 2018'!$CF$8:$CF$504,$L$8)</f>
        <v>0</v>
      </c>
      <c r="M22" s="1257">
        <f>COUNTIFS('PLAN ACCION 2018'!$B$8:$B$504,C22,'PLAN ACCION 2018'!$CF$8:$CF$504,$M$8)</f>
        <v>4</v>
      </c>
      <c r="N22" s="786">
        <f>COUNTIFS('PLAN ACCION 2018'!$B$8:$B$504,C22,'PLAN ACCION 2018'!$CF$8:$CF$504,$N$8)</f>
        <v>0</v>
      </c>
      <c r="O22" s="786">
        <f>COUNTIFS('PLAN ACCION 2018'!$B$8:$B$504,C22,'PLAN ACCION 2018'!$CF$8:$CF$504,$O$8)</f>
        <v>0</v>
      </c>
      <c r="P22" s="787">
        <f t="shared" si="10"/>
        <v>20</v>
      </c>
      <c r="Q22" s="787">
        <f t="shared" si="0"/>
        <v>42.857142857142854</v>
      </c>
      <c r="R22" s="787">
        <f t="shared" si="7"/>
        <v>80</v>
      </c>
      <c r="S22" s="772"/>
      <c r="T22" s="1252">
        <f t="shared" si="8"/>
        <v>47.61904761904762</v>
      </c>
      <c r="U22" s="229">
        <f t="shared" si="9"/>
        <v>3</v>
      </c>
      <c r="AA22" s="1056" t="s">
        <v>1095</v>
      </c>
      <c r="AB22" s="782">
        <f>COUNTIFS('PLAN ACCION 2018'!$B$7:$B$1003,AA22,'PLAN ACCION 2018'!$A$7:$A$1003,"*")</f>
        <v>9</v>
      </c>
      <c r="AC22" s="782">
        <f t="shared" si="1"/>
        <v>5</v>
      </c>
      <c r="AD22" s="1012">
        <f>COUNTIFS('PLAN ACCION 2018'!$B$8:$B$504,AA22,'PLAN ACCION 2018'!$CD$8:$CD$504,"VE")</f>
        <v>1</v>
      </c>
      <c r="AE22" s="1011">
        <f>COUNTIFS('PLAN ACCION 2018'!$B$8:$B$504,AA22,'PLAN ACCION 2018'!$CD$8:$CD$504,"VEB")</f>
        <v>0</v>
      </c>
      <c r="AF22" s="1016">
        <f>COUNTIFS('PLAN ACCION 2018'!$B$8:$B$504,AA22,'PLAN ACCION 2018'!$CD$8:$CD$504,"AM")</f>
        <v>0</v>
      </c>
      <c r="AG22" s="1013">
        <f>COUNTIFS('PLAN ACCION 2018'!$B$8:$B$504,AA22,'PLAN ACCION 2018'!$CD$8:$CD$504,"AMB")</f>
        <v>0</v>
      </c>
      <c r="AH22" s="785">
        <f>COUNTIFS('PLAN ACCION 2018'!$B$8:$B$504,AA22,'PLAN ACCION 2018'!$CD$8:$CD$504,"RO")</f>
        <v>1</v>
      </c>
      <c r="AI22" s="1015">
        <f>COUNTIFS('PLAN ACCION 2018'!$B$8:$B$504,AA22,'PLAN ACCION 2018'!$CD$8:$CD$504,"ROB")</f>
        <v>3</v>
      </c>
      <c r="AJ22" s="786">
        <f>COUNTIFS('PLAN ACCION 2018'!$B$8:$B$504,AA22,'PLAN ACCION 2018'!$CD$8:$CD$504,"AZ")</f>
        <v>0</v>
      </c>
      <c r="AK22" s="786">
        <f>COUNTIFS('PLAN ACCION 2018'!$B$8:$B$504,AA22,'PLAN ACCION 2018'!$CD$8:$CD$504,"NP")</f>
        <v>4</v>
      </c>
      <c r="AL22" s="786">
        <f>COUNTIFS('PLAN ACCION 2018'!$B$8:$B$504,AA22,'PLAN ACCION 2018'!$CD$8:$CD$504,"E")</f>
        <v>0</v>
      </c>
      <c r="AM22" s="786">
        <f>COUNTIFS('PLAN ACCION 2018'!$B$8:$B$504,AA22,'PLAN ACCION 2018'!$CD$8:$CD$504,"M")</f>
        <v>0</v>
      </c>
      <c r="AN22" s="787">
        <f t="shared" si="2"/>
        <v>20</v>
      </c>
      <c r="AP22" s="1056" t="s">
        <v>1095</v>
      </c>
      <c r="AQ22" s="782">
        <f>COUNTIFS('PLAN ACCION 2018'!$B$7:$B$1003,AP22,'PLAN ACCION 2018'!$A$7:$A$1003,"*")</f>
        <v>9</v>
      </c>
      <c r="AR22" s="782">
        <f t="shared" si="3"/>
        <v>7</v>
      </c>
      <c r="AS22" s="1012">
        <f>COUNTIFS('PLAN ACCION 2018'!$B$8:$B$504,AP22,'PLAN ACCION 2018'!$CE$8:$CE$504,"VE")</f>
        <v>3</v>
      </c>
      <c r="AT22" s="1011">
        <f>COUNTIFS('PLAN ACCION 2018'!$B$8:$B$504,AP22,'PLAN ACCION 2018'!$CE$8:$CE$504,"VEB")</f>
        <v>1</v>
      </c>
      <c r="AU22" s="1016">
        <f>COUNTIFS('PLAN ACCION 2018'!$B$8:$B$504,AP22,'PLAN ACCION 2018'!$CE$8:$CE$504,"AM")</f>
        <v>0</v>
      </c>
      <c r="AV22" s="1013">
        <f>COUNTIFS('PLAN ACCION 2018'!$B$8:$B$504,AP22,'PLAN ACCION 2018'!$CE$8:$CE$504,"AMB")</f>
        <v>0</v>
      </c>
      <c r="AW22" s="785">
        <f>COUNTIFS('PLAN ACCION 2018'!$B$8:$B$504,AP22,'PLAN ACCION 2018'!$CE$8:$CE$504,"RO")</f>
        <v>0</v>
      </c>
      <c r="AX22" s="1015">
        <f>COUNTIFS('PLAN ACCION 2018'!$B$8:$B$504,AP22,'PLAN ACCION 2018'!$CE$8:$CE$504,"ROB")</f>
        <v>3</v>
      </c>
      <c r="AY22" s="786">
        <f>COUNTIFS('PLAN ACCION 2018'!$B$8:$B$504,AP22,'PLAN ACCION 2018'!$CE$8:$CE$504,"AZ")</f>
        <v>0</v>
      </c>
      <c r="AZ22" s="786">
        <f>COUNTIFS('PLAN ACCION 2018'!$B$8:$B$504,AP22,'PLAN ACCION 2018'!$CE$8:$CE$504,"NP")</f>
        <v>2</v>
      </c>
      <c r="BA22" s="786">
        <f>COUNTIFS('PLAN ACCION 2018'!$B$8:$B$504,AP22,'PLAN ACCION 2018'!$CE$8:$CE$504,"E")</f>
        <v>0</v>
      </c>
      <c r="BB22" s="786">
        <f>COUNTIFS('PLAN ACCION 2018'!$B$8:$B$504,AP22,'PLAN ACCION 2018'!$CE$8:$CE$504,"M")</f>
        <v>0</v>
      </c>
      <c r="BC22" s="787">
        <f t="shared" si="4"/>
        <v>42.857142857142854</v>
      </c>
    </row>
    <row r="23" spans="1:55" ht="13.5" customHeight="1" x14ac:dyDescent="0.25">
      <c r="A23" s="955"/>
      <c r="B23">
        <f t="shared" si="5"/>
        <v>2</v>
      </c>
      <c r="C23" s="1056" t="s">
        <v>1218</v>
      </c>
      <c r="D23" s="782">
        <v>9</v>
      </c>
      <c r="E23" s="782">
        <f t="shared" si="6"/>
        <v>7</v>
      </c>
      <c r="F23" s="1012">
        <f>COUNTIFS('PLAN ACCION 2018'!$B$8:$B$504,C23,'PLAN ACCION 2018'!$CF$8:$CF$504,$F$8)</f>
        <v>9</v>
      </c>
      <c r="G23" s="1011">
        <f>COUNTIFS('PLAN ACCION 2018'!$B$8:$B$504,C23,'PLAN ACCION 2018'!$CF$8:$CF$504,$G$8)</f>
        <v>0</v>
      </c>
      <c r="H23" s="1016">
        <f>COUNTIFS('PLAN ACCION 2018'!$B$8:$B$504,C23,'PLAN ACCION 2018'!$CF$8:$CF$504,$H$8)</f>
        <v>0</v>
      </c>
      <c r="I23" s="1013">
        <f>COUNTIFS('PLAN ACCION 2018'!$B$8:$B$504,C23,'PLAN ACCION 2018'!$CF$8:$CF$504,$I$8)</f>
        <v>0</v>
      </c>
      <c r="J23" s="785">
        <f>COUNTIFS('PLAN ACCION 2018'!$B$8:$B$504,C23,'PLAN ACCION 2018'!$CF$8:$CF$504,$J$8)</f>
        <v>0</v>
      </c>
      <c r="K23" s="1015">
        <f>COUNTIFS('PLAN ACCION 2018'!$B$8:$B$504,C23,'PLAN ACCION 2018'!$CF$8:$CF$504,$K$8)</f>
        <v>0</v>
      </c>
      <c r="L23" s="1255">
        <f>COUNTIFS('PLAN ACCION 2018'!$B$8:$B$504,C23,'PLAN ACCION 2018'!$CF$8:$CF$504,$L$8)</f>
        <v>0</v>
      </c>
      <c r="M23" s="1257">
        <f>COUNTIFS('PLAN ACCION 2018'!$B$8:$B$504,C23,'PLAN ACCION 2018'!$CF$8:$CF$504,$M$8)</f>
        <v>2</v>
      </c>
      <c r="N23" s="786">
        <f>COUNTIFS('PLAN ACCION 2018'!$B$8:$B$504,C23,'PLAN ACCION 2018'!$CF$8:$CF$504,$N$8)</f>
        <v>0</v>
      </c>
      <c r="O23" s="786">
        <f>COUNTIFS('PLAN ACCION 2018'!$B$8:$B$504,C23,'PLAN ACCION 2018'!$CF$8:$CF$504,$O$8)</f>
        <v>0</v>
      </c>
      <c r="P23" s="787">
        <f t="shared" si="10"/>
        <v>100</v>
      </c>
      <c r="Q23" s="787">
        <f t="shared" si="0"/>
        <v>100</v>
      </c>
      <c r="R23" s="787">
        <f t="shared" si="7"/>
        <v>100</v>
      </c>
      <c r="S23" s="772"/>
      <c r="T23" s="1252">
        <f t="shared" si="8"/>
        <v>100</v>
      </c>
      <c r="U23" s="229">
        <f t="shared" si="9"/>
        <v>3</v>
      </c>
      <c r="AA23" s="1056" t="s">
        <v>1218</v>
      </c>
      <c r="AB23" s="782">
        <f>COUNTIFS('PLAN ACCION 2018'!$B$7:$B$1003,AA23,'PLAN ACCION 2018'!$A$7:$A$1003,"*")</f>
        <v>11</v>
      </c>
      <c r="AC23" s="782">
        <f t="shared" si="1"/>
        <v>9</v>
      </c>
      <c r="AD23" s="1012">
        <f>COUNTIFS('PLAN ACCION 2018'!$B$8:$B$504,AA23,'PLAN ACCION 2018'!$CD$8:$CD$504,"VE")</f>
        <v>9</v>
      </c>
      <c r="AE23" s="1011">
        <f>COUNTIFS('PLAN ACCION 2018'!$B$8:$B$504,AA23,'PLAN ACCION 2018'!$CD$8:$CD$504,"VEB")</f>
        <v>0</v>
      </c>
      <c r="AF23" s="1016">
        <f>COUNTIFS('PLAN ACCION 2018'!$B$8:$B$504,AA23,'PLAN ACCION 2018'!$CD$8:$CD$504,"AM")</f>
        <v>0</v>
      </c>
      <c r="AG23" s="1013">
        <f>COUNTIFS('PLAN ACCION 2018'!$B$8:$B$504,AA23,'PLAN ACCION 2018'!$CD$8:$CD$504,"AMB")</f>
        <v>0</v>
      </c>
      <c r="AH23" s="785">
        <f>COUNTIFS('PLAN ACCION 2018'!$B$8:$B$504,AA23,'PLAN ACCION 2018'!$CD$8:$CD$504,"RO")</f>
        <v>0</v>
      </c>
      <c r="AI23" s="1015">
        <f>COUNTIFS('PLAN ACCION 2018'!$B$8:$B$504,AA23,'PLAN ACCION 2018'!$CD$8:$CD$504,"ROB")</f>
        <v>0</v>
      </c>
      <c r="AJ23" s="786">
        <f>COUNTIFS('PLAN ACCION 2018'!$B$8:$B$504,AA23,'PLAN ACCION 2018'!$CD$8:$CD$504,"AZ")</f>
        <v>0</v>
      </c>
      <c r="AK23" s="786">
        <f>COUNTIFS('PLAN ACCION 2018'!$B$8:$B$504,AA23,'PLAN ACCION 2018'!$CD$8:$CD$504,"NP")</f>
        <v>2</v>
      </c>
      <c r="AL23" s="786">
        <f>COUNTIFS('PLAN ACCION 2018'!$B$8:$B$504,AA23,'PLAN ACCION 2018'!$CD$8:$CD$504,"E")</f>
        <v>0</v>
      </c>
      <c r="AM23" s="786">
        <f>COUNTIFS('PLAN ACCION 2018'!$B$8:$B$504,AA23,'PLAN ACCION 2018'!$CD$8:$CD$504,"M")</f>
        <v>0</v>
      </c>
      <c r="AN23" s="787">
        <f t="shared" si="2"/>
        <v>100</v>
      </c>
      <c r="AP23" s="1056" t="s">
        <v>1218</v>
      </c>
      <c r="AQ23" s="782">
        <f>COUNTIFS('PLAN ACCION 2018'!$B$7:$B$1003,AP23,'PLAN ACCION 2018'!$A$7:$A$1003,"*")</f>
        <v>11</v>
      </c>
      <c r="AR23" s="782">
        <f t="shared" si="3"/>
        <v>11</v>
      </c>
      <c r="AS23" s="1012">
        <f>COUNTIFS('PLAN ACCION 2018'!$B$8:$B$504,AP23,'PLAN ACCION 2018'!$CE$8:$CE$504,"VE")</f>
        <v>11</v>
      </c>
      <c r="AT23" s="1011">
        <f>COUNTIFS('PLAN ACCION 2018'!$B$8:$B$504,AP23,'PLAN ACCION 2018'!$CE$8:$CE$504,"VEB")</f>
        <v>0</v>
      </c>
      <c r="AU23" s="1016">
        <f>COUNTIFS('PLAN ACCION 2018'!$B$8:$B$504,AP23,'PLAN ACCION 2018'!$CE$8:$CE$504,"AM")</f>
        <v>0</v>
      </c>
      <c r="AV23" s="1013">
        <f>COUNTIFS('PLAN ACCION 2018'!$B$8:$B$504,AP23,'PLAN ACCION 2018'!$CE$8:$CE$504,"AMB")</f>
        <v>0</v>
      </c>
      <c r="AW23" s="785">
        <f>COUNTIFS('PLAN ACCION 2018'!$B$8:$B$504,AP23,'PLAN ACCION 2018'!$CE$8:$CE$504,"RO")</f>
        <v>0</v>
      </c>
      <c r="AX23" s="1015">
        <f>COUNTIFS('PLAN ACCION 2018'!$B$8:$B$504,AP23,'PLAN ACCION 2018'!$CE$8:$CE$504,"ROB")</f>
        <v>0</v>
      </c>
      <c r="AY23" s="786">
        <f>COUNTIFS('PLAN ACCION 2018'!$B$8:$B$504,AP23,'PLAN ACCION 2018'!$CE$8:$CE$504,"AZ")</f>
        <v>0</v>
      </c>
      <c r="AZ23" s="786">
        <f>COUNTIFS('PLAN ACCION 2018'!$B$8:$B$504,AP23,'PLAN ACCION 2018'!$CE$8:$CE$504,"NP")</f>
        <v>0</v>
      </c>
      <c r="BA23" s="786">
        <f>COUNTIFS('PLAN ACCION 2018'!$B$8:$B$504,AP23,'PLAN ACCION 2018'!$CE$8:$CE$504,"E")</f>
        <v>0</v>
      </c>
      <c r="BB23" s="786">
        <f>COUNTIFS('PLAN ACCION 2018'!$B$8:$B$504,AP23,'PLAN ACCION 2018'!$CE$8:$CE$504,"M")</f>
        <v>0</v>
      </c>
      <c r="BC23" s="787">
        <f t="shared" si="4"/>
        <v>100</v>
      </c>
    </row>
    <row r="24" spans="1:55" ht="15" customHeight="1" x14ac:dyDescent="0.25">
      <c r="A24" s="955"/>
      <c r="B24">
        <f t="shared" si="5"/>
        <v>0</v>
      </c>
      <c r="C24" s="1056" t="s">
        <v>1132</v>
      </c>
      <c r="D24" s="782">
        <v>24</v>
      </c>
      <c r="E24" s="782">
        <f t="shared" si="6"/>
        <v>19</v>
      </c>
      <c r="F24" s="1012">
        <f>COUNTIFS('PLAN ACCION 2018'!$B$8:$B$504,C24,'PLAN ACCION 2018'!$CF$8:$CF$504,$F$8)</f>
        <v>17</v>
      </c>
      <c r="G24" s="1011">
        <f>COUNTIFS('PLAN ACCION 2018'!$B$8:$B$504,C24,'PLAN ACCION 2018'!$CF$8:$CF$504,$G$8)</f>
        <v>2</v>
      </c>
      <c r="H24" s="1016">
        <f>COUNTIFS('PLAN ACCION 2018'!$B$8:$B$504,C24,'PLAN ACCION 2018'!$CF$8:$CF$504,$H$8)</f>
        <v>0</v>
      </c>
      <c r="I24" s="1013">
        <f>COUNTIFS('PLAN ACCION 2018'!$B$8:$B$504,C24,'PLAN ACCION 2018'!$CF$8:$CF$504,$I$8)</f>
        <v>0</v>
      </c>
      <c r="J24" s="785">
        <f>COUNTIFS('PLAN ACCION 2018'!$B$8:$B$504,C24,'PLAN ACCION 2018'!$CF$8:$CF$504,$J$8)</f>
        <v>0</v>
      </c>
      <c r="K24" s="1015">
        <f>COUNTIFS('PLAN ACCION 2018'!$B$8:$B$504,C24,'PLAN ACCION 2018'!$CF$8:$CF$504,$K$8)</f>
        <v>0</v>
      </c>
      <c r="L24" s="1255">
        <f>COUNTIFS('PLAN ACCION 2018'!$B$8:$B$504,C24,'PLAN ACCION 2018'!$CF$8:$CF$504,$L$8)</f>
        <v>0</v>
      </c>
      <c r="M24" s="1257">
        <f>COUNTIFS('PLAN ACCION 2018'!$B$8:$B$504,C24,'PLAN ACCION 2018'!$CF$8:$CF$504,$M$8)</f>
        <v>5</v>
      </c>
      <c r="N24" s="786">
        <f>COUNTIFS('PLAN ACCION 2018'!$B$8:$B$504,C24,'PLAN ACCION 2018'!$CF$8:$CF$504,$N$8)</f>
        <v>0</v>
      </c>
      <c r="O24" s="786">
        <f>COUNTIFS('PLAN ACCION 2018'!$B$8:$B$504,C24,'PLAN ACCION 2018'!$CF$8:$CF$504,$O$8)</f>
        <v>0</v>
      </c>
      <c r="P24" s="787">
        <f t="shared" si="10"/>
        <v>76.470588235294116</v>
      </c>
      <c r="Q24" s="787">
        <f t="shared" si="0"/>
        <v>69.047619047619051</v>
      </c>
      <c r="R24" s="787">
        <f t="shared" si="7"/>
        <v>100</v>
      </c>
      <c r="S24" s="772"/>
      <c r="T24" s="1252">
        <f t="shared" si="8"/>
        <v>81.839402427637722</v>
      </c>
      <c r="U24" s="229">
        <f t="shared" si="9"/>
        <v>3</v>
      </c>
      <c r="AA24" s="1056" t="s">
        <v>1132</v>
      </c>
      <c r="AB24" s="782">
        <f>COUNTIFS('PLAN ACCION 2018'!$B$7:$B$1003,AA24,'PLAN ACCION 2018'!$A$7:$A$1003,"*")</f>
        <v>25</v>
      </c>
      <c r="AC24" s="782">
        <f t="shared" si="1"/>
        <v>17</v>
      </c>
      <c r="AD24" s="1012">
        <f>COUNTIFS('PLAN ACCION 2018'!$B$8:$B$504,AA24,'PLAN ACCION 2018'!$CD$8:$CD$504,"VE")</f>
        <v>13</v>
      </c>
      <c r="AE24" s="1011">
        <f>COUNTIFS('PLAN ACCION 2018'!$B$8:$B$504,AA24,'PLAN ACCION 2018'!$CD$8:$CD$504,"VEB")</f>
        <v>0</v>
      </c>
      <c r="AF24" s="1016">
        <f>COUNTIFS('PLAN ACCION 2018'!$B$8:$B$504,AA24,'PLAN ACCION 2018'!$CD$8:$CD$504,"AM")</f>
        <v>0</v>
      </c>
      <c r="AG24" s="1013">
        <f>COUNTIFS('PLAN ACCION 2018'!$B$8:$B$504,AA24,'PLAN ACCION 2018'!$CD$8:$CD$504,"AMB")</f>
        <v>1</v>
      </c>
      <c r="AH24" s="785">
        <f>COUNTIFS('PLAN ACCION 2018'!$B$8:$B$504,AA24,'PLAN ACCION 2018'!$CD$8:$CD$504,"RO")</f>
        <v>1</v>
      </c>
      <c r="AI24" s="1015">
        <f>COUNTIFS('PLAN ACCION 2018'!$B$8:$B$504,AA24,'PLAN ACCION 2018'!$CD$8:$CD$504,"ROB")</f>
        <v>2</v>
      </c>
      <c r="AJ24" s="786">
        <f>COUNTIFS('PLAN ACCION 2018'!$B$8:$B$504,AA24,'PLAN ACCION 2018'!$CD$8:$CD$504,"AZ")</f>
        <v>8</v>
      </c>
      <c r="AK24" s="786">
        <f>COUNTIFS('PLAN ACCION 2018'!$B$8:$B$504,AA24,'PLAN ACCION 2018'!$CD$8:$CD$504,"NP")</f>
        <v>0</v>
      </c>
      <c r="AL24" s="786">
        <f>COUNTIFS('PLAN ACCION 2018'!$B$8:$B$504,AA24,'PLAN ACCION 2018'!$CD$8:$CD$504,"E")</f>
        <v>0</v>
      </c>
      <c r="AM24" s="786">
        <f>COUNTIFS('PLAN ACCION 2018'!$B$8:$B$504,AA24,'PLAN ACCION 2018'!$CD$8:$CD$504,"M")</f>
        <v>0</v>
      </c>
      <c r="AN24" s="787">
        <f t="shared" si="2"/>
        <v>76.470588235294116</v>
      </c>
      <c r="AP24" s="1056" t="s">
        <v>1132</v>
      </c>
      <c r="AQ24" s="782">
        <f>COUNTIFS('PLAN ACCION 2018'!$B$7:$B$1003,AP24,'PLAN ACCION 2018'!$A$7:$A$1003,"*")</f>
        <v>25</v>
      </c>
      <c r="AR24" s="782">
        <f t="shared" si="3"/>
        <v>21</v>
      </c>
      <c r="AS24" s="1012">
        <f>COUNTIFS('PLAN ACCION 2018'!$B$8:$B$504,AP24,'PLAN ACCION 2018'!$CE$8:$CE$504,"VE")</f>
        <v>14</v>
      </c>
      <c r="AT24" s="1011">
        <f>COUNTIFS('PLAN ACCION 2018'!$B$8:$B$504,AP24,'PLAN ACCION 2018'!$CE$8:$CE$504,"VEB")</f>
        <v>1</v>
      </c>
      <c r="AU24" s="1016">
        <f>COUNTIFS('PLAN ACCION 2018'!$B$8:$B$504,AP24,'PLAN ACCION 2018'!$CE$8:$CE$504,"AM")</f>
        <v>1</v>
      </c>
      <c r="AV24" s="1013">
        <f>COUNTIFS('PLAN ACCION 2018'!$B$8:$B$504,AP24,'PLAN ACCION 2018'!$CE$8:$CE$504,"AMB")</f>
        <v>1</v>
      </c>
      <c r="AW24" s="785">
        <f>COUNTIFS('PLAN ACCION 2018'!$B$8:$B$504,AP24,'PLAN ACCION 2018'!$CE$8:$CE$504,"RO")</f>
        <v>2</v>
      </c>
      <c r="AX24" s="1015">
        <f>COUNTIFS('PLAN ACCION 2018'!$B$8:$B$504,AP24,'PLAN ACCION 2018'!$CE$8:$CE$504,"ROB")</f>
        <v>2</v>
      </c>
      <c r="AY24" s="786">
        <f>COUNTIFS('PLAN ACCION 2018'!$B$8:$B$504,AP24,'PLAN ACCION 2018'!$CE$8:$CE$504,"AZ")</f>
        <v>3</v>
      </c>
      <c r="AZ24" s="786">
        <f>COUNTIFS('PLAN ACCION 2018'!$B$8:$B$504,AP24,'PLAN ACCION 2018'!$CE$8:$CE$504,"NP")</f>
        <v>1</v>
      </c>
      <c r="BA24" s="786">
        <f>COUNTIFS('PLAN ACCION 2018'!$B$8:$B$504,AP24,'PLAN ACCION 2018'!$CE$8:$CE$504,"E")</f>
        <v>0</v>
      </c>
      <c r="BB24" s="786">
        <f>COUNTIFS('PLAN ACCION 2018'!$B$8:$B$504,AP24,'PLAN ACCION 2018'!$CE$8:$CE$504,"M")</f>
        <v>0</v>
      </c>
      <c r="BC24" s="787">
        <f t="shared" si="4"/>
        <v>69.047619047619051</v>
      </c>
    </row>
    <row r="25" spans="1:55" ht="14.25" customHeight="1" x14ac:dyDescent="0.25">
      <c r="A25" s="955"/>
      <c r="B25">
        <f t="shared" si="5"/>
        <v>-1</v>
      </c>
      <c r="C25" s="1056" t="s">
        <v>1259</v>
      </c>
      <c r="D25" s="782">
        <f>COUNTIFS('PLAN ACCION 2018'!$B$7:$B$1003,C25,'PLAN ACCION 2018'!$A$7:$A$1003,"*")</f>
        <v>28</v>
      </c>
      <c r="E25" s="782">
        <f t="shared" si="6"/>
        <v>22</v>
      </c>
      <c r="F25" s="1012">
        <f>COUNTIFS('PLAN ACCION 2018'!$B$8:$B$504,C25,'PLAN ACCION 2018'!$CF$8:$CF$504,$F$8)</f>
        <v>13</v>
      </c>
      <c r="G25" s="1011">
        <f>COUNTIFS('PLAN ACCION 2018'!$B$8:$B$504,C25,'PLAN ACCION 2018'!$CF$8:$CF$504,$G$8)</f>
        <v>1</v>
      </c>
      <c r="H25" s="1016">
        <f>COUNTIFS('PLAN ACCION 2018'!$B$8:$B$504,C25,'PLAN ACCION 2018'!$CF$8:$CF$504,$H$8)</f>
        <v>1</v>
      </c>
      <c r="I25" s="1013">
        <f>COUNTIFS('PLAN ACCION 2018'!$B$8:$B$504,C25,'PLAN ACCION 2018'!$CF$8:$CF$504,$I$8)</f>
        <v>2</v>
      </c>
      <c r="J25" s="785">
        <f>COUNTIFS('PLAN ACCION 2018'!$B$8:$B$504,C25,'PLAN ACCION 2018'!$CF$8:$CF$504,$J$8)</f>
        <v>2</v>
      </c>
      <c r="K25" s="1015">
        <f>COUNTIFS('PLAN ACCION 2018'!$B$8:$B$504,C25,'PLAN ACCION 2018'!$CF$8:$CF$504,$K$8)</f>
        <v>2</v>
      </c>
      <c r="L25" s="1255">
        <f>COUNTIFS('PLAN ACCION 2018'!$B$8:$B$504,C25,'PLAN ACCION 2018'!$CF$8:$CF$504,$L$8)</f>
        <v>3</v>
      </c>
      <c r="M25" s="1257">
        <f>COUNTIFS('PLAN ACCION 2018'!$B$8:$B$504,C25,'PLAN ACCION 2018'!$CF$8:$CF$504,$M$8)</f>
        <v>3</v>
      </c>
      <c r="N25" s="786">
        <f>COUNTIFS('PLAN ACCION 2018'!$B$8:$B$504,C25,'PLAN ACCION 2018'!$CF$8:$CF$504,$N$8)</f>
        <v>0</v>
      </c>
      <c r="O25" s="786">
        <f>COUNTIFS('PLAN ACCION 2018'!$B$8:$B$504,C25,'PLAN ACCION 2018'!$CF$8:$CF$504,$O$8)</f>
        <v>0</v>
      </c>
      <c r="P25" s="787">
        <f t="shared" si="10"/>
        <v>65.384615384615387</v>
      </c>
      <c r="Q25" s="787">
        <f t="shared" si="0"/>
        <v>92</v>
      </c>
      <c r="R25" s="787">
        <f t="shared" si="7"/>
        <v>73.809523809523796</v>
      </c>
      <c r="S25" s="772"/>
      <c r="T25" s="1252">
        <f t="shared" si="8"/>
        <v>77.064713064713061</v>
      </c>
      <c r="U25" s="229">
        <f t="shared" si="9"/>
        <v>3</v>
      </c>
      <c r="AA25" s="1056" t="s">
        <v>1259</v>
      </c>
      <c r="AB25" s="782">
        <f>COUNTIFS('PLAN ACCION 2018'!$B$7:$B$1003,AA25,'PLAN ACCION 2018'!$A$7:$A$1003,"*")</f>
        <v>28</v>
      </c>
      <c r="AC25" s="782">
        <f>AB25-(AJ25+AK25+AL25)</f>
        <v>27</v>
      </c>
      <c r="AD25" s="1012">
        <f>COUNTIFS('PLAN ACCION 2018'!$B$8:$B$504,AA25,'PLAN ACCION 2018'!$CD$8:$CD$504,"VE")</f>
        <v>17</v>
      </c>
      <c r="AE25" s="1011">
        <f>COUNTIFS('PLAN ACCION 2018'!$B$8:$B$504,AA25,'PLAN ACCION 2018'!$CD$8:$CD$504,"VEB")</f>
        <v>1</v>
      </c>
      <c r="AF25" s="1016">
        <f>COUNTIFS('PLAN ACCION 2018'!$B$8:$B$504,AA25,'PLAN ACCION 2018'!$CD$8:$CD$504,"AM")</f>
        <v>0</v>
      </c>
      <c r="AG25" s="1013">
        <f>COUNTIFS('PLAN ACCION 2018'!$B$8:$B$504,AA25,'PLAN ACCION 2018'!$CD$8:$CD$504,"AMB")</f>
        <v>1</v>
      </c>
      <c r="AH25" s="785">
        <f>COUNTIFS('PLAN ACCION 2018'!$B$8:$B$504,AA25,'PLAN ACCION 2018'!$CD$8:$CD$504,"RO")</f>
        <v>0</v>
      </c>
      <c r="AI25" s="1015">
        <f>COUNTIFS('PLAN ACCION 2018'!$B$8:$B$504,AA25,'PLAN ACCION 2018'!$CD$8:$CD$504,"ROB")</f>
        <v>7</v>
      </c>
      <c r="AJ25" s="786">
        <f>COUNTIFS('PLAN ACCION 2018'!$B$8:$B$504,AA25,'PLAN ACCION 2018'!$CD$8:$CD$504,"AZ")</f>
        <v>1</v>
      </c>
      <c r="AK25" s="786">
        <f>COUNTIFS('PLAN ACCION 2018'!$B$8:$B$504,AA25,'PLAN ACCION 2018'!$CD$8:$CD$504,"NP")</f>
        <v>0</v>
      </c>
      <c r="AL25" s="786">
        <f>COUNTIFS('PLAN ACCION 2018'!$B$8:$B$504,AA25,'PLAN ACCION 2018'!$CD$8:$CD$504,"E")</f>
        <v>0</v>
      </c>
      <c r="AM25" s="786">
        <f>COUNTIFS('PLAN ACCION 2018'!$B$8:$B$504,AA25,'PLAN ACCION 2018'!$CD$8:$CD$504,"M")</f>
        <v>0</v>
      </c>
      <c r="AN25" s="787">
        <f t="shared" si="2"/>
        <v>65.384615384615387</v>
      </c>
      <c r="AP25" s="1056" t="s">
        <v>1259</v>
      </c>
      <c r="AQ25" s="782">
        <f>COUNTIFS('PLAN ACCION 2018'!$B$7:$B$1003,AP25,'PLAN ACCION 2018'!$A$7:$A$1003,"*")</f>
        <v>28</v>
      </c>
      <c r="AR25" s="782">
        <f>AQ25-(AY25+AZ25+BA25)</f>
        <v>26</v>
      </c>
      <c r="AS25" s="1012">
        <f>COUNTIFS('PLAN ACCION 2018'!$B$8:$B$504,AP25,'PLAN ACCION 2018'!$CE$8:$CE$504,"VE")</f>
        <v>23</v>
      </c>
      <c r="AT25" s="1011">
        <f>COUNTIFS('PLAN ACCION 2018'!$B$8:$B$504,AP25,'PLAN ACCION 2018'!$CE$8:$CE$504,"VEB")</f>
        <v>1</v>
      </c>
      <c r="AU25" s="1016">
        <f>COUNTIFS('PLAN ACCION 2018'!$B$8:$B$504,AP25,'PLAN ACCION 2018'!$CE$8:$CE$504,"AM")</f>
        <v>0</v>
      </c>
      <c r="AV25" s="1013">
        <f>COUNTIFS('PLAN ACCION 2018'!$B$8:$B$504,AP25,'PLAN ACCION 2018'!$CE$8:$CE$504,"AMB")</f>
        <v>0</v>
      </c>
      <c r="AW25" s="785">
        <f>COUNTIFS('PLAN ACCION 2018'!$B$8:$B$504,AP25,'PLAN ACCION 2018'!$CE$8:$CE$504,"RO")</f>
        <v>0</v>
      </c>
      <c r="AX25" s="1015">
        <f>COUNTIFS('PLAN ACCION 2018'!$B$8:$B$504,AP25,'PLAN ACCION 2018'!$CE$8:$CE$504,"ROB")</f>
        <v>1</v>
      </c>
      <c r="AY25" s="786">
        <f>COUNTIFS('PLAN ACCION 2018'!$B$8:$B$504,AP25,'PLAN ACCION 2018'!$CE$8:$CE$504,"AZ")</f>
        <v>2</v>
      </c>
      <c r="AZ25" s="786">
        <f>COUNTIFS('PLAN ACCION 2018'!$B$8:$B$504,AP25,'PLAN ACCION 2018'!$CE$8:$CE$504,"NP")</f>
        <v>0</v>
      </c>
      <c r="BA25" s="786">
        <f>COUNTIFS('PLAN ACCION 2018'!$B$8:$B$504,AP25,'PLAN ACCION 2018'!$CE$8:$CE$504,"E")</f>
        <v>0</v>
      </c>
      <c r="BB25" s="786">
        <f>COUNTIFS('PLAN ACCION 2018'!$B$8:$B$504,AP25,'PLAN ACCION 2018'!$CE$8:$CE$504,"M")</f>
        <v>0</v>
      </c>
      <c r="BC25" s="787">
        <f t="shared" si="4"/>
        <v>92</v>
      </c>
    </row>
    <row r="26" spans="1:55" ht="15.75" x14ac:dyDescent="0.25">
      <c r="C26" s="778" t="s">
        <v>32</v>
      </c>
      <c r="D26" s="777">
        <f>SUM(D9:D25)</f>
        <v>474</v>
      </c>
      <c r="E26" s="782">
        <f t="shared" si="6"/>
        <v>364</v>
      </c>
      <c r="F26" s="1012">
        <f t="shared" ref="F26:O26" si="11">SUM(F9:F25)</f>
        <v>299</v>
      </c>
      <c r="G26" s="1011">
        <f t="shared" si="11"/>
        <v>14</v>
      </c>
      <c r="H26" s="808">
        <f t="shared" si="11"/>
        <v>4</v>
      </c>
      <c r="I26" s="1014">
        <f t="shared" si="11"/>
        <v>17</v>
      </c>
      <c r="J26" s="774">
        <f t="shared" si="11"/>
        <v>8</v>
      </c>
      <c r="K26" s="809">
        <f t="shared" si="11"/>
        <v>28</v>
      </c>
      <c r="L26" s="810">
        <f t="shared" si="11"/>
        <v>4</v>
      </c>
      <c r="M26" s="1258">
        <f t="shared" si="11"/>
        <v>102</v>
      </c>
      <c r="N26" s="779">
        <f t="shared" si="11"/>
        <v>4</v>
      </c>
      <c r="O26" s="779">
        <f t="shared" si="11"/>
        <v>0</v>
      </c>
      <c r="P26" s="787">
        <f t="shared" si="10"/>
        <v>72.727272727272734</v>
      </c>
      <c r="Q26" s="787">
        <f t="shared" si="0"/>
        <v>83.575581395348848</v>
      </c>
      <c r="R26" s="787">
        <f t="shared" si="7"/>
        <v>87.432432432432435</v>
      </c>
      <c r="S26" s="772"/>
      <c r="T26" s="1252">
        <f t="shared" si="8"/>
        <v>81.245095518351334</v>
      </c>
      <c r="U26" s="229">
        <f t="shared" si="9"/>
        <v>3</v>
      </c>
      <c r="AA26" s="778" t="s">
        <v>32</v>
      </c>
      <c r="AB26" s="777">
        <f>SUM(AB9:AB25)</f>
        <v>427</v>
      </c>
      <c r="AC26" s="782">
        <f>AB26-(AJ26+AK26+AL26)</f>
        <v>320</v>
      </c>
      <c r="AD26" s="1012">
        <f t="shared" ref="AD26:AM26" si="12">SUM(AD9:AD25)</f>
        <v>232</v>
      </c>
      <c r="AE26" s="1011">
        <f t="shared" si="12"/>
        <v>3</v>
      </c>
      <c r="AF26" s="808">
        <f t="shared" si="12"/>
        <v>0</v>
      </c>
      <c r="AG26" s="1014">
        <f t="shared" si="12"/>
        <v>10</v>
      </c>
      <c r="AH26" s="774">
        <f t="shared" si="12"/>
        <v>4</v>
      </c>
      <c r="AI26" s="809">
        <f t="shared" si="12"/>
        <v>70</v>
      </c>
      <c r="AJ26" s="779">
        <f t="shared" si="12"/>
        <v>48</v>
      </c>
      <c r="AK26" s="779">
        <f t="shared" si="12"/>
        <v>59</v>
      </c>
      <c r="AL26" s="779">
        <f t="shared" si="12"/>
        <v>0</v>
      </c>
      <c r="AM26" s="779">
        <f t="shared" si="12"/>
        <v>0</v>
      </c>
      <c r="AN26" s="787">
        <f t="shared" si="2"/>
        <v>72.727272727272734</v>
      </c>
      <c r="AP26" s="778" t="s">
        <v>32</v>
      </c>
      <c r="AQ26" s="777">
        <f>SUM(AQ9:AQ25)</f>
        <v>427</v>
      </c>
      <c r="AR26" s="782">
        <f>AQ26-(AY26+AZ26+BA26)</f>
        <v>349</v>
      </c>
      <c r="AS26" s="1012">
        <f t="shared" ref="AS26:BB26" si="13">SUM(AS9:AS25)</f>
        <v>285</v>
      </c>
      <c r="AT26" s="1011">
        <f t="shared" si="13"/>
        <v>6</v>
      </c>
      <c r="AU26" s="808">
        <f t="shared" si="13"/>
        <v>5</v>
      </c>
      <c r="AV26" s="1014">
        <f t="shared" si="13"/>
        <v>10</v>
      </c>
      <c r="AW26" s="774">
        <f t="shared" si="13"/>
        <v>10</v>
      </c>
      <c r="AX26" s="809">
        <f t="shared" si="13"/>
        <v>28</v>
      </c>
      <c r="AY26" s="779">
        <f t="shared" si="13"/>
        <v>43</v>
      </c>
      <c r="AZ26" s="779">
        <f t="shared" si="13"/>
        <v>35</v>
      </c>
      <c r="BA26" s="779">
        <f t="shared" si="13"/>
        <v>0</v>
      </c>
      <c r="BB26" s="779">
        <f t="shared" si="13"/>
        <v>0</v>
      </c>
      <c r="BC26" s="787">
        <f t="shared" si="4"/>
        <v>83.575581395348848</v>
      </c>
    </row>
    <row r="27" spans="1:55" ht="18.75" customHeight="1" x14ac:dyDescent="0.25">
      <c r="D27" s="229"/>
      <c r="E27" s="229"/>
      <c r="F27" s="229"/>
      <c r="G27" s="229"/>
      <c r="H27" s="229"/>
      <c r="I27" s="229"/>
      <c r="J27" s="229"/>
      <c r="K27" s="229"/>
      <c r="L27" s="229"/>
      <c r="M27" s="229"/>
      <c r="N27" s="229"/>
      <c r="O27" s="229"/>
      <c r="P27" s="229"/>
      <c r="Q27" s="229"/>
      <c r="R27" s="944"/>
      <c r="S27" s="944"/>
      <c r="AN27" s="944"/>
      <c r="BC27" s="944"/>
    </row>
    <row r="28" spans="1:55" ht="18.75" customHeight="1" x14ac:dyDescent="0.25">
      <c r="D28" s="229"/>
      <c r="E28" s="229"/>
      <c r="F28" s="229"/>
      <c r="G28" s="229"/>
      <c r="H28" s="229"/>
      <c r="I28" s="229"/>
      <c r="J28" s="229"/>
      <c r="K28" s="229"/>
      <c r="L28" s="229"/>
      <c r="M28" s="229"/>
      <c r="N28" s="229"/>
      <c r="O28" s="229"/>
      <c r="P28" s="229"/>
      <c r="Q28" s="229"/>
      <c r="R28" s="944"/>
      <c r="S28" s="944"/>
      <c r="AN28" s="944"/>
      <c r="BC28" s="944"/>
    </row>
    <row r="29" spans="1:55" ht="18.75" customHeight="1" x14ac:dyDescent="0.25">
      <c r="D29" s="229"/>
      <c r="E29" s="229"/>
      <c r="F29" s="229"/>
      <c r="G29" s="229"/>
      <c r="H29" s="229"/>
      <c r="I29" s="229"/>
      <c r="J29" s="229"/>
      <c r="K29" s="229"/>
      <c r="L29" s="229"/>
      <c r="M29" s="229"/>
      <c r="N29" s="229"/>
      <c r="O29" s="229"/>
      <c r="P29" s="229"/>
      <c r="Q29" s="229"/>
      <c r="R29" s="944"/>
      <c r="S29" s="944"/>
      <c r="AN29" s="944"/>
      <c r="BC29" s="944"/>
    </row>
    <row r="30" spans="1:55" ht="18.75" customHeight="1" x14ac:dyDescent="0.25">
      <c r="D30" s="229"/>
      <c r="E30" s="229"/>
      <c r="F30" s="229"/>
      <c r="G30" s="229"/>
      <c r="H30" s="229"/>
      <c r="I30" s="229"/>
      <c r="J30" s="229"/>
      <c r="K30" s="229"/>
      <c r="L30" s="229"/>
      <c r="M30" s="229"/>
      <c r="N30" s="229"/>
      <c r="O30" s="229"/>
      <c r="P30" s="229"/>
      <c r="Q30" s="229"/>
      <c r="R30" s="944"/>
      <c r="S30" s="944"/>
      <c r="AN30" s="944"/>
      <c r="BC30" s="944"/>
    </row>
    <row r="31" spans="1:55" ht="18.75" customHeight="1" x14ac:dyDescent="0.25">
      <c r="D31" s="229"/>
      <c r="E31" s="229"/>
      <c r="F31" s="229"/>
      <c r="G31" s="229"/>
      <c r="H31" s="229"/>
      <c r="I31" s="229"/>
      <c r="J31" s="229"/>
      <c r="K31" s="229"/>
      <c r="L31" s="229"/>
      <c r="M31" s="229"/>
      <c r="N31" s="229"/>
      <c r="O31" s="229"/>
      <c r="P31" s="229"/>
      <c r="Q31" s="229"/>
      <c r="R31" s="944"/>
      <c r="S31" s="944"/>
      <c r="AN31" s="944"/>
      <c r="BC31" s="944"/>
    </row>
    <row r="32" spans="1:55" ht="18.75" customHeight="1" x14ac:dyDescent="0.25">
      <c r="D32" s="229"/>
      <c r="E32" s="229"/>
      <c r="F32" s="229"/>
      <c r="G32" s="229"/>
      <c r="H32" s="229"/>
      <c r="I32" s="229"/>
      <c r="J32" s="229"/>
      <c r="K32" s="229"/>
      <c r="L32" s="229"/>
      <c r="M32" s="229"/>
      <c r="N32" s="229"/>
      <c r="O32" s="229"/>
      <c r="P32" s="229"/>
      <c r="Q32" s="229"/>
      <c r="R32" s="944"/>
      <c r="S32" s="944"/>
      <c r="AN32" s="944"/>
      <c r="BC32" s="944"/>
    </row>
    <row r="33" spans="4:55" ht="18.75" customHeight="1" x14ac:dyDescent="0.25">
      <c r="D33" s="229"/>
      <c r="E33" s="229"/>
      <c r="F33" s="229"/>
      <c r="G33" s="229"/>
      <c r="H33" s="229"/>
      <c r="I33" s="229"/>
      <c r="J33" s="229"/>
      <c r="K33" s="229"/>
      <c r="L33" s="229"/>
      <c r="M33" s="229"/>
      <c r="N33" s="229"/>
      <c r="O33" s="229"/>
      <c r="P33" s="229"/>
      <c r="Q33" s="229"/>
      <c r="R33" s="944"/>
      <c r="S33" s="944"/>
      <c r="AN33" s="944"/>
      <c r="BC33" s="944"/>
    </row>
    <row r="34" spans="4:55" ht="18.75" customHeight="1" x14ac:dyDescent="0.25">
      <c r="D34" s="229"/>
      <c r="E34" s="229"/>
      <c r="F34" s="229"/>
      <c r="G34" s="229"/>
      <c r="H34" s="229"/>
      <c r="I34" s="229"/>
      <c r="J34" s="229"/>
      <c r="K34" s="229"/>
      <c r="L34" s="229"/>
      <c r="M34" s="229"/>
      <c r="N34" s="229"/>
      <c r="O34" s="229"/>
      <c r="P34" s="229"/>
      <c r="Q34" s="229"/>
      <c r="R34" s="944"/>
      <c r="S34" s="944"/>
      <c r="AN34" s="944"/>
      <c r="BC34" s="944"/>
    </row>
    <row r="35" spans="4:55" ht="18.75" customHeight="1" x14ac:dyDescent="0.25">
      <c r="D35" s="229"/>
      <c r="E35" s="229"/>
      <c r="F35" s="229"/>
      <c r="G35" s="229"/>
      <c r="H35" s="229"/>
      <c r="I35" s="229"/>
      <c r="J35" s="229"/>
      <c r="K35" s="229"/>
      <c r="L35" s="229"/>
      <c r="M35" s="229"/>
      <c r="N35" s="229"/>
      <c r="O35" s="229"/>
      <c r="P35" s="229"/>
      <c r="Q35" s="229"/>
      <c r="R35" s="944"/>
      <c r="S35" s="944"/>
      <c r="AN35" s="944"/>
      <c r="BC35" s="944"/>
    </row>
    <row r="36" spans="4:55" ht="18.75" customHeight="1" x14ac:dyDescent="0.3">
      <c r="D36" s="229"/>
      <c r="E36" s="229"/>
      <c r="F36" s="229"/>
      <c r="G36" s="229"/>
      <c r="H36" s="229"/>
      <c r="I36" s="229"/>
      <c r="J36" s="229"/>
      <c r="K36" s="229"/>
      <c r="L36" s="229"/>
      <c r="M36" s="229"/>
      <c r="N36" s="229"/>
      <c r="O36" s="229"/>
      <c r="P36" s="229"/>
      <c r="Q36" s="229"/>
      <c r="R36" s="944"/>
      <c r="S36" s="944"/>
      <c r="AN36" s="944"/>
      <c r="BC36" s="944"/>
    </row>
    <row r="37" spans="4:55" ht="18.75" customHeight="1" x14ac:dyDescent="0.3">
      <c r="D37" s="229"/>
      <c r="E37" s="229"/>
      <c r="F37" s="229"/>
      <c r="G37" s="229"/>
      <c r="H37" s="229"/>
      <c r="I37" s="229"/>
      <c r="J37" s="229"/>
      <c r="K37" s="229"/>
      <c r="L37" s="229"/>
      <c r="M37" s="229"/>
      <c r="N37" s="229"/>
      <c r="O37" s="229"/>
      <c r="P37" s="229"/>
      <c r="Q37" s="229"/>
      <c r="R37" s="944"/>
      <c r="S37" s="944"/>
      <c r="AN37" s="944"/>
      <c r="BC37" s="944"/>
    </row>
    <row r="38" spans="4:55" ht="18.75" customHeight="1" x14ac:dyDescent="0.3">
      <c r="D38" s="229"/>
      <c r="E38" s="229"/>
      <c r="F38" s="229"/>
      <c r="G38" s="229"/>
      <c r="H38" s="229"/>
      <c r="I38" s="229"/>
      <c r="J38" s="229"/>
      <c r="K38" s="229"/>
      <c r="L38" s="229"/>
      <c r="M38" s="229"/>
      <c r="N38" s="229"/>
      <c r="O38" s="229"/>
      <c r="P38" s="229"/>
      <c r="Q38" s="229"/>
      <c r="R38" s="944"/>
      <c r="S38" s="944"/>
      <c r="AN38" s="944"/>
      <c r="BC38" s="944"/>
    </row>
    <row r="39" spans="4:55" ht="18.75" customHeight="1" x14ac:dyDescent="0.3">
      <c r="D39" s="229"/>
      <c r="E39" s="229"/>
      <c r="F39" s="229"/>
      <c r="G39" s="229"/>
      <c r="H39" s="229"/>
      <c r="I39" s="229"/>
      <c r="J39" s="229"/>
      <c r="K39" s="229"/>
      <c r="L39" s="229"/>
      <c r="M39" s="229"/>
      <c r="N39" s="229"/>
      <c r="O39" s="229"/>
      <c r="P39" s="229"/>
      <c r="Q39" s="229"/>
      <c r="R39" s="944"/>
      <c r="S39" s="944"/>
      <c r="AN39" s="944"/>
      <c r="BC39" s="944"/>
    </row>
    <row r="40" spans="4:55" ht="18.75" customHeight="1" x14ac:dyDescent="0.3">
      <c r="D40" s="229"/>
      <c r="E40" s="229"/>
      <c r="F40" s="229"/>
      <c r="G40" s="229"/>
      <c r="H40" s="229"/>
      <c r="I40" s="229"/>
      <c r="J40" s="229"/>
      <c r="K40" s="229"/>
      <c r="L40" s="229"/>
      <c r="M40" s="229"/>
      <c r="N40" s="229"/>
      <c r="O40" s="229"/>
      <c r="P40" s="229"/>
      <c r="Q40" s="229"/>
      <c r="R40" s="944"/>
      <c r="S40" s="944"/>
      <c r="AN40" s="944"/>
      <c r="BC40" s="944"/>
    </row>
    <row r="41" spans="4:55" ht="18.75" customHeight="1" x14ac:dyDescent="0.3">
      <c r="D41" s="229"/>
      <c r="E41" s="229"/>
      <c r="F41" s="229"/>
      <c r="G41" s="229"/>
      <c r="H41" s="229"/>
      <c r="I41" s="229"/>
      <c r="J41" s="229"/>
      <c r="K41" s="229"/>
      <c r="L41" s="229"/>
      <c r="M41" s="229"/>
      <c r="N41" s="229"/>
      <c r="O41" s="229"/>
      <c r="P41" s="229"/>
      <c r="Q41" s="229"/>
      <c r="R41" s="944"/>
      <c r="S41" s="944"/>
      <c r="AN41" s="944"/>
      <c r="BC41" s="944"/>
    </row>
    <row r="42" spans="4:55" ht="18.75" customHeight="1" x14ac:dyDescent="0.3">
      <c r="D42" s="229"/>
      <c r="E42" s="229"/>
      <c r="F42" s="229"/>
      <c r="G42" s="229"/>
      <c r="H42" s="229"/>
      <c r="I42" s="229"/>
      <c r="J42" s="229"/>
      <c r="K42" s="229"/>
      <c r="L42" s="229"/>
      <c r="M42" s="229"/>
      <c r="N42" s="229"/>
      <c r="O42" s="229"/>
      <c r="P42" s="229"/>
      <c r="Q42" s="229"/>
      <c r="R42" s="944"/>
      <c r="S42" s="944"/>
      <c r="AN42" s="944"/>
      <c r="BC42" s="944"/>
    </row>
    <row r="43" spans="4:55" x14ac:dyDescent="0.3">
      <c r="D43" s="229"/>
      <c r="E43" s="229"/>
      <c r="F43" s="229"/>
      <c r="G43" s="229"/>
      <c r="H43" s="229"/>
      <c r="I43" s="229"/>
      <c r="J43" s="229"/>
      <c r="K43" s="229"/>
      <c r="L43" s="229"/>
      <c r="M43" s="229"/>
      <c r="N43" s="229"/>
      <c r="O43" s="229"/>
      <c r="P43" s="229"/>
      <c r="Q43" s="229"/>
      <c r="R43" s="944"/>
      <c r="S43" s="944"/>
      <c r="AN43" s="944"/>
      <c r="BC43" s="944"/>
    </row>
    <row r="44" spans="4:55" x14ac:dyDescent="0.3">
      <c r="D44" s="229"/>
      <c r="E44" s="229"/>
      <c r="F44" s="229"/>
      <c r="G44" s="229"/>
      <c r="H44" s="229"/>
      <c r="I44" s="229"/>
      <c r="J44" s="229"/>
      <c r="K44" s="229"/>
      <c r="L44" s="229"/>
      <c r="M44" s="229"/>
      <c r="N44" s="229"/>
      <c r="O44" s="229"/>
      <c r="P44" s="229"/>
      <c r="Q44" s="229"/>
      <c r="R44" s="944"/>
      <c r="S44" s="944"/>
      <c r="AN44" s="944"/>
      <c r="BC44" s="944"/>
    </row>
    <row r="45" spans="4:55" x14ac:dyDescent="0.3">
      <c r="D45" s="229"/>
      <c r="E45" s="229"/>
      <c r="F45" s="229"/>
      <c r="G45" s="229"/>
      <c r="H45" s="229"/>
      <c r="I45" s="229"/>
      <c r="J45" s="229"/>
      <c r="K45" s="229"/>
      <c r="L45" s="229"/>
      <c r="M45" s="229"/>
      <c r="N45" s="229"/>
      <c r="O45" s="229"/>
      <c r="P45" s="229"/>
      <c r="Q45" s="229"/>
      <c r="R45" s="944"/>
      <c r="S45" s="944"/>
      <c r="AN45" s="944"/>
      <c r="BC45" s="944"/>
    </row>
    <row r="46" spans="4:55" x14ac:dyDescent="0.3">
      <c r="D46" s="229"/>
      <c r="E46" s="229"/>
      <c r="F46" s="229"/>
      <c r="G46" s="229"/>
      <c r="H46" s="229"/>
      <c r="I46" s="229"/>
      <c r="J46" s="229"/>
      <c r="K46" s="229"/>
      <c r="L46" s="229"/>
      <c r="M46" s="229"/>
      <c r="N46" s="229"/>
      <c r="O46" s="229"/>
      <c r="P46" s="229"/>
      <c r="Q46" s="229"/>
      <c r="R46" s="944"/>
      <c r="S46" s="944"/>
      <c r="AN46" s="944"/>
      <c r="BC46" s="944"/>
    </row>
    <row r="47" spans="4:55" x14ac:dyDescent="0.3">
      <c r="D47" s="229"/>
      <c r="E47" s="229"/>
      <c r="F47" s="229"/>
      <c r="G47" s="229"/>
      <c r="H47" s="229"/>
      <c r="I47" s="229"/>
      <c r="J47" s="229"/>
      <c r="K47" s="229"/>
      <c r="L47" s="229"/>
      <c r="M47" s="229"/>
      <c r="N47" s="229"/>
      <c r="O47" s="229"/>
      <c r="P47" s="229"/>
      <c r="Q47" s="229"/>
      <c r="R47" s="944"/>
      <c r="S47" s="944"/>
      <c r="AN47" s="944"/>
      <c r="BC47" s="944"/>
    </row>
    <row r="48" spans="4:55" x14ac:dyDescent="0.3">
      <c r="D48" s="229"/>
      <c r="E48" s="229"/>
      <c r="F48" s="229"/>
      <c r="G48" s="229"/>
      <c r="H48" s="229"/>
      <c r="I48" s="229"/>
      <c r="J48" s="229"/>
      <c r="K48" s="229"/>
      <c r="L48" s="229"/>
      <c r="M48" s="229"/>
      <c r="N48" s="229"/>
      <c r="O48" s="229"/>
      <c r="P48" s="229"/>
      <c r="Q48" s="229"/>
      <c r="R48" s="944"/>
      <c r="S48" s="944"/>
      <c r="AN48" s="944"/>
      <c r="BC48" s="944"/>
    </row>
    <row r="49" spans="1:55" ht="16.2" thickBot="1" x14ac:dyDescent="0.35">
      <c r="A49" s="955"/>
      <c r="B49"/>
      <c r="D49" s="229"/>
      <c r="E49" s="229"/>
      <c r="F49" s="229"/>
      <c r="G49" s="229"/>
      <c r="H49" s="229"/>
      <c r="I49" s="229"/>
      <c r="J49" s="229"/>
      <c r="K49" s="229"/>
      <c r="L49" s="229"/>
      <c r="M49" s="229"/>
      <c r="N49" s="229"/>
      <c r="O49" s="229"/>
      <c r="P49" s="229"/>
      <c r="Q49" s="229"/>
      <c r="R49" s="229"/>
      <c r="S49" s="229"/>
    </row>
    <row r="50" spans="1:55" ht="43.5" customHeight="1" thickBot="1" x14ac:dyDescent="0.35">
      <c r="A50" s="955"/>
      <c r="B50"/>
      <c r="C50" s="1279"/>
      <c r="D50" s="1280"/>
      <c r="E50" s="1280"/>
      <c r="F50" s="1267" t="s">
        <v>4719</v>
      </c>
      <c r="G50" s="1268" t="s">
        <v>4720</v>
      </c>
      <c r="H50" s="1269" t="s">
        <v>4721</v>
      </c>
      <c r="I50" s="1270" t="s">
        <v>4722</v>
      </c>
      <c r="J50" s="1271" t="s">
        <v>4723</v>
      </c>
      <c r="K50" s="1272" t="s">
        <v>4724</v>
      </c>
      <c r="L50" s="1281" t="s">
        <v>3112</v>
      </c>
      <c r="M50" s="1274" t="s">
        <v>4725</v>
      </c>
      <c r="N50" s="1275" t="s">
        <v>3647</v>
      </c>
      <c r="O50" s="1276" t="s">
        <v>4726</v>
      </c>
      <c r="P50" s="1752" t="s">
        <v>4727</v>
      </c>
      <c r="Q50" s="1752"/>
      <c r="R50" s="1752"/>
      <c r="S50" s="1752"/>
      <c r="T50" s="1752"/>
      <c r="AB50" s="230"/>
      <c r="AC50" s="230"/>
      <c r="AD50" s="804" t="s">
        <v>4719</v>
      </c>
      <c r="AE50" s="1027" t="s">
        <v>4720</v>
      </c>
      <c r="AF50" s="1028" t="s">
        <v>4721</v>
      </c>
      <c r="AG50" s="1029" t="s">
        <v>4722</v>
      </c>
      <c r="AH50" s="1030" t="s">
        <v>4723</v>
      </c>
      <c r="AI50" s="1031" t="s">
        <v>4724</v>
      </c>
      <c r="AJ50" s="1068" t="s">
        <v>3112</v>
      </c>
      <c r="AK50" s="1243" t="s">
        <v>4725</v>
      </c>
      <c r="AL50" s="1244" t="s">
        <v>3647</v>
      </c>
      <c r="AM50" s="1245" t="s">
        <v>4726</v>
      </c>
      <c r="AN50" s="1251" t="s">
        <v>4727</v>
      </c>
      <c r="AQ50" s="230"/>
      <c r="AR50" s="230"/>
      <c r="AS50" s="804" t="s">
        <v>4719</v>
      </c>
      <c r="AT50" s="1027" t="s">
        <v>4720</v>
      </c>
      <c r="AU50" s="1028" t="s">
        <v>4721</v>
      </c>
      <c r="AV50" s="1029" t="s">
        <v>4722</v>
      </c>
      <c r="AW50" s="1030" t="s">
        <v>4723</v>
      </c>
      <c r="AX50" s="1031" t="s">
        <v>4724</v>
      </c>
      <c r="AY50" s="1068" t="s">
        <v>3112</v>
      </c>
      <c r="AZ50" s="1243" t="s">
        <v>4725</v>
      </c>
      <c r="BA50" s="1244" t="s">
        <v>3647</v>
      </c>
      <c r="BB50" s="1245" t="s">
        <v>4726</v>
      </c>
      <c r="BC50" s="1251" t="s">
        <v>4727</v>
      </c>
    </row>
    <row r="51" spans="1:55" ht="31.2" x14ac:dyDescent="0.3">
      <c r="A51" s="955"/>
      <c r="B51"/>
      <c r="C51" s="1282" t="s">
        <v>4739</v>
      </c>
      <c r="D51" s="1283" t="s">
        <v>3114</v>
      </c>
      <c r="E51" s="1284" t="s">
        <v>4728</v>
      </c>
      <c r="F51" s="1285" t="s">
        <v>2598</v>
      </c>
      <c r="G51" s="1286" t="s">
        <v>4729</v>
      </c>
      <c r="H51" s="1287" t="s">
        <v>2604</v>
      </c>
      <c r="I51" s="1288" t="s">
        <v>4730</v>
      </c>
      <c r="J51" s="1289" t="s">
        <v>2600</v>
      </c>
      <c r="K51" s="1290" t="s">
        <v>4731</v>
      </c>
      <c r="L51" s="1291" t="s">
        <v>2594</v>
      </c>
      <c r="M51" s="1292" t="s">
        <v>4732</v>
      </c>
      <c r="N51" s="1275" t="s">
        <v>2464</v>
      </c>
      <c r="O51" s="1276" t="s">
        <v>2458</v>
      </c>
      <c r="P51" s="1277">
        <v>2016</v>
      </c>
      <c r="Q51" s="1277" t="s">
        <v>4733</v>
      </c>
      <c r="R51" s="1277" t="s">
        <v>4734</v>
      </c>
      <c r="S51" s="1277" t="s">
        <v>4735</v>
      </c>
      <c r="T51" s="1277" t="s">
        <v>4736</v>
      </c>
      <c r="AA51" s="1059" t="s">
        <v>4739</v>
      </c>
      <c r="AB51" s="958" t="s">
        <v>3114</v>
      </c>
      <c r="AC51" s="1060" t="s">
        <v>4737</v>
      </c>
      <c r="AD51" s="1061" t="s">
        <v>2598</v>
      </c>
      <c r="AE51" s="1062" t="s">
        <v>4729</v>
      </c>
      <c r="AF51" s="1063" t="s">
        <v>2604</v>
      </c>
      <c r="AG51" s="1064" t="s">
        <v>4730</v>
      </c>
      <c r="AH51" s="1065" t="s">
        <v>2600</v>
      </c>
      <c r="AI51" s="1066" t="s">
        <v>4731</v>
      </c>
      <c r="AJ51" s="1069" t="s">
        <v>2594</v>
      </c>
      <c r="AK51" s="1246" t="s">
        <v>4732</v>
      </c>
      <c r="AL51" s="1244" t="s">
        <v>2464</v>
      </c>
      <c r="AM51" s="1245" t="s">
        <v>2458</v>
      </c>
      <c r="AN51" s="1464" t="s">
        <v>4738</v>
      </c>
      <c r="AP51" s="1059" t="s">
        <v>4739</v>
      </c>
      <c r="AQ51" s="958" t="s">
        <v>3114</v>
      </c>
      <c r="AR51" s="1060" t="s">
        <v>4737</v>
      </c>
      <c r="AS51" s="1061" t="s">
        <v>2598</v>
      </c>
      <c r="AT51" s="1062" t="s">
        <v>4729</v>
      </c>
      <c r="AU51" s="1063" t="s">
        <v>2604</v>
      </c>
      <c r="AV51" s="1064" t="s">
        <v>4730</v>
      </c>
      <c r="AW51" s="1065" t="s">
        <v>2600</v>
      </c>
      <c r="AX51" s="1066" t="s">
        <v>4731</v>
      </c>
      <c r="AY51" s="1069" t="s">
        <v>2594</v>
      </c>
      <c r="AZ51" s="1246" t="s">
        <v>4732</v>
      </c>
      <c r="BA51" s="1244" t="s">
        <v>2464</v>
      </c>
      <c r="BB51" s="1245" t="s">
        <v>2458</v>
      </c>
      <c r="BC51" s="1464" t="s">
        <v>4733</v>
      </c>
    </row>
    <row r="52" spans="1:55" x14ac:dyDescent="0.3">
      <c r="A52" s="955"/>
      <c r="B52">
        <f t="shared" ref="B52:B62" si="14">SUM(F52:K52)-E52</f>
        <v>0</v>
      </c>
      <c r="C52" s="960" t="s">
        <v>3822</v>
      </c>
      <c r="D52" s="961">
        <v>59</v>
      </c>
      <c r="E52" s="782">
        <f t="shared" ref="E52:E62" si="15">D52-(L52+M52+N52)</f>
        <v>59</v>
      </c>
      <c r="F52" s="1067">
        <v>48</v>
      </c>
      <c r="G52" s="1011">
        <v>2</v>
      </c>
      <c r="H52" s="808">
        <f>COUNTIFS('PLAN ACCION 2018'!$N$8:$N$504,C52,'PLAN ACCION 2018'!$CF$8:$CF$504,$H$51)</f>
        <v>0</v>
      </c>
      <c r="I52" s="1014">
        <v>8</v>
      </c>
      <c r="J52" s="774">
        <f>COUNTIFS('PLAN ACCION 2018'!$N$8:$N$504,C52,'PLAN ACCION 2018'!$CF$8:$CF$504,$J$51)</f>
        <v>0</v>
      </c>
      <c r="K52" s="809">
        <v>1</v>
      </c>
      <c r="L52" s="1256">
        <f>COUNTIFS('PLAN ACCION 2018'!$N$8:$N$504,C52,'PLAN ACCION 2018'!$CF$8:$CF$504,$L$51)</f>
        <v>0</v>
      </c>
      <c r="M52" s="1259">
        <f>COUNTIFS('PLAN ACCION 2018'!$N$8:$N$504,C52,'PLAN ACCION 2018'!$CF$8:$CF$504,"NP")</f>
        <v>0</v>
      </c>
      <c r="N52" s="1071">
        <f>COUNTIFS('PLAN ACCION 2018'!$N$8:$N$504,C52,'PLAN ACCION 2018'!$CF$8:$CF$504,"E")</f>
        <v>0</v>
      </c>
      <c r="O52" s="1197">
        <f>COUNTIFS('PLAN ACCION 2018'!$N$8:$N$504,C52,'PLAN ACCION 2018'!$CF$8:$CF$504,"M")</f>
        <v>0</v>
      </c>
      <c r="P52" s="787">
        <f>AN52</f>
        <v>0</v>
      </c>
      <c r="Q52" s="787">
        <f t="shared" ref="Q52:Q63" si="16">BC52</f>
        <v>0</v>
      </c>
      <c r="R52" s="787">
        <f t="shared" ref="R52:R63" si="17">+(((F52+G52)*1)/(F52+G52+H52+I52+J52+K52)+((H52+I52)*0.5)/(F52+G52+H52+I52+J52+K52))*100</f>
        <v>91.525423728813564</v>
      </c>
      <c r="S52" s="787"/>
      <c r="T52" s="1252">
        <f>(P52+Q52+R52+S52)/U52</f>
        <v>30.508474576271187</v>
      </c>
      <c r="U52" s="229">
        <f t="shared" ref="U52:U63" si="18">COUNTIF(P52:S52,"&gt;=0")</f>
        <v>3</v>
      </c>
      <c r="AA52" s="960" t="s">
        <v>3822</v>
      </c>
      <c r="AB52" s="961">
        <f>COUNTIFS('PLAN ACCION 2018'!$N$7:$N$1003,AA52,'PLAN ACCION 2018'!$A$7:$A$1003,"*")</f>
        <v>1</v>
      </c>
      <c r="AC52" s="961">
        <f>+AB52-AJ52</f>
        <v>1</v>
      </c>
      <c r="AD52" s="1067">
        <f>COUNTIFS('PLAN ACCION 2018'!$N$8:$N$504,AA52,'PLAN ACCION 2018'!$CD$8:$CD$504,"VE")</f>
        <v>0</v>
      </c>
      <c r="AE52" s="1011">
        <f>COUNTIFS('PLAN ACCION 2018'!$N$8:$N$504,AA52,'PLAN ACCION 2018'!$CD$8:$CD$504,"VEB")</f>
        <v>0</v>
      </c>
      <c r="AF52" s="808">
        <f>COUNTIFS('PLAN ACCION 2018'!$N$8:$N$504,AA52,'PLAN ACCION 2018'!$CD$8:$CD$504,"AM")</f>
        <v>0</v>
      </c>
      <c r="AG52" s="1014">
        <f>COUNTIFS('PLAN ACCION 2018'!$N$8:$N$504,AA52,'PLAN ACCION 2018'!$CD$8:$CD$504,"AMB")</f>
        <v>0</v>
      </c>
      <c r="AH52" s="774">
        <f>COUNTIFS('PLAN ACCION 2018'!$N$8:$N$504,AA52,'PLAN ACCION 2018'!$CD$8:$CD$504,"RO")</f>
        <v>0</v>
      </c>
      <c r="AI52" s="809">
        <f>COUNTIFS('PLAN ACCION 2018'!$N$8:$N$504,AA52,'PLAN ACCION 2018'!$CD$8:$CD$504,"ROB")</f>
        <v>1</v>
      </c>
      <c r="AJ52" s="1070">
        <f>COUNTIFS('PLAN ACCION 2018'!$N$8:$N$504,AA52,'PLAN ACCION 2018'!$CD$8:$CD$504,"AZ")</f>
        <v>0</v>
      </c>
      <c r="AK52" s="1070">
        <f>COUNTIFS('PLAN ACCION 2018'!$N$8:$N$504,AA52,'PLAN ACCION 2018'!$CD$8:$CD$504,"NP")</f>
        <v>0</v>
      </c>
      <c r="AL52" s="1071">
        <f>COUNTIFS('PLAN ACCION 2018'!$N$8:$N$504,AA52,'PLAN ACCION 2018'!$CD$8:$CD$504,"E")</f>
        <v>0</v>
      </c>
      <c r="AM52" s="1197">
        <f>COUNTIFS('PLAN ACCION 2018'!$N$8:$N$504,AA52,'PLAN ACCION 2018'!$CD$8:$CD$504,"M")</f>
        <v>0</v>
      </c>
      <c r="AN52" s="787">
        <f t="shared" ref="AN52:AN63" si="19">+((AD52*1)/(AD52+AE52+AF52+AG52+AH52+AI52)+(AF52*0.5)/(AD52+AE52+AF52+AG52+AH52+AI52))*100</f>
        <v>0</v>
      </c>
      <c r="AP52" s="960" t="s">
        <v>3822</v>
      </c>
      <c r="AQ52" s="961">
        <f>COUNTIFS('PLAN ACCION 2018'!$N$7:$N$1003,AP52,'PLAN ACCION 2018'!$A$7:$A$1003,"*")</f>
        <v>1</v>
      </c>
      <c r="AR52" s="961">
        <f>+AQ52-AY52</f>
        <v>1</v>
      </c>
      <c r="AS52" s="1067">
        <f>COUNTIFS('PLAN ACCION 2018'!$N$8:$N$504,AP52,'PLAN ACCION 2018'!$CE$8:$CE$504,"VE")</f>
        <v>0</v>
      </c>
      <c r="AT52" s="1011">
        <f>COUNTIFS('PLAN ACCION 2018'!$N$8:$N$504,AP52,'PLAN ACCION 2018'!$CE$8:$CE$504,"VEB")</f>
        <v>0</v>
      </c>
      <c r="AU52" s="808">
        <f>COUNTIFS('PLAN ACCION 2018'!$N$8:$N$504,AP52,'PLAN ACCION 2018'!$CE$8:$CE$504,"AM")</f>
        <v>0</v>
      </c>
      <c r="AV52" s="1014">
        <f>COUNTIFS('PLAN ACCION 2018'!$N$8:$N$504,AP52,'PLAN ACCION 2018'!$CE$8:$CE$504,"AMB")</f>
        <v>0</v>
      </c>
      <c r="AW52" s="774">
        <f>COUNTIFS('PLAN ACCION 2018'!$N$8:$N$504,AP52,'PLAN ACCION 2018'!$CE$8:$CE$504,"RO")</f>
        <v>0</v>
      </c>
      <c r="AX52" s="809">
        <f>COUNTIFS('PLAN ACCION 2018'!$N$8:$N$504,AP52,'PLAN ACCION 2018'!$CE$8:$CE$504,"ROB")</f>
        <v>1</v>
      </c>
      <c r="AY52" s="1070">
        <f>COUNTIFS('PLAN ACCION 2018'!$N$8:$N$504,AP52,'PLAN ACCION 2018'!$CE$8:$CE$504,"AZ")</f>
        <v>0</v>
      </c>
      <c r="AZ52" s="1070">
        <f>COUNTIFS('PLAN ACCION 2018'!$N$8:$N$504,AP52,'PLAN ACCION 2018'!$CE$8:$CE$504,"NP")</f>
        <v>0</v>
      </c>
      <c r="BA52" s="1071">
        <f>COUNTIFS('PLAN ACCION 2018'!$N$8:$N$504,AP52,'PLAN ACCION 2018'!$CE$8:$CE$504,"E")</f>
        <v>0</v>
      </c>
      <c r="BB52" s="1197">
        <f>COUNTIFS('PLAN ACCION 2018'!$N$8:$N$504,AP52,'PLAN ACCION 2018'!$CE$8:$CE$504,"M")</f>
        <v>0</v>
      </c>
      <c r="BC52" s="787">
        <f t="shared" ref="BC52:BC63" si="20">+((AS52*1)/(AS52+AT52+AU52+AV52+AW52+AX52)+(AU52*0.5)/(AS52+AT52+AU52+AV52+AW52+AX52))*100</f>
        <v>0</v>
      </c>
    </row>
    <row r="53" spans="1:55" x14ac:dyDescent="0.3">
      <c r="A53" s="955"/>
      <c r="B53">
        <f t="shared" si="14"/>
        <v>0</v>
      </c>
      <c r="C53" s="960" t="s">
        <v>2521</v>
      </c>
      <c r="D53" s="1345">
        <f>COUNTIFS('PLAN ACCION 2018'!$N$7:$N$1003,C53,'PLAN ACCION 2018'!$A$7:$A$1003,"*")</f>
        <v>13</v>
      </c>
      <c r="E53" s="782">
        <f t="shared" si="15"/>
        <v>10</v>
      </c>
      <c r="F53" s="1067">
        <f>COUNTIFS('PLAN ACCION 2018'!$N$8:$N$504,C53,'PLAN ACCION 2018'!$CF$8:$CF$504,$F$51)</f>
        <v>5</v>
      </c>
      <c r="G53" s="1011">
        <f>COUNTIFS('PLAN ACCION 2018'!$N$8:$N$504,C53,'PLAN ACCION 2018'!$CF$8:$CF$504,$G$51)</f>
        <v>1</v>
      </c>
      <c r="H53" s="808">
        <f>COUNTIFS('PLAN ACCION 2018'!$N$8:$N$504,C53,'PLAN ACCION 2018'!$CF$8:$CF$504,$H$51)</f>
        <v>1</v>
      </c>
      <c r="I53" s="1014">
        <f>COUNTIFS('PLAN ACCION 2018'!$N$8:$N$504,C53,'PLAN ACCION 2018'!$CF$8:$CF$504,$I$51)</f>
        <v>1</v>
      </c>
      <c r="J53" s="774">
        <f>COUNTIFS('PLAN ACCION 2018'!$N$8:$N$504,C53,'PLAN ACCION 2018'!$CF$8:$CF$504,$J$51)</f>
        <v>0</v>
      </c>
      <c r="K53" s="809">
        <f>COUNTIFS('PLAN ACCION 2018'!$N$8:$N$504,C53,'PLAN ACCION 2018'!$CF$8:$CF$504,$K$51)</f>
        <v>2</v>
      </c>
      <c r="L53" s="1256">
        <f>COUNTIFS('PLAN ACCION 2018'!$N$8:$N$504,C53,'PLAN ACCION 2018'!$CF$8:$CF$504,$L$51)</f>
        <v>0</v>
      </c>
      <c r="M53" s="1259">
        <f>COUNTIFS('PLAN ACCION 2018'!$N$8:$N$504,C53,'PLAN ACCION 2018'!$CF$8:$CF$504,"NP")</f>
        <v>3</v>
      </c>
      <c r="N53" s="1071">
        <f>COUNTIFS('PLAN ACCION 2018'!$N$8:$N$504,C53,'PLAN ACCION 2018'!$CF$8:$CF$504,"E")</f>
        <v>0</v>
      </c>
      <c r="O53" s="1197">
        <f>COUNTIFS('PLAN ACCION 2018'!$N$8:$N$504,C53,'PLAN ACCION 2018'!$CF$8:$CF$504,"M")</f>
        <v>0</v>
      </c>
      <c r="P53" s="787">
        <f t="shared" ref="P53:P63" si="21">AN53</f>
        <v>58.333333333333336</v>
      </c>
      <c r="Q53" s="787">
        <f t="shared" si="16"/>
        <v>72.727272727272734</v>
      </c>
      <c r="R53" s="787">
        <f t="shared" si="17"/>
        <v>70</v>
      </c>
      <c r="S53" s="787"/>
      <c r="T53" s="1252">
        <f t="shared" ref="T53:T63" si="22">(P53+Q53+R53+S53)/U53</f>
        <v>67.020202020202021</v>
      </c>
      <c r="U53" s="229">
        <f t="shared" si="18"/>
        <v>3</v>
      </c>
      <c r="AA53" s="960" t="s">
        <v>2521</v>
      </c>
      <c r="AB53" s="961">
        <f>COUNTIFS('PLAN ACCION 2018'!$N$7:$N$1003,AA53,'PLAN ACCION 2018'!$A$7:$A$1003,"*")</f>
        <v>13</v>
      </c>
      <c r="AC53" s="961">
        <f>+AB53-AJ53</f>
        <v>13</v>
      </c>
      <c r="AD53" s="1067">
        <f>COUNTIFS('PLAN ACCION 2018'!$N$8:$N$504,AA53,'PLAN ACCION 2018'!$CD$8:$CD$504,"VE")</f>
        <v>7</v>
      </c>
      <c r="AE53" s="1011">
        <f>COUNTIFS('PLAN ACCION 2018'!$N$8:$N$504,AA53,'PLAN ACCION 2018'!$CD$8:$CD$504,"VEB")</f>
        <v>1</v>
      </c>
      <c r="AF53" s="808">
        <f>COUNTIFS('PLAN ACCION 2018'!$N$8:$N$504,AA53,'PLAN ACCION 2018'!$CD$8:$CD$504,"AM")</f>
        <v>0</v>
      </c>
      <c r="AG53" s="1014">
        <f>COUNTIFS('PLAN ACCION 2018'!$N$8:$N$504,AA53,'PLAN ACCION 2018'!$CD$8:$CD$504,"AMB")</f>
        <v>1</v>
      </c>
      <c r="AH53" s="774">
        <f>COUNTIFS('PLAN ACCION 2018'!$N$8:$N$504,AA53,'PLAN ACCION 2018'!$CD$8:$CD$504,"RO")</f>
        <v>0</v>
      </c>
      <c r="AI53" s="809">
        <f>COUNTIFS('PLAN ACCION 2018'!$N$8:$N$504,AA53,'PLAN ACCION 2018'!$CD$8:$CD$504,"ROB")</f>
        <v>3</v>
      </c>
      <c r="AJ53" s="1070">
        <f>COUNTIFS('PLAN ACCION 2018'!$N$8:$N$504,AA53,'PLAN ACCION 2018'!$CD$8:$CD$504,"AZ")</f>
        <v>0</v>
      </c>
      <c r="AK53" s="1070">
        <f>COUNTIFS('PLAN ACCION 2018'!$N$8:$N$504,AA53,'PLAN ACCION 2018'!$CD$8:$CD$504,"NP")</f>
        <v>1</v>
      </c>
      <c r="AL53" s="1071">
        <f>COUNTIFS('PLAN ACCION 2018'!$N$8:$N$504,AA53,'PLAN ACCION 2018'!$CD$8:$CD$504,"E")</f>
        <v>0</v>
      </c>
      <c r="AM53" s="1197">
        <f>COUNTIFS('PLAN ACCION 2018'!$N$8:$N$504,AA53,'PLAN ACCION 2018'!$CD$8:$CD$504,"M")</f>
        <v>0</v>
      </c>
      <c r="AN53" s="787">
        <f t="shared" si="19"/>
        <v>58.333333333333336</v>
      </c>
      <c r="AP53" s="960" t="s">
        <v>2521</v>
      </c>
      <c r="AQ53" s="961">
        <f>COUNTIFS('PLAN ACCION 2018'!$N$7:$N$1003,AP53,'PLAN ACCION 2018'!$A$7:$A$1003,"*")</f>
        <v>13</v>
      </c>
      <c r="AR53" s="961">
        <f>+AQ53-AY53</f>
        <v>13</v>
      </c>
      <c r="AS53" s="1067">
        <f>COUNTIFS('PLAN ACCION 2018'!$N$8:$N$504,AP53,'PLAN ACCION 2018'!$CE$8:$CE$504,"VE")</f>
        <v>8</v>
      </c>
      <c r="AT53" s="1011">
        <f>COUNTIFS('PLAN ACCION 2018'!$N$8:$N$504,AP53,'PLAN ACCION 2018'!$CE$8:$CE$504,"VEB")</f>
        <v>0</v>
      </c>
      <c r="AU53" s="808">
        <f>COUNTIFS('PLAN ACCION 2018'!$N$8:$N$504,AP53,'PLAN ACCION 2018'!$CE$8:$CE$504,"AM")</f>
        <v>0</v>
      </c>
      <c r="AV53" s="1014">
        <f>COUNTIFS('PLAN ACCION 2018'!$N$8:$N$504,AP53,'PLAN ACCION 2018'!$CE$8:$CE$504,"AMB")</f>
        <v>1</v>
      </c>
      <c r="AW53" s="774">
        <f>COUNTIFS('PLAN ACCION 2018'!$N$8:$N$504,AP53,'PLAN ACCION 2018'!$CE$8:$CE$504,"RO")</f>
        <v>0</v>
      </c>
      <c r="AX53" s="809">
        <f>COUNTIFS('PLAN ACCION 2018'!$N$8:$N$504,AP53,'PLAN ACCION 2018'!$CE$8:$CE$504,"ROB")</f>
        <v>2</v>
      </c>
      <c r="AY53" s="1070">
        <f>COUNTIFS('PLAN ACCION 2018'!$N$8:$N$504,AP53,'PLAN ACCION 2018'!$CE$8:$CE$504,"AZ")</f>
        <v>0</v>
      </c>
      <c r="AZ53" s="1070">
        <f>COUNTIFS('PLAN ACCION 2018'!$N$8:$N$504,AP53,'PLAN ACCION 2018'!$CE$8:$CE$504,"NP")</f>
        <v>2</v>
      </c>
      <c r="BA53" s="1071">
        <f>COUNTIFS('PLAN ACCION 2018'!$N$8:$N$504,AP53,'PLAN ACCION 2018'!$CE$8:$CE$504,"E")</f>
        <v>0</v>
      </c>
      <c r="BB53" s="1197">
        <f>COUNTIFS('PLAN ACCION 2018'!$N$8:$N$504,AP53,'PLAN ACCION 2018'!$CE$8:$CE$504,"M")</f>
        <v>0</v>
      </c>
      <c r="BC53" s="787">
        <f t="shared" si="20"/>
        <v>72.727272727272734</v>
      </c>
    </row>
    <row r="54" spans="1:55" x14ac:dyDescent="0.3">
      <c r="A54" s="955"/>
      <c r="B54">
        <f t="shared" si="14"/>
        <v>3</v>
      </c>
      <c r="C54" s="960" t="s">
        <v>2497</v>
      </c>
      <c r="D54" s="961">
        <v>120</v>
      </c>
      <c r="E54" s="782">
        <f t="shared" si="15"/>
        <v>87</v>
      </c>
      <c r="F54" s="1067">
        <f>COUNTIFS('PLAN ACCION 2018'!$N$8:$N$504,C54,'PLAN ACCION 2018'!$CF$8:$CF$504,$F$51)</f>
        <v>76</v>
      </c>
      <c r="G54" s="1011">
        <f>COUNTIFS('PLAN ACCION 2018'!$N$8:$N$504,C54,'PLAN ACCION 2018'!$CF$8:$CF$504,$G$51)</f>
        <v>2</v>
      </c>
      <c r="H54" s="808">
        <f>COUNTIFS('PLAN ACCION 2018'!$N$8:$N$504,C54,'PLAN ACCION 2018'!$CF$8:$CF$504,$H$51)</f>
        <v>0</v>
      </c>
      <c r="I54" s="1014">
        <f>COUNTIFS('PLAN ACCION 2018'!$N$8:$N$504,C54,'PLAN ACCION 2018'!$CF$8:$CF$504,$I$51)</f>
        <v>3</v>
      </c>
      <c r="J54" s="774">
        <f>COUNTIFS('PLAN ACCION 2018'!$N$8:$N$504,C54,'PLAN ACCION 2018'!$CF$8:$CF$504,$J$51)</f>
        <v>3</v>
      </c>
      <c r="K54" s="809">
        <f>COUNTIFS('PLAN ACCION 2018'!$N$8:$N$504,C54,'PLAN ACCION 2018'!$CF$8:$CF$504,$K$51)</f>
        <v>6</v>
      </c>
      <c r="L54" s="1256">
        <f>COUNTIFS('PLAN ACCION 2018'!$N$8:$N$504,C54,'PLAN ACCION 2018'!$CF$8:$CF$504,$L$51)</f>
        <v>2</v>
      </c>
      <c r="M54" s="1259">
        <f>COUNTIFS('PLAN ACCION 2018'!$N$8:$N$504,C54,'PLAN ACCION 2018'!$CF$8:$CF$504,"NP")</f>
        <v>31</v>
      </c>
      <c r="N54" s="1071">
        <f>COUNTIFS('PLAN ACCION 2018'!$N$8:$N$504,C54,'PLAN ACCION 2018'!$CF$8:$CF$504,"E")</f>
        <v>0</v>
      </c>
      <c r="O54" s="1197">
        <f>COUNTIFS('PLAN ACCION 2018'!$N$8:$N$504,C54,'PLAN ACCION 2018'!$CF$8:$CF$504,"M")</f>
        <v>0</v>
      </c>
      <c r="P54" s="787">
        <f t="shared" si="21"/>
        <v>65.686274509803923</v>
      </c>
      <c r="Q54" s="787">
        <f t="shared" si="16"/>
        <v>82.795698924731184</v>
      </c>
      <c r="R54" s="787">
        <f t="shared" si="17"/>
        <v>88.333333333333343</v>
      </c>
      <c r="S54" s="787"/>
      <c r="T54" s="1252">
        <f t="shared" si="22"/>
        <v>78.938435589289483</v>
      </c>
      <c r="U54" s="229">
        <f t="shared" si="18"/>
        <v>3</v>
      </c>
      <c r="AA54" s="960" t="s">
        <v>2497</v>
      </c>
      <c r="AB54" s="961">
        <f>COUNTIFS('PLAN ACCION 2018'!$N$7:$N$1003,AA54,'PLAN ACCION 2018'!$A$7:$A$1003,"*")</f>
        <v>127</v>
      </c>
      <c r="AC54" s="961">
        <f>+AB54-AJ54</f>
        <v>107</v>
      </c>
      <c r="AD54" s="1067">
        <f>COUNTIFS('PLAN ACCION 2018'!$N$8:$N$504,AA54,'PLAN ACCION 2018'!$CD$8:$CD$504,"VE")</f>
        <v>67</v>
      </c>
      <c r="AE54" s="1011">
        <f>COUNTIFS('PLAN ACCION 2018'!$N$8:$N$504,AA54,'PLAN ACCION 2018'!$CD$8:$CD$504,"VEB")</f>
        <v>1</v>
      </c>
      <c r="AF54" s="808">
        <f>COUNTIFS('PLAN ACCION 2018'!$N$8:$N$504,AA54,'PLAN ACCION 2018'!$CD$8:$CD$504,"AM")</f>
        <v>0</v>
      </c>
      <c r="AG54" s="1014">
        <f>COUNTIFS('PLAN ACCION 2018'!$N$8:$N$504,AA54,'PLAN ACCION 2018'!$CD$8:$CD$504,"AMB")</f>
        <v>2</v>
      </c>
      <c r="AH54" s="774">
        <f>COUNTIFS('PLAN ACCION 2018'!$N$8:$N$504,AA54,'PLAN ACCION 2018'!$CD$8:$CD$504,"RO")</f>
        <v>1</v>
      </c>
      <c r="AI54" s="809">
        <f>COUNTIFS('PLAN ACCION 2018'!$N$8:$N$504,AA54,'PLAN ACCION 2018'!$CD$8:$CD$504,"ROB")</f>
        <v>31</v>
      </c>
      <c r="AJ54" s="1070">
        <f>COUNTIFS('PLAN ACCION 2018'!$N$8:$N$504,AA54,'PLAN ACCION 2018'!$CD$8:$CD$504,"AZ")</f>
        <v>20</v>
      </c>
      <c r="AK54" s="1070">
        <f>COUNTIFS('PLAN ACCION 2018'!$N$8:$N$504,AA54,'PLAN ACCION 2018'!$CD$8:$CD$504,"NP")</f>
        <v>2</v>
      </c>
      <c r="AL54" s="1071">
        <f>COUNTIFS('PLAN ACCION 2018'!$N$8:$N$504,AA54,'PLAN ACCION 2018'!$CD$8:$CD$504,"E")</f>
        <v>0</v>
      </c>
      <c r="AM54" s="1197">
        <f>COUNTIFS('PLAN ACCION 2018'!$N$8:$N$504,AA54,'PLAN ACCION 2018'!$CD$8:$CD$504,"M")</f>
        <v>0</v>
      </c>
      <c r="AN54" s="787">
        <f t="shared" si="19"/>
        <v>65.686274509803923</v>
      </c>
      <c r="AP54" s="960" t="s">
        <v>2497</v>
      </c>
      <c r="AQ54" s="961">
        <f>COUNTIFS('PLAN ACCION 2018'!$N$7:$N$1003,AP54,'PLAN ACCION 2018'!$A$7:$A$1003,"*")</f>
        <v>127</v>
      </c>
      <c r="AR54" s="961">
        <f>+AQ54-AY54</f>
        <v>97</v>
      </c>
      <c r="AS54" s="1067">
        <f>COUNTIFS('PLAN ACCION 2018'!$N$8:$N$504,AP54,'PLAN ACCION 2018'!$CE$8:$CE$504,"VE")</f>
        <v>76</v>
      </c>
      <c r="AT54" s="1011">
        <f>COUNTIFS('PLAN ACCION 2018'!$N$8:$N$504,AP54,'PLAN ACCION 2018'!$CE$8:$CE$504,"VEB")</f>
        <v>0</v>
      </c>
      <c r="AU54" s="808">
        <f>COUNTIFS('PLAN ACCION 2018'!$N$8:$N$504,AP54,'PLAN ACCION 2018'!$CE$8:$CE$504,"AM")</f>
        <v>2</v>
      </c>
      <c r="AV54" s="1014">
        <f>COUNTIFS('PLAN ACCION 2018'!$N$8:$N$504,AP54,'PLAN ACCION 2018'!$CE$8:$CE$504,"AMB")</f>
        <v>5</v>
      </c>
      <c r="AW54" s="774">
        <f>COUNTIFS('PLAN ACCION 2018'!$N$8:$N$504,AP54,'PLAN ACCION 2018'!$CE$8:$CE$504,"RO")</f>
        <v>1</v>
      </c>
      <c r="AX54" s="809">
        <f>COUNTIFS('PLAN ACCION 2018'!$N$8:$N$504,AP54,'PLAN ACCION 2018'!$CE$8:$CE$504,"ROB")</f>
        <v>9</v>
      </c>
      <c r="AY54" s="1070">
        <f>COUNTIFS('PLAN ACCION 2018'!$N$8:$N$504,AP54,'PLAN ACCION 2018'!$CE$8:$CE$504,"AZ")</f>
        <v>30</v>
      </c>
      <c r="AZ54" s="1070">
        <f>COUNTIFS('PLAN ACCION 2018'!$N$8:$N$504,AP54,'PLAN ACCION 2018'!$CE$8:$CE$504,"NP")</f>
        <v>1</v>
      </c>
      <c r="BA54" s="1071">
        <f>COUNTIFS('PLAN ACCION 2018'!$N$8:$N$504,AP54,'PLAN ACCION 2018'!$CE$8:$CE$504,"E")</f>
        <v>0</v>
      </c>
      <c r="BB54" s="1197">
        <f>COUNTIFS('PLAN ACCION 2018'!$N$8:$N$504,AP54,'PLAN ACCION 2018'!$CE$8:$CE$504,"M")</f>
        <v>0</v>
      </c>
      <c r="BC54" s="787">
        <f t="shared" si="20"/>
        <v>82.795698924731184</v>
      </c>
    </row>
    <row r="55" spans="1:55" x14ac:dyDescent="0.3">
      <c r="A55" s="955"/>
      <c r="B55">
        <f t="shared" si="14"/>
        <v>0</v>
      </c>
      <c r="C55" s="960" t="s">
        <v>1008</v>
      </c>
      <c r="D55" s="1345">
        <f>COUNTIFS('PLAN ACCION 2018'!$N$7:$N$1003,C55,'PLAN ACCION 2018'!$A$7:$A$1003,"*")</f>
        <v>11</v>
      </c>
      <c r="E55" s="782">
        <f t="shared" si="15"/>
        <v>10</v>
      </c>
      <c r="F55" s="1067">
        <f>COUNTIFS('PLAN ACCION 2018'!$N$8:$N$504,C55,'PLAN ACCION 2018'!$CF$8:$CF$504,$F$51)</f>
        <v>5</v>
      </c>
      <c r="G55" s="1011">
        <f>COUNTIFS('PLAN ACCION 2018'!$N$8:$N$504,C55,'PLAN ACCION 2018'!$CF$8:$CF$504,$G$51)</f>
        <v>1</v>
      </c>
      <c r="H55" s="808">
        <f>COUNTIFS('PLAN ACCION 2018'!$N$8:$N$504,C55,'PLAN ACCION 2018'!$CF$8:$CF$504,$H$51)</f>
        <v>0</v>
      </c>
      <c r="I55" s="1014">
        <f>COUNTIFS('PLAN ACCION 2018'!$N$8:$N$504,C55,'PLAN ACCION 2018'!$CF$8:$CF$504,$I$51)</f>
        <v>0</v>
      </c>
      <c r="J55" s="774">
        <f>COUNTIFS('PLAN ACCION 2018'!$N$8:$N$504,C55,'PLAN ACCION 2018'!$CF$8:$CF$504,$J$51)</f>
        <v>2</v>
      </c>
      <c r="K55" s="809">
        <f>COUNTIFS('PLAN ACCION 2018'!$N$8:$N$504,C55,'PLAN ACCION 2018'!$CF$8:$CF$504,$K$51)</f>
        <v>2</v>
      </c>
      <c r="L55" s="1256">
        <f>COUNTIFS('PLAN ACCION 2018'!$N$8:$N$504,C55,'PLAN ACCION 2018'!$CF$8:$CF$504,$L$51)</f>
        <v>0</v>
      </c>
      <c r="M55" s="1259">
        <f>COUNTIFS('PLAN ACCION 2018'!$N$8:$N$504,C55,'PLAN ACCION 2018'!$CF$8:$CF$504,"NP")</f>
        <v>1</v>
      </c>
      <c r="N55" s="1071">
        <f>COUNTIFS('PLAN ACCION 2018'!$N$8:$N$504,C55,'PLAN ACCION 2018'!$CF$8:$CF$504,"E")</f>
        <v>0</v>
      </c>
      <c r="O55" s="1197">
        <f>COUNTIFS('PLAN ACCION 2018'!$N$8:$N$504,C55,'PLAN ACCION 2018'!$CF$8:$CF$504,"M")</f>
        <v>0</v>
      </c>
      <c r="P55" s="787">
        <f t="shared" si="21"/>
        <v>63.636363636363633</v>
      </c>
      <c r="Q55" s="787">
        <f t="shared" si="16"/>
        <v>77.272727272727266</v>
      </c>
      <c r="R55" s="787">
        <f t="shared" si="17"/>
        <v>60</v>
      </c>
      <c r="S55" s="787"/>
      <c r="T55" s="1252">
        <f t="shared" si="22"/>
        <v>66.969696969696969</v>
      </c>
      <c r="U55" s="229">
        <f t="shared" si="18"/>
        <v>3</v>
      </c>
      <c r="AA55" s="960" t="s">
        <v>1008</v>
      </c>
      <c r="AB55" s="961">
        <f>COUNTIFS('PLAN ACCION 2018'!$N$7:$N$1003,AA55,'PLAN ACCION 2018'!$A$7:$A$1003,"*")</f>
        <v>11</v>
      </c>
      <c r="AC55" s="961">
        <f>+AB55-AJ55</f>
        <v>11</v>
      </c>
      <c r="AD55" s="1067">
        <f>COUNTIFS('PLAN ACCION 2018'!$N$8:$N$504,AA55,'PLAN ACCION 2018'!$CD$8:$CD$504,"VE")</f>
        <v>7</v>
      </c>
      <c r="AE55" s="1011">
        <f>COUNTIFS('PLAN ACCION 2018'!$N$8:$N$504,AA55,'PLAN ACCION 2018'!$CD$8:$CD$504,"VEB")</f>
        <v>0</v>
      </c>
      <c r="AF55" s="808">
        <f>COUNTIFS('PLAN ACCION 2018'!$N$8:$N$504,AA55,'PLAN ACCION 2018'!$CD$8:$CD$504,"AM")</f>
        <v>0</v>
      </c>
      <c r="AG55" s="1014">
        <f>COUNTIFS('PLAN ACCION 2018'!$N$8:$N$504,AA55,'PLAN ACCION 2018'!$CD$8:$CD$504,"AMB")</f>
        <v>0</v>
      </c>
      <c r="AH55" s="774">
        <f>COUNTIFS('PLAN ACCION 2018'!$N$8:$N$504,AA55,'PLAN ACCION 2018'!$CD$8:$CD$504,"RO")</f>
        <v>0</v>
      </c>
      <c r="AI55" s="809">
        <f>COUNTIFS('PLAN ACCION 2018'!$N$8:$N$504,AA55,'PLAN ACCION 2018'!$CD$8:$CD$504,"ROB")</f>
        <v>4</v>
      </c>
      <c r="AJ55" s="1070">
        <f>COUNTIFS('PLAN ACCION 2018'!$N$8:$N$504,AA55,'PLAN ACCION 2018'!$CD$8:$CD$504,"AZ")</f>
        <v>0</v>
      </c>
      <c r="AK55" s="1070">
        <f>COUNTIFS('PLAN ACCION 2018'!$N$8:$N$504,AA55,'PLAN ACCION 2018'!$CD$8:$CD$504,"NP")</f>
        <v>0</v>
      </c>
      <c r="AL55" s="1071">
        <f>COUNTIFS('PLAN ACCION 2018'!$N$8:$N$504,AA55,'PLAN ACCION 2018'!$CD$8:$CD$504,"E")</f>
        <v>0</v>
      </c>
      <c r="AM55" s="1197">
        <f>COUNTIFS('PLAN ACCION 2018'!$N$8:$N$504,AA55,'PLAN ACCION 2018'!$CD$8:$CD$504,"M")</f>
        <v>0</v>
      </c>
      <c r="AN55" s="787">
        <f t="shared" si="19"/>
        <v>63.636363636363633</v>
      </c>
      <c r="AP55" s="960" t="s">
        <v>1008</v>
      </c>
      <c r="AQ55" s="961">
        <f>COUNTIFS('PLAN ACCION 2018'!$N$7:$N$1003,AP55,'PLAN ACCION 2018'!$A$7:$A$1003,"*")</f>
        <v>11</v>
      </c>
      <c r="AR55" s="961">
        <f>+AQ55-AY55</f>
        <v>11</v>
      </c>
      <c r="AS55" s="1067">
        <f>COUNTIFS('PLAN ACCION 2018'!$N$8:$N$504,AP55,'PLAN ACCION 2018'!$CE$8:$CE$504,"VE")</f>
        <v>8</v>
      </c>
      <c r="AT55" s="1011">
        <f>COUNTIFS('PLAN ACCION 2018'!$N$8:$N$504,AP55,'PLAN ACCION 2018'!$CE$8:$CE$504,"VEB")</f>
        <v>0</v>
      </c>
      <c r="AU55" s="808">
        <f>COUNTIFS('PLAN ACCION 2018'!$N$8:$N$504,AP55,'PLAN ACCION 2018'!$CE$8:$CE$504,"AM")</f>
        <v>1</v>
      </c>
      <c r="AV55" s="1014">
        <f>COUNTIFS('PLAN ACCION 2018'!$N$8:$N$504,AP55,'PLAN ACCION 2018'!$CE$8:$CE$504,"AMB")</f>
        <v>1</v>
      </c>
      <c r="AW55" s="774">
        <f>COUNTIFS('PLAN ACCION 2018'!$N$8:$N$504,AP55,'PLAN ACCION 2018'!$CE$8:$CE$504,"RO")</f>
        <v>1</v>
      </c>
      <c r="AX55" s="809">
        <f>COUNTIFS('PLAN ACCION 2018'!$N$8:$N$504,AP55,'PLAN ACCION 2018'!$CE$8:$CE$504,"ROB")</f>
        <v>0</v>
      </c>
      <c r="AY55" s="1070">
        <f>COUNTIFS('PLAN ACCION 2018'!$N$8:$N$504,AP55,'PLAN ACCION 2018'!$CE$8:$CE$504,"AZ")</f>
        <v>0</v>
      </c>
      <c r="AZ55" s="1070">
        <f>COUNTIFS('PLAN ACCION 2018'!$N$8:$N$504,AP55,'PLAN ACCION 2018'!$CE$8:$CE$504,"NP")</f>
        <v>0</v>
      </c>
      <c r="BA55" s="1071">
        <f>COUNTIFS('PLAN ACCION 2018'!$N$8:$N$504,AP55,'PLAN ACCION 2018'!$CE$8:$CE$504,"E")</f>
        <v>0</v>
      </c>
      <c r="BB55" s="1197">
        <f>COUNTIFS('PLAN ACCION 2018'!$N$8:$N$504,AP55,'PLAN ACCION 2018'!$CE$8:$CE$504,"M")</f>
        <v>0</v>
      </c>
      <c r="BC55" s="787">
        <f t="shared" si="20"/>
        <v>77.272727272727266</v>
      </c>
    </row>
    <row r="56" spans="1:55" x14ac:dyDescent="0.3">
      <c r="A56" s="955"/>
      <c r="B56">
        <f t="shared" si="14"/>
        <v>0</v>
      </c>
      <c r="C56" s="960" t="s">
        <v>393</v>
      </c>
      <c r="D56" s="1345">
        <f>COUNTIFS('PLAN ACCION 2018'!$N$7:$N$1003,C56,'PLAN ACCION 2018'!$A$7:$A$1003,"*")</f>
        <v>26</v>
      </c>
      <c r="E56" s="782">
        <f t="shared" si="15"/>
        <v>19</v>
      </c>
      <c r="F56" s="1067">
        <f>COUNTIFS('PLAN ACCION 2018'!$N$8:$N$504,C56,'PLAN ACCION 2018'!$CF$8:$CF$504,$F$51)</f>
        <v>17</v>
      </c>
      <c r="G56" s="1011">
        <f>COUNTIFS('PLAN ACCION 2018'!$N$8:$N$504,C56,'PLAN ACCION 2018'!$CF$8:$CF$504,$G$51)</f>
        <v>0</v>
      </c>
      <c r="H56" s="808">
        <f>COUNTIFS('PLAN ACCION 2018'!$N$8:$N$504,C56,'PLAN ACCION 2018'!$CF$8:$CF$504,$H$51)</f>
        <v>0</v>
      </c>
      <c r="I56" s="1014">
        <f>COUNTIFS('PLAN ACCION 2018'!$N$8:$N$504,C56,'PLAN ACCION 2018'!$CF$8:$CF$504,$I$51)</f>
        <v>0</v>
      </c>
      <c r="J56" s="774">
        <f>COUNTIFS('PLAN ACCION 2018'!$N$8:$N$504,C56,'PLAN ACCION 2018'!$CF$8:$CF$504,$J$51)</f>
        <v>1</v>
      </c>
      <c r="K56" s="809">
        <f>COUNTIFS('PLAN ACCION 2018'!$N$8:$N$504,C56,'PLAN ACCION 2018'!$CF$8:$CF$504,$K$51)</f>
        <v>1</v>
      </c>
      <c r="L56" s="1256">
        <f>COUNTIFS('PLAN ACCION 2018'!$N$8:$N$504,C56,'PLAN ACCION 2018'!$CF$8:$CF$504,$L$51)</f>
        <v>0</v>
      </c>
      <c r="M56" s="1259">
        <f>COUNTIFS('PLAN ACCION 2018'!$N$8:$N$504,C56,'PLAN ACCION 2018'!$CF$8:$CF$504,"NP")</f>
        <v>7</v>
      </c>
      <c r="N56" s="1071">
        <f>COUNTIFS('PLAN ACCION 2018'!$N$8:$N$504,C56,'PLAN ACCION 2018'!$CF$8:$CF$504,"E")</f>
        <v>0</v>
      </c>
      <c r="O56" s="1197">
        <f>COUNTIFS('PLAN ACCION 2018'!$N$8:$N$504,C56,'PLAN ACCION 2018'!$CF$8:$CF$504,"M")</f>
        <v>0</v>
      </c>
      <c r="P56" s="787">
        <f t="shared" si="21"/>
        <v>95</v>
      </c>
      <c r="Q56" s="787">
        <f t="shared" si="16"/>
        <v>94.444444444444443</v>
      </c>
      <c r="R56" s="787">
        <f t="shared" si="17"/>
        <v>89.473684210526315</v>
      </c>
      <c r="S56" s="787"/>
      <c r="T56" s="1252">
        <f t="shared" si="22"/>
        <v>92.972709551656919</v>
      </c>
      <c r="U56" s="229">
        <f t="shared" si="18"/>
        <v>3</v>
      </c>
      <c r="AA56" s="960" t="s">
        <v>393</v>
      </c>
      <c r="AB56" s="961">
        <f>COUNTIFS('PLAN ACCION 2018'!$N$7:$N$1003,AA56,'PLAN ACCION 2018'!$A$7:$A$1003,"*")</f>
        <v>26</v>
      </c>
      <c r="AC56" s="961">
        <f>+AB56-AJ56</f>
        <v>24</v>
      </c>
      <c r="AD56" s="1067">
        <f>COUNTIFS('PLAN ACCION 2018'!$N$8:$N$504,AA56,'PLAN ACCION 2018'!$CD$8:$CD$504,"VE")</f>
        <v>19</v>
      </c>
      <c r="AE56" s="1011">
        <f>COUNTIFS('PLAN ACCION 2018'!$N$8:$N$504,AA56,'PLAN ACCION 2018'!$CD$8:$CD$504,"VEB")</f>
        <v>0</v>
      </c>
      <c r="AF56" s="808">
        <f>COUNTIFS('PLAN ACCION 2018'!$N$8:$N$504,AA56,'PLAN ACCION 2018'!$CD$8:$CD$504,"AM")</f>
        <v>0</v>
      </c>
      <c r="AG56" s="1014">
        <f>COUNTIFS('PLAN ACCION 2018'!$N$8:$N$504,AA56,'PLAN ACCION 2018'!$CD$8:$CD$504,"AMB")</f>
        <v>0</v>
      </c>
      <c r="AH56" s="774">
        <f>COUNTIFS('PLAN ACCION 2018'!$N$8:$N$504,AA56,'PLAN ACCION 2018'!$CD$8:$CD$504,"RO")</f>
        <v>0</v>
      </c>
      <c r="AI56" s="809">
        <f>COUNTIFS('PLAN ACCION 2018'!$N$8:$N$504,AA56,'PLAN ACCION 2018'!$CD$8:$CD$504,"ROB")</f>
        <v>1</v>
      </c>
      <c r="AJ56" s="1070">
        <f>COUNTIFS('PLAN ACCION 2018'!$N$8:$N$504,AA56,'PLAN ACCION 2018'!$CD$8:$CD$504,"AZ")</f>
        <v>2</v>
      </c>
      <c r="AK56" s="1070">
        <f>COUNTIFS('PLAN ACCION 2018'!$N$8:$N$504,AA56,'PLAN ACCION 2018'!$CD$8:$CD$504,"NP")</f>
        <v>4</v>
      </c>
      <c r="AL56" s="1071">
        <f>COUNTIFS('PLAN ACCION 2018'!$N$8:$N$504,AA56,'PLAN ACCION 2018'!$CD$8:$CD$504,"E")</f>
        <v>0</v>
      </c>
      <c r="AM56" s="1197">
        <f>COUNTIFS('PLAN ACCION 2018'!$N$8:$N$504,AA56,'PLAN ACCION 2018'!$CD$8:$CD$504,"M")</f>
        <v>0</v>
      </c>
      <c r="AN56" s="787">
        <f t="shared" si="19"/>
        <v>95</v>
      </c>
      <c r="AP56" s="960" t="s">
        <v>393</v>
      </c>
      <c r="AQ56" s="961">
        <f>COUNTIFS('PLAN ACCION 2018'!$N$7:$N$1003,AP56,'PLAN ACCION 2018'!$A$7:$A$1003,"*")</f>
        <v>26</v>
      </c>
      <c r="AR56" s="961">
        <f>+AQ56-AY56</f>
        <v>24</v>
      </c>
      <c r="AS56" s="1067">
        <f>COUNTIFS('PLAN ACCION 2018'!$N$8:$N$504,AP56,'PLAN ACCION 2018'!$CE$8:$CE$504,"VE")</f>
        <v>17</v>
      </c>
      <c r="AT56" s="1011">
        <f>COUNTIFS('PLAN ACCION 2018'!$N$8:$N$504,AP56,'PLAN ACCION 2018'!$CE$8:$CE$504,"VEB")</f>
        <v>0</v>
      </c>
      <c r="AU56" s="808">
        <f>COUNTIFS('PLAN ACCION 2018'!$N$8:$N$504,AP56,'PLAN ACCION 2018'!$CE$8:$CE$504,"AM")</f>
        <v>0</v>
      </c>
      <c r="AV56" s="1014">
        <f>COUNTIFS('PLAN ACCION 2018'!$N$8:$N$504,AP56,'PLAN ACCION 2018'!$CE$8:$CE$504,"AMB")</f>
        <v>0</v>
      </c>
      <c r="AW56" s="774">
        <f>COUNTIFS('PLAN ACCION 2018'!$N$8:$N$504,AP56,'PLAN ACCION 2018'!$CE$8:$CE$504,"RO")</f>
        <v>0</v>
      </c>
      <c r="AX56" s="809">
        <f>COUNTIFS('PLAN ACCION 2018'!$N$8:$N$504,AP56,'PLAN ACCION 2018'!$CE$8:$CE$504,"ROB")</f>
        <v>1</v>
      </c>
      <c r="AY56" s="1070">
        <f>COUNTIFS('PLAN ACCION 2018'!$N$8:$N$504,AP56,'PLAN ACCION 2018'!$CE$8:$CE$504,"AZ")</f>
        <v>2</v>
      </c>
      <c r="AZ56" s="1070">
        <f>COUNTIFS('PLAN ACCION 2018'!$N$8:$N$504,AP56,'PLAN ACCION 2018'!$CE$8:$CE$504,"NP")</f>
        <v>6</v>
      </c>
      <c r="BA56" s="1071">
        <f>COUNTIFS('PLAN ACCION 2018'!$N$8:$N$504,AP56,'PLAN ACCION 2018'!$CE$8:$CE$504,"E")</f>
        <v>0</v>
      </c>
      <c r="BB56" s="1197">
        <f>COUNTIFS('PLAN ACCION 2018'!$N$8:$N$504,AP56,'PLAN ACCION 2018'!$CE$8:$CE$504,"M")</f>
        <v>0</v>
      </c>
      <c r="BC56" s="787">
        <f t="shared" si="20"/>
        <v>94.444444444444443</v>
      </c>
    </row>
    <row r="57" spans="1:55" x14ac:dyDescent="0.3">
      <c r="A57" s="955"/>
      <c r="B57">
        <f t="shared" si="14"/>
        <v>2</v>
      </c>
      <c r="C57" s="960" t="s">
        <v>2484</v>
      </c>
      <c r="D57" s="1345">
        <v>40</v>
      </c>
      <c r="E57" s="782">
        <f t="shared" si="15"/>
        <v>26</v>
      </c>
      <c r="F57" s="1067">
        <f>COUNTIFS('PLAN ACCION 2018'!$N$8:$N$504,C57,'PLAN ACCION 2018'!$CF$8:$CF$504,$F$51)</f>
        <v>21</v>
      </c>
      <c r="G57" s="1011">
        <f>COUNTIFS('PLAN ACCION 2018'!$N$8:$N$504,C57,'PLAN ACCION 2018'!$CF$8:$CF$504,$G$51)</f>
        <v>1</v>
      </c>
      <c r="H57" s="808">
        <f>COUNTIFS('PLAN ACCION 2018'!$N$8:$N$504,C57,'PLAN ACCION 2018'!$CF$8:$CF$504,$H$51)</f>
        <v>2</v>
      </c>
      <c r="I57" s="1014">
        <f>COUNTIFS('PLAN ACCION 2018'!$N$8:$N$504,C57,'PLAN ACCION 2018'!$CF$8:$CF$504,$I$51)</f>
        <v>0</v>
      </c>
      <c r="J57" s="774">
        <f>COUNTIFS('PLAN ACCION 2018'!$N$8:$N$504,C57,'PLAN ACCION 2018'!$CF$8:$CF$504,$J$51)</f>
        <v>0</v>
      </c>
      <c r="K57" s="809">
        <f>COUNTIFS('PLAN ACCION 2018'!$N$8:$N$504,C57,'PLAN ACCION 2018'!$CF$8:$CF$504,$K$51)</f>
        <v>4</v>
      </c>
      <c r="L57" s="1256">
        <f>COUNTIFS('PLAN ACCION 2018'!$N$8:$N$504,C57,'PLAN ACCION 2018'!$CF$8:$CF$504,$L$51)</f>
        <v>0</v>
      </c>
      <c r="M57" s="1259">
        <f>COUNTIFS('PLAN ACCION 2018'!$N$8:$N$504,C57,'PLAN ACCION 2018'!$CF$8:$CF$504,"NP")</f>
        <v>14</v>
      </c>
      <c r="N57" s="1071">
        <f>COUNTIFS('PLAN ACCION 2018'!$N$8:$N$504,C57,'PLAN ACCION 2018'!$CF$8:$CF$504,"E")</f>
        <v>0</v>
      </c>
      <c r="O57" s="1197">
        <f>COUNTIFS('PLAN ACCION 2018'!$N$8:$N$504,C57,'PLAN ACCION 2018'!$CF$8:$CF$504,"M")</f>
        <v>0</v>
      </c>
      <c r="P57" s="787">
        <f t="shared" si="21"/>
        <v>53.333333333333336</v>
      </c>
      <c r="Q57" s="787">
        <f t="shared" si="16"/>
        <v>75</v>
      </c>
      <c r="R57" s="787">
        <f t="shared" si="17"/>
        <v>82.142857142857139</v>
      </c>
      <c r="S57" s="787"/>
      <c r="T57" s="1252">
        <f t="shared" si="22"/>
        <v>70.158730158730165</v>
      </c>
      <c r="U57" s="229">
        <f t="shared" si="18"/>
        <v>3</v>
      </c>
      <c r="AA57" s="960" t="s">
        <v>2484</v>
      </c>
      <c r="AB57" s="961">
        <f>COUNTIFS('PLAN ACCION 2018'!$N$7:$N$1003,AA57,'PLAN ACCION 2018'!$A$7:$A$1003,"*")</f>
        <v>42</v>
      </c>
      <c r="AC57" s="961">
        <f>+AB57-AJ57-AK57</f>
        <v>30</v>
      </c>
      <c r="AD57" s="1067">
        <f>COUNTIFS('PLAN ACCION 2018'!$N$8:$N$504,AA57,'PLAN ACCION 2018'!$CD$8:$CD$504,"VE")</f>
        <v>16</v>
      </c>
      <c r="AE57" s="1011">
        <f>COUNTIFS('PLAN ACCION 2018'!$N$8:$N$504,AA57,'PLAN ACCION 2018'!$CD$8:$CD$504,"VEB")</f>
        <v>0</v>
      </c>
      <c r="AF57" s="808">
        <f>COUNTIFS('PLAN ACCION 2018'!$N$8:$N$504,AA57,'PLAN ACCION 2018'!$CD$8:$CD$504,"AM")</f>
        <v>0</v>
      </c>
      <c r="AG57" s="1014">
        <f>COUNTIFS('PLAN ACCION 2018'!$N$8:$N$504,AA57,'PLAN ACCION 2018'!$CD$8:$CD$504,"AMB")</f>
        <v>2</v>
      </c>
      <c r="AH57" s="774">
        <f>COUNTIFS('PLAN ACCION 2018'!$N$8:$N$504,AA57,'PLAN ACCION 2018'!$CD$8:$CD$504,"RO")</f>
        <v>1</v>
      </c>
      <c r="AI57" s="809">
        <f>COUNTIFS('PLAN ACCION 2018'!$N$8:$N$504,AA57,'PLAN ACCION 2018'!$CD$8:$CD$504,"ROB")</f>
        <v>11</v>
      </c>
      <c r="AJ57" s="1070">
        <f>COUNTIFS('PLAN ACCION 2018'!$N$8:$N$504,AA57,'PLAN ACCION 2018'!$CD$8:$CD$504,"AZ")</f>
        <v>2</v>
      </c>
      <c r="AK57" s="1070">
        <f>COUNTIFS('PLAN ACCION 2018'!$N$8:$N$504,AA57,'PLAN ACCION 2018'!$CD$8:$CD$504,"NP")</f>
        <v>10</v>
      </c>
      <c r="AL57" s="1071">
        <f>COUNTIFS('PLAN ACCION 2018'!$N$8:$N$504,AA57,'PLAN ACCION 2018'!$CD$8:$CD$504,"E")</f>
        <v>0</v>
      </c>
      <c r="AM57" s="1197">
        <f>COUNTIFS('PLAN ACCION 2018'!$N$8:$N$504,AA57,'PLAN ACCION 2018'!$CD$8:$CD$504,"M")</f>
        <v>0</v>
      </c>
      <c r="AN57" s="787">
        <f t="shared" si="19"/>
        <v>53.333333333333336</v>
      </c>
      <c r="AP57" s="960" t="s">
        <v>2484</v>
      </c>
      <c r="AQ57" s="961">
        <f>COUNTIFS('PLAN ACCION 2018'!$N$7:$N$1003,AP57,'PLAN ACCION 2018'!$A$7:$A$1003,"*")</f>
        <v>42</v>
      </c>
      <c r="AR57" s="961">
        <f>+AQ57-AY57-AZ57</f>
        <v>34</v>
      </c>
      <c r="AS57" s="1067">
        <f>COUNTIFS('PLAN ACCION 2018'!$N$8:$N$504,AP57,'PLAN ACCION 2018'!$CE$8:$CE$504,"VE")</f>
        <v>25</v>
      </c>
      <c r="AT57" s="1011">
        <f>COUNTIFS('PLAN ACCION 2018'!$N$8:$N$504,AP57,'PLAN ACCION 2018'!$CE$8:$CE$504,"VEB")</f>
        <v>3</v>
      </c>
      <c r="AU57" s="808">
        <f>COUNTIFS('PLAN ACCION 2018'!$N$8:$N$504,AP57,'PLAN ACCION 2018'!$CE$8:$CE$504,"AM")</f>
        <v>1</v>
      </c>
      <c r="AV57" s="1014">
        <f>COUNTIFS('PLAN ACCION 2018'!$N$8:$N$504,AP57,'PLAN ACCION 2018'!$CE$8:$CE$504,"AMB")</f>
        <v>0</v>
      </c>
      <c r="AW57" s="774">
        <f>COUNTIFS('PLAN ACCION 2018'!$N$8:$N$504,AP57,'PLAN ACCION 2018'!$CE$8:$CE$504,"RO")</f>
        <v>1</v>
      </c>
      <c r="AX57" s="809">
        <f>COUNTIFS('PLAN ACCION 2018'!$N$8:$N$504,AP57,'PLAN ACCION 2018'!$CE$8:$CE$504,"ROB")</f>
        <v>4</v>
      </c>
      <c r="AY57" s="1070">
        <f>COUNTIFS('PLAN ACCION 2018'!$N$8:$N$504,AP57,'PLAN ACCION 2018'!$CE$8:$CE$504,"AZ")</f>
        <v>0</v>
      </c>
      <c r="AZ57" s="1070">
        <f>COUNTIFS('PLAN ACCION 2018'!$N$8:$N$504,AP57,'PLAN ACCION 2018'!$CE$8:$CE$504,"NP")</f>
        <v>8</v>
      </c>
      <c r="BA57" s="1071">
        <f>COUNTIFS('PLAN ACCION 2018'!$N$8:$N$504,AP57,'PLAN ACCION 2018'!$CE$8:$CE$504,"E")</f>
        <v>0</v>
      </c>
      <c r="BB57" s="1197">
        <f>COUNTIFS('PLAN ACCION 2018'!$N$8:$N$504,AP57,'PLAN ACCION 2018'!$CE$8:$CE$504,"M")</f>
        <v>0</v>
      </c>
      <c r="BC57" s="787">
        <f t="shared" si="20"/>
        <v>75</v>
      </c>
    </row>
    <row r="58" spans="1:55" x14ac:dyDescent="0.3">
      <c r="A58" s="955"/>
      <c r="B58">
        <f t="shared" si="14"/>
        <v>3</v>
      </c>
      <c r="C58" s="960" t="s">
        <v>2514</v>
      </c>
      <c r="D58" s="1345">
        <v>62</v>
      </c>
      <c r="E58" s="782">
        <f t="shared" si="15"/>
        <v>35</v>
      </c>
      <c r="F58" s="1067">
        <f>COUNTIFS('PLAN ACCION 2018'!$N$8:$N$504,C58,'PLAN ACCION 2018'!$CF$8:$CF$504,$F$51)</f>
        <v>29</v>
      </c>
      <c r="G58" s="1011">
        <f>COUNTIFS('PLAN ACCION 2018'!$N$8:$N$504,C58,'PLAN ACCION 2018'!$CF$8:$CF$504,$G$51)</f>
        <v>1</v>
      </c>
      <c r="H58" s="808">
        <f>COUNTIFS('PLAN ACCION 2018'!$N$8:$N$504,C58,'PLAN ACCION 2018'!$CF$8:$CF$504,$H$51)</f>
        <v>0</v>
      </c>
      <c r="I58" s="1014">
        <f>COUNTIFS('PLAN ACCION 2018'!$N$8:$N$504,C58,'PLAN ACCION 2018'!$CF$8:$CF$504,$I$51)</f>
        <v>1</v>
      </c>
      <c r="J58" s="774">
        <f>COUNTIFS('PLAN ACCION 2018'!$N$8:$N$504,C58,'PLAN ACCION 2018'!$CF$8:$CF$504,$J$51)</f>
        <v>0</v>
      </c>
      <c r="K58" s="809">
        <f>COUNTIFS('PLAN ACCION 2018'!$N$8:$N$504,C58,'PLAN ACCION 2018'!$CF$8:$CF$504,$K$51)</f>
        <v>7</v>
      </c>
      <c r="L58" s="1256">
        <f>COUNTIFS('PLAN ACCION 2018'!$N$8:$N$504,C58,'PLAN ACCION 2018'!$CF$8:$CF$504,$L$51)</f>
        <v>1</v>
      </c>
      <c r="M58" s="1259">
        <f>COUNTIFS('PLAN ACCION 2018'!$N$8:$N$504,C58,'PLAN ACCION 2018'!$CF$8:$CF$504,"NP")</f>
        <v>23</v>
      </c>
      <c r="N58" s="1071">
        <f>COUNTIFS('PLAN ACCION 2018'!$N$8:$N$504,C58,'PLAN ACCION 2018'!$CF$8:$CF$504,"E")</f>
        <v>3</v>
      </c>
      <c r="O58" s="1197">
        <f>COUNTIFS('PLAN ACCION 2018'!$N$8:$N$504,C58,'PLAN ACCION 2018'!$CF$8:$CF$504,"M")</f>
        <v>0</v>
      </c>
      <c r="P58" s="787">
        <f t="shared" si="21"/>
        <v>91.428571428571431</v>
      </c>
      <c r="Q58" s="787">
        <f t="shared" si="16"/>
        <v>84.905660377358487</v>
      </c>
      <c r="R58" s="787">
        <f t="shared" si="17"/>
        <v>80.26315789473685</v>
      </c>
      <c r="S58" s="787"/>
      <c r="T58" s="1252">
        <f t="shared" si="22"/>
        <v>85.532463233555589</v>
      </c>
      <c r="U58" s="229">
        <f t="shared" si="18"/>
        <v>3</v>
      </c>
      <c r="AA58" s="960" t="s">
        <v>2514</v>
      </c>
      <c r="AB58" s="961">
        <f>COUNTIFS('PLAN ACCION 2018'!$N$7:$N$1003,AA58,'PLAN ACCION 2018'!$A$7:$A$1003,"*")</f>
        <v>65</v>
      </c>
      <c r="AC58" s="961">
        <f>+AB58-AJ58</f>
        <v>48</v>
      </c>
      <c r="AD58" s="1067">
        <f>COUNTIFS('PLAN ACCION 2018'!$N$8:$N$504,AA58,'PLAN ACCION 2018'!$CD$8:$CD$504,"VE")</f>
        <v>32</v>
      </c>
      <c r="AE58" s="1011">
        <f>COUNTIFS('PLAN ACCION 2018'!$N$8:$N$504,AA58,'PLAN ACCION 2018'!$CD$8:$CD$504,"VEB")</f>
        <v>0</v>
      </c>
      <c r="AF58" s="808">
        <f>COUNTIFS('PLAN ACCION 2018'!$N$8:$N$504,AA58,'PLAN ACCION 2018'!$CD$8:$CD$504,"AM")</f>
        <v>0</v>
      </c>
      <c r="AG58" s="1014">
        <f>COUNTIFS('PLAN ACCION 2018'!$N$8:$N$504,AA58,'PLAN ACCION 2018'!$CD$8:$CD$504,"AMB")</f>
        <v>1</v>
      </c>
      <c r="AH58" s="774">
        <f>COUNTIFS('PLAN ACCION 2018'!$N$8:$N$504,AA58,'PLAN ACCION 2018'!$CD$8:$CD$504,"RO")</f>
        <v>0</v>
      </c>
      <c r="AI58" s="809">
        <f>COUNTIFS('PLAN ACCION 2018'!$N$8:$N$504,AA58,'PLAN ACCION 2018'!$CD$8:$CD$504,"ROB")</f>
        <v>2</v>
      </c>
      <c r="AJ58" s="1070">
        <f>COUNTIFS('PLAN ACCION 2018'!$N$8:$N$504,AA58,'PLAN ACCION 2018'!$CD$8:$CD$504,"AZ")</f>
        <v>17</v>
      </c>
      <c r="AK58" s="1070">
        <f>COUNTIFS('PLAN ACCION 2018'!$N$8:$N$504,AA58,'PLAN ACCION 2018'!$CD$8:$CD$504,"NP")</f>
        <v>13</v>
      </c>
      <c r="AL58" s="1071">
        <f>COUNTIFS('PLAN ACCION 2018'!$N$8:$N$504,AA58,'PLAN ACCION 2018'!$CD$8:$CD$504,"E")</f>
        <v>0</v>
      </c>
      <c r="AM58" s="1197">
        <f>COUNTIFS('PLAN ACCION 2018'!$N$8:$N$504,AA58,'PLAN ACCION 2018'!$CD$8:$CD$504,"M")</f>
        <v>0</v>
      </c>
      <c r="AN58" s="787">
        <f t="shared" si="19"/>
        <v>91.428571428571431</v>
      </c>
      <c r="AP58" s="960" t="s">
        <v>2514</v>
      </c>
      <c r="AQ58" s="961">
        <f>COUNTIFS('PLAN ACCION 2018'!$N$7:$N$1003,AP58,'PLAN ACCION 2018'!$A$7:$A$1003,"*")</f>
        <v>65</v>
      </c>
      <c r="AR58" s="961">
        <f>+AQ58-AY58</f>
        <v>57</v>
      </c>
      <c r="AS58" s="1067">
        <f>COUNTIFS('PLAN ACCION 2018'!$N$8:$N$504,AP58,'PLAN ACCION 2018'!$CE$8:$CE$504,"VE")</f>
        <v>45</v>
      </c>
      <c r="AT58" s="1011">
        <f>COUNTIFS('PLAN ACCION 2018'!$N$8:$N$504,AP58,'PLAN ACCION 2018'!$CE$8:$CE$504,"VEB")</f>
        <v>1</v>
      </c>
      <c r="AU58" s="808">
        <f>COUNTIFS('PLAN ACCION 2018'!$N$8:$N$504,AP58,'PLAN ACCION 2018'!$CE$8:$CE$504,"AM")</f>
        <v>0</v>
      </c>
      <c r="AV58" s="1014">
        <f>COUNTIFS('PLAN ACCION 2018'!$N$8:$N$504,AP58,'PLAN ACCION 2018'!$CE$8:$CE$504,"AMB")</f>
        <v>2</v>
      </c>
      <c r="AW58" s="774">
        <f>COUNTIFS('PLAN ACCION 2018'!$N$8:$N$504,AP58,'PLAN ACCION 2018'!$CE$8:$CE$504,"RO")</f>
        <v>2</v>
      </c>
      <c r="AX58" s="809">
        <f>COUNTIFS('PLAN ACCION 2018'!$N$8:$N$504,AP58,'PLAN ACCION 2018'!$CE$8:$CE$504,"ROB")</f>
        <v>3</v>
      </c>
      <c r="AY58" s="1070">
        <f>COUNTIFS('PLAN ACCION 2018'!$N$8:$N$504,AP58,'PLAN ACCION 2018'!$CE$8:$CE$504,"AZ")</f>
        <v>8</v>
      </c>
      <c r="AZ58" s="1070">
        <f>COUNTIFS('PLAN ACCION 2018'!$N$8:$N$504,AP58,'PLAN ACCION 2018'!$CE$8:$CE$504,"NP")</f>
        <v>4</v>
      </c>
      <c r="BA58" s="1071">
        <f>COUNTIFS('PLAN ACCION 2018'!$N$8:$N$504,AP58,'PLAN ACCION 2018'!$CE$8:$CE$504,"E")</f>
        <v>0</v>
      </c>
      <c r="BB58" s="1197">
        <f>COUNTIFS('PLAN ACCION 2018'!$N$8:$N$504,AP58,'PLAN ACCION 2018'!$CE$8:$CE$504,"M")</f>
        <v>0</v>
      </c>
      <c r="BC58" s="787">
        <f t="shared" si="20"/>
        <v>84.905660377358487</v>
      </c>
    </row>
    <row r="59" spans="1:55" x14ac:dyDescent="0.3">
      <c r="A59" s="955"/>
      <c r="B59">
        <f t="shared" si="14"/>
        <v>0</v>
      </c>
      <c r="C59" s="960" t="s">
        <v>2736</v>
      </c>
      <c r="D59" s="1345">
        <v>27</v>
      </c>
      <c r="E59" s="782">
        <f t="shared" si="15"/>
        <v>24</v>
      </c>
      <c r="F59" s="1067">
        <f>COUNTIFS('PLAN ACCION 2018'!$N$8:$N$504,C59,'PLAN ACCION 2018'!$CF$8:$CF$504,$F$51)</f>
        <v>21</v>
      </c>
      <c r="G59" s="1011">
        <f>COUNTIFS('PLAN ACCION 2018'!$N$8:$N$504,C59,'PLAN ACCION 2018'!$CF$8:$CF$504,$G$51)</f>
        <v>1</v>
      </c>
      <c r="H59" s="808">
        <f>COUNTIFS('PLAN ACCION 2018'!$N$8:$N$504,C59,'PLAN ACCION 2018'!$CF$8:$CF$504,$H$51)</f>
        <v>0</v>
      </c>
      <c r="I59" s="1014">
        <f>COUNTIFS('PLAN ACCION 2018'!$N$8:$N$504,C59,'PLAN ACCION 2018'!$CF$8:$CF$504,$I$51)</f>
        <v>2</v>
      </c>
      <c r="J59" s="774">
        <f>COUNTIFS('PLAN ACCION 2018'!$N$8:$N$504,C59,'PLAN ACCION 2018'!$CF$8:$CF$504,$J$51)</f>
        <v>0</v>
      </c>
      <c r="K59" s="809">
        <f>COUNTIFS('PLAN ACCION 2018'!$N$8:$N$504,C59,'PLAN ACCION 2018'!$CF$8:$CF$504,$K$51)</f>
        <v>0</v>
      </c>
      <c r="L59" s="1256">
        <f>COUNTIFS('PLAN ACCION 2018'!$N$8:$N$504,C59,'PLAN ACCION 2018'!$CF$8:$CF$504,$L$51)</f>
        <v>0</v>
      </c>
      <c r="M59" s="1259">
        <f>COUNTIFS('PLAN ACCION 2018'!$N$8:$N$504,C59,'PLAN ACCION 2018'!$CF$8:$CF$504,"NP")</f>
        <v>3</v>
      </c>
      <c r="N59" s="1071">
        <f>COUNTIFS('PLAN ACCION 2018'!$N$8:$N$504,C59,'PLAN ACCION 2018'!$CF$8:$CF$504,"E")</f>
        <v>0</v>
      </c>
      <c r="O59" s="1197">
        <f>COUNTIFS('PLAN ACCION 2018'!$N$8:$N$504,C59,'PLAN ACCION 2018'!$CF$8:$CF$504,"M")</f>
        <v>0</v>
      </c>
      <c r="P59" s="787">
        <f t="shared" si="21"/>
        <v>84.615384615384613</v>
      </c>
      <c r="Q59" s="787">
        <f t="shared" si="16"/>
        <v>84.615384615384613</v>
      </c>
      <c r="R59" s="787">
        <f t="shared" si="17"/>
        <v>95.833333333333329</v>
      </c>
      <c r="S59" s="787"/>
      <c r="T59" s="1252">
        <f t="shared" si="22"/>
        <v>88.354700854700852</v>
      </c>
      <c r="U59" s="229">
        <f t="shared" si="18"/>
        <v>3</v>
      </c>
      <c r="AA59" s="960" t="s">
        <v>2736</v>
      </c>
      <c r="AB59" s="961">
        <f>COUNTIFS('PLAN ACCION 2018'!$N$7:$N$1003,AA59,'PLAN ACCION 2018'!$A$7:$A$1003,"*")</f>
        <v>27</v>
      </c>
      <c r="AC59" s="961">
        <f>+AB59-AJ59</f>
        <v>27</v>
      </c>
      <c r="AD59" s="1067">
        <f>COUNTIFS('PLAN ACCION 2018'!$N$8:$N$504,AA59,'PLAN ACCION 2018'!$CD$8:$CD$504,"VE")</f>
        <v>22</v>
      </c>
      <c r="AE59" s="1011">
        <f>COUNTIFS('PLAN ACCION 2018'!$N$8:$N$504,AA59,'PLAN ACCION 2018'!$CD$8:$CD$504,"VEB")</f>
        <v>1</v>
      </c>
      <c r="AF59" s="808">
        <f>COUNTIFS('PLAN ACCION 2018'!$N$8:$N$504,AA59,'PLAN ACCION 2018'!$CD$8:$CD$504,"AM")</f>
        <v>0</v>
      </c>
      <c r="AG59" s="1014">
        <f>COUNTIFS('PLAN ACCION 2018'!$N$8:$N$504,AA59,'PLAN ACCION 2018'!$CD$8:$CD$504,"AMB")</f>
        <v>1</v>
      </c>
      <c r="AH59" s="774">
        <f>COUNTIFS('PLAN ACCION 2018'!$N$8:$N$504,AA59,'PLAN ACCION 2018'!$CD$8:$CD$504,"RO")</f>
        <v>0</v>
      </c>
      <c r="AI59" s="809">
        <f>COUNTIFS('PLAN ACCION 2018'!$N$8:$N$504,AA59,'PLAN ACCION 2018'!$CD$8:$CD$504,"ROB")</f>
        <v>2</v>
      </c>
      <c r="AJ59" s="1070">
        <f>COUNTIFS('PLAN ACCION 2018'!$N$8:$N$504,AA59,'PLAN ACCION 2018'!$CD$8:$CD$504,"AZ")</f>
        <v>0</v>
      </c>
      <c r="AK59" s="1070">
        <f>COUNTIFS('PLAN ACCION 2018'!$N$8:$N$504,AA59,'PLAN ACCION 2018'!$CD$8:$CD$504,"NP")</f>
        <v>1</v>
      </c>
      <c r="AL59" s="1071">
        <f>COUNTIFS('PLAN ACCION 2018'!$N$8:$N$504,AA59,'PLAN ACCION 2018'!$CD$8:$CD$504,"E")</f>
        <v>0</v>
      </c>
      <c r="AM59" s="1197">
        <f>COUNTIFS('PLAN ACCION 2018'!$N$8:$N$504,AA59,'PLAN ACCION 2018'!$CD$8:$CD$504,"M")</f>
        <v>0</v>
      </c>
      <c r="AN59" s="787">
        <f t="shared" si="19"/>
        <v>84.615384615384613</v>
      </c>
      <c r="AP59" s="960" t="s">
        <v>2736</v>
      </c>
      <c r="AQ59" s="961">
        <f>COUNTIFS('PLAN ACCION 2018'!$N$7:$N$1003,AP59,'PLAN ACCION 2018'!$A$7:$A$1003,"*")</f>
        <v>27</v>
      </c>
      <c r="AR59" s="961">
        <f>+AQ59-AY59</f>
        <v>27</v>
      </c>
      <c r="AS59" s="1067">
        <f>COUNTIFS('PLAN ACCION 2018'!$N$8:$N$504,AP59,'PLAN ACCION 2018'!$CE$8:$CE$504,"VE")</f>
        <v>22</v>
      </c>
      <c r="AT59" s="1011">
        <f>COUNTIFS('PLAN ACCION 2018'!$N$8:$N$504,AP59,'PLAN ACCION 2018'!$CE$8:$CE$504,"VEB")</f>
        <v>0</v>
      </c>
      <c r="AU59" s="808">
        <f>COUNTIFS('PLAN ACCION 2018'!$N$8:$N$504,AP59,'PLAN ACCION 2018'!$CE$8:$CE$504,"AM")</f>
        <v>0</v>
      </c>
      <c r="AV59" s="1014">
        <f>COUNTIFS('PLAN ACCION 2018'!$N$8:$N$504,AP59,'PLAN ACCION 2018'!$CE$8:$CE$504,"AMB")</f>
        <v>1</v>
      </c>
      <c r="AW59" s="774">
        <f>COUNTIFS('PLAN ACCION 2018'!$N$8:$N$504,AP59,'PLAN ACCION 2018'!$CE$8:$CE$504,"RO")</f>
        <v>1</v>
      </c>
      <c r="AX59" s="809">
        <f>COUNTIFS('PLAN ACCION 2018'!$N$8:$N$504,AP59,'PLAN ACCION 2018'!$CE$8:$CE$504,"ROB")</f>
        <v>2</v>
      </c>
      <c r="AY59" s="1070">
        <f>COUNTIFS('PLAN ACCION 2018'!$N$8:$N$504,AP59,'PLAN ACCION 2018'!$CE$8:$CE$504,"AZ")</f>
        <v>0</v>
      </c>
      <c r="AZ59" s="1070">
        <f>COUNTIFS('PLAN ACCION 2018'!$N$8:$N$504,AP59,'PLAN ACCION 2018'!$CE$8:$CE$504,"NP")</f>
        <v>1</v>
      </c>
      <c r="BA59" s="1071">
        <f>COUNTIFS('PLAN ACCION 2018'!$N$8:$N$504,AP59,'PLAN ACCION 2018'!$CE$8:$CE$504,"E")</f>
        <v>0</v>
      </c>
      <c r="BB59" s="1197">
        <f>COUNTIFS('PLAN ACCION 2018'!$N$8:$N$504,AP59,'PLAN ACCION 2018'!$CE$8:$CE$504,"M")</f>
        <v>0</v>
      </c>
      <c r="BC59" s="787">
        <f t="shared" si="20"/>
        <v>84.615384615384613</v>
      </c>
    </row>
    <row r="60" spans="1:55" x14ac:dyDescent="0.3">
      <c r="A60" s="955"/>
      <c r="B60">
        <f t="shared" si="14"/>
        <v>0</v>
      </c>
      <c r="C60" s="960" t="s">
        <v>2530</v>
      </c>
      <c r="D60" s="1345">
        <f>COUNTIFS('PLAN ACCION 2018'!$N$7:$N$1003,C60,'PLAN ACCION 2018'!$A$7:$A$1003,"*")</f>
        <v>4</v>
      </c>
      <c r="E60" s="782">
        <f t="shared" si="15"/>
        <v>3</v>
      </c>
      <c r="F60" s="1067">
        <f>COUNTIFS('PLAN ACCION 2018'!$N$8:$N$504,C60,'PLAN ACCION 2018'!$CF$8:$CF$504,$F$51)</f>
        <v>3</v>
      </c>
      <c r="G60" s="1011">
        <f>COUNTIFS('PLAN ACCION 2018'!$N$8:$N$504,C60,'PLAN ACCION 2018'!$CF$8:$CF$504,$G$51)</f>
        <v>0</v>
      </c>
      <c r="H60" s="808">
        <f>COUNTIFS('PLAN ACCION 2018'!$N$8:$N$504,C60,'PLAN ACCION 2018'!$CF$8:$CF$504,$H$51)</f>
        <v>0</v>
      </c>
      <c r="I60" s="1014">
        <f>COUNTIFS('PLAN ACCION 2018'!$N$8:$N$504,C60,'PLAN ACCION 2018'!$CF$8:$CF$504,$I$51)</f>
        <v>0</v>
      </c>
      <c r="J60" s="774">
        <f>COUNTIFS('PLAN ACCION 2018'!$N$8:$N$504,C60,'PLAN ACCION 2018'!$CF$8:$CF$504,$J$51)</f>
        <v>0</v>
      </c>
      <c r="K60" s="809">
        <f>COUNTIFS('PLAN ACCION 2018'!$N$8:$N$504,C60,'PLAN ACCION 2018'!$CF$8:$CF$504,$K$51)</f>
        <v>0</v>
      </c>
      <c r="L60" s="1256">
        <f>COUNTIFS('PLAN ACCION 2018'!$N$8:$N$504,C60,'PLAN ACCION 2018'!$CF$8:$CF$504,$L$51)</f>
        <v>0</v>
      </c>
      <c r="M60" s="1259">
        <f>COUNTIFS('PLAN ACCION 2018'!$N$8:$N$504,C60,'PLAN ACCION 2018'!$CF$8:$CF$504,"NP")</f>
        <v>1</v>
      </c>
      <c r="N60" s="1071">
        <f>COUNTIFS('PLAN ACCION 2018'!$N$8:$N$504,C60,'PLAN ACCION 2018'!$CF$8:$CF$504,"E")</f>
        <v>0</v>
      </c>
      <c r="O60" s="1197">
        <f>COUNTIFS('PLAN ACCION 2018'!$N$8:$N$504,C60,'PLAN ACCION 2018'!$CF$8:$CF$504,"M")</f>
        <v>0</v>
      </c>
      <c r="P60" s="787">
        <f t="shared" si="21"/>
        <v>50</v>
      </c>
      <c r="Q60" s="787">
        <f t="shared" si="16"/>
        <v>100</v>
      </c>
      <c r="R60" s="787">
        <f t="shared" si="17"/>
        <v>100</v>
      </c>
      <c r="S60" s="787"/>
      <c r="T60" s="1252">
        <f t="shared" si="22"/>
        <v>83.333333333333329</v>
      </c>
      <c r="U60" s="229">
        <f t="shared" si="18"/>
        <v>3</v>
      </c>
      <c r="AA60" s="960" t="s">
        <v>2530</v>
      </c>
      <c r="AB60" s="961">
        <f>COUNTIFS('PLAN ACCION 2018'!$N$7:$N$1003,AA60,'PLAN ACCION 2018'!$A$7:$A$1003,"*")</f>
        <v>4</v>
      </c>
      <c r="AC60" s="961">
        <f>+AB60-AJ60</f>
        <v>2</v>
      </c>
      <c r="AD60" s="1067">
        <f>COUNTIFS('PLAN ACCION 2018'!$N$8:$N$504,AA60,'PLAN ACCION 2018'!$CD$8:$CD$504,"VE")</f>
        <v>1</v>
      </c>
      <c r="AE60" s="1011">
        <f>COUNTIFS('PLAN ACCION 2018'!$N$8:$N$504,AA60,'PLAN ACCION 2018'!$CD$8:$CD$504,"VEB")</f>
        <v>0</v>
      </c>
      <c r="AF60" s="808">
        <f>COUNTIFS('PLAN ACCION 2018'!$N$8:$N$504,AA60,'PLAN ACCION 2018'!$CD$8:$CD$504,"AM")</f>
        <v>0</v>
      </c>
      <c r="AG60" s="1014">
        <f>COUNTIFS('PLAN ACCION 2018'!$N$8:$N$504,AA60,'PLAN ACCION 2018'!$CD$8:$CD$504,"AMB")</f>
        <v>0</v>
      </c>
      <c r="AH60" s="774">
        <f>COUNTIFS('PLAN ACCION 2018'!$N$8:$N$504,AA60,'PLAN ACCION 2018'!$CD$8:$CD$504,"RO")</f>
        <v>1</v>
      </c>
      <c r="AI60" s="809">
        <f>COUNTIFS('PLAN ACCION 2018'!$N$8:$N$504,AA60,'PLAN ACCION 2018'!$CD$8:$CD$504,"ROB")</f>
        <v>0</v>
      </c>
      <c r="AJ60" s="1070">
        <f>COUNTIFS('PLAN ACCION 2018'!$N$8:$N$504,AA60,'PLAN ACCION 2018'!$CD$8:$CD$504,"AZ")</f>
        <v>2</v>
      </c>
      <c r="AK60" s="1070">
        <f>COUNTIFS('PLAN ACCION 2018'!$N$8:$N$504,AA60,'PLAN ACCION 2018'!$CD$8:$CD$504,"NP")</f>
        <v>0</v>
      </c>
      <c r="AL60" s="1071">
        <f>COUNTIFS('PLAN ACCION 2018'!$N$8:$N$504,AA60,'PLAN ACCION 2018'!$CD$8:$CD$504,"E")</f>
        <v>0</v>
      </c>
      <c r="AM60" s="1197">
        <f>COUNTIFS('PLAN ACCION 2018'!$N$8:$N$504,AA60,'PLAN ACCION 2018'!$CD$8:$CD$504,"M")</f>
        <v>0</v>
      </c>
      <c r="AN60" s="787">
        <f t="shared" si="19"/>
        <v>50</v>
      </c>
      <c r="AP60" s="960" t="s">
        <v>2530</v>
      </c>
      <c r="AQ60" s="961">
        <f>COUNTIFS('PLAN ACCION 2018'!$N$7:$N$1003,AP60,'PLAN ACCION 2018'!$A$7:$A$1003,"*")</f>
        <v>4</v>
      </c>
      <c r="AR60" s="961">
        <f>+AQ60-AY60</f>
        <v>4</v>
      </c>
      <c r="AS60" s="1067">
        <f>COUNTIFS('PLAN ACCION 2018'!$N$8:$N$504,AP60,'PLAN ACCION 2018'!$CE$8:$CE$504,"VE")</f>
        <v>4</v>
      </c>
      <c r="AT60" s="1011">
        <f>COUNTIFS('PLAN ACCION 2018'!$N$8:$N$504,AP60,'PLAN ACCION 2018'!$CE$8:$CE$504,"VEB")</f>
        <v>0</v>
      </c>
      <c r="AU60" s="808">
        <f>COUNTIFS('PLAN ACCION 2018'!$N$8:$N$504,AP60,'PLAN ACCION 2018'!$CE$8:$CE$504,"AM")</f>
        <v>0</v>
      </c>
      <c r="AV60" s="1014">
        <f>COUNTIFS('PLAN ACCION 2018'!$N$8:$N$504,AP60,'PLAN ACCION 2018'!$CE$8:$CE$504,"AMB")</f>
        <v>0</v>
      </c>
      <c r="AW60" s="774">
        <f>COUNTIFS('PLAN ACCION 2018'!$N$8:$N$504,AP60,'PLAN ACCION 2018'!$CE$8:$CE$504,"RO")</f>
        <v>0</v>
      </c>
      <c r="AX60" s="809">
        <f>COUNTIFS('PLAN ACCION 2018'!$N$8:$N$504,AP60,'PLAN ACCION 2018'!$CE$8:$CE$504,"ROB")</f>
        <v>0</v>
      </c>
      <c r="AY60" s="1070">
        <f>COUNTIFS('PLAN ACCION 2018'!$N$8:$N$504,AP60,'PLAN ACCION 2018'!$CE$8:$CE$504,"AZ")</f>
        <v>0</v>
      </c>
      <c r="AZ60" s="1070">
        <f>COUNTIFS('PLAN ACCION 2018'!$N$8:$N$504,AP60,'PLAN ACCION 2018'!$CE$8:$CE$504,"NP")</f>
        <v>0</v>
      </c>
      <c r="BA60" s="1071">
        <f>COUNTIFS('PLAN ACCION 2018'!$N$8:$N$504,AP60,'PLAN ACCION 2018'!$CE$8:$CE$504,"E")</f>
        <v>0</v>
      </c>
      <c r="BB60" s="1197">
        <f>COUNTIFS('PLAN ACCION 2018'!$N$8:$N$504,AP60,'PLAN ACCION 2018'!$CE$8:$CE$504,"M")</f>
        <v>0</v>
      </c>
      <c r="BC60" s="787">
        <f t="shared" si="20"/>
        <v>100</v>
      </c>
    </row>
    <row r="61" spans="1:55" x14ac:dyDescent="0.3">
      <c r="A61" s="955"/>
      <c r="B61">
        <f t="shared" si="14"/>
        <v>0</v>
      </c>
      <c r="C61" s="960" t="s">
        <v>4360</v>
      </c>
      <c r="D61" s="1345">
        <f>COUNTIFS('PLAN ACCION 2018'!$N$7:$N$1003,C61,'PLAN ACCION 2018'!$A$7:$A$1003,"*")</f>
        <v>9</v>
      </c>
      <c r="E61" s="782">
        <f t="shared" si="15"/>
        <v>8</v>
      </c>
      <c r="F61" s="1067">
        <f>COUNTIFS('PLAN ACCION 2018'!$N$8:$N$504,C61,'PLAN ACCION 2018'!$CF$8:$CF$504,$F$51)</f>
        <v>5</v>
      </c>
      <c r="G61" s="1011">
        <f>COUNTIFS('PLAN ACCION 2018'!$N$8:$N$504,C61,'PLAN ACCION 2018'!$CF$8:$CF$504,$G$51)</f>
        <v>0</v>
      </c>
      <c r="H61" s="808">
        <f>COUNTIFS('PLAN ACCION 2018'!$N$8:$N$504,C61,'PLAN ACCION 2018'!$CF$8:$CF$504,$H$51)</f>
        <v>1</v>
      </c>
      <c r="I61" s="1014">
        <f>COUNTIFS('PLAN ACCION 2018'!$N$8:$N$504,C61,'PLAN ACCION 2018'!$CF$8:$CF$504,$I$51)</f>
        <v>1</v>
      </c>
      <c r="J61" s="774">
        <f>COUNTIFS('PLAN ACCION 2018'!$N$8:$N$504,C61,'PLAN ACCION 2018'!$CF$8:$CF$504,$J$51)</f>
        <v>0</v>
      </c>
      <c r="K61" s="809">
        <f>COUNTIFS('PLAN ACCION 2018'!$N$8:$N$504,C61,'PLAN ACCION 2018'!$CF$8:$CF$504,$K$51)</f>
        <v>1</v>
      </c>
      <c r="L61" s="1256">
        <f>COUNTIFS('PLAN ACCION 2018'!$N$8:$N$504,C61,'PLAN ACCION 2018'!$CF$8:$CF$504,$L$51)</f>
        <v>1</v>
      </c>
      <c r="M61" s="1259">
        <f>COUNTIFS('PLAN ACCION 2018'!$N$8:$N$504,C61,'PLAN ACCION 2018'!$CF$8:$CF$504,"NP")</f>
        <v>0</v>
      </c>
      <c r="N61" s="1071">
        <f>COUNTIFS('PLAN ACCION 2018'!$N$8:$N$504,C61,'PLAN ACCION 2018'!$CF$8:$CF$504,"E")</f>
        <v>0</v>
      </c>
      <c r="O61" s="1197">
        <f>COUNTIFS('PLAN ACCION 2018'!$N$8:$N$504,C61,'PLAN ACCION 2018'!$CF$8:$CF$504,"M")</f>
        <v>0</v>
      </c>
      <c r="P61" s="787">
        <f t="shared" si="21"/>
        <v>77.777777777777786</v>
      </c>
      <c r="Q61" s="787">
        <f t="shared" si="16"/>
        <v>88.888888888888886</v>
      </c>
      <c r="R61" s="787">
        <f t="shared" si="17"/>
        <v>75</v>
      </c>
      <c r="S61" s="787"/>
      <c r="T61" s="1252">
        <f t="shared" si="22"/>
        <v>80.555555555555557</v>
      </c>
      <c r="U61" s="229">
        <f t="shared" si="18"/>
        <v>3</v>
      </c>
      <c r="AA61" s="960" t="s">
        <v>4360</v>
      </c>
      <c r="AB61" s="961">
        <f>COUNTIFS('PLAN ACCION 2018'!$N$7:$N$1003,AA61,'PLAN ACCION 2018'!$A$7:$A$1003,"*")</f>
        <v>9</v>
      </c>
      <c r="AC61" s="961">
        <f>+AB61-AJ61</f>
        <v>9</v>
      </c>
      <c r="AD61" s="1067">
        <f>COUNTIFS('PLAN ACCION 2018'!$N$8:$N$504,AA61,'PLAN ACCION 2018'!$CD$8:$CD$504,"VE")</f>
        <v>7</v>
      </c>
      <c r="AE61" s="1011">
        <f>COUNTIFS('PLAN ACCION 2018'!$N$8:$N$504,AA61,'PLAN ACCION 2018'!$CD$8:$CD$504,"VEB")</f>
        <v>0</v>
      </c>
      <c r="AF61" s="808">
        <f>COUNTIFS('PLAN ACCION 2018'!$N$8:$N$504,AA61,'PLAN ACCION 2018'!$CD$8:$CD$504,"AM")</f>
        <v>0</v>
      </c>
      <c r="AG61" s="1014">
        <f>COUNTIFS('PLAN ACCION 2018'!$N$8:$N$504,AA61,'PLAN ACCION 2018'!$CD$8:$CD$504,"AMB")</f>
        <v>0</v>
      </c>
      <c r="AH61" s="774">
        <f>COUNTIFS('PLAN ACCION 2018'!$N$8:$N$504,AA61,'PLAN ACCION 2018'!$CD$8:$CD$504,"RO")</f>
        <v>0</v>
      </c>
      <c r="AI61" s="809">
        <f>COUNTIFS('PLAN ACCION 2018'!$N$8:$N$504,AA61,'PLAN ACCION 2018'!$CD$8:$CD$504,"ROB")</f>
        <v>2</v>
      </c>
      <c r="AJ61" s="1070">
        <f>COUNTIFS('PLAN ACCION 2018'!$N$8:$N$504,AA61,'PLAN ACCION 2018'!$CD$8:$CD$504,"AZ")</f>
        <v>0</v>
      </c>
      <c r="AK61" s="1070">
        <f>COUNTIFS('PLAN ACCION 2018'!$N$8:$N$504,AA61,'PLAN ACCION 2018'!$CD$8:$CD$504,"NP")</f>
        <v>0</v>
      </c>
      <c r="AL61" s="1071">
        <f>COUNTIFS('PLAN ACCION 2018'!$N$8:$N$504,AA61,'PLAN ACCION 2018'!$CD$8:$CD$504,"E")</f>
        <v>0</v>
      </c>
      <c r="AM61" s="1197">
        <f>COUNTIFS('PLAN ACCION 2018'!$N$8:$N$504,AA61,'PLAN ACCION 2018'!$CD$8:$CD$504,"M")</f>
        <v>0</v>
      </c>
      <c r="AN61" s="787">
        <f t="shared" si="19"/>
        <v>77.777777777777786</v>
      </c>
      <c r="AP61" s="960" t="s">
        <v>4360</v>
      </c>
      <c r="AQ61" s="961">
        <f>COUNTIFS('PLAN ACCION 2018'!$N$7:$N$1003,AP61,'PLAN ACCION 2018'!$A$7:$A$1003,"*")</f>
        <v>9</v>
      </c>
      <c r="AR61" s="961">
        <f>+AQ61-AY61</f>
        <v>9</v>
      </c>
      <c r="AS61" s="1067">
        <f>COUNTIFS('PLAN ACCION 2018'!$N$8:$N$504,AP61,'PLAN ACCION 2018'!$CE$8:$CE$504,"VE")</f>
        <v>8</v>
      </c>
      <c r="AT61" s="1011">
        <f>COUNTIFS('PLAN ACCION 2018'!$N$8:$N$504,AP61,'PLAN ACCION 2018'!$CE$8:$CE$504,"VEB")</f>
        <v>1</v>
      </c>
      <c r="AU61" s="808">
        <f>COUNTIFS('PLAN ACCION 2018'!$N$8:$N$504,AP61,'PLAN ACCION 2018'!$CE$8:$CE$504,"AM")</f>
        <v>0</v>
      </c>
      <c r="AV61" s="1014">
        <f>COUNTIFS('PLAN ACCION 2018'!$N$8:$N$504,AP61,'PLAN ACCION 2018'!$CE$8:$CE$504,"AMB")</f>
        <v>0</v>
      </c>
      <c r="AW61" s="774">
        <f>COUNTIFS('PLAN ACCION 2018'!$N$8:$N$504,AP61,'PLAN ACCION 2018'!$CE$8:$CE$504,"RO")</f>
        <v>0</v>
      </c>
      <c r="AX61" s="809">
        <f>COUNTIFS('PLAN ACCION 2018'!$N$8:$N$504,AP61,'PLAN ACCION 2018'!$CE$8:$CE$504,"ROB")</f>
        <v>0</v>
      </c>
      <c r="AY61" s="1070">
        <f>COUNTIFS('PLAN ACCION 2018'!$N$8:$N$504,AP61,'PLAN ACCION 2018'!$CE$8:$CE$504,"AZ")</f>
        <v>0</v>
      </c>
      <c r="AZ61" s="1070">
        <f>COUNTIFS('PLAN ACCION 2018'!$N$8:$N$504,AP61,'PLAN ACCION 2018'!$CE$8:$CE$504,"NP")</f>
        <v>0</v>
      </c>
      <c r="BA61" s="1071">
        <f>COUNTIFS('PLAN ACCION 2018'!$N$8:$N$504,AP61,'PLAN ACCION 2018'!$CE$8:$CE$504,"E")</f>
        <v>0</v>
      </c>
      <c r="BB61" s="1197">
        <f>COUNTIFS('PLAN ACCION 2018'!$N$8:$N$504,AP61,'PLAN ACCION 2018'!$CE$8:$CE$504,"M")</f>
        <v>0</v>
      </c>
      <c r="BC61" s="787">
        <f t="shared" si="20"/>
        <v>88.888888888888886</v>
      </c>
    </row>
    <row r="62" spans="1:55" x14ac:dyDescent="0.3">
      <c r="A62" s="955"/>
      <c r="B62">
        <f t="shared" si="14"/>
        <v>2</v>
      </c>
      <c r="C62" s="960" t="s">
        <v>46</v>
      </c>
      <c r="D62" s="1345">
        <v>98</v>
      </c>
      <c r="E62" s="782">
        <f t="shared" si="15"/>
        <v>78</v>
      </c>
      <c r="F62" s="1067">
        <f>COUNTIFS('PLAN ACCION 2018'!$N$8:$N$504,C62,'PLAN ACCION 2018'!$CF$8:$CF$504,$F$51)</f>
        <v>69</v>
      </c>
      <c r="G62" s="1011">
        <f>COUNTIFS('PLAN ACCION 2018'!$N$8:$N$504,C62,'PLAN ACCION 2018'!$CF$8:$CF$504,$G$51)</f>
        <v>4</v>
      </c>
      <c r="H62" s="808">
        <f>COUNTIFS('PLAN ACCION 2018'!$N$8:$N$504,C62,'PLAN ACCION 2018'!$CF$8:$CF$504,$H$51)</f>
        <v>0</v>
      </c>
      <c r="I62" s="1014">
        <f>COUNTIFS('PLAN ACCION 2018'!$N$8:$N$504,C62,'PLAN ACCION 2018'!$CF$8:$CF$504,$I$51)</f>
        <v>1</v>
      </c>
      <c r="J62" s="774">
        <f>COUNTIFS('PLAN ACCION 2018'!$N$8:$N$504,C62,'PLAN ACCION 2018'!$CF$8:$CF$504,$J$51)</f>
        <v>2</v>
      </c>
      <c r="K62" s="809">
        <f>COUNTIFS('PLAN ACCION 2018'!$N$8:$N$504,C62,'PLAN ACCION 2018'!$CF$8:$CF$504,$K$51)</f>
        <v>4</v>
      </c>
      <c r="L62" s="1256">
        <f>COUNTIFS('PLAN ACCION 2018'!$N$8:$N$504,C62,'PLAN ACCION 2018'!$CF$8:$CF$504,$L$51)</f>
        <v>0</v>
      </c>
      <c r="M62" s="1259">
        <f>COUNTIFS('PLAN ACCION 2018'!$N$8:$N$504,C62,'PLAN ACCION 2018'!$CF$8:$CF$504,"NP")</f>
        <v>19</v>
      </c>
      <c r="N62" s="1071">
        <f>COUNTIFS('PLAN ACCION 2018'!$N$8:$N$504,C62,'PLAN ACCION 2018'!$CF$8:$CF$504,"E")</f>
        <v>1</v>
      </c>
      <c r="O62" s="1197">
        <f>COUNTIFS('PLAN ACCION 2018'!$N$8:$N$504,C62,'PLAN ACCION 2018'!$CF$8:$CF$504,"M")</f>
        <v>0</v>
      </c>
      <c r="P62" s="787">
        <f t="shared" si="21"/>
        <v>74.626865671641795</v>
      </c>
      <c r="Q62" s="787">
        <f t="shared" si="16"/>
        <v>86.309523809523796</v>
      </c>
      <c r="R62" s="787">
        <f t="shared" si="17"/>
        <v>91.875</v>
      </c>
      <c r="S62" s="787"/>
      <c r="T62" s="1252">
        <f t="shared" si="22"/>
        <v>84.27046316038853</v>
      </c>
      <c r="U62" s="229">
        <f t="shared" si="18"/>
        <v>3</v>
      </c>
      <c r="AA62" s="960" t="s">
        <v>46</v>
      </c>
      <c r="AB62" s="961">
        <f>COUNTIFS('PLAN ACCION 2018'!$N$7:$N$1003,AA62,'PLAN ACCION 2018'!$A$7:$A$1003,"*")</f>
        <v>100</v>
      </c>
      <c r="AC62" s="961">
        <f>+AB62-AJ62</f>
        <v>95</v>
      </c>
      <c r="AD62" s="1067">
        <f>COUNTIFS('PLAN ACCION 2018'!$N$8:$N$504,AA62,'PLAN ACCION 2018'!$CD$8:$CD$504,"VE")</f>
        <v>50</v>
      </c>
      <c r="AE62" s="1011">
        <f>COUNTIFS('PLAN ACCION 2018'!$N$8:$N$504,AA62,'PLAN ACCION 2018'!$CD$8:$CD$504,"VEB")</f>
        <v>0</v>
      </c>
      <c r="AF62" s="808">
        <f>COUNTIFS('PLAN ACCION 2018'!$N$8:$N$504,AA62,'PLAN ACCION 2018'!$CD$8:$CD$504,"AM")</f>
        <v>0</v>
      </c>
      <c r="AG62" s="1014">
        <f>COUNTIFS('PLAN ACCION 2018'!$N$8:$N$504,AA62,'PLAN ACCION 2018'!$CD$8:$CD$504,"AMB")</f>
        <v>3</v>
      </c>
      <c r="AH62" s="774">
        <f>COUNTIFS('PLAN ACCION 2018'!$N$8:$N$504,AA62,'PLAN ACCION 2018'!$CD$8:$CD$504,"RO")</f>
        <v>1</v>
      </c>
      <c r="AI62" s="809">
        <f>COUNTIFS('PLAN ACCION 2018'!$N$8:$N$504,AA62,'PLAN ACCION 2018'!$CD$8:$CD$504,"ROB")</f>
        <v>13</v>
      </c>
      <c r="AJ62" s="1070">
        <f>COUNTIFS('PLAN ACCION 2018'!$N$8:$N$504,AA62,'PLAN ACCION 2018'!$CD$8:$CD$504,"AZ")</f>
        <v>5</v>
      </c>
      <c r="AK62" s="1070">
        <f>COUNTIFS('PLAN ACCION 2018'!$N$8:$N$504,AA62,'PLAN ACCION 2018'!$CD$8:$CD$504,"NP")</f>
        <v>28</v>
      </c>
      <c r="AL62" s="1071">
        <f>COUNTIFS('PLAN ACCION 2018'!$N$8:$N$504,AA62,'PLAN ACCION 2018'!$CD$8:$CD$504,"E")</f>
        <v>0</v>
      </c>
      <c r="AM62" s="1197">
        <f>COUNTIFS('PLAN ACCION 2018'!$N$8:$N$504,AA62,'PLAN ACCION 2018'!$CD$8:$CD$504,"M")</f>
        <v>0</v>
      </c>
      <c r="AN62" s="787">
        <f t="shared" si="19"/>
        <v>74.626865671641795</v>
      </c>
      <c r="AP62" s="960" t="s">
        <v>46</v>
      </c>
      <c r="AQ62" s="961">
        <f>COUNTIFS('PLAN ACCION 2018'!$N$7:$N$1003,AP62,'PLAN ACCION 2018'!$A$7:$A$1003,"*")</f>
        <v>100</v>
      </c>
      <c r="AR62" s="961">
        <f>+AQ62-AY62</f>
        <v>97</v>
      </c>
      <c r="AS62" s="1067">
        <f>COUNTIFS('PLAN ACCION 2018'!$N$8:$N$504,AP62,'PLAN ACCION 2018'!$CE$8:$CE$504,"VE")</f>
        <v>72</v>
      </c>
      <c r="AT62" s="1011">
        <f>COUNTIFS('PLAN ACCION 2018'!$N$8:$N$504,AP62,'PLAN ACCION 2018'!$CE$8:$CE$504,"VEB")</f>
        <v>1</v>
      </c>
      <c r="AU62" s="808">
        <f>COUNTIFS('PLAN ACCION 2018'!$N$8:$N$504,AP62,'PLAN ACCION 2018'!$CE$8:$CE$504,"AM")</f>
        <v>1</v>
      </c>
      <c r="AV62" s="1014">
        <f>COUNTIFS('PLAN ACCION 2018'!$N$8:$N$504,AP62,'PLAN ACCION 2018'!$CE$8:$CE$504,"AMB")</f>
        <v>0</v>
      </c>
      <c r="AW62" s="774">
        <f>COUNTIFS('PLAN ACCION 2018'!$N$8:$N$504,AP62,'PLAN ACCION 2018'!$CE$8:$CE$504,"RO")</f>
        <v>4</v>
      </c>
      <c r="AX62" s="809">
        <f>COUNTIFS('PLAN ACCION 2018'!$N$8:$N$504,AP62,'PLAN ACCION 2018'!$CE$8:$CE$504,"ROB")</f>
        <v>6</v>
      </c>
      <c r="AY62" s="1070">
        <f>COUNTIFS('PLAN ACCION 2018'!$N$8:$N$504,AP62,'PLAN ACCION 2018'!$CE$8:$CE$504,"AZ")</f>
        <v>3</v>
      </c>
      <c r="AZ62" s="1070">
        <f>COUNTIFS('PLAN ACCION 2018'!$N$8:$N$504,AP62,'PLAN ACCION 2018'!$CE$8:$CE$504,"NP")</f>
        <v>13</v>
      </c>
      <c r="BA62" s="1071">
        <f>COUNTIFS('PLAN ACCION 2018'!$N$8:$N$504,AP62,'PLAN ACCION 2018'!$CE$8:$CE$504,"E")</f>
        <v>0</v>
      </c>
      <c r="BB62" s="1197">
        <f>COUNTIFS('PLAN ACCION 2018'!$N$8:$N$504,AP62,'PLAN ACCION 2018'!$CE$8:$CE$504,"M")</f>
        <v>0</v>
      </c>
      <c r="BC62" s="787">
        <f t="shared" si="20"/>
        <v>86.309523809523796</v>
      </c>
    </row>
    <row r="63" spans="1:55" x14ac:dyDescent="0.3">
      <c r="A63" s="955"/>
      <c r="B63"/>
      <c r="C63" s="961"/>
      <c r="D63" s="961">
        <f t="shared" ref="D63:L63" si="23">SUM(D52:D62)</f>
        <v>469</v>
      </c>
      <c r="E63" s="961">
        <f t="shared" si="23"/>
        <v>359</v>
      </c>
      <c r="F63" s="1249">
        <f>SUM(F52:F62)</f>
        <v>299</v>
      </c>
      <c r="G63" s="1249">
        <f t="shared" si="23"/>
        <v>13</v>
      </c>
      <c r="H63" s="1249">
        <f t="shared" si="23"/>
        <v>4</v>
      </c>
      <c r="I63" s="1249">
        <f t="shared" si="23"/>
        <v>17</v>
      </c>
      <c r="J63" s="1249">
        <f t="shared" si="23"/>
        <v>8</v>
      </c>
      <c r="K63" s="1249">
        <f t="shared" si="23"/>
        <v>28</v>
      </c>
      <c r="L63" s="1250">
        <f t="shared" si="23"/>
        <v>4</v>
      </c>
      <c r="M63" s="1250">
        <f>SUM(M52:M62)</f>
        <v>102</v>
      </c>
      <c r="N63" s="1250">
        <f>SUM(N52:N62)</f>
        <v>4</v>
      </c>
      <c r="O63" s="1250">
        <f>SUM(O52:O62)</f>
        <v>0</v>
      </c>
      <c r="P63" s="787">
        <f t="shared" si="21"/>
        <v>72.38095238095238</v>
      </c>
      <c r="Q63" s="787">
        <f t="shared" si="16"/>
        <v>83.575581395348848</v>
      </c>
      <c r="R63" s="787">
        <f t="shared" si="17"/>
        <v>87.398373983739845</v>
      </c>
      <c r="S63" s="787"/>
      <c r="T63" s="1252">
        <f t="shared" si="22"/>
        <v>81.118302586680358</v>
      </c>
      <c r="U63" s="229">
        <f t="shared" si="18"/>
        <v>3</v>
      </c>
      <c r="AA63" s="961"/>
      <c r="AB63" s="961">
        <f>SUM(AB52:AB62)</f>
        <v>425</v>
      </c>
      <c r="AC63" s="961">
        <f>SUM(AC52:AC62)</f>
        <v>367</v>
      </c>
      <c r="AD63" s="1249">
        <f>SUM(AD52:AD62)</f>
        <v>228</v>
      </c>
      <c r="AE63" s="1249">
        <f t="shared" ref="AE63:AJ63" si="24">SUM(AE52:AE62)</f>
        <v>3</v>
      </c>
      <c r="AF63" s="1249">
        <f t="shared" si="24"/>
        <v>0</v>
      </c>
      <c r="AG63" s="1249">
        <f t="shared" si="24"/>
        <v>10</v>
      </c>
      <c r="AH63" s="1249">
        <f t="shared" si="24"/>
        <v>4</v>
      </c>
      <c r="AI63" s="1249">
        <f t="shared" si="24"/>
        <v>70</v>
      </c>
      <c r="AJ63" s="1250">
        <f t="shared" si="24"/>
        <v>48</v>
      </c>
      <c r="AK63" s="1250">
        <f>SUM(AK52:AK62)</f>
        <v>59</v>
      </c>
      <c r="AL63" s="1250">
        <f>SUM(AL52:AL62)</f>
        <v>0</v>
      </c>
      <c r="AM63" s="1250">
        <f>SUM(AM52:AM62)</f>
        <v>0</v>
      </c>
      <c r="AN63" s="1254">
        <f t="shared" si="19"/>
        <v>72.38095238095238</v>
      </c>
      <c r="AP63" s="961"/>
      <c r="AQ63" s="961">
        <f>SUM(AQ52:AQ62)</f>
        <v>425</v>
      </c>
      <c r="AR63" s="961">
        <f>SUM(AR52:AR62)</f>
        <v>374</v>
      </c>
      <c r="AS63" s="1249">
        <f>SUM(AS52:AS62)</f>
        <v>285</v>
      </c>
      <c r="AT63" s="1249">
        <f t="shared" ref="AT63:AY63" si="25">SUM(AT52:AT62)</f>
        <v>6</v>
      </c>
      <c r="AU63" s="1249">
        <f t="shared" si="25"/>
        <v>5</v>
      </c>
      <c r="AV63" s="1249">
        <f t="shared" si="25"/>
        <v>10</v>
      </c>
      <c r="AW63" s="1249">
        <f t="shared" si="25"/>
        <v>10</v>
      </c>
      <c r="AX63" s="1249">
        <f t="shared" si="25"/>
        <v>28</v>
      </c>
      <c r="AY63" s="1250">
        <f t="shared" si="25"/>
        <v>43</v>
      </c>
      <c r="AZ63" s="1250">
        <f>SUM(AZ52:AZ62)</f>
        <v>35</v>
      </c>
      <c r="BA63" s="1250">
        <f>SUM(BA52:BA62)</f>
        <v>0</v>
      </c>
      <c r="BB63" s="1250">
        <f>SUM(BB52:BB62)</f>
        <v>0</v>
      </c>
      <c r="BC63" s="1254">
        <f t="shared" si="20"/>
        <v>83.575581395348848</v>
      </c>
    </row>
    <row r="64" spans="1:55" x14ac:dyDescent="0.3">
      <c r="A64" s="955"/>
      <c r="B64"/>
      <c r="D64" s="229"/>
      <c r="E64" s="229"/>
      <c r="F64" s="229"/>
      <c r="G64" s="229"/>
      <c r="H64" s="229"/>
      <c r="I64" s="229"/>
      <c r="J64" s="229"/>
      <c r="K64" s="229"/>
      <c r="L64" s="229"/>
      <c r="M64" s="229"/>
      <c r="N64" s="229"/>
      <c r="O64" s="229"/>
      <c r="P64" s="229"/>
      <c r="Q64" s="229"/>
      <c r="R64" s="229"/>
      <c r="S64" s="229"/>
    </row>
    <row r="65" spans="1:19" x14ac:dyDescent="0.3">
      <c r="A65" s="955"/>
      <c r="B65"/>
      <c r="D65" s="229"/>
      <c r="E65" s="229"/>
      <c r="F65" s="229"/>
      <c r="G65" s="229"/>
      <c r="H65" s="229"/>
      <c r="I65" s="229"/>
      <c r="J65" s="229"/>
      <c r="K65" s="229"/>
      <c r="L65" s="229"/>
      <c r="M65" s="229"/>
      <c r="N65" s="229"/>
      <c r="O65" s="229"/>
      <c r="P65" s="229"/>
      <c r="Q65" s="229"/>
      <c r="R65" s="229"/>
      <c r="S65" s="229"/>
    </row>
    <row r="66" spans="1:19" x14ac:dyDescent="0.3">
      <c r="A66" s="955"/>
      <c r="B66"/>
      <c r="D66" s="229"/>
      <c r="E66" s="229"/>
      <c r="F66" s="229"/>
      <c r="G66" s="229"/>
      <c r="H66" s="229"/>
      <c r="I66" s="229"/>
      <c r="J66" s="229"/>
      <c r="K66" s="229"/>
      <c r="L66" s="229"/>
      <c r="M66" s="229"/>
      <c r="N66" s="229"/>
      <c r="O66" s="229"/>
      <c r="P66" s="229"/>
      <c r="Q66" s="229"/>
      <c r="R66" s="229"/>
      <c r="S66" s="229"/>
    </row>
    <row r="67" spans="1:19" x14ac:dyDescent="0.3">
      <c r="A67" s="955"/>
      <c r="B67"/>
      <c r="D67" s="229"/>
      <c r="E67" s="229"/>
      <c r="F67" s="229"/>
      <c r="G67" s="229"/>
      <c r="H67" s="229"/>
      <c r="I67" s="229"/>
      <c r="J67" s="229"/>
      <c r="K67" s="229"/>
      <c r="L67" s="229"/>
      <c r="M67" s="229"/>
      <c r="N67" s="229"/>
      <c r="O67" s="229"/>
      <c r="P67" s="229"/>
      <c r="Q67" s="229"/>
      <c r="R67" s="229"/>
      <c r="S67" s="229"/>
    </row>
    <row r="68" spans="1:19" x14ac:dyDescent="0.3">
      <c r="A68" s="955"/>
      <c r="B68"/>
      <c r="D68" s="229"/>
      <c r="E68" s="229"/>
      <c r="F68" s="229"/>
      <c r="G68" s="229"/>
      <c r="H68" s="229"/>
      <c r="I68" s="229"/>
      <c r="J68" s="229"/>
      <c r="K68" s="229"/>
      <c r="L68" s="229"/>
      <c r="M68" s="229"/>
      <c r="N68" s="229"/>
      <c r="O68" s="229"/>
      <c r="P68" s="229"/>
      <c r="Q68" s="229"/>
      <c r="R68" s="229"/>
      <c r="S68" s="229"/>
    </row>
    <row r="69" spans="1:19" x14ac:dyDescent="0.3">
      <c r="A69" s="955"/>
      <c r="B69"/>
      <c r="D69" s="229"/>
      <c r="E69" s="229"/>
      <c r="F69" s="229"/>
      <c r="G69" s="229"/>
      <c r="H69" s="229"/>
      <c r="I69" s="229"/>
      <c r="J69" s="229"/>
      <c r="K69" s="229"/>
      <c r="L69" s="229"/>
      <c r="M69" s="229"/>
      <c r="N69" s="229"/>
      <c r="O69" s="229"/>
      <c r="P69" s="229"/>
      <c r="Q69" s="229"/>
      <c r="R69" s="229"/>
      <c r="S69" s="229"/>
    </row>
    <row r="70" spans="1:19" x14ac:dyDescent="0.3">
      <c r="A70" s="955"/>
      <c r="B70"/>
      <c r="D70" s="229"/>
      <c r="E70" s="229"/>
      <c r="F70" s="229"/>
      <c r="G70" s="229"/>
      <c r="H70" s="229"/>
      <c r="I70" s="229"/>
      <c r="J70" s="229"/>
      <c r="K70" s="229"/>
      <c r="L70" s="229"/>
      <c r="M70" s="229"/>
      <c r="N70" s="229"/>
      <c r="O70" s="229"/>
      <c r="P70" s="229"/>
      <c r="Q70" s="229"/>
      <c r="R70" s="229"/>
      <c r="S70" s="229"/>
    </row>
    <row r="71" spans="1:19" x14ac:dyDescent="0.3">
      <c r="A71" s="955"/>
      <c r="B71"/>
      <c r="D71" s="229"/>
      <c r="E71" s="229"/>
      <c r="F71" s="229"/>
      <c r="G71" s="229"/>
      <c r="H71" s="229"/>
      <c r="I71" s="229"/>
      <c r="J71" s="229"/>
      <c r="K71" s="229"/>
      <c r="L71" s="229"/>
      <c r="M71" s="229"/>
      <c r="N71" s="229"/>
      <c r="O71" s="229"/>
      <c r="P71" s="229"/>
      <c r="Q71" s="229"/>
      <c r="R71" s="229"/>
      <c r="S71" s="229"/>
    </row>
    <row r="72" spans="1:19" x14ac:dyDescent="0.3">
      <c r="A72" s="955"/>
      <c r="B72"/>
      <c r="D72" s="229"/>
      <c r="E72" s="229"/>
      <c r="F72" s="229"/>
      <c r="G72" s="229"/>
      <c r="H72" s="229"/>
      <c r="I72" s="229"/>
      <c r="J72" s="229"/>
      <c r="K72" s="229"/>
      <c r="L72" s="229"/>
      <c r="M72" s="229"/>
      <c r="N72" s="229"/>
      <c r="O72" s="229"/>
      <c r="P72" s="229"/>
      <c r="Q72" s="229"/>
      <c r="R72" s="229"/>
      <c r="S72" s="229"/>
    </row>
    <row r="73" spans="1:19" x14ac:dyDescent="0.3">
      <c r="D73" s="229"/>
      <c r="E73" s="229"/>
      <c r="F73" s="229"/>
      <c r="G73" s="229"/>
      <c r="H73" s="229"/>
      <c r="I73" s="229"/>
      <c r="J73" s="229"/>
      <c r="K73" s="229"/>
      <c r="L73" s="229"/>
      <c r="M73" s="229"/>
      <c r="N73" s="229"/>
      <c r="O73" s="229"/>
      <c r="P73" s="229"/>
      <c r="Q73" s="229"/>
      <c r="R73" s="229"/>
      <c r="S73" s="229"/>
    </row>
    <row r="74" spans="1:19" x14ac:dyDescent="0.3">
      <c r="D74" s="229"/>
      <c r="E74" s="229"/>
      <c r="F74" s="229"/>
      <c r="G74" s="229"/>
      <c r="H74" s="229"/>
      <c r="I74" s="229"/>
      <c r="J74" s="229"/>
      <c r="K74" s="229"/>
      <c r="L74" s="229"/>
      <c r="M74" s="229"/>
      <c r="N74" s="229"/>
      <c r="O74" s="229"/>
      <c r="P74" s="229"/>
      <c r="Q74" s="229"/>
      <c r="R74" s="229"/>
      <c r="S74" s="229"/>
    </row>
  </sheetData>
  <customSheetViews>
    <customSheetView guid="{92B8BA5A-7984-4526-9F7A-187FF856FCAE}" hiddenColumns="1" topLeftCell="B4">
      <pane ySplit="5" topLeftCell="A9" activePane="bottomLeft" state="frozen"/>
      <selection pane="bottomLeft" activeCell="D23" sqref="D23"/>
      <pageMargins left="0" right="0" top="0" bottom="0" header="0" footer="0"/>
      <pageSetup scale="75" orientation="landscape" r:id="rId1"/>
    </customSheetView>
  </customSheetViews>
  <mergeCells count="6">
    <mergeCell ref="AP2:BC2"/>
    <mergeCell ref="AA2:AN2"/>
    <mergeCell ref="C2:T2"/>
    <mergeCell ref="P7:T7"/>
    <mergeCell ref="P50:T50"/>
    <mergeCell ref="C4:T4"/>
  </mergeCells>
  <conditionalFormatting sqref="H8 K51:L51 K8:M8">
    <cfRule type="containsText" dxfId="255" priority="268" operator="containsText" text="AZ">
      <formula>NOT(ISERROR(SEARCH("AZ",H8)))</formula>
    </cfRule>
    <cfRule type="containsText" dxfId="254" priority="269" operator="containsText" text="RO">
      <formula>NOT(ISERROR(SEARCH("RO",H8)))</formula>
    </cfRule>
    <cfRule type="containsText" dxfId="253" priority="270" operator="containsText" text="AM">
      <formula>NOT(ISERROR(SEARCH("AM",H8)))</formula>
    </cfRule>
    <cfRule type="containsText" dxfId="252" priority="271" operator="containsText" text="VE">
      <formula>NOT(ISERROR(SEARCH("VE",H8)))</formula>
    </cfRule>
  </conditionalFormatting>
  <conditionalFormatting sqref="H51">
    <cfRule type="containsText" dxfId="251" priority="261" operator="containsText" text="AZ">
      <formula>NOT(ISERROR(SEARCH("AZ",H51)))</formula>
    </cfRule>
    <cfRule type="containsText" dxfId="250" priority="262" operator="containsText" text="RO">
      <formula>NOT(ISERROR(SEARCH("RO",H51)))</formula>
    </cfRule>
    <cfRule type="containsText" dxfId="249" priority="263" operator="containsText" text="AM">
      <formula>NOT(ISERROR(SEARCH("AM",H51)))</formula>
    </cfRule>
    <cfRule type="containsText" dxfId="248" priority="264" operator="containsText" text="VE">
      <formula>NOT(ISERROR(SEARCH("VE",H51)))</formula>
    </cfRule>
  </conditionalFormatting>
  <conditionalFormatting sqref="T9:T26">
    <cfRule type="iconSet" priority="1772">
      <iconSet iconSet="3Arrows">
        <cfvo type="percent" val="0"/>
        <cfvo type="num" val="40"/>
        <cfvo type="num" val="70"/>
      </iconSet>
    </cfRule>
  </conditionalFormatting>
  <conditionalFormatting sqref="P9:P26">
    <cfRule type="iconSet" priority="260">
      <iconSet iconSet="3Arrows">
        <cfvo type="percent" val="0"/>
        <cfvo type="num" val="40"/>
        <cfvo type="num" val="70"/>
      </iconSet>
    </cfRule>
  </conditionalFormatting>
  <conditionalFormatting sqref="S11:S26">
    <cfRule type="iconSet" priority="255">
      <iconSet iconSet="3Arrows">
        <cfvo type="percent" val="0"/>
        <cfvo type="num" val="40"/>
        <cfvo type="num" val="70"/>
      </iconSet>
    </cfRule>
  </conditionalFormatting>
  <conditionalFormatting sqref="S9">
    <cfRule type="iconSet" priority="256">
      <iconSet iconSet="3Arrows">
        <cfvo type="percent" val="0"/>
        <cfvo type="num" val="40"/>
        <cfvo type="num" val="70"/>
      </iconSet>
    </cfRule>
  </conditionalFormatting>
  <conditionalFormatting sqref="P52:P63">
    <cfRule type="iconSet" priority="253">
      <iconSet iconSet="3Arrows">
        <cfvo type="percent" val="0"/>
        <cfvo type="num" val="40"/>
        <cfvo type="num" val="70"/>
      </iconSet>
    </cfRule>
  </conditionalFormatting>
  <conditionalFormatting sqref="Q52:Q63">
    <cfRule type="iconSet" priority="252">
      <iconSet iconSet="3Arrows">
        <cfvo type="percent" val="0"/>
        <cfvo type="num" val="40"/>
        <cfvo type="num" val="70"/>
      </iconSet>
    </cfRule>
  </conditionalFormatting>
  <conditionalFormatting sqref="S52:S63">
    <cfRule type="iconSet" priority="251">
      <iconSet iconSet="3Arrows">
        <cfvo type="percent" val="0"/>
        <cfvo type="num" val="40"/>
        <cfvo type="num" val="70"/>
      </iconSet>
    </cfRule>
  </conditionalFormatting>
  <conditionalFormatting sqref="M51">
    <cfRule type="containsText" dxfId="247" priority="247" operator="containsText" text="AZ">
      <formula>NOT(ISERROR(SEARCH("AZ",M51)))</formula>
    </cfRule>
    <cfRule type="containsText" dxfId="246" priority="248" operator="containsText" text="RO">
      <formula>NOT(ISERROR(SEARCH("RO",M51)))</formula>
    </cfRule>
    <cfRule type="containsText" dxfId="245" priority="249" operator="containsText" text="AM">
      <formula>NOT(ISERROR(SEARCH("AM",M51)))</formula>
    </cfRule>
    <cfRule type="containsText" dxfId="244" priority="250" operator="containsText" text="VE">
      <formula>NOT(ISERROR(SEARCH("VE",M51)))</formula>
    </cfRule>
  </conditionalFormatting>
  <conditionalFormatting sqref="T52:T63">
    <cfRule type="iconSet" priority="229">
      <iconSet iconSet="3Arrows">
        <cfvo type="percent" val="0"/>
        <cfvo type="num" val="40"/>
        <cfvo type="num" val="70"/>
      </iconSet>
    </cfRule>
  </conditionalFormatting>
  <conditionalFormatting sqref="AF8 AI51:AJ51 AI8:AK8">
    <cfRule type="containsText" dxfId="243" priority="195" operator="containsText" text="AZ">
      <formula>NOT(ISERROR(SEARCH("AZ",AF8)))</formula>
    </cfRule>
    <cfRule type="containsText" dxfId="242" priority="196" operator="containsText" text="RO">
      <formula>NOT(ISERROR(SEARCH("RO",AF8)))</formula>
    </cfRule>
    <cfRule type="containsText" dxfId="241" priority="197" operator="containsText" text="AM">
      <formula>NOT(ISERROR(SEARCH("AM",AF8)))</formula>
    </cfRule>
    <cfRule type="containsText" dxfId="240" priority="198" operator="containsText" text="VE">
      <formula>NOT(ISERROR(SEARCH("VE",AF8)))</formula>
    </cfRule>
  </conditionalFormatting>
  <conditionalFormatting sqref="AF51">
    <cfRule type="containsText" dxfId="239" priority="191" operator="containsText" text="AZ">
      <formula>NOT(ISERROR(SEARCH("AZ",AF51)))</formula>
    </cfRule>
    <cfRule type="containsText" dxfId="238" priority="192" operator="containsText" text="RO">
      <formula>NOT(ISERROR(SEARCH("RO",AF51)))</formula>
    </cfRule>
    <cfRule type="containsText" dxfId="237" priority="193" operator="containsText" text="AM">
      <formula>NOT(ISERROR(SEARCH("AM",AF51)))</formula>
    </cfRule>
    <cfRule type="containsText" dxfId="236" priority="194" operator="containsText" text="VE">
      <formula>NOT(ISERROR(SEARCH("VE",AF51)))</formula>
    </cfRule>
  </conditionalFormatting>
  <conditionalFormatting sqref="AK51">
    <cfRule type="containsText" dxfId="235" priority="177" operator="containsText" text="AZ">
      <formula>NOT(ISERROR(SEARCH("AZ",AK51)))</formula>
    </cfRule>
    <cfRule type="containsText" dxfId="234" priority="178" operator="containsText" text="RO">
      <formula>NOT(ISERROR(SEARCH("RO",AK51)))</formula>
    </cfRule>
    <cfRule type="containsText" dxfId="233" priority="179" operator="containsText" text="AM">
      <formula>NOT(ISERROR(SEARCH("AM",AK51)))</formula>
    </cfRule>
    <cfRule type="containsText" dxfId="232" priority="180" operator="containsText" text="VE">
      <formula>NOT(ISERROR(SEARCH("VE",AK51)))</formula>
    </cfRule>
  </conditionalFormatting>
  <conditionalFormatting sqref="AN10">
    <cfRule type="iconSet" priority="175">
      <iconSet iconSet="3Arrows">
        <cfvo type="percent" val="0"/>
        <cfvo type="num" val="40"/>
        <cfvo type="num" val="70"/>
      </iconSet>
    </cfRule>
  </conditionalFormatting>
  <conditionalFormatting sqref="AN11">
    <cfRule type="iconSet" priority="174">
      <iconSet iconSet="3Arrows">
        <cfvo type="percent" val="0"/>
        <cfvo type="num" val="40"/>
        <cfvo type="num" val="70"/>
      </iconSet>
    </cfRule>
  </conditionalFormatting>
  <conditionalFormatting sqref="AN12">
    <cfRule type="iconSet" priority="173">
      <iconSet iconSet="3Arrows">
        <cfvo type="percent" val="0"/>
        <cfvo type="num" val="40"/>
        <cfvo type="num" val="70"/>
      </iconSet>
    </cfRule>
  </conditionalFormatting>
  <conditionalFormatting sqref="AN13">
    <cfRule type="iconSet" priority="172">
      <iconSet iconSet="3Arrows">
        <cfvo type="percent" val="0"/>
        <cfvo type="num" val="40"/>
        <cfvo type="num" val="70"/>
      </iconSet>
    </cfRule>
  </conditionalFormatting>
  <conditionalFormatting sqref="AN14">
    <cfRule type="iconSet" priority="171">
      <iconSet iconSet="3Arrows">
        <cfvo type="percent" val="0"/>
        <cfvo type="num" val="40"/>
        <cfvo type="num" val="70"/>
      </iconSet>
    </cfRule>
  </conditionalFormatting>
  <conditionalFormatting sqref="AN15">
    <cfRule type="iconSet" priority="170">
      <iconSet iconSet="3Arrows">
        <cfvo type="percent" val="0"/>
        <cfvo type="num" val="40"/>
        <cfvo type="num" val="70"/>
      </iconSet>
    </cfRule>
  </conditionalFormatting>
  <conditionalFormatting sqref="AN16">
    <cfRule type="iconSet" priority="169">
      <iconSet iconSet="3Arrows">
        <cfvo type="percent" val="0"/>
        <cfvo type="num" val="40"/>
        <cfvo type="num" val="70"/>
      </iconSet>
    </cfRule>
  </conditionalFormatting>
  <conditionalFormatting sqref="AN17">
    <cfRule type="iconSet" priority="168">
      <iconSet iconSet="3Arrows">
        <cfvo type="percent" val="0"/>
        <cfvo type="num" val="40"/>
        <cfvo type="num" val="70"/>
      </iconSet>
    </cfRule>
  </conditionalFormatting>
  <conditionalFormatting sqref="AN18">
    <cfRule type="iconSet" priority="167">
      <iconSet iconSet="3Arrows">
        <cfvo type="percent" val="0"/>
        <cfvo type="num" val="40"/>
        <cfvo type="num" val="70"/>
      </iconSet>
    </cfRule>
  </conditionalFormatting>
  <conditionalFormatting sqref="AN19">
    <cfRule type="iconSet" priority="166">
      <iconSet iconSet="3Arrows">
        <cfvo type="percent" val="0"/>
        <cfvo type="num" val="40"/>
        <cfvo type="num" val="70"/>
      </iconSet>
    </cfRule>
  </conditionalFormatting>
  <conditionalFormatting sqref="AN20">
    <cfRule type="iconSet" priority="165">
      <iconSet iconSet="3Arrows">
        <cfvo type="percent" val="0"/>
        <cfvo type="num" val="40"/>
        <cfvo type="num" val="70"/>
      </iconSet>
    </cfRule>
  </conditionalFormatting>
  <conditionalFormatting sqref="AN21">
    <cfRule type="iconSet" priority="164">
      <iconSet iconSet="3Arrows">
        <cfvo type="percent" val="0"/>
        <cfvo type="num" val="40"/>
        <cfvo type="num" val="70"/>
      </iconSet>
    </cfRule>
  </conditionalFormatting>
  <conditionalFormatting sqref="AN22">
    <cfRule type="iconSet" priority="163">
      <iconSet iconSet="3Arrows">
        <cfvo type="percent" val="0"/>
        <cfvo type="num" val="40"/>
        <cfvo type="num" val="70"/>
      </iconSet>
    </cfRule>
  </conditionalFormatting>
  <conditionalFormatting sqref="AN23">
    <cfRule type="iconSet" priority="162">
      <iconSet iconSet="3Arrows">
        <cfvo type="percent" val="0"/>
        <cfvo type="num" val="40"/>
        <cfvo type="num" val="70"/>
      </iconSet>
    </cfRule>
  </conditionalFormatting>
  <conditionalFormatting sqref="AN24">
    <cfRule type="iconSet" priority="161">
      <iconSet iconSet="3Arrows">
        <cfvo type="percent" val="0"/>
        <cfvo type="num" val="40"/>
        <cfvo type="num" val="70"/>
      </iconSet>
    </cfRule>
  </conditionalFormatting>
  <conditionalFormatting sqref="AN25">
    <cfRule type="iconSet" priority="160">
      <iconSet iconSet="3Arrows">
        <cfvo type="percent" val="0"/>
        <cfvo type="num" val="40"/>
        <cfvo type="num" val="70"/>
      </iconSet>
    </cfRule>
  </conditionalFormatting>
  <conditionalFormatting sqref="AN26">
    <cfRule type="iconSet" priority="159">
      <iconSet iconSet="3Arrows">
        <cfvo type="percent" val="0"/>
        <cfvo type="num" val="40"/>
        <cfvo type="num" val="70"/>
      </iconSet>
    </cfRule>
  </conditionalFormatting>
  <conditionalFormatting sqref="AN52">
    <cfRule type="iconSet" priority="158">
      <iconSet iconSet="3Arrows">
        <cfvo type="percent" val="0"/>
        <cfvo type="num" val="40"/>
        <cfvo type="num" val="70"/>
      </iconSet>
    </cfRule>
  </conditionalFormatting>
  <conditionalFormatting sqref="AN53">
    <cfRule type="iconSet" priority="157">
      <iconSet iconSet="3Arrows">
        <cfvo type="percent" val="0"/>
        <cfvo type="num" val="40"/>
        <cfvo type="num" val="70"/>
      </iconSet>
    </cfRule>
  </conditionalFormatting>
  <conditionalFormatting sqref="AN54">
    <cfRule type="iconSet" priority="156">
      <iconSet iconSet="3Arrows">
        <cfvo type="percent" val="0"/>
        <cfvo type="num" val="40"/>
        <cfvo type="num" val="70"/>
      </iconSet>
    </cfRule>
  </conditionalFormatting>
  <conditionalFormatting sqref="AN55">
    <cfRule type="iconSet" priority="155">
      <iconSet iconSet="3Arrows">
        <cfvo type="percent" val="0"/>
        <cfvo type="num" val="40"/>
        <cfvo type="num" val="70"/>
      </iconSet>
    </cfRule>
  </conditionalFormatting>
  <conditionalFormatting sqref="AN56">
    <cfRule type="iconSet" priority="154">
      <iconSet iconSet="3Arrows">
        <cfvo type="percent" val="0"/>
        <cfvo type="num" val="40"/>
        <cfvo type="num" val="70"/>
      </iconSet>
    </cfRule>
  </conditionalFormatting>
  <conditionalFormatting sqref="AN57">
    <cfRule type="iconSet" priority="153">
      <iconSet iconSet="3Arrows">
        <cfvo type="percent" val="0"/>
        <cfvo type="num" val="40"/>
        <cfvo type="num" val="70"/>
      </iconSet>
    </cfRule>
  </conditionalFormatting>
  <conditionalFormatting sqref="AN58">
    <cfRule type="iconSet" priority="152">
      <iconSet iconSet="3Arrows">
        <cfvo type="percent" val="0"/>
        <cfvo type="num" val="40"/>
        <cfvo type="num" val="70"/>
      </iconSet>
    </cfRule>
  </conditionalFormatting>
  <conditionalFormatting sqref="AN59">
    <cfRule type="iconSet" priority="151">
      <iconSet iconSet="3Arrows">
        <cfvo type="percent" val="0"/>
        <cfvo type="num" val="40"/>
        <cfvo type="num" val="70"/>
      </iconSet>
    </cfRule>
  </conditionalFormatting>
  <conditionalFormatting sqref="AN60">
    <cfRule type="iconSet" priority="150">
      <iconSet iconSet="3Arrows">
        <cfvo type="percent" val="0"/>
        <cfvo type="num" val="40"/>
        <cfvo type="num" val="70"/>
      </iconSet>
    </cfRule>
  </conditionalFormatting>
  <conditionalFormatting sqref="AN61">
    <cfRule type="iconSet" priority="149">
      <iconSet iconSet="3Arrows">
        <cfvo type="percent" val="0"/>
        <cfvo type="num" val="40"/>
        <cfvo type="num" val="70"/>
      </iconSet>
    </cfRule>
  </conditionalFormatting>
  <conditionalFormatting sqref="AN62">
    <cfRule type="iconSet" priority="148">
      <iconSet iconSet="3Arrows">
        <cfvo type="percent" val="0"/>
        <cfvo type="num" val="40"/>
        <cfvo type="num" val="70"/>
      </iconSet>
    </cfRule>
  </conditionalFormatting>
  <conditionalFormatting sqref="AN9">
    <cfRule type="iconSet" priority="1773">
      <iconSet iconSet="3Arrows">
        <cfvo type="percent" val="0"/>
        <cfvo type="num" val="40"/>
        <cfvo type="num" val="70"/>
      </iconSet>
    </cfRule>
  </conditionalFormatting>
  <conditionalFormatting sqref="AN63">
    <cfRule type="iconSet" priority="147">
      <iconSet iconSet="3Arrows">
        <cfvo type="percent" val="0"/>
        <cfvo type="num" val="40"/>
        <cfvo type="num" val="70"/>
      </iconSet>
    </cfRule>
  </conditionalFormatting>
  <conditionalFormatting sqref="AU8 AX51:AY51 AX8:AZ8">
    <cfRule type="containsText" dxfId="231" priority="142" operator="containsText" text="AZ">
      <formula>NOT(ISERROR(SEARCH("AZ",AU8)))</formula>
    </cfRule>
    <cfRule type="containsText" dxfId="230" priority="143" operator="containsText" text="RO">
      <formula>NOT(ISERROR(SEARCH("RO",AU8)))</formula>
    </cfRule>
    <cfRule type="containsText" dxfId="229" priority="144" operator="containsText" text="AM">
      <formula>NOT(ISERROR(SEARCH("AM",AU8)))</formula>
    </cfRule>
    <cfRule type="containsText" dxfId="228" priority="145" operator="containsText" text="VE">
      <formula>NOT(ISERROR(SEARCH("VE",AU8)))</formula>
    </cfRule>
  </conditionalFormatting>
  <conditionalFormatting sqref="AU51">
    <cfRule type="containsText" dxfId="227" priority="138" operator="containsText" text="AZ">
      <formula>NOT(ISERROR(SEARCH("AZ",AU51)))</formula>
    </cfRule>
    <cfRule type="containsText" dxfId="226" priority="139" operator="containsText" text="RO">
      <formula>NOT(ISERROR(SEARCH("RO",AU51)))</formula>
    </cfRule>
    <cfRule type="containsText" dxfId="225" priority="140" operator="containsText" text="AM">
      <formula>NOT(ISERROR(SEARCH("AM",AU51)))</formula>
    </cfRule>
    <cfRule type="containsText" dxfId="224" priority="141" operator="containsText" text="VE">
      <formula>NOT(ISERROR(SEARCH("VE",AU51)))</formula>
    </cfRule>
  </conditionalFormatting>
  <conditionalFormatting sqref="AZ51">
    <cfRule type="containsText" dxfId="223" priority="134" operator="containsText" text="AZ">
      <formula>NOT(ISERROR(SEARCH("AZ",AZ51)))</formula>
    </cfRule>
    <cfRule type="containsText" dxfId="222" priority="135" operator="containsText" text="RO">
      <formula>NOT(ISERROR(SEARCH("RO",AZ51)))</formula>
    </cfRule>
    <cfRule type="containsText" dxfId="221" priority="136" operator="containsText" text="AM">
      <formula>NOT(ISERROR(SEARCH("AM",AZ51)))</formula>
    </cfRule>
    <cfRule type="containsText" dxfId="220" priority="137" operator="containsText" text="VE">
      <formula>NOT(ISERROR(SEARCH("VE",AZ51)))</formula>
    </cfRule>
  </conditionalFormatting>
  <conditionalFormatting sqref="BC10">
    <cfRule type="iconSet" priority="133">
      <iconSet iconSet="3Arrows">
        <cfvo type="percent" val="0"/>
        <cfvo type="num" val="40"/>
        <cfvo type="num" val="70"/>
      </iconSet>
    </cfRule>
  </conditionalFormatting>
  <conditionalFormatting sqref="BC11">
    <cfRule type="iconSet" priority="132">
      <iconSet iconSet="3Arrows">
        <cfvo type="percent" val="0"/>
        <cfvo type="num" val="40"/>
        <cfvo type="num" val="70"/>
      </iconSet>
    </cfRule>
  </conditionalFormatting>
  <conditionalFormatting sqref="BC12">
    <cfRule type="iconSet" priority="131">
      <iconSet iconSet="3Arrows">
        <cfvo type="percent" val="0"/>
        <cfvo type="num" val="40"/>
        <cfvo type="num" val="70"/>
      </iconSet>
    </cfRule>
  </conditionalFormatting>
  <conditionalFormatting sqref="BC13">
    <cfRule type="iconSet" priority="130">
      <iconSet iconSet="3Arrows">
        <cfvo type="percent" val="0"/>
        <cfvo type="num" val="40"/>
        <cfvo type="num" val="70"/>
      </iconSet>
    </cfRule>
  </conditionalFormatting>
  <conditionalFormatting sqref="BC14">
    <cfRule type="iconSet" priority="129">
      <iconSet iconSet="3Arrows">
        <cfvo type="percent" val="0"/>
        <cfvo type="num" val="40"/>
        <cfvo type="num" val="70"/>
      </iconSet>
    </cfRule>
  </conditionalFormatting>
  <conditionalFormatting sqref="BC15">
    <cfRule type="iconSet" priority="128">
      <iconSet iconSet="3Arrows">
        <cfvo type="percent" val="0"/>
        <cfvo type="num" val="40"/>
        <cfvo type="num" val="70"/>
      </iconSet>
    </cfRule>
  </conditionalFormatting>
  <conditionalFormatting sqref="BC16">
    <cfRule type="iconSet" priority="127">
      <iconSet iconSet="3Arrows">
        <cfvo type="percent" val="0"/>
        <cfvo type="num" val="40"/>
        <cfvo type="num" val="70"/>
      </iconSet>
    </cfRule>
  </conditionalFormatting>
  <conditionalFormatting sqref="BC17">
    <cfRule type="iconSet" priority="126">
      <iconSet iconSet="3Arrows">
        <cfvo type="percent" val="0"/>
        <cfvo type="num" val="40"/>
        <cfvo type="num" val="70"/>
      </iconSet>
    </cfRule>
  </conditionalFormatting>
  <conditionalFormatting sqref="BC18">
    <cfRule type="iconSet" priority="125">
      <iconSet iconSet="3Arrows">
        <cfvo type="percent" val="0"/>
        <cfvo type="num" val="40"/>
        <cfvo type="num" val="70"/>
      </iconSet>
    </cfRule>
  </conditionalFormatting>
  <conditionalFormatting sqref="BC19">
    <cfRule type="iconSet" priority="124">
      <iconSet iconSet="3Arrows">
        <cfvo type="percent" val="0"/>
        <cfvo type="num" val="40"/>
        <cfvo type="num" val="70"/>
      </iconSet>
    </cfRule>
  </conditionalFormatting>
  <conditionalFormatting sqref="BC20">
    <cfRule type="iconSet" priority="123">
      <iconSet iconSet="3Arrows">
        <cfvo type="percent" val="0"/>
        <cfvo type="num" val="40"/>
        <cfvo type="num" val="70"/>
      </iconSet>
    </cfRule>
  </conditionalFormatting>
  <conditionalFormatting sqref="BC21">
    <cfRule type="iconSet" priority="122">
      <iconSet iconSet="3Arrows">
        <cfvo type="percent" val="0"/>
        <cfvo type="num" val="40"/>
        <cfvo type="num" val="70"/>
      </iconSet>
    </cfRule>
  </conditionalFormatting>
  <conditionalFormatting sqref="BC22">
    <cfRule type="iconSet" priority="121">
      <iconSet iconSet="3Arrows">
        <cfvo type="percent" val="0"/>
        <cfvo type="num" val="40"/>
        <cfvo type="num" val="70"/>
      </iconSet>
    </cfRule>
  </conditionalFormatting>
  <conditionalFormatting sqref="BC23">
    <cfRule type="iconSet" priority="120">
      <iconSet iconSet="3Arrows">
        <cfvo type="percent" val="0"/>
        <cfvo type="num" val="40"/>
        <cfvo type="num" val="70"/>
      </iconSet>
    </cfRule>
  </conditionalFormatting>
  <conditionalFormatting sqref="BC24">
    <cfRule type="iconSet" priority="119">
      <iconSet iconSet="3Arrows">
        <cfvo type="percent" val="0"/>
        <cfvo type="num" val="40"/>
        <cfvo type="num" val="70"/>
      </iconSet>
    </cfRule>
  </conditionalFormatting>
  <conditionalFormatting sqref="BC25">
    <cfRule type="iconSet" priority="118">
      <iconSet iconSet="3Arrows">
        <cfvo type="percent" val="0"/>
        <cfvo type="num" val="40"/>
        <cfvo type="num" val="70"/>
      </iconSet>
    </cfRule>
  </conditionalFormatting>
  <conditionalFormatting sqref="BC26">
    <cfRule type="iconSet" priority="117">
      <iconSet iconSet="3Arrows">
        <cfvo type="percent" val="0"/>
        <cfvo type="num" val="40"/>
        <cfvo type="num" val="70"/>
      </iconSet>
    </cfRule>
  </conditionalFormatting>
  <conditionalFormatting sqref="BC52">
    <cfRule type="iconSet" priority="116">
      <iconSet iconSet="3Arrows">
        <cfvo type="percent" val="0"/>
        <cfvo type="num" val="40"/>
        <cfvo type="num" val="70"/>
      </iconSet>
    </cfRule>
  </conditionalFormatting>
  <conditionalFormatting sqref="BC53">
    <cfRule type="iconSet" priority="115">
      <iconSet iconSet="3Arrows">
        <cfvo type="percent" val="0"/>
        <cfvo type="num" val="40"/>
        <cfvo type="num" val="70"/>
      </iconSet>
    </cfRule>
  </conditionalFormatting>
  <conditionalFormatting sqref="BC54">
    <cfRule type="iconSet" priority="114">
      <iconSet iconSet="3Arrows">
        <cfvo type="percent" val="0"/>
        <cfvo type="num" val="40"/>
        <cfvo type="num" val="70"/>
      </iconSet>
    </cfRule>
  </conditionalFormatting>
  <conditionalFormatting sqref="BC55">
    <cfRule type="iconSet" priority="113">
      <iconSet iconSet="3Arrows">
        <cfvo type="percent" val="0"/>
        <cfvo type="num" val="40"/>
        <cfvo type="num" val="70"/>
      </iconSet>
    </cfRule>
  </conditionalFormatting>
  <conditionalFormatting sqref="BC56">
    <cfRule type="iconSet" priority="112">
      <iconSet iconSet="3Arrows">
        <cfvo type="percent" val="0"/>
        <cfvo type="num" val="40"/>
        <cfvo type="num" val="70"/>
      </iconSet>
    </cfRule>
  </conditionalFormatting>
  <conditionalFormatting sqref="BC57">
    <cfRule type="iconSet" priority="111">
      <iconSet iconSet="3Arrows">
        <cfvo type="percent" val="0"/>
        <cfvo type="num" val="40"/>
        <cfvo type="num" val="70"/>
      </iconSet>
    </cfRule>
  </conditionalFormatting>
  <conditionalFormatting sqref="BC58">
    <cfRule type="iconSet" priority="110">
      <iconSet iconSet="3Arrows">
        <cfvo type="percent" val="0"/>
        <cfvo type="num" val="40"/>
        <cfvo type="num" val="70"/>
      </iconSet>
    </cfRule>
  </conditionalFormatting>
  <conditionalFormatting sqref="BC59">
    <cfRule type="iconSet" priority="109">
      <iconSet iconSet="3Arrows">
        <cfvo type="percent" val="0"/>
        <cfvo type="num" val="40"/>
        <cfvo type="num" val="70"/>
      </iconSet>
    </cfRule>
  </conditionalFormatting>
  <conditionalFormatting sqref="BC60">
    <cfRule type="iconSet" priority="108">
      <iconSet iconSet="3Arrows">
        <cfvo type="percent" val="0"/>
        <cfvo type="num" val="40"/>
        <cfvo type="num" val="70"/>
      </iconSet>
    </cfRule>
  </conditionalFormatting>
  <conditionalFormatting sqref="BC61">
    <cfRule type="iconSet" priority="107">
      <iconSet iconSet="3Arrows">
        <cfvo type="percent" val="0"/>
        <cfvo type="num" val="40"/>
        <cfvo type="num" val="70"/>
      </iconSet>
    </cfRule>
  </conditionalFormatting>
  <conditionalFormatting sqref="BC62">
    <cfRule type="iconSet" priority="106">
      <iconSet iconSet="3Arrows">
        <cfvo type="percent" val="0"/>
        <cfvo type="num" val="40"/>
        <cfvo type="num" val="70"/>
      </iconSet>
    </cfRule>
  </conditionalFormatting>
  <conditionalFormatting sqref="BC9">
    <cfRule type="iconSet" priority="146">
      <iconSet iconSet="3Arrows">
        <cfvo type="percent" val="0"/>
        <cfvo type="num" val="40"/>
        <cfvo type="num" val="70"/>
      </iconSet>
    </cfRule>
  </conditionalFormatting>
  <conditionalFormatting sqref="BC63">
    <cfRule type="iconSet" priority="105">
      <iconSet iconSet="3Arrows">
        <cfvo type="percent" val="0"/>
        <cfvo type="num" val="40"/>
        <cfvo type="num" val="70"/>
      </iconSet>
    </cfRule>
  </conditionalFormatting>
  <conditionalFormatting sqref="Q9">
    <cfRule type="iconSet" priority="104">
      <iconSet iconSet="3Arrows">
        <cfvo type="percent" val="0"/>
        <cfvo type="num" val="40"/>
        <cfvo type="num" val="70"/>
      </iconSet>
    </cfRule>
  </conditionalFormatting>
  <conditionalFormatting sqref="Q10">
    <cfRule type="iconSet" priority="103">
      <iconSet iconSet="3Arrows">
        <cfvo type="percent" val="0"/>
        <cfvo type="num" val="40"/>
        <cfvo type="num" val="70"/>
      </iconSet>
    </cfRule>
  </conditionalFormatting>
  <conditionalFormatting sqref="Q11">
    <cfRule type="iconSet" priority="102">
      <iconSet iconSet="3Arrows">
        <cfvo type="percent" val="0"/>
        <cfvo type="num" val="40"/>
        <cfvo type="num" val="70"/>
      </iconSet>
    </cfRule>
  </conditionalFormatting>
  <conditionalFormatting sqref="Q12">
    <cfRule type="iconSet" priority="101">
      <iconSet iconSet="3Arrows">
        <cfvo type="percent" val="0"/>
        <cfvo type="num" val="40"/>
        <cfvo type="num" val="70"/>
      </iconSet>
    </cfRule>
  </conditionalFormatting>
  <conditionalFormatting sqref="Q13">
    <cfRule type="iconSet" priority="100">
      <iconSet iconSet="3Arrows">
        <cfvo type="percent" val="0"/>
        <cfvo type="num" val="40"/>
        <cfvo type="num" val="70"/>
      </iconSet>
    </cfRule>
  </conditionalFormatting>
  <conditionalFormatting sqref="Q14">
    <cfRule type="iconSet" priority="99">
      <iconSet iconSet="3Arrows">
        <cfvo type="percent" val="0"/>
        <cfvo type="num" val="40"/>
        <cfvo type="num" val="70"/>
      </iconSet>
    </cfRule>
  </conditionalFormatting>
  <conditionalFormatting sqref="Q15">
    <cfRule type="iconSet" priority="98">
      <iconSet iconSet="3Arrows">
        <cfvo type="percent" val="0"/>
        <cfvo type="num" val="40"/>
        <cfvo type="num" val="70"/>
      </iconSet>
    </cfRule>
  </conditionalFormatting>
  <conditionalFormatting sqref="Q16">
    <cfRule type="iconSet" priority="97">
      <iconSet iconSet="3Arrows">
        <cfvo type="percent" val="0"/>
        <cfvo type="num" val="40"/>
        <cfvo type="num" val="70"/>
      </iconSet>
    </cfRule>
  </conditionalFormatting>
  <conditionalFormatting sqref="Q17">
    <cfRule type="iconSet" priority="96">
      <iconSet iconSet="3Arrows">
        <cfvo type="percent" val="0"/>
        <cfvo type="num" val="40"/>
        <cfvo type="num" val="70"/>
      </iconSet>
    </cfRule>
  </conditionalFormatting>
  <conditionalFormatting sqref="Q18">
    <cfRule type="iconSet" priority="95">
      <iconSet iconSet="3Arrows">
        <cfvo type="percent" val="0"/>
        <cfvo type="num" val="40"/>
        <cfvo type="num" val="70"/>
      </iconSet>
    </cfRule>
  </conditionalFormatting>
  <conditionalFormatting sqref="Q19">
    <cfRule type="iconSet" priority="94">
      <iconSet iconSet="3Arrows">
        <cfvo type="percent" val="0"/>
        <cfvo type="num" val="40"/>
        <cfvo type="num" val="70"/>
      </iconSet>
    </cfRule>
  </conditionalFormatting>
  <conditionalFormatting sqref="Q20">
    <cfRule type="iconSet" priority="93">
      <iconSet iconSet="3Arrows">
        <cfvo type="percent" val="0"/>
        <cfvo type="num" val="40"/>
        <cfvo type="num" val="70"/>
      </iconSet>
    </cfRule>
  </conditionalFormatting>
  <conditionalFormatting sqref="Q21">
    <cfRule type="iconSet" priority="92">
      <iconSet iconSet="3Arrows">
        <cfvo type="percent" val="0"/>
        <cfvo type="num" val="40"/>
        <cfvo type="num" val="70"/>
      </iconSet>
    </cfRule>
  </conditionalFormatting>
  <conditionalFormatting sqref="Q22">
    <cfRule type="iconSet" priority="91">
      <iconSet iconSet="3Arrows">
        <cfvo type="percent" val="0"/>
        <cfvo type="num" val="40"/>
        <cfvo type="num" val="70"/>
      </iconSet>
    </cfRule>
  </conditionalFormatting>
  <conditionalFormatting sqref="Q23">
    <cfRule type="iconSet" priority="90">
      <iconSet iconSet="3Arrows">
        <cfvo type="percent" val="0"/>
        <cfvo type="num" val="40"/>
        <cfvo type="num" val="70"/>
      </iconSet>
    </cfRule>
  </conditionalFormatting>
  <conditionalFormatting sqref="Q24">
    <cfRule type="iconSet" priority="89">
      <iconSet iconSet="3Arrows">
        <cfvo type="percent" val="0"/>
        <cfvo type="num" val="40"/>
        <cfvo type="num" val="70"/>
      </iconSet>
    </cfRule>
  </conditionalFormatting>
  <conditionalFormatting sqref="Q25">
    <cfRule type="iconSet" priority="88">
      <iconSet iconSet="3Arrows">
        <cfvo type="percent" val="0"/>
        <cfvo type="num" val="40"/>
        <cfvo type="num" val="70"/>
      </iconSet>
    </cfRule>
  </conditionalFormatting>
  <conditionalFormatting sqref="Q26">
    <cfRule type="iconSet" priority="87">
      <iconSet iconSet="3Arrows">
        <cfvo type="percent" val="0"/>
        <cfvo type="num" val="40"/>
        <cfvo type="num" val="70"/>
      </iconSet>
    </cfRule>
  </conditionalFormatting>
  <conditionalFormatting sqref="R9">
    <cfRule type="iconSet" priority="75">
      <iconSet iconSet="3Arrows">
        <cfvo type="percent" val="0"/>
        <cfvo type="num" val="40"/>
        <cfvo type="num" val="70"/>
      </iconSet>
    </cfRule>
  </conditionalFormatting>
  <conditionalFormatting sqref="R11">
    <cfRule type="iconSet" priority="56">
      <iconSet iconSet="3Arrows">
        <cfvo type="percent" val="0"/>
        <cfvo type="num" val="40"/>
        <cfvo type="num" val="70"/>
      </iconSet>
    </cfRule>
  </conditionalFormatting>
  <conditionalFormatting sqref="R10">
    <cfRule type="iconSet" priority="28">
      <iconSet iconSet="3Arrows">
        <cfvo type="percent" val="0"/>
        <cfvo type="num" val="40"/>
        <cfvo type="num" val="70"/>
      </iconSet>
    </cfRule>
  </conditionalFormatting>
  <conditionalFormatting sqref="R12">
    <cfRule type="iconSet" priority="27">
      <iconSet iconSet="3Arrows">
        <cfvo type="percent" val="0"/>
        <cfvo type="num" val="40"/>
        <cfvo type="num" val="70"/>
      </iconSet>
    </cfRule>
  </conditionalFormatting>
  <conditionalFormatting sqref="R13">
    <cfRule type="iconSet" priority="26">
      <iconSet iconSet="3Arrows">
        <cfvo type="percent" val="0"/>
        <cfvo type="num" val="40"/>
        <cfvo type="num" val="70"/>
      </iconSet>
    </cfRule>
  </conditionalFormatting>
  <conditionalFormatting sqref="R14">
    <cfRule type="iconSet" priority="25">
      <iconSet iconSet="3Arrows">
        <cfvo type="percent" val="0"/>
        <cfvo type="num" val="40"/>
        <cfvo type="num" val="70"/>
      </iconSet>
    </cfRule>
  </conditionalFormatting>
  <conditionalFormatting sqref="R15">
    <cfRule type="iconSet" priority="24">
      <iconSet iconSet="3Arrows">
        <cfvo type="percent" val="0"/>
        <cfvo type="num" val="40"/>
        <cfvo type="num" val="70"/>
      </iconSet>
    </cfRule>
  </conditionalFormatting>
  <conditionalFormatting sqref="R16">
    <cfRule type="iconSet" priority="23">
      <iconSet iconSet="3Arrows">
        <cfvo type="percent" val="0"/>
        <cfvo type="num" val="40"/>
        <cfvo type="num" val="70"/>
      </iconSet>
    </cfRule>
  </conditionalFormatting>
  <conditionalFormatting sqref="R17">
    <cfRule type="iconSet" priority="22">
      <iconSet iconSet="3Arrows">
        <cfvo type="percent" val="0"/>
        <cfvo type="num" val="40"/>
        <cfvo type="num" val="70"/>
      </iconSet>
    </cfRule>
  </conditionalFormatting>
  <conditionalFormatting sqref="R18">
    <cfRule type="iconSet" priority="21">
      <iconSet iconSet="3Arrows">
        <cfvo type="percent" val="0"/>
        <cfvo type="num" val="40"/>
        <cfvo type="num" val="70"/>
      </iconSet>
    </cfRule>
  </conditionalFormatting>
  <conditionalFormatting sqref="R19">
    <cfRule type="iconSet" priority="20">
      <iconSet iconSet="3Arrows">
        <cfvo type="percent" val="0"/>
        <cfvo type="num" val="40"/>
        <cfvo type="num" val="70"/>
      </iconSet>
    </cfRule>
  </conditionalFormatting>
  <conditionalFormatting sqref="R20">
    <cfRule type="iconSet" priority="19">
      <iconSet iconSet="3Arrows">
        <cfvo type="percent" val="0"/>
        <cfvo type="num" val="40"/>
        <cfvo type="num" val="70"/>
      </iconSet>
    </cfRule>
  </conditionalFormatting>
  <conditionalFormatting sqref="R21">
    <cfRule type="iconSet" priority="18">
      <iconSet iconSet="3Arrows">
        <cfvo type="percent" val="0"/>
        <cfvo type="num" val="40"/>
        <cfvo type="num" val="70"/>
      </iconSet>
    </cfRule>
  </conditionalFormatting>
  <conditionalFormatting sqref="R22">
    <cfRule type="iconSet" priority="17">
      <iconSet iconSet="3Arrows">
        <cfvo type="percent" val="0"/>
        <cfvo type="num" val="40"/>
        <cfvo type="num" val="70"/>
      </iconSet>
    </cfRule>
  </conditionalFormatting>
  <conditionalFormatting sqref="R23">
    <cfRule type="iconSet" priority="16">
      <iconSet iconSet="3Arrows">
        <cfvo type="percent" val="0"/>
        <cfvo type="num" val="40"/>
        <cfvo type="num" val="70"/>
      </iconSet>
    </cfRule>
  </conditionalFormatting>
  <conditionalFormatting sqref="R24">
    <cfRule type="iconSet" priority="15">
      <iconSet iconSet="3Arrows">
        <cfvo type="percent" val="0"/>
        <cfvo type="num" val="40"/>
        <cfvo type="num" val="70"/>
      </iconSet>
    </cfRule>
  </conditionalFormatting>
  <conditionalFormatting sqref="R25">
    <cfRule type="iconSet" priority="14">
      <iconSet iconSet="3Arrows">
        <cfvo type="percent" val="0"/>
        <cfvo type="num" val="40"/>
        <cfvo type="num" val="70"/>
      </iconSet>
    </cfRule>
  </conditionalFormatting>
  <conditionalFormatting sqref="R26">
    <cfRule type="iconSet" priority="13">
      <iconSet iconSet="3Arrows">
        <cfvo type="percent" val="0"/>
        <cfvo type="num" val="40"/>
        <cfvo type="num" val="70"/>
      </iconSet>
    </cfRule>
  </conditionalFormatting>
  <conditionalFormatting sqref="R52">
    <cfRule type="iconSet" priority="12">
      <iconSet iconSet="3Arrows">
        <cfvo type="percent" val="0"/>
        <cfvo type="num" val="40"/>
        <cfvo type="num" val="70"/>
      </iconSet>
    </cfRule>
  </conditionalFormatting>
  <conditionalFormatting sqref="R53">
    <cfRule type="iconSet" priority="11">
      <iconSet iconSet="3Arrows">
        <cfvo type="percent" val="0"/>
        <cfvo type="num" val="40"/>
        <cfvo type="num" val="70"/>
      </iconSet>
    </cfRule>
  </conditionalFormatting>
  <conditionalFormatting sqref="R54">
    <cfRule type="iconSet" priority="10">
      <iconSet iconSet="3Arrows">
        <cfvo type="percent" val="0"/>
        <cfvo type="num" val="40"/>
        <cfvo type="num" val="70"/>
      </iconSet>
    </cfRule>
  </conditionalFormatting>
  <conditionalFormatting sqref="R55">
    <cfRule type="iconSet" priority="9">
      <iconSet iconSet="3Arrows">
        <cfvo type="percent" val="0"/>
        <cfvo type="num" val="40"/>
        <cfvo type="num" val="70"/>
      </iconSet>
    </cfRule>
  </conditionalFormatting>
  <conditionalFormatting sqref="R56">
    <cfRule type="iconSet" priority="8">
      <iconSet iconSet="3Arrows">
        <cfvo type="percent" val="0"/>
        <cfvo type="num" val="40"/>
        <cfvo type="num" val="70"/>
      </iconSet>
    </cfRule>
  </conditionalFormatting>
  <conditionalFormatting sqref="R57">
    <cfRule type="iconSet" priority="7">
      <iconSet iconSet="3Arrows">
        <cfvo type="percent" val="0"/>
        <cfvo type="num" val="40"/>
        <cfvo type="num" val="70"/>
      </iconSet>
    </cfRule>
  </conditionalFormatting>
  <conditionalFormatting sqref="R58">
    <cfRule type="iconSet" priority="6">
      <iconSet iconSet="3Arrows">
        <cfvo type="percent" val="0"/>
        <cfvo type="num" val="40"/>
        <cfvo type="num" val="70"/>
      </iconSet>
    </cfRule>
  </conditionalFormatting>
  <conditionalFormatting sqref="R59">
    <cfRule type="iconSet" priority="5">
      <iconSet iconSet="3Arrows">
        <cfvo type="percent" val="0"/>
        <cfvo type="num" val="40"/>
        <cfvo type="num" val="70"/>
      </iconSet>
    </cfRule>
  </conditionalFormatting>
  <conditionalFormatting sqref="R60">
    <cfRule type="iconSet" priority="4">
      <iconSet iconSet="3Arrows">
        <cfvo type="percent" val="0"/>
        <cfvo type="num" val="40"/>
        <cfvo type="num" val="70"/>
      </iconSet>
    </cfRule>
  </conditionalFormatting>
  <conditionalFormatting sqref="R61">
    <cfRule type="iconSet" priority="3">
      <iconSet iconSet="3Arrows">
        <cfvo type="percent" val="0"/>
        <cfvo type="num" val="40"/>
        <cfvo type="num" val="70"/>
      </iconSet>
    </cfRule>
  </conditionalFormatting>
  <conditionalFormatting sqref="R62">
    <cfRule type="iconSet" priority="2">
      <iconSet iconSet="3Arrows">
        <cfvo type="percent" val="0"/>
        <cfvo type="num" val="40"/>
        <cfvo type="num" val="70"/>
      </iconSet>
    </cfRule>
  </conditionalFormatting>
  <conditionalFormatting sqref="R63">
    <cfRule type="iconSet" priority="1">
      <iconSet iconSet="3Arrows">
        <cfvo type="percent" val="0"/>
        <cfvo type="num" val="40"/>
        <cfvo type="num" val="70"/>
      </iconSet>
    </cfRule>
  </conditionalFormatting>
  <pageMargins left="0.23622047244094491" right="0.23622047244094491" top="0.74803149606299213" bottom="0.74803149606299213" header="0.31496062992125984" footer="0.31496062992125984"/>
  <pageSetup scale="75" orientation="landscape" r:id="rId2"/>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pageSetUpPr fitToPage="1"/>
  </sheetPr>
  <dimension ref="A1:CH489"/>
  <sheetViews>
    <sheetView tabSelected="1" topLeftCell="A3" zoomScale="66" zoomScaleNormal="66" zoomScalePageLayoutView="140" workbookViewId="0">
      <pane ySplit="2" topLeftCell="A5" activePane="bottomLeft" state="frozen"/>
      <selection activeCell="A3" sqref="A3"/>
      <selection pane="bottomLeft" activeCell="BN3" sqref="BN2:BU3"/>
    </sheetView>
  </sheetViews>
  <sheetFormatPr baseColWidth="10" defaultColWidth="11.44140625" defaultRowHeight="14.4" x14ac:dyDescent="0.3"/>
  <cols>
    <col min="1" max="1" width="11.88671875" style="3" customWidth="1"/>
    <col min="2" max="2" width="13.6640625" style="5" customWidth="1"/>
    <col min="3" max="3" width="9.44140625" style="5" hidden="1" customWidth="1"/>
    <col min="4" max="4" width="12.44140625" style="3" customWidth="1"/>
    <col min="5" max="5" width="10.6640625" style="3" customWidth="1"/>
    <col min="6" max="6" width="3.33203125" style="3" hidden="1" customWidth="1"/>
    <col min="7" max="7" width="5.5546875" style="3" hidden="1" customWidth="1"/>
    <col min="8" max="8" width="10.44140625" style="3" customWidth="1"/>
    <col min="9" max="9" width="8.5546875" style="253" hidden="1" customWidth="1"/>
    <col min="10" max="10" width="11.88671875" style="254" hidden="1" customWidth="1"/>
    <col min="11" max="11" width="11.109375" style="252" hidden="1" customWidth="1"/>
    <col min="12" max="12" width="9.44140625" style="3" hidden="1" customWidth="1"/>
    <col min="13" max="13" width="10" style="3" customWidth="1"/>
    <col min="14" max="14" width="10" style="252" customWidth="1"/>
    <col min="15" max="15" width="3.5546875" style="252" customWidth="1"/>
    <col min="16" max="16" width="24.88671875" style="28" customWidth="1"/>
    <col min="17" max="17" width="7.44140625" style="28" customWidth="1"/>
    <col min="18" max="18" width="6.109375" style="4" hidden="1" customWidth="1"/>
    <col min="19" max="19" width="4.5546875" style="255" customWidth="1"/>
    <col min="20" max="20" width="2.5546875" style="255" customWidth="1"/>
    <col min="21" max="21" width="5.33203125" style="255" hidden="1" customWidth="1"/>
    <col min="22" max="22" width="4.5546875" style="255" hidden="1" customWidth="1"/>
    <col min="23" max="23" width="5.44140625" style="255" hidden="1" customWidth="1"/>
    <col min="24" max="24" width="2.33203125" style="255" hidden="1" customWidth="1"/>
    <col min="25" max="25" width="5.33203125" style="255" hidden="1" customWidth="1"/>
    <col min="26" max="26" width="4.33203125" style="255" hidden="1" customWidth="1"/>
    <col min="27" max="27" width="10.109375" style="256" customWidth="1"/>
    <col min="28" max="28" width="21.6640625" style="256" customWidth="1"/>
    <col min="29" max="29" width="12" style="256" customWidth="1"/>
    <col min="30" max="32" width="1.33203125" style="256" customWidth="1"/>
    <col min="33" max="33" width="14.44140625" style="257" customWidth="1"/>
    <col min="34" max="34" width="16.33203125" style="257" customWidth="1"/>
    <col min="35" max="35" width="4.6640625" style="257" hidden="1" customWidth="1"/>
    <col min="36" max="36" width="2.6640625" style="256" hidden="1" customWidth="1"/>
    <col min="37" max="37" width="2.44140625" style="256" hidden="1" customWidth="1"/>
    <col min="38" max="38" width="3" style="256" hidden="1" customWidth="1"/>
    <col min="39" max="39" width="2.109375" style="256" hidden="1" customWidth="1"/>
    <col min="40" max="40" width="2.44140625" style="256" hidden="1" customWidth="1"/>
    <col min="41" max="41" width="9.88671875" style="257" customWidth="1"/>
    <col min="42" max="42" width="9.88671875" style="258" hidden="1" customWidth="1"/>
    <col min="43" max="43" width="4.5546875" style="258" hidden="1" customWidth="1"/>
    <col min="44" max="44" width="7.6640625" style="258" hidden="1" customWidth="1"/>
    <col min="45" max="45" width="4.88671875" style="258" hidden="1" customWidth="1"/>
    <col min="46" max="46" width="8.6640625" style="258" hidden="1" customWidth="1"/>
    <col min="47" max="47" width="7.5546875" style="258" hidden="1" customWidth="1"/>
    <col min="48" max="48" width="4.88671875" style="258" hidden="1" customWidth="1"/>
    <col min="49" max="49" width="5.88671875" style="259" hidden="1" customWidth="1"/>
    <col min="50" max="50" width="5.109375" style="258" hidden="1" customWidth="1"/>
    <col min="51" max="51" width="9.33203125" style="258" hidden="1" customWidth="1"/>
    <col min="52" max="52" width="6.5546875" style="258" hidden="1" customWidth="1"/>
    <col min="53" max="53" width="5.5546875" style="258" hidden="1" customWidth="1"/>
    <col min="54" max="54" width="4.44140625" style="258" hidden="1" customWidth="1"/>
    <col min="55" max="55" width="2.6640625" style="258" hidden="1" customWidth="1"/>
    <col min="56" max="56" width="2.5546875" style="258" hidden="1" customWidth="1"/>
    <col min="57" max="57" width="3" style="259" hidden="1" customWidth="1"/>
    <col min="58" max="58" width="7.33203125" style="258" hidden="1" customWidth="1"/>
    <col min="59" max="59" width="5.6640625" style="258" hidden="1" customWidth="1"/>
    <col min="60" max="60" width="4.6640625" style="258" hidden="1" customWidth="1"/>
    <col min="61" max="61" width="3.88671875" style="258" hidden="1" customWidth="1"/>
    <col min="62" max="62" width="4.33203125" style="258" hidden="1" customWidth="1"/>
    <col min="63" max="63" width="4.5546875" style="258" hidden="1" customWidth="1"/>
    <col min="64" max="64" width="6.6640625" style="258" hidden="1" customWidth="1"/>
    <col min="65" max="65" width="9.109375" style="259" hidden="1" customWidth="1"/>
    <col min="66" max="66" width="4.6640625" style="258" customWidth="1"/>
    <col min="67" max="67" width="10" style="258" customWidth="1"/>
    <col min="68" max="68" width="11.109375" style="258" customWidth="1"/>
    <col min="69" max="69" width="4.109375" style="258" customWidth="1"/>
    <col min="70" max="70" width="6.109375" style="258" customWidth="1"/>
    <col min="71" max="71" width="4.5546875" style="258" customWidth="1"/>
    <col min="72" max="72" width="8.109375" style="258" customWidth="1"/>
    <col min="73" max="73" width="17" style="259" customWidth="1"/>
    <col min="74" max="74" width="4.6640625" customWidth="1"/>
    <col min="75" max="75" width="4" customWidth="1"/>
    <col min="76" max="76" width="10.109375" style="150" customWidth="1"/>
    <col min="77" max="77" width="2.5546875" style="150" hidden="1" customWidth="1"/>
    <col min="78" max="79" width="1.88671875" style="150" hidden="1" customWidth="1"/>
    <col min="80" max="80" width="10" style="150" customWidth="1"/>
    <col min="81" max="81" width="0" hidden="1" customWidth="1"/>
    <col min="82" max="82" width="7.88671875" hidden="1" customWidth="1"/>
    <col min="83" max="84" width="5.44140625" hidden="1" customWidth="1"/>
    <col min="85" max="85" width="4.6640625" hidden="1" customWidth="1"/>
  </cols>
  <sheetData>
    <row r="1" spans="1:85" ht="68.25" hidden="1" customHeight="1" thickBot="1" x14ac:dyDescent="0.3">
      <c r="A1" s="1711" t="s">
        <v>3961</v>
      </c>
      <c r="B1" s="1585"/>
      <c r="C1" s="1585"/>
      <c r="D1" s="1585"/>
      <c r="E1" s="1585"/>
      <c r="F1" s="1585"/>
      <c r="G1" s="1585"/>
      <c r="H1" s="1585"/>
      <c r="I1" s="1585"/>
      <c r="J1" s="1585"/>
      <c r="K1" s="1585"/>
      <c r="L1" s="1585"/>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c r="AN1" s="1585"/>
      <c r="AO1" s="1585"/>
      <c r="AP1" s="1585"/>
      <c r="AQ1" s="1585"/>
      <c r="AR1" s="1585"/>
      <c r="AS1" s="1585"/>
      <c r="AT1" s="1585"/>
      <c r="AU1" s="1585"/>
      <c r="AV1" s="1585"/>
      <c r="AW1" s="1585"/>
      <c r="AX1" s="1585"/>
      <c r="AY1" s="1585"/>
      <c r="AZ1" s="1585"/>
      <c r="BA1" s="1585"/>
      <c r="BB1" s="1585"/>
      <c r="BC1" s="1585"/>
      <c r="BD1" s="1585"/>
      <c r="BE1" s="1585"/>
      <c r="BF1" s="1585"/>
      <c r="BG1" s="1585"/>
      <c r="BH1" s="1585"/>
      <c r="BI1" s="1585"/>
      <c r="BJ1" s="1585"/>
      <c r="BK1" s="1585"/>
      <c r="BL1" s="1585"/>
      <c r="BM1" s="1585"/>
      <c r="BN1" s="1585"/>
      <c r="BO1" s="1585"/>
      <c r="BP1" s="1585"/>
      <c r="BQ1" s="1585"/>
      <c r="BR1" s="1585"/>
      <c r="BS1" s="1585"/>
      <c r="BT1" s="1585"/>
      <c r="BU1" s="1585"/>
      <c r="BV1" s="1585"/>
      <c r="BW1" s="1585"/>
      <c r="BX1" s="1585"/>
      <c r="BY1" s="1585"/>
      <c r="BZ1" s="1585"/>
      <c r="CA1" s="1585"/>
      <c r="CB1" s="1586"/>
    </row>
    <row r="2" spans="1:85" ht="54.75" hidden="1" customHeight="1" thickBot="1" x14ac:dyDescent="0.3">
      <c r="A2" s="1617" t="s">
        <v>1</v>
      </c>
      <c r="B2" s="1618"/>
      <c r="C2" s="1618"/>
      <c r="D2" s="1618"/>
      <c r="E2" s="1618"/>
      <c r="F2" s="1618"/>
      <c r="G2" s="1618"/>
      <c r="H2" s="1618"/>
      <c r="I2" s="1618"/>
      <c r="J2" s="1618"/>
      <c r="K2" s="1618"/>
      <c r="L2" s="1618"/>
      <c r="M2" s="1618"/>
      <c r="N2" s="1618"/>
      <c r="O2" s="1618"/>
      <c r="P2" s="1618"/>
      <c r="Q2" s="1618"/>
      <c r="R2" s="1618"/>
      <c r="S2" s="1618"/>
      <c r="T2" s="1618"/>
      <c r="U2" s="1618"/>
      <c r="V2" s="1618"/>
      <c r="W2" s="1618"/>
      <c r="X2" s="1618"/>
      <c r="Y2" s="1618"/>
      <c r="Z2" s="1618"/>
      <c r="AA2" s="1618"/>
      <c r="AB2" s="1618"/>
      <c r="AC2" s="1618"/>
      <c r="AD2" s="1618"/>
      <c r="AE2" s="1618"/>
      <c r="AF2" s="1618"/>
      <c r="AG2" s="1618"/>
      <c r="AH2" s="1618"/>
      <c r="AI2" s="1618"/>
      <c r="AJ2" s="1618"/>
      <c r="AK2" s="1618"/>
      <c r="AL2" s="1618"/>
      <c r="AM2" s="1618"/>
      <c r="AN2" s="1618"/>
      <c r="AO2" s="1618"/>
      <c r="AP2" s="564"/>
      <c r="AQ2" s="564"/>
      <c r="AR2" s="564"/>
      <c r="AS2" s="564"/>
      <c r="AT2" s="564"/>
      <c r="AU2" s="564"/>
      <c r="AV2" s="564"/>
      <c r="AW2" s="565"/>
      <c r="AX2" s="564"/>
      <c r="AY2" s="564"/>
      <c r="AZ2" s="564"/>
      <c r="BA2" s="564"/>
      <c r="BB2" s="564"/>
      <c r="BC2" s="564"/>
      <c r="BD2" s="564"/>
      <c r="BE2" s="565"/>
      <c r="BF2" s="564"/>
      <c r="BG2" s="564"/>
      <c r="BH2" s="564"/>
      <c r="BI2" s="564"/>
      <c r="BJ2" s="564"/>
      <c r="BK2" s="564"/>
      <c r="BL2" s="564"/>
      <c r="BM2" s="565"/>
      <c r="BN2" s="564"/>
      <c r="BO2" s="564"/>
      <c r="BP2" s="564"/>
      <c r="BQ2" s="564"/>
      <c r="BR2" s="564"/>
      <c r="BS2" s="564"/>
      <c r="BT2" s="564"/>
      <c r="BU2" s="565"/>
      <c r="BV2" s="566"/>
      <c r="BW2" s="566"/>
      <c r="BX2" s="1048"/>
      <c r="BY2" s="1048"/>
      <c r="BZ2" s="1048"/>
      <c r="CA2" s="1049"/>
      <c r="CB2" s="1050"/>
    </row>
    <row r="3" spans="1:85" ht="15.75" thickBot="1" x14ac:dyDescent="0.3">
      <c r="A3" s="459"/>
      <c r="B3" s="460"/>
      <c r="C3" s="460"/>
      <c r="D3" s="459"/>
      <c r="E3" s="459"/>
      <c r="F3" s="459"/>
      <c r="G3" s="459"/>
      <c r="H3" s="459"/>
      <c r="I3" s="461"/>
      <c r="J3" s="462"/>
      <c r="K3" s="463"/>
      <c r="L3" s="459"/>
      <c r="M3" s="459"/>
      <c r="N3" s="463"/>
      <c r="O3" s="463"/>
      <c r="P3" s="464"/>
      <c r="Q3" s="464"/>
      <c r="R3" s="465"/>
      <c r="S3" s="466"/>
      <c r="T3" s="678"/>
      <c r="U3" s="466"/>
      <c r="V3" s="466"/>
      <c r="W3" s="466"/>
      <c r="X3" s="466"/>
      <c r="Y3" s="466"/>
      <c r="Z3" s="466"/>
      <c r="AA3" s="467"/>
      <c r="AB3" s="467"/>
      <c r="AC3" s="1621" t="s">
        <v>2558</v>
      </c>
      <c r="AD3" s="1622"/>
      <c r="AE3" s="1622"/>
      <c r="AF3" s="1623"/>
      <c r="AG3" s="468"/>
      <c r="AH3" s="468"/>
      <c r="AI3" s="468"/>
      <c r="AJ3" s="467"/>
      <c r="AK3" s="467"/>
      <c r="AL3" s="467"/>
      <c r="AM3" s="467"/>
      <c r="AN3" s="467"/>
      <c r="AO3" s="468"/>
      <c r="AP3" s="1614" t="s">
        <v>2559</v>
      </c>
      <c r="AQ3" s="1615"/>
      <c r="AR3" s="1615"/>
      <c r="AS3" s="1615"/>
      <c r="AT3" s="1615"/>
      <c r="AU3" s="1615"/>
      <c r="AV3" s="1615"/>
      <c r="AW3" s="1616"/>
      <c r="AX3" s="1614" t="s">
        <v>2560</v>
      </c>
      <c r="AY3" s="1615"/>
      <c r="AZ3" s="1615"/>
      <c r="BA3" s="1615"/>
      <c r="BB3" s="1615"/>
      <c r="BC3" s="1615"/>
      <c r="BD3" s="1615"/>
      <c r="BE3" s="1616"/>
      <c r="BF3" s="1614" t="s">
        <v>2561</v>
      </c>
      <c r="BG3" s="1615"/>
      <c r="BH3" s="1615"/>
      <c r="BI3" s="1615"/>
      <c r="BJ3" s="1615"/>
      <c r="BK3" s="1615"/>
      <c r="BL3" s="1615"/>
      <c r="BM3" s="1616"/>
      <c r="BN3" s="1614" t="s">
        <v>2562</v>
      </c>
      <c r="BO3" s="1615"/>
      <c r="BP3" s="1615"/>
      <c r="BQ3" s="1615"/>
      <c r="BR3" s="1615"/>
      <c r="BS3" s="1615"/>
      <c r="BT3" s="1615"/>
      <c r="BU3" s="1616"/>
      <c r="BV3" s="1587" t="s">
        <v>2563</v>
      </c>
      <c r="BW3" s="1588"/>
      <c r="BX3" s="1588"/>
      <c r="BY3" s="1588"/>
      <c r="BZ3" s="1588"/>
      <c r="CA3" s="1588"/>
      <c r="CB3" s="1589"/>
    </row>
    <row r="4" spans="1:85" ht="97.5" customHeight="1" thickBot="1" x14ac:dyDescent="0.35">
      <c r="A4" s="284" t="s">
        <v>8</v>
      </c>
      <c r="B4" s="284" t="s">
        <v>9</v>
      </c>
      <c r="C4" s="284" t="s">
        <v>10</v>
      </c>
      <c r="D4" s="284" t="s">
        <v>11</v>
      </c>
      <c r="E4" s="284" t="s">
        <v>12</v>
      </c>
      <c r="F4" s="284" t="s">
        <v>13</v>
      </c>
      <c r="G4" s="284" t="s">
        <v>14</v>
      </c>
      <c r="H4" s="284" t="s">
        <v>15</v>
      </c>
      <c r="I4" s="285" t="s">
        <v>16</v>
      </c>
      <c r="J4" s="285" t="s">
        <v>17</v>
      </c>
      <c r="K4" s="284" t="s">
        <v>18</v>
      </c>
      <c r="L4" s="284" t="s">
        <v>19</v>
      </c>
      <c r="M4" s="284" t="s">
        <v>20</v>
      </c>
      <c r="N4" s="286" t="s">
        <v>21</v>
      </c>
      <c r="O4" s="284" t="s">
        <v>22</v>
      </c>
      <c r="P4" s="284" t="s">
        <v>24</v>
      </c>
      <c r="Q4" s="284" t="s">
        <v>12</v>
      </c>
      <c r="R4" s="284" t="s">
        <v>13</v>
      </c>
      <c r="S4" s="287" t="s">
        <v>14</v>
      </c>
      <c r="T4" s="679" t="s">
        <v>5134</v>
      </c>
      <c r="U4" s="657" t="s">
        <v>2565</v>
      </c>
      <c r="V4" s="657" t="s">
        <v>2566</v>
      </c>
      <c r="W4" s="657" t="s">
        <v>2567</v>
      </c>
      <c r="X4" s="657" t="s">
        <v>2566</v>
      </c>
      <c r="Y4" s="657" t="s">
        <v>2568</v>
      </c>
      <c r="Z4" s="657" t="s">
        <v>2566</v>
      </c>
      <c r="AA4" s="658" t="s">
        <v>5135</v>
      </c>
      <c r="AB4" s="657" t="s">
        <v>2566</v>
      </c>
      <c r="AC4" s="666" t="s">
        <v>5133</v>
      </c>
      <c r="AD4" s="666" t="s">
        <v>2571</v>
      </c>
      <c r="AE4" s="666" t="s">
        <v>2572</v>
      </c>
      <c r="AF4" s="666" t="s">
        <v>2573</v>
      </c>
      <c r="AG4" s="288" t="s">
        <v>2574</v>
      </c>
      <c r="AH4" s="288" t="s">
        <v>3962</v>
      </c>
      <c r="AI4" s="289" t="s">
        <v>2575</v>
      </c>
      <c r="AJ4" s="288" t="s">
        <v>2576</v>
      </c>
      <c r="AK4" s="288" t="s">
        <v>2577</v>
      </c>
      <c r="AL4" s="288" t="s">
        <v>2578</v>
      </c>
      <c r="AM4" s="288" t="s">
        <v>2579</v>
      </c>
      <c r="AN4" s="288" t="s">
        <v>2580</v>
      </c>
      <c r="AO4" s="503" t="s">
        <v>2581</v>
      </c>
      <c r="AP4" s="535" t="s">
        <v>2582</v>
      </c>
      <c r="AQ4" s="536" t="s">
        <v>27</v>
      </c>
      <c r="AR4" s="535" t="s">
        <v>2583</v>
      </c>
      <c r="AS4" s="536" t="s">
        <v>2584</v>
      </c>
      <c r="AT4" s="535" t="s">
        <v>2585</v>
      </c>
      <c r="AU4" s="537" t="s">
        <v>2586</v>
      </c>
      <c r="AV4" s="535" t="s">
        <v>31</v>
      </c>
      <c r="AW4" s="538" t="s">
        <v>32</v>
      </c>
      <c r="AX4" s="535" t="s">
        <v>2582</v>
      </c>
      <c r="AY4" s="536" t="s">
        <v>27</v>
      </c>
      <c r="AZ4" s="535" t="s">
        <v>2583</v>
      </c>
      <c r="BA4" s="536" t="s">
        <v>2584</v>
      </c>
      <c r="BB4" s="535" t="s">
        <v>2585</v>
      </c>
      <c r="BC4" s="537" t="s">
        <v>2586</v>
      </c>
      <c r="BD4" s="535" t="s">
        <v>31</v>
      </c>
      <c r="BE4" s="538" t="s">
        <v>32</v>
      </c>
      <c r="BF4" s="535" t="s">
        <v>2582</v>
      </c>
      <c r="BG4" s="536" t="s">
        <v>27</v>
      </c>
      <c r="BH4" s="535" t="s">
        <v>2583</v>
      </c>
      <c r="BI4" s="536" t="s">
        <v>2584</v>
      </c>
      <c r="BJ4" s="535" t="s">
        <v>2585</v>
      </c>
      <c r="BK4" s="537" t="s">
        <v>2586</v>
      </c>
      <c r="BL4" s="535" t="s">
        <v>31</v>
      </c>
      <c r="BM4" s="538" t="s">
        <v>32</v>
      </c>
      <c r="BN4" s="535" t="s">
        <v>2582</v>
      </c>
      <c r="BO4" s="536" t="s">
        <v>27</v>
      </c>
      <c r="BP4" s="535" t="s">
        <v>2583</v>
      </c>
      <c r="BQ4" s="536" t="s">
        <v>2584</v>
      </c>
      <c r="BR4" s="535" t="s">
        <v>2585</v>
      </c>
      <c r="BS4" s="537" t="s">
        <v>2586</v>
      </c>
      <c r="BT4" s="535" t="s">
        <v>31</v>
      </c>
      <c r="BU4" s="538" t="s">
        <v>32</v>
      </c>
      <c r="BV4" s="569" t="s">
        <v>2587</v>
      </c>
      <c r="BW4" s="570" t="s">
        <v>2588</v>
      </c>
      <c r="BX4" s="571" t="s">
        <v>2589</v>
      </c>
      <c r="BY4" s="570" t="s">
        <v>2590</v>
      </c>
      <c r="BZ4" s="571" t="s">
        <v>2591</v>
      </c>
      <c r="CA4" s="570" t="s">
        <v>2592</v>
      </c>
      <c r="CB4" s="571" t="s">
        <v>2593</v>
      </c>
      <c r="CC4" s="1033"/>
      <c r="CD4" s="1241">
        <v>2016</v>
      </c>
      <c r="CE4" s="1241">
        <v>2017</v>
      </c>
      <c r="CF4" s="1241">
        <v>2018</v>
      </c>
      <c r="CG4" s="1241">
        <v>2019</v>
      </c>
    </row>
    <row r="5" spans="1:85" ht="24.75" hidden="1" customHeight="1" thickBot="1" x14ac:dyDescent="0.3">
      <c r="A5" s="1619" t="s">
        <v>33</v>
      </c>
      <c r="B5" s="1619"/>
      <c r="C5" s="1619"/>
      <c r="D5" s="1619"/>
      <c r="E5" s="1619"/>
      <c r="F5" s="1619"/>
      <c r="G5" s="1619"/>
      <c r="H5" s="1619"/>
      <c r="I5" s="1619"/>
      <c r="J5" s="1619"/>
      <c r="K5" s="1619"/>
      <c r="L5" s="1619"/>
      <c r="M5" s="1619"/>
      <c r="N5" s="1619"/>
      <c r="O5" s="1619"/>
      <c r="P5" s="1619"/>
      <c r="Q5" s="1619"/>
      <c r="R5" s="1619"/>
      <c r="S5" s="1619"/>
      <c r="T5" s="1619"/>
      <c r="U5" s="1619"/>
      <c r="V5" s="1619"/>
      <c r="W5" s="1619"/>
      <c r="X5" s="1619"/>
      <c r="Y5" s="1619"/>
      <c r="Z5" s="1619"/>
      <c r="AA5" s="1619"/>
      <c r="AB5" s="1619"/>
      <c r="AC5" s="1619"/>
      <c r="AD5" s="1619"/>
      <c r="AE5" s="1619"/>
      <c r="AF5" s="1619"/>
      <c r="AG5" s="1619"/>
      <c r="AH5" s="1619"/>
      <c r="AI5" s="1619"/>
      <c r="AJ5" s="1619"/>
      <c r="AK5" s="1619"/>
      <c r="AL5" s="1619"/>
      <c r="AM5" s="1620"/>
      <c r="AN5" s="292"/>
      <c r="AO5" s="504"/>
      <c r="AP5" s="553"/>
      <c r="AQ5" s="554"/>
      <c r="AR5" s="554"/>
      <c r="AS5" s="554"/>
      <c r="AT5" s="554"/>
      <c r="AU5" s="554"/>
      <c r="AV5" s="554"/>
      <c r="AW5" s="555">
        <f>SUM(AP5:AV5)</f>
        <v>0</v>
      </c>
      <c r="AX5" s="553"/>
      <c r="AY5" s="554"/>
      <c r="AZ5" s="554"/>
      <c r="BA5" s="554"/>
      <c r="BB5" s="554"/>
      <c r="BC5" s="554"/>
      <c r="BD5" s="554"/>
      <c r="BE5" s="555">
        <f>SUM(AX5:BD5)</f>
        <v>0</v>
      </c>
      <c r="BF5" s="553"/>
      <c r="BG5" s="554"/>
      <c r="BH5" s="554"/>
      <c r="BI5" s="554"/>
      <c r="BJ5" s="554"/>
      <c r="BK5" s="554"/>
      <c r="BL5" s="554"/>
      <c r="BM5" s="555">
        <f>SUM(BF5:BL5)</f>
        <v>0</v>
      </c>
      <c r="BN5" s="553"/>
      <c r="BO5" s="554"/>
      <c r="BP5" s="554"/>
      <c r="BQ5" s="554"/>
      <c r="BR5" s="554"/>
      <c r="BS5" s="554"/>
      <c r="BT5" s="554"/>
      <c r="BU5" s="555">
        <f>SUM(BN5:BT5)</f>
        <v>0</v>
      </c>
      <c r="BV5" s="552"/>
      <c r="BW5" s="552"/>
      <c r="BX5" s="1051"/>
      <c r="BY5" s="1051"/>
      <c r="BZ5" s="1051"/>
      <c r="CA5" s="1052"/>
      <c r="CB5" s="1052"/>
    </row>
    <row r="6" spans="1:85" ht="23.25" customHeight="1" thickBot="1" x14ac:dyDescent="0.35">
      <c r="A6" s="1608" t="s">
        <v>35</v>
      </c>
      <c r="B6" s="1609"/>
      <c r="C6" s="1609"/>
      <c r="D6" s="1609"/>
      <c r="E6" s="1609"/>
      <c r="F6" s="1609"/>
      <c r="G6" s="1609"/>
      <c r="H6" s="1609"/>
      <c r="I6" s="1609"/>
      <c r="J6" s="1609"/>
      <c r="K6" s="1609"/>
      <c r="L6" s="1609"/>
      <c r="M6" s="1609"/>
      <c r="N6" s="1609"/>
      <c r="O6" s="1609"/>
      <c r="P6" s="1609"/>
      <c r="Q6" s="1609"/>
      <c r="R6" s="1609"/>
      <c r="S6" s="1609"/>
      <c r="T6" s="1609"/>
      <c r="U6" s="1609"/>
      <c r="V6" s="1609"/>
      <c r="W6" s="1609"/>
      <c r="X6" s="1609"/>
      <c r="Y6" s="1609"/>
      <c r="Z6" s="1609"/>
      <c r="AA6" s="1609"/>
      <c r="AB6" s="1609"/>
      <c r="AC6" s="1609"/>
      <c r="AD6" s="1609"/>
      <c r="AE6" s="1609"/>
      <c r="AF6" s="1609"/>
      <c r="AG6" s="1609"/>
      <c r="AH6" s="1609"/>
      <c r="AI6" s="1609"/>
      <c r="AJ6" s="1609"/>
      <c r="AK6" s="1609"/>
      <c r="AL6" s="1609"/>
      <c r="AM6" s="1609"/>
      <c r="AN6" s="1609"/>
      <c r="AO6" s="1610"/>
      <c r="AP6" s="541"/>
      <c r="AQ6" s="542"/>
      <c r="AR6" s="542"/>
      <c r="AS6" s="542"/>
      <c r="AT6" s="542"/>
      <c r="AU6" s="542"/>
      <c r="AV6" s="542"/>
      <c r="AW6" s="543">
        <f>SUM(AP6:AV6)</f>
        <v>0</v>
      </c>
      <c r="AX6" s="541"/>
      <c r="AY6" s="542"/>
      <c r="AZ6" s="542"/>
      <c r="BA6" s="542"/>
      <c r="BB6" s="542"/>
      <c r="BC6" s="542"/>
      <c r="BD6" s="542"/>
      <c r="BE6" s="543">
        <f t="shared" ref="BE6:BE7" si="0">SUM(AX6:BD6)</f>
        <v>0</v>
      </c>
      <c r="BF6" s="541"/>
      <c r="BG6" s="542"/>
      <c r="BH6" s="542"/>
      <c r="BI6" s="542"/>
      <c r="BJ6" s="542"/>
      <c r="BK6" s="542"/>
      <c r="BL6" s="542"/>
      <c r="BM6" s="543">
        <f t="shared" ref="BM6:BM22" si="1">SUM(BF6:BL6)</f>
        <v>0</v>
      </c>
      <c r="BN6" s="541"/>
      <c r="BO6" s="542"/>
      <c r="BP6" s="542"/>
      <c r="BQ6" s="542"/>
      <c r="BR6" s="542"/>
      <c r="BS6" s="542"/>
      <c r="BT6" s="542"/>
      <c r="BU6" s="543">
        <f t="shared" ref="BU6:BU8" si="2">SUM(BN6:BT6)</f>
        <v>0</v>
      </c>
      <c r="BV6" s="654"/>
      <c r="BW6" s="558"/>
      <c r="BX6" s="1053"/>
      <c r="BY6" s="1053"/>
      <c r="BZ6" s="1053"/>
      <c r="CA6" s="1054"/>
      <c r="CB6" s="1054"/>
    </row>
    <row r="7" spans="1:85" ht="22.5" customHeight="1" x14ac:dyDescent="0.3">
      <c r="A7" s="296"/>
      <c r="B7" s="316"/>
      <c r="C7" s="1605" t="s">
        <v>37</v>
      </c>
      <c r="D7" s="1606"/>
      <c r="E7" s="1606"/>
      <c r="F7" s="1606"/>
      <c r="G7" s="1606"/>
      <c r="H7" s="1606"/>
      <c r="I7" s="1606"/>
      <c r="J7" s="1606"/>
      <c r="K7" s="1606"/>
      <c r="L7" s="1606"/>
      <c r="M7" s="1606"/>
      <c r="N7" s="1606"/>
      <c r="O7" s="1607"/>
      <c r="P7" s="318"/>
      <c r="Q7" s="318"/>
      <c r="R7" s="317"/>
      <c r="S7" s="319"/>
      <c r="T7" s="676"/>
      <c r="U7" s="319"/>
      <c r="V7" s="686">
        <f>SUM(V8:V22)</f>
        <v>1012.1</v>
      </c>
      <c r="W7" s="319"/>
      <c r="X7" s="695">
        <f>SUM(X8:X22)</f>
        <v>824420000</v>
      </c>
      <c r="Y7" s="319"/>
      <c r="Z7" s="695">
        <f>SUM(Z8:Z22)</f>
        <v>1050000000</v>
      </c>
      <c r="AA7" s="320"/>
      <c r="AB7" s="708">
        <f>SUM(AB8:AB22)</f>
        <v>705006992</v>
      </c>
      <c r="AC7" s="320"/>
      <c r="AD7" s="320"/>
      <c r="AE7" s="320"/>
      <c r="AF7" s="320"/>
      <c r="AG7" s="321"/>
      <c r="AH7" s="321"/>
      <c r="AI7" s="321"/>
      <c r="AJ7" s="320"/>
      <c r="AK7" s="320"/>
      <c r="AL7" s="320"/>
      <c r="AM7" s="320"/>
      <c r="AN7" s="320"/>
      <c r="AO7" s="321"/>
      <c r="AP7" s="549" t="e">
        <f t="shared" ref="AP7:AV7" si="3">(AP8:AP22)</f>
        <v>#VALUE!</v>
      </c>
      <c r="AQ7" s="550" t="e">
        <f t="shared" si="3"/>
        <v>#VALUE!</v>
      </c>
      <c r="AR7" s="550" t="e">
        <f t="shared" si="3"/>
        <v>#VALUE!</v>
      </c>
      <c r="AS7" s="550" t="e">
        <f t="shared" si="3"/>
        <v>#VALUE!</v>
      </c>
      <c r="AT7" s="550" t="e">
        <f t="shared" si="3"/>
        <v>#VALUE!</v>
      </c>
      <c r="AU7" s="550" t="e">
        <f t="shared" si="3"/>
        <v>#VALUE!</v>
      </c>
      <c r="AV7" s="550" t="e">
        <f t="shared" si="3"/>
        <v>#VALUE!</v>
      </c>
      <c r="AW7" s="551" t="e">
        <f>SUM(AP7:AV7)</f>
        <v>#VALUE!</v>
      </c>
      <c r="AX7" s="549" t="e">
        <f t="shared" ref="AX7:BD7" si="4">(AX8:AX22)</f>
        <v>#VALUE!</v>
      </c>
      <c r="AY7" s="550" t="e">
        <f t="shared" si="4"/>
        <v>#VALUE!</v>
      </c>
      <c r="AZ7" s="550" t="e">
        <f t="shared" si="4"/>
        <v>#VALUE!</v>
      </c>
      <c r="BA7" s="550" t="e">
        <f t="shared" si="4"/>
        <v>#VALUE!</v>
      </c>
      <c r="BB7" s="550" t="e">
        <f t="shared" si="4"/>
        <v>#VALUE!</v>
      </c>
      <c r="BC7" s="550" t="e">
        <f t="shared" si="4"/>
        <v>#VALUE!</v>
      </c>
      <c r="BD7" s="550" t="e">
        <f t="shared" si="4"/>
        <v>#VALUE!</v>
      </c>
      <c r="BE7" s="551" t="e">
        <f t="shared" si="0"/>
        <v>#VALUE!</v>
      </c>
      <c r="BF7" s="549" t="e">
        <f t="shared" ref="BF7:BL7" si="5">(BF8:BF22)</f>
        <v>#VALUE!</v>
      </c>
      <c r="BG7" s="550" t="e">
        <f t="shared" si="5"/>
        <v>#VALUE!</v>
      </c>
      <c r="BH7" s="550" t="e">
        <f t="shared" si="5"/>
        <v>#VALUE!</v>
      </c>
      <c r="BI7" s="550" t="e">
        <f t="shared" si="5"/>
        <v>#VALUE!</v>
      </c>
      <c r="BJ7" s="550" t="e">
        <f t="shared" si="5"/>
        <v>#VALUE!</v>
      </c>
      <c r="BK7" s="550" t="e">
        <f t="shared" si="5"/>
        <v>#VALUE!</v>
      </c>
      <c r="BL7" s="550" t="e">
        <f t="shared" si="5"/>
        <v>#VALUE!</v>
      </c>
      <c r="BM7" s="551" t="e">
        <f t="shared" si="1"/>
        <v>#VALUE!</v>
      </c>
      <c r="BN7" s="549" t="e">
        <f t="shared" ref="BN7:BT7" si="6">(BN8:BN22)</f>
        <v>#VALUE!</v>
      </c>
      <c r="BO7" s="550" t="e">
        <f t="shared" si="6"/>
        <v>#VALUE!</v>
      </c>
      <c r="BP7" s="550" t="e">
        <f t="shared" si="6"/>
        <v>#VALUE!</v>
      </c>
      <c r="BQ7" s="550" t="e">
        <f t="shared" si="6"/>
        <v>#VALUE!</v>
      </c>
      <c r="BR7" s="550" t="e">
        <f t="shared" si="6"/>
        <v>#VALUE!</v>
      </c>
      <c r="BS7" s="550" t="e">
        <f t="shared" si="6"/>
        <v>#VALUE!</v>
      </c>
      <c r="BT7" s="550" t="e">
        <f t="shared" si="6"/>
        <v>#VALUE!</v>
      </c>
      <c r="BU7" s="551" t="e">
        <f t="shared" si="2"/>
        <v>#VALUE!</v>
      </c>
      <c r="BV7" s="655"/>
      <c r="BW7" s="562"/>
      <c r="BX7" s="1055"/>
      <c r="BY7" s="1055"/>
      <c r="BZ7" s="1055"/>
      <c r="CA7" s="1055"/>
      <c r="CB7" s="1055"/>
    </row>
    <row r="8" spans="1:85" ht="72.75" hidden="1" customHeight="1" x14ac:dyDescent="0.25">
      <c r="A8" s="299" t="str">
        <f>'PLAN INDICATIVO'!A8</f>
        <v>A.1</v>
      </c>
      <c r="B8" s="299" t="str">
        <f>'PLAN INDICATIVO'!B8</f>
        <v>Educación</v>
      </c>
      <c r="C8" s="1546" t="s">
        <v>40</v>
      </c>
      <c r="D8" s="1549" t="s">
        <v>41</v>
      </c>
      <c r="E8" s="1549" t="s">
        <v>42</v>
      </c>
      <c r="F8" s="1549">
        <v>2014</v>
      </c>
      <c r="G8" s="1549">
        <v>37.909999999999997</v>
      </c>
      <c r="H8" s="1549">
        <v>39.5</v>
      </c>
      <c r="I8" s="300">
        <f>'PLAN INDICATIVO'!I8</f>
        <v>0</v>
      </c>
      <c r="J8" s="300">
        <f>'PLAN INDICATIVO'!J8</f>
        <v>0</v>
      </c>
      <c r="K8" s="1425" t="str">
        <f>'PLAN INDICATIVO'!K8</f>
        <v>A.1.1.1</v>
      </c>
      <c r="L8" s="301" t="str">
        <f>'PLAN INDICATIVO'!L8</f>
        <v>4. Educación de calidad</v>
      </c>
      <c r="M8" s="301" t="str">
        <f>'PLAN INDICATIVO'!M8</f>
        <v>Secretaría de Educación, Cultura, deporte y Turismo</v>
      </c>
      <c r="N8" s="1425" t="str">
        <f>'PLAN INDICATIVO'!N8</f>
        <v>YIMI FERNANDO LOSADA PAYA</v>
      </c>
      <c r="O8" s="1425" t="str">
        <f>'PLAN INDICATIVO'!O8</f>
        <v>Incremento</v>
      </c>
      <c r="P8" s="16" t="str">
        <f>'PLAN INDICATIVO'!P8</f>
        <v>Suministrar 1500 Kit Escolares  a estudiantes de bajos recursos económicos del Municipio en el cuatrienio.</v>
      </c>
      <c r="Q8" s="302" t="str">
        <f>'PLAN INDICATIVO'!Q8</f>
        <v>No. de kit escolares suministrados en el cuatrienio</v>
      </c>
      <c r="R8" s="303">
        <f>'PLAN INDICATIVO'!R8</f>
        <v>2015</v>
      </c>
      <c r="S8" s="304">
        <v>0</v>
      </c>
      <c r="T8" s="677">
        <v>1500</v>
      </c>
      <c r="U8" s="303"/>
      <c r="V8" s="687">
        <v>16</v>
      </c>
      <c r="W8" s="572">
        <v>500</v>
      </c>
      <c r="X8" s="687">
        <v>19670000</v>
      </c>
      <c r="Y8" s="572">
        <v>150</v>
      </c>
      <c r="Z8" s="687">
        <v>15000000</v>
      </c>
      <c r="AA8" s="1310">
        <v>147</v>
      </c>
      <c r="AB8" s="686"/>
      <c r="AC8" s="665"/>
      <c r="AD8" s="665">
        <v>1203</v>
      </c>
      <c r="AE8" s="665">
        <v>150</v>
      </c>
      <c r="AF8" s="665">
        <v>147</v>
      </c>
      <c r="AG8" s="664" t="s">
        <v>5136</v>
      </c>
      <c r="AH8" s="985">
        <v>2019413960018</v>
      </c>
      <c r="AI8" s="307" t="s">
        <v>4807</v>
      </c>
      <c r="AJ8" s="308" t="s">
        <v>3445</v>
      </c>
      <c r="AK8" s="309">
        <v>43799</v>
      </c>
      <c r="AL8" s="308"/>
      <c r="AM8" s="308"/>
      <c r="AN8" s="267" t="s">
        <v>2598</v>
      </c>
      <c r="AO8" s="507" t="s">
        <v>2635</v>
      </c>
      <c r="AP8" s="525"/>
      <c r="AQ8" s="310"/>
      <c r="AR8" s="310"/>
      <c r="AS8" s="310"/>
      <c r="AT8" s="310"/>
      <c r="AU8" s="310"/>
      <c r="AV8" s="310"/>
      <c r="AW8" s="544"/>
      <c r="AX8" s="525"/>
      <c r="AY8" s="310"/>
      <c r="AZ8" s="310"/>
      <c r="BA8" s="310"/>
      <c r="BB8" s="310"/>
      <c r="BC8" s="310"/>
      <c r="BD8" s="310"/>
      <c r="BE8" s="544"/>
      <c r="BF8" s="525"/>
      <c r="BG8" s="310"/>
      <c r="BH8" s="310"/>
      <c r="BI8" s="310"/>
      <c r="BJ8" s="310"/>
      <c r="BK8" s="310"/>
      <c r="BL8" s="310"/>
      <c r="BM8" s="544">
        <f t="shared" si="1"/>
        <v>0</v>
      </c>
      <c r="BN8" s="525"/>
      <c r="BO8" s="472">
        <v>2440000</v>
      </c>
      <c r="BP8" s="310"/>
      <c r="BQ8" s="310"/>
      <c r="BR8" s="310"/>
      <c r="BS8" s="310"/>
      <c r="BT8" s="310">
        <v>2000000</v>
      </c>
      <c r="BU8" s="544">
        <f t="shared" si="2"/>
        <v>4440000</v>
      </c>
      <c r="BV8" s="1582" t="s">
        <v>2563</v>
      </c>
      <c r="BW8" s="663">
        <f t="shared" ref="BW8:BW71" si="7">AC8+AD8+AE8+AF8</f>
        <v>1500</v>
      </c>
      <c r="BX8" s="1047">
        <f t="shared" ref="BX8:BX22" si="8">BW8/T8</f>
        <v>1</v>
      </c>
      <c r="BY8" s="1047" t="str">
        <f t="shared" ref="BY8:BY22" si="9">IF(U8&gt;=0.1,AC8/U8,IF(ISBLANK(U8),"No Programada","Aplazada"))</f>
        <v>No Programada</v>
      </c>
      <c r="BZ8" s="1047">
        <f t="shared" ref="BZ8:BZ22" si="10">IF(W8&gt;=0.1,AD8/W8,IF(ISBLANK(W8),"No Programada","Aplazada"))</f>
        <v>2.4060000000000001</v>
      </c>
      <c r="CA8" s="1047">
        <f t="shared" ref="CA8:CA22" si="11">IF(Y8&gt;=0.1,AE8/Y8,IF(ISBLANK(Y8),"No Programada","Aplazada"))</f>
        <v>1</v>
      </c>
      <c r="CB8" s="1047">
        <f t="shared" ref="CB8:CB22" si="12">IF(AA8&gt;=0.1,AF8/AA8,IF(ISBLANK(AA8),"No Programada","Aplazada"))</f>
        <v>1</v>
      </c>
      <c r="CD8" t="str">
        <f>IF(BY8="PARA MODIFICAR","M",IF(BY8="PARA ELIMINAR","E",IF(BY8="aplazada","AZ",IF(BY8="no programada","NP",IF(BY8&gt;=85%,"VE",IF(BY8&gt;70%,"VEB",IF(BY8&gt;60%,"AM",IF(BY8&gt;40%,"AMB",IF(BY8&gt;20%,"RO",IF(BY8&gt;=0%,"ROB",""))))))))))</f>
        <v>NP</v>
      </c>
      <c r="CE8" t="str">
        <f>IF(BZ8="PARA MODIFICAR","M",IF(BZ8="PARA ELIMINAR","E",IF(BZ8="aplazada","AZ",IF(BZ8="no programada","NP",IF(BZ8&gt;=85%,"VE",IF(BZ8&gt;70%,"VEB",IF(BZ8&gt;60%,"AM",IF(BZ8&gt;40%,"AMB",IF(BZ8&gt;20%,"RO",IF(BZ8&gt;=0%,"ROB",""))))))))))</f>
        <v>VE</v>
      </c>
      <c r="CF8" t="str">
        <f>IF(CA8="PARA MODIFICAR","M",IF(CA8="PARA ELIMINAR","E",IF(CA8="aplazada","AZ",IF(CA8="no programada","NP",IF(CA8&gt;=85%,"VE",IF(CA8&gt;70%,"VEB",IF(CA8&gt;60%,"AM",IF(CA8&gt;40%,"AMB",IF(CA8&gt;20%,"RO",IF(CA8&gt;=0%,"ROB",""))))))))))</f>
        <v>VE</v>
      </c>
      <c r="CG8" t="str">
        <f>IF(CB8="PARA MODIFICAR","M",IF(CB8="PARA ELIMINAR","E",IF(CB8="aplazada","AZ",IF(CB8="no programada","NP",IF(CB8&gt;=85%,"VE",IF(CB8&gt;70%,"VEB",IF(CB8&gt;60%,"AM",IF(CB8&gt;40%,"AMB",IF(CB8&gt;20%,"RO",IF(CB8&gt;=0%,"ROB",""))))))))))</f>
        <v>VE</v>
      </c>
    </row>
    <row r="9" spans="1:85" ht="112.5" customHeight="1" x14ac:dyDescent="0.3">
      <c r="A9" s="299" t="str">
        <f>'PLAN INDICATIVO'!A9</f>
        <v>A.1</v>
      </c>
      <c r="B9" s="299" t="str">
        <f>'PLAN INDICATIVO'!B9</f>
        <v>Educación</v>
      </c>
      <c r="C9" s="1547"/>
      <c r="D9" s="1550"/>
      <c r="E9" s="1550"/>
      <c r="F9" s="1549"/>
      <c r="G9" s="1549"/>
      <c r="H9" s="1549"/>
      <c r="I9" s="300">
        <f>'PLAN INDICATIVO'!I9</f>
        <v>0</v>
      </c>
      <c r="J9" s="300">
        <f>'PLAN INDICATIVO'!J9</f>
        <v>0</v>
      </c>
      <c r="K9" s="1425" t="str">
        <f>'PLAN INDICATIVO'!K9</f>
        <v>A.1.1.2</v>
      </c>
      <c r="L9" s="301" t="str">
        <f>'PLAN INDICATIVO'!L9</f>
        <v>4. Educación de calidad</v>
      </c>
      <c r="M9" s="301" t="str">
        <f>'PLAN INDICATIVO'!M9</f>
        <v>Secretaría de Educación, Cultura, deporte y Turismo</v>
      </c>
      <c r="N9" s="1425" t="s">
        <v>5122</v>
      </c>
      <c r="O9" s="1425" t="str">
        <f>'PLAN INDICATIVO'!O9</f>
        <v>Incremento</v>
      </c>
      <c r="P9" s="16" t="str">
        <f>'PLAN INDICATIVO'!P9</f>
        <v>Realizar 4 apoyos para el pago de servicios públicos a las instituciones educativas durante el cuatrienio</v>
      </c>
      <c r="Q9" s="302" t="str">
        <f>'PLAN INDICATIVO'!Q9</f>
        <v>No. de apoyos realizado en el cuatrienio</v>
      </c>
      <c r="R9" s="303">
        <f>'PLAN INDICATIVO'!R9</f>
        <v>2015</v>
      </c>
      <c r="S9" s="304">
        <v>0</v>
      </c>
      <c r="T9" s="677">
        <v>4</v>
      </c>
      <c r="U9" s="303">
        <v>1</v>
      </c>
      <c r="V9" s="687">
        <v>269</v>
      </c>
      <c r="W9" s="572">
        <v>1</v>
      </c>
      <c r="X9" s="687">
        <v>260000000</v>
      </c>
      <c r="Y9" s="572">
        <v>1</v>
      </c>
      <c r="Z9" s="687">
        <v>260000000</v>
      </c>
      <c r="AA9" s="1310">
        <v>1</v>
      </c>
      <c r="AB9" s="686">
        <v>219006992</v>
      </c>
      <c r="AC9" s="665"/>
      <c r="AD9" s="665">
        <v>1</v>
      </c>
      <c r="AE9" s="665">
        <v>1</v>
      </c>
      <c r="AF9" s="665">
        <v>1</v>
      </c>
      <c r="AG9" s="664" t="s">
        <v>5136</v>
      </c>
      <c r="AH9" s="985">
        <v>2019413960018</v>
      </c>
      <c r="AI9" s="307" t="s">
        <v>4894</v>
      </c>
      <c r="AJ9" s="309" t="s">
        <v>3966</v>
      </c>
      <c r="AK9" s="309">
        <v>43799</v>
      </c>
      <c r="AL9" s="308"/>
      <c r="AM9" s="308"/>
      <c r="AN9" s="267" t="s">
        <v>2598</v>
      </c>
      <c r="AO9" s="507"/>
      <c r="AP9" s="525"/>
      <c r="AQ9" s="725"/>
      <c r="AR9" s="310"/>
      <c r="AS9" s="310"/>
      <c r="AT9" s="310"/>
      <c r="AU9" s="310"/>
      <c r="AV9" s="310"/>
      <c r="AW9" s="544"/>
      <c r="AX9" s="525"/>
      <c r="AY9" s="310"/>
      <c r="AZ9" s="310"/>
      <c r="BA9" s="310"/>
      <c r="BB9" s="310"/>
      <c r="BC9" s="310"/>
      <c r="BD9" s="310"/>
      <c r="BE9" s="544"/>
      <c r="BF9" s="525"/>
      <c r="BG9" s="1264"/>
      <c r="BH9" s="310"/>
      <c r="BI9" s="310"/>
      <c r="BJ9" s="310"/>
      <c r="BK9" s="310"/>
      <c r="BL9" s="310"/>
      <c r="BM9" s="544">
        <f t="shared" si="1"/>
        <v>0</v>
      </c>
      <c r="BN9" s="525"/>
      <c r="BO9" s="472"/>
      <c r="BP9" s="310"/>
      <c r="BQ9" s="310"/>
      <c r="BR9" s="310"/>
      <c r="BS9" s="310"/>
      <c r="BT9" s="310"/>
      <c r="BU9" s="544"/>
      <c r="BV9" s="1582"/>
      <c r="BW9" s="663">
        <f t="shared" si="7"/>
        <v>3</v>
      </c>
      <c r="BX9" s="1047">
        <f t="shared" si="8"/>
        <v>0.75</v>
      </c>
      <c r="BY9" s="1047">
        <f t="shared" si="9"/>
        <v>0</v>
      </c>
      <c r="BZ9" s="1047">
        <f t="shared" si="10"/>
        <v>1</v>
      </c>
      <c r="CA9" s="1047">
        <f t="shared" si="11"/>
        <v>1</v>
      </c>
      <c r="CB9" s="1047">
        <f t="shared" si="12"/>
        <v>1</v>
      </c>
      <c r="CD9" t="str">
        <f t="shared" ref="CD9:CF22" si="13">IF(BY9="PARA MODIFICAR","M",IF(BY9="PARA ELIMINAR","E",IF(BY9="aplazada","AZ",IF(BY9="no programada","NP",IF(BY9&gt;=85%,"VE",IF(BY9&gt;70%,"VEB",IF(BY9&gt;60%,"AM",IF(BY9&gt;40%,"AMB",IF(BY9&gt;20%,"RO",IF(BY9&gt;=0%,"ROB",""))))))))))</f>
        <v>ROB</v>
      </c>
      <c r="CE9" t="str">
        <f t="shared" si="13"/>
        <v>VE</v>
      </c>
      <c r="CF9" t="str">
        <f>IF(CA9="PARA MODIFICAR","M",IF(CA9="PARA ELIMINAR","E",IF(CA9="aplazada","AZ",IF(CA9="no programada","NP",IF(CA9&gt;=85%,"VE",IF(CA9&gt;70%,"VEB",IF(CA9&gt;60%,"AM",IF(CA9&gt;40%,"AMB",IF(CA9&gt;20%,"RO",IF(CA9&gt;=0%,"ROB",""))))))))))</f>
        <v>VE</v>
      </c>
      <c r="CG9" t="str">
        <f t="shared" ref="CG9:CG22" si="14">IF(CB9="PARA MODIFICAR","M",IF(CB9="PARA ELIMINAR","E",IF(CB9="aplazada","AZ",IF(CB9="no programada","NP",IF(CB9&gt;=85%,"VE",IF(CB9&gt;70%,"VEB",IF(CB9&gt;60%,"AM",IF(CB9&gt;40%,"AMB",IF(CB9&gt;20%,"RO",IF(CB9&gt;=0%,"ROB",""))))))))))</f>
        <v>VE</v>
      </c>
    </row>
    <row r="10" spans="1:85" ht="87.75" customHeight="1" x14ac:dyDescent="0.3">
      <c r="A10" s="299" t="str">
        <f>'PLAN INDICATIVO'!A10</f>
        <v>M</v>
      </c>
      <c r="B10" s="299" t="str">
        <f>'PLAN INDICATIVO'!B10</f>
        <v>Educación</v>
      </c>
      <c r="C10" s="1547"/>
      <c r="D10" s="1549"/>
      <c r="E10" s="1549"/>
      <c r="F10" s="1549"/>
      <c r="G10" s="1549"/>
      <c r="H10" s="1549"/>
      <c r="I10" s="1425" t="str">
        <f>'PLAN INDICATIVO'!I10</f>
        <v>SI</v>
      </c>
      <c r="J10" s="1425">
        <f>'PLAN INDICATIVO'!J10</f>
        <v>0</v>
      </c>
      <c r="K10" s="1425" t="str">
        <f>'PLAN INDICATIVO'!K10</f>
        <v>A.1.1.3</v>
      </c>
      <c r="L10" s="301" t="str">
        <f>'PLAN INDICATIVO'!L10</f>
        <v>4. Educación de calidad</v>
      </c>
      <c r="M10" s="301" t="str">
        <f>'PLAN INDICATIVO'!M10</f>
        <v>Secretaría de Educación, Cultura, deporte y Turismo</v>
      </c>
      <c r="N10" s="1513" t="s">
        <v>5122</v>
      </c>
      <c r="O10" s="1425" t="str">
        <f>'PLAN INDICATIVO'!O10</f>
        <v>Incremento</v>
      </c>
      <c r="P10" s="1198" t="str">
        <f>'PLAN INDICATIVO'!P10</f>
        <v>Construir  1 Colegios 10 en la zona urbana del Municipio de La Plata.</v>
      </c>
      <c r="Q10" s="302" t="str">
        <f>'PLAN INDICATIVO'!Q10</f>
        <v>No. De mega colegios construidos en el cuatrienio</v>
      </c>
      <c r="R10" s="303">
        <f>'PLAN INDICATIVO'!R10</f>
        <v>2015</v>
      </c>
      <c r="S10" s="304">
        <v>1</v>
      </c>
      <c r="T10" s="1294">
        <v>1</v>
      </c>
      <c r="U10" s="303"/>
      <c r="V10" s="687"/>
      <c r="W10" s="572"/>
      <c r="X10" s="687"/>
      <c r="Y10" s="964"/>
      <c r="Z10" s="687">
        <v>120000000</v>
      </c>
      <c r="AA10" s="1310">
        <v>1</v>
      </c>
      <c r="AB10" s="686"/>
      <c r="AC10" s="665"/>
      <c r="AD10" s="665"/>
      <c r="AE10" s="665"/>
      <c r="AF10" s="665">
        <v>0.33</v>
      </c>
      <c r="AG10" s="664" t="s">
        <v>5136</v>
      </c>
      <c r="AH10" s="985">
        <v>2019413960018</v>
      </c>
      <c r="AI10" s="307" t="s">
        <v>4893</v>
      </c>
      <c r="AJ10" s="308" t="s">
        <v>3969</v>
      </c>
      <c r="AK10" s="309">
        <v>43799</v>
      </c>
      <c r="AL10" s="308"/>
      <c r="AM10" s="308"/>
      <c r="AN10" s="267" t="s">
        <v>2594</v>
      </c>
      <c r="AO10" s="507"/>
      <c r="AP10" s="525"/>
      <c r="AQ10" s="310"/>
      <c r="AR10" s="310"/>
      <c r="AS10" s="310"/>
      <c r="AT10" s="310"/>
      <c r="AU10" s="310"/>
      <c r="AV10" s="310"/>
      <c r="AW10" s="544"/>
      <c r="AX10" s="525"/>
      <c r="AY10" s="310"/>
      <c r="AZ10" s="310"/>
      <c r="BA10" s="310"/>
      <c r="BB10" s="310"/>
      <c r="BC10" s="310"/>
      <c r="BD10" s="310"/>
      <c r="BE10" s="544"/>
      <c r="BF10" s="525"/>
      <c r="BG10" s="310"/>
      <c r="BH10" s="310"/>
      <c r="BI10" s="310"/>
      <c r="BJ10" s="310"/>
      <c r="BK10" s="310"/>
      <c r="BL10" s="310"/>
      <c r="BM10" s="544">
        <f t="shared" si="1"/>
        <v>0</v>
      </c>
      <c r="BN10" s="525"/>
      <c r="BO10" s="472"/>
      <c r="BP10" s="310"/>
      <c r="BQ10" s="310"/>
      <c r="BR10" s="310"/>
      <c r="BS10" s="310"/>
      <c r="BT10" s="310"/>
      <c r="BU10" s="544"/>
      <c r="BV10" s="1582"/>
      <c r="BW10" s="663">
        <f t="shared" si="7"/>
        <v>0.33</v>
      </c>
      <c r="BX10" s="1047">
        <f t="shared" si="8"/>
        <v>0.33</v>
      </c>
      <c r="BY10" s="1047" t="str">
        <f t="shared" si="9"/>
        <v>No Programada</v>
      </c>
      <c r="BZ10" s="1047" t="str">
        <f t="shared" si="10"/>
        <v>No Programada</v>
      </c>
      <c r="CA10" s="1047" t="str">
        <f t="shared" si="11"/>
        <v>No Programada</v>
      </c>
      <c r="CB10" s="1047">
        <f t="shared" si="12"/>
        <v>0.33</v>
      </c>
      <c r="CD10" t="str">
        <f t="shared" si="13"/>
        <v>NP</v>
      </c>
      <c r="CE10" t="str">
        <f t="shared" si="13"/>
        <v>NP</v>
      </c>
      <c r="CF10" t="str">
        <f t="shared" si="13"/>
        <v>NP</v>
      </c>
      <c r="CG10" t="str">
        <f t="shared" si="14"/>
        <v>RO</v>
      </c>
    </row>
    <row r="11" spans="1:85" ht="123" hidden="1" customHeight="1" x14ac:dyDescent="0.25">
      <c r="A11" s="299" t="str">
        <f>'PLAN INDICATIVO'!A11</f>
        <v>A.1</v>
      </c>
      <c r="B11" s="299" t="str">
        <f>'PLAN INDICATIVO'!B11</f>
        <v>Educación</v>
      </c>
      <c r="C11" s="1547"/>
      <c r="D11" s="1551"/>
      <c r="E11" s="1551"/>
      <c r="F11" s="1549"/>
      <c r="G11" s="1549"/>
      <c r="H11" s="1549"/>
      <c r="I11" s="300">
        <f>'PLAN INDICATIVO'!I11</f>
        <v>0</v>
      </c>
      <c r="J11" s="300">
        <f>'PLAN INDICATIVO'!J11</f>
        <v>0</v>
      </c>
      <c r="K11" s="1425" t="str">
        <f>'PLAN INDICATIVO'!K11</f>
        <v>A.1.1.4</v>
      </c>
      <c r="L11" s="301" t="str">
        <f>'PLAN INDICATIVO'!L11</f>
        <v>4. Educación de calidad</v>
      </c>
      <c r="M11" s="301" t="str">
        <f>'PLAN INDICATIVO'!M11</f>
        <v>Secretaría de Educación, Cultura, deporte y Turismo</v>
      </c>
      <c r="N11" s="1513" t="s">
        <v>5122</v>
      </c>
      <c r="O11" s="1425" t="str">
        <f>'PLAN INDICATIVO'!O11</f>
        <v>Incremento</v>
      </c>
      <c r="P11" s="16" t="str">
        <f>'PLAN INDICATIVO'!P11</f>
        <v>Realizar 12 Mantenimientos  a instituciones educativa del municipio durante el cuatrienio.</v>
      </c>
      <c r="Q11" s="302" t="str">
        <f>'PLAN INDICATIVO'!Q11</f>
        <v>No.  De mantenimientos realizados en el cuatrienio</v>
      </c>
      <c r="R11" s="303">
        <f>'PLAN INDICATIVO'!R11</f>
        <v>2015</v>
      </c>
      <c r="S11" s="304">
        <v>0</v>
      </c>
      <c r="T11" s="677">
        <v>12</v>
      </c>
      <c r="U11" s="303">
        <v>3</v>
      </c>
      <c r="V11" s="687">
        <v>153</v>
      </c>
      <c r="W11" s="572">
        <v>6</v>
      </c>
      <c r="X11" s="687">
        <v>50000000</v>
      </c>
      <c r="Y11" s="572">
        <v>3</v>
      </c>
      <c r="Z11" s="687">
        <v>50000000</v>
      </c>
      <c r="AA11" s="1310">
        <v>2</v>
      </c>
      <c r="AB11" s="686"/>
      <c r="AC11" s="665"/>
      <c r="AD11" s="665">
        <v>9</v>
      </c>
      <c r="AE11" s="665">
        <v>1</v>
      </c>
      <c r="AF11" s="665">
        <v>0</v>
      </c>
      <c r="AG11" s="664" t="s">
        <v>5136</v>
      </c>
      <c r="AH11" s="985">
        <v>2019413960018</v>
      </c>
      <c r="AI11" s="307" t="s">
        <v>5062</v>
      </c>
      <c r="AJ11" s="309">
        <v>43525</v>
      </c>
      <c r="AK11" s="309">
        <v>43799</v>
      </c>
      <c r="AL11" s="308"/>
      <c r="AM11" s="308"/>
      <c r="AN11" s="267" t="s">
        <v>2604</v>
      </c>
      <c r="AO11" s="861"/>
      <c r="AP11" s="525"/>
      <c r="AQ11" s="721"/>
      <c r="AR11" s="310"/>
      <c r="AS11" s="310"/>
      <c r="AT11" s="310"/>
      <c r="AU11" s="310"/>
      <c r="AV11" s="310"/>
      <c r="AW11" s="544"/>
      <c r="AX11" s="525"/>
      <c r="AY11" s="310"/>
      <c r="AZ11" s="310"/>
      <c r="BA11" s="310"/>
      <c r="BB11" s="310"/>
      <c r="BC11" s="310"/>
      <c r="BD11" s="310"/>
      <c r="BE11" s="544"/>
      <c r="BF11" s="525"/>
      <c r="BG11" s="721"/>
      <c r="BH11" s="310"/>
      <c r="BI11" s="310"/>
      <c r="BJ11" s="310"/>
      <c r="BK11" s="310"/>
      <c r="BL11" s="310"/>
      <c r="BM11" s="544">
        <f t="shared" si="1"/>
        <v>0</v>
      </c>
      <c r="BN11" s="525"/>
      <c r="BO11" s="472"/>
      <c r="BP11" s="310"/>
      <c r="BQ11" s="310"/>
      <c r="BR11" s="310"/>
      <c r="BS11" s="310"/>
      <c r="BT11" s="310"/>
      <c r="BU11" s="544"/>
      <c r="BV11" s="1582"/>
      <c r="BW11" s="663">
        <f t="shared" si="7"/>
        <v>10</v>
      </c>
      <c r="BX11" s="1047">
        <f t="shared" si="8"/>
        <v>0.83333333333333337</v>
      </c>
      <c r="BY11" s="1047">
        <f t="shared" si="9"/>
        <v>0</v>
      </c>
      <c r="BZ11" s="1047">
        <f t="shared" si="10"/>
        <v>1.5</v>
      </c>
      <c r="CA11" s="1047">
        <f t="shared" si="11"/>
        <v>0.33333333333333331</v>
      </c>
      <c r="CB11" s="1047">
        <f t="shared" si="12"/>
        <v>0</v>
      </c>
      <c r="CD11" t="str">
        <f t="shared" si="13"/>
        <v>ROB</v>
      </c>
      <c r="CE11" t="str">
        <f t="shared" si="13"/>
        <v>VE</v>
      </c>
      <c r="CF11" t="str">
        <f t="shared" si="13"/>
        <v>RO</v>
      </c>
      <c r="CG11" t="str">
        <f t="shared" si="14"/>
        <v>ROB</v>
      </c>
    </row>
    <row r="12" spans="1:85" ht="51" hidden="1" customHeight="1" x14ac:dyDescent="0.25">
      <c r="A12" s="299" t="str">
        <f>'PLAN INDICATIVO'!A12</f>
        <v>A.1</v>
      </c>
      <c r="B12" s="299" t="str">
        <f>'PLAN INDICATIVO'!B12</f>
        <v>Educación</v>
      </c>
      <c r="C12" s="1547"/>
      <c r="D12" s="1549"/>
      <c r="E12" s="1549"/>
      <c r="F12" s="1549"/>
      <c r="G12" s="1549"/>
      <c r="H12" s="1549"/>
      <c r="I12" s="1425" t="str">
        <f>'PLAN INDICATIVO'!I12</f>
        <v>SI</v>
      </c>
      <c r="J12" s="1425">
        <f>'PLAN INDICATIVO'!J12</f>
        <v>0</v>
      </c>
      <c r="K12" s="1425" t="str">
        <f>'PLAN INDICATIVO'!K12</f>
        <v>A.1.1.5</v>
      </c>
      <c r="L12" s="301" t="str">
        <f>'PLAN INDICATIVO'!L12</f>
        <v>4. Educación de calidad</v>
      </c>
      <c r="M12" s="301" t="str">
        <f>'PLAN INDICATIVO'!M12</f>
        <v>Secretaría de Educación, Cultura, deporte y Turismo</v>
      </c>
      <c r="N12" s="1513" t="s">
        <v>5122</v>
      </c>
      <c r="O12" s="1425" t="str">
        <f>'PLAN INDICATIVO'!O12</f>
        <v>Incremento</v>
      </c>
      <c r="P12" s="16" t="str">
        <f>'PLAN INDICATIVO'!P12</f>
        <v xml:space="preserve">Construir 35 Aulas en las instituciones educativas en el Municipio durante el cuatrienio. </v>
      </c>
      <c r="Q12" s="302" t="str">
        <f>'PLAN INDICATIVO'!Q12</f>
        <v>No. de aulas construidas en el cuatrienio</v>
      </c>
      <c r="R12" s="303">
        <f>'PLAN INDICATIVO'!R12</f>
        <v>2015</v>
      </c>
      <c r="S12" s="304">
        <v>0</v>
      </c>
      <c r="T12" s="677">
        <v>35</v>
      </c>
      <c r="U12" s="303">
        <v>13</v>
      </c>
      <c r="V12" s="687">
        <v>208</v>
      </c>
      <c r="W12" s="823">
        <v>10</v>
      </c>
      <c r="X12" s="687">
        <v>200000000</v>
      </c>
      <c r="Y12" s="66">
        <v>25</v>
      </c>
      <c r="Z12" s="687">
        <v>6000000</v>
      </c>
      <c r="AA12" s="1310">
        <v>10</v>
      </c>
      <c r="AB12" s="686"/>
      <c r="AC12" s="665"/>
      <c r="AD12" s="665">
        <v>4</v>
      </c>
      <c r="AE12" s="665">
        <v>21</v>
      </c>
      <c r="AF12" s="665">
        <v>3</v>
      </c>
      <c r="AG12" s="664" t="s">
        <v>5136</v>
      </c>
      <c r="AH12" s="985">
        <v>2019413960018</v>
      </c>
      <c r="AI12" s="307" t="s">
        <v>5063</v>
      </c>
      <c r="AJ12" s="309">
        <v>43525</v>
      </c>
      <c r="AK12" s="309">
        <v>43799</v>
      </c>
      <c r="AL12" s="308"/>
      <c r="AM12" s="308"/>
      <c r="AN12" s="267" t="s">
        <v>2604</v>
      </c>
      <c r="AO12" s="861"/>
      <c r="AP12" s="525"/>
      <c r="AQ12" s="721"/>
      <c r="AR12" s="310"/>
      <c r="AS12" s="310"/>
      <c r="AT12" s="310"/>
      <c r="AU12" s="380"/>
      <c r="AV12" s="310"/>
      <c r="AW12" s="544"/>
      <c r="AX12" s="525"/>
      <c r="AY12" s="310"/>
      <c r="AZ12" s="310"/>
      <c r="BA12" s="310"/>
      <c r="BB12" s="310"/>
      <c r="BC12" s="380"/>
      <c r="BD12" s="310"/>
      <c r="BE12" s="544"/>
      <c r="BF12" s="525"/>
      <c r="BG12" s="721"/>
      <c r="BH12" s="310"/>
      <c r="BI12" s="310"/>
      <c r="BJ12" s="310"/>
      <c r="BK12" s="380"/>
      <c r="BL12" s="310"/>
      <c r="BM12" s="544">
        <f t="shared" si="1"/>
        <v>0</v>
      </c>
      <c r="BN12" s="525"/>
      <c r="BO12" s="472"/>
      <c r="BP12" s="310"/>
      <c r="BQ12" s="310"/>
      <c r="BR12" s="310"/>
      <c r="BS12" s="380"/>
      <c r="BT12" s="310"/>
      <c r="BU12" s="544"/>
      <c r="BV12" s="1582"/>
      <c r="BW12" s="663">
        <f t="shared" si="7"/>
        <v>28</v>
      </c>
      <c r="BX12" s="1047">
        <f t="shared" si="8"/>
        <v>0.8</v>
      </c>
      <c r="BY12" s="1047">
        <f t="shared" si="9"/>
        <v>0</v>
      </c>
      <c r="BZ12" s="1047">
        <f t="shared" si="10"/>
        <v>0.4</v>
      </c>
      <c r="CA12" s="1047">
        <f t="shared" si="11"/>
        <v>0.84</v>
      </c>
      <c r="CB12" s="1047">
        <f t="shared" si="12"/>
        <v>0.3</v>
      </c>
      <c r="CD12" t="str">
        <f t="shared" si="13"/>
        <v>ROB</v>
      </c>
      <c r="CE12" t="str">
        <f t="shared" si="13"/>
        <v>RO</v>
      </c>
      <c r="CF12" t="str">
        <f t="shared" si="13"/>
        <v>VEB</v>
      </c>
      <c r="CG12" t="str">
        <f t="shared" si="14"/>
        <v>RO</v>
      </c>
    </row>
    <row r="13" spans="1:85" ht="51.75" hidden="1" customHeight="1" x14ac:dyDescent="0.25">
      <c r="A13" s="299" t="str">
        <f>'PLAN INDICATIVO'!A13</f>
        <v>M</v>
      </c>
      <c r="B13" s="299" t="str">
        <f>'PLAN INDICATIVO'!B13</f>
        <v>Educación</v>
      </c>
      <c r="C13" s="1547"/>
      <c r="D13" s="1552"/>
      <c r="E13" s="1552"/>
      <c r="F13" s="1549"/>
      <c r="G13" s="1549"/>
      <c r="H13" s="1549"/>
      <c r="I13" s="300">
        <f>'PLAN INDICATIVO'!I13</f>
        <v>0</v>
      </c>
      <c r="J13" s="300">
        <f>'PLAN INDICATIVO'!J13</f>
        <v>0</v>
      </c>
      <c r="K13" s="1425" t="str">
        <f>'PLAN INDICATIVO'!K13</f>
        <v>A.1.1.6</v>
      </c>
      <c r="L13" s="301" t="str">
        <f>'PLAN INDICATIVO'!L13</f>
        <v>4. Educación de calidad</v>
      </c>
      <c r="M13" s="301" t="str">
        <f>'PLAN INDICATIVO'!M13</f>
        <v>Secretaría de Educación, Cultura, deporte y Turismo</v>
      </c>
      <c r="N13" s="1513" t="s">
        <v>5122</v>
      </c>
      <c r="O13" s="1425" t="str">
        <f>'PLAN INDICATIVO'!O13</f>
        <v>Incremento</v>
      </c>
      <c r="P13" s="1198" t="str">
        <f>'PLAN INDICATIVO'!P13</f>
        <v xml:space="preserve">Construir 4 Restaurantes Escolares en el municipio durante el cuatrienio </v>
      </c>
      <c r="Q13" s="302" t="str">
        <f>'PLAN INDICATIVO'!Q13</f>
        <v>No. de restaurantes escolares construidos en el cuatrienio</v>
      </c>
      <c r="R13" s="303">
        <f>'PLAN INDICATIVO'!R13</f>
        <v>2015</v>
      </c>
      <c r="S13" s="304">
        <v>0</v>
      </c>
      <c r="T13" s="1294">
        <v>4</v>
      </c>
      <c r="U13" s="303">
        <v>1</v>
      </c>
      <c r="V13" s="687">
        <v>30</v>
      </c>
      <c r="W13" s="66"/>
      <c r="X13" s="687"/>
      <c r="Y13" s="66">
        <v>3</v>
      </c>
      <c r="Z13" s="687">
        <v>150000000</v>
      </c>
      <c r="AA13" s="1310">
        <v>1</v>
      </c>
      <c r="AB13" s="686"/>
      <c r="AC13" s="665"/>
      <c r="AD13" s="904"/>
      <c r="AE13" s="665">
        <v>3</v>
      </c>
      <c r="AF13" s="665">
        <v>0.33</v>
      </c>
      <c r="AG13" s="664" t="s">
        <v>5136</v>
      </c>
      <c r="AH13" s="985">
        <v>2019413960018</v>
      </c>
      <c r="AI13" s="307" t="s">
        <v>5064</v>
      </c>
      <c r="AJ13" s="309">
        <v>43525</v>
      </c>
      <c r="AK13" s="309">
        <v>43799</v>
      </c>
      <c r="AL13" s="308"/>
      <c r="AM13" s="308"/>
      <c r="AN13" s="267" t="s">
        <v>2598</v>
      </c>
      <c r="AO13" s="507"/>
      <c r="AP13" s="525"/>
      <c r="AQ13" s="721"/>
      <c r="AR13" s="310"/>
      <c r="AS13" s="310"/>
      <c r="AT13" s="310"/>
      <c r="AU13" s="310"/>
      <c r="AV13" s="310"/>
      <c r="AW13" s="544"/>
      <c r="AX13" s="525"/>
      <c r="AY13" s="310"/>
      <c r="AZ13" s="310"/>
      <c r="BA13" s="310"/>
      <c r="BB13" s="310"/>
      <c r="BC13" s="310"/>
      <c r="BD13" s="310"/>
      <c r="BE13" s="544"/>
      <c r="BF13" s="525"/>
      <c r="BG13" s="721"/>
      <c r="BH13" s="310"/>
      <c r="BI13" s="310"/>
      <c r="BJ13" s="310"/>
      <c r="BK13" s="310"/>
      <c r="BL13" s="310"/>
      <c r="BM13" s="544">
        <f t="shared" si="1"/>
        <v>0</v>
      </c>
      <c r="BN13" s="525"/>
      <c r="BO13" s="472"/>
      <c r="BP13" s="310"/>
      <c r="BQ13" s="310"/>
      <c r="BR13" s="310"/>
      <c r="BS13" s="310"/>
      <c r="BT13" s="310"/>
      <c r="BU13" s="544"/>
      <c r="BV13" s="1582"/>
      <c r="BW13" s="663">
        <f t="shared" si="7"/>
        <v>3.33</v>
      </c>
      <c r="BX13" s="1047">
        <f t="shared" si="8"/>
        <v>0.83250000000000002</v>
      </c>
      <c r="BY13" s="1047">
        <f t="shared" si="9"/>
        <v>0</v>
      </c>
      <c r="BZ13" s="1047" t="str">
        <f t="shared" si="10"/>
        <v>No Programada</v>
      </c>
      <c r="CA13" s="1047">
        <f t="shared" si="11"/>
        <v>1</v>
      </c>
      <c r="CB13" s="1047">
        <f t="shared" si="12"/>
        <v>0.33</v>
      </c>
      <c r="CD13" t="str">
        <f t="shared" si="13"/>
        <v>ROB</v>
      </c>
      <c r="CE13" t="str">
        <f t="shared" si="13"/>
        <v>NP</v>
      </c>
      <c r="CF13" t="str">
        <f t="shared" si="13"/>
        <v>VE</v>
      </c>
      <c r="CG13" t="str">
        <f t="shared" si="14"/>
        <v>RO</v>
      </c>
    </row>
    <row r="14" spans="1:85" ht="89.25" customHeight="1" x14ac:dyDescent="0.3">
      <c r="A14" s="299" t="str">
        <f>'PLAN INDICATIVO'!A14</f>
        <v>M</v>
      </c>
      <c r="B14" s="299" t="str">
        <f>'PLAN INDICATIVO'!B14</f>
        <v>Educación</v>
      </c>
      <c r="C14" s="1547"/>
      <c r="D14" s="1549"/>
      <c r="E14" s="1549"/>
      <c r="F14" s="1549"/>
      <c r="G14" s="1549"/>
      <c r="H14" s="1549"/>
      <c r="I14" s="300">
        <f>'PLAN INDICATIVO'!I14</f>
        <v>0</v>
      </c>
      <c r="J14" s="300">
        <f>'PLAN INDICATIVO'!J14</f>
        <v>0</v>
      </c>
      <c r="K14" s="1425" t="str">
        <f>'PLAN INDICATIVO'!K14</f>
        <v>A.1.1.7</v>
      </c>
      <c r="L14" s="301" t="str">
        <f>'PLAN INDICATIVO'!L14</f>
        <v>4. Educación de calidad</v>
      </c>
      <c r="M14" s="301" t="str">
        <f>'PLAN INDICATIVO'!M14</f>
        <v>Secretaría de Educación, Cultura, deporte y Turismo</v>
      </c>
      <c r="N14" s="1513" t="s">
        <v>5122</v>
      </c>
      <c r="O14" s="1425" t="str">
        <f>'PLAN INDICATIVO'!O14</f>
        <v>Incremento</v>
      </c>
      <c r="P14" s="1198" t="str">
        <f>'PLAN INDICATIVO'!P14</f>
        <v>Realizar 35 obras de construcción y/o mejoramientos a la infraestructura educativa municipal durante el cuatrienio</v>
      </c>
      <c r="Q14" s="302" t="str">
        <f>'PLAN INDICATIVO'!Q14</f>
        <v>No. De obras construidas o mejoradas</v>
      </c>
      <c r="R14" s="303">
        <f>'PLAN INDICATIVO'!R14</f>
        <v>2015</v>
      </c>
      <c r="S14" s="304">
        <v>0</v>
      </c>
      <c r="T14" s="677">
        <v>35</v>
      </c>
      <c r="U14" s="303">
        <v>2</v>
      </c>
      <c r="V14" s="687">
        <v>295.10000000000002</v>
      </c>
      <c r="W14" s="572">
        <v>15</v>
      </c>
      <c r="X14" s="687">
        <v>256750000</v>
      </c>
      <c r="Y14" s="572">
        <v>22</v>
      </c>
      <c r="Z14" s="687">
        <v>445000000</v>
      </c>
      <c r="AA14" s="1310">
        <v>8</v>
      </c>
      <c r="AB14" s="686">
        <v>481000000</v>
      </c>
      <c r="AC14" s="665"/>
      <c r="AD14" s="904">
        <v>16</v>
      </c>
      <c r="AE14" s="665">
        <v>6</v>
      </c>
      <c r="AF14" s="665">
        <v>10</v>
      </c>
      <c r="AG14" s="664" t="s">
        <v>5136</v>
      </c>
      <c r="AH14" s="985">
        <v>2019413960018</v>
      </c>
      <c r="AI14" s="307" t="s">
        <v>5109</v>
      </c>
      <c r="AJ14" s="309" t="s">
        <v>3445</v>
      </c>
      <c r="AK14" s="309">
        <v>43799</v>
      </c>
      <c r="AL14" s="308"/>
      <c r="AM14" s="308"/>
      <c r="AN14" s="267" t="s">
        <v>2604</v>
      </c>
      <c r="AO14" s="507"/>
      <c r="AP14" s="525"/>
      <c r="AQ14" s="721"/>
      <c r="AR14" s="310"/>
      <c r="AS14" s="721"/>
      <c r="AT14" s="310"/>
      <c r="AU14" s="310"/>
      <c r="AV14" s="310"/>
      <c r="AW14" s="544"/>
      <c r="AX14" s="525"/>
      <c r="AY14" s="310"/>
      <c r="AZ14" s="310"/>
      <c r="BA14" s="310"/>
      <c r="BB14" s="310"/>
      <c r="BC14" s="310"/>
      <c r="BD14" s="310"/>
      <c r="BE14" s="544"/>
      <c r="BF14" s="525"/>
      <c r="BG14" s="721"/>
      <c r="BH14" s="310"/>
      <c r="BI14" s="721"/>
      <c r="BJ14" s="310"/>
      <c r="BK14" s="310"/>
      <c r="BL14" s="310"/>
      <c r="BM14" s="544">
        <f t="shared" si="1"/>
        <v>0</v>
      </c>
      <c r="BN14" s="525"/>
      <c r="BO14" s="472"/>
      <c r="BP14" s="310"/>
      <c r="BQ14" s="721"/>
      <c r="BR14" s="310"/>
      <c r="BS14" s="310"/>
      <c r="BT14" s="310"/>
      <c r="BU14" s="544"/>
      <c r="BV14" s="1582"/>
      <c r="BW14" s="663">
        <f t="shared" si="7"/>
        <v>32</v>
      </c>
      <c r="BX14" s="1047">
        <f t="shared" si="8"/>
        <v>0.91428571428571426</v>
      </c>
      <c r="BY14" s="1047">
        <f t="shared" si="9"/>
        <v>0</v>
      </c>
      <c r="BZ14" s="1047">
        <f t="shared" si="10"/>
        <v>1.0666666666666667</v>
      </c>
      <c r="CA14" s="1047">
        <f t="shared" si="11"/>
        <v>0.27272727272727271</v>
      </c>
      <c r="CB14" s="1047">
        <f t="shared" si="12"/>
        <v>1.25</v>
      </c>
      <c r="CD14" t="str">
        <f t="shared" si="13"/>
        <v>ROB</v>
      </c>
      <c r="CE14" t="str">
        <f t="shared" si="13"/>
        <v>VE</v>
      </c>
      <c r="CF14" t="str">
        <f t="shared" si="13"/>
        <v>RO</v>
      </c>
      <c r="CG14" t="str">
        <f t="shared" si="14"/>
        <v>VE</v>
      </c>
    </row>
    <row r="15" spans="1:85" ht="90" hidden="1" customHeight="1" x14ac:dyDescent="0.25">
      <c r="A15" s="299" t="str">
        <f>'PLAN INDICATIVO'!A15</f>
        <v>A.1</v>
      </c>
      <c r="B15" s="299" t="str">
        <f>'PLAN INDICATIVO'!B15</f>
        <v>Educación</v>
      </c>
      <c r="C15" s="1547"/>
      <c r="D15" s="1549"/>
      <c r="E15" s="1549"/>
      <c r="F15" s="1549"/>
      <c r="G15" s="1549"/>
      <c r="H15" s="1549"/>
      <c r="I15" s="300">
        <f>'PLAN INDICATIVO'!I15</f>
        <v>0</v>
      </c>
      <c r="J15" s="300">
        <f>'PLAN INDICATIVO'!J15</f>
        <v>0</v>
      </c>
      <c r="K15" s="1425" t="str">
        <f>'PLAN INDICATIVO'!K15</f>
        <v>A.1.1.8</v>
      </c>
      <c r="L15" s="301" t="str">
        <f>'PLAN INDICATIVO'!L15</f>
        <v>4. Educación de calidad</v>
      </c>
      <c r="M15" s="301" t="str">
        <f>'PLAN INDICATIVO'!M15</f>
        <v>Secretaría de Educación, Cultura, deporte y Turismo</v>
      </c>
      <c r="N15" s="1513" t="s">
        <v>5122</v>
      </c>
      <c r="O15" s="1425" t="str">
        <f>'PLAN INDICATIVO'!O15</f>
        <v>Incremento</v>
      </c>
      <c r="P15" s="16" t="str">
        <f>'PLAN INDICATIVO'!P15</f>
        <v>Realizar 1 apoyo para la formulación del proyecto para la construcción de la tercera etapa de la IE San Sebastián, en la zona urbana, durante el cuatrienio</v>
      </c>
      <c r="Q15" s="302" t="str">
        <f>'PLAN INDICATIVO'!Q15</f>
        <v>No. De apoyos otorgados</v>
      </c>
      <c r="R15" s="303">
        <f>'PLAN INDICATIVO'!R15</f>
        <v>2015</v>
      </c>
      <c r="S15" s="304">
        <v>0</v>
      </c>
      <c r="T15" s="677">
        <v>1</v>
      </c>
      <c r="U15" s="303">
        <v>0.5</v>
      </c>
      <c r="V15" s="687">
        <v>15</v>
      </c>
      <c r="W15" s="572">
        <v>1</v>
      </c>
      <c r="X15" s="687">
        <v>15000000</v>
      </c>
      <c r="Y15" s="964"/>
      <c r="Z15" s="687">
        <v>500000</v>
      </c>
      <c r="AA15" s="1310"/>
      <c r="AB15" s="686"/>
      <c r="AC15" s="665"/>
      <c r="AD15" s="665">
        <v>1</v>
      </c>
      <c r="AE15" s="665">
        <v>0.5</v>
      </c>
      <c r="AF15" s="665">
        <v>0.25</v>
      </c>
      <c r="AG15" s="664" t="s">
        <v>5136</v>
      </c>
      <c r="AH15" s="985">
        <v>2019413960018</v>
      </c>
      <c r="AI15" s="336" t="s">
        <v>4740</v>
      </c>
      <c r="AJ15" s="309">
        <v>43480</v>
      </c>
      <c r="AK15" s="309">
        <v>43799</v>
      </c>
      <c r="AL15" s="308"/>
      <c r="AM15" s="308"/>
      <c r="AN15" s="267" t="s">
        <v>2594</v>
      </c>
      <c r="AO15" s="507"/>
      <c r="AP15" s="525"/>
      <c r="AQ15" s="310"/>
      <c r="AR15" s="310"/>
      <c r="AS15" s="310"/>
      <c r="AT15" s="310"/>
      <c r="AU15" s="310"/>
      <c r="AV15" s="310"/>
      <c r="AW15" s="544"/>
      <c r="AX15" s="525"/>
      <c r="AY15" s="310"/>
      <c r="AZ15" s="310"/>
      <c r="BA15" s="310"/>
      <c r="BB15" s="310"/>
      <c r="BC15" s="310"/>
      <c r="BD15" s="310"/>
      <c r="BE15" s="544"/>
      <c r="BF15" s="525"/>
      <c r="BG15" s="310"/>
      <c r="BH15" s="310"/>
      <c r="BI15" s="310"/>
      <c r="BJ15" s="310"/>
      <c r="BK15" s="310"/>
      <c r="BL15" s="310"/>
      <c r="BM15" s="544">
        <f t="shared" si="1"/>
        <v>0</v>
      </c>
      <c r="BN15" s="525"/>
      <c r="BO15" s="472"/>
      <c r="BP15" s="310"/>
      <c r="BQ15" s="310"/>
      <c r="BR15" s="310"/>
      <c r="BS15" s="310"/>
      <c r="BT15" s="310"/>
      <c r="BU15" s="544"/>
      <c r="BV15" s="1582"/>
      <c r="BW15" s="663">
        <f t="shared" si="7"/>
        <v>1.75</v>
      </c>
      <c r="BX15" s="1047">
        <f t="shared" si="8"/>
        <v>1.75</v>
      </c>
      <c r="BY15" s="1047">
        <f t="shared" si="9"/>
        <v>0</v>
      </c>
      <c r="BZ15" s="1047">
        <f t="shared" si="10"/>
        <v>1</v>
      </c>
      <c r="CA15" s="1047" t="str">
        <f t="shared" si="11"/>
        <v>No Programada</v>
      </c>
      <c r="CB15" s="1047" t="str">
        <f t="shared" si="12"/>
        <v>No Programada</v>
      </c>
      <c r="CD15" t="str">
        <f t="shared" si="13"/>
        <v>ROB</v>
      </c>
      <c r="CE15" t="str">
        <f t="shared" si="13"/>
        <v>VE</v>
      </c>
      <c r="CF15" t="str">
        <f t="shared" si="13"/>
        <v>NP</v>
      </c>
      <c r="CG15" t="str">
        <f t="shared" si="14"/>
        <v>NP</v>
      </c>
    </row>
    <row r="16" spans="1:85" ht="93" customHeight="1" x14ac:dyDescent="0.3">
      <c r="A16" s="299" t="str">
        <f>'PLAN INDICATIVO'!A16</f>
        <v>M</v>
      </c>
      <c r="B16" s="299" t="str">
        <f>'PLAN INDICATIVO'!B16</f>
        <v>Educación</v>
      </c>
      <c r="C16" s="1547"/>
      <c r="D16" s="1549"/>
      <c r="E16" s="1549"/>
      <c r="F16" s="1549"/>
      <c r="G16" s="1549"/>
      <c r="H16" s="1549"/>
      <c r="I16" s="300">
        <f>'PLAN INDICATIVO'!I16</f>
        <v>0</v>
      </c>
      <c r="J16" s="300">
        <f>'PLAN INDICATIVO'!J16</f>
        <v>0</v>
      </c>
      <c r="K16" s="1425" t="str">
        <f>'PLAN INDICATIVO'!K16</f>
        <v>A.1.1.9</v>
      </c>
      <c r="L16" s="301" t="str">
        <f>'PLAN INDICATIVO'!L16</f>
        <v>4. Educación de calidad</v>
      </c>
      <c r="M16" s="301" t="str">
        <f>'PLAN INDICATIVO'!M16</f>
        <v>Secretaría de Educación, Cultura, deporte y Turismo</v>
      </c>
      <c r="N16" s="1513" t="s">
        <v>5122</v>
      </c>
      <c r="O16" s="1425" t="str">
        <f>'PLAN INDICATIVO'!O16</f>
        <v>Mantenimiento</v>
      </c>
      <c r="P16" s="1198" t="str">
        <f>'PLAN INDICATIVO'!P16</f>
        <v>Apoyar la estrategia de “Escuela para Padres” en las 18 IE con el propósito de vincular de manera más directa al padre de familia en la formación educativa de los hijos, en el cuatrienio</v>
      </c>
      <c r="Q16" s="302" t="str">
        <f>'PLAN INDICATIVO'!Q16</f>
        <v>No. De estrategias creadas e implementadas</v>
      </c>
      <c r="R16" s="303">
        <f>'PLAN INDICATIVO'!R16</f>
        <v>2015</v>
      </c>
      <c r="S16" s="304">
        <v>0</v>
      </c>
      <c r="T16" s="677">
        <v>1</v>
      </c>
      <c r="U16" s="303">
        <v>1</v>
      </c>
      <c r="V16" s="687">
        <v>3</v>
      </c>
      <c r="W16" s="572">
        <v>1</v>
      </c>
      <c r="X16" s="687">
        <v>3000000</v>
      </c>
      <c r="Y16" s="572">
        <v>1</v>
      </c>
      <c r="Z16" s="687">
        <v>500000</v>
      </c>
      <c r="AA16" s="1310"/>
      <c r="AB16" s="686">
        <v>1000000</v>
      </c>
      <c r="AC16" s="665"/>
      <c r="AD16" s="665">
        <v>1</v>
      </c>
      <c r="AE16" s="665">
        <v>1</v>
      </c>
      <c r="AF16" s="665">
        <v>1</v>
      </c>
      <c r="AG16" s="664" t="s">
        <v>5136</v>
      </c>
      <c r="AH16" s="985">
        <v>2019413960018</v>
      </c>
      <c r="AI16" s="1469" t="s">
        <v>4903</v>
      </c>
      <c r="AJ16" s="309" t="s">
        <v>4808</v>
      </c>
      <c r="AK16" s="309">
        <v>43799</v>
      </c>
      <c r="AL16" s="308"/>
      <c r="AM16" s="308"/>
      <c r="AN16" s="267" t="s">
        <v>2598</v>
      </c>
      <c r="AO16" s="507"/>
      <c r="AP16" s="525"/>
      <c r="AQ16" s="310"/>
      <c r="AR16" s="310"/>
      <c r="AS16" s="310"/>
      <c r="AT16" s="310"/>
      <c r="AU16" s="310"/>
      <c r="AV16" s="310"/>
      <c r="AW16" s="544"/>
      <c r="AX16" s="525"/>
      <c r="AY16" s="310"/>
      <c r="AZ16" s="310"/>
      <c r="BA16" s="310"/>
      <c r="BB16" s="310"/>
      <c r="BC16" s="310"/>
      <c r="BD16" s="310"/>
      <c r="BE16" s="544"/>
      <c r="BF16" s="525"/>
      <c r="BG16" s="310"/>
      <c r="BH16" s="310"/>
      <c r="BI16" s="310"/>
      <c r="BJ16" s="310"/>
      <c r="BK16" s="310"/>
      <c r="BL16" s="310"/>
      <c r="BM16" s="544">
        <f t="shared" si="1"/>
        <v>0</v>
      </c>
      <c r="BN16" s="525"/>
      <c r="BO16" s="472"/>
      <c r="BP16" s="310"/>
      <c r="BQ16" s="310"/>
      <c r="BR16" s="310"/>
      <c r="BS16" s="310"/>
      <c r="BT16" s="310"/>
      <c r="BU16" s="544"/>
      <c r="BV16" s="1582"/>
      <c r="BW16" s="663">
        <f t="shared" si="7"/>
        <v>3</v>
      </c>
      <c r="BX16" s="1047">
        <f t="shared" si="8"/>
        <v>3</v>
      </c>
      <c r="BY16" s="1047">
        <f t="shared" si="9"/>
        <v>0</v>
      </c>
      <c r="BZ16" s="1047">
        <f t="shared" si="10"/>
        <v>1</v>
      </c>
      <c r="CA16" s="1047">
        <f t="shared" si="11"/>
        <v>1</v>
      </c>
      <c r="CB16" s="1047" t="str">
        <f t="shared" si="12"/>
        <v>No Programada</v>
      </c>
      <c r="CD16" t="str">
        <f t="shared" si="13"/>
        <v>ROB</v>
      </c>
      <c r="CE16" t="str">
        <f t="shared" si="13"/>
        <v>VE</v>
      </c>
      <c r="CF16" t="str">
        <f t="shared" si="13"/>
        <v>VE</v>
      </c>
      <c r="CG16" t="str">
        <f t="shared" si="14"/>
        <v>NP</v>
      </c>
    </row>
    <row r="17" spans="1:85" ht="64.5" customHeight="1" x14ac:dyDescent="0.3">
      <c r="A17" s="299" t="str">
        <f>'PLAN INDICATIVO'!A17</f>
        <v>A.1</v>
      </c>
      <c r="B17" s="299" t="str">
        <f>'PLAN INDICATIVO'!B17</f>
        <v>Educación</v>
      </c>
      <c r="C17" s="1547"/>
      <c r="D17" s="1549"/>
      <c r="E17" s="1549"/>
      <c r="F17" s="1549"/>
      <c r="G17" s="1549"/>
      <c r="H17" s="1549"/>
      <c r="I17" s="300">
        <f>'PLAN INDICATIVO'!I17</f>
        <v>0</v>
      </c>
      <c r="J17" s="300">
        <f>'PLAN INDICATIVO'!J17</f>
        <v>0</v>
      </c>
      <c r="K17" s="1425" t="str">
        <f>'PLAN INDICATIVO'!K17</f>
        <v>A.1.1.10</v>
      </c>
      <c r="L17" s="301" t="str">
        <f>'PLAN INDICATIVO'!L17</f>
        <v>4. Educación de calidad</v>
      </c>
      <c r="M17" s="301" t="str">
        <f>'PLAN INDICATIVO'!M17</f>
        <v>Secretaría de Educación, Cultura, deporte y Turismo</v>
      </c>
      <c r="N17" s="1513" t="s">
        <v>5122</v>
      </c>
      <c r="O17" s="1425" t="str">
        <f>'PLAN INDICATIVO'!O17</f>
        <v>Incremento</v>
      </c>
      <c r="P17" s="16" t="str">
        <f>'PLAN INDICATIVO'!P17</f>
        <v>Dirigir y coordinar 4 Campañas de oferta educativa institucional en el municipio durante el cuatrienio.</v>
      </c>
      <c r="Q17" s="302" t="str">
        <f>'PLAN INDICATIVO'!Q17</f>
        <v>No. De campañas dirigidas en el cuatrienio</v>
      </c>
      <c r="R17" s="303">
        <f>'PLAN INDICATIVO'!R17</f>
        <v>2015</v>
      </c>
      <c r="S17" s="304">
        <v>1</v>
      </c>
      <c r="T17" s="677">
        <v>4</v>
      </c>
      <c r="U17" s="303">
        <v>1</v>
      </c>
      <c r="V17" s="687">
        <v>1</v>
      </c>
      <c r="W17" s="572">
        <v>1</v>
      </c>
      <c r="X17" s="687">
        <v>1000000</v>
      </c>
      <c r="Y17" s="572">
        <v>1</v>
      </c>
      <c r="Z17" s="687">
        <v>500000</v>
      </c>
      <c r="AA17" s="1310">
        <v>1</v>
      </c>
      <c r="AB17" s="686">
        <v>1000000</v>
      </c>
      <c r="AC17" s="665"/>
      <c r="AD17" s="665">
        <v>1</v>
      </c>
      <c r="AE17" s="665">
        <v>1</v>
      </c>
      <c r="AF17" s="665">
        <v>1</v>
      </c>
      <c r="AG17" s="664" t="s">
        <v>5136</v>
      </c>
      <c r="AH17" s="985">
        <v>2019413960018</v>
      </c>
      <c r="AI17" s="307" t="s">
        <v>4904</v>
      </c>
      <c r="AJ17" s="309">
        <v>43480</v>
      </c>
      <c r="AK17" s="309">
        <v>43799</v>
      </c>
      <c r="AL17" s="308"/>
      <c r="AM17" s="308"/>
      <c r="AN17" s="267" t="s">
        <v>2598</v>
      </c>
      <c r="AO17" s="507"/>
      <c r="AP17" s="525"/>
      <c r="AQ17" s="310"/>
      <c r="AR17" s="310"/>
      <c r="AS17" s="310"/>
      <c r="AT17" s="310"/>
      <c r="AU17" s="310"/>
      <c r="AV17" s="310"/>
      <c r="AW17" s="544"/>
      <c r="AX17" s="525"/>
      <c r="AY17" s="310"/>
      <c r="AZ17" s="310"/>
      <c r="BA17" s="310"/>
      <c r="BB17" s="310"/>
      <c r="BC17" s="310"/>
      <c r="BD17" s="310"/>
      <c r="BE17" s="544"/>
      <c r="BF17" s="525"/>
      <c r="BG17" s="310"/>
      <c r="BH17" s="310"/>
      <c r="BI17" s="310"/>
      <c r="BJ17" s="310"/>
      <c r="BK17" s="310"/>
      <c r="BL17" s="310"/>
      <c r="BM17" s="544">
        <f t="shared" si="1"/>
        <v>0</v>
      </c>
      <c r="BN17" s="525"/>
      <c r="BO17" s="472"/>
      <c r="BP17" s="310"/>
      <c r="BQ17" s="310"/>
      <c r="BR17" s="310"/>
      <c r="BS17" s="310"/>
      <c r="BT17" s="310"/>
      <c r="BU17" s="544"/>
      <c r="BV17" s="1582"/>
      <c r="BW17" s="663">
        <f t="shared" si="7"/>
        <v>3</v>
      </c>
      <c r="BX17" s="1047">
        <f t="shared" si="8"/>
        <v>0.75</v>
      </c>
      <c r="BY17" s="1047">
        <f t="shared" si="9"/>
        <v>0</v>
      </c>
      <c r="BZ17" s="1047">
        <f t="shared" si="10"/>
        <v>1</v>
      </c>
      <c r="CA17" s="1047">
        <f t="shared" si="11"/>
        <v>1</v>
      </c>
      <c r="CB17" s="1047">
        <f t="shared" si="12"/>
        <v>1</v>
      </c>
      <c r="CD17" t="str">
        <f t="shared" si="13"/>
        <v>ROB</v>
      </c>
      <c r="CE17" t="str">
        <f t="shared" si="13"/>
        <v>VE</v>
      </c>
      <c r="CF17" t="str">
        <f t="shared" si="13"/>
        <v>VE</v>
      </c>
      <c r="CG17" t="str">
        <f t="shared" si="14"/>
        <v>VE</v>
      </c>
    </row>
    <row r="18" spans="1:85" ht="73.5" hidden="1" customHeight="1" x14ac:dyDescent="0.25">
      <c r="A18" s="299" t="str">
        <f>'PLAN INDICATIVO'!A18</f>
        <v>A.1</v>
      </c>
      <c r="B18" s="299" t="str">
        <f>'PLAN INDICATIVO'!B18</f>
        <v>Educación</v>
      </c>
      <c r="C18" s="1547"/>
      <c r="D18" s="1549"/>
      <c r="E18" s="1549"/>
      <c r="F18" s="1549"/>
      <c r="G18" s="1549"/>
      <c r="H18" s="1549"/>
      <c r="I18" s="300">
        <f>'PLAN INDICATIVO'!I18</f>
        <v>0</v>
      </c>
      <c r="J18" s="300">
        <f>'PLAN INDICATIVO'!J18</f>
        <v>0</v>
      </c>
      <c r="K18" s="1425" t="str">
        <f>'PLAN INDICATIVO'!K18</f>
        <v>A.1.1.11</v>
      </c>
      <c r="L18" s="301" t="str">
        <f>'PLAN INDICATIVO'!L18</f>
        <v>4. Educación de calidad</v>
      </c>
      <c r="M18" s="301" t="str">
        <f>'PLAN INDICATIVO'!M18</f>
        <v>Secretaría de Educación, Cultura, deporte y Turismo</v>
      </c>
      <c r="N18" s="1513" t="s">
        <v>5122</v>
      </c>
      <c r="O18" s="1425" t="str">
        <f>'PLAN INDICATIVO'!O18</f>
        <v>Incremento</v>
      </c>
      <c r="P18" s="16" t="str">
        <f>'PLAN INDICATIVO'!P18</f>
        <v>Crear 1 JUNTA MUNICIPAL DE EDUCACIÓN durante el cuatrienio.</v>
      </c>
      <c r="Q18" s="302" t="str">
        <f>'PLAN INDICATIVO'!Q18</f>
        <v>No. De juntas municipales creadas en el cuatrienio</v>
      </c>
      <c r="R18" s="303">
        <f>'PLAN INDICATIVO'!R18</f>
        <v>2015</v>
      </c>
      <c r="S18" s="304">
        <v>0</v>
      </c>
      <c r="T18" s="677">
        <v>1</v>
      </c>
      <c r="U18" s="303">
        <v>1</v>
      </c>
      <c r="V18" s="687">
        <v>1</v>
      </c>
      <c r="W18" s="823"/>
      <c r="X18" s="687">
        <v>1000000</v>
      </c>
      <c r="Y18" s="572">
        <v>0.5</v>
      </c>
      <c r="Z18" s="687">
        <v>500000</v>
      </c>
      <c r="AA18" s="1310">
        <v>0.5</v>
      </c>
      <c r="AB18" s="686"/>
      <c r="AC18" s="665"/>
      <c r="AD18" s="665">
        <v>0</v>
      </c>
      <c r="AE18" s="665">
        <v>0.5</v>
      </c>
      <c r="AF18" s="665">
        <v>0</v>
      </c>
      <c r="AG18" s="664" t="s">
        <v>5136</v>
      </c>
      <c r="AH18" s="985">
        <v>2019413960018</v>
      </c>
      <c r="AI18" s="307" t="s">
        <v>5079</v>
      </c>
      <c r="AJ18" s="309" t="s">
        <v>4808</v>
      </c>
      <c r="AK18" s="309">
        <v>43799</v>
      </c>
      <c r="AL18" s="308"/>
      <c r="AM18" s="308"/>
      <c r="AN18" s="267" t="s">
        <v>2598</v>
      </c>
      <c r="AO18" s="507"/>
      <c r="AP18" s="525"/>
      <c r="AQ18" s="310"/>
      <c r="AR18" s="310"/>
      <c r="AS18" s="310"/>
      <c r="AT18" s="310"/>
      <c r="AU18" s="310"/>
      <c r="AV18" s="310"/>
      <c r="AW18" s="544"/>
      <c r="AX18" s="525"/>
      <c r="AY18" s="310"/>
      <c r="AZ18" s="310"/>
      <c r="BA18" s="310"/>
      <c r="BB18" s="310"/>
      <c r="BC18" s="310"/>
      <c r="BD18" s="310"/>
      <c r="BE18" s="544"/>
      <c r="BF18" s="525"/>
      <c r="BG18" s="310"/>
      <c r="BH18" s="310"/>
      <c r="BI18" s="310"/>
      <c r="BJ18" s="310"/>
      <c r="BK18" s="310"/>
      <c r="BL18" s="310"/>
      <c r="BM18" s="544">
        <f t="shared" si="1"/>
        <v>0</v>
      </c>
      <c r="BN18" s="525"/>
      <c r="BO18" s="472"/>
      <c r="BP18" s="310"/>
      <c r="BQ18" s="310"/>
      <c r="BR18" s="310"/>
      <c r="BS18" s="310"/>
      <c r="BT18" s="310"/>
      <c r="BU18" s="544"/>
      <c r="BV18" s="1582"/>
      <c r="BW18" s="663">
        <f t="shared" si="7"/>
        <v>0.5</v>
      </c>
      <c r="BX18" s="1047">
        <f t="shared" si="8"/>
        <v>0.5</v>
      </c>
      <c r="BY18" s="1047">
        <f t="shared" si="9"/>
        <v>0</v>
      </c>
      <c r="BZ18" s="1047" t="str">
        <f t="shared" si="10"/>
        <v>No Programada</v>
      </c>
      <c r="CA18" s="1047">
        <f t="shared" si="11"/>
        <v>1</v>
      </c>
      <c r="CB18" s="1047">
        <f t="shared" si="12"/>
        <v>0</v>
      </c>
      <c r="CD18" t="str">
        <f t="shared" si="13"/>
        <v>ROB</v>
      </c>
      <c r="CE18" t="str">
        <f t="shared" si="13"/>
        <v>NP</v>
      </c>
      <c r="CF18" t="str">
        <f t="shared" si="13"/>
        <v>VE</v>
      </c>
      <c r="CG18" t="str">
        <f t="shared" si="14"/>
        <v>ROB</v>
      </c>
    </row>
    <row r="19" spans="1:85" ht="57" hidden="1" customHeight="1" x14ac:dyDescent="0.25">
      <c r="A19" s="299" t="str">
        <f>'PLAN INDICATIVO'!A19</f>
        <v>A.1</v>
      </c>
      <c r="B19" s="299" t="str">
        <f>'PLAN INDICATIVO'!B19</f>
        <v>Educación</v>
      </c>
      <c r="C19" s="1547"/>
      <c r="D19" s="1549"/>
      <c r="E19" s="1549"/>
      <c r="F19" s="1549"/>
      <c r="G19" s="1549"/>
      <c r="H19" s="1549"/>
      <c r="I19" s="300">
        <f>'PLAN INDICATIVO'!I19</f>
        <v>0</v>
      </c>
      <c r="J19" s="300">
        <f>'PLAN INDICATIVO'!J19</f>
        <v>0</v>
      </c>
      <c r="K19" s="1425" t="str">
        <f>'PLAN INDICATIVO'!K19</f>
        <v>A.1.1.12</v>
      </c>
      <c r="L19" s="301" t="str">
        <f>'PLAN INDICATIVO'!L19</f>
        <v>4. Educación de calidad</v>
      </c>
      <c r="M19" s="301" t="str">
        <f>'PLAN INDICATIVO'!M19</f>
        <v>Secretaría de Educación, Cultura, deporte y Turismo</v>
      </c>
      <c r="N19" s="1513" t="s">
        <v>5122</v>
      </c>
      <c r="O19" s="1425" t="str">
        <f>'PLAN INDICATIVO'!O19</f>
        <v>Incremento</v>
      </c>
      <c r="P19" s="16" t="str">
        <f>'PLAN INDICATIVO'!P19</f>
        <v>Lograr que 20 sedes educativas  del municipio tengan nuevos accesos a conectividad  durante el cuatrienio.</v>
      </c>
      <c r="Q19" s="302" t="str">
        <f>'PLAN INDICATIVO'!Q19</f>
        <v>No. de sedes educativas con nuevos accesos a conectividad durante el cuatrienio</v>
      </c>
      <c r="R19" s="303">
        <f>'PLAN INDICATIVO'!R19</f>
        <v>2015</v>
      </c>
      <c r="S19" s="304">
        <v>0</v>
      </c>
      <c r="T19" s="677">
        <v>20</v>
      </c>
      <c r="U19" s="303">
        <v>6</v>
      </c>
      <c r="V19" s="687">
        <v>8</v>
      </c>
      <c r="W19" s="572">
        <v>6</v>
      </c>
      <c r="X19" s="687">
        <v>5000000</v>
      </c>
      <c r="Y19" s="572">
        <v>9</v>
      </c>
      <c r="Z19" s="687">
        <v>500000</v>
      </c>
      <c r="AA19" s="1310"/>
      <c r="AB19" s="686"/>
      <c r="AC19" s="665"/>
      <c r="AD19" s="665">
        <v>11</v>
      </c>
      <c r="AE19" s="665">
        <v>17</v>
      </c>
      <c r="AF19" s="665"/>
      <c r="AG19" s="664" t="s">
        <v>5136</v>
      </c>
      <c r="AH19" s="985">
        <v>2019413960018</v>
      </c>
      <c r="AI19" s="307" t="s">
        <v>4084</v>
      </c>
      <c r="AJ19" s="309" t="s">
        <v>3445</v>
      </c>
      <c r="AK19" s="309">
        <v>43799</v>
      </c>
      <c r="AL19" s="308"/>
      <c r="AM19" s="308"/>
      <c r="AN19" s="267" t="s">
        <v>2598</v>
      </c>
      <c r="AO19" s="507"/>
      <c r="AP19" s="525"/>
      <c r="AQ19" s="310"/>
      <c r="AR19" s="310"/>
      <c r="AS19" s="310"/>
      <c r="AT19" s="310"/>
      <c r="AU19" s="310"/>
      <c r="AV19" s="310"/>
      <c r="AW19" s="544"/>
      <c r="AX19" s="525"/>
      <c r="AY19" s="310"/>
      <c r="AZ19" s="310"/>
      <c r="BA19" s="310"/>
      <c r="BB19" s="310"/>
      <c r="BC19" s="310"/>
      <c r="BD19" s="310"/>
      <c r="BE19" s="544"/>
      <c r="BF19" s="525"/>
      <c r="BG19" s="310"/>
      <c r="BH19" s="310"/>
      <c r="BI19" s="310"/>
      <c r="BJ19" s="310"/>
      <c r="BK19" s="310"/>
      <c r="BL19" s="310"/>
      <c r="BM19" s="544">
        <f t="shared" si="1"/>
        <v>0</v>
      </c>
      <c r="BN19" s="525"/>
      <c r="BO19" s="472"/>
      <c r="BP19" s="310"/>
      <c r="BQ19" s="310"/>
      <c r="BR19" s="310"/>
      <c r="BS19" s="310"/>
      <c r="BT19" s="310"/>
      <c r="BU19" s="544"/>
      <c r="BV19" s="1582"/>
      <c r="BW19" s="663">
        <f t="shared" si="7"/>
        <v>28</v>
      </c>
      <c r="BX19" s="1047">
        <f t="shared" si="8"/>
        <v>1.4</v>
      </c>
      <c r="BY19" s="1047">
        <f t="shared" si="9"/>
        <v>0</v>
      </c>
      <c r="BZ19" s="1047">
        <f t="shared" si="10"/>
        <v>1.8333333333333333</v>
      </c>
      <c r="CA19" s="1047">
        <f t="shared" si="11"/>
        <v>1.8888888888888888</v>
      </c>
      <c r="CB19" s="1047" t="str">
        <f t="shared" si="12"/>
        <v>No Programada</v>
      </c>
      <c r="CD19" t="str">
        <f t="shared" si="13"/>
        <v>ROB</v>
      </c>
      <c r="CE19" t="str">
        <f t="shared" si="13"/>
        <v>VE</v>
      </c>
      <c r="CF19" t="str">
        <f t="shared" si="13"/>
        <v>VE</v>
      </c>
      <c r="CG19" t="str">
        <f t="shared" si="14"/>
        <v>NP</v>
      </c>
    </row>
    <row r="20" spans="1:85" ht="96" customHeight="1" x14ac:dyDescent="0.3">
      <c r="A20" s="299" t="str">
        <f>'PLAN INDICATIVO'!A20</f>
        <v>A.1</v>
      </c>
      <c r="B20" s="299" t="str">
        <f>'PLAN INDICATIVO'!B20</f>
        <v>Educación</v>
      </c>
      <c r="C20" s="1547"/>
      <c r="D20" s="1549"/>
      <c r="E20" s="1549"/>
      <c r="F20" s="1549"/>
      <c r="G20" s="1549"/>
      <c r="H20" s="1549"/>
      <c r="I20" s="300">
        <f>'PLAN INDICATIVO'!I20</f>
        <v>0</v>
      </c>
      <c r="J20" s="300">
        <f>'PLAN INDICATIVO'!J20</f>
        <v>0</v>
      </c>
      <c r="K20" s="1425" t="str">
        <f>'PLAN INDICATIVO'!K20</f>
        <v>A.1.1.13</v>
      </c>
      <c r="L20" s="301" t="str">
        <f>'PLAN INDICATIVO'!L20</f>
        <v>4. Educación de calidad</v>
      </c>
      <c r="M20" s="301" t="str">
        <f>'PLAN INDICATIVO'!M20</f>
        <v>Secretaría de Educación, Cultura, deporte y Turismo</v>
      </c>
      <c r="N20" s="1513" t="s">
        <v>5122</v>
      </c>
      <c r="O20" s="1425" t="str">
        <f>'PLAN INDICATIVO'!O20</f>
        <v>Incremento</v>
      </c>
      <c r="P20" s="16" t="str">
        <f>'PLAN INDICATIVO'!P20</f>
        <v>Desarrollar 4 programas para promover la educación Financiera y/o en emprendimiento  en las Instituciones Municipales durante el cuatrienio</v>
      </c>
      <c r="Q20" s="302" t="str">
        <f>'PLAN INDICATIVO'!Q20</f>
        <v>No. de programas desarrollados durante el cuatrienio</v>
      </c>
      <c r="R20" s="303">
        <f>'PLAN INDICATIVO'!R20</f>
        <v>2015</v>
      </c>
      <c r="S20" s="304">
        <v>0</v>
      </c>
      <c r="T20" s="677">
        <v>4</v>
      </c>
      <c r="U20" s="303">
        <v>1</v>
      </c>
      <c r="V20" s="687">
        <v>3</v>
      </c>
      <c r="W20" s="572">
        <v>1</v>
      </c>
      <c r="X20" s="687">
        <v>3000000</v>
      </c>
      <c r="Y20" s="572">
        <v>1</v>
      </c>
      <c r="Z20" s="687">
        <v>500000</v>
      </c>
      <c r="AA20" s="1310">
        <v>1</v>
      </c>
      <c r="AB20" s="686">
        <v>1000000</v>
      </c>
      <c r="AC20" s="665"/>
      <c r="AD20" s="665">
        <v>1</v>
      </c>
      <c r="AE20" s="665">
        <v>1</v>
      </c>
      <c r="AF20" s="665">
        <v>1</v>
      </c>
      <c r="AG20" s="664" t="s">
        <v>5136</v>
      </c>
      <c r="AH20" s="985">
        <v>2019413960018</v>
      </c>
      <c r="AI20" s="307" t="s">
        <v>4905</v>
      </c>
      <c r="AJ20" s="309" t="s">
        <v>4808</v>
      </c>
      <c r="AK20" s="309">
        <v>43799</v>
      </c>
      <c r="AL20" s="308"/>
      <c r="AM20" s="308"/>
      <c r="AN20" s="267" t="s">
        <v>2598</v>
      </c>
      <c r="AO20" s="507"/>
      <c r="AP20" s="525"/>
      <c r="AQ20" s="310"/>
      <c r="AR20" s="310"/>
      <c r="AS20" s="310"/>
      <c r="AT20" s="310"/>
      <c r="AU20" s="310"/>
      <c r="AV20" s="310"/>
      <c r="AW20" s="544"/>
      <c r="AX20" s="525"/>
      <c r="AY20" s="310"/>
      <c r="AZ20" s="310"/>
      <c r="BA20" s="310"/>
      <c r="BB20" s="310"/>
      <c r="BC20" s="310"/>
      <c r="BD20" s="310"/>
      <c r="BE20" s="544"/>
      <c r="BF20" s="525"/>
      <c r="BG20" s="310"/>
      <c r="BH20" s="310"/>
      <c r="BI20" s="310"/>
      <c r="BJ20" s="310"/>
      <c r="BK20" s="310"/>
      <c r="BL20" s="310"/>
      <c r="BM20" s="544">
        <f t="shared" si="1"/>
        <v>0</v>
      </c>
      <c r="BN20" s="525"/>
      <c r="BO20" s="472"/>
      <c r="BP20" s="310"/>
      <c r="BQ20" s="310"/>
      <c r="BR20" s="310"/>
      <c r="BS20" s="310"/>
      <c r="BT20" s="310"/>
      <c r="BU20" s="544"/>
      <c r="BV20" s="1582"/>
      <c r="BW20" s="663">
        <f t="shared" si="7"/>
        <v>3</v>
      </c>
      <c r="BX20" s="1047">
        <f t="shared" si="8"/>
        <v>0.75</v>
      </c>
      <c r="BY20" s="1047">
        <f t="shared" si="9"/>
        <v>0</v>
      </c>
      <c r="BZ20" s="1047">
        <f t="shared" si="10"/>
        <v>1</v>
      </c>
      <c r="CA20" s="1047">
        <f t="shared" si="11"/>
        <v>1</v>
      </c>
      <c r="CB20" s="1047">
        <f t="shared" si="12"/>
        <v>1</v>
      </c>
      <c r="CD20" t="str">
        <f t="shared" si="13"/>
        <v>ROB</v>
      </c>
      <c r="CE20" t="str">
        <f t="shared" si="13"/>
        <v>VE</v>
      </c>
      <c r="CF20" t="str">
        <f t="shared" si="13"/>
        <v>VE</v>
      </c>
      <c r="CG20" t="str">
        <f t="shared" si="14"/>
        <v>VE</v>
      </c>
    </row>
    <row r="21" spans="1:85" ht="78.75" customHeight="1" x14ac:dyDescent="0.3">
      <c r="A21" s="299" t="str">
        <f>'PLAN INDICATIVO'!A21</f>
        <v>M</v>
      </c>
      <c r="B21" s="299" t="str">
        <f>'PLAN INDICATIVO'!B21</f>
        <v>Educación</v>
      </c>
      <c r="C21" s="1547"/>
      <c r="D21" s="1549"/>
      <c r="E21" s="1549"/>
      <c r="F21" s="1549"/>
      <c r="G21" s="1549"/>
      <c r="H21" s="1549"/>
      <c r="I21" s="300">
        <f>'PLAN INDICATIVO'!I21</f>
        <v>0</v>
      </c>
      <c r="J21" s="300">
        <f>'PLAN INDICATIVO'!J21</f>
        <v>0</v>
      </c>
      <c r="K21" s="1425" t="str">
        <f>'PLAN INDICATIVO'!K21</f>
        <v>A.1.1.14</v>
      </c>
      <c r="L21" s="301" t="str">
        <f>'PLAN INDICATIVO'!L21</f>
        <v>4. Educación de calidad</v>
      </c>
      <c r="M21" s="301" t="str">
        <f>'PLAN INDICATIVO'!M21</f>
        <v>Secretaría de Educación, Cultura, deporte y Turismo</v>
      </c>
      <c r="N21" s="1513" t="s">
        <v>5122</v>
      </c>
      <c r="O21" s="1425" t="str">
        <f>'PLAN INDICATIVO'!O21</f>
        <v>Mantenimiento</v>
      </c>
      <c r="P21" s="1198" t="str">
        <f>'PLAN INDICATIVO'!P21</f>
        <v>Gestionar el acceso al sistema escolar de la población víctima por fuera del sistema, durante el cuatrienio</v>
      </c>
      <c r="Q21" s="302" t="str">
        <f>'PLAN INDICATIVO'!Q21</f>
        <v>No. De Rutas especializadas creadas durante el cuatrienio</v>
      </c>
      <c r="R21" s="303">
        <f>'PLAN INDICATIVO'!R21</f>
        <v>2015</v>
      </c>
      <c r="S21" s="304">
        <v>0</v>
      </c>
      <c r="T21" s="677">
        <v>1</v>
      </c>
      <c r="U21" s="303"/>
      <c r="V21" s="687">
        <v>5</v>
      </c>
      <c r="W21" s="572">
        <v>1</v>
      </c>
      <c r="X21" s="687">
        <v>5000000</v>
      </c>
      <c r="Y21" s="964"/>
      <c r="Z21" s="687">
        <v>500000</v>
      </c>
      <c r="AA21" s="1310"/>
      <c r="AB21" s="686">
        <v>1000000</v>
      </c>
      <c r="AC21" s="665"/>
      <c r="AD21" s="665">
        <v>1</v>
      </c>
      <c r="AE21" s="665">
        <v>1</v>
      </c>
      <c r="AF21" s="665">
        <v>1</v>
      </c>
      <c r="AG21" s="664" t="s">
        <v>5136</v>
      </c>
      <c r="AH21" s="985">
        <v>2019413960018</v>
      </c>
      <c r="AI21" s="307" t="s">
        <v>4906</v>
      </c>
      <c r="AJ21" s="309">
        <v>43480</v>
      </c>
      <c r="AK21" s="309">
        <v>43799</v>
      </c>
      <c r="AL21" s="308"/>
      <c r="AM21" s="308"/>
      <c r="AN21" s="267" t="s">
        <v>2594</v>
      </c>
      <c r="AO21" s="507"/>
      <c r="AP21" s="525"/>
      <c r="AQ21" s="310"/>
      <c r="AR21" s="310"/>
      <c r="AS21" s="310"/>
      <c r="AT21" s="310"/>
      <c r="AU21" s="310"/>
      <c r="AV21" s="310"/>
      <c r="AW21" s="544"/>
      <c r="AX21" s="525"/>
      <c r="AY21" s="310"/>
      <c r="AZ21" s="310"/>
      <c r="BA21" s="310"/>
      <c r="BB21" s="310"/>
      <c r="BC21" s="310"/>
      <c r="BD21" s="310"/>
      <c r="BE21" s="544"/>
      <c r="BF21" s="525"/>
      <c r="BG21" s="310"/>
      <c r="BH21" s="310"/>
      <c r="BI21" s="310"/>
      <c r="BJ21" s="310"/>
      <c r="BK21" s="310"/>
      <c r="BL21" s="310"/>
      <c r="BM21" s="544">
        <f t="shared" si="1"/>
        <v>0</v>
      </c>
      <c r="BN21" s="525"/>
      <c r="BO21" s="472"/>
      <c r="BP21" s="310"/>
      <c r="BQ21" s="310"/>
      <c r="BR21" s="310"/>
      <c r="BS21" s="310"/>
      <c r="BT21" s="310"/>
      <c r="BU21" s="544"/>
      <c r="BV21" s="1582"/>
      <c r="BW21" s="663">
        <f t="shared" si="7"/>
        <v>3</v>
      </c>
      <c r="BX21" s="1047">
        <f t="shared" si="8"/>
        <v>3</v>
      </c>
      <c r="BY21" s="1047" t="str">
        <f t="shared" si="9"/>
        <v>No Programada</v>
      </c>
      <c r="BZ21" s="1047">
        <f t="shared" si="10"/>
        <v>1</v>
      </c>
      <c r="CA21" s="1047" t="str">
        <f t="shared" si="11"/>
        <v>No Programada</v>
      </c>
      <c r="CB21" s="1047" t="str">
        <f t="shared" si="12"/>
        <v>No Programada</v>
      </c>
      <c r="CD21" t="str">
        <f t="shared" si="13"/>
        <v>NP</v>
      </c>
      <c r="CE21" t="str">
        <f t="shared" si="13"/>
        <v>VE</v>
      </c>
      <c r="CF21" t="str">
        <f t="shared" si="13"/>
        <v>NP</v>
      </c>
      <c r="CG21" t="str">
        <f t="shared" si="14"/>
        <v>NP</v>
      </c>
    </row>
    <row r="22" spans="1:85" ht="66.75" customHeight="1" x14ac:dyDescent="0.3">
      <c r="A22" s="299" t="str">
        <f>'PLAN INDICATIVO'!A22</f>
        <v>A.1</v>
      </c>
      <c r="B22" s="299" t="str">
        <f>'PLAN INDICATIVO'!B22</f>
        <v>Educación</v>
      </c>
      <c r="C22" s="1548"/>
      <c r="D22" s="1549"/>
      <c r="E22" s="1549"/>
      <c r="F22" s="1549"/>
      <c r="G22" s="1549"/>
      <c r="H22" s="1549"/>
      <c r="I22" s="300">
        <f>'PLAN INDICATIVO'!I22</f>
        <v>0</v>
      </c>
      <c r="J22" s="300">
        <f>'PLAN INDICATIVO'!J22</f>
        <v>0</v>
      </c>
      <c r="K22" s="1425" t="str">
        <f>'PLAN INDICATIVO'!K22</f>
        <v>A.1.1.15</v>
      </c>
      <c r="L22" s="301" t="str">
        <f>'PLAN INDICATIVO'!L22</f>
        <v>4. Educación de calidad</v>
      </c>
      <c r="M22" s="301" t="str">
        <f>'PLAN INDICATIVO'!M22</f>
        <v>Secretaría de Educación, Cultura, deporte y Turismo</v>
      </c>
      <c r="N22" s="1513" t="s">
        <v>5122</v>
      </c>
      <c r="O22" s="1425" t="str">
        <f>'PLAN INDICATIVO'!O22</f>
        <v>Mantenimiento</v>
      </c>
      <c r="P22" s="16" t="str">
        <f>'PLAN INDICATIVO'!P22</f>
        <v>Implementar un programa de orientación y vocación profesional para estudiantes de educación media cada año</v>
      </c>
      <c r="Q22" s="302" t="str">
        <f>'PLAN INDICATIVO'!Q22</f>
        <v>No. de programas en el cuatrenio</v>
      </c>
      <c r="R22" s="303">
        <f>'PLAN INDICATIVO'!R22</f>
        <v>2015</v>
      </c>
      <c r="S22" s="304">
        <v>0</v>
      </c>
      <c r="T22" s="677">
        <v>1</v>
      </c>
      <c r="U22" s="303">
        <v>1</v>
      </c>
      <c r="V22" s="687">
        <v>5</v>
      </c>
      <c r="W22" s="572">
        <v>1</v>
      </c>
      <c r="X22" s="687">
        <v>5000000</v>
      </c>
      <c r="Y22" s="572">
        <v>1</v>
      </c>
      <c r="Z22" s="687">
        <v>500000</v>
      </c>
      <c r="AA22" s="1310"/>
      <c r="AB22" s="686">
        <v>1000000</v>
      </c>
      <c r="AC22" s="665"/>
      <c r="AD22" s="665">
        <v>1</v>
      </c>
      <c r="AE22" s="665">
        <v>1</v>
      </c>
      <c r="AF22" s="665">
        <v>0.33</v>
      </c>
      <c r="AG22" s="664" t="s">
        <v>5136</v>
      </c>
      <c r="AH22" s="985">
        <v>2019413960018</v>
      </c>
      <c r="AI22" s="307" t="s">
        <v>4907</v>
      </c>
      <c r="AJ22" s="309" t="s">
        <v>4808</v>
      </c>
      <c r="AK22" s="309">
        <v>43799</v>
      </c>
      <c r="AL22" s="308"/>
      <c r="AM22" s="308"/>
      <c r="AN22" s="267" t="s">
        <v>2598</v>
      </c>
      <c r="AO22" s="507"/>
      <c r="AP22" s="525"/>
      <c r="AQ22" s="310"/>
      <c r="AR22" s="310"/>
      <c r="AS22" s="310"/>
      <c r="AT22" s="310"/>
      <c r="AU22" s="310"/>
      <c r="AV22" s="310"/>
      <c r="AW22" s="544"/>
      <c r="AX22" s="525"/>
      <c r="AY22" s="310"/>
      <c r="AZ22" s="310"/>
      <c r="BA22" s="310"/>
      <c r="BB22" s="310"/>
      <c r="BC22" s="310"/>
      <c r="BD22" s="310"/>
      <c r="BE22" s="544"/>
      <c r="BF22" s="525"/>
      <c r="BG22" s="310"/>
      <c r="BH22" s="310"/>
      <c r="BI22" s="310"/>
      <c r="BJ22" s="310"/>
      <c r="BK22" s="310"/>
      <c r="BL22" s="310"/>
      <c r="BM22" s="544">
        <f t="shared" si="1"/>
        <v>0</v>
      </c>
      <c r="BN22" s="525"/>
      <c r="BO22" s="472"/>
      <c r="BP22" s="310"/>
      <c r="BQ22" s="310"/>
      <c r="BR22" s="310"/>
      <c r="BS22" s="310"/>
      <c r="BT22" s="310"/>
      <c r="BU22" s="544"/>
      <c r="BV22" s="1583"/>
      <c r="BW22" s="663">
        <f t="shared" si="7"/>
        <v>2.33</v>
      </c>
      <c r="BX22" s="1047">
        <f t="shared" si="8"/>
        <v>2.33</v>
      </c>
      <c r="BY22" s="1047">
        <f t="shared" si="9"/>
        <v>0</v>
      </c>
      <c r="BZ22" s="1047">
        <f t="shared" si="10"/>
        <v>1</v>
      </c>
      <c r="CA22" s="1047">
        <f t="shared" si="11"/>
        <v>1</v>
      </c>
      <c r="CB22" s="1047" t="str">
        <f t="shared" si="12"/>
        <v>No Programada</v>
      </c>
      <c r="CD22" t="str">
        <f t="shared" si="13"/>
        <v>ROB</v>
      </c>
      <c r="CE22" t="str">
        <f t="shared" si="13"/>
        <v>VE</v>
      </c>
      <c r="CF22" t="str">
        <f t="shared" si="13"/>
        <v>VE</v>
      </c>
      <c r="CG22" t="str">
        <f t="shared" si="14"/>
        <v>NP</v>
      </c>
    </row>
    <row r="23" spans="1:85" ht="18.75" customHeight="1" x14ac:dyDescent="0.3">
      <c r="A23" s="295"/>
      <c r="B23" s="24"/>
      <c r="C23" s="1574" t="s">
        <v>94</v>
      </c>
      <c r="D23" s="1575"/>
      <c r="E23" s="1575"/>
      <c r="F23" s="1575"/>
      <c r="G23" s="1575"/>
      <c r="H23" s="1575"/>
      <c r="I23" s="1575"/>
      <c r="J23" s="1575"/>
      <c r="K23" s="1575"/>
      <c r="L23" s="1575"/>
      <c r="M23" s="1575"/>
      <c r="N23" s="1575"/>
      <c r="O23" s="1576"/>
      <c r="P23" s="22"/>
      <c r="Q23" s="22"/>
      <c r="R23" s="1"/>
      <c r="S23" s="261"/>
      <c r="T23" s="681"/>
      <c r="U23" s="261"/>
      <c r="V23" s="689">
        <f>SUM(V24:V41)</f>
        <v>1433.4</v>
      </c>
      <c r="W23" s="261"/>
      <c r="X23" s="689">
        <f>SUM(X24:X41)</f>
        <v>1419750000</v>
      </c>
      <c r="Y23" s="261"/>
      <c r="Z23" s="689">
        <f>SUM(Z24:Z41)</f>
        <v>827000000</v>
      </c>
      <c r="AA23" s="262"/>
      <c r="AB23" s="690">
        <f>SUM(AB24:AB41)</f>
        <v>1131318035</v>
      </c>
      <c r="AC23" s="262"/>
      <c r="AD23" s="262"/>
      <c r="AE23" s="262"/>
      <c r="AF23" s="665"/>
      <c r="AG23" s="263"/>
      <c r="AH23" s="263"/>
      <c r="AI23" s="263"/>
      <c r="AJ23" s="262"/>
      <c r="AK23" s="262"/>
      <c r="AL23" s="262"/>
      <c r="AM23" s="262"/>
      <c r="AN23" s="262"/>
      <c r="AO23" s="612"/>
      <c r="AP23" s="614"/>
      <c r="AQ23" s="614"/>
      <c r="AR23" s="614"/>
      <c r="AS23" s="614"/>
      <c r="AT23" s="614"/>
      <c r="AU23" s="614"/>
      <c r="AV23" s="614"/>
      <c r="AW23" s="22"/>
      <c r="AX23" s="614"/>
      <c r="AY23" s="614"/>
      <c r="AZ23" s="614"/>
      <c r="BA23" s="614"/>
      <c r="BB23" s="614"/>
      <c r="BC23" s="614"/>
      <c r="BD23" s="614"/>
      <c r="BE23" s="22"/>
      <c r="BF23" s="614"/>
      <c r="BG23" s="614"/>
      <c r="BH23" s="614"/>
      <c r="BI23" s="614"/>
      <c r="BJ23" s="614"/>
      <c r="BK23" s="614"/>
      <c r="BL23" s="614"/>
      <c r="BM23" s="22">
        <f>SUM(BF23:BF23:BL23)</f>
        <v>0</v>
      </c>
      <c r="BN23" s="614"/>
      <c r="BO23" s="614"/>
      <c r="BP23" s="614"/>
      <c r="BQ23" s="614"/>
      <c r="BR23" s="614"/>
      <c r="BS23" s="614"/>
      <c r="BT23" s="614"/>
      <c r="BU23" s="22"/>
      <c r="BV23" s="22"/>
      <c r="BW23" s="663"/>
      <c r="BX23" s="1047" t="s">
        <v>2717</v>
      </c>
      <c r="BY23" s="1047" t="s">
        <v>2717</v>
      </c>
      <c r="BZ23" s="1047" t="s">
        <v>2717</v>
      </c>
      <c r="CA23" s="1047" t="s">
        <v>2717</v>
      </c>
      <c r="CB23" s="1047" t="s">
        <v>2717</v>
      </c>
    </row>
    <row r="24" spans="1:85" ht="58.5" customHeight="1" x14ac:dyDescent="0.3">
      <c r="A24" s="298" t="s">
        <v>38</v>
      </c>
      <c r="B24" s="299" t="str">
        <f>'PLAN INDICATIVO'!B24</f>
        <v>Educación</v>
      </c>
      <c r="C24" s="1546" t="s">
        <v>95</v>
      </c>
      <c r="D24" s="1549" t="s">
        <v>96</v>
      </c>
      <c r="E24" s="1549" t="s">
        <v>97</v>
      </c>
      <c r="F24" s="1549">
        <v>2014</v>
      </c>
      <c r="G24" s="1549">
        <v>47.54</v>
      </c>
      <c r="H24" s="1549">
        <v>50</v>
      </c>
      <c r="I24" s="300">
        <f>'PLAN INDICATIVO'!I24</f>
        <v>0</v>
      </c>
      <c r="J24" s="300">
        <f>'PLAN INDICATIVO'!J24</f>
        <v>0</v>
      </c>
      <c r="K24" s="1425" t="str">
        <f>'PLAN INDICATIVO'!K24</f>
        <v>A.1.2.1</v>
      </c>
      <c r="L24" s="1425" t="str">
        <f>'PLAN INDICATIVO'!L24</f>
        <v>4. Educación de calidad</v>
      </c>
      <c r="M24" s="1425" t="str">
        <f>'PLAN INDICATIVO'!M24</f>
        <v>Secretaría de Educación, Cultura, deporte y Turismo</v>
      </c>
      <c r="N24" s="1513" t="s">
        <v>5122</v>
      </c>
      <c r="O24" s="1425" t="str">
        <f>'PLAN INDICATIVO'!O24</f>
        <v>Incremento</v>
      </c>
      <c r="P24" s="16" t="str">
        <f>'PLAN INDICATIVO'!P24</f>
        <v>Dotar 18 Instituciones educativas con mobiliario y equipo, material didáctico para la enseñanza, durante el cuatrienio.</v>
      </c>
      <c r="Q24" s="302" t="str">
        <f>'PLAN INDICATIVO'!Q24</f>
        <v>No. de centros educativos dotados en el cuatrienio</v>
      </c>
      <c r="R24" s="303">
        <f>'PLAN INDICATIVO'!R24</f>
        <v>2015</v>
      </c>
      <c r="S24" s="304">
        <v>0</v>
      </c>
      <c r="T24" s="677">
        <v>18</v>
      </c>
      <c r="U24" s="303">
        <v>2</v>
      </c>
      <c r="V24" s="687">
        <v>15</v>
      </c>
      <c r="W24" s="572">
        <v>2</v>
      </c>
      <c r="X24" s="687">
        <v>20000000</v>
      </c>
      <c r="Y24" s="572">
        <v>3</v>
      </c>
      <c r="Z24" s="687">
        <v>100000000</v>
      </c>
      <c r="AA24" s="1310"/>
      <c r="AB24" s="686">
        <v>25000000</v>
      </c>
      <c r="AC24" s="665"/>
      <c r="AD24" s="665">
        <v>2</v>
      </c>
      <c r="AE24" s="665">
        <v>18</v>
      </c>
      <c r="AF24" s="665">
        <v>5</v>
      </c>
      <c r="AG24" s="664" t="s">
        <v>5136</v>
      </c>
      <c r="AH24" s="985">
        <v>2019413960018</v>
      </c>
      <c r="AI24" s="307" t="s">
        <v>4809</v>
      </c>
      <c r="AJ24" s="309">
        <v>43497</v>
      </c>
      <c r="AK24" s="309">
        <v>43799</v>
      </c>
      <c r="AL24" s="308"/>
      <c r="AM24" s="308"/>
      <c r="AN24" s="267" t="s">
        <v>2598</v>
      </c>
      <c r="AO24" s="507"/>
      <c r="AP24" s="525"/>
      <c r="AQ24" s="310"/>
      <c r="AR24" s="310"/>
      <c r="AS24" s="310"/>
      <c r="AT24" s="310"/>
      <c r="AU24" s="310"/>
      <c r="AV24" s="310"/>
      <c r="AW24" s="544"/>
      <c r="AX24" s="544"/>
      <c r="AY24" s="310"/>
      <c r="AZ24" s="310"/>
      <c r="BA24" s="310"/>
      <c r="BB24" s="310"/>
      <c r="BC24" s="310"/>
      <c r="BD24" s="310"/>
      <c r="BE24" s="544"/>
      <c r="BF24" s="525"/>
      <c r="BG24" s="310"/>
      <c r="BH24" s="310"/>
      <c r="BI24" s="310"/>
      <c r="BJ24" s="310"/>
      <c r="BK24" s="310"/>
      <c r="BL24" s="310"/>
      <c r="BM24" s="544">
        <f t="shared" ref="BM24:BM86" si="15">SUM(BF24:BL24)</f>
        <v>0</v>
      </c>
      <c r="BN24" s="525"/>
      <c r="BO24" s="472"/>
      <c r="BP24" s="310"/>
      <c r="BQ24" s="310"/>
      <c r="BR24" s="310"/>
      <c r="BS24" s="310"/>
      <c r="BT24" s="310"/>
      <c r="BU24" s="544"/>
      <c r="BV24" s="1637" t="s">
        <v>2563</v>
      </c>
      <c r="BW24" s="663">
        <f t="shared" si="7"/>
        <v>25</v>
      </c>
      <c r="BX24" s="1047">
        <f t="shared" ref="BX24:BX41" si="16">BW24/T24</f>
        <v>1.3888888888888888</v>
      </c>
      <c r="BY24" s="1047">
        <f t="shared" ref="BY24:BY41" si="17">IF(U24&gt;=0.1,AC24/U24,IF(ISBLANK(U24),"No Programada","Aplazada"))</f>
        <v>0</v>
      </c>
      <c r="BZ24" s="1047">
        <f t="shared" ref="BZ24:BZ41" si="18">IF(W24&gt;=0.1,AD24/W24,IF(ISBLANK(W24),"No Programada","Aplazada"))</f>
        <v>1</v>
      </c>
      <c r="CA24" s="1047">
        <f t="shared" ref="CA24:CA41" si="19">IF(Y24&gt;=0.1,AE24/Y24,IF(ISBLANK(Y24),"No Programada","Aplazada"))</f>
        <v>6</v>
      </c>
      <c r="CB24" s="1047" t="str">
        <f t="shared" ref="CB24:CB41" si="20">IF(AA24&gt;=0.1,AF24/AA24,IF(ISBLANK(AA24),"No Programada","Aplazada"))</f>
        <v>No Programada</v>
      </c>
      <c r="CD24" t="str">
        <f t="shared" ref="CD24:CG41" si="21">IF(BY24="PARA MODIFICAR","M",IF(BY24="PARA ELIMINAR","E",IF(BY24="aplazada","AZ",IF(BY24="no programada","NP",IF(BY24&gt;=85%,"VE",IF(BY24&gt;70%,"VEB",IF(BY24&gt;60%,"AM",IF(BY24&gt;40%,"AMB",IF(BY24&gt;20%,"RO",IF(BY24&gt;=0%,"ROB",""))))))))))</f>
        <v>ROB</v>
      </c>
      <c r="CE24" t="str">
        <f t="shared" si="21"/>
        <v>VE</v>
      </c>
      <c r="CF24" t="str">
        <f t="shared" si="21"/>
        <v>VE</v>
      </c>
      <c r="CG24" t="str">
        <f t="shared" si="21"/>
        <v>NP</v>
      </c>
    </row>
    <row r="25" spans="1:85" ht="67.5" customHeight="1" x14ac:dyDescent="0.3">
      <c r="A25" s="298" t="s">
        <v>38</v>
      </c>
      <c r="B25" s="299" t="str">
        <f>'PLAN INDICATIVO'!B25</f>
        <v>Educación</v>
      </c>
      <c r="C25" s="1547"/>
      <c r="D25" s="1549"/>
      <c r="E25" s="1549"/>
      <c r="F25" s="1549"/>
      <c r="G25" s="1549"/>
      <c r="H25" s="1549"/>
      <c r="I25" s="300">
        <f>'PLAN INDICATIVO'!I25</f>
        <v>0</v>
      </c>
      <c r="J25" s="300">
        <f>'PLAN INDICATIVO'!J25</f>
        <v>0</v>
      </c>
      <c r="K25" s="1425" t="str">
        <f>'PLAN INDICATIVO'!K25</f>
        <v>A.1.2.2</v>
      </c>
      <c r="L25" s="1425" t="str">
        <f>'PLAN INDICATIVO'!L25</f>
        <v>4. Educación de calidad</v>
      </c>
      <c r="M25" s="1425" t="str">
        <f>'PLAN INDICATIVO'!M25</f>
        <v>Secretaría de Educación, Cultura, deporte y Turismo</v>
      </c>
      <c r="N25" s="1513" t="s">
        <v>5122</v>
      </c>
      <c r="O25" s="1425" t="str">
        <f>'PLAN INDICATIVO'!O25</f>
        <v>Mantenimiento</v>
      </c>
      <c r="P25" s="16" t="str">
        <f>'PLAN INDICATIVO'!P25</f>
        <v>Apoyar a 18 Instituciones Educativas con recursos para garantizar la gratuidad en la educación cada año</v>
      </c>
      <c r="Q25" s="302" t="str">
        <f>'PLAN INDICATIVO'!Q25</f>
        <v>No. De IE apoyadas cada año</v>
      </c>
      <c r="R25" s="303">
        <f>'PLAN INDICATIVO'!R25</f>
        <v>2015</v>
      </c>
      <c r="S25" s="304">
        <v>1</v>
      </c>
      <c r="T25" s="677">
        <v>18</v>
      </c>
      <c r="U25" s="303">
        <v>18</v>
      </c>
      <c r="V25" s="687">
        <v>1282.4000000000001</v>
      </c>
      <c r="W25" s="303">
        <v>18</v>
      </c>
      <c r="X25" s="687">
        <v>1256750000</v>
      </c>
      <c r="Y25" s="303">
        <v>18</v>
      </c>
      <c r="Z25" s="687">
        <v>640000000</v>
      </c>
      <c r="AA25" s="291">
        <v>18</v>
      </c>
      <c r="AB25" s="686">
        <v>1049118035</v>
      </c>
      <c r="AC25" s="665"/>
      <c r="AD25" s="665">
        <v>1</v>
      </c>
      <c r="AE25" s="665">
        <v>18</v>
      </c>
      <c r="AF25" s="665">
        <v>18</v>
      </c>
      <c r="AG25" s="664" t="s">
        <v>5136</v>
      </c>
      <c r="AH25" s="985">
        <v>2019413960018</v>
      </c>
      <c r="AI25" s="307" t="s">
        <v>4908</v>
      </c>
      <c r="AJ25" s="309">
        <v>43586</v>
      </c>
      <c r="AK25" s="309">
        <v>43799</v>
      </c>
      <c r="AL25" s="308"/>
      <c r="AM25" s="308"/>
      <c r="AN25" s="267" t="s">
        <v>2598</v>
      </c>
      <c r="AO25" s="507"/>
      <c r="AP25" s="525"/>
      <c r="AQ25" s="310"/>
      <c r="AR25" s="310"/>
      <c r="AS25" s="310"/>
      <c r="AT25" s="310"/>
      <c r="AU25" s="310"/>
      <c r="AV25" s="310"/>
      <c r="AW25" s="544"/>
      <c r="AX25" s="544"/>
      <c r="AY25" s="310"/>
      <c r="AZ25" s="310"/>
      <c r="BA25" s="310"/>
      <c r="BB25" s="310"/>
      <c r="BC25" s="310"/>
      <c r="BD25" s="310"/>
      <c r="BE25" s="544"/>
      <c r="BF25" s="525"/>
      <c r="BG25" s="310"/>
      <c r="BH25" s="310"/>
      <c r="BI25" s="310"/>
      <c r="BJ25" s="310"/>
      <c r="BK25" s="310"/>
      <c r="BL25" s="310"/>
      <c r="BM25" s="544">
        <f t="shared" si="15"/>
        <v>0</v>
      </c>
      <c r="BN25" s="525"/>
      <c r="BO25" s="472"/>
      <c r="BP25" s="310"/>
      <c r="BQ25" s="310"/>
      <c r="BR25" s="310"/>
      <c r="BS25" s="310"/>
      <c r="BT25" s="310"/>
      <c r="BU25" s="544"/>
      <c r="BV25" s="1638"/>
      <c r="BW25" s="663">
        <f t="shared" si="7"/>
        <v>37</v>
      </c>
      <c r="BX25" s="1047">
        <f t="shared" si="16"/>
        <v>2.0555555555555554</v>
      </c>
      <c r="BY25" s="1047">
        <f t="shared" si="17"/>
        <v>0</v>
      </c>
      <c r="BZ25" s="1047">
        <f t="shared" si="18"/>
        <v>5.5555555555555552E-2</v>
      </c>
      <c r="CA25" s="1047">
        <f t="shared" si="19"/>
        <v>1</v>
      </c>
      <c r="CB25" s="1047">
        <f t="shared" si="20"/>
        <v>1</v>
      </c>
      <c r="CD25" t="str">
        <f t="shared" si="21"/>
        <v>ROB</v>
      </c>
      <c r="CE25" t="str">
        <f t="shared" si="21"/>
        <v>ROB</v>
      </c>
      <c r="CF25" t="str">
        <f t="shared" si="21"/>
        <v>VE</v>
      </c>
      <c r="CG25" t="str">
        <f t="shared" si="21"/>
        <v>VE</v>
      </c>
    </row>
    <row r="26" spans="1:85" ht="113.25" customHeight="1" x14ac:dyDescent="0.3">
      <c r="A26" s="298" t="s">
        <v>38</v>
      </c>
      <c r="B26" s="299" t="str">
        <f>'PLAN INDICATIVO'!B26</f>
        <v>Educación</v>
      </c>
      <c r="C26" s="1547"/>
      <c r="D26" s="1549"/>
      <c r="E26" s="1549"/>
      <c r="F26" s="1549"/>
      <c r="G26" s="1549"/>
      <c r="H26" s="1549"/>
      <c r="I26" s="300">
        <f>'PLAN INDICATIVO'!I26</f>
        <v>0</v>
      </c>
      <c r="J26" s="300">
        <f>'PLAN INDICATIVO'!J26</f>
        <v>0</v>
      </c>
      <c r="K26" s="1425" t="str">
        <f>'PLAN INDICATIVO'!K26</f>
        <v>A.1.2.3</v>
      </c>
      <c r="L26" s="1425" t="str">
        <f>'PLAN INDICATIVO'!L26</f>
        <v>4. Educación de calidad</v>
      </c>
      <c r="M26" s="1425" t="str">
        <f>'PLAN INDICATIVO'!M26</f>
        <v>Secretaría de Educación, Cultura, deporte y Turismo</v>
      </c>
      <c r="N26" s="1513" t="s">
        <v>5122</v>
      </c>
      <c r="O26" s="1425" t="str">
        <f>'PLAN INDICATIVO'!O26</f>
        <v>Mantenimiento</v>
      </c>
      <c r="P26" s="16" t="str">
        <f>'PLAN INDICATIVO'!P26</f>
        <v xml:space="preserve">Desarrollar 1 programa de capacitación y formación por año dirigido a docentes, directivos y administrativos de las instituciones educativas del municipio </v>
      </c>
      <c r="Q26" s="302" t="str">
        <f>'PLAN INDICATIVO'!Q26</f>
        <v>No. Programas de capacitación y formación dirigidos a directivos y administrativos de IE desarrollados cada año</v>
      </c>
      <c r="R26" s="303">
        <f>'PLAN INDICATIVO'!R26</f>
        <v>2015</v>
      </c>
      <c r="S26" s="304">
        <v>0</v>
      </c>
      <c r="T26" s="677">
        <v>4</v>
      </c>
      <c r="U26" s="303">
        <v>1</v>
      </c>
      <c r="V26" s="687">
        <v>15</v>
      </c>
      <c r="W26" s="572">
        <v>1</v>
      </c>
      <c r="X26" s="687">
        <v>25000000</v>
      </c>
      <c r="Y26" s="572">
        <v>1</v>
      </c>
      <c r="Z26" s="687">
        <v>2500000</v>
      </c>
      <c r="AA26" s="1310">
        <v>1</v>
      </c>
      <c r="AB26" s="686">
        <v>1000000</v>
      </c>
      <c r="AC26" s="665"/>
      <c r="AD26" s="665">
        <v>1</v>
      </c>
      <c r="AE26" s="665">
        <v>1</v>
      </c>
      <c r="AF26" s="665">
        <v>1</v>
      </c>
      <c r="AG26" s="664" t="s">
        <v>5136</v>
      </c>
      <c r="AH26" s="985">
        <v>2019413960018</v>
      </c>
      <c r="AI26" s="882" t="s">
        <v>4909</v>
      </c>
      <c r="AJ26" s="309" t="s">
        <v>4808</v>
      </c>
      <c r="AK26" s="309">
        <v>43646</v>
      </c>
      <c r="AL26" s="308"/>
      <c r="AM26" s="308"/>
      <c r="AN26" s="267" t="s">
        <v>2598</v>
      </c>
      <c r="AO26" s="507"/>
      <c r="AP26" s="526"/>
      <c r="AQ26" s="470"/>
      <c r="AR26" s="470"/>
      <c r="AS26" s="470"/>
      <c r="AT26" s="470"/>
      <c r="AU26" s="470"/>
      <c r="AV26" s="470"/>
      <c r="AW26" s="544"/>
      <c r="AX26" s="544"/>
      <c r="AY26" s="470"/>
      <c r="AZ26" s="470"/>
      <c r="BA26" s="470"/>
      <c r="BB26" s="470"/>
      <c r="BC26" s="470"/>
      <c r="BD26" s="470"/>
      <c r="BE26" s="544"/>
      <c r="BF26" s="526"/>
      <c r="BG26" s="470"/>
      <c r="BH26" s="470"/>
      <c r="BI26" s="470"/>
      <c r="BJ26" s="470"/>
      <c r="BK26" s="470"/>
      <c r="BL26" s="470"/>
      <c r="BM26" s="544">
        <f t="shared" si="15"/>
        <v>0</v>
      </c>
      <c r="BN26" s="526"/>
      <c r="BO26" s="472"/>
      <c r="BP26" s="470"/>
      <c r="BQ26" s="470"/>
      <c r="BR26" s="470"/>
      <c r="BS26" s="470"/>
      <c r="BT26" s="470"/>
      <c r="BU26" s="544"/>
      <c r="BV26" s="1638"/>
      <c r="BW26" s="663">
        <f t="shared" si="7"/>
        <v>3</v>
      </c>
      <c r="BX26" s="1047">
        <f t="shared" si="16"/>
        <v>0.75</v>
      </c>
      <c r="BY26" s="1047">
        <f t="shared" si="17"/>
        <v>0</v>
      </c>
      <c r="BZ26" s="1047">
        <f t="shared" si="18"/>
        <v>1</v>
      </c>
      <c r="CA26" s="1047">
        <f t="shared" si="19"/>
        <v>1</v>
      </c>
      <c r="CB26" s="1047">
        <f t="shared" si="20"/>
        <v>1</v>
      </c>
      <c r="CD26" t="str">
        <f t="shared" si="21"/>
        <v>ROB</v>
      </c>
      <c r="CE26" t="str">
        <f t="shared" si="21"/>
        <v>VE</v>
      </c>
      <c r="CF26" t="str">
        <f t="shared" si="21"/>
        <v>VE</v>
      </c>
      <c r="CG26" t="str">
        <f t="shared" si="21"/>
        <v>VE</v>
      </c>
    </row>
    <row r="27" spans="1:85" ht="72.75" hidden="1" customHeight="1" x14ac:dyDescent="0.25">
      <c r="A27" s="298" t="s">
        <v>38</v>
      </c>
      <c r="B27" s="299" t="str">
        <f>'PLAN INDICATIVO'!B27</f>
        <v>Educación</v>
      </c>
      <c r="C27" s="1547"/>
      <c r="D27" s="1549"/>
      <c r="E27" s="1549"/>
      <c r="F27" s="1549"/>
      <c r="G27" s="1549"/>
      <c r="H27" s="1549"/>
      <c r="I27" s="300">
        <f>'PLAN INDICATIVO'!I27</f>
        <v>0</v>
      </c>
      <c r="J27" s="300">
        <f>'PLAN INDICATIVO'!J27</f>
        <v>0</v>
      </c>
      <c r="K27" s="1425" t="str">
        <f>'PLAN INDICATIVO'!K27</f>
        <v>A.1.2.4</v>
      </c>
      <c r="L27" s="1425" t="str">
        <f>'PLAN INDICATIVO'!L27</f>
        <v>4. Educación de calidad</v>
      </c>
      <c r="M27" s="1425" t="str">
        <f>'PLAN INDICATIVO'!M27</f>
        <v>Secretaría de Educación, Cultura, deporte y Turismo</v>
      </c>
      <c r="N27" s="1513" t="s">
        <v>5122</v>
      </c>
      <c r="O27" s="1425" t="str">
        <f>'PLAN INDICATIVO'!O27</f>
        <v>Mantenimiento</v>
      </c>
      <c r="P27" s="16" t="str">
        <f>'PLAN INDICATIVO'!P27</f>
        <v>Implementar cada año 1 estrategia para mejorar los resultados en las pruebas SABER en el municipio</v>
      </c>
      <c r="Q27" s="302" t="str">
        <f>'PLAN INDICATIVO'!Q27</f>
        <v>No. de estrategias implementadas cada año</v>
      </c>
      <c r="R27" s="303">
        <f>'PLAN INDICATIVO'!R27</f>
        <v>2015</v>
      </c>
      <c r="S27" s="304">
        <v>0</v>
      </c>
      <c r="T27" s="677">
        <v>4</v>
      </c>
      <c r="U27" s="303">
        <v>1</v>
      </c>
      <c r="V27" s="687">
        <v>70</v>
      </c>
      <c r="W27" s="572">
        <v>1</v>
      </c>
      <c r="X27" s="687">
        <v>70000000</v>
      </c>
      <c r="Y27" s="572">
        <v>1</v>
      </c>
      <c r="Z27" s="687">
        <v>70000000</v>
      </c>
      <c r="AA27" s="1310">
        <v>1</v>
      </c>
      <c r="AB27" s="686"/>
      <c r="AC27" s="665"/>
      <c r="AD27" s="665">
        <v>1</v>
      </c>
      <c r="AE27" s="665">
        <v>1</v>
      </c>
      <c r="AF27" s="665">
        <v>1</v>
      </c>
      <c r="AG27" s="664" t="s">
        <v>5136</v>
      </c>
      <c r="AH27" s="985">
        <v>2019413960018</v>
      </c>
      <c r="AI27" s="307" t="s">
        <v>5080</v>
      </c>
      <c r="AJ27" s="309" t="s">
        <v>4808</v>
      </c>
      <c r="AK27" s="309">
        <v>43676</v>
      </c>
      <c r="AL27" s="308"/>
      <c r="AM27" s="308"/>
      <c r="AN27" s="267" t="s">
        <v>2598</v>
      </c>
      <c r="AO27" s="507"/>
      <c r="AP27" s="525"/>
      <c r="AQ27" s="310"/>
      <c r="AR27" s="310"/>
      <c r="AS27" s="310"/>
      <c r="AT27" s="310"/>
      <c r="AU27" s="310"/>
      <c r="AV27" s="310"/>
      <c r="AW27" s="544"/>
      <c r="AX27" s="544"/>
      <c r="AY27" s="310"/>
      <c r="AZ27" s="310"/>
      <c r="BA27" s="310"/>
      <c r="BB27" s="310"/>
      <c r="BC27" s="310"/>
      <c r="BD27" s="310"/>
      <c r="BE27" s="544"/>
      <c r="BF27" s="525"/>
      <c r="BG27" s="310"/>
      <c r="BH27" s="310"/>
      <c r="BI27" s="310"/>
      <c r="BJ27" s="310"/>
      <c r="BK27" s="310"/>
      <c r="BL27" s="310"/>
      <c r="BM27" s="544">
        <f t="shared" si="15"/>
        <v>0</v>
      </c>
      <c r="BN27" s="525"/>
      <c r="BO27" s="472"/>
      <c r="BP27" s="310"/>
      <c r="BQ27" s="310"/>
      <c r="BR27" s="310"/>
      <c r="BS27" s="310"/>
      <c r="BT27" s="310"/>
      <c r="BU27" s="544"/>
      <c r="BV27" s="1638"/>
      <c r="BW27" s="663">
        <f t="shared" si="7"/>
        <v>3</v>
      </c>
      <c r="BX27" s="1047">
        <f t="shared" si="16"/>
        <v>0.75</v>
      </c>
      <c r="BY27" s="1047">
        <f t="shared" si="17"/>
        <v>0</v>
      </c>
      <c r="BZ27" s="1047">
        <f t="shared" si="18"/>
        <v>1</v>
      </c>
      <c r="CA27" s="1047">
        <f t="shared" si="19"/>
        <v>1</v>
      </c>
      <c r="CB27" s="1047">
        <f t="shared" si="20"/>
        <v>1</v>
      </c>
      <c r="CD27" t="str">
        <f t="shared" si="21"/>
        <v>ROB</v>
      </c>
      <c r="CE27" t="str">
        <f t="shared" si="21"/>
        <v>VE</v>
      </c>
      <c r="CF27" t="str">
        <f t="shared" si="21"/>
        <v>VE</v>
      </c>
      <c r="CG27" t="str">
        <f t="shared" si="21"/>
        <v>VE</v>
      </c>
    </row>
    <row r="28" spans="1:85" ht="110.25" customHeight="1" x14ac:dyDescent="0.3">
      <c r="A28" s="298" t="s">
        <v>38</v>
      </c>
      <c r="B28" s="299" t="str">
        <f>'PLAN INDICATIVO'!B28</f>
        <v>Educación</v>
      </c>
      <c r="C28" s="1547"/>
      <c r="D28" s="1549"/>
      <c r="E28" s="1549"/>
      <c r="F28" s="1549"/>
      <c r="G28" s="1549"/>
      <c r="H28" s="1549"/>
      <c r="I28" s="300">
        <f>'PLAN INDICATIVO'!I28</f>
        <v>0</v>
      </c>
      <c r="J28" s="300">
        <f>'PLAN INDICATIVO'!J28</f>
        <v>0</v>
      </c>
      <c r="K28" s="1425" t="str">
        <f>'PLAN INDICATIVO'!K28</f>
        <v>A.1.2.5</v>
      </c>
      <c r="L28" s="1425" t="str">
        <f>'PLAN INDICATIVO'!L28</f>
        <v>4. Educación de calidad</v>
      </c>
      <c r="M28" s="1425" t="str">
        <f>'PLAN INDICATIVO'!M28</f>
        <v>Secretaría de Educación, Cultura, deporte y Turismo</v>
      </c>
      <c r="N28" s="1513" t="s">
        <v>5122</v>
      </c>
      <c r="O28" s="1425" t="str">
        <f>'PLAN INDICATIVO'!O28</f>
        <v>Mantenimiento</v>
      </c>
      <c r="P28" s="16" t="str">
        <f>'PLAN INDICATIVO'!P28</f>
        <v>Implementar 1 Programa de apoyo a la educación superior, para estudiantes con excelentes promedios académicos durante el cuatrienio.</v>
      </c>
      <c r="Q28" s="302" t="str">
        <f>'PLAN INDICATIVO'!Q28</f>
        <v>No. De programas de apoyo implementados cada año</v>
      </c>
      <c r="R28" s="303">
        <f>'PLAN INDICATIVO'!R28</f>
        <v>2015</v>
      </c>
      <c r="S28" s="304">
        <v>1</v>
      </c>
      <c r="T28" s="677">
        <v>1</v>
      </c>
      <c r="U28" s="303"/>
      <c r="V28" s="687"/>
      <c r="W28" s="823"/>
      <c r="X28" s="687"/>
      <c r="Y28" s="964"/>
      <c r="Z28" s="687">
        <v>500000</v>
      </c>
      <c r="AA28" s="1310">
        <v>1</v>
      </c>
      <c r="AB28" s="686">
        <v>30000000</v>
      </c>
      <c r="AC28" s="665"/>
      <c r="AD28" s="665"/>
      <c r="AE28" s="665">
        <v>1</v>
      </c>
      <c r="AF28" s="665">
        <v>1</v>
      </c>
      <c r="AG28" s="664" t="s">
        <v>5136</v>
      </c>
      <c r="AH28" s="985">
        <v>2019413960018</v>
      </c>
      <c r="AI28" s="307" t="s">
        <v>4910</v>
      </c>
      <c r="AJ28" s="309">
        <v>43497</v>
      </c>
      <c r="AK28" s="309">
        <v>43646</v>
      </c>
      <c r="AL28" s="308"/>
      <c r="AM28" s="308"/>
      <c r="AN28" s="267" t="s">
        <v>2594</v>
      </c>
      <c r="AO28" s="507"/>
      <c r="AP28" s="525"/>
      <c r="AQ28" s="310"/>
      <c r="AR28" s="310"/>
      <c r="AS28" s="310"/>
      <c r="AT28" s="310"/>
      <c r="AU28" s="310"/>
      <c r="AV28" s="310"/>
      <c r="AW28" s="544"/>
      <c r="AX28" s="544"/>
      <c r="AY28" s="310"/>
      <c r="AZ28" s="310"/>
      <c r="BA28" s="310"/>
      <c r="BB28" s="310"/>
      <c r="BC28" s="310"/>
      <c r="BD28" s="310"/>
      <c r="BE28" s="544"/>
      <c r="BF28" s="525"/>
      <c r="BG28" s="310"/>
      <c r="BH28" s="310"/>
      <c r="BI28" s="310"/>
      <c r="BJ28" s="310"/>
      <c r="BK28" s="310"/>
      <c r="BL28" s="310"/>
      <c r="BM28" s="544">
        <f t="shared" si="15"/>
        <v>0</v>
      </c>
      <c r="BN28" s="525"/>
      <c r="BO28" s="472"/>
      <c r="BP28" s="310"/>
      <c r="BQ28" s="310"/>
      <c r="BR28" s="310"/>
      <c r="BS28" s="310"/>
      <c r="BT28" s="310"/>
      <c r="BU28" s="544"/>
      <c r="BV28" s="1638"/>
      <c r="BW28" s="663">
        <f t="shared" si="7"/>
        <v>2</v>
      </c>
      <c r="BX28" s="1047">
        <f t="shared" si="16"/>
        <v>2</v>
      </c>
      <c r="BY28" s="1047" t="str">
        <f t="shared" si="17"/>
        <v>No Programada</v>
      </c>
      <c r="BZ28" s="1047" t="str">
        <f t="shared" si="18"/>
        <v>No Programada</v>
      </c>
      <c r="CA28" s="1047">
        <v>1</v>
      </c>
      <c r="CB28" s="1047">
        <f t="shared" si="20"/>
        <v>1</v>
      </c>
      <c r="CD28" t="str">
        <f t="shared" si="21"/>
        <v>NP</v>
      </c>
      <c r="CE28" t="str">
        <f t="shared" si="21"/>
        <v>NP</v>
      </c>
      <c r="CF28" t="str">
        <f t="shared" si="21"/>
        <v>VE</v>
      </c>
      <c r="CG28" t="str">
        <f t="shared" si="21"/>
        <v>VE</v>
      </c>
    </row>
    <row r="29" spans="1:85" ht="69.75" customHeight="1" x14ac:dyDescent="0.3">
      <c r="A29" s="298" t="s">
        <v>38</v>
      </c>
      <c r="B29" s="299" t="str">
        <f>'PLAN INDICATIVO'!B29</f>
        <v>Educación</v>
      </c>
      <c r="C29" s="1547"/>
      <c r="D29" s="1549"/>
      <c r="E29" s="1549"/>
      <c r="F29" s="1549"/>
      <c r="G29" s="1549"/>
      <c r="H29" s="1549"/>
      <c r="I29" s="300">
        <f>'PLAN INDICATIVO'!I29</f>
        <v>0</v>
      </c>
      <c r="J29" s="300">
        <f>'PLAN INDICATIVO'!J29</f>
        <v>0</v>
      </c>
      <c r="K29" s="1425" t="str">
        <f>'PLAN INDICATIVO'!K29</f>
        <v>A.1.2.6</v>
      </c>
      <c r="L29" s="1425" t="str">
        <f>'PLAN INDICATIVO'!L29</f>
        <v>4. Educación de calidad</v>
      </c>
      <c r="M29" s="1425" t="str">
        <f>'PLAN INDICATIVO'!M29</f>
        <v>Secretaría de Educación, Cultura, deporte y Turismo</v>
      </c>
      <c r="N29" s="1513" t="s">
        <v>5122</v>
      </c>
      <c r="O29" s="1425" t="str">
        <f>'PLAN INDICATIVO'!O29</f>
        <v>Incremento</v>
      </c>
      <c r="P29" s="16" t="str">
        <f>'PLAN INDICATIVO'!P29</f>
        <v>Realizar 4 foros educativos durante el cuatrienio</v>
      </c>
      <c r="Q29" s="302" t="str">
        <f>'PLAN INDICATIVO'!Q29</f>
        <v>No. de foros realizados durante el cuatrienio</v>
      </c>
      <c r="R29" s="303">
        <f>'PLAN INDICATIVO'!R29</f>
        <v>2015</v>
      </c>
      <c r="S29" s="304">
        <v>1</v>
      </c>
      <c r="T29" s="677">
        <v>4</v>
      </c>
      <c r="U29" s="303">
        <v>1</v>
      </c>
      <c r="V29" s="687">
        <v>5</v>
      </c>
      <c r="W29" s="572">
        <v>1</v>
      </c>
      <c r="X29" s="687">
        <v>5000000</v>
      </c>
      <c r="Y29" s="572">
        <v>1</v>
      </c>
      <c r="Z29" s="687">
        <v>4500000</v>
      </c>
      <c r="AA29" s="1310">
        <v>1</v>
      </c>
      <c r="AB29" s="686">
        <v>20700000</v>
      </c>
      <c r="AC29" s="665"/>
      <c r="AD29" s="665">
        <v>1</v>
      </c>
      <c r="AE29" s="665">
        <v>1</v>
      </c>
      <c r="AF29" s="665">
        <v>1</v>
      </c>
      <c r="AG29" s="664" t="s">
        <v>5136</v>
      </c>
      <c r="AH29" s="985">
        <v>2019413960018</v>
      </c>
      <c r="AI29" s="307" t="s">
        <v>4911</v>
      </c>
      <c r="AJ29" s="309" t="s">
        <v>4808</v>
      </c>
      <c r="AK29" s="309">
        <v>43799</v>
      </c>
      <c r="AL29" s="308"/>
      <c r="AM29" s="308"/>
      <c r="AN29" s="267" t="s">
        <v>2598</v>
      </c>
      <c r="AO29" s="507"/>
      <c r="AP29" s="525"/>
      <c r="AQ29" s="310"/>
      <c r="AR29" s="310"/>
      <c r="AS29" s="310"/>
      <c r="AT29" s="310"/>
      <c r="AU29" s="310"/>
      <c r="AV29" s="310"/>
      <c r="AW29" s="544"/>
      <c r="AX29" s="544"/>
      <c r="AY29" s="310"/>
      <c r="AZ29" s="310"/>
      <c r="BA29" s="310"/>
      <c r="BB29" s="310"/>
      <c r="BC29" s="310"/>
      <c r="BD29" s="310"/>
      <c r="BE29" s="544"/>
      <c r="BF29" s="525"/>
      <c r="BG29" s="310"/>
      <c r="BH29" s="310"/>
      <c r="BI29" s="310"/>
      <c r="BJ29" s="310"/>
      <c r="BK29" s="310"/>
      <c r="BL29" s="310"/>
      <c r="BM29" s="544">
        <f t="shared" si="15"/>
        <v>0</v>
      </c>
      <c r="BN29" s="525"/>
      <c r="BO29" s="472"/>
      <c r="BP29" s="310"/>
      <c r="BQ29" s="310"/>
      <c r="BR29" s="310"/>
      <c r="BS29" s="310"/>
      <c r="BT29" s="310"/>
      <c r="BU29" s="544"/>
      <c r="BV29" s="1638"/>
      <c r="BW29" s="663">
        <f t="shared" si="7"/>
        <v>3</v>
      </c>
      <c r="BX29" s="1047">
        <f t="shared" si="16"/>
        <v>0.75</v>
      </c>
      <c r="BY29" s="1047">
        <f t="shared" si="17"/>
        <v>0</v>
      </c>
      <c r="BZ29" s="1047">
        <f t="shared" si="18"/>
        <v>1</v>
      </c>
      <c r="CA29" s="1047">
        <f t="shared" si="19"/>
        <v>1</v>
      </c>
      <c r="CB29" s="1047">
        <f t="shared" si="20"/>
        <v>1</v>
      </c>
      <c r="CD29" t="str">
        <f t="shared" si="21"/>
        <v>ROB</v>
      </c>
      <c r="CE29" t="str">
        <f t="shared" si="21"/>
        <v>VE</v>
      </c>
      <c r="CF29" t="str">
        <f t="shared" si="21"/>
        <v>VE</v>
      </c>
      <c r="CG29" t="str">
        <f t="shared" si="21"/>
        <v>VE</v>
      </c>
    </row>
    <row r="30" spans="1:85" ht="105" hidden="1" customHeight="1" x14ac:dyDescent="0.25">
      <c r="A30" s="298" t="s">
        <v>38</v>
      </c>
      <c r="B30" s="299" t="str">
        <f>'PLAN INDICATIVO'!B30</f>
        <v>Educación</v>
      </c>
      <c r="C30" s="1547"/>
      <c r="D30" s="1549"/>
      <c r="E30" s="1549"/>
      <c r="F30" s="1549"/>
      <c r="G30" s="1549"/>
      <c r="H30" s="1549"/>
      <c r="I30" s="300">
        <f>'PLAN INDICATIVO'!I30</f>
        <v>0</v>
      </c>
      <c r="J30" s="300">
        <f>'PLAN INDICATIVO'!J30</f>
        <v>0</v>
      </c>
      <c r="K30" s="1425" t="str">
        <f>'PLAN INDICATIVO'!K30</f>
        <v>A.1.2.7</v>
      </c>
      <c r="L30" s="1425" t="str">
        <f>'PLAN INDICATIVO'!L30</f>
        <v>4. Educación de calidad</v>
      </c>
      <c r="M30" s="1425" t="str">
        <f>'PLAN INDICATIVO'!M30</f>
        <v>Secretaría de Educación, Cultura, deporte y Turismo</v>
      </c>
      <c r="N30" s="1513" t="s">
        <v>5122</v>
      </c>
      <c r="O30" s="1425" t="str">
        <f>'PLAN INDICATIVO'!O30</f>
        <v>Mantenimiento</v>
      </c>
      <c r="P30" s="16" t="str">
        <f>'PLAN INDICATIVO'!P30</f>
        <v>Lograr 1 alianza estratégica anual con diferentes instituciones del orden departamental, nacional o internacional que permitan fortalecer la formación educativa en el municipio durante el cuatrienio</v>
      </c>
      <c r="Q30" s="302" t="str">
        <f>'PLAN INDICATIVO'!Q30</f>
        <v>No. de alianzas estratégicas establecidas por año</v>
      </c>
      <c r="R30" s="303">
        <f>'PLAN INDICATIVO'!R30</f>
        <v>2015</v>
      </c>
      <c r="S30" s="304">
        <v>0</v>
      </c>
      <c r="T30" s="677">
        <v>1</v>
      </c>
      <c r="U30" s="303"/>
      <c r="V30" s="687">
        <v>2</v>
      </c>
      <c r="W30" s="572">
        <v>0.33</v>
      </c>
      <c r="X30" s="687">
        <v>1000000</v>
      </c>
      <c r="Y30" s="572">
        <v>0.34</v>
      </c>
      <c r="Z30" s="687">
        <v>500000</v>
      </c>
      <c r="AA30" s="1310">
        <v>0.33</v>
      </c>
      <c r="AB30" s="686"/>
      <c r="AC30" s="665"/>
      <c r="AD30" s="665">
        <v>0.3</v>
      </c>
      <c r="AE30" s="665">
        <v>0.34</v>
      </c>
      <c r="AF30" s="665">
        <v>0.33</v>
      </c>
      <c r="AG30" s="664" t="s">
        <v>5136</v>
      </c>
      <c r="AH30" s="985">
        <v>2019413960018</v>
      </c>
      <c r="AI30" s="307" t="s">
        <v>4912</v>
      </c>
      <c r="AJ30" s="309" t="s">
        <v>4808</v>
      </c>
      <c r="AK30" s="309">
        <v>43799</v>
      </c>
      <c r="AL30" s="308"/>
      <c r="AM30" s="308"/>
      <c r="AN30" s="267" t="s">
        <v>2598</v>
      </c>
      <c r="AO30" s="507"/>
      <c r="AP30" s="525"/>
      <c r="AQ30" s="310"/>
      <c r="AR30" s="310"/>
      <c r="AS30" s="310"/>
      <c r="AT30" s="310"/>
      <c r="AU30" s="310"/>
      <c r="AV30" s="310"/>
      <c r="AW30" s="544"/>
      <c r="AX30" s="544"/>
      <c r="AY30" s="310"/>
      <c r="AZ30" s="310"/>
      <c r="BA30" s="310"/>
      <c r="BB30" s="310"/>
      <c r="BC30" s="310"/>
      <c r="BD30" s="310"/>
      <c r="BE30" s="544"/>
      <c r="BF30" s="525"/>
      <c r="BG30" s="310"/>
      <c r="BH30" s="310"/>
      <c r="BI30" s="310"/>
      <c r="BJ30" s="310"/>
      <c r="BK30" s="310"/>
      <c r="BL30" s="310"/>
      <c r="BM30" s="544">
        <f t="shared" si="15"/>
        <v>0</v>
      </c>
      <c r="BN30" s="525"/>
      <c r="BO30" s="472"/>
      <c r="BP30" s="310"/>
      <c r="BQ30" s="310"/>
      <c r="BR30" s="310"/>
      <c r="BS30" s="310"/>
      <c r="BT30" s="310"/>
      <c r="BU30" s="544"/>
      <c r="BV30" s="1638"/>
      <c r="BW30" s="663">
        <f t="shared" si="7"/>
        <v>0.97</v>
      </c>
      <c r="BX30" s="1047">
        <f t="shared" si="16"/>
        <v>0.97</v>
      </c>
      <c r="BY30" s="1047" t="str">
        <f t="shared" si="17"/>
        <v>No Programada</v>
      </c>
      <c r="BZ30" s="1047">
        <f t="shared" si="18"/>
        <v>0.90909090909090906</v>
      </c>
      <c r="CA30" s="1047">
        <f t="shared" si="19"/>
        <v>1</v>
      </c>
      <c r="CB30" s="1047">
        <f t="shared" si="20"/>
        <v>1</v>
      </c>
      <c r="CC30" s="1247"/>
      <c r="CD30" t="str">
        <f t="shared" si="21"/>
        <v>NP</v>
      </c>
      <c r="CE30" t="str">
        <f t="shared" si="21"/>
        <v>VE</v>
      </c>
      <c r="CF30" t="str">
        <f t="shared" si="21"/>
        <v>VE</v>
      </c>
      <c r="CG30" t="str">
        <f t="shared" si="21"/>
        <v>VE</v>
      </c>
    </row>
    <row r="31" spans="1:85" ht="64.5" hidden="1" customHeight="1" x14ac:dyDescent="0.25">
      <c r="A31" s="298" t="s">
        <v>38</v>
      </c>
      <c r="B31" s="299" t="str">
        <f>'PLAN INDICATIVO'!B31</f>
        <v>Educación</v>
      </c>
      <c r="C31" s="1547"/>
      <c r="D31" s="1549"/>
      <c r="E31" s="1549"/>
      <c r="F31" s="1549"/>
      <c r="G31" s="1549"/>
      <c r="H31" s="1549"/>
      <c r="I31" s="300">
        <f>'PLAN INDICATIVO'!I31</f>
        <v>0</v>
      </c>
      <c r="J31" s="300">
        <f>'PLAN INDICATIVO'!J31</f>
        <v>0</v>
      </c>
      <c r="K31" s="1425" t="str">
        <f>'PLAN INDICATIVO'!K31</f>
        <v>A.1.2.8</v>
      </c>
      <c r="L31" s="1425" t="str">
        <f>'PLAN INDICATIVO'!L31</f>
        <v>4. Educación de calidad</v>
      </c>
      <c r="M31" s="1425" t="str">
        <f>'PLAN INDICATIVO'!M31</f>
        <v>Secretaría de Educación, Cultura, deporte y Turismo</v>
      </c>
      <c r="N31" s="1513" t="s">
        <v>5122</v>
      </c>
      <c r="O31" s="1425" t="str">
        <f>'PLAN INDICATIVO'!O31</f>
        <v>Incremento</v>
      </c>
      <c r="P31" s="16" t="str">
        <f>'PLAN INDICATIVO'!P31</f>
        <v>Promover la creación de 1 dependencia Municipal de Educación durante el cuatrienio.</v>
      </c>
      <c r="Q31" s="302" t="str">
        <f>'PLAN INDICATIVO'!Q31</f>
        <v>No. de dependencias con promoción para su creación, durante el cuatrienio</v>
      </c>
      <c r="R31" s="303">
        <f>'PLAN INDICATIVO'!R31</f>
        <v>2015</v>
      </c>
      <c r="S31" s="304">
        <v>0</v>
      </c>
      <c r="T31" s="677">
        <v>1</v>
      </c>
      <c r="U31" s="303"/>
      <c r="V31" s="687"/>
      <c r="W31" s="823"/>
      <c r="X31" s="687">
        <v>1000000</v>
      </c>
      <c r="Y31" s="572">
        <v>0.5</v>
      </c>
      <c r="Z31" s="687">
        <v>500000</v>
      </c>
      <c r="AA31" s="1310">
        <v>0.1</v>
      </c>
      <c r="AB31" s="686"/>
      <c r="AC31" s="665"/>
      <c r="AD31" s="665">
        <v>0.5</v>
      </c>
      <c r="AE31" s="665">
        <v>0.4</v>
      </c>
      <c r="AF31" s="665">
        <v>0.1</v>
      </c>
      <c r="AG31" s="664" t="s">
        <v>5136</v>
      </c>
      <c r="AH31" s="985">
        <v>2019413960018</v>
      </c>
      <c r="AI31" s="307" t="s">
        <v>4913</v>
      </c>
      <c r="AJ31" s="309">
        <v>43498</v>
      </c>
      <c r="AK31" s="309">
        <v>43830</v>
      </c>
      <c r="AL31" s="308"/>
      <c r="AM31" s="308"/>
      <c r="AN31" s="267" t="s">
        <v>2604</v>
      </c>
      <c r="AO31" s="507"/>
      <c r="AP31" s="525"/>
      <c r="AQ31" s="310"/>
      <c r="AR31" s="310"/>
      <c r="AS31" s="310"/>
      <c r="AT31" s="310"/>
      <c r="AU31" s="310"/>
      <c r="AV31" s="310"/>
      <c r="AW31" s="544"/>
      <c r="AX31" s="544"/>
      <c r="AY31" s="310"/>
      <c r="AZ31" s="310"/>
      <c r="BA31" s="310"/>
      <c r="BB31" s="310"/>
      <c r="BC31" s="310"/>
      <c r="BD31" s="310"/>
      <c r="BE31" s="544"/>
      <c r="BF31" s="525"/>
      <c r="BG31" s="310"/>
      <c r="BH31" s="310"/>
      <c r="BI31" s="310"/>
      <c r="BJ31" s="310"/>
      <c r="BK31" s="310"/>
      <c r="BL31" s="310"/>
      <c r="BM31" s="544">
        <f t="shared" si="15"/>
        <v>0</v>
      </c>
      <c r="BN31" s="525"/>
      <c r="BO31" s="472"/>
      <c r="BP31" s="310"/>
      <c r="BQ31" s="310"/>
      <c r="BR31" s="310"/>
      <c r="BS31" s="310"/>
      <c r="BT31" s="310"/>
      <c r="BU31" s="544"/>
      <c r="BV31" s="1638"/>
      <c r="BW31" s="663">
        <f t="shared" si="7"/>
        <v>1</v>
      </c>
      <c r="BX31" s="1047">
        <f t="shared" si="16"/>
        <v>1</v>
      </c>
      <c r="BY31" s="1047" t="str">
        <f t="shared" si="17"/>
        <v>No Programada</v>
      </c>
      <c r="BZ31" s="1047" t="str">
        <f t="shared" si="18"/>
        <v>No Programada</v>
      </c>
      <c r="CA31" s="1047">
        <f t="shared" si="19"/>
        <v>0.8</v>
      </c>
      <c r="CB31" s="1047">
        <f t="shared" si="20"/>
        <v>1</v>
      </c>
      <c r="CC31" s="1247"/>
      <c r="CD31" t="str">
        <f t="shared" si="21"/>
        <v>NP</v>
      </c>
      <c r="CE31" t="str">
        <f t="shared" si="21"/>
        <v>NP</v>
      </c>
      <c r="CF31" t="str">
        <f t="shared" si="21"/>
        <v>VEB</v>
      </c>
      <c r="CG31" t="str">
        <f t="shared" si="21"/>
        <v>VE</v>
      </c>
    </row>
    <row r="32" spans="1:85" ht="63" hidden="1" customHeight="1" x14ac:dyDescent="0.25">
      <c r="A32" s="298" t="s">
        <v>38</v>
      </c>
      <c r="B32" s="299" t="str">
        <f>'PLAN INDICATIVO'!B32</f>
        <v>Educación</v>
      </c>
      <c r="C32" s="1547"/>
      <c r="D32" s="1549"/>
      <c r="E32" s="1549"/>
      <c r="F32" s="1549"/>
      <c r="G32" s="1549"/>
      <c r="H32" s="1549"/>
      <c r="I32" s="300">
        <f>'PLAN INDICATIVO'!I32</f>
        <v>0</v>
      </c>
      <c r="J32" s="300">
        <f>'PLAN INDICATIVO'!J32</f>
        <v>0</v>
      </c>
      <c r="K32" s="1425" t="str">
        <f>'PLAN INDICATIVO'!K32</f>
        <v>A.1.2.9</v>
      </c>
      <c r="L32" s="1425" t="str">
        <f>'PLAN INDICATIVO'!L32</f>
        <v>4. Educación de calidad</v>
      </c>
      <c r="M32" s="1425" t="str">
        <f>'PLAN INDICATIVO'!M32</f>
        <v>Secretaría de Educación, Cultura, deporte y Turismo</v>
      </c>
      <c r="N32" s="1513" t="s">
        <v>5122</v>
      </c>
      <c r="O32" s="1425" t="str">
        <f>'PLAN INDICATIVO'!O32</f>
        <v>Mantenimiento</v>
      </c>
      <c r="P32" s="16" t="str">
        <f>'PLAN INDICATIVO'!P32</f>
        <v>Mantener 6 instituciones educativas articuladas con  la media técnica con el SENA cada año</v>
      </c>
      <c r="Q32" s="302" t="str">
        <f>'PLAN INDICATIVO'!Q32</f>
        <v>No. de instituciones articuladas con media técnica con el SENA cada año</v>
      </c>
      <c r="R32" s="303">
        <f>'PLAN INDICATIVO'!R32</f>
        <v>2015</v>
      </c>
      <c r="S32" s="304">
        <v>0</v>
      </c>
      <c r="T32" s="677">
        <v>6</v>
      </c>
      <c r="U32" s="303">
        <v>6</v>
      </c>
      <c r="V32" s="687">
        <v>5</v>
      </c>
      <c r="W32" s="572">
        <v>6</v>
      </c>
      <c r="X32" s="687">
        <v>12000000</v>
      </c>
      <c r="Y32" s="572">
        <v>6</v>
      </c>
      <c r="Z32" s="687">
        <v>5000000</v>
      </c>
      <c r="AA32" s="1310">
        <v>6</v>
      </c>
      <c r="AB32" s="686"/>
      <c r="AC32" s="665"/>
      <c r="AD32" s="665">
        <v>6</v>
      </c>
      <c r="AE32" s="665">
        <v>6</v>
      </c>
      <c r="AF32" s="665">
        <v>6</v>
      </c>
      <c r="AG32" s="664" t="s">
        <v>5136</v>
      </c>
      <c r="AH32" s="985">
        <v>2019413960018</v>
      </c>
      <c r="AI32" s="307" t="s">
        <v>3998</v>
      </c>
      <c r="AJ32" s="309">
        <v>43525</v>
      </c>
      <c r="AK32" s="309">
        <v>43830</v>
      </c>
      <c r="AL32" s="308"/>
      <c r="AM32" s="308"/>
      <c r="AN32" s="267" t="s">
        <v>2598</v>
      </c>
      <c r="AO32" s="507"/>
      <c r="AP32" s="525"/>
      <c r="AQ32" s="310"/>
      <c r="AR32" s="310"/>
      <c r="AS32" s="310"/>
      <c r="AT32" s="310"/>
      <c r="AU32" s="310"/>
      <c r="AV32" s="310"/>
      <c r="AW32" s="544"/>
      <c r="AX32" s="544"/>
      <c r="AY32" s="310"/>
      <c r="AZ32" s="310"/>
      <c r="BA32" s="310"/>
      <c r="BB32" s="310"/>
      <c r="BC32" s="310"/>
      <c r="BD32" s="310"/>
      <c r="BE32" s="544"/>
      <c r="BF32" s="525"/>
      <c r="BG32" s="310"/>
      <c r="BH32" s="310"/>
      <c r="BI32" s="310"/>
      <c r="BJ32" s="310"/>
      <c r="BK32" s="310"/>
      <c r="BL32" s="310"/>
      <c r="BM32" s="544">
        <f t="shared" si="15"/>
        <v>0</v>
      </c>
      <c r="BN32" s="525"/>
      <c r="BO32" s="472"/>
      <c r="BP32" s="310"/>
      <c r="BQ32" s="310"/>
      <c r="BR32" s="310"/>
      <c r="BS32" s="310"/>
      <c r="BT32" s="310"/>
      <c r="BU32" s="544"/>
      <c r="BV32" s="1638"/>
      <c r="BW32" s="663">
        <f t="shared" si="7"/>
        <v>18</v>
      </c>
      <c r="BX32" s="1047">
        <f t="shared" si="16"/>
        <v>3</v>
      </c>
      <c r="BY32" s="1047">
        <f t="shared" si="17"/>
        <v>0</v>
      </c>
      <c r="BZ32" s="1047">
        <f t="shared" si="18"/>
        <v>1</v>
      </c>
      <c r="CA32" s="1047">
        <f t="shared" si="19"/>
        <v>1</v>
      </c>
      <c r="CB32" s="1047">
        <f t="shared" si="20"/>
        <v>1</v>
      </c>
      <c r="CC32" s="1247"/>
      <c r="CD32" t="str">
        <f t="shared" si="21"/>
        <v>ROB</v>
      </c>
      <c r="CE32" t="str">
        <f t="shared" si="21"/>
        <v>VE</v>
      </c>
      <c r="CF32" t="str">
        <f t="shared" si="21"/>
        <v>VE</v>
      </c>
      <c r="CG32" t="str">
        <f t="shared" si="21"/>
        <v>VE</v>
      </c>
    </row>
    <row r="33" spans="1:85" s="3" customFormat="1" ht="0.75" customHeight="1" x14ac:dyDescent="0.3">
      <c r="A33" s="1419"/>
      <c r="B33" s="1420" t="s">
        <v>39</v>
      </c>
      <c r="C33" s="1547"/>
      <c r="D33" s="1549"/>
      <c r="E33" s="1549"/>
      <c r="F33" s="1549"/>
      <c r="G33" s="1549"/>
      <c r="H33" s="1549"/>
      <c r="I33" s="1412">
        <f>'PLAN INDICATIVO'!I33</f>
        <v>0</v>
      </c>
      <c r="J33" s="1412">
        <f>'PLAN INDICATIVO'!J33</f>
        <v>0</v>
      </c>
      <c r="K33" s="1463" t="str">
        <f>'PLAN INDICATIVO'!K33</f>
        <v>A.1.2.10</v>
      </c>
      <c r="L33" s="1463" t="str">
        <f>'PLAN INDICATIVO'!L33</f>
        <v>4. Educación de calidad</v>
      </c>
      <c r="M33" s="1463" t="str">
        <f>'PLAN INDICATIVO'!M33</f>
        <v>Secretaría de Educación, Cultura, deporte y Turismo</v>
      </c>
      <c r="N33" s="1513" t="s">
        <v>5122</v>
      </c>
      <c r="O33" s="1463" t="str">
        <f>'PLAN INDICATIVO'!O33</f>
        <v>Incremento</v>
      </c>
      <c r="P33" s="1199" t="str">
        <f>'PLAN INDICATIVO'!P33</f>
        <v>Promever la articulación de 3 nuevas instituciones educativas con el SENA, para la educación media técnica, dirigida a la población estudiantil del sector rural, durante el cuatrienio</v>
      </c>
      <c r="Q33" s="302" t="str">
        <f>'PLAN INDICATIVO'!Q33</f>
        <v>No. de instituciones articuladas con el SENA cada año</v>
      </c>
      <c r="R33" s="303">
        <f>'PLAN INDICATIVO'!R33</f>
        <v>2015</v>
      </c>
      <c r="S33" s="304">
        <v>0</v>
      </c>
      <c r="T33" s="677">
        <v>3</v>
      </c>
      <c r="U33" s="1476"/>
      <c r="V33" s="1477">
        <v>3</v>
      </c>
      <c r="W33" s="1478">
        <v>1</v>
      </c>
      <c r="X33" s="1477">
        <v>3000000</v>
      </c>
      <c r="Y33" s="1478"/>
      <c r="Z33" s="1477"/>
      <c r="AA33" s="1310"/>
      <c r="AB33" s="686">
        <v>500000</v>
      </c>
      <c r="AC33" s="308"/>
      <c r="AD33" s="308"/>
      <c r="AE33" s="308">
        <v>0</v>
      </c>
      <c r="AF33" s="308"/>
      <c r="AG33" s="664" t="s">
        <v>5136</v>
      </c>
      <c r="AH33" s="985">
        <v>2019413960018</v>
      </c>
      <c r="AI33" s="1306" t="s">
        <v>4307</v>
      </c>
      <c r="AJ33" s="1413"/>
      <c r="AK33" s="1313"/>
      <c r="AL33" s="1313"/>
      <c r="AM33" s="1313"/>
      <c r="AN33" s="1342" t="s">
        <v>2594</v>
      </c>
      <c r="AO33" s="1356"/>
      <c r="AP33" s="1356"/>
      <c r="AQ33" s="1356"/>
      <c r="AR33" s="1356"/>
      <c r="AS33" s="1327"/>
      <c r="AT33" s="1323"/>
      <c r="AU33" s="1313"/>
      <c r="AV33" s="1313"/>
      <c r="AW33" s="1313"/>
      <c r="AX33" s="1313"/>
      <c r="AY33" s="1313"/>
      <c r="AZ33" s="1313"/>
      <c r="BA33" s="800"/>
      <c r="BB33" s="800"/>
      <c r="BC33" s="1313"/>
      <c r="BD33" s="1313"/>
      <c r="BE33" s="1313"/>
      <c r="BF33" s="1313"/>
      <c r="BG33" s="1313"/>
      <c r="BH33" s="1313"/>
      <c r="BI33" s="800"/>
      <c r="BJ33" s="1323"/>
      <c r="BK33" s="1313"/>
      <c r="BL33" s="1313"/>
      <c r="BM33" s="1313"/>
      <c r="BN33" s="1313"/>
      <c r="BO33" s="472"/>
      <c r="BP33" s="1313"/>
      <c r="BQ33" s="800"/>
      <c r="BR33" s="1323"/>
      <c r="BS33" s="1313"/>
      <c r="BT33" s="1313"/>
      <c r="BU33" s="800"/>
      <c r="BV33" s="1638"/>
      <c r="BW33" s="663">
        <f t="shared" si="7"/>
        <v>0</v>
      </c>
      <c r="BX33" s="1047">
        <f t="shared" si="16"/>
        <v>0</v>
      </c>
      <c r="BY33" s="1047" t="str">
        <f t="shared" si="17"/>
        <v>No Programada</v>
      </c>
      <c r="BZ33" s="1047">
        <f t="shared" si="18"/>
        <v>0</v>
      </c>
      <c r="CA33" s="1346" t="s">
        <v>4000</v>
      </c>
      <c r="CB33" s="1346" t="s">
        <v>4789</v>
      </c>
      <c r="CC33" s="1248"/>
      <c r="CD33" t="str">
        <f t="shared" si="21"/>
        <v>NP</v>
      </c>
      <c r="CE33" t="str">
        <f t="shared" si="21"/>
        <v>ROB</v>
      </c>
      <c r="CF33" t="str">
        <f t="shared" si="21"/>
        <v>E</v>
      </c>
      <c r="CG33" t="str">
        <f t="shared" si="21"/>
        <v>E</v>
      </c>
    </row>
    <row r="34" spans="1:85" ht="83.25" customHeight="1" x14ac:dyDescent="0.3">
      <c r="A34" s="298" t="s">
        <v>38</v>
      </c>
      <c r="B34" s="299" t="str">
        <f>'PLAN INDICATIVO'!B34</f>
        <v>Educación</v>
      </c>
      <c r="C34" s="1547"/>
      <c r="D34" s="1549"/>
      <c r="E34" s="1549"/>
      <c r="F34" s="1549"/>
      <c r="G34" s="1549"/>
      <c r="H34" s="1549"/>
      <c r="I34" s="300">
        <f>'PLAN INDICATIVO'!I34</f>
        <v>0</v>
      </c>
      <c r="J34" s="300">
        <f>'PLAN INDICATIVO'!J34</f>
        <v>0</v>
      </c>
      <c r="K34" s="1425" t="str">
        <f>'PLAN INDICATIVO'!K34</f>
        <v>A.1.2.11</v>
      </c>
      <c r="L34" s="1425" t="str">
        <f>'PLAN INDICATIVO'!L34</f>
        <v>4. Educación de calidad</v>
      </c>
      <c r="M34" s="1425" t="str">
        <f>'PLAN INDICATIVO'!M34</f>
        <v>Secretaría de Educación, Cultura, deporte y Turismo</v>
      </c>
      <c r="N34" s="1513" t="s">
        <v>5122</v>
      </c>
      <c r="O34" s="1425" t="str">
        <f>'PLAN INDICATIVO'!O34</f>
        <v>Incremento</v>
      </c>
      <c r="P34" s="16" t="str">
        <f>'PLAN INDICATIVO'!P34</f>
        <v>Implementar 2 estrategias con la Secretaria de Educación del Departamento, para atender estudiantes con dificultades de aprendizaje durante el cuatrienio</v>
      </c>
      <c r="Q34" s="302" t="str">
        <f>'PLAN INDICATIVO'!Q34</f>
        <v>No. De Estrategia implementadas durante el cuatrienio</v>
      </c>
      <c r="R34" s="303">
        <f>'PLAN INDICATIVO'!R34</f>
        <v>2015</v>
      </c>
      <c r="S34" s="304">
        <v>0</v>
      </c>
      <c r="T34" s="677">
        <v>2</v>
      </c>
      <c r="U34" s="303"/>
      <c r="V34" s="687">
        <v>5</v>
      </c>
      <c r="W34" s="572">
        <v>1</v>
      </c>
      <c r="X34" s="687">
        <v>5000000</v>
      </c>
      <c r="Y34" s="964"/>
      <c r="Z34" s="687">
        <v>500000</v>
      </c>
      <c r="AA34" s="1310"/>
      <c r="AB34" s="686">
        <v>1000000</v>
      </c>
      <c r="AC34" s="665"/>
      <c r="AD34" s="665">
        <v>1</v>
      </c>
      <c r="AE34" s="665">
        <v>1</v>
      </c>
      <c r="AF34" s="665">
        <v>1</v>
      </c>
      <c r="AG34" s="664" t="s">
        <v>5136</v>
      </c>
      <c r="AH34" s="985">
        <v>2019413960018</v>
      </c>
      <c r="AI34" s="307" t="s">
        <v>4810</v>
      </c>
      <c r="AJ34" s="309" t="s">
        <v>4811</v>
      </c>
      <c r="AK34" s="309">
        <v>43799</v>
      </c>
      <c r="AL34" s="308"/>
      <c r="AM34" s="308"/>
      <c r="AN34" s="267" t="s">
        <v>2594</v>
      </c>
      <c r="AO34" s="507"/>
      <c r="AP34" s="525"/>
      <c r="AQ34" s="310"/>
      <c r="AR34" s="310"/>
      <c r="AS34" s="310"/>
      <c r="AT34" s="310"/>
      <c r="AU34" s="310"/>
      <c r="AV34" s="310"/>
      <c r="AW34" s="544"/>
      <c r="AX34" s="544"/>
      <c r="AY34" s="310"/>
      <c r="AZ34" s="310"/>
      <c r="BA34" s="310"/>
      <c r="BB34" s="310"/>
      <c r="BC34" s="310"/>
      <c r="BD34" s="310"/>
      <c r="BE34" s="544"/>
      <c r="BF34" s="525"/>
      <c r="BG34" s="310"/>
      <c r="BH34" s="310"/>
      <c r="BI34" s="310"/>
      <c r="BJ34" s="310"/>
      <c r="BK34" s="310"/>
      <c r="BL34" s="310"/>
      <c r="BM34" s="544">
        <f t="shared" si="15"/>
        <v>0</v>
      </c>
      <c r="BN34" s="525"/>
      <c r="BO34" s="472"/>
      <c r="BP34" s="310"/>
      <c r="BQ34" s="310"/>
      <c r="BR34" s="310"/>
      <c r="BS34" s="310"/>
      <c r="BT34" s="310"/>
      <c r="BU34" s="544"/>
      <c r="BV34" s="1638"/>
      <c r="BW34" s="663">
        <f t="shared" si="7"/>
        <v>3</v>
      </c>
      <c r="BX34" s="1047">
        <f t="shared" si="16"/>
        <v>1.5</v>
      </c>
      <c r="BY34" s="1047" t="str">
        <f t="shared" si="17"/>
        <v>No Programada</v>
      </c>
      <c r="BZ34" s="1047">
        <f t="shared" si="18"/>
        <v>1</v>
      </c>
      <c r="CA34" s="1047" t="str">
        <f t="shared" si="19"/>
        <v>No Programada</v>
      </c>
      <c r="CB34" s="1047" t="str">
        <f t="shared" si="20"/>
        <v>No Programada</v>
      </c>
      <c r="CC34" s="1247"/>
      <c r="CD34" t="str">
        <f t="shared" si="21"/>
        <v>NP</v>
      </c>
      <c r="CE34" t="str">
        <f t="shared" si="21"/>
        <v>VE</v>
      </c>
      <c r="CF34" t="str">
        <f t="shared" si="21"/>
        <v>NP</v>
      </c>
      <c r="CG34" t="str">
        <f t="shared" si="21"/>
        <v>NP</v>
      </c>
    </row>
    <row r="35" spans="1:85" ht="88.5" customHeight="1" x14ac:dyDescent="0.3">
      <c r="A35" s="298" t="s">
        <v>38</v>
      </c>
      <c r="B35" s="299" t="str">
        <f>'PLAN INDICATIVO'!B35</f>
        <v>Educación</v>
      </c>
      <c r="C35" s="1547"/>
      <c r="D35" s="1549"/>
      <c r="E35" s="1549"/>
      <c r="F35" s="1549"/>
      <c r="G35" s="1549"/>
      <c r="H35" s="1549"/>
      <c r="I35" s="300">
        <f>'PLAN INDICATIVO'!I35</f>
        <v>0</v>
      </c>
      <c r="J35" s="300">
        <f>'PLAN INDICATIVO'!J35</f>
        <v>0</v>
      </c>
      <c r="K35" s="1425" t="str">
        <f>'PLAN INDICATIVO'!K35</f>
        <v>A.1.2.12</v>
      </c>
      <c r="L35" s="1425" t="str">
        <f>'PLAN INDICATIVO'!L35</f>
        <v>4. Educación de calidad</v>
      </c>
      <c r="M35" s="1425" t="str">
        <f>'PLAN INDICATIVO'!M35</f>
        <v>Secretaría de Educación, Cultura, deporte y Turismo</v>
      </c>
      <c r="N35" s="1513" t="s">
        <v>5122</v>
      </c>
      <c r="O35" s="1425" t="str">
        <f>'PLAN INDICATIVO'!O35</f>
        <v>Mantenimiento</v>
      </c>
      <c r="P35" s="16" t="str">
        <f>'PLAN INDICATIVO'!P35</f>
        <v>Hacer 1 enlace anual con el sector salud y las I.E para garantizar la disminución de los indicadores de embarazos en adolecentes</v>
      </c>
      <c r="Q35" s="302" t="str">
        <f>'PLAN INDICATIVO'!Q35</f>
        <v>No. de enlaces en funcionamiento cada año</v>
      </c>
      <c r="R35" s="303">
        <f>'PLAN INDICATIVO'!R35</f>
        <v>2015</v>
      </c>
      <c r="S35" s="304">
        <v>0</v>
      </c>
      <c r="T35" s="677">
        <v>1</v>
      </c>
      <c r="U35" s="303">
        <v>0.25</v>
      </c>
      <c r="V35" s="687">
        <v>3</v>
      </c>
      <c r="W35" s="303">
        <v>0.25</v>
      </c>
      <c r="X35" s="687">
        <v>3000000</v>
      </c>
      <c r="Y35" s="303">
        <v>0.25</v>
      </c>
      <c r="Z35" s="687">
        <v>500000</v>
      </c>
      <c r="AA35" s="291">
        <v>0.25</v>
      </c>
      <c r="AB35" s="686">
        <v>1000000</v>
      </c>
      <c r="AC35" s="665"/>
      <c r="AD35" s="665">
        <v>0.25</v>
      </c>
      <c r="AE35" s="665">
        <v>0.25</v>
      </c>
      <c r="AF35" s="665">
        <v>0.25</v>
      </c>
      <c r="AG35" s="664" t="s">
        <v>5136</v>
      </c>
      <c r="AH35" s="985">
        <v>2019413960018</v>
      </c>
      <c r="AI35" s="307" t="s">
        <v>4914</v>
      </c>
      <c r="AJ35" s="309" t="s">
        <v>4808</v>
      </c>
      <c r="AK35" s="309">
        <v>43799</v>
      </c>
      <c r="AL35" s="308"/>
      <c r="AM35" s="308"/>
      <c r="AN35" s="267" t="s">
        <v>2598</v>
      </c>
      <c r="AO35" s="507"/>
      <c r="AP35" s="525"/>
      <c r="AQ35" s="310"/>
      <c r="AR35" s="310"/>
      <c r="AS35" s="310"/>
      <c r="AT35" s="303"/>
      <c r="AU35" s="310"/>
      <c r="AV35" s="310"/>
      <c r="AW35" s="544"/>
      <c r="AX35" s="544"/>
      <c r="AY35" s="310"/>
      <c r="AZ35" s="310"/>
      <c r="BA35" s="310"/>
      <c r="BB35" s="310"/>
      <c r="BC35" s="310"/>
      <c r="BD35" s="310"/>
      <c r="BE35" s="544"/>
      <c r="BF35" s="525"/>
      <c r="BG35" s="310"/>
      <c r="BH35" s="310"/>
      <c r="BI35" s="310"/>
      <c r="BJ35" s="1265"/>
      <c r="BK35" s="310"/>
      <c r="BL35" s="310"/>
      <c r="BM35" s="544">
        <f t="shared" si="15"/>
        <v>0</v>
      </c>
      <c r="BN35" s="525"/>
      <c r="BO35" s="472"/>
      <c r="BP35" s="310"/>
      <c r="BQ35" s="310"/>
      <c r="BR35" s="310"/>
      <c r="BS35" s="310"/>
      <c r="BT35" s="310"/>
      <c r="BU35" s="544"/>
      <c r="BV35" s="1638"/>
      <c r="BW35" s="663">
        <f t="shared" si="7"/>
        <v>0.75</v>
      </c>
      <c r="BX35" s="1047">
        <f t="shared" si="16"/>
        <v>0.75</v>
      </c>
      <c r="BY35" s="1047">
        <f t="shared" si="17"/>
        <v>0</v>
      </c>
      <c r="BZ35" s="1047">
        <f t="shared" si="18"/>
        <v>1</v>
      </c>
      <c r="CA35" s="1047">
        <f t="shared" si="19"/>
        <v>1</v>
      </c>
      <c r="CB35" s="1047">
        <f t="shared" si="20"/>
        <v>1</v>
      </c>
      <c r="CC35" s="1247"/>
      <c r="CD35" t="str">
        <f t="shared" si="21"/>
        <v>ROB</v>
      </c>
      <c r="CE35" t="str">
        <f t="shared" si="21"/>
        <v>VE</v>
      </c>
      <c r="CF35" t="str">
        <f t="shared" si="21"/>
        <v>VE</v>
      </c>
      <c r="CG35" t="str">
        <f t="shared" si="21"/>
        <v>VE</v>
      </c>
    </row>
    <row r="36" spans="1:85" ht="62.25" customHeight="1" x14ac:dyDescent="0.3">
      <c r="A36" s="298" t="s">
        <v>38</v>
      </c>
      <c r="B36" s="299" t="str">
        <f>'PLAN INDICATIVO'!B36</f>
        <v>Educación</v>
      </c>
      <c r="C36" s="1547"/>
      <c r="D36" s="1549"/>
      <c r="E36" s="1549"/>
      <c r="F36" s="1549"/>
      <c r="G36" s="1549"/>
      <c r="H36" s="1549"/>
      <c r="I36" s="300">
        <f>'PLAN INDICATIVO'!I36</f>
        <v>0</v>
      </c>
      <c r="J36" s="300">
        <f>'PLAN INDICATIVO'!J36</f>
        <v>0</v>
      </c>
      <c r="K36" s="1425" t="str">
        <f>'PLAN INDICATIVO'!K36</f>
        <v>A.1.2.13</v>
      </c>
      <c r="L36" s="1425" t="str">
        <f>'PLAN INDICATIVO'!L36</f>
        <v>4. Educación de calidad</v>
      </c>
      <c r="M36" s="1425" t="str">
        <f>'PLAN INDICATIVO'!M36</f>
        <v>Secretaría de Educación, Cultura, deporte y Turismo</v>
      </c>
      <c r="N36" s="1513" t="s">
        <v>5122</v>
      </c>
      <c r="O36" s="1425" t="str">
        <f>'PLAN INDICATIVO'!O36</f>
        <v>Mantenimiento</v>
      </c>
      <c r="P36" s="16" t="str">
        <f>'PLAN INDICATIVO'!P36</f>
        <v>Articular con la secretaria de gobierno, ICBF y comisaria de familia, 1 jornada al año para la erradicación del trabajo infantil y la incorporación al sistema educativo de NNA.</v>
      </c>
      <c r="Q36" s="302" t="str">
        <f>'PLAN INDICATIVO'!Q36</f>
        <v>No. De Jornadas realizada al año</v>
      </c>
      <c r="R36" s="303">
        <f>'PLAN INDICATIVO'!R36</f>
        <v>2015</v>
      </c>
      <c r="S36" s="304">
        <v>0</v>
      </c>
      <c r="T36" s="677">
        <v>1</v>
      </c>
      <c r="U36" s="303">
        <v>0.25</v>
      </c>
      <c r="V36" s="687">
        <v>3</v>
      </c>
      <c r="W36" s="303">
        <v>0.25</v>
      </c>
      <c r="X36" s="687">
        <v>3000000</v>
      </c>
      <c r="Y36" s="303">
        <v>0.25</v>
      </c>
      <c r="Z36" s="687">
        <v>500000</v>
      </c>
      <c r="AA36" s="291">
        <v>0.5</v>
      </c>
      <c r="AB36" s="686">
        <v>1000000</v>
      </c>
      <c r="AC36" s="665"/>
      <c r="AD36" s="665">
        <v>1</v>
      </c>
      <c r="AE36" s="665">
        <v>0.25</v>
      </c>
      <c r="AF36" s="665">
        <v>1</v>
      </c>
      <c r="AG36" s="664" t="s">
        <v>5136</v>
      </c>
      <c r="AH36" s="985">
        <v>2019413960018</v>
      </c>
      <c r="AI36" s="307" t="s">
        <v>4915</v>
      </c>
      <c r="AJ36" s="309" t="s">
        <v>4808</v>
      </c>
      <c r="AK36" s="309">
        <v>43738</v>
      </c>
      <c r="AL36" s="308"/>
      <c r="AM36" s="308"/>
      <c r="AN36" s="267" t="s">
        <v>2598</v>
      </c>
      <c r="AO36" s="507"/>
      <c r="AP36" s="525"/>
      <c r="AQ36" s="310"/>
      <c r="AR36" s="310"/>
      <c r="AS36" s="310"/>
      <c r="AT36" s="310"/>
      <c r="AU36" s="310"/>
      <c r="AV36" s="310"/>
      <c r="AW36" s="544"/>
      <c r="AX36" s="544"/>
      <c r="AY36" s="310"/>
      <c r="AZ36" s="310"/>
      <c r="BA36" s="310"/>
      <c r="BB36" s="310"/>
      <c r="BC36" s="310"/>
      <c r="BD36" s="310"/>
      <c r="BE36" s="544"/>
      <c r="BF36" s="525"/>
      <c r="BG36" s="310"/>
      <c r="BH36" s="310"/>
      <c r="BI36" s="310"/>
      <c r="BJ36" s="310"/>
      <c r="BK36" s="310"/>
      <c r="BL36" s="310"/>
      <c r="BM36" s="544">
        <f t="shared" si="15"/>
        <v>0</v>
      </c>
      <c r="BN36" s="525"/>
      <c r="BO36" s="472"/>
      <c r="BP36" s="310"/>
      <c r="BQ36" s="310"/>
      <c r="BR36" s="310"/>
      <c r="BS36" s="310"/>
      <c r="BT36" s="310"/>
      <c r="BU36" s="544"/>
      <c r="BV36" s="1638"/>
      <c r="BW36" s="663">
        <f t="shared" si="7"/>
        <v>2.25</v>
      </c>
      <c r="BX36" s="1047">
        <f t="shared" si="16"/>
        <v>2.25</v>
      </c>
      <c r="BY36" s="1047">
        <f t="shared" si="17"/>
        <v>0</v>
      </c>
      <c r="BZ36" s="1047">
        <f t="shared" si="18"/>
        <v>4</v>
      </c>
      <c r="CA36" s="1047">
        <f t="shared" si="19"/>
        <v>1</v>
      </c>
      <c r="CB36" s="1047">
        <f t="shared" si="20"/>
        <v>2</v>
      </c>
      <c r="CC36" s="1247"/>
      <c r="CD36" t="str">
        <f t="shared" si="21"/>
        <v>ROB</v>
      </c>
      <c r="CE36" t="str">
        <f t="shared" si="21"/>
        <v>VE</v>
      </c>
      <c r="CF36" t="str">
        <f t="shared" si="21"/>
        <v>VE</v>
      </c>
      <c r="CG36" t="str">
        <f t="shared" si="21"/>
        <v>VE</v>
      </c>
    </row>
    <row r="37" spans="1:85" ht="61.5" hidden="1" customHeight="1" x14ac:dyDescent="0.25">
      <c r="A37" s="298" t="s">
        <v>2464</v>
      </c>
      <c r="B37" s="299" t="str">
        <f>'PLAN INDICATIVO'!B37</f>
        <v>Educación</v>
      </c>
      <c r="C37" s="1547"/>
      <c r="D37" s="1549"/>
      <c r="E37" s="1549"/>
      <c r="F37" s="1549"/>
      <c r="G37" s="1549"/>
      <c r="H37" s="1549"/>
      <c r="I37" s="300">
        <f>'PLAN INDICATIVO'!I37</f>
        <v>0</v>
      </c>
      <c r="J37" s="300">
        <f>'PLAN INDICATIVO'!J37</f>
        <v>0</v>
      </c>
      <c r="K37" s="1425" t="str">
        <f>'PLAN INDICATIVO'!K37</f>
        <v>A.1.2.14</v>
      </c>
      <c r="L37" s="1425" t="str">
        <f>'PLAN INDICATIVO'!L37</f>
        <v>4. Educación de calidad</v>
      </c>
      <c r="M37" s="1425" t="str">
        <f>'PLAN INDICATIVO'!M37</f>
        <v>Secretaría de Educación, Cultura, deporte y Turismo</v>
      </c>
      <c r="N37" s="1513" t="s">
        <v>5122</v>
      </c>
      <c r="O37" s="1425" t="str">
        <f>'PLAN INDICATIVO'!O37</f>
        <v>Incremento</v>
      </c>
      <c r="P37" s="940" t="str">
        <f>'PLAN INDICATIVO'!P37</f>
        <v>Buscar la creación de una nueva facultad de la Universidad Surcolombiana en el municipio de La Plata, durante el cuatrienio</v>
      </c>
      <c r="Q37" s="302" t="str">
        <f>'PLAN INDICATIVO'!Q37</f>
        <v>No. De apoyos otorgados</v>
      </c>
      <c r="R37" s="303">
        <f>'PLAN INDICATIVO'!R37</f>
        <v>2015</v>
      </c>
      <c r="S37" s="304">
        <v>0</v>
      </c>
      <c r="T37" s="677">
        <v>1</v>
      </c>
      <c r="U37" s="303"/>
      <c r="V37" s="687">
        <v>8</v>
      </c>
      <c r="W37" s="572">
        <v>0.33</v>
      </c>
      <c r="X37" s="687">
        <v>5000000</v>
      </c>
      <c r="Y37" s="572">
        <v>0.34</v>
      </c>
      <c r="Z37" s="687">
        <v>500000</v>
      </c>
      <c r="AA37" s="1310">
        <v>0.33</v>
      </c>
      <c r="AB37" s="686"/>
      <c r="AC37" s="665"/>
      <c r="AD37" s="665">
        <v>0.33</v>
      </c>
      <c r="AE37" s="665">
        <v>0.34</v>
      </c>
      <c r="AF37" s="665">
        <v>0.33</v>
      </c>
      <c r="AG37" s="664" t="s">
        <v>5136</v>
      </c>
      <c r="AH37" s="985">
        <v>2019413960018</v>
      </c>
      <c r="AI37" s="307" t="s">
        <v>4916</v>
      </c>
      <c r="AJ37" s="309" t="s">
        <v>3445</v>
      </c>
      <c r="AK37" s="309">
        <v>43799</v>
      </c>
      <c r="AL37" s="308"/>
      <c r="AM37" s="308"/>
      <c r="AN37" s="267" t="s">
        <v>2598</v>
      </c>
      <c r="AO37" s="507"/>
      <c r="AP37" s="525"/>
      <c r="AQ37" s="310"/>
      <c r="AR37" s="310"/>
      <c r="AS37" s="310"/>
      <c r="AT37" s="310"/>
      <c r="AU37" s="310"/>
      <c r="AV37" s="310"/>
      <c r="AW37" s="544"/>
      <c r="AX37" s="544"/>
      <c r="AY37" s="310"/>
      <c r="AZ37" s="310"/>
      <c r="BA37" s="310"/>
      <c r="BB37" s="310"/>
      <c r="BC37" s="310"/>
      <c r="BD37" s="310"/>
      <c r="BE37" s="544"/>
      <c r="BF37" s="525"/>
      <c r="BG37" s="310"/>
      <c r="BH37" s="310"/>
      <c r="BI37" s="310"/>
      <c r="BJ37" s="310"/>
      <c r="BK37" s="310"/>
      <c r="BL37" s="310"/>
      <c r="BM37" s="544">
        <f t="shared" si="15"/>
        <v>0</v>
      </c>
      <c r="BN37" s="525"/>
      <c r="BO37" s="472"/>
      <c r="BP37" s="310"/>
      <c r="BQ37" s="310"/>
      <c r="BR37" s="310"/>
      <c r="BS37" s="310"/>
      <c r="BT37" s="310"/>
      <c r="BU37" s="544"/>
      <c r="BV37" s="1638"/>
      <c r="BW37" s="663">
        <f t="shared" si="7"/>
        <v>1</v>
      </c>
      <c r="BX37" s="1047">
        <f t="shared" si="16"/>
        <v>1</v>
      </c>
      <c r="BY37" s="1047" t="str">
        <f>IF(U37&gt;=0.1,AC37/U37,IF(ISBLANK(U37),"No Programada","Aplazada"))</f>
        <v>No Programada</v>
      </c>
      <c r="BZ37" s="1047">
        <f t="shared" si="18"/>
        <v>1</v>
      </c>
      <c r="CA37" s="1047">
        <f t="shared" si="19"/>
        <v>1</v>
      </c>
      <c r="CB37" s="1047">
        <f t="shared" si="20"/>
        <v>1</v>
      </c>
      <c r="CC37" s="1247"/>
      <c r="CD37" t="str">
        <f t="shared" si="21"/>
        <v>NP</v>
      </c>
      <c r="CE37" t="str">
        <f t="shared" si="21"/>
        <v>VE</v>
      </c>
      <c r="CF37" t="str">
        <f t="shared" si="21"/>
        <v>VE</v>
      </c>
      <c r="CG37" t="str">
        <f t="shared" si="21"/>
        <v>VE</v>
      </c>
    </row>
    <row r="38" spans="1:85" ht="93.75" customHeight="1" x14ac:dyDescent="0.3">
      <c r="A38" s="298" t="s">
        <v>38</v>
      </c>
      <c r="B38" s="299" t="str">
        <f>'PLAN INDICATIVO'!B38</f>
        <v>Educación</v>
      </c>
      <c r="C38" s="1547"/>
      <c r="D38" s="1549"/>
      <c r="E38" s="1549"/>
      <c r="F38" s="1549"/>
      <c r="G38" s="1549"/>
      <c r="H38" s="1549"/>
      <c r="I38" s="300">
        <f>'PLAN INDICATIVO'!I38</f>
        <v>0</v>
      </c>
      <c r="J38" s="300">
        <f>'PLAN INDICATIVO'!J38</f>
        <v>0</v>
      </c>
      <c r="K38" s="1425" t="str">
        <f>'PLAN INDICATIVO'!K38</f>
        <v>A.1.2.15</v>
      </c>
      <c r="L38" s="1425" t="str">
        <f>'PLAN INDICATIVO'!L38</f>
        <v>4. Educación de calidad</v>
      </c>
      <c r="M38" s="1425" t="str">
        <f>'PLAN INDICATIVO'!M38</f>
        <v>Secretaría de Educación, Cultura, deporte y Turismo</v>
      </c>
      <c r="N38" s="1513" t="s">
        <v>5122</v>
      </c>
      <c r="O38" s="1425" t="str">
        <f>'PLAN INDICATIVO'!O38</f>
        <v>Incremento</v>
      </c>
      <c r="P38" s="16" t="str">
        <f>'PLAN INDICATIVO'!P38</f>
        <v>Apoyar la implementación de una nueva oferta en educación superior, en el marco del Plan Maestro de Regionalización en niveles de pregrado y postgrado, durante el cuatrienio</v>
      </c>
      <c r="Q38" s="302" t="str">
        <f>'PLAN INDICATIVO'!Q38</f>
        <v>No. De apoyos otorgados</v>
      </c>
      <c r="R38" s="303">
        <f>'PLAN INDICATIVO'!R38</f>
        <v>2015</v>
      </c>
      <c r="S38" s="304">
        <v>0</v>
      </c>
      <c r="T38" s="677">
        <v>1</v>
      </c>
      <c r="U38" s="303"/>
      <c r="V38" s="687">
        <v>5</v>
      </c>
      <c r="W38" s="572">
        <v>0.33</v>
      </c>
      <c r="X38" s="687">
        <v>5000000</v>
      </c>
      <c r="Y38" s="572">
        <v>0.34</v>
      </c>
      <c r="Z38" s="687">
        <v>500000</v>
      </c>
      <c r="AA38" s="1310">
        <v>0.33</v>
      </c>
      <c r="AB38" s="686">
        <v>1000000</v>
      </c>
      <c r="AC38" s="665"/>
      <c r="AD38" s="665">
        <v>0.33</v>
      </c>
      <c r="AE38" s="665">
        <v>0.34</v>
      </c>
      <c r="AF38" s="665">
        <v>0.33</v>
      </c>
      <c r="AG38" s="664" t="s">
        <v>5136</v>
      </c>
      <c r="AH38" s="985">
        <v>2019413960018</v>
      </c>
      <c r="AI38" s="307" t="s">
        <v>4917</v>
      </c>
      <c r="AJ38" s="309">
        <v>43497</v>
      </c>
      <c r="AK38" s="309">
        <v>43707</v>
      </c>
      <c r="AL38" s="308"/>
      <c r="AM38" s="308"/>
      <c r="AN38" s="267" t="s">
        <v>2598</v>
      </c>
      <c r="AO38" s="507"/>
      <c r="AP38" s="525"/>
      <c r="AQ38" s="310"/>
      <c r="AR38" s="310"/>
      <c r="AS38" s="310"/>
      <c r="AT38" s="310"/>
      <c r="AU38" s="310"/>
      <c r="AV38" s="310"/>
      <c r="AW38" s="544"/>
      <c r="AX38" s="544"/>
      <c r="AY38" s="310"/>
      <c r="AZ38" s="310"/>
      <c r="BA38" s="310"/>
      <c r="BB38" s="310"/>
      <c r="BC38" s="310"/>
      <c r="BD38" s="310"/>
      <c r="BE38" s="544"/>
      <c r="BF38" s="525"/>
      <c r="BG38" s="310"/>
      <c r="BH38" s="310"/>
      <c r="BI38" s="310"/>
      <c r="BJ38" s="310"/>
      <c r="BK38" s="310"/>
      <c r="BL38" s="310"/>
      <c r="BM38" s="544">
        <f t="shared" si="15"/>
        <v>0</v>
      </c>
      <c r="BN38" s="525"/>
      <c r="BO38" s="472"/>
      <c r="BP38" s="310"/>
      <c r="BQ38" s="310"/>
      <c r="BR38" s="310"/>
      <c r="BS38" s="310"/>
      <c r="BT38" s="310"/>
      <c r="BU38" s="544"/>
      <c r="BV38" s="1638"/>
      <c r="BW38" s="663">
        <f t="shared" si="7"/>
        <v>1</v>
      </c>
      <c r="BX38" s="1047">
        <f t="shared" si="16"/>
        <v>1</v>
      </c>
      <c r="BY38" s="1047" t="str">
        <f t="shared" si="17"/>
        <v>No Programada</v>
      </c>
      <c r="BZ38" s="1047">
        <f t="shared" si="18"/>
        <v>1</v>
      </c>
      <c r="CA38" s="1047">
        <f t="shared" si="19"/>
        <v>1</v>
      </c>
      <c r="CB38" s="1047">
        <f t="shared" si="20"/>
        <v>1</v>
      </c>
      <c r="CC38" s="1247"/>
      <c r="CD38" t="str">
        <f t="shared" si="21"/>
        <v>NP</v>
      </c>
      <c r="CE38" t="str">
        <f t="shared" si="21"/>
        <v>VE</v>
      </c>
      <c r="CF38" t="str">
        <f>IF(CA38="PARA MODIFICAR","M",IF(CA38="PARA ELIMINAR","E",IF(CA38="aplazada","AZ",IF(CA38="no programada","NP",IF(CA38&gt;=85%,"VE",IF(CA38&gt;70%,"VEB",IF(CA38&gt;60%,"AM",IF(CA38&gt;40%,"AMB",IF(CA38&gt;20%,"RO",IF(CA38&gt;=0%,"ROB",""))))))))))</f>
        <v>VE</v>
      </c>
      <c r="CG38" t="str">
        <f t="shared" si="21"/>
        <v>VE</v>
      </c>
    </row>
    <row r="39" spans="1:85" ht="69" customHeight="1" x14ac:dyDescent="0.3">
      <c r="A39" s="298" t="s">
        <v>38</v>
      </c>
      <c r="B39" s="299" t="str">
        <f>'PLAN INDICATIVO'!B39</f>
        <v>Educación</v>
      </c>
      <c r="C39" s="1548"/>
      <c r="D39" s="1549"/>
      <c r="E39" s="1549"/>
      <c r="F39" s="1549"/>
      <c r="G39" s="1549"/>
      <c r="H39" s="1549"/>
      <c r="I39" s="300">
        <f>'PLAN INDICATIVO'!I39</f>
        <v>0</v>
      </c>
      <c r="J39" s="300">
        <f>'PLAN INDICATIVO'!J39</f>
        <v>0</v>
      </c>
      <c r="K39" s="1425" t="str">
        <f>'PLAN INDICATIVO'!K39</f>
        <v>A.1.2.16</v>
      </c>
      <c r="L39" s="1425" t="str">
        <f>'PLAN INDICATIVO'!L39</f>
        <v>4. Educación de calidad</v>
      </c>
      <c r="M39" s="1425" t="str">
        <f>'PLAN INDICATIVO'!M39</f>
        <v>Secretaría de Educación, Cultura, deporte y Turismo</v>
      </c>
      <c r="N39" s="1513" t="s">
        <v>5122</v>
      </c>
      <c r="O39" s="1425" t="str">
        <f>'PLAN INDICATIVO'!O39</f>
        <v>Incremento</v>
      </c>
      <c r="P39" s="1198" t="str">
        <f>'PLAN INDICATIVO'!P39</f>
        <v>Implementar 2 proyectos para mejorar el aprendizaje en el área de inglés, durante el cuatrienio</v>
      </c>
      <c r="Q39" s="302" t="str">
        <f>'PLAN INDICATIVO'!Q39</f>
        <v>No. De proyectos implementados durante el cuatrienio</v>
      </c>
      <c r="R39" s="303">
        <f>'PLAN INDICATIVO'!R39</f>
        <v>2015</v>
      </c>
      <c r="S39" s="304">
        <v>0</v>
      </c>
      <c r="T39" s="677">
        <v>2</v>
      </c>
      <c r="U39" s="303"/>
      <c r="V39" s="687">
        <v>10</v>
      </c>
      <c r="W39" s="823">
        <v>0</v>
      </c>
      <c r="X39" s="687">
        <v>3000000</v>
      </c>
      <c r="Y39" s="572">
        <v>1</v>
      </c>
      <c r="Z39" s="687">
        <v>500000</v>
      </c>
      <c r="AA39" s="1310">
        <v>1</v>
      </c>
      <c r="AB39" s="686">
        <v>1000000</v>
      </c>
      <c r="AC39" s="665"/>
      <c r="AD39" s="665"/>
      <c r="AE39" s="665">
        <v>1</v>
      </c>
      <c r="AF39" s="665">
        <v>1</v>
      </c>
      <c r="AG39" s="664" t="s">
        <v>5136</v>
      </c>
      <c r="AH39" s="985">
        <v>2019413960018</v>
      </c>
      <c r="AI39" s="307" t="s">
        <v>5081</v>
      </c>
      <c r="AJ39" s="881" t="s">
        <v>4812</v>
      </c>
      <c r="AK39" s="881" t="s">
        <v>4813</v>
      </c>
      <c r="AL39" s="308"/>
      <c r="AM39" s="308"/>
      <c r="AN39" s="267" t="s">
        <v>2598</v>
      </c>
      <c r="AO39" s="507"/>
      <c r="AP39" s="525"/>
      <c r="AQ39" s="310"/>
      <c r="AR39" s="310"/>
      <c r="AS39" s="310"/>
      <c r="AT39" s="310"/>
      <c r="AU39" s="310"/>
      <c r="AV39" s="310"/>
      <c r="AW39" s="544"/>
      <c r="AX39" s="544"/>
      <c r="AY39" s="310"/>
      <c r="AZ39" s="310"/>
      <c r="BA39" s="310"/>
      <c r="BB39" s="310"/>
      <c r="BC39" s="310"/>
      <c r="BD39" s="310"/>
      <c r="BE39" s="544"/>
      <c r="BF39" s="525"/>
      <c r="BG39" s="310"/>
      <c r="BH39" s="310"/>
      <c r="BI39" s="310"/>
      <c r="BJ39" s="310"/>
      <c r="BK39" s="310"/>
      <c r="BL39" s="310"/>
      <c r="BM39" s="544">
        <f t="shared" si="15"/>
        <v>0</v>
      </c>
      <c r="BN39" s="525"/>
      <c r="BO39" s="472"/>
      <c r="BP39" s="310"/>
      <c r="BQ39" s="310"/>
      <c r="BR39" s="310"/>
      <c r="BS39" s="310"/>
      <c r="BT39" s="310"/>
      <c r="BU39" s="544"/>
      <c r="BV39" s="1638"/>
      <c r="BW39" s="663">
        <f t="shared" si="7"/>
        <v>2</v>
      </c>
      <c r="BX39" s="1047">
        <f t="shared" si="16"/>
        <v>1</v>
      </c>
      <c r="BY39" s="1047" t="str">
        <f t="shared" si="17"/>
        <v>No Programada</v>
      </c>
      <c r="BZ39" s="1047" t="str">
        <f t="shared" si="18"/>
        <v>Aplazada</v>
      </c>
      <c r="CA39" s="1047">
        <f t="shared" si="19"/>
        <v>1</v>
      </c>
      <c r="CB39" s="1047">
        <f t="shared" si="20"/>
        <v>1</v>
      </c>
      <c r="CC39" s="1247"/>
      <c r="CD39" t="str">
        <f t="shared" si="21"/>
        <v>NP</v>
      </c>
      <c r="CE39" t="str">
        <f t="shared" si="21"/>
        <v>AZ</v>
      </c>
      <c r="CF39" t="str">
        <f t="shared" si="21"/>
        <v>VE</v>
      </c>
      <c r="CG39" t="str">
        <f t="shared" si="21"/>
        <v>VE</v>
      </c>
    </row>
    <row r="40" spans="1:85" ht="124.5" hidden="1" customHeight="1" x14ac:dyDescent="0.25">
      <c r="A40" s="298" t="s">
        <v>38</v>
      </c>
      <c r="B40" s="299" t="str">
        <f>'PLAN INDICATIVO'!B40</f>
        <v>Educación</v>
      </c>
      <c r="C40" s="1424"/>
      <c r="D40" s="1425"/>
      <c r="E40" s="1425"/>
      <c r="F40" s="1425"/>
      <c r="G40" s="1425"/>
      <c r="H40" s="1425"/>
      <c r="I40" s="300">
        <f>'PLAN INDICATIVO'!I40</f>
        <v>0</v>
      </c>
      <c r="J40" s="300">
        <f>'PLAN INDICATIVO'!J40</f>
        <v>0</v>
      </c>
      <c r="K40" s="1425" t="str">
        <f>'PLAN INDICATIVO'!K40</f>
        <v>A.1.2.17</v>
      </c>
      <c r="L40" s="1425" t="str">
        <f>'PLAN INDICATIVO'!L40</f>
        <v>4. Educación de calidad</v>
      </c>
      <c r="M40" s="1425" t="str">
        <f>'PLAN INDICATIVO'!M40</f>
        <v>Secretaría de Educación, Cultura, deporte y Turismo</v>
      </c>
      <c r="N40" s="1513" t="s">
        <v>5122</v>
      </c>
      <c r="O40" s="1425" t="str">
        <f>'PLAN INDICATIVO'!O40</f>
        <v>Incremento</v>
      </c>
      <c r="P40" s="1198" t="str">
        <f>'PLAN INDICATIVO'!P40</f>
        <v>Realizar apoyo y acompañamiento a los semilleros de investigación que se encuentran funcionando en el municipio, durante el cuatrenio.</v>
      </c>
      <c r="Q40" s="302" t="str">
        <f>'PLAN INDICATIVO'!Q40</f>
        <v>No. De apoyos gestionados en el cuatrenio.</v>
      </c>
      <c r="R40" s="303">
        <f>'PLAN INDICATIVO'!R40</f>
        <v>2015</v>
      </c>
      <c r="S40" s="304">
        <v>0</v>
      </c>
      <c r="T40" s="677">
        <v>1</v>
      </c>
      <c r="U40" s="303"/>
      <c r="V40" s="687"/>
      <c r="W40" s="572">
        <v>0</v>
      </c>
      <c r="X40" s="687"/>
      <c r="Y40" s="572">
        <v>0.33</v>
      </c>
      <c r="Z40" s="687">
        <v>500000</v>
      </c>
      <c r="AA40" s="1310">
        <v>0.2</v>
      </c>
      <c r="AB40" s="686"/>
      <c r="AC40" s="665"/>
      <c r="AD40" s="665">
        <v>0.5</v>
      </c>
      <c r="AE40" s="665">
        <v>0.33</v>
      </c>
      <c r="AF40" s="665">
        <v>0.25</v>
      </c>
      <c r="AG40" s="664" t="s">
        <v>5136</v>
      </c>
      <c r="AH40" s="985">
        <v>2019413960018</v>
      </c>
      <c r="AI40" s="307" t="s">
        <v>4918</v>
      </c>
      <c r="AJ40" s="881">
        <v>43497</v>
      </c>
      <c r="AK40" s="881">
        <v>43799</v>
      </c>
      <c r="AL40" s="308"/>
      <c r="AM40" s="308"/>
      <c r="AN40" s="267" t="s">
        <v>2598</v>
      </c>
      <c r="AO40" s="507"/>
      <c r="AP40" s="525"/>
      <c r="AQ40" s="310"/>
      <c r="AR40" s="310"/>
      <c r="AS40" s="310"/>
      <c r="AT40" s="310"/>
      <c r="AU40" s="310"/>
      <c r="AV40" s="310"/>
      <c r="AW40" s="544"/>
      <c r="AX40" s="544"/>
      <c r="AY40" s="310"/>
      <c r="AZ40" s="310"/>
      <c r="BA40" s="310"/>
      <c r="BB40" s="310"/>
      <c r="BC40" s="310"/>
      <c r="BD40" s="310"/>
      <c r="BE40" s="544"/>
      <c r="BF40" s="525"/>
      <c r="BG40" s="310"/>
      <c r="BH40" s="310"/>
      <c r="BI40" s="310"/>
      <c r="BJ40" s="310"/>
      <c r="BK40" s="310"/>
      <c r="BL40" s="310"/>
      <c r="BM40" s="544">
        <f t="shared" si="15"/>
        <v>0</v>
      </c>
      <c r="BN40" s="525"/>
      <c r="BO40" s="472"/>
      <c r="BP40" s="310"/>
      <c r="BQ40" s="310"/>
      <c r="BR40" s="310"/>
      <c r="BS40" s="310"/>
      <c r="BT40" s="310"/>
      <c r="BU40" s="544"/>
      <c r="BV40" s="1638"/>
      <c r="BW40" s="663">
        <f t="shared" si="7"/>
        <v>1.08</v>
      </c>
      <c r="BX40" s="1047">
        <f t="shared" si="16"/>
        <v>1.08</v>
      </c>
      <c r="BY40" s="1047" t="str">
        <f t="shared" si="17"/>
        <v>No Programada</v>
      </c>
      <c r="BZ40" s="1047" t="str">
        <f t="shared" si="18"/>
        <v>Aplazada</v>
      </c>
      <c r="CA40" s="1047">
        <f t="shared" si="19"/>
        <v>1</v>
      </c>
      <c r="CB40" s="1047">
        <f t="shared" si="20"/>
        <v>1.25</v>
      </c>
      <c r="CC40" s="1247"/>
      <c r="CD40" t="str">
        <f t="shared" si="21"/>
        <v>NP</v>
      </c>
      <c r="CE40" t="str">
        <f t="shared" si="21"/>
        <v>AZ</v>
      </c>
      <c r="CF40" t="str">
        <f t="shared" si="21"/>
        <v>VE</v>
      </c>
      <c r="CG40" t="str">
        <f t="shared" si="21"/>
        <v>VE</v>
      </c>
    </row>
    <row r="41" spans="1:85" ht="54" hidden="1" customHeight="1" x14ac:dyDescent="0.25">
      <c r="A41" s="298" t="s">
        <v>38</v>
      </c>
      <c r="B41" s="299" t="str">
        <f>'PLAN INDICATIVO'!B41</f>
        <v>Educación</v>
      </c>
      <c r="C41" s="1424"/>
      <c r="D41" s="1425"/>
      <c r="E41" s="1425"/>
      <c r="F41" s="1425"/>
      <c r="G41" s="1425"/>
      <c r="H41" s="1425"/>
      <c r="I41" s="300">
        <f>'PLAN INDICATIVO'!I41</f>
        <v>0</v>
      </c>
      <c r="J41" s="300">
        <f>'PLAN INDICATIVO'!J41</f>
        <v>0</v>
      </c>
      <c r="K41" s="1425" t="str">
        <f>'PLAN INDICATIVO'!K41</f>
        <v>A.1.2.18</v>
      </c>
      <c r="L41" s="1425" t="str">
        <f>'PLAN INDICATIVO'!L41</f>
        <v>4. Educación de calidad</v>
      </c>
      <c r="M41" s="1425" t="str">
        <f>'PLAN INDICATIVO'!M41</f>
        <v>Secretaría de Educación, Cultura, deporte y Turismo</v>
      </c>
      <c r="N41" s="1513" t="s">
        <v>5122</v>
      </c>
      <c r="O41" s="1425" t="str">
        <f>'PLAN INDICATIVO'!O41</f>
        <v>Incremento</v>
      </c>
      <c r="P41" s="16" t="str">
        <f>'PLAN INDICATIVO'!P41</f>
        <v>Apoyo para la vinculación de estudiantes al programa ONDAS.</v>
      </c>
      <c r="Q41" s="302" t="str">
        <f>'PLAN INDICATIVO'!Q41</f>
        <v>No. De apoyos gestionados en el cuatrenio.</v>
      </c>
      <c r="R41" s="303">
        <f>'PLAN INDICATIVO'!R41</f>
        <v>2015</v>
      </c>
      <c r="S41" s="304">
        <v>0</v>
      </c>
      <c r="T41" s="677">
        <v>1</v>
      </c>
      <c r="U41" s="303">
        <v>0</v>
      </c>
      <c r="V41" s="687">
        <v>2</v>
      </c>
      <c r="W41" s="572">
        <v>1</v>
      </c>
      <c r="X41" s="687">
        <v>2000000</v>
      </c>
      <c r="Y41" s="572">
        <v>0.33</v>
      </c>
      <c r="Z41" s="687"/>
      <c r="AA41" s="1310">
        <v>0.33</v>
      </c>
      <c r="AB41" s="686"/>
      <c r="AC41" s="665"/>
      <c r="AD41" s="665">
        <v>0.33</v>
      </c>
      <c r="AE41" s="665">
        <v>0.33</v>
      </c>
      <c r="AF41" s="665">
        <v>0.33</v>
      </c>
      <c r="AG41" s="664" t="s">
        <v>5136</v>
      </c>
      <c r="AH41" s="985">
        <v>2019413960018</v>
      </c>
      <c r="AI41" s="307" t="s">
        <v>4009</v>
      </c>
      <c r="AJ41" s="881">
        <v>43497</v>
      </c>
      <c r="AK41" s="881">
        <v>43799</v>
      </c>
      <c r="AL41" s="308"/>
      <c r="AM41" s="308"/>
      <c r="AN41" s="267" t="s">
        <v>2598</v>
      </c>
      <c r="AO41" s="507"/>
      <c r="AP41" s="525"/>
      <c r="AQ41" s="310"/>
      <c r="AR41" s="310"/>
      <c r="AS41" s="310"/>
      <c r="AT41" s="310"/>
      <c r="AU41" s="310"/>
      <c r="AV41" s="310"/>
      <c r="AW41" s="544"/>
      <c r="AX41" s="544"/>
      <c r="AY41" s="310"/>
      <c r="AZ41" s="310"/>
      <c r="BA41" s="310"/>
      <c r="BB41" s="310"/>
      <c r="BC41" s="310"/>
      <c r="BD41" s="310"/>
      <c r="BE41" s="544"/>
      <c r="BF41" s="525"/>
      <c r="BG41" s="310"/>
      <c r="BH41" s="310"/>
      <c r="BI41" s="310"/>
      <c r="BJ41" s="310"/>
      <c r="BK41" s="310"/>
      <c r="BL41" s="310"/>
      <c r="BM41" s="544">
        <f t="shared" si="15"/>
        <v>0</v>
      </c>
      <c r="BN41" s="525"/>
      <c r="BO41" s="472"/>
      <c r="BP41" s="310"/>
      <c r="BQ41" s="310"/>
      <c r="BR41" s="310"/>
      <c r="BS41" s="310"/>
      <c r="BT41" s="310"/>
      <c r="BU41" s="544"/>
      <c r="BV41" s="1639"/>
      <c r="BW41" s="663">
        <f t="shared" si="7"/>
        <v>0.99</v>
      </c>
      <c r="BX41" s="1047">
        <f t="shared" si="16"/>
        <v>0.99</v>
      </c>
      <c r="BY41" s="1047" t="str">
        <f t="shared" si="17"/>
        <v>Aplazada</v>
      </c>
      <c r="BZ41" s="1047">
        <f t="shared" si="18"/>
        <v>0.33</v>
      </c>
      <c r="CA41" s="1047">
        <f t="shared" si="19"/>
        <v>1</v>
      </c>
      <c r="CB41" s="1047">
        <f t="shared" si="20"/>
        <v>1</v>
      </c>
      <c r="CC41" s="1247"/>
      <c r="CD41" t="str">
        <f t="shared" si="21"/>
        <v>AZ</v>
      </c>
      <c r="CE41" t="str">
        <f t="shared" si="21"/>
        <v>RO</v>
      </c>
      <c r="CF41" t="str">
        <f t="shared" si="21"/>
        <v>VE</v>
      </c>
      <c r="CG41" t="str">
        <f t="shared" si="21"/>
        <v>VE</v>
      </c>
    </row>
    <row r="42" spans="1:85" ht="33" customHeight="1" x14ac:dyDescent="0.3">
      <c r="A42" s="295"/>
      <c r="B42" s="24"/>
      <c r="C42" s="1574" t="s">
        <v>149</v>
      </c>
      <c r="D42" s="1575"/>
      <c r="E42" s="1575"/>
      <c r="F42" s="1575"/>
      <c r="G42" s="1575"/>
      <c r="H42" s="1575"/>
      <c r="I42" s="1575"/>
      <c r="J42" s="1575"/>
      <c r="K42" s="1575"/>
      <c r="L42" s="1575"/>
      <c r="M42" s="1575"/>
      <c r="N42" s="1575"/>
      <c r="O42" s="1576"/>
      <c r="P42" s="22"/>
      <c r="Q42" s="22"/>
      <c r="R42" s="1"/>
      <c r="S42" s="261"/>
      <c r="T42" s="681"/>
      <c r="U42" s="261"/>
      <c r="V42" s="689">
        <f>SUM(V43:V46)</f>
        <v>731.96</v>
      </c>
      <c r="W42" s="261"/>
      <c r="X42" s="689">
        <f>SUM(X43:X46)</f>
        <v>932530000</v>
      </c>
      <c r="Y42" s="261"/>
      <c r="Z42" s="689">
        <f>SUM(Z43:Z46)</f>
        <v>962500000</v>
      </c>
      <c r="AA42" s="262"/>
      <c r="AB42" s="690">
        <f>SUM(AB43:AB46)</f>
        <v>819945373</v>
      </c>
      <c r="AC42" s="262"/>
      <c r="AD42" s="262"/>
      <c r="AE42" s="262"/>
      <c r="AF42" s="262"/>
      <c r="AG42" s="263"/>
      <c r="AH42" s="263"/>
      <c r="AI42" s="263"/>
      <c r="AJ42" s="262"/>
      <c r="AK42" s="262"/>
      <c r="AL42" s="262"/>
      <c r="AM42" s="262"/>
      <c r="AN42" s="262"/>
      <c r="AO42" s="612"/>
      <c r="AP42" s="616"/>
      <c r="AQ42" s="616"/>
      <c r="AR42" s="616"/>
      <c r="AS42" s="616"/>
      <c r="AT42" s="616"/>
      <c r="AU42" s="616"/>
      <c r="AV42" s="616"/>
      <c r="AW42" s="617"/>
      <c r="AX42" s="616"/>
      <c r="AY42" s="616"/>
      <c r="AZ42" s="616"/>
      <c r="BA42" s="616"/>
      <c r="BB42" s="616"/>
      <c r="BC42" s="616"/>
      <c r="BD42" s="616"/>
      <c r="BE42" s="617"/>
      <c r="BF42" s="616"/>
      <c r="BG42" s="616"/>
      <c r="BH42" s="616"/>
      <c r="BI42" s="616"/>
      <c r="BJ42" s="616"/>
      <c r="BK42" s="616"/>
      <c r="BL42" s="616"/>
      <c r="BM42" s="617">
        <f t="shared" si="15"/>
        <v>0</v>
      </c>
      <c r="BN42" s="616"/>
      <c r="BO42" s="616"/>
      <c r="BP42" s="616"/>
      <c r="BQ42" s="616"/>
      <c r="BR42" s="616"/>
      <c r="BS42" s="616"/>
      <c r="BT42" s="616"/>
      <c r="BU42" s="617"/>
      <c r="BV42" s="556"/>
      <c r="BW42" s="863">
        <f t="shared" si="7"/>
        <v>0</v>
      </c>
      <c r="BX42" s="262" t="s">
        <v>2717</v>
      </c>
      <c r="BY42" s="262" t="s">
        <v>2717</v>
      </c>
      <c r="BZ42" s="262" t="s">
        <v>2717</v>
      </c>
      <c r="CA42" s="262" t="s">
        <v>2717</v>
      </c>
      <c r="CB42" s="262" t="s">
        <v>2717</v>
      </c>
    </row>
    <row r="43" spans="1:85" ht="68.25" customHeight="1" x14ac:dyDescent="0.3">
      <c r="A43" s="298" t="s">
        <v>2458</v>
      </c>
      <c r="B43" s="299" t="str">
        <f>'PLAN INDICATIVO'!B43</f>
        <v>Educación</v>
      </c>
      <c r="C43" s="299" t="s">
        <v>150</v>
      </c>
      <c r="D43" s="1425" t="s">
        <v>151</v>
      </c>
      <c r="E43" s="1425" t="s">
        <v>152</v>
      </c>
      <c r="F43" s="1429">
        <v>2014</v>
      </c>
      <c r="G43" s="1425">
        <v>10.6</v>
      </c>
      <c r="H43" s="1429">
        <v>8</v>
      </c>
      <c r="I43" s="300">
        <f>'PLAN INDICATIVO'!I43</f>
        <v>0</v>
      </c>
      <c r="J43" s="300">
        <f>'PLAN INDICATIVO'!J43</f>
        <v>0</v>
      </c>
      <c r="K43" s="1425" t="str">
        <f>'PLAN INDICATIVO'!K43</f>
        <v>A.1.3.1</v>
      </c>
      <c r="L43" s="1425" t="str">
        <f>'PLAN INDICATIVO'!L43</f>
        <v>4. Educación de calidad</v>
      </c>
      <c r="M43" s="1425" t="str">
        <f>'PLAN INDICATIVO'!M43</f>
        <v>Secretaría de Educación, Cultura, deporte y Turismo</v>
      </c>
      <c r="N43" s="1513" t="s">
        <v>5122</v>
      </c>
      <c r="O43" s="1425" t="str">
        <f>'PLAN INDICATIVO'!O43</f>
        <v>Incremento</v>
      </c>
      <c r="P43" s="1198" t="str">
        <f>'PLAN INDICATIVO'!P43</f>
        <v>Apoyar 4 programas de alfabetización para el cambio, dirigido a la población analfabeta del municipio.</v>
      </c>
      <c r="Q43" s="302" t="str">
        <f>'PLAN INDICATIVO'!Q43</f>
        <v>No. De programas de alfabetización con seguimiento</v>
      </c>
      <c r="R43" s="303">
        <f>'PLAN INDICATIVO'!R43</f>
        <v>2015</v>
      </c>
      <c r="S43" s="304">
        <v>1</v>
      </c>
      <c r="T43" s="677">
        <v>4</v>
      </c>
      <c r="U43" s="303">
        <v>1</v>
      </c>
      <c r="V43" s="687">
        <v>3</v>
      </c>
      <c r="W43" s="572">
        <v>1</v>
      </c>
      <c r="X43" s="687">
        <v>5000000</v>
      </c>
      <c r="Y43" s="572">
        <v>1</v>
      </c>
      <c r="Z43" s="687">
        <v>2500000</v>
      </c>
      <c r="AA43" s="1310">
        <v>1</v>
      </c>
      <c r="AB43" s="686">
        <v>1000000</v>
      </c>
      <c r="AC43" s="665"/>
      <c r="AD43" s="665">
        <v>1</v>
      </c>
      <c r="AE43" s="665">
        <v>1</v>
      </c>
      <c r="AF43" s="665">
        <v>1</v>
      </c>
      <c r="AG43" s="664" t="s">
        <v>5136</v>
      </c>
      <c r="AH43" s="985">
        <v>2019413960018</v>
      </c>
      <c r="AI43" s="307" t="s">
        <v>4814</v>
      </c>
      <c r="AJ43" s="309">
        <v>43497</v>
      </c>
      <c r="AK43" s="309">
        <v>43646</v>
      </c>
      <c r="AL43" s="308"/>
      <c r="AM43" s="308"/>
      <c r="AN43" s="267" t="s">
        <v>2598</v>
      </c>
      <c r="AO43" s="507"/>
      <c r="AP43" s="525"/>
      <c r="AQ43" s="310"/>
      <c r="AR43" s="310"/>
      <c r="AS43" s="310"/>
      <c r="AT43" s="310"/>
      <c r="AU43" s="310"/>
      <c r="AV43" s="310"/>
      <c r="AW43" s="544"/>
      <c r="AX43" s="525"/>
      <c r="AY43" s="310"/>
      <c r="AZ43" s="310"/>
      <c r="BA43" s="310"/>
      <c r="BB43" s="310"/>
      <c r="BC43" s="310"/>
      <c r="BD43" s="310"/>
      <c r="BE43" s="544"/>
      <c r="BF43" s="525"/>
      <c r="BG43" s="310"/>
      <c r="BH43" s="310"/>
      <c r="BI43" s="310"/>
      <c r="BJ43" s="310"/>
      <c r="BK43" s="310"/>
      <c r="BL43" s="310"/>
      <c r="BM43" s="544">
        <f t="shared" si="15"/>
        <v>0</v>
      </c>
      <c r="BN43" s="528"/>
      <c r="BO43" s="472"/>
      <c r="BP43" s="472"/>
      <c r="BQ43" s="310"/>
      <c r="BR43" s="310"/>
      <c r="BS43" s="310"/>
      <c r="BT43" s="310"/>
      <c r="BU43" s="544"/>
      <c r="BV43" s="1637" t="s">
        <v>2587</v>
      </c>
      <c r="BW43" s="663">
        <f t="shared" si="7"/>
        <v>3</v>
      </c>
      <c r="BX43" s="1047">
        <f>BW43/T43</f>
        <v>0.75</v>
      </c>
      <c r="BY43" s="1047">
        <f>IF(U43&gt;=0.1,AC43/U43,IF(ISBLANK(U43),"No Programada","Aplazada"))</f>
        <v>0</v>
      </c>
      <c r="BZ43" s="1047">
        <f>IF(W43&gt;=0.1,AD43/W43,IF(ISBLANK(W43),"No Programada","Aplazada"))</f>
        <v>1</v>
      </c>
      <c r="CA43" s="1047">
        <f>IF(Y43&gt;=0.1,AE43/Y43,IF(ISBLANK(Y43),"No Programada","Aplazada"))</f>
        <v>1</v>
      </c>
      <c r="CB43" s="1047">
        <f>IF(AA43&gt;=0.1,AF43/AA43,IF(ISBLANK(AA43),"No Programada","Aplazada"))</f>
        <v>1</v>
      </c>
      <c r="CD43" t="str">
        <f t="shared" ref="CD43:CG46" si="22">IF(BY43="PARA MODIFICAR","M",IF(BY43="PARA ELIMINAR","E",IF(BY43="aplazada","AZ",IF(BY43="no programada","NP",IF(BY43&gt;=85%,"VE",IF(BY43&gt;70%,"VEB",IF(BY43&gt;60%,"AM",IF(BY43&gt;40%,"AMB",IF(BY43&gt;20%,"RO",IF(BY43&gt;=0%,"ROB",""))))))))))</f>
        <v>ROB</v>
      </c>
      <c r="CE43" t="str">
        <f t="shared" si="22"/>
        <v>VE</v>
      </c>
      <c r="CF43" t="str">
        <f t="shared" si="22"/>
        <v>VE</v>
      </c>
      <c r="CG43" t="str">
        <f t="shared" si="22"/>
        <v>VE</v>
      </c>
    </row>
    <row r="44" spans="1:85" ht="52.5" customHeight="1" x14ac:dyDescent="0.3">
      <c r="A44" s="298" t="s">
        <v>38</v>
      </c>
      <c r="B44" s="299" t="str">
        <f>'PLAN INDICATIVO'!B44</f>
        <v>Educación</v>
      </c>
      <c r="C44" s="1546" t="s">
        <v>156</v>
      </c>
      <c r="D44" s="1549" t="s">
        <v>157</v>
      </c>
      <c r="E44" s="1549" t="s">
        <v>158</v>
      </c>
      <c r="F44" s="1549">
        <v>2014</v>
      </c>
      <c r="G44" s="1549">
        <v>4.29</v>
      </c>
      <c r="H44" s="1549">
        <v>4</v>
      </c>
      <c r="I44" s="300">
        <f>'PLAN INDICATIVO'!I44</f>
        <v>0</v>
      </c>
      <c r="J44" s="300">
        <f>'PLAN INDICATIVO'!J44</f>
        <v>0</v>
      </c>
      <c r="K44" s="1425" t="str">
        <f>'PLAN INDICATIVO'!K44</f>
        <v>A.1.4.1</v>
      </c>
      <c r="L44" s="1425" t="str">
        <f>'PLAN INDICATIVO'!L44</f>
        <v>4. Educación de calidad</v>
      </c>
      <c r="M44" s="1425" t="str">
        <f>'PLAN INDICATIVO'!M44</f>
        <v>Secretaría de Educación, Cultura, deporte y Turismo</v>
      </c>
      <c r="N44" s="1513" t="s">
        <v>5122</v>
      </c>
      <c r="O44" s="1425" t="str">
        <f>'PLAN INDICATIVO'!O44</f>
        <v>Mantenimiento</v>
      </c>
      <c r="P44" s="16" t="str">
        <f>'PLAN INDICATIVO'!P44</f>
        <v>Mantener 1 Programa de Alimentación escolar cada año en el municipio durante el cuatrienio.</v>
      </c>
      <c r="Q44" s="302" t="str">
        <f>'PLAN INDICATIVO'!Q44</f>
        <v>No. De programas de restaurantes escolares en funcionamiento cada año</v>
      </c>
      <c r="R44" s="303">
        <f>'PLAN INDICATIVO'!R44</f>
        <v>2015</v>
      </c>
      <c r="S44" s="304">
        <v>1</v>
      </c>
      <c r="T44" s="677">
        <v>1</v>
      </c>
      <c r="U44" s="303">
        <v>0.25</v>
      </c>
      <c r="V44" s="687">
        <v>297.52999999999997</v>
      </c>
      <c r="W44" s="572">
        <v>0.25</v>
      </c>
      <c r="X44" s="687">
        <v>300000000</v>
      </c>
      <c r="Y44" s="572">
        <v>0.25</v>
      </c>
      <c r="Z44" s="687">
        <v>340000000</v>
      </c>
      <c r="AA44" s="1310">
        <v>0.25</v>
      </c>
      <c r="AB44" s="686">
        <v>323320298</v>
      </c>
      <c r="AC44" s="665"/>
      <c r="AD44" s="665">
        <v>0.25</v>
      </c>
      <c r="AE44" s="665">
        <v>0.25</v>
      </c>
      <c r="AF44" s="665">
        <v>0.25</v>
      </c>
      <c r="AG44" s="664" t="s">
        <v>5136</v>
      </c>
      <c r="AH44" s="985">
        <v>2019413960018</v>
      </c>
      <c r="AI44" s="307" t="s">
        <v>4919</v>
      </c>
      <c r="AJ44" s="309">
        <v>43556</v>
      </c>
      <c r="AK44" s="309">
        <v>43799</v>
      </c>
      <c r="AL44" s="308"/>
      <c r="AM44" s="308"/>
      <c r="AN44" s="267" t="s">
        <v>2604</v>
      </c>
      <c r="AO44" s="507"/>
      <c r="AP44" s="525"/>
      <c r="AQ44" s="310"/>
      <c r="AR44" s="310"/>
      <c r="AS44" s="310"/>
      <c r="AT44" s="310"/>
      <c r="AU44" s="310"/>
      <c r="AV44" s="310"/>
      <c r="AW44" s="544"/>
      <c r="AX44" s="525"/>
      <c r="AY44" s="310"/>
      <c r="AZ44" s="310"/>
      <c r="BA44" s="310"/>
      <c r="BB44" s="310"/>
      <c r="BC44" s="310"/>
      <c r="BD44" s="310"/>
      <c r="BE44" s="544"/>
      <c r="BF44" s="525"/>
      <c r="BG44" s="310"/>
      <c r="BH44" s="310"/>
      <c r="BI44" s="310"/>
      <c r="BJ44" s="310"/>
      <c r="BK44" s="310"/>
      <c r="BL44" s="310"/>
      <c r="BM44" s="544">
        <f t="shared" si="15"/>
        <v>0</v>
      </c>
      <c r="BN44" s="528"/>
      <c r="BO44" s="472"/>
      <c r="BP44" s="472"/>
      <c r="BQ44" s="310"/>
      <c r="BR44" s="310"/>
      <c r="BS44" s="310"/>
      <c r="BT44" s="310"/>
      <c r="BU44" s="544"/>
      <c r="BV44" s="1638"/>
      <c r="BW44" s="663">
        <f t="shared" si="7"/>
        <v>0.75</v>
      </c>
      <c r="BX44" s="1047">
        <f>BW44/T44</f>
        <v>0.75</v>
      </c>
      <c r="BY44" s="1047">
        <f>IF(U44&gt;=0.1,AC44/U44,IF(ISBLANK(U44),"No Programada","Aplazada"))</f>
        <v>0</v>
      </c>
      <c r="BZ44" s="1047">
        <f>IF(W44&gt;=0.1,AD44/W44,IF(ISBLANK(W44),"No Programada","Aplazada"))</f>
        <v>1</v>
      </c>
      <c r="CA44" s="1047">
        <f>IF(Y44&gt;=0.1,AE44/Y44,IF(ISBLANK(Y44),"No Programada","Aplazada"))</f>
        <v>1</v>
      </c>
      <c r="CB44" s="1047">
        <f>IF(AA44&gt;=0.1,AF44/AA44,IF(ISBLANK(AA44),"No Programada","Aplazada"))</f>
        <v>1</v>
      </c>
      <c r="CD44" t="str">
        <f t="shared" si="22"/>
        <v>ROB</v>
      </c>
      <c r="CE44" t="str">
        <f t="shared" si="22"/>
        <v>VE</v>
      </c>
      <c r="CF44" t="str">
        <f t="shared" si="22"/>
        <v>VE</v>
      </c>
      <c r="CG44" t="str">
        <f t="shared" si="22"/>
        <v>VE</v>
      </c>
    </row>
    <row r="45" spans="1:85" ht="50.25" customHeight="1" x14ac:dyDescent="0.3">
      <c r="A45" s="298" t="s">
        <v>38</v>
      </c>
      <c r="B45" s="299" t="str">
        <f>'PLAN INDICATIVO'!B45</f>
        <v>Educación</v>
      </c>
      <c r="C45" s="1547"/>
      <c r="D45" s="1549"/>
      <c r="E45" s="1549"/>
      <c r="F45" s="1549"/>
      <c r="G45" s="1549"/>
      <c r="H45" s="1549"/>
      <c r="I45" s="300">
        <f>'PLAN INDICATIVO'!I45</f>
        <v>0</v>
      </c>
      <c r="J45" s="300">
        <f>'PLAN INDICATIVO'!J45</f>
        <v>0</v>
      </c>
      <c r="K45" s="1425" t="str">
        <f>'PLAN INDICATIVO'!K45</f>
        <v>A.1.4.2</v>
      </c>
      <c r="L45" s="1425" t="str">
        <f>'PLAN INDICATIVO'!L45</f>
        <v>4. Educación de calidad</v>
      </c>
      <c r="M45" s="1425" t="str">
        <f>'PLAN INDICATIVO'!M45</f>
        <v>Secretaría de Educación, Cultura, deporte y Turismo</v>
      </c>
      <c r="N45" s="1513" t="s">
        <v>5122</v>
      </c>
      <c r="O45" s="1425" t="str">
        <f>'PLAN INDICATIVO'!O45</f>
        <v>Incremento</v>
      </c>
      <c r="P45" s="16" t="str">
        <f>'PLAN INDICATIVO'!P45</f>
        <v>Suministrar 4 dotaciones de menaje y dotación para la prestación del servicio de alimentación escolar a las IE públicas del municipio, durante el cuatrienio</v>
      </c>
      <c r="Q45" s="302" t="str">
        <f>'PLAN INDICATIVO'!Q45</f>
        <v>No. De dotaciones suministradas durante el cuatrienio</v>
      </c>
      <c r="R45" s="303">
        <f>'PLAN INDICATIVO'!R45</f>
        <v>2015</v>
      </c>
      <c r="S45" s="304">
        <v>1</v>
      </c>
      <c r="T45" s="677">
        <v>4</v>
      </c>
      <c r="U45" s="303">
        <v>1</v>
      </c>
      <c r="V45" s="687">
        <v>31.43</v>
      </c>
      <c r="W45" s="572">
        <v>1</v>
      </c>
      <c r="X45" s="687">
        <v>27530000</v>
      </c>
      <c r="Y45" s="572">
        <v>1</v>
      </c>
      <c r="Z45" s="687">
        <v>5000000</v>
      </c>
      <c r="AA45" s="1310">
        <v>1</v>
      </c>
      <c r="AB45" s="686">
        <v>81625075</v>
      </c>
      <c r="AC45" s="665"/>
      <c r="AD45" s="665">
        <v>1</v>
      </c>
      <c r="AE45" s="665">
        <v>1</v>
      </c>
      <c r="AF45" s="665">
        <v>1</v>
      </c>
      <c r="AG45" s="664" t="s">
        <v>5136</v>
      </c>
      <c r="AH45" s="985">
        <v>2019413960018</v>
      </c>
      <c r="AI45" s="307" t="s">
        <v>5082</v>
      </c>
      <c r="AJ45" s="309">
        <v>43556</v>
      </c>
      <c r="AK45" s="309">
        <v>43799</v>
      </c>
      <c r="AL45" s="308"/>
      <c r="AM45" s="308"/>
      <c r="AN45" s="267" t="s">
        <v>2604</v>
      </c>
      <c r="AO45" s="507"/>
      <c r="AP45" s="525"/>
      <c r="AQ45" s="310"/>
      <c r="AR45" s="310"/>
      <c r="AS45" s="310"/>
      <c r="AT45" s="310"/>
      <c r="AU45" s="310"/>
      <c r="AV45" s="310"/>
      <c r="AW45" s="544"/>
      <c r="AX45" s="525"/>
      <c r="AY45" s="310"/>
      <c r="AZ45" s="310"/>
      <c r="BA45" s="310"/>
      <c r="BB45" s="310"/>
      <c r="BC45" s="310"/>
      <c r="BD45" s="310"/>
      <c r="BE45" s="544"/>
      <c r="BF45" s="525"/>
      <c r="BG45" s="310"/>
      <c r="BH45" s="310"/>
      <c r="BI45" s="310"/>
      <c r="BJ45" s="310"/>
      <c r="BK45" s="310"/>
      <c r="BL45" s="310"/>
      <c r="BM45" s="544">
        <f t="shared" si="15"/>
        <v>0</v>
      </c>
      <c r="BN45" s="528"/>
      <c r="BO45" s="472"/>
      <c r="BP45" s="472"/>
      <c r="BQ45" s="310"/>
      <c r="BR45" s="310"/>
      <c r="BS45" s="310"/>
      <c r="BT45" s="310"/>
      <c r="BU45" s="544"/>
      <c r="BV45" s="1638"/>
      <c r="BW45" s="663">
        <f t="shared" si="7"/>
        <v>3</v>
      </c>
      <c r="BX45" s="1047">
        <f>BW45/T45</f>
        <v>0.75</v>
      </c>
      <c r="BY45" s="1047">
        <f>IF(U45&gt;=0.1,AC45/U45,IF(ISBLANK(U45),"No Programada","Aplazada"))</f>
        <v>0</v>
      </c>
      <c r="BZ45" s="1047">
        <f>IF(W45&gt;=0.1,AD45/W45,IF(ISBLANK(W45),"No Programada","Aplazada"))</f>
        <v>1</v>
      </c>
      <c r="CA45" s="1047">
        <f>IF(Y45&gt;=0.1,AE45/Y45,IF(ISBLANK(Y45),"No Programada","Aplazada"))</f>
        <v>1</v>
      </c>
      <c r="CB45" s="1047">
        <f>IF(AA45&gt;=0.1,AF45/AA45,IF(ISBLANK(AA45),"No Programada","Aplazada"))</f>
        <v>1</v>
      </c>
      <c r="CD45" t="str">
        <f t="shared" si="22"/>
        <v>ROB</v>
      </c>
      <c r="CE45" t="str">
        <f t="shared" si="22"/>
        <v>VE</v>
      </c>
      <c r="CF45" t="str">
        <f t="shared" si="22"/>
        <v>VE</v>
      </c>
      <c r="CG45" t="str">
        <f t="shared" si="22"/>
        <v>VE</v>
      </c>
    </row>
    <row r="46" spans="1:85" ht="68.25" customHeight="1" x14ac:dyDescent="0.3">
      <c r="A46" s="298" t="s">
        <v>38</v>
      </c>
      <c r="B46" s="299" t="str">
        <f>'PLAN INDICATIVO'!B46</f>
        <v>Educación</v>
      </c>
      <c r="C46" s="1548"/>
      <c r="D46" s="1549"/>
      <c r="E46" s="1549"/>
      <c r="F46" s="1549"/>
      <c r="G46" s="1549"/>
      <c r="H46" s="1549"/>
      <c r="I46" s="300">
        <f>'PLAN INDICATIVO'!I46</f>
        <v>0</v>
      </c>
      <c r="J46" s="300">
        <f>'PLAN INDICATIVO'!J46</f>
        <v>0</v>
      </c>
      <c r="K46" s="1425" t="str">
        <f>'PLAN INDICATIVO'!K46</f>
        <v>A.1.4.3</v>
      </c>
      <c r="L46" s="1425" t="str">
        <f>'PLAN INDICATIVO'!L46</f>
        <v>4. Educación de calidad</v>
      </c>
      <c r="M46" s="1425" t="str">
        <f>'PLAN INDICATIVO'!M46</f>
        <v>Secretaría de Educación, Cultura, deporte y Turismo</v>
      </c>
      <c r="N46" s="1513" t="s">
        <v>5122</v>
      </c>
      <c r="O46" s="1425" t="str">
        <f>'PLAN INDICATIVO'!O46</f>
        <v>Mantenimiento</v>
      </c>
      <c r="P46" s="16" t="str">
        <f>'PLAN INDICATIVO'!P46</f>
        <v xml:space="preserve">Atender 65 rutas de transporte escolar por año en el sector urbano y rural del municipio durante el cuatrienio. </v>
      </c>
      <c r="Q46" s="302" t="str">
        <f>'PLAN INDICATIVO'!Q46</f>
        <v>No. De rutas de transporte escolar implementadas cada año</v>
      </c>
      <c r="R46" s="303">
        <f>'PLAN INDICATIVO'!R46</f>
        <v>2015</v>
      </c>
      <c r="S46" s="304">
        <v>61</v>
      </c>
      <c r="T46" s="677">
        <v>65</v>
      </c>
      <c r="U46" s="303">
        <v>65</v>
      </c>
      <c r="V46" s="687">
        <v>400</v>
      </c>
      <c r="W46" s="572">
        <v>65</v>
      </c>
      <c r="X46" s="687">
        <v>600000000</v>
      </c>
      <c r="Y46" s="572">
        <v>65</v>
      </c>
      <c r="Z46" s="687">
        <v>615000000</v>
      </c>
      <c r="AA46" s="1310">
        <v>65</v>
      </c>
      <c r="AB46" s="686">
        <v>414000000</v>
      </c>
      <c r="AC46" s="665"/>
      <c r="AD46" s="904">
        <v>83</v>
      </c>
      <c r="AE46" s="665">
        <v>86</v>
      </c>
      <c r="AF46" s="665">
        <v>89</v>
      </c>
      <c r="AG46" s="664" t="s">
        <v>5136</v>
      </c>
      <c r="AH46" s="985">
        <v>2019413960018</v>
      </c>
      <c r="AI46" s="307" t="s">
        <v>4815</v>
      </c>
      <c r="AJ46" s="309">
        <v>43497</v>
      </c>
      <c r="AK46" s="309">
        <v>43784</v>
      </c>
      <c r="AL46" s="308"/>
      <c r="AM46" s="308"/>
      <c r="AN46" s="267" t="s">
        <v>2598</v>
      </c>
      <c r="AO46" s="507"/>
      <c r="AP46" s="525"/>
      <c r="AQ46" s="310"/>
      <c r="AR46" s="310"/>
      <c r="AS46" s="310"/>
      <c r="AT46" s="310"/>
      <c r="AU46" s="310"/>
      <c r="AV46" s="310"/>
      <c r="AW46" s="544"/>
      <c r="AX46" s="525"/>
      <c r="AY46" s="310"/>
      <c r="AZ46" s="310"/>
      <c r="BA46" s="310"/>
      <c r="BB46" s="310"/>
      <c r="BC46" s="310"/>
      <c r="BD46" s="310"/>
      <c r="BE46" s="544"/>
      <c r="BF46" s="525"/>
      <c r="BG46" s="310"/>
      <c r="BH46" s="310"/>
      <c r="BI46" s="310"/>
      <c r="BJ46" s="310"/>
      <c r="BK46" s="310"/>
      <c r="BL46" s="310"/>
      <c r="BM46" s="544">
        <f t="shared" si="15"/>
        <v>0</v>
      </c>
      <c r="BN46" s="528"/>
      <c r="BO46" s="472"/>
      <c r="BP46" s="472"/>
      <c r="BQ46" s="310"/>
      <c r="BR46" s="310"/>
      <c r="BS46" s="310"/>
      <c r="BT46" s="310"/>
      <c r="BU46" s="544"/>
      <c r="BV46" s="1639"/>
      <c r="BW46" s="663">
        <f t="shared" si="7"/>
        <v>258</v>
      </c>
      <c r="BX46" s="1047">
        <f>BW46/T46</f>
        <v>3.9692307692307693</v>
      </c>
      <c r="BY46" s="1047">
        <f>IF(U46&gt;=0.1,AC46/U46,IF(ISBLANK(U46),"No Programada","Aplazada"))</f>
        <v>0</v>
      </c>
      <c r="BZ46" s="1047">
        <f>IF(W46&gt;=0.1,AD46/W46,IF(ISBLANK(W46),"No Programada","Aplazada"))</f>
        <v>1.2769230769230768</v>
      </c>
      <c r="CA46" s="1047">
        <f>IF(Y46&gt;=0.1,AE46/Y46,IF(ISBLANK(Y46),"No Programada","Aplazada"))</f>
        <v>1.323076923076923</v>
      </c>
      <c r="CB46" s="1047">
        <f>IF(AA46&gt;=0.1,AF46/AA46,IF(ISBLANK(AA46),"No Programada","Aplazada"))</f>
        <v>1.3692307692307693</v>
      </c>
      <c r="CD46" t="str">
        <f t="shared" si="22"/>
        <v>ROB</v>
      </c>
      <c r="CE46" t="str">
        <f t="shared" si="22"/>
        <v>VE</v>
      </c>
      <c r="CF46" t="str">
        <f t="shared" si="22"/>
        <v>VE</v>
      </c>
      <c r="CG46" t="str">
        <f t="shared" si="22"/>
        <v>VE</v>
      </c>
    </row>
    <row r="47" spans="1:85" ht="18.75" hidden="1" customHeight="1" thickBot="1" x14ac:dyDescent="0.3">
      <c r="A47" s="1608" t="s">
        <v>168</v>
      </c>
      <c r="B47" s="1609"/>
      <c r="C47" s="1609"/>
      <c r="D47" s="1609"/>
      <c r="E47" s="1609"/>
      <c r="F47" s="1609"/>
      <c r="G47" s="1609"/>
      <c r="H47" s="1609"/>
      <c r="I47" s="1609"/>
      <c r="J47" s="1609"/>
      <c r="K47" s="1609"/>
      <c r="L47" s="1609"/>
      <c r="M47" s="1609"/>
      <c r="N47" s="1609"/>
      <c r="O47" s="1609"/>
      <c r="P47" s="1609"/>
      <c r="Q47" s="1609"/>
      <c r="R47" s="1609"/>
      <c r="S47" s="1609"/>
      <c r="T47" s="1609"/>
      <c r="U47" s="1609"/>
      <c r="V47" s="1609"/>
      <c r="W47" s="1609"/>
      <c r="X47" s="1609"/>
      <c r="Y47" s="1609"/>
      <c r="Z47" s="1609"/>
      <c r="AA47" s="1609"/>
      <c r="AB47" s="1609"/>
      <c r="AC47" s="1609"/>
      <c r="AD47" s="1609"/>
      <c r="AE47" s="1609"/>
      <c r="AF47" s="1609"/>
      <c r="AG47" s="1609"/>
      <c r="AH47" s="1609"/>
      <c r="AI47" s="1609"/>
      <c r="AJ47" s="1609"/>
      <c r="AK47" s="1609"/>
      <c r="AL47" s="1609"/>
      <c r="AM47" s="1610"/>
      <c r="AN47" s="292"/>
      <c r="AO47" s="505"/>
      <c r="AP47" s="541"/>
      <c r="AQ47" s="542"/>
      <c r="AR47" s="542"/>
      <c r="AS47" s="542"/>
      <c r="AT47" s="542"/>
      <c r="AU47" s="542"/>
      <c r="AV47" s="542"/>
      <c r="AW47" s="543"/>
      <c r="AX47" s="541"/>
      <c r="AY47" s="542"/>
      <c r="AZ47" s="542"/>
      <c r="BA47" s="542"/>
      <c r="BB47" s="542"/>
      <c r="BC47" s="542"/>
      <c r="BD47" s="542"/>
      <c r="BE47" s="543"/>
      <c r="BF47" s="541"/>
      <c r="BG47" s="542"/>
      <c r="BH47" s="542"/>
      <c r="BI47" s="542"/>
      <c r="BJ47" s="542"/>
      <c r="BK47" s="542"/>
      <c r="BL47" s="542"/>
      <c r="BM47" s="543">
        <f t="shared" si="15"/>
        <v>0</v>
      </c>
      <c r="BN47" s="541"/>
      <c r="BO47" s="542"/>
      <c r="BP47" s="542"/>
      <c r="BQ47" s="542"/>
      <c r="BR47" s="542"/>
      <c r="BS47" s="542"/>
      <c r="BT47" s="542"/>
      <c r="BU47" s="543"/>
      <c r="BV47" s="620"/>
      <c r="BW47" s="876">
        <f t="shared" si="7"/>
        <v>0</v>
      </c>
      <c r="BX47" s="542" t="s">
        <v>2717</v>
      </c>
      <c r="BY47" s="542" t="s">
        <v>2717</v>
      </c>
      <c r="BZ47" s="542" t="s">
        <v>2717</v>
      </c>
      <c r="CA47" s="542" t="s">
        <v>2717</v>
      </c>
      <c r="CB47" s="1047" t="s">
        <v>2717</v>
      </c>
    </row>
    <row r="48" spans="1:85" ht="2.25" customHeight="1" thickBot="1" x14ac:dyDescent="0.35">
      <c r="A48" s="311"/>
      <c r="B48" s="312" t="str">
        <f>'PLAN INDICATIVO'!B48</f>
        <v>Cultura</v>
      </c>
      <c r="C48" s="312"/>
      <c r="D48" s="1444" t="s">
        <v>170</v>
      </c>
      <c r="E48" s="1444"/>
      <c r="F48" s="1444"/>
      <c r="G48" s="1444"/>
      <c r="H48" s="1444"/>
      <c r="I48" s="1444"/>
      <c r="J48" s="1444"/>
      <c r="K48" s="1444"/>
      <c r="L48" s="1444"/>
      <c r="M48" s="1444"/>
      <c r="N48" s="1444"/>
      <c r="O48" s="1444"/>
      <c r="P48" s="1434"/>
      <c r="Q48" s="1434"/>
      <c r="R48" s="1444"/>
      <c r="S48" s="313"/>
      <c r="T48" s="682"/>
      <c r="U48" s="313"/>
      <c r="V48" s="313"/>
      <c r="W48" s="313"/>
      <c r="X48" s="313"/>
      <c r="Y48" s="313"/>
      <c r="Z48" s="313"/>
      <c r="AA48" s="314"/>
      <c r="AB48" s="314"/>
      <c r="AC48" s="314"/>
      <c r="AD48" s="314"/>
      <c r="AE48" s="314"/>
      <c r="AF48" s="314"/>
      <c r="AG48" s="315"/>
      <c r="AH48" s="315"/>
      <c r="AI48" s="315"/>
      <c r="AJ48" s="314"/>
      <c r="AK48" s="314"/>
      <c r="AL48" s="314"/>
      <c r="AM48" s="314"/>
      <c r="AN48" s="268"/>
      <c r="AO48" s="508"/>
      <c r="AP48" s="525"/>
      <c r="AQ48" s="310"/>
      <c r="AR48" s="310"/>
      <c r="AS48" s="310"/>
      <c r="AT48" s="310"/>
      <c r="AU48" s="310"/>
      <c r="AV48" s="310"/>
      <c r="AW48" s="544"/>
      <c r="AX48" s="525"/>
      <c r="AY48" s="310"/>
      <c r="AZ48" s="310"/>
      <c r="BA48" s="310"/>
      <c r="BB48" s="310"/>
      <c r="BC48" s="310"/>
      <c r="BD48" s="310"/>
      <c r="BE48" s="544"/>
      <c r="BF48" s="525"/>
      <c r="BG48" s="310"/>
      <c r="BH48" s="310"/>
      <c r="BI48" s="310"/>
      <c r="BJ48" s="310"/>
      <c r="BK48" s="310"/>
      <c r="BL48" s="310"/>
      <c r="BM48" s="544">
        <f t="shared" si="15"/>
        <v>0</v>
      </c>
      <c r="BN48" s="525"/>
      <c r="BO48" s="310"/>
      <c r="BP48" s="310"/>
      <c r="BQ48" s="310"/>
      <c r="BR48" s="310"/>
      <c r="BS48" s="310"/>
      <c r="BT48" s="310"/>
      <c r="BU48" s="544"/>
      <c r="BV48" s="556"/>
      <c r="BW48" s="663">
        <f t="shared" si="7"/>
        <v>0</v>
      </c>
      <c r="BX48" s="542" t="s">
        <v>2717</v>
      </c>
      <c r="BY48" s="542" t="s">
        <v>2717</v>
      </c>
      <c r="BZ48" s="542" t="s">
        <v>2717</v>
      </c>
      <c r="CA48" s="542" t="s">
        <v>2717</v>
      </c>
      <c r="CB48" s="1047" t="s">
        <v>2717</v>
      </c>
    </row>
    <row r="49" spans="1:85" ht="27" customHeight="1" thickBot="1" x14ac:dyDescent="0.35">
      <c r="A49" s="1608" t="s">
        <v>171</v>
      </c>
      <c r="B49" s="1609"/>
      <c r="C49" s="1609"/>
      <c r="D49" s="1609"/>
      <c r="E49" s="1609"/>
      <c r="F49" s="1609"/>
      <c r="G49" s="1609"/>
      <c r="H49" s="1609"/>
      <c r="I49" s="1609"/>
      <c r="J49" s="1609"/>
      <c r="K49" s="1609"/>
      <c r="L49" s="1609"/>
      <c r="M49" s="1609"/>
      <c r="N49" s="1609"/>
      <c r="O49" s="1609"/>
      <c r="P49" s="1609"/>
      <c r="Q49" s="1609"/>
      <c r="R49" s="1609"/>
      <c r="S49" s="1609"/>
      <c r="T49" s="1609"/>
      <c r="U49" s="1609"/>
      <c r="V49" s="1609"/>
      <c r="W49" s="1609"/>
      <c r="X49" s="1609"/>
      <c r="Y49" s="1609"/>
      <c r="Z49" s="1609"/>
      <c r="AA49" s="1609"/>
      <c r="AB49" s="1609"/>
      <c r="AC49" s="1609"/>
      <c r="AD49" s="1609"/>
      <c r="AE49" s="1609"/>
      <c r="AF49" s="1609"/>
      <c r="AG49" s="1609"/>
      <c r="AH49" s="1609"/>
      <c r="AI49" s="1609"/>
      <c r="AJ49" s="1609"/>
      <c r="AK49" s="1609"/>
      <c r="AL49" s="1609"/>
      <c r="AM49" s="1610"/>
      <c r="AN49" s="435"/>
      <c r="AO49" s="660"/>
      <c r="AP49" s="541"/>
      <c r="AQ49" s="541"/>
      <c r="AR49" s="541"/>
      <c r="AS49" s="541"/>
      <c r="AT49" s="541"/>
      <c r="AU49" s="541"/>
      <c r="AV49" s="541"/>
      <c r="AW49" s="543"/>
      <c r="AX49" s="541"/>
      <c r="AY49" s="542"/>
      <c r="AZ49" s="542"/>
      <c r="BA49" s="542"/>
      <c r="BB49" s="542"/>
      <c r="BC49" s="542"/>
      <c r="BD49" s="542"/>
      <c r="BE49" s="543"/>
      <c r="BF49" s="541"/>
      <c r="BG49" s="542"/>
      <c r="BH49" s="542"/>
      <c r="BI49" s="542"/>
      <c r="BJ49" s="542"/>
      <c r="BK49" s="542"/>
      <c r="BL49" s="542"/>
      <c r="BM49" s="543">
        <f t="shared" si="15"/>
        <v>0</v>
      </c>
      <c r="BN49" s="541"/>
      <c r="BO49" s="542"/>
      <c r="BP49" s="542"/>
      <c r="BQ49" s="542"/>
      <c r="BR49" s="542"/>
      <c r="BS49" s="542"/>
      <c r="BT49" s="542"/>
      <c r="BU49" s="543"/>
      <c r="BV49" s="620"/>
      <c r="BW49" s="663">
        <f t="shared" si="7"/>
        <v>0</v>
      </c>
      <c r="BX49" s="660" t="s">
        <v>2717</v>
      </c>
      <c r="BY49" s="660" t="s">
        <v>2717</v>
      </c>
      <c r="BZ49" s="660" t="s">
        <v>2717</v>
      </c>
      <c r="CA49" s="660" t="s">
        <v>2717</v>
      </c>
      <c r="CB49" s="1047" t="s">
        <v>2717</v>
      </c>
    </row>
    <row r="50" spans="1:85" ht="30.75" customHeight="1" x14ac:dyDescent="0.3">
      <c r="A50" s="296"/>
      <c r="B50" s="331"/>
      <c r="C50" s="1592" t="s">
        <v>172</v>
      </c>
      <c r="D50" s="1593"/>
      <c r="E50" s="1593"/>
      <c r="F50" s="1593"/>
      <c r="G50" s="1593"/>
      <c r="H50" s="1593"/>
      <c r="I50" s="1593"/>
      <c r="J50" s="1593"/>
      <c r="K50" s="1593"/>
      <c r="L50" s="1593"/>
      <c r="M50" s="1593"/>
      <c r="N50" s="1593"/>
      <c r="O50" s="1594"/>
      <c r="P50" s="318"/>
      <c r="Q50" s="318"/>
      <c r="R50" s="317"/>
      <c r="S50" s="319"/>
      <c r="T50" s="676"/>
      <c r="U50" s="319"/>
      <c r="V50" s="695">
        <f>SUM(V51:V73)</f>
        <v>137000000</v>
      </c>
      <c r="W50" s="319"/>
      <c r="X50" s="695">
        <f>SUM(X51:X73)</f>
        <v>145000000</v>
      </c>
      <c r="Y50" s="319"/>
      <c r="Z50" s="695">
        <f>SUM(Z51:Z73)</f>
        <v>138000000</v>
      </c>
      <c r="AA50" s="320"/>
      <c r="AB50" s="708">
        <f>SUM(AB51:AB73)</f>
        <v>288000000</v>
      </c>
      <c r="AC50" s="320"/>
      <c r="AD50" s="320"/>
      <c r="AE50" s="320"/>
      <c r="AF50" s="320"/>
      <c r="AG50" s="321"/>
      <c r="AH50" s="321"/>
      <c r="AI50" s="321"/>
      <c r="AJ50" s="320"/>
      <c r="AK50" s="320"/>
      <c r="AL50" s="320"/>
      <c r="AM50" s="320"/>
      <c r="AN50" s="262"/>
      <c r="AO50" s="615"/>
      <c r="AP50" s="616"/>
      <c r="AQ50" s="616"/>
      <c r="AR50" s="616"/>
      <c r="AS50" s="616"/>
      <c r="AT50" s="616"/>
      <c r="AU50" s="616"/>
      <c r="AV50" s="616"/>
      <c r="AW50" s="617"/>
      <c r="AX50" s="616"/>
      <c r="AY50" s="616"/>
      <c r="AZ50" s="616"/>
      <c r="BA50" s="616"/>
      <c r="BB50" s="616"/>
      <c r="BC50" s="616"/>
      <c r="BD50" s="616"/>
      <c r="BE50" s="617"/>
      <c r="BF50" s="616"/>
      <c r="BG50" s="616"/>
      <c r="BH50" s="616"/>
      <c r="BI50" s="616"/>
      <c r="BJ50" s="616"/>
      <c r="BK50" s="616"/>
      <c r="BL50" s="616"/>
      <c r="BM50" s="617">
        <f t="shared" si="15"/>
        <v>0</v>
      </c>
      <c r="BN50" s="616"/>
      <c r="BO50" s="616"/>
      <c r="BP50" s="616"/>
      <c r="BQ50" s="616"/>
      <c r="BR50" s="616"/>
      <c r="BS50" s="616"/>
      <c r="BT50" s="616"/>
      <c r="BU50" s="617"/>
      <c r="BV50" s="556"/>
      <c r="BW50" s="663">
        <f t="shared" si="7"/>
        <v>0</v>
      </c>
      <c r="BX50" s="616" t="s">
        <v>2717</v>
      </c>
      <c r="BY50" s="616" t="s">
        <v>2717</v>
      </c>
      <c r="BZ50" s="616" t="s">
        <v>2717</v>
      </c>
      <c r="CA50" s="616" t="s">
        <v>2717</v>
      </c>
      <c r="CB50" s="1047" t="s">
        <v>2717</v>
      </c>
    </row>
    <row r="51" spans="1:85" ht="74.25" customHeight="1" x14ac:dyDescent="0.3">
      <c r="A51" s="298" t="s">
        <v>173</v>
      </c>
      <c r="B51" s="299" t="str">
        <f>'PLAN INDICATIVO'!B51</f>
        <v>Cultura</v>
      </c>
      <c r="C51" s="1546" t="s">
        <v>174</v>
      </c>
      <c r="D51" s="1550" t="s">
        <v>175</v>
      </c>
      <c r="E51" s="1550" t="s">
        <v>176</v>
      </c>
      <c r="F51" s="1550">
        <v>2015</v>
      </c>
      <c r="G51" s="1550" t="s">
        <v>177</v>
      </c>
      <c r="H51" s="1550">
        <v>10</v>
      </c>
      <c r="I51" s="332">
        <f>'PLAN INDICATIVO'!I51</f>
        <v>0</v>
      </c>
      <c r="J51" s="332">
        <f>'PLAN INDICATIVO'!J51</f>
        <v>0</v>
      </c>
      <c r="K51" s="1429" t="str">
        <f>'PLAN INDICATIVO'!K51</f>
        <v>A.5.1.1</v>
      </c>
      <c r="L51" s="1429" t="str">
        <f>'PLAN INDICATIVO'!L51</f>
        <v>11. Ciudades y comunidades sostenibles</v>
      </c>
      <c r="M51" s="1429" t="str">
        <f>'PLAN INDICATIVO'!M51</f>
        <v>Secretaría de Educación, Cultura, deporte y Turismo</v>
      </c>
      <c r="N51" s="1513" t="s">
        <v>5122</v>
      </c>
      <c r="O51" s="1429" t="str">
        <f>'PLAN INDICATIVO'!O51</f>
        <v>Incremento</v>
      </c>
      <c r="P51" s="74" t="str">
        <f>'PLAN INDICATIVO'!P51</f>
        <v xml:space="preserve">Vincular 3.200 Personas al Programa de Escuelas de Formación Artística en el municipio durante el cuatrienio. </v>
      </c>
      <c r="Q51" s="333" t="str">
        <f>'PLAN INDICATIVO'!Q51</f>
        <v>Número  personas vinculadas en el cuatrienio</v>
      </c>
      <c r="R51" s="334" t="str">
        <f>'PLAN INDICATIVO'!R51</f>
        <v>2012/2015</v>
      </c>
      <c r="S51" s="304">
        <v>2049</v>
      </c>
      <c r="T51" s="677">
        <v>3200</v>
      </c>
      <c r="U51" s="303">
        <v>800</v>
      </c>
      <c r="V51" s="687">
        <v>17000000</v>
      </c>
      <c r="W51" s="572">
        <v>800</v>
      </c>
      <c r="X51" s="687">
        <v>17000000</v>
      </c>
      <c r="Y51" s="572">
        <v>800</v>
      </c>
      <c r="Z51" s="687">
        <v>20000000</v>
      </c>
      <c r="AA51" s="1310">
        <v>800</v>
      </c>
      <c r="AB51" s="686">
        <v>10800000</v>
      </c>
      <c r="AC51" s="665"/>
      <c r="AD51" s="665">
        <v>800</v>
      </c>
      <c r="AE51" s="665">
        <v>800</v>
      </c>
      <c r="AF51" s="665">
        <v>800</v>
      </c>
      <c r="AG51" s="306" t="s">
        <v>5137</v>
      </c>
      <c r="AH51" s="987">
        <v>2019413960014</v>
      </c>
      <c r="AI51" s="1007" t="s">
        <v>4920</v>
      </c>
      <c r="AJ51" s="309">
        <v>43497</v>
      </c>
      <c r="AK51" s="309">
        <v>43799</v>
      </c>
      <c r="AL51" s="308"/>
      <c r="AM51" s="308"/>
      <c r="AN51" s="267" t="s">
        <v>2604</v>
      </c>
      <c r="AO51" s="508"/>
      <c r="AP51" s="310"/>
      <c r="AQ51" s="310"/>
      <c r="AR51" s="310"/>
      <c r="AS51" s="310"/>
      <c r="AT51" s="310"/>
      <c r="AU51" s="310"/>
      <c r="AV51" s="310"/>
      <c r="AW51" s="544"/>
      <c r="AX51" s="525"/>
      <c r="AY51" s="310"/>
      <c r="AZ51" s="310"/>
      <c r="BA51" s="310"/>
      <c r="BB51" s="310"/>
      <c r="BC51" s="310"/>
      <c r="BD51" s="310"/>
      <c r="BE51" s="544"/>
      <c r="BF51" s="310"/>
      <c r="BG51" s="310"/>
      <c r="BH51" s="310"/>
      <c r="BI51" s="310"/>
      <c r="BJ51" s="310"/>
      <c r="BK51" s="310"/>
      <c r="BL51" s="310"/>
      <c r="BM51" s="544">
        <f t="shared" si="15"/>
        <v>0</v>
      </c>
      <c r="BN51" s="1505"/>
      <c r="BO51" s="1505"/>
      <c r="BP51" s="1506"/>
      <c r="BQ51" s="1506"/>
      <c r="BR51" s="1506"/>
      <c r="BS51" s="1506"/>
      <c r="BT51" s="310"/>
      <c r="BU51" s="544"/>
      <c r="BV51" s="556"/>
      <c r="BW51" s="663">
        <f t="shared" si="7"/>
        <v>2400</v>
      </c>
      <c r="BX51" s="1047">
        <f t="shared" ref="BX51:BX73" si="23">BW51/T51</f>
        <v>0.75</v>
      </c>
      <c r="BY51" s="1047">
        <f t="shared" ref="BY51:BY73" si="24">IF(U51&gt;=0.1,AC51/U51,IF(ISBLANK(U51),"No Programada","Aplazada"))</f>
        <v>0</v>
      </c>
      <c r="BZ51" s="1047">
        <f t="shared" ref="BZ51:BZ73" si="25">IF(W51&gt;=0.1,AD51/W51,IF(ISBLANK(W51),"No Programada","Aplazada"))</f>
        <v>1</v>
      </c>
      <c r="CA51" s="1047">
        <f t="shared" ref="CA51:CA73" si="26">IF(Y51&gt;=0.1,AE51/Y51,IF(ISBLANK(Y51),"No Programada","Aplazada"))</f>
        <v>1</v>
      </c>
      <c r="CB51" s="1047">
        <f t="shared" ref="CB51:CB73" si="27">IF(AA51&gt;=0.1,AF51/AA51,IF(ISBLANK(AA51),"No Programada","Aplazada"))</f>
        <v>1</v>
      </c>
      <c r="CD51" t="str">
        <f t="shared" ref="CD51:CG73" si="28">IF(BY51="PARA MODIFICAR","M",IF(BY51="PARA ELIMINAR","E",IF(BY51="aplazada","AZ",IF(BY51="no programada","NP",IF(BY51&gt;=85%,"VE",IF(BY51&gt;70%,"VEB",IF(BY51&gt;60%,"AM",IF(BY51&gt;40%,"AMB",IF(BY51&gt;20%,"RO",IF(BY51&gt;=0%,"ROB",""))))))))))</f>
        <v>ROB</v>
      </c>
      <c r="CE51" t="str">
        <f t="shared" si="28"/>
        <v>VE</v>
      </c>
      <c r="CF51" t="str">
        <f t="shared" si="28"/>
        <v>VE</v>
      </c>
      <c r="CG51" t="str">
        <f t="shared" si="28"/>
        <v>VE</v>
      </c>
    </row>
    <row r="52" spans="1:85" ht="81.75" customHeight="1" x14ac:dyDescent="0.3">
      <c r="A52" s="298" t="s">
        <v>173</v>
      </c>
      <c r="B52" s="299" t="str">
        <f>'PLAN INDICATIVO'!B52</f>
        <v>Cultura</v>
      </c>
      <c r="C52" s="1547"/>
      <c r="D52" s="1551"/>
      <c r="E52" s="1551"/>
      <c r="F52" s="1551"/>
      <c r="G52" s="1551"/>
      <c r="H52" s="1551"/>
      <c r="I52" s="332">
        <f>'PLAN INDICATIVO'!I52</f>
        <v>0</v>
      </c>
      <c r="J52" s="332">
        <f>'PLAN INDICATIVO'!J52</f>
        <v>0</v>
      </c>
      <c r="K52" s="1429" t="str">
        <f>'PLAN INDICATIVO'!K52</f>
        <v>A.5.1.2</v>
      </c>
      <c r="L52" s="1429" t="str">
        <f>'PLAN INDICATIVO'!L52</f>
        <v>11. Ciudades y comunidades sostenibles</v>
      </c>
      <c r="M52" s="1429" t="str">
        <f>'PLAN INDICATIVO'!M52</f>
        <v>Secretaría de Educación, Cultura, deporte y Turismo</v>
      </c>
      <c r="N52" s="1513" t="s">
        <v>5122</v>
      </c>
      <c r="O52" s="1429" t="str">
        <f>'PLAN INDICATIVO'!O52</f>
        <v>Incremento</v>
      </c>
      <c r="P52" s="74" t="str">
        <f>'PLAN INDICATIVO'!P52</f>
        <v>Realizar 8 Capacitaciones dirigidas a Formadores Artísticos durante el cuatrienio</v>
      </c>
      <c r="Q52" s="333" t="str">
        <f>'PLAN INDICATIVO'!Q52</f>
        <v>No. De capacitaciones realizadas en el cuatrienio</v>
      </c>
      <c r="R52" s="334">
        <f>'PLAN INDICATIVO'!R52</f>
        <v>2015</v>
      </c>
      <c r="S52" s="304">
        <v>0</v>
      </c>
      <c r="T52" s="677">
        <v>8</v>
      </c>
      <c r="U52" s="303">
        <v>2</v>
      </c>
      <c r="V52" s="687">
        <v>2000000</v>
      </c>
      <c r="W52" s="572">
        <v>2</v>
      </c>
      <c r="X52" s="687">
        <v>500000</v>
      </c>
      <c r="Y52" s="572">
        <v>2</v>
      </c>
      <c r="Z52" s="687">
        <v>500000</v>
      </c>
      <c r="AA52" s="1310">
        <v>2</v>
      </c>
      <c r="AB52" s="686">
        <v>1200000</v>
      </c>
      <c r="AC52" s="665"/>
      <c r="AD52" s="665">
        <v>2</v>
      </c>
      <c r="AE52" s="665">
        <f>1+1</f>
        <v>2</v>
      </c>
      <c r="AF52" s="665">
        <v>2</v>
      </c>
      <c r="AG52" s="306" t="s">
        <v>5137</v>
      </c>
      <c r="AH52" s="987">
        <v>2019413960014</v>
      </c>
      <c r="AI52" s="1007" t="s">
        <v>5083</v>
      </c>
      <c r="AJ52" s="309">
        <v>43497</v>
      </c>
      <c r="AK52" s="309">
        <v>43770</v>
      </c>
      <c r="AL52" s="308"/>
      <c r="AM52" s="308"/>
      <c r="AN52" s="267" t="s">
        <v>2598</v>
      </c>
      <c r="AO52" s="508"/>
      <c r="AP52" s="526"/>
      <c r="AQ52" s="470"/>
      <c r="AR52" s="470"/>
      <c r="AS52" s="470"/>
      <c r="AT52" s="470"/>
      <c r="AU52" s="470"/>
      <c r="AV52" s="470"/>
      <c r="AW52" s="544"/>
      <c r="AX52" s="526"/>
      <c r="AY52" s="470"/>
      <c r="AZ52" s="470"/>
      <c r="BA52" s="470"/>
      <c r="BB52" s="470"/>
      <c r="BC52" s="470"/>
      <c r="BD52" s="470"/>
      <c r="BE52" s="544"/>
      <c r="BF52" s="526"/>
      <c r="BG52" s="470"/>
      <c r="BH52" s="470"/>
      <c r="BI52" s="470"/>
      <c r="BJ52" s="470"/>
      <c r="BK52" s="470"/>
      <c r="BL52" s="470"/>
      <c r="BM52" s="544">
        <f t="shared" si="15"/>
        <v>0</v>
      </c>
      <c r="BN52" s="1507"/>
      <c r="BO52" s="1508"/>
      <c r="BP52" s="1509"/>
      <c r="BQ52" s="1509"/>
      <c r="BR52" s="1509"/>
      <c r="BS52" s="1509"/>
      <c r="BT52" s="470"/>
      <c r="BU52" s="544"/>
      <c r="BV52" s="556"/>
      <c r="BW52" s="663">
        <f t="shared" si="7"/>
        <v>6</v>
      </c>
      <c r="BX52" s="1047">
        <f t="shared" si="23"/>
        <v>0.75</v>
      </c>
      <c r="BY52" s="1047">
        <f t="shared" si="24"/>
        <v>0</v>
      </c>
      <c r="BZ52" s="1047">
        <f t="shared" si="25"/>
        <v>1</v>
      </c>
      <c r="CA52" s="1047">
        <f t="shared" si="26"/>
        <v>1</v>
      </c>
      <c r="CB52" s="1047">
        <f t="shared" si="27"/>
        <v>1</v>
      </c>
      <c r="CD52" t="str">
        <f t="shared" si="28"/>
        <v>ROB</v>
      </c>
      <c r="CE52" t="str">
        <f t="shared" si="28"/>
        <v>VE</v>
      </c>
      <c r="CF52" t="str">
        <f t="shared" si="28"/>
        <v>VE</v>
      </c>
      <c r="CG52" t="str">
        <f t="shared" si="28"/>
        <v>VE</v>
      </c>
    </row>
    <row r="53" spans="1:85" ht="113.25" customHeight="1" x14ac:dyDescent="0.3">
      <c r="A53" s="298" t="s">
        <v>173</v>
      </c>
      <c r="B53" s="299" t="str">
        <f>'PLAN INDICATIVO'!B53</f>
        <v>Cultura</v>
      </c>
      <c r="C53" s="1547"/>
      <c r="D53" s="1551"/>
      <c r="E53" s="1551"/>
      <c r="F53" s="1551"/>
      <c r="G53" s="1551"/>
      <c r="H53" s="1551"/>
      <c r="I53" s="332">
        <f>'PLAN INDICATIVO'!I53</f>
        <v>0</v>
      </c>
      <c r="J53" s="332" t="str">
        <f>'PLAN INDICATIVO'!J53</f>
        <v>SI</v>
      </c>
      <c r="K53" s="1429" t="str">
        <f>'PLAN INDICATIVO'!K53</f>
        <v>A.5.1.3</v>
      </c>
      <c r="L53" s="1429" t="str">
        <f>'PLAN INDICATIVO'!L53</f>
        <v>11. Ciudades y comunidades sostenibles</v>
      </c>
      <c r="M53" s="1429" t="str">
        <f>'PLAN INDICATIVO'!M53</f>
        <v>Secretaría de Educación, Cultura, deporte y Turismo</v>
      </c>
      <c r="N53" s="1513" t="s">
        <v>5122</v>
      </c>
      <c r="O53" s="1429" t="str">
        <f>'PLAN INDICATIVO'!O53</f>
        <v>Mantenimiento</v>
      </c>
      <c r="P53" s="74" t="str">
        <f>'PLAN INDICATIVO'!P53</f>
        <v>Implementar 1 programa de formación cultural y artística apoyados con instructores y dotación cada año</v>
      </c>
      <c r="Q53" s="333" t="str">
        <f>'PLAN INDICATIVO'!Q53</f>
        <v>No. De programas implementados por año</v>
      </c>
      <c r="R53" s="334">
        <f>'PLAN INDICATIVO'!R53</f>
        <v>2015</v>
      </c>
      <c r="S53" s="304">
        <v>1</v>
      </c>
      <c r="T53" s="677">
        <v>4</v>
      </c>
      <c r="U53" s="303">
        <v>1</v>
      </c>
      <c r="V53" s="687">
        <v>8000000</v>
      </c>
      <c r="W53" s="572">
        <v>1</v>
      </c>
      <c r="X53" s="687">
        <v>44000000</v>
      </c>
      <c r="Y53" s="572">
        <v>1</v>
      </c>
      <c r="Z53" s="687">
        <v>46000000</v>
      </c>
      <c r="AA53" s="1310">
        <v>1</v>
      </c>
      <c r="AB53" s="686">
        <v>10800000</v>
      </c>
      <c r="AC53" s="665"/>
      <c r="AD53" s="665">
        <v>1</v>
      </c>
      <c r="AE53" s="665">
        <f>1+1</f>
        <v>2</v>
      </c>
      <c r="AF53" s="665">
        <v>1</v>
      </c>
      <c r="AG53" s="306" t="s">
        <v>5137</v>
      </c>
      <c r="AH53" s="987">
        <v>2019413960014</v>
      </c>
      <c r="AI53" s="1007" t="s">
        <v>4816</v>
      </c>
      <c r="AJ53" s="309">
        <v>43497</v>
      </c>
      <c r="AK53" s="309">
        <v>43799</v>
      </c>
      <c r="AL53" s="308"/>
      <c r="AM53" s="308"/>
      <c r="AN53" s="267" t="s">
        <v>2598</v>
      </c>
      <c r="AO53" s="508"/>
      <c r="AP53" s="310"/>
      <c r="AQ53" s="310"/>
      <c r="AR53" s="310"/>
      <c r="AS53" s="310"/>
      <c r="AT53" s="310"/>
      <c r="AU53" s="310"/>
      <c r="AV53" s="310"/>
      <c r="AW53" s="544"/>
      <c r="AX53" s="525"/>
      <c r="AY53" s="310"/>
      <c r="AZ53" s="310"/>
      <c r="BA53" s="310"/>
      <c r="BB53" s="310"/>
      <c r="BC53" s="310"/>
      <c r="BD53" s="310"/>
      <c r="BE53" s="544"/>
      <c r="BF53" s="310"/>
      <c r="BG53" s="310"/>
      <c r="BH53" s="310"/>
      <c r="BI53" s="310"/>
      <c r="BJ53" s="310"/>
      <c r="BK53" s="310"/>
      <c r="BL53" s="310"/>
      <c r="BM53" s="544">
        <f t="shared" si="15"/>
        <v>0</v>
      </c>
      <c r="BN53" s="1505"/>
      <c r="BO53" s="1505"/>
      <c r="BP53" s="1506"/>
      <c r="BQ53" s="1506"/>
      <c r="BR53" s="1506"/>
      <c r="BS53" s="1506"/>
      <c r="BT53" s="310"/>
      <c r="BU53" s="544"/>
      <c r="BV53" s="556"/>
      <c r="BW53" s="663">
        <f t="shared" si="7"/>
        <v>4</v>
      </c>
      <c r="BX53" s="1047">
        <f t="shared" si="23"/>
        <v>1</v>
      </c>
      <c r="BY53" s="1047">
        <f t="shared" si="24"/>
        <v>0</v>
      </c>
      <c r="BZ53" s="1047">
        <f t="shared" si="25"/>
        <v>1</v>
      </c>
      <c r="CA53" s="1047">
        <f t="shared" si="26"/>
        <v>2</v>
      </c>
      <c r="CB53" s="1047">
        <f t="shared" si="27"/>
        <v>1</v>
      </c>
      <c r="CD53" t="str">
        <f t="shared" si="28"/>
        <v>ROB</v>
      </c>
      <c r="CE53" t="str">
        <f t="shared" si="28"/>
        <v>VE</v>
      </c>
      <c r="CF53" t="str">
        <f t="shared" si="28"/>
        <v>VE</v>
      </c>
      <c r="CG53" t="str">
        <f t="shared" si="28"/>
        <v>VE</v>
      </c>
    </row>
    <row r="54" spans="1:85" ht="72" customHeight="1" x14ac:dyDescent="0.3">
      <c r="A54" s="298" t="s">
        <v>173</v>
      </c>
      <c r="B54" s="299" t="str">
        <f>'PLAN INDICATIVO'!B54</f>
        <v>Cultura</v>
      </c>
      <c r="C54" s="1547"/>
      <c r="D54" s="1551"/>
      <c r="E54" s="1551"/>
      <c r="F54" s="1551"/>
      <c r="G54" s="1551"/>
      <c r="H54" s="1551"/>
      <c r="I54" s="332">
        <f>'PLAN INDICATIVO'!I54</f>
        <v>0</v>
      </c>
      <c r="J54" s="332">
        <f>'PLAN INDICATIVO'!J54</f>
        <v>0</v>
      </c>
      <c r="K54" s="1429" t="str">
        <f>'PLAN INDICATIVO'!K54</f>
        <v>A.5.1.4</v>
      </c>
      <c r="L54" s="1429" t="str">
        <f>'PLAN INDICATIVO'!L54</f>
        <v>11. Ciudades y comunidades sostenibles</v>
      </c>
      <c r="M54" s="1429" t="str">
        <f>'PLAN INDICATIVO'!M54</f>
        <v>Secretaría de Educación, Cultura, deporte y Turismo</v>
      </c>
      <c r="N54" s="1513" t="s">
        <v>5122</v>
      </c>
      <c r="O54" s="1429" t="str">
        <f>'PLAN INDICATIVO'!O54</f>
        <v>Incremento</v>
      </c>
      <c r="P54" s="74" t="str">
        <f>'PLAN INDICATIVO'!P54</f>
        <v>Mantener 40 Vigías culturales vinculados a programa de conservación del patrimonio cultural material e inmaterial del municipio durante el cuatrienio</v>
      </c>
      <c r="Q54" s="333" t="str">
        <f>'PLAN INDICATIVO'!Q54</f>
        <v>No. De vigías vinculados durante el cuatrienio</v>
      </c>
      <c r="R54" s="334">
        <f>'PLAN INDICATIVO'!R54</f>
        <v>2015</v>
      </c>
      <c r="S54" s="304">
        <v>0</v>
      </c>
      <c r="T54" s="677">
        <v>40</v>
      </c>
      <c r="U54" s="303">
        <v>10</v>
      </c>
      <c r="V54" s="687">
        <v>1000000</v>
      </c>
      <c r="W54" s="572">
        <v>10</v>
      </c>
      <c r="X54" s="687">
        <v>2000000</v>
      </c>
      <c r="Y54" s="572">
        <v>10</v>
      </c>
      <c r="Z54" s="687">
        <v>2000000</v>
      </c>
      <c r="AA54" s="1310">
        <v>13</v>
      </c>
      <c r="AB54" s="686">
        <v>5000000</v>
      </c>
      <c r="AC54" s="665"/>
      <c r="AD54" s="665">
        <v>10</v>
      </c>
      <c r="AE54" s="665">
        <v>12</v>
      </c>
      <c r="AF54" s="665">
        <v>12</v>
      </c>
      <c r="AG54" s="306" t="s">
        <v>5137</v>
      </c>
      <c r="AH54" s="987">
        <v>2019413960014</v>
      </c>
      <c r="AI54" s="1007" t="s">
        <v>4817</v>
      </c>
      <c r="AJ54" s="309">
        <v>43497</v>
      </c>
      <c r="AK54" s="309">
        <v>43799</v>
      </c>
      <c r="AL54" s="308"/>
      <c r="AM54" s="308"/>
      <c r="AN54" s="267" t="s">
        <v>2598</v>
      </c>
      <c r="AO54" s="508"/>
      <c r="AP54" s="525"/>
      <c r="AQ54" s="310"/>
      <c r="AR54" s="310"/>
      <c r="AS54" s="310"/>
      <c r="AT54" s="310"/>
      <c r="AU54" s="310"/>
      <c r="AV54" s="310"/>
      <c r="AW54" s="544"/>
      <c r="AX54" s="525"/>
      <c r="AY54" s="310"/>
      <c r="AZ54" s="310"/>
      <c r="BA54" s="310"/>
      <c r="BB54" s="310"/>
      <c r="BC54" s="310"/>
      <c r="BD54" s="310"/>
      <c r="BE54" s="544"/>
      <c r="BF54" s="525"/>
      <c r="BG54" s="310"/>
      <c r="BH54" s="310"/>
      <c r="BI54" s="310"/>
      <c r="BJ54" s="310"/>
      <c r="BK54" s="310"/>
      <c r="BL54" s="310"/>
      <c r="BM54" s="544">
        <f t="shared" si="15"/>
        <v>0</v>
      </c>
      <c r="BN54" s="1510"/>
      <c r="BO54" s="1505"/>
      <c r="BP54" s="1506"/>
      <c r="BQ54" s="1506"/>
      <c r="BR54" s="1506"/>
      <c r="BS54" s="1506"/>
      <c r="BT54" s="310"/>
      <c r="BU54" s="544"/>
      <c r="BV54" s="556"/>
      <c r="BW54" s="663">
        <f t="shared" si="7"/>
        <v>34</v>
      </c>
      <c r="BX54" s="1047">
        <f t="shared" si="23"/>
        <v>0.85</v>
      </c>
      <c r="BY54" s="1047">
        <f t="shared" si="24"/>
        <v>0</v>
      </c>
      <c r="BZ54" s="1047">
        <f t="shared" si="25"/>
        <v>1</v>
      </c>
      <c r="CA54" s="1047">
        <f t="shared" si="26"/>
        <v>1.2</v>
      </c>
      <c r="CB54" s="1047">
        <f t="shared" si="27"/>
        <v>0.92307692307692313</v>
      </c>
      <c r="CD54" t="str">
        <f t="shared" si="28"/>
        <v>ROB</v>
      </c>
      <c r="CE54" t="str">
        <f t="shared" si="28"/>
        <v>VE</v>
      </c>
      <c r="CF54" t="str">
        <f t="shared" si="28"/>
        <v>VE</v>
      </c>
      <c r="CG54" t="str">
        <f t="shared" si="28"/>
        <v>VE</v>
      </c>
    </row>
    <row r="55" spans="1:85" ht="45" customHeight="1" x14ac:dyDescent="0.3">
      <c r="A55" s="298" t="s">
        <v>173</v>
      </c>
      <c r="B55" s="299" t="str">
        <f>'PLAN INDICATIVO'!B55</f>
        <v>Cultura</v>
      </c>
      <c r="C55" s="1547"/>
      <c r="D55" s="1551"/>
      <c r="E55" s="1551"/>
      <c r="F55" s="1551"/>
      <c r="G55" s="1551"/>
      <c r="H55" s="1551"/>
      <c r="I55" s="332">
        <f>'PLAN INDICATIVO'!I55</f>
        <v>0</v>
      </c>
      <c r="J55" s="332" t="str">
        <f>'PLAN INDICATIVO'!J55</f>
        <v>SI</v>
      </c>
      <c r="K55" s="1429" t="str">
        <f>'PLAN INDICATIVO'!K55</f>
        <v>A.5.1.5</v>
      </c>
      <c r="L55" s="1429" t="str">
        <f>'PLAN INDICATIVO'!L55</f>
        <v>11. Ciudades y comunidades sostenibles</v>
      </c>
      <c r="M55" s="1429" t="str">
        <f>'PLAN INDICATIVO'!M55</f>
        <v>Secretaría de Educación, Cultura, deporte y Turismo</v>
      </c>
      <c r="N55" s="1513" t="s">
        <v>5122</v>
      </c>
      <c r="O55" s="1429" t="str">
        <f>'PLAN INDICATIVO'!O55</f>
        <v>Mantenimiento</v>
      </c>
      <c r="P55" s="1200" t="str">
        <f>'PLAN INDICATIVO'!P55</f>
        <v>Realizar una capacitación de apoyo que fomente el  reconocimiento y legalización a los diferentes grupos culturales del municipio durante el cuatrienio</v>
      </c>
      <c r="Q55" s="333" t="str">
        <f>'PLAN INDICATIVO'!Q55</f>
        <v>No. De convenios suscritos por año</v>
      </c>
      <c r="R55" s="334">
        <f>'PLAN INDICATIVO'!R55</f>
        <v>2015</v>
      </c>
      <c r="S55" s="304">
        <v>0</v>
      </c>
      <c r="T55" s="677">
        <v>1</v>
      </c>
      <c r="U55" s="303">
        <v>1</v>
      </c>
      <c r="V55" s="687">
        <v>1000000</v>
      </c>
      <c r="W55" s="572">
        <v>1</v>
      </c>
      <c r="X55" s="687">
        <v>500000</v>
      </c>
      <c r="Y55" s="572"/>
      <c r="Z55" s="687">
        <v>500000</v>
      </c>
      <c r="AA55" s="1310"/>
      <c r="AB55" s="686">
        <v>5000000</v>
      </c>
      <c r="AC55" s="665"/>
      <c r="AD55" s="665">
        <v>1</v>
      </c>
      <c r="AE55" s="665"/>
      <c r="AF55" s="665">
        <v>1</v>
      </c>
      <c r="AG55" s="306" t="s">
        <v>5137</v>
      </c>
      <c r="AH55" s="987">
        <v>2019413960014</v>
      </c>
      <c r="AI55" s="1007"/>
      <c r="AJ55" s="309">
        <v>43497</v>
      </c>
      <c r="AK55" s="309">
        <v>43799</v>
      </c>
      <c r="AL55" s="308"/>
      <c r="AM55" s="308"/>
      <c r="AN55" s="267" t="s">
        <v>2604</v>
      </c>
      <c r="AO55" s="508"/>
      <c r="AP55" s="526"/>
      <c r="AQ55" s="470"/>
      <c r="AR55" s="310"/>
      <c r="AS55" s="310"/>
      <c r="AT55" s="470"/>
      <c r="AU55" s="470"/>
      <c r="AV55" s="470"/>
      <c r="AW55" s="544"/>
      <c r="AX55" s="526"/>
      <c r="AY55" s="470"/>
      <c r="AZ55" s="470"/>
      <c r="BA55" s="470"/>
      <c r="BB55" s="470"/>
      <c r="BC55" s="470"/>
      <c r="BD55" s="470"/>
      <c r="BE55" s="544"/>
      <c r="BF55" s="526"/>
      <c r="BG55" s="470"/>
      <c r="BH55" s="310"/>
      <c r="BI55" s="310"/>
      <c r="BJ55" s="470"/>
      <c r="BK55" s="470"/>
      <c r="BL55" s="470"/>
      <c r="BM55" s="544">
        <f t="shared" si="15"/>
        <v>0</v>
      </c>
      <c r="BN55" s="1507"/>
      <c r="BO55" s="1508"/>
      <c r="BP55" s="1506"/>
      <c r="BQ55" s="1506"/>
      <c r="BR55" s="1509"/>
      <c r="BS55" s="1509"/>
      <c r="BT55" s="470"/>
      <c r="BU55" s="544"/>
      <c r="BV55" s="556"/>
      <c r="BW55" s="663">
        <f t="shared" si="7"/>
        <v>2</v>
      </c>
      <c r="BX55" s="1047">
        <f t="shared" si="23"/>
        <v>2</v>
      </c>
      <c r="BY55" s="1047">
        <f t="shared" si="24"/>
        <v>0</v>
      </c>
      <c r="BZ55" s="1047">
        <f t="shared" si="25"/>
        <v>1</v>
      </c>
      <c r="CA55" s="1047" t="str">
        <f t="shared" si="26"/>
        <v>No Programada</v>
      </c>
      <c r="CB55" s="1047" t="str">
        <f t="shared" si="27"/>
        <v>No Programada</v>
      </c>
      <c r="CD55" t="str">
        <f t="shared" si="28"/>
        <v>ROB</v>
      </c>
      <c r="CE55" t="str">
        <f t="shared" si="28"/>
        <v>VE</v>
      </c>
      <c r="CF55" t="str">
        <f t="shared" si="28"/>
        <v>NP</v>
      </c>
      <c r="CG55" t="str">
        <f t="shared" si="28"/>
        <v>NP</v>
      </c>
    </row>
    <row r="56" spans="1:85" ht="81.75" customHeight="1" x14ac:dyDescent="0.3">
      <c r="A56" s="298" t="s">
        <v>173</v>
      </c>
      <c r="B56" s="299" t="str">
        <f>'PLAN INDICATIVO'!B56</f>
        <v>Cultura</v>
      </c>
      <c r="C56" s="1547"/>
      <c r="D56" s="1551"/>
      <c r="E56" s="1551"/>
      <c r="F56" s="1551"/>
      <c r="G56" s="1551"/>
      <c r="H56" s="1551"/>
      <c r="I56" s="332">
        <f>'PLAN INDICATIVO'!I56</f>
        <v>0</v>
      </c>
      <c r="J56" s="332">
        <f>'PLAN INDICATIVO'!J56</f>
        <v>0</v>
      </c>
      <c r="K56" s="1429" t="str">
        <f>'PLAN INDICATIVO'!K56</f>
        <v>A.5.1.6</v>
      </c>
      <c r="L56" s="1429" t="str">
        <f>'PLAN INDICATIVO'!L56</f>
        <v>11. Ciudades y comunidades sostenibles</v>
      </c>
      <c r="M56" s="1429" t="str">
        <f>'PLAN INDICATIVO'!M56</f>
        <v>Secretaría de Educación, Cultura, deporte y Turismo</v>
      </c>
      <c r="N56" s="1513" t="s">
        <v>5122</v>
      </c>
      <c r="O56" s="1429" t="str">
        <f>'PLAN INDICATIVO'!O56</f>
        <v>Incremento</v>
      </c>
      <c r="P56" s="74" t="str">
        <f>'PLAN INDICATIVO'!P56</f>
        <v>Presentar  16  proyectos que garanticen la financiación de los diferentes programas culturales del municipio durante el cuatrienio</v>
      </c>
      <c r="Q56" s="333" t="str">
        <f>'PLAN INDICATIVO'!Q56</f>
        <v>No. De proyectos presentados en el cuatrienio</v>
      </c>
      <c r="R56" s="334">
        <f>'PLAN INDICATIVO'!R56</f>
        <v>2015</v>
      </c>
      <c r="S56" s="304">
        <v>0</v>
      </c>
      <c r="T56" s="677">
        <v>16</v>
      </c>
      <c r="U56" s="303">
        <v>4</v>
      </c>
      <c r="V56" s="687">
        <v>1000000</v>
      </c>
      <c r="W56" s="572">
        <v>4</v>
      </c>
      <c r="X56" s="687">
        <v>500000</v>
      </c>
      <c r="Y56" s="572">
        <v>5</v>
      </c>
      <c r="Z56" s="687">
        <v>500000</v>
      </c>
      <c r="AA56" s="1310">
        <v>1</v>
      </c>
      <c r="AB56" s="686">
        <v>1000000</v>
      </c>
      <c r="AC56" s="665"/>
      <c r="AD56" s="665">
        <v>4</v>
      </c>
      <c r="AE56" s="665">
        <v>7</v>
      </c>
      <c r="AF56" s="665">
        <v>1</v>
      </c>
      <c r="AG56" s="306" t="s">
        <v>5137</v>
      </c>
      <c r="AH56" s="987">
        <v>2019413960014</v>
      </c>
      <c r="AI56" s="1007" t="s">
        <v>4818</v>
      </c>
      <c r="AJ56" s="309">
        <v>43497</v>
      </c>
      <c r="AK56" s="309">
        <v>43799</v>
      </c>
      <c r="AL56" s="308"/>
      <c r="AM56" s="308"/>
      <c r="AN56" s="267" t="s">
        <v>2598</v>
      </c>
      <c r="AO56" s="508"/>
      <c r="AP56" s="525"/>
      <c r="AQ56" s="310"/>
      <c r="AR56" s="470"/>
      <c r="AS56" s="470"/>
      <c r="AT56" s="310"/>
      <c r="AU56" s="310"/>
      <c r="AV56" s="310"/>
      <c r="AW56" s="544"/>
      <c r="AX56" s="525"/>
      <c r="AY56" s="310"/>
      <c r="AZ56" s="310"/>
      <c r="BA56" s="310"/>
      <c r="BB56" s="310"/>
      <c r="BC56" s="310"/>
      <c r="BD56" s="310"/>
      <c r="BE56" s="544"/>
      <c r="BF56" s="525"/>
      <c r="BG56" s="310"/>
      <c r="BH56" s="470"/>
      <c r="BI56" s="470"/>
      <c r="BJ56" s="310"/>
      <c r="BK56" s="310"/>
      <c r="BL56" s="310"/>
      <c r="BM56" s="544">
        <f t="shared" si="15"/>
        <v>0</v>
      </c>
      <c r="BN56" s="1510"/>
      <c r="BO56" s="1505"/>
      <c r="BP56" s="1509"/>
      <c r="BQ56" s="1509"/>
      <c r="BR56" s="1506"/>
      <c r="BS56" s="1506"/>
      <c r="BT56" s="310"/>
      <c r="BU56" s="544"/>
      <c r="BV56" s="556"/>
      <c r="BW56" s="663">
        <f t="shared" si="7"/>
        <v>12</v>
      </c>
      <c r="BX56" s="1047">
        <f t="shared" si="23"/>
        <v>0.75</v>
      </c>
      <c r="BY56" s="1047">
        <f t="shared" si="24"/>
        <v>0</v>
      </c>
      <c r="BZ56" s="1047">
        <f t="shared" si="25"/>
        <v>1</v>
      </c>
      <c r="CA56" s="1047">
        <f t="shared" si="26"/>
        <v>1.4</v>
      </c>
      <c r="CB56" s="1047">
        <f t="shared" si="27"/>
        <v>1</v>
      </c>
      <c r="CD56" t="str">
        <f t="shared" si="28"/>
        <v>ROB</v>
      </c>
      <c r="CE56" t="str">
        <f t="shared" si="28"/>
        <v>VE</v>
      </c>
      <c r="CF56" t="str">
        <f t="shared" si="28"/>
        <v>VE</v>
      </c>
      <c r="CG56" t="str">
        <f t="shared" si="28"/>
        <v>VE</v>
      </c>
    </row>
    <row r="57" spans="1:85" ht="71.25" customHeight="1" x14ac:dyDescent="0.3">
      <c r="A57" s="298" t="s">
        <v>173</v>
      </c>
      <c r="B57" s="299" t="str">
        <f>'PLAN INDICATIVO'!B57</f>
        <v>Cultura</v>
      </c>
      <c r="C57" s="1547"/>
      <c r="D57" s="1551"/>
      <c r="E57" s="1551"/>
      <c r="F57" s="1551"/>
      <c r="G57" s="1551"/>
      <c r="H57" s="1551"/>
      <c r="I57" s="332">
        <f>'PLAN INDICATIVO'!I57</f>
        <v>0</v>
      </c>
      <c r="J57" s="332">
        <f>'PLAN INDICATIVO'!J57</f>
        <v>0</v>
      </c>
      <c r="K57" s="1429" t="str">
        <f>'PLAN INDICATIVO'!K57</f>
        <v>A.5.1.7</v>
      </c>
      <c r="L57" s="1429" t="str">
        <f>'PLAN INDICATIVO'!L57</f>
        <v>11. Ciudades y comunidades sostenibles</v>
      </c>
      <c r="M57" s="1429" t="str">
        <f>'PLAN INDICATIVO'!M57</f>
        <v>Secretaría de Educación, Cultura, deporte y Turismo</v>
      </c>
      <c r="N57" s="1513" t="s">
        <v>5122</v>
      </c>
      <c r="O57" s="1429" t="str">
        <f>'PLAN INDICATIVO'!O57</f>
        <v>Mantenimiento</v>
      </c>
      <c r="P57" s="74" t="str">
        <f>'PLAN INDICATIVO'!P57</f>
        <v>Apoyar 4 eventos culturales dentro de la agenda cultural establecida anualmente  en el municipio.</v>
      </c>
      <c r="Q57" s="333" t="str">
        <f>'PLAN INDICATIVO'!Q57</f>
        <v>No. De eventos culturales apoyados cada año</v>
      </c>
      <c r="R57" s="334">
        <f>'PLAN INDICATIVO'!R57</f>
        <v>2015</v>
      </c>
      <c r="S57" s="304">
        <v>3</v>
      </c>
      <c r="T57" s="677">
        <v>16</v>
      </c>
      <c r="U57" s="303">
        <v>4</v>
      </c>
      <c r="V57" s="687">
        <v>5000000</v>
      </c>
      <c r="W57" s="572">
        <v>4</v>
      </c>
      <c r="X57" s="687">
        <v>500000</v>
      </c>
      <c r="Y57" s="572">
        <v>4</v>
      </c>
      <c r="Z57" s="687">
        <v>500000</v>
      </c>
      <c r="AA57" s="1310">
        <v>4</v>
      </c>
      <c r="AB57" s="686">
        <v>15000000</v>
      </c>
      <c r="AC57" s="665"/>
      <c r="AD57" s="665">
        <v>4</v>
      </c>
      <c r="AE57" s="665">
        <v>5</v>
      </c>
      <c r="AF57" s="665">
        <v>5</v>
      </c>
      <c r="AG57" s="306" t="s">
        <v>5137</v>
      </c>
      <c r="AH57" s="987">
        <v>2019413960014</v>
      </c>
      <c r="AI57" s="1007" t="s">
        <v>4921</v>
      </c>
      <c r="AJ57" s="309">
        <v>43497</v>
      </c>
      <c r="AK57" s="309">
        <v>43799</v>
      </c>
      <c r="AL57" s="308"/>
      <c r="AM57" s="308"/>
      <c r="AN57" s="267" t="s">
        <v>2598</v>
      </c>
      <c r="AO57" s="508"/>
      <c r="AP57" s="525"/>
      <c r="AQ57" s="310"/>
      <c r="AR57" s="310"/>
      <c r="AS57" s="310"/>
      <c r="AT57" s="310"/>
      <c r="AU57" s="310"/>
      <c r="AV57" s="310"/>
      <c r="AW57" s="544"/>
      <c r="AX57" s="525"/>
      <c r="AY57" s="310"/>
      <c r="AZ57" s="310"/>
      <c r="BA57" s="310"/>
      <c r="BB57" s="310"/>
      <c r="BC57" s="310"/>
      <c r="BD57" s="310"/>
      <c r="BE57" s="544"/>
      <c r="BF57" s="525"/>
      <c r="BG57" s="310"/>
      <c r="BH57" s="310"/>
      <c r="BI57" s="310"/>
      <c r="BJ57" s="310"/>
      <c r="BK57" s="310"/>
      <c r="BL57" s="310"/>
      <c r="BM57" s="544">
        <f t="shared" si="15"/>
        <v>0</v>
      </c>
      <c r="BN57" s="720"/>
      <c r="BO57" s="721"/>
      <c r="BP57" s="310"/>
      <c r="BQ57" s="310"/>
      <c r="BR57" s="310"/>
      <c r="BS57" s="310"/>
      <c r="BT57" s="310"/>
      <c r="BU57" s="544"/>
      <c r="BV57" s="556"/>
      <c r="BW57" s="663">
        <f t="shared" si="7"/>
        <v>14</v>
      </c>
      <c r="BX57" s="1047">
        <f t="shared" si="23"/>
        <v>0.875</v>
      </c>
      <c r="BY57" s="1047">
        <f t="shared" si="24"/>
        <v>0</v>
      </c>
      <c r="BZ57" s="1047">
        <f t="shared" si="25"/>
        <v>1</v>
      </c>
      <c r="CA57" s="1047">
        <f t="shared" si="26"/>
        <v>1.25</v>
      </c>
      <c r="CB57" s="1047">
        <f t="shared" si="27"/>
        <v>1.25</v>
      </c>
      <c r="CD57" t="str">
        <f t="shared" si="28"/>
        <v>ROB</v>
      </c>
      <c r="CE57" t="str">
        <f t="shared" si="28"/>
        <v>VE</v>
      </c>
      <c r="CF57" t="str">
        <f t="shared" si="28"/>
        <v>VE</v>
      </c>
      <c r="CG57" t="str">
        <f t="shared" si="28"/>
        <v>VE</v>
      </c>
    </row>
    <row r="58" spans="1:85" ht="102.75" customHeight="1" x14ac:dyDescent="0.3">
      <c r="A58" s="298" t="s">
        <v>173</v>
      </c>
      <c r="B58" s="299" t="str">
        <f>'PLAN INDICATIVO'!B58</f>
        <v>Cultura</v>
      </c>
      <c r="C58" s="1547"/>
      <c r="D58" s="1551"/>
      <c r="E58" s="1551"/>
      <c r="F58" s="1551"/>
      <c r="G58" s="1551"/>
      <c r="H58" s="1551"/>
      <c r="I58" s="332">
        <f>'PLAN INDICATIVO'!I58</f>
        <v>0</v>
      </c>
      <c r="J58" s="332">
        <f>'PLAN INDICATIVO'!J58</f>
        <v>0</v>
      </c>
      <c r="K58" s="1429" t="str">
        <f>'PLAN INDICATIVO'!K58</f>
        <v>A.5.1.8</v>
      </c>
      <c r="L58" s="1429" t="str">
        <f>'PLAN INDICATIVO'!L58</f>
        <v>11. Ciudades y comunidades sostenibles</v>
      </c>
      <c r="M58" s="1429" t="str">
        <f>'PLAN INDICATIVO'!M58</f>
        <v>Secretaría de Educación, Cultura, deporte y Turismo</v>
      </c>
      <c r="N58" s="1513" t="s">
        <v>5122</v>
      </c>
      <c r="O58" s="1429" t="str">
        <f>'PLAN INDICATIVO'!O58</f>
        <v>Incremento</v>
      </c>
      <c r="P58" s="74" t="str">
        <f>'PLAN INDICATIVO'!P58</f>
        <v>Realizar 6 eventos de intercambio cultural  y artístico donde converjan las diferentes manifestaciones artísticas de carácter  local, regional y nacional  durante el cuatrienio</v>
      </c>
      <c r="Q58" s="333" t="str">
        <f>'PLAN INDICATIVO'!Q58</f>
        <v>No. De eventos de intercambio cultural realizados en el cuatrienio</v>
      </c>
      <c r="R58" s="334">
        <f>'PLAN INDICATIVO'!R58</f>
        <v>2015</v>
      </c>
      <c r="S58" s="304">
        <v>2</v>
      </c>
      <c r="T58" s="677">
        <v>6</v>
      </c>
      <c r="U58" s="303">
        <v>2</v>
      </c>
      <c r="V58" s="687">
        <v>12000000</v>
      </c>
      <c r="W58" s="572">
        <v>1</v>
      </c>
      <c r="X58" s="687">
        <v>14000000</v>
      </c>
      <c r="Y58" s="572">
        <v>2</v>
      </c>
      <c r="Z58" s="687">
        <v>8500000</v>
      </c>
      <c r="AA58" s="1310"/>
      <c r="AB58" s="686">
        <v>7200000</v>
      </c>
      <c r="AC58" s="665"/>
      <c r="AD58" s="665">
        <v>2</v>
      </c>
      <c r="AE58" s="665">
        <v>3</v>
      </c>
      <c r="AF58" s="665">
        <v>1</v>
      </c>
      <c r="AG58" s="306" t="s">
        <v>5137</v>
      </c>
      <c r="AH58" s="987">
        <v>2019413960014</v>
      </c>
      <c r="AI58" s="1007" t="s">
        <v>4819</v>
      </c>
      <c r="AJ58" s="309">
        <v>43497</v>
      </c>
      <c r="AK58" s="309">
        <v>43646</v>
      </c>
      <c r="AL58" s="308"/>
      <c r="AM58" s="308"/>
      <c r="AN58" s="267" t="s">
        <v>2598</v>
      </c>
      <c r="AO58" s="508"/>
      <c r="AP58" s="525"/>
      <c r="AQ58" s="310"/>
      <c r="AR58" s="310"/>
      <c r="AS58" s="310"/>
      <c r="AT58" s="310"/>
      <c r="AU58" s="310"/>
      <c r="AV58" s="310"/>
      <c r="AW58" s="544"/>
      <c r="AX58" s="525"/>
      <c r="AY58" s="310"/>
      <c r="AZ58" s="310"/>
      <c r="BA58" s="310"/>
      <c r="BB58" s="310"/>
      <c r="BC58" s="310"/>
      <c r="BD58" s="310"/>
      <c r="BE58" s="544"/>
      <c r="BF58" s="525"/>
      <c r="BG58" s="310"/>
      <c r="BH58" s="310"/>
      <c r="BI58" s="310"/>
      <c r="BJ58" s="310"/>
      <c r="BK58" s="310"/>
      <c r="BL58" s="310"/>
      <c r="BM58" s="544">
        <f t="shared" si="15"/>
        <v>0</v>
      </c>
      <c r="BN58" s="720"/>
      <c r="BO58" s="721"/>
      <c r="BP58" s="310"/>
      <c r="BQ58" s="310"/>
      <c r="BR58" s="310"/>
      <c r="BS58" s="310"/>
      <c r="BT58" s="310"/>
      <c r="BU58" s="544"/>
      <c r="BV58" s="556"/>
      <c r="BW58" s="663">
        <f t="shared" si="7"/>
        <v>6</v>
      </c>
      <c r="BX58" s="1047">
        <f t="shared" si="23"/>
        <v>1</v>
      </c>
      <c r="BY58" s="1047">
        <f t="shared" si="24"/>
        <v>0</v>
      </c>
      <c r="BZ58" s="1047">
        <f t="shared" si="25"/>
        <v>2</v>
      </c>
      <c r="CA58" s="1047">
        <f t="shared" si="26"/>
        <v>1.5</v>
      </c>
      <c r="CB58" s="1047" t="str">
        <f t="shared" si="27"/>
        <v>No Programada</v>
      </c>
      <c r="CD58" t="str">
        <f t="shared" si="28"/>
        <v>ROB</v>
      </c>
      <c r="CE58" t="str">
        <f t="shared" si="28"/>
        <v>VE</v>
      </c>
      <c r="CF58" t="str">
        <f t="shared" si="28"/>
        <v>VE</v>
      </c>
      <c r="CG58" t="str">
        <f t="shared" si="28"/>
        <v>NP</v>
      </c>
    </row>
    <row r="59" spans="1:85" ht="77.25" customHeight="1" x14ac:dyDescent="0.3">
      <c r="A59" s="298" t="s">
        <v>173</v>
      </c>
      <c r="B59" s="299" t="str">
        <f>'PLAN INDICATIVO'!B59</f>
        <v>Cultura</v>
      </c>
      <c r="C59" s="1547"/>
      <c r="D59" s="1551"/>
      <c r="E59" s="1551"/>
      <c r="F59" s="1551"/>
      <c r="G59" s="1551"/>
      <c r="H59" s="1551"/>
      <c r="I59" s="332">
        <f>'PLAN INDICATIVO'!I59</f>
        <v>0</v>
      </c>
      <c r="J59" s="332">
        <f>'PLAN INDICATIVO'!J59</f>
        <v>0</v>
      </c>
      <c r="K59" s="1429" t="str">
        <f>'PLAN INDICATIVO'!K59</f>
        <v>A.5.1.9</v>
      </c>
      <c r="L59" s="1429" t="str">
        <f>'PLAN INDICATIVO'!L59</f>
        <v>11. Ciudades y comunidades sostenibles</v>
      </c>
      <c r="M59" s="1429" t="str">
        <f>'PLAN INDICATIVO'!M59</f>
        <v>Secretaría de Educación, Cultura, deporte y Turismo</v>
      </c>
      <c r="N59" s="1513" t="s">
        <v>5122</v>
      </c>
      <c r="O59" s="1429" t="str">
        <f>'PLAN INDICATIVO'!O59</f>
        <v>Incremento</v>
      </c>
      <c r="P59" s="74" t="str">
        <f>'PLAN INDICATIVO'!P59</f>
        <v>Realizar 4 actividades culturales en el cuatrienio, que garanticen el acceso cultural de la primera infancia y la infancia</v>
      </c>
      <c r="Q59" s="333" t="str">
        <f>'PLAN INDICATIVO'!Q59</f>
        <v>No. De actividades realizadas en el cuatrienio</v>
      </c>
      <c r="R59" s="334">
        <f>'PLAN INDICATIVO'!R59</f>
        <v>2015</v>
      </c>
      <c r="S59" s="304">
        <v>0</v>
      </c>
      <c r="T59" s="677">
        <v>4</v>
      </c>
      <c r="U59" s="303">
        <v>1</v>
      </c>
      <c r="V59" s="687">
        <v>1000000</v>
      </c>
      <c r="W59" s="572">
        <v>1</v>
      </c>
      <c r="X59" s="687">
        <v>500000</v>
      </c>
      <c r="Y59" s="572">
        <v>1</v>
      </c>
      <c r="Z59" s="687">
        <v>500000</v>
      </c>
      <c r="AA59" s="1310">
        <v>1</v>
      </c>
      <c r="AB59" s="686">
        <v>15000000</v>
      </c>
      <c r="AC59" s="665"/>
      <c r="AD59" s="665">
        <v>1</v>
      </c>
      <c r="AE59" s="665">
        <v>1</v>
      </c>
      <c r="AF59" s="665">
        <v>1</v>
      </c>
      <c r="AG59" s="306" t="s">
        <v>5137</v>
      </c>
      <c r="AH59" s="987">
        <v>2019413960014</v>
      </c>
      <c r="AI59" s="1007" t="s">
        <v>4922</v>
      </c>
      <c r="AJ59" s="309">
        <v>43497</v>
      </c>
      <c r="AK59" s="309">
        <v>43646</v>
      </c>
      <c r="AL59" s="308"/>
      <c r="AM59" s="308"/>
      <c r="AN59" s="267" t="s">
        <v>2598</v>
      </c>
      <c r="AO59" s="508"/>
      <c r="AP59" s="525"/>
      <c r="AQ59" s="310"/>
      <c r="AR59" s="310"/>
      <c r="AS59" s="310"/>
      <c r="AT59" s="310"/>
      <c r="AU59" s="310"/>
      <c r="AV59" s="310"/>
      <c r="AW59" s="544"/>
      <c r="AX59" s="525"/>
      <c r="AY59" s="310"/>
      <c r="AZ59" s="310"/>
      <c r="BA59" s="310"/>
      <c r="BB59" s="310"/>
      <c r="BC59" s="310"/>
      <c r="BD59" s="310"/>
      <c r="BE59" s="544"/>
      <c r="BF59" s="525"/>
      <c r="BG59" s="310"/>
      <c r="BH59" s="310"/>
      <c r="BI59" s="310"/>
      <c r="BJ59" s="310"/>
      <c r="BK59" s="310"/>
      <c r="BL59" s="310"/>
      <c r="BM59" s="544">
        <f t="shared" si="15"/>
        <v>0</v>
      </c>
      <c r="BN59" s="720"/>
      <c r="BO59" s="721"/>
      <c r="BP59" s="310"/>
      <c r="BQ59" s="310"/>
      <c r="BR59" s="310"/>
      <c r="BS59" s="310"/>
      <c r="BT59" s="310"/>
      <c r="BU59" s="544"/>
      <c r="BV59" s="556"/>
      <c r="BW59" s="663">
        <f t="shared" si="7"/>
        <v>3</v>
      </c>
      <c r="BX59" s="1047">
        <f t="shared" si="23"/>
        <v>0.75</v>
      </c>
      <c r="BY59" s="1047">
        <f t="shared" si="24"/>
        <v>0</v>
      </c>
      <c r="BZ59" s="1047">
        <f t="shared" si="25"/>
        <v>1</v>
      </c>
      <c r="CA59" s="1047">
        <f t="shared" si="26"/>
        <v>1</v>
      </c>
      <c r="CB59" s="1047">
        <f t="shared" si="27"/>
        <v>1</v>
      </c>
      <c r="CD59" t="str">
        <f t="shared" si="28"/>
        <v>ROB</v>
      </c>
      <c r="CE59" t="str">
        <f t="shared" si="28"/>
        <v>VE</v>
      </c>
      <c r="CF59" t="str">
        <f t="shared" si="28"/>
        <v>VE</v>
      </c>
      <c r="CG59" t="str">
        <f t="shared" si="28"/>
        <v>VE</v>
      </c>
    </row>
    <row r="60" spans="1:85" ht="55.5" customHeight="1" x14ac:dyDescent="0.3">
      <c r="A60" s="298" t="s">
        <v>173</v>
      </c>
      <c r="B60" s="299" t="str">
        <f>'PLAN INDICATIVO'!B60</f>
        <v>Cultura</v>
      </c>
      <c r="C60" s="1547"/>
      <c r="D60" s="1549"/>
      <c r="E60" s="1549"/>
      <c r="F60" s="1551"/>
      <c r="G60" s="1551"/>
      <c r="H60" s="1551"/>
      <c r="I60" s="1429" t="str">
        <f>'PLAN INDICATIVO'!I60</f>
        <v>SI</v>
      </c>
      <c r="J60" s="1429">
        <f>'PLAN INDICATIVO'!J60</f>
        <v>0</v>
      </c>
      <c r="K60" s="1429" t="str">
        <f>'PLAN INDICATIVO'!K60</f>
        <v>A.5.1.10</v>
      </c>
      <c r="L60" s="1429" t="str">
        <f>'PLAN INDICATIVO'!L60</f>
        <v>11. Ciudades y comunidades sostenibles</v>
      </c>
      <c r="M60" s="1429" t="str">
        <f>'PLAN INDICATIVO'!M60</f>
        <v>Secretaría de Educación, Cultura, deporte y Turismo</v>
      </c>
      <c r="N60" s="1513" t="s">
        <v>5122</v>
      </c>
      <c r="O60" s="1429" t="str">
        <f>'PLAN INDICATIVO'!O60</f>
        <v>Incremento</v>
      </c>
      <c r="P60" s="74" t="str">
        <f>'PLAN INDICATIVO'!P60</f>
        <v>Presentar 1 Proyecto de investigación para declarar patrimonio cultural inmaterial  el FESTIVAL FOLKLORICO Y SANPEDRINO DEL SUR OCCIDENTE HUILENSE Y ORIENTE CAUCANO,  garantizando su desarrollo y reconocimiento.</v>
      </c>
      <c r="Q60" s="333" t="str">
        <f>'PLAN INDICATIVO'!Q60</f>
        <v>No. De Proyectos presentados en el cuatrienio</v>
      </c>
      <c r="R60" s="334">
        <f>'PLAN INDICATIVO'!R60</f>
        <v>2015</v>
      </c>
      <c r="S60" s="304">
        <v>0</v>
      </c>
      <c r="T60" s="677">
        <v>1</v>
      </c>
      <c r="U60" s="303">
        <v>1</v>
      </c>
      <c r="V60" s="687">
        <v>1000000</v>
      </c>
      <c r="W60" s="572">
        <v>1</v>
      </c>
      <c r="X60" s="687">
        <v>500000</v>
      </c>
      <c r="Y60" s="572">
        <v>0.25</v>
      </c>
      <c r="Z60" s="687">
        <v>500000</v>
      </c>
      <c r="AA60" s="1310"/>
      <c r="AB60" s="686">
        <v>5000000</v>
      </c>
      <c r="AC60" s="665"/>
      <c r="AD60" s="665">
        <v>1</v>
      </c>
      <c r="AE60" s="665">
        <v>1</v>
      </c>
      <c r="AF60" s="665">
        <v>1</v>
      </c>
      <c r="AG60" s="306" t="s">
        <v>5137</v>
      </c>
      <c r="AH60" s="987">
        <v>2019413960014</v>
      </c>
      <c r="AI60" s="1007" t="s">
        <v>4820</v>
      </c>
      <c r="AJ60" s="309"/>
      <c r="AK60" s="309"/>
      <c r="AL60" s="308"/>
      <c r="AM60" s="308"/>
      <c r="AN60" s="267" t="s">
        <v>2598</v>
      </c>
      <c r="AO60" s="508"/>
      <c r="AP60" s="525"/>
      <c r="AQ60" s="310"/>
      <c r="AR60" s="310"/>
      <c r="AS60" s="310"/>
      <c r="AT60" s="310"/>
      <c r="AU60" s="310"/>
      <c r="AV60" s="310"/>
      <c r="AW60" s="544"/>
      <c r="AX60" s="525"/>
      <c r="AY60" s="310"/>
      <c r="AZ60" s="310"/>
      <c r="BA60" s="310"/>
      <c r="BB60" s="310"/>
      <c r="BC60" s="310"/>
      <c r="BD60" s="310"/>
      <c r="BE60" s="544"/>
      <c r="BF60" s="525"/>
      <c r="BG60" s="310"/>
      <c r="BH60" s="310"/>
      <c r="BI60" s="310"/>
      <c r="BJ60" s="310"/>
      <c r="BK60" s="310"/>
      <c r="BL60" s="310"/>
      <c r="BM60" s="544">
        <f t="shared" si="15"/>
        <v>0</v>
      </c>
      <c r="BN60" s="720"/>
      <c r="BO60" s="721"/>
      <c r="BP60" s="310"/>
      <c r="BQ60" s="310"/>
      <c r="BR60" s="310"/>
      <c r="BS60" s="310"/>
      <c r="BT60" s="310"/>
      <c r="BU60" s="544"/>
      <c r="BV60" s="556"/>
      <c r="BW60" s="663">
        <f t="shared" si="7"/>
        <v>3</v>
      </c>
      <c r="BX60" s="1047">
        <f t="shared" si="23"/>
        <v>3</v>
      </c>
      <c r="BY60" s="1047">
        <f t="shared" si="24"/>
        <v>0</v>
      </c>
      <c r="BZ60" s="1047">
        <f t="shared" si="25"/>
        <v>1</v>
      </c>
      <c r="CA60" s="1047">
        <f t="shared" si="26"/>
        <v>4</v>
      </c>
      <c r="CB60" s="1047" t="str">
        <f t="shared" si="27"/>
        <v>No Programada</v>
      </c>
      <c r="CD60" t="str">
        <f t="shared" si="28"/>
        <v>ROB</v>
      </c>
      <c r="CE60" t="str">
        <f t="shared" si="28"/>
        <v>VE</v>
      </c>
      <c r="CF60" t="str">
        <f t="shared" si="28"/>
        <v>VE</v>
      </c>
      <c r="CG60" t="str">
        <f t="shared" si="28"/>
        <v>NP</v>
      </c>
    </row>
    <row r="61" spans="1:85" ht="63" customHeight="1" x14ac:dyDescent="0.3">
      <c r="A61" s="298" t="s">
        <v>173</v>
      </c>
      <c r="B61" s="299" t="str">
        <f>'PLAN INDICATIVO'!B61</f>
        <v>Cultura</v>
      </c>
      <c r="C61" s="1547"/>
      <c r="D61" s="1551"/>
      <c r="E61" s="1551"/>
      <c r="F61" s="1551"/>
      <c r="G61" s="1551"/>
      <c r="H61" s="1551"/>
      <c r="I61" s="332">
        <f>'PLAN INDICATIVO'!I61</f>
        <v>0</v>
      </c>
      <c r="J61" s="332">
        <f>'PLAN INDICATIVO'!J61</f>
        <v>0</v>
      </c>
      <c r="K61" s="1429" t="str">
        <f>'PLAN INDICATIVO'!K61</f>
        <v>A.5.1.11</v>
      </c>
      <c r="L61" s="1429" t="str">
        <f>'PLAN INDICATIVO'!L61</f>
        <v>11. Ciudades y comunidades sostenibles</v>
      </c>
      <c r="M61" s="1429" t="str">
        <f>'PLAN INDICATIVO'!M61</f>
        <v>Secretaría de Educación, Cultura, deporte y Turismo</v>
      </c>
      <c r="N61" s="1513" t="s">
        <v>5122</v>
      </c>
      <c r="O61" s="1429" t="str">
        <f>'PLAN INDICATIVO'!O61</f>
        <v>Incremento</v>
      </c>
      <c r="P61" s="74" t="str">
        <f>'PLAN INDICATIVO'!P61</f>
        <v>Realizar Cuatro (4) versiones del FESTIVAL FOLKLORICO Y SANPEDRINO DEL SUR OCCIDENTE HUILENSE Y ORIENTE CAUCANO</v>
      </c>
      <c r="Q61" s="333" t="str">
        <f>'PLAN INDICATIVO'!Q61</f>
        <v>No. De versiones del Festival Folclórico realizados en el cuatrienio</v>
      </c>
      <c r="R61" s="334">
        <f>'PLAN INDICATIVO'!R61</f>
        <v>2015</v>
      </c>
      <c r="S61" s="304">
        <v>1</v>
      </c>
      <c r="T61" s="677">
        <v>4</v>
      </c>
      <c r="U61" s="303">
        <v>1</v>
      </c>
      <c r="V61" s="687">
        <v>15000000</v>
      </c>
      <c r="W61" s="572">
        <v>1</v>
      </c>
      <c r="X61" s="687">
        <v>500000</v>
      </c>
      <c r="Y61" s="572">
        <v>1</v>
      </c>
      <c r="Z61" s="687">
        <v>500000</v>
      </c>
      <c r="AA61" s="1310">
        <v>1</v>
      </c>
      <c r="AB61" s="686">
        <v>135000000</v>
      </c>
      <c r="AC61" s="665"/>
      <c r="AD61" s="665">
        <v>1</v>
      </c>
      <c r="AE61" s="665">
        <v>1</v>
      </c>
      <c r="AF61" s="665">
        <v>1</v>
      </c>
      <c r="AG61" s="306" t="s">
        <v>5137</v>
      </c>
      <c r="AH61" s="987">
        <v>2019413960014</v>
      </c>
      <c r="AI61" s="1007" t="s">
        <v>4923</v>
      </c>
      <c r="AJ61" s="309">
        <v>43497</v>
      </c>
      <c r="AK61" s="309">
        <v>43646</v>
      </c>
      <c r="AL61" s="308"/>
      <c r="AM61" s="308"/>
      <c r="AN61" s="267" t="s">
        <v>2598</v>
      </c>
      <c r="AO61" s="508"/>
      <c r="AP61" s="525"/>
      <c r="AQ61" s="310"/>
      <c r="AR61" s="310"/>
      <c r="AS61" s="310"/>
      <c r="AT61" s="310"/>
      <c r="AU61" s="310"/>
      <c r="AV61" s="310"/>
      <c r="AW61" s="544"/>
      <c r="AX61" s="525"/>
      <c r="AY61" s="310"/>
      <c r="AZ61" s="310"/>
      <c r="BA61" s="310"/>
      <c r="BB61" s="310"/>
      <c r="BC61" s="310"/>
      <c r="BD61" s="310"/>
      <c r="BE61" s="544"/>
      <c r="BF61" s="525"/>
      <c r="BG61" s="310"/>
      <c r="BH61" s="310"/>
      <c r="BI61" s="310"/>
      <c r="BJ61" s="310"/>
      <c r="BK61" s="310"/>
      <c r="BL61" s="310"/>
      <c r="BM61" s="544">
        <f t="shared" si="15"/>
        <v>0</v>
      </c>
      <c r="BN61" s="720"/>
      <c r="BO61" s="721"/>
      <c r="BP61" s="310"/>
      <c r="BQ61" s="310"/>
      <c r="BR61" s="310"/>
      <c r="BS61" s="310"/>
      <c r="BT61" s="310"/>
      <c r="BU61" s="544"/>
      <c r="BV61" s="556"/>
      <c r="BW61" s="663">
        <f t="shared" si="7"/>
        <v>3</v>
      </c>
      <c r="BX61" s="1047">
        <f t="shared" si="23"/>
        <v>0.75</v>
      </c>
      <c r="BY61" s="1047">
        <f t="shared" si="24"/>
        <v>0</v>
      </c>
      <c r="BZ61" s="1047">
        <f t="shared" si="25"/>
        <v>1</v>
      </c>
      <c r="CA61" s="1047">
        <f t="shared" si="26"/>
        <v>1</v>
      </c>
      <c r="CB61" s="1047">
        <f t="shared" si="27"/>
        <v>1</v>
      </c>
      <c r="CD61" t="str">
        <f t="shared" si="28"/>
        <v>ROB</v>
      </c>
      <c r="CE61" t="str">
        <f t="shared" si="28"/>
        <v>VE</v>
      </c>
      <c r="CF61" t="str">
        <f t="shared" si="28"/>
        <v>VE</v>
      </c>
      <c r="CG61" t="str">
        <f t="shared" si="28"/>
        <v>VE</v>
      </c>
    </row>
    <row r="62" spans="1:85" ht="30" hidden="1" customHeight="1" x14ac:dyDescent="0.25">
      <c r="A62" s="298" t="s">
        <v>2458</v>
      </c>
      <c r="B62" s="299" t="str">
        <f>'PLAN INDICATIVO'!B62</f>
        <v>Cultura</v>
      </c>
      <c r="C62" s="1547"/>
      <c r="D62" s="1551"/>
      <c r="E62" s="1551"/>
      <c r="F62" s="1551"/>
      <c r="G62" s="1551"/>
      <c r="H62" s="1551"/>
      <c r="I62" s="332">
        <f>'PLAN INDICATIVO'!I62</f>
        <v>0</v>
      </c>
      <c r="J62" s="332">
        <f>'PLAN INDICATIVO'!J62</f>
        <v>0</v>
      </c>
      <c r="K62" s="1429" t="str">
        <f>'PLAN INDICATIVO'!K62</f>
        <v>A.5.1.12</v>
      </c>
      <c r="L62" s="1429" t="str">
        <f>'PLAN INDICATIVO'!L62</f>
        <v>11. Ciudades y comunidades sostenibles</v>
      </c>
      <c r="M62" s="1429" t="str">
        <f>'PLAN INDICATIVO'!M62</f>
        <v>Secretaría de Educación, Cultura, deporte y Turismo</v>
      </c>
      <c r="N62" s="1513" t="s">
        <v>5122</v>
      </c>
      <c r="O62" s="1429" t="str">
        <f>'PLAN INDICATIVO'!O62</f>
        <v>Incremento</v>
      </c>
      <c r="P62" s="74" t="str">
        <f>'PLAN INDICATIVO'!P62</f>
        <v>Formular 1 Plan Decenal Municipal de Cultura  durante el cuatrienio.</v>
      </c>
      <c r="Q62" s="333" t="str">
        <f>'PLAN INDICATIVO'!Q62</f>
        <v>No. De planes decenales implementados en el cuatrienio</v>
      </c>
      <c r="R62" s="334">
        <f>'PLAN INDICATIVO'!R62</f>
        <v>2015</v>
      </c>
      <c r="S62" s="304">
        <v>0</v>
      </c>
      <c r="T62" s="677">
        <v>1</v>
      </c>
      <c r="U62" s="303">
        <v>0</v>
      </c>
      <c r="V62" s="687">
        <v>0</v>
      </c>
      <c r="W62" s="572">
        <v>0</v>
      </c>
      <c r="X62" s="687"/>
      <c r="Y62" s="572">
        <v>0.5</v>
      </c>
      <c r="Z62" s="687">
        <v>500000</v>
      </c>
      <c r="AA62" s="1310">
        <v>1</v>
      </c>
      <c r="AB62" s="686"/>
      <c r="AC62" s="665"/>
      <c r="AD62" s="665"/>
      <c r="AE62" s="665">
        <v>0</v>
      </c>
      <c r="AF62" s="665">
        <v>0</v>
      </c>
      <c r="AG62" s="306" t="s">
        <v>5137</v>
      </c>
      <c r="AH62" s="987">
        <v>2019413960014</v>
      </c>
      <c r="AI62" s="1007"/>
      <c r="AJ62" s="309">
        <v>43497</v>
      </c>
      <c r="AK62" s="309">
        <v>43799</v>
      </c>
      <c r="AL62" s="308"/>
      <c r="AM62" s="308"/>
      <c r="AN62" s="267" t="s">
        <v>2600</v>
      </c>
      <c r="AO62" s="508"/>
      <c r="AP62" s="526"/>
      <c r="AQ62" s="470"/>
      <c r="AR62" s="470"/>
      <c r="AS62" s="470"/>
      <c r="AT62" s="470"/>
      <c r="AU62" s="470"/>
      <c r="AV62" s="470"/>
      <c r="AW62" s="544"/>
      <c r="AX62" s="526"/>
      <c r="AY62" s="470"/>
      <c r="AZ62" s="470"/>
      <c r="BA62" s="470"/>
      <c r="BB62" s="470"/>
      <c r="BC62" s="470"/>
      <c r="BD62" s="470"/>
      <c r="BE62" s="544"/>
      <c r="BF62" s="526"/>
      <c r="BG62" s="470"/>
      <c r="BH62" s="470"/>
      <c r="BI62" s="470"/>
      <c r="BJ62" s="470"/>
      <c r="BK62" s="470"/>
      <c r="BL62" s="470"/>
      <c r="BM62" s="544">
        <f t="shared" si="15"/>
        <v>0</v>
      </c>
      <c r="BN62" s="526"/>
      <c r="BO62" s="470"/>
      <c r="BP62" s="470"/>
      <c r="BQ62" s="470"/>
      <c r="BR62" s="470"/>
      <c r="BS62" s="470"/>
      <c r="BT62" s="470"/>
      <c r="BU62" s="544"/>
      <c r="BV62" s="556"/>
      <c r="BW62" s="663">
        <f t="shared" si="7"/>
        <v>0</v>
      </c>
      <c r="BX62" s="1047">
        <f t="shared" si="23"/>
        <v>0</v>
      </c>
      <c r="BY62" s="1047" t="str">
        <f t="shared" si="24"/>
        <v>Aplazada</v>
      </c>
      <c r="BZ62" s="1047" t="str">
        <f t="shared" si="25"/>
        <v>Aplazada</v>
      </c>
      <c r="CA62" s="1047">
        <f t="shared" si="26"/>
        <v>0</v>
      </c>
      <c r="CB62" s="1047">
        <f t="shared" si="27"/>
        <v>0</v>
      </c>
      <c r="CD62" t="str">
        <f t="shared" si="28"/>
        <v>AZ</v>
      </c>
      <c r="CE62" t="str">
        <f t="shared" si="28"/>
        <v>AZ</v>
      </c>
      <c r="CF62" t="str">
        <f t="shared" si="28"/>
        <v>ROB</v>
      </c>
      <c r="CG62" t="str">
        <f t="shared" si="28"/>
        <v>ROB</v>
      </c>
    </row>
    <row r="63" spans="1:85" ht="26.25" customHeight="1" x14ac:dyDescent="0.3">
      <c r="A63" s="298" t="s">
        <v>2458</v>
      </c>
      <c r="B63" s="299" t="str">
        <f>'PLAN INDICATIVO'!B63</f>
        <v>Cultura</v>
      </c>
      <c r="C63" s="1547"/>
      <c r="D63" s="1551"/>
      <c r="E63" s="1551"/>
      <c r="F63" s="1551"/>
      <c r="G63" s="1551"/>
      <c r="H63" s="1551"/>
      <c r="I63" s="332">
        <f>'PLAN INDICATIVO'!I63</f>
        <v>0</v>
      </c>
      <c r="J63" s="332">
        <f>'PLAN INDICATIVO'!J63</f>
        <v>0</v>
      </c>
      <c r="K63" s="1429" t="str">
        <f>'PLAN INDICATIVO'!K63</f>
        <v>A.5.1.13</v>
      </c>
      <c r="L63" s="1429" t="str">
        <f>'PLAN INDICATIVO'!L63</f>
        <v>11. Ciudades y comunidades sostenibles</v>
      </c>
      <c r="M63" s="1429" t="str">
        <f>'PLAN INDICATIVO'!M63</f>
        <v>Secretaría de Educación, Cultura, deporte y Turismo</v>
      </c>
      <c r="N63" s="1513" t="s">
        <v>5122</v>
      </c>
      <c r="O63" s="1429" t="str">
        <f>'PLAN INDICATIVO'!O63</f>
        <v>Incremento</v>
      </c>
      <c r="P63" s="74" t="str">
        <f>'PLAN INDICATIVO'!P63</f>
        <v>Realizar 2 capacitaciones para promover la comercialización del sector artesanal  durante el cuatrienio</v>
      </c>
      <c r="Q63" s="333" t="str">
        <f>'PLAN INDICATIVO'!Q63</f>
        <v>No. De capacitaciones realizadas</v>
      </c>
      <c r="R63" s="334">
        <f>'PLAN INDICATIVO'!R63</f>
        <v>2015</v>
      </c>
      <c r="S63" s="304">
        <v>0</v>
      </c>
      <c r="T63" s="677">
        <v>2</v>
      </c>
      <c r="U63" s="303">
        <v>0</v>
      </c>
      <c r="V63" s="687">
        <v>1000000</v>
      </c>
      <c r="W63" s="572">
        <v>1</v>
      </c>
      <c r="X63" s="687">
        <v>500000</v>
      </c>
      <c r="Y63" s="572">
        <v>1</v>
      </c>
      <c r="Z63" s="687">
        <v>500000</v>
      </c>
      <c r="AA63" s="1310">
        <v>1</v>
      </c>
      <c r="AB63" s="686">
        <v>1000000</v>
      </c>
      <c r="AC63" s="665"/>
      <c r="AD63" s="665"/>
      <c r="AE63" s="665"/>
      <c r="AF63" s="665">
        <v>1</v>
      </c>
      <c r="AG63" s="306" t="s">
        <v>5137</v>
      </c>
      <c r="AH63" s="987">
        <v>2019413960014</v>
      </c>
      <c r="AI63" s="1007" t="s">
        <v>4821</v>
      </c>
      <c r="AJ63" s="309">
        <v>43497</v>
      </c>
      <c r="AK63" s="309">
        <v>43676</v>
      </c>
      <c r="AL63" s="308"/>
      <c r="AM63" s="308"/>
      <c r="AN63" s="267" t="s">
        <v>2600</v>
      </c>
      <c r="AO63" s="508"/>
      <c r="AP63" s="526"/>
      <c r="AQ63" s="470"/>
      <c r="AR63" s="470"/>
      <c r="AS63" s="470"/>
      <c r="AT63" s="470"/>
      <c r="AU63" s="470"/>
      <c r="AV63" s="470"/>
      <c r="AW63" s="544"/>
      <c r="AX63" s="526"/>
      <c r="AY63" s="470"/>
      <c r="AZ63" s="470"/>
      <c r="BA63" s="470"/>
      <c r="BB63" s="470"/>
      <c r="BC63" s="470"/>
      <c r="BD63" s="470"/>
      <c r="BE63" s="544"/>
      <c r="BF63" s="526"/>
      <c r="BG63" s="470"/>
      <c r="BH63" s="470"/>
      <c r="BI63" s="470"/>
      <c r="BJ63" s="470"/>
      <c r="BK63" s="470"/>
      <c r="BL63" s="470"/>
      <c r="BM63" s="544">
        <f t="shared" si="15"/>
        <v>0</v>
      </c>
      <c r="BN63" s="526"/>
      <c r="BO63" s="470"/>
      <c r="BP63" s="470"/>
      <c r="BQ63" s="470"/>
      <c r="BR63" s="470"/>
      <c r="BS63" s="470"/>
      <c r="BT63" s="470"/>
      <c r="BU63" s="544"/>
      <c r="BV63" s="556"/>
      <c r="BW63" s="663">
        <f t="shared" si="7"/>
        <v>1</v>
      </c>
      <c r="BX63" s="1047">
        <f t="shared" si="23"/>
        <v>0.5</v>
      </c>
      <c r="BY63" s="1047" t="str">
        <f t="shared" si="24"/>
        <v>Aplazada</v>
      </c>
      <c r="BZ63" s="1047">
        <f t="shared" si="25"/>
        <v>0</v>
      </c>
      <c r="CA63" s="1047">
        <f t="shared" si="26"/>
        <v>0</v>
      </c>
      <c r="CB63" s="1047">
        <f t="shared" si="27"/>
        <v>1</v>
      </c>
      <c r="CD63" t="str">
        <f t="shared" si="28"/>
        <v>AZ</v>
      </c>
      <c r="CE63" t="str">
        <f t="shared" si="28"/>
        <v>ROB</v>
      </c>
      <c r="CF63" t="str">
        <f t="shared" si="28"/>
        <v>ROB</v>
      </c>
      <c r="CG63" t="str">
        <f t="shared" si="28"/>
        <v>VE</v>
      </c>
    </row>
    <row r="64" spans="1:85" ht="33" customHeight="1" x14ac:dyDescent="0.3">
      <c r="A64" s="298" t="s">
        <v>2458</v>
      </c>
      <c r="B64" s="299" t="str">
        <f>'PLAN INDICATIVO'!B64</f>
        <v>Cultura</v>
      </c>
      <c r="C64" s="1547"/>
      <c r="D64" s="1551"/>
      <c r="E64" s="1551"/>
      <c r="F64" s="1551"/>
      <c r="G64" s="1551"/>
      <c r="H64" s="1551"/>
      <c r="I64" s="332">
        <f>'PLAN INDICATIVO'!I64</f>
        <v>0</v>
      </c>
      <c r="J64" s="332" t="str">
        <f>'PLAN INDICATIVO'!J64</f>
        <v>SI</v>
      </c>
      <c r="K64" s="1429" t="str">
        <f>'PLAN INDICATIVO'!K64</f>
        <v>A.5.1.14</v>
      </c>
      <c r="L64" s="1429" t="str">
        <f>'PLAN INDICATIVO'!L64</f>
        <v>11. Ciudades y comunidades sostenibles</v>
      </c>
      <c r="M64" s="1429" t="str">
        <f>'PLAN INDICATIVO'!M64</f>
        <v>Secretaría de Educación, Cultura, deporte y Turismo</v>
      </c>
      <c r="N64" s="1513" t="s">
        <v>5122</v>
      </c>
      <c r="O64" s="1429" t="str">
        <f>'PLAN INDICATIVO'!O64</f>
        <v>Incremento</v>
      </c>
      <c r="P64" s="74" t="str">
        <f>'PLAN INDICATIVO'!P64</f>
        <v>Implementar medidas de salvaguarda del FESTIVAL FOLKLORICO Y SANPEDRINO DEL SUR OCCIDENTE HUILENSE Y ORIENTE CAUCANO, durante el cuatrienio</v>
      </c>
      <c r="Q64" s="333" t="str">
        <f>'PLAN INDICATIVO'!Q64</f>
        <v>No. De medidas implementadas</v>
      </c>
      <c r="R64" s="334">
        <f>'PLAN INDICATIVO'!R64</f>
        <v>2015</v>
      </c>
      <c r="S64" s="304">
        <v>0</v>
      </c>
      <c r="T64" s="677">
        <v>1</v>
      </c>
      <c r="U64" s="303">
        <v>0</v>
      </c>
      <c r="V64" s="687">
        <v>1000000</v>
      </c>
      <c r="W64" s="572">
        <v>1</v>
      </c>
      <c r="X64" s="687">
        <v>500000</v>
      </c>
      <c r="Y64" s="572">
        <v>0.5</v>
      </c>
      <c r="Z64" s="687">
        <v>500000</v>
      </c>
      <c r="AA64" s="1310">
        <v>0.5</v>
      </c>
      <c r="AB64" s="686">
        <v>5000000</v>
      </c>
      <c r="AC64" s="665"/>
      <c r="AD64" s="665"/>
      <c r="AE64" s="665">
        <v>0.5</v>
      </c>
      <c r="AF64" s="665">
        <v>0.5</v>
      </c>
      <c r="AG64" s="306" t="s">
        <v>5137</v>
      </c>
      <c r="AH64" s="987">
        <v>2019413960014</v>
      </c>
      <c r="AI64" s="1007" t="s">
        <v>4924</v>
      </c>
      <c r="AJ64" s="309">
        <v>43497</v>
      </c>
      <c r="AK64" s="309">
        <v>43676</v>
      </c>
      <c r="AL64" s="308"/>
      <c r="AM64" s="308"/>
      <c r="AN64" s="267" t="s">
        <v>2598</v>
      </c>
      <c r="AO64" s="508"/>
      <c r="AP64" s="525"/>
      <c r="AQ64" s="310"/>
      <c r="AR64" s="310"/>
      <c r="AS64" s="310"/>
      <c r="AT64" s="310"/>
      <c r="AU64" s="310"/>
      <c r="AV64" s="310"/>
      <c r="AW64" s="544"/>
      <c r="AX64" s="525"/>
      <c r="AY64" s="310"/>
      <c r="AZ64" s="310"/>
      <c r="BA64" s="310"/>
      <c r="BB64" s="310"/>
      <c r="BC64" s="310"/>
      <c r="BD64" s="310"/>
      <c r="BE64" s="544"/>
      <c r="BF64" s="525"/>
      <c r="BG64" s="310"/>
      <c r="BH64" s="310"/>
      <c r="BI64" s="310"/>
      <c r="BJ64" s="310"/>
      <c r="BK64" s="310"/>
      <c r="BL64" s="310"/>
      <c r="BM64" s="544">
        <f t="shared" si="15"/>
        <v>0</v>
      </c>
      <c r="BN64" s="525"/>
      <c r="BO64" s="310"/>
      <c r="BP64" s="310"/>
      <c r="BQ64" s="310"/>
      <c r="BR64" s="310"/>
      <c r="BS64" s="310"/>
      <c r="BT64" s="310"/>
      <c r="BU64" s="544"/>
      <c r="BV64" s="556"/>
      <c r="BW64" s="663">
        <f t="shared" si="7"/>
        <v>1</v>
      </c>
      <c r="BX64" s="1047">
        <f t="shared" si="23"/>
        <v>1</v>
      </c>
      <c r="BY64" s="1047" t="str">
        <f t="shared" si="24"/>
        <v>Aplazada</v>
      </c>
      <c r="BZ64" s="1047">
        <f t="shared" si="25"/>
        <v>0</v>
      </c>
      <c r="CA64" s="1047">
        <f t="shared" si="26"/>
        <v>1</v>
      </c>
      <c r="CB64" s="1047">
        <f t="shared" si="27"/>
        <v>1</v>
      </c>
      <c r="CD64" t="str">
        <f t="shared" si="28"/>
        <v>AZ</v>
      </c>
      <c r="CE64" t="str">
        <f t="shared" si="28"/>
        <v>ROB</v>
      </c>
      <c r="CF64" t="str">
        <f t="shared" si="28"/>
        <v>VE</v>
      </c>
      <c r="CG64" t="str">
        <f t="shared" si="28"/>
        <v>VE</v>
      </c>
    </row>
    <row r="65" spans="1:85" ht="77.25" customHeight="1" x14ac:dyDescent="0.3">
      <c r="A65" s="298" t="s">
        <v>173</v>
      </c>
      <c r="B65" s="299" t="str">
        <f>'PLAN INDICATIVO'!B65</f>
        <v>Cultura</v>
      </c>
      <c r="C65" s="1547"/>
      <c r="D65" s="1551"/>
      <c r="E65" s="1551"/>
      <c r="F65" s="1551"/>
      <c r="G65" s="1551"/>
      <c r="H65" s="1551"/>
      <c r="I65" s="332">
        <f>'PLAN INDICATIVO'!I65</f>
        <v>0</v>
      </c>
      <c r="J65" s="332">
        <f>'PLAN INDICATIVO'!J65</f>
        <v>0</v>
      </c>
      <c r="K65" s="1429" t="str">
        <f>'PLAN INDICATIVO'!K65</f>
        <v>A.5.1.15</v>
      </c>
      <c r="L65" s="1429" t="str">
        <f>'PLAN INDICATIVO'!L65</f>
        <v>11. Ciudades y comunidades sostenibles</v>
      </c>
      <c r="M65" s="1429" t="str">
        <f>'PLAN INDICATIVO'!M65</f>
        <v>Secretaría de Educación, Cultura, deporte y Turismo</v>
      </c>
      <c r="N65" s="1513" t="s">
        <v>5122</v>
      </c>
      <c r="O65" s="1429" t="str">
        <f>'PLAN INDICATIVO'!O65</f>
        <v>Incremento</v>
      </c>
      <c r="P65" s="74" t="str">
        <f>'PLAN INDICATIVO'!P65</f>
        <v>Realizar 16 Peñas Culturales, en la zona urbana y rural, durante el cuatrienio</v>
      </c>
      <c r="Q65" s="333" t="str">
        <f>'PLAN INDICATIVO'!Q65</f>
        <v>No. de peñas culturales realizadas en el cuatrienio</v>
      </c>
      <c r="R65" s="334">
        <f>'PLAN INDICATIVO'!R65</f>
        <v>2015</v>
      </c>
      <c r="S65" s="304">
        <v>0</v>
      </c>
      <c r="T65" s="677">
        <v>16</v>
      </c>
      <c r="U65" s="303">
        <v>4</v>
      </c>
      <c r="V65" s="687">
        <v>11000000</v>
      </c>
      <c r="W65" s="572">
        <v>4</v>
      </c>
      <c r="X65" s="687">
        <v>5000000</v>
      </c>
      <c r="Y65" s="572">
        <v>4</v>
      </c>
      <c r="Z65" s="687">
        <v>5000000</v>
      </c>
      <c r="AA65" s="1310">
        <v>5</v>
      </c>
      <c r="AB65" s="686">
        <v>15000000</v>
      </c>
      <c r="AC65" s="665"/>
      <c r="AD65" s="665">
        <v>4</v>
      </c>
      <c r="AE65" s="665">
        <v>3</v>
      </c>
      <c r="AF65" s="665">
        <v>6</v>
      </c>
      <c r="AG65" s="306" t="s">
        <v>5137</v>
      </c>
      <c r="AH65" s="987">
        <v>2019413960014</v>
      </c>
      <c r="AI65" s="1007" t="s">
        <v>4925</v>
      </c>
      <c r="AJ65" s="309">
        <v>43497</v>
      </c>
      <c r="AK65" s="309">
        <v>43676</v>
      </c>
      <c r="AL65" s="308"/>
      <c r="AM65" s="308"/>
      <c r="AN65" s="267" t="s">
        <v>2604</v>
      </c>
      <c r="AO65" s="508"/>
      <c r="AP65" s="525"/>
      <c r="AQ65" s="310"/>
      <c r="AR65" s="310"/>
      <c r="AS65" s="310"/>
      <c r="AT65" s="310"/>
      <c r="AU65" s="310"/>
      <c r="AV65" s="310"/>
      <c r="AW65" s="544"/>
      <c r="AX65" s="525"/>
      <c r="AY65" s="310"/>
      <c r="AZ65" s="310"/>
      <c r="BA65" s="310"/>
      <c r="BB65" s="310"/>
      <c r="BC65" s="310"/>
      <c r="BD65" s="310"/>
      <c r="BE65" s="544"/>
      <c r="BF65" s="525"/>
      <c r="BG65" s="310"/>
      <c r="BH65" s="310"/>
      <c r="BI65" s="310"/>
      <c r="BJ65" s="310"/>
      <c r="BK65" s="310"/>
      <c r="BL65" s="310"/>
      <c r="BM65" s="544">
        <f t="shared" si="15"/>
        <v>0</v>
      </c>
      <c r="BN65" s="525"/>
      <c r="BO65" s="310"/>
      <c r="BP65" s="310"/>
      <c r="BQ65" s="310"/>
      <c r="BR65" s="310"/>
      <c r="BS65" s="310"/>
      <c r="BT65" s="310"/>
      <c r="BU65" s="544"/>
      <c r="BV65" s="556"/>
      <c r="BW65" s="663">
        <f t="shared" si="7"/>
        <v>13</v>
      </c>
      <c r="BX65" s="1047">
        <f t="shared" si="23"/>
        <v>0.8125</v>
      </c>
      <c r="BY65" s="1047">
        <f t="shared" si="24"/>
        <v>0</v>
      </c>
      <c r="BZ65" s="1047">
        <f t="shared" si="25"/>
        <v>1</v>
      </c>
      <c r="CA65" s="1047">
        <f t="shared" si="26"/>
        <v>0.75</v>
      </c>
      <c r="CB65" s="1047">
        <f t="shared" si="27"/>
        <v>1.2</v>
      </c>
      <c r="CD65" t="str">
        <f t="shared" si="28"/>
        <v>ROB</v>
      </c>
      <c r="CE65" t="str">
        <f t="shared" si="28"/>
        <v>VE</v>
      </c>
      <c r="CF65" t="str">
        <f t="shared" si="28"/>
        <v>VEB</v>
      </c>
      <c r="CG65" t="str">
        <f t="shared" si="28"/>
        <v>VE</v>
      </c>
    </row>
    <row r="66" spans="1:85" ht="81" customHeight="1" x14ac:dyDescent="0.3">
      <c r="A66" s="298" t="s">
        <v>2458</v>
      </c>
      <c r="B66" s="299" t="str">
        <f>'PLAN INDICATIVO'!B66</f>
        <v>Cultura</v>
      </c>
      <c r="C66" s="1547"/>
      <c r="D66" s="1551"/>
      <c r="E66" s="1551"/>
      <c r="F66" s="1551"/>
      <c r="G66" s="1551"/>
      <c r="H66" s="1551"/>
      <c r="I66" s="332">
        <f>'PLAN INDICATIVO'!I66</f>
        <v>0</v>
      </c>
      <c r="J66" s="332">
        <f>'PLAN INDICATIVO'!J66</f>
        <v>0</v>
      </c>
      <c r="K66" s="1429" t="str">
        <f>'PLAN INDICATIVO'!K66</f>
        <v>A.5.1.16</v>
      </c>
      <c r="L66" s="1429" t="str">
        <f>'PLAN INDICATIVO'!L66</f>
        <v>11. Ciudades y comunidades sostenibles</v>
      </c>
      <c r="M66" s="1429" t="str">
        <f>'PLAN INDICATIVO'!M66</f>
        <v>Secretaría de Educación, Cultura, deporte y Turismo</v>
      </c>
      <c r="N66" s="1513" t="s">
        <v>5122</v>
      </c>
      <c r="O66" s="1429" t="str">
        <f>'PLAN INDICATIVO'!O66</f>
        <v>Incremento</v>
      </c>
      <c r="P66" s="74" t="str">
        <f>'PLAN INDICATIVO'!P66</f>
        <v>Suministrar 2 dotaciones mantenimiento y/o compra de accesorios, para los instrumentos para las bandas musicales y de paz, durante el cuatrienio</v>
      </c>
      <c r="Q66" s="333" t="str">
        <f>'PLAN INDICATIVO'!Q66</f>
        <v>No. de dotaciones mantenimientos y/o compras de accesorios suministradas en el cuatrienio</v>
      </c>
      <c r="R66" s="334">
        <f>'PLAN INDICATIVO'!R66</f>
        <v>2015</v>
      </c>
      <c r="S66" s="304">
        <v>0</v>
      </c>
      <c r="T66" s="677">
        <v>2</v>
      </c>
      <c r="U66" s="303">
        <v>1</v>
      </c>
      <c r="V66" s="687">
        <v>2000000</v>
      </c>
      <c r="W66" s="572">
        <v>2</v>
      </c>
      <c r="X66" s="572">
        <v>17000000</v>
      </c>
      <c r="Y66" s="572"/>
      <c r="Z66" s="687">
        <v>10000000</v>
      </c>
      <c r="AA66" s="1310"/>
      <c r="AB66" s="686">
        <v>7000000</v>
      </c>
      <c r="AC66" s="665"/>
      <c r="AD66" s="665">
        <v>4</v>
      </c>
      <c r="AE66" s="665">
        <v>1</v>
      </c>
      <c r="AF66" s="665">
        <v>1</v>
      </c>
      <c r="AG66" s="306" t="s">
        <v>5137</v>
      </c>
      <c r="AH66" s="987">
        <v>2019413960014</v>
      </c>
      <c r="AI66" s="1007" t="s">
        <v>4822</v>
      </c>
      <c r="AJ66" s="309">
        <v>43497</v>
      </c>
      <c r="AK66" s="309">
        <v>43647</v>
      </c>
      <c r="AL66" s="308"/>
      <c r="AM66" s="308"/>
      <c r="AN66" s="267" t="s">
        <v>2594</v>
      </c>
      <c r="AO66" s="508"/>
      <c r="AP66" s="525"/>
      <c r="AQ66" s="310"/>
      <c r="AR66" s="310"/>
      <c r="AS66" s="310"/>
      <c r="AT66" s="310"/>
      <c r="AU66" s="310"/>
      <c r="AV66" s="310"/>
      <c r="AW66" s="544"/>
      <c r="AX66" s="525"/>
      <c r="AY66" s="310"/>
      <c r="AZ66" s="310"/>
      <c r="BA66" s="310"/>
      <c r="BB66" s="310"/>
      <c r="BC66" s="310"/>
      <c r="BD66" s="310"/>
      <c r="BE66" s="544"/>
      <c r="BF66" s="525"/>
      <c r="BG66" s="310"/>
      <c r="BH66" s="310"/>
      <c r="BI66" s="310"/>
      <c r="BJ66" s="310"/>
      <c r="BK66" s="310"/>
      <c r="BL66" s="310"/>
      <c r="BM66" s="544">
        <f t="shared" si="15"/>
        <v>0</v>
      </c>
      <c r="BN66" s="525"/>
      <c r="BO66" s="310"/>
      <c r="BP66" s="310"/>
      <c r="BQ66" s="310"/>
      <c r="BR66" s="310"/>
      <c r="BS66" s="310"/>
      <c r="BT66" s="310"/>
      <c r="BU66" s="544"/>
      <c r="BV66" s="556"/>
      <c r="BW66" s="663">
        <f t="shared" si="7"/>
        <v>6</v>
      </c>
      <c r="BX66" s="1047">
        <f t="shared" si="23"/>
        <v>3</v>
      </c>
      <c r="BY66" s="1047">
        <f t="shared" si="24"/>
        <v>0</v>
      </c>
      <c r="BZ66" s="1047">
        <f t="shared" si="25"/>
        <v>2</v>
      </c>
      <c r="CA66" s="1047" t="str">
        <f t="shared" si="26"/>
        <v>No Programada</v>
      </c>
      <c r="CB66" s="1047" t="str">
        <f t="shared" si="27"/>
        <v>No Programada</v>
      </c>
      <c r="CD66" t="str">
        <f t="shared" si="28"/>
        <v>ROB</v>
      </c>
      <c r="CE66" t="str">
        <f t="shared" si="28"/>
        <v>VE</v>
      </c>
      <c r="CF66" t="str">
        <f t="shared" si="28"/>
        <v>NP</v>
      </c>
      <c r="CG66" t="str">
        <f t="shared" si="28"/>
        <v>NP</v>
      </c>
    </row>
    <row r="67" spans="1:85" ht="82.5" customHeight="1" x14ac:dyDescent="0.3">
      <c r="A67" s="298" t="s">
        <v>173</v>
      </c>
      <c r="B67" s="299" t="str">
        <f>'PLAN INDICATIVO'!B67</f>
        <v>Cultura</v>
      </c>
      <c r="C67" s="1547"/>
      <c r="D67" s="1551"/>
      <c r="E67" s="1551"/>
      <c r="F67" s="1551"/>
      <c r="G67" s="1551"/>
      <c r="H67" s="1551"/>
      <c r="I67" s="332">
        <f>'PLAN INDICATIVO'!I67</f>
        <v>0</v>
      </c>
      <c r="J67" s="332">
        <f>'PLAN INDICATIVO'!J67</f>
        <v>0</v>
      </c>
      <c r="K67" s="1429" t="str">
        <f>'PLAN INDICATIVO'!K67</f>
        <v>A.5.1.17</v>
      </c>
      <c r="L67" s="1429" t="str">
        <f>'PLAN INDICATIVO'!L67</f>
        <v>11. Ciudades y comunidades sostenibles</v>
      </c>
      <c r="M67" s="1429" t="str">
        <f>'PLAN INDICATIVO'!M67</f>
        <v>Secretaría de Educación, Cultura, deporte y Turismo</v>
      </c>
      <c r="N67" s="1513" t="s">
        <v>5122</v>
      </c>
      <c r="O67" s="1429" t="str">
        <f>'PLAN INDICATIVO'!O67</f>
        <v>Incremento</v>
      </c>
      <c r="P67" s="74" t="str">
        <f>'PLAN INDICATIVO'!P67</f>
        <v>Vincular 320 personas en el cuatrienio al programa musical de bandas, coros, música tradicional y de cuerda, con apoyo logístico y de personal</v>
      </c>
      <c r="Q67" s="333" t="str">
        <f>'PLAN INDICATIVO'!Q67</f>
        <v>No. De personas vinculadas en el cuatrienio</v>
      </c>
      <c r="R67" s="334">
        <f>'PLAN INDICATIVO'!R67</f>
        <v>2015</v>
      </c>
      <c r="S67" s="304">
        <v>50</v>
      </c>
      <c r="T67" s="677">
        <v>320</v>
      </c>
      <c r="U67" s="303">
        <v>80</v>
      </c>
      <c r="V67" s="687">
        <v>29000000</v>
      </c>
      <c r="W67" s="572">
        <v>80</v>
      </c>
      <c r="X67" s="687">
        <v>18000000</v>
      </c>
      <c r="Y67" s="572">
        <v>60</v>
      </c>
      <c r="Z67" s="687">
        <v>18000000</v>
      </c>
      <c r="AA67" s="1310">
        <v>30</v>
      </c>
      <c r="AB67" s="686">
        <v>1000000</v>
      </c>
      <c r="AC67" s="665"/>
      <c r="AD67" s="665">
        <v>80</v>
      </c>
      <c r="AE67" s="665">
        <v>80</v>
      </c>
      <c r="AF67" s="665">
        <v>111</v>
      </c>
      <c r="AG67" s="306" t="s">
        <v>5137</v>
      </c>
      <c r="AH67" s="987">
        <v>2019413960014</v>
      </c>
      <c r="AI67" s="1007" t="s">
        <v>4823</v>
      </c>
      <c r="AJ67" s="309">
        <v>43497</v>
      </c>
      <c r="AK67" s="309">
        <v>43799</v>
      </c>
      <c r="AL67" s="308"/>
      <c r="AM67" s="308"/>
      <c r="AN67" s="267" t="s">
        <v>2598</v>
      </c>
      <c r="AO67" s="508"/>
      <c r="AP67" s="525"/>
      <c r="AQ67" s="310"/>
      <c r="AR67" s="310"/>
      <c r="AS67" s="310"/>
      <c r="AT67" s="310"/>
      <c r="AU67" s="310"/>
      <c r="AV67" s="310"/>
      <c r="AW67" s="544"/>
      <c r="AX67" s="525"/>
      <c r="AY67" s="310"/>
      <c r="AZ67" s="310"/>
      <c r="BA67" s="310"/>
      <c r="BB67" s="310"/>
      <c r="BC67" s="310"/>
      <c r="BD67" s="310"/>
      <c r="BE67" s="544"/>
      <c r="BF67" s="525"/>
      <c r="BG67" s="310"/>
      <c r="BH67" s="310"/>
      <c r="BI67" s="310"/>
      <c r="BJ67" s="310"/>
      <c r="BK67" s="310"/>
      <c r="BL67" s="310"/>
      <c r="BM67" s="544">
        <f t="shared" si="15"/>
        <v>0</v>
      </c>
      <c r="BN67" s="525"/>
      <c r="BO67" s="310"/>
      <c r="BP67" s="310"/>
      <c r="BQ67" s="310"/>
      <c r="BR67" s="310"/>
      <c r="BS67" s="310"/>
      <c r="BT67" s="310"/>
      <c r="BU67" s="544"/>
      <c r="BV67" s="556"/>
      <c r="BW67" s="663">
        <f t="shared" si="7"/>
        <v>271</v>
      </c>
      <c r="BX67" s="1047">
        <f t="shared" si="23"/>
        <v>0.84687500000000004</v>
      </c>
      <c r="BY67" s="1047">
        <f t="shared" si="24"/>
        <v>0</v>
      </c>
      <c r="BZ67" s="1047">
        <f t="shared" si="25"/>
        <v>1</v>
      </c>
      <c r="CA67" s="1047">
        <f t="shared" si="26"/>
        <v>1.3333333333333333</v>
      </c>
      <c r="CB67" s="1047">
        <f t="shared" si="27"/>
        <v>3.7</v>
      </c>
      <c r="CD67" t="str">
        <f t="shared" si="28"/>
        <v>ROB</v>
      </c>
      <c r="CE67" t="str">
        <f t="shared" si="28"/>
        <v>VE</v>
      </c>
      <c r="CF67" t="str">
        <f t="shared" si="28"/>
        <v>VE</v>
      </c>
      <c r="CG67" t="str">
        <f t="shared" si="28"/>
        <v>VE</v>
      </c>
    </row>
    <row r="68" spans="1:85" ht="71.25" hidden="1" customHeight="1" x14ac:dyDescent="0.25">
      <c r="A68" s="298" t="s">
        <v>173</v>
      </c>
      <c r="B68" s="299" t="str">
        <f>'PLAN INDICATIVO'!B68</f>
        <v>Cultura</v>
      </c>
      <c r="C68" s="1547"/>
      <c r="D68" s="1551"/>
      <c r="E68" s="1551"/>
      <c r="F68" s="1551"/>
      <c r="G68" s="1551"/>
      <c r="H68" s="1551"/>
      <c r="I68" s="332">
        <f>'PLAN INDICATIVO'!I68</f>
        <v>0</v>
      </c>
      <c r="J68" s="332">
        <f>'PLAN INDICATIVO'!J68</f>
        <v>0</v>
      </c>
      <c r="K68" s="1429" t="str">
        <f>'PLAN INDICATIVO'!K68</f>
        <v>A.5.1.18</v>
      </c>
      <c r="L68" s="1429" t="str">
        <f>'PLAN INDICATIVO'!L68</f>
        <v>11. Ciudades y comunidades sostenibles</v>
      </c>
      <c r="M68" s="1429" t="str">
        <f>'PLAN INDICATIVO'!M68</f>
        <v>Secretaría de Educación, Cultura, deporte y Turismo</v>
      </c>
      <c r="N68" s="1513" t="s">
        <v>5122</v>
      </c>
      <c r="O68" s="1429" t="str">
        <f>'PLAN INDICATIVO'!O68</f>
        <v>Incremento</v>
      </c>
      <c r="P68" s="74" t="str">
        <f>'PLAN INDICATIVO'!P68</f>
        <v>Crear 1 Secretaria Municipal de Cultura, Deporte y Turismo durante el cuatrienio.</v>
      </c>
      <c r="Q68" s="333" t="str">
        <f>'PLAN INDICATIVO'!Q68</f>
        <v>No. De secretarias creadas en el cuatrienio</v>
      </c>
      <c r="R68" s="334">
        <f>'PLAN INDICATIVO'!R68</f>
        <v>2015</v>
      </c>
      <c r="S68" s="304">
        <v>0</v>
      </c>
      <c r="T68" s="677">
        <v>1</v>
      </c>
      <c r="U68" s="303"/>
      <c r="V68" s="687">
        <v>1000000</v>
      </c>
      <c r="W68" s="572"/>
      <c r="X68" s="687">
        <v>500000</v>
      </c>
      <c r="Y68" s="572">
        <v>0.5</v>
      </c>
      <c r="Z68" s="687">
        <v>500000</v>
      </c>
      <c r="AA68" s="1310">
        <v>0.5</v>
      </c>
      <c r="AB68" s="686"/>
      <c r="AC68" s="665"/>
      <c r="AD68" s="665"/>
      <c r="AE68" s="665">
        <v>0.5</v>
      </c>
      <c r="AF68" s="665">
        <v>0.5</v>
      </c>
      <c r="AG68" s="306" t="s">
        <v>5137</v>
      </c>
      <c r="AH68" s="987">
        <v>2019413960014</v>
      </c>
      <c r="AI68" s="1007" t="s">
        <v>4926</v>
      </c>
      <c r="AJ68" s="309">
        <v>43497</v>
      </c>
      <c r="AK68" s="309">
        <v>43799</v>
      </c>
      <c r="AL68" s="308"/>
      <c r="AM68" s="308"/>
      <c r="AN68" s="267" t="s">
        <v>2600</v>
      </c>
      <c r="AO68" s="508"/>
      <c r="AP68" s="525"/>
      <c r="AQ68" s="310"/>
      <c r="AR68" s="310"/>
      <c r="AS68" s="310"/>
      <c r="AT68" s="310"/>
      <c r="AU68" s="310"/>
      <c r="AV68" s="310"/>
      <c r="AW68" s="544"/>
      <c r="AX68" s="525"/>
      <c r="AY68" s="310"/>
      <c r="AZ68" s="310"/>
      <c r="BA68" s="310"/>
      <c r="BB68" s="310"/>
      <c r="BC68" s="310"/>
      <c r="BD68" s="310"/>
      <c r="BE68" s="544"/>
      <c r="BF68" s="525"/>
      <c r="BG68" s="310"/>
      <c r="BH68" s="310"/>
      <c r="BI68" s="310"/>
      <c r="BJ68" s="310"/>
      <c r="BK68" s="310"/>
      <c r="BL68" s="310"/>
      <c r="BM68" s="544">
        <f t="shared" si="15"/>
        <v>0</v>
      </c>
      <c r="BN68" s="525"/>
      <c r="BO68" s="310"/>
      <c r="BP68" s="310"/>
      <c r="BQ68" s="310"/>
      <c r="BR68" s="310"/>
      <c r="BS68" s="310"/>
      <c r="BT68" s="310"/>
      <c r="BU68" s="544"/>
      <c r="BV68" s="556"/>
      <c r="BW68" s="663">
        <f t="shared" si="7"/>
        <v>1</v>
      </c>
      <c r="BX68" s="1047">
        <f t="shared" si="23"/>
        <v>1</v>
      </c>
      <c r="BY68" s="1047" t="str">
        <f t="shared" si="24"/>
        <v>No Programada</v>
      </c>
      <c r="BZ68" s="1047" t="str">
        <f t="shared" si="25"/>
        <v>No Programada</v>
      </c>
      <c r="CA68" s="1047">
        <f t="shared" si="26"/>
        <v>1</v>
      </c>
      <c r="CB68" s="1047">
        <f t="shared" si="27"/>
        <v>1</v>
      </c>
      <c r="CD68" t="str">
        <f t="shared" si="28"/>
        <v>NP</v>
      </c>
      <c r="CE68" t="str">
        <f t="shared" si="28"/>
        <v>NP</v>
      </c>
      <c r="CF68" t="str">
        <f t="shared" si="28"/>
        <v>VE</v>
      </c>
      <c r="CG68" t="str">
        <f t="shared" si="28"/>
        <v>VE</v>
      </c>
    </row>
    <row r="69" spans="1:85" ht="62.25" customHeight="1" x14ac:dyDescent="0.3">
      <c r="A69" s="298" t="s">
        <v>173</v>
      </c>
      <c r="B69" s="299" t="str">
        <f>'PLAN INDICATIVO'!B69</f>
        <v>Cultura</v>
      </c>
      <c r="C69" s="1547"/>
      <c r="D69" s="1551"/>
      <c r="E69" s="1551"/>
      <c r="F69" s="1551"/>
      <c r="G69" s="1551"/>
      <c r="H69" s="1551"/>
      <c r="I69" s="332">
        <f>'PLAN INDICATIVO'!I69</f>
        <v>0</v>
      </c>
      <c r="J69" s="332">
        <f>'PLAN INDICATIVO'!J69</f>
        <v>0</v>
      </c>
      <c r="K69" s="1429" t="str">
        <f>'PLAN INDICATIVO'!K69</f>
        <v>A.5.1.19</v>
      </c>
      <c r="L69" s="1429" t="str">
        <f>'PLAN INDICATIVO'!L69</f>
        <v>11. Ciudades y comunidades sostenibles</v>
      </c>
      <c r="M69" s="1429" t="str">
        <f>'PLAN INDICATIVO'!M69</f>
        <v>Secretaría de Educación, Cultura, deporte y Turismo</v>
      </c>
      <c r="N69" s="1513" t="s">
        <v>5122</v>
      </c>
      <c r="O69" s="1429" t="str">
        <f>'PLAN INDICATIVO'!O69</f>
        <v>Incremento</v>
      </c>
      <c r="P69" s="74" t="str">
        <f>'PLAN INDICATIVO'!P69</f>
        <v>Apoyar 9  giras de intercambio cultural  a  grupos artísticos representativos del municipio, durante el cuatrienio</v>
      </c>
      <c r="Q69" s="333" t="str">
        <f>'PLAN INDICATIVO'!Q69</f>
        <v>No. de giras realizadas en el cuatrienio</v>
      </c>
      <c r="R69" s="334">
        <f>'PLAN INDICATIVO'!R69</f>
        <v>2015</v>
      </c>
      <c r="S69" s="304">
        <v>0</v>
      </c>
      <c r="T69" s="677">
        <v>9</v>
      </c>
      <c r="U69" s="303"/>
      <c r="V69" s="687">
        <v>10000000</v>
      </c>
      <c r="W69" s="572">
        <v>3</v>
      </c>
      <c r="X69" s="687">
        <v>500000</v>
      </c>
      <c r="Y69" s="572">
        <v>4</v>
      </c>
      <c r="Z69" s="687">
        <v>500000</v>
      </c>
      <c r="AA69" s="1310">
        <v>3</v>
      </c>
      <c r="AB69" s="686">
        <v>10000000</v>
      </c>
      <c r="AC69" s="665"/>
      <c r="AD69" s="665">
        <v>2</v>
      </c>
      <c r="AE69" s="665">
        <v>4</v>
      </c>
      <c r="AF69" s="665">
        <v>3</v>
      </c>
      <c r="AG69" s="306" t="s">
        <v>5137</v>
      </c>
      <c r="AH69" s="987">
        <v>2019413960014</v>
      </c>
      <c r="AI69" s="1007" t="s">
        <v>5084</v>
      </c>
      <c r="AJ69" s="309">
        <v>43497</v>
      </c>
      <c r="AK69" s="309">
        <v>43799</v>
      </c>
      <c r="AL69" s="308"/>
      <c r="AM69" s="308"/>
      <c r="AN69" s="267" t="s">
        <v>2598</v>
      </c>
      <c r="AO69" s="508"/>
      <c r="AP69" s="525"/>
      <c r="AQ69" s="310"/>
      <c r="AR69" s="310"/>
      <c r="AS69" s="310"/>
      <c r="AT69" s="310"/>
      <c r="AU69" s="310"/>
      <c r="AV69" s="310"/>
      <c r="AW69" s="544"/>
      <c r="AX69" s="525"/>
      <c r="AY69" s="310"/>
      <c r="AZ69" s="310"/>
      <c r="BA69" s="310"/>
      <c r="BB69" s="310"/>
      <c r="BC69" s="310"/>
      <c r="BD69" s="310"/>
      <c r="BE69" s="544"/>
      <c r="BF69" s="525"/>
      <c r="BG69" s="310"/>
      <c r="BH69" s="310"/>
      <c r="BI69" s="310"/>
      <c r="BJ69" s="310"/>
      <c r="BK69" s="310"/>
      <c r="BL69" s="310"/>
      <c r="BM69" s="544">
        <f t="shared" si="15"/>
        <v>0</v>
      </c>
      <c r="BN69" s="525"/>
      <c r="BO69" s="310"/>
      <c r="BP69" s="310"/>
      <c r="BQ69" s="310"/>
      <c r="BR69" s="310"/>
      <c r="BS69" s="310"/>
      <c r="BT69" s="310"/>
      <c r="BU69" s="544"/>
      <c r="BV69" s="556"/>
      <c r="BW69" s="663">
        <f t="shared" si="7"/>
        <v>9</v>
      </c>
      <c r="BX69" s="1047">
        <f t="shared" si="23"/>
        <v>1</v>
      </c>
      <c r="BY69" s="1047" t="str">
        <f t="shared" si="24"/>
        <v>No Programada</v>
      </c>
      <c r="BZ69" s="1047">
        <f t="shared" si="25"/>
        <v>0.66666666666666663</v>
      </c>
      <c r="CA69" s="1047">
        <f t="shared" si="26"/>
        <v>1</v>
      </c>
      <c r="CB69" s="1047">
        <f t="shared" si="27"/>
        <v>1</v>
      </c>
      <c r="CD69" t="str">
        <f t="shared" si="28"/>
        <v>NP</v>
      </c>
      <c r="CE69" t="str">
        <f t="shared" si="28"/>
        <v>AM</v>
      </c>
      <c r="CF69" t="str">
        <f t="shared" si="28"/>
        <v>VE</v>
      </c>
      <c r="CG69" t="str">
        <f t="shared" si="28"/>
        <v>VE</v>
      </c>
    </row>
    <row r="70" spans="1:85" ht="97.5" customHeight="1" x14ac:dyDescent="0.3">
      <c r="A70" s="298" t="s">
        <v>173</v>
      </c>
      <c r="B70" s="299" t="str">
        <f>'PLAN INDICATIVO'!B70</f>
        <v>Cultura</v>
      </c>
      <c r="C70" s="1547"/>
      <c r="D70" s="1551"/>
      <c r="E70" s="1551"/>
      <c r="F70" s="1551"/>
      <c r="G70" s="1551"/>
      <c r="H70" s="1551"/>
      <c r="I70" s="332">
        <f>'PLAN INDICATIVO'!I70</f>
        <v>0</v>
      </c>
      <c r="J70" s="332">
        <f>'PLAN INDICATIVO'!J70</f>
        <v>0</v>
      </c>
      <c r="K70" s="1429" t="str">
        <f>'PLAN INDICATIVO'!K70</f>
        <v>A.5.1.20</v>
      </c>
      <c r="L70" s="1429" t="str">
        <f>'PLAN INDICATIVO'!L70</f>
        <v>11. Ciudades y comunidades sostenibles</v>
      </c>
      <c r="M70" s="1429" t="str">
        <f>'PLAN INDICATIVO'!M70</f>
        <v>Secretaría de Educación, Cultura, deporte y Turismo</v>
      </c>
      <c r="N70" s="1513" t="s">
        <v>5122</v>
      </c>
      <c r="O70" s="1429" t="str">
        <f>'PLAN INDICATIVO'!O70</f>
        <v>Mantenimiento</v>
      </c>
      <c r="P70" s="74" t="str">
        <f>'PLAN INDICATIVO'!P70</f>
        <v>Generar 1  Espacio  anual de intercambio y formación  para  visibilización de  las manifestaciones artísticas y culturales de los diferentes grupos étnicos  acentuados en el municipio.</v>
      </c>
      <c r="Q70" s="333" t="str">
        <f>'PLAN INDICATIVO'!Q70</f>
        <v>No. de actividades realizadas cada año</v>
      </c>
      <c r="R70" s="334">
        <f>'PLAN INDICATIVO'!R70</f>
        <v>2015</v>
      </c>
      <c r="S70" s="304">
        <v>0</v>
      </c>
      <c r="T70" s="677">
        <v>4</v>
      </c>
      <c r="U70" s="303">
        <v>1</v>
      </c>
      <c r="V70" s="687">
        <v>9000000</v>
      </c>
      <c r="W70" s="572">
        <v>1</v>
      </c>
      <c r="X70" s="687">
        <v>10000000</v>
      </c>
      <c r="Y70" s="572">
        <v>1</v>
      </c>
      <c r="Z70" s="687">
        <v>10000000</v>
      </c>
      <c r="AA70" s="1310">
        <v>1</v>
      </c>
      <c r="AB70" s="686">
        <v>5000000</v>
      </c>
      <c r="AC70" s="665"/>
      <c r="AD70" s="665">
        <v>1</v>
      </c>
      <c r="AE70" s="665">
        <v>1</v>
      </c>
      <c r="AF70" s="665">
        <v>1</v>
      </c>
      <c r="AG70" s="306" t="s">
        <v>5137</v>
      </c>
      <c r="AH70" s="987">
        <v>2019413960014</v>
      </c>
      <c r="AI70" s="1007" t="s">
        <v>4824</v>
      </c>
      <c r="AJ70" s="309">
        <v>43497</v>
      </c>
      <c r="AK70" s="309">
        <v>43738</v>
      </c>
      <c r="AL70" s="308"/>
      <c r="AM70" s="308"/>
      <c r="AN70" s="267" t="s">
        <v>2598</v>
      </c>
      <c r="AO70" s="508"/>
      <c r="AP70" s="525"/>
      <c r="AQ70" s="310"/>
      <c r="AR70" s="310"/>
      <c r="AS70" s="310"/>
      <c r="AT70" s="310"/>
      <c r="AU70" s="310"/>
      <c r="AV70" s="310"/>
      <c r="AW70" s="544"/>
      <c r="AX70" s="525"/>
      <c r="AY70" s="310"/>
      <c r="AZ70" s="310"/>
      <c r="BA70" s="310"/>
      <c r="BB70" s="310"/>
      <c r="BC70" s="310"/>
      <c r="BD70" s="310"/>
      <c r="BE70" s="544"/>
      <c r="BF70" s="525"/>
      <c r="BG70" s="310"/>
      <c r="BH70" s="310"/>
      <c r="BI70" s="310"/>
      <c r="BJ70" s="310"/>
      <c r="BK70" s="310"/>
      <c r="BL70" s="310"/>
      <c r="BM70" s="544">
        <f t="shared" si="15"/>
        <v>0</v>
      </c>
      <c r="BN70" s="525"/>
      <c r="BO70" s="310"/>
      <c r="BP70" s="310"/>
      <c r="BQ70" s="310"/>
      <c r="BR70" s="310"/>
      <c r="BS70" s="310"/>
      <c r="BT70" s="310"/>
      <c r="BU70" s="544"/>
      <c r="BV70" s="556"/>
      <c r="BW70" s="663">
        <f t="shared" si="7"/>
        <v>3</v>
      </c>
      <c r="BX70" s="1047">
        <f t="shared" si="23"/>
        <v>0.75</v>
      </c>
      <c r="BY70" s="1047">
        <f t="shared" si="24"/>
        <v>0</v>
      </c>
      <c r="BZ70" s="1047">
        <f t="shared" si="25"/>
        <v>1</v>
      </c>
      <c r="CA70" s="1047">
        <f t="shared" si="26"/>
        <v>1</v>
      </c>
      <c r="CB70" s="1047">
        <f t="shared" si="27"/>
        <v>1</v>
      </c>
      <c r="CD70" t="str">
        <f t="shared" si="28"/>
        <v>ROB</v>
      </c>
      <c r="CE70" t="str">
        <f t="shared" si="28"/>
        <v>VE</v>
      </c>
      <c r="CF70" t="str">
        <f t="shared" si="28"/>
        <v>VE</v>
      </c>
      <c r="CG70" t="str">
        <f t="shared" si="28"/>
        <v>VE</v>
      </c>
    </row>
    <row r="71" spans="1:85" ht="81.75" customHeight="1" x14ac:dyDescent="0.3">
      <c r="A71" s="298" t="s">
        <v>173</v>
      </c>
      <c r="B71" s="299" t="str">
        <f>'PLAN INDICATIVO'!B71</f>
        <v>Cultura</v>
      </c>
      <c r="C71" s="1547"/>
      <c r="D71" s="1551"/>
      <c r="E71" s="1551"/>
      <c r="F71" s="1551"/>
      <c r="G71" s="1551"/>
      <c r="H71" s="1551"/>
      <c r="I71" s="332">
        <f>'PLAN INDICATIVO'!I71</f>
        <v>0</v>
      </c>
      <c r="J71" s="332">
        <f>'PLAN INDICATIVO'!J71</f>
        <v>0</v>
      </c>
      <c r="K71" s="1429" t="str">
        <f>'PLAN INDICATIVO'!K71</f>
        <v>A.5.1.21</v>
      </c>
      <c r="L71" s="1429" t="str">
        <f>'PLAN INDICATIVO'!L71</f>
        <v>11. Ciudades y comunidades sostenibles</v>
      </c>
      <c r="M71" s="1429" t="str">
        <f>'PLAN INDICATIVO'!M71</f>
        <v>Secretaría de Educación, Cultura, deporte y Turismo</v>
      </c>
      <c r="N71" s="1513" t="s">
        <v>5122</v>
      </c>
      <c r="O71" s="1429" t="str">
        <f>'PLAN INDICATIVO'!O71</f>
        <v>Mantenimiento</v>
      </c>
      <c r="P71" s="74" t="str">
        <f>'PLAN INDICATIVO'!P71</f>
        <v>Desarrollar 1 plan de apoyo a gestores culturales para el fomento de la cultura local cada año</v>
      </c>
      <c r="Q71" s="333" t="str">
        <f>'PLAN INDICATIVO'!Q71</f>
        <v>No. De planes desarrollados cada año</v>
      </c>
      <c r="R71" s="334">
        <f>'PLAN INDICATIVO'!R71</f>
        <v>2015</v>
      </c>
      <c r="S71" s="304">
        <v>1</v>
      </c>
      <c r="T71" s="677">
        <v>4</v>
      </c>
      <c r="U71" s="303">
        <v>1</v>
      </c>
      <c r="V71" s="687">
        <v>7000000</v>
      </c>
      <c r="W71" s="572">
        <v>1</v>
      </c>
      <c r="X71" s="687">
        <v>7000000</v>
      </c>
      <c r="Y71" s="572">
        <v>1</v>
      </c>
      <c r="Z71" s="687">
        <v>7000000</v>
      </c>
      <c r="AA71" s="1310">
        <v>1</v>
      </c>
      <c r="AB71" s="686">
        <v>28000000</v>
      </c>
      <c r="AC71" s="665"/>
      <c r="AD71" s="665">
        <v>1</v>
      </c>
      <c r="AE71" s="665">
        <v>1</v>
      </c>
      <c r="AF71" s="665">
        <v>1</v>
      </c>
      <c r="AG71" s="306" t="s">
        <v>5137</v>
      </c>
      <c r="AH71" s="987">
        <v>2019413960014</v>
      </c>
      <c r="AI71" s="1007" t="s">
        <v>4825</v>
      </c>
      <c r="AJ71" s="309">
        <v>43497</v>
      </c>
      <c r="AK71" s="309">
        <v>43738</v>
      </c>
      <c r="AL71" s="308"/>
      <c r="AM71" s="308"/>
      <c r="AN71" s="267" t="s">
        <v>2600</v>
      </c>
      <c r="AO71" s="508"/>
      <c r="AP71" s="525"/>
      <c r="AQ71" s="310"/>
      <c r="AR71" s="310"/>
      <c r="AS71" s="310"/>
      <c r="AT71" s="310"/>
      <c r="AU71" s="310"/>
      <c r="AV71" s="310"/>
      <c r="AW71" s="544"/>
      <c r="AX71" s="525"/>
      <c r="AY71" s="310"/>
      <c r="AZ71" s="310"/>
      <c r="BA71" s="310"/>
      <c r="BB71" s="310"/>
      <c r="BC71" s="310"/>
      <c r="BD71" s="310"/>
      <c r="BE71" s="544"/>
      <c r="BF71" s="525"/>
      <c r="BG71" s="310"/>
      <c r="BH71" s="310"/>
      <c r="BI71" s="310"/>
      <c r="BJ71" s="310"/>
      <c r="BK71" s="310"/>
      <c r="BL71" s="310"/>
      <c r="BM71" s="544">
        <f t="shared" si="15"/>
        <v>0</v>
      </c>
      <c r="BN71" s="525"/>
      <c r="BO71" s="310"/>
      <c r="BP71" s="310"/>
      <c r="BQ71" s="310"/>
      <c r="BR71" s="310"/>
      <c r="BS71" s="310"/>
      <c r="BT71" s="310"/>
      <c r="BU71" s="544"/>
      <c r="BV71" s="556"/>
      <c r="BW71" s="663">
        <f t="shared" si="7"/>
        <v>3</v>
      </c>
      <c r="BX71" s="1047">
        <f t="shared" si="23"/>
        <v>0.75</v>
      </c>
      <c r="BY71" s="1047">
        <f t="shared" si="24"/>
        <v>0</v>
      </c>
      <c r="BZ71" s="1047">
        <f t="shared" si="25"/>
        <v>1</v>
      </c>
      <c r="CA71" s="1047">
        <f t="shared" si="26"/>
        <v>1</v>
      </c>
      <c r="CB71" s="1047">
        <f t="shared" si="27"/>
        <v>1</v>
      </c>
      <c r="CD71" t="str">
        <f t="shared" si="28"/>
        <v>ROB</v>
      </c>
      <c r="CE71" t="str">
        <f t="shared" si="28"/>
        <v>VE</v>
      </c>
      <c r="CF71" t="str">
        <f t="shared" si="28"/>
        <v>VE</v>
      </c>
      <c r="CG71" t="str">
        <f t="shared" si="28"/>
        <v>VE</v>
      </c>
    </row>
    <row r="72" spans="1:85" ht="65.25" hidden="1" customHeight="1" x14ac:dyDescent="0.25">
      <c r="A72" s="298" t="s">
        <v>173</v>
      </c>
      <c r="B72" s="299" t="str">
        <f>'PLAN INDICATIVO'!B72</f>
        <v>Cultura</v>
      </c>
      <c r="C72" s="1547"/>
      <c r="D72" s="1551"/>
      <c r="E72" s="1551"/>
      <c r="F72" s="1551"/>
      <c r="G72" s="1551"/>
      <c r="H72" s="1551"/>
      <c r="I72" s="332">
        <f>'PLAN INDICATIVO'!I72</f>
        <v>0</v>
      </c>
      <c r="J72" s="332">
        <f>'PLAN INDICATIVO'!J72</f>
        <v>0</v>
      </c>
      <c r="K72" s="1429" t="str">
        <f>'PLAN INDICATIVO'!K72</f>
        <v>A.5.1.22</v>
      </c>
      <c r="L72" s="1429" t="str">
        <f>'PLAN INDICATIVO'!L72</f>
        <v>11. Ciudades y comunidades sostenibles</v>
      </c>
      <c r="M72" s="1429" t="str">
        <f>'PLAN INDICATIVO'!M72</f>
        <v>Secretaría de Educación, Cultura, deporte y Turismo</v>
      </c>
      <c r="N72" s="1513" t="s">
        <v>5122</v>
      </c>
      <c r="O72" s="1429" t="str">
        <f>'PLAN INDICATIVO'!O72</f>
        <v>Incremento</v>
      </c>
      <c r="P72" s="74" t="str">
        <f>'PLAN INDICATIVO'!P72</f>
        <v>Crear a través de un (1) acuerdo municipal, la institucionalización de las festividades del 6 de enero en el Centro Poblado Belen</v>
      </c>
      <c r="Q72" s="333" t="str">
        <f>'PLAN INDICATIVO'!Q72</f>
        <v>No. De acuerdos municipales creados</v>
      </c>
      <c r="R72" s="334">
        <f>'PLAN INDICATIVO'!R72</f>
        <v>2015</v>
      </c>
      <c r="S72" s="304">
        <v>0</v>
      </c>
      <c r="T72" s="677">
        <v>1</v>
      </c>
      <c r="U72" s="303"/>
      <c r="V72" s="687">
        <v>1000000</v>
      </c>
      <c r="W72" s="572">
        <v>1</v>
      </c>
      <c r="X72" s="687">
        <v>500000</v>
      </c>
      <c r="Y72" s="964"/>
      <c r="Z72" s="687">
        <v>500000</v>
      </c>
      <c r="AA72" s="1310"/>
      <c r="AB72" s="686"/>
      <c r="AC72" s="665"/>
      <c r="AD72" s="665">
        <v>1</v>
      </c>
      <c r="AE72" s="665">
        <v>0</v>
      </c>
      <c r="AF72" s="665">
        <v>0</v>
      </c>
      <c r="AG72" s="306" t="s">
        <v>5137</v>
      </c>
      <c r="AH72" s="987">
        <v>2019413960014</v>
      </c>
      <c r="AI72" s="1007" t="s">
        <v>4826</v>
      </c>
      <c r="AJ72" s="309"/>
      <c r="AK72" s="309"/>
      <c r="AL72" s="308"/>
      <c r="AM72" s="308"/>
      <c r="AN72" s="267" t="s">
        <v>2594</v>
      </c>
      <c r="AO72" s="508"/>
      <c r="AP72" s="525"/>
      <c r="AQ72" s="310"/>
      <c r="AR72" s="310"/>
      <c r="AS72" s="310"/>
      <c r="AT72" s="310"/>
      <c r="AU72" s="310"/>
      <c r="AV72" s="310"/>
      <c r="AW72" s="544"/>
      <c r="AX72" s="525"/>
      <c r="AY72" s="310"/>
      <c r="AZ72" s="310"/>
      <c r="BA72" s="310"/>
      <c r="BB72" s="310"/>
      <c r="BC72" s="310"/>
      <c r="BD72" s="310"/>
      <c r="BE72" s="544"/>
      <c r="BF72" s="525"/>
      <c r="BG72" s="310"/>
      <c r="BH72" s="310"/>
      <c r="BI72" s="310"/>
      <c r="BJ72" s="310"/>
      <c r="BK72" s="310"/>
      <c r="BL72" s="310"/>
      <c r="BM72" s="544">
        <f t="shared" si="15"/>
        <v>0</v>
      </c>
      <c r="BN72" s="525"/>
      <c r="BO72" s="310"/>
      <c r="BP72" s="310"/>
      <c r="BQ72" s="310"/>
      <c r="BR72" s="310"/>
      <c r="BS72" s="310"/>
      <c r="BT72" s="310"/>
      <c r="BU72" s="544"/>
      <c r="BV72" s="556"/>
      <c r="BW72" s="663">
        <f t="shared" ref="BW72:BW133" si="29">AC72+AD72+AE72+AF72</f>
        <v>1</v>
      </c>
      <c r="BX72" s="1047">
        <f t="shared" si="23"/>
        <v>1</v>
      </c>
      <c r="BY72" s="1047" t="str">
        <f t="shared" si="24"/>
        <v>No Programada</v>
      </c>
      <c r="BZ72" s="1047">
        <f t="shared" si="25"/>
        <v>1</v>
      </c>
      <c r="CA72" s="1047" t="str">
        <f t="shared" si="26"/>
        <v>No Programada</v>
      </c>
      <c r="CB72" s="1047" t="str">
        <f t="shared" si="27"/>
        <v>No Programada</v>
      </c>
      <c r="CD72" t="str">
        <f t="shared" si="28"/>
        <v>NP</v>
      </c>
      <c r="CE72" t="str">
        <f t="shared" si="28"/>
        <v>VE</v>
      </c>
      <c r="CF72" t="str">
        <f t="shared" si="28"/>
        <v>NP</v>
      </c>
      <c r="CG72" t="str">
        <f t="shared" si="28"/>
        <v>NP</v>
      </c>
    </row>
    <row r="73" spans="1:85" ht="78" customHeight="1" x14ac:dyDescent="0.3">
      <c r="A73" s="298" t="s">
        <v>173</v>
      </c>
      <c r="B73" s="299" t="str">
        <f>'PLAN INDICATIVO'!B73</f>
        <v>Cultura</v>
      </c>
      <c r="C73" s="1547"/>
      <c r="D73" s="1551"/>
      <c r="E73" s="1551"/>
      <c r="F73" s="1551"/>
      <c r="G73" s="1551"/>
      <c r="H73" s="1551"/>
      <c r="I73" s="332">
        <f>'PLAN INDICATIVO'!I73</f>
        <v>0</v>
      </c>
      <c r="J73" s="332">
        <f>'PLAN INDICATIVO'!J73</f>
        <v>0</v>
      </c>
      <c r="K73" s="1429" t="str">
        <f>'PLAN INDICATIVO'!K73</f>
        <v>A.5.1.23</v>
      </c>
      <c r="L73" s="1429" t="str">
        <f>'PLAN INDICATIVO'!L73</f>
        <v>11. Ciudades y comunidades sostenibles</v>
      </c>
      <c r="M73" s="1429" t="str">
        <f>'PLAN INDICATIVO'!M73</f>
        <v>Secretaría de Educación, Cultura, deporte y Turismo</v>
      </c>
      <c r="N73" s="1513" t="s">
        <v>5122</v>
      </c>
      <c r="O73" s="1429" t="str">
        <f>'PLAN INDICATIVO'!O73</f>
        <v>Mantenimiento</v>
      </c>
      <c r="P73" s="74" t="str">
        <f>'PLAN INDICATIVO'!P73</f>
        <v>Ejecutar 1 convenio anualmente de apoyo a programas de difusión periodística y promoción  cultural en medios de comunicación.</v>
      </c>
      <c r="Q73" s="333" t="str">
        <f>'PLAN INDICATIVO'!Q73</f>
        <v>No. De convenios ejecutados cada año</v>
      </c>
      <c r="R73" s="334">
        <f>'PLAN INDICATIVO'!R73</f>
        <v>2015</v>
      </c>
      <c r="S73" s="304">
        <v>0</v>
      </c>
      <c r="T73" s="677">
        <v>4</v>
      </c>
      <c r="U73" s="303">
        <v>1</v>
      </c>
      <c r="V73" s="687">
        <v>1000000</v>
      </c>
      <c r="W73" s="572">
        <v>1</v>
      </c>
      <c r="X73" s="687">
        <v>5000000</v>
      </c>
      <c r="Y73" s="572">
        <v>1</v>
      </c>
      <c r="Z73" s="687">
        <v>5000000</v>
      </c>
      <c r="AA73" s="1310">
        <v>1</v>
      </c>
      <c r="AB73" s="686">
        <v>5000000</v>
      </c>
      <c r="AC73" s="665"/>
      <c r="AD73" s="665">
        <v>1</v>
      </c>
      <c r="AE73" s="665">
        <v>1</v>
      </c>
      <c r="AF73" s="665">
        <v>1</v>
      </c>
      <c r="AG73" s="306" t="s">
        <v>5137</v>
      </c>
      <c r="AH73" s="987">
        <v>2019413960014</v>
      </c>
      <c r="AI73" s="1007" t="s">
        <v>4827</v>
      </c>
      <c r="AJ73" s="309">
        <v>43497</v>
      </c>
      <c r="AK73" s="309">
        <v>43768</v>
      </c>
      <c r="AL73" s="308"/>
      <c r="AM73" s="308"/>
      <c r="AN73" s="267" t="s">
        <v>2598</v>
      </c>
      <c r="AO73" s="508"/>
      <c r="AP73" s="525"/>
      <c r="AQ73" s="310"/>
      <c r="AR73" s="310"/>
      <c r="AS73" s="310"/>
      <c r="AT73" s="310"/>
      <c r="AU73" s="310"/>
      <c r="AV73" s="310"/>
      <c r="AW73" s="544"/>
      <c r="AX73" s="525"/>
      <c r="AY73" s="310"/>
      <c r="AZ73" s="310"/>
      <c r="BA73" s="310"/>
      <c r="BB73" s="310"/>
      <c r="BC73" s="310"/>
      <c r="BD73" s="310"/>
      <c r="BE73" s="544"/>
      <c r="BF73" s="525"/>
      <c r="BG73" s="310"/>
      <c r="BH73" s="310"/>
      <c r="BI73" s="310"/>
      <c r="BJ73" s="310"/>
      <c r="BK73" s="310"/>
      <c r="BL73" s="310"/>
      <c r="BM73" s="544">
        <f t="shared" si="15"/>
        <v>0</v>
      </c>
      <c r="BN73" s="525"/>
      <c r="BO73" s="310"/>
      <c r="BP73" s="310"/>
      <c r="BQ73" s="310"/>
      <c r="BR73" s="310"/>
      <c r="BS73" s="310"/>
      <c r="BT73" s="310"/>
      <c r="BU73" s="544"/>
      <c r="BV73" s="556"/>
      <c r="BW73" s="663">
        <f t="shared" si="29"/>
        <v>3</v>
      </c>
      <c r="BX73" s="1047">
        <f t="shared" si="23"/>
        <v>0.75</v>
      </c>
      <c r="BY73" s="1047">
        <f t="shared" si="24"/>
        <v>0</v>
      </c>
      <c r="BZ73" s="1047">
        <f t="shared" si="25"/>
        <v>1</v>
      </c>
      <c r="CA73" s="1047">
        <f t="shared" si="26"/>
        <v>1</v>
      </c>
      <c r="CB73" s="1047">
        <f t="shared" si="27"/>
        <v>1</v>
      </c>
      <c r="CD73" t="str">
        <f t="shared" si="28"/>
        <v>ROB</v>
      </c>
      <c r="CE73" t="str">
        <f t="shared" si="28"/>
        <v>VE</v>
      </c>
      <c r="CF73" t="str">
        <f t="shared" si="28"/>
        <v>VE</v>
      </c>
      <c r="CG73" t="str">
        <f t="shared" si="28"/>
        <v>VE</v>
      </c>
    </row>
    <row r="74" spans="1:85" ht="11.25" customHeight="1" x14ac:dyDescent="0.3">
      <c r="A74" s="295"/>
      <c r="B74" s="24" t="str">
        <f>'PLAN INDICATIVO'!B74</f>
        <v>Cultura</v>
      </c>
      <c r="C74" s="1624" t="s">
        <v>249</v>
      </c>
      <c r="D74" s="1625"/>
      <c r="E74" s="1625"/>
      <c r="F74" s="1625"/>
      <c r="G74" s="1625"/>
      <c r="H74" s="1625"/>
      <c r="I74" s="1625"/>
      <c r="J74" s="1625"/>
      <c r="K74" s="1625"/>
      <c r="L74" s="1625"/>
      <c r="M74" s="1625"/>
      <c r="N74" s="1625"/>
      <c r="O74" s="1626"/>
      <c r="P74" s="25"/>
      <c r="Q74" s="25"/>
      <c r="R74" s="17"/>
      <c r="S74" s="270"/>
      <c r="T74" s="677"/>
      <c r="U74" s="270"/>
      <c r="V74" s="713">
        <f>SUM(V75:V83)</f>
        <v>48000000</v>
      </c>
      <c r="W74" s="270"/>
      <c r="X74" s="705">
        <f>SUM(X75:X83)</f>
        <v>20000000</v>
      </c>
      <c r="Y74" s="270"/>
      <c r="Z74" s="705">
        <f>SUM(Z75:Z83)</f>
        <v>26000000</v>
      </c>
      <c r="AA74" s="271"/>
      <c r="AB74" s="714">
        <f>SUM(AB75:AB83)</f>
        <v>73889874</v>
      </c>
      <c r="AC74" s="271"/>
      <c r="AD74" s="665"/>
      <c r="AE74" s="271"/>
      <c r="AF74" s="271"/>
      <c r="AG74" s="272"/>
      <c r="AH74" s="272"/>
      <c r="AI74" s="272"/>
      <c r="AJ74" s="271"/>
      <c r="AK74" s="271"/>
      <c r="AL74" s="271"/>
      <c r="AM74" s="271"/>
      <c r="AN74" s="271"/>
      <c r="AO74" s="618"/>
      <c r="AP74" s="619"/>
      <c r="AQ74" s="619"/>
      <c r="AR74" s="619"/>
      <c r="AS74" s="619"/>
      <c r="AT74" s="619"/>
      <c r="AU74" s="619"/>
      <c r="AV74" s="619"/>
      <c r="AW74" s="619"/>
      <c r="AX74" s="619"/>
      <c r="AY74" s="619"/>
      <c r="AZ74" s="619"/>
      <c r="BA74" s="619"/>
      <c r="BB74" s="619"/>
      <c r="BC74" s="619"/>
      <c r="BD74" s="619"/>
      <c r="BE74" s="617"/>
      <c r="BF74" s="619"/>
      <c r="BG74" s="619"/>
      <c r="BH74" s="619"/>
      <c r="BI74" s="619"/>
      <c r="BJ74" s="619"/>
      <c r="BK74" s="619"/>
      <c r="BL74" s="619"/>
      <c r="BM74" s="617">
        <f t="shared" si="15"/>
        <v>0</v>
      </c>
      <c r="BN74" s="619"/>
      <c r="BO74" s="619"/>
      <c r="BP74" s="619"/>
      <c r="BQ74" s="619"/>
      <c r="BR74" s="619"/>
      <c r="BS74" s="619"/>
      <c r="BT74" s="619"/>
      <c r="BU74" s="617"/>
      <c r="BV74" s="556"/>
      <c r="BW74" s="663" t="s">
        <v>2717</v>
      </c>
      <c r="BX74" s="619" t="s">
        <v>2717</v>
      </c>
      <c r="BY74" s="619" t="s">
        <v>2717</v>
      </c>
      <c r="BZ74" s="619" t="s">
        <v>2717</v>
      </c>
      <c r="CA74" s="619" t="s">
        <v>2717</v>
      </c>
      <c r="CB74" s="1047" t="s">
        <v>2717</v>
      </c>
    </row>
    <row r="75" spans="1:85" ht="76.5" customHeight="1" x14ac:dyDescent="0.3">
      <c r="A75" s="298" t="s">
        <v>2458</v>
      </c>
      <c r="B75" s="299" t="str">
        <f>'PLAN INDICATIVO'!B75</f>
        <v>Cultura</v>
      </c>
      <c r="C75" s="1546" t="s">
        <v>250</v>
      </c>
      <c r="D75" s="1549" t="s">
        <v>251</v>
      </c>
      <c r="E75" s="1549" t="s">
        <v>252</v>
      </c>
      <c r="F75" s="1549">
        <v>2015</v>
      </c>
      <c r="G75" s="1549">
        <v>5589</v>
      </c>
      <c r="H75" s="1549">
        <v>7000</v>
      </c>
      <c r="I75" s="332">
        <f>'PLAN INDICATIVO'!I75</f>
        <v>0</v>
      </c>
      <c r="J75" s="332">
        <f>'PLAN INDICATIVO'!J75</f>
        <v>0</v>
      </c>
      <c r="K75" s="1429" t="str">
        <f>'PLAN INDICATIVO'!K75</f>
        <v>A.5.2.1</v>
      </c>
      <c r="L75" s="1429" t="str">
        <f>'PLAN INDICATIVO'!L75</f>
        <v>11. Ciudades y comunidades sostenibles</v>
      </c>
      <c r="M75" s="1429" t="str">
        <f>'PLAN INDICATIVO'!M75</f>
        <v>Secretaría de Educación, Cultura, deporte y Turismo</v>
      </c>
      <c r="N75" s="1513" t="s">
        <v>5122</v>
      </c>
      <c r="O75" s="1429" t="str">
        <f>'PLAN INDICATIVO'!O75</f>
        <v>Incremento</v>
      </c>
      <c r="P75" s="74" t="str">
        <f>'PLAN INDICATIVO'!P75</f>
        <v>Capacitar a 400 personasen la biblioteca Simon Bolivar, manejo de las TIC´S y manejo del SIABUT, en el cuatrienio.</v>
      </c>
      <c r="Q75" s="333" t="str">
        <f>'PLAN INDICATIVO'!Q75</f>
        <v>No. De personas capacitadas en el cuatrienio</v>
      </c>
      <c r="R75" s="334">
        <f>'PLAN INDICATIVO'!R75</f>
        <v>2015</v>
      </c>
      <c r="S75" s="304" t="s">
        <v>177</v>
      </c>
      <c r="T75" s="677">
        <v>400</v>
      </c>
      <c r="U75" s="304">
        <v>100</v>
      </c>
      <c r="V75" s="687">
        <v>1000000</v>
      </c>
      <c r="W75" s="304">
        <v>100</v>
      </c>
      <c r="X75" s="687">
        <v>1000000</v>
      </c>
      <c r="Y75" s="304">
        <v>100</v>
      </c>
      <c r="Z75" s="687">
        <v>2000000</v>
      </c>
      <c r="AA75" s="410">
        <v>100</v>
      </c>
      <c r="AB75" s="686">
        <v>9000000</v>
      </c>
      <c r="AC75" s="665"/>
      <c r="AD75" s="665">
        <v>100</v>
      </c>
      <c r="AE75" s="665">
        <v>100</v>
      </c>
      <c r="AF75" s="665">
        <v>100</v>
      </c>
      <c r="AG75" s="306" t="s">
        <v>5137</v>
      </c>
      <c r="AH75" s="987">
        <v>2019413960014</v>
      </c>
      <c r="AI75" s="1007" t="s">
        <v>4927</v>
      </c>
      <c r="AJ75" s="309">
        <v>43497</v>
      </c>
      <c r="AK75" s="309">
        <v>43799</v>
      </c>
      <c r="AL75" s="308"/>
      <c r="AM75" s="308"/>
      <c r="AN75" s="267" t="s">
        <v>2598</v>
      </c>
      <c r="AO75" s="508"/>
      <c r="AP75" s="525"/>
      <c r="AQ75" s="310"/>
      <c r="AR75" s="310"/>
      <c r="AS75" s="310"/>
      <c r="AT75" s="310"/>
      <c r="AU75" s="310"/>
      <c r="AV75" s="310"/>
      <c r="AW75" s="544"/>
      <c r="AX75" s="525"/>
      <c r="AY75" s="310"/>
      <c r="AZ75" s="310"/>
      <c r="BA75" s="310"/>
      <c r="BB75" s="310"/>
      <c r="BC75" s="310"/>
      <c r="BD75" s="310"/>
      <c r="BE75" s="544"/>
      <c r="BF75" s="525"/>
      <c r="BG75" s="310"/>
      <c r="BH75" s="310"/>
      <c r="BI75" s="310"/>
      <c r="BJ75" s="310"/>
      <c r="BK75" s="310"/>
      <c r="BL75" s="310"/>
      <c r="BM75" s="544">
        <f t="shared" si="15"/>
        <v>0</v>
      </c>
      <c r="BN75" s="525"/>
      <c r="BO75" s="310"/>
      <c r="BP75" s="310"/>
      <c r="BQ75" s="310"/>
      <c r="BR75" s="310"/>
      <c r="BS75" s="310"/>
      <c r="BT75" s="310"/>
      <c r="BU75" s="544"/>
      <c r="BV75" s="556"/>
      <c r="BW75" s="663">
        <f t="shared" si="29"/>
        <v>300</v>
      </c>
      <c r="BX75" s="1047">
        <f t="shared" ref="BX75:BX138" si="30">BW75/T75</f>
        <v>0.75</v>
      </c>
      <c r="BY75" s="1047">
        <f t="shared" ref="BY75:BY83" si="31">IF(U75&gt;=0.1,AC75/U75,IF(ISBLANK(U75),"No Programada","Aplazada"))</f>
        <v>0</v>
      </c>
      <c r="BZ75" s="1047">
        <f t="shared" ref="BZ75:BZ83" si="32">IF(W75&gt;=0.1,AD75/W75,IF(ISBLANK(W75),"No Programada","Aplazada"))</f>
        <v>1</v>
      </c>
      <c r="CA75" s="1047">
        <f t="shared" ref="CA75:CA83" si="33">IF(Y75&gt;=0.1,AE75/Y75,IF(ISBLANK(Y75),"No Programada","Aplazada"))</f>
        <v>1</v>
      </c>
      <c r="CB75" s="1047">
        <f t="shared" ref="CB75:CB83" si="34">IF(AA75&gt;=0.1,AF75/AA75,IF(ISBLANK(AA75),"No Programada","Aplazada"))</f>
        <v>1</v>
      </c>
      <c r="CD75" t="str">
        <f t="shared" ref="CD75:CG83" si="35">IF(BY75="PARA MODIFICAR","M",IF(BY75="PARA ELIMINAR","E",IF(BY75="aplazada","AZ",IF(BY75="no programada","NP",IF(BY75&gt;=85%,"VE",IF(BY75&gt;70%,"VEB",IF(BY75&gt;60%,"AM",IF(BY75&gt;40%,"AMB",IF(BY75&gt;20%,"RO",IF(BY75&gt;=0%,"ROB",""))))))))))</f>
        <v>ROB</v>
      </c>
      <c r="CE75" t="str">
        <f t="shared" si="35"/>
        <v>VE</v>
      </c>
      <c r="CF75" t="str">
        <f t="shared" si="35"/>
        <v>VE</v>
      </c>
      <c r="CG75" t="str">
        <f t="shared" si="35"/>
        <v>VE</v>
      </c>
    </row>
    <row r="76" spans="1:85" ht="84" customHeight="1" x14ac:dyDescent="0.3">
      <c r="A76" s="298" t="s">
        <v>173</v>
      </c>
      <c r="B76" s="299" t="str">
        <f>'PLAN INDICATIVO'!B76</f>
        <v>Cultura</v>
      </c>
      <c r="C76" s="1547"/>
      <c r="D76" s="1549"/>
      <c r="E76" s="1549"/>
      <c r="F76" s="1549"/>
      <c r="G76" s="1549"/>
      <c r="H76" s="1549"/>
      <c r="I76" s="332">
        <f>'PLAN INDICATIVO'!I76</f>
        <v>0</v>
      </c>
      <c r="J76" s="332">
        <f>'PLAN INDICATIVO'!J76</f>
        <v>0</v>
      </c>
      <c r="K76" s="1429" t="str">
        <f>'PLAN INDICATIVO'!K76</f>
        <v>A.5.2.2</v>
      </c>
      <c r="L76" s="1429" t="str">
        <f>'PLAN INDICATIVO'!L76</f>
        <v>11. Ciudades y comunidades sostenibles</v>
      </c>
      <c r="M76" s="1429" t="str">
        <f>'PLAN INDICATIVO'!M76</f>
        <v>Secretaría de Educación, Cultura, deporte y Turismo</v>
      </c>
      <c r="N76" s="1513" t="s">
        <v>5122</v>
      </c>
      <c r="O76" s="1429" t="str">
        <f>'PLAN INDICATIVO'!O76</f>
        <v>Incremento</v>
      </c>
      <c r="P76" s="74" t="str">
        <f>'PLAN INDICATIVO'!P76</f>
        <v>Vincular 1.000 personas en la Realización de actividades de promoción de lectura, durante el cuatrienio</v>
      </c>
      <c r="Q76" s="333" t="str">
        <f>'PLAN INDICATIVO'!Q76</f>
        <v>No. personas vinculadas en el cuatrienio</v>
      </c>
      <c r="R76" s="334">
        <f>'PLAN INDICATIVO'!R76</f>
        <v>2015</v>
      </c>
      <c r="S76" s="304" t="s">
        <v>177</v>
      </c>
      <c r="T76" s="677">
        <v>1000</v>
      </c>
      <c r="U76" s="304">
        <v>250</v>
      </c>
      <c r="V76" s="687">
        <v>2000000</v>
      </c>
      <c r="W76" s="304">
        <v>250</v>
      </c>
      <c r="X76" s="687">
        <v>1000000</v>
      </c>
      <c r="Y76" s="855"/>
      <c r="Z76" s="687">
        <v>2000000</v>
      </c>
      <c r="AA76" s="410"/>
      <c r="AB76" s="686">
        <v>13000000</v>
      </c>
      <c r="AC76" s="665"/>
      <c r="AD76" s="665">
        <v>2149</v>
      </c>
      <c r="AE76" s="665">
        <v>2000</v>
      </c>
      <c r="AF76" s="665">
        <v>100</v>
      </c>
      <c r="AG76" s="306" t="s">
        <v>5137</v>
      </c>
      <c r="AH76" s="987">
        <v>2019413960014</v>
      </c>
      <c r="AI76" s="1007" t="s">
        <v>4828</v>
      </c>
      <c r="AJ76" s="309">
        <v>43497</v>
      </c>
      <c r="AK76" s="309">
        <v>43799</v>
      </c>
      <c r="AL76" s="308"/>
      <c r="AM76" s="308"/>
      <c r="AN76" s="267" t="s">
        <v>2594</v>
      </c>
      <c r="AO76" s="508"/>
      <c r="AP76" s="525"/>
      <c r="AQ76" s="310"/>
      <c r="AR76" s="310"/>
      <c r="AS76" s="310"/>
      <c r="AT76" s="310"/>
      <c r="AU76" s="310"/>
      <c r="AV76" s="310"/>
      <c r="AW76" s="544"/>
      <c r="AX76" s="525"/>
      <c r="AY76" s="310"/>
      <c r="AZ76" s="310"/>
      <c r="BA76" s="310"/>
      <c r="BB76" s="310"/>
      <c r="BC76" s="310"/>
      <c r="BD76" s="310"/>
      <c r="BE76" s="544"/>
      <c r="BF76" s="525"/>
      <c r="BG76" s="310"/>
      <c r="BH76" s="310"/>
      <c r="BI76" s="310"/>
      <c r="BJ76" s="310"/>
      <c r="BK76" s="310"/>
      <c r="BL76" s="310"/>
      <c r="BM76" s="544">
        <f t="shared" si="15"/>
        <v>0</v>
      </c>
      <c r="BN76" s="525"/>
      <c r="BO76" s="310"/>
      <c r="BP76" s="310"/>
      <c r="BQ76" s="310"/>
      <c r="BR76" s="310"/>
      <c r="BS76" s="310"/>
      <c r="BT76" s="310"/>
      <c r="BU76" s="544"/>
      <c r="BV76" s="556"/>
      <c r="BW76" s="663">
        <f t="shared" si="29"/>
        <v>4249</v>
      </c>
      <c r="BX76" s="1047">
        <f t="shared" si="30"/>
        <v>4.2489999999999997</v>
      </c>
      <c r="BY76" s="1047">
        <f t="shared" si="31"/>
        <v>0</v>
      </c>
      <c r="BZ76" s="1047">
        <f t="shared" si="32"/>
        <v>8.5960000000000001</v>
      </c>
      <c r="CA76" s="1047" t="str">
        <f t="shared" si="33"/>
        <v>No Programada</v>
      </c>
      <c r="CB76" s="1047" t="str">
        <f t="shared" si="34"/>
        <v>No Programada</v>
      </c>
      <c r="CD76" t="str">
        <f t="shared" si="35"/>
        <v>ROB</v>
      </c>
      <c r="CE76" t="str">
        <f t="shared" si="35"/>
        <v>VE</v>
      </c>
      <c r="CF76" t="str">
        <f t="shared" si="35"/>
        <v>NP</v>
      </c>
      <c r="CG76" t="str">
        <f t="shared" si="35"/>
        <v>NP</v>
      </c>
    </row>
    <row r="77" spans="1:85" ht="52.5" customHeight="1" x14ac:dyDescent="0.3">
      <c r="A77" s="298" t="s">
        <v>2464</v>
      </c>
      <c r="B77" s="299" t="str">
        <f>'PLAN INDICATIVO'!B77</f>
        <v>Cultura</v>
      </c>
      <c r="C77" s="1547"/>
      <c r="D77" s="1549"/>
      <c r="E77" s="1549"/>
      <c r="F77" s="1549"/>
      <c r="G77" s="1549"/>
      <c r="H77" s="1549"/>
      <c r="I77" s="332">
        <f>'PLAN INDICATIVO'!I77</f>
        <v>0</v>
      </c>
      <c r="J77" s="332">
        <f>'PLAN INDICATIVO'!J77</f>
        <v>0</v>
      </c>
      <c r="K77" s="1429" t="str">
        <f>'PLAN INDICATIVO'!K77</f>
        <v>A.5.2.3</v>
      </c>
      <c r="L77" s="1429" t="str">
        <f>'PLAN INDICATIVO'!L77</f>
        <v>11. Ciudades y comunidades sostenibles</v>
      </c>
      <c r="M77" s="1429" t="str">
        <f>'PLAN INDICATIVO'!M77</f>
        <v>Secretaría de Educación, Cultura, deporte y Turismo</v>
      </c>
      <c r="N77" s="1513" t="s">
        <v>5122</v>
      </c>
      <c r="O77" s="1429" t="str">
        <f>'PLAN INDICATIVO'!O77</f>
        <v>Incremento</v>
      </c>
      <c r="P77" s="74" t="str">
        <f>'PLAN INDICATIVO'!P77</f>
        <v>Incrementar a 7 puntos piloto de acceso a internet  instalados  y funcionando durante el cuatrienio</v>
      </c>
      <c r="Q77" s="333" t="str">
        <f>'PLAN INDICATIVO'!Q77</f>
        <v>No. de puntos Huila vive digital instalados en el cuatrienio</v>
      </c>
      <c r="R77" s="334">
        <f>'PLAN INDICATIVO'!R77</f>
        <v>2015</v>
      </c>
      <c r="S77" s="304">
        <v>4</v>
      </c>
      <c r="T77" s="677">
        <v>7</v>
      </c>
      <c r="U77" s="304"/>
      <c r="V77" s="687">
        <v>1000000</v>
      </c>
      <c r="W77" s="304">
        <v>4</v>
      </c>
      <c r="X77" s="687">
        <v>1000000</v>
      </c>
      <c r="Y77" s="304">
        <v>2</v>
      </c>
      <c r="Z77" s="687">
        <v>2000000</v>
      </c>
      <c r="AA77" s="410"/>
      <c r="AB77" s="686">
        <v>1000000</v>
      </c>
      <c r="AC77" s="665"/>
      <c r="AD77" s="665">
        <v>4</v>
      </c>
      <c r="AE77" s="665">
        <v>6</v>
      </c>
      <c r="AF77" s="665">
        <v>0</v>
      </c>
      <c r="AG77" s="306" t="s">
        <v>5137</v>
      </c>
      <c r="AH77" s="987">
        <v>2019413960014</v>
      </c>
      <c r="AI77" s="1007" t="s">
        <v>4084</v>
      </c>
      <c r="AJ77" s="309">
        <v>43497</v>
      </c>
      <c r="AK77" s="309">
        <v>43799</v>
      </c>
      <c r="AL77" s="308"/>
      <c r="AM77" s="308"/>
      <c r="AN77" s="267" t="s">
        <v>2598</v>
      </c>
      <c r="AO77" s="508"/>
      <c r="AP77" s="525"/>
      <c r="AQ77" s="310"/>
      <c r="AR77" s="310"/>
      <c r="AS77" s="310"/>
      <c r="AT77" s="310"/>
      <c r="AU77" s="310"/>
      <c r="AV77" s="310"/>
      <c r="AW77" s="544"/>
      <c r="AX77" s="525"/>
      <c r="AY77" s="310"/>
      <c r="AZ77" s="310"/>
      <c r="BA77" s="310"/>
      <c r="BB77" s="310"/>
      <c r="BC77" s="310"/>
      <c r="BD77" s="310"/>
      <c r="BE77" s="544"/>
      <c r="BF77" s="525"/>
      <c r="BG77" s="310"/>
      <c r="BH77" s="310"/>
      <c r="BI77" s="310"/>
      <c r="BJ77" s="310"/>
      <c r="BK77" s="310"/>
      <c r="BL77" s="310"/>
      <c r="BM77" s="544">
        <f t="shared" si="15"/>
        <v>0</v>
      </c>
      <c r="BN77" s="525"/>
      <c r="BO77" s="310"/>
      <c r="BP77" s="310"/>
      <c r="BQ77" s="310"/>
      <c r="BR77" s="310"/>
      <c r="BS77" s="310"/>
      <c r="BT77" s="310"/>
      <c r="BU77" s="544"/>
      <c r="BV77" s="556"/>
      <c r="BW77" s="663">
        <f t="shared" si="29"/>
        <v>10</v>
      </c>
      <c r="BX77" s="1047">
        <f t="shared" si="30"/>
        <v>1.4285714285714286</v>
      </c>
      <c r="BY77" s="1047" t="str">
        <f t="shared" si="31"/>
        <v>No Programada</v>
      </c>
      <c r="BZ77" s="1047">
        <f t="shared" si="32"/>
        <v>1</v>
      </c>
      <c r="CA77" s="1047">
        <f t="shared" si="33"/>
        <v>3</v>
      </c>
      <c r="CB77" s="1047" t="str">
        <f t="shared" si="34"/>
        <v>No Programada</v>
      </c>
      <c r="CD77" t="str">
        <f t="shared" si="35"/>
        <v>NP</v>
      </c>
      <c r="CE77" t="str">
        <f t="shared" si="35"/>
        <v>VE</v>
      </c>
      <c r="CF77" t="str">
        <f t="shared" si="35"/>
        <v>VE</v>
      </c>
      <c r="CG77" t="str">
        <f t="shared" si="35"/>
        <v>NP</v>
      </c>
    </row>
    <row r="78" spans="1:85" ht="72.75" customHeight="1" x14ac:dyDescent="0.3">
      <c r="A78" s="298" t="s">
        <v>173</v>
      </c>
      <c r="B78" s="299" t="str">
        <f>'PLAN INDICATIVO'!B78</f>
        <v>Cultura</v>
      </c>
      <c r="C78" s="1547"/>
      <c r="D78" s="1549"/>
      <c r="E78" s="1549"/>
      <c r="F78" s="1549"/>
      <c r="G78" s="1549"/>
      <c r="H78" s="1549"/>
      <c r="I78" s="332">
        <f>'PLAN INDICATIVO'!I78</f>
        <v>0</v>
      </c>
      <c r="J78" s="332">
        <f>'PLAN INDICATIVO'!J78</f>
        <v>0</v>
      </c>
      <c r="K78" s="1429" t="str">
        <f>'PLAN INDICATIVO'!K78</f>
        <v>A.5.2.4</v>
      </c>
      <c r="L78" s="1429" t="str">
        <f>'PLAN INDICATIVO'!L78</f>
        <v>11. Ciudades y comunidades sostenibles</v>
      </c>
      <c r="M78" s="1429" t="str">
        <f>'PLAN INDICATIVO'!M78</f>
        <v>Secretaría de Educación, Cultura, deporte y Turismo</v>
      </c>
      <c r="N78" s="1513" t="s">
        <v>5122</v>
      </c>
      <c r="O78" s="1429" t="str">
        <f>'PLAN INDICATIVO'!O78</f>
        <v>Mantenimiento</v>
      </c>
      <c r="P78" s="74" t="str">
        <f>'PLAN INDICATIVO'!P78</f>
        <v>Ejecutar 1 convenio de alianza público-privada para el programa CULTIVARTE - DAVIVIENDA, durante el cuatrienio</v>
      </c>
      <c r="Q78" s="333" t="str">
        <f>'PLAN INDICATIVO'!Q78</f>
        <v>No. De convenios ejecutados en el cuatrienio</v>
      </c>
      <c r="R78" s="334">
        <f>'PLAN INDICATIVO'!R78</f>
        <v>2015</v>
      </c>
      <c r="S78" s="304">
        <v>0</v>
      </c>
      <c r="T78" s="677">
        <v>4</v>
      </c>
      <c r="U78" s="304">
        <v>1</v>
      </c>
      <c r="V78" s="687">
        <v>1000000</v>
      </c>
      <c r="W78" s="304">
        <v>1</v>
      </c>
      <c r="X78" s="687">
        <v>1000000</v>
      </c>
      <c r="Y78" s="304">
        <v>1</v>
      </c>
      <c r="Z78" s="687">
        <v>2000000</v>
      </c>
      <c r="AA78" s="410">
        <v>1</v>
      </c>
      <c r="AB78" s="686">
        <v>5000000</v>
      </c>
      <c r="AC78" s="665"/>
      <c r="AD78" s="665">
        <v>1</v>
      </c>
      <c r="AE78" s="665">
        <v>1</v>
      </c>
      <c r="AF78" s="665">
        <v>1</v>
      </c>
      <c r="AG78" s="306" t="s">
        <v>5137</v>
      </c>
      <c r="AH78" s="987">
        <v>2019413960014</v>
      </c>
      <c r="AI78" s="1007" t="s">
        <v>4928</v>
      </c>
      <c r="AJ78" s="309">
        <v>43497</v>
      </c>
      <c r="AK78" s="309">
        <v>43799</v>
      </c>
      <c r="AL78" s="308"/>
      <c r="AM78" s="308"/>
      <c r="AN78" s="267" t="s">
        <v>2598</v>
      </c>
      <c r="AO78" s="508"/>
      <c r="AP78" s="525"/>
      <c r="AQ78" s="310"/>
      <c r="AR78" s="310"/>
      <c r="AS78" s="310"/>
      <c r="AT78" s="310"/>
      <c r="AU78" s="310"/>
      <c r="AV78" s="310"/>
      <c r="AW78" s="544"/>
      <c r="AX78" s="525"/>
      <c r="AY78" s="310"/>
      <c r="AZ78" s="310"/>
      <c r="BA78" s="310"/>
      <c r="BB78" s="310"/>
      <c r="BC78" s="310"/>
      <c r="BD78" s="310"/>
      <c r="BE78" s="544"/>
      <c r="BF78" s="525"/>
      <c r="BG78" s="310"/>
      <c r="BH78" s="310"/>
      <c r="BI78" s="310"/>
      <c r="BJ78" s="310"/>
      <c r="BK78" s="310"/>
      <c r="BL78" s="310"/>
      <c r="BM78" s="544">
        <f t="shared" si="15"/>
        <v>0</v>
      </c>
      <c r="BN78" s="525"/>
      <c r="BO78" s="310"/>
      <c r="BP78" s="310"/>
      <c r="BQ78" s="310"/>
      <c r="BR78" s="310"/>
      <c r="BS78" s="310"/>
      <c r="BT78" s="310"/>
      <c r="BU78" s="544"/>
      <c r="BV78" s="556"/>
      <c r="BW78" s="663">
        <f t="shared" si="29"/>
        <v>3</v>
      </c>
      <c r="BX78" s="1047">
        <f t="shared" si="30"/>
        <v>0.75</v>
      </c>
      <c r="BY78" s="1047">
        <f t="shared" si="31"/>
        <v>0</v>
      </c>
      <c r="BZ78" s="1047">
        <f t="shared" si="32"/>
        <v>1</v>
      </c>
      <c r="CA78" s="1047">
        <f t="shared" si="33"/>
        <v>1</v>
      </c>
      <c r="CB78" s="1047">
        <f t="shared" si="34"/>
        <v>1</v>
      </c>
      <c r="CD78" t="str">
        <f t="shared" si="35"/>
        <v>ROB</v>
      </c>
      <c r="CE78" t="str">
        <f t="shared" si="35"/>
        <v>VE</v>
      </c>
      <c r="CF78" t="str">
        <f t="shared" si="35"/>
        <v>VE</v>
      </c>
      <c r="CG78" t="str">
        <f t="shared" si="35"/>
        <v>VE</v>
      </c>
    </row>
    <row r="79" spans="1:85" ht="84" customHeight="1" x14ac:dyDescent="0.3">
      <c r="A79" s="298" t="s">
        <v>173</v>
      </c>
      <c r="B79" s="299" t="str">
        <f>'PLAN INDICATIVO'!B79</f>
        <v>Cultura</v>
      </c>
      <c r="C79" s="1547"/>
      <c r="D79" s="1549"/>
      <c r="E79" s="1549"/>
      <c r="F79" s="1549"/>
      <c r="G79" s="1549"/>
      <c r="H79" s="1549"/>
      <c r="I79" s="332">
        <f>'PLAN INDICATIVO'!I79</f>
        <v>0</v>
      </c>
      <c r="J79" s="332">
        <f>'PLAN INDICATIVO'!J79</f>
        <v>0</v>
      </c>
      <c r="K79" s="1429" t="str">
        <f>'PLAN INDICATIVO'!K79</f>
        <v>A.5.2.5</v>
      </c>
      <c r="L79" s="1429" t="str">
        <f>'PLAN INDICATIVO'!L79</f>
        <v>11. Ciudades y comunidades sostenibles</v>
      </c>
      <c r="M79" s="1429" t="str">
        <f>'PLAN INDICATIVO'!M79</f>
        <v>Secretaría de Educación, Cultura, deporte y Turismo</v>
      </c>
      <c r="N79" s="1513" t="s">
        <v>5122</v>
      </c>
      <c r="O79" s="1429" t="str">
        <f>'PLAN INDICATIVO'!O79</f>
        <v>Incremento</v>
      </c>
      <c r="P79" s="74" t="str">
        <f>'PLAN INDICATIVO'!P79</f>
        <v>Realizar 4 dotaciones de  medios audiovisuales y/o bibliográficos para la biblioteca municipal SIMÓN BOLIVAR, durante el cuatrienio</v>
      </c>
      <c r="Q79" s="333" t="str">
        <f>'PLAN INDICATIVO'!Q79</f>
        <v>No. de dotaciones entregadas en el cuatrienio</v>
      </c>
      <c r="R79" s="334">
        <f>'PLAN INDICATIVO'!R79</f>
        <v>2015</v>
      </c>
      <c r="S79" s="304">
        <v>0</v>
      </c>
      <c r="T79" s="677">
        <v>4</v>
      </c>
      <c r="U79" s="304">
        <v>1</v>
      </c>
      <c r="V79" s="687">
        <v>3000000</v>
      </c>
      <c r="W79" s="304">
        <v>1</v>
      </c>
      <c r="X79" s="687">
        <v>12000000</v>
      </c>
      <c r="Y79" s="304">
        <v>1</v>
      </c>
      <c r="Z79" s="687">
        <v>12000000</v>
      </c>
      <c r="AA79" s="410">
        <v>1</v>
      </c>
      <c r="AB79" s="686">
        <v>18000000</v>
      </c>
      <c r="AC79" s="665"/>
      <c r="AD79" s="665">
        <v>1</v>
      </c>
      <c r="AE79" s="665">
        <v>1</v>
      </c>
      <c r="AF79" s="665">
        <v>1</v>
      </c>
      <c r="AG79" s="306" t="s">
        <v>5137</v>
      </c>
      <c r="AH79" s="987">
        <v>2019413960014</v>
      </c>
      <c r="AI79" s="1007" t="s">
        <v>4929</v>
      </c>
      <c r="AJ79" s="309">
        <v>43497</v>
      </c>
      <c r="AK79" s="309">
        <v>43799</v>
      </c>
      <c r="AL79" s="308"/>
      <c r="AM79" s="308"/>
      <c r="AN79" s="267" t="s">
        <v>2598</v>
      </c>
      <c r="AO79" s="508"/>
      <c r="AP79" s="525"/>
      <c r="AQ79" s="310"/>
      <c r="AR79" s="310"/>
      <c r="AS79" s="310"/>
      <c r="AT79" s="310"/>
      <c r="AU79" s="310"/>
      <c r="AV79" s="310"/>
      <c r="AW79" s="544"/>
      <c r="AX79" s="525"/>
      <c r="AY79" s="310"/>
      <c r="AZ79" s="310"/>
      <c r="BA79" s="310"/>
      <c r="BB79" s="310"/>
      <c r="BC79" s="310"/>
      <c r="BD79" s="310"/>
      <c r="BE79" s="544"/>
      <c r="BF79" s="525"/>
      <c r="BG79" s="310"/>
      <c r="BH79" s="310"/>
      <c r="BI79" s="310"/>
      <c r="BJ79" s="310"/>
      <c r="BK79" s="310"/>
      <c r="BL79" s="310"/>
      <c r="BM79" s="544">
        <f t="shared" si="15"/>
        <v>0</v>
      </c>
      <c r="BN79" s="525"/>
      <c r="BO79" s="310"/>
      <c r="BP79" s="310"/>
      <c r="BQ79" s="310"/>
      <c r="BR79" s="310"/>
      <c r="BS79" s="310"/>
      <c r="BT79" s="310"/>
      <c r="BU79" s="544"/>
      <c r="BV79" s="556"/>
      <c r="BW79" s="663">
        <f t="shared" si="29"/>
        <v>3</v>
      </c>
      <c r="BX79" s="1047">
        <f t="shared" si="30"/>
        <v>0.75</v>
      </c>
      <c r="BY79" s="1047">
        <f t="shared" si="31"/>
        <v>0</v>
      </c>
      <c r="BZ79" s="1047">
        <f t="shared" si="32"/>
        <v>1</v>
      </c>
      <c r="CA79" s="1047">
        <f t="shared" si="33"/>
        <v>1</v>
      </c>
      <c r="CB79" s="1047">
        <f t="shared" si="34"/>
        <v>1</v>
      </c>
      <c r="CD79" t="str">
        <f t="shared" si="35"/>
        <v>ROB</v>
      </c>
      <c r="CE79" t="str">
        <f t="shared" si="35"/>
        <v>VE</v>
      </c>
      <c r="CF79" t="str">
        <f t="shared" si="35"/>
        <v>VE</v>
      </c>
      <c r="CG79" t="str">
        <f t="shared" si="35"/>
        <v>VE</v>
      </c>
    </row>
    <row r="80" spans="1:85" ht="50.25" customHeight="1" x14ac:dyDescent="0.3">
      <c r="A80" s="298" t="s">
        <v>173</v>
      </c>
      <c r="B80" s="299" t="str">
        <f>'PLAN INDICATIVO'!B80</f>
        <v>Cultura</v>
      </c>
      <c r="C80" s="1547"/>
      <c r="D80" s="1549"/>
      <c r="E80" s="1549"/>
      <c r="F80" s="1549"/>
      <c r="G80" s="1549"/>
      <c r="H80" s="1549"/>
      <c r="I80" s="332">
        <f>'PLAN INDICATIVO'!I80</f>
        <v>0</v>
      </c>
      <c r="J80" s="332">
        <f>'PLAN INDICATIVO'!J80</f>
        <v>0</v>
      </c>
      <c r="K80" s="1429" t="str">
        <f>'PLAN INDICATIVO'!K80</f>
        <v>A.5.2.6</v>
      </c>
      <c r="L80" s="1429" t="str">
        <f>'PLAN INDICATIVO'!L80</f>
        <v>11. Ciudades y comunidades sostenibles</v>
      </c>
      <c r="M80" s="1429" t="str">
        <f>'PLAN INDICATIVO'!M80</f>
        <v>Secretaría de Educación, Cultura, deporte y Turismo</v>
      </c>
      <c r="N80" s="1513" t="s">
        <v>5122</v>
      </c>
      <c r="O80" s="1429" t="str">
        <f>'PLAN INDICATIVO'!O80</f>
        <v>Incremento</v>
      </c>
      <c r="P80" s="74" t="str">
        <f>'PLAN INDICATIVO'!P80</f>
        <v>Realizar 4  capacitaciones en formación para bibliotecarios a través del sistema nacional de bibliotecas durante el cuatrienio</v>
      </c>
      <c r="Q80" s="333" t="str">
        <f>'PLAN INDICATIVO'!Q80</f>
        <v>No. De capacitaciones realizadas en el cuatrienio</v>
      </c>
      <c r="R80" s="334">
        <f>'PLAN INDICATIVO'!R80</f>
        <v>2015</v>
      </c>
      <c r="S80" s="304">
        <v>0</v>
      </c>
      <c r="T80" s="677">
        <v>4</v>
      </c>
      <c r="U80" s="304">
        <v>1</v>
      </c>
      <c r="V80" s="687">
        <v>1000000</v>
      </c>
      <c r="W80" s="304">
        <v>1</v>
      </c>
      <c r="X80" s="687">
        <v>1000000</v>
      </c>
      <c r="Y80" s="304">
        <v>1</v>
      </c>
      <c r="Z80" s="687">
        <v>1500000</v>
      </c>
      <c r="AA80" s="410">
        <v>1</v>
      </c>
      <c r="AB80" s="686">
        <v>1000000</v>
      </c>
      <c r="AC80" s="665"/>
      <c r="AD80" s="665">
        <v>1</v>
      </c>
      <c r="AE80" s="665">
        <v>1</v>
      </c>
      <c r="AF80" s="665">
        <v>1</v>
      </c>
      <c r="AG80" s="306" t="s">
        <v>5137</v>
      </c>
      <c r="AH80" s="987">
        <v>2019413960014</v>
      </c>
      <c r="AI80" s="1007" t="s">
        <v>4930</v>
      </c>
      <c r="AJ80" s="309">
        <v>43497</v>
      </c>
      <c r="AK80" s="309">
        <v>43646</v>
      </c>
      <c r="AL80" s="308"/>
      <c r="AM80" s="308"/>
      <c r="AN80" s="267" t="s">
        <v>2598</v>
      </c>
      <c r="AO80" s="508"/>
      <c r="AP80" s="525"/>
      <c r="AQ80" s="310"/>
      <c r="AR80" s="310"/>
      <c r="AS80" s="310"/>
      <c r="AT80" s="310"/>
      <c r="AU80" s="310"/>
      <c r="AV80" s="310"/>
      <c r="AW80" s="544"/>
      <c r="AX80" s="525"/>
      <c r="AY80" s="310"/>
      <c r="AZ80" s="310"/>
      <c r="BA80" s="310"/>
      <c r="BB80" s="310"/>
      <c r="BC80" s="310"/>
      <c r="BD80" s="310"/>
      <c r="BE80" s="544"/>
      <c r="BF80" s="525"/>
      <c r="BG80" s="310"/>
      <c r="BH80" s="310"/>
      <c r="BI80" s="310"/>
      <c r="BJ80" s="310"/>
      <c r="BK80" s="310"/>
      <c r="BL80" s="310"/>
      <c r="BM80" s="544">
        <f t="shared" si="15"/>
        <v>0</v>
      </c>
      <c r="BN80" s="525"/>
      <c r="BO80" s="310"/>
      <c r="BP80" s="310"/>
      <c r="BQ80" s="310"/>
      <c r="BR80" s="310"/>
      <c r="BS80" s="310"/>
      <c r="BT80" s="310"/>
      <c r="BU80" s="544"/>
      <c r="BV80" s="556"/>
      <c r="BW80" s="663">
        <f t="shared" si="29"/>
        <v>3</v>
      </c>
      <c r="BX80" s="1047">
        <f t="shared" si="30"/>
        <v>0.75</v>
      </c>
      <c r="BY80" s="1047">
        <f t="shared" si="31"/>
        <v>0</v>
      </c>
      <c r="BZ80" s="1047">
        <f t="shared" si="32"/>
        <v>1</v>
      </c>
      <c r="CA80" s="1047">
        <f t="shared" si="33"/>
        <v>1</v>
      </c>
      <c r="CB80" s="1047">
        <f t="shared" si="34"/>
        <v>1</v>
      </c>
      <c r="CD80" t="str">
        <f t="shared" si="35"/>
        <v>ROB</v>
      </c>
      <c r="CE80" t="str">
        <f t="shared" si="35"/>
        <v>VE</v>
      </c>
      <c r="CF80" t="str">
        <f t="shared" si="35"/>
        <v>VE</v>
      </c>
      <c r="CG80" t="str">
        <f t="shared" si="35"/>
        <v>VE</v>
      </c>
    </row>
    <row r="81" spans="1:85" ht="62.25" customHeight="1" x14ac:dyDescent="0.3">
      <c r="A81" s="298" t="s">
        <v>173</v>
      </c>
      <c r="B81" s="299" t="str">
        <f>'PLAN INDICATIVO'!B81</f>
        <v>Cultura</v>
      </c>
      <c r="C81" s="1547"/>
      <c r="D81" s="1549"/>
      <c r="E81" s="1549"/>
      <c r="F81" s="1549"/>
      <c r="G81" s="1549"/>
      <c r="H81" s="1549"/>
      <c r="I81" s="332">
        <f>'PLAN INDICATIVO'!I81</f>
        <v>0</v>
      </c>
      <c r="J81" s="332">
        <f>'PLAN INDICATIVO'!J81</f>
        <v>0</v>
      </c>
      <c r="K81" s="1429" t="str">
        <f>'PLAN INDICATIVO'!K81</f>
        <v>A.5.2.7</v>
      </c>
      <c r="L81" s="1429" t="str">
        <f>'PLAN INDICATIVO'!L81</f>
        <v>11. Ciudades y comunidades sostenibles</v>
      </c>
      <c r="M81" s="1429" t="str">
        <f>'PLAN INDICATIVO'!M81</f>
        <v>Secretaría de Educación, Cultura, deporte y Turismo</v>
      </c>
      <c r="N81" s="1513" t="s">
        <v>5122</v>
      </c>
      <c r="O81" s="1429" t="str">
        <f>'PLAN INDICATIVO'!O81</f>
        <v>Incremento</v>
      </c>
      <c r="P81" s="74" t="str">
        <f>'PLAN INDICATIVO'!P81</f>
        <v xml:space="preserve">Desarrollar 4 actividades por año de biblioteca móvil  en la zona urbana y rural </v>
      </c>
      <c r="Q81" s="333" t="str">
        <f>'PLAN INDICATIVO'!Q81</f>
        <v>No. de actividades realizadas cada año</v>
      </c>
      <c r="R81" s="334">
        <f>'PLAN INDICATIVO'!R81</f>
        <v>2015</v>
      </c>
      <c r="S81" s="304">
        <v>0</v>
      </c>
      <c r="T81" s="677">
        <v>16</v>
      </c>
      <c r="U81" s="304">
        <v>4</v>
      </c>
      <c r="V81" s="687">
        <v>1000000</v>
      </c>
      <c r="W81" s="304">
        <v>4</v>
      </c>
      <c r="X81" s="687">
        <v>1000000</v>
      </c>
      <c r="Y81" s="304">
        <v>4</v>
      </c>
      <c r="Z81" s="687">
        <v>1500000</v>
      </c>
      <c r="AA81" s="410">
        <v>4</v>
      </c>
      <c r="AB81" s="686">
        <v>1000000</v>
      </c>
      <c r="AC81" s="665"/>
      <c r="AD81" s="665">
        <v>4</v>
      </c>
      <c r="AE81" s="665">
        <v>4</v>
      </c>
      <c r="AF81" s="665">
        <v>4</v>
      </c>
      <c r="AG81" s="306" t="s">
        <v>5137</v>
      </c>
      <c r="AH81" s="987">
        <v>2019413960014</v>
      </c>
      <c r="AI81" s="1007" t="s">
        <v>4931</v>
      </c>
      <c r="AJ81" s="309">
        <v>43497</v>
      </c>
      <c r="AK81" s="309">
        <v>43586</v>
      </c>
      <c r="AL81" s="308"/>
      <c r="AM81" s="308"/>
      <c r="AN81" s="267" t="s">
        <v>2598</v>
      </c>
      <c r="AO81" s="508"/>
      <c r="AP81" s="525"/>
      <c r="AQ81" s="310"/>
      <c r="AR81" s="310"/>
      <c r="AS81" s="310"/>
      <c r="AT81" s="310"/>
      <c r="AU81" s="310"/>
      <c r="AV81" s="310"/>
      <c r="AW81" s="544"/>
      <c r="AX81" s="525"/>
      <c r="AY81" s="310"/>
      <c r="AZ81" s="310"/>
      <c r="BA81" s="310"/>
      <c r="BB81" s="310"/>
      <c r="BC81" s="310"/>
      <c r="BD81" s="310"/>
      <c r="BE81" s="544"/>
      <c r="BF81" s="525"/>
      <c r="BG81" s="310"/>
      <c r="BH81" s="310"/>
      <c r="BI81" s="310"/>
      <c r="BJ81" s="310"/>
      <c r="BK81" s="310"/>
      <c r="BL81" s="310"/>
      <c r="BM81" s="544">
        <f t="shared" si="15"/>
        <v>0</v>
      </c>
      <c r="BN81" s="525"/>
      <c r="BO81" s="310"/>
      <c r="BP81" s="310"/>
      <c r="BQ81" s="310"/>
      <c r="BR81" s="310"/>
      <c r="BS81" s="310"/>
      <c r="BT81" s="310"/>
      <c r="BU81" s="544"/>
      <c r="BV81" s="556"/>
      <c r="BW81" s="663">
        <f t="shared" si="29"/>
        <v>12</v>
      </c>
      <c r="BX81" s="1047">
        <f t="shared" si="30"/>
        <v>0.75</v>
      </c>
      <c r="BY81" s="1047">
        <f t="shared" si="31"/>
        <v>0</v>
      </c>
      <c r="BZ81" s="1047">
        <f t="shared" si="32"/>
        <v>1</v>
      </c>
      <c r="CA81" s="1047">
        <f t="shared" si="33"/>
        <v>1</v>
      </c>
      <c r="CB81" s="1047">
        <f t="shared" si="34"/>
        <v>1</v>
      </c>
      <c r="CD81" t="str">
        <f t="shared" si="35"/>
        <v>ROB</v>
      </c>
      <c r="CE81" t="str">
        <f t="shared" si="35"/>
        <v>VE</v>
      </c>
      <c r="CF81" t="str">
        <f t="shared" si="35"/>
        <v>VE</v>
      </c>
      <c r="CG81" t="str">
        <f t="shared" si="35"/>
        <v>VE</v>
      </c>
    </row>
    <row r="82" spans="1:85" ht="48.75" customHeight="1" x14ac:dyDescent="0.3">
      <c r="A82" s="298" t="s">
        <v>173</v>
      </c>
      <c r="B82" s="299" t="str">
        <f>'PLAN INDICATIVO'!B82</f>
        <v>Cultura</v>
      </c>
      <c r="C82" s="1547"/>
      <c r="D82" s="1550"/>
      <c r="E82" s="1550"/>
      <c r="F82" s="1549"/>
      <c r="G82" s="1549"/>
      <c r="H82" s="1549"/>
      <c r="I82" s="332">
        <f>'PLAN INDICATIVO'!I82</f>
        <v>0</v>
      </c>
      <c r="J82" s="332">
        <f>'PLAN INDICATIVO'!J82</f>
        <v>0</v>
      </c>
      <c r="K82" s="1429" t="str">
        <f>'PLAN INDICATIVO'!K82</f>
        <v>A.5.2.8</v>
      </c>
      <c r="L82" s="1429" t="str">
        <f>'PLAN INDICATIVO'!L82</f>
        <v>11. Ciudades y comunidades sostenibles</v>
      </c>
      <c r="M82" s="1429" t="str">
        <f>'PLAN INDICATIVO'!M82</f>
        <v>Secretaría de Educación, Cultura, deporte y Turismo</v>
      </c>
      <c r="N82" s="1513" t="s">
        <v>5122</v>
      </c>
      <c r="O82" s="1429" t="str">
        <f>'PLAN INDICATIVO'!O82</f>
        <v>Mantenimiento</v>
      </c>
      <c r="P82" s="74" t="str">
        <f>'PLAN INDICATIVO'!P82</f>
        <v>Realizar 1 programa cultural  anual  de vinculación  al centro integral para la primera infancia</v>
      </c>
      <c r="Q82" s="333" t="str">
        <f>'PLAN INDICATIVO'!Q82</f>
        <v>No. De Programa implementado cada año</v>
      </c>
      <c r="R82" s="334">
        <f>'PLAN INDICATIVO'!R82</f>
        <v>2015</v>
      </c>
      <c r="S82" s="304">
        <v>0</v>
      </c>
      <c r="T82" s="677">
        <v>4</v>
      </c>
      <c r="U82" s="304">
        <v>1</v>
      </c>
      <c r="V82" s="687">
        <v>1000000</v>
      </c>
      <c r="W82" s="304">
        <v>1</v>
      </c>
      <c r="X82" s="687">
        <v>1000000</v>
      </c>
      <c r="Y82" s="304">
        <v>1</v>
      </c>
      <c r="Z82" s="687">
        <v>1500000</v>
      </c>
      <c r="AA82" s="410">
        <v>1</v>
      </c>
      <c r="AB82" s="686">
        <v>5000000</v>
      </c>
      <c r="AC82" s="665"/>
      <c r="AD82" s="665">
        <v>1</v>
      </c>
      <c r="AE82" s="665">
        <v>1</v>
      </c>
      <c r="AF82" s="665">
        <v>1</v>
      </c>
      <c r="AG82" s="306" t="s">
        <v>5137</v>
      </c>
      <c r="AH82" s="987">
        <v>2019413960014</v>
      </c>
      <c r="AI82" s="1007" t="s">
        <v>4932</v>
      </c>
      <c r="AJ82" s="309">
        <v>43497</v>
      </c>
      <c r="AK82" s="309">
        <v>43774</v>
      </c>
      <c r="AL82" s="308"/>
      <c r="AM82" s="308"/>
      <c r="AN82" s="267" t="s">
        <v>2598</v>
      </c>
      <c r="AO82" s="508"/>
      <c r="AP82" s="525"/>
      <c r="AQ82" s="310"/>
      <c r="AR82" s="310"/>
      <c r="AS82" s="310"/>
      <c r="AT82" s="310"/>
      <c r="AU82" s="310"/>
      <c r="AV82" s="310"/>
      <c r="AW82" s="544"/>
      <c r="AX82" s="525"/>
      <c r="AY82" s="310"/>
      <c r="AZ82" s="310"/>
      <c r="BA82" s="310"/>
      <c r="BB82" s="310"/>
      <c r="BC82" s="310"/>
      <c r="BD82" s="310"/>
      <c r="BE82" s="544"/>
      <c r="BF82" s="525"/>
      <c r="BG82" s="310"/>
      <c r="BH82" s="310"/>
      <c r="BI82" s="310"/>
      <c r="BJ82" s="310"/>
      <c r="BK82" s="310"/>
      <c r="BL82" s="310"/>
      <c r="BM82" s="544">
        <f t="shared" si="15"/>
        <v>0</v>
      </c>
      <c r="BN82" s="525"/>
      <c r="BO82" s="310"/>
      <c r="BP82" s="310"/>
      <c r="BQ82" s="310"/>
      <c r="BR82" s="310"/>
      <c r="BS82" s="310"/>
      <c r="BT82" s="310"/>
      <c r="BU82" s="544"/>
      <c r="BV82" s="556"/>
      <c r="BW82" s="663">
        <f t="shared" si="29"/>
        <v>3</v>
      </c>
      <c r="BX82" s="1047">
        <f t="shared" si="30"/>
        <v>0.75</v>
      </c>
      <c r="BY82" s="1047">
        <f t="shared" si="31"/>
        <v>0</v>
      </c>
      <c r="BZ82" s="1047">
        <f t="shared" si="32"/>
        <v>1</v>
      </c>
      <c r="CA82" s="1047">
        <f t="shared" si="33"/>
        <v>1</v>
      </c>
      <c r="CB82" s="1047">
        <f t="shared" si="34"/>
        <v>1</v>
      </c>
      <c r="CD82" t="str">
        <f t="shared" si="35"/>
        <v>ROB</v>
      </c>
      <c r="CE82" t="str">
        <f t="shared" si="35"/>
        <v>VE</v>
      </c>
      <c r="CF82" t="str">
        <f t="shared" si="35"/>
        <v>VE</v>
      </c>
      <c r="CG82" t="str">
        <f t="shared" si="35"/>
        <v>VE</v>
      </c>
    </row>
    <row r="83" spans="1:85" ht="86.25" customHeight="1" x14ac:dyDescent="0.3">
      <c r="A83" s="298" t="s">
        <v>173</v>
      </c>
      <c r="B83" s="299" t="str">
        <f>'PLAN INDICATIVO'!B83</f>
        <v>Cultura</v>
      </c>
      <c r="C83" s="1548"/>
      <c r="D83" s="1549"/>
      <c r="E83" s="1549"/>
      <c r="F83" s="1549"/>
      <c r="G83" s="1549"/>
      <c r="H83" s="1549"/>
      <c r="I83" s="1429" t="str">
        <f>'PLAN INDICATIVO'!I83</f>
        <v>SI</v>
      </c>
      <c r="J83" s="1429">
        <f>'PLAN INDICATIVO'!J83</f>
        <v>0</v>
      </c>
      <c r="K83" s="1429" t="str">
        <f>'PLAN INDICATIVO'!K83</f>
        <v>A.5.2.9</v>
      </c>
      <c r="L83" s="1429" t="str">
        <f>'PLAN INDICATIVO'!L83</f>
        <v>11. Ciudades y comunidades sostenibles</v>
      </c>
      <c r="M83" s="1429" t="str">
        <f>'PLAN INDICATIVO'!M83</f>
        <v>Secretaría de Educación, Cultura, deporte y Turismo</v>
      </c>
      <c r="N83" s="1513" t="s">
        <v>5122</v>
      </c>
      <c r="O83" s="1429" t="str">
        <f>'PLAN INDICATIVO'!O83</f>
        <v>Incremento</v>
      </c>
      <c r="P83" s="74" t="str">
        <f>'PLAN INDICATIVO'!P83</f>
        <v>Realizar 2 obras de infraestructura para construcción, ampliación, conservación y/o mantenimiento de la infraestructura municipal de cultura, incluyendo interventorías y diseños, durante el cuatrienio</v>
      </c>
      <c r="Q83" s="333" t="str">
        <f>'PLAN INDICATIVO'!Q83</f>
        <v>No. De obras ejecutadas en el cuatrienio</v>
      </c>
      <c r="R83" s="334">
        <f>'PLAN INDICATIVO'!R83</f>
        <v>2015</v>
      </c>
      <c r="S83" s="304">
        <v>0</v>
      </c>
      <c r="T83" s="677">
        <v>2</v>
      </c>
      <c r="U83" s="304"/>
      <c r="V83" s="687">
        <v>37000000</v>
      </c>
      <c r="W83" s="304">
        <v>1</v>
      </c>
      <c r="X83" s="687">
        <v>1000000</v>
      </c>
      <c r="Y83" s="304">
        <v>0.5</v>
      </c>
      <c r="Z83" s="687">
        <v>1500000</v>
      </c>
      <c r="AA83" s="410">
        <v>1</v>
      </c>
      <c r="AB83" s="686">
        <v>20889874</v>
      </c>
      <c r="AC83" s="665"/>
      <c r="AD83" s="665">
        <v>1</v>
      </c>
      <c r="AE83" s="665"/>
      <c r="AF83" s="665">
        <v>0.5</v>
      </c>
      <c r="AG83" s="306" t="s">
        <v>5137</v>
      </c>
      <c r="AH83" s="987">
        <v>2019413960014</v>
      </c>
      <c r="AI83" s="1007" t="s">
        <v>4933</v>
      </c>
      <c r="AJ83" s="309">
        <v>43497</v>
      </c>
      <c r="AK83" s="309">
        <v>43799</v>
      </c>
      <c r="AL83" s="308"/>
      <c r="AM83" s="308"/>
      <c r="AN83" s="267" t="s">
        <v>2600</v>
      </c>
      <c r="AO83" s="508"/>
      <c r="AP83" s="525"/>
      <c r="AQ83" s="310"/>
      <c r="AR83" s="310"/>
      <c r="AS83" s="310"/>
      <c r="AT83" s="310"/>
      <c r="AU83" s="310"/>
      <c r="AV83" s="310"/>
      <c r="AW83" s="544"/>
      <c r="AX83" s="525"/>
      <c r="AY83" s="310"/>
      <c r="AZ83" s="310"/>
      <c r="BA83" s="310"/>
      <c r="BB83" s="310"/>
      <c r="BC83" s="310"/>
      <c r="BD83" s="310"/>
      <c r="BE83" s="544"/>
      <c r="BF83" s="525"/>
      <c r="BG83" s="310"/>
      <c r="BH83" s="310"/>
      <c r="BI83" s="310"/>
      <c r="BJ83" s="310"/>
      <c r="BK83" s="310"/>
      <c r="BL83" s="310"/>
      <c r="BM83" s="544">
        <f t="shared" si="15"/>
        <v>0</v>
      </c>
      <c r="BN83" s="525"/>
      <c r="BO83" s="310"/>
      <c r="BP83" s="310"/>
      <c r="BQ83" s="310"/>
      <c r="BR83" s="310"/>
      <c r="BS83" s="310"/>
      <c r="BT83" s="310"/>
      <c r="BU83" s="544"/>
      <c r="BV83" s="556"/>
      <c r="BW83" s="663">
        <f t="shared" si="29"/>
        <v>1.5</v>
      </c>
      <c r="BX83" s="1047">
        <f t="shared" si="30"/>
        <v>0.75</v>
      </c>
      <c r="BY83" s="1047" t="str">
        <f t="shared" si="31"/>
        <v>No Programada</v>
      </c>
      <c r="BZ83" s="1047">
        <f t="shared" si="32"/>
        <v>1</v>
      </c>
      <c r="CA83" s="1047">
        <f t="shared" si="33"/>
        <v>0</v>
      </c>
      <c r="CB83" s="1047">
        <f t="shared" si="34"/>
        <v>0.5</v>
      </c>
      <c r="CD83" t="str">
        <f t="shared" si="35"/>
        <v>NP</v>
      </c>
      <c r="CE83" t="str">
        <f t="shared" si="35"/>
        <v>VE</v>
      </c>
      <c r="CF83" t="str">
        <f t="shared" si="35"/>
        <v>ROB</v>
      </c>
      <c r="CG83" t="str">
        <f t="shared" si="35"/>
        <v>AMB</v>
      </c>
    </row>
    <row r="84" spans="1:85" ht="21.75" hidden="1" customHeight="1" thickBot="1" x14ac:dyDescent="0.3">
      <c r="A84" s="1608" t="s">
        <v>2662</v>
      </c>
      <c r="B84" s="1609"/>
      <c r="C84" s="1609"/>
      <c r="D84" s="1609"/>
      <c r="E84" s="1609"/>
      <c r="F84" s="1609"/>
      <c r="G84" s="1609"/>
      <c r="H84" s="1609"/>
      <c r="I84" s="1609"/>
      <c r="J84" s="1609"/>
      <c r="K84" s="1609"/>
      <c r="L84" s="1609"/>
      <c r="M84" s="1609"/>
      <c r="N84" s="1609"/>
      <c r="O84" s="1609"/>
      <c r="P84" s="1609"/>
      <c r="Q84" s="1609"/>
      <c r="R84" s="1609"/>
      <c r="S84" s="1609"/>
      <c r="T84" s="1609"/>
      <c r="U84" s="1609"/>
      <c r="V84" s="1609"/>
      <c r="W84" s="1609"/>
      <c r="X84" s="1609"/>
      <c r="Y84" s="1609"/>
      <c r="Z84" s="1609"/>
      <c r="AA84" s="1609"/>
      <c r="AB84" s="1609"/>
      <c r="AC84" s="1609"/>
      <c r="AD84" s="1609"/>
      <c r="AE84" s="1609"/>
      <c r="AF84" s="1609"/>
      <c r="AG84" s="1609"/>
      <c r="AH84" s="1609"/>
      <c r="AI84" s="1609"/>
      <c r="AJ84" s="1609"/>
      <c r="AK84" s="1609"/>
      <c r="AL84" s="1609"/>
      <c r="AM84" s="1610"/>
      <c r="AN84" s="437"/>
      <c r="AO84" s="626"/>
      <c r="AP84" s="627"/>
      <c r="AQ84" s="628"/>
      <c r="AR84" s="628"/>
      <c r="AS84" s="628"/>
      <c r="AT84" s="628"/>
      <c r="AU84" s="628"/>
      <c r="AV84" s="628"/>
      <c r="AW84" s="629"/>
      <c r="AX84" s="627"/>
      <c r="AY84" s="628"/>
      <c r="AZ84" s="628"/>
      <c r="BA84" s="628"/>
      <c r="BB84" s="628"/>
      <c r="BC84" s="628"/>
      <c r="BD84" s="628"/>
      <c r="BE84" s="629">
        <f t="shared" ref="BE84:BE85" si="36">SUM(AX84:BD84)</f>
        <v>0</v>
      </c>
      <c r="BF84" s="627"/>
      <c r="BG84" s="628"/>
      <c r="BH84" s="628"/>
      <c r="BI84" s="628"/>
      <c r="BJ84" s="628"/>
      <c r="BK84" s="628"/>
      <c r="BL84" s="628"/>
      <c r="BM84" s="629">
        <f t="shared" si="15"/>
        <v>0</v>
      </c>
      <c r="BN84" s="627"/>
      <c r="BO84" s="628"/>
      <c r="BP84" s="628"/>
      <c r="BQ84" s="628"/>
      <c r="BR84" s="628"/>
      <c r="BS84" s="628"/>
      <c r="BT84" s="628"/>
      <c r="BU84" s="629"/>
      <c r="BV84" s="650"/>
      <c r="BW84" s="626" t="s">
        <v>2717</v>
      </c>
      <c r="BX84" s="626" t="s">
        <v>2717</v>
      </c>
      <c r="BY84" s="626" t="s">
        <v>2717</v>
      </c>
      <c r="BZ84" s="626" t="s">
        <v>2717</v>
      </c>
      <c r="CA84" s="626" t="s">
        <v>2717</v>
      </c>
      <c r="CB84" s="1047" t="s">
        <v>2717</v>
      </c>
    </row>
    <row r="85" spans="1:85" ht="42" customHeight="1" x14ac:dyDescent="0.3">
      <c r="A85" s="296"/>
      <c r="B85" s="331" t="str">
        <f>'PLAN INDICATIVO'!B85</f>
        <v>Deporte y Recreación</v>
      </c>
      <c r="C85" s="1605" t="s">
        <v>279</v>
      </c>
      <c r="D85" s="1606"/>
      <c r="E85" s="1606"/>
      <c r="F85" s="1606"/>
      <c r="G85" s="1606"/>
      <c r="H85" s="1606"/>
      <c r="I85" s="1606"/>
      <c r="J85" s="1606"/>
      <c r="K85" s="1606"/>
      <c r="L85" s="1606"/>
      <c r="M85" s="1606"/>
      <c r="N85" s="1606"/>
      <c r="O85" s="1607"/>
      <c r="P85" s="318"/>
      <c r="Q85" s="318"/>
      <c r="R85" s="317"/>
      <c r="S85" s="319"/>
      <c r="T85" s="676"/>
      <c r="U85" s="319"/>
      <c r="V85" s="695">
        <f>SUM(V86:V96)</f>
        <v>608</v>
      </c>
      <c r="W85" s="319"/>
      <c r="X85" s="695">
        <f>SUM(X86:X96)</f>
        <v>592600000</v>
      </c>
      <c r="Y85" s="319"/>
      <c r="Z85" s="695">
        <f>SUM(Z86:Z96)</f>
        <v>111000000</v>
      </c>
      <c r="AA85" s="320"/>
      <c r="AB85" s="320">
        <f>SUM(AB86:AB96)</f>
        <v>197358400</v>
      </c>
      <c r="AC85" s="320"/>
      <c r="AD85" s="320"/>
      <c r="AE85" s="320"/>
      <c r="AF85" s="320"/>
      <c r="AG85" s="321"/>
      <c r="AH85" s="321"/>
      <c r="AI85" s="321"/>
      <c r="AJ85" s="320"/>
      <c r="AK85" s="320"/>
      <c r="AL85" s="320"/>
      <c r="AM85" s="320"/>
      <c r="AN85" s="320"/>
      <c r="AO85" s="630"/>
      <c r="AP85" s="631"/>
      <c r="AQ85" s="631"/>
      <c r="AR85" s="631"/>
      <c r="AS85" s="631"/>
      <c r="AT85" s="631"/>
      <c r="AU85" s="631"/>
      <c r="AV85" s="631"/>
      <c r="AW85" s="631"/>
      <c r="AX85" s="631" t="e">
        <f>(AX86:AX96)</f>
        <v>#VALUE!</v>
      </c>
      <c r="AY85" s="631" t="e">
        <f t="shared" ref="AY85:BD85" si="37">(AY86:AY96)</f>
        <v>#VALUE!</v>
      </c>
      <c r="AZ85" s="631" t="e">
        <f t="shared" si="37"/>
        <v>#VALUE!</v>
      </c>
      <c r="BA85" s="631" t="e">
        <f t="shared" si="37"/>
        <v>#VALUE!</v>
      </c>
      <c r="BB85" s="631" t="e">
        <f t="shared" si="37"/>
        <v>#VALUE!</v>
      </c>
      <c r="BC85" s="631" t="e">
        <f t="shared" si="37"/>
        <v>#VALUE!</v>
      </c>
      <c r="BD85" s="631" t="e">
        <f t="shared" si="37"/>
        <v>#VALUE!</v>
      </c>
      <c r="BE85" s="617" t="e">
        <f t="shared" si="36"/>
        <v>#VALUE!</v>
      </c>
      <c r="BF85" s="631"/>
      <c r="BG85" s="631"/>
      <c r="BH85" s="631"/>
      <c r="BI85" s="631"/>
      <c r="BJ85" s="631"/>
      <c r="BK85" s="631"/>
      <c r="BL85" s="631"/>
      <c r="BM85" s="617">
        <f t="shared" si="15"/>
        <v>0</v>
      </c>
      <c r="BN85" s="631"/>
      <c r="BO85" s="631"/>
      <c r="BP85" s="631"/>
      <c r="BQ85" s="631"/>
      <c r="BR85" s="631"/>
      <c r="BS85" s="631"/>
      <c r="BT85" s="631"/>
      <c r="BU85" s="617"/>
      <c r="BV85" s="651"/>
      <c r="BW85" s="863" t="s">
        <v>2717</v>
      </c>
      <c r="BX85" s="631" t="s">
        <v>2717</v>
      </c>
      <c r="BY85" s="631" t="s">
        <v>2717</v>
      </c>
      <c r="BZ85" s="631" t="s">
        <v>2717</v>
      </c>
      <c r="CA85" s="631" t="s">
        <v>2717</v>
      </c>
      <c r="CB85" s="1047" t="s">
        <v>2717</v>
      </c>
    </row>
    <row r="86" spans="1:85" ht="6.75" customHeight="1" x14ac:dyDescent="0.3">
      <c r="A86" s="298" t="s">
        <v>280</v>
      </c>
      <c r="B86" s="299" t="s">
        <v>801</v>
      </c>
      <c r="C86" s="1546" t="s">
        <v>281</v>
      </c>
      <c r="D86" s="1550" t="s">
        <v>282</v>
      </c>
      <c r="E86" s="1550" t="s">
        <v>283</v>
      </c>
      <c r="F86" s="1550">
        <v>2015</v>
      </c>
      <c r="G86" s="1550">
        <v>8</v>
      </c>
      <c r="H86" s="1550">
        <v>10</v>
      </c>
      <c r="I86" s="300">
        <f>'PLAN INDICATIVO'!I86</f>
        <v>0</v>
      </c>
      <c r="J86" s="300">
        <f>'PLAN INDICATIVO'!J86</f>
        <v>0</v>
      </c>
      <c r="K86" s="1425" t="str">
        <f>'PLAN INDICATIVO'!K86</f>
        <v>A.4.1.1</v>
      </c>
      <c r="L86" s="1425">
        <f>'PLAN INDICATIVO'!L86</f>
        <v>0</v>
      </c>
      <c r="M86" s="1425" t="str">
        <f>'PLAN INDICATIVO'!M86</f>
        <v>Secretaría de Educación, Cultura, deporte y Turismo</v>
      </c>
      <c r="N86" s="1513" t="s">
        <v>5122</v>
      </c>
      <c r="O86" s="1425" t="str">
        <f>'PLAN INDICATIVO'!O86</f>
        <v>Incremento</v>
      </c>
      <c r="P86" s="16" t="str">
        <f>'PLAN INDICATIVO'!P86</f>
        <v>Actualizar 1 Plan Local de Deporte, Recreación, Educación Física y Aprovechamiento del Tiempo Libre en el Cuatrienio.</v>
      </c>
      <c r="Q86" s="302" t="str">
        <f>'PLAN INDICATIVO'!Q86</f>
        <v>No. De Planes actualizados</v>
      </c>
      <c r="R86" s="303">
        <f>'PLAN INDICATIVO'!R86</f>
        <v>2015</v>
      </c>
      <c r="S86" s="304">
        <v>0</v>
      </c>
      <c r="T86" s="677">
        <v>1</v>
      </c>
      <c r="U86" s="303">
        <v>0</v>
      </c>
      <c r="V86" s="687">
        <v>1</v>
      </c>
      <c r="W86" s="572">
        <v>0.33</v>
      </c>
      <c r="X86" s="687">
        <v>1000000</v>
      </c>
      <c r="Y86" s="572"/>
      <c r="Z86" s="572">
        <v>1000000</v>
      </c>
      <c r="AA86" s="1310">
        <v>0.62</v>
      </c>
      <c r="AB86" s="686"/>
      <c r="AC86" s="665"/>
      <c r="AD86" s="665">
        <v>0.33</v>
      </c>
      <c r="AE86" s="665">
        <v>0.05</v>
      </c>
      <c r="AF86" s="665">
        <v>0.31</v>
      </c>
      <c r="AG86" s="306" t="s">
        <v>5138</v>
      </c>
      <c r="AH86" s="987">
        <v>2019413960015</v>
      </c>
      <c r="AI86" s="307" t="s">
        <v>4934</v>
      </c>
      <c r="AJ86" s="309">
        <v>43497</v>
      </c>
      <c r="AK86" s="309" t="s">
        <v>4742</v>
      </c>
      <c r="AL86" s="308"/>
      <c r="AM86" s="308"/>
      <c r="AN86" s="267" t="s">
        <v>2604</v>
      </c>
      <c r="AO86" s="507"/>
      <c r="AP86" s="526"/>
      <c r="AQ86" s="470"/>
      <c r="AR86" s="470"/>
      <c r="AS86" s="470"/>
      <c r="AT86" s="470"/>
      <c r="AU86" s="470"/>
      <c r="AV86" s="470"/>
      <c r="AW86" s="544"/>
      <c r="AX86" s="526"/>
      <c r="AY86" s="470"/>
      <c r="AZ86" s="470"/>
      <c r="BA86" s="470"/>
      <c r="BB86" s="470"/>
      <c r="BC86" s="470"/>
      <c r="BD86" s="470"/>
      <c r="BE86" s="544"/>
      <c r="BF86" s="526"/>
      <c r="BG86" s="470"/>
      <c r="BH86" s="470"/>
      <c r="BI86" s="470"/>
      <c r="BJ86" s="470"/>
      <c r="BK86" s="470"/>
      <c r="BL86" s="470"/>
      <c r="BM86" s="544">
        <f t="shared" si="15"/>
        <v>0</v>
      </c>
      <c r="BN86" s="526"/>
      <c r="BO86" s="470"/>
      <c r="BP86" s="470"/>
      <c r="BQ86" s="470"/>
      <c r="BR86" s="470"/>
      <c r="BS86" s="470"/>
      <c r="BT86" s="470"/>
      <c r="BU86" s="544"/>
      <c r="BV86" s="556"/>
      <c r="BW86" s="663">
        <f t="shared" si="29"/>
        <v>0.69</v>
      </c>
      <c r="BX86" s="1047">
        <f t="shared" si="30"/>
        <v>0.69</v>
      </c>
      <c r="BY86" s="1047" t="str">
        <f t="shared" ref="BY86:BY96" si="38">IF(U86&gt;=0.1,AC86/U86,IF(ISBLANK(U86),"No Programada","Aplazada"))</f>
        <v>Aplazada</v>
      </c>
      <c r="BZ86" s="1047">
        <f t="shared" ref="BZ86:BZ96" si="39">IF(W86&gt;=0.1,AD86/W86,IF(ISBLANK(W86),"No Programada","Aplazada"))</f>
        <v>1</v>
      </c>
      <c r="CA86" s="1047" t="str">
        <f t="shared" ref="CA86:CA96" si="40">IF(Y86&gt;=0.1,AE86/Y86,IF(ISBLANK(Y86),"No Programada","Aplazada"))</f>
        <v>No Programada</v>
      </c>
      <c r="CB86" s="1047">
        <f t="shared" ref="CB86:CB96" si="41">IF(AA86&gt;=0.1,AF86/AA86,IF(ISBLANK(AA86),"No Programada","Aplazada"))</f>
        <v>0.5</v>
      </c>
      <c r="CD86" t="str">
        <f t="shared" ref="CD86:CG96" si="42">IF(BY86="PARA MODIFICAR","M",IF(BY86="PARA ELIMINAR","E",IF(BY86="aplazada","AZ",IF(BY86="no programada","NP",IF(BY86&gt;=85%,"VE",IF(BY86&gt;70%,"VEB",IF(BY86&gt;60%,"AM",IF(BY86&gt;40%,"AMB",IF(BY86&gt;20%,"RO",IF(BY86&gt;=0%,"ROB",""))))))))))</f>
        <v>AZ</v>
      </c>
      <c r="CE86" t="str">
        <f t="shared" si="42"/>
        <v>VE</v>
      </c>
      <c r="CF86" t="str">
        <f t="shared" si="42"/>
        <v>NP</v>
      </c>
      <c r="CG86" t="str">
        <f t="shared" si="42"/>
        <v>AMB</v>
      </c>
    </row>
    <row r="87" spans="1:85" ht="46.5" customHeight="1" x14ac:dyDescent="0.3">
      <c r="A87" s="298" t="s">
        <v>280</v>
      </c>
      <c r="B87" s="299" t="str">
        <f>'PLAN INDICATIVO'!B87</f>
        <v>Deporte y Recreación</v>
      </c>
      <c r="C87" s="1547"/>
      <c r="D87" s="1551"/>
      <c r="E87" s="1551"/>
      <c r="F87" s="1551"/>
      <c r="G87" s="1551"/>
      <c r="H87" s="1551"/>
      <c r="I87" s="1425" t="str">
        <f>'PLAN INDICATIVO'!I87</f>
        <v>SI</v>
      </c>
      <c r="J87" s="1425">
        <f>'PLAN INDICATIVO'!J87</f>
        <v>0</v>
      </c>
      <c r="K87" s="1425" t="str">
        <f>'PLAN INDICATIVO'!K87</f>
        <v>A.4.1.2</v>
      </c>
      <c r="L87" s="1425">
        <f>'PLAN INDICATIVO'!L87</f>
        <v>0</v>
      </c>
      <c r="M87" s="1425" t="str">
        <f>'PLAN INDICATIVO'!M87</f>
        <v>Secretaría de Educación, Cultura, deporte y Turismo</v>
      </c>
      <c r="N87" s="1513" t="s">
        <v>5122</v>
      </c>
      <c r="O87" s="1425" t="str">
        <f>'PLAN INDICATIVO'!O87</f>
        <v>Incremento</v>
      </c>
      <c r="P87" s="16" t="str">
        <f>'PLAN INDICATIVO'!P87</f>
        <v>Optimizar 1 complejo deportivo en la Villa Olímpica del Municipio en el cuatrienio.</v>
      </c>
      <c r="Q87" s="302" t="str">
        <f>'PLAN INDICATIVO'!Q87</f>
        <v>No. De Villa olímpica optimizada</v>
      </c>
      <c r="R87" s="303">
        <f>'PLAN INDICATIVO'!R87</f>
        <v>2015</v>
      </c>
      <c r="S87" s="304">
        <v>0</v>
      </c>
      <c r="T87" s="677">
        <v>1</v>
      </c>
      <c r="U87" s="303">
        <v>0.25</v>
      </c>
      <c r="V87" s="687">
        <v>5</v>
      </c>
      <c r="W87" s="572">
        <v>0.3</v>
      </c>
      <c r="X87" s="687">
        <v>1000000</v>
      </c>
      <c r="Y87" s="572">
        <v>0.5</v>
      </c>
      <c r="Z87" s="572">
        <v>1000000</v>
      </c>
      <c r="AA87" s="1310"/>
      <c r="AB87" s="686">
        <v>21817600</v>
      </c>
      <c r="AC87" s="665"/>
      <c r="AD87" s="665">
        <v>0.1</v>
      </c>
      <c r="AE87" s="665">
        <v>0.5</v>
      </c>
      <c r="AF87" s="665"/>
      <c r="AG87" s="306" t="s">
        <v>5138</v>
      </c>
      <c r="AH87" s="987">
        <v>2019413960015</v>
      </c>
      <c r="AI87" s="307"/>
      <c r="AJ87" s="309"/>
      <c r="AK87" s="309"/>
      <c r="AL87" s="308"/>
      <c r="AM87" s="308"/>
      <c r="AN87" s="267" t="s">
        <v>2598</v>
      </c>
      <c r="AO87" s="507"/>
      <c r="AP87" s="470"/>
      <c r="AQ87" s="470"/>
      <c r="AR87" s="470"/>
      <c r="AS87" s="470"/>
      <c r="AT87" s="310"/>
      <c r="AU87" s="310"/>
      <c r="AV87" s="310"/>
      <c r="AW87" s="544"/>
      <c r="AX87" s="525"/>
      <c r="AY87" s="310"/>
      <c r="AZ87" s="310"/>
      <c r="BA87" s="310"/>
      <c r="BB87" s="310"/>
      <c r="BC87" s="310"/>
      <c r="BD87" s="310"/>
      <c r="BE87" s="544"/>
      <c r="BF87" s="470"/>
      <c r="BG87" s="470"/>
      <c r="BH87" s="470"/>
      <c r="BI87" s="470"/>
      <c r="BJ87" s="310"/>
      <c r="BK87" s="310"/>
      <c r="BL87" s="310"/>
      <c r="BM87" s="544">
        <f t="shared" ref="BM87:BM150" si="43">SUM(BF87:BL87)</f>
        <v>0</v>
      </c>
      <c r="BN87" s="470"/>
      <c r="BO87" s="470"/>
      <c r="BP87" s="470"/>
      <c r="BQ87" s="470"/>
      <c r="BR87" s="310"/>
      <c r="BS87" s="310"/>
      <c r="BT87" s="310"/>
      <c r="BU87" s="544"/>
      <c r="BV87" s="556"/>
      <c r="BW87" s="663">
        <f t="shared" si="29"/>
        <v>0.6</v>
      </c>
      <c r="BX87" s="1047">
        <f t="shared" si="30"/>
        <v>0.6</v>
      </c>
      <c r="BY87" s="1047">
        <f t="shared" si="38"/>
        <v>0</v>
      </c>
      <c r="BZ87" s="1047">
        <f t="shared" si="39"/>
        <v>0.33333333333333337</v>
      </c>
      <c r="CA87" s="1047">
        <f t="shared" si="40"/>
        <v>1</v>
      </c>
      <c r="CB87" s="1047" t="str">
        <f t="shared" si="41"/>
        <v>No Programada</v>
      </c>
      <c r="CD87" t="str">
        <f t="shared" si="42"/>
        <v>ROB</v>
      </c>
      <c r="CE87" t="str">
        <f t="shared" si="42"/>
        <v>RO</v>
      </c>
      <c r="CF87" t="str">
        <f t="shared" si="42"/>
        <v>VE</v>
      </c>
      <c r="CG87" t="str">
        <f t="shared" si="42"/>
        <v>NP</v>
      </c>
    </row>
    <row r="88" spans="1:85" ht="57" customHeight="1" x14ac:dyDescent="0.3">
      <c r="A88" s="298" t="s">
        <v>280</v>
      </c>
      <c r="B88" s="299" t="str">
        <f>'PLAN INDICATIVO'!B88</f>
        <v>Deporte y Recreación</v>
      </c>
      <c r="C88" s="1547"/>
      <c r="D88" s="1551"/>
      <c r="E88" s="1551"/>
      <c r="F88" s="1551"/>
      <c r="G88" s="1551"/>
      <c r="H88" s="1551"/>
      <c r="I88" s="1425" t="str">
        <f>'PLAN INDICATIVO'!I88</f>
        <v>SI</v>
      </c>
      <c r="J88" s="1425">
        <f>'PLAN INDICATIVO'!J88</f>
        <v>0</v>
      </c>
      <c r="K88" s="1425" t="str">
        <f>'PLAN INDICATIVO'!K88</f>
        <v>A.4.1.3</v>
      </c>
      <c r="L88" s="1425">
        <f>'PLAN INDICATIVO'!L88</f>
        <v>0</v>
      </c>
      <c r="M88" s="1425" t="str">
        <f>'PLAN INDICATIVO'!M88</f>
        <v>Secretaría de Educación, Cultura, deporte y Turismo</v>
      </c>
      <c r="N88" s="1513" t="s">
        <v>5122</v>
      </c>
      <c r="O88" s="1425" t="str">
        <f>'PLAN INDICATIVO'!O88</f>
        <v>Incremento</v>
      </c>
      <c r="P88" s="16" t="str">
        <f>'PLAN INDICATIVO'!P88</f>
        <v>Construir 13 cubiertas para escenarios deportivos en el sector rural y urbano en el municipio en el cuatrienio (LB 4)</v>
      </c>
      <c r="Q88" s="302" t="str">
        <f>'PLAN INDICATIVO'!Q88</f>
        <v>No. De Cubiertas de escenarios deportivos construidas</v>
      </c>
      <c r="R88" s="303" t="str">
        <f>'PLAN INDICATIVO'!R88</f>
        <v>2012/2015</v>
      </c>
      <c r="S88" s="304">
        <v>4</v>
      </c>
      <c r="T88" s="1293">
        <v>13</v>
      </c>
      <c r="U88" s="303">
        <v>2</v>
      </c>
      <c r="V88" s="687">
        <v>10</v>
      </c>
      <c r="W88" s="572">
        <v>4</v>
      </c>
      <c r="X88" s="687">
        <v>10000000</v>
      </c>
      <c r="Y88" s="572">
        <v>4</v>
      </c>
      <c r="Z88" s="572">
        <v>40000000</v>
      </c>
      <c r="AA88" s="1310">
        <v>8.1999999999999993</v>
      </c>
      <c r="AB88" s="686">
        <v>21817600</v>
      </c>
      <c r="AC88" s="665"/>
      <c r="AD88" s="665">
        <v>1</v>
      </c>
      <c r="AE88" s="665">
        <v>3</v>
      </c>
      <c r="AF88" s="665">
        <v>7</v>
      </c>
      <c r="AG88" s="306" t="s">
        <v>5138</v>
      </c>
      <c r="AH88" s="987">
        <v>2019413960015</v>
      </c>
      <c r="AI88" s="307" t="s">
        <v>4935</v>
      </c>
      <c r="AJ88" s="309">
        <v>43497</v>
      </c>
      <c r="AK88" s="309">
        <v>43799</v>
      </c>
      <c r="AL88" s="308"/>
      <c r="AM88" s="308"/>
      <c r="AN88" s="267" t="s">
        <v>2604</v>
      </c>
      <c r="AO88" s="507"/>
      <c r="AP88" s="526"/>
      <c r="AQ88" s="470"/>
      <c r="AR88" s="470"/>
      <c r="AS88" s="470"/>
      <c r="AT88" s="470"/>
      <c r="AU88" s="470"/>
      <c r="AV88" s="470"/>
      <c r="AW88" s="544"/>
      <c r="AX88" s="526"/>
      <c r="AY88" s="470"/>
      <c r="AZ88" s="470"/>
      <c r="BA88" s="470"/>
      <c r="BB88" s="470"/>
      <c r="BC88" s="470"/>
      <c r="BD88" s="470"/>
      <c r="BE88" s="544"/>
      <c r="BF88" s="526"/>
      <c r="BG88" s="470"/>
      <c r="BH88" s="470"/>
      <c r="BI88" s="470"/>
      <c r="BJ88" s="470"/>
      <c r="BK88" s="470"/>
      <c r="BL88" s="470"/>
      <c r="BM88" s="544">
        <f t="shared" si="43"/>
        <v>0</v>
      </c>
      <c r="BN88" s="526"/>
      <c r="BO88" s="470"/>
      <c r="BP88" s="470"/>
      <c r="BQ88" s="470"/>
      <c r="BR88" s="470"/>
      <c r="BS88" s="470"/>
      <c r="BT88" s="470"/>
      <c r="BU88" s="544"/>
      <c r="BV88" s="556"/>
      <c r="BW88" s="663">
        <f t="shared" si="29"/>
        <v>11</v>
      </c>
      <c r="BX88" s="1047">
        <f t="shared" si="30"/>
        <v>0.84615384615384615</v>
      </c>
      <c r="BY88" s="1047">
        <f t="shared" si="38"/>
        <v>0</v>
      </c>
      <c r="BZ88" s="1047">
        <f t="shared" si="39"/>
        <v>0.25</v>
      </c>
      <c r="CA88" s="1047">
        <f t="shared" si="40"/>
        <v>0.75</v>
      </c>
      <c r="CB88" s="1047">
        <f t="shared" si="41"/>
        <v>0.85365853658536595</v>
      </c>
      <c r="CD88" t="str">
        <f t="shared" si="42"/>
        <v>ROB</v>
      </c>
      <c r="CE88" t="str">
        <f t="shared" si="42"/>
        <v>RO</v>
      </c>
      <c r="CF88" t="str">
        <f t="shared" si="42"/>
        <v>VEB</v>
      </c>
      <c r="CG88" t="str">
        <f t="shared" si="42"/>
        <v>VE</v>
      </c>
    </row>
    <row r="89" spans="1:85" ht="57" customHeight="1" x14ac:dyDescent="0.3">
      <c r="A89" s="298" t="s">
        <v>280</v>
      </c>
      <c r="B89" s="299" t="str">
        <f>'PLAN INDICATIVO'!B89</f>
        <v>Deporte y Recreación</v>
      </c>
      <c r="C89" s="1547"/>
      <c r="D89" s="1551"/>
      <c r="E89" s="1551"/>
      <c r="F89" s="1551"/>
      <c r="G89" s="1551"/>
      <c r="H89" s="1551"/>
      <c r="I89" s="300">
        <f>'PLAN INDICATIVO'!I89</f>
        <v>0</v>
      </c>
      <c r="J89" s="300">
        <f>'PLAN INDICATIVO'!J89</f>
        <v>0</v>
      </c>
      <c r="K89" s="1425" t="str">
        <f>'PLAN INDICATIVO'!K89</f>
        <v>A.4.1.4</v>
      </c>
      <c r="L89" s="1425">
        <f>'PLAN INDICATIVO'!L89</f>
        <v>0</v>
      </c>
      <c r="M89" s="1425" t="str">
        <f>'PLAN INDICATIVO'!M89</f>
        <v>Secretaría de Educación, Cultura, deporte y Turismo</v>
      </c>
      <c r="N89" s="1513" t="s">
        <v>5122</v>
      </c>
      <c r="O89" s="1425" t="str">
        <f>'PLAN INDICATIVO'!O89</f>
        <v>Incremento</v>
      </c>
      <c r="P89" s="16" t="str">
        <f>'PLAN INDICATIVO'!P89</f>
        <v>Realizar construcción, mejoramiento o mantenimiento de 12 escenarios deportivos comunitarios del sector urbano y rural del municipio durante el cuatrienio</v>
      </c>
      <c r="Q89" s="302" t="str">
        <f>'PLAN INDICATIVO'!Q89</f>
        <v>No. De escenarios deportivos  con construcción, mejoramiento o mantenimiento</v>
      </c>
      <c r="R89" s="303">
        <f>'PLAN INDICATIVO'!R89</f>
        <v>2015</v>
      </c>
      <c r="S89" s="304">
        <v>0</v>
      </c>
      <c r="T89" s="677">
        <v>12</v>
      </c>
      <c r="U89" s="303">
        <v>3</v>
      </c>
      <c r="V89" s="687">
        <v>22.67</v>
      </c>
      <c r="W89" s="572">
        <v>5.4</v>
      </c>
      <c r="X89" s="687">
        <v>34000000</v>
      </c>
      <c r="Y89" s="572">
        <v>3</v>
      </c>
      <c r="Z89" s="572">
        <v>11000000</v>
      </c>
      <c r="AA89" s="1310">
        <v>3</v>
      </c>
      <c r="AB89" s="686">
        <v>21817600</v>
      </c>
      <c r="AC89" s="665"/>
      <c r="AD89" s="665">
        <v>5.4</v>
      </c>
      <c r="AE89" s="665">
        <v>3</v>
      </c>
      <c r="AF89" s="665">
        <v>7</v>
      </c>
      <c r="AG89" s="306" t="s">
        <v>5138</v>
      </c>
      <c r="AH89" s="987">
        <v>2019413960015</v>
      </c>
      <c r="AI89" s="664" t="s">
        <v>4936</v>
      </c>
      <c r="AJ89" s="309">
        <v>43497</v>
      </c>
      <c r="AK89" s="309">
        <v>43799</v>
      </c>
      <c r="AL89" s="308"/>
      <c r="AM89" s="308"/>
      <c r="AN89" s="267" t="s">
        <v>2598</v>
      </c>
      <c r="AO89" s="507"/>
      <c r="AP89" s="526"/>
      <c r="AQ89" s="526"/>
      <c r="AR89" s="526"/>
      <c r="AS89" s="526"/>
      <c r="AT89" s="526"/>
      <c r="AU89" s="526"/>
      <c r="AV89" s="310"/>
      <c r="AW89" s="544"/>
      <c r="AX89" s="525"/>
      <c r="AY89" s="310"/>
      <c r="AZ89" s="310"/>
      <c r="BA89" s="310"/>
      <c r="BB89" s="310"/>
      <c r="BC89" s="310"/>
      <c r="BD89" s="310"/>
      <c r="BE89" s="544"/>
      <c r="BF89" s="526"/>
      <c r="BG89" s="526"/>
      <c r="BH89" s="526"/>
      <c r="BI89" s="526"/>
      <c r="BJ89" s="526"/>
      <c r="BK89" s="526"/>
      <c r="BL89" s="310"/>
      <c r="BM89" s="544">
        <f t="shared" si="43"/>
        <v>0</v>
      </c>
      <c r="BN89" s="526"/>
      <c r="BO89" s="526"/>
      <c r="BP89" s="526"/>
      <c r="BQ89" s="526"/>
      <c r="BR89" s="526"/>
      <c r="BS89" s="526"/>
      <c r="BT89" s="310"/>
      <c r="BU89" s="544"/>
      <c r="BV89" s="556"/>
      <c r="BW89" s="663">
        <f t="shared" si="29"/>
        <v>15.4</v>
      </c>
      <c r="BX89" s="1047">
        <f t="shared" si="30"/>
        <v>1.2833333333333334</v>
      </c>
      <c r="BY89" s="1047">
        <f t="shared" si="38"/>
        <v>0</v>
      </c>
      <c r="BZ89" s="1047">
        <f t="shared" si="39"/>
        <v>1</v>
      </c>
      <c r="CA89" s="1047">
        <f t="shared" si="40"/>
        <v>1</v>
      </c>
      <c r="CB89" s="1047">
        <f t="shared" si="41"/>
        <v>2.3333333333333335</v>
      </c>
      <c r="CD89" t="str">
        <f t="shared" si="42"/>
        <v>ROB</v>
      </c>
      <c r="CE89" t="str">
        <f t="shared" si="42"/>
        <v>VE</v>
      </c>
      <c r="CF89" t="str">
        <f t="shared" si="42"/>
        <v>VE</v>
      </c>
      <c r="CG89" t="str">
        <f t="shared" si="42"/>
        <v>VE</v>
      </c>
    </row>
    <row r="90" spans="1:85" ht="70.5" customHeight="1" x14ac:dyDescent="0.3">
      <c r="A90" s="298" t="s">
        <v>2458</v>
      </c>
      <c r="B90" s="299" t="str">
        <f>'PLAN INDICATIVO'!B90</f>
        <v>Deporte y Recreación</v>
      </c>
      <c r="C90" s="1547"/>
      <c r="D90" s="1551"/>
      <c r="E90" s="1551"/>
      <c r="F90" s="1551"/>
      <c r="G90" s="1551"/>
      <c r="H90" s="1551"/>
      <c r="I90" s="1425" t="str">
        <f>'PLAN INDICATIVO'!I90</f>
        <v>SI</v>
      </c>
      <c r="J90" s="1425">
        <f>'PLAN INDICATIVO'!J90</f>
        <v>0</v>
      </c>
      <c r="K90" s="1425" t="str">
        <f>'PLAN INDICATIVO'!K90</f>
        <v>A.4.1.5</v>
      </c>
      <c r="L90" s="1425">
        <f>'PLAN INDICATIVO'!L90</f>
        <v>0</v>
      </c>
      <c r="M90" s="1425" t="str">
        <f>'PLAN INDICATIVO'!M90</f>
        <v>Secretaría de Educación, Cultura, deporte y Turismo</v>
      </c>
      <c r="N90" s="1513" t="s">
        <v>5122</v>
      </c>
      <c r="O90" s="1425" t="str">
        <f>'PLAN INDICATIVO'!O90</f>
        <v>Incremento</v>
      </c>
      <c r="P90" s="16" t="str">
        <f>'PLAN INDICATIVO'!P90</f>
        <v>Construir  3 Parques Biosaludables  en el sector rural y/o urbano en el municipio en el cuatrienio</v>
      </c>
      <c r="Q90" s="302" t="str">
        <f>'PLAN INDICATIVO'!Q90</f>
        <v>No. De parques construidos</v>
      </c>
      <c r="R90" s="303">
        <f>'PLAN INDICATIVO'!R90</f>
        <v>2015</v>
      </c>
      <c r="S90" s="304">
        <v>1</v>
      </c>
      <c r="T90" s="1293">
        <v>3</v>
      </c>
      <c r="U90" s="303">
        <v>2</v>
      </c>
      <c r="V90" s="687">
        <v>5</v>
      </c>
      <c r="W90" s="572">
        <v>2</v>
      </c>
      <c r="X90" s="687">
        <v>1000000</v>
      </c>
      <c r="Y90" s="572">
        <v>1</v>
      </c>
      <c r="Z90" s="572">
        <v>1000000</v>
      </c>
      <c r="AA90" s="1310">
        <v>0.7</v>
      </c>
      <c r="AB90" s="686">
        <v>21817600</v>
      </c>
      <c r="AC90" s="665"/>
      <c r="AD90" s="665">
        <v>0.3</v>
      </c>
      <c r="AE90" s="665">
        <v>2</v>
      </c>
      <c r="AF90" s="665">
        <v>1</v>
      </c>
      <c r="AG90" s="306" t="s">
        <v>5138</v>
      </c>
      <c r="AH90" s="987">
        <v>2019413960015</v>
      </c>
      <c r="AI90" s="307" t="s">
        <v>4937</v>
      </c>
      <c r="AJ90" s="309">
        <v>43497</v>
      </c>
      <c r="AK90" s="309">
        <v>43768</v>
      </c>
      <c r="AL90" s="308"/>
      <c r="AM90" s="308"/>
      <c r="AN90" s="267" t="s">
        <v>2598</v>
      </c>
      <c r="AO90" s="507"/>
      <c r="AP90" s="525"/>
      <c r="AQ90" s="310"/>
      <c r="AR90" s="310"/>
      <c r="AS90" s="310"/>
      <c r="AT90" s="310"/>
      <c r="AU90" s="310"/>
      <c r="AV90" s="310"/>
      <c r="AW90" s="544"/>
      <c r="AX90" s="525"/>
      <c r="AY90" s="310"/>
      <c r="AZ90" s="310"/>
      <c r="BA90" s="310"/>
      <c r="BB90" s="310"/>
      <c r="BC90" s="310"/>
      <c r="BD90" s="310"/>
      <c r="BE90" s="544"/>
      <c r="BF90" s="525"/>
      <c r="BG90" s="310"/>
      <c r="BH90" s="310"/>
      <c r="BI90" s="310"/>
      <c r="BJ90" s="310"/>
      <c r="BK90" s="310"/>
      <c r="BL90" s="310"/>
      <c r="BM90" s="544">
        <f t="shared" si="43"/>
        <v>0</v>
      </c>
      <c r="BN90" s="525"/>
      <c r="BO90" s="310"/>
      <c r="BP90" s="310"/>
      <c r="BQ90" s="310"/>
      <c r="BR90" s="310"/>
      <c r="BS90" s="310"/>
      <c r="BT90" s="310"/>
      <c r="BU90" s="544"/>
      <c r="BV90" s="556"/>
      <c r="BW90" s="663">
        <f t="shared" si="29"/>
        <v>3.3</v>
      </c>
      <c r="BX90" s="1047">
        <f t="shared" si="30"/>
        <v>1.0999999999999999</v>
      </c>
      <c r="BY90" s="1047">
        <f t="shared" si="38"/>
        <v>0</v>
      </c>
      <c r="BZ90" s="1047">
        <f t="shared" si="39"/>
        <v>0.15</v>
      </c>
      <c r="CA90" s="1047">
        <f t="shared" si="40"/>
        <v>2</v>
      </c>
      <c r="CB90" s="1047">
        <f t="shared" si="41"/>
        <v>1.4285714285714286</v>
      </c>
      <c r="CD90" t="str">
        <f t="shared" si="42"/>
        <v>ROB</v>
      </c>
      <c r="CE90" t="str">
        <f t="shared" si="42"/>
        <v>ROB</v>
      </c>
      <c r="CF90" t="str">
        <f t="shared" si="42"/>
        <v>VE</v>
      </c>
      <c r="CG90" t="str">
        <f t="shared" si="42"/>
        <v>VE</v>
      </c>
    </row>
    <row r="91" spans="1:85" ht="0.75" customHeight="1" x14ac:dyDescent="0.3">
      <c r="A91" s="1347"/>
      <c r="B91" s="1348" t="s">
        <v>278</v>
      </c>
      <c r="C91" s="1547"/>
      <c r="D91" s="1551"/>
      <c r="E91" s="1551"/>
      <c r="F91" s="1551"/>
      <c r="G91" s="1551"/>
      <c r="H91" s="1551"/>
      <c r="I91" s="1463" t="str">
        <f>'PLAN INDICATIVO'!I91</f>
        <v>SI</v>
      </c>
      <c r="J91" s="1463">
        <f>'PLAN INDICATIVO'!J91</f>
        <v>0</v>
      </c>
      <c r="K91" s="1463" t="str">
        <f>'PLAN INDICATIVO'!K91</f>
        <v>A.4.1.6</v>
      </c>
      <c r="L91" s="1463">
        <f>'PLAN INDICATIVO'!L91</f>
        <v>0</v>
      </c>
      <c r="M91" s="1463" t="str">
        <f>'PLAN INDICATIVO'!M91</f>
        <v>Secretaría de Educación, Cultura, deporte y Turismo</v>
      </c>
      <c r="N91" s="1513" t="s">
        <v>5122</v>
      </c>
      <c r="O91" s="1463" t="str">
        <f>'PLAN INDICATIVO'!O91</f>
        <v>Incremento</v>
      </c>
      <c r="P91" s="16" t="str">
        <f>'PLAN INDICATIVO'!P91</f>
        <v xml:space="preserve">Construir 8 Parques Infantiles en el sector rural y urbano en el municipio en el cuatrienio </v>
      </c>
      <c r="Q91" s="302" t="str">
        <f>'PLAN INDICATIVO'!Q91</f>
        <v>No. De parques infantiles construidos</v>
      </c>
      <c r="R91" s="303">
        <f>'PLAN INDICATIVO'!R91</f>
        <v>2015</v>
      </c>
      <c r="S91" s="304">
        <v>1</v>
      </c>
      <c r="T91" s="677">
        <v>8</v>
      </c>
      <c r="U91" s="303">
        <v>2</v>
      </c>
      <c r="V91" s="687">
        <v>0.33</v>
      </c>
      <c r="W91" s="572">
        <v>5</v>
      </c>
      <c r="X91" s="687">
        <v>1000000</v>
      </c>
      <c r="Y91" s="572">
        <v>7</v>
      </c>
      <c r="Z91" s="572">
        <v>1000000</v>
      </c>
      <c r="AA91" s="1232">
        <v>0</v>
      </c>
      <c r="AB91" s="686">
        <v>1000000</v>
      </c>
      <c r="AC91" s="665"/>
      <c r="AD91" s="665">
        <v>1</v>
      </c>
      <c r="AE91" s="665"/>
      <c r="AF91" s="665"/>
      <c r="AG91" s="306" t="s">
        <v>4058</v>
      </c>
      <c r="AH91" s="987">
        <v>2018453960002</v>
      </c>
      <c r="AI91" s="1306" t="s">
        <v>4307</v>
      </c>
      <c r="AJ91" s="1413">
        <v>42795</v>
      </c>
      <c r="AK91" s="1413">
        <v>43038</v>
      </c>
      <c r="AL91" s="1305"/>
      <c r="AM91" s="1305"/>
      <c r="AN91" s="1342" t="s">
        <v>2600</v>
      </c>
      <c r="AO91" s="507"/>
      <c r="AP91" s="1323"/>
      <c r="AQ91" s="1313"/>
      <c r="AR91" s="1313"/>
      <c r="AS91" s="1313"/>
      <c r="AT91" s="1313"/>
      <c r="AU91" s="1313"/>
      <c r="AV91" s="1313"/>
      <c r="AW91" s="800"/>
      <c r="AX91" s="1323"/>
      <c r="AY91" s="1313"/>
      <c r="AZ91" s="1313"/>
      <c r="BA91" s="1313"/>
      <c r="BB91" s="1313"/>
      <c r="BC91" s="1313"/>
      <c r="BD91" s="1313"/>
      <c r="BE91" s="800"/>
      <c r="BF91" s="1323"/>
      <c r="BG91" s="1313"/>
      <c r="BH91" s="1313"/>
      <c r="BI91" s="1313"/>
      <c r="BJ91" s="1313"/>
      <c r="BK91" s="1313"/>
      <c r="BL91" s="1313"/>
      <c r="BM91" s="800">
        <f t="shared" si="43"/>
        <v>0</v>
      </c>
      <c r="BN91" s="525"/>
      <c r="BO91" s="310"/>
      <c r="BP91" s="310"/>
      <c r="BQ91" s="310"/>
      <c r="BR91" s="310"/>
      <c r="BS91" s="310"/>
      <c r="BT91" s="310"/>
      <c r="BU91" s="800"/>
      <c r="BV91" s="556"/>
      <c r="BW91" s="663">
        <f t="shared" si="29"/>
        <v>1</v>
      </c>
      <c r="BX91" s="1047">
        <f t="shared" si="30"/>
        <v>0.125</v>
      </c>
      <c r="BY91" s="1047">
        <f t="shared" si="38"/>
        <v>0</v>
      </c>
      <c r="BZ91" s="1047">
        <f t="shared" si="39"/>
        <v>0.2</v>
      </c>
      <c r="CA91" s="1047">
        <f t="shared" si="40"/>
        <v>0</v>
      </c>
      <c r="CB91" s="1047" t="s">
        <v>4789</v>
      </c>
      <c r="CD91" t="str">
        <f t="shared" si="42"/>
        <v>ROB</v>
      </c>
      <c r="CE91" t="str">
        <f t="shared" si="42"/>
        <v>ROB</v>
      </c>
      <c r="CF91" t="str">
        <f t="shared" si="42"/>
        <v>ROB</v>
      </c>
      <c r="CG91" t="str">
        <f t="shared" si="42"/>
        <v>E</v>
      </c>
    </row>
    <row r="92" spans="1:85" ht="59.25" customHeight="1" x14ac:dyDescent="0.3">
      <c r="A92" s="298" t="s">
        <v>280</v>
      </c>
      <c r="B92" s="299" t="str">
        <f>'PLAN INDICATIVO'!B92</f>
        <v>Deporte y Recreación</v>
      </c>
      <c r="C92" s="1547"/>
      <c r="D92" s="1551"/>
      <c r="E92" s="1551"/>
      <c r="F92" s="1551"/>
      <c r="G92" s="1551"/>
      <c r="H92" s="1551"/>
      <c r="I92" s="300">
        <f>'PLAN INDICATIVO'!I92</f>
        <v>0</v>
      </c>
      <c r="J92" s="300">
        <f>'PLAN INDICATIVO'!J92</f>
        <v>0</v>
      </c>
      <c r="K92" s="1425" t="str">
        <f>'PLAN INDICATIVO'!K92</f>
        <v>A.4.1.7</v>
      </c>
      <c r="L92" s="1425">
        <f>'PLAN INDICATIVO'!L92</f>
        <v>0</v>
      </c>
      <c r="M92" s="1425" t="str">
        <f>'PLAN INDICATIVO'!M92</f>
        <v>Secretaría de Educación, Cultura, deporte y Turismo</v>
      </c>
      <c r="N92" s="1513" t="s">
        <v>5122</v>
      </c>
      <c r="O92" s="1425" t="str">
        <f>'PLAN INDICATIVO'!O92</f>
        <v>Incremento</v>
      </c>
      <c r="P92" s="16" t="str">
        <f>'PLAN INDICATIVO'!P92</f>
        <v>Realizar 4 campeonatos de deportes alternativos durante el cuatrienio dirigido a la población juvenil del municipio.</v>
      </c>
      <c r="Q92" s="302" t="str">
        <f>'PLAN INDICATIVO'!Q92</f>
        <v>No. De  campeonatos realizados</v>
      </c>
      <c r="R92" s="303">
        <f>'PLAN INDICATIVO'!R92</f>
        <v>2015</v>
      </c>
      <c r="S92" s="304" t="s">
        <v>177</v>
      </c>
      <c r="T92" s="677">
        <v>4</v>
      </c>
      <c r="U92" s="303">
        <v>1</v>
      </c>
      <c r="V92" s="687">
        <v>25</v>
      </c>
      <c r="W92" s="572">
        <v>1</v>
      </c>
      <c r="X92" s="687">
        <v>1000000</v>
      </c>
      <c r="Y92" s="572">
        <v>1</v>
      </c>
      <c r="Z92" s="572">
        <v>1000000</v>
      </c>
      <c r="AA92" s="1310">
        <v>1</v>
      </c>
      <c r="AB92" s="686">
        <v>21817600</v>
      </c>
      <c r="AC92" s="665"/>
      <c r="AD92" s="665">
        <v>1</v>
      </c>
      <c r="AE92" s="665">
        <v>1</v>
      </c>
      <c r="AF92" s="665">
        <v>1</v>
      </c>
      <c r="AG92" s="306" t="s">
        <v>5138</v>
      </c>
      <c r="AH92" s="987">
        <v>2019413960015</v>
      </c>
      <c r="AI92" s="307" t="s">
        <v>4938</v>
      </c>
      <c r="AJ92" s="309">
        <v>43497</v>
      </c>
      <c r="AK92" s="309">
        <v>43768</v>
      </c>
      <c r="AL92" s="308"/>
      <c r="AM92" s="308"/>
      <c r="AN92" s="267" t="s">
        <v>2598</v>
      </c>
      <c r="AO92" s="507"/>
      <c r="AP92" s="525"/>
      <c r="AQ92" s="310"/>
      <c r="AR92" s="310"/>
      <c r="AS92" s="310"/>
      <c r="AT92" s="310"/>
      <c r="AU92" s="310"/>
      <c r="AV92" s="310"/>
      <c r="AW92" s="544"/>
      <c r="AX92" s="525"/>
      <c r="AY92" s="310"/>
      <c r="AZ92" s="310"/>
      <c r="BA92" s="310"/>
      <c r="BB92" s="310"/>
      <c r="BC92" s="310"/>
      <c r="BD92" s="310"/>
      <c r="BE92" s="544"/>
      <c r="BF92" s="525"/>
      <c r="BG92" s="310"/>
      <c r="BH92" s="310"/>
      <c r="BI92" s="310"/>
      <c r="BJ92" s="310"/>
      <c r="BK92" s="310"/>
      <c r="BL92" s="310"/>
      <c r="BM92" s="544">
        <f t="shared" si="43"/>
        <v>0</v>
      </c>
      <c r="BN92" s="525"/>
      <c r="BO92" s="310"/>
      <c r="BP92" s="310"/>
      <c r="BQ92" s="310"/>
      <c r="BR92" s="310"/>
      <c r="BS92" s="310"/>
      <c r="BT92" s="310"/>
      <c r="BU92" s="544"/>
      <c r="BV92" s="556"/>
      <c r="BW92" s="663">
        <f t="shared" si="29"/>
        <v>3</v>
      </c>
      <c r="BX92" s="1047">
        <f t="shared" si="30"/>
        <v>0.75</v>
      </c>
      <c r="BY92" s="1047">
        <f t="shared" si="38"/>
        <v>0</v>
      </c>
      <c r="BZ92" s="1047">
        <f t="shared" si="39"/>
        <v>1</v>
      </c>
      <c r="CA92" s="1047">
        <f t="shared" si="40"/>
        <v>1</v>
      </c>
      <c r="CB92" s="1047">
        <f t="shared" si="41"/>
        <v>1</v>
      </c>
      <c r="CD92" t="str">
        <f t="shared" si="42"/>
        <v>ROB</v>
      </c>
      <c r="CE92" t="str">
        <f t="shared" si="42"/>
        <v>VE</v>
      </c>
      <c r="CF92" t="str">
        <f t="shared" si="42"/>
        <v>VE</v>
      </c>
      <c r="CG92" t="str">
        <f t="shared" si="42"/>
        <v>VE</v>
      </c>
    </row>
    <row r="93" spans="1:85" ht="126.75" customHeight="1" x14ac:dyDescent="0.3">
      <c r="A93" s="298" t="s">
        <v>280</v>
      </c>
      <c r="B93" s="299" t="str">
        <f>'PLAN INDICATIVO'!B93</f>
        <v>Deporte y Recreación</v>
      </c>
      <c r="C93" s="1547"/>
      <c r="D93" s="1551"/>
      <c r="E93" s="1551"/>
      <c r="F93" s="1551"/>
      <c r="G93" s="1551"/>
      <c r="H93" s="1551"/>
      <c r="I93" s="300">
        <f>'PLAN INDICATIVO'!I93</f>
        <v>0</v>
      </c>
      <c r="J93" s="300">
        <f>'PLAN INDICATIVO'!J93</f>
        <v>0</v>
      </c>
      <c r="K93" s="1425" t="str">
        <f>'PLAN INDICATIVO'!K93</f>
        <v>A.4.1.8</v>
      </c>
      <c r="L93" s="1425">
        <f>'PLAN INDICATIVO'!L93</f>
        <v>0</v>
      </c>
      <c r="M93" s="1425" t="str">
        <f>'PLAN INDICATIVO'!M93</f>
        <v>Secretaría de Educación, Cultura, deporte y Turismo</v>
      </c>
      <c r="N93" s="1513" t="s">
        <v>5122</v>
      </c>
      <c r="O93" s="1425" t="str">
        <f>'PLAN INDICATIVO'!O93</f>
        <v>Incremento</v>
      </c>
      <c r="P93" s="16" t="str">
        <f>'PLAN INDICATIVO'!P93</f>
        <v>Desarrollar 4 Festivales Deportivo-Recreativo para personas en situación de discapacidad durante el cuatrienio.</v>
      </c>
      <c r="Q93" s="302" t="str">
        <f>'PLAN INDICATIVO'!Q93</f>
        <v>No. Festivales deportivos - recreativos realizados</v>
      </c>
      <c r="R93" s="303">
        <f>'PLAN INDICATIVO'!R93</f>
        <v>2015</v>
      </c>
      <c r="S93" s="304">
        <v>0</v>
      </c>
      <c r="T93" s="677">
        <v>4</v>
      </c>
      <c r="U93" s="303">
        <v>1</v>
      </c>
      <c r="V93" s="687">
        <v>5</v>
      </c>
      <c r="W93" s="572">
        <v>1</v>
      </c>
      <c r="X93" s="687">
        <v>1000000</v>
      </c>
      <c r="Y93" s="572">
        <v>1</v>
      </c>
      <c r="Z93" s="572">
        <v>1000000</v>
      </c>
      <c r="AA93" s="1310">
        <v>1</v>
      </c>
      <c r="AB93" s="686">
        <v>21817600</v>
      </c>
      <c r="AC93" s="665"/>
      <c r="AD93" s="665">
        <v>1</v>
      </c>
      <c r="AE93" s="665">
        <v>1</v>
      </c>
      <c r="AF93" s="665">
        <v>1</v>
      </c>
      <c r="AG93" s="306" t="s">
        <v>5138</v>
      </c>
      <c r="AH93" s="987">
        <v>2019413960015</v>
      </c>
      <c r="AI93" s="307" t="s">
        <v>4939</v>
      </c>
      <c r="AJ93" s="309">
        <v>43497</v>
      </c>
      <c r="AK93" s="309">
        <v>43814</v>
      </c>
      <c r="AL93" s="308"/>
      <c r="AM93" s="308"/>
      <c r="AN93" s="267" t="s">
        <v>2598</v>
      </c>
      <c r="AO93" s="507"/>
      <c r="AP93" s="525"/>
      <c r="AQ93" s="310"/>
      <c r="AR93" s="310"/>
      <c r="AS93" s="310"/>
      <c r="AT93" s="310"/>
      <c r="AU93" s="310"/>
      <c r="AV93" s="310"/>
      <c r="AW93" s="544"/>
      <c r="AX93" s="525"/>
      <c r="AY93" s="310"/>
      <c r="AZ93" s="310"/>
      <c r="BA93" s="310"/>
      <c r="BB93" s="310"/>
      <c r="BC93" s="310"/>
      <c r="BD93" s="310"/>
      <c r="BE93" s="544"/>
      <c r="BF93" s="525"/>
      <c r="BG93" s="310"/>
      <c r="BH93" s="310"/>
      <c r="BI93" s="310"/>
      <c r="BJ93" s="310"/>
      <c r="BK93" s="310"/>
      <c r="BL93" s="310"/>
      <c r="BM93" s="544">
        <f t="shared" si="43"/>
        <v>0</v>
      </c>
      <c r="BN93" s="525"/>
      <c r="BO93" s="310"/>
      <c r="BP93" s="310"/>
      <c r="BQ93" s="310"/>
      <c r="BR93" s="310"/>
      <c r="BS93" s="310"/>
      <c r="BT93" s="310"/>
      <c r="BU93" s="544"/>
      <c r="BV93" s="556"/>
      <c r="BW93" s="663">
        <f t="shared" si="29"/>
        <v>3</v>
      </c>
      <c r="BX93" s="1047">
        <f t="shared" si="30"/>
        <v>0.75</v>
      </c>
      <c r="BY93" s="1047">
        <f t="shared" si="38"/>
        <v>0</v>
      </c>
      <c r="BZ93" s="1047">
        <f t="shared" si="39"/>
        <v>1</v>
      </c>
      <c r="CA93" s="1047">
        <f t="shared" si="40"/>
        <v>1</v>
      </c>
      <c r="CB93" s="1047">
        <f t="shared" si="41"/>
        <v>1</v>
      </c>
      <c r="CD93" t="str">
        <f t="shared" si="42"/>
        <v>ROB</v>
      </c>
      <c r="CE93" t="str">
        <f t="shared" si="42"/>
        <v>VE</v>
      </c>
      <c r="CF93" t="str">
        <f t="shared" si="42"/>
        <v>VE</v>
      </c>
      <c r="CG93" t="str">
        <f t="shared" si="42"/>
        <v>VE</v>
      </c>
    </row>
    <row r="94" spans="1:85" ht="93" customHeight="1" x14ac:dyDescent="0.3">
      <c r="A94" s="298" t="s">
        <v>280</v>
      </c>
      <c r="B94" s="299" t="str">
        <f>'PLAN INDICATIVO'!B94</f>
        <v>Deporte y Recreación</v>
      </c>
      <c r="C94" s="1547"/>
      <c r="D94" s="1551"/>
      <c r="E94" s="1551"/>
      <c r="F94" s="1551"/>
      <c r="G94" s="1551"/>
      <c r="H94" s="1551"/>
      <c r="I94" s="1425" t="str">
        <f>'PLAN INDICATIVO'!I94</f>
        <v>SI</v>
      </c>
      <c r="J94" s="1425">
        <f>'PLAN INDICATIVO'!J94</f>
        <v>0</v>
      </c>
      <c r="K94" s="1425" t="str">
        <f>'PLAN INDICATIVO'!K94</f>
        <v>A.4.1.9</v>
      </c>
      <c r="L94" s="1425">
        <f>'PLAN INDICATIVO'!L94</f>
        <v>0</v>
      </c>
      <c r="M94" s="1425" t="str">
        <f>'PLAN INDICATIVO'!M94</f>
        <v>Secretaría de Educación, Cultura, deporte y Turismo</v>
      </c>
      <c r="N94" s="1513" t="s">
        <v>5122</v>
      </c>
      <c r="O94" s="1425" t="str">
        <f>'PLAN INDICATIVO'!O94</f>
        <v>Incremento</v>
      </c>
      <c r="P94" s="16" t="str">
        <f>'PLAN INDICATIVO'!P94</f>
        <v>Construir 1 escenario educativo, recreativo, cultural y comunitario denominado Aldea Para la Felicidad, durante el cuatrienio</v>
      </c>
      <c r="Q94" s="302" t="str">
        <f>'PLAN INDICATIVO'!Q94</f>
        <v>No. De complejos construidos durante el cuatrienio</v>
      </c>
      <c r="R94" s="303">
        <f>'PLAN INDICATIVO'!R94</f>
        <v>2015</v>
      </c>
      <c r="S94" s="304">
        <v>0</v>
      </c>
      <c r="T94" s="677">
        <v>1</v>
      </c>
      <c r="U94" s="303"/>
      <c r="V94" s="687">
        <v>500</v>
      </c>
      <c r="W94" s="572"/>
      <c r="X94" s="687">
        <v>500000000</v>
      </c>
      <c r="Y94" s="572"/>
      <c r="Z94" s="572">
        <v>1000000</v>
      </c>
      <c r="AA94" s="1310">
        <v>1</v>
      </c>
      <c r="AB94" s="686">
        <v>21817600</v>
      </c>
      <c r="AC94" s="665"/>
      <c r="AD94" s="665"/>
      <c r="AE94" s="665"/>
      <c r="AF94" s="665">
        <v>0.25</v>
      </c>
      <c r="AG94" s="306" t="s">
        <v>5138</v>
      </c>
      <c r="AH94" s="987">
        <v>2019413960015</v>
      </c>
      <c r="AI94" s="307" t="s">
        <v>4940</v>
      </c>
      <c r="AJ94" s="309">
        <v>43497</v>
      </c>
      <c r="AK94" s="309">
        <v>43799</v>
      </c>
      <c r="AL94" s="308"/>
      <c r="AM94" s="308"/>
      <c r="AN94" s="267" t="s">
        <v>2594</v>
      </c>
      <c r="AO94" s="507"/>
      <c r="AP94" s="525"/>
      <c r="AQ94" s="310"/>
      <c r="AR94" s="310"/>
      <c r="AS94" s="310"/>
      <c r="AT94" s="310"/>
      <c r="AU94" s="310"/>
      <c r="AV94" s="310"/>
      <c r="AW94" s="544"/>
      <c r="AX94" s="525"/>
      <c r="AY94" s="310"/>
      <c r="AZ94" s="310"/>
      <c r="BA94" s="310"/>
      <c r="BB94" s="310"/>
      <c r="BC94" s="310"/>
      <c r="BD94" s="310"/>
      <c r="BE94" s="544"/>
      <c r="BF94" s="525"/>
      <c r="BG94" s="310"/>
      <c r="BH94" s="310"/>
      <c r="BI94" s="310"/>
      <c r="BJ94" s="310"/>
      <c r="BK94" s="310"/>
      <c r="BL94" s="310"/>
      <c r="BM94" s="544">
        <f t="shared" si="43"/>
        <v>0</v>
      </c>
      <c r="BN94" s="525"/>
      <c r="BO94" s="310"/>
      <c r="BP94" s="310"/>
      <c r="BQ94" s="310"/>
      <c r="BR94" s="310"/>
      <c r="BS94" s="310"/>
      <c r="BT94" s="310"/>
      <c r="BU94" s="544"/>
      <c r="BV94" s="556"/>
      <c r="BW94" s="663">
        <f t="shared" si="29"/>
        <v>0.25</v>
      </c>
      <c r="BX94" s="1047">
        <f t="shared" si="30"/>
        <v>0.25</v>
      </c>
      <c r="BY94" s="1047" t="str">
        <f t="shared" si="38"/>
        <v>No Programada</v>
      </c>
      <c r="BZ94" s="1047" t="str">
        <f t="shared" si="39"/>
        <v>No Programada</v>
      </c>
      <c r="CA94" s="1047" t="str">
        <f t="shared" si="40"/>
        <v>No Programada</v>
      </c>
      <c r="CB94" s="1047">
        <f t="shared" si="41"/>
        <v>0.25</v>
      </c>
      <c r="CD94" t="str">
        <f t="shared" si="42"/>
        <v>NP</v>
      </c>
      <c r="CE94" t="str">
        <f t="shared" si="42"/>
        <v>NP</v>
      </c>
      <c r="CF94" t="str">
        <f t="shared" si="42"/>
        <v>NP</v>
      </c>
      <c r="CG94" t="str">
        <f t="shared" si="42"/>
        <v>RO</v>
      </c>
    </row>
    <row r="95" spans="1:85" ht="72" customHeight="1" x14ac:dyDescent="0.3">
      <c r="A95" s="298" t="s">
        <v>280</v>
      </c>
      <c r="B95" s="299" t="str">
        <f>'PLAN INDICATIVO'!B95</f>
        <v>Deporte y Recreación</v>
      </c>
      <c r="C95" s="1547"/>
      <c r="D95" s="1551"/>
      <c r="E95" s="1551"/>
      <c r="F95" s="1551"/>
      <c r="G95" s="1551"/>
      <c r="H95" s="1551"/>
      <c r="I95" s="300">
        <f>'PLAN INDICATIVO'!I95</f>
        <v>0</v>
      </c>
      <c r="J95" s="300">
        <f>'PLAN INDICATIVO'!J95</f>
        <v>0</v>
      </c>
      <c r="K95" s="1425" t="str">
        <f>'PLAN INDICATIVO'!K95</f>
        <v>A.4.1.10</v>
      </c>
      <c r="L95" s="1425">
        <f>'PLAN INDICATIVO'!L95</f>
        <v>0</v>
      </c>
      <c r="M95" s="1425" t="str">
        <f>'PLAN INDICATIVO'!M95</f>
        <v>Secretaría de Educación, Cultura, deporte y Turismo</v>
      </c>
      <c r="N95" s="1513" t="s">
        <v>5122</v>
      </c>
      <c r="O95" s="1425" t="str">
        <f>'PLAN INDICATIVO'!O95</f>
        <v>Incremento</v>
      </c>
      <c r="P95" s="16" t="str">
        <f>'PLAN INDICATIVO'!P95</f>
        <v>Desarrollar un programa de Actividad Física por año durante el cuatrienio dirigido a la población adulta mayor.</v>
      </c>
      <c r="Q95" s="302" t="str">
        <f>'PLAN INDICATIVO'!Q95</f>
        <v>No. De programas desarrollados</v>
      </c>
      <c r="R95" s="303">
        <f>'PLAN INDICATIVO'!R95</f>
        <v>2015</v>
      </c>
      <c r="S95" s="304">
        <v>1</v>
      </c>
      <c r="T95" s="677">
        <v>4</v>
      </c>
      <c r="U95" s="303">
        <v>1</v>
      </c>
      <c r="V95" s="687">
        <v>5</v>
      </c>
      <c r="W95" s="572">
        <v>1</v>
      </c>
      <c r="X95" s="687">
        <v>1000000</v>
      </c>
      <c r="Y95" s="572">
        <v>1</v>
      </c>
      <c r="Z95" s="572">
        <v>1000000</v>
      </c>
      <c r="AA95" s="1310">
        <v>1</v>
      </c>
      <c r="AB95" s="686">
        <v>21817600</v>
      </c>
      <c r="AC95" s="665"/>
      <c r="AD95" s="665">
        <v>1</v>
      </c>
      <c r="AE95" s="665">
        <v>1</v>
      </c>
      <c r="AF95" s="665">
        <v>1</v>
      </c>
      <c r="AG95" s="306" t="s">
        <v>5138</v>
      </c>
      <c r="AH95" s="987">
        <v>2019413960015</v>
      </c>
      <c r="AI95" s="307" t="s">
        <v>4829</v>
      </c>
      <c r="AJ95" s="309">
        <v>43497</v>
      </c>
      <c r="AK95" s="309">
        <v>43054</v>
      </c>
      <c r="AL95" s="308"/>
      <c r="AM95" s="308"/>
      <c r="AN95" s="267" t="s">
        <v>2598</v>
      </c>
      <c r="AO95" s="507"/>
      <c r="AP95" s="525"/>
      <c r="AQ95" s="310"/>
      <c r="AR95" s="525"/>
      <c r="AS95" s="310"/>
      <c r="AT95" s="310"/>
      <c r="AU95" s="310"/>
      <c r="AV95" s="310"/>
      <c r="AW95" s="544"/>
      <c r="AX95" s="525"/>
      <c r="AY95" s="310"/>
      <c r="AZ95" s="310"/>
      <c r="BA95" s="310"/>
      <c r="BB95" s="310"/>
      <c r="BC95" s="310"/>
      <c r="BD95" s="310"/>
      <c r="BE95" s="544"/>
      <c r="BF95" s="525"/>
      <c r="BG95" s="310"/>
      <c r="BH95" s="525"/>
      <c r="BI95" s="310"/>
      <c r="BJ95" s="310"/>
      <c r="BK95" s="310"/>
      <c r="BL95" s="310"/>
      <c r="BM95" s="544">
        <f t="shared" si="43"/>
        <v>0</v>
      </c>
      <c r="BN95" s="525"/>
      <c r="BO95" s="310"/>
      <c r="BP95" s="525"/>
      <c r="BQ95" s="310"/>
      <c r="BR95" s="310"/>
      <c r="BS95" s="310"/>
      <c r="BT95" s="310"/>
      <c r="BU95" s="544"/>
      <c r="BV95" s="556"/>
      <c r="BW95" s="663">
        <f t="shared" si="29"/>
        <v>3</v>
      </c>
      <c r="BX95" s="1047">
        <f t="shared" si="30"/>
        <v>0.75</v>
      </c>
      <c r="BY95" s="1047">
        <f t="shared" si="38"/>
        <v>0</v>
      </c>
      <c r="BZ95" s="1047">
        <f t="shared" si="39"/>
        <v>1</v>
      </c>
      <c r="CA95" s="1047">
        <f t="shared" si="40"/>
        <v>1</v>
      </c>
      <c r="CB95" s="1047">
        <f t="shared" si="41"/>
        <v>1</v>
      </c>
      <c r="CD95" t="str">
        <f t="shared" si="42"/>
        <v>ROB</v>
      </c>
      <c r="CE95" t="str">
        <f t="shared" si="42"/>
        <v>VE</v>
      </c>
      <c r="CF95" t="str">
        <f t="shared" si="42"/>
        <v>VE</v>
      </c>
      <c r="CG95" t="str">
        <f t="shared" si="42"/>
        <v>VE</v>
      </c>
    </row>
    <row r="96" spans="1:85" ht="99.75" customHeight="1" x14ac:dyDescent="0.3">
      <c r="A96" s="298" t="s">
        <v>280</v>
      </c>
      <c r="B96" s="299" t="str">
        <f>'PLAN INDICATIVO'!B96</f>
        <v>Deporte y Recreación</v>
      </c>
      <c r="C96" s="1548"/>
      <c r="D96" s="1552"/>
      <c r="E96" s="1552"/>
      <c r="F96" s="1552"/>
      <c r="G96" s="1552"/>
      <c r="H96" s="1552"/>
      <c r="I96" s="300">
        <f>'PLAN INDICATIVO'!I96</f>
        <v>0</v>
      </c>
      <c r="J96" s="300">
        <f>'PLAN INDICATIVO'!J96</f>
        <v>0</v>
      </c>
      <c r="K96" s="1425" t="str">
        <f>'PLAN INDICATIVO'!K96</f>
        <v>A.4.1.11</v>
      </c>
      <c r="L96" s="1425">
        <f>'PLAN INDICATIVO'!L96</f>
        <v>0</v>
      </c>
      <c r="M96" s="1425" t="str">
        <f>'PLAN INDICATIVO'!M96</f>
        <v>Secretaría de Educación, Cultura, deporte y Turismo</v>
      </c>
      <c r="N96" s="1513" t="s">
        <v>5122</v>
      </c>
      <c r="O96" s="1425" t="str">
        <f>'PLAN INDICATIVO'!O96</f>
        <v>Mantenimiento</v>
      </c>
      <c r="P96" s="16" t="str">
        <f>'PLAN INDICATIVO'!P96</f>
        <v>Fomentar y apoyar  4 Escuelas de Formación en las diferentes disciplinas deportivas en el sector urbano y rural del municipio durante el cuatrienio.</v>
      </c>
      <c r="Q96" s="302" t="str">
        <f>'PLAN INDICATIVO'!Q96</f>
        <v>No. De escuelas apoyadas</v>
      </c>
      <c r="R96" s="303">
        <f>'PLAN INDICATIVO'!R96</f>
        <v>2015</v>
      </c>
      <c r="S96" s="304">
        <v>1</v>
      </c>
      <c r="T96" s="677">
        <v>16</v>
      </c>
      <c r="U96" s="303">
        <v>4</v>
      </c>
      <c r="V96" s="687">
        <v>29</v>
      </c>
      <c r="W96" s="572">
        <v>4</v>
      </c>
      <c r="X96" s="687">
        <v>41600000</v>
      </c>
      <c r="Y96" s="572">
        <v>6</v>
      </c>
      <c r="Z96" s="572">
        <v>52000000</v>
      </c>
      <c r="AA96" s="1310">
        <v>4</v>
      </c>
      <c r="AB96" s="686">
        <v>21817600</v>
      </c>
      <c r="AC96" s="665"/>
      <c r="AD96" s="665">
        <v>4</v>
      </c>
      <c r="AE96" s="665">
        <v>6</v>
      </c>
      <c r="AF96" s="665">
        <v>5</v>
      </c>
      <c r="AG96" s="306" t="s">
        <v>5138</v>
      </c>
      <c r="AH96" s="987">
        <v>2019413960015</v>
      </c>
      <c r="AI96" s="307" t="s">
        <v>4941</v>
      </c>
      <c r="AJ96" s="309">
        <v>43497</v>
      </c>
      <c r="AK96" s="309">
        <v>43814</v>
      </c>
      <c r="AL96" s="308"/>
      <c r="AM96" s="308"/>
      <c r="AN96" s="267" t="s">
        <v>2598</v>
      </c>
      <c r="AO96" s="507"/>
      <c r="AP96" s="525"/>
      <c r="AQ96" s="310"/>
      <c r="AR96" s="310"/>
      <c r="AS96" s="310"/>
      <c r="AT96" s="310"/>
      <c r="AU96" s="310"/>
      <c r="AV96" s="310"/>
      <c r="AW96" s="544"/>
      <c r="AX96" s="525"/>
      <c r="AY96" s="310"/>
      <c r="AZ96" s="310"/>
      <c r="BA96" s="310"/>
      <c r="BB96" s="310"/>
      <c r="BC96" s="310"/>
      <c r="BD96" s="310"/>
      <c r="BE96" s="544"/>
      <c r="BF96" s="525"/>
      <c r="BG96" s="310"/>
      <c r="BH96" s="310"/>
      <c r="BI96" s="310"/>
      <c r="BJ96" s="310"/>
      <c r="BK96" s="310"/>
      <c r="BL96" s="310"/>
      <c r="BM96" s="544">
        <f t="shared" si="43"/>
        <v>0</v>
      </c>
      <c r="BN96" s="525"/>
      <c r="BO96" s="310"/>
      <c r="BP96" s="310"/>
      <c r="BQ96" s="310"/>
      <c r="BR96" s="310"/>
      <c r="BS96" s="310"/>
      <c r="BT96" s="310"/>
      <c r="BU96" s="544"/>
      <c r="BV96" s="556"/>
      <c r="BW96" s="663">
        <f t="shared" si="29"/>
        <v>15</v>
      </c>
      <c r="BX96" s="1047">
        <f t="shared" si="30"/>
        <v>0.9375</v>
      </c>
      <c r="BY96" s="1047">
        <f t="shared" si="38"/>
        <v>0</v>
      </c>
      <c r="BZ96" s="1047">
        <f t="shared" si="39"/>
        <v>1</v>
      </c>
      <c r="CA96" s="1047">
        <f t="shared" si="40"/>
        <v>1</v>
      </c>
      <c r="CB96" s="1047">
        <f t="shared" si="41"/>
        <v>1.25</v>
      </c>
      <c r="CD96" t="str">
        <f t="shared" si="42"/>
        <v>ROB</v>
      </c>
      <c r="CE96" t="str">
        <f t="shared" si="42"/>
        <v>VE</v>
      </c>
      <c r="CF96" t="str">
        <f t="shared" si="42"/>
        <v>VE</v>
      </c>
      <c r="CG96" t="str">
        <f t="shared" si="42"/>
        <v>VE</v>
      </c>
    </row>
    <row r="97" spans="1:85" ht="23.25" customHeight="1" x14ac:dyDescent="0.3">
      <c r="A97" s="295"/>
      <c r="B97" s="24" t="str">
        <f>'PLAN INDICATIVO'!B97</f>
        <v>Deporte y Recreación</v>
      </c>
      <c r="C97" s="1574" t="s">
        <v>317</v>
      </c>
      <c r="D97" s="1575"/>
      <c r="E97" s="1575"/>
      <c r="F97" s="1575"/>
      <c r="G97" s="1575"/>
      <c r="H97" s="1575"/>
      <c r="I97" s="1575"/>
      <c r="J97" s="1575"/>
      <c r="K97" s="1575"/>
      <c r="L97" s="1575"/>
      <c r="M97" s="1575"/>
      <c r="N97" s="1575"/>
      <c r="O97" s="1576"/>
      <c r="P97" s="22"/>
      <c r="Q97" s="22"/>
      <c r="R97" s="1"/>
      <c r="S97" s="261"/>
      <c r="T97" s="681"/>
      <c r="U97" s="261"/>
      <c r="V97" s="695">
        <f>SUM(V98:V105)</f>
        <v>44</v>
      </c>
      <c r="W97" s="695"/>
      <c r="X97" s="695">
        <f>SUM(X98:X105)</f>
        <v>50000000</v>
      </c>
      <c r="Y97" s="695"/>
      <c r="Z97" s="695">
        <f>SUM(Z98:Z105)</f>
        <v>50000000</v>
      </c>
      <c r="AA97" s="695"/>
      <c r="AB97" s="695">
        <f>SUM(AB98:AB105)</f>
        <v>165531474</v>
      </c>
      <c r="AC97" s="262"/>
      <c r="AD97" s="262"/>
      <c r="AE97" s="262"/>
      <c r="AF97" s="262"/>
      <c r="AG97" s="263"/>
      <c r="AH97" s="263"/>
      <c r="AI97" s="263"/>
      <c r="AJ97" s="262"/>
      <c r="AK97" s="262"/>
      <c r="AL97" s="262"/>
      <c r="AM97" s="262"/>
      <c r="AN97" s="262"/>
      <c r="AO97" s="612"/>
      <c r="AP97" s="616"/>
      <c r="AQ97" s="616"/>
      <c r="AR97" s="616"/>
      <c r="AS97" s="616"/>
      <c r="AT97" s="616"/>
      <c r="AU97" s="616"/>
      <c r="AV97" s="616"/>
      <c r="AW97" s="616"/>
      <c r="AX97" s="616" t="e">
        <f>(AX98:AX105)</f>
        <v>#VALUE!</v>
      </c>
      <c r="AY97" s="616" t="e">
        <f t="shared" ref="AY97:BD97" si="44">(AY98:AY105)</f>
        <v>#VALUE!</v>
      </c>
      <c r="AZ97" s="616" t="e">
        <f t="shared" si="44"/>
        <v>#VALUE!</v>
      </c>
      <c r="BA97" s="616" t="e">
        <f t="shared" si="44"/>
        <v>#VALUE!</v>
      </c>
      <c r="BB97" s="616" t="e">
        <f t="shared" si="44"/>
        <v>#VALUE!</v>
      </c>
      <c r="BC97" s="616" t="e">
        <f t="shared" si="44"/>
        <v>#VALUE!</v>
      </c>
      <c r="BD97" s="616" t="e">
        <f t="shared" si="44"/>
        <v>#VALUE!</v>
      </c>
      <c r="BE97" s="617" t="e">
        <f t="shared" ref="BE97:BE107" si="45">SUM(AX97:BD97)</f>
        <v>#VALUE!</v>
      </c>
      <c r="BF97" s="616"/>
      <c r="BG97" s="616"/>
      <c r="BH97" s="616"/>
      <c r="BI97" s="616"/>
      <c r="BJ97" s="616"/>
      <c r="BK97" s="616"/>
      <c r="BL97" s="616"/>
      <c r="BM97" s="617">
        <f t="shared" si="43"/>
        <v>0</v>
      </c>
      <c r="BN97" s="616"/>
      <c r="BO97" s="616"/>
      <c r="BP97" s="616"/>
      <c r="BQ97" s="616"/>
      <c r="BR97" s="616"/>
      <c r="BS97" s="616"/>
      <c r="BT97" s="616"/>
      <c r="BU97" s="617"/>
      <c r="BV97" s="556"/>
      <c r="BW97" s="617" t="s">
        <v>2717</v>
      </c>
      <c r="BX97" s="617" t="s">
        <v>2717</v>
      </c>
      <c r="BY97" s="617" t="s">
        <v>2717</v>
      </c>
      <c r="BZ97" s="617" t="s">
        <v>2717</v>
      </c>
      <c r="CA97" s="617" t="s">
        <v>2717</v>
      </c>
      <c r="CB97" s="1047" t="s">
        <v>2717</v>
      </c>
    </row>
    <row r="98" spans="1:85" ht="108" customHeight="1" x14ac:dyDescent="0.3">
      <c r="A98" s="298" t="s">
        <v>280</v>
      </c>
      <c r="B98" s="299" t="str">
        <f>'PLAN INDICATIVO'!B98</f>
        <v>Deporte y Recreación</v>
      </c>
      <c r="C98" s="1546" t="s">
        <v>318</v>
      </c>
      <c r="D98" s="1549" t="s">
        <v>319</v>
      </c>
      <c r="E98" s="1549" t="s">
        <v>283</v>
      </c>
      <c r="F98" s="1549">
        <v>2015</v>
      </c>
      <c r="G98" s="1549">
        <v>8</v>
      </c>
      <c r="H98" s="1549">
        <v>15</v>
      </c>
      <c r="I98" s="300">
        <f>'PLAN INDICATIVO'!I98</f>
        <v>0</v>
      </c>
      <c r="J98" s="300">
        <f>'PLAN INDICATIVO'!J98</f>
        <v>0</v>
      </c>
      <c r="K98" s="1425" t="str">
        <f>'PLAN INDICATIVO'!K98</f>
        <v>A.4.2.1</v>
      </c>
      <c r="L98" s="1425">
        <f>'PLAN INDICATIVO'!L98</f>
        <v>0</v>
      </c>
      <c r="M98" s="1425" t="str">
        <f>'PLAN INDICATIVO'!M98</f>
        <v>Secretaría de Educación, Cultura, deporte y Turismo</v>
      </c>
      <c r="N98" s="1513" t="s">
        <v>5122</v>
      </c>
      <c r="O98" s="1425" t="str">
        <f>'PLAN INDICATIVO'!O98</f>
        <v>Incremento</v>
      </c>
      <c r="P98" s="16" t="str">
        <f>'PLAN INDICATIVO'!P98</f>
        <v>Crear 1 programa de apoyo a los deportistas de alto  rendimiento que representen al municipio en ámbito regional, nacional e internacional por año durante el cuatrienio.</v>
      </c>
      <c r="Q98" s="302" t="str">
        <f>'PLAN INDICATIVO'!Q98</f>
        <v>No. De programas creados en el cuatrienio</v>
      </c>
      <c r="R98" s="303">
        <f>'PLAN INDICATIVO'!R98</f>
        <v>2015</v>
      </c>
      <c r="S98" s="304">
        <v>0</v>
      </c>
      <c r="T98" s="677">
        <v>4</v>
      </c>
      <c r="U98" s="303">
        <v>1</v>
      </c>
      <c r="V98" s="687">
        <v>2</v>
      </c>
      <c r="W98" s="572">
        <v>1</v>
      </c>
      <c r="X98" s="687">
        <v>1000000</v>
      </c>
      <c r="Y98" s="572">
        <v>1</v>
      </c>
      <c r="Z98" s="572">
        <v>1000000</v>
      </c>
      <c r="AA98" s="1310">
        <v>1</v>
      </c>
      <c r="AB98" s="686">
        <v>21817600</v>
      </c>
      <c r="AC98" s="665"/>
      <c r="AD98" s="665">
        <v>1</v>
      </c>
      <c r="AE98" s="665">
        <v>1</v>
      </c>
      <c r="AF98" s="665">
        <v>1</v>
      </c>
      <c r="AG98" s="306" t="s">
        <v>5138</v>
      </c>
      <c r="AH98" s="987">
        <v>2019413960015</v>
      </c>
      <c r="AI98" s="307" t="s">
        <v>4942</v>
      </c>
      <c r="AJ98" s="309">
        <v>43497</v>
      </c>
      <c r="AK98" s="309">
        <v>43753</v>
      </c>
      <c r="AL98" s="308"/>
      <c r="AM98" s="308"/>
      <c r="AN98" s="267" t="s">
        <v>2598</v>
      </c>
      <c r="AO98" s="507"/>
      <c r="AP98" s="525"/>
      <c r="AQ98" s="310"/>
      <c r="AR98" s="310"/>
      <c r="AS98" s="310"/>
      <c r="AT98" s="310"/>
      <c r="AU98" s="310"/>
      <c r="AV98" s="310"/>
      <c r="AW98" s="544"/>
      <c r="AX98" s="525"/>
      <c r="AY98" s="310"/>
      <c r="AZ98" s="310"/>
      <c r="BA98" s="310"/>
      <c r="BB98" s="310"/>
      <c r="BC98" s="310"/>
      <c r="BD98" s="310"/>
      <c r="BE98" s="544"/>
      <c r="BF98" s="525"/>
      <c r="BG98" s="310"/>
      <c r="BH98" s="310"/>
      <c r="BI98" s="310"/>
      <c r="BJ98" s="310"/>
      <c r="BK98" s="310"/>
      <c r="BL98" s="310"/>
      <c r="BM98" s="544">
        <f t="shared" si="43"/>
        <v>0</v>
      </c>
      <c r="BN98" s="525"/>
      <c r="BO98" s="310"/>
      <c r="BP98" s="310"/>
      <c r="BQ98" s="310"/>
      <c r="BR98" s="310"/>
      <c r="BS98" s="310"/>
      <c r="BT98" s="310"/>
      <c r="BU98" s="544"/>
      <c r="BV98" s="556"/>
      <c r="BW98" s="663">
        <f t="shared" si="29"/>
        <v>3</v>
      </c>
      <c r="BX98" s="1047">
        <f t="shared" si="30"/>
        <v>0.75</v>
      </c>
      <c r="BY98" s="1047">
        <f t="shared" ref="BY98:BY105" si="46">IF(U98&gt;=0.1,AC98/U98,IF(ISBLANK(U98),"No Programada","Aplazada"))</f>
        <v>0</v>
      </c>
      <c r="BZ98" s="1047">
        <f t="shared" ref="BZ98:BZ105" si="47">IF(W98&gt;=0.1,AD98/W98,IF(ISBLANK(W98),"No Programada","Aplazada"))</f>
        <v>1</v>
      </c>
      <c r="CA98" s="1047">
        <f t="shared" ref="CA98:CA105" si="48">IF(Y98&gt;=0.1,AE98/Y98,IF(ISBLANK(Y98),"No Programada","Aplazada"))</f>
        <v>1</v>
      </c>
      <c r="CB98" s="1047">
        <f t="shared" ref="CB98:CB105" si="49">IF(AA98&gt;=0.1,AF98/AA98,IF(ISBLANK(AA98),"No Programada","Aplazada"))</f>
        <v>1</v>
      </c>
      <c r="CD98" t="str">
        <f t="shared" ref="CD98:CG105" si="50">IF(BY98="PARA MODIFICAR","M",IF(BY98="PARA ELIMINAR","E",IF(BY98="aplazada","AZ",IF(BY98="no programada","NP",IF(BY98&gt;=85%,"VE",IF(BY98&gt;70%,"VEB",IF(BY98&gt;60%,"AM",IF(BY98&gt;40%,"AMB",IF(BY98&gt;20%,"RO",IF(BY98&gt;=0%,"ROB",""))))))))))</f>
        <v>ROB</v>
      </c>
      <c r="CE98" t="str">
        <f t="shared" si="50"/>
        <v>VE</v>
      </c>
      <c r="CF98" t="str">
        <f t="shared" si="50"/>
        <v>VE</v>
      </c>
      <c r="CG98" t="str">
        <f t="shared" si="50"/>
        <v>VE</v>
      </c>
    </row>
    <row r="99" spans="1:85" ht="66.75" customHeight="1" x14ac:dyDescent="0.3">
      <c r="A99" s="298" t="s">
        <v>280</v>
      </c>
      <c r="B99" s="299" t="str">
        <f>'PLAN INDICATIVO'!B99</f>
        <v>Deporte y Recreación</v>
      </c>
      <c r="C99" s="1547"/>
      <c r="D99" s="1549"/>
      <c r="E99" s="1549"/>
      <c r="F99" s="1549"/>
      <c r="G99" s="1549"/>
      <c r="H99" s="1549"/>
      <c r="I99" s="300">
        <f>'PLAN INDICATIVO'!I99</f>
        <v>0</v>
      </c>
      <c r="J99" s="300">
        <f>'PLAN INDICATIVO'!J99</f>
        <v>0</v>
      </c>
      <c r="K99" s="1425" t="str">
        <f>'PLAN INDICATIVO'!K99</f>
        <v>A.4.2.2</v>
      </c>
      <c r="L99" s="1425">
        <f>'PLAN INDICATIVO'!L99</f>
        <v>0</v>
      </c>
      <c r="M99" s="1425" t="str">
        <f>'PLAN INDICATIVO'!M99</f>
        <v>Secretaría de Educación, Cultura, deporte y Turismo</v>
      </c>
      <c r="N99" s="1513" t="s">
        <v>5122</v>
      </c>
      <c r="O99" s="1425" t="str">
        <f>'PLAN INDICATIVO'!O99</f>
        <v>Incremento</v>
      </c>
      <c r="P99" s="16" t="str">
        <f>'PLAN INDICATIVO'!P99</f>
        <v>Realizar 4 dotaciones durante el cuatrienio de implementos deportivos a deportistas locales</v>
      </c>
      <c r="Q99" s="302" t="str">
        <f>'PLAN INDICATIVO'!Q99</f>
        <v>No. De dotaciones realizadas</v>
      </c>
      <c r="R99" s="303">
        <f>'PLAN INDICATIVO'!R99</f>
        <v>2015</v>
      </c>
      <c r="S99" s="304">
        <v>1</v>
      </c>
      <c r="T99" s="677">
        <v>4</v>
      </c>
      <c r="U99" s="303">
        <v>1</v>
      </c>
      <c r="V99" s="687">
        <v>5</v>
      </c>
      <c r="W99" s="572">
        <v>1</v>
      </c>
      <c r="X99" s="687">
        <v>6000000</v>
      </c>
      <c r="Y99" s="572">
        <v>1</v>
      </c>
      <c r="Z99" s="572">
        <v>6000000</v>
      </c>
      <c r="AA99" s="1310">
        <v>1</v>
      </c>
      <c r="AB99" s="686">
        <v>21817600</v>
      </c>
      <c r="AC99" s="665"/>
      <c r="AD99" s="665">
        <v>1</v>
      </c>
      <c r="AE99" s="665">
        <v>1</v>
      </c>
      <c r="AF99" s="665">
        <v>1</v>
      </c>
      <c r="AG99" s="306" t="s">
        <v>5138</v>
      </c>
      <c r="AH99" s="987">
        <v>2019413960015</v>
      </c>
      <c r="AI99" s="307" t="s">
        <v>5085</v>
      </c>
      <c r="AJ99" s="309">
        <v>43497</v>
      </c>
      <c r="AK99" s="309">
        <v>43692</v>
      </c>
      <c r="AL99" s="308"/>
      <c r="AM99" s="308"/>
      <c r="AN99" s="267" t="s">
        <v>2598</v>
      </c>
      <c r="AO99" s="507"/>
      <c r="AP99" s="525"/>
      <c r="AQ99" s="310"/>
      <c r="AR99" s="310"/>
      <c r="AS99" s="310"/>
      <c r="AT99" s="310"/>
      <c r="AU99" s="310"/>
      <c r="AV99" s="310"/>
      <c r="AW99" s="544"/>
      <c r="AX99" s="525"/>
      <c r="AY99" s="310"/>
      <c r="AZ99" s="310"/>
      <c r="BA99" s="310"/>
      <c r="BB99" s="310"/>
      <c r="BC99" s="310"/>
      <c r="BD99" s="310"/>
      <c r="BE99" s="544"/>
      <c r="BF99" s="525"/>
      <c r="BG99" s="310"/>
      <c r="BH99" s="310"/>
      <c r="BI99" s="310"/>
      <c r="BJ99" s="310"/>
      <c r="BK99" s="310"/>
      <c r="BL99" s="310"/>
      <c r="BM99" s="544">
        <f t="shared" si="43"/>
        <v>0</v>
      </c>
      <c r="BN99" s="525"/>
      <c r="BO99" s="310"/>
      <c r="BP99" s="310"/>
      <c r="BQ99" s="310"/>
      <c r="BR99" s="310"/>
      <c r="BS99" s="310"/>
      <c r="BT99" s="310"/>
      <c r="BU99" s="544"/>
      <c r="BV99" s="556"/>
      <c r="BW99" s="663">
        <f t="shared" si="29"/>
        <v>3</v>
      </c>
      <c r="BX99" s="1047">
        <f t="shared" si="30"/>
        <v>0.75</v>
      </c>
      <c r="BY99" s="1047">
        <f t="shared" si="46"/>
        <v>0</v>
      </c>
      <c r="BZ99" s="1047">
        <f t="shared" si="47"/>
        <v>1</v>
      </c>
      <c r="CA99" s="1047">
        <f t="shared" si="48"/>
        <v>1</v>
      </c>
      <c r="CB99" s="1047">
        <f t="shared" si="49"/>
        <v>1</v>
      </c>
      <c r="CD99" t="str">
        <f t="shared" si="50"/>
        <v>ROB</v>
      </c>
      <c r="CE99" t="str">
        <f t="shared" si="50"/>
        <v>VE</v>
      </c>
      <c r="CF99" t="str">
        <f t="shared" si="50"/>
        <v>VE</v>
      </c>
      <c r="CG99" t="str">
        <f t="shared" si="50"/>
        <v>VE</v>
      </c>
    </row>
    <row r="100" spans="1:85" ht="57.75" customHeight="1" x14ac:dyDescent="0.3">
      <c r="A100" s="298" t="s">
        <v>280</v>
      </c>
      <c r="B100" s="299" t="str">
        <f>'PLAN INDICATIVO'!B100</f>
        <v>Deporte y Recreación</v>
      </c>
      <c r="C100" s="1547"/>
      <c r="D100" s="1549"/>
      <c r="E100" s="1549"/>
      <c r="F100" s="1549"/>
      <c r="G100" s="1549"/>
      <c r="H100" s="1549"/>
      <c r="I100" s="300">
        <f>'PLAN INDICATIVO'!I100</f>
        <v>0</v>
      </c>
      <c r="J100" s="300">
        <f>'PLAN INDICATIVO'!J100</f>
        <v>0</v>
      </c>
      <c r="K100" s="1425" t="str">
        <f>'PLAN INDICATIVO'!K100</f>
        <v>A.4.2.3</v>
      </c>
      <c r="L100" s="1425">
        <f>'PLAN INDICATIVO'!L100</f>
        <v>0</v>
      </c>
      <c r="M100" s="1425" t="str">
        <f>'PLAN INDICATIVO'!M100</f>
        <v>Secretaría de Educación, Cultura, deporte y Turismo</v>
      </c>
      <c r="N100" s="1513" t="s">
        <v>5122</v>
      </c>
      <c r="O100" s="1425" t="str">
        <f>'PLAN INDICATIVO'!O100</f>
        <v>Incremento</v>
      </c>
      <c r="P100" s="16" t="str">
        <f>'PLAN INDICATIVO'!P100</f>
        <v>Realizar 3  olimpiadas campesinas durante el cuatrienio</v>
      </c>
      <c r="Q100" s="302" t="str">
        <f>'PLAN INDICATIVO'!Q100</f>
        <v>No. De olimpiadas realizadas</v>
      </c>
      <c r="R100" s="303">
        <f>'PLAN INDICATIVO'!R100</f>
        <v>2015</v>
      </c>
      <c r="S100" s="304">
        <v>1</v>
      </c>
      <c r="T100" s="1293">
        <v>3</v>
      </c>
      <c r="U100" s="303">
        <v>1</v>
      </c>
      <c r="V100" s="687">
        <v>15</v>
      </c>
      <c r="W100" s="572">
        <v>1</v>
      </c>
      <c r="X100" s="687">
        <v>6000000</v>
      </c>
      <c r="Y100" s="572"/>
      <c r="Z100" s="572">
        <v>6000000</v>
      </c>
      <c r="AA100" s="1310">
        <v>1</v>
      </c>
      <c r="AB100" s="686">
        <v>21817600</v>
      </c>
      <c r="AC100" s="665"/>
      <c r="AD100" s="665">
        <v>1</v>
      </c>
      <c r="AE100" s="665"/>
      <c r="AF100" s="665">
        <v>1</v>
      </c>
      <c r="AG100" s="306" t="s">
        <v>5138</v>
      </c>
      <c r="AH100" s="987">
        <v>2019413960015</v>
      </c>
      <c r="AI100" s="307" t="s">
        <v>5086</v>
      </c>
      <c r="AJ100" s="309">
        <v>43497</v>
      </c>
      <c r="AK100" s="309">
        <v>43814</v>
      </c>
      <c r="AL100" s="308"/>
      <c r="AM100" s="308"/>
      <c r="AN100" s="267" t="s">
        <v>2594</v>
      </c>
      <c r="AO100" s="507"/>
      <c r="AP100" s="766"/>
      <c r="AQ100" s="310"/>
      <c r="AR100" s="310"/>
      <c r="AS100" s="310"/>
      <c r="AT100" s="310"/>
      <c r="AU100" s="310"/>
      <c r="AV100" s="310"/>
      <c r="AW100" s="544"/>
      <c r="AX100" s="525"/>
      <c r="AY100" s="310"/>
      <c r="AZ100" s="310"/>
      <c r="BA100" s="310"/>
      <c r="BB100" s="310"/>
      <c r="BC100" s="310"/>
      <c r="BD100" s="310"/>
      <c r="BE100" s="544"/>
      <c r="BF100" s="766"/>
      <c r="BG100" s="310"/>
      <c r="BH100" s="310"/>
      <c r="BI100" s="310"/>
      <c r="BJ100" s="310"/>
      <c r="BK100" s="310"/>
      <c r="BL100" s="310"/>
      <c r="BM100" s="544">
        <f t="shared" si="43"/>
        <v>0</v>
      </c>
      <c r="BN100" s="525"/>
      <c r="BO100" s="310"/>
      <c r="BP100" s="310"/>
      <c r="BQ100" s="310"/>
      <c r="BR100" s="310"/>
      <c r="BS100" s="310"/>
      <c r="BT100" s="310"/>
      <c r="BU100" s="544"/>
      <c r="BV100" s="556"/>
      <c r="BW100" s="663">
        <f t="shared" si="29"/>
        <v>2</v>
      </c>
      <c r="BX100" s="1047">
        <f t="shared" si="30"/>
        <v>0.66666666666666663</v>
      </c>
      <c r="BY100" s="1047">
        <f t="shared" si="46"/>
        <v>0</v>
      </c>
      <c r="BZ100" s="1047">
        <f t="shared" si="47"/>
        <v>1</v>
      </c>
      <c r="CA100" s="1047" t="str">
        <f t="shared" si="48"/>
        <v>No Programada</v>
      </c>
      <c r="CB100" s="1047">
        <f t="shared" si="49"/>
        <v>1</v>
      </c>
      <c r="CD100" t="str">
        <f t="shared" si="50"/>
        <v>ROB</v>
      </c>
      <c r="CE100" t="str">
        <f t="shared" si="50"/>
        <v>VE</v>
      </c>
      <c r="CF100" t="str">
        <f t="shared" si="50"/>
        <v>NP</v>
      </c>
      <c r="CG100" t="str">
        <f t="shared" si="50"/>
        <v>VE</v>
      </c>
    </row>
    <row r="101" spans="1:85" ht="50.25" customHeight="1" x14ac:dyDescent="0.3">
      <c r="A101" s="298" t="s">
        <v>280</v>
      </c>
      <c r="B101" s="299" t="str">
        <f>'PLAN INDICATIVO'!B101</f>
        <v>Deporte y Recreación</v>
      </c>
      <c r="C101" s="1547"/>
      <c r="D101" s="1549"/>
      <c r="E101" s="1549"/>
      <c r="F101" s="1549"/>
      <c r="G101" s="1549"/>
      <c r="H101" s="1549"/>
      <c r="I101" s="300">
        <f>'PLAN INDICATIVO'!I101</f>
        <v>0</v>
      </c>
      <c r="J101" s="300">
        <f>'PLAN INDICATIVO'!J101</f>
        <v>0</v>
      </c>
      <c r="K101" s="1425" t="str">
        <f>'PLAN INDICATIVO'!K101</f>
        <v>A.4.2.4</v>
      </c>
      <c r="L101" s="1425">
        <f>'PLAN INDICATIVO'!L101</f>
        <v>0</v>
      </c>
      <c r="M101" s="1425" t="str">
        <f>'PLAN INDICATIVO'!M101</f>
        <v>Secretaría de Educación, Cultura, deporte y Turismo</v>
      </c>
      <c r="N101" s="1513" t="s">
        <v>5122</v>
      </c>
      <c r="O101" s="1425" t="str">
        <f>'PLAN INDICATIVO'!O101</f>
        <v>Mantenimiento</v>
      </c>
      <c r="P101" s="16" t="str">
        <f>'PLAN INDICATIVO'!P101</f>
        <v>Realizar 12 eventos deportivos cada año</v>
      </c>
      <c r="Q101" s="302" t="str">
        <f>'PLAN INDICATIVO'!Q101</f>
        <v>No. Eventos deportivos realizados por año.</v>
      </c>
      <c r="R101" s="303">
        <f>'PLAN INDICATIVO'!R101</f>
        <v>2015</v>
      </c>
      <c r="S101" s="304">
        <v>8</v>
      </c>
      <c r="T101" s="677">
        <v>48</v>
      </c>
      <c r="U101" s="303">
        <v>12</v>
      </c>
      <c r="V101" s="687">
        <v>7</v>
      </c>
      <c r="W101" s="572">
        <v>12</v>
      </c>
      <c r="X101" s="687">
        <v>20000000</v>
      </c>
      <c r="Y101" s="572">
        <v>12</v>
      </c>
      <c r="Z101" s="572">
        <v>14000000</v>
      </c>
      <c r="AA101" s="1310">
        <v>12</v>
      </c>
      <c r="AB101" s="686">
        <v>21817600</v>
      </c>
      <c r="AC101" s="665"/>
      <c r="AD101" s="665">
        <v>13</v>
      </c>
      <c r="AE101" s="665">
        <v>12</v>
      </c>
      <c r="AF101" s="665">
        <v>12</v>
      </c>
      <c r="AG101" s="306" t="s">
        <v>5138</v>
      </c>
      <c r="AH101" s="987">
        <v>2019413960015</v>
      </c>
      <c r="AI101" s="1266" t="s">
        <v>5087</v>
      </c>
      <c r="AJ101" s="309">
        <v>43497</v>
      </c>
      <c r="AK101" s="309">
        <v>43799</v>
      </c>
      <c r="AL101" s="308"/>
      <c r="AM101" s="308"/>
      <c r="AN101" s="267" t="s">
        <v>2598</v>
      </c>
      <c r="AO101" s="507"/>
      <c r="AP101" s="766"/>
      <c r="AQ101" s="310"/>
      <c r="AR101" s="310"/>
      <c r="AS101" s="310"/>
      <c r="AT101" s="310"/>
      <c r="AU101" s="310"/>
      <c r="AV101" s="310"/>
      <c r="AW101" s="310"/>
      <c r="AX101" s="525"/>
      <c r="AY101" s="310"/>
      <c r="AZ101" s="310"/>
      <c r="BA101" s="310"/>
      <c r="BB101" s="310"/>
      <c r="BC101" s="310"/>
      <c r="BD101" s="310"/>
      <c r="BE101" s="544"/>
      <c r="BF101" s="766"/>
      <c r="BG101" s="310"/>
      <c r="BH101" s="310"/>
      <c r="BI101" s="310"/>
      <c r="BJ101" s="310"/>
      <c r="BK101" s="310"/>
      <c r="BL101" s="310"/>
      <c r="BM101" s="544">
        <f t="shared" si="43"/>
        <v>0</v>
      </c>
      <c r="BN101" s="525"/>
      <c r="BO101" s="310"/>
      <c r="BP101" s="310"/>
      <c r="BQ101" s="310"/>
      <c r="BR101" s="310"/>
      <c r="BS101" s="310"/>
      <c r="BT101" s="310"/>
      <c r="BU101" s="544"/>
      <c r="BV101" s="556"/>
      <c r="BW101" s="663">
        <f t="shared" si="29"/>
        <v>37</v>
      </c>
      <c r="BX101" s="1047">
        <f t="shared" si="30"/>
        <v>0.77083333333333337</v>
      </c>
      <c r="BY101" s="1047">
        <f t="shared" si="46"/>
        <v>0</v>
      </c>
      <c r="BZ101" s="1047">
        <f t="shared" si="47"/>
        <v>1.0833333333333333</v>
      </c>
      <c r="CA101" s="1047">
        <f t="shared" si="48"/>
        <v>1</v>
      </c>
      <c r="CB101" s="1047">
        <f t="shared" si="49"/>
        <v>1</v>
      </c>
      <c r="CD101" t="str">
        <f t="shared" si="50"/>
        <v>ROB</v>
      </c>
      <c r="CE101" t="str">
        <f t="shared" si="50"/>
        <v>VE</v>
      </c>
      <c r="CF101" t="str">
        <f t="shared" si="50"/>
        <v>VE</v>
      </c>
      <c r="CG101" t="str">
        <f t="shared" si="50"/>
        <v>VE</v>
      </c>
    </row>
    <row r="102" spans="1:85" ht="69.75" customHeight="1" x14ac:dyDescent="0.3">
      <c r="A102" s="298" t="s">
        <v>2458</v>
      </c>
      <c r="B102" s="299" t="str">
        <f>'PLAN INDICATIVO'!B102</f>
        <v>Deporte y Recreación</v>
      </c>
      <c r="C102" s="1547"/>
      <c r="D102" s="1549"/>
      <c r="E102" s="1549"/>
      <c r="F102" s="1549"/>
      <c r="G102" s="1549"/>
      <c r="H102" s="1549"/>
      <c r="I102" s="300">
        <f>'PLAN INDICATIVO'!I102</f>
        <v>0</v>
      </c>
      <c r="J102" s="300">
        <f>'PLAN INDICATIVO'!J102</f>
        <v>0</v>
      </c>
      <c r="K102" s="1425" t="str">
        <f>'PLAN INDICATIVO'!K102</f>
        <v>A.4.2.5</v>
      </c>
      <c r="L102" s="1425">
        <f>'PLAN INDICATIVO'!L102</f>
        <v>0</v>
      </c>
      <c r="M102" s="1425" t="str">
        <f>'PLAN INDICATIVO'!M102</f>
        <v>Secretaría de Educación, Cultura, deporte y Turismo</v>
      </c>
      <c r="N102" s="1513" t="s">
        <v>5122</v>
      </c>
      <c r="O102" s="1425" t="str">
        <f>'PLAN INDICATIVO'!O102</f>
        <v>Mantenimiento</v>
      </c>
      <c r="P102" s="16" t="str">
        <f>'PLAN INDICATIVO'!P102</f>
        <v>Apoyar una actividad anual  a Clubes Deportivos del municipio durante el cuatrienio.</v>
      </c>
      <c r="Q102" s="302" t="str">
        <f>'PLAN INDICATIVO'!Q102</f>
        <v>No. De actividades apoyadas</v>
      </c>
      <c r="R102" s="303">
        <f>'PLAN INDICATIVO'!R102</f>
        <v>2015</v>
      </c>
      <c r="S102" s="304">
        <v>1</v>
      </c>
      <c r="T102" s="677">
        <v>4</v>
      </c>
      <c r="U102" s="303">
        <v>1</v>
      </c>
      <c r="V102" s="687">
        <v>3</v>
      </c>
      <c r="W102" s="572">
        <v>1</v>
      </c>
      <c r="X102" s="687">
        <v>6000000</v>
      </c>
      <c r="Y102" s="572">
        <v>1</v>
      </c>
      <c r="Z102" s="572">
        <v>6000000</v>
      </c>
      <c r="AA102" s="1310">
        <v>1</v>
      </c>
      <c r="AB102" s="686">
        <v>21817600</v>
      </c>
      <c r="AC102" s="665"/>
      <c r="AD102" s="665">
        <v>1</v>
      </c>
      <c r="AE102" s="665">
        <v>1</v>
      </c>
      <c r="AF102" s="665">
        <v>1</v>
      </c>
      <c r="AG102" s="306" t="s">
        <v>5138</v>
      </c>
      <c r="AH102" s="987">
        <v>2019413960015</v>
      </c>
      <c r="AI102" s="307" t="s">
        <v>4943</v>
      </c>
      <c r="AJ102" s="309">
        <v>43497</v>
      </c>
      <c r="AK102" s="309">
        <v>43768</v>
      </c>
      <c r="AL102" s="308"/>
      <c r="AM102" s="308"/>
      <c r="AN102" s="267" t="s">
        <v>2598</v>
      </c>
      <c r="AO102" s="507"/>
      <c r="AP102" s="525"/>
      <c r="AQ102" s="310"/>
      <c r="AR102" s="310"/>
      <c r="AS102" s="310"/>
      <c r="AT102" s="310"/>
      <c r="AU102" s="310"/>
      <c r="AV102" s="310"/>
      <c r="AW102" s="544"/>
      <c r="AX102" s="525"/>
      <c r="AY102" s="310"/>
      <c r="AZ102" s="310"/>
      <c r="BA102" s="310"/>
      <c r="BB102" s="310"/>
      <c r="BC102" s="310"/>
      <c r="BD102" s="310"/>
      <c r="BE102" s="544"/>
      <c r="BF102" s="525"/>
      <c r="BG102" s="310"/>
      <c r="BH102" s="310"/>
      <c r="BI102" s="310"/>
      <c r="BJ102" s="310"/>
      <c r="BK102" s="310"/>
      <c r="BL102" s="310"/>
      <c r="BM102" s="544">
        <f t="shared" si="43"/>
        <v>0</v>
      </c>
      <c r="BN102" s="525"/>
      <c r="BO102" s="310"/>
      <c r="BP102" s="310"/>
      <c r="BQ102" s="310"/>
      <c r="BR102" s="310"/>
      <c r="BS102" s="310"/>
      <c r="BT102" s="310"/>
      <c r="BU102" s="544"/>
      <c r="BV102" s="556"/>
      <c r="BW102" s="663">
        <f t="shared" si="29"/>
        <v>3</v>
      </c>
      <c r="BX102" s="1047">
        <f t="shared" si="30"/>
        <v>0.75</v>
      </c>
      <c r="BY102" s="1047">
        <f t="shared" si="46"/>
        <v>0</v>
      </c>
      <c r="BZ102" s="1047">
        <f t="shared" si="47"/>
        <v>1</v>
      </c>
      <c r="CA102" s="1047">
        <f t="shared" si="48"/>
        <v>1</v>
      </c>
      <c r="CB102" s="1047">
        <f t="shared" si="49"/>
        <v>1</v>
      </c>
      <c r="CD102" t="str">
        <f t="shared" si="50"/>
        <v>ROB</v>
      </c>
      <c r="CE102" t="str">
        <f t="shared" si="50"/>
        <v>VE</v>
      </c>
      <c r="CF102" t="str">
        <f t="shared" si="50"/>
        <v>VE</v>
      </c>
      <c r="CG102" t="str">
        <f t="shared" si="50"/>
        <v>VE</v>
      </c>
    </row>
    <row r="103" spans="1:85" ht="86.25" customHeight="1" x14ac:dyDescent="0.3">
      <c r="A103" s="298" t="s">
        <v>280</v>
      </c>
      <c r="B103" s="299" t="str">
        <f>'PLAN INDICATIVO'!B103</f>
        <v>Deporte y Recreación</v>
      </c>
      <c r="C103" s="1547"/>
      <c r="D103" s="1549"/>
      <c r="E103" s="1549"/>
      <c r="F103" s="1549"/>
      <c r="G103" s="1549"/>
      <c r="H103" s="1549"/>
      <c r="I103" s="300">
        <f>'PLAN INDICATIVO'!I103</f>
        <v>0</v>
      </c>
      <c r="J103" s="300">
        <f>'PLAN INDICATIVO'!J103</f>
        <v>0</v>
      </c>
      <c r="K103" s="1425" t="str">
        <f>'PLAN INDICATIVO'!K103</f>
        <v>A.4.2.6</v>
      </c>
      <c r="L103" s="1425">
        <f>'PLAN INDICATIVO'!L103</f>
        <v>0</v>
      </c>
      <c r="M103" s="1425" t="str">
        <f>'PLAN INDICATIVO'!M103</f>
        <v>Secretaría de Educación, Cultura, deporte y Turismo</v>
      </c>
      <c r="N103" s="1513" t="s">
        <v>5122</v>
      </c>
      <c r="O103" s="1425" t="str">
        <f>'PLAN INDICATIVO'!O103</f>
        <v>Incremento</v>
      </c>
      <c r="P103" s="16" t="str">
        <f>'PLAN INDICATIVO'!P103</f>
        <v>Realizar 8 capacitaciones a dirigentes deportivos, entrenadores y líderes del sector urbano y rural en municipio durante el cuatrienio.</v>
      </c>
      <c r="Q103" s="302" t="str">
        <f>'PLAN INDICATIVO'!Q103</f>
        <v>No. De capacitaciones realizadas</v>
      </c>
      <c r="R103" s="303">
        <f>'PLAN INDICATIVO'!R103</f>
        <v>2015</v>
      </c>
      <c r="S103" s="304">
        <v>1</v>
      </c>
      <c r="T103" s="677">
        <v>8</v>
      </c>
      <c r="U103" s="303">
        <v>2</v>
      </c>
      <c r="V103" s="687">
        <v>2</v>
      </c>
      <c r="W103" s="572">
        <v>2</v>
      </c>
      <c r="X103" s="687">
        <v>5000000</v>
      </c>
      <c r="Y103" s="572">
        <v>2</v>
      </c>
      <c r="Z103" s="572">
        <v>5000000</v>
      </c>
      <c r="AA103" s="1310">
        <v>1</v>
      </c>
      <c r="AB103" s="686">
        <v>21817600</v>
      </c>
      <c r="AC103" s="665"/>
      <c r="AD103" s="665">
        <v>2</v>
      </c>
      <c r="AE103" s="665">
        <v>2</v>
      </c>
      <c r="AF103" s="665">
        <v>1</v>
      </c>
      <c r="AG103" s="306" t="s">
        <v>5138</v>
      </c>
      <c r="AH103" s="987">
        <v>2019413960015</v>
      </c>
      <c r="AI103" s="307" t="s">
        <v>5088</v>
      </c>
      <c r="AJ103" s="309">
        <v>43497</v>
      </c>
      <c r="AK103" s="309">
        <v>43692</v>
      </c>
      <c r="AL103" s="308"/>
      <c r="AM103" s="308"/>
      <c r="AN103" s="267" t="s">
        <v>2598</v>
      </c>
      <c r="AO103" s="507"/>
      <c r="AP103" s="525"/>
      <c r="AQ103" s="310"/>
      <c r="AR103" s="310"/>
      <c r="AS103" s="310"/>
      <c r="AT103" s="310"/>
      <c r="AU103" s="310"/>
      <c r="AV103" s="310"/>
      <c r="AW103" s="544"/>
      <c r="AX103" s="525"/>
      <c r="AY103" s="310"/>
      <c r="AZ103" s="310"/>
      <c r="BA103" s="310"/>
      <c r="BB103" s="310"/>
      <c r="BC103" s="310"/>
      <c r="BD103" s="310"/>
      <c r="BE103" s="544"/>
      <c r="BF103" s="525"/>
      <c r="BG103" s="310"/>
      <c r="BH103" s="310"/>
      <c r="BI103" s="310"/>
      <c r="BJ103" s="310"/>
      <c r="BK103" s="310"/>
      <c r="BL103" s="310"/>
      <c r="BM103" s="544">
        <f t="shared" si="43"/>
        <v>0</v>
      </c>
      <c r="BN103" s="525"/>
      <c r="BO103" s="310"/>
      <c r="BP103" s="310"/>
      <c r="BQ103" s="310"/>
      <c r="BR103" s="310"/>
      <c r="BS103" s="310"/>
      <c r="BT103" s="310"/>
      <c r="BU103" s="544"/>
      <c r="BV103" s="556"/>
      <c r="BW103" s="663">
        <f t="shared" si="29"/>
        <v>5</v>
      </c>
      <c r="BX103" s="1047">
        <f t="shared" si="30"/>
        <v>0.625</v>
      </c>
      <c r="BY103" s="1047">
        <f t="shared" si="46"/>
        <v>0</v>
      </c>
      <c r="BZ103" s="1047">
        <f t="shared" si="47"/>
        <v>1</v>
      </c>
      <c r="CA103" s="1047">
        <f t="shared" si="48"/>
        <v>1</v>
      </c>
      <c r="CB103" s="1047">
        <f t="shared" si="49"/>
        <v>1</v>
      </c>
      <c r="CD103" t="str">
        <f t="shared" si="50"/>
        <v>ROB</v>
      </c>
      <c r="CE103" t="str">
        <f t="shared" si="50"/>
        <v>VE</v>
      </c>
      <c r="CF103" t="str">
        <f t="shared" si="50"/>
        <v>VE</v>
      </c>
      <c r="CG103" t="str">
        <f t="shared" si="50"/>
        <v>VE</v>
      </c>
    </row>
    <row r="104" spans="1:85" ht="78" customHeight="1" x14ac:dyDescent="0.3">
      <c r="A104" s="298" t="s">
        <v>280</v>
      </c>
      <c r="B104" s="299" t="str">
        <f>'PLAN INDICATIVO'!B104</f>
        <v>Deporte y Recreación</v>
      </c>
      <c r="C104" s="1547"/>
      <c r="D104" s="1549"/>
      <c r="E104" s="1549"/>
      <c r="F104" s="1549"/>
      <c r="G104" s="1549"/>
      <c r="H104" s="1549"/>
      <c r="I104" s="300">
        <f>'PLAN INDICATIVO'!I104</f>
        <v>0</v>
      </c>
      <c r="J104" s="300">
        <f>'PLAN INDICATIVO'!J104</f>
        <v>0</v>
      </c>
      <c r="K104" s="1425" t="str">
        <f>'PLAN INDICATIVO'!K104</f>
        <v>A.4.2.7</v>
      </c>
      <c r="L104" s="1425">
        <f>'PLAN INDICATIVO'!L104</f>
        <v>0</v>
      </c>
      <c r="M104" s="1425" t="str">
        <f>'PLAN INDICATIVO'!M104</f>
        <v>Secretaría de Educación, Cultura, deporte y Turismo</v>
      </c>
      <c r="N104" s="1513" t="s">
        <v>5122</v>
      </c>
      <c r="O104" s="1425" t="str">
        <f>'PLAN INDICATIVO'!O104</f>
        <v>Incremento</v>
      </c>
      <c r="P104" s="16" t="str">
        <f>'PLAN INDICATIVO'!P104</f>
        <v>Lograr que 1600 alumnos de las IE participen en los juegos Supérate cada año durante el cuatrienio.</v>
      </c>
      <c r="Q104" s="302" t="str">
        <f>'PLAN INDICATIVO'!Q104</f>
        <v>No. De alumnos de las IE participando en juegos supérate cada año.</v>
      </c>
      <c r="R104" s="303">
        <f>'PLAN INDICATIVO'!R104</f>
        <v>2015</v>
      </c>
      <c r="S104" s="304">
        <v>1600</v>
      </c>
      <c r="T104" s="677">
        <v>6400</v>
      </c>
      <c r="U104" s="303">
        <v>1600</v>
      </c>
      <c r="V104" s="687">
        <v>9</v>
      </c>
      <c r="W104" s="572">
        <v>1600</v>
      </c>
      <c r="X104" s="687">
        <v>6000000</v>
      </c>
      <c r="Y104" s="572">
        <v>1801</v>
      </c>
      <c r="Z104" s="572">
        <v>6000000</v>
      </c>
      <c r="AA104" s="1310">
        <v>1600</v>
      </c>
      <c r="AB104" s="686">
        <v>21817600</v>
      </c>
      <c r="AC104" s="665"/>
      <c r="AD104" s="665">
        <v>1340</v>
      </c>
      <c r="AE104" s="665">
        <v>1958</v>
      </c>
      <c r="AF104" s="665">
        <v>1681</v>
      </c>
      <c r="AG104" s="306" t="s">
        <v>5138</v>
      </c>
      <c r="AH104" s="987">
        <v>2019413960015</v>
      </c>
      <c r="AI104" s="307" t="s">
        <v>5089</v>
      </c>
      <c r="AJ104" s="309">
        <v>43497</v>
      </c>
      <c r="AK104" s="309">
        <v>43646</v>
      </c>
      <c r="AL104" s="308"/>
      <c r="AM104" s="308"/>
      <c r="AN104" s="267" t="s">
        <v>2598</v>
      </c>
      <c r="AO104" s="507"/>
      <c r="AP104" s="526"/>
      <c r="AQ104" s="310"/>
      <c r="AR104" s="310"/>
      <c r="AS104" s="470"/>
      <c r="AT104" s="470"/>
      <c r="AU104" s="470"/>
      <c r="AV104" s="470"/>
      <c r="AW104" s="544"/>
      <c r="AX104" s="526"/>
      <c r="AY104" s="470"/>
      <c r="AZ104" s="470"/>
      <c r="BA104" s="470"/>
      <c r="BB104" s="470"/>
      <c r="BC104" s="470"/>
      <c r="BD104" s="470"/>
      <c r="BE104" s="544"/>
      <c r="BF104" s="526"/>
      <c r="BG104" s="310"/>
      <c r="BH104" s="310"/>
      <c r="BI104" s="470"/>
      <c r="BJ104" s="470"/>
      <c r="BK104" s="470"/>
      <c r="BL104" s="470"/>
      <c r="BM104" s="544">
        <f t="shared" si="43"/>
        <v>0</v>
      </c>
      <c r="BN104" s="526"/>
      <c r="BO104" s="470"/>
      <c r="BP104" s="470"/>
      <c r="BQ104" s="470"/>
      <c r="BR104" s="470"/>
      <c r="BS104" s="470"/>
      <c r="BT104" s="470"/>
      <c r="BU104" s="544"/>
      <c r="BV104" s="556"/>
      <c r="BW104" s="663">
        <f t="shared" si="29"/>
        <v>4979</v>
      </c>
      <c r="BX104" s="1047">
        <f t="shared" si="30"/>
        <v>0.77796874999999999</v>
      </c>
      <c r="BY104" s="1047">
        <f t="shared" si="46"/>
        <v>0</v>
      </c>
      <c r="BZ104" s="1047">
        <f t="shared" si="47"/>
        <v>0.83750000000000002</v>
      </c>
      <c r="CA104" s="1047">
        <f t="shared" si="48"/>
        <v>1.0871737923375902</v>
      </c>
      <c r="CB104" s="1047">
        <f t="shared" si="49"/>
        <v>1.0506249999999999</v>
      </c>
      <c r="CD104" t="str">
        <f t="shared" si="50"/>
        <v>ROB</v>
      </c>
      <c r="CE104" t="str">
        <f t="shared" si="50"/>
        <v>VEB</v>
      </c>
      <c r="CF104" t="str">
        <f t="shared" si="50"/>
        <v>VE</v>
      </c>
      <c r="CG104" t="str">
        <f t="shared" si="50"/>
        <v>VE</v>
      </c>
    </row>
    <row r="105" spans="1:85" ht="77.25" customHeight="1" x14ac:dyDescent="0.3">
      <c r="A105" s="298" t="s">
        <v>280</v>
      </c>
      <c r="B105" s="299" t="str">
        <f>'PLAN INDICATIVO'!B105</f>
        <v>Deporte y Recreación</v>
      </c>
      <c r="C105" s="1548"/>
      <c r="D105" s="1549"/>
      <c r="E105" s="1549"/>
      <c r="F105" s="1549"/>
      <c r="G105" s="1549"/>
      <c r="H105" s="1549"/>
      <c r="I105" s="300">
        <f>'PLAN INDICATIVO'!I105</f>
        <v>0</v>
      </c>
      <c r="J105" s="300">
        <f>'PLAN INDICATIVO'!J105</f>
        <v>0</v>
      </c>
      <c r="K105" s="1425" t="str">
        <f>'PLAN INDICATIVO'!K105</f>
        <v>A.4.2.8</v>
      </c>
      <c r="L105" s="1425">
        <f>'PLAN INDICATIVO'!L105</f>
        <v>0</v>
      </c>
      <c r="M105" s="1425" t="str">
        <f>'PLAN INDICATIVO'!M105</f>
        <v>Secretaría de Educación, Cultura, deporte y Turismo</v>
      </c>
      <c r="N105" s="1513" t="s">
        <v>5122</v>
      </c>
      <c r="O105" s="1425" t="str">
        <f>'PLAN INDICATIVO'!O105</f>
        <v>Incremento</v>
      </c>
      <c r="P105" s="16" t="str">
        <f>'PLAN INDICATIVO'!P105</f>
        <v>Desarrollar 2 programas  deportivo-recreativo "Por la Convivencia Ciudadana" dirigido a la población del sector urbano y rural  del municipio durante el cuatrienio.</v>
      </c>
      <c r="Q105" s="302" t="str">
        <f>'PLAN INDICATIVO'!Q105</f>
        <v>No. De programas desarrollados</v>
      </c>
      <c r="R105" s="303">
        <f>'PLAN INDICATIVO'!R105</f>
        <v>2015</v>
      </c>
      <c r="S105" s="304">
        <v>0</v>
      </c>
      <c r="T105" s="677">
        <v>2</v>
      </c>
      <c r="U105" s="303">
        <v>1</v>
      </c>
      <c r="V105" s="687">
        <v>1</v>
      </c>
      <c r="W105" s="572">
        <v>1</v>
      </c>
      <c r="X105" s="687"/>
      <c r="Y105" s="572"/>
      <c r="Z105" s="572">
        <v>6000000</v>
      </c>
      <c r="AA105" s="1310">
        <v>1</v>
      </c>
      <c r="AB105" s="686">
        <v>12808274</v>
      </c>
      <c r="AC105" s="665"/>
      <c r="AD105" s="665">
        <v>1</v>
      </c>
      <c r="AE105" s="665"/>
      <c r="AF105" s="665"/>
      <c r="AG105" s="306" t="s">
        <v>5138</v>
      </c>
      <c r="AH105" s="987">
        <v>2019413960015</v>
      </c>
      <c r="AI105" s="307" t="s">
        <v>4741</v>
      </c>
      <c r="AJ105" s="309"/>
      <c r="AK105" s="309"/>
      <c r="AL105" s="308"/>
      <c r="AM105" s="308"/>
      <c r="AN105" s="267" t="s">
        <v>2594</v>
      </c>
      <c r="AO105" s="507"/>
      <c r="AP105" s="525"/>
      <c r="AQ105" s="310"/>
      <c r="AR105" s="310"/>
      <c r="AS105" s="310"/>
      <c r="AT105" s="310"/>
      <c r="AU105" s="310"/>
      <c r="AV105" s="310"/>
      <c r="AW105" s="310"/>
      <c r="AX105" s="525"/>
      <c r="AY105" s="310"/>
      <c r="AZ105" s="310"/>
      <c r="BA105" s="310"/>
      <c r="BB105" s="310"/>
      <c r="BC105" s="310"/>
      <c r="BD105" s="310"/>
      <c r="BE105" s="544"/>
      <c r="BF105" s="525"/>
      <c r="BG105" s="310"/>
      <c r="BH105" s="310"/>
      <c r="BI105" s="310"/>
      <c r="BJ105" s="310"/>
      <c r="BK105" s="310"/>
      <c r="BL105" s="310"/>
      <c r="BM105" s="544">
        <f t="shared" si="43"/>
        <v>0</v>
      </c>
      <c r="BN105" s="525"/>
      <c r="BO105" s="310"/>
      <c r="BP105" s="310"/>
      <c r="BQ105" s="310"/>
      <c r="BR105" s="310"/>
      <c r="BS105" s="310"/>
      <c r="BT105" s="310"/>
      <c r="BU105" s="544"/>
      <c r="BV105" s="556"/>
      <c r="BW105" s="663">
        <f t="shared" si="29"/>
        <v>1</v>
      </c>
      <c r="BX105" s="1047">
        <f t="shared" si="30"/>
        <v>0.5</v>
      </c>
      <c r="BY105" s="1047">
        <f t="shared" si="46"/>
        <v>0</v>
      </c>
      <c r="BZ105" s="1047">
        <f t="shared" si="47"/>
        <v>1</v>
      </c>
      <c r="CA105" s="1047" t="str">
        <f t="shared" si="48"/>
        <v>No Programada</v>
      </c>
      <c r="CB105" s="1047">
        <f t="shared" si="49"/>
        <v>0</v>
      </c>
      <c r="CD105" t="str">
        <f t="shared" si="50"/>
        <v>ROB</v>
      </c>
      <c r="CE105" t="str">
        <f t="shared" si="50"/>
        <v>VE</v>
      </c>
      <c r="CF105" t="str">
        <f t="shared" si="50"/>
        <v>NP</v>
      </c>
      <c r="CG105" t="str">
        <f t="shared" si="50"/>
        <v>ROB</v>
      </c>
    </row>
    <row r="106" spans="1:85" ht="27.75" hidden="1" customHeight="1" thickBot="1" x14ac:dyDescent="0.3">
      <c r="A106" s="1608" t="s">
        <v>344</v>
      </c>
      <c r="B106" s="1609"/>
      <c r="C106" s="1609"/>
      <c r="D106" s="1609"/>
      <c r="E106" s="1609"/>
      <c r="F106" s="1609"/>
      <c r="G106" s="1609"/>
      <c r="H106" s="1609"/>
      <c r="I106" s="1609"/>
      <c r="J106" s="1609"/>
      <c r="K106" s="1609"/>
      <c r="L106" s="1609"/>
      <c r="M106" s="1609"/>
      <c r="N106" s="1609"/>
      <c r="O106" s="1609"/>
      <c r="P106" s="1609"/>
      <c r="Q106" s="1609"/>
      <c r="R106" s="1609"/>
      <c r="S106" s="1609"/>
      <c r="T106" s="1609"/>
      <c r="U106" s="1609"/>
      <c r="V106" s="1609"/>
      <c r="W106" s="1609"/>
      <c r="X106" s="1609"/>
      <c r="Y106" s="1609"/>
      <c r="Z106" s="1609"/>
      <c r="AA106" s="1609"/>
      <c r="AB106" s="1609"/>
      <c r="AC106" s="1609"/>
      <c r="AD106" s="1609"/>
      <c r="AE106" s="1609"/>
      <c r="AF106" s="1609"/>
      <c r="AG106" s="1609"/>
      <c r="AH106" s="1609"/>
      <c r="AI106" s="1609"/>
      <c r="AJ106" s="1609"/>
      <c r="AK106" s="1609"/>
      <c r="AL106" s="1609"/>
      <c r="AM106" s="1609"/>
      <c r="AN106" s="1609"/>
      <c r="AO106" s="1610"/>
      <c r="AP106" s="627"/>
      <c r="AQ106" s="628"/>
      <c r="AR106" s="628"/>
      <c r="AS106" s="628"/>
      <c r="AT106" s="628"/>
      <c r="AU106" s="628"/>
      <c r="AV106" s="628"/>
      <c r="AW106" s="634"/>
      <c r="AX106" s="627"/>
      <c r="AY106" s="628"/>
      <c r="AZ106" s="628"/>
      <c r="BA106" s="628"/>
      <c r="BB106" s="628"/>
      <c r="BC106" s="628"/>
      <c r="BD106" s="628"/>
      <c r="BE106" s="634">
        <f t="shared" si="45"/>
        <v>0</v>
      </c>
      <c r="BF106" s="627"/>
      <c r="BG106" s="628"/>
      <c r="BH106" s="628"/>
      <c r="BI106" s="628"/>
      <c r="BJ106" s="628"/>
      <c r="BK106" s="628"/>
      <c r="BL106" s="628"/>
      <c r="BM106" s="634">
        <f t="shared" si="43"/>
        <v>0</v>
      </c>
      <c r="BN106" s="627"/>
      <c r="BO106" s="628"/>
      <c r="BP106" s="628"/>
      <c r="BQ106" s="628"/>
      <c r="BR106" s="628"/>
      <c r="BS106" s="628"/>
      <c r="BT106" s="628"/>
      <c r="BU106" s="634"/>
      <c r="BV106" s="652"/>
      <c r="BW106" s="628" t="s">
        <v>2717</v>
      </c>
      <c r="BX106" s="628" t="s">
        <v>2717</v>
      </c>
      <c r="BY106" s="628" t="s">
        <v>2717</v>
      </c>
      <c r="BZ106" s="628" t="s">
        <v>2717</v>
      </c>
      <c r="CA106" s="628" t="s">
        <v>2717</v>
      </c>
      <c r="CB106" s="628" t="s">
        <v>2717</v>
      </c>
    </row>
    <row r="107" spans="1:85" ht="30.75" customHeight="1" x14ac:dyDescent="0.3">
      <c r="A107" s="296"/>
      <c r="B107" s="331" t="str">
        <f>'PLAN INDICATIVO'!B107</f>
        <v>Vivienda</v>
      </c>
      <c r="C107" s="1605" t="s">
        <v>345</v>
      </c>
      <c r="D107" s="1606"/>
      <c r="E107" s="1606"/>
      <c r="F107" s="1606"/>
      <c r="G107" s="1606"/>
      <c r="H107" s="1606"/>
      <c r="I107" s="1606"/>
      <c r="J107" s="1606"/>
      <c r="K107" s="1606"/>
      <c r="L107" s="1606"/>
      <c r="M107" s="1606"/>
      <c r="N107" s="1606"/>
      <c r="O107" s="1607"/>
      <c r="P107" s="318"/>
      <c r="Q107" s="318"/>
      <c r="R107" s="317"/>
      <c r="S107" s="319"/>
      <c r="T107" s="676"/>
      <c r="U107" s="319"/>
      <c r="V107" s="698">
        <v>745700</v>
      </c>
      <c r="W107" s="319"/>
      <c r="X107" s="695">
        <f>SUM(X108:X112)</f>
        <v>501000000</v>
      </c>
      <c r="Y107" s="319"/>
      <c r="Z107" s="696">
        <f>SUM(Z108:Z112)</f>
        <v>101000000</v>
      </c>
      <c r="AA107" s="320"/>
      <c r="AB107" s="697">
        <f>SUM(AB108:AB112)</f>
        <v>78000000</v>
      </c>
      <c r="AC107" s="320"/>
      <c r="AD107" s="320"/>
      <c r="AE107" s="320"/>
      <c r="AF107" s="320"/>
      <c r="AG107" s="321"/>
      <c r="AH107" s="321"/>
      <c r="AI107" s="321"/>
      <c r="AJ107" s="320"/>
      <c r="AK107" s="320"/>
      <c r="AL107" s="320"/>
      <c r="AM107" s="320"/>
      <c r="AN107" s="320"/>
      <c r="AO107" s="630"/>
      <c r="AP107" s="631"/>
      <c r="AQ107" s="631"/>
      <c r="AR107" s="631"/>
      <c r="AS107" s="631"/>
      <c r="AT107" s="631"/>
      <c r="AU107" s="631"/>
      <c r="AV107" s="631"/>
      <c r="AW107" s="617"/>
      <c r="AX107" s="631" t="e">
        <f>(AX108:AX112)</f>
        <v>#VALUE!</v>
      </c>
      <c r="AY107" s="631" t="e">
        <f t="shared" ref="AY107:BD107" si="51">(AY108:AY112)</f>
        <v>#VALUE!</v>
      </c>
      <c r="AZ107" s="631" t="e">
        <f t="shared" si="51"/>
        <v>#VALUE!</v>
      </c>
      <c r="BA107" s="631" t="e">
        <f t="shared" si="51"/>
        <v>#VALUE!</v>
      </c>
      <c r="BB107" s="631" t="e">
        <f t="shared" si="51"/>
        <v>#VALUE!</v>
      </c>
      <c r="BC107" s="631" t="e">
        <f t="shared" si="51"/>
        <v>#VALUE!</v>
      </c>
      <c r="BD107" s="631" t="e">
        <f t="shared" si="51"/>
        <v>#VALUE!</v>
      </c>
      <c r="BE107" s="617" t="e">
        <f t="shared" si="45"/>
        <v>#VALUE!</v>
      </c>
      <c r="BF107" s="631"/>
      <c r="BG107" s="631"/>
      <c r="BH107" s="631"/>
      <c r="BI107" s="631"/>
      <c r="BJ107" s="631"/>
      <c r="BK107" s="631"/>
      <c r="BL107" s="631"/>
      <c r="BM107" s="617">
        <f t="shared" si="43"/>
        <v>0</v>
      </c>
      <c r="BN107" s="631"/>
      <c r="BO107" s="631"/>
      <c r="BP107" s="631"/>
      <c r="BQ107" s="631"/>
      <c r="BR107" s="631"/>
      <c r="BS107" s="631"/>
      <c r="BT107" s="631"/>
      <c r="BU107" s="617"/>
      <c r="BV107" s="556"/>
      <c r="BW107" s="617" t="s">
        <v>2717</v>
      </c>
      <c r="BX107" s="617" t="s">
        <v>2717</v>
      </c>
      <c r="BY107" s="617" t="s">
        <v>2717</v>
      </c>
      <c r="BZ107" s="617" t="s">
        <v>2717</v>
      </c>
      <c r="CA107" s="617" t="s">
        <v>2717</v>
      </c>
      <c r="CB107" s="617" t="s">
        <v>2717</v>
      </c>
    </row>
    <row r="108" spans="1:85" ht="68.25" customHeight="1" x14ac:dyDescent="0.3">
      <c r="A108" s="298" t="s">
        <v>346</v>
      </c>
      <c r="B108" s="299" t="str">
        <f>'PLAN INDICATIVO'!B108</f>
        <v>Vivienda</v>
      </c>
      <c r="C108" s="1546" t="s">
        <v>347</v>
      </c>
      <c r="D108" s="1549" t="s">
        <v>348</v>
      </c>
      <c r="E108" s="1549" t="s">
        <v>349</v>
      </c>
      <c r="F108" s="1549">
        <v>2015</v>
      </c>
      <c r="G108" s="1549">
        <v>37.700000000000003</v>
      </c>
      <c r="H108" s="1549">
        <v>33</v>
      </c>
      <c r="I108" s="1425" t="str">
        <f>'PLAN INDICATIVO'!I108</f>
        <v>SI</v>
      </c>
      <c r="J108" s="1425">
        <f>'PLAN INDICATIVO'!J108</f>
        <v>0</v>
      </c>
      <c r="K108" s="1425" t="str">
        <f>'PLAN INDICATIVO'!K108</f>
        <v>A.7.1.1</v>
      </c>
      <c r="L108" s="1425" t="str">
        <f>'PLAN INDICATIVO'!L108</f>
        <v>11. Ciudades y comunidades sostenibles</v>
      </c>
      <c r="M108" s="1425" t="str">
        <f>'PLAN INDICATIVO'!M108</f>
        <v>departamento Municipal de Planeación</v>
      </c>
      <c r="N108" s="1425" t="s">
        <v>5123</v>
      </c>
      <c r="O108" s="1425" t="str">
        <f>'PLAN INDICATIVO'!O108</f>
        <v>Incremento</v>
      </c>
      <c r="P108" s="16" t="str">
        <f>'PLAN INDICATIVO'!P108</f>
        <v>Realizar   450 mejoramientos de vivienda  en el municipio durante  el cuatrienio.</v>
      </c>
      <c r="Q108" s="302" t="str">
        <f>'PLAN INDICATIVO'!Q108</f>
        <v>No. De Mejoramientos de vivienda realizados</v>
      </c>
      <c r="R108" s="303">
        <f>'PLAN INDICATIVO'!R108</f>
        <v>2015</v>
      </c>
      <c r="S108" s="304" t="s">
        <v>177</v>
      </c>
      <c r="T108" s="677">
        <v>450</v>
      </c>
      <c r="U108" s="303">
        <v>152</v>
      </c>
      <c r="V108" s="687">
        <v>573000000</v>
      </c>
      <c r="W108" s="572">
        <v>180</v>
      </c>
      <c r="X108" s="687">
        <v>490000000</v>
      </c>
      <c r="Y108" s="572">
        <v>165</v>
      </c>
      <c r="Z108" s="688">
        <v>101000000</v>
      </c>
      <c r="AA108" s="1310">
        <v>96</v>
      </c>
      <c r="AB108" s="686">
        <v>72000000</v>
      </c>
      <c r="AC108" s="665"/>
      <c r="AD108" s="665">
        <v>181</v>
      </c>
      <c r="AE108" s="665">
        <f>119+46</f>
        <v>165</v>
      </c>
      <c r="AF108" s="665">
        <v>205</v>
      </c>
      <c r="AG108" s="306" t="s">
        <v>5139</v>
      </c>
      <c r="AH108" s="987">
        <v>2019413960030</v>
      </c>
      <c r="AI108" s="307" t="s">
        <v>4963</v>
      </c>
      <c r="AJ108" s="309">
        <v>43497</v>
      </c>
      <c r="AK108" s="309">
        <v>43814</v>
      </c>
      <c r="AL108" s="308"/>
      <c r="AM108" s="308"/>
      <c r="AN108" s="267" t="s">
        <v>2598</v>
      </c>
      <c r="AO108" s="507"/>
      <c r="AP108" s="525"/>
      <c r="AQ108" s="310"/>
      <c r="AR108" s="310"/>
      <c r="AS108" s="310"/>
      <c r="AT108" s="310"/>
      <c r="AU108" s="380"/>
      <c r="AV108" s="310"/>
      <c r="AW108" s="544"/>
      <c r="AX108" s="525"/>
      <c r="AY108" s="310"/>
      <c r="AZ108" s="310"/>
      <c r="BA108" s="310"/>
      <c r="BB108" s="310"/>
      <c r="BC108" s="380"/>
      <c r="BD108" s="310"/>
      <c r="BE108" s="544"/>
      <c r="BF108" s="525"/>
      <c r="BG108" s="310"/>
      <c r="BH108" s="310"/>
      <c r="BI108" s="310"/>
      <c r="BJ108" s="310"/>
      <c r="BK108" s="380"/>
      <c r="BL108" s="310"/>
      <c r="BM108" s="544">
        <f t="shared" si="43"/>
        <v>0</v>
      </c>
      <c r="BN108" s="525"/>
      <c r="BO108" s="310"/>
      <c r="BP108" s="310"/>
      <c r="BQ108" s="310"/>
      <c r="BR108" s="310"/>
      <c r="BS108" s="310"/>
      <c r="BT108" s="310"/>
      <c r="BU108" s="310"/>
      <c r="BV108" s="556"/>
      <c r="BW108" s="663">
        <f t="shared" si="29"/>
        <v>551</v>
      </c>
      <c r="BX108" s="1047">
        <f t="shared" si="30"/>
        <v>1.2244444444444444</v>
      </c>
      <c r="BY108" s="1047">
        <f>IF(U108&gt;=0.1,AC108/U108,IF(ISBLANK(U108),"No Programada","Aplazada"))</f>
        <v>0</v>
      </c>
      <c r="BZ108" s="1047">
        <f>IF(W108&gt;=0.1,AD108/W108,IF(ISBLANK(W108),"No Programada","Aplazada"))</f>
        <v>1.0055555555555555</v>
      </c>
      <c r="CA108" s="1047">
        <f>IF(Y108&gt;=0.1,AE108/Y108,IF(ISBLANK(Y108),"No Programada","Aplazada"))</f>
        <v>1</v>
      </c>
      <c r="CB108" s="1047">
        <f>IF(AA108&gt;=0.1,AF108/AA108,IF(ISBLANK(AA108),"No Programada","Aplazada"))</f>
        <v>2.1354166666666665</v>
      </c>
      <c r="CD108" t="str">
        <f t="shared" ref="CD108:CG112" si="52">IF(BY108="PARA MODIFICAR","M",IF(BY108="PARA ELIMINAR","E",IF(BY108="aplazada","AZ",IF(BY108="no programada","NP",IF(BY108&gt;=85%,"VE",IF(BY108&gt;70%,"VEB",IF(BY108&gt;60%,"AM",IF(BY108&gt;40%,"AMB",IF(BY108&gt;20%,"RO",IF(BY108&gt;=0%,"ROB",""))))))))))</f>
        <v>ROB</v>
      </c>
      <c r="CE108" t="str">
        <f t="shared" si="52"/>
        <v>VE</v>
      </c>
      <c r="CF108" t="str">
        <f t="shared" si="52"/>
        <v>VE</v>
      </c>
      <c r="CG108" t="str">
        <f t="shared" si="52"/>
        <v>VE</v>
      </c>
    </row>
    <row r="109" spans="1:85" ht="54" customHeight="1" x14ac:dyDescent="0.3">
      <c r="A109" s="298" t="s">
        <v>346</v>
      </c>
      <c r="B109" s="299" t="str">
        <f>'PLAN INDICATIVO'!B109</f>
        <v>Vivienda</v>
      </c>
      <c r="C109" s="1547"/>
      <c r="D109" s="1549"/>
      <c r="E109" s="1549"/>
      <c r="F109" s="1549"/>
      <c r="G109" s="1549"/>
      <c r="H109" s="1549"/>
      <c r="I109" s="300">
        <f>'PLAN INDICATIVO'!I109</f>
        <v>0</v>
      </c>
      <c r="J109" s="300">
        <f>'PLAN INDICATIVO'!J109</f>
        <v>0</v>
      </c>
      <c r="K109" s="1425" t="str">
        <f>'PLAN INDICATIVO'!K109</f>
        <v>A.7.1.2</v>
      </c>
      <c r="L109" s="1425" t="str">
        <f>'PLAN INDICATIVO'!L109</f>
        <v>11. Ciudades y comunidades sostenibles</v>
      </c>
      <c r="M109" s="1425" t="str">
        <f>'PLAN INDICATIVO'!M109</f>
        <v>departamento Municipal de Planeación</v>
      </c>
      <c r="N109" s="1513" t="s">
        <v>5123</v>
      </c>
      <c r="O109" s="1425" t="str">
        <f>'PLAN INDICATIVO'!O109</f>
        <v>Incremento</v>
      </c>
      <c r="P109" s="16" t="str">
        <f>'PLAN INDICATIVO'!P109</f>
        <v>Apoyar a 2 barrios con programa de legalización durante el cuatrienio</v>
      </c>
      <c r="Q109" s="302" t="str">
        <f>'PLAN INDICATIVO'!Q109</f>
        <v>No. De barrios legalizados</v>
      </c>
      <c r="R109" s="303">
        <f>'PLAN INDICATIVO'!R109</f>
        <v>2015</v>
      </c>
      <c r="S109" s="304">
        <v>0</v>
      </c>
      <c r="T109" s="677">
        <v>2</v>
      </c>
      <c r="U109" s="303"/>
      <c r="V109" s="686">
        <v>19000000</v>
      </c>
      <c r="W109" s="572">
        <v>1</v>
      </c>
      <c r="X109" s="687">
        <v>500000</v>
      </c>
      <c r="Y109" s="572">
        <v>1</v>
      </c>
      <c r="Z109" s="572"/>
      <c r="AA109" s="1310">
        <v>0.5</v>
      </c>
      <c r="AB109" s="686">
        <v>3000000</v>
      </c>
      <c r="AC109" s="843"/>
      <c r="AD109" s="665">
        <v>0.8</v>
      </c>
      <c r="AE109" s="665">
        <v>0.7</v>
      </c>
      <c r="AF109" s="665">
        <v>0.5</v>
      </c>
      <c r="AG109" s="306" t="s">
        <v>5139</v>
      </c>
      <c r="AH109" s="987">
        <v>2019413960030</v>
      </c>
      <c r="AI109" s="307" t="s">
        <v>4879</v>
      </c>
      <c r="AJ109" s="309">
        <v>43511</v>
      </c>
      <c r="AK109" s="309">
        <v>43738</v>
      </c>
      <c r="AL109" s="308"/>
      <c r="AM109" s="308"/>
      <c r="AN109" s="267" t="s">
        <v>2604</v>
      </c>
      <c r="AO109" s="507"/>
      <c r="AP109" s="525"/>
      <c r="AQ109" s="310"/>
      <c r="AR109" s="310"/>
      <c r="AS109" s="310"/>
      <c r="AT109" s="310"/>
      <c r="AU109" s="310"/>
      <c r="AV109" s="310"/>
      <c r="AW109" s="544"/>
      <c r="AX109" s="525"/>
      <c r="AY109" s="310"/>
      <c r="AZ109" s="310"/>
      <c r="BA109" s="310"/>
      <c r="BB109" s="310"/>
      <c r="BC109" s="310"/>
      <c r="BD109" s="310"/>
      <c r="BE109" s="544"/>
      <c r="BF109" s="525"/>
      <c r="BG109" s="310"/>
      <c r="BH109" s="310"/>
      <c r="BI109" s="310"/>
      <c r="BJ109" s="310"/>
      <c r="BK109" s="310"/>
      <c r="BL109" s="310"/>
      <c r="BM109" s="544">
        <f t="shared" si="43"/>
        <v>0</v>
      </c>
      <c r="BN109" s="525"/>
      <c r="BO109" s="310"/>
      <c r="BP109" s="310"/>
      <c r="BQ109" s="310"/>
      <c r="BR109" s="310"/>
      <c r="BS109" s="310"/>
      <c r="BT109" s="310"/>
      <c r="BU109" s="544"/>
      <c r="BV109" s="556"/>
      <c r="BW109" s="663">
        <f t="shared" si="29"/>
        <v>2</v>
      </c>
      <c r="BX109" s="1047">
        <f t="shared" si="30"/>
        <v>1</v>
      </c>
      <c r="BY109" s="1047" t="str">
        <f>IF(U109&gt;=0.1,AC109/U109,IF(ISBLANK(U109),"No Programada","Aplazada"))</f>
        <v>No Programada</v>
      </c>
      <c r="BZ109" s="1047">
        <f>IF(W109&gt;=0.1,AD109/W109,IF(ISBLANK(W109),"No Programada","Aplazada"))</f>
        <v>0.8</v>
      </c>
      <c r="CA109" s="1047">
        <f>IF(Y109&gt;=0.1,AE109/Y109,IF(ISBLANK(Y109),"No Programada","Aplazada"))</f>
        <v>0.7</v>
      </c>
      <c r="CB109" s="1047">
        <f>IF(AA109&gt;=0.1,AF109/AA109,IF(ISBLANK(AA109),"No Programada","Aplazada"))</f>
        <v>1</v>
      </c>
      <c r="CD109" t="str">
        <f t="shared" si="52"/>
        <v>NP</v>
      </c>
      <c r="CE109" t="str">
        <f t="shared" si="52"/>
        <v>VEB</v>
      </c>
      <c r="CF109" t="str">
        <f t="shared" si="52"/>
        <v>AM</v>
      </c>
      <c r="CG109" t="str">
        <f t="shared" si="52"/>
        <v>VE</v>
      </c>
    </row>
    <row r="110" spans="1:85" ht="77.25" customHeight="1" x14ac:dyDescent="0.3">
      <c r="A110" s="298" t="s">
        <v>346</v>
      </c>
      <c r="B110" s="299" t="str">
        <f>'PLAN INDICATIVO'!B110</f>
        <v>Vivienda</v>
      </c>
      <c r="C110" s="1547"/>
      <c r="D110" s="1549"/>
      <c r="E110" s="1549"/>
      <c r="F110" s="1549"/>
      <c r="G110" s="1549"/>
      <c r="H110" s="1549"/>
      <c r="I110" s="300">
        <f>'PLAN INDICATIVO'!I110</f>
        <v>0</v>
      </c>
      <c r="J110" s="300">
        <f>'PLAN INDICATIVO'!J110</f>
        <v>0</v>
      </c>
      <c r="K110" s="1425" t="str">
        <f>'PLAN INDICATIVO'!K110</f>
        <v>A.7.1.3</v>
      </c>
      <c r="L110" s="1425" t="str">
        <f>'PLAN INDICATIVO'!L110</f>
        <v>11. Ciudades y comunidades sostenibles</v>
      </c>
      <c r="M110" s="1425" t="str">
        <f>'PLAN INDICATIVO'!M110</f>
        <v>departamento Municipal de Planeación</v>
      </c>
      <c r="N110" s="1513" t="s">
        <v>5123</v>
      </c>
      <c r="O110" s="1425" t="str">
        <f>'PLAN INDICATIVO'!O110</f>
        <v>Incremento</v>
      </c>
      <c r="P110" s="16" t="str">
        <f>'PLAN INDICATIVO'!P110</f>
        <v>Construir o remodelar 15.000 m2 de espacio público  para el disfrute de los ciudadanos durante el cuatrienio</v>
      </c>
      <c r="Q110" s="302" t="str">
        <f>'PLAN INDICATIVO'!Q110</f>
        <v>No. De m2 construidos o remodelados de espacio público</v>
      </c>
      <c r="R110" s="303">
        <f>'PLAN INDICATIVO'!R110</f>
        <v>2015</v>
      </c>
      <c r="S110" s="304">
        <v>0</v>
      </c>
      <c r="T110" s="677">
        <v>15000</v>
      </c>
      <c r="U110" s="303"/>
      <c r="V110" s="686">
        <v>20000000</v>
      </c>
      <c r="W110" s="572">
        <v>4000</v>
      </c>
      <c r="X110" s="687">
        <v>10000000</v>
      </c>
      <c r="Y110" s="572">
        <v>4792.8999999999996</v>
      </c>
      <c r="Z110" s="572"/>
      <c r="AA110" s="1310">
        <v>4364.1000000000004</v>
      </c>
      <c r="AB110" s="686">
        <v>1000000</v>
      </c>
      <c r="AC110" s="665"/>
      <c r="AD110" s="665">
        <v>5843</v>
      </c>
      <c r="AE110" s="665">
        <f>900+840+875+1530.75+647.15</f>
        <v>4792.8999999999996</v>
      </c>
      <c r="AF110" s="665">
        <f>686.46+2610</f>
        <v>3296.46</v>
      </c>
      <c r="AG110" s="306" t="s">
        <v>5139</v>
      </c>
      <c r="AH110" s="987">
        <v>2019413960030</v>
      </c>
      <c r="AI110" s="336" t="s">
        <v>4880</v>
      </c>
      <c r="AJ110" s="309">
        <v>43511</v>
      </c>
      <c r="AK110" s="309">
        <v>43799</v>
      </c>
      <c r="AL110" s="337"/>
      <c r="AM110" s="337"/>
      <c r="AN110" s="267" t="s">
        <v>2598</v>
      </c>
      <c r="AO110" s="507"/>
      <c r="AP110" s="527"/>
      <c r="AQ110" s="471"/>
      <c r="AR110" s="471"/>
      <c r="AS110" s="471"/>
      <c r="AT110" s="471"/>
      <c r="AU110" s="471"/>
      <c r="AV110" s="471"/>
      <c r="AW110" s="544"/>
      <c r="AX110" s="527"/>
      <c r="AY110" s="471"/>
      <c r="AZ110" s="471"/>
      <c r="BA110" s="471"/>
      <c r="BB110" s="471"/>
      <c r="BC110" s="471"/>
      <c r="BD110" s="471"/>
      <c r="BE110" s="544"/>
      <c r="BF110" s="527"/>
      <c r="BG110" s="471"/>
      <c r="BH110" s="471"/>
      <c r="BI110" s="471"/>
      <c r="BJ110" s="471"/>
      <c r="BK110" s="471"/>
      <c r="BL110" s="471"/>
      <c r="BM110" s="544">
        <f t="shared" si="43"/>
        <v>0</v>
      </c>
      <c r="BN110" s="527"/>
      <c r="BO110" s="471"/>
      <c r="BP110" s="471"/>
      <c r="BQ110" s="471"/>
      <c r="BR110" s="471"/>
      <c r="BS110" s="471"/>
      <c r="BT110" s="471"/>
      <c r="BU110" s="544"/>
      <c r="BV110" s="556"/>
      <c r="BW110" s="663">
        <f t="shared" si="29"/>
        <v>13932.36</v>
      </c>
      <c r="BX110" s="1047">
        <f t="shared" si="30"/>
        <v>0.92882400000000009</v>
      </c>
      <c r="BY110" s="1047" t="str">
        <f>IF(U110&gt;=0.1,AC110/U110,IF(ISBLANK(U110),"No Programada","Aplazada"))</f>
        <v>No Programada</v>
      </c>
      <c r="BZ110" s="1047">
        <f>IF(W110&gt;=0.1,AD110/W110,IF(ISBLANK(W110),"No Programada","Aplazada"))</f>
        <v>1.46075</v>
      </c>
      <c r="CA110" s="1047">
        <f>IF(Y110&gt;=0.1,AE110/Y110,IF(ISBLANK(Y110),"No Programada","Aplazada"))</f>
        <v>1</v>
      </c>
      <c r="CB110" s="1047">
        <f>IF(AA110&gt;=0.1,AF110/AA110,IF(ISBLANK(AA110),"No Programada","Aplazada"))</f>
        <v>0.75535849316010173</v>
      </c>
      <c r="CD110" t="str">
        <f t="shared" si="52"/>
        <v>NP</v>
      </c>
      <c r="CE110" t="str">
        <f t="shared" si="52"/>
        <v>VE</v>
      </c>
      <c r="CF110" t="str">
        <f t="shared" si="52"/>
        <v>VE</v>
      </c>
      <c r="CG110" t="str">
        <f t="shared" si="52"/>
        <v>VEB</v>
      </c>
    </row>
    <row r="111" spans="1:85" ht="67.5" customHeight="1" x14ac:dyDescent="0.3">
      <c r="A111" s="298" t="s">
        <v>346</v>
      </c>
      <c r="B111" s="299" t="str">
        <f>'PLAN INDICATIVO'!B111</f>
        <v>Vivienda</v>
      </c>
      <c r="C111" s="1547"/>
      <c r="D111" s="1549"/>
      <c r="E111" s="1549"/>
      <c r="F111" s="1549"/>
      <c r="G111" s="1549"/>
      <c r="H111" s="1549"/>
      <c r="I111" s="300">
        <f>'PLAN INDICATIVO'!I111</f>
        <v>0</v>
      </c>
      <c r="J111" s="300">
        <f>'PLAN INDICATIVO'!J111</f>
        <v>0</v>
      </c>
      <c r="K111" s="1425" t="str">
        <f>'PLAN INDICATIVO'!K111</f>
        <v>A.7.1.4</v>
      </c>
      <c r="L111" s="1425" t="str">
        <f>'PLAN INDICATIVO'!L111</f>
        <v>11. Ciudades y comunidades sostenibles</v>
      </c>
      <c r="M111" s="1425" t="str">
        <f>'PLAN INDICATIVO'!M111</f>
        <v>departamento Municipal de Planeación</v>
      </c>
      <c r="N111" s="1513" t="s">
        <v>5123</v>
      </c>
      <c r="O111" s="1425" t="str">
        <f>'PLAN INDICATIVO'!O111</f>
        <v>Incremento</v>
      </c>
      <c r="P111" s="16" t="str">
        <f>'PLAN INDICATIVO'!P111</f>
        <v>Ajustar un nuevo PBOT  que defina áreas de desarrollo urbanístico en zonas que no representen alto riesgo</v>
      </c>
      <c r="Q111" s="302" t="str">
        <f>'PLAN INDICATIVO'!Q111</f>
        <v>No. De PBOT ajustado</v>
      </c>
      <c r="R111" s="303">
        <f>'PLAN INDICATIVO'!R111</f>
        <v>2015</v>
      </c>
      <c r="S111" s="304">
        <v>0</v>
      </c>
      <c r="T111" s="677">
        <v>1</v>
      </c>
      <c r="U111" s="303"/>
      <c r="V111" s="686">
        <v>0</v>
      </c>
      <c r="W111" s="572"/>
      <c r="X111" s="572"/>
      <c r="Y111" s="572">
        <v>1</v>
      </c>
      <c r="Z111" s="572"/>
      <c r="AA111" s="1310" t="s">
        <v>4088</v>
      </c>
      <c r="AB111" s="686">
        <v>2000000</v>
      </c>
      <c r="AC111" s="665"/>
      <c r="AD111" s="665"/>
      <c r="AE111" s="665">
        <v>0.1</v>
      </c>
      <c r="AF111" s="665">
        <v>0.4</v>
      </c>
      <c r="AG111" s="306" t="s">
        <v>5139</v>
      </c>
      <c r="AH111" s="987">
        <v>2019413960030</v>
      </c>
      <c r="AI111" s="307"/>
      <c r="AJ111" s="309">
        <v>43497</v>
      </c>
      <c r="AK111" s="309">
        <v>43814</v>
      </c>
      <c r="AL111" s="308"/>
      <c r="AM111" s="308"/>
      <c r="AN111" s="267" t="s">
        <v>2600</v>
      </c>
      <c r="AO111" s="507"/>
      <c r="AP111" s="525"/>
      <c r="AQ111" s="310"/>
      <c r="AR111" s="310"/>
      <c r="AS111" s="310"/>
      <c r="AT111" s="310"/>
      <c r="AU111" s="310"/>
      <c r="AV111" s="310"/>
      <c r="AW111" s="544"/>
      <c r="AX111" s="525"/>
      <c r="AY111" s="310"/>
      <c r="AZ111" s="310"/>
      <c r="BA111" s="310"/>
      <c r="BB111" s="310"/>
      <c r="BC111" s="310"/>
      <c r="BD111" s="310"/>
      <c r="BE111" s="544"/>
      <c r="BF111" s="525"/>
      <c r="BG111" s="310"/>
      <c r="BH111" s="310"/>
      <c r="BI111" s="310"/>
      <c r="BJ111" s="310"/>
      <c r="BK111" s="310"/>
      <c r="BL111" s="310"/>
      <c r="BM111" s="544">
        <f t="shared" si="43"/>
        <v>0</v>
      </c>
      <c r="BN111" s="525"/>
      <c r="BO111" s="310"/>
      <c r="BP111" s="310"/>
      <c r="BQ111" s="310"/>
      <c r="BR111" s="310"/>
      <c r="BS111" s="310"/>
      <c r="BT111" s="310"/>
      <c r="BU111" s="544"/>
      <c r="BV111" s="556"/>
      <c r="BW111" s="663">
        <f t="shared" si="29"/>
        <v>0.5</v>
      </c>
      <c r="BX111" s="1047">
        <f t="shared" si="30"/>
        <v>0.5</v>
      </c>
      <c r="BY111" s="1047" t="str">
        <f>IF(U111&gt;=0.1,AC111/U111,IF(ISBLANK(U111),"No Programada","Aplazada"))</f>
        <v>No Programada</v>
      </c>
      <c r="BZ111" s="1047" t="str">
        <f>IF(W111&gt;=0.1,AD111/W111,IF(ISBLANK(W111),"No Programada","Aplazada"))</f>
        <v>No Programada</v>
      </c>
      <c r="CA111" s="1047">
        <f>IF(Y111&gt;=0.1,AE111/Y111,IF(ISBLANK(Y111),"No Programada","Aplazada"))</f>
        <v>0.1</v>
      </c>
      <c r="CB111" s="1047">
        <f>IF(AA111&gt;=0.1,AF111/AA111,IF(ISBLANK(AA111),"No Programada","Aplazada"))</f>
        <v>0.44444444444444448</v>
      </c>
      <c r="CD111" t="str">
        <f t="shared" si="52"/>
        <v>NP</v>
      </c>
      <c r="CE111" t="str">
        <f t="shared" si="52"/>
        <v>NP</v>
      </c>
      <c r="CF111" t="str">
        <f t="shared" si="52"/>
        <v>ROB</v>
      </c>
      <c r="CG111" t="str">
        <f t="shared" si="52"/>
        <v>AMB</v>
      </c>
    </row>
    <row r="112" spans="1:85" ht="73.5" hidden="1" customHeight="1" x14ac:dyDescent="0.25">
      <c r="A112" s="298" t="s">
        <v>2458</v>
      </c>
      <c r="B112" s="299" t="str">
        <f>'PLAN INDICATIVO'!B112</f>
        <v>Vivienda</v>
      </c>
      <c r="C112" s="1548"/>
      <c r="D112" s="1549"/>
      <c r="E112" s="1549"/>
      <c r="F112" s="1549"/>
      <c r="G112" s="1549"/>
      <c r="H112" s="1549"/>
      <c r="I112" s="300">
        <f>'PLAN INDICATIVO'!I112</f>
        <v>0</v>
      </c>
      <c r="J112" s="300">
        <f>'PLAN INDICATIVO'!J112</f>
        <v>0</v>
      </c>
      <c r="K112" s="1425" t="str">
        <f>'PLAN INDICATIVO'!K112</f>
        <v>A.7.1.5</v>
      </c>
      <c r="L112" s="1425" t="str">
        <f>'PLAN INDICATIVO'!L112</f>
        <v>11. Ciudades y comunidades sostenibles</v>
      </c>
      <c r="M112" s="1425" t="str">
        <f>'PLAN INDICATIVO'!M112</f>
        <v>departamento Municipal de Planeación</v>
      </c>
      <c r="N112" s="1425" t="str">
        <f>'PLAN INDICATIVO'!N112</f>
        <v>MAURICIO LEGARDA GONZALEZ</v>
      </c>
      <c r="O112" s="1425" t="str">
        <f>'PLAN INDICATIVO'!O112</f>
        <v>Incremento</v>
      </c>
      <c r="P112" s="16" t="str">
        <f>'PLAN INDICATIVO'!P112</f>
        <v>Realizar 5 capacitaciones  a familias,  durante el cuatrienio, en el tema de "créditos de vivienda".</v>
      </c>
      <c r="Q112" s="302" t="str">
        <f>'PLAN INDICATIVO'!Q112</f>
        <v>No. de capacitaciones realizadas</v>
      </c>
      <c r="R112" s="303">
        <f>'PLAN INDICATIVO'!R112</f>
        <v>2015</v>
      </c>
      <c r="S112" s="304">
        <v>0</v>
      </c>
      <c r="T112" s="1293">
        <v>5</v>
      </c>
      <c r="U112" s="303">
        <v>3</v>
      </c>
      <c r="V112" s="686">
        <v>1000000</v>
      </c>
      <c r="W112" s="572">
        <v>3</v>
      </c>
      <c r="X112" s="687">
        <v>500000</v>
      </c>
      <c r="Y112" s="572">
        <v>3</v>
      </c>
      <c r="Z112" s="572"/>
      <c r="AA112" s="1310"/>
      <c r="AB112" s="572"/>
      <c r="AC112" s="665">
        <v>0</v>
      </c>
      <c r="AD112" s="665">
        <v>3</v>
      </c>
      <c r="AE112" s="665">
        <v>2</v>
      </c>
      <c r="AF112" s="665">
        <v>2</v>
      </c>
      <c r="AG112" s="306" t="s">
        <v>4743</v>
      </c>
      <c r="AH112" s="987"/>
      <c r="AI112" s="307" t="s">
        <v>4871</v>
      </c>
      <c r="AJ112" s="309"/>
      <c r="AK112" s="309"/>
      <c r="AL112" s="308"/>
      <c r="AM112" s="308"/>
      <c r="AN112" s="267" t="s">
        <v>2604</v>
      </c>
      <c r="AO112" s="507" t="s">
        <v>4964</v>
      </c>
      <c r="AP112" s="525"/>
      <c r="AQ112" s="310"/>
      <c r="AR112" s="310"/>
      <c r="AS112" s="310"/>
      <c r="AT112" s="310"/>
      <c r="AU112" s="310"/>
      <c r="AV112" s="310"/>
      <c r="AW112" s="544"/>
      <c r="AX112" s="525"/>
      <c r="AY112" s="310"/>
      <c r="AZ112" s="310"/>
      <c r="BA112" s="310"/>
      <c r="BB112" s="310"/>
      <c r="BC112" s="310"/>
      <c r="BD112" s="310"/>
      <c r="BE112" s="544"/>
      <c r="BF112" s="525"/>
      <c r="BG112" s="310"/>
      <c r="BH112" s="310"/>
      <c r="BI112" s="310"/>
      <c r="BJ112" s="310"/>
      <c r="BK112" s="310"/>
      <c r="BL112" s="310"/>
      <c r="BM112" s="544">
        <f t="shared" si="43"/>
        <v>0</v>
      </c>
      <c r="BN112" s="525"/>
      <c r="BO112" s="310"/>
      <c r="BP112" s="310"/>
      <c r="BQ112" s="310"/>
      <c r="BR112" s="310"/>
      <c r="BS112" s="310"/>
      <c r="BT112" s="310"/>
      <c r="BU112" s="544"/>
      <c r="BV112" s="556"/>
      <c r="BW112" s="663">
        <f t="shared" si="29"/>
        <v>7</v>
      </c>
      <c r="BX112" s="1047">
        <f t="shared" si="30"/>
        <v>1.4</v>
      </c>
      <c r="BY112" s="1047">
        <f>IF(U112&gt;=0.1,AC112/U112,IF(ISBLANK(U112),"No Programada","Aplazada"))</f>
        <v>0</v>
      </c>
      <c r="BZ112" s="1047">
        <f>IF(W112&gt;=0.1,AD112/W112,IF(ISBLANK(W112),"No Programada","Aplazada"))</f>
        <v>1</v>
      </c>
      <c r="CA112" s="1047">
        <f>IF(Y112&gt;=0.1,AE112/Y112,IF(ISBLANK(Y112),"No Programada","Aplazada"))</f>
        <v>0.66666666666666663</v>
      </c>
      <c r="CB112" s="1047" t="str">
        <f>IF(AA112&gt;=0.1,AF112/AA112,IF(ISBLANK(AA112),"No Programada","Aplazada"))</f>
        <v>No Programada</v>
      </c>
      <c r="CD112" t="str">
        <f t="shared" si="52"/>
        <v>ROB</v>
      </c>
      <c r="CE112" t="str">
        <f t="shared" si="52"/>
        <v>VE</v>
      </c>
      <c r="CF112" t="str">
        <f t="shared" si="52"/>
        <v>AM</v>
      </c>
      <c r="CG112" t="str">
        <f t="shared" si="52"/>
        <v>NP</v>
      </c>
    </row>
    <row r="113" spans="1:85" ht="17.25" customHeight="1" x14ac:dyDescent="0.3">
      <c r="A113" s="295"/>
      <c r="B113" s="24" t="str">
        <f>'PLAN INDICATIVO'!B113</f>
        <v>Vivienda</v>
      </c>
      <c r="C113" s="1574" t="s">
        <v>368</v>
      </c>
      <c r="D113" s="1575"/>
      <c r="E113" s="1575"/>
      <c r="F113" s="1575"/>
      <c r="G113" s="1575"/>
      <c r="H113" s="1575"/>
      <c r="I113" s="1575"/>
      <c r="J113" s="1575"/>
      <c r="K113" s="1575"/>
      <c r="L113" s="1575"/>
      <c r="M113" s="1575"/>
      <c r="N113" s="1575"/>
      <c r="O113" s="1576"/>
      <c r="P113" s="22"/>
      <c r="Q113" s="22"/>
      <c r="R113" s="1"/>
      <c r="S113" s="261"/>
      <c r="T113" s="681"/>
      <c r="U113" s="261"/>
      <c r="V113" s="689">
        <f>V114+V115+V116+V117</f>
        <v>207000000</v>
      </c>
      <c r="W113" s="261"/>
      <c r="X113" s="689">
        <f>X114+X115+X116+X117</f>
        <v>519000000</v>
      </c>
      <c r="Y113" s="261"/>
      <c r="Z113" s="689">
        <f>Z114+Z115+Z116+Z117</f>
        <v>21000000</v>
      </c>
      <c r="AA113" s="262"/>
      <c r="AB113" s="690">
        <f>AB114+AB116</f>
        <v>27000000</v>
      </c>
      <c r="AC113" s="262"/>
      <c r="AD113" s="262"/>
      <c r="AE113" s="262"/>
      <c r="AF113" s="262"/>
      <c r="AG113" s="263"/>
      <c r="AH113" s="263"/>
      <c r="AI113" s="263"/>
      <c r="AJ113" s="262"/>
      <c r="AK113" s="262"/>
      <c r="AL113" s="262"/>
      <c r="AM113" s="262"/>
      <c r="AN113" s="262"/>
      <c r="AO113" s="612"/>
      <c r="AP113" s="616"/>
      <c r="AQ113" s="616"/>
      <c r="AR113" s="616"/>
      <c r="AS113" s="616"/>
      <c r="AT113" s="616"/>
      <c r="AU113" s="616"/>
      <c r="AV113" s="616"/>
      <c r="AW113" s="617"/>
      <c r="AX113" s="616"/>
      <c r="AY113" s="616"/>
      <c r="AZ113" s="616"/>
      <c r="BA113" s="616"/>
      <c r="BB113" s="616"/>
      <c r="BC113" s="616"/>
      <c r="BD113" s="616"/>
      <c r="BE113" s="617"/>
      <c r="BF113" s="616"/>
      <c r="BG113" s="616"/>
      <c r="BH113" s="616"/>
      <c r="BI113" s="616"/>
      <c r="BJ113" s="616"/>
      <c r="BK113" s="616"/>
      <c r="BL113" s="616"/>
      <c r="BM113" s="617">
        <f t="shared" si="43"/>
        <v>0</v>
      </c>
      <c r="BN113" s="616"/>
      <c r="BO113" s="616"/>
      <c r="BP113" s="616"/>
      <c r="BQ113" s="616"/>
      <c r="BR113" s="616"/>
      <c r="BS113" s="616"/>
      <c r="BT113" s="616"/>
      <c r="BU113" s="617"/>
      <c r="BV113" s="556"/>
      <c r="BW113" s="663">
        <f t="shared" si="29"/>
        <v>0</v>
      </c>
      <c r="BX113" s="617" t="s">
        <v>2717</v>
      </c>
      <c r="BY113" s="617" t="s">
        <v>2717</v>
      </c>
      <c r="BZ113" s="617" t="s">
        <v>2717</v>
      </c>
      <c r="CA113" s="617" t="s">
        <v>2717</v>
      </c>
      <c r="CB113" s="1047" t="s">
        <v>2717</v>
      </c>
    </row>
    <row r="114" spans="1:85" ht="98.25" customHeight="1" x14ac:dyDescent="0.3">
      <c r="A114" s="298" t="s">
        <v>346</v>
      </c>
      <c r="B114" s="299" t="str">
        <f>'PLAN INDICATIVO'!B114</f>
        <v>Vivienda</v>
      </c>
      <c r="C114" s="1546" t="s">
        <v>369</v>
      </c>
      <c r="D114" s="1549" t="s">
        <v>370</v>
      </c>
      <c r="E114" s="1549" t="s">
        <v>371</v>
      </c>
      <c r="F114" s="1549">
        <v>2015</v>
      </c>
      <c r="G114" s="1549">
        <v>18.899999999999999</v>
      </c>
      <c r="H114" s="1549">
        <v>16.399999999999999</v>
      </c>
      <c r="I114" s="1425" t="str">
        <f>'PLAN INDICATIVO'!I114</f>
        <v>SI</v>
      </c>
      <c r="J114" s="1425">
        <f>'PLAN INDICATIVO'!J114</f>
        <v>0</v>
      </c>
      <c r="K114" s="1425" t="str">
        <f>'PLAN INDICATIVO'!K114</f>
        <v>A.7.2.1</v>
      </c>
      <c r="L114" s="1425" t="str">
        <f>'PLAN INDICATIVO'!L114</f>
        <v>11. Ciudades y comunidades sostenibles</v>
      </c>
      <c r="M114" s="1425" t="str">
        <f>'PLAN INDICATIVO'!M114</f>
        <v>departamento Municipal de Planeación</v>
      </c>
      <c r="N114" s="1513" t="s">
        <v>5123</v>
      </c>
      <c r="O114" s="1425" t="str">
        <f>'PLAN INDICATIVO'!O114</f>
        <v>Incremento</v>
      </c>
      <c r="P114" s="16" t="str">
        <f>'PLAN INDICATIVO'!P114</f>
        <v>Construir 485 viviendas VIS o VIP,  durante el cuatrienio</v>
      </c>
      <c r="Q114" s="302" t="str">
        <f>'PLAN INDICATIVO'!Q114</f>
        <v>No. De viviendas construidas</v>
      </c>
      <c r="R114" s="303">
        <f>'PLAN INDICATIVO'!R114</f>
        <v>2015</v>
      </c>
      <c r="S114" s="304">
        <v>0</v>
      </c>
      <c r="T114" s="677">
        <v>485</v>
      </c>
      <c r="U114" s="572">
        <v>61</v>
      </c>
      <c r="V114" s="572">
        <v>200000000</v>
      </c>
      <c r="W114" s="572">
        <v>75</v>
      </c>
      <c r="X114" s="687">
        <v>218500000</v>
      </c>
      <c r="Y114" s="572">
        <v>205</v>
      </c>
      <c r="Z114" s="687">
        <v>21000000</v>
      </c>
      <c r="AA114" s="1310">
        <v>380</v>
      </c>
      <c r="AB114" s="686">
        <v>25000000</v>
      </c>
      <c r="AC114" s="665"/>
      <c r="AD114" s="665">
        <f>7+45+23</f>
        <v>75</v>
      </c>
      <c r="AE114" s="665"/>
      <c r="AF114" s="665">
        <f>150+29</f>
        <v>179</v>
      </c>
      <c r="AG114" s="306" t="s">
        <v>5139</v>
      </c>
      <c r="AH114" s="987">
        <v>2019413960030</v>
      </c>
      <c r="AI114" s="307" t="s">
        <v>4881</v>
      </c>
      <c r="AJ114" s="309">
        <v>43511</v>
      </c>
      <c r="AK114" s="309">
        <v>43814</v>
      </c>
      <c r="AL114" s="308"/>
      <c r="AM114" s="308"/>
      <c r="AN114" s="267" t="s">
        <v>2600</v>
      </c>
      <c r="AO114" s="507"/>
      <c r="AP114" s="525"/>
      <c r="AQ114" s="310"/>
      <c r="AR114" s="310"/>
      <c r="AS114" s="310"/>
      <c r="AT114" s="310"/>
      <c r="AU114" s="310"/>
      <c r="AV114" s="310"/>
      <c r="AW114" s="544"/>
      <c r="AX114" s="525"/>
      <c r="AY114" s="310"/>
      <c r="AZ114" s="310"/>
      <c r="BA114" s="310"/>
      <c r="BB114" s="310"/>
      <c r="BC114" s="310"/>
      <c r="BD114" s="310"/>
      <c r="BE114" s="544"/>
      <c r="BF114" s="525"/>
      <c r="BG114" s="310"/>
      <c r="BH114" s="310"/>
      <c r="BI114" s="310"/>
      <c r="BJ114" s="310"/>
      <c r="BK114" s="310"/>
      <c r="BL114" s="310"/>
      <c r="BM114" s="544">
        <f t="shared" si="43"/>
        <v>0</v>
      </c>
      <c r="BN114" s="525"/>
      <c r="BO114" s="310"/>
      <c r="BP114" s="310"/>
      <c r="BQ114" s="310"/>
      <c r="BR114" s="310"/>
      <c r="BS114" s="310"/>
      <c r="BT114" s="310"/>
      <c r="BU114" s="544"/>
      <c r="BV114" s="556"/>
      <c r="BW114" s="663">
        <f t="shared" si="29"/>
        <v>254</v>
      </c>
      <c r="BX114" s="1047">
        <f t="shared" si="30"/>
        <v>0.52371134020618559</v>
      </c>
      <c r="BY114" s="1047">
        <f>IF(U114&gt;=0.1,AC114/U114,IF(ISBLANK(U114),"No Programada","Aplazada"))</f>
        <v>0</v>
      </c>
      <c r="BZ114" s="1047">
        <f>IF(W114&gt;=0.1,AD114/W114,IF(ISBLANK(W114),"No Programada","Aplazada"))</f>
        <v>1</v>
      </c>
      <c r="CA114" s="1047">
        <f>IF(Y114&gt;=0.1,AE114/Y114,IF(ISBLANK(Y114),"No Programada","Aplazada"))</f>
        <v>0</v>
      </c>
      <c r="CB114" s="1047">
        <f>IF(AA114&gt;=0.1,AF114/AA114,IF(ISBLANK(AA114),"No Programada","Aplazada"))</f>
        <v>0.47105263157894739</v>
      </c>
      <c r="CD114" t="str">
        <f t="shared" ref="CD114:CG117" si="53">IF(BY114="PARA MODIFICAR","M",IF(BY114="PARA ELIMINAR","E",IF(BY114="aplazada","AZ",IF(BY114="no programada","NP",IF(BY114&gt;=85%,"VE",IF(BY114&gt;70%,"VEB",IF(BY114&gt;60%,"AM",IF(BY114&gt;40%,"AMB",IF(BY114&gt;20%,"RO",IF(BY114&gt;=0%,"ROB",""))))))))))</f>
        <v>ROB</v>
      </c>
      <c r="CE114" t="str">
        <f t="shared" si="53"/>
        <v>VE</v>
      </c>
      <c r="CF114" t="str">
        <f t="shared" si="53"/>
        <v>ROB</v>
      </c>
      <c r="CG114" t="str">
        <f t="shared" si="53"/>
        <v>AMB</v>
      </c>
    </row>
    <row r="115" spans="1:85" ht="82.5" hidden="1" customHeight="1" x14ac:dyDescent="0.25">
      <c r="A115" s="298" t="s">
        <v>346</v>
      </c>
      <c r="B115" s="299" t="str">
        <f>'PLAN INDICATIVO'!B115</f>
        <v>Vivienda</v>
      </c>
      <c r="C115" s="1547"/>
      <c r="D115" s="1549"/>
      <c r="E115" s="1549"/>
      <c r="F115" s="1549"/>
      <c r="G115" s="1549"/>
      <c r="H115" s="1549"/>
      <c r="I115" s="300">
        <f>'PLAN INDICATIVO'!I115</f>
        <v>0</v>
      </c>
      <c r="J115" s="300">
        <f>'PLAN INDICATIVO'!J115</f>
        <v>0</v>
      </c>
      <c r="K115" s="1425" t="str">
        <f>'PLAN INDICATIVO'!K115</f>
        <v>A.7.2.2</v>
      </c>
      <c r="L115" s="1425" t="str">
        <f>'PLAN INDICATIVO'!L115</f>
        <v>11. Ciudades y comunidades sostenibles</v>
      </c>
      <c r="M115" s="1425" t="str">
        <f>'PLAN INDICATIVO'!M115</f>
        <v>departamento Municipal de Planeación</v>
      </c>
      <c r="N115" s="1513" t="s">
        <v>5123</v>
      </c>
      <c r="O115" s="1425" t="str">
        <f>'PLAN INDICATIVO'!O115</f>
        <v>Incremento</v>
      </c>
      <c r="P115" s="16" t="str">
        <f>'PLAN INDICATIVO'!P115</f>
        <v>Apoyar 4 asociaciones de vivienda  del municipio para gestión de vivienda nueva, durante el cuatrienio</v>
      </c>
      <c r="Q115" s="302" t="str">
        <f>'PLAN INDICATIVO'!Q115</f>
        <v>No. De apoyos realizados</v>
      </c>
      <c r="R115" s="303">
        <f>'PLAN INDICATIVO'!R115</f>
        <v>2015</v>
      </c>
      <c r="S115" s="304">
        <v>0</v>
      </c>
      <c r="T115" s="677">
        <v>4</v>
      </c>
      <c r="U115" s="572">
        <v>2</v>
      </c>
      <c r="V115" s="572">
        <v>7000000</v>
      </c>
      <c r="W115" s="572">
        <v>2</v>
      </c>
      <c r="X115" s="687">
        <v>500000</v>
      </c>
      <c r="Y115" s="572">
        <v>1</v>
      </c>
      <c r="Z115" s="687"/>
      <c r="AA115" s="1310">
        <v>1</v>
      </c>
      <c r="AB115" s="686"/>
      <c r="AC115" s="665"/>
      <c r="AD115" s="665">
        <v>3</v>
      </c>
      <c r="AE115" s="665"/>
      <c r="AF115" s="665">
        <v>1</v>
      </c>
      <c r="AG115" s="306" t="s">
        <v>5139</v>
      </c>
      <c r="AH115" s="987">
        <v>2019413960030</v>
      </c>
      <c r="AI115" s="307" t="s">
        <v>4883</v>
      </c>
      <c r="AJ115" s="309">
        <v>43511</v>
      </c>
      <c r="AK115" s="309">
        <v>43799</v>
      </c>
      <c r="AL115" s="308"/>
      <c r="AM115" s="308"/>
      <c r="AN115" s="267" t="s">
        <v>2600</v>
      </c>
      <c r="AO115" s="507" t="s">
        <v>4964</v>
      </c>
      <c r="AP115" s="525"/>
      <c r="AQ115" s="310"/>
      <c r="AR115" s="310"/>
      <c r="AS115" s="310"/>
      <c r="AT115" s="310"/>
      <c r="AU115" s="310"/>
      <c r="AV115" s="310"/>
      <c r="AW115" s="544"/>
      <c r="AX115" s="525"/>
      <c r="AY115" s="310"/>
      <c r="AZ115" s="310"/>
      <c r="BA115" s="310"/>
      <c r="BB115" s="310"/>
      <c r="BC115" s="310"/>
      <c r="BD115" s="310"/>
      <c r="BE115" s="544"/>
      <c r="BF115" s="525"/>
      <c r="BG115" s="310"/>
      <c r="BH115" s="310"/>
      <c r="BI115" s="310"/>
      <c r="BJ115" s="310"/>
      <c r="BK115" s="310"/>
      <c r="BL115" s="310"/>
      <c r="BM115" s="544">
        <f t="shared" si="43"/>
        <v>0</v>
      </c>
      <c r="BN115" s="525"/>
      <c r="BO115" s="310"/>
      <c r="BP115" s="310"/>
      <c r="BQ115" s="310"/>
      <c r="BR115" s="310"/>
      <c r="BS115" s="310"/>
      <c r="BT115" s="310"/>
      <c r="BU115" s="544"/>
      <c r="BV115" s="556"/>
      <c r="BW115" s="663">
        <f t="shared" si="29"/>
        <v>4</v>
      </c>
      <c r="BX115" s="1047">
        <f t="shared" si="30"/>
        <v>1</v>
      </c>
      <c r="BY115" s="1047">
        <f>IF(U115&gt;=0.1,AC115/U115,IF(ISBLANK(U115),"No Programada","Aplazada"))</f>
        <v>0</v>
      </c>
      <c r="BZ115" s="1047">
        <f>IF(W115&gt;=0.1,AD115/W115,IF(ISBLANK(W115),"No Programada","Aplazada"))</f>
        <v>1.5</v>
      </c>
      <c r="CA115" s="1047">
        <f>IF(Y115&gt;=0.1,AE115/Y115,IF(ISBLANK(Y115),"No Programada","Aplazada"))</f>
        <v>0</v>
      </c>
      <c r="CB115" s="1047">
        <f>IF(AA115&gt;=0.1,AF115/AA115,IF(ISBLANK(AA115),"No Programada","Aplazada"))</f>
        <v>1</v>
      </c>
      <c r="CD115" t="str">
        <f t="shared" si="53"/>
        <v>ROB</v>
      </c>
      <c r="CE115" t="str">
        <f t="shared" si="53"/>
        <v>VE</v>
      </c>
      <c r="CF115" t="str">
        <f t="shared" si="53"/>
        <v>ROB</v>
      </c>
      <c r="CG115" t="str">
        <f t="shared" si="53"/>
        <v>VE</v>
      </c>
    </row>
    <row r="116" spans="1:85" ht="78.75" customHeight="1" thickBot="1" x14ac:dyDescent="0.35">
      <c r="A116" s="298" t="s">
        <v>346</v>
      </c>
      <c r="B116" s="299" t="str">
        <f>'PLAN INDICATIVO'!B116</f>
        <v>Vivienda</v>
      </c>
      <c r="C116" s="1547"/>
      <c r="D116" s="1549"/>
      <c r="E116" s="1549"/>
      <c r="F116" s="1549"/>
      <c r="G116" s="1549"/>
      <c r="H116" s="1549"/>
      <c r="I116" s="300">
        <f>'PLAN INDICATIVO'!I116</f>
        <v>0</v>
      </c>
      <c r="J116" s="300">
        <f>'PLAN INDICATIVO'!J116</f>
        <v>0</v>
      </c>
      <c r="K116" s="1425" t="str">
        <f>'PLAN INDICATIVO'!K116</f>
        <v>A.7.2.3</v>
      </c>
      <c r="L116" s="1425" t="str">
        <f>'PLAN INDICATIVO'!L116</f>
        <v>11. Ciudades y comunidades sostenibles</v>
      </c>
      <c r="M116" s="1425" t="str">
        <f>'PLAN INDICATIVO'!M116</f>
        <v>departamento Municipal de Planeación</v>
      </c>
      <c r="N116" s="1513" t="s">
        <v>5123</v>
      </c>
      <c r="O116" s="1425" t="str">
        <f>'PLAN INDICATIVO'!O116</f>
        <v>Incremento</v>
      </c>
      <c r="P116" s="16" t="str">
        <f>'PLAN INDICATIVO'!P116</f>
        <v>Reubicar 50 familias localizadas en zonas de alto riesgo durante el cuatrienio</v>
      </c>
      <c r="Q116" s="302" t="str">
        <f>'PLAN INDICATIVO'!Q116</f>
        <v>No. De familias reubicadas</v>
      </c>
      <c r="R116" s="303">
        <f>'PLAN INDICATIVO'!R116</f>
        <v>2015</v>
      </c>
      <c r="S116" s="304">
        <v>0</v>
      </c>
      <c r="T116" s="677">
        <v>50</v>
      </c>
      <c r="U116" s="572"/>
      <c r="V116" s="572"/>
      <c r="W116" s="572"/>
      <c r="X116" s="687"/>
      <c r="Y116" s="964"/>
      <c r="Z116" s="687"/>
      <c r="AA116" s="1310"/>
      <c r="AB116" s="686">
        <v>2000000</v>
      </c>
      <c r="AC116" s="665"/>
      <c r="AD116" s="665"/>
      <c r="AE116" s="665"/>
      <c r="AF116" s="665"/>
      <c r="AG116" s="306" t="s">
        <v>5139</v>
      </c>
      <c r="AH116" s="987">
        <v>2019413960030</v>
      </c>
      <c r="AI116" s="307"/>
      <c r="AJ116" s="309"/>
      <c r="AK116" s="309"/>
      <c r="AL116" s="308"/>
      <c r="AM116" s="308"/>
      <c r="AN116" s="267" t="s">
        <v>2594</v>
      </c>
      <c r="AO116" s="507"/>
      <c r="AP116" s="525"/>
      <c r="AQ116" s="310"/>
      <c r="AR116" s="310"/>
      <c r="AS116" s="310"/>
      <c r="AT116" s="310"/>
      <c r="AU116" s="310"/>
      <c r="AV116" s="310"/>
      <c r="AW116" s="544"/>
      <c r="AX116" s="525"/>
      <c r="AY116" s="310"/>
      <c r="AZ116" s="310"/>
      <c r="BA116" s="310"/>
      <c r="BB116" s="310"/>
      <c r="BC116" s="310"/>
      <c r="BD116" s="310"/>
      <c r="BE116" s="544"/>
      <c r="BF116" s="525"/>
      <c r="BG116" s="310"/>
      <c r="BH116" s="310"/>
      <c r="BI116" s="310"/>
      <c r="BJ116" s="310"/>
      <c r="BK116" s="310"/>
      <c r="BL116" s="310"/>
      <c r="BM116" s="544">
        <f t="shared" si="43"/>
        <v>0</v>
      </c>
      <c r="BN116" s="525"/>
      <c r="BO116" s="310"/>
      <c r="BP116" s="310"/>
      <c r="BQ116" s="310"/>
      <c r="BR116" s="310"/>
      <c r="BS116" s="310"/>
      <c r="BT116" s="310"/>
      <c r="BU116" s="544"/>
      <c r="BV116" s="556"/>
      <c r="BW116" s="663">
        <f t="shared" si="29"/>
        <v>0</v>
      </c>
      <c r="BX116" s="1047">
        <f t="shared" si="30"/>
        <v>0</v>
      </c>
      <c r="BY116" s="1047" t="str">
        <f>IF(U116&gt;=0.1,AC116/U116,IF(ISBLANK(U116),"No Programada","Aplazada"))</f>
        <v>No Programada</v>
      </c>
      <c r="BZ116" s="1047" t="str">
        <f>IF(W116&gt;=0.1,AD116/W116,IF(ISBLANK(W116),"No Programada","Aplazada"))</f>
        <v>No Programada</v>
      </c>
      <c r="CA116" s="1047" t="str">
        <f>IF(Y116&gt;=0.1,AE116/Y116,IF(ISBLANK(Y116),"No Programada","Aplazada"))</f>
        <v>No Programada</v>
      </c>
      <c r="CB116" s="1047" t="str">
        <f>IF(AA116&gt;=0.1,AF116/AA116,IF(ISBLANK(AA116),"No Programada","Aplazada"))</f>
        <v>No Programada</v>
      </c>
      <c r="CD116" t="str">
        <f t="shared" si="53"/>
        <v>NP</v>
      </c>
      <c r="CE116" t="str">
        <f t="shared" si="53"/>
        <v>NP</v>
      </c>
      <c r="CF116" t="str">
        <f t="shared" si="53"/>
        <v>NP</v>
      </c>
      <c r="CG116" t="str">
        <f t="shared" si="53"/>
        <v>NP</v>
      </c>
    </row>
    <row r="117" spans="1:85" ht="112.5" hidden="1" customHeight="1" thickBot="1" x14ac:dyDescent="0.3">
      <c r="A117" s="298" t="s">
        <v>346</v>
      </c>
      <c r="B117" s="299" t="str">
        <f>'PLAN INDICATIVO'!B117</f>
        <v>Vivienda</v>
      </c>
      <c r="C117" s="1548"/>
      <c r="D117" s="1549"/>
      <c r="E117" s="1549"/>
      <c r="F117" s="1549"/>
      <c r="G117" s="1549"/>
      <c r="H117" s="1549"/>
      <c r="I117" s="1425" t="str">
        <f>'PLAN INDICATIVO'!I117</f>
        <v>SI</v>
      </c>
      <c r="J117" s="1425">
        <f>'PLAN INDICATIVO'!J117</f>
        <v>0</v>
      </c>
      <c r="K117" s="1425" t="str">
        <f>'PLAN INDICATIVO'!K117</f>
        <v>A.7.2.4</v>
      </c>
      <c r="L117" s="1425" t="str">
        <f>'PLAN INDICATIVO'!L117</f>
        <v>11. Ciudades y comunidades sostenibles</v>
      </c>
      <c r="M117" s="1425" t="str">
        <f>'PLAN INDICATIVO'!M117</f>
        <v>departamento Municipal de Planeación</v>
      </c>
      <c r="N117" s="1425" t="str">
        <f>'PLAN INDICATIVO'!N117</f>
        <v>MAURICIO LEGARDA GONZALEZ</v>
      </c>
      <c r="O117" s="1425" t="str">
        <f>'PLAN INDICATIVO'!O117</f>
        <v>Incremento</v>
      </c>
      <c r="P117" s="16" t="str">
        <f>'PLAN INDICATIVO'!P117</f>
        <v>Adquirir 2 hectáreas de terreno o habilitar este mismo número de hectáreas con servicios públicos, durante el cuatrienio</v>
      </c>
      <c r="Q117" s="302" t="str">
        <f>'PLAN INDICATIVO'!Q117</f>
        <v>No. De Has. De terreno habilitados</v>
      </c>
      <c r="R117" s="303">
        <f>'PLAN INDICATIVO'!R117</f>
        <v>2015</v>
      </c>
      <c r="S117" s="304">
        <v>0</v>
      </c>
      <c r="T117" s="677">
        <v>2</v>
      </c>
      <c r="U117" s="303">
        <v>2</v>
      </c>
      <c r="V117" s="687"/>
      <c r="W117" s="572"/>
      <c r="X117" s="687">
        <v>300000000</v>
      </c>
      <c r="Y117" s="964"/>
      <c r="Z117" s="687"/>
      <c r="AA117" s="1310"/>
      <c r="AB117" s="686"/>
      <c r="AC117" s="665">
        <v>3</v>
      </c>
      <c r="AD117" s="665"/>
      <c r="AE117" s="665"/>
      <c r="AF117" s="665"/>
      <c r="AG117" s="306" t="s">
        <v>4743</v>
      </c>
      <c r="AH117" s="987">
        <v>2018413960027</v>
      </c>
      <c r="AI117" s="307"/>
      <c r="AJ117" s="309"/>
      <c r="AK117" s="309"/>
      <c r="AL117" s="308"/>
      <c r="AM117" s="308"/>
      <c r="AN117" s="501" t="s">
        <v>2594</v>
      </c>
      <c r="AO117" s="507"/>
      <c r="AP117" s="525"/>
      <c r="AQ117" s="310"/>
      <c r="AR117" s="310"/>
      <c r="AS117" s="310"/>
      <c r="AT117" s="310"/>
      <c r="AU117" s="310"/>
      <c r="AV117" s="310"/>
      <c r="AW117" s="544"/>
      <c r="AX117" s="525"/>
      <c r="AY117" s="310"/>
      <c r="AZ117" s="310"/>
      <c r="BA117" s="310"/>
      <c r="BB117" s="310"/>
      <c r="BC117" s="310"/>
      <c r="BD117" s="310"/>
      <c r="BE117" s="544"/>
      <c r="BF117" s="525"/>
      <c r="BG117" s="310"/>
      <c r="BH117" s="310"/>
      <c r="BI117" s="310"/>
      <c r="BJ117" s="310"/>
      <c r="BK117" s="310"/>
      <c r="BL117" s="310"/>
      <c r="BM117" s="544">
        <f t="shared" si="43"/>
        <v>0</v>
      </c>
      <c r="BN117" s="525"/>
      <c r="BO117" s="310"/>
      <c r="BP117" s="310"/>
      <c r="BQ117" s="310"/>
      <c r="BR117" s="310"/>
      <c r="BS117" s="310"/>
      <c r="BT117" s="310"/>
      <c r="BU117" s="544"/>
      <c r="BV117" s="556"/>
      <c r="BW117" s="663">
        <f t="shared" si="29"/>
        <v>3</v>
      </c>
      <c r="BX117" s="1047">
        <f t="shared" si="30"/>
        <v>1.5</v>
      </c>
      <c r="BY117" s="1047">
        <f>IF(U117&gt;=0.1,AC117/U117,IF(ISBLANK(U117),"No Programada","Aplazada"))</f>
        <v>1.5</v>
      </c>
      <c r="BZ117" s="1047" t="str">
        <f>IF(W117&gt;=0.1,AD117/W117,IF(ISBLANK(W117),"No Programada","Aplazada"))</f>
        <v>No Programada</v>
      </c>
      <c r="CA117" s="1047" t="str">
        <f>IF(Y117&gt;=0.1,AE117/Y117,IF(ISBLANK(Y117),"No Programada","Aplazada"))</f>
        <v>No Programada</v>
      </c>
      <c r="CB117" s="1047" t="str">
        <f>IF(AA117&gt;=0.1,AF117/AA117,IF(ISBLANK(AA117),"No Programada","Aplazada"))</f>
        <v>No Programada</v>
      </c>
      <c r="CD117" t="str">
        <f t="shared" si="53"/>
        <v>VE</v>
      </c>
      <c r="CE117" t="str">
        <f t="shared" si="53"/>
        <v>NP</v>
      </c>
      <c r="CF117" t="str">
        <f t="shared" si="53"/>
        <v>NP</v>
      </c>
      <c r="CG117" t="str">
        <f t="shared" si="53"/>
        <v>NP</v>
      </c>
    </row>
    <row r="118" spans="1:85" ht="20.25" customHeight="1" thickBot="1" x14ac:dyDescent="0.35">
      <c r="A118" s="1608" t="s">
        <v>2703</v>
      </c>
      <c r="B118" s="1609"/>
      <c r="C118" s="1609"/>
      <c r="D118" s="1609"/>
      <c r="E118" s="1609"/>
      <c r="F118" s="1609"/>
      <c r="G118" s="1609"/>
      <c r="H118" s="1609"/>
      <c r="I118" s="1609"/>
      <c r="J118" s="1609"/>
      <c r="K118" s="1609"/>
      <c r="L118" s="1609"/>
      <c r="M118" s="1609"/>
      <c r="N118" s="1609"/>
      <c r="O118" s="1609"/>
      <c r="P118" s="1609"/>
      <c r="Q118" s="1609"/>
      <c r="R118" s="1609"/>
      <c r="S118" s="1609"/>
      <c r="T118" s="1609"/>
      <c r="U118" s="1609"/>
      <c r="V118" s="1609"/>
      <c r="W118" s="1609"/>
      <c r="X118" s="1609"/>
      <c r="Y118" s="1609"/>
      <c r="Z118" s="1609"/>
      <c r="AA118" s="1609"/>
      <c r="AB118" s="1609"/>
      <c r="AC118" s="1609"/>
      <c r="AD118" s="1609"/>
      <c r="AE118" s="1609"/>
      <c r="AF118" s="1609"/>
      <c r="AG118" s="1609"/>
      <c r="AH118" s="1609"/>
      <c r="AI118" s="1609"/>
      <c r="AJ118" s="1609"/>
      <c r="AK118" s="1609"/>
      <c r="AL118" s="1609"/>
      <c r="AM118" s="1610"/>
      <c r="AN118" s="260"/>
      <c r="AO118" s="506"/>
      <c r="AP118" s="524"/>
      <c r="AQ118" s="374"/>
      <c r="AR118" s="374"/>
      <c r="AS118" s="374"/>
      <c r="AT118" s="374"/>
      <c r="AU118" s="374"/>
      <c r="AV118" s="374"/>
      <c r="AW118" s="544"/>
      <c r="AX118" s="524"/>
      <c r="AY118" s="374"/>
      <c r="AZ118" s="374"/>
      <c r="BA118" s="374"/>
      <c r="BB118" s="374"/>
      <c r="BC118" s="374"/>
      <c r="BD118" s="374"/>
      <c r="BE118" s="544"/>
      <c r="BF118" s="524"/>
      <c r="BG118" s="374"/>
      <c r="BH118" s="374"/>
      <c r="BI118" s="374"/>
      <c r="BJ118" s="374"/>
      <c r="BK118" s="374"/>
      <c r="BL118" s="374"/>
      <c r="BM118" s="544">
        <f t="shared" si="43"/>
        <v>0</v>
      </c>
      <c r="BN118" s="524"/>
      <c r="BO118" s="374"/>
      <c r="BP118" s="374"/>
      <c r="BQ118" s="374"/>
      <c r="BR118" s="374"/>
      <c r="BS118" s="374"/>
      <c r="BT118" s="374"/>
      <c r="BU118" s="544"/>
      <c r="BV118" s="556"/>
      <c r="BW118" s="663">
        <f t="shared" si="29"/>
        <v>0</v>
      </c>
      <c r="BX118" s="1047" t="s">
        <v>2717</v>
      </c>
      <c r="BY118" s="1047" t="s">
        <v>2717</v>
      </c>
      <c r="BZ118" s="1047" t="s">
        <v>2717</v>
      </c>
      <c r="CA118" s="1047" t="s">
        <v>2717</v>
      </c>
      <c r="CB118" s="1047" t="s">
        <v>2717</v>
      </c>
    </row>
    <row r="119" spans="1:85" ht="15.75" customHeight="1" x14ac:dyDescent="0.3">
      <c r="A119" s="296"/>
      <c r="B119" s="24" t="str">
        <f>'PLAN INDICATIVO'!B119</f>
        <v>APSB</v>
      </c>
      <c r="C119" s="1592" t="s">
        <v>385</v>
      </c>
      <c r="D119" s="1593"/>
      <c r="E119" s="1593"/>
      <c r="F119" s="1593"/>
      <c r="G119" s="1593"/>
      <c r="H119" s="1593"/>
      <c r="I119" s="1593"/>
      <c r="J119" s="1593"/>
      <c r="K119" s="1593"/>
      <c r="L119" s="1593"/>
      <c r="M119" s="1593"/>
      <c r="N119" s="1593"/>
      <c r="O119" s="1594"/>
      <c r="P119" s="22"/>
      <c r="Q119" s="22"/>
      <c r="R119" s="1"/>
      <c r="S119" s="261"/>
      <c r="T119" s="681"/>
      <c r="U119" s="691"/>
      <c r="V119" s="693">
        <f>V120+V121+V122+V123+V123+V124+V125+V126+V127+V128+V129+V130+V131+V132+V133</f>
        <v>923980000</v>
      </c>
      <c r="W119" s="691"/>
      <c r="X119" s="693">
        <f>X121+X122+X123+X124+X125+X126+X127+X128+X129+X130+X131+X132+X133</f>
        <v>1221730000</v>
      </c>
      <c r="Y119" s="691"/>
      <c r="Z119" s="693">
        <f>SUM(Z120:Z133)</f>
        <v>1403070000</v>
      </c>
      <c r="AA119" s="692"/>
      <c r="AB119" s="694">
        <f>SUM(AB120:AB133)</f>
        <v>888127058</v>
      </c>
      <c r="AC119" s="262"/>
      <c r="AD119" s="262"/>
      <c r="AE119" s="262"/>
      <c r="AF119" s="262"/>
      <c r="AG119" s="263"/>
      <c r="AH119" s="263"/>
      <c r="AI119" s="263"/>
      <c r="AJ119" s="262"/>
      <c r="AK119" s="262"/>
      <c r="AL119" s="262"/>
      <c r="AM119" s="262"/>
      <c r="AN119" s="262"/>
      <c r="AO119" s="612"/>
      <c r="AP119" s="616"/>
      <c r="AQ119" s="616"/>
      <c r="AR119" s="616"/>
      <c r="AS119" s="616"/>
      <c r="AT119" s="616"/>
      <c r="AU119" s="616"/>
      <c r="AV119" s="616"/>
      <c r="AW119" s="617"/>
      <c r="AX119" s="616"/>
      <c r="AY119" s="616"/>
      <c r="AZ119" s="616"/>
      <c r="BA119" s="616"/>
      <c r="BB119" s="616"/>
      <c r="BC119" s="616"/>
      <c r="BD119" s="616"/>
      <c r="BE119" s="617"/>
      <c r="BF119" s="616"/>
      <c r="BG119" s="616"/>
      <c r="BH119" s="616"/>
      <c r="BI119" s="616"/>
      <c r="BJ119" s="616"/>
      <c r="BK119" s="616"/>
      <c r="BL119" s="616"/>
      <c r="BM119" s="617">
        <f t="shared" si="43"/>
        <v>0</v>
      </c>
      <c r="BN119" s="616"/>
      <c r="BO119" s="616"/>
      <c r="BP119" s="616"/>
      <c r="BQ119" s="616"/>
      <c r="BR119" s="616"/>
      <c r="BS119" s="616"/>
      <c r="BT119" s="616"/>
      <c r="BU119" s="617"/>
      <c r="BV119" s="556"/>
      <c r="BW119" s="663">
        <f t="shared" si="29"/>
        <v>0</v>
      </c>
      <c r="BX119" s="617" t="s">
        <v>2717</v>
      </c>
      <c r="BY119" s="617" t="s">
        <v>2717</v>
      </c>
      <c r="BZ119" s="617" t="s">
        <v>2717</v>
      </c>
      <c r="CA119" s="617" t="s">
        <v>2717</v>
      </c>
      <c r="CB119" s="1047" t="s">
        <v>2717</v>
      </c>
    </row>
    <row r="120" spans="1:85" ht="100.5" hidden="1" customHeight="1" x14ac:dyDescent="0.25">
      <c r="A120" s="298" t="s">
        <v>386</v>
      </c>
      <c r="B120" s="299" t="str">
        <f>'PLAN INDICATIVO'!B120</f>
        <v>APSB</v>
      </c>
      <c r="C120" s="1546" t="s">
        <v>387</v>
      </c>
      <c r="D120" s="1549" t="s">
        <v>388</v>
      </c>
      <c r="E120" s="1549" t="s">
        <v>389</v>
      </c>
      <c r="F120" s="1559">
        <v>2005</v>
      </c>
      <c r="G120" s="1560">
        <v>0.65100000000000002</v>
      </c>
      <c r="H120" s="1561">
        <v>0.7</v>
      </c>
      <c r="I120" s="1425" t="str">
        <f>'PLAN INDICATIVO'!I120</f>
        <v>SI</v>
      </c>
      <c r="J120" s="1425">
        <f>'PLAN INDICATIVO'!J120</f>
        <v>0</v>
      </c>
      <c r="K120" s="1425" t="str">
        <f>'PLAN INDICATIVO'!K120</f>
        <v>A.3.1.1</v>
      </c>
      <c r="L120" s="1425" t="str">
        <f>'PLAN INDICATIVO'!L120</f>
        <v>6. Agua limplia y saneamiento</v>
      </c>
      <c r="M120" s="1425" t="str">
        <f>'PLAN INDICATIVO'!M120</f>
        <v>EMSERPLA</v>
      </c>
      <c r="N120" s="1425" t="s">
        <v>5124</v>
      </c>
      <c r="O120" s="1425" t="str">
        <f>'PLAN INDICATIVO'!O120</f>
        <v>Incremento</v>
      </c>
      <c r="P120" s="16" t="str">
        <f>'PLAN INDICATIVO'!P120</f>
        <v>Apoyar la implementación de 1 plan maestro de acueducto en la zona urbana durante el cuatrienio</v>
      </c>
      <c r="Q120" s="302" t="str">
        <f>'PLAN INDICATIVO'!Q120</f>
        <v>No. De planes maestros apoyados</v>
      </c>
      <c r="R120" s="303">
        <f>'PLAN INDICATIVO'!R120</f>
        <v>2015</v>
      </c>
      <c r="S120" s="304">
        <v>0</v>
      </c>
      <c r="T120" s="677">
        <v>1</v>
      </c>
      <c r="U120" s="844"/>
      <c r="V120" s="687">
        <v>0</v>
      </c>
      <c r="W120" s="304"/>
      <c r="X120" s="687"/>
      <c r="Y120" s="687">
        <v>1</v>
      </c>
      <c r="Z120" s="687"/>
      <c r="AA120" s="410">
        <v>0.6</v>
      </c>
      <c r="AB120" s="687"/>
      <c r="AC120" s="665"/>
      <c r="AD120" s="665"/>
      <c r="AE120" s="665">
        <v>0.4</v>
      </c>
      <c r="AF120" s="665">
        <v>1</v>
      </c>
      <c r="AG120" s="306" t="s">
        <v>5140</v>
      </c>
      <c r="AH120" s="987">
        <v>2019413960031</v>
      </c>
      <c r="AI120" s="307" t="s">
        <v>5042</v>
      </c>
      <c r="AJ120" s="309">
        <v>43497</v>
      </c>
      <c r="AK120" s="308"/>
      <c r="AL120" s="308"/>
      <c r="AM120" s="308"/>
      <c r="AN120" s="267" t="s">
        <v>2604</v>
      </c>
      <c r="AO120" s="507"/>
      <c r="AP120" s="729"/>
      <c r="AQ120" s="730"/>
      <c r="AR120" s="730"/>
      <c r="AS120" s="730"/>
      <c r="AT120" s="730"/>
      <c r="AU120" s="730"/>
      <c r="AV120" s="730"/>
      <c r="AW120" s="731"/>
      <c r="AX120" s="525"/>
      <c r="AY120" s="310"/>
      <c r="AZ120" s="310"/>
      <c r="BA120" s="310"/>
      <c r="BB120" s="310"/>
      <c r="BC120" s="310"/>
      <c r="BD120" s="310"/>
      <c r="BE120" s="544"/>
      <c r="BF120" s="525"/>
      <c r="BG120" s="310"/>
      <c r="BH120" s="310"/>
      <c r="BI120" s="310"/>
      <c r="BJ120" s="310"/>
      <c r="BK120" s="310"/>
      <c r="BL120" s="310"/>
      <c r="BM120" s="544">
        <f t="shared" si="43"/>
        <v>0</v>
      </c>
      <c r="BN120" s="525"/>
      <c r="BO120" s="310"/>
      <c r="BP120" s="310"/>
      <c r="BQ120" s="310"/>
      <c r="BR120" s="310"/>
      <c r="BS120" s="310"/>
      <c r="BT120" s="310"/>
      <c r="BU120" s="544"/>
      <c r="BV120" s="556"/>
      <c r="BW120" s="663">
        <f t="shared" si="29"/>
        <v>1.4</v>
      </c>
      <c r="BX120" s="1047">
        <f t="shared" si="30"/>
        <v>1.4</v>
      </c>
      <c r="BY120" s="1047" t="str">
        <f t="shared" ref="BY120:BY133" si="54">IF(U120&gt;=0.1,AC120/U120,IF(ISBLANK(U120),"No Programada","Aplazada"))</f>
        <v>No Programada</v>
      </c>
      <c r="BZ120" s="1047" t="str">
        <f t="shared" ref="BZ120:BZ133" si="55">IF(W120&gt;=0.1,AD120/W120,IF(ISBLANK(W120),"No Programada","Aplazada"))</f>
        <v>No Programada</v>
      </c>
      <c r="CA120" s="1047">
        <f t="shared" ref="CA120:CA133" si="56">IF(Y120&gt;=0.1,AE120/Y120,IF(ISBLANK(Y120),"No Programada","Aplazada"))</f>
        <v>0.4</v>
      </c>
      <c r="CB120" s="1047">
        <f t="shared" ref="CB120:CB133" si="57">IF(AA120&gt;=0.1,AF120/AA120,IF(ISBLANK(AA120),"No Programada","Aplazada"))</f>
        <v>1.6666666666666667</v>
      </c>
      <c r="CD120" t="str">
        <f t="shared" ref="CD120:CG133" si="58">IF(BY120="PARA MODIFICAR","M",IF(BY120="PARA ELIMINAR","E",IF(BY120="aplazada","AZ",IF(BY120="no programada","NP",IF(BY120&gt;=85%,"VE",IF(BY120&gt;70%,"VEB",IF(BY120&gt;60%,"AM",IF(BY120&gt;40%,"AMB",IF(BY120&gt;20%,"RO",IF(BY120&gt;=0%,"ROB",""))))))))))</f>
        <v>NP</v>
      </c>
      <c r="CE120" t="str">
        <f t="shared" si="58"/>
        <v>NP</v>
      </c>
      <c r="CF120" t="str">
        <f t="shared" si="58"/>
        <v>RO</v>
      </c>
      <c r="CG120" t="str">
        <f t="shared" si="58"/>
        <v>VE</v>
      </c>
    </row>
    <row r="121" spans="1:85" ht="73.5" customHeight="1" x14ac:dyDescent="0.3">
      <c r="A121" s="298" t="s">
        <v>386</v>
      </c>
      <c r="B121" s="299" t="str">
        <f>'PLAN INDICATIVO'!B121</f>
        <v>APSB</v>
      </c>
      <c r="C121" s="1547"/>
      <c r="D121" s="1549"/>
      <c r="E121" s="1549"/>
      <c r="F121" s="1559"/>
      <c r="G121" s="1560"/>
      <c r="H121" s="1561"/>
      <c r="I121" s="300">
        <f>'PLAN INDICATIVO'!I121</f>
        <v>0</v>
      </c>
      <c r="J121" s="300">
        <f>'PLAN INDICATIVO'!J121</f>
        <v>0</v>
      </c>
      <c r="K121" s="1425" t="str">
        <f>'PLAN INDICATIVO'!K121</f>
        <v>A.3.1.2</v>
      </c>
      <c r="L121" s="1425" t="str">
        <f>'PLAN INDICATIVO'!L121</f>
        <v>6. Agua limplia y saneamiento</v>
      </c>
      <c r="M121" s="1425" t="str">
        <f>'PLAN INDICATIVO'!M121</f>
        <v>EMSERPLA</v>
      </c>
      <c r="N121" s="1513" t="s">
        <v>5124</v>
      </c>
      <c r="O121" s="1425" t="str">
        <f>'PLAN INDICATIVO'!O121</f>
        <v>Mantenimiento</v>
      </c>
      <c r="P121" s="16" t="str">
        <f>'PLAN INDICATIVO'!P121</f>
        <v>Mantener 1 Sistema de acueducto urbano operando cada año</v>
      </c>
      <c r="Q121" s="302" t="str">
        <f>'PLAN INDICATIVO'!Q121</f>
        <v>No. De Sistemas de Acueducto operando cada año</v>
      </c>
      <c r="R121" s="303">
        <f>'PLAN INDICATIVO'!R121</f>
        <v>2015</v>
      </c>
      <c r="S121" s="304">
        <v>1</v>
      </c>
      <c r="T121" s="677">
        <v>1</v>
      </c>
      <c r="U121" s="304">
        <v>0.25</v>
      </c>
      <c r="V121" s="687">
        <v>19700000</v>
      </c>
      <c r="W121" s="304">
        <v>0.25</v>
      </c>
      <c r="X121" s="687">
        <v>19700000</v>
      </c>
      <c r="Y121" s="687">
        <v>0.25</v>
      </c>
      <c r="Z121" s="687">
        <v>20390000</v>
      </c>
      <c r="AA121" s="410">
        <v>0.25</v>
      </c>
      <c r="AB121" s="686">
        <v>32000000</v>
      </c>
      <c r="AC121" s="665"/>
      <c r="AD121" s="665">
        <v>0.25</v>
      </c>
      <c r="AE121" s="665">
        <v>0.25</v>
      </c>
      <c r="AF121" s="665">
        <v>0.25</v>
      </c>
      <c r="AG121" s="306" t="s">
        <v>5140</v>
      </c>
      <c r="AH121" s="987">
        <v>2019413960031</v>
      </c>
      <c r="AI121" s="307" t="s">
        <v>4843</v>
      </c>
      <c r="AJ121" s="309">
        <v>43497</v>
      </c>
      <c r="AK121" s="335">
        <v>43829</v>
      </c>
      <c r="AL121" s="308"/>
      <c r="AM121" s="308"/>
      <c r="AN121" s="267" t="s">
        <v>2598</v>
      </c>
      <c r="AO121" s="507"/>
      <c r="AP121" s="729"/>
      <c r="AQ121" s="730"/>
      <c r="AR121" s="730"/>
      <c r="AS121" s="730"/>
      <c r="AT121" s="730"/>
      <c r="AU121" s="730"/>
      <c r="AV121" s="730"/>
      <c r="AW121" s="736"/>
      <c r="AX121" s="525"/>
      <c r="AY121" s="310"/>
      <c r="AZ121" s="310"/>
      <c r="BA121" s="310"/>
      <c r="BB121" s="310"/>
      <c r="BC121" s="310"/>
      <c r="BD121" s="310"/>
      <c r="BE121" s="544"/>
      <c r="BF121" s="525"/>
      <c r="BG121" s="310"/>
      <c r="BH121" s="310"/>
      <c r="BI121" s="310"/>
      <c r="BJ121" s="310"/>
      <c r="BK121" s="310"/>
      <c r="BL121" s="310"/>
      <c r="BM121" s="544">
        <f t="shared" si="43"/>
        <v>0</v>
      </c>
      <c r="BN121" s="525"/>
      <c r="BO121" s="310"/>
      <c r="BP121" s="310"/>
      <c r="BQ121" s="310"/>
      <c r="BR121" s="310"/>
      <c r="BS121" s="310"/>
      <c r="BT121" s="310"/>
      <c r="BU121" s="544"/>
      <c r="BV121" s="556"/>
      <c r="BW121" s="663">
        <f t="shared" si="29"/>
        <v>0.75</v>
      </c>
      <c r="BX121" s="1047">
        <f t="shared" si="30"/>
        <v>0.75</v>
      </c>
      <c r="BY121" s="1047">
        <f t="shared" si="54"/>
        <v>0</v>
      </c>
      <c r="BZ121" s="1047">
        <f t="shared" si="55"/>
        <v>1</v>
      </c>
      <c r="CA121" s="1047">
        <f t="shared" si="56"/>
        <v>1</v>
      </c>
      <c r="CB121" s="1047">
        <f t="shared" si="57"/>
        <v>1</v>
      </c>
      <c r="CD121" t="str">
        <f t="shared" si="58"/>
        <v>ROB</v>
      </c>
      <c r="CE121" t="str">
        <f t="shared" si="58"/>
        <v>VE</v>
      </c>
      <c r="CF121" t="str">
        <f t="shared" si="58"/>
        <v>VE</v>
      </c>
      <c r="CG121" t="str">
        <f t="shared" si="58"/>
        <v>VE</v>
      </c>
    </row>
    <row r="122" spans="1:85" ht="84.75" hidden="1" customHeight="1" x14ac:dyDescent="0.25">
      <c r="A122" s="298" t="s">
        <v>386</v>
      </c>
      <c r="B122" s="299" t="str">
        <f>'PLAN INDICATIVO'!B122</f>
        <v>APSB</v>
      </c>
      <c r="C122" s="1547"/>
      <c r="D122" s="1549"/>
      <c r="E122" s="1549"/>
      <c r="F122" s="1559"/>
      <c r="G122" s="1560"/>
      <c r="H122" s="1561"/>
      <c r="I122" s="300">
        <f>'PLAN INDICATIVO'!I122</f>
        <v>0</v>
      </c>
      <c r="J122" s="300">
        <f>'PLAN INDICATIVO'!J122</f>
        <v>0</v>
      </c>
      <c r="K122" s="1425" t="str">
        <f>'PLAN INDICATIVO'!K122</f>
        <v>A.3.1.3</v>
      </c>
      <c r="L122" s="1425" t="str">
        <f>'PLAN INDICATIVO'!L122</f>
        <v>6. Agua limplia y saneamiento</v>
      </c>
      <c r="M122" s="1425" t="str">
        <f>'PLAN INDICATIVO'!M122</f>
        <v>EMSERPLA</v>
      </c>
      <c r="N122" s="1513" t="s">
        <v>5124</v>
      </c>
      <c r="O122" s="1425" t="str">
        <f>'PLAN INDICATIVO'!O122</f>
        <v>Incremento</v>
      </c>
      <c r="P122" s="16" t="str">
        <f>'PLAN INDICATIVO'!P122</f>
        <v>Presentar 1 Plan de uso eficiente y Ahorro del Agua (PUEA) para aprobación por parte de la CAM durante el cuatrienio.</v>
      </c>
      <c r="Q122" s="302" t="str">
        <f>'PLAN INDICATIVO'!Q122</f>
        <v xml:space="preserve">No. De PUEA presentados </v>
      </c>
      <c r="R122" s="303">
        <f>'PLAN INDICATIVO'!R122</f>
        <v>2015</v>
      </c>
      <c r="S122" s="304">
        <v>0</v>
      </c>
      <c r="T122" s="677">
        <v>1</v>
      </c>
      <c r="U122" s="304">
        <v>0.25</v>
      </c>
      <c r="V122" s="687">
        <v>1000000</v>
      </c>
      <c r="W122" s="304">
        <v>0.25</v>
      </c>
      <c r="X122" s="687">
        <v>1000000</v>
      </c>
      <c r="Y122" s="687">
        <v>0.25</v>
      </c>
      <c r="Z122" s="687"/>
      <c r="AA122" s="409">
        <v>0.25</v>
      </c>
      <c r="AB122" s="686"/>
      <c r="AC122" s="665"/>
      <c r="AD122" s="665">
        <v>0.25</v>
      </c>
      <c r="AE122" s="665">
        <v>0.25</v>
      </c>
      <c r="AF122" s="665">
        <v>0.25</v>
      </c>
      <c r="AG122" s="306" t="s">
        <v>5140</v>
      </c>
      <c r="AH122" s="987">
        <v>2019413960031</v>
      </c>
      <c r="AI122" s="336" t="s">
        <v>4872</v>
      </c>
      <c r="AJ122" s="309">
        <v>43497</v>
      </c>
      <c r="AK122" s="335">
        <v>43646</v>
      </c>
      <c r="AL122" s="337"/>
      <c r="AM122" s="337"/>
      <c r="AN122" s="267" t="s">
        <v>2598</v>
      </c>
      <c r="AO122" s="1501"/>
      <c r="AP122" s="732"/>
      <c r="AQ122" s="733"/>
      <c r="AR122" s="733"/>
      <c r="AS122" s="733"/>
      <c r="AT122" s="733"/>
      <c r="AU122" s="733"/>
      <c r="AV122" s="733"/>
      <c r="AW122" s="731"/>
      <c r="AX122" s="528"/>
      <c r="AY122" s="472"/>
      <c r="AZ122" s="472"/>
      <c r="BA122" s="472"/>
      <c r="BB122" s="472"/>
      <c r="BC122" s="472"/>
      <c r="BD122" s="472"/>
      <c r="BE122" s="544"/>
      <c r="BF122" s="528"/>
      <c r="BG122" s="472"/>
      <c r="BH122" s="472"/>
      <c r="BI122" s="472"/>
      <c r="BJ122" s="472"/>
      <c r="BK122" s="472"/>
      <c r="BL122" s="472"/>
      <c r="BM122" s="544">
        <f t="shared" si="43"/>
        <v>0</v>
      </c>
      <c r="BN122" s="528"/>
      <c r="BO122" s="472"/>
      <c r="BP122" s="472"/>
      <c r="BQ122" s="472"/>
      <c r="BR122" s="472"/>
      <c r="BS122" s="472"/>
      <c r="BT122" s="472"/>
      <c r="BU122" s="544"/>
      <c r="BV122" s="556"/>
      <c r="BW122" s="663">
        <f t="shared" si="29"/>
        <v>0.75</v>
      </c>
      <c r="BX122" s="1047">
        <f t="shared" si="30"/>
        <v>0.75</v>
      </c>
      <c r="BY122" s="1047">
        <f t="shared" si="54"/>
        <v>0</v>
      </c>
      <c r="BZ122" s="1047">
        <f t="shared" si="55"/>
        <v>1</v>
      </c>
      <c r="CA122" s="1047">
        <f t="shared" si="56"/>
        <v>1</v>
      </c>
      <c r="CB122" s="1047">
        <f t="shared" si="57"/>
        <v>1</v>
      </c>
      <c r="CD122" t="str">
        <f t="shared" si="58"/>
        <v>ROB</v>
      </c>
      <c r="CE122" t="str">
        <f t="shared" si="58"/>
        <v>VE</v>
      </c>
      <c r="CF122" t="str">
        <f t="shared" si="58"/>
        <v>VE</v>
      </c>
      <c r="CG122" t="str">
        <f t="shared" si="58"/>
        <v>VE</v>
      </c>
    </row>
    <row r="123" spans="1:85" ht="63.75" hidden="1" customHeight="1" x14ac:dyDescent="0.25">
      <c r="A123" s="298" t="s">
        <v>386</v>
      </c>
      <c r="B123" s="299" t="str">
        <f>'PLAN INDICATIVO'!B123</f>
        <v>APSB</v>
      </c>
      <c r="C123" s="1547"/>
      <c r="D123" s="1549"/>
      <c r="E123" s="1549"/>
      <c r="F123" s="1559"/>
      <c r="G123" s="1560"/>
      <c r="H123" s="1561"/>
      <c r="I123" s="1425" t="str">
        <f>'PLAN INDICATIVO'!I123</f>
        <v>SI</v>
      </c>
      <c r="J123" s="1425">
        <f>'PLAN INDICATIVO'!J123</f>
        <v>0</v>
      </c>
      <c r="K123" s="1425" t="str">
        <f>'PLAN INDICATIVO'!K123</f>
        <v>A.3.1.4</v>
      </c>
      <c r="L123" s="1425" t="str">
        <f>'PLAN INDICATIVO'!L123</f>
        <v>6. Agua limplia y saneamiento</v>
      </c>
      <c r="M123" s="1425" t="str">
        <f>'PLAN INDICATIVO'!M123</f>
        <v>EMSERPLA</v>
      </c>
      <c r="N123" s="1513" t="s">
        <v>5124</v>
      </c>
      <c r="O123" s="1425" t="str">
        <f>'PLAN INDICATIVO'!O123</f>
        <v>Incremento</v>
      </c>
      <c r="P123" s="16" t="str">
        <f>'PLAN INDICATIVO'!P123</f>
        <v>Apoyar 1 estudio y diseño para una fuente alterna de captación, durante el cuatrienio.</v>
      </c>
      <c r="Q123" s="302" t="str">
        <f>'PLAN INDICATIVO'!Q123</f>
        <v>No. De apoyos para estudios y diseños</v>
      </c>
      <c r="R123" s="303">
        <f>'PLAN INDICATIVO'!R123</f>
        <v>2015</v>
      </c>
      <c r="S123" s="304">
        <v>1</v>
      </c>
      <c r="T123" s="677">
        <v>1</v>
      </c>
      <c r="U123" s="844"/>
      <c r="V123" s="687">
        <v>0</v>
      </c>
      <c r="W123" s="304"/>
      <c r="X123" s="687"/>
      <c r="Y123" s="687"/>
      <c r="Z123" s="687">
        <v>99000000</v>
      </c>
      <c r="AA123" s="410"/>
      <c r="AB123" s="686"/>
      <c r="AC123" s="665"/>
      <c r="AD123" s="665">
        <v>1</v>
      </c>
      <c r="AE123" s="665"/>
      <c r="AF123" s="665"/>
      <c r="AG123" s="306" t="s">
        <v>5140</v>
      </c>
      <c r="AH123" s="987">
        <v>2019413960031</v>
      </c>
      <c r="AI123" s="307"/>
      <c r="AJ123" s="309"/>
      <c r="AK123" s="308"/>
      <c r="AL123" s="308"/>
      <c r="AM123" s="308"/>
      <c r="AN123" s="267" t="s">
        <v>2594</v>
      </c>
      <c r="AO123" s="507"/>
      <c r="AP123" s="729"/>
      <c r="AQ123" s="730"/>
      <c r="AR123" s="730"/>
      <c r="AS123" s="730"/>
      <c r="AT123" s="730"/>
      <c r="AU123" s="730"/>
      <c r="AV123" s="730"/>
      <c r="AW123" s="731"/>
      <c r="AX123" s="525"/>
      <c r="AY123" s="310"/>
      <c r="AZ123" s="310"/>
      <c r="BA123" s="310"/>
      <c r="BB123" s="310"/>
      <c r="BC123" s="310"/>
      <c r="BD123" s="310"/>
      <c r="BE123" s="544"/>
      <c r="BF123" s="525"/>
      <c r="BG123" s="310"/>
      <c r="BH123" s="310"/>
      <c r="BI123" s="310"/>
      <c r="BJ123" s="310"/>
      <c r="BK123" s="310"/>
      <c r="BL123" s="310"/>
      <c r="BM123" s="544">
        <f t="shared" si="43"/>
        <v>0</v>
      </c>
      <c r="BN123" s="525"/>
      <c r="BO123" s="310"/>
      <c r="BP123" s="310"/>
      <c r="BQ123" s="310"/>
      <c r="BR123" s="310"/>
      <c r="BS123" s="310"/>
      <c r="BT123" s="310"/>
      <c r="BU123" s="544"/>
      <c r="BV123" s="556"/>
      <c r="BW123" s="663">
        <f t="shared" si="29"/>
        <v>1</v>
      </c>
      <c r="BX123" s="1047">
        <f t="shared" si="30"/>
        <v>1</v>
      </c>
      <c r="BY123" s="1047" t="str">
        <f t="shared" si="54"/>
        <v>No Programada</v>
      </c>
      <c r="BZ123" s="1047" t="str">
        <f t="shared" si="55"/>
        <v>No Programada</v>
      </c>
      <c r="CA123" s="1047" t="str">
        <f t="shared" si="56"/>
        <v>No Programada</v>
      </c>
      <c r="CB123" s="1047" t="str">
        <f t="shared" si="57"/>
        <v>No Programada</v>
      </c>
      <c r="CD123" t="str">
        <f t="shared" si="58"/>
        <v>NP</v>
      </c>
      <c r="CE123" t="str">
        <f t="shared" si="58"/>
        <v>NP</v>
      </c>
      <c r="CF123" t="str">
        <f t="shared" si="58"/>
        <v>NP</v>
      </c>
      <c r="CG123" t="str">
        <f t="shared" si="58"/>
        <v>NP</v>
      </c>
    </row>
    <row r="124" spans="1:85" ht="69" customHeight="1" x14ac:dyDescent="0.3">
      <c r="A124" s="298" t="s">
        <v>386</v>
      </c>
      <c r="B124" s="299" t="str">
        <f>'PLAN INDICATIVO'!B124</f>
        <v>APSB</v>
      </c>
      <c r="C124" s="1547"/>
      <c r="D124" s="1549"/>
      <c r="E124" s="1549"/>
      <c r="F124" s="1559"/>
      <c r="G124" s="1560"/>
      <c r="H124" s="1561"/>
      <c r="I124" s="300">
        <f>'PLAN INDICATIVO'!I124</f>
        <v>0</v>
      </c>
      <c r="J124" s="300">
        <f>'PLAN INDICATIVO'!J124</f>
        <v>0</v>
      </c>
      <c r="K124" s="1425" t="str">
        <f>'PLAN INDICATIVO'!K124</f>
        <v>A.3.1.5</v>
      </c>
      <c r="L124" s="1425" t="str">
        <f>'PLAN INDICATIVO'!L124</f>
        <v>6. Agua limplia y saneamiento</v>
      </c>
      <c r="M124" s="1425" t="str">
        <f>'PLAN INDICATIVO'!M124</f>
        <v>EMSERPLA</v>
      </c>
      <c r="N124" s="1513" t="s">
        <v>5124</v>
      </c>
      <c r="O124" s="1425" t="str">
        <f>'PLAN INDICATIVO'!O124</f>
        <v>Incremento</v>
      </c>
      <c r="P124" s="16" t="str">
        <f>'PLAN INDICATIVO'!P124</f>
        <v>Construcción de 1900 ML de nueva Red de acueducto en el cuatrienio durante el cuatrienio.</v>
      </c>
      <c r="Q124" s="302" t="str">
        <f>'PLAN INDICATIVO'!Q124</f>
        <v>No. De metros lineales construidos.</v>
      </c>
      <c r="R124" s="303">
        <f>'PLAN INDICATIVO'!R124</f>
        <v>2015</v>
      </c>
      <c r="S124" s="304">
        <v>250</v>
      </c>
      <c r="T124" s="677">
        <v>1900</v>
      </c>
      <c r="U124" s="304">
        <v>250</v>
      </c>
      <c r="V124" s="687">
        <v>71930000</v>
      </c>
      <c r="W124" s="304">
        <v>250</v>
      </c>
      <c r="X124" s="687">
        <v>56930000</v>
      </c>
      <c r="Y124" s="687">
        <v>400</v>
      </c>
      <c r="Z124" s="687">
        <v>58920000</v>
      </c>
      <c r="AA124" s="410">
        <v>47</v>
      </c>
      <c r="AB124" s="686">
        <v>60980000</v>
      </c>
      <c r="AC124" s="665"/>
      <c r="AD124" s="665">
        <v>600</v>
      </c>
      <c r="AE124" s="665">
        <v>400</v>
      </c>
      <c r="AF124" s="665">
        <v>1300</v>
      </c>
      <c r="AG124" s="306" t="s">
        <v>5140</v>
      </c>
      <c r="AH124" s="987">
        <v>2019413960031</v>
      </c>
      <c r="AI124" s="307" t="s">
        <v>4844</v>
      </c>
      <c r="AJ124" s="309">
        <v>43497</v>
      </c>
      <c r="AK124" s="335">
        <v>43799</v>
      </c>
      <c r="AL124" s="335"/>
      <c r="AM124" s="335"/>
      <c r="AN124" s="267" t="s">
        <v>2598</v>
      </c>
      <c r="AO124" s="507"/>
      <c r="AP124" s="729"/>
      <c r="AQ124" s="730"/>
      <c r="AR124" s="730"/>
      <c r="AS124" s="730"/>
      <c r="AT124" s="730"/>
      <c r="AU124" s="730"/>
      <c r="AV124" s="730"/>
      <c r="AW124" s="731"/>
      <c r="AX124" s="525"/>
      <c r="AY124" s="310"/>
      <c r="AZ124" s="310"/>
      <c r="BA124" s="310"/>
      <c r="BB124" s="310"/>
      <c r="BC124" s="310"/>
      <c r="BD124" s="310"/>
      <c r="BE124" s="544"/>
      <c r="BF124" s="525"/>
      <c r="BG124" s="310"/>
      <c r="BH124" s="310"/>
      <c r="BI124" s="310"/>
      <c r="BJ124" s="310"/>
      <c r="BK124" s="310"/>
      <c r="BL124" s="310"/>
      <c r="BM124" s="544">
        <f t="shared" si="43"/>
        <v>0</v>
      </c>
      <c r="BN124" s="525"/>
      <c r="BO124" s="310"/>
      <c r="BP124" s="310"/>
      <c r="BQ124" s="310"/>
      <c r="BR124" s="310"/>
      <c r="BS124" s="310"/>
      <c r="BT124" s="310"/>
      <c r="BU124" s="544"/>
      <c r="BV124" s="556"/>
      <c r="BW124" s="663">
        <f t="shared" si="29"/>
        <v>2300</v>
      </c>
      <c r="BX124" s="1047">
        <f t="shared" si="30"/>
        <v>1.2105263157894737</v>
      </c>
      <c r="BY124" s="1047">
        <f t="shared" si="54"/>
        <v>0</v>
      </c>
      <c r="BZ124" s="1047">
        <f t="shared" si="55"/>
        <v>2.4</v>
      </c>
      <c r="CA124" s="1047">
        <f t="shared" si="56"/>
        <v>1</v>
      </c>
      <c r="CB124" s="1047">
        <f t="shared" si="57"/>
        <v>27.659574468085108</v>
      </c>
      <c r="CD124" t="str">
        <f t="shared" si="58"/>
        <v>ROB</v>
      </c>
      <c r="CE124" t="str">
        <f t="shared" si="58"/>
        <v>VE</v>
      </c>
      <c r="CF124" t="str">
        <f t="shared" si="58"/>
        <v>VE</v>
      </c>
      <c r="CG124" t="str">
        <f t="shared" si="58"/>
        <v>VE</v>
      </c>
    </row>
    <row r="125" spans="1:85" ht="74.25" customHeight="1" x14ac:dyDescent="0.3">
      <c r="A125" s="298" t="s">
        <v>386</v>
      </c>
      <c r="B125" s="299" t="str">
        <f>'PLAN INDICATIVO'!B125</f>
        <v>APSB</v>
      </c>
      <c r="C125" s="1547"/>
      <c r="D125" s="1549"/>
      <c r="E125" s="1549"/>
      <c r="F125" s="1559"/>
      <c r="G125" s="1560"/>
      <c r="H125" s="1561"/>
      <c r="I125" s="300">
        <f>'PLAN INDICATIVO'!I125</f>
        <v>0</v>
      </c>
      <c r="J125" s="300">
        <f>'PLAN INDICATIVO'!J125</f>
        <v>0</v>
      </c>
      <c r="K125" s="1425" t="str">
        <f>'PLAN INDICATIVO'!K125</f>
        <v>A.3.1.6</v>
      </c>
      <c r="L125" s="1425" t="str">
        <f>'PLAN INDICATIVO'!L125</f>
        <v>6. Agua limplia y saneamiento</v>
      </c>
      <c r="M125" s="1425" t="str">
        <f>'PLAN INDICATIVO'!M125</f>
        <v>EMSERPLA</v>
      </c>
      <c r="N125" s="1513" t="s">
        <v>5124</v>
      </c>
      <c r="O125" s="1425" t="str">
        <f>'PLAN INDICATIVO'!O125</f>
        <v>Mantenimiento</v>
      </c>
      <c r="P125" s="16" t="str">
        <f>'PLAN INDICATIVO'!P125</f>
        <v>Mantener el 100% de los subsidios de acueducto a la totalidad de usuarios  de estratos 1 y 2 durante el cuatrienio.</v>
      </c>
      <c r="Q125" s="302" t="str">
        <f>'PLAN INDICATIVO'!Q125</f>
        <v>Porcentaje de Subsidios entregados cada año</v>
      </c>
      <c r="R125" s="303">
        <f>'PLAN INDICATIVO'!R125</f>
        <v>2015</v>
      </c>
      <c r="S125" s="304">
        <v>100</v>
      </c>
      <c r="T125" s="677">
        <v>100</v>
      </c>
      <c r="U125" s="304">
        <v>100</v>
      </c>
      <c r="V125" s="687">
        <v>137550000</v>
      </c>
      <c r="W125" s="304">
        <v>100</v>
      </c>
      <c r="X125" s="687">
        <v>157320000</v>
      </c>
      <c r="Y125" s="687">
        <v>100</v>
      </c>
      <c r="Z125" s="687">
        <v>162830000</v>
      </c>
      <c r="AA125" s="410">
        <v>100</v>
      </c>
      <c r="AB125" s="686">
        <v>203013753</v>
      </c>
      <c r="AC125" s="665"/>
      <c r="AD125" s="665">
        <v>100</v>
      </c>
      <c r="AE125" s="665">
        <v>100</v>
      </c>
      <c r="AF125" s="665">
        <v>100</v>
      </c>
      <c r="AG125" s="306" t="s">
        <v>5140</v>
      </c>
      <c r="AH125" s="987">
        <v>2019413960031</v>
      </c>
      <c r="AI125" s="307" t="s">
        <v>4845</v>
      </c>
      <c r="AJ125" s="309">
        <v>43497</v>
      </c>
      <c r="AK125" s="335">
        <v>43799</v>
      </c>
      <c r="AL125" s="335"/>
      <c r="AM125" s="335"/>
      <c r="AN125" s="267" t="s">
        <v>2598</v>
      </c>
      <c r="AO125" s="507"/>
      <c r="AP125" s="729"/>
      <c r="AQ125" s="730"/>
      <c r="AR125" s="730"/>
      <c r="AS125" s="730"/>
      <c r="AT125" s="730"/>
      <c r="AU125" s="730"/>
      <c r="AV125" s="730"/>
      <c r="AW125" s="731"/>
      <c r="AX125" s="525"/>
      <c r="AY125" s="310"/>
      <c r="AZ125" s="310"/>
      <c r="BA125" s="310"/>
      <c r="BB125" s="310"/>
      <c r="BC125" s="310"/>
      <c r="BD125" s="310"/>
      <c r="BE125" s="544"/>
      <c r="BF125" s="525"/>
      <c r="BG125" s="310"/>
      <c r="BH125" s="310"/>
      <c r="BI125" s="310"/>
      <c r="BJ125" s="310"/>
      <c r="BK125" s="310"/>
      <c r="BL125" s="310"/>
      <c r="BM125" s="544">
        <f t="shared" si="43"/>
        <v>0</v>
      </c>
      <c r="BN125" s="525"/>
      <c r="BO125" s="310"/>
      <c r="BP125" s="310"/>
      <c r="BQ125" s="310"/>
      <c r="BR125" s="310"/>
      <c r="BS125" s="310"/>
      <c r="BT125" s="310"/>
      <c r="BU125" s="544"/>
      <c r="BV125" s="556"/>
      <c r="BW125" s="663">
        <f t="shared" si="29"/>
        <v>300</v>
      </c>
      <c r="BX125" s="1047">
        <f t="shared" si="30"/>
        <v>3</v>
      </c>
      <c r="BY125" s="1047">
        <f t="shared" si="54"/>
        <v>0</v>
      </c>
      <c r="BZ125" s="1047">
        <f t="shared" si="55"/>
        <v>1</v>
      </c>
      <c r="CA125" s="1047">
        <f t="shared" si="56"/>
        <v>1</v>
      </c>
      <c r="CB125" s="1047">
        <f t="shared" si="57"/>
        <v>1</v>
      </c>
      <c r="CD125" t="str">
        <f t="shared" si="58"/>
        <v>ROB</v>
      </c>
      <c r="CE125" t="str">
        <f t="shared" si="58"/>
        <v>VE</v>
      </c>
      <c r="CF125" t="str">
        <f t="shared" si="58"/>
        <v>VE</v>
      </c>
      <c r="CG125" t="str">
        <f t="shared" si="58"/>
        <v>VE</v>
      </c>
    </row>
    <row r="126" spans="1:85" ht="65.25" customHeight="1" x14ac:dyDescent="0.3">
      <c r="A126" s="298" t="s">
        <v>386</v>
      </c>
      <c r="B126" s="299" t="str">
        <f>'PLAN INDICATIVO'!B126</f>
        <v>APSB</v>
      </c>
      <c r="C126" s="1547"/>
      <c r="D126" s="1549"/>
      <c r="E126" s="1549"/>
      <c r="F126" s="1559"/>
      <c r="G126" s="1560"/>
      <c r="H126" s="1561"/>
      <c r="I126" s="300">
        <f>'PLAN INDICATIVO'!I126</f>
        <v>0</v>
      </c>
      <c r="J126" s="300">
        <f>'PLAN INDICATIVO'!J126</f>
        <v>0</v>
      </c>
      <c r="K126" s="1425" t="str">
        <f>'PLAN INDICATIVO'!K126</f>
        <v>A.3.1.7</v>
      </c>
      <c r="L126" s="1425" t="str">
        <f>'PLAN INDICATIVO'!L126</f>
        <v>6. Agua limplia y saneamiento</v>
      </c>
      <c r="M126" s="1425" t="str">
        <f>'PLAN INDICATIVO'!M126</f>
        <v>EMSERPLA</v>
      </c>
      <c r="N126" s="1513" t="s">
        <v>5124</v>
      </c>
      <c r="O126" s="1425" t="str">
        <f>'PLAN INDICATIVO'!O126</f>
        <v>Mantenimiento</v>
      </c>
      <c r="P126" s="16" t="str">
        <f>'PLAN INDICATIVO'!P126</f>
        <v>Realizar 2 campañas anuales  durante el cuatrienio para uso racional de agua</v>
      </c>
      <c r="Q126" s="302" t="str">
        <f>'PLAN INDICATIVO'!Q126</f>
        <v>No. De campañas realizadas por año</v>
      </c>
      <c r="R126" s="303">
        <f>'PLAN INDICATIVO'!R126</f>
        <v>2015</v>
      </c>
      <c r="S126" s="304">
        <v>1</v>
      </c>
      <c r="T126" s="677">
        <v>8</v>
      </c>
      <c r="U126" s="304">
        <v>2</v>
      </c>
      <c r="V126" s="687">
        <v>700000</v>
      </c>
      <c r="W126" s="304">
        <v>2</v>
      </c>
      <c r="X126" s="687">
        <v>10350000</v>
      </c>
      <c r="Y126" s="687">
        <v>2</v>
      </c>
      <c r="Z126" s="687">
        <v>10700000</v>
      </c>
      <c r="AA126" s="410">
        <v>2</v>
      </c>
      <c r="AB126" s="686">
        <v>1000000</v>
      </c>
      <c r="AC126" s="665"/>
      <c r="AD126" s="665">
        <v>2</v>
      </c>
      <c r="AE126" s="665">
        <v>2</v>
      </c>
      <c r="AF126" s="665">
        <v>2</v>
      </c>
      <c r="AG126" s="306" t="s">
        <v>5140</v>
      </c>
      <c r="AH126" s="987">
        <v>2019413960031</v>
      </c>
      <c r="AI126" s="340" t="s">
        <v>4846</v>
      </c>
      <c r="AJ126" s="309">
        <v>43497</v>
      </c>
      <c r="AK126" s="335">
        <v>43646</v>
      </c>
      <c r="AL126" s="335"/>
      <c r="AM126" s="335"/>
      <c r="AN126" s="1328" t="s">
        <v>2598</v>
      </c>
      <c r="AO126" s="507"/>
      <c r="AP126" s="729"/>
      <c r="AQ126" s="730"/>
      <c r="AR126" s="730"/>
      <c r="AS126" s="730"/>
      <c r="AT126" s="730"/>
      <c r="AU126" s="730"/>
      <c r="AV126" s="730"/>
      <c r="AW126" s="731"/>
      <c r="AX126" s="525"/>
      <c r="AY126" s="310"/>
      <c r="AZ126" s="310"/>
      <c r="BA126" s="310"/>
      <c r="BB126" s="310"/>
      <c r="BC126" s="310"/>
      <c r="BD126" s="310"/>
      <c r="BE126" s="544"/>
      <c r="BF126" s="525"/>
      <c r="BG126" s="310"/>
      <c r="BH126" s="310"/>
      <c r="BI126" s="310"/>
      <c r="BJ126" s="310"/>
      <c r="BK126" s="310"/>
      <c r="BL126" s="310"/>
      <c r="BM126" s="544">
        <f t="shared" si="43"/>
        <v>0</v>
      </c>
      <c r="BN126" s="525"/>
      <c r="BO126" s="310"/>
      <c r="BP126" s="310"/>
      <c r="BQ126" s="310"/>
      <c r="BR126" s="310"/>
      <c r="BS126" s="310"/>
      <c r="BT126" s="310"/>
      <c r="BU126" s="544"/>
      <c r="BV126" s="556"/>
      <c r="BW126" s="663">
        <f t="shared" si="29"/>
        <v>6</v>
      </c>
      <c r="BX126" s="1047">
        <f t="shared" si="30"/>
        <v>0.75</v>
      </c>
      <c r="BY126" s="1047">
        <f t="shared" si="54"/>
        <v>0</v>
      </c>
      <c r="BZ126" s="1047">
        <f t="shared" si="55"/>
        <v>1</v>
      </c>
      <c r="CA126" s="1047">
        <f t="shared" si="56"/>
        <v>1</v>
      </c>
      <c r="CB126" s="1047">
        <f t="shared" si="57"/>
        <v>1</v>
      </c>
      <c r="CD126" t="str">
        <f t="shared" si="58"/>
        <v>ROB</v>
      </c>
      <c r="CE126" t="str">
        <f t="shared" si="58"/>
        <v>VE</v>
      </c>
      <c r="CF126" t="str">
        <f t="shared" si="58"/>
        <v>VE</v>
      </c>
      <c r="CG126" t="str">
        <f t="shared" si="58"/>
        <v>VE</v>
      </c>
    </row>
    <row r="127" spans="1:85" ht="73.5" customHeight="1" x14ac:dyDescent="0.3">
      <c r="A127" s="298" t="s">
        <v>386</v>
      </c>
      <c r="B127" s="299" t="str">
        <f>'PLAN INDICATIVO'!B127</f>
        <v>APSB</v>
      </c>
      <c r="C127" s="1547"/>
      <c r="D127" s="1549"/>
      <c r="E127" s="1549"/>
      <c r="F127" s="1559"/>
      <c r="G127" s="1560"/>
      <c r="H127" s="1561"/>
      <c r="I127" s="300">
        <f>'PLAN INDICATIVO'!I127</f>
        <v>0</v>
      </c>
      <c r="J127" s="300">
        <f>'PLAN INDICATIVO'!J127</f>
        <v>0</v>
      </c>
      <c r="K127" s="1425" t="str">
        <f>'PLAN INDICATIVO'!K127</f>
        <v>A.3.1.8</v>
      </c>
      <c r="L127" s="1425" t="str">
        <f>'PLAN INDICATIVO'!L127</f>
        <v>6. Agua limplia y saneamiento</v>
      </c>
      <c r="M127" s="1425" t="str">
        <f>'PLAN INDICATIVO'!M127</f>
        <v>EMSERPLA</v>
      </c>
      <c r="N127" s="1513" t="s">
        <v>5124</v>
      </c>
      <c r="O127" s="1425" t="str">
        <f>'PLAN INDICATIVO'!O127</f>
        <v>Incremento</v>
      </c>
      <c r="P127" s="16" t="str">
        <f>'PLAN INDICATIVO'!P127</f>
        <v>Incrementar  los servicios públicos  a 1.200 nuevos usuarios en servicio de acueducto, durante el cuatrienio</v>
      </c>
      <c r="Q127" s="302" t="str">
        <f>'PLAN INDICATIVO'!Q127</f>
        <v>No. De nuevos usuarios</v>
      </c>
      <c r="R127" s="303">
        <f>'PLAN INDICATIVO'!R127</f>
        <v>2015</v>
      </c>
      <c r="S127" s="304">
        <v>287</v>
      </c>
      <c r="T127" s="677">
        <v>1200</v>
      </c>
      <c r="U127" s="304">
        <v>300</v>
      </c>
      <c r="V127" s="687">
        <v>10650000</v>
      </c>
      <c r="W127" s="304">
        <v>300</v>
      </c>
      <c r="X127" s="687">
        <v>1000000</v>
      </c>
      <c r="Y127" s="687">
        <v>266</v>
      </c>
      <c r="Z127" s="687">
        <v>1000000</v>
      </c>
      <c r="AA127" s="410">
        <v>225</v>
      </c>
      <c r="AB127" s="686">
        <v>30000000</v>
      </c>
      <c r="AC127" s="665"/>
      <c r="AD127" s="667">
        <v>315</v>
      </c>
      <c r="AE127" s="665">
        <v>306</v>
      </c>
      <c r="AF127" s="665">
        <v>249</v>
      </c>
      <c r="AG127" s="306" t="s">
        <v>5140</v>
      </c>
      <c r="AH127" s="987">
        <v>2019413960031</v>
      </c>
      <c r="AI127" s="307" t="s">
        <v>4744</v>
      </c>
      <c r="AJ127" s="309">
        <v>43497</v>
      </c>
      <c r="AK127" s="335">
        <v>43829</v>
      </c>
      <c r="AL127" s="335"/>
      <c r="AM127" s="335"/>
      <c r="AN127" s="267" t="s">
        <v>2598</v>
      </c>
      <c r="AO127" s="507"/>
      <c r="AP127" s="729"/>
      <c r="AQ127" s="730"/>
      <c r="AR127" s="730"/>
      <c r="AS127" s="730"/>
      <c r="AT127" s="730"/>
      <c r="AU127" s="730"/>
      <c r="AV127" s="730"/>
      <c r="AW127" s="731"/>
      <c r="AX127" s="525"/>
      <c r="AY127" s="310"/>
      <c r="AZ127" s="310"/>
      <c r="BA127" s="310"/>
      <c r="BB127" s="310"/>
      <c r="BC127" s="310"/>
      <c r="BD127" s="310"/>
      <c r="BE127" s="544"/>
      <c r="BF127" s="525"/>
      <c r="BG127" s="310"/>
      <c r="BH127" s="310"/>
      <c r="BI127" s="310"/>
      <c r="BJ127" s="310"/>
      <c r="BK127" s="310"/>
      <c r="BL127" s="310"/>
      <c r="BM127" s="544">
        <f t="shared" si="43"/>
        <v>0</v>
      </c>
      <c r="BN127" s="525"/>
      <c r="BO127" s="310"/>
      <c r="BP127" s="310"/>
      <c r="BQ127" s="310"/>
      <c r="BR127" s="310"/>
      <c r="BS127" s="310"/>
      <c r="BT127" s="310"/>
      <c r="BU127" s="544"/>
      <c r="BV127" s="556"/>
      <c r="BW127" s="663">
        <f t="shared" si="29"/>
        <v>870</v>
      </c>
      <c r="BX127" s="1047">
        <f t="shared" si="30"/>
        <v>0.72499999999999998</v>
      </c>
      <c r="BY127" s="1047">
        <f t="shared" si="54"/>
        <v>0</v>
      </c>
      <c r="BZ127" s="1047">
        <f t="shared" si="55"/>
        <v>1.05</v>
      </c>
      <c r="CA127" s="1047">
        <f t="shared" si="56"/>
        <v>1.1503759398496241</v>
      </c>
      <c r="CB127" s="1047">
        <f t="shared" si="57"/>
        <v>1.1066666666666667</v>
      </c>
      <c r="CD127" t="str">
        <f t="shared" si="58"/>
        <v>ROB</v>
      </c>
      <c r="CE127" t="str">
        <f t="shared" si="58"/>
        <v>VE</v>
      </c>
      <c r="CF127" t="str">
        <f t="shared" si="58"/>
        <v>VE</v>
      </c>
      <c r="CG127" t="str">
        <f t="shared" si="58"/>
        <v>VE</v>
      </c>
    </row>
    <row r="128" spans="1:85" ht="60" customHeight="1" x14ac:dyDescent="0.3">
      <c r="A128" s="298" t="s">
        <v>386</v>
      </c>
      <c r="B128" s="299" t="str">
        <f>'PLAN INDICATIVO'!B128</f>
        <v>APSB</v>
      </c>
      <c r="C128" s="1547"/>
      <c r="D128" s="1549"/>
      <c r="E128" s="1549"/>
      <c r="F128" s="1559"/>
      <c r="G128" s="1560"/>
      <c r="H128" s="1561"/>
      <c r="I128" s="300">
        <f>'PLAN INDICATIVO'!I128</f>
        <v>0</v>
      </c>
      <c r="J128" s="300">
        <f>'PLAN INDICATIVO'!J128</f>
        <v>0</v>
      </c>
      <c r="K128" s="1425" t="str">
        <f>'PLAN INDICATIVO'!K128</f>
        <v>A.3.1.9</v>
      </c>
      <c r="L128" s="1425" t="str">
        <f>'PLAN INDICATIVO'!L128</f>
        <v>6. Agua limplia y saneamiento</v>
      </c>
      <c r="M128" s="1425" t="str">
        <f>'PLAN INDICATIVO'!M128</f>
        <v>EMSERPLA</v>
      </c>
      <c r="N128" s="1513" t="s">
        <v>5124</v>
      </c>
      <c r="O128" s="1425" t="str">
        <f>'PLAN INDICATIVO'!O128</f>
        <v>Incremento</v>
      </c>
      <c r="P128" s="16" t="str">
        <f>'PLAN INDICATIVO'!P128</f>
        <v>Realizar 8 controles para disminuir las conexiones fraudulentas de domiciliarias de acueducto durante el cuatrienio</v>
      </c>
      <c r="Q128" s="302" t="str">
        <f>'PLAN INDICATIVO'!Q128</f>
        <v>No. De controles realizados</v>
      </c>
      <c r="R128" s="303">
        <f>'PLAN INDICATIVO'!R128</f>
        <v>2015</v>
      </c>
      <c r="S128" s="304">
        <v>0</v>
      </c>
      <c r="T128" s="677">
        <v>8</v>
      </c>
      <c r="U128" s="304">
        <v>2</v>
      </c>
      <c r="V128" s="687">
        <v>1000000</v>
      </c>
      <c r="W128" s="304">
        <v>2</v>
      </c>
      <c r="X128" s="687">
        <v>1000000</v>
      </c>
      <c r="Y128" s="687">
        <v>2</v>
      </c>
      <c r="Z128" s="687">
        <v>1000000</v>
      </c>
      <c r="AA128" s="410">
        <v>4</v>
      </c>
      <c r="AB128" s="686">
        <v>15000000</v>
      </c>
      <c r="AC128" s="665"/>
      <c r="AD128" s="665">
        <v>3</v>
      </c>
      <c r="AE128" s="665">
        <v>2</v>
      </c>
      <c r="AF128" s="665">
        <v>1</v>
      </c>
      <c r="AG128" s="306" t="s">
        <v>5140</v>
      </c>
      <c r="AH128" s="987">
        <v>2019413960031</v>
      </c>
      <c r="AI128" s="307" t="s">
        <v>4847</v>
      </c>
      <c r="AJ128" s="309">
        <v>43497</v>
      </c>
      <c r="AK128" s="335">
        <v>43829</v>
      </c>
      <c r="AL128" s="335"/>
      <c r="AM128" s="335"/>
      <c r="AN128" s="267" t="s">
        <v>2598</v>
      </c>
      <c r="AO128" s="507"/>
      <c r="AP128" s="729"/>
      <c r="AQ128" s="730"/>
      <c r="AR128" s="730"/>
      <c r="AS128" s="730"/>
      <c r="AT128" s="730"/>
      <c r="AU128" s="730"/>
      <c r="AV128" s="730"/>
      <c r="AW128" s="731"/>
      <c r="AX128" s="525"/>
      <c r="AY128" s="310"/>
      <c r="AZ128" s="310"/>
      <c r="BA128" s="310"/>
      <c r="BB128" s="310"/>
      <c r="BC128" s="310"/>
      <c r="BD128" s="310"/>
      <c r="BE128" s="544"/>
      <c r="BF128" s="525"/>
      <c r="BG128" s="310"/>
      <c r="BH128" s="310"/>
      <c r="BI128" s="310"/>
      <c r="BJ128" s="310"/>
      <c r="BK128" s="310"/>
      <c r="BL128" s="310"/>
      <c r="BM128" s="544">
        <f t="shared" si="43"/>
        <v>0</v>
      </c>
      <c r="BN128" s="525"/>
      <c r="BO128" s="310"/>
      <c r="BP128" s="310"/>
      <c r="BQ128" s="310"/>
      <c r="BR128" s="310"/>
      <c r="BS128" s="310"/>
      <c r="BT128" s="310"/>
      <c r="BU128" s="544"/>
      <c r="BV128" s="556"/>
      <c r="BW128" s="663">
        <f t="shared" si="29"/>
        <v>6</v>
      </c>
      <c r="BX128" s="1047">
        <f t="shared" si="30"/>
        <v>0.75</v>
      </c>
      <c r="BY128" s="1047">
        <f t="shared" si="54"/>
        <v>0</v>
      </c>
      <c r="BZ128" s="1047">
        <f t="shared" si="55"/>
        <v>1.5</v>
      </c>
      <c r="CA128" s="1047">
        <f t="shared" si="56"/>
        <v>1</v>
      </c>
      <c r="CB128" s="1047">
        <f t="shared" si="57"/>
        <v>0.25</v>
      </c>
      <c r="CD128" t="str">
        <f t="shared" si="58"/>
        <v>ROB</v>
      </c>
      <c r="CE128" t="str">
        <f t="shared" si="58"/>
        <v>VE</v>
      </c>
      <c r="CF128" t="str">
        <f t="shared" si="58"/>
        <v>VE</v>
      </c>
      <c r="CG128" t="str">
        <f t="shared" si="58"/>
        <v>RO</v>
      </c>
    </row>
    <row r="129" spans="1:85" ht="80.25" customHeight="1" x14ac:dyDescent="0.3">
      <c r="A129" s="298" t="s">
        <v>386</v>
      </c>
      <c r="B129" s="299" t="str">
        <f>'PLAN INDICATIVO'!B129</f>
        <v>APSB</v>
      </c>
      <c r="C129" s="1547"/>
      <c r="D129" s="1549"/>
      <c r="E129" s="1549"/>
      <c r="F129" s="1559"/>
      <c r="G129" s="1560"/>
      <c r="H129" s="1561"/>
      <c r="I129" s="1425" t="str">
        <f>'PLAN INDICATIVO'!I129</f>
        <v>SI</v>
      </c>
      <c r="J129" s="1425">
        <f>'PLAN INDICATIVO'!J129</f>
        <v>0</v>
      </c>
      <c r="K129" s="1425" t="str">
        <f>'PLAN INDICATIVO'!K129</f>
        <v>A.3.1.10</v>
      </c>
      <c r="L129" s="1425" t="str">
        <f>'PLAN INDICATIVO'!L129</f>
        <v>6. Agua limplia y saneamiento</v>
      </c>
      <c r="M129" s="1425" t="str">
        <f>'PLAN INDICATIVO'!M129</f>
        <v>EMSERPLA</v>
      </c>
      <c r="N129" s="1513" t="s">
        <v>5124</v>
      </c>
      <c r="O129" s="1425" t="str">
        <f>'PLAN INDICATIVO'!O129</f>
        <v>Incremento</v>
      </c>
      <c r="P129" s="16" t="str">
        <f>'PLAN INDICATIVO'!P129</f>
        <v>Reposición de 2700 ML de redes de acueducto en el cuatrienio</v>
      </c>
      <c r="Q129" s="302" t="str">
        <f>'PLAN INDICATIVO'!Q129</f>
        <v xml:space="preserve">No. De metros lineales en reposición </v>
      </c>
      <c r="R129" s="303">
        <f>'PLAN INDICATIVO'!R129</f>
        <v>2015</v>
      </c>
      <c r="S129" s="304">
        <v>1145</v>
      </c>
      <c r="T129" s="677">
        <v>2700</v>
      </c>
      <c r="U129" s="304">
        <v>600</v>
      </c>
      <c r="V129" s="687">
        <v>267550000</v>
      </c>
      <c r="W129" s="304">
        <v>600</v>
      </c>
      <c r="X129" s="687">
        <v>326030000</v>
      </c>
      <c r="Y129" s="687">
        <v>58.92</v>
      </c>
      <c r="Z129" s="687">
        <v>337440000</v>
      </c>
      <c r="AA129" s="1329">
        <v>400</v>
      </c>
      <c r="AB129" s="686">
        <v>161973406</v>
      </c>
      <c r="AC129" s="665"/>
      <c r="AD129" s="665">
        <v>1089</v>
      </c>
      <c r="AE129" s="665">
        <v>58.92</v>
      </c>
      <c r="AF129" s="665">
        <v>19</v>
      </c>
      <c r="AG129" s="306" t="s">
        <v>5140</v>
      </c>
      <c r="AH129" s="987">
        <v>2019413960031</v>
      </c>
      <c r="AI129" s="307" t="s">
        <v>4848</v>
      </c>
      <c r="AJ129" s="309">
        <v>43497</v>
      </c>
      <c r="AK129" s="335">
        <v>43799</v>
      </c>
      <c r="AL129" s="335"/>
      <c r="AM129" s="335"/>
      <c r="AN129" s="267" t="s">
        <v>2598</v>
      </c>
      <c r="AO129" s="507"/>
      <c r="AP129" s="729"/>
      <c r="AQ129" s="730"/>
      <c r="AR129" s="730"/>
      <c r="AS129" s="730"/>
      <c r="AT129" s="730"/>
      <c r="AU129" s="730"/>
      <c r="AV129" s="730"/>
      <c r="AW129" s="731"/>
      <c r="AX129" s="525"/>
      <c r="AY129" s="310"/>
      <c r="AZ129" s="310"/>
      <c r="BA129" s="310"/>
      <c r="BB129" s="310"/>
      <c r="BC129" s="310"/>
      <c r="BD129" s="310"/>
      <c r="BE129" s="544"/>
      <c r="BF129" s="525"/>
      <c r="BG129" s="310"/>
      <c r="BH129" s="310"/>
      <c r="BI129" s="310"/>
      <c r="BJ129" s="310"/>
      <c r="BK129" s="310"/>
      <c r="BL129" s="310"/>
      <c r="BM129" s="544">
        <f t="shared" si="43"/>
        <v>0</v>
      </c>
      <c r="BN129" s="525"/>
      <c r="BO129" s="310"/>
      <c r="BP129" s="310"/>
      <c r="BQ129" s="310"/>
      <c r="BR129" s="310"/>
      <c r="BS129" s="310"/>
      <c r="BT129" s="310"/>
      <c r="BU129" s="544"/>
      <c r="BV129" s="556"/>
      <c r="BW129" s="663">
        <f t="shared" si="29"/>
        <v>1166.92</v>
      </c>
      <c r="BX129" s="1047">
        <f t="shared" si="30"/>
        <v>0.43219259259259263</v>
      </c>
      <c r="BY129" s="1047">
        <f t="shared" si="54"/>
        <v>0</v>
      </c>
      <c r="BZ129" s="1047">
        <f t="shared" si="55"/>
        <v>1.8149999999999999</v>
      </c>
      <c r="CA129" s="1047">
        <f t="shared" si="56"/>
        <v>1</v>
      </c>
      <c r="CB129" s="1047">
        <f t="shared" si="57"/>
        <v>4.7500000000000001E-2</v>
      </c>
      <c r="CD129" t="str">
        <f t="shared" si="58"/>
        <v>ROB</v>
      </c>
      <c r="CE129" t="str">
        <f t="shared" si="58"/>
        <v>VE</v>
      </c>
      <c r="CF129" t="str">
        <f t="shared" si="58"/>
        <v>VE</v>
      </c>
      <c r="CG129" t="str">
        <f t="shared" si="58"/>
        <v>ROB</v>
      </c>
    </row>
    <row r="130" spans="1:85" ht="121.5" customHeight="1" x14ac:dyDescent="0.3">
      <c r="A130" s="298" t="s">
        <v>386</v>
      </c>
      <c r="B130" s="299" t="str">
        <f>'PLAN INDICATIVO'!B130</f>
        <v>APSB</v>
      </c>
      <c r="C130" s="1547"/>
      <c r="D130" s="1549"/>
      <c r="E130" s="1549"/>
      <c r="F130" s="1559"/>
      <c r="G130" s="1560"/>
      <c r="H130" s="1561"/>
      <c r="I130" s="300">
        <f>'PLAN INDICATIVO'!I130</f>
        <v>0</v>
      </c>
      <c r="J130" s="300">
        <f>'PLAN INDICATIVO'!J130</f>
        <v>0</v>
      </c>
      <c r="K130" s="1425" t="str">
        <f>'PLAN INDICATIVO'!K130</f>
        <v>A.3.1.11</v>
      </c>
      <c r="L130" s="1425" t="str">
        <f>'PLAN INDICATIVO'!L130</f>
        <v>6. Agua limplia y saneamiento</v>
      </c>
      <c r="M130" s="1425" t="str">
        <f>'PLAN INDICATIVO'!M130</f>
        <v>EMSERPLA</v>
      </c>
      <c r="N130" s="1513" t="s">
        <v>5124</v>
      </c>
      <c r="O130" s="1425" t="str">
        <f>'PLAN INDICATIVO'!O130</f>
        <v>Incremento</v>
      </c>
      <c r="P130" s="16" t="str">
        <f>'PLAN INDICATIVO'!P130</f>
        <v>Implementar 1 programa durante el cuatrienio  para la disminución de agua no contabilizada en la zona urbana</v>
      </c>
      <c r="Q130" s="302" t="str">
        <f>'PLAN INDICATIVO'!Q130</f>
        <v>No. Programa implementado</v>
      </c>
      <c r="R130" s="303">
        <f>'PLAN INDICATIVO'!R130</f>
        <v>2015</v>
      </c>
      <c r="S130" s="304">
        <v>0</v>
      </c>
      <c r="T130" s="677">
        <v>1</v>
      </c>
      <c r="U130" s="304"/>
      <c r="V130" s="304">
        <v>0</v>
      </c>
      <c r="W130" s="304"/>
      <c r="X130" s="304"/>
      <c r="Y130" s="304">
        <v>1</v>
      </c>
      <c r="Z130" s="304"/>
      <c r="AA130" s="410">
        <v>0.05</v>
      </c>
      <c r="AB130" s="686">
        <v>10180000</v>
      </c>
      <c r="AC130" s="665"/>
      <c r="AD130" s="843"/>
      <c r="AE130" s="665">
        <v>0.95</v>
      </c>
      <c r="AF130" s="665">
        <v>0.5</v>
      </c>
      <c r="AG130" s="306" t="s">
        <v>5140</v>
      </c>
      <c r="AH130" s="987">
        <v>2019413960031</v>
      </c>
      <c r="AI130" s="307"/>
      <c r="AJ130" s="309">
        <v>43497</v>
      </c>
      <c r="AK130" s="335">
        <v>43829</v>
      </c>
      <c r="AL130" s="335"/>
      <c r="AM130" s="335"/>
      <c r="AN130" s="267" t="s">
        <v>2598</v>
      </c>
      <c r="AO130" s="507"/>
      <c r="AP130" s="729"/>
      <c r="AQ130" s="730"/>
      <c r="AR130" s="730"/>
      <c r="AS130" s="730"/>
      <c r="AT130" s="730"/>
      <c r="AU130" s="730"/>
      <c r="AV130" s="730"/>
      <c r="AW130" s="731"/>
      <c r="AX130" s="525"/>
      <c r="AY130" s="310"/>
      <c r="AZ130" s="310"/>
      <c r="BA130" s="310"/>
      <c r="BB130" s="310"/>
      <c r="BC130" s="310"/>
      <c r="BD130" s="310"/>
      <c r="BE130" s="544"/>
      <c r="BF130" s="525"/>
      <c r="BG130" s="310"/>
      <c r="BH130" s="310"/>
      <c r="BI130" s="310"/>
      <c r="BJ130" s="310"/>
      <c r="BK130" s="310"/>
      <c r="BL130" s="310"/>
      <c r="BM130" s="544">
        <f t="shared" si="43"/>
        <v>0</v>
      </c>
      <c r="BN130" s="525"/>
      <c r="BO130" s="310"/>
      <c r="BP130" s="310"/>
      <c r="BQ130" s="310"/>
      <c r="BR130" s="310"/>
      <c r="BS130" s="310"/>
      <c r="BT130" s="310"/>
      <c r="BU130" s="544"/>
      <c r="BV130" s="556"/>
      <c r="BW130" s="663">
        <f t="shared" si="29"/>
        <v>1.45</v>
      </c>
      <c r="BX130" s="1047">
        <f t="shared" si="30"/>
        <v>1.45</v>
      </c>
      <c r="BY130" s="1047" t="str">
        <f t="shared" si="54"/>
        <v>No Programada</v>
      </c>
      <c r="BZ130" s="1047" t="str">
        <f t="shared" si="55"/>
        <v>No Programada</v>
      </c>
      <c r="CA130" s="1047">
        <f t="shared" si="56"/>
        <v>0.95</v>
      </c>
      <c r="CB130" s="1047">
        <f>IF(AA130&gt;=0.01,AF130/AA130,IF(ISBLANK(AA130),"No Programada","Aplazada"))</f>
        <v>10</v>
      </c>
      <c r="CD130" t="str">
        <f t="shared" si="58"/>
        <v>NP</v>
      </c>
      <c r="CE130" t="str">
        <f t="shared" si="58"/>
        <v>NP</v>
      </c>
      <c r="CF130" t="str">
        <f t="shared" si="58"/>
        <v>VE</v>
      </c>
      <c r="CG130" t="str">
        <f t="shared" si="58"/>
        <v>VE</v>
      </c>
    </row>
    <row r="131" spans="1:85" ht="70.5" customHeight="1" x14ac:dyDescent="0.3">
      <c r="A131" s="298" t="s">
        <v>386</v>
      </c>
      <c r="B131" s="299" t="str">
        <f>'PLAN INDICATIVO'!B131</f>
        <v>APSB</v>
      </c>
      <c r="C131" s="1547"/>
      <c r="D131" s="1549"/>
      <c r="E131" s="1549"/>
      <c r="F131" s="1559"/>
      <c r="G131" s="1560"/>
      <c r="H131" s="1561"/>
      <c r="I131" s="300">
        <f>'PLAN INDICATIVO'!I131</f>
        <v>0</v>
      </c>
      <c r="J131" s="300">
        <f>'PLAN INDICATIVO'!J131</f>
        <v>0</v>
      </c>
      <c r="K131" s="1425" t="str">
        <f>'PLAN INDICATIVO'!K131</f>
        <v>A.3.1.12</v>
      </c>
      <c r="L131" s="1425" t="str">
        <f>'PLAN INDICATIVO'!L131</f>
        <v>6. Agua limplia y saneamiento</v>
      </c>
      <c r="M131" s="1425" t="str">
        <f>'PLAN INDICATIVO'!M131</f>
        <v>EMSERPLA</v>
      </c>
      <c r="N131" s="1513" t="s">
        <v>5124</v>
      </c>
      <c r="O131" s="1425" t="str">
        <f>'PLAN INDICATIVO'!O131</f>
        <v>Incremento</v>
      </c>
      <c r="P131" s="16" t="str">
        <f>'PLAN INDICATIVO'!P131</f>
        <v>Beneficiar a 1200 familias con servicio de acueducto en la zona rural, durante el cuatrienio</v>
      </c>
      <c r="Q131" s="302" t="str">
        <f>'PLAN INDICATIVO'!Q131</f>
        <v>No. De familias beneficiadas.</v>
      </c>
      <c r="R131" s="303">
        <f>'PLAN INDICATIVO'!R131</f>
        <v>2015</v>
      </c>
      <c r="S131" s="304">
        <v>0</v>
      </c>
      <c r="T131" s="677">
        <v>1200</v>
      </c>
      <c r="U131" s="304">
        <v>400</v>
      </c>
      <c r="V131" s="304">
        <v>48000000</v>
      </c>
      <c r="W131" s="304">
        <v>226</v>
      </c>
      <c r="X131" s="304">
        <v>224200000</v>
      </c>
      <c r="Y131" s="304">
        <v>44</v>
      </c>
      <c r="Z131" s="304">
        <v>220010000</v>
      </c>
      <c r="AA131" s="410">
        <v>150</v>
      </c>
      <c r="AB131" s="686">
        <v>50000000</v>
      </c>
      <c r="AC131" s="667"/>
      <c r="AD131" s="667">
        <f>25+165+36</f>
        <v>226</v>
      </c>
      <c r="AE131" s="667">
        <v>44</v>
      </c>
      <c r="AF131" s="667">
        <v>20</v>
      </c>
      <c r="AG131" s="306" t="s">
        <v>5140</v>
      </c>
      <c r="AH131" s="987">
        <v>2019413960031</v>
      </c>
      <c r="AI131" s="336" t="s">
        <v>4884</v>
      </c>
      <c r="AJ131" s="309">
        <v>43497</v>
      </c>
      <c r="AK131" s="335">
        <v>43814</v>
      </c>
      <c r="AL131" s="335"/>
      <c r="AM131" s="335"/>
      <c r="AN131" s="267" t="s">
        <v>2598</v>
      </c>
      <c r="AO131" s="507"/>
      <c r="AP131" s="528"/>
      <c r="AQ131" s="472"/>
      <c r="AR131" s="472"/>
      <c r="AS131" s="472"/>
      <c r="AT131" s="472"/>
      <c r="AU131" s="472"/>
      <c r="AV131" s="472"/>
      <c r="AW131" s="544"/>
      <c r="AX131" s="528"/>
      <c r="AY131" s="472"/>
      <c r="AZ131" s="472"/>
      <c r="BA131" s="472"/>
      <c r="BB131" s="472"/>
      <c r="BC131" s="472"/>
      <c r="BD131" s="472"/>
      <c r="BE131" s="544"/>
      <c r="BF131" s="528"/>
      <c r="BG131" s="472"/>
      <c r="BH131" s="472"/>
      <c r="BI131" s="472"/>
      <c r="BJ131" s="472"/>
      <c r="BK131" s="472"/>
      <c r="BL131" s="472"/>
      <c r="BM131" s="544">
        <f t="shared" si="43"/>
        <v>0</v>
      </c>
      <c r="BN131" s="528"/>
      <c r="BO131" s="472"/>
      <c r="BP131" s="472"/>
      <c r="BQ131" s="472"/>
      <c r="BR131" s="472"/>
      <c r="BS131" s="472"/>
      <c r="BT131" s="472"/>
      <c r="BU131" s="544"/>
      <c r="BV131" s="556"/>
      <c r="BW131" s="663">
        <f t="shared" si="29"/>
        <v>290</v>
      </c>
      <c r="BX131" s="1047">
        <f t="shared" si="30"/>
        <v>0.24166666666666667</v>
      </c>
      <c r="BY131" s="1047">
        <f t="shared" si="54"/>
        <v>0</v>
      </c>
      <c r="BZ131" s="1047">
        <f t="shared" si="55"/>
        <v>1</v>
      </c>
      <c r="CA131" s="1047">
        <f t="shared" si="56"/>
        <v>1</v>
      </c>
      <c r="CB131" s="1047">
        <f t="shared" si="57"/>
        <v>0.13333333333333333</v>
      </c>
      <c r="CD131" t="str">
        <f t="shared" si="58"/>
        <v>ROB</v>
      </c>
      <c r="CE131" t="str">
        <f t="shared" si="58"/>
        <v>VE</v>
      </c>
      <c r="CF131" t="str">
        <f t="shared" si="58"/>
        <v>VE</v>
      </c>
      <c r="CG131" t="str">
        <f t="shared" si="58"/>
        <v>ROB</v>
      </c>
    </row>
    <row r="132" spans="1:85" ht="54.75" customHeight="1" x14ac:dyDescent="0.3">
      <c r="A132" s="298" t="s">
        <v>386</v>
      </c>
      <c r="B132" s="299" t="str">
        <f>'PLAN INDICATIVO'!B132</f>
        <v>APSB</v>
      </c>
      <c r="C132" s="1547"/>
      <c r="D132" s="1549"/>
      <c r="E132" s="1549"/>
      <c r="F132" s="1559"/>
      <c r="G132" s="1560"/>
      <c r="H132" s="1561"/>
      <c r="I132" s="300">
        <f>'PLAN INDICATIVO'!I132</f>
        <v>0</v>
      </c>
      <c r="J132" s="300">
        <f>'PLAN INDICATIVO'!J132</f>
        <v>0</v>
      </c>
      <c r="K132" s="1425" t="str">
        <f>'PLAN INDICATIVO'!K132</f>
        <v>A.3.1.13</v>
      </c>
      <c r="L132" s="1425" t="str">
        <f>'PLAN INDICATIVO'!L132</f>
        <v>6. Agua limplia y saneamiento</v>
      </c>
      <c r="M132" s="1425" t="str">
        <f>'PLAN INDICATIVO'!M132</f>
        <v>EMSERPLA</v>
      </c>
      <c r="N132" s="1513" t="s">
        <v>5124</v>
      </c>
      <c r="O132" s="1425" t="str">
        <f>'PLAN INDICATIVO'!O132</f>
        <v>Incremento</v>
      </c>
      <c r="P132" s="16" t="str">
        <f>'PLAN INDICATIVO'!P132</f>
        <v>Beneficiar 1000 familias con potabilización de agua en la zona rural, durante el cuatrienio</v>
      </c>
      <c r="Q132" s="302" t="str">
        <f>'PLAN INDICATIVO'!Q132</f>
        <v>No. De familias beneficiadas.</v>
      </c>
      <c r="R132" s="303">
        <f>'PLAN INDICATIVO'!R132</f>
        <v>2015</v>
      </c>
      <c r="S132" s="304">
        <v>0</v>
      </c>
      <c r="T132" s="677">
        <v>1000</v>
      </c>
      <c r="U132" s="304">
        <v>500</v>
      </c>
      <c r="V132" s="304">
        <v>224200000</v>
      </c>
      <c r="W132" s="304"/>
      <c r="X132" s="304">
        <v>224200000</v>
      </c>
      <c r="Y132" s="304"/>
      <c r="Z132" s="304">
        <v>220010000</v>
      </c>
      <c r="AA132" s="410">
        <v>60</v>
      </c>
      <c r="AB132" s="686">
        <v>50000000</v>
      </c>
      <c r="AC132" s="879"/>
      <c r="AD132" s="667"/>
      <c r="AE132" s="667"/>
      <c r="AF132" s="667">
        <v>35</v>
      </c>
      <c r="AG132" s="306" t="s">
        <v>5140</v>
      </c>
      <c r="AH132" s="987">
        <v>2019413960031</v>
      </c>
      <c r="AI132" s="336" t="s">
        <v>4869</v>
      </c>
      <c r="AJ132" s="309">
        <v>43497</v>
      </c>
      <c r="AK132" s="335">
        <v>43814</v>
      </c>
      <c r="AL132" s="335"/>
      <c r="AM132" s="335"/>
      <c r="AN132" s="267" t="s">
        <v>2604</v>
      </c>
      <c r="AO132" s="507"/>
      <c r="AP132" s="528"/>
      <c r="AQ132" s="472"/>
      <c r="AR132" s="472"/>
      <c r="AS132" s="472"/>
      <c r="AT132" s="472"/>
      <c r="AU132" s="472"/>
      <c r="AV132" s="472"/>
      <c r="AW132" s="544"/>
      <c r="AX132" s="528"/>
      <c r="AY132" s="472"/>
      <c r="AZ132" s="472"/>
      <c r="BA132" s="472"/>
      <c r="BB132" s="472"/>
      <c r="BC132" s="472"/>
      <c r="BD132" s="472"/>
      <c r="BE132" s="544"/>
      <c r="BF132" s="528"/>
      <c r="BG132" s="472"/>
      <c r="BH132" s="472"/>
      <c r="BI132" s="472"/>
      <c r="BJ132" s="472"/>
      <c r="BK132" s="472"/>
      <c r="BL132" s="472"/>
      <c r="BM132" s="544">
        <f t="shared" si="43"/>
        <v>0</v>
      </c>
      <c r="BN132" s="528"/>
      <c r="BO132" s="472"/>
      <c r="BP132" s="472"/>
      <c r="BQ132" s="472"/>
      <c r="BR132" s="472"/>
      <c r="BS132" s="472"/>
      <c r="BT132" s="472"/>
      <c r="BU132" s="544"/>
      <c r="BV132" s="556"/>
      <c r="BW132" s="663">
        <f t="shared" si="29"/>
        <v>35</v>
      </c>
      <c r="BX132" s="1047">
        <f t="shared" si="30"/>
        <v>3.5000000000000003E-2</v>
      </c>
      <c r="BY132" s="1047">
        <f t="shared" si="54"/>
        <v>0</v>
      </c>
      <c r="BZ132" s="1047" t="str">
        <f t="shared" si="55"/>
        <v>No Programada</v>
      </c>
      <c r="CA132" s="1047" t="str">
        <f t="shared" si="56"/>
        <v>No Programada</v>
      </c>
      <c r="CB132" s="1047">
        <f t="shared" si="57"/>
        <v>0.58333333333333337</v>
      </c>
      <c r="CD132" t="str">
        <f t="shared" si="58"/>
        <v>ROB</v>
      </c>
      <c r="CE132" t="str">
        <f t="shared" si="58"/>
        <v>NP</v>
      </c>
      <c r="CF132" t="str">
        <f t="shared" si="58"/>
        <v>NP</v>
      </c>
      <c r="CG132" t="str">
        <f t="shared" si="58"/>
        <v>AMB</v>
      </c>
    </row>
    <row r="133" spans="1:85" ht="83.25" customHeight="1" x14ac:dyDescent="0.3">
      <c r="A133" s="298" t="s">
        <v>386</v>
      </c>
      <c r="B133" s="299" t="str">
        <f>'PLAN INDICATIVO'!B133</f>
        <v>APSB</v>
      </c>
      <c r="C133" s="1548"/>
      <c r="D133" s="1549"/>
      <c r="E133" s="1549"/>
      <c r="F133" s="1559"/>
      <c r="G133" s="1560"/>
      <c r="H133" s="1561"/>
      <c r="I133" s="300">
        <f>'PLAN INDICATIVO'!I133</f>
        <v>0</v>
      </c>
      <c r="J133" s="300">
        <f>'PLAN INDICATIVO'!J133</f>
        <v>0</v>
      </c>
      <c r="K133" s="1425" t="str">
        <f>'PLAN INDICATIVO'!K133</f>
        <v>A.3.1.14</v>
      </c>
      <c r="L133" s="1425" t="str">
        <f>'PLAN INDICATIVO'!L133</f>
        <v>6. Agua limplia y saneamiento</v>
      </c>
      <c r="M133" s="1425" t="str">
        <f>'PLAN INDICATIVO'!M133</f>
        <v>EMSERPLA</v>
      </c>
      <c r="N133" s="1513" t="s">
        <v>5124</v>
      </c>
      <c r="O133" s="1425" t="str">
        <f>'PLAN INDICATIVO'!O133</f>
        <v>Mantenimiento</v>
      </c>
      <c r="P133" s="16" t="str">
        <f>'PLAN INDICATIVO'!P133</f>
        <v>Apoyar anualmete 1 PDA con transferencia de recursos para Acueducto y alcantarillado municipal</v>
      </c>
      <c r="Q133" s="302" t="str">
        <f>'PLAN INDICATIVO'!Q133</f>
        <v>No. De apoyos realizados por año</v>
      </c>
      <c r="R133" s="303">
        <f>'PLAN INDICATIVO'!R133</f>
        <v>2015</v>
      </c>
      <c r="S133" s="304">
        <v>1</v>
      </c>
      <c r="T133" s="677">
        <v>1</v>
      </c>
      <c r="U133" s="304">
        <v>1</v>
      </c>
      <c r="V133" s="304">
        <v>141700000</v>
      </c>
      <c r="W133" s="304">
        <v>1</v>
      </c>
      <c r="X133" s="304">
        <v>200000000</v>
      </c>
      <c r="Y133" s="304">
        <v>1</v>
      </c>
      <c r="Z133" s="304">
        <v>271770000</v>
      </c>
      <c r="AA133" s="410">
        <v>1</v>
      </c>
      <c r="AB133" s="686">
        <v>273979899</v>
      </c>
      <c r="AC133" s="667"/>
      <c r="AD133" s="667">
        <v>1</v>
      </c>
      <c r="AE133" s="667"/>
      <c r="AF133" s="667">
        <v>1</v>
      </c>
      <c r="AG133" s="306" t="s">
        <v>5140</v>
      </c>
      <c r="AH133" s="987">
        <v>2019413960031</v>
      </c>
      <c r="AI133" s="336" t="s">
        <v>4849</v>
      </c>
      <c r="AJ133" s="309">
        <v>43497</v>
      </c>
      <c r="AK133" s="339">
        <v>43615</v>
      </c>
      <c r="AL133" s="337"/>
      <c r="AM133" s="337"/>
      <c r="AN133" s="267" t="s">
        <v>2600</v>
      </c>
      <c r="AO133" s="507"/>
      <c r="AP133" s="529"/>
      <c r="AQ133" s="729"/>
      <c r="AR133" s="473"/>
      <c r="AS133" s="473"/>
      <c r="AT133" s="473"/>
      <c r="AU133" s="473"/>
      <c r="AV133" s="473"/>
      <c r="AW133" s="901"/>
      <c r="AX133" s="529"/>
      <c r="AY133" s="473"/>
      <c r="AZ133" s="473"/>
      <c r="BA133" s="473"/>
      <c r="BB133" s="473"/>
      <c r="BC133" s="473"/>
      <c r="BD133" s="473"/>
      <c r="BE133" s="544"/>
      <c r="BF133" s="529"/>
      <c r="BG133" s="473"/>
      <c r="BH133" s="473"/>
      <c r="BI133" s="473"/>
      <c r="BJ133" s="473"/>
      <c r="BK133" s="473"/>
      <c r="BL133" s="473"/>
      <c r="BM133" s="544">
        <f t="shared" si="43"/>
        <v>0</v>
      </c>
      <c r="BN133" s="529"/>
      <c r="BO133" s="473"/>
      <c r="BP133" s="473"/>
      <c r="BQ133" s="473"/>
      <c r="BR133" s="473"/>
      <c r="BS133" s="473"/>
      <c r="BT133" s="473"/>
      <c r="BU133" s="544"/>
      <c r="BV133" s="556"/>
      <c r="BW133" s="663">
        <f t="shared" si="29"/>
        <v>2</v>
      </c>
      <c r="BX133" s="1047">
        <f t="shared" si="30"/>
        <v>2</v>
      </c>
      <c r="BY133" s="1047">
        <f t="shared" si="54"/>
        <v>0</v>
      </c>
      <c r="BZ133" s="1047">
        <f t="shared" si="55"/>
        <v>1</v>
      </c>
      <c r="CA133" s="1047">
        <f t="shared" si="56"/>
        <v>0</v>
      </c>
      <c r="CB133" s="1047">
        <f t="shared" si="57"/>
        <v>1</v>
      </c>
      <c r="CD133" t="str">
        <f t="shared" si="58"/>
        <v>ROB</v>
      </c>
      <c r="CE133" t="str">
        <f t="shared" si="58"/>
        <v>VE</v>
      </c>
      <c r="CF133" t="str">
        <f t="shared" si="58"/>
        <v>ROB</v>
      </c>
      <c r="CG133" t="str">
        <f t="shared" si="58"/>
        <v>VE</v>
      </c>
    </row>
    <row r="134" spans="1:85" ht="19.5" customHeight="1" x14ac:dyDescent="0.3">
      <c r="A134" s="295"/>
      <c r="B134" s="24" t="str">
        <f>'PLAN INDICATIVO'!B134</f>
        <v>APSB</v>
      </c>
      <c r="C134" s="1574" t="s">
        <v>434</v>
      </c>
      <c r="D134" s="1575"/>
      <c r="E134" s="1575"/>
      <c r="F134" s="1575"/>
      <c r="G134" s="1575"/>
      <c r="H134" s="1575"/>
      <c r="I134" s="1575"/>
      <c r="J134" s="1575"/>
      <c r="K134" s="1575"/>
      <c r="L134" s="1575"/>
      <c r="M134" s="1575"/>
      <c r="N134" s="1575"/>
      <c r="O134" s="1576"/>
      <c r="P134" s="22"/>
      <c r="Q134" s="22"/>
      <c r="R134" s="1"/>
      <c r="S134" s="261"/>
      <c r="T134" s="681"/>
      <c r="U134" s="261"/>
      <c r="V134" s="693">
        <f>SUM(V135:V143)</f>
        <v>767840000</v>
      </c>
      <c r="W134" s="691"/>
      <c r="X134" s="693">
        <f>SUM(X135:X143)</f>
        <v>797620000</v>
      </c>
      <c r="Y134" s="691"/>
      <c r="Z134" s="693">
        <f>SUM(Z135:Z143)</f>
        <v>6866230000</v>
      </c>
      <c r="AA134" s="692"/>
      <c r="AB134" s="693">
        <f>SUM(AB135:AB143)</f>
        <v>796310077</v>
      </c>
      <c r="AC134" s="262"/>
      <c r="AD134" s="262"/>
      <c r="AE134" s="262"/>
      <c r="AF134" s="262"/>
      <c r="AG134" s="263"/>
      <c r="AH134" s="263"/>
      <c r="AI134" s="263"/>
      <c r="AJ134" s="262"/>
      <c r="AK134" s="262"/>
      <c r="AL134" s="262"/>
      <c r="AM134" s="262"/>
      <c r="AN134" s="262"/>
      <c r="AO134" s="612"/>
      <c r="AP134" s="616"/>
      <c r="AQ134" s="616"/>
      <c r="AR134" s="616"/>
      <c r="AS134" s="616"/>
      <c r="AT134" s="616"/>
      <c r="AU134" s="616"/>
      <c r="AV134" s="616"/>
      <c r="AW134" s="617"/>
      <c r="AX134" s="616"/>
      <c r="AY134" s="616"/>
      <c r="AZ134" s="616"/>
      <c r="BA134" s="616"/>
      <c r="BB134" s="616"/>
      <c r="BC134" s="616"/>
      <c r="BD134" s="616"/>
      <c r="BE134" s="617"/>
      <c r="BF134" s="616"/>
      <c r="BG134" s="616"/>
      <c r="BH134" s="616"/>
      <c r="BI134" s="616"/>
      <c r="BJ134" s="616"/>
      <c r="BK134" s="616"/>
      <c r="BL134" s="616"/>
      <c r="BM134" s="617">
        <f t="shared" si="43"/>
        <v>0</v>
      </c>
      <c r="BN134" s="616"/>
      <c r="BO134" s="616"/>
      <c r="BP134" s="616"/>
      <c r="BQ134" s="616"/>
      <c r="BR134" s="616"/>
      <c r="BS134" s="616"/>
      <c r="BT134" s="616"/>
      <c r="BU134" s="617"/>
      <c r="BV134" s="556"/>
      <c r="BW134" s="663" t="s">
        <v>2717</v>
      </c>
      <c r="BX134" s="617" t="s">
        <v>2717</v>
      </c>
      <c r="BY134" s="617" t="s">
        <v>2717</v>
      </c>
      <c r="BZ134" s="617" t="s">
        <v>2717</v>
      </c>
      <c r="CA134" s="617" t="s">
        <v>2717</v>
      </c>
      <c r="CB134" s="1047" t="s">
        <v>2717</v>
      </c>
    </row>
    <row r="135" spans="1:85" ht="91.5" customHeight="1" x14ac:dyDescent="0.3">
      <c r="A135" s="298" t="s">
        <v>386</v>
      </c>
      <c r="B135" s="299" t="str">
        <f>'PLAN INDICATIVO'!B135</f>
        <v>APSB</v>
      </c>
      <c r="C135" s="1546" t="s">
        <v>435</v>
      </c>
      <c r="D135" s="1549" t="s">
        <v>436</v>
      </c>
      <c r="E135" s="1549" t="s">
        <v>437</v>
      </c>
      <c r="F135" s="1549">
        <v>2005</v>
      </c>
      <c r="G135" s="1549">
        <v>53</v>
      </c>
      <c r="H135" s="1549">
        <v>55</v>
      </c>
      <c r="I135" s="300">
        <f>'PLAN INDICATIVO'!I135</f>
        <v>0</v>
      </c>
      <c r="J135" s="300">
        <f>'PLAN INDICATIVO'!J135</f>
        <v>0</v>
      </c>
      <c r="K135" s="1425" t="str">
        <f>'PLAN INDICATIVO'!K135</f>
        <v>A.3.2.1</v>
      </c>
      <c r="L135" s="1425" t="str">
        <f>'PLAN INDICATIVO'!L135</f>
        <v>6. Agua limplia y saneamiento</v>
      </c>
      <c r="M135" s="1425" t="str">
        <f>'PLAN INDICATIVO'!M135</f>
        <v>EMSERPLA</v>
      </c>
      <c r="N135" s="1513" t="s">
        <v>5124</v>
      </c>
      <c r="O135" s="1425" t="str">
        <f>'PLAN INDICATIVO'!O135</f>
        <v>Incremento</v>
      </c>
      <c r="P135" s="16" t="str">
        <f>'PLAN INDICATIVO'!P135</f>
        <v>Inscribir 1 proyecto para gestionar recursos para la implementación de 1 plan maestro de alcantarillado durante el cuatrienio.</v>
      </c>
      <c r="Q135" s="302" t="str">
        <f>'PLAN INDICATIVO'!Q135</f>
        <v>No. De proyectos inscritos</v>
      </c>
      <c r="R135" s="303">
        <f>'PLAN INDICATIVO'!R135</f>
        <v>2015</v>
      </c>
      <c r="S135" s="304">
        <v>0</v>
      </c>
      <c r="T135" s="677">
        <v>1</v>
      </c>
      <c r="U135" s="304"/>
      <c r="V135" s="304">
        <v>25000000</v>
      </c>
      <c r="W135" s="304"/>
      <c r="X135" s="304">
        <v>100000000</v>
      </c>
      <c r="Y135" s="304"/>
      <c r="Z135" s="304"/>
      <c r="AA135" s="410">
        <v>1</v>
      </c>
      <c r="AB135" s="686">
        <v>200000000</v>
      </c>
      <c r="AC135" s="665"/>
      <c r="AD135" s="665">
        <v>1</v>
      </c>
      <c r="AE135" s="665"/>
      <c r="AF135" s="665"/>
      <c r="AG135" s="306" t="s">
        <v>5140</v>
      </c>
      <c r="AH135" s="987">
        <v>2019413960031</v>
      </c>
      <c r="AI135" s="307"/>
      <c r="AJ135" s="309"/>
      <c r="AK135" s="308"/>
      <c r="AL135" s="308"/>
      <c r="AM135" s="308"/>
      <c r="AN135" s="267" t="s">
        <v>2604</v>
      </c>
      <c r="AO135" s="507"/>
      <c r="AP135" s="734"/>
      <c r="AQ135" s="735"/>
      <c r="AR135" s="735"/>
      <c r="AS135" s="735"/>
      <c r="AT135" s="735"/>
      <c r="AU135" s="735"/>
      <c r="AV135" s="735"/>
      <c r="AW135" s="731"/>
      <c r="AX135" s="526"/>
      <c r="AY135" s="470"/>
      <c r="AZ135" s="470"/>
      <c r="BA135" s="470"/>
      <c r="BB135" s="470"/>
      <c r="BC135" s="470"/>
      <c r="BD135" s="470"/>
      <c r="BE135" s="544"/>
      <c r="BF135" s="526"/>
      <c r="BG135" s="470"/>
      <c r="BH135" s="470"/>
      <c r="BI135" s="470"/>
      <c r="BJ135" s="470"/>
      <c r="BK135" s="470"/>
      <c r="BL135" s="470"/>
      <c r="BM135" s="544">
        <f t="shared" si="43"/>
        <v>0</v>
      </c>
      <c r="BN135" s="526"/>
      <c r="BO135" s="470"/>
      <c r="BP135" s="470"/>
      <c r="BQ135" s="470"/>
      <c r="BR135" s="470"/>
      <c r="BS135" s="470"/>
      <c r="BT135" s="470"/>
      <c r="BU135" s="544"/>
      <c r="BV135" s="556"/>
      <c r="BW135" s="663">
        <v>1</v>
      </c>
      <c r="BX135" s="1047">
        <f t="shared" si="30"/>
        <v>1</v>
      </c>
      <c r="BY135" s="1047" t="str">
        <f t="shared" ref="BY135:BY143" si="59">IF(U135&gt;=0.1,AC135/U135,IF(ISBLANK(U135),"No Programada","Aplazada"))</f>
        <v>No Programada</v>
      </c>
      <c r="BZ135" s="1047">
        <v>1</v>
      </c>
      <c r="CA135" s="1047" t="str">
        <f t="shared" ref="CA135:CA143" si="60">IF(Y135&gt;=0.1,AE135/Y135,IF(ISBLANK(Y135),"No Programada","Aplazada"))</f>
        <v>No Programada</v>
      </c>
      <c r="CB135" s="1047">
        <f t="shared" ref="CB135:CB143" si="61">IF(AA135&gt;=0.1,AF135/AA135,IF(ISBLANK(AA135),"No Programada","Aplazada"))</f>
        <v>0</v>
      </c>
      <c r="CD135" t="str">
        <f t="shared" ref="CD135:CG143" si="62">IF(BY135="PARA MODIFICAR","M",IF(BY135="PARA ELIMINAR","E",IF(BY135="aplazada","AZ",IF(BY135="no programada","NP",IF(BY135&gt;=85%,"VE",IF(BY135&gt;70%,"VEB",IF(BY135&gt;60%,"AM",IF(BY135&gt;40%,"AMB",IF(BY135&gt;20%,"RO",IF(BY135&gt;=0%,"ROB",""))))))))))</f>
        <v>NP</v>
      </c>
      <c r="CE135" t="str">
        <f t="shared" si="62"/>
        <v>VE</v>
      </c>
      <c r="CF135" t="str">
        <f t="shared" si="62"/>
        <v>NP</v>
      </c>
      <c r="CG135" t="str">
        <f t="shared" si="62"/>
        <v>ROB</v>
      </c>
    </row>
    <row r="136" spans="1:85" ht="99" hidden="1" customHeight="1" x14ac:dyDescent="0.25">
      <c r="A136" s="298" t="s">
        <v>386</v>
      </c>
      <c r="B136" s="299" t="str">
        <f>'PLAN INDICATIVO'!B136</f>
        <v>APSB</v>
      </c>
      <c r="C136" s="1547"/>
      <c r="D136" s="1549"/>
      <c r="E136" s="1549"/>
      <c r="F136" s="1549"/>
      <c r="G136" s="1549"/>
      <c r="H136" s="1549"/>
      <c r="I136" s="1425" t="str">
        <f>'PLAN INDICATIVO'!I136</f>
        <v>SI</v>
      </c>
      <c r="J136" s="1425">
        <f>'PLAN INDICATIVO'!J136</f>
        <v>0</v>
      </c>
      <c r="K136" s="1425" t="str">
        <f>'PLAN INDICATIVO'!K136</f>
        <v>A.3.2.2</v>
      </c>
      <c r="L136" s="1425" t="str">
        <f>'PLAN INDICATIVO'!L136</f>
        <v>6. Agua limplia y saneamiento</v>
      </c>
      <c r="M136" s="1425" t="str">
        <f>'PLAN INDICATIVO'!M136</f>
        <v>EMSERPLA</v>
      </c>
      <c r="N136" s="1513" t="s">
        <v>5124</v>
      </c>
      <c r="O136" s="1425" t="str">
        <f>'PLAN INDICATIVO'!O136</f>
        <v>Incremento</v>
      </c>
      <c r="P136" s="16" t="str">
        <f>'PLAN INDICATIVO'!P136</f>
        <v>Inscribir y gestionar 1 proyecto para la construcción de una (1) planta de tratamiento de aguas residuales (PTAR), durante el cuatrienio.</v>
      </c>
      <c r="Q136" s="302" t="str">
        <f>'PLAN INDICATIVO'!Q136</f>
        <v xml:space="preserve">No. De proyectos inscritos y gestionados </v>
      </c>
      <c r="R136" s="303">
        <f>'PLAN INDICATIVO'!R136</f>
        <v>2015</v>
      </c>
      <c r="S136" s="304">
        <v>0</v>
      </c>
      <c r="T136" s="677">
        <v>1</v>
      </c>
      <c r="U136" s="304">
        <v>0</v>
      </c>
      <c r="V136" s="304">
        <v>35000000</v>
      </c>
      <c r="W136" s="304">
        <v>0</v>
      </c>
      <c r="X136" s="304">
        <v>50000000</v>
      </c>
      <c r="Y136" s="304">
        <v>0.5</v>
      </c>
      <c r="Z136" s="304">
        <v>800000000</v>
      </c>
      <c r="AA136" s="410">
        <v>0.5</v>
      </c>
      <c r="AB136" s="686"/>
      <c r="AC136" s="665"/>
      <c r="AD136" s="665"/>
      <c r="AE136" s="665">
        <v>0.5</v>
      </c>
      <c r="AF136" s="665"/>
      <c r="AG136" s="306" t="s">
        <v>5140</v>
      </c>
      <c r="AH136" s="987">
        <v>2019413960031</v>
      </c>
      <c r="AI136" s="307"/>
      <c r="AJ136" s="309">
        <v>43497</v>
      </c>
      <c r="AK136" s="838">
        <v>43799</v>
      </c>
      <c r="AL136" s="308"/>
      <c r="AM136" s="308"/>
      <c r="AN136" s="267" t="s">
        <v>2598</v>
      </c>
      <c r="AO136" s="507"/>
      <c r="AP136" s="729"/>
      <c r="AQ136" s="730"/>
      <c r="AR136" s="730"/>
      <c r="AS136" s="730"/>
      <c r="AT136" s="730"/>
      <c r="AU136" s="730"/>
      <c r="AV136" s="730"/>
      <c r="AW136" s="731"/>
      <c r="AX136" s="525"/>
      <c r="AY136" s="310"/>
      <c r="AZ136" s="310"/>
      <c r="BA136" s="310"/>
      <c r="BB136" s="310"/>
      <c r="BC136" s="310"/>
      <c r="BD136" s="310"/>
      <c r="BE136" s="544"/>
      <c r="BF136" s="525"/>
      <c r="BG136" s="310"/>
      <c r="BH136" s="310"/>
      <c r="BI136" s="310"/>
      <c r="BJ136" s="310"/>
      <c r="BK136" s="310"/>
      <c r="BL136" s="310"/>
      <c r="BM136" s="544">
        <f t="shared" si="43"/>
        <v>0</v>
      </c>
      <c r="BN136" s="525"/>
      <c r="BO136" s="310"/>
      <c r="BP136" s="310"/>
      <c r="BQ136" s="310"/>
      <c r="BR136" s="310"/>
      <c r="BS136" s="310"/>
      <c r="BT136" s="310"/>
      <c r="BU136" s="544">
        <f t="shared" ref="BU136:BU137" si="63">SUM(BN136:BT136)</f>
        <v>0</v>
      </c>
      <c r="BV136" s="556"/>
      <c r="BW136" s="663">
        <f t="shared" ref="BW136:BW201" si="64">AC136+AD136+AE136+AF136</f>
        <v>0.5</v>
      </c>
      <c r="BX136" s="1047">
        <f t="shared" si="30"/>
        <v>0.5</v>
      </c>
      <c r="BY136" s="1047" t="str">
        <f t="shared" si="59"/>
        <v>Aplazada</v>
      </c>
      <c r="BZ136" s="1047" t="str">
        <f t="shared" ref="BZ136:BZ143" si="65">IF(W136&gt;=0.1,AD136/W136,IF(ISBLANK(W136),"No Programada","Aplazada"))</f>
        <v>Aplazada</v>
      </c>
      <c r="CA136" s="1047">
        <f t="shared" si="60"/>
        <v>1</v>
      </c>
      <c r="CB136" s="1047">
        <f t="shared" si="61"/>
        <v>0</v>
      </c>
      <c r="CD136" t="str">
        <f t="shared" si="62"/>
        <v>AZ</v>
      </c>
      <c r="CE136" t="str">
        <f t="shared" si="62"/>
        <v>AZ</v>
      </c>
      <c r="CF136" t="str">
        <f t="shared" si="62"/>
        <v>VE</v>
      </c>
      <c r="CG136" t="str">
        <f t="shared" si="62"/>
        <v>ROB</v>
      </c>
    </row>
    <row r="137" spans="1:85" ht="74.25" hidden="1" customHeight="1" x14ac:dyDescent="0.25">
      <c r="A137" s="298" t="s">
        <v>386</v>
      </c>
      <c r="B137" s="299" t="str">
        <f>'PLAN INDICATIVO'!B137</f>
        <v>APSB</v>
      </c>
      <c r="C137" s="1547"/>
      <c r="D137" s="1549"/>
      <c r="E137" s="1549"/>
      <c r="F137" s="1549"/>
      <c r="G137" s="1549"/>
      <c r="H137" s="1549"/>
      <c r="I137" s="300">
        <f>'PLAN INDICATIVO'!I137</f>
        <v>0</v>
      </c>
      <c r="J137" s="300">
        <f>'PLAN INDICATIVO'!J137</f>
        <v>0</v>
      </c>
      <c r="K137" s="1425" t="str">
        <f>'PLAN INDICATIVO'!K137</f>
        <v>A.3.2.3</v>
      </c>
      <c r="L137" s="1425" t="str">
        <f>'PLAN INDICATIVO'!L137</f>
        <v>6. Agua limplia y saneamiento</v>
      </c>
      <c r="M137" s="1425" t="str">
        <f>'PLAN INDICATIVO'!M137</f>
        <v>EMSERPLA</v>
      </c>
      <c r="N137" s="1513" t="s">
        <v>5124</v>
      </c>
      <c r="O137" s="1425" t="str">
        <f>'PLAN INDICATIVO'!O137</f>
        <v>Incremento</v>
      </c>
      <c r="P137" s="16" t="str">
        <f>'PLAN INDICATIVO'!P137</f>
        <v>Instalar y poner en marcha 1 planta de tratamiento de aguas residuales modular para el centro de operaciones de emergencias, durante el cuatrienio.</v>
      </c>
      <c r="Q137" s="302" t="str">
        <f>'PLAN INDICATIVO'!Q137</f>
        <v>No. PTAR instaladas y funcionando</v>
      </c>
      <c r="R137" s="303">
        <f>'PLAN INDICATIVO'!R137</f>
        <v>2015</v>
      </c>
      <c r="S137" s="304">
        <v>0</v>
      </c>
      <c r="T137" s="677">
        <v>1</v>
      </c>
      <c r="U137" s="304">
        <v>1</v>
      </c>
      <c r="V137" s="304">
        <v>152000000</v>
      </c>
      <c r="W137" s="304">
        <v>1</v>
      </c>
      <c r="X137" s="304">
        <v>52000000</v>
      </c>
      <c r="Y137" s="304"/>
      <c r="Z137" s="304">
        <v>100000000</v>
      </c>
      <c r="AA137" s="410"/>
      <c r="AB137" s="686"/>
      <c r="AC137" s="665"/>
      <c r="AD137" s="665">
        <v>1</v>
      </c>
      <c r="AE137" s="665"/>
      <c r="AF137" s="665"/>
      <c r="AG137" s="306" t="s">
        <v>5140</v>
      </c>
      <c r="AH137" s="987">
        <v>2019413960031</v>
      </c>
      <c r="AI137" s="307"/>
      <c r="AJ137" s="309"/>
      <c r="AK137" s="335"/>
      <c r="AL137" s="308"/>
      <c r="AM137" s="308"/>
      <c r="AN137" s="267" t="s">
        <v>2594</v>
      </c>
      <c r="AO137" s="507"/>
      <c r="AP137" s="729"/>
      <c r="AQ137" s="730"/>
      <c r="AR137" s="730"/>
      <c r="AS137" s="730"/>
      <c r="AT137" s="730"/>
      <c r="AU137" s="730"/>
      <c r="AV137" s="730"/>
      <c r="AW137" s="731"/>
      <c r="AX137" s="525"/>
      <c r="AY137" s="310"/>
      <c r="AZ137" s="310"/>
      <c r="BA137" s="310"/>
      <c r="BB137" s="310"/>
      <c r="BC137" s="310"/>
      <c r="BD137" s="310"/>
      <c r="BE137" s="544"/>
      <c r="BF137" s="525"/>
      <c r="BG137" s="310"/>
      <c r="BH137" s="310"/>
      <c r="BI137" s="310"/>
      <c r="BJ137" s="310"/>
      <c r="BK137" s="310"/>
      <c r="BL137" s="310"/>
      <c r="BM137" s="544">
        <f t="shared" si="43"/>
        <v>0</v>
      </c>
      <c r="BN137" s="525"/>
      <c r="BO137" s="310"/>
      <c r="BP137" s="310"/>
      <c r="BQ137" s="310"/>
      <c r="BR137" s="310"/>
      <c r="BS137" s="310"/>
      <c r="BT137" s="310"/>
      <c r="BU137" s="544">
        <f t="shared" si="63"/>
        <v>0</v>
      </c>
      <c r="BV137" s="556"/>
      <c r="BW137" s="663">
        <f t="shared" si="64"/>
        <v>1</v>
      </c>
      <c r="BX137" s="1047">
        <f t="shared" si="30"/>
        <v>1</v>
      </c>
      <c r="BY137" s="1047">
        <f t="shared" si="59"/>
        <v>0</v>
      </c>
      <c r="BZ137" s="1047">
        <f t="shared" si="65"/>
        <v>1</v>
      </c>
      <c r="CA137" s="1047" t="str">
        <f t="shared" si="60"/>
        <v>No Programada</v>
      </c>
      <c r="CB137" s="1047" t="str">
        <f t="shared" si="61"/>
        <v>No Programada</v>
      </c>
      <c r="CD137" t="str">
        <f t="shared" si="62"/>
        <v>ROB</v>
      </c>
      <c r="CE137" t="str">
        <f t="shared" si="62"/>
        <v>VE</v>
      </c>
      <c r="CF137" t="str">
        <f t="shared" si="62"/>
        <v>NP</v>
      </c>
      <c r="CG137" t="str">
        <f t="shared" si="62"/>
        <v>NP</v>
      </c>
    </row>
    <row r="138" spans="1:85" ht="73.5" hidden="1" customHeight="1" x14ac:dyDescent="0.25">
      <c r="A138" s="298" t="s">
        <v>386</v>
      </c>
      <c r="B138" s="299" t="str">
        <f>'PLAN INDICATIVO'!B138</f>
        <v>APSB</v>
      </c>
      <c r="C138" s="1547"/>
      <c r="D138" s="1549"/>
      <c r="E138" s="1549"/>
      <c r="F138" s="1549"/>
      <c r="G138" s="1549"/>
      <c r="H138" s="1549"/>
      <c r="I138" s="300">
        <f>'PLAN INDICATIVO'!I138</f>
        <v>0</v>
      </c>
      <c r="J138" s="300">
        <f>'PLAN INDICATIVO'!J138</f>
        <v>0</v>
      </c>
      <c r="K138" s="1425" t="str">
        <f>'PLAN INDICATIVO'!K138</f>
        <v>A.3.2.4</v>
      </c>
      <c r="L138" s="1425" t="str">
        <f>'PLAN INDICATIVO'!L138</f>
        <v>6. Agua limplia y saneamiento</v>
      </c>
      <c r="M138" s="1425" t="str">
        <f>'PLAN INDICATIVO'!M138</f>
        <v>EMSERPLA</v>
      </c>
      <c r="N138" s="1513" t="s">
        <v>5124</v>
      </c>
      <c r="O138" s="1425" t="str">
        <f>'PLAN INDICATIVO'!O138</f>
        <v>Incremento</v>
      </c>
      <c r="P138" s="16" t="str">
        <f>'PLAN INDICATIVO'!P138</f>
        <v>Actualizar 1 Plan de Saneamiento y Manejo de Vertimientos (PSMV), durante el cuatrienio.</v>
      </c>
      <c r="Q138" s="302" t="str">
        <f>'PLAN INDICATIVO'!Q138</f>
        <v>No. De PSMV Actualizados</v>
      </c>
      <c r="R138" s="303">
        <f>'PLAN INDICATIVO'!R138</f>
        <v>2015</v>
      </c>
      <c r="S138" s="304">
        <v>0</v>
      </c>
      <c r="T138" s="677">
        <v>1</v>
      </c>
      <c r="U138" s="304">
        <v>1</v>
      </c>
      <c r="V138" s="304">
        <v>0</v>
      </c>
      <c r="W138" s="304"/>
      <c r="X138" s="304"/>
      <c r="Y138" s="304"/>
      <c r="Z138" s="304"/>
      <c r="AA138" s="410"/>
      <c r="AB138" s="686"/>
      <c r="AC138" s="665"/>
      <c r="AD138" s="665"/>
      <c r="AE138" s="665"/>
      <c r="AF138" s="665"/>
      <c r="AG138" s="306" t="s">
        <v>5140</v>
      </c>
      <c r="AH138" s="987">
        <v>2019413960031</v>
      </c>
      <c r="AI138" s="307"/>
      <c r="AJ138" s="309"/>
      <c r="AK138" s="308"/>
      <c r="AL138" s="308"/>
      <c r="AM138" s="308"/>
      <c r="AN138" s="267" t="s">
        <v>2594</v>
      </c>
      <c r="AO138" s="507"/>
      <c r="AP138" s="729"/>
      <c r="AQ138" s="730"/>
      <c r="AR138" s="730"/>
      <c r="AS138" s="730"/>
      <c r="AT138" s="730"/>
      <c r="AU138" s="730"/>
      <c r="AV138" s="730"/>
      <c r="AW138" s="731"/>
      <c r="AX138" s="525"/>
      <c r="AY138" s="310"/>
      <c r="AZ138" s="310"/>
      <c r="BA138" s="310"/>
      <c r="BB138" s="310"/>
      <c r="BC138" s="310"/>
      <c r="BD138" s="310"/>
      <c r="BE138" s="544"/>
      <c r="BF138" s="525"/>
      <c r="BG138" s="310"/>
      <c r="BH138" s="310"/>
      <c r="BI138" s="310"/>
      <c r="BJ138" s="310"/>
      <c r="BK138" s="310"/>
      <c r="BL138" s="310"/>
      <c r="BM138" s="544">
        <f t="shared" si="43"/>
        <v>0</v>
      </c>
      <c r="BN138" s="525"/>
      <c r="BO138" s="310"/>
      <c r="BP138" s="310"/>
      <c r="BQ138" s="310"/>
      <c r="BR138" s="310"/>
      <c r="BS138" s="310"/>
      <c r="BT138" s="310"/>
      <c r="BU138" s="544"/>
      <c r="BV138" s="556"/>
      <c r="BW138" s="663">
        <f t="shared" si="64"/>
        <v>0</v>
      </c>
      <c r="BX138" s="1047">
        <f t="shared" si="30"/>
        <v>0</v>
      </c>
      <c r="BY138" s="1047">
        <f t="shared" si="59"/>
        <v>0</v>
      </c>
      <c r="BZ138" s="1047" t="str">
        <f t="shared" si="65"/>
        <v>No Programada</v>
      </c>
      <c r="CA138" s="1047" t="str">
        <f t="shared" si="60"/>
        <v>No Programada</v>
      </c>
      <c r="CB138" s="1047" t="str">
        <f t="shared" si="61"/>
        <v>No Programada</v>
      </c>
      <c r="CD138" t="str">
        <f t="shared" si="62"/>
        <v>ROB</v>
      </c>
      <c r="CE138" t="str">
        <f t="shared" si="62"/>
        <v>NP</v>
      </c>
      <c r="CF138" t="str">
        <f t="shared" si="62"/>
        <v>NP</v>
      </c>
      <c r="CG138" t="str">
        <f t="shared" si="62"/>
        <v>NP</v>
      </c>
    </row>
    <row r="139" spans="1:85" ht="84.75" customHeight="1" x14ac:dyDescent="0.3">
      <c r="A139" s="298" t="s">
        <v>386</v>
      </c>
      <c r="B139" s="299" t="str">
        <f>'PLAN INDICATIVO'!B139</f>
        <v>APSB</v>
      </c>
      <c r="C139" s="1547"/>
      <c r="D139" s="1549"/>
      <c r="E139" s="1549"/>
      <c r="F139" s="1549"/>
      <c r="G139" s="1549"/>
      <c r="H139" s="1549"/>
      <c r="I139" s="1425" t="str">
        <f>'PLAN INDICATIVO'!I139</f>
        <v>SI</v>
      </c>
      <c r="J139" s="1425">
        <f>'PLAN INDICATIVO'!J139</f>
        <v>0</v>
      </c>
      <c r="K139" s="1425" t="str">
        <f>'PLAN INDICATIVO'!K139</f>
        <v>A.3.2.5</v>
      </c>
      <c r="L139" s="1425" t="str">
        <f>'PLAN INDICATIVO'!L139</f>
        <v>6. Agua limplia y saneamiento</v>
      </c>
      <c r="M139" s="1425" t="str">
        <f>'PLAN INDICATIVO'!M139</f>
        <v>EMSERPLA</v>
      </c>
      <c r="N139" s="1513" t="s">
        <v>5124</v>
      </c>
      <c r="O139" s="1425" t="str">
        <f>'PLAN INDICATIVO'!O139</f>
        <v>Incremento</v>
      </c>
      <c r="P139" s="16" t="str">
        <f>'PLAN INDICATIVO'!P139</f>
        <v>Construir y/o reponer 3,200 ml de alcantarillado durante el cuatrienio</v>
      </c>
      <c r="Q139" s="302" t="str">
        <f>'PLAN INDICATIVO'!Q139</f>
        <v>No. De metros lineales construidos</v>
      </c>
      <c r="R139" s="303">
        <f>'PLAN INDICATIVO'!R139</f>
        <v>2015</v>
      </c>
      <c r="S139" s="304">
        <v>738</v>
      </c>
      <c r="T139" s="1293">
        <v>3200</v>
      </c>
      <c r="U139" s="304">
        <v>700</v>
      </c>
      <c r="V139" s="304">
        <v>389420000</v>
      </c>
      <c r="W139" s="304">
        <v>700</v>
      </c>
      <c r="X139" s="304">
        <v>389420000</v>
      </c>
      <c r="Y139" s="304">
        <v>100</v>
      </c>
      <c r="Z139" s="304">
        <v>626620000</v>
      </c>
      <c r="AA139" s="1329">
        <v>450</v>
      </c>
      <c r="AB139" s="686">
        <v>458000000</v>
      </c>
      <c r="AC139" s="665"/>
      <c r="AD139" s="665">
        <v>2263</v>
      </c>
      <c r="AE139" s="665">
        <v>100</v>
      </c>
      <c r="AF139" s="665">
        <v>3200</v>
      </c>
      <c r="AG139" s="306" t="s">
        <v>5140</v>
      </c>
      <c r="AH139" s="987">
        <v>2019413960031</v>
      </c>
      <c r="AI139" s="307" t="s">
        <v>4850</v>
      </c>
      <c r="AJ139" s="309">
        <v>43497</v>
      </c>
      <c r="AK139" s="335">
        <v>43799</v>
      </c>
      <c r="AL139" s="308"/>
      <c r="AM139" s="308"/>
      <c r="AN139" s="267" t="s">
        <v>2598</v>
      </c>
      <c r="AO139" s="507"/>
      <c r="AP139" s="729"/>
      <c r="AQ139" s="730"/>
      <c r="AR139" s="730"/>
      <c r="AS139" s="730"/>
      <c r="AT139" s="730"/>
      <c r="AU139" s="730"/>
      <c r="AV139" s="729"/>
      <c r="AW139" s="731"/>
      <c r="AX139" s="525"/>
      <c r="AY139" s="310"/>
      <c r="AZ139" s="310"/>
      <c r="BA139" s="310"/>
      <c r="BB139" s="310"/>
      <c r="BC139" s="310"/>
      <c r="BD139" s="310"/>
      <c r="BE139" s="544"/>
      <c r="BF139" s="525"/>
      <c r="BG139" s="310"/>
      <c r="BH139" s="310"/>
      <c r="BI139" s="310"/>
      <c r="BJ139" s="310"/>
      <c r="BK139" s="310"/>
      <c r="BL139" s="310"/>
      <c r="BM139" s="544">
        <f t="shared" si="43"/>
        <v>0</v>
      </c>
      <c r="BN139" s="525"/>
      <c r="BO139" s="310"/>
      <c r="BP139" s="310"/>
      <c r="BQ139" s="310"/>
      <c r="BR139" s="310"/>
      <c r="BS139" s="310"/>
      <c r="BT139" s="310"/>
      <c r="BU139" s="544"/>
      <c r="BV139" s="556"/>
      <c r="BW139" s="663">
        <f t="shared" si="64"/>
        <v>5563</v>
      </c>
      <c r="BX139" s="1047">
        <f t="shared" ref="BX139:BX143" si="66">BW139/T139</f>
        <v>1.7384375000000001</v>
      </c>
      <c r="BY139" s="1047">
        <f t="shared" si="59"/>
        <v>0</v>
      </c>
      <c r="BZ139" s="1047">
        <f t="shared" si="65"/>
        <v>3.2328571428571427</v>
      </c>
      <c r="CA139" s="1047">
        <f t="shared" si="60"/>
        <v>1</v>
      </c>
      <c r="CB139" s="1047">
        <f t="shared" si="61"/>
        <v>7.1111111111111107</v>
      </c>
      <c r="CD139" t="str">
        <f t="shared" si="62"/>
        <v>ROB</v>
      </c>
      <c r="CE139" t="str">
        <f t="shared" si="62"/>
        <v>VE</v>
      </c>
      <c r="CF139" t="str">
        <f t="shared" si="62"/>
        <v>VE</v>
      </c>
      <c r="CG139" t="str">
        <f t="shared" si="62"/>
        <v>VE</v>
      </c>
    </row>
    <row r="140" spans="1:85" ht="83.25" customHeight="1" x14ac:dyDescent="0.3">
      <c r="A140" s="298" t="s">
        <v>386</v>
      </c>
      <c r="B140" s="299" t="str">
        <f>'PLAN INDICATIVO'!B140</f>
        <v>APSB</v>
      </c>
      <c r="C140" s="1547"/>
      <c r="D140" s="1549"/>
      <c r="E140" s="1549"/>
      <c r="F140" s="1549"/>
      <c r="G140" s="1549"/>
      <c r="H140" s="1549"/>
      <c r="I140" s="300">
        <f>'PLAN INDICATIVO'!I140</f>
        <v>0</v>
      </c>
      <c r="J140" s="300">
        <f>'PLAN INDICATIVO'!J140</f>
        <v>0</v>
      </c>
      <c r="K140" s="1425" t="str">
        <f>'PLAN INDICATIVO'!K140</f>
        <v>A.3.2.6</v>
      </c>
      <c r="L140" s="1425" t="str">
        <f>'PLAN INDICATIVO'!L140</f>
        <v>6. Agua limplia y saneamiento</v>
      </c>
      <c r="M140" s="1425" t="str">
        <f>'PLAN INDICATIVO'!M140</f>
        <v>EMSERPLA</v>
      </c>
      <c r="N140" s="1513" t="s">
        <v>5124</v>
      </c>
      <c r="O140" s="1425" t="str">
        <f>'PLAN INDICATIVO'!O140</f>
        <v>Incremento</v>
      </c>
      <c r="P140" s="16" t="str">
        <f>'PLAN INDICATIVO'!P140</f>
        <v>Incrementar anualmente los servicios públicos  a 270 nuevos usuarios en servicio de alcantarillado durante el cuatrienio.</v>
      </c>
      <c r="Q140" s="302" t="str">
        <f>'PLAN INDICATIVO'!Q140</f>
        <v>No. De nuevos usuarios por año</v>
      </c>
      <c r="R140" s="303">
        <f>'PLAN INDICATIVO'!R140</f>
        <v>2015</v>
      </c>
      <c r="S140" s="304">
        <v>257</v>
      </c>
      <c r="T140" s="677">
        <v>1080</v>
      </c>
      <c r="U140" s="304">
        <v>270</v>
      </c>
      <c r="V140" s="304">
        <v>3000000</v>
      </c>
      <c r="W140" s="304">
        <v>270</v>
      </c>
      <c r="X140" s="304">
        <v>3000000</v>
      </c>
      <c r="Y140" s="304">
        <v>270</v>
      </c>
      <c r="Z140" s="304">
        <v>3000000</v>
      </c>
      <c r="AA140" s="410">
        <v>270</v>
      </c>
      <c r="AB140" s="686">
        <v>14000000</v>
      </c>
      <c r="AC140" s="665"/>
      <c r="AD140" s="665">
        <v>285</v>
      </c>
      <c r="AE140" s="665">
        <v>250</v>
      </c>
      <c r="AF140" s="665">
        <v>219</v>
      </c>
      <c r="AG140" s="306" t="s">
        <v>5140</v>
      </c>
      <c r="AH140" s="987">
        <v>2019413960031</v>
      </c>
      <c r="AI140" s="307" t="s">
        <v>4745</v>
      </c>
      <c r="AJ140" s="309">
        <v>43497</v>
      </c>
      <c r="AK140" s="335">
        <v>43829</v>
      </c>
      <c r="AL140" s="308"/>
      <c r="AM140" s="308"/>
      <c r="AN140" s="267" t="s">
        <v>2598</v>
      </c>
      <c r="AO140" s="507"/>
      <c r="AP140" s="729"/>
      <c r="AQ140" s="730"/>
      <c r="AR140" s="730"/>
      <c r="AS140" s="730"/>
      <c r="AT140" s="730"/>
      <c r="AU140" s="730"/>
      <c r="AV140" s="730"/>
      <c r="AW140" s="731"/>
      <c r="AX140" s="525"/>
      <c r="AY140" s="310"/>
      <c r="AZ140" s="310"/>
      <c r="BA140" s="310"/>
      <c r="BB140" s="310"/>
      <c r="BC140" s="310"/>
      <c r="BD140" s="310"/>
      <c r="BE140" s="544"/>
      <c r="BF140" s="525"/>
      <c r="BG140" s="310"/>
      <c r="BH140" s="310"/>
      <c r="BI140" s="310"/>
      <c r="BJ140" s="310"/>
      <c r="BK140" s="310"/>
      <c r="BL140" s="310"/>
      <c r="BM140" s="544">
        <f t="shared" si="43"/>
        <v>0</v>
      </c>
      <c r="BN140" s="525"/>
      <c r="BO140" s="310"/>
      <c r="BP140" s="310"/>
      <c r="BQ140" s="310"/>
      <c r="BR140" s="310"/>
      <c r="BS140" s="310"/>
      <c r="BT140" s="310"/>
      <c r="BU140" s="544"/>
      <c r="BV140" s="556"/>
      <c r="BW140" s="663">
        <f t="shared" si="64"/>
        <v>754</v>
      </c>
      <c r="BX140" s="1047">
        <f t="shared" si="66"/>
        <v>0.69814814814814818</v>
      </c>
      <c r="BY140" s="1047">
        <f t="shared" si="59"/>
        <v>0</v>
      </c>
      <c r="BZ140" s="1047">
        <f t="shared" si="65"/>
        <v>1.0555555555555556</v>
      </c>
      <c r="CA140" s="1047">
        <f t="shared" si="60"/>
        <v>0.92592592592592593</v>
      </c>
      <c r="CB140" s="1047">
        <f t="shared" si="61"/>
        <v>0.81111111111111112</v>
      </c>
      <c r="CD140" t="str">
        <f t="shared" si="62"/>
        <v>ROB</v>
      </c>
      <c r="CE140" t="str">
        <f t="shared" si="62"/>
        <v>VE</v>
      </c>
      <c r="CF140" t="str">
        <f t="shared" si="62"/>
        <v>VE</v>
      </c>
      <c r="CG140" t="str">
        <f t="shared" si="62"/>
        <v>VEB</v>
      </c>
    </row>
    <row r="141" spans="1:85" ht="99" hidden="1" customHeight="1" x14ac:dyDescent="0.25">
      <c r="A141" s="298" t="s">
        <v>386</v>
      </c>
      <c r="B141" s="299" t="str">
        <f>'PLAN INDICATIVO'!B141</f>
        <v>APSB</v>
      </c>
      <c r="C141" s="1547"/>
      <c r="D141" s="1549"/>
      <c r="E141" s="1549"/>
      <c r="F141" s="1549"/>
      <c r="G141" s="1549"/>
      <c r="H141" s="1549"/>
      <c r="I141" s="300">
        <f>'PLAN INDICATIVO'!I141</f>
        <v>0</v>
      </c>
      <c r="J141" s="300">
        <f>'PLAN INDICATIVO'!J141</f>
        <v>0</v>
      </c>
      <c r="K141" s="1425" t="str">
        <f>'PLAN INDICATIVO'!K141</f>
        <v>A.3.2.7</v>
      </c>
      <c r="L141" s="1425" t="str">
        <f>'PLAN INDICATIVO'!L141</f>
        <v>6. Agua limplia y saneamiento</v>
      </c>
      <c r="M141" s="1425" t="str">
        <f>'PLAN INDICATIVO'!M141</f>
        <v>EMSERPLA</v>
      </c>
      <c r="N141" s="1513" t="s">
        <v>5124</v>
      </c>
      <c r="O141" s="1425" t="str">
        <f>'PLAN INDICATIVO'!O141</f>
        <v>Incremento</v>
      </c>
      <c r="P141" s="16" t="str">
        <f>'PLAN INDICATIVO'!P141</f>
        <v>Apoyar la construcción de un (1) colector de alcantarillado del barrio Transportadores, en la quebrada de Los Muertos, durante el cuatrienio</v>
      </c>
      <c r="Q141" s="302" t="str">
        <f>'PLAN INDICATIVO'!Q141</f>
        <v>No. De apoyos realizados para la construccion del colector</v>
      </c>
      <c r="R141" s="303">
        <f>'PLAN INDICATIVO'!R141</f>
        <v>2015</v>
      </c>
      <c r="S141" s="304">
        <v>0</v>
      </c>
      <c r="T141" s="677">
        <v>1</v>
      </c>
      <c r="U141" s="304">
        <v>0</v>
      </c>
      <c r="V141" s="304">
        <v>0</v>
      </c>
      <c r="W141" s="304">
        <v>0</v>
      </c>
      <c r="X141" s="304"/>
      <c r="Y141" s="304">
        <v>0.5</v>
      </c>
      <c r="Z141" s="304">
        <v>5050000000</v>
      </c>
      <c r="AA141" s="410">
        <v>0.5</v>
      </c>
      <c r="AB141" s="686"/>
      <c r="AC141" s="665"/>
      <c r="AD141" s="665"/>
      <c r="AE141" s="665">
        <v>0.5</v>
      </c>
      <c r="AF141" s="665"/>
      <c r="AG141" s="306" t="s">
        <v>5140</v>
      </c>
      <c r="AH141" s="987">
        <v>2019413960031</v>
      </c>
      <c r="AI141" s="307"/>
      <c r="AJ141" s="309">
        <v>43497</v>
      </c>
      <c r="AK141" s="335">
        <v>43799</v>
      </c>
      <c r="AL141" s="308"/>
      <c r="AM141" s="308"/>
      <c r="AN141" s="267" t="s">
        <v>2598</v>
      </c>
      <c r="AO141" s="507"/>
      <c r="AP141" s="729"/>
      <c r="AQ141" s="730"/>
      <c r="AR141" s="730"/>
      <c r="AS141" s="730"/>
      <c r="AT141" s="730"/>
      <c r="AU141" s="730"/>
      <c r="AV141" s="730"/>
      <c r="AW141" s="731"/>
      <c r="AX141" s="525"/>
      <c r="AY141" s="310"/>
      <c r="AZ141" s="310"/>
      <c r="BA141" s="310"/>
      <c r="BB141" s="310"/>
      <c r="BC141" s="310"/>
      <c r="BD141" s="310"/>
      <c r="BE141" s="544"/>
      <c r="BF141" s="1331"/>
      <c r="BG141" s="1332"/>
      <c r="BH141" s="1332"/>
      <c r="BI141" s="1332"/>
      <c r="BJ141" s="1332"/>
      <c r="BK141" s="1332"/>
      <c r="BL141" s="1332"/>
      <c r="BM141" s="1333">
        <f t="shared" si="43"/>
        <v>0</v>
      </c>
      <c r="BN141" s="525"/>
      <c r="BO141" s="310"/>
      <c r="BP141" s="310"/>
      <c r="BQ141" s="310"/>
      <c r="BR141" s="310"/>
      <c r="BS141" s="310"/>
      <c r="BT141" s="310"/>
      <c r="BU141" s="544"/>
      <c r="BV141" s="556"/>
      <c r="BW141" s="663">
        <f t="shared" si="64"/>
        <v>0.5</v>
      </c>
      <c r="BX141" s="1047">
        <f t="shared" si="66"/>
        <v>0.5</v>
      </c>
      <c r="BY141" s="1047" t="str">
        <f t="shared" si="59"/>
        <v>Aplazada</v>
      </c>
      <c r="BZ141" s="1047" t="str">
        <f t="shared" si="65"/>
        <v>Aplazada</v>
      </c>
      <c r="CA141" s="1047">
        <f t="shared" si="60"/>
        <v>1</v>
      </c>
      <c r="CB141" s="1047">
        <f t="shared" si="61"/>
        <v>0</v>
      </c>
      <c r="CD141" t="str">
        <f t="shared" si="62"/>
        <v>AZ</v>
      </c>
      <c r="CE141" t="str">
        <f t="shared" si="62"/>
        <v>AZ</v>
      </c>
      <c r="CF141" t="str">
        <f t="shared" si="62"/>
        <v>VE</v>
      </c>
      <c r="CG141" t="str">
        <f t="shared" si="62"/>
        <v>ROB</v>
      </c>
    </row>
    <row r="142" spans="1:85" ht="99" customHeight="1" x14ac:dyDescent="0.3">
      <c r="A142" s="298" t="s">
        <v>386</v>
      </c>
      <c r="B142" s="299" t="str">
        <f>'PLAN INDICATIVO'!B142</f>
        <v>APSB</v>
      </c>
      <c r="C142" s="1547"/>
      <c r="D142" s="1549"/>
      <c r="E142" s="1549"/>
      <c r="F142" s="1549"/>
      <c r="G142" s="1549"/>
      <c r="H142" s="1549"/>
      <c r="I142" s="300">
        <f>'PLAN INDICATIVO'!I142</f>
        <v>0</v>
      </c>
      <c r="J142" s="300">
        <f>'PLAN INDICATIVO'!J142</f>
        <v>0</v>
      </c>
      <c r="K142" s="1425" t="str">
        <f>'PLAN INDICATIVO'!K142</f>
        <v>A.3.2.8</v>
      </c>
      <c r="L142" s="1425" t="str">
        <f>'PLAN INDICATIVO'!L142</f>
        <v>6. Agua limplia y saneamiento</v>
      </c>
      <c r="M142" s="1425" t="str">
        <f>'PLAN INDICATIVO'!M142</f>
        <v>EMSERPLA</v>
      </c>
      <c r="N142" s="1513" t="s">
        <v>5124</v>
      </c>
      <c r="O142" s="1425" t="str">
        <f>'PLAN INDICATIVO'!O142</f>
        <v>Mantenimiento</v>
      </c>
      <c r="P142" s="16" t="str">
        <f>'PLAN INDICATIVO'!P142</f>
        <v>Mantener 100% los subsidios de alcantarillado a la totalidad de usuarios  de estratos 1 y 2, durante el cuatrienio.</v>
      </c>
      <c r="Q142" s="302" t="str">
        <f>'PLAN INDICATIVO'!Q142</f>
        <v>Porcentaje de Subsidios entregados cada año</v>
      </c>
      <c r="R142" s="303">
        <f>'PLAN INDICATIVO'!R142</f>
        <v>2015</v>
      </c>
      <c r="S142" s="304">
        <v>100</v>
      </c>
      <c r="T142" s="677">
        <v>100</v>
      </c>
      <c r="U142" s="304">
        <v>100</v>
      </c>
      <c r="V142" s="304">
        <v>83420000</v>
      </c>
      <c r="W142" s="304">
        <v>100</v>
      </c>
      <c r="X142" s="304">
        <v>183200000</v>
      </c>
      <c r="Y142" s="304">
        <v>100</v>
      </c>
      <c r="Z142" s="304">
        <v>189610000</v>
      </c>
      <c r="AA142" s="410">
        <v>100</v>
      </c>
      <c r="AB142" s="686">
        <v>123310077</v>
      </c>
      <c r="AC142" s="665"/>
      <c r="AD142" s="665">
        <v>100</v>
      </c>
      <c r="AE142" s="665">
        <v>100</v>
      </c>
      <c r="AF142" s="665">
        <v>70</v>
      </c>
      <c r="AG142" s="306" t="s">
        <v>5140</v>
      </c>
      <c r="AH142" s="987">
        <v>2019413960031</v>
      </c>
      <c r="AI142" s="307" t="s">
        <v>4851</v>
      </c>
      <c r="AJ142" s="309">
        <v>43497</v>
      </c>
      <c r="AK142" s="335">
        <v>43814</v>
      </c>
      <c r="AL142" s="308"/>
      <c r="AM142" s="308"/>
      <c r="AN142" s="267" t="s">
        <v>2598</v>
      </c>
      <c r="AO142" s="507"/>
      <c r="AP142" s="729"/>
      <c r="AQ142" s="730"/>
      <c r="AR142" s="730"/>
      <c r="AS142" s="730"/>
      <c r="AT142" s="730"/>
      <c r="AU142" s="730"/>
      <c r="AV142" s="730"/>
      <c r="AW142" s="731"/>
      <c r="AX142" s="525"/>
      <c r="AY142" s="310"/>
      <c r="AZ142" s="310"/>
      <c r="BA142" s="310"/>
      <c r="BB142" s="310"/>
      <c r="BC142" s="310"/>
      <c r="BD142" s="310"/>
      <c r="BE142" s="544"/>
      <c r="BF142" s="525"/>
      <c r="BG142" s="310"/>
      <c r="BH142" s="310"/>
      <c r="BI142" s="310"/>
      <c r="BJ142" s="310"/>
      <c r="BK142" s="310"/>
      <c r="BL142" s="310"/>
      <c r="BM142" s="544">
        <f t="shared" si="43"/>
        <v>0</v>
      </c>
      <c r="BN142" s="525"/>
      <c r="BO142" s="310"/>
      <c r="BP142" s="310"/>
      <c r="BQ142" s="310"/>
      <c r="BR142" s="310"/>
      <c r="BS142" s="310"/>
      <c r="BT142" s="310"/>
      <c r="BU142" s="544"/>
      <c r="BV142" s="556"/>
      <c r="BW142" s="663">
        <f t="shared" si="64"/>
        <v>270</v>
      </c>
      <c r="BX142" s="1047">
        <f t="shared" si="66"/>
        <v>2.7</v>
      </c>
      <c r="BY142" s="1047">
        <f t="shared" si="59"/>
        <v>0</v>
      </c>
      <c r="BZ142" s="1047">
        <f t="shared" si="65"/>
        <v>1</v>
      </c>
      <c r="CA142" s="1047">
        <f t="shared" si="60"/>
        <v>1</v>
      </c>
      <c r="CB142" s="1047">
        <f t="shared" si="61"/>
        <v>0.7</v>
      </c>
      <c r="CD142" t="str">
        <f t="shared" si="62"/>
        <v>ROB</v>
      </c>
      <c r="CE142" t="str">
        <f t="shared" si="62"/>
        <v>VE</v>
      </c>
      <c r="CF142" t="str">
        <f t="shared" si="62"/>
        <v>VE</v>
      </c>
      <c r="CG142" t="str">
        <f t="shared" si="62"/>
        <v>AM</v>
      </c>
    </row>
    <row r="143" spans="1:85" ht="90" customHeight="1" x14ac:dyDescent="0.3">
      <c r="A143" s="298" t="s">
        <v>386</v>
      </c>
      <c r="B143" s="299" t="str">
        <f>'PLAN INDICATIVO'!B143</f>
        <v>APSB</v>
      </c>
      <c r="C143" s="1548"/>
      <c r="D143" s="1549"/>
      <c r="E143" s="1549"/>
      <c r="F143" s="1549"/>
      <c r="G143" s="1549"/>
      <c r="H143" s="1549"/>
      <c r="I143" s="300">
        <f>'PLAN INDICATIVO'!I143</f>
        <v>0</v>
      </c>
      <c r="J143" s="300">
        <f>'PLAN INDICATIVO'!J143</f>
        <v>0</v>
      </c>
      <c r="K143" s="1425" t="str">
        <f>'PLAN INDICATIVO'!K143</f>
        <v>A.3.2.9</v>
      </c>
      <c r="L143" s="1425" t="str">
        <f>'PLAN INDICATIVO'!L143</f>
        <v>6. Agua limplia y saneamiento</v>
      </c>
      <c r="M143" s="1425" t="str">
        <f>'PLAN INDICATIVO'!M143</f>
        <v>EMSERPLA</v>
      </c>
      <c r="N143" s="1513" t="s">
        <v>5124</v>
      </c>
      <c r="O143" s="1425" t="str">
        <f>'PLAN INDICATIVO'!O143</f>
        <v>Incremento</v>
      </c>
      <c r="P143" s="16" t="str">
        <f>'PLAN INDICATIVO'!P143</f>
        <v>Construir 250 baterías sanitarias en el cuatrienio</v>
      </c>
      <c r="Q143" s="302" t="str">
        <f>'PLAN INDICATIVO'!Q143</f>
        <v>No. De baterías sanitarias construidas</v>
      </c>
      <c r="R143" s="303">
        <f>'PLAN INDICATIVO'!R143</f>
        <v>2015</v>
      </c>
      <c r="S143" s="304">
        <v>0</v>
      </c>
      <c r="T143" s="677">
        <v>250</v>
      </c>
      <c r="U143" s="304">
        <v>50</v>
      </c>
      <c r="V143" s="304">
        <v>80000000</v>
      </c>
      <c r="W143" s="304">
        <v>52</v>
      </c>
      <c r="X143" s="304">
        <v>20000000</v>
      </c>
      <c r="Y143" s="304">
        <v>120</v>
      </c>
      <c r="Z143" s="304">
        <v>97000000</v>
      </c>
      <c r="AA143" s="410">
        <v>50</v>
      </c>
      <c r="AB143" s="686">
        <v>1000000</v>
      </c>
      <c r="AC143" s="665"/>
      <c r="AD143" s="665">
        <v>147</v>
      </c>
      <c r="AE143" s="665">
        <f>123+16</f>
        <v>139</v>
      </c>
      <c r="AF143" s="665">
        <v>20</v>
      </c>
      <c r="AG143" s="306" t="s">
        <v>5140</v>
      </c>
      <c r="AH143" s="987">
        <v>2019413960031</v>
      </c>
      <c r="AI143" s="307" t="s">
        <v>4874</v>
      </c>
      <c r="AJ143" s="309">
        <v>43497</v>
      </c>
      <c r="AK143" s="339">
        <v>43814</v>
      </c>
      <c r="AL143" s="308"/>
      <c r="AM143" s="308"/>
      <c r="AN143" s="267" t="s">
        <v>2598</v>
      </c>
      <c r="AO143" s="507"/>
      <c r="AP143" s="525"/>
      <c r="AQ143" s="310"/>
      <c r="AR143" s="310"/>
      <c r="AS143" s="310"/>
      <c r="AT143" s="310"/>
      <c r="AU143" s="380"/>
      <c r="AV143" s="310"/>
      <c r="AW143" s="544"/>
      <c r="AX143" s="525"/>
      <c r="AY143" s="310"/>
      <c r="AZ143" s="310"/>
      <c r="BA143" s="310"/>
      <c r="BB143" s="310"/>
      <c r="BC143" s="380"/>
      <c r="BD143" s="310"/>
      <c r="BE143" s="544"/>
      <c r="BF143" s="525"/>
      <c r="BG143" s="310"/>
      <c r="BH143" s="310"/>
      <c r="BI143" s="310"/>
      <c r="BJ143" s="310"/>
      <c r="BK143" s="380"/>
      <c r="BL143" s="310"/>
      <c r="BM143" s="544">
        <f t="shared" si="43"/>
        <v>0</v>
      </c>
      <c r="BN143" s="525"/>
      <c r="BO143" s="310"/>
      <c r="BP143" s="310"/>
      <c r="BQ143" s="310"/>
      <c r="BR143" s="310"/>
      <c r="BS143" s="380"/>
      <c r="BT143" s="310"/>
      <c r="BU143" s="544"/>
      <c r="BV143" s="556"/>
      <c r="BW143" s="663">
        <f t="shared" si="64"/>
        <v>306</v>
      </c>
      <c r="BX143" s="1047">
        <f t="shared" si="66"/>
        <v>1.224</v>
      </c>
      <c r="BY143" s="1047">
        <f t="shared" si="59"/>
        <v>0</v>
      </c>
      <c r="BZ143" s="1047">
        <f t="shared" si="65"/>
        <v>2.8269230769230771</v>
      </c>
      <c r="CA143" s="1047">
        <f t="shared" si="60"/>
        <v>1.1583333333333334</v>
      </c>
      <c r="CB143" s="1047">
        <f t="shared" si="61"/>
        <v>0.4</v>
      </c>
      <c r="CD143" t="str">
        <f t="shared" si="62"/>
        <v>ROB</v>
      </c>
      <c r="CE143" t="str">
        <f t="shared" si="62"/>
        <v>VE</v>
      </c>
      <c r="CF143" t="str">
        <f t="shared" si="62"/>
        <v>VE</v>
      </c>
      <c r="CG143" t="str">
        <f t="shared" si="62"/>
        <v>RO</v>
      </c>
    </row>
    <row r="144" spans="1:85" ht="21" customHeight="1" x14ac:dyDescent="0.3">
      <c r="A144" s="295"/>
      <c r="B144" s="24"/>
      <c r="C144" s="1574" t="s">
        <v>464</v>
      </c>
      <c r="D144" s="1575"/>
      <c r="E144" s="1575"/>
      <c r="F144" s="1575"/>
      <c r="G144" s="1575"/>
      <c r="H144" s="1575"/>
      <c r="I144" s="1575"/>
      <c r="J144" s="1575"/>
      <c r="K144" s="1575"/>
      <c r="L144" s="1575"/>
      <c r="M144" s="1575"/>
      <c r="N144" s="1575"/>
      <c r="O144" s="1576"/>
      <c r="P144" s="22"/>
      <c r="Q144" s="22"/>
      <c r="R144" s="1"/>
      <c r="S144" s="261"/>
      <c r="T144" s="681"/>
      <c r="U144" s="261"/>
      <c r="V144" s="693">
        <f>SUM(V145:V151)</f>
        <v>499950000</v>
      </c>
      <c r="W144" s="691"/>
      <c r="X144" s="693">
        <f>SUM(X145:X151)</f>
        <v>347250000</v>
      </c>
      <c r="Y144" s="691"/>
      <c r="Z144" s="693">
        <f>SUM(Z145:Z151)</f>
        <v>461520000</v>
      </c>
      <c r="AA144" s="692"/>
      <c r="AB144" s="1526">
        <f>SUM(AB145:AB151)</f>
        <v>575526407</v>
      </c>
      <c r="AC144" s="262"/>
      <c r="AD144" s="262"/>
      <c r="AE144" s="262"/>
      <c r="AF144" s="262"/>
      <c r="AG144" s="263"/>
      <c r="AH144" s="263"/>
      <c r="AI144" s="263"/>
      <c r="AJ144" s="262"/>
      <c r="AK144" s="262"/>
      <c r="AL144" s="262"/>
      <c r="AM144" s="262"/>
      <c r="AN144" s="262"/>
      <c r="AO144" s="612"/>
      <c r="AP144" s="616"/>
      <c r="AQ144" s="616"/>
      <c r="AR144" s="616"/>
      <c r="AS144" s="616"/>
      <c r="AT144" s="616"/>
      <c r="AU144" s="616"/>
      <c r="AV144" s="616"/>
      <c r="AW144" s="617"/>
      <c r="AX144" s="616"/>
      <c r="AY144" s="616"/>
      <c r="AZ144" s="616"/>
      <c r="BA144" s="616"/>
      <c r="BB144" s="616"/>
      <c r="BC144" s="616"/>
      <c r="BD144" s="616"/>
      <c r="BE144" s="617"/>
      <c r="BF144" s="616"/>
      <c r="BG144" s="616"/>
      <c r="BH144" s="616"/>
      <c r="BI144" s="616"/>
      <c r="BJ144" s="616"/>
      <c r="BK144" s="616"/>
      <c r="BL144" s="616"/>
      <c r="BM144" s="617">
        <f t="shared" si="43"/>
        <v>0</v>
      </c>
      <c r="BN144" s="616"/>
      <c r="BO144" s="616"/>
      <c r="BP144" s="616"/>
      <c r="BQ144" s="616"/>
      <c r="BR144" s="616"/>
      <c r="BS144" s="616"/>
      <c r="BT144" s="616"/>
      <c r="BU144" s="617"/>
      <c r="BV144" s="556"/>
      <c r="BW144" s="663" t="s">
        <v>2717</v>
      </c>
      <c r="BX144" s="617" t="s">
        <v>2717</v>
      </c>
      <c r="BY144" s="617" t="s">
        <v>2717</v>
      </c>
      <c r="BZ144" s="617" t="s">
        <v>2717</v>
      </c>
      <c r="CA144" s="617" t="s">
        <v>2717</v>
      </c>
      <c r="CB144" s="1047" t="s">
        <v>2717</v>
      </c>
    </row>
    <row r="145" spans="1:85" ht="74.25" hidden="1" customHeight="1" x14ac:dyDescent="0.25">
      <c r="A145" s="298" t="s">
        <v>386</v>
      </c>
      <c r="B145" s="299" t="str">
        <f>'PLAN INDICATIVO'!B145</f>
        <v>APSB</v>
      </c>
      <c r="C145" s="1546" t="s">
        <v>465</v>
      </c>
      <c r="D145" s="1549" t="s">
        <v>466</v>
      </c>
      <c r="E145" s="1549" t="s">
        <v>467</v>
      </c>
      <c r="F145" s="1549">
        <v>2015</v>
      </c>
      <c r="G145" s="1549">
        <v>98</v>
      </c>
      <c r="H145" s="1549">
        <v>100</v>
      </c>
      <c r="I145" s="1425" t="str">
        <f>'PLAN INDICATIVO'!I145</f>
        <v>SI</v>
      </c>
      <c r="J145" s="1425">
        <f>'PLAN INDICATIVO'!J145</f>
        <v>0</v>
      </c>
      <c r="K145" s="1425" t="str">
        <f>'PLAN INDICATIVO'!K145</f>
        <v>A.3.3.1</v>
      </c>
      <c r="L145" s="1425" t="str">
        <f>'PLAN INDICATIVO'!L145</f>
        <v>6. Agua limplia y saneamiento</v>
      </c>
      <c r="M145" s="1425" t="str">
        <f>'PLAN INDICATIVO'!M145</f>
        <v>EMSERPLA</v>
      </c>
      <c r="N145" s="1513" t="s">
        <v>5124</v>
      </c>
      <c r="O145" s="1425" t="str">
        <f>'PLAN INDICATIVO'!O145</f>
        <v>Incremento</v>
      </c>
      <c r="P145" s="16" t="str">
        <f>'PLAN INDICATIVO'!P145</f>
        <v>Adquirir 1 vehículo compactador para mejorar la prestación del servicio de recolección de residuos sólidos en sector urbano y rural, durante el cuatrienio</v>
      </c>
      <c r="Q145" s="302" t="str">
        <f>'PLAN INDICATIVO'!Q145</f>
        <v xml:space="preserve">No. De vehículos adquiridos </v>
      </c>
      <c r="R145" s="303">
        <f>'PLAN INDICATIVO'!R145</f>
        <v>2015</v>
      </c>
      <c r="S145" s="304">
        <v>0</v>
      </c>
      <c r="T145" s="677">
        <v>1</v>
      </c>
      <c r="U145" s="304">
        <v>1</v>
      </c>
      <c r="V145" s="304">
        <v>0</v>
      </c>
      <c r="W145" s="304"/>
      <c r="X145" s="304"/>
      <c r="Y145" s="304"/>
      <c r="Z145" s="304"/>
      <c r="AA145" s="410"/>
      <c r="AB145" s="687"/>
      <c r="AC145" s="665"/>
      <c r="AD145" s="665"/>
      <c r="AE145" s="665"/>
      <c r="AF145" s="665"/>
      <c r="AG145" s="306" t="s">
        <v>5140</v>
      </c>
      <c r="AH145" s="987">
        <v>2019413960031</v>
      </c>
      <c r="AI145" s="307"/>
      <c r="AJ145" s="309"/>
      <c r="AK145" s="339"/>
      <c r="AL145" s="337"/>
      <c r="AM145" s="337"/>
      <c r="AN145" s="267" t="s">
        <v>2594</v>
      </c>
      <c r="AO145" s="510"/>
      <c r="AP145" s="730"/>
      <c r="AQ145" s="730"/>
      <c r="AR145" s="730"/>
      <c r="AS145" s="730"/>
      <c r="AT145" s="730"/>
      <c r="AU145" s="730"/>
      <c r="AV145" s="730"/>
      <c r="AW145" s="730"/>
      <c r="AX145" s="529"/>
      <c r="AY145" s="473"/>
      <c r="AZ145" s="473"/>
      <c r="BA145" s="473"/>
      <c r="BB145" s="473"/>
      <c r="BC145" s="473"/>
      <c r="BD145" s="473"/>
      <c r="BE145" s="544"/>
      <c r="BF145" s="529"/>
      <c r="BG145" s="473"/>
      <c r="BH145" s="473"/>
      <c r="BI145" s="473"/>
      <c r="BJ145" s="473"/>
      <c r="BK145" s="473"/>
      <c r="BL145" s="473"/>
      <c r="BM145" s="544">
        <f t="shared" si="43"/>
        <v>0</v>
      </c>
      <c r="BN145" s="529"/>
      <c r="BO145" s="473"/>
      <c r="BP145" s="473"/>
      <c r="BQ145" s="473"/>
      <c r="BR145" s="473"/>
      <c r="BS145" s="473"/>
      <c r="BT145" s="473"/>
      <c r="BU145" s="544"/>
      <c r="BV145" s="556"/>
      <c r="BW145" s="663">
        <f t="shared" si="64"/>
        <v>0</v>
      </c>
      <c r="BX145" s="1047">
        <f t="shared" ref="BX145:BX209" si="67">BW145/T145</f>
        <v>0</v>
      </c>
      <c r="BY145" s="1047">
        <f t="shared" ref="BY145:BY151" si="68">IF(U145&gt;=0.1,AC145/U145,IF(ISBLANK(U145),"No Programada","Aplazada"))</f>
        <v>0</v>
      </c>
      <c r="BZ145" s="1047" t="str">
        <f t="shared" ref="BZ145:BZ151" si="69">IF(W145&gt;=0.1,AD145/W145,IF(ISBLANK(W145),"No Programada","Aplazada"))</f>
        <v>No Programada</v>
      </c>
      <c r="CA145" s="1047" t="str">
        <f t="shared" ref="CA145:CA151" si="70">IF(Y145&gt;=0.1,AE145/Y145,IF(ISBLANK(Y145),"No Programada","Aplazada"))</f>
        <v>No Programada</v>
      </c>
      <c r="CB145" s="1047" t="str">
        <f t="shared" ref="CB145:CB151" si="71">IF(AA145&gt;=0.1,AF145/AA145,IF(ISBLANK(AA145),"No Programada","Aplazada"))</f>
        <v>No Programada</v>
      </c>
      <c r="CD145" t="str">
        <f t="shared" ref="CD145:CG151" si="72">IF(BY145="PARA MODIFICAR","M",IF(BY145="PARA ELIMINAR","E",IF(BY145="aplazada","AZ",IF(BY145="no programada","NP",IF(BY145&gt;=85%,"VE",IF(BY145&gt;70%,"VEB",IF(BY145&gt;60%,"AM",IF(BY145&gt;40%,"AMB",IF(BY145&gt;20%,"RO",IF(BY145&gt;=0%,"ROB",""))))))))))</f>
        <v>ROB</v>
      </c>
      <c r="CE145" t="str">
        <f t="shared" si="72"/>
        <v>NP</v>
      </c>
      <c r="CF145" t="str">
        <f t="shared" si="72"/>
        <v>NP</v>
      </c>
      <c r="CG145" t="str">
        <f t="shared" si="72"/>
        <v>NP</v>
      </c>
    </row>
    <row r="146" spans="1:85" ht="79.5" customHeight="1" x14ac:dyDescent="0.3">
      <c r="A146" s="298" t="s">
        <v>386</v>
      </c>
      <c r="B146" s="299" t="str">
        <f>'PLAN INDICATIVO'!B146</f>
        <v>APSB</v>
      </c>
      <c r="C146" s="1547"/>
      <c r="D146" s="1549"/>
      <c r="E146" s="1549"/>
      <c r="F146" s="1549"/>
      <c r="G146" s="1549"/>
      <c r="H146" s="1549"/>
      <c r="I146" s="300">
        <f>'PLAN INDICATIVO'!I146</f>
        <v>0</v>
      </c>
      <c r="J146" s="300">
        <f>'PLAN INDICATIVO'!J146</f>
        <v>0</v>
      </c>
      <c r="K146" s="1425" t="str">
        <f>'PLAN INDICATIVO'!K146</f>
        <v>A.3.3.2</v>
      </c>
      <c r="L146" s="1425" t="str">
        <f>'PLAN INDICATIVO'!L146</f>
        <v>6. Agua limplia y saneamiento</v>
      </c>
      <c r="M146" s="1425" t="str">
        <f>'PLAN INDICATIVO'!M146</f>
        <v>EMSERPLA</v>
      </c>
      <c r="N146" s="1513" t="s">
        <v>5124</v>
      </c>
      <c r="O146" s="1425" t="str">
        <f>'PLAN INDICATIVO'!O146</f>
        <v>Mantenimiento</v>
      </c>
      <c r="P146" s="16" t="str">
        <f>'PLAN INDICATIVO'!P146</f>
        <v xml:space="preserve">Ejecutar 1 programa "reciclamos para el cambio" cada año </v>
      </c>
      <c r="Q146" s="302" t="str">
        <f>'PLAN INDICATIVO'!Q146</f>
        <v>No. Programa ejecutados cada año</v>
      </c>
      <c r="R146" s="303">
        <f>'PLAN INDICATIVO'!R146</f>
        <v>2015</v>
      </c>
      <c r="S146" s="304">
        <v>0</v>
      </c>
      <c r="T146" s="677">
        <v>1</v>
      </c>
      <c r="U146" s="304">
        <v>0.25</v>
      </c>
      <c r="V146" s="304">
        <v>174920000</v>
      </c>
      <c r="W146" s="304">
        <v>0.25</v>
      </c>
      <c r="X146" s="304">
        <v>114760000</v>
      </c>
      <c r="Y146" s="304">
        <v>0.25</v>
      </c>
      <c r="Z146" s="304">
        <v>222280000</v>
      </c>
      <c r="AA146" s="410">
        <v>1</v>
      </c>
      <c r="AB146" s="686">
        <v>120000000</v>
      </c>
      <c r="AC146" s="665"/>
      <c r="AD146" s="665">
        <v>0.25</v>
      </c>
      <c r="AE146" s="665">
        <v>0.25</v>
      </c>
      <c r="AF146" s="665">
        <v>0.2</v>
      </c>
      <c r="AG146" s="306" t="s">
        <v>5140</v>
      </c>
      <c r="AH146" s="987">
        <v>2019413960031</v>
      </c>
      <c r="AI146" s="900" t="s">
        <v>4852</v>
      </c>
      <c r="AJ146" s="309">
        <v>43497</v>
      </c>
      <c r="AK146" s="335">
        <v>43814</v>
      </c>
      <c r="AL146" s="308"/>
      <c r="AM146" s="308"/>
      <c r="AN146" s="267" t="s">
        <v>2598</v>
      </c>
      <c r="AO146" s="510"/>
      <c r="AP146" s="730"/>
      <c r="AQ146" s="730"/>
      <c r="AR146" s="730"/>
      <c r="AS146" s="730"/>
      <c r="AT146" s="730"/>
      <c r="AU146" s="730"/>
      <c r="AV146" s="730"/>
      <c r="AW146" s="730"/>
      <c r="AX146" s="530"/>
      <c r="AY146" s="474"/>
      <c r="AZ146" s="474"/>
      <c r="BA146" s="474"/>
      <c r="BB146" s="474"/>
      <c r="BC146" s="474"/>
      <c r="BD146" s="474"/>
      <c r="BE146" s="544"/>
      <c r="BF146" s="530"/>
      <c r="BG146" s="1334"/>
      <c r="BH146" s="474"/>
      <c r="BI146" s="474"/>
      <c r="BJ146" s="474"/>
      <c r="BK146" s="474"/>
      <c r="BL146" s="474"/>
      <c r="BM146" s="544">
        <f t="shared" si="43"/>
        <v>0</v>
      </c>
      <c r="BN146" s="530"/>
      <c r="BO146" s="474"/>
      <c r="BP146" s="474"/>
      <c r="BQ146" s="474"/>
      <c r="BR146" s="474"/>
      <c r="BS146" s="474"/>
      <c r="BT146" s="474"/>
      <c r="BU146" s="544"/>
      <c r="BV146" s="556"/>
      <c r="BW146" s="663">
        <f t="shared" si="64"/>
        <v>0.7</v>
      </c>
      <c r="BX146" s="1047">
        <f t="shared" si="67"/>
        <v>0.7</v>
      </c>
      <c r="BY146" s="1047">
        <f t="shared" si="68"/>
        <v>0</v>
      </c>
      <c r="BZ146" s="1047">
        <f t="shared" si="69"/>
        <v>1</v>
      </c>
      <c r="CA146" s="1047">
        <f t="shared" si="70"/>
        <v>1</v>
      </c>
      <c r="CB146" s="1047">
        <f t="shared" si="71"/>
        <v>0.2</v>
      </c>
      <c r="CD146" t="str">
        <f t="shared" si="72"/>
        <v>ROB</v>
      </c>
      <c r="CE146" t="str">
        <f t="shared" si="72"/>
        <v>VE</v>
      </c>
      <c r="CF146" t="str">
        <f t="shared" si="72"/>
        <v>VE</v>
      </c>
      <c r="CG146" t="str">
        <f t="shared" si="72"/>
        <v>ROB</v>
      </c>
    </row>
    <row r="147" spans="1:85" ht="80.25" customHeight="1" x14ac:dyDescent="0.3">
      <c r="A147" s="298" t="s">
        <v>386</v>
      </c>
      <c r="B147" s="299" t="str">
        <f>'PLAN INDICATIVO'!B147</f>
        <v>APSB</v>
      </c>
      <c r="C147" s="1547"/>
      <c r="D147" s="1549"/>
      <c r="E147" s="1549"/>
      <c r="F147" s="1549"/>
      <c r="G147" s="1549"/>
      <c r="H147" s="1549"/>
      <c r="I147" s="300">
        <f>'PLAN INDICATIVO'!I147</f>
        <v>0</v>
      </c>
      <c r="J147" s="300">
        <f>'PLAN INDICATIVO'!J147</f>
        <v>0</v>
      </c>
      <c r="K147" s="1425" t="str">
        <f>'PLAN INDICATIVO'!K147</f>
        <v>A.3.3.3</v>
      </c>
      <c r="L147" s="1425" t="str">
        <f>'PLAN INDICATIVO'!L147</f>
        <v>6. Agua limplia y saneamiento</v>
      </c>
      <c r="M147" s="1425" t="str">
        <f>'PLAN INDICATIVO'!M147</f>
        <v>EMSERPLA</v>
      </c>
      <c r="N147" s="1513" t="s">
        <v>5124</v>
      </c>
      <c r="O147" s="1425" t="str">
        <f>'PLAN INDICATIVO'!O147</f>
        <v>Mantenimiento</v>
      </c>
      <c r="P147" s="16" t="str">
        <f>'PLAN INDICATIVO'!P147</f>
        <v>Mantener 1 programa de recolección de residuos sólidos en  centros poblados cada año</v>
      </c>
      <c r="Q147" s="302" t="str">
        <f>'PLAN INDICATIVO'!Q147</f>
        <v>No. De programas de recolección de residuos sólidos rurales por año</v>
      </c>
      <c r="R147" s="303">
        <f>'PLAN INDICATIVO'!R147</f>
        <v>2015</v>
      </c>
      <c r="S147" s="304">
        <v>1</v>
      </c>
      <c r="T147" s="677">
        <v>1</v>
      </c>
      <c r="U147" s="304">
        <v>0.25</v>
      </c>
      <c r="V147" s="304">
        <v>50030000</v>
      </c>
      <c r="W147" s="304">
        <v>0.25</v>
      </c>
      <c r="X147" s="304">
        <v>51750000</v>
      </c>
      <c r="Y147" s="304">
        <v>0.25</v>
      </c>
      <c r="Z147" s="304">
        <v>53560000</v>
      </c>
      <c r="AA147" s="410">
        <v>1</v>
      </c>
      <c r="AB147" s="686">
        <v>110000000</v>
      </c>
      <c r="AC147" s="665"/>
      <c r="AD147" s="665">
        <v>0.25</v>
      </c>
      <c r="AE147" s="665">
        <v>0.25</v>
      </c>
      <c r="AF147" s="665">
        <v>0.19</v>
      </c>
      <c r="AG147" s="306" t="s">
        <v>5140</v>
      </c>
      <c r="AH147" s="987">
        <v>2019413960031</v>
      </c>
      <c r="AI147" s="307"/>
      <c r="AJ147" s="309">
        <v>43497</v>
      </c>
      <c r="AK147" s="335">
        <v>43464</v>
      </c>
      <c r="AL147" s="308"/>
      <c r="AM147" s="308"/>
      <c r="AN147" s="267" t="s">
        <v>2598</v>
      </c>
      <c r="AO147" s="510"/>
      <c r="AP147" s="730"/>
      <c r="AQ147" s="730"/>
      <c r="AR147" s="730"/>
      <c r="AS147" s="730"/>
      <c r="AT147" s="730"/>
      <c r="AU147" s="730"/>
      <c r="AV147" s="730"/>
      <c r="AW147" s="730"/>
      <c r="AX147" s="530"/>
      <c r="AY147" s="474"/>
      <c r="AZ147" s="474"/>
      <c r="BA147" s="474"/>
      <c r="BB147" s="474"/>
      <c r="BC147" s="474"/>
      <c r="BD147" s="474"/>
      <c r="BE147" s="544"/>
      <c r="BF147" s="530"/>
      <c r="BG147" s="474"/>
      <c r="BH147" s="474"/>
      <c r="BI147" s="474"/>
      <c r="BJ147" s="474"/>
      <c r="BK147" s="474"/>
      <c r="BL147" s="474"/>
      <c r="BM147" s="544">
        <f t="shared" si="43"/>
        <v>0</v>
      </c>
      <c r="BN147" s="530"/>
      <c r="BO147" s="310"/>
      <c r="BP147" s="474"/>
      <c r="BQ147" s="474"/>
      <c r="BR147" s="474"/>
      <c r="BS147" s="474"/>
      <c r="BT147" s="474"/>
      <c r="BU147" s="544"/>
      <c r="BV147" s="556"/>
      <c r="BW147" s="663">
        <f t="shared" si="64"/>
        <v>0.69</v>
      </c>
      <c r="BX147" s="1047">
        <f t="shared" si="67"/>
        <v>0.69</v>
      </c>
      <c r="BY147" s="1047">
        <f t="shared" si="68"/>
        <v>0</v>
      </c>
      <c r="BZ147" s="1047">
        <f t="shared" si="69"/>
        <v>1</v>
      </c>
      <c r="CA147" s="1047">
        <f t="shared" si="70"/>
        <v>1</v>
      </c>
      <c r="CB147" s="1047">
        <f t="shared" si="71"/>
        <v>0.19</v>
      </c>
      <c r="CD147" t="str">
        <f t="shared" si="72"/>
        <v>ROB</v>
      </c>
      <c r="CE147" t="str">
        <f t="shared" si="72"/>
        <v>VE</v>
      </c>
      <c r="CF147" t="str">
        <f t="shared" si="72"/>
        <v>VE</v>
      </c>
      <c r="CG147" t="str">
        <f t="shared" si="72"/>
        <v>ROB</v>
      </c>
    </row>
    <row r="148" spans="1:85" ht="81.75" hidden="1" customHeight="1" x14ac:dyDescent="0.25">
      <c r="A148" s="298" t="s">
        <v>386</v>
      </c>
      <c r="B148" s="299" t="str">
        <f>'PLAN INDICATIVO'!B148</f>
        <v>APSB</v>
      </c>
      <c r="C148" s="1547"/>
      <c r="D148" s="1549"/>
      <c r="E148" s="1549"/>
      <c r="F148" s="1549"/>
      <c r="G148" s="1549"/>
      <c r="H148" s="1549"/>
      <c r="I148" s="300">
        <f>'PLAN INDICATIVO'!I148</f>
        <v>0</v>
      </c>
      <c r="J148" s="300">
        <f>'PLAN INDICATIVO'!J148</f>
        <v>0</v>
      </c>
      <c r="K148" s="1425" t="str">
        <f>'PLAN INDICATIVO'!K148</f>
        <v>A.3.3.4</v>
      </c>
      <c r="L148" s="1425" t="str">
        <f>'PLAN INDICATIVO'!L148</f>
        <v>6. Agua limplia y saneamiento</v>
      </c>
      <c r="M148" s="1425" t="str">
        <f>'PLAN INDICATIVO'!M148</f>
        <v>EMSERPLA</v>
      </c>
      <c r="N148" s="1513" t="s">
        <v>5124</v>
      </c>
      <c r="O148" s="1425" t="str">
        <f>'PLAN INDICATIVO'!O148</f>
        <v>Incremento</v>
      </c>
      <c r="P148" s="16" t="str">
        <f>'PLAN INDICATIVO'!P148</f>
        <v>Actualizar 1 Plan de Gestión Integral de Residuos sólidos (PGIRS)  durante el cuatrienio.</v>
      </c>
      <c r="Q148" s="302" t="str">
        <f>'PLAN INDICATIVO'!Q148</f>
        <v>No. De actualizaciones realizadas</v>
      </c>
      <c r="R148" s="303">
        <f>'PLAN INDICATIVO'!R148</f>
        <v>2015</v>
      </c>
      <c r="S148" s="304">
        <v>1</v>
      </c>
      <c r="T148" s="677">
        <v>1</v>
      </c>
      <c r="U148" s="304">
        <v>1</v>
      </c>
      <c r="V148" s="304">
        <v>0</v>
      </c>
      <c r="W148" s="304"/>
      <c r="X148" s="304"/>
      <c r="Y148" s="304"/>
      <c r="Z148" s="304"/>
      <c r="AA148" s="410"/>
      <c r="AB148" s="686"/>
      <c r="AC148" s="665"/>
      <c r="AD148" s="665"/>
      <c r="AE148" s="665"/>
      <c r="AF148" s="665"/>
      <c r="AG148" s="306" t="s">
        <v>5140</v>
      </c>
      <c r="AH148" s="987">
        <v>2019413960031</v>
      </c>
      <c r="AI148" s="307"/>
      <c r="AJ148" s="309"/>
      <c r="AK148" s="335"/>
      <c r="AL148" s="308"/>
      <c r="AM148" s="308"/>
      <c r="AN148" s="267" t="s">
        <v>2594</v>
      </c>
      <c r="AO148" s="510"/>
      <c r="AP148" s="730"/>
      <c r="AQ148" s="730"/>
      <c r="AR148" s="730"/>
      <c r="AS148" s="730"/>
      <c r="AT148" s="730"/>
      <c r="AU148" s="730"/>
      <c r="AV148" s="730"/>
      <c r="AW148" s="730"/>
      <c r="AX148" s="530"/>
      <c r="AY148" s="474"/>
      <c r="AZ148" s="474"/>
      <c r="BA148" s="474"/>
      <c r="BB148" s="474"/>
      <c r="BC148" s="474"/>
      <c r="BD148" s="474"/>
      <c r="BE148" s="544"/>
      <c r="BF148" s="530"/>
      <c r="BG148" s="474"/>
      <c r="BH148" s="474"/>
      <c r="BI148" s="474"/>
      <c r="BJ148" s="474"/>
      <c r="BK148" s="474"/>
      <c r="BL148" s="474"/>
      <c r="BM148" s="544">
        <f t="shared" si="43"/>
        <v>0</v>
      </c>
      <c r="BN148" s="530"/>
      <c r="BO148" s="474"/>
      <c r="BP148" s="474"/>
      <c r="BQ148" s="474"/>
      <c r="BR148" s="474"/>
      <c r="BS148" s="474"/>
      <c r="BT148" s="474"/>
      <c r="BU148" s="544"/>
      <c r="BV148" s="556"/>
      <c r="BW148" s="663">
        <f t="shared" si="64"/>
        <v>0</v>
      </c>
      <c r="BX148" s="1047">
        <f t="shared" si="67"/>
        <v>0</v>
      </c>
      <c r="BY148" s="1047">
        <f t="shared" si="68"/>
        <v>0</v>
      </c>
      <c r="BZ148" s="1047" t="str">
        <f t="shared" si="69"/>
        <v>No Programada</v>
      </c>
      <c r="CA148" s="1047" t="str">
        <f t="shared" si="70"/>
        <v>No Programada</v>
      </c>
      <c r="CB148" s="1047" t="str">
        <f t="shared" si="71"/>
        <v>No Programada</v>
      </c>
      <c r="CD148" t="str">
        <f t="shared" si="72"/>
        <v>ROB</v>
      </c>
      <c r="CE148" t="str">
        <f t="shared" si="72"/>
        <v>NP</v>
      </c>
      <c r="CF148" t="str">
        <f t="shared" si="72"/>
        <v>NP</v>
      </c>
      <c r="CG148" t="str">
        <f t="shared" si="72"/>
        <v>NP</v>
      </c>
    </row>
    <row r="149" spans="1:85" ht="89.25" customHeight="1" x14ac:dyDescent="0.3">
      <c r="A149" s="298" t="s">
        <v>386</v>
      </c>
      <c r="B149" s="299" t="str">
        <f>'PLAN INDICATIVO'!B149</f>
        <v>APSB</v>
      </c>
      <c r="C149" s="1547"/>
      <c r="D149" s="1549"/>
      <c r="E149" s="1549"/>
      <c r="F149" s="1549"/>
      <c r="G149" s="1549"/>
      <c r="H149" s="1549"/>
      <c r="I149" s="300">
        <f>'PLAN INDICATIVO'!I149</f>
        <v>0</v>
      </c>
      <c r="J149" s="300">
        <f>'PLAN INDICATIVO'!J149</f>
        <v>0</v>
      </c>
      <c r="K149" s="1425" t="str">
        <f>'PLAN INDICATIVO'!K149</f>
        <v>A.3.3.5</v>
      </c>
      <c r="L149" s="1425" t="str">
        <f>'PLAN INDICATIVO'!L149</f>
        <v>6. Agua limplia y saneamiento</v>
      </c>
      <c r="M149" s="1425" t="str">
        <f>'PLAN INDICATIVO'!M149</f>
        <v>EMSERPLA</v>
      </c>
      <c r="N149" s="1513" t="s">
        <v>5124</v>
      </c>
      <c r="O149" s="1425" t="str">
        <f>'PLAN INDICATIVO'!O149</f>
        <v>Mantenimiento</v>
      </c>
      <c r="P149" s="16" t="str">
        <f>'PLAN INDICATIVO'!P149</f>
        <v>Mantener los subsidios de aseo a la totalidad de usuarios  de estratos 1 y 2, durante el cuatrienio.</v>
      </c>
      <c r="Q149" s="302" t="str">
        <f>'PLAN INDICATIVO'!Q149</f>
        <v>Porcentaje de usuarios con subsidio.</v>
      </c>
      <c r="R149" s="303">
        <f>'PLAN INDICATIVO'!R149</f>
        <v>2015</v>
      </c>
      <c r="S149" s="304">
        <v>100</v>
      </c>
      <c r="T149" s="677">
        <v>100</v>
      </c>
      <c r="U149" s="304">
        <v>100</v>
      </c>
      <c r="V149" s="304">
        <v>225000000</v>
      </c>
      <c r="W149" s="304">
        <v>100</v>
      </c>
      <c r="X149" s="304">
        <v>169740000</v>
      </c>
      <c r="Y149" s="304">
        <v>100</v>
      </c>
      <c r="Z149" s="304">
        <v>175680000</v>
      </c>
      <c r="AA149" s="410">
        <v>100</v>
      </c>
      <c r="AB149" s="686">
        <v>331526407</v>
      </c>
      <c r="AC149" s="665"/>
      <c r="AD149" s="665">
        <v>100</v>
      </c>
      <c r="AE149" s="665">
        <v>100</v>
      </c>
      <c r="AF149" s="665">
        <v>100</v>
      </c>
      <c r="AG149" s="306" t="s">
        <v>5140</v>
      </c>
      <c r="AH149" s="987">
        <v>2019413960031</v>
      </c>
      <c r="AI149" s="307" t="s">
        <v>4853</v>
      </c>
      <c r="AJ149" s="309">
        <v>43497</v>
      </c>
      <c r="AK149" s="335">
        <v>43814</v>
      </c>
      <c r="AL149" s="308"/>
      <c r="AM149" s="308"/>
      <c r="AN149" s="267" t="s">
        <v>2598</v>
      </c>
      <c r="AO149" s="507"/>
      <c r="AP149" s="730"/>
      <c r="AQ149" s="730"/>
      <c r="AR149" s="730"/>
      <c r="AS149" s="730"/>
      <c r="AT149" s="730"/>
      <c r="AU149" s="730"/>
      <c r="AV149" s="730"/>
      <c r="AW149" s="730"/>
      <c r="AX149" s="530"/>
      <c r="AY149" s="474"/>
      <c r="AZ149" s="474"/>
      <c r="BA149" s="474"/>
      <c r="BB149" s="474"/>
      <c r="BC149" s="474"/>
      <c r="BD149" s="474"/>
      <c r="BE149" s="544"/>
      <c r="BF149" s="530"/>
      <c r="BG149" s="474"/>
      <c r="BH149" s="474"/>
      <c r="BI149" s="474"/>
      <c r="BJ149" s="474"/>
      <c r="BK149" s="474"/>
      <c r="BL149" s="474"/>
      <c r="BM149" s="544">
        <f t="shared" si="43"/>
        <v>0</v>
      </c>
      <c r="BN149" s="530"/>
      <c r="BO149" s="474"/>
      <c r="BP149" s="474"/>
      <c r="BQ149" s="474"/>
      <c r="BR149" s="474"/>
      <c r="BS149" s="474"/>
      <c r="BT149" s="474"/>
      <c r="BU149" s="544"/>
      <c r="BV149" s="556"/>
      <c r="BW149" s="663">
        <f t="shared" si="64"/>
        <v>300</v>
      </c>
      <c r="BX149" s="1047">
        <f t="shared" si="67"/>
        <v>3</v>
      </c>
      <c r="BY149" s="1047">
        <f t="shared" si="68"/>
        <v>0</v>
      </c>
      <c r="BZ149" s="1047">
        <f t="shared" si="69"/>
        <v>1</v>
      </c>
      <c r="CA149" s="1047">
        <f t="shared" si="70"/>
        <v>1</v>
      </c>
      <c r="CB149" s="1047">
        <f t="shared" si="71"/>
        <v>1</v>
      </c>
      <c r="CD149" t="str">
        <f t="shared" si="72"/>
        <v>ROB</v>
      </c>
      <c r="CE149" t="str">
        <f t="shared" si="72"/>
        <v>VE</v>
      </c>
      <c r="CF149" t="str">
        <f t="shared" si="72"/>
        <v>VE</v>
      </c>
      <c r="CG149" t="str">
        <f t="shared" si="72"/>
        <v>VE</v>
      </c>
    </row>
    <row r="150" spans="1:85" ht="107.25" customHeight="1" thickBot="1" x14ac:dyDescent="0.35">
      <c r="A150" s="298" t="s">
        <v>386</v>
      </c>
      <c r="B150" s="299" t="str">
        <f>'PLAN INDICATIVO'!B150</f>
        <v>APSB</v>
      </c>
      <c r="C150" s="1547"/>
      <c r="D150" s="1549"/>
      <c r="E150" s="1549"/>
      <c r="F150" s="1549"/>
      <c r="G150" s="1549"/>
      <c r="H150" s="1549"/>
      <c r="I150" s="300">
        <f>'PLAN INDICATIVO'!I150</f>
        <v>0</v>
      </c>
      <c r="J150" s="300">
        <f>'PLAN INDICATIVO'!J150</f>
        <v>0</v>
      </c>
      <c r="K150" s="1425" t="str">
        <f>'PLAN INDICATIVO'!K150</f>
        <v>A.3.3.6</v>
      </c>
      <c r="L150" s="1425" t="str">
        <f>'PLAN INDICATIVO'!L150</f>
        <v>6. Agua limplia y saneamiento</v>
      </c>
      <c r="M150" s="1425" t="str">
        <f>'PLAN INDICATIVO'!M150</f>
        <v>EMSERPLA</v>
      </c>
      <c r="N150" s="1513" t="s">
        <v>5124</v>
      </c>
      <c r="O150" s="1425" t="str">
        <f>'PLAN INDICATIVO'!O150</f>
        <v>Mantenimiento</v>
      </c>
      <c r="P150" s="16" t="str">
        <f>'PLAN INDICATIVO'!P150</f>
        <v>Incrementar  anualmente los servicios públicos  a 275 nuevos usuarios en el servicio de aseo, durante el cuatrienio.</v>
      </c>
      <c r="Q150" s="302" t="str">
        <f>'PLAN INDICATIVO'!Q150</f>
        <v>No. De nuevos usuarios con servicios públicos de aseo por año</v>
      </c>
      <c r="R150" s="303">
        <f>'PLAN INDICATIVO'!R150</f>
        <v>2015</v>
      </c>
      <c r="S150" s="304">
        <v>275</v>
      </c>
      <c r="T150" s="677">
        <v>1100</v>
      </c>
      <c r="U150" s="304">
        <v>275</v>
      </c>
      <c r="V150" s="304">
        <v>1000000</v>
      </c>
      <c r="W150" s="304">
        <v>275</v>
      </c>
      <c r="X150" s="304">
        <v>1000000</v>
      </c>
      <c r="Y150" s="304">
        <v>275</v>
      </c>
      <c r="Z150" s="304">
        <v>1000000</v>
      </c>
      <c r="AA150" s="410">
        <v>275</v>
      </c>
      <c r="AB150" s="686">
        <v>14000000</v>
      </c>
      <c r="AC150" s="665"/>
      <c r="AD150" s="665">
        <v>302</v>
      </c>
      <c r="AE150" s="665">
        <v>301</v>
      </c>
      <c r="AF150" s="665">
        <v>222</v>
      </c>
      <c r="AG150" s="306" t="s">
        <v>5140</v>
      </c>
      <c r="AH150" s="987">
        <v>2019413960031</v>
      </c>
      <c r="AI150" s="307" t="s">
        <v>4746</v>
      </c>
      <c r="AJ150" s="335">
        <v>43102</v>
      </c>
      <c r="AK150" s="335">
        <v>43799</v>
      </c>
      <c r="AL150" s="308"/>
      <c r="AM150" s="308"/>
      <c r="AN150" s="267" t="s">
        <v>2598</v>
      </c>
      <c r="AO150" s="507"/>
      <c r="AP150" s="730"/>
      <c r="AQ150" s="730"/>
      <c r="AR150" s="730"/>
      <c r="AS150" s="730"/>
      <c r="AT150" s="730"/>
      <c r="AU150" s="730"/>
      <c r="AV150" s="730"/>
      <c r="AW150" s="730"/>
      <c r="AX150" s="530"/>
      <c r="AY150" s="474"/>
      <c r="AZ150" s="474"/>
      <c r="BA150" s="474"/>
      <c r="BB150" s="474"/>
      <c r="BC150" s="474"/>
      <c r="BD150" s="474"/>
      <c r="BE150" s="544"/>
      <c r="BF150" s="530"/>
      <c r="BG150" s="474"/>
      <c r="BH150" s="474"/>
      <c r="BI150" s="474"/>
      <c r="BJ150" s="474"/>
      <c r="BK150" s="474"/>
      <c r="BL150" s="474"/>
      <c r="BM150" s="544">
        <f t="shared" si="43"/>
        <v>0</v>
      </c>
      <c r="BN150" s="530"/>
      <c r="BO150" s="474"/>
      <c r="BP150" s="474"/>
      <c r="BQ150" s="474"/>
      <c r="BR150" s="474"/>
      <c r="BS150" s="474"/>
      <c r="BT150" s="474"/>
      <c r="BU150" s="544"/>
      <c r="BV150" s="556"/>
      <c r="BW150" s="663">
        <f t="shared" si="64"/>
        <v>825</v>
      </c>
      <c r="BX150" s="1047">
        <f t="shared" si="67"/>
        <v>0.75</v>
      </c>
      <c r="BY150" s="1047">
        <f t="shared" si="68"/>
        <v>0</v>
      </c>
      <c r="BZ150" s="1047">
        <f t="shared" si="69"/>
        <v>1.0981818181818181</v>
      </c>
      <c r="CA150" s="1047">
        <f t="shared" si="70"/>
        <v>1.0945454545454545</v>
      </c>
      <c r="CB150" s="1047">
        <f t="shared" si="71"/>
        <v>0.80727272727272725</v>
      </c>
      <c r="CD150" t="str">
        <f t="shared" si="72"/>
        <v>ROB</v>
      </c>
      <c r="CE150" t="str">
        <f t="shared" si="72"/>
        <v>VE</v>
      </c>
      <c r="CF150" t="str">
        <f t="shared" si="72"/>
        <v>VE</v>
      </c>
      <c r="CG150" t="str">
        <f t="shared" si="72"/>
        <v>VEB</v>
      </c>
    </row>
    <row r="151" spans="1:85" ht="101.25" hidden="1" customHeight="1" thickBot="1" x14ac:dyDescent="0.3">
      <c r="A151" s="298" t="s">
        <v>386</v>
      </c>
      <c r="B151" s="394" t="str">
        <f>'PLAN INDICATIVO'!B151</f>
        <v>APSB</v>
      </c>
      <c r="C151" s="1547"/>
      <c r="D151" s="1550"/>
      <c r="E151" s="1550"/>
      <c r="F151" s="1550"/>
      <c r="G151" s="1550"/>
      <c r="H151" s="1550"/>
      <c r="I151" s="395">
        <f>'PLAN INDICATIVO'!I151</f>
        <v>0</v>
      </c>
      <c r="J151" s="395">
        <f>'PLAN INDICATIVO'!J151</f>
        <v>0</v>
      </c>
      <c r="K151" s="1426" t="str">
        <f>'PLAN INDICATIVO'!K151</f>
        <v>A.3.3.7</v>
      </c>
      <c r="L151" s="1426" t="str">
        <f>'PLAN INDICATIVO'!L151</f>
        <v>6. Agua limplia y saneamiento</v>
      </c>
      <c r="M151" s="1426" t="str">
        <f>'PLAN INDICATIVO'!M151</f>
        <v>EMSERPLA</v>
      </c>
      <c r="N151" s="1513" t="s">
        <v>5124</v>
      </c>
      <c r="O151" s="1426" t="str">
        <f>'PLAN INDICATIVO'!O151</f>
        <v>Incremento</v>
      </c>
      <c r="P151" s="16" t="str">
        <f>'PLAN INDICATIVO'!P151</f>
        <v>Gestionar  esfuerzos con entidades públicas o privadas para formulación de un proyecto de  1 relleno sanitario regional en el occidente del Huila, durante el cuatrienio</v>
      </c>
      <c r="Q151" s="350" t="str">
        <f>'PLAN INDICATIVO'!Q151</f>
        <v>No. De proyecto gestionado</v>
      </c>
      <c r="R151" s="397">
        <f>'PLAN INDICATIVO'!R151</f>
        <v>2015</v>
      </c>
      <c r="S151" s="1433">
        <v>0</v>
      </c>
      <c r="T151" s="682">
        <v>1</v>
      </c>
      <c r="U151" s="304">
        <v>1</v>
      </c>
      <c r="V151" s="304">
        <v>49000000</v>
      </c>
      <c r="W151" s="304">
        <v>1</v>
      </c>
      <c r="X151" s="304">
        <v>10000000</v>
      </c>
      <c r="Y151" s="304"/>
      <c r="Z151" s="304">
        <v>9000000</v>
      </c>
      <c r="AA151" s="418">
        <v>1</v>
      </c>
      <c r="AB151" s="687"/>
      <c r="AC151" s="668"/>
      <c r="AD151" s="668"/>
      <c r="AE151" s="668"/>
      <c r="AF151" s="668"/>
      <c r="AG151" s="338" t="s">
        <v>4110</v>
      </c>
      <c r="AH151" s="987">
        <v>2018413960026</v>
      </c>
      <c r="AI151" s="456"/>
      <c r="AJ151" s="309">
        <v>43497</v>
      </c>
      <c r="AK151" s="335">
        <v>43799</v>
      </c>
      <c r="AL151" s="457"/>
      <c r="AM151" s="457"/>
      <c r="AN151" s="436" t="s">
        <v>2594</v>
      </c>
      <c r="AO151" s="636"/>
      <c r="AP151" s="730"/>
      <c r="AQ151" s="730"/>
      <c r="AR151" s="730"/>
      <c r="AS151" s="730"/>
      <c r="AT151" s="730"/>
      <c r="AU151" s="730"/>
      <c r="AV151" s="730"/>
      <c r="AW151" s="730"/>
      <c r="AX151" s="637"/>
      <c r="AY151" s="638"/>
      <c r="AZ151" s="638"/>
      <c r="BA151" s="638"/>
      <c r="BB151" s="638"/>
      <c r="BC151" s="638"/>
      <c r="BD151" s="638"/>
      <c r="BE151" s="625"/>
      <c r="BF151" s="637"/>
      <c r="BG151" s="638"/>
      <c r="BH151" s="638"/>
      <c r="BI151" s="638"/>
      <c r="BJ151" s="638"/>
      <c r="BK151" s="638"/>
      <c r="BL151" s="638"/>
      <c r="BM151" s="625">
        <f t="shared" ref="BM151:BM216" si="73">SUM(BF151:BL151)</f>
        <v>0</v>
      </c>
      <c r="BN151" s="637"/>
      <c r="BO151" s="638"/>
      <c r="BP151" s="638"/>
      <c r="BQ151" s="638"/>
      <c r="BR151" s="638"/>
      <c r="BS151" s="638"/>
      <c r="BT151" s="638"/>
      <c r="BU151" s="625"/>
      <c r="BV151" s="556"/>
      <c r="BW151" s="663">
        <f t="shared" si="64"/>
        <v>0</v>
      </c>
      <c r="BX151" s="1047">
        <f t="shared" si="67"/>
        <v>0</v>
      </c>
      <c r="BY151" s="1047">
        <f t="shared" si="68"/>
        <v>0</v>
      </c>
      <c r="BZ151" s="1047">
        <f t="shared" si="69"/>
        <v>0</v>
      </c>
      <c r="CA151" s="1047" t="str">
        <f t="shared" si="70"/>
        <v>No Programada</v>
      </c>
      <c r="CB151" s="1047">
        <f t="shared" si="71"/>
        <v>0</v>
      </c>
      <c r="CD151" t="str">
        <f t="shared" si="72"/>
        <v>ROB</v>
      </c>
      <c r="CE151" t="str">
        <f t="shared" si="72"/>
        <v>ROB</v>
      </c>
      <c r="CF151" t="str">
        <f t="shared" si="72"/>
        <v>NP</v>
      </c>
      <c r="CG151" t="str">
        <f t="shared" si="72"/>
        <v>ROB</v>
      </c>
    </row>
    <row r="152" spans="1:85" ht="64.5" customHeight="1" thickBot="1" x14ac:dyDescent="0.35">
      <c r="A152" s="428"/>
      <c r="B152" s="439" t="str">
        <f>'PLAN INDICATIVO'!B152</f>
        <v>Atención a grupos vulnerables - promoción social</v>
      </c>
      <c r="C152" s="1635" t="s">
        <v>2733</v>
      </c>
      <c r="D152" s="1609"/>
      <c r="E152" s="1609"/>
      <c r="F152" s="1609"/>
      <c r="G152" s="1609"/>
      <c r="H152" s="1609"/>
      <c r="I152" s="1609"/>
      <c r="J152" s="1609"/>
      <c r="K152" s="1609"/>
      <c r="L152" s="1609"/>
      <c r="M152" s="1609"/>
      <c r="N152" s="1609"/>
      <c r="O152" s="1609"/>
      <c r="P152" s="1609"/>
      <c r="Q152" s="1609"/>
      <c r="R152" s="1609"/>
      <c r="S152" s="1609"/>
      <c r="T152" s="1609"/>
      <c r="U152" s="1609"/>
      <c r="V152" s="1609"/>
      <c r="W152" s="1609"/>
      <c r="X152" s="1609"/>
      <c r="Y152" s="1609"/>
      <c r="Z152" s="1609"/>
      <c r="AA152" s="1609"/>
      <c r="AB152" s="1609"/>
      <c r="AC152" s="1609"/>
      <c r="AD152" s="1609"/>
      <c r="AE152" s="1609"/>
      <c r="AF152" s="1609"/>
      <c r="AG152" s="1609"/>
      <c r="AH152" s="1609"/>
      <c r="AI152" s="1609"/>
      <c r="AJ152" s="1609"/>
      <c r="AK152" s="1609"/>
      <c r="AL152" s="1609"/>
      <c r="AM152" s="1610"/>
      <c r="AN152" s="640"/>
      <c r="AO152" s="626"/>
      <c r="AP152" s="627"/>
      <c r="AQ152" s="628"/>
      <c r="AR152" s="628"/>
      <c r="AS152" s="628"/>
      <c r="AT152" s="628"/>
      <c r="AU152" s="628"/>
      <c r="AV152" s="628"/>
      <c r="AW152" s="634"/>
      <c r="AX152" s="627"/>
      <c r="AY152" s="628"/>
      <c r="AZ152" s="628"/>
      <c r="BA152" s="628"/>
      <c r="BB152" s="628"/>
      <c r="BC152" s="628"/>
      <c r="BD152" s="628"/>
      <c r="BE152" s="634"/>
      <c r="BF152" s="627"/>
      <c r="BG152" s="628"/>
      <c r="BH152" s="628"/>
      <c r="BI152" s="628"/>
      <c r="BJ152" s="628"/>
      <c r="BK152" s="628"/>
      <c r="BL152" s="628"/>
      <c r="BM152" s="634">
        <f t="shared" si="73"/>
        <v>0</v>
      </c>
      <c r="BN152" s="627"/>
      <c r="BO152" s="628"/>
      <c r="BP152" s="628"/>
      <c r="BQ152" s="628"/>
      <c r="BR152" s="628"/>
      <c r="BS152" s="628"/>
      <c r="BT152" s="628"/>
      <c r="BU152" s="634"/>
      <c r="BV152" s="652"/>
      <c r="BW152" s="634" t="s">
        <v>2717</v>
      </c>
      <c r="BX152" s="634" t="s">
        <v>2717</v>
      </c>
      <c r="BY152" s="634" t="s">
        <v>2717</v>
      </c>
      <c r="BZ152" s="634" t="s">
        <v>2717</v>
      </c>
      <c r="CA152" s="634" t="s">
        <v>2717</v>
      </c>
      <c r="CB152" s="1047" t="s">
        <v>2717</v>
      </c>
    </row>
    <row r="153" spans="1:85" ht="50.25" customHeight="1" x14ac:dyDescent="0.3">
      <c r="A153" s="391"/>
      <c r="B153" s="331" t="str">
        <f>'PLAN INDICATIVO'!B153</f>
        <v>Atención a grupos vulnerables - promoción social</v>
      </c>
      <c r="C153" s="1611" t="s">
        <v>2734</v>
      </c>
      <c r="D153" s="1612"/>
      <c r="E153" s="1612"/>
      <c r="F153" s="1612"/>
      <c r="G153" s="1612"/>
      <c r="H153" s="1612"/>
      <c r="I153" s="1612"/>
      <c r="J153" s="1612"/>
      <c r="K153" s="1612"/>
      <c r="L153" s="1612"/>
      <c r="M153" s="1612"/>
      <c r="N153" s="1612"/>
      <c r="O153" s="1612"/>
      <c r="P153" s="1613"/>
      <c r="Q153" s="318"/>
      <c r="R153" s="317"/>
      <c r="S153" s="319"/>
      <c r="T153" s="676"/>
      <c r="U153" s="319"/>
      <c r="V153" s="695">
        <f>SUM(V154:V177)</f>
        <v>95200000</v>
      </c>
      <c r="W153" s="319"/>
      <c r="X153" s="695">
        <f>SUM(X154:X177)</f>
        <v>95570000</v>
      </c>
      <c r="Y153" s="319"/>
      <c r="Z153" s="695">
        <f>SUM(Z154:Z177)</f>
        <v>98840000</v>
      </c>
      <c r="AA153" s="319"/>
      <c r="AB153" s="695">
        <f>SUM(AB154:AB177)</f>
        <v>130200000</v>
      </c>
      <c r="AC153" s="319"/>
      <c r="AD153" s="319"/>
      <c r="AE153" s="319"/>
      <c r="AF153" s="319"/>
      <c r="AG153" s="458"/>
      <c r="AH153" s="458"/>
      <c r="AI153" s="458"/>
      <c r="AJ153" s="319"/>
      <c r="AK153" s="319"/>
      <c r="AL153" s="319"/>
      <c r="AM153" s="319"/>
      <c r="AN153" s="319"/>
      <c r="AO153" s="639"/>
      <c r="AP153" s="631"/>
      <c r="AQ153" s="631"/>
      <c r="AR153" s="631"/>
      <c r="AS153" s="631"/>
      <c r="AT153" s="631"/>
      <c r="AU153" s="631"/>
      <c r="AV153" s="631"/>
      <c r="AW153" s="617"/>
      <c r="AX153" s="631"/>
      <c r="AY153" s="631"/>
      <c r="AZ153" s="631"/>
      <c r="BA153" s="631"/>
      <c r="BB153" s="631"/>
      <c r="BC153" s="631"/>
      <c r="BD153" s="631"/>
      <c r="BE153" s="617"/>
      <c r="BF153" s="631"/>
      <c r="BG153" s="631"/>
      <c r="BH153" s="631"/>
      <c r="BI153" s="631"/>
      <c r="BJ153" s="631"/>
      <c r="BK153" s="631"/>
      <c r="BL153" s="631"/>
      <c r="BM153" s="617">
        <f t="shared" si="73"/>
        <v>0</v>
      </c>
      <c r="BN153" s="631"/>
      <c r="BO153" s="631"/>
      <c r="BP153" s="631"/>
      <c r="BQ153" s="631"/>
      <c r="BR153" s="631"/>
      <c r="BS153" s="631"/>
      <c r="BT153" s="631"/>
      <c r="BU153" s="617"/>
      <c r="BV153" s="556"/>
      <c r="BW153" s="617" t="s">
        <v>2717</v>
      </c>
      <c r="BX153" s="617" t="s">
        <v>2717</v>
      </c>
      <c r="BY153" s="617" t="s">
        <v>2717</v>
      </c>
      <c r="BZ153" s="617" t="s">
        <v>2717</v>
      </c>
      <c r="CA153" s="617" t="s">
        <v>2717</v>
      </c>
      <c r="CB153" s="1047" t="s">
        <v>2717</v>
      </c>
    </row>
    <row r="154" spans="1:85" ht="93.75" customHeight="1" x14ac:dyDescent="0.3">
      <c r="A154" s="298" t="s">
        <v>491</v>
      </c>
      <c r="B154" s="299" t="str">
        <f>'PLAN INDICATIVO'!B154</f>
        <v>Atención a grupos vulnerables - promoción social</v>
      </c>
      <c r="C154" s="1546" t="s">
        <v>492</v>
      </c>
      <c r="D154" s="1550" t="s">
        <v>493</v>
      </c>
      <c r="E154" s="1550" t="s">
        <v>494</v>
      </c>
      <c r="F154" s="1550">
        <v>2015</v>
      </c>
      <c r="G154" s="1550" t="s">
        <v>177</v>
      </c>
      <c r="H154" s="1550">
        <v>50</v>
      </c>
      <c r="I154" s="300">
        <f>'PLAN INDICATIVO'!I154</f>
        <v>0</v>
      </c>
      <c r="J154" s="300">
        <f>'PLAN INDICATIVO'!J154</f>
        <v>0</v>
      </c>
      <c r="K154" s="1425" t="str">
        <f>'PLAN INDICATIVO'!K154</f>
        <v>A.14.1.1</v>
      </c>
      <c r="L154" s="1425" t="str">
        <f>'PLAN INDICATIVO'!L154</f>
        <v>10. Reducción de las desigualdades</v>
      </c>
      <c r="M154" s="1425" t="s">
        <v>2735</v>
      </c>
      <c r="N154" s="1425" t="s">
        <v>5125</v>
      </c>
      <c r="O154" s="1425" t="str">
        <f>'PLAN INDICATIVO'!O154</f>
        <v>Mantenimiento</v>
      </c>
      <c r="P154" s="16" t="str">
        <f>'PLAN INDICATIVO'!P154</f>
        <v>Realizar 4 campañas anuales para incentivar la asistencia a controles de crecimiento y desarrollo de la población infantil.</v>
      </c>
      <c r="Q154" s="302" t="str">
        <f>'PLAN INDICATIVO'!Q154</f>
        <v>No. De Campañas implementadas por año</v>
      </c>
      <c r="R154" s="303">
        <f>'PLAN INDICATIVO'!R154</f>
        <v>2015</v>
      </c>
      <c r="S154" s="304">
        <v>0</v>
      </c>
      <c r="T154" s="677">
        <v>16</v>
      </c>
      <c r="U154" s="303">
        <v>4</v>
      </c>
      <c r="V154" s="687">
        <v>3000000</v>
      </c>
      <c r="W154" s="303">
        <v>4</v>
      </c>
      <c r="X154" s="687">
        <v>1000000</v>
      </c>
      <c r="Y154" s="304">
        <v>4</v>
      </c>
      <c r="Z154" s="687">
        <v>1000000</v>
      </c>
      <c r="AA154" s="291">
        <v>2</v>
      </c>
      <c r="AB154" s="686">
        <v>1000000</v>
      </c>
      <c r="AC154" s="669"/>
      <c r="AD154" s="669">
        <v>4</v>
      </c>
      <c r="AE154" s="669">
        <v>4</v>
      </c>
      <c r="AF154" s="669">
        <v>4</v>
      </c>
      <c r="AG154" s="752" t="s">
        <v>5149</v>
      </c>
      <c r="AH154" s="987">
        <v>20194139600009</v>
      </c>
      <c r="AI154" s="985" t="s">
        <v>4830</v>
      </c>
      <c r="AJ154" s="363">
        <v>43477</v>
      </c>
      <c r="AK154" s="363">
        <v>43597</v>
      </c>
      <c r="AL154" s="357"/>
      <c r="AM154" s="358"/>
      <c r="AN154" s="267" t="s">
        <v>2598</v>
      </c>
      <c r="AO154" s="997"/>
      <c r="AP154" s="525"/>
      <c r="AQ154" s="721"/>
      <c r="AR154" s="310"/>
      <c r="AS154" s="310"/>
      <c r="AT154" s="310"/>
      <c r="AU154" s="310"/>
      <c r="AV154" s="310"/>
      <c r="AW154" s="544"/>
      <c r="AX154" s="525"/>
      <c r="AY154" s="310"/>
      <c r="AZ154" s="310"/>
      <c r="BA154" s="310"/>
      <c r="BB154" s="310"/>
      <c r="BC154" s="310"/>
      <c r="BD154" s="310"/>
      <c r="BE154" s="544"/>
      <c r="BF154" s="525"/>
      <c r="BG154" s="310"/>
      <c r="BH154" s="310"/>
      <c r="BI154" s="310"/>
      <c r="BJ154" s="310"/>
      <c r="BK154" s="310"/>
      <c r="BL154" s="310"/>
      <c r="BM154" s="544">
        <f t="shared" si="73"/>
        <v>0</v>
      </c>
      <c r="BN154" s="1498"/>
      <c r="BO154" s="1498"/>
      <c r="BP154" s="310"/>
      <c r="BQ154" s="310"/>
      <c r="BR154" s="310"/>
      <c r="BS154" s="310"/>
      <c r="BT154" s="310"/>
      <c r="BU154" s="544"/>
      <c r="BV154" s="556"/>
      <c r="BW154" s="663">
        <f t="shared" si="64"/>
        <v>12</v>
      </c>
      <c r="BX154" s="1047">
        <f t="shared" si="67"/>
        <v>0.75</v>
      </c>
      <c r="BY154" s="1047">
        <f t="shared" ref="BY154:BY178" si="74">IF(U154&gt;=0.1,AC154/U154,IF(ISBLANK(U154),"No Programada","Aplazada"))</f>
        <v>0</v>
      </c>
      <c r="BZ154" s="1047">
        <f t="shared" ref="BZ154:BZ178" si="75">IF(W154&gt;=0.1,AD154/W154,IF(ISBLANK(W154),"No Programada","Aplazada"))</f>
        <v>1</v>
      </c>
      <c r="CA154" s="1047">
        <f t="shared" ref="CA154:CA178" si="76">IF(Y154&gt;=0.1,AE154/Y154,IF(ISBLANK(Y154),"No Programada","Aplazada"))</f>
        <v>1</v>
      </c>
      <c r="CB154" s="1047">
        <f t="shared" ref="CB154:CB178" si="77">IF(AA154&gt;=0.1,AF154/AA154,IF(ISBLANK(AA154),"No Programada","Aplazada"))</f>
        <v>2</v>
      </c>
      <c r="CC154" t="s">
        <v>4747</v>
      </c>
      <c r="CD154" t="str">
        <f t="shared" ref="CD154:CG177" si="78">IF(BY154="PARA MODIFICAR","M",IF(BY154="PARA ELIMINAR","E",IF(BY154="aplazada","AZ",IF(BY154="no programada","NP",IF(BY154&gt;=85%,"VE",IF(BY154&gt;70%,"VEB",IF(BY154&gt;60%,"AM",IF(BY154&gt;40%,"AMB",IF(BY154&gt;20%,"RO",IF(BY154&gt;=0%,"ROB",""))))))))))</f>
        <v>ROB</v>
      </c>
      <c r="CE154" t="str">
        <f t="shared" si="78"/>
        <v>VE</v>
      </c>
      <c r="CF154" t="str">
        <f t="shared" si="78"/>
        <v>VE</v>
      </c>
      <c r="CG154" t="str">
        <f t="shared" si="78"/>
        <v>VE</v>
      </c>
    </row>
    <row r="155" spans="1:85" ht="93.75" customHeight="1" x14ac:dyDescent="0.3">
      <c r="A155" s="298" t="s">
        <v>491</v>
      </c>
      <c r="B155" s="299" t="str">
        <f>'PLAN INDICATIVO'!B155</f>
        <v>Atención a grupos vulnerables - promoción social</v>
      </c>
      <c r="C155" s="1547"/>
      <c r="D155" s="1551"/>
      <c r="E155" s="1551"/>
      <c r="F155" s="1551"/>
      <c r="G155" s="1551"/>
      <c r="H155" s="1551"/>
      <c r="I155" s="300">
        <f>'PLAN INDICATIVO'!I155</f>
        <v>0</v>
      </c>
      <c r="J155" s="300">
        <f>'PLAN INDICATIVO'!J155</f>
        <v>0</v>
      </c>
      <c r="K155" s="1425" t="str">
        <f>'PLAN INDICATIVO'!K155</f>
        <v>A.14.1.2</v>
      </c>
      <c r="L155" s="1425" t="str">
        <f>'PLAN INDICATIVO'!L155</f>
        <v>10. Reducción de las desigualdades</v>
      </c>
      <c r="M155" s="1425" t="s">
        <v>2735</v>
      </c>
      <c r="N155" s="1513" t="s">
        <v>5125</v>
      </c>
      <c r="O155" s="1425" t="str">
        <f>'PLAN INDICATIVO'!O155</f>
        <v>Mantenimiento</v>
      </c>
      <c r="P155" s="16" t="str">
        <f>'PLAN INDICATIVO'!P155</f>
        <v>Implementar 1 política de infancia y adolescencia durante el cuatrienio</v>
      </c>
      <c r="Q155" s="302" t="str">
        <f>'PLAN INDICATIVO'!Q155</f>
        <v>No. De Política de infancia implementada</v>
      </c>
      <c r="R155" s="303">
        <f>'PLAN INDICATIVO'!R155</f>
        <v>2015</v>
      </c>
      <c r="S155" s="304">
        <v>0</v>
      </c>
      <c r="T155" s="677">
        <v>1</v>
      </c>
      <c r="U155" s="303">
        <v>1</v>
      </c>
      <c r="V155" s="687">
        <v>200000</v>
      </c>
      <c r="W155" s="303">
        <v>1</v>
      </c>
      <c r="X155" s="687">
        <v>500000</v>
      </c>
      <c r="Y155" s="304">
        <v>0.3</v>
      </c>
      <c r="Z155" s="687">
        <v>500000</v>
      </c>
      <c r="AA155" s="291">
        <v>1</v>
      </c>
      <c r="AB155" s="686">
        <v>20000000</v>
      </c>
      <c r="AC155" s="669"/>
      <c r="AD155" s="669">
        <v>0.4</v>
      </c>
      <c r="AE155" s="669">
        <v>0.3</v>
      </c>
      <c r="AF155" s="669">
        <v>0.3</v>
      </c>
      <c r="AG155" s="752" t="s">
        <v>5149</v>
      </c>
      <c r="AH155" s="987">
        <v>20194139600009</v>
      </c>
      <c r="AI155" s="985" t="s">
        <v>5102</v>
      </c>
      <c r="AJ155" s="363">
        <v>43133</v>
      </c>
      <c r="AK155" s="363">
        <v>43434</v>
      </c>
      <c r="AL155" s="360"/>
      <c r="AM155" s="360"/>
      <c r="AN155" s="267" t="s">
        <v>2598</v>
      </c>
      <c r="AO155" s="997"/>
      <c r="AP155" s="525"/>
      <c r="AQ155" s="310"/>
      <c r="AR155" s="310"/>
      <c r="AS155" s="310"/>
      <c r="AT155" s="310"/>
      <c r="AU155" s="310"/>
      <c r="AV155" s="310"/>
      <c r="AW155" s="544"/>
      <c r="AX155" s="531"/>
      <c r="AY155" s="310"/>
      <c r="AZ155" s="310"/>
      <c r="BA155" s="310"/>
      <c r="BB155" s="310"/>
      <c r="BC155" s="310"/>
      <c r="BD155" s="310"/>
      <c r="BE155" s="544"/>
      <c r="BF155" s="531"/>
      <c r="BG155" s="310"/>
      <c r="BH155" s="310"/>
      <c r="BI155" s="310"/>
      <c r="BJ155" s="310"/>
      <c r="BK155" s="310"/>
      <c r="BL155" s="310"/>
      <c r="BM155" s="544">
        <f t="shared" si="73"/>
        <v>0</v>
      </c>
      <c r="BN155" s="531"/>
      <c r="BO155" s="595"/>
      <c r="BP155" s="310"/>
      <c r="BQ155" s="310"/>
      <c r="BR155" s="310"/>
      <c r="BS155" s="310"/>
      <c r="BT155" s="310"/>
      <c r="BU155" s="544"/>
      <c r="BV155" s="556"/>
      <c r="BW155" s="663">
        <f t="shared" si="64"/>
        <v>1</v>
      </c>
      <c r="BX155" s="1047">
        <f t="shared" si="67"/>
        <v>1</v>
      </c>
      <c r="BY155" s="1047">
        <f t="shared" si="74"/>
        <v>0</v>
      </c>
      <c r="BZ155" s="1047">
        <f t="shared" si="75"/>
        <v>0.4</v>
      </c>
      <c r="CA155" s="1047">
        <f t="shared" si="76"/>
        <v>1</v>
      </c>
      <c r="CB155" s="1047">
        <f t="shared" si="77"/>
        <v>0.3</v>
      </c>
      <c r="CC155" t="s">
        <v>4748</v>
      </c>
      <c r="CD155" t="str">
        <f t="shared" si="78"/>
        <v>ROB</v>
      </c>
      <c r="CE155" t="str">
        <f t="shared" si="78"/>
        <v>RO</v>
      </c>
      <c r="CF155" t="str">
        <f t="shared" si="78"/>
        <v>VE</v>
      </c>
      <c r="CG155" t="str">
        <f t="shared" si="78"/>
        <v>RO</v>
      </c>
    </row>
    <row r="156" spans="1:85" ht="91.5" customHeight="1" x14ac:dyDescent="0.3">
      <c r="A156" s="298" t="s">
        <v>491</v>
      </c>
      <c r="B156" s="299" t="str">
        <f>'PLAN INDICATIVO'!B156</f>
        <v>Atención a grupos vulnerables - promoción social</v>
      </c>
      <c r="C156" s="1547"/>
      <c r="D156" s="1551"/>
      <c r="E156" s="1551"/>
      <c r="F156" s="1551"/>
      <c r="G156" s="1551"/>
      <c r="H156" s="1551"/>
      <c r="I156" s="300">
        <f>'PLAN INDICATIVO'!I156</f>
        <v>0</v>
      </c>
      <c r="J156" s="300">
        <f>'PLAN INDICATIVO'!J156</f>
        <v>0</v>
      </c>
      <c r="K156" s="1425" t="str">
        <f>'PLAN INDICATIVO'!K156</f>
        <v>A.14.1.3</v>
      </c>
      <c r="L156" s="1425" t="str">
        <f>'PLAN INDICATIVO'!L156</f>
        <v>10. Reducción de las desigualdades</v>
      </c>
      <c r="M156" s="1425" t="s">
        <v>2735</v>
      </c>
      <c r="N156" s="1513" t="s">
        <v>5125</v>
      </c>
      <c r="O156" s="1425" t="str">
        <f>'PLAN INDICATIVO'!O156</f>
        <v>Mantenimiento</v>
      </c>
      <c r="P156" s="16" t="str">
        <f>'PLAN INDICATIVO'!P156</f>
        <v>Crear 1 mesa intersectorial de primera infancia, infancia y adolescencia del municipio y lograr su operativización cada año</v>
      </c>
      <c r="Q156" s="302" t="str">
        <f>'PLAN INDICATIVO'!Q156</f>
        <v>Mesa intersectorial creada y funcionando por año</v>
      </c>
      <c r="R156" s="303">
        <f>'PLAN INDICATIVO'!R156</f>
        <v>2015</v>
      </c>
      <c r="S156" s="304">
        <v>1</v>
      </c>
      <c r="T156" s="677">
        <v>4</v>
      </c>
      <c r="U156" s="303">
        <v>1</v>
      </c>
      <c r="V156" s="687">
        <v>100000</v>
      </c>
      <c r="W156" s="303">
        <v>1</v>
      </c>
      <c r="X156" s="687">
        <v>500000</v>
      </c>
      <c r="Y156" s="304">
        <v>1</v>
      </c>
      <c r="Z156" s="687">
        <v>500000</v>
      </c>
      <c r="AA156" s="291">
        <v>1</v>
      </c>
      <c r="AB156" s="686">
        <v>500000</v>
      </c>
      <c r="AC156" s="669"/>
      <c r="AD156" s="669">
        <v>1</v>
      </c>
      <c r="AE156" s="669">
        <v>1</v>
      </c>
      <c r="AF156" s="669">
        <v>1</v>
      </c>
      <c r="AG156" s="752" t="s">
        <v>5149</v>
      </c>
      <c r="AH156" s="987">
        <v>20194139600009</v>
      </c>
      <c r="AI156" s="985" t="s">
        <v>5012</v>
      </c>
      <c r="AJ156" s="363">
        <v>43477</v>
      </c>
      <c r="AK156" s="363">
        <v>43597</v>
      </c>
      <c r="AL156" s="357"/>
      <c r="AM156" s="358"/>
      <c r="AN156" s="267" t="s">
        <v>2598</v>
      </c>
      <c r="AO156" s="512"/>
      <c r="AP156" s="525"/>
      <c r="AQ156" s="721"/>
      <c r="AR156" s="310"/>
      <c r="AS156" s="310"/>
      <c r="AT156" s="310"/>
      <c r="AU156" s="310"/>
      <c r="AV156" s="310"/>
      <c r="AW156" s="544"/>
      <c r="AX156" s="753"/>
      <c r="AY156" s="754"/>
      <c r="AZ156" s="754"/>
      <c r="BA156" s="754"/>
      <c r="BB156" s="754"/>
      <c r="BC156" s="754"/>
      <c r="BD156" s="754"/>
      <c r="BE156" s="755"/>
      <c r="BF156" s="525"/>
      <c r="BG156" s="310"/>
      <c r="BH156" s="310"/>
      <c r="BI156" s="310"/>
      <c r="BJ156" s="310"/>
      <c r="BK156" s="310"/>
      <c r="BL156" s="310"/>
      <c r="BM156" s="544">
        <f t="shared" si="73"/>
        <v>0</v>
      </c>
      <c r="BN156" s="1498"/>
      <c r="BO156" s="1498"/>
      <c r="BP156" s="310"/>
      <c r="BQ156" s="310"/>
      <c r="BR156" s="310"/>
      <c r="BS156" s="310"/>
      <c r="BT156" s="310"/>
      <c r="BU156" s="544"/>
      <c r="BV156" s="556"/>
      <c r="BW156" s="663">
        <f t="shared" si="64"/>
        <v>3</v>
      </c>
      <c r="BX156" s="1047">
        <f t="shared" si="67"/>
        <v>0.75</v>
      </c>
      <c r="BY156" s="1047">
        <f t="shared" si="74"/>
        <v>0</v>
      </c>
      <c r="BZ156" s="1047">
        <f t="shared" si="75"/>
        <v>1</v>
      </c>
      <c r="CA156" s="1047">
        <f t="shared" si="76"/>
        <v>1</v>
      </c>
      <c r="CB156" s="1047">
        <f t="shared" si="77"/>
        <v>1</v>
      </c>
      <c r="CC156" t="s">
        <v>4749</v>
      </c>
      <c r="CD156" t="str">
        <f t="shared" si="78"/>
        <v>ROB</v>
      </c>
      <c r="CE156" t="str">
        <f t="shared" si="78"/>
        <v>VE</v>
      </c>
      <c r="CF156" t="str">
        <f t="shared" si="78"/>
        <v>VE</v>
      </c>
      <c r="CG156" t="str">
        <f t="shared" si="78"/>
        <v>VE</v>
      </c>
    </row>
    <row r="157" spans="1:85" ht="75" customHeight="1" x14ac:dyDescent="0.3">
      <c r="A157" s="298" t="s">
        <v>491</v>
      </c>
      <c r="B157" s="299" t="str">
        <f>'PLAN INDICATIVO'!B157</f>
        <v>Atención a grupos vulnerables - promoción social</v>
      </c>
      <c r="C157" s="1547"/>
      <c r="D157" s="1551"/>
      <c r="E157" s="1551"/>
      <c r="F157" s="1551"/>
      <c r="G157" s="1551"/>
      <c r="H157" s="1551"/>
      <c r="I157" s="300">
        <f>'PLAN INDICATIVO'!I157</f>
        <v>0</v>
      </c>
      <c r="J157" s="300">
        <f>'PLAN INDICATIVO'!J157</f>
        <v>0</v>
      </c>
      <c r="K157" s="1425" t="str">
        <f>'PLAN INDICATIVO'!K157</f>
        <v>A.14.1.4</v>
      </c>
      <c r="L157" s="1425" t="str">
        <f>'PLAN INDICATIVO'!L157</f>
        <v>10. Reducción de las desigualdades</v>
      </c>
      <c r="M157" s="1425" t="s">
        <v>2735</v>
      </c>
      <c r="N157" s="1513" t="s">
        <v>5125</v>
      </c>
      <c r="O157" s="1425" t="str">
        <f>'PLAN INDICATIVO'!O157</f>
        <v>Mantenimiento</v>
      </c>
      <c r="P157" s="16" t="str">
        <f>'PLAN INDICATIVO'!P157</f>
        <v>Mantener en funcionamiento 1 hogar de paso modalidad familiar cada año</v>
      </c>
      <c r="Q157" s="302" t="str">
        <f>'PLAN INDICATIVO'!Q157</f>
        <v>No. De Hogar de paso en funcionamiento por año</v>
      </c>
      <c r="R157" s="303">
        <f>'PLAN INDICATIVO'!R157</f>
        <v>2015</v>
      </c>
      <c r="S157" s="304">
        <v>1</v>
      </c>
      <c r="T157" s="677">
        <v>1</v>
      </c>
      <c r="U157" s="303">
        <v>1</v>
      </c>
      <c r="V157" s="687">
        <v>21000000</v>
      </c>
      <c r="W157" s="303">
        <v>1</v>
      </c>
      <c r="X157" s="687">
        <v>10330000</v>
      </c>
      <c r="Y157" s="304">
        <v>1</v>
      </c>
      <c r="Z157" s="687">
        <v>10240000</v>
      </c>
      <c r="AA157" s="291">
        <v>1</v>
      </c>
      <c r="AB157" s="686">
        <v>15000000</v>
      </c>
      <c r="AC157" s="669"/>
      <c r="AD157" s="669">
        <v>1</v>
      </c>
      <c r="AE157" s="669">
        <v>1</v>
      </c>
      <c r="AF157" s="669">
        <v>1</v>
      </c>
      <c r="AG157" s="752" t="s">
        <v>5149</v>
      </c>
      <c r="AH157" s="987">
        <v>20194139600009</v>
      </c>
      <c r="AI157" s="985" t="s">
        <v>4114</v>
      </c>
      <c r="AJ157" s="363">
        <v>43476</v>
      </c>
      <c r="AK157" s="363">
        <v>43814</v>
      </c>
      <c r="AL157" s="358"/>
      <c r="AM157" s="358"/>
      <c r="AN157" s="267" t="s">
        <v>2598</v>
      </c>
      <c r="AO157" s="997"/>
      <c r="AP157" s="720"/>
      <c r="AQ157" s="759"/>
      <c r="AR157" s="310"/>
      <c r="AS157" s="310"/>
      <c r="AT157" s="310"/>
      <c r="AU157" s="310"/>
      <c r="AV157" s="310"/>
      <c r="AW157" s="544"/>
      <c r="AX157" s="525"/>
      <c r="AY157" s="310"/>
      <c r="AZ157" s="310"/>
      <c r="BA157" s="310"/>
      <c r="BB157" s="310"/>
      <c r="BC157" s="310"/>
      <c r="BD157" s="310"/>
      <c r="BE157" s="544"/>
      <c r="BF157" s="525"/>
      <c r="BG157" s="310"/>
      <c r="BH157" s="310"/>
      <c r="BI157" s="310"/>
      <c r="BJ157" s="310"/>
      <c r="BK157" s="310"/>
      <c r="BL157" s="310"/>
      <c r="BM157" s="544">
        <f t="shared" si="73"/>
        <v>0</v>
      </c>
      <c r="BN157" s="525"/>
      <c r="BO157" s="595"/>
      <c r="BP157" s="310"/>
      <c r="BQ157" s="310"/>
      <c r="BR157" s="310"/>
      <c r="BS157" s="310"/>
      <c r="BT157" s="310"/>
      <c r="BU157" s="544"/>
      <c r="BV157" s="556"/>
      <c r="BW157" s="663">
        <f t="shared" si="64"/>
        <v>3</v>
      </c>
      <c r="BX157" s="1047">
        <f t="shared" si="67"/>
        <v>3</v>
      </c>
      <c r="BY157" s="1047">
        <f t="shared" si="74"/>
        <v>0</v>
      </c>
      <c r="BZ157" s="1047">
        <f t="shared" si="75"/>
        <v>1</v>
      </c>
      <c r="CA157" s="1047">
        <f t="shared" si="76"/>
        <v>1</v>
      </c>
      <c r="CB157" s="1047">
        <f t="shared" si="77"/>
        <v>1</v>
      </c>
      <c r="CC157" t="s">
        <v>4750</v>
      </c>
      <c r="CD157" t="str">
        <f t="shared" si="78"/>
        <v>ROB</v>
      </c>
      <c r="CE157" t="str">
        <f t="shared" si="78"/>
        <v>VE</v>
      </c>
      <c r="CF157" t="str">
        <f t="shared" si="78"/>
        <v>VE</v>
      </c>
      <c r="CG157" t="str">
        <f t="shared" si="78"/>
        <v>VE</v>
      </c>
    </row>
    <row r="158" spans="1:85" ht="94.5" customHeight="1" x14ac:dyDescent="0.3">
      <c r="A158" s="298" t="s">
        <v>491</v>
      </c>
      <c r="B158" s="299" t="str">
        <f>'PLAN INDICATIVO'!B158</f>
        <v>Atención a grupos vulnerables - promoción social</v>
      </c>
      <c r="C158" s="1547"/>
      <c r="D158" s="1551"/>
      <c r="E158" s="1551"/>
      <c r="F158" s="1551"/>
      <c r="G158" s="1551"/>
      <c r="H158" s="1551"/>
      <c r="I158" s="300">
        <f>'PLAN INDICATIVO'!I158</f>
        <v>0</v>
      </c>
      <c r="J158" s="300">
        <f>'PLAN INDICATIVO'!J158</f>
        <v>0</v>
      </c>
      <c r="K158" s="1425" t="str">
        <f>'PLAN INDICATIVO'!K158</f>
        <v>A.14.1.5</v>
      </c>
      <c r="L158" s="1425" t="str">
        <f>'PLAN INDICATIVO'!L158</f>
        <v>10. Reducción de las desigualdades</v>
      </c>
      <c r="M158" s="1425" t="s">
        <v>2735</v>
      </c>
      <c r="N158" s="1513" t="s">
        <v>5125</v>
      </c>
      <c r="O158" s="1425" t="str">
        <f>'PLAN INDICATIVO'!O158</f>
        <v>Mantenimiento</v>
      </c>
      <c r="P158" s="16" t="str">
        <f>'PLAN INDICATIVO'!P158</f>
        <v xml:space="preserve">Mantener cada año 1 centro transitorio para ubicación provisional para adolescentes infractores de la ley penal funcionando y dotado </v>
      </c>
      <c r="Q158" s="302" t="str">
        <f>'PLAN INDICATIVO'!Q158</f>
        <v>centro transitorio para ubicación provisional para adolescentes infractores de la ley penal  funcionando y dotado, por año</v>
      </c>
      <c r="R158" s="303">
        <f>'PLAN INDICATIVO'!R158</f>
        <v>2015</v>
      </c>
      <c r="S158" s="304">
        <v>1</v>
      </c>
      <c r="T158" s="677">
        <v>1</v>
      </c>
      <c r="U158" s="303">
        <v>1</v>
      </c>
      <c r="V158" s="687">
        <v>10000000</v>
      </c>
      <c r="W158" s="303">
        <v>1</v>
      </c>
      <c r="X158" s="687">
        <v>1000000</v>
      </c>
      <c r="Y158" s="304">
        <v>1</v>
      </c>
      <c r="Z158" s="687">
        <v>4600000</v>
      </c>
      <c r="AA158" s="291">
        <v>1</v>
      </c>
      <c r="AB158" s="686">
        <v>25000000</v>
      </c>
      <c r="AC158" s="669"/>
      <c r="AD158" s="669">
        <v>1</v>
      </c>
      <c r="AE158" s="669">
        <v>1</v>
      </c>
      <c r="AF158" s="669">
        <v>1</v>
      </c>
      <c r="AG158" s="752" t="s">
        <v>5149</v>
      </c>
      <c r="AH158" s="987">
        <v>20194139600009</v>
      </c>
      <c r="AI158" s="985" t="s">
        <v>2747</v>
      </c>
      <c r="AJ158" s="363">
        <v>43476</v>
      </c>
      <c r="AK158" s="363">
        <v>43814</v>
      </c>
      <c r="AL158" s="358"/>
      <c r="AM158" s="358"/>
      <c r="AN158" s="267" t="s">
        <v>2598</v>
      </c>
      <c r="AO158" s="997"/>
      <c r="AP158" s="525"/>
      <c r="AQ158" s="759"/>
      <c r="AR158" s="310"/>
      <c r="AS158" s="310"/>
      <c r="AT158" s="310"/>
      <c r="AU158" s="310"/>
      <c r="AV158" s="310"/>
      <c r="AW158" s="544"/>
      <c r="AX158" s="525"/>
      <c r="AY158" s="310"/>
      <c r="AZ158" s="310"/>
      <c r="BA158" s="310"/>
      <c r="BB158" s="310"/>
      <c r="BC158" s="310"/>
      <c r="BD158" s="310"/>
      <c r="BE158" s="544"/>
      <c r="BF158" s="525"/>
      <c r="BG158" s="310"/>
      <c r="BH158" s="310"/>
      <c r="BI158" s="310"/>
      <c r="BJ158" s="310"/>
      <c r="BK158" s="310"/>
      <c r="BL158" s="310"/>
      <c r="BM158" s="544">
        <f t="shared" si="73"/>
        <v>0</v>
      </c>
      <c r="BN158" s="1499"/>
      <c r="BO158" s="1498"/>
      <c r="BP158" s="310"/>
      <c r="BQ158" s="310"/>
      <c r="BR158" s="310"/>
      <c r="BS158" s="310"/>
      <c r="BT158" s="310"/>
      <c r="BU158" s="544"/>
      <c r="BV158" s="556"/>
      <c r="BW158" s="663">
        <f t="shared" si="64"/>
        <v>3</v>
      </c>
      <c r="BX158" s="1047">
        <f t="shared" si="67"/>
        <v>3</v>
      </c>
      <c r="BY158" s="1047">
        <f t="shared" si="74"/>
        <v>0</v>
      </c>
      <c r="BZ158" s="1047">
        <f t="shared" si="75"/>
        <v>1</v>
      </c>
      <c r="CA158" s="1047">
        <f t="shared" si="76"/>
        <v>1</v>
      </c>
      <c r="CB158" s="1047">
        <f t="shared" si="77"/>
        <v>1</v>
      </c>
      <c r="CC158" t="s">
        <v>4751</v>
      </c>
      <c r="CD158" t="str">
        <f t="shared" si="78"/>
        <v>ROB</v>
      </c>
      <c r="CE158" t="str">
        <f t="shared" si="78"/>
        <v>VE</v>
      </c>
      <c r="CF158" t="str">
        <f t="shared" si="78"/>
        <v>VE</v>
      </c>
      <c r="CG158" t="str">
        <f t="shared" si="78"/>
        <v>VE</v>
      </c>
    </row>
    <row r="159" spans="1:85" ht="78" customHeight="1" x14ac:dyDescent="0.3">
      <c r="A159" s="298" t="s">
        <v>491</v>
      </c>
      <c r="B159" s="299" t="str">
        <f>'PLAN INDICATIVO'!B159</f>
        <v>Atención a grupos vulnerables - promoción social</v>
      </c>
      <c r="C159" s="1547"/>
      <c r="D159" s="1551"/>
      <c r="E159" s="1551"/>
      <c r="F159" s="1551"/>
      <c r="G159" s="1551"/>
      <c r="H159" s="1551"/>
      <c r="I159" s="300">
        <f>'PLAN INDICATIVO'!I159</f>
        <v>0</v>
      </c>
      <c r="J159" s="300">
        <f>'PLAN INDICATIVO'!J159</f>
        <v>0</v>
      </c>
      <c r="K159" s="1425" t="str">
        <f>'PLAN INDICATIVO'!K159</f>
        <v>A.14.1.6</v>
      </c>
      <c r="L159" s="1425" t="str">
        <f>'PLAN INDICATIVO'!L159</f>
        <v>10. Reducción de las desigualdades</v>
      </c>
      <c r="M159" s="1425" t="s">
        <v>2735</v>
      </c>
      <c r="N159" s="1513" t="s">
        <v>5125</v>
      </c>
      <c r="O159" s="1425" t="str">
        <f>'PLAN INDICATIVO'!O159</f>
        <v>Incremento</v>
      </c>
      <c r="P159" s="16" t="str">
        <f>'PLAN INDICATIVO'!P159</f>
        <v>Realizar 12 capacitaciones de sensibilización en pro de mejorar la calidad de vida de los NNA, durante el cuatrienio.</v>
      </c>
      <c r="Q159" s="302" t="str">
        <f>'PLAN INDICATIVO'!Q159</f>
        <v>No. De capacitaciones realizadas</v>
      </c>
      <c r="R159" s="303">
        <f>'PLAN INDICATIVO'!R159</f>
        <v>2015</v>
      </c>
      <c r="S159" s="304">
        <v>0</v>
      </c>
      <c r="T159" s="677">
        <v>12</v>
      </c>
      <c r="U159" s="303">
        <v>3</v>
      </c>
      <c r="V159" s="687">
        <v>11000000</v>
      </c>
      <c r="W159" s="303">
        <v>3</v>
      </c>
      <c r="X159" s="687">
        <v>500000</v>
      </c>
      <c r="Y159" s="304">
        <v>3</v>
      </c>
      <c r="Z159" s="687">
        <v>500000</v>
      </c>
      <c r="AA159" s="291">
        <v>2</v>
      </c>
      <c r="AB159" s="686">
        <v>500000</v>
      </c>
      <c r="AC159" s="665"/>
      <c r="AD159" s="665">
        <v>3</v>
      </c>
      <c r="AE159" s="665">
        <v>3</v>
      </c>
      <c r="AF159" s="665">
        <v>3</v>
      </c>
      <c r="AG159" s="752" t="s">
        <v>5149</v>
      </c>
      <c r="AH159" s="987">
        <v>20194139600009</v>
      </c>
      <c r="AI159" s="985" t="s">
        <v>4831</v>
      </c>
      <c r="AJ159" s="363">
        <v>43477</v>
      </c>
      <c r="AK159" s="363">
        <v>43597</v>
      </c>
      <c r="AL159" s="358"/>
      <c r="AM159" s="358"/>
      <c r="AN159" s="267" t="s">
        <v>2598</v>
      </c>
      <c r="AO159" s="997"/>
      <c r="AP159" s="525"/>
      <c r="AQ159" s="310"/>
      <c r="AR159" s="310"/>
      <c r="AS159" s="310"/>
      <c r="AT159" s="310"/>
      <c r="AU159" s="310"/>
      <c r="AV159" s="310"/>
      <c r="AW159" s="544"/>
      <c r="AX159" s="525"/>
      <c r="AY159" s="310"/>
      <c r="AZ159" s="310"/>
      <c r="BA159" s="310"/>
      <c r="BB159" s="310"/>
      <c r="BC159" s="310"/>
      <c r="BD159" s="310"/>
      <c r="BE159" s="544"/>
      <c r="BF159" s="525"/>
      <c r="BG159" s="310"/>
      <c r="BH159" s="310"/>
      <c r="BI159" s="310"/>
      <c r="BJ159" s="310"/>
      <c r="BK159" s="310"/>
      <c r="BL159" s="310"/>
      <c r="BM159" s="544">
        <f t="shared" si="73"/>
        <v>0</v>
      </c>
      <c r="BN159" s="595"/>
      <c r="BO159" s="595"/>
      <c r="BP159" s="310"/>
      <c r="BQ159" s="310"/>
      <c r="BR159" s="310"/>
      <c r="BS159" s="310"/>
      <c r="BT159" s="310"/>
      <c r="BU159" s="544"/>
      <c r="BV159" s="556"/>
      <c r="BW159" s="663">
        <f t="shared" si="64"/>
        <v>9</v>
      </c>
      <c r="BX159" s="1047">
        <f t="shared" si="67"/>
        <v>0.75</v>
      </c>
      <c r="BY159" s="1047">
        <f t="shared" si="74"/>
        <v>0</v>
      </c>
      <c r="BZ159" s="1047">
        <f t="shared" si="75"/>
        <v>1</v>
      </c>
      <c r="CA159" s="1047">
        <f t="shared" si="76"/>
        <v>1</v>
      </c>
      <c r="CB159" s="1047">
        <f t="shared" si="77"/>
        <v>1.5</v>
      </c>
      <c r="CC159" t="s">
        <v>4752</v>
      </c>
      <c r="CD159" t="str">
        <f t="shared" si="78"/>
        <v>ROB</v>
      </c>
      <c r="CE159" t="str">
        <f t="shared" si="78"/>
        <v>VE</v>
      </c>
      <c r="CF159" t="str">
        <f t="shared" si="78"/>
        <v>VE</v>
      </c>
      <c r="CG159" t="str">
        <f t="shared" si="78"/>
        <v>VE</v>
      </c>
    </row>
    <row r="160" spans="1:85" ht="107.25" customHeight="1" x14ac:dyDescent="0.3">
      <c r="A160" s="298" t="s">
        <v>491</v>
      </c>
      <c r="B160" s="299" t="str">
        <f>'PLAN INDICATIVO'!B160</f>
        <v>Atención a grupos vulnerables - promoción social</v>
      </c>
      <c r="C160" s="1547"/>
      <c r="D160" s="1551"/>
      <c r="E160" s="1551"/>
      <c r="F160" s="1551"/>
      <c r="G160" s="1551"/>
      <c r="H160" s="1551"/>
      <c r="I160" s="300">
        <f>'PLAN INDICATIVO'!I160</f>
        <v>0</v>
      </c>
      <c r="J160" s="300">
        <f>'PLAN INDICATIVO'!J160</f>
        <v>0</v>
      </c>
      <c r="K160" s="1425" t="str">
        <f>'PLAN INDICATIVO'!K160</f>
        <v>A.14.1.7</v>
      </c>
      <c r="L160" s="1425" t="str">
        <f>'PLAN INDICATIVO'!L160</f>
        <v>10. Reducción de las desigualdades</v>
      </c>
      <c r="M160" s="1425" t="s">
        <v>2735</v>
      </c>
      <c r="N160" s="1513" t="s">
        <v>5125</v>
      </c>
      <c r="O160" s="1425" t="str">
        <f>'PLAN INDICATIVO'!O160</f>
        <v>Incremento</v>
      </c>
      <c r="P160" s="16" t="str">
        <f>'PLAN INDICATIVO'!P160</f>
        <v xml:space="preserve">Realizar 12 acciones institucionales en pro de evitar el reclutamiento, lograr la desvinculación del conflicto armado y atender  a NNA afectados por conflicto armado, durante el cuatrienio. </v>
      </c>
      <c r="Q160" s="302" t="str">
        <f>'PLAN INDICATIVO'!Q160</f>
        <v>No. De acciones institucionales realizadas</v>
      </c>
      <c r="R160" s="303">
        <f>'PLAN INDICATIVO'!R160</f>
        <v>2015</v>
      </c>
      <c r="S160" s="304">
        <v>0</v>
      </c>
      <c r="T160" s="677">
        <v>12</v>
      </c>
      <c r="U160" s="303">
        <v>3</v>
      </c>
      <c r="V160" s="687">
        <v>500000</v>
      </c>
      <c r="W160" s="303">
        <v>3</v>
      </c>
      <c r="X160" s="687">
        <v>500000</v>
      </c>
      <c r="Y160" s="304">
        <v>3</v>
      </c>
      <c r="Z160" s="687">
        <v>500000</v>
      </c>
      <c r="AA160" s="291">
        <v>2</v>
      </c>
      <c r="AB160" s="686">
        <v>500000</v>
      </c>
      <c r="AC160" s="669"/>
      <c r="AD160" s="669">
        <v>3</v>
      </c>
      <c r="AE160" s="669">
        <v>3</v>
      </c>
      <c r="AF160" s="669">
        <v>3</v>
      </c>
      <c r="AG160" s="752" t="s">
        <v>5149</v>
      </c>
      <c r="AH160" s="987">
        <v>20194139600009</v>
      </c>
      <c r="AI160" s="985" t="s">
        <v>5013</v>
      </c>
      <c r="AJ160" s="363">
        <v>43609</v>
      </c>
      <c r="AK160" s="363">
        <v>43814</v>
      </c>
      <c r="AL160" s="358"/>
      <c r="AM160" s="358"/>
      <c r="AN160" s="267" t="s">
        <v>2598</v>
      </c>
      <c r="AO160" s="997"/>
      <c r="AP160" s="525"/>
      <c r="AQ160" s="759"/>
      <c r="AR160" s="310"/>
      <c r="AS160" s="310"/>
      <c r="AT160" s="310"/>
      <c r="AU160" s="310"/>
      <c r="AV160" s="310"/>
      <c r="AW160" s="544"/>
      <c r="AX160" s="525"/>
      <c r="AY160" s="310"/>
      <c r="AZ160" s="310"/>
      <c r="BA160" s="310"/>
      <c r="BB160" s="310"/>
      <c r="BC160" s="310"/>
      <c r="BD160" s="310"/>
      <c r="BE160" s="544"/>
      <c r="BF160" s="525"/>
      <c r="BG160" s="310"/>
      <c r="BH160" s="310"/>
      <c r="BI160" s="310"/>
      <c r="BJ160" s="310"/>
      <c r="BK160" s="310"/>
      <c r="BL160" s="310"/>
      <c r="BM160" s="544">
        <f t="shared" si="73"/>
        <v>0</v>
      </c>
      <c r="BN160" s="1498"/>
      <c r="BO160" s="1498"/>
      <c r="BP160" s="310"/>
      <c r="BQ160" s="310"/>
      <c r="BR160" s="310"/>
      <c r="BS160" s="310"/>
      <c r="BT160" s="310"/>
      <c r="BU160" s="544"/>
      <c r="BV160" s="556"/>
      <c r="BW160" s="663">
        <f t="shared" si="64"/>
        <v>9</v>
      </c>
      <c r="BX160" s="1047">
        <f t="shared" si="67"/>
        <v>0.75</v>
      </c>
      <c r="BY160" s="1047">
        <f t="shared" si="74"/>
        <v>0</v>
      </c>
      <c r="BZ160" s="1047">
        <f t="shared" si="75"/>
        <v>1</v>
      </c>
      <c r="CA160" s="1047">
        <f t="shared" si="76"/>
        <v>1</v>
      </c>
      <c r="CB160" s="1047">
        <f t="shared" si="77"/>
        <v>1.5</v>
      </c>
      <c r="CC160" s="1465" t="s">
        <v>4747</v>
      </c>
      <c r="CD160" t="str">
        <f t="shared" si="78"/>
        <v>ROB</v>
      </c>
      <c r="CE160" t="str">
        <f t="shared" si="78"/>
        <v>VE</v>
      </c>
      <c r="CF160" t="str">
        <f t="shared" si="78"/>
        <v>VE</v>
      </c>
      <c r="CG160" t="str">
        <f t="shared" si="78"/>
        <v>VE</v>
      </c>
    </row>
    <row r="161" spans="1:85" ht="86.25" customHeight="1" x14ac:dyDescent="0.3">
      <c r="A161" s="298" t="s">
        <v>491</v>
      </c>
      <c r="B161" s="299" t="str">
        <f>'PLAN INDICATIVO'!B161</f>
        <v>Atención a grupos vulnerables - promoción social</v>
      </c>
      <c r="C161" s="1547"/>
      <c r="D161" s="1551"/>
      <c r="E161" s="1551"/>
      <c r="F161" s="1551"/>
      <c r="G161" s="1551"/>
      <c r="H161" s="1551"/>
      <c r="I161" s="300">
        <f>'PLAN INDICATIVO'!I161</f>
        <v>0</v>
      </c>
      <c r="J161" s="300">
        <f>'PLAN INDICATIVO'!J161</f>
        <v>0</v>
      </c>
      <c r="K161" s="1425" t="str">
        <f>'PLAN INDICATIVO'!K161</f>
        <v>A.14.1.8</v>
      </c>
      <c r="L161" s="1425" t="str">
        <f>'PLAN INDICATIVO'!L161</f>
        <v>10. Reducción de las desigualdades</v>
      </c>
      <c r="M161" s="1425" t="s">
        <v>2735</v>
      </c>
      <c r="N161" s="1513" t="s">
        <v>5125</v>
      </c>
      <c r="O161" s="1425" t="str">
        <f>'PLAN INDICATIVO'!O161</f>
        <v>Incremento</v>
      </c>
      <c r="P161" s="16" t="str">
        <f>'PLAN INDICATIVO'!P161</f>
        <v>Realizar 12 campañas  para prevenir cualquier tipo de maltrato y abuso sexual en NNA, durante el cuatrienio</v>
      </c>
      <c r="Q161" s="302" t="str">
        <f>'PLAN INDICATIVO'!Q161</f>
        <v>No. De Campañas implementadas</v>
      </c>
      <c r="R161" s="303">
        <f>'PLAN INDICATIVO'!R161</f>
        <v>2015</v>
      </c>
      <c r="S161" s="304">
        <v>2</v>
      </c>
      <c r="T161" s="677">
        <v>12</v>
      </c>
      <c r="U161" s="303">
        <v>3</v>
      </c>
      <c r="V161" s="687">
        <v>15000000</v>
      </c>
      <c r="W161" s="303">
        <v>3</v>
      </c>
      <c r="X161" s="687">
        <v>4000000</v>
      </c>
      <c r="Y161" s="304">
        <v>3</v>
      </c>
      <c r="Z161" s="687">
        <v>4000000</v>
      </c>
      <c r="AA161" s="291">
        <v>2</v>
      </c>
      <c r="AB161" s="686">
        <v>4000000</v>
      </c>
      <c r="AC161" s="669"/>
      <c r="AD161" s="669">
        <v>3</v>
      </c>
      <c r="AE161" s="669">
        <v>3</v>
      </c>
      <c r="AF161" s="669">
        <v>3</v>
      </c>
      <c r="AG161" s="752" t="s">
        <v>5149</v>
      </c>
      <c r="AH161" s="987">
        <v>20194139600009</v>
      </c>
      <c r="AI161" s="985" t="s">
        <v>4899</v>
      </c>
      <c r="AJ161" s="363">
        <v>43609</v>
      </c>
      <c r="AK161" s="363">
        <v>43814</v>
      </c>
      <c r="AL161" s="358"/>
      <c r="AM161" s="358"/>
      <c r="AN161" s="267" t="s">
        <v>2598</v>
      </c>
      <c r="AO161" s="997"/>
      <c r="AP161" s="525"/>
      <c r="AQ161" s="759"/>
      <c r="AR161" s="310"/>
      <c r="AS161" s="310"/>
      <c r="AT161" s="310"/>
      <c r="AU161" s="310"/>
      <c r="AV161" s="310"/>
      <c r="AW161" s="544"/>
      <c r="AX161" s="525"/>
      <c r="AY161" s="310"/>
      <c r="AZ161" s="310"/>
      <c r="BA161" s="310"/>
      <c r="BB161" s="310"/>
      <c r="BC161" s="310"/>
      <c r="BD161" s="310"/>
      <c r="BE161" s="544"/>
      <c r="BF161" s="525"/>
      <c r="BG161" s="310"/>
      <c r="BH161" s="310"/>
      <c r="BI161" s="310"/>
      <c r="BJ161" s="310"/>
      <c r="BK161" s="310"/>
      <c r="BL161" s="310"/>
      <c r="BM161" s="544">
        <f t="shared" si="73"/>
        <v>0</v>
      </c>
      <c r="BN161" s="595"/>
      <c r="BO161" s="595"/>
      <c r="BP161" s="310"/>
      <c r="BQ161" s="310"/>
      <c r="BR161" s="310"/>
      <c r="BS161" s="310"/>
      <c r="BT161" s="310"/>
      <c r="BU161" s="544"/>
      <c r="BV161" s="556"/>
      <c r="BW161" s="663">
        <f t="shared" si="64"/>
        <v>9</v>
      </c>
      <c r="BX161" s="1047">
        <f t="shared" si="67"/>
        <v>0.75</v>
      </c>
      <c r="BY161" s="1047">
        <f t="shared" si="74"/>
        <v>0</v>
      </c>
      <c r="BZ161" s="1047">
        <f t="shared" si="75"/>
        <v>1</v>
      </c>
      <c r="CA161" s="1047">
        <f t="shared" si="76"/>
        <v>1</v>
      </c>
      <c r="CB161" s="1047">
        <f t="shared" si="77"/>
        <v>1.5</v>
      </c>
      <c r="CC161" t="s">
        <v>4752</v>
      </c>
      <c r="CD161" t="str">
        <f t="shared" si="78"/>
        <v>ROB</v>
      </c>
      <c r="CE161" t="str">
        <f t="shared" si="78"/>
        <v>VE</v>
      </c>
      <c r="CF161" t="str">
        <f t="shared" si="78"/>
        <v>VE</v>
      </c>
      <c r="CG161" t="str">
        <f t="shared" si="78"/>
        <v>VE</v>
      </c>
    </row>
    <row r="162" spans="1:85" ht="93.75" customHeight="1" x14ac:dyDescent="0.3">
      <c r="A162" s="298" t="s">
        <v>491</v>
      </c>
      <c r="B162" s="299" t="str">
        <f>'PLAN INDICATIVO'!B162</f>
        <v>Atención a grupos vulnerables - promoción social</v>
      </c>
      <c r="C162" s="1547"/>
      <c r="D162" s="1551"/>
      <c r="E162" s="1551"/>
      <c r="F162" s="1551"/>
      <c r="G162" s="1551"/>
      <c r="H162" s="1551"/>
      <c r="I162" s="300">
        <f>'PLAN INDICATIVO'!I162</f>
        <v>0</v>
      </c>
      <c r="J162" s="300">
        <f>'PLAN INDICATIVO'!J162</f>
        <v>0</v>
      </c>
      <c r="K162" s="1425" t="str">
        <f>'PLAN INDICATIVO'!K162</f>
        <v>A.14.1.9</v>
      </c>
      <c r="L162" s="1425" t="str">
        <f>'PLAN INDICATIVO'!L162</f>
        <v>10. Reducción de las desigualdades</v>
      </c>
      <c r="M162" s="1425" t="s">
        <v>2735</v>
      </c>
      <c r="N162" s="1513" t="s">
        <v>5125</v>
      </c>
      <c r="O162" s="1425" t="str">
        <f>'PLAN INDICATIVO'!O162</f>
        <v>Mantenimiento</v>
      </c>
      <c r="P162" s="16" t="str">
        <f>'PLAN INDICATIVO'!P162</f>
        <v xml:space="preserve">Implementar 1 estrategia para buscar rehabilitación, resocialización y protección NNA, en articulación con el ICBF, en el cuatrienio </v>
      </c>
      <c r="Q162" s="302" t="str">
        <f>'PLAN INDICATIVO'!Q162</f>
        <v>No. De Estrategias implementadas</v>
      </c>
      <c r="R162" s="303">
        <f>'PLAN INDICATIVO'!R162</f>
        <v>2015</v>
      </c>
      <c r="S162" s="304">
        <v>0</v>
      </c>
      <c r="T162" s="677">
        <v>1</v>
      </c>
      <c r="U162" s="1337">
        <v>1</v>
      </c>
      <c r="V162" s="687">
        <v>3000000</v>
      </c>
      <c r="W162" s="303">
        <v>1</v>
      </c>
      <c r="X162" s="687">
        <v>500000</v>
      </c>
      <c r="Y162" s="304">
        <v>1</v>
      </c>
      <c r="Z162" s="687">
        <v>500000</v>
      </c>
      <c r="AA162" s="291">
        <v>1</v>
      </c>
      <c r="AB162" s="686">
        <v>520000</v>
      </c>
      <c r="AC162" s="669"/>
      <c r="AD162" s="669"/>
      <c r="AE162" s="669">
        <v>1</v>
      </c>
      <c r="AF162" s="669">
        <v>1</v>
      </c>
      <c r="AG162" s="752" t="s">
        <v>5149</v>
      </c>
      <c r="AH162" s="987">
        <v>20194139600009</v>
      </c>
      <c r="AI162" s="985" t="s">
        <v>4900</v>
      </c>
      <c r="AJ162" s="363">
        <v>43609</v>
      </c>
      <c r="AK162" s="363">
        <v>43814</v>
      </c>
      <c r="AL162" s="358"/>
      <c r="AM162" s="358"/>
      <c r="AN162" s="267" t="s">
        <v>2598</v>
      </c>
      <c r="AO162" s="997"/>
      <c r="AP162" s="525"/>
      <c r="AQ162" s="310"/>
      <c r="AR162" s="310"/>
      <c r="AS162" s="310"/>
      <c r="AT162" s="310"/>
      <c r="AU162" s="310"/>
      <c r="AV162" s="310"/>
      <c r="AW162" s="544"/>
      <c r="AX162" s="525"/>
      <c r="AY162" s="310"/>
      <c r="AZ162" s="310"/>
      <c r="BA162" s="310"/>
      <c r="BB162" s="310"/>
      <c r="BC162" s="310"/>
      <c r="BD162" s="310"/>
      <c r="BE162" s="544"/>
      <c r="BF162" s="525"/>
      <c r="BG162" s="310"/>
      <c r="BH162" s="310"/>
      <c r="BI162" s="310"/>
      <c r="BJ162" s="310"/>
      <c r="BK162" s="310"/>
      <c r="BL162" s="310"/>
      <c r="BM162" s="544">
        <f t="shared" si="73"/>
        <v>0</v>
      </c>
      <c r="BN162" s="525"/>
      <c r="BO162" s="1498"/>
      <c r="BP162" s="310"/>
      <c r="BQ162" s="310"/>
      <c r="BR162" s="310"/>
      <c r="BS162" s="310"/>
      <c r="BT162" s="310"/>
      <c r="BU162" s="544"/>
      <c r="BV162" s="556"/>
      <c r="BW162" s="663">
        <f t="shared" si="64"/>
        <v>2</v>
      </c>
      <c r="BX162" s="1047">
        <f t="shared" si="67"/>
        <v>2</v>
      </c>
      <c r="BY162" s="1047">
        <f t="shared" si="74"/>
        <v>0</v>
      </c>
      <c r="BZ162" s="1047">
        <f t="shared" si="75"/>
        <v>0</v>
      </c>
      <c r="CA162" s="1047">
        <f t="shared" si="76"/>
        <v>1</v>
      </c>
      <c r="CB162" s="1047">
        <f t="shared" si="77"/>
        <v>1</v>
      </c>
      <c r="CC162" t="s">
        <v>4753</v>
      </c>
      <c r="CD162" t="str">
        <f t="shared" si="78"/>
        <v>ROB</v>
      </c>
      <c r="CE162" t="str">
        <f t="shared" si="78"/>
        <v>ROB</v>
      </c>
      <c r="CF162" t="str">
        <f t="shared" si="78"/>
        <v>VE</v>
      </c>
      <c r="CG162" t="str">
        <f t="shared" si="78"/>
        <v>VE</v>
      </c>
    </row>
    <row r="163" spans="1:85" ht="102.75" customHeight="1" x14ac:dyDescent="0.3">
      <c r="A163" s="298" t="s">
        <v>491</v>
      </c>
      <c r="B163" s="299" t="str">
        <f>'PLAN INDICATIVO'!B163</f>
        <v>Atención a grupos vulnerables - promoción social</v>
      </c>
      <c r="C163" s="1547"/>
      <c r="D163" s="1551"/>
      <c r="E163" s="1551"/>
      <c r="F163" s="1551"/>
      <c r="G163" s="1551"/>
      <c r="H163" s="1551"/>
      <c r="I163" s="300">
        <f>'PLAN INDICATIVO'!I163</f>
        <v>0</v>
      </c>
      <c r="J163" s="300">
        <f>'PLAN INDICATIVO'!J163</f>
        <v>0</v>
      </c>
      <c r="K163" s="1425" t="str">
        <f>'PLAN INDICATIVO'!K163</f>
        <v>A.14.1.10</v>
      </c>
      <c r="L163" s="1425" t="str">
        <f>'PLAN INDICATIVO'!L163</f>
        <v>10. Reducción de las desigualdades</v>
      </c>
      <c r="M163" s="1425" t="s">
        <v>2735</v>
      </c>
      <c r="N163" s="1513" t="s">
        <v>5125</v>
      </c>
      <c r="O163" s="1425" t="str">
        <f>'PLAN INDICATIVO'!O163</f>
        <v>Incremento</v>
      </c>
      <c r="P163" s="16" t="str">
        <f>'PLAN INDICATIVO'!P163</f>
        <v>Articular 2 estrategias con el ICBF y la gobernación del Huila, conducentes a lograr la inclusión al sistema educativo de NNA en situación de discapacidad y la Inclusión a programas de educación inicial, durante el cuatrienio</v>
      </c>
      <c r="Q163" s="302" t="str">
        <f>'PLAN INDICATIVO'!Q163</f>
        <v>No. De estrategias articuladas</v>
      </c>
      <c r="R163" s="303">
        <f>'PLAN INDICATIVO'!R163</f>
        <v>2015</v>
      </c>
      <c r="S163" s="304">
        <v>0</v>
      </c>
      <c r="T163" s="677">
        <v>2</v>
      </c>
      <c r="U163" s="1337"/>
      <c r="V163" s="687">
        <v>500000</v>
      </c>
      <c r="W163" s="303"/>
      <c r="X163" s="687">
        <v>0</v>
      </c>
      <c r="Y163" s="304">
        <v>1</v>
      </c>
      <c r="Z163" s="687">
        <v>500000</v>
      </c>
      <c r="AA163" s="291">
        <v>1</v>
      </c>
      <c r="AB163" s="686">
        <v>3310000</v>
      </c>
      <c r="AC163" s="669"/>
      <c r="AD163" s="669"/>
      <c r="AE163" s="669">
        <v>0.5</v>
      </c>
      <c r="AF163" s="669">
        <v>0.5</v>
      </c>
      <c r="AG163" s="752" t="s">
        <v>5149</v>
      </c>
      <c r="AH163" s="987">
        <v>20194139600009</v>
      </c>
      <c r="AI163" s="985" t="s">
        <v>4832</v>
      </c>
      <c r="AJ163" s="363">
        <v>43477</v>
      </c>
      <c r="AK163" s="363">
        <v>43597</v>
      </c>
      <c r="AL163" s="358"/>
      <c r="AM163" s="358"/>
      <c r="AN163" s="267" t="s">
        <v>2604</v>
      </c>
      <c r="AO163" s="512"/>
      <c r="AP163" s="525"/>
      <c r="AQ163" s="759"/>
      <c r="AR163" s="310"/>
      <c r="AS163" s="310"/>
      <c r="AT163" s="310"/>
      <c r="AU163" s="310"/>
      <c r="AV163" s="310"/>
      <c r="AW163" s="544"/>
      <c r="AX163" s="525"/>
      <c r="AY163" s="310"/>
      <c r="AZ163" s="310"/>
      <c r="BA163" s="310"/>
      <c r="BB163" s="310"/>
      <c r="BC163" s="310"/>
      <c r="BD163" s="310"/>
      <c r="BE163" s="544"/>
      <c r="BF163" s="525"/>
      <c r="BG163" s="310"/>
      <c r="BH163" s="310"/>
      <c r="BI163" s="310"/>
      <c r="BJ163" s="310"/>
      <c r="BK163" s="310"/>
      <c r="BL163" s="310"/>
      <c r="BM163" s="544">
        <f t="shared" si="73"/>
        <v>0</v>
      </c>
      <c r="BN163" s="1498"/>
      <c r="BO163" s="1498"/>
      <c r="BP163" s="310"/>
      <c r="BQ163" s="310"/>
      <c r="BR163" s="310"/>
      <c r="BS163" s="310"/>
      <c r="BT163" s="310"/>
      <c r="BU163" s="544"/>
      <c r="BV163" s="556"/>
      <c r="BW163" s="663">
        <f t="shared" si="64"/>
        <v>1</v>
      </c>
      <c r="BX163" s="1047">
        <f t="shared" si="67"/>
        <v>0.5</v>
      </c>
      <c r="BY163" s="1047" t="str">
        <f t="shared" si="74"/>
        <v>No Programada</v>
      </c>
      <c r="BZ163" s="1047" t="str">
        <f t="shared" si="75"/>
        <v>No Programada</v>
      </c>
      <c r="CA163" s="1047">
        <f t="shared" si="76"/>
        <v>0.5</v>
      </c>
      <c r="CB163" s="1047">
        <f t="shared" si="77"/>
        <v>0.5</v>
      </c>
      <c r="CC163" t="s">
        <v>4749</v>
      </c>
      <c r="CD163" t="str">
        <f t="shared" si="78"/>
        <v>NP</v>
      </c>
      <c r="CE163" t="str">
        <f t="shared" si="78"/>
        <v>NP</v>
      </c>
      <c r="CF163" t="str">
        <f t="shared" si="78"/>
        <v>AMB</v>
      </c>
      <c r="CG163" t="str">
        <f t="shared" si="78"/>
        <v>AMB</v>
      </c>
    </row>
    <row r="164" spans="1:85" ht="105.75" customHeight="1" x14ac:dyDescent="0.3">
      <c r="A164" s="298" t="s">
        <v>491</v>
      </c>
      <c r="B164" s="299" t="str">
        <f>'PLAN INDICATIVO'!B164</f>
        <v>Atención a grupos vulnerables - promoción social</v>
      </c>
      <c r="C164" s="1547"/>
      <c r="D164" s="1551"/>
      <c r="E164" s="1551"/>
      <c r="F164" s="1551"/>
      <c r="G164" s="1551"/>
      <c r="H164" s="1551"/>
      <c r="I164" s="300">
        <f>'PLAN INDICATIVO'!I164</f>
        <v>0</v>
      </c>
      <c r="J164" s="300">
        <f>'PLAN INDICATIVO'!J164</f>
        <v>0</v>
      </c>
      <c r="K164" s="1425" t="str">
        <f>'PLAN INDICATIVO'!K164</f>
        <v>A.14.1.11</v>
      </c>
      <c r="L164" s="1425" t="str">
        <f>'PLAN INDICATIVO'!L164</f>
        <v>10. Reducción de las desigualdades</v>
      </c>
      <c r="M164" s="1425" t="s">
        <v>2735</v>
      </c>
      <c r="N164" s="1513" t="s">
        <v>5125</v>
      </c>
      <c r="O164" s="1425" t="str">
        <f>'PLAN INDICATIVO'!O164</f>
        <v>Incremento</v>
      </c>
      <c r="P164" s="16" t="str">
        <f>'PLAN INDICATIVO'!P164</f>
        <v>Realizar 16  capacitaciones en IE durante el cuatrienio para fomentar los derechos de protección del los NNA.</v>
      </c>
      <c r="Q164" s="302" t="str">
        <f>'PLAN INDICATIVO'!Q164</f>
        <v>No. De capacitaciones realizadas</v>
      </c>
      <c r="R164" s="303">
        <f>'PLAN INDICATIVO'!R164</f>
        <v>2015</v>
      </c>
      <c r="S164" s="304">
        <v>0</v>
      </c>
      <c r="T164" s="677">
        <v>16</v>
      </c>
      <c r="U164" s="303">
        <v>4</v>
      </c>
      <c r="V164" s="687">
        <v>1000000</v>
      </c>
      <c r="W164" s="303">
        <v>4</v>
      </c>
      <c r="X164" s="687">
        <v>500000</v>
      </c>
      <c r="Y164" s="304">
        <v>4</v>
      </c>
      <c r="Z164" s="687">
        <v>500000</v>
      </c>
      <c r="AA164" s="291">
        <v>2</v>
      </c>
      <c r="AB164" s="686">
        <v>1000000</v>
      </c>
      <c r="AC164" s="669"/>
      <c r="AD164" s="669">
        <v>4</v>
      </c>
      <c r="AE164" s="669">
        <v>4</v>
      </c>
      <c r="AF164" s="669">
        <v>4</v>
      </c>
      <c r="AG164" s="752" t="s">
        <v>5149</v>
      </c>
      <c r="AH164" s="987">
        <v>20194139600009</v>
      </c>
      <c r="AI164" s="985" t="s">
        <v>4833</v>
      </c>
      <c r="AJ164" s="363">
        <v>43477</v>
      </c>
      <c r="AK164" s="363">
        <v>43597</v>
      </c>
      <c r="AL164" s="358"/>
      <c r="AM164" s="358"/>
      <c r="AN164" s="267" t="s">
        <v>2598</v>
      </c>
      <c r="AO164" s="997"/>
      <c r="AP164" s="525"/>
      <c r="AQ164" s="760"/>
      <c r="AR164" s="470"/>
      <c r="AS164" s="470"/>
      <c r="AT164" s="470"/>
      <c r="AU164" s="470"/>
      <c r="AV164" s="470"/>
      <c r="AW164" s="544"/>
      <c r="AX164" s="526"/>
      <c r="AY164" s="470"/>
      <c r="AZ164" s="470"/>
      <c r="BA164" s="470"/>
      <c r="BB164" s="470"/>
      <c r="BC164" s="470"/>
      <c r="BD164" s="470"/>
      <c r="BE164" s="544"/>
      <c r="BF164" s="526"/>
      <c r="BG164" s="470"/>
      <c r="BH164" s="470"/>
      <c r="BI164" s="470"/>
      <c r="BJ164" s="470"/>
      <c r="BK164" s="470"/>
      <c r="BL164" s="470"/>
      <c r="BM164" s="544">
        <f t="shared" si="73"/>
        <v>0</v>
      </c>
      <c r="BN164" s="595"/>
      <c r="BO164" s="595"/>
      <c r="BP164" s="470"/>
      <c r="BQ164" s="470"/>
      <c r="BR164" s="470"/>
      <c r="BS164" s="470"/>
      <c r="BT164" s="470"/>
      <c r="BU164" s="544"/>
      <c r="BV164" s="556"/>
      <c r="BW164" s="663">
        <f t="shared" si="64"/>
        <v>12</v>
      </c>
      <c r="BX164" s="1047">
        <f t="shared" si="67"/>
        <v>0.75</v>
      </c>
      <c r="BY164" s="1047">
        <f t="shared" si="74"/>
        <v>0</v>
      </c>
      <c r="BZ164" s="1047">
        <f t="shared" si="75"/>
        <v>1</v>
      </c>
      <c r="CA164" s="1047">
        <f t="shared" si="76"/>
        <v>1</v>
      </c>
      <c r="CB164" s="1047">
        <f t="shared" si="77"/>
        <v>2</v>
      </c>
      <c r="CC164" t="s">
        <v>4752</v>
      </c>
      <c r="CD164" t="str">
        <f t="shared" si="78"/>
        <v>ROB</v>
      </c>
      <c r="CE164" t="str">
        <f t="shared" si="78"/>
        <v>VE</v>
      </c>
      <c r="CF164" t="str">
        <f t="shared" si="78"/>
        <v>VE</v>
      </c>
      <c r="CG164" t="str">
        <f t="shared" si="78"/>
        <v>VE</v>
      </c>
    </row>
    <row r="165" spans="1:85" ht="104.25" customHeight="1" x14ac:dyDescent="0.3">
      <c r="A165" s="298" t="s">
        <v>491</v>
      </c>
      <c r="B165" s="299" t="str">
        <f>'PLAN INDICATIVO'!B165</f>
        <v>Atención a grupos vulnerables - promoción social</v>
      </c>
      <c r="C165" s="1547"/>
      <c r="D165" s="1551"/>
      <c r="E165" s="1551"/>
      <c r="F165" s="1551"/>
      <c r="G165" s="1551"/>
      <c r="H165" s="1551"/>
      <c r="I165" s="300">
        <f>'PLAN INDICATIVO'!I165</f>
        <v>0</v>
      </c>
      <c r="J165" s="300">
        <f>'PLAN INDICATIVO'!J165</f>
        <v>0</v>
      </c>
      <c r="K165" s="1425" t="str">
        <f>'PLAN INDICATIVO'!K165</f>
        <v>A.14.1.12</v>
      </c>
      <c r="L165" s="1425" t="str">
        <f>'PLAN INDICATIVO'!L165</f>
        <v>10. Reducción de las desigualdades</v>
      </c>
      <c r="M165" s="1425" t="s">
        <v>2735</v>
      </c>
      <c r="N165" s="1513" t="s">
        <v>5125</v>
      </c>
      <c r="O165" s="1425" t="str">
        <f>'PLAN INDICATIVO'!O165</f>
        <v>Mantenimiento</v>
      </c>
      <c r="P165" s="16" t="str">
        <f>'PLAN INDICATIVO'!P165</f>
        <v xml:space="preserve">Realizar 1 seguimiento al programa nutricional desarrollado por la ESE municipal para NNA cada año. </v>
      </c>
      <c r="Q165" s="302" t="str">
        <f>'PLAN INDICATIVO'!Q165</f>
        <v>No. De seguimientos al programa nutricional realizados por año</v>
      </c>
      <c r="R165" s="303">
        <f>'PLAN INDICATIVO'!R165</f>
        <v>2015</v>
      </c>
      <c r="S165" s="304">
        <v>0</v>
      </c>
      <c r="T165" s="677">
        <v>4</v>
      </c>
      <c r="U165" s="303">
        <v>1</v>
      </c>
      <c r="V165" s="687">
        <v>500000</v>
      </c>
      <c r="W165" s="303">
        <v>1</v>
      </c>
      <c r="X165" s="687">
        <v>500000</v>
      </c>
      <c r="Y165" s="304"/>
      <c r="Z165" s="687">
        <v>500000</v>
      </c>
      <c r="AA165" s="291">
        <v>1</v>
      </c>
      <c r="AB165" s="686">
        <v>500000</v>
      </c>
      <c r="AC165" s="669"/>
      <c r="AD165" s="669"/>
      <c r="AE165" s="669"/>
      <c r="AF165" s="669">
        <v>3</v>
      </c>
      <c r="AG165" s="752" t="s">
        <v>5149</v>
      </c>
      <c r="AH165" s="987">
        <v>20194139600009</v>
      </c>
      <c r="AI165" s="985" t="s">
        <v>5103</v>
      </c>
      <c r="AJ165" s="363">
        <v>43477</v>
      </c>
      <c r="AK165" s="363">
        <v>43597</v>
      </c>
      <c r="AL165" s="358"/>
      <c r="AM165" s="358"/>
      <c r="AN165" s="267" t="s">
        <v>2594</v>
      </c>
      <c r="AO165" s="512"/>
      <c r="AP165" s="525"/>
      <c r="AQ165" s="759"/>
      <c r="AR165" s="310"/>
      <c r="AS165" s="310"/>
      <c r="AT165" s="310"/>
      <c r="AU165" s="310"/>
      <c r="AV165" s="310"/>
      <c r="AW165" s="544"/>
      <c r="AX165" s="525"/>
      <c r="AY165" s="310"/>
      <c r="AZ165" s="310"/>
      <c r="BA165" s="310"/>
      <c r="BB165" s="310"/>
      <c r="BC165" s="310"/>
      <c r="BD165" s="310"/>
      <c r="BE165" s="544"/>
      <c r="BF165" s="525"/>
      <c r="BG165" s="310"/>
      <c r="BH165" s="310"/>
      <c r="BI165" s="310"/>
      <c r="BJ165" s="310"/>
      <c r="BK165" s="310"/>
      <c r="BL165" s="310"/>
      <c r="BM165" s="544">
        <f t="shared" si="73"/>
        <v>0</v>
      </c>
      <c r="BN165" s="1498"/>
      <c r="BO165" s="1498"/>
      <c r="BP165" s="310"/>
      <c r="BQ165" s="310"/>
      <c r="BR165" s="310"/>
      <c r="BS165" s="310"/>
      <c r="BT165" s="310"/>
      <c r="BU165" s="544"/>
      <c r="BV165" s="556"/>
      <c r="BW165" s="663">
        <f t="shared" si="64"/>
        <v>3</v>
      </c>
      <c r="BX165" s="1047">
        <f t="shared" si="67"/>
        <v>0.75</v>
      </c>
      <c r="BY165" s="1047">
        <f t="shared" si="74"/>
        <v>0</v>
      </c>
      <c r="BZ165" s="1047">
        <f t="shared" si="75"/>
        <v>0</v>
      </c>
      <c r="CA165" s="1047" t="str">
        <f t="shared" si="76"/>
        <v>No Programada</v>
      </c>
      <c r="CB165" s="1047">
        <f t="shared" si="77"/>
        <v>3</v>
      </c>
      <c r="CC165" t="s">
        <v>4749</v>
      </c>
      <c r="CD165" t="str">
        <f t="shared" si="78"/>
        <v>ROB</v>
      </c>
      <c r="CE165" t="str">
        <f t="shared" si="78"/>
        <v>ROB</v>
      </c>
      <c r="CF165" t="str">
        <f t="shared" si="78"/>
        <v>NP</v>
      </c>
      <c r="CG165" t="str">
        <f t="shared" si="78"/>
        <v>VE</v>
      </c>
    </row>
    <row r="166" spans="1:85" ht="100.5" customHeight="1" x14ac:dyDescent="0.3">
      <c r="A166" s="298" t="s">
        <v>491</v>
      </c>
      <c r="B166" s="299" t="str">
        <f>'PLAN INDICATIVO'!B166</f>
        <v>Atención a grupos vulnerables - promoción social</v>
      </c>
      <c r="C166" s="1547"/>
      <c r="D166" s="1551"/>
      <c r="E166" s="1551"/>
      <c r="F166" s="1551"/>
      <c r="G166" s="1551"/>
      <c r="H166" s="1551"/>
      <c r="I166" s="300">
        <f>'PLAN INDICATIVO'!I166</f>
        <v>0</v>
      </c>
      <c r="J166" s="300">
        <f>'PLAN INDICATIVO'!J166</f>
        <v>0</v>
      </c>
      <c r="K166" s="1425" t="str">
        <f>'PLAN INDICATIVO'!K166</f>
        <v>A.14.1.13</v>
      </c>
      <c r="L166" s="1425" t="str">
        <f>'PLAN INDICATIVO'!L166</f>
        <v>10. Reducción de las desigualdades</v>
      </c>
      <c r="M166" s="1425" t="s">
        <v>2735</v>
      </c>
      <c r="N166" s="1513" t="s">
        <v>5125</v>
      </c>
      <c r="O166" s="1425" t="str">
        <f>'PLAN INDICATIVO'!O166</f>
        <v>Incremento</v>
      </c>
      <c r="P166" s="16" t="str">
        <f>'PLAN INDICATIVO'!P166</f>
        <v>Realizar 2 jornadas de identificación de NNA, articulada con la Registraduría, durante el cuatrienio</v>
      </c>
      <c r="Q166" s="302" t="str">
        <f>'PLAN INDICATIVO'!Q166</f>
        <v>No. De jornadas de identificación realizadas</v>
      </c>
      <c r="R166" s="303">
        <f>'PLAN INDICATIVO'!R166</f>
        <v>2015</v>
      </c>
      <c r="S166" s="304">
        <v>0</v>
      </c>
      <c r="T166" s="677">
        <v>2</v>
      </c>
      <c r="U166" s="303">
        <v>1</v>
      </c>
      <c r="V166" s="687">
        <v>300000</v>
      </c>
      <c r="W166" s="303">
        <v>1</v>
      </c>
      <c r="X166" s="687">
        <v>500000</v>
      </c>
      <c r="Y166" s="304"/>
      <c r="Z166" s="687">
        <v>0</v>
      </c>
      <c r="AA166" s="291">
        <v>1</v>
      </c>
      <c r="AB166" s="686">
        <v>500000</v>
      </c>
      <c r="AC166" s="669"/>
      <c r="AD166" s="669">
        <v>1</v>
      </c>
      <c r="AE166" s="669"/>
      <c r="AF166" s="669"/>
      <c r="AG166" s="752" t="s">
        <v>5149</v>
      </c>
      <c r="AH166" s="987">
        <v>20194139600009</v>
      </c>
      <c r="AI166" s="985" t="s">
        <v>4115</v>
      </c>
      <c r="AJ166" s="363"/>
      <c r="AK166" s="363"/>
      <c r="AL166" s="358"/>
      <c r="AM166" s="358"/>
      <c r="AN166" s="267" t="s">
        <v>2594</v>
      </c>
      <c r="AO166" s="512"/>
      <c r="AP166" s="525"/>
      <c r="AQ166" s="310"/>
      <c r="AR166" s="310"/>
      <c r="AS166" s="310"/>
      <c r="AT166" s="310"/>
      <c r="AU166" s="310"/>
      <c r="AV166" s="310"/>
      <c r="AW166" s="544"/>
      <c r="AX166" s="525"/>
      <c r="AY166" s="310"/>
      <c r="AZ166" s="310"/>
      <c r="BA166" s="310"/>
      <c r="BB166" s="310"/>
      <c r="BC166" s="310"/>
      <c r="BD166" s="310"/>
      <c r="BE166" s="544"/>
      <c r="BF166" s="525"/>
      <c r="BG166" s="310"/>
      <c r="BH166" s="310"/>
      <c r="BI166" s="310"/>
      <c r="BJ166" s="310"/>
      <c r="BK166" s="310"/>
      <c r="BL166" s="310"/>
      <c r="BM166" s="544">
        <f t="shared" si="73"/>
        <v>0</v>
      </c>
      <c r="BN166" s="525"/>
      <c r="BO166" s="310"/>
      <c r="BP166" s="310"/>
      <c r="BQ166" s="310"/>
      <c r="BR166" s="310"/>
      <c r="BS166" s="310"/>
      <c r="BT166" s="310"/>
      <c r="BU166" s="544"/>
      <c r="BV166" s="556"/>
      <c r="BW166" s="663">
        <f t="shared" si="64"/>
        <v>1</v>
      </c>
      <c r="BX166" s="1047">
        <f t="shared" si="67"/>
        <v>0.5</v>
      </c>
      <c r="BY166" s="1047">
        <f t="shared" si="74"/>
        <v>0</v>
      </c>
      <c r="BZ166" s="1047">
        <f t="shared" si="75"/>
        <v>1</v>
      </c>
      <c r="CA166" s="1047" t="str">
        <f t="shared" si="76"/>
        <v>No Programada</v>
      </c>
      <c r="CB166" s="1047">
        <f t="shared" si="77"/>
        <v>0</v>
      </c>
      <c r="CC166" s="1465">
        <v>1</v>
      </c>
      <c r="CD166" t="str">
        <f t="shared" si="78"/>
        <v>ROB</v>
      </c>
      <c r="CE166" t="str">
        <f t="shared" si="78"/>
        <v>VE</v>
      </c>
      <c r="CF166" t="str">
        <f t="shared" si="78"/>
        <v>NP</v>
      </c>
      <c r="CG166" t="str">
        <f t="shared" si="78"/>
        <v>ROB</v>
      </c>
    </row>
    <row r="167" spans="1:85" ht="95.25" customHeight="1" x14ac:dyDescent="0.3">
      <c r="A167" s="298" t="s">
        <v>491</v>
      </c>
      <c r="B167" s="299" t="str">
        <f>'PLAN INDICATIVO'!B167</f>
        <v>Atención a grupos vulnerables - promoción social</v>
      </c>
      <c r="C167" s="1547"/>
      <c r="D167" s="1551"/>
      <c r="E167" s="1551"/>
      <c r="F167" s="1551"/>
      <c r="G167" s="1551"/>
      <c r="H167" s="1551"/>
      <c r="I167" s="300">
        <f>'PLAN INDICATIVO'!I167</f>
        <v>0</v>
      </c>
      <c r="J167" s="300">
        <f>'PLAN INDICATIVO'!J167</f>
        <v>0</v>
      </c>
      <c r="K167" s="1425" t="str">
        <f>'PLAN INDICATIVO'!K167</f>
        <v>A.14.1.14</v>
      </c>
      <c r="L167" s="1425" t="str">
        <f>'PLAN INDICATIVO'!L167</f>
        <v>10. Reducción de las desigualdades</v>
      </c>
      <c r="M167" s="1425" t="s">
        <v>2735</v>
      </c>
      <c r="N167" s="1513" t="s">
        <v>5125</v>
      </c>
      <c r="O167" s="1425" t="str">
        <f>'PLAN INDICATIVO'!O167</f>
        <v>Incremento</v>
      </c>
      <c r="P167" s="16" t="str">
        <f>'PLAN INDICATIVO'!P167</f>
        <v>Garantizar la participación de NNA en los 15 Consejos de Política Social, durante el cuatrienio</v>
      </c>
      <c r="Q167" s="302" t="str">
        <f>'PLAN INDICATIVO'!Q167</f>
        <v xml:space="preserve">No. de consejos de política social realizados en que participan los NNA. </v>
      </c>
      <c r="R167" s="303">
        <f>'PLAN INDICATIVO'!R167</f>
        <v>2015</v>
      </c>
      <c r="S167" s="304">
        <v>0</v>
      </c>
      <c r="T167" s="677">
        <v>15</v>
      </c>
      <c r="U167" s="303">
        <v>4</v>
      </c>
      <c r="V167" s="687">
        <v>200000</v>
      </c>
      <c r="W167" s="303">
        <v>4</v>
      </c>
      <c r="X167" s="687">
        <v>500000</v>
      </c>
      <c r="Y167" s="304">
        <v>4</v>
      </c>
      <c r="Z167" s="687">
        <v>500000</v>
      </c>
      <c r="AA167" s="291">
        <v>2</v>
      </c>
      <c r="AB167" s="686">
        <v>520000</v>
      </c>
      <c r="AC167" s="669"/>
      <c r="AD167" s="669">
        <v>4</v>
      </c>
      <c r="AE167" s="669">
        <v>2</v>
      </c>
      <c r="AF167" s="669">
        <v>3</v>
      </c>
      <c r="AG167" s="752" t="s">
        <v>5149</v>
      </c>
      <c r="AH167" s="987">
        <v>20194139600009</v>
      </c>
      <c r="AI167" s="985" t="s">
        <v>5104</v>
      </c>
      <c r="AJ167" s="363">
        <v>43477</v>
      </c>
      <c r="AK167" s="363">
        <v>43597</v>
      </c>
      <c r="AL167" s="358"/>
      <c r="AM167" s="358"/>
      <c r="AN167" s="267" t="s">
        <v>2604</v>
      </c>
      <c r="AO167" s="997"/>
      <c r="AP167" s="525"/>
      <c r="AQ167" s="310"/>
      <c r="AR167" s="310"/>
      <c r="AS167" s="310"/>
      <c r="AT167" s="310"/>
      <c r="AU167" s="310"/>
      <c r="AV167" s="310"/>
      <c r="AW167" s="544"/>
      <c r="AX167" s="525"/>
      <c r="AY167" s="310"/>
      <c r="AZ167" s="310"/>
      <c r="BA167" s="310"/>
      <c r="BB167" s="310"/>
      <c r="BC167" s="310"/>
      <c r="BD167" s="310"/>
      <c r="BE167" s="544"/>
      <c r="BF167" s="525"/>
      <c r="BG167" s="310"/>
      <c r="BH167" s="310"/>
      <c r="BI167" s="310"/>
      <c r="BJ167" s="310"/>
      <c r="BK167" s="310"/>
      <c r="BL167" s="310"/>
      <c r="BM167" s="544">
        <f t="shared" si="73"/>
        <v>0</v>
      </c>
      <c r="BN167" s="1498"/>
      <c r="BO167" s="1498"/>
      <c r="BP167" s="310"/>
      <c r="BQ167" s="310"/>
      <c r="BR167" s="310"/>
      <c r="BS167" s="310"/>
      <c r="BT167" s="310"/>
      <c r="BU167" s="544"/>
      <c r="BV167" s="556"/>
      <c r="BW167" s="663">
        <f t="shared" si="64"/>
        <v>9</v>
      </c>
      <c r="BX167" s="1047">
        <f t="shared" si="67"/>
        <v>0.6</v>
      </c>
      <c r="BY167" s="1047">
        <f t="shared" si="74"/>
        <v>0</v>
      </c>
      <c r="BZ167" s="1047">
        <f t="shared" si="75"/>
        <v>1</v>
      </c>
      <c r="CA167" s="1047">
        <f t="shared" si="76"/>
        <v>0.5</v>
      </c>
      <c r="CB167" s="1047">
        <f t="shared" si="77"/>
        <v>1.5</v>
      </c>
      <c r="CC167" t="s">
        <v>4747</v>
      </c>
      <c r="CD167" t="str">
        <f t="shared" si="78"/>
        <v>ROB</v>
      </c>
      <c r="CE167" t="str">
        <f t="shared" si="78"/>
        <v>VE</v>
      </c>
      <c r="CF167" t="str">
        <f t="shared" si="78"/>
        <v>AMB</v>
      </c>
      <c r="CG167" t="str">
        <f t="shared" si="78"/>
        <v>VE</v>
      </c>
    </row>
    <row r="168" spans="1:85" s="231" customFormat="1" ht="82.5" customHeight="1" x14ac:dyDescent="0.3">
      <c r="A168" s="354" t="s">
        <v>491</v>
      </c>
      <c r="B168" s="299" t="str">
        <f>'PLAN INDICATIVO'!B168</f>
        <v>Atención a grupos vulnerables - promoción social</v>
      </c>
      <c r="C168" s="1599"/>
      <c r="D168" s="1551"/>
      <c r="E168" s="1551"/>
      <c r="F168" s="1599"/>
      <c r="G168" s="1599"/>
      <c r="H168" s="1599"/>
      <c r="I168" s="300">
        <f>'PLAN INDICATIVO'!I168</f>
        <v>0</v>
      </c>
      <c r="J168" s="300">
        <f>'PLAN INDICATIVO'!J168</f>
        <v>0</v>
      </c>
      <c r="K168" s="1425" t="str">
        <f>'PLAN INDICATIVO'!K168</f>
        <v>A.14.1.15</v>
      </c>
      <c r="L168" s="1425" t="str">
        <f>'PLAN INDICATIVO'!L168</f>
        <v>10. Reducción de las desigualdades</v>
      </c>
      <c r="M168" s="1425" t="s">
        <v>2735</v>
      </c>
      <c r="N168" s="1513" t="s">
        <v>5125</v>
      </c>
      <c r="O168" s="1425" t="str">
        <f>'PLAN INDICATIVO'!O168</f>
        <v>Mantenimiento</v>
      </c>
      <c r="P168" s="16" t="str">
        <f>'PLAN INDICATIVO'!P168</f>
        <v>Realizar 1 Celebración del día de la niñez cada año</v>
      </c>
      <c r="Q168" s="302" t="str">
        <f>'PLAN INDICATIVO'!Q168</f>
        <v>No. De celebraciones realizadas por año</v>
      </c>
      <c r="R168" s="303">
        <f>'PLAN INDICATIVO'!R168</f>
        <v>2015</v>
      </c>
      <c r="S168" s="304">
        <v>1</v>
      </c>
      <c r="T168" s="677">
        <v>4</v>
      </c>
      <c r="U168" s="303">
        <v>1</v>
      </c>
      <c r="V168" s="687">
        <v>5000000</v>
      </c>
      <c r="W168" s="303">
        <v>1</v>
      </c>
      <c r="X168" s="687">
        <v>9000000</v>
      </c>
      <c r="Y168" s="304">
        <v>1</v>
      </c>
      <c r="Z168" s="687">
        <v>9000000</v>
      </c>
      <c r="AA168" s="291">
        <v>1</v>
      </c>
      <c r="AB168" s="686">
        <v>15500000</v>
      </c>
      <c r="AC168" s="670"/>
      <c r="AD168" s="670">
        <v>1</v>
      </c>
      <c r="AE168" s="670">
        <v>1</v>
      </c>
      <c r="AF168" s="670">
        <v>1</v>
      </c>
      <c r="AG168" s="752" t="s">
        <v>5149</v>
      </c>
      <c r="AH168" s="987">
        <v>20194139600009</v>
      </c>
      <c r="AI168" s="985" t="s">
        <v>4835</v>
      </c>
      <c r="AJ168" s="363">
        <v>43477</v>
      </c>
      <c r="AK168" s="363">
        <v>43597</v>
      </c>
      <c r="AL168" s="362"/>
      <c r="AM168" s="362"/>
      <c r="AN168" s="267" t="s">
        <v>2598</v>
      </c>
      <c r="AO168" s="997"/>
      <c r="AP168" s="1009"/>
      <c r="AQ168" s="761"/>
      <c r="AR168" s="472"/>
      <c r="AS168" s="472"/>
      <c r="AT168" s="472"/>
      <c r="AU168" s="472"/>
      <c r="AV168" s="472"/>
      <c r="AW168" s="544"/>
      <c r="AX168" s="528"/>
      <c r="AY168" s="472"/>
      <c r="AZ168" s="472"/>
      <c r="BA168" s="472"/>
      <c r="BB168" s="472"/>
      <c r="BC168" s="472"/>
      <c r="BD168" s="472"/>
      <c r="BE168" s="544"/>
      <c r="BF168" s="528"/>
      <c r="BG168" s="472"/>
      <c r="BH168" s="472"/>
      <c r="BI168" s="472"/>
      <c r="BJ168" s="472"/>
      <c r="BK168" s="472"/>
      <c r="BL168" s="472"/>
      <c r="BM168" s="544">
        <f t="shared" si="73"/>
        <v>0</v>
      </c>
      <c r="BN168" s="1498"/>
      <c r="BO168" s="1498"/>
      <c r="BP168" s="472"/>
      <c r="BQ168" s="472"/>
      <c r="BR168" s="472"/>
      <c r="BS168" s="472"/>
      <c r="BT168" s="472"/>
      <c r="BU168" s="544"/>
      <c r="BV168" s="653"/>
      <c r="BW168" s="663">
        <f t="shared" si="64"/>
        <v>3</v>
      </c>
      <c r="BX168" s="1047">
        <f t="shared" si="67"/>
        <v>0.75</v>
      </c>
      <c r="BY168" s="1047">
        <f t="shared" si="74"/>
        <v>0</v>
      </c>
      <c r="BZ168" s="1047">
        <f t="shared" si="75"/>
        <v>1</v>
      </c>
      <c r="CA168" s="1047">
        <f t="shared" si="76"/>
        <v>1</v>
      </c>
      <c r="CB168" s="1047">
        <f t="shared" si="77"/>
        <v>1</v>
      </c>
      <c r="CC168" s="231" t="s">
        <v>4753</v>
      </c>
      <c r="CD168" t="str">
        <f t="shared" si="78"/>
        <v>ROB</v>
      </c>
      <c r="CE168" t="str">
        <f t="shared" si="78"/>
        <v>VE</v>
      </c>
      <c r="CF168" t="str">
        <f t="shared" si="78"/>
        <v>VE</v>
      </c>
      <c r="CG168" t="str">
        <f t="shared" si="78"/>
        <v>VE</v>
      </c>
    </row>
    <row r="169" spans="1:85" ht="89.25" customHeight="1" x14ac:dyDescent="0.3">
      <c r="A169" s="298" t="s">
        <v>491</v>
      </c>
      <c r="B169" s="299" t="str">
        <f>'PLAN INDICATIVO'!B169</f>
        <v>Atención a grupos vulnerables - promoción social</v>
      </c>
      <c r="C169" s="1547"/>
      <c r="D169" s="1551"/>
      <c r="E169" s="1551"/>
      <c r="F169" s="1551"/>
      <c r="G169" s="1551"/>
      <c r="H169" s="1551"/>
      <c r="I169" s="300">
        <f>'PLAN INDICATIVO'!I169</f>
        <v>0</v>
      </c>
      <c r="J169" s="300">
        <f>'PLAN INDICATIVO'!J169</f>
        <v>0</v>
      </c>
      <c r="K169" s="1425" t="str">
        <f>'PLAN INDICATIVO'!K169</f>
        <v>A.14.1.16</v>
      </c>
      <c r="L169" s="1425" t="str">
        <f>'PLAN INDICATIVO'!L169</f>
        <v>10. Reducción de las desigualdades</v>
      </c>
      <c r="M169" s="1425" t="s">
        <v>2735</v>
      </c>
      <c r="N169" s="1513" t="s">
        <v>5125</v>
      </c>
      <c r="O169" s="1425" t="str">
        <f>'PLAN INDICATIVO'!O169</f>
        <v>Mantenimiento</v>
      </c>
      <c r="P169" s="16" t="str">
        <f>'PLAN INDICATIVO'!P169</f>
        <v xml:space="preserve">Realizar 1 Celebración de la navidad a niños y niñas "caravana navideña por la paz", cada año. </v>
      </c>
      <c r="Q169" s="302" t="str">
        <f>'PLAN INDICATIVO'!Q169</f>
        <v>No. de celebraciones realizadas por año</v>
      </c>
      <c r="R169" s="303">
        <f>'PLAN INDICATIVO'!R169</f>
        <v>2015</v>
      </c>
      <c r="S169" s="304">
        <v>0</v>
      </c>
      <c r="T169" s="677">
        <v>4</v>
      </c>
      <c r="U169" s="303">
        <v>1</v>
      </c>
      <c r="V169" s="687">
        <v>3000000</v>
      </c>
      <c r="W169" s="303">
        <v>1</v>
      </c>
      <c r="X169" s="687">
        <v>9240000</v>
      </c>
      <c r="Y169" s="304">
        <v>1</v>
      </c>
      <c r="Z169" s="687">
        <v>9000000</v>
      </c>
      <c r="AA169" s="291">
        <v>1</v>
      </c>
      <c r="AB169" s="686">
        <v>10350000</v>
      </c>
      <c r="AC169" s="669"/>
      <c r="AD169" s="669">
        <v>1</v>
      </c>
      <c r="AE169" s="669">
        <v>1</v>
      </c>
      <c r="AF169" s="669">
        <v>1</v>
      </c>
      <c r="AG169" s="752" t="s">
        <v>5149</v>
      </c>
      <c r="AH169" s="987">
        <v>20194139600009</v>
      </c>
      <c r="AI169" s="985" t="s">
        <v>5105</v>
      </c>
      <c r="AJ169" s="363">
        <v>43609</v>
      </c>
      <c r="AK169" s="363">
        <v>43814</v>
      </c>
      <c r="AL169" s="358"/>
      <c r="AM169" s="358"/>
      <c r="AN169" s="267" t="s">
        <v>2598</v>
      </c>
      <c r="AO169" s="997"/>
      <c r="AP169" s="525"/>
      <c r="AQ169" s="310"/>
      <c r="AR169" s="310"/>
      <c r="AS169" s="310"/>
      <c r="AT169" s="310"/>
      <c r="AU169" s="310"/>
      <c r="AV169" s="310"/>
      <c r="AW169" s="544"/>
      <c r="AX169" s="525"/>
      <c r="AY169" s="310"/>
      <c r="AZ169" s="310"/>
      <c r="BA169" s="310"/>
      <c r="BB169" s="310"/>
      <c r="BC169" s="310"/>
      <c r="BD169" s="310"/>
      <c r="BE169" s="544"/>
      <c r="BF169" s="525"/>
      <c r="BG169" s="310"/>
      <c r="BH169" s="310"/>
      <c r="BI169" s="310"/>
      <c r="BJ169" s="310"/>
      <c r="BK169" s="310"/>
      <c r="BL169" s="310"/>
      <c r="BM169" s="544">
        <f t="shared" si="73"/>
        <v>0</v>
      </c>
      <c r="BN169" s="525"/>
      <c r="BO169" s="1498"/>
      <c r="BP169" s="310"/>
      <c r="BQ169" s="310"/>
      <c r="BR169" s="310"/>
      <c r="BS169" s="310"/>
      <c r="BT169" s="310"/>
      <c r="BU169" s="544"/>
      <c r="BV169" s="556"/>
      <c r="BW169" s="663">
        <f t="shared" si="64"/>
        <v>3</v>
      </c>
      <c r="BX169" s="1047">
        <f t="shared" si="67"/>
        <v>0.75</v>
      </c>
      <c r="BY169" s="1047">
        <f t="shared" si="74"/>
        <v>0</v>
      </c>
      <c r="BZ169" s="1047">
        <f t="shared" si="75"/>
        <v>1</v>
      </c>
      <c r="CA169" s="1047">
        <f t="shared" si="76"/>
        <v>1</v>
      </c>
      <c r="CB169" s="1047">
        <f t="shared" si="77"/>
        <v>1</v>
      </c>
      <c r="CC169" t="s">
        <v>4753</v>
      </c>
      <c r="CD169" t="str">
        <f t="shared" si="78"/>
        <v>ROB</v>
      </c>
      <c r="CE169" t="str">
        <f t="shared" si="78"/>
        <v>VE</v>
      </c>
      <c r="CF169" t="str">
        <f t="shared" si="78"/>
        <v>VE</v>
      </c>
      <c r="CG169" t="str">
        <f t="shared" si="78"/>
        <v>VE</v>
      </c>
    </row>
    <row r="170" spans="1:85" ht="93.75" customHeight="1" x14ac:dyDescent="0.3">
      <c r="A170" s="298" t="s">
        <v>491</v>
      </c>
      <c r="B170" s="299" t="str">
        <f>'PLAN INDICATIVO'!B170</f>
        <v>Atención a grupos vulnerables - promoción social</v>
      </c>
      <c r="C170" s="1547"/>
      <c r="D170" s="1551"/>
      <c r="E170" s="1551"/>
      <c r="F170" s="1551"/>
      <c r="G170" s="1551"/>
      <c r="H170" s="1551"/>
      <c r="I170" s="300">
        <f>'PLAN INDICATIVO'!I170</f>
        <v>0</v>
      </c>
      <c r="J170" s="300">
        <f>'PLAN INDICATIVO'!J170</f>
        <v>0</v>
      </c>
      <c r="K170" s="1425" t="str">
        <f>'PLAN INDICATIVO'!K170</f>
        <v>A.14.1.17</v>
      </c>
      <c r="L170" s="1425" t="str">
        <f>'PLAN INDICATIVO'!L170</f>
        <v>10. Reducción de las desigualdades</v>
      </c>
      <c r="M170" s="1425" t="s">
        <v>2735</v>
      </c>
      <c r="N170" s="1513" t="s">
        <v>5125</v>
      </c>
      <c r="O170" s="1425" t="str">
        <f>'PLAN INDICATIVO'!O170</f>
        <v>Incremento</v>
      </c>
      <c r="P170" s="16" t="str">
        <f>'PLAN INDICATIVO'!P170</f>
        <v>Realizar 12 programas  radiales de promoción de derechos y deberes en los NNA,  durante el cuatrienio</v>
      </c>
      <c r="Q170" s="302" t="str">
        <f>'PLAN INDICATIVO'!Q170</f>
        <v>No. De programas radiales realizados</v>
      </c>
      <c r="R170" s="303">
        <f>'PLAN INDICATIVO'!R170</f>
        <v>2015</v>
      </c>
      <c r="S170" s="304">
        <v>0</v>
      </c>
      <c r="T170" s="677">
        <v>12</v>
      </c>
      <c r="U170" s="303">
        <v>3</v>
      </c>
      <c r="V170" s="687">
        <v>500000</v>
      </c>
      <c r="W170" s="303">
        <v>3</v>
      </c>
      <c r="X170" s="687">
        <v>500000</v>
      </c>
      <c r="Y170" s="304">
        <v>3</v>
      </c>
      <c r="Z170" s="687">
        <v>500000</v>
      </c>
      <c r="AA170" s="291">
        <v>2</v>
      </c>
      <c r="AB170" s="686">
        <v>500000</v>
      </c>
      <c r="AC170" s="669"/>
      <c r="AD170" s="669">
        <v>3</v>
      </c>
      <c r="AE170" s="669">
        <v>3</v>
      </c>
      <c r="AF170" s="669">
        <v>3</v>
      </c>
      <c r="AG170" s="752" t="s">
        <v>5149</v>
      </c>
      <c r="AH170" s="987">
        <v>20194139600009</v>
      </c>
      <c r="AI170" s="985" t="s">
        <v>4836</v>
      </c>
      <c r="AJ170" s="363">
        <v>43477</v>
      </c>
      <c r="AK170" s="363">
        <v>43597</v>
      </c>
      <c r="AL170" s="358"/>
      <c r="AM170" s="358"/>
      <c r="AN170" s="267" t="s">
        <v>2598</v>
      </c>
      <c r="AO170" s="997"/>
      <c r="AP170" s="525"/>
      <c r="AQ170" s="310"/>
      <c r="AR170" s="310"/>
      <c r="AS170" s="310"/>
      <c r="AT170" s="310"/>
      <c r="AU170" s="310"/>
      <c r="AV170" s="310"/>
      <c r="AW170" s="544"/>
      <c r="AX170" s="525"/>
      <c r="AY170" s="310"/>
      <c r="AZ170" s="310"/>
      <c r="BA170" s="310"/>
      <c r="BB170" s="310"/>
      <c r="BC170" s="310"/>
      <c r="BD170" s="310"/>
      <c r="BE170" s="544"/>
      <c r="BF170" s="525"/>
      <c r="BG170" s="310"/>
      <c r="BH170" s="310"/>
      <c r="BI170" s="310"/>
      <c r="BJ170" s="310"/>
      <c r="BK170" s="310"/>
      <c r="BL170" s="310"/>
      <c r="BM170" s="544">
        <f t="shared" si="73"/>
        <v>0</v>
      </c>
      <c r="BN170" s="525"/>
      <c r="BO170" s="1498"/>
      <c r="BP170" s="310"/>
      <c r="BQ170" s="310"/>
      <c r="BR170" s="310"/>
      <c r="BS170" s="310"/>
      <c r="BT170" s="310"/>
      <c r="BU170" s="544"/>
      <c r="BV170" s="556"/>
      <c r="BW170" s="663">
        <f t="shared" si="64"/>
        <v>9</v>
      </c>
      <c r="BX170" s="1047">
        <f t="shared" si="67"/>
        <v>0.75</v>
      </c>
      <c r="BY170" s="1047">
        <f t="shared" si="74"/>
        <v>0</v>
      </c>
      <c r="BZ170" s="1047">
        <f t="shared" si="75"/>
        <v>1</v>
      </c>
      <c r="CA170" s="1047">
        <f t="shared" si="76"/>
        <v>1</v>
      </c>
      <c r="CB170" s="1047">
        <f t="shared" si="77"/>
        <v>1.5</v>
      </c>
      <c r="CC170" t="s">
        <v>4753</v>
      </c>
      <c r="CD170" t="str">
        <f t="shared" si="78"/>
        <v>ROB</v>
      </c>
      <c r="CE170" t="str">
        <f t="shared" si="78"/>
        <v>VE</v>
      </c>
      <c r="CF170" t="str">
        <f t="shared" si="78"/>
        <v>VE</v>
      </c>
      <c r="CG170" t="str">
        <f t="shared" si="78"/>
        <v>VE</v>
      </c>
    </row>
    <row r="171" spans="1:85" ht="87" customHeight="1" x14ac:dyDescent="0.3">
      <c r="A171" s="298" t="s">
        <v>491</v>
      </c>
      <c r="B171" s="299" t="str">
        <f>'PLAN INDICATIVO'!B171</f>
        <v>Atención a grupos vulnerables - promoción social</v>
      </c>
      <c r="C171" s="1547"/>
      <c r="D171" s="1551"/>
      <c r="E171" s="1551"/>
      <c r="F171" s="1551"/>
      <c r="G171" s="1551"/>
      <c r="H171" s="1551"/>
      <c r="I171" s="300">
        <f>'PLAN INDICATIVO'!I171</f>
        <v>0</v>
      </c>
      <c r="J171" s="300">
        <f>'PLAN INDICATIVO'!J171</f>
        <v>0</v>
      </c>
      <c r="K171" s="1425" t="str">
        <f>'PLAN INDICATIVO'!K171</f>
        <v>A.14.1.18</v>
      </c>
      <c r="L171" s="1425" t="str">
        <f>'PLAN INDICATIVO'!L171</f>
        <v>10. Reducción de las desigualdades</v>
      </c>
      <c r="M171" s="1425" t="s">
        <v>2735</v>
      </c>
      <c r="N171" s="1513" t="s">
        <v>5125</v>
      </c>
      <c r="O171" s="1425" t="str">
        <f>'PLAN INDICATIVO'!O171</f>
        <v>Mantenimiento</v>
      </c>
      <c r="P171" s="16" t="str">
        <f>'PLAN INDICATIVO'!P171</f>
        <v>Ejecutar 1 programa "No te madures biche, los niños, niñas y adolescentes unidos por el cambio", encaminado a disminuir el delito, y prevenir el consumo de alcohol y de Sustancias Psicoactivas cada año</v>
      </c>
      <c r="Q171" s="302" t="str">
        <f>'PLAN INDICATIVO'!Q171</f>
        <v>No. de programa ejecutado por año</v>
      </c>
      <c r="R171" s="303">
        <f>'PLAN INDICATIVO'!R171</f>
        <v>2015</v>
      </c>
      <c r="S171" s="304">
        <v>0</v>
      </c>
      <c r="T171" s="677">
        <v>4</v>
      </c>
      <c r="U171" s="303">
        <v>1</v>
      </c>
      <c r="V171" s="687">
        <v>5000000</v>
      </c>
      <c r="W171" s="303">
        <v>1</v>
      </c>
      <c r="X171" s="687">
        <v>500000</v>
      </c>
      <c r="Y171" s="304">
        <v>1</v>
      </c>
      <c r="Z171" s="687">
        <v>500000</v>
      </c>
      <c r="AA171" s="291">
        <v>1</v>
      </c>
      <c r="AB171" s="686">
        <v>3000000</v>
      </c>
      <c r="AC171" s="669"/>
      <c r="AD171" s="669">
        <v>1</v>
      </c>
      <c r="AE171" s="669">
        <v>1</v>
      </c>
      <c r="AF171" s="669">
        <v>1</v>
      </c>
      <c r="AG171" s="752" t="s">
        <v>5149</v>
      </c>
      <c r="AH171" s="987">
        <v>20194139600009</v>
      </c>
      <c r="AI171" s="985" t="s">
        <v>4901</v>
      </c>
      <c r="AJ171" s="363">
        <v>43609</v>
      </c>
      <c r="AK171" s="363">
        <v>43814</v>
      </c>
      <c r="AL171" s="358"/>
      <c r="AM171" s="358"/>
      <c r="AN171" s="709" t="s">
        <v>2598</v>
      </c>
      <c r="AO171" s="997"/>
      <c r="AP171" s="525"/>
      <c r="AQ171" s="310"/>
      <c r="AR171" s="310"/>
      <c r="AS171" s="310"/>
      <c r="AT171" s="310"/>
      <c r="AU171" s="310"/>
      <c r="AV171" s="310"/>
      <c r="AW171" s="544"/>
      <c r="AX171" s="525"/>
      <c r="AY171" s="310"/>
      <c r="AZ171" s="310"/>
      <c r="BA171" s="310"/>
      <c r="BB171" s="310"/>
      <c r="BC171" s="310"/>
      <c r="BD171" s="310"/>
      <c r="BE171" s="544"/>
      <c r="BF171" s="525"/>
      <c r="BG171" s="310"/>
      <c r="BH171" s="310"/>
      <c r="BI171" s="310"/>
      <c r="BJ171" s="310"/>
      <c r="BK171" s="310"/>
      <c r="BL171" s="310"/>
      <c r="BM171" s="544">
        <f t="shared" si="73"/>
        <v>0</v>
      </c>
      <c r="BN171" s="1498"/>
      <c r="BO171" s="1498"/>
      <c r="BP171" s="310"/>
      <c r="BQ171" s="310"/>
      <c r="BR171" s="310"/>
      <c r="BS171" s="310"/>
      <c r="BT171" s="310"/>
      <c r="BU171" s="544"/>
      <c r="BV171" s="556"/>
      <c r="BW171" s="663">
        <f t="shared" si="64"/>
        <v>3</v>
      </c>
      <c r="BX171" s="1047">
        <f t="shared" si="67"/>
        <v>0.75</v>
      </c>
      <c r="BY171" s="1047">
        <f t="shared" si="74"/>
        <v>0</v>
      </c>
      <c r="BZ171" s="1047">
        <f t="shared" si="75"/>
        <v>1</v>
      </c>
      <c r="CA171" s="1047">
        <f t="shared" si="76"/>
        <v>1</v>
      </c>
      <c r="CB171" s="1047">
        <f t="shared" si="77"/>
        <v>1</v>
      </c>
      <c r="CC171" t="s">
        <v>4747</v>
      </c>
      <c r="CD171" t="str">
        <f t="shared" si="78"/>
        <v>ROB</v>
      </c>
      <c r="CE171" t="str">
        <f t="shared" si="78"/>
        <v>VE</v>
      </c>
      <c r="CF171" t="str">
        <f t="shared" si="78"/>
        <v>VE</v>
      </c>
      <c r="CG171" t="str">
        <f t="shared" si="78"/>
        <v>VE</v>
      </c>
    </row>
    <row r="172" spans="1:85" ht="57" customHeight="1" x14ac:dyDescent="0.3">
      <c r="A172" s="298" t="s">
        <v>491</v>
      </c>
      <c r="B172" s="299" t="str">
        <f>'PLAN INDICATIVO'!B172</f>
        <v>Atención a grupos vulnerables - promoción social</v>
      </c>
      <c r="C172" s="1547"/>
      <c r="D172" s="1551"/>
      <c r="E172" s="1551"/>
      <c r="F172" s="1551"/>
      <c r="G172" s="1551"/>
      <c r="H172" s="1551"/>
      <c r="I172" s="300">
        <f>'PLAN INDICATIVO'!I172</f>
        <v>0</v>
      </c>
      <c r="J172" s="300">
        <f>'PLAN INDICATIVO'!J172</f>
        <v>0</v>
      </c>
      <c r="K172" s="1425" t="str">
        <f>'PLAN INDICATIVO'!K172</f>
        <v>A.14.1.19</v>
      </c>
      <c r="L172" s="1425" t="str">
        <f>'PLAN INDICATIVO'!L172</f>
        <v>10. Reducción de las desigualdades</v>
      </c>
      <c r="M172" s="1425" t="s">
        <v>2735</v>
      </c>
      <c r="N172" s="1513" t="s">
        <v>5125</v>
      </c>
      <c r="O172" s="1425" t="str">
        <f>'PLAN INDICATIVO'!O172</f>
        <v>Incremento</v>
      </c>
      <c r="P172" s="16" t="str">
        <f>'PLAN INDICATIVO'!P172</f>
        <v xml:space="preserve">Realizar 96 operativos de control de NNA en situación de calle o establecimientos de comercio, bares, discotecas, entre otros, que ofrezcan espectáculos para mayores de edad, en el cuatrienio. </v>
      </c>
      <c r="Q172" s="302" t="str">
        <f>'PLAN INDICATIVO'!Q172</f>
        <v xml:space="preserve">Número de operativos de control realizados a NNA en sitios para mayores de edad. </v>
      </c>
      <c r="R172" s="303">
        <f>'PLAN INDICATIVO'!R172</f>
        <v>2015</v>
      </c>
      <c r="S172" s="304">
        <v>48</v>
      </c>
      <c r="T172" s="677">
        <v>96</v>
      </c>
      <c r="U172" s="303">
        <v>24</v>
      </c>
      <c r="V172" s="687">
        <v>4500000</v>
      </c>
      <c r="W172" s="303">
        <v>24</v>
      </c>
      <c r="X172" s="687">
        <v>500000</v>
      </c>
      <c r="Y172" s="304">
        <v>24</v>
      </c>
      <c r="Z172" s="687">
        <v>500000</v>
      </c>
      <c r="AA172" s="291">
        <v>12</v>
      </c>
      <c r="AB172" s="686">
        <v>500000</v>
      </c>
      <c r="AC172" s="669"/>
      <c r="AD172" s="669">
        <v>24</v>
      </c>
      <c r="AE172" s="669">
        <v>19</v>
      </c>
      <c r="AF172" s="669">
        <v>16</v>
      </c>
      <c r="AG172" s="752" t="s">
        <v>5149</v>
      </c>
      <c r="AH172" s="987">
        <v>20194139600009</v>
      </c>
      <c r="AI172" s="985" t="s">
        <v>5106</v>
      </c>
      <c r="AJ172" s="363">
        <v>43133</v>
      </c>
      <c r="AK172" s="363">
        <v>43434</v>
      </c>
      <c r="AL172" s="358"/>
      <c r="AM172" s="358"/>
      <c r="AN172" s="267" t="s">
        <v>2604</v>
      </c>
      <c r="AO172" s="997"/>
      <c r="AP172" s="525"/>
      <c r="AQ172" s="310"/>
      <c r="AR172" s="310"/>
      <c r="AS172" s="310"/>
      <c r="AT172" s="310"/>
      <c r="AU172" s="310"/>
      <c r="AV172" s="310"/>
      <c r="AW172" s="544"/>
      <c r="AX172" s="525"/>
      <c r="AY172" s="310"/>
      <c r="AZ172" s="310"/>
      <c r="BA172" s="310"/>
      <c r="BB172" s="310"/>
      <c r="BC172" s="310"/>
      <c r="BD172" s="310"/>
      <c r="BE172" s="544"/>
      <c r="BF172" s="525"/>
      <c r="BG172" s="310"/>
      <c r="BH172" s="310"/>
      <c r="BI172" s="310"/>
      <c r="BJ172" s="310"/>
      <c r="BK172" s="310"/>
      <c r="BL172" s="310"/>
      <c r="BM172" s="544">
        <f t="shared" si="73"/>
        <v>0</v>
      </c>
      <c r="BN172" s="525"/>
      <c r="BO172" s="595"/>
      <c r="BP172" s="310"/>
      <c r="BQ172" s="310"/>
      <c r="BR172" s="310"/>
      <c r="BS172" s="310"/>
      <c r="BT172" s="310"/>
      <c r="BU172" s="544"/>
      <c r="BV172" s="556"/>
      <c r="BW172" s="663">
        <f t="shared" si="64"/>
        <v>59</v>
      </c>
      <c r="BX172" s="1047">
        <f t="shared" si="67"/>
        <v>0.61458333333333337</v>
      </c>
      <c r="BY172" s="1047">
        <f t="shared" si="74"/>
        <v>0</v>
      </c>
      <c r="BZ172" s="1047">
        <f t="shared" si="75"/>
        <v>1</v>
      </c>
      <c r="CA172" s="1047">
        <f t="shared" si="76"/>
        <v>0.79166666666666663</v>
      </c>
      <c r="CB172" s="1047">
        <f t="shared" si="77"/>
        <v>1.3333333333333333</v>
      </c>
      <c r="CC172" t="s">
        <v>4748</v>
      </c>
      <c r="CD172" t="str">
        <f t="shared" si="78"/>
        <v>ROB</v>
      </c>
      <c r="CE172" t="str">
        <f t="shared" si="78"/>
        <v>VE</v>
      </c>
      <c r="CF172" t="str">
        <f t="shared" si="78"/>
        <v>VEB</v>
      </c>
      <c r="CG172" t="str">
        <f t="shared" si="78"/>
        <v>VE</v>
      </c>
    </row>
    <row r="173" spans="1:85" ht="60" customHeight="1" x14ac:dyDescent="0.3">
      <c r="A173" s="298" t="s">
        <v>491</v>
      </c>
      <c r="B173" s="299" t="str">
        <f>'PLAN INDICATIVO'!B173</f>
        <v>Atención a grupos vulnerables - promoción social</v>
      </c>
      <c r="C173" s="1547"/>
      <c r="D173" s="1551"/>
      <c r="E173" s="1551"/>
      <c r="F173" s="1551"/>
      <c r="G173" s="1551"/>
      <c r="H173" s="1551"/>
      <c r="I173" s="300">
        <f>'PLAN INDICATIVO'!I173</f>
        <v>0</v>
      </c>
      <c r="J173" s="300">
        <f>'PLAN INDICATIVO'!J173</f>
        <v>0</v>
      </c>
      <c r="K173" s="1425" t="str">
        <f>'PLAN INDICATIVO'!K173</f>
        <v>A.14.1.20</v>
      </c>
      <c r="L173" s="1425" t="str">
        <f>'PLAN INDICATIVO'!L173</f>
        <v>10. Reducción de las desigualdades</v>
      </c>
      <c r="M173" s="1425" t="s">
        <v>2735</v>
      </c>
      <c r="N173" s="1513" t="s">
        <v>5125</v>
      </c>
      <c r="O173" s="1425" t="str">
        <f>'PLAN INDICATIVO'!O173</f>
        <v>Mantenimiento</v>
      </c>
      <c r="P173" s="16" t="str">
        <f>'PLAN INDICATIVO'!P173</f>
        <v>Realizar 3 jornadas al año, de prevención de la violencia y control del delito, en establecimientos educativos, a través de operativos institucionales.</v>
      </c>
      <c r="Q173" s="302" t="str">
        <f>'PLAN INDICATIVO'!Q173</f>
        <v>No. De jornadas realizadas por año</v>
      </c>
      <c r="R173" s="303">
        <f>'PLAN INDICATIVO'!R173</f>
        <v>2015</v>
      </c>
      <c r="S173" s="304">
        <v>3</v>
      </c>
      <c r="T173" s="677">
        <v>12</v>
      </c>
      <c r="U173" s="303">
        <v>3</v>
      </c>
      <c r="V173" s="687">
        <v>3000000</v>
      </c>
      <c r="W173" s="303">
        <v>3</v>
      </c>
      <c r="X173" s="687">
        <v>500000</v>
      </c>
      <c r="Y173" s="304">
        <v>3</v>
      </c>
      <c r="Z173" s="687">
        <v>500000</v>
      </c>
      <c r="AA173" s="291">
        <v>2</v>
      </c>
      <c r="AB173" s="686">
        <v>500000</v>
      </c>
      <c r="AC173" s="669"/>
      <c r="AD173" s="669">
        <v>3</v>
      </c>
      <c r="AE173" s="669">
        <v>3</v>
      </c>
      <c r="AF173" s="669">
        <v>3</v>
      </c>
      <c r="AG173" s="752" t="s">
        <v>5149</v>
      </c>
      <c r="AH173" s="987">
        <v>20194139600009</v>
      </c>
      <c r="AI173" s="985" t="s">
        <v>4837</v>
      </c>
      <c r="AJ173" s="363">
        <v>43609</v>
      </c>
      <c r="AK173" s="363">
        <v>43814</v>
      </c>
      <c r="AL173" s="358"/>
      <c r="AM173" s="358"/>
      <c r="AN173" s="267" t="s">
        <v>2598</v>
      </c>
      <c r="AO173" s="512"/>
      <c r="AP173" s="1010"/>
      <c r="AQ173" s="310"/>
      <c r="AR173" s="310"/>
      <c r="AS173" s="310"/>
      <c r="AT173" s="310"/>
      <c r="AU173" s="310"/>
      <c r="AV173" s="310"/>
      <c r="AW173" s="544"/>
      <c r="AX173" s="525"/>
      <c r="AY173" s="310"/>
      <c r="AZ173" s="310"/>
      <c r="BA173" s="310"/>
      <c r="BB173" s="310"/>
      <c r="BC173" s="310"/>
      <c r="BD173" s="310"/>
      <c r="BE173" s="544"/>
      <c r="BF173" s="525"/>
      <c r="BG173" s="310"/>
      <c r="BH173" s="310"/>
      <c r="BI173" s="310"/>
      <c r="BJ173" s="310"/>
      <c r="BK173" s="310"/>
      <c r="BL173" s="310"/>
      <c r="BM173" s="544">
        <f t="shared" si="73"/>
        <v>0</v>
      </c>
      <c r="BN173" s="1498"/>
      <c r="BO173" s="1498"/>
      <c r="BP173" s="310"/>
      <c r="BQ173" s="310"/>
      <c r="BR173" s="310"/>
      <c r="BS173" s="310"/>
      <c r="BT173" s="310"/>
      <c r="BU173" s="544"/>
      <c r="BV173" s="556"/>
      <c r="BW173" s="663">
        <f t="shared" si="64"/>
        <v>9</v>
      </c>
      <c r="BX173" s="1047">
        <f t="shared" si="67"/>
        <v>0.75</v>
      </c>
      <c r="BY173" s="1047">
        <f t="shared" si="74"/>
        <v>0</v>
      </c>
      <c r="BZ173" s="1047">
        <f t="shared" si="75"/>
        <v>1</v>
      </c>
      <c r="CA173" s="1047">
        <f t="shared" si="76"/>
        <v>1</v>
      </c>
      <c r="CB173" s="1047">
        <f t="shared" si="77"/>
        <v>1.5</v>
      </c>
      <c r="CC173" t="s">
        <v>4749</v>
      </c>
      <c r="CD173" t="str">
        <f t="shared" si="78"/>
        <v>ROB</v>
      </c>
      <c r="CE173" t="str">
        <f t="shared" si="78"/>
        <v>VE</v>
      </c>
      <c r="CF173" t="str">
        <f t="shared" si="78"/>
        <v>VE</v>
      </c>
      <c r="CG173" t="str">
        <f t="shared" si="78"/>
        <v>VE</v>
      </c>
    </row>
    <row r="174" spans="1:85" ht="78.75" customHeight="1" x14ac:dyDescent="0.3">
      <c r="A174" s="298" t="s">
        <v>491</v>
      </c>
      <c r="B174" s="299" t="str">
        <f>'PLAN INDICATIVO'!B174</f>
        <v>Atención a grupos vulnerables - promoción social</v>
      </c>
      <c r="C174" s="1547"/>
      <c r="D174" s="1551"/>
      <c r="E174" s="1551"/>
      <c r="F174" s="1551"/>
      <c r="G174" s="1551"/>
      <c r="H174" s="1551"/>
      <c r="I174" s="300">
        <f>'PLAN INDICATIVO'!I174</f>
        <v>0</v>
      </c>
      <c r="J174" s="300">
        <f>'PLAN INDICATIVO'!J174</f>
        <v>0</v>
      </c>
      <c r="K174" s="1425" t="str">
        <f>'PLAN INDICATIVO'!K174</f>
        <v>A.14.1.21</v>
      </c>
      <c r="L174" s="1425" t="str">
        <f>'PLAN INDICATIVO'!L174</f>
        <v>10. Reducción de las desigualdades</v>
      </c>
      <c r="M174" s="1425" t="s">
        <v>2735</v>
      </c>
      <c r="N174" s="1513" t="s">
        <v>5125</v>
      </c>
      <c r="O174" s="1425" t="str">
        <f>'PLAN INDICATIVO'!O174</f>
        <v>Mantenimiento</v>
      </c>
      <c r="P174" s="16" t="str">
        <f>'PLAN INDICATIVO'!P174</f>
        <v>Implementar 1 campaña para prevenir las peores formas de trabajo infantil, cada año</v>
      </c>
      <c r="Q174" s="302" t="str">
        <f>'PLAN INDICATIVO'!Q174</f>
        <v>Número de campañas implementadas por año</v>
      </c>
      <c r="R174" s="303">
        <f>'PLAN INDICATIVO'!R174</f>
        <v>2015</v>
      </c>
      <c r="S174" s="304">
        <v>1</v>
      </c>
      <c r="T174" s="677">
        <v>4</v>
      </c>
      <c r="U174" s="303">
        <v>1</v>
      </c>
      <c r="V174" s="687">
        <v>2700000</v>
      </c>
      <c r="W174" s="303">
        <v>1</v>
      </c>
      <c r="X174" s="687">
        <v>500000</v>
      </c>
      <c r="Y174" s="304">
        <v>1</v>
      </c>
      <c r="Z174" s="687">
        <v>500000</v>
      </c>
      <c r="AA174" s="291">
        <v>1</v>
      </c>
      <c r="AB174" s="686">
        <v>500000</v>
      </c>
      <c r="AC174" s="669"/>
      <c r="AD174" s="669">
        <v>1</v>
      </c>
      <c r="AE174" s="669">
        <v>1</v>
      </c>
      <c r="AF174" s="669">
        <v>1</v>
      </c>
      <c r="AG174" s="752" t="s">
        <v>5149</v>
      </c>
      <c r="AH174" s="987">
        <v>20194139600009</v>
      </c>
      <c r="AI174" s="985" t="s">
        <v>5107</v>
      </c>
      <c r="AJ174" s="363">
        <v>43609</v>
      </c>
      <c r="AK174" s="363">
        <v>43814</v>
      </c>
      <c r="AL174" s="358"/>
      <c r="AM174" s="358"/>
      <c r="AN174" s="267" t="s">
        <v>2598</v>
      </c>
      <c r="AO174" s="512"/>
      <c r="AP174" s="1010"/>
      <c r="AQ174" s="310"/>
      <c r="AR174" s="310"/>
      <c r="AS174" s="310"/>
      <c r="AT174" s="310"/>
      <c r="AU174" s="310"/>
      <c r="AV174" s="310"/>
      <c r="AW174" s="544"/>
      <c r="AX174" s="525"/>
      <c r="AY174" s="310"/>
      <c r="AZ174" s="310"/>
      <c r="BA174" s="310"/>
      <c r="BB174" s="310"/>
      <c r="BC174" s="310"/>
      <c r="BD174" s="310"/>
      <c r="BE174" s="544"/>
      <c r="BF174" s="525"/>
      <c r="BG174" s="310"/>
      <c r="BH174" s="310"/>
      <c r="BI174" s="310"/>
      <c r="BJ174" s="310"/>
      <c r="BK174" s="310"/>
      <c r="BL174" s="310"/>
      <c r="BM174" s="544">
        <f t="shared" si="73"/>
        <v>0</v>
      </c>
      <c r="BN174" s="1498"/>
      <c r="BO174" s="1498"/>
      <c r="BP174" s="310"/>
      <c r="BQ174" s="310"/>
      <c r="BR174" s="310"/>
      <c r="BS174" s="310"/>
      <c r="BT174" s="310"/>
      <c r="BU174" s="544"/>
      <c r="BV174" s="556"/>
      <c r="BW174" s="663">
        <f t="shared" si="64"/>
        <v>3</v>
      </c>
      <c r="BX174" s="1047">
        <f t="shared" si="67"/>
        <v>0.75</v>
      </c>
      <c r="BY174" s="1047">
        <f t="shared" si="74"/>
        <v>0</v>
      </c>
      <c r="BZ174" s="1047">
        <f t="shared" si="75"/>
        <v>1</v>
      </c>
      <c r="CA174" s="1047">
        <f t="shared" si="76"/>
        <v>1</v>
      </c>
      <c r="CB174" s="1047">
        <f t="shared" si="77"/>
        <v>1</v>
      </c>
      <c r="CC174" t="s">
        <v>4749</v>
      </c>
      <c r="CD174" t="str">
        <f t="shared" si="78"/>
        <v>ROB</v>
      </c>
      <c r="CE174" t="str">
        <f t="shared" si="78"/>
        <v>VE</v>
      </c>
      <c r="CF174" t="str">
        <f t="shared" si="78"/>
        <v>VE</v>
      </c>
      <c r="CG174" t="str">
        <f t="shared" si="78"/>
        <v>VE</v>
      </c>
    </row>
    <row r="175" spans="1:85" ht="53.25" customHeight="1" x14ac:dyDescent="0.3">
      <c r="A175" s="298" t="s">
        <v>491</v>
      </c>
      <c r="B175" s="299" t="str">
        <f>'PLAN INDICATIVO'!B175</f>
        <v>Atención a grupos vulnerables - promoción social</v>
      </c>
      <c r="C175" s="1547"/>
      <c r="D175" s="1551"/>
      <c r="E175" s="1551"/>
      <c r="F175" s="1551"/>
      <c r="G175" s="1551"/>
      <c r="H175" s="1551"/>
      <c r="I175" s="300">
        <f>'PLAN INDICATIVO'!I175</f>
        <v>0</v>
      </c>
      <c r="J175" s="300">
        <f>'PLAN INDICATIVO'!J175</f>
        <v>0</v>
      </c>
      <c r="K175" s="1425" t="str">
        <f>'PLAN INDICATIVO'!K175</f>
        <v>A.14.1.22</v>
      </c>
      <c r="L175" s="1425" t="str">
        <f>'PLAN INDICATIVO'!L175</f>
        <v>10. Reducción de las desigualdades</v>
      </c>
      <c r="M175" s="1425" t="s">
        <v>2735</v>
      </c>
      <c r="N175" s="1513" t="s">
        <v>5125</v>
      </c>
      <c r="O175" s="1425" t="str">
        <f>'PLAN INDICATIVO'!O175</f>
        <v>Mantenimiento</v>
      </c>
      <c r="P175" s="16" t="str">
        <f>'PLAN INDICATIVO'!P175</f>
        <v>Realizar 1 celebración del día de la familia cada año, para el fomento y la consolidación de la unidad y convivencia pacifica familiar.</v>
      </c>
      <c r="Q175" s="302" t="str">
        <f>'PLAN INDICATIVO'!Q175</f>
        <v>No. De celebraciones anuales realizadas</v>
      </c>
      <c r="R175" s="303">
        <f>'PLAN INDICATIVO'!R175</f>
        <v>2015</v>
      </c>
      <c r="S175" s="304">
        <v>1</v>
      </c>
      <c r="T175" s="677">
        <v>4</v>
      </c>
      <c r="U175" s="303">
        <v>1</v>
      </c>
      <c r="V175" s="687">
        <v>3000000</v>
      </c>
      <c r="W175" s="303">
        <v>1</v>
      </c>
      <c r="X175" s="687">
        <v>4000000</v>
      </c>
      <c r="Y175" s="304">
        <v>1</v>
      </c>
      <c r="Z175" s="687">
        <v>4000000</v>
      </c>
      <c r="AA175" s="291">
        <v>1</v>
      </c>
      <c r="AB175" s="686">
        <v>4000000</v>
      </c>
      <c r="AC175" s="669"/>
      <c r="AD175" s="669">
        <v>1</v>
      </c>
      <c r="AE175" s="669">
        <v>1</v>
      </c>
      <c r="AF175" s="669">
        <v>1</v>
      </c>
      <c r="AG175" s="752" t="s">
        <v>5149</v>
      </c>
      <c r="AH175" s="987">
        <v>20194139600009</v>
      </c>
      <c r="AI175" s="985" t="s">
        <v>4902</v>
      </c>
      <c r="AJ175" s="363">
        <v>43609</v>
      </c>
      <c r="AK175" s="363">
        <v>43814</v>
      </c>
      <c r="AL175" s="358"/>
      <c r="AM175" s="358"/>
      <c r="AN175" s="267" t="s">
        <v>2598</v>
      </c>
      <c r="AO175" s="997"/>
      <c r="AP175" s="525"/>
      <c r="AQ175" s="310"/>
      <c r="AR175" s="310"/>
      <c r="AS175" s="310"/>
      <c r="AT175" s="310"/>
      <c r="AU175" s="310"/>
      <c r="AV175" s="310"/>
      <c r="AW175" s="544"/>
      <c r="AX175" s="525"/>
      <c r="AY175" s="310"/>
      <c r="AZ175" s="310"/>
      <c r="BA175" s="310"/>
      <c r="BB175" s="310"/>
      <c r="BC175" s="310"/>
      <c r="BD175" s="310"/>
      <c r="BE175" s="544"/>
      <c r="BF175" s="525"/>
      <c r="BG175" s="310"/>
      <c r="BH175" s="310"/>
      <c r="BI175" s="310"/>
      <c r="BJ175" s="310"/>
      <c r="BK175" s="310"/>
      <c r="BL175" s="310"/>
      <c r="BM175" s="544">
        <f t="shared" si="73"/>
        <v>0</v>
      </c>
      <c r="BN175" s="1498"/>
      <c r="BO175" s="1498"/>
      <c r="BP175" s="310"/>
      <c r="BQ175" s="310"/>
      <c r="BR175" s="310"/>
      <c r="BS175" s="310"/>
      <c r="BT175" s="310"/>
      <c r="BU175" s="544"/>
      <c r="BV175" s="556"/>
      <c r="BW175" s="663">
        <f t="shared" si="64"/>
        <v>3</v>
      </c>
      <c r="BX175" s="1047">
        <f t="shared" si="67"/>
        <v>0.75</v>
      </c>
      <c r="BY175" s="1047">
        <f t="shared" si="74"/>
        <v>0</v>
      </c>
      <c r="BZ175" s="1047">
        <f t="shared" si="75"/>
        <v>1</v>
      </c>
      <c r="CA175" s="1047">
        <f t="shared" si="76"/>
        <v>1</v>
      </c>
      <c r="CB175" s="1047">
        <f t="shared" si="77"/>
        <v>1</v>
      </c>
      <c r="CC175" t="s">
        <v>4753</v>
      </c>
      <c r="CD175" t="str">
        <f t="shared" si="78"/>
        <v>ROB</v>
      </c>
      <c r="CE175" t="str">
        <f t="shared" si="78"/>
        <v>VE</v>
      </c>
      <c r="CF175" t="str">
        <f t="shared" si="78"/>
        <v>VE</v>
      </c>
      <c r="CG175" t="str">
        <f t="shared" si="78"/>
        <v>VE</v>
      </c>
    </row>
    <row r="176" spans="1:85" ht="93.75" customHeight="1" x14ac:dyDescent="0.3">
      <c r="A176" s="298" t="s">
        <v>491</v>
      </c>
      <c r="B176" s="299" t="str">
        <f>'PLAN INDICATIVO'!B176</f>
        <v>Atención a grupos vulnerables - promoción social</v>
      </c>
      <c r="C176" s="1547"/>
      <c r="D176" s="1551"/>
      <c r="E176" s="1551"/>
      <c r="F176" s="1551"/>
      <c r="G176" s="1551"/>
      <c r="H176" s="1551"/>
      <c r="I176" s="300">
        <f>'PLAN INDICATIVO'!I176</f>
        <v>0</v>
      </c>
      <c r="J176" s="300">
        <f>'PLAN INDICATIVO'!J176</f>
        <v>0</v>
      </c>
      <c r="K176" s="1425" t="str">
        <f>'PLAN INDICATIVO'!K176</f>
        <v>A.14.1.23</v>
      </c>
      <c r="L176" s="1425" t="str">
        <f>'PLAN INDICATIVO'!L176</f>
        <v>10. Reducción de las desigualdades</v>
      </c>
      <c r="M176" s="1425" t="s">
        <v>2735</v>
      </c>
      <c r="N176" s="1513" t="s">
        <v>5125</v>
      </c>
      <c r="O176" s="1425" t="str">
        <f>'PLAN INDICATIVO'!O176</f>
        <v>Mantenimiento</v>
      </c>
      <c r="P176" s="16" t="str">
        <f>'PLAN INDICATIVO'!P176</f>
        <v>Ejecutar 1 plan de apoyo al personal que presta sus servicios en los programas de población vulnerable, como la infancia, adolescencia, juventud,  el adulto mayor, la población desplazada, los reintegrados, grupos étnicos, madres cabeza de hogar, víctimas del conflicto armado, entre otros.</v>
      </c>
      <c r="Q176" s="302" t="str">
        <f>'PLAN INDICATIVO'!Q176</f>
        <v>No. de planes de apoyo ejecutados por año</v>
      </c>
      <c r="R176" s="303">
        <f>'PLAN INDICATIVO'!R176</f>
        <v>2015</v>
      </c>
      <c r="S176" s="304">
        <v>1</v>
      </c>
      <c r="T176" s="677">
        <v>4</v>
      </c>
      <c r="U176" s="303">
        <v>1</v>
      </c>
      <c r="V176" s="687">
        <v>2000000</v>
      </c>
      <c r="W176" s="303">
        <v>1</v>
      </c>
      <c r="X176" s="687">
        <v>50000000</v>
      </c>
      <c r="Y176" s="304">
        <v>1</v>
      </c>
      <c r="Z176" s="687">
        <v>50000000</v>
      </c>
      <c r="AA176" s="291">
        <v>1</v>
      </c>
      <c r="AB176" s="686">
        <v>22500000</v>
      </c>
      <c r="AC176" s="669"/>
      <c r="AD176" s="669">
        <v>1</v>
      </c>
      <c r="AE176" s="669">
        <v>1</v>
      </c>
      <c r="AF176" s="669">
        <v>1</v>
      </c>
      <c r="AG176" s="752" t="s">
        <v>5149</v>
      </c>
      <c r="AH176" s="987">
        <v>20194139600009</v>
      </c>
      <c r="AI176" s="985" t="s">
        <v>5018</v>
      </c>
      <c r="AJ176" s="363">
        <v>43609</v>
      </c>
      <c r="AK176" s="363">
        <v>43814</v>
      </c>
      <c r="AL176" s="358"/>
      <c r="AM176" s="358"/>
      <c r="AN176" s="267" t="s">
        <v>2598</v>
      </c>
      <c r="AO176" s="997"/>
      <c r="AP176" s="525"/>
      <c r="AQ176" s="310"/>
      <c r="AR176" s="310"/>
      <c r="AS176" s="310"/>
      <c r="AT176" s="310"/>
      <c r="AU176" s="310"/>
      <c r="AV176" s="310"/>
      <c r="AW176" s="544"/>
      <c r="AX176" s="525"/>
      <c r="AY176" s="310"/>
      <c r="AZ176" s="310"/>
      <c r="BA176" s="310"/>
      <c r="BB176" s="310"/>
      <c r="BC176" s="310"/>
      <c r="BD176" s="310"/>
      <c r="BE176" s="544"/>
      <c r="BF176" s="525"/>
      <c r="BG176" s="310"/>
      <c r="BH176" s="310"/>
      <c r="BI176" s="310"/>
      <c r="BJ176" s="310"/>
      <c r="BK176" s="310"/>
      <c r="BL176" s="310"/>
      <c r="BM176" s="544">
        <f t="shared" si="73"/>
        <v>0</v>
      </c>
      <c r="BN176" s="595"/>
      <c r="BO176" s="595"/>
      <c r="BP176" s="310"/>
      <c r="BQ176" s="310"/>
      <c r="BR176" s="310"/>
      <c r="BS176" s="310"/>
      <c r="BT176" s="310"/>
      <c r="BU176" s="544"/>
      <c r="BV176" s="556"/>
      <c r="BW176" s="663">
        <f t="shared" si="64"/>
        <v>3</v>
      </c>
      <c r="BX176" s="1047">
        <f t="shared" si="67"/>
        <v>0.75</v>
      </c>
      <c r="BY176" s="1047">
        <f t="shared" si="74"/>
        <v>0</v>
      </c>
      <c r="BZ176" s="1047">
        <f t="shared" si="75"/>
        <v>1</v>
      </c>
      <c r="CA176" s="1047">
        <f t="shared" si="76"/>
        <v>1</v>
      </c>
      <c r="CB176" s="1047">
        <f t="shared" si="77"/>
        <v>1</v>
      </c>
      <c r="CC176" t="s">
        <v>4752</v>
      </c>
      <c r="CD176" t="str">
        <f t="shared" si="78"/>
        <v>ROB</v>
      </c>
      <c r="CE176" t="str">
        <f t="shared" si="78"/>
        <v>VE</v>
      </c>
      <c r="CF176" t="str">
        <f t="shared" si="78"/>
        <v>VE</v>
      </c>
      <c r="CG176" t="str">
        <f t="shared" si="78"/>
        <v>VE</v>
      </c>
    </row>
    <row r="177" spans="1:85" ht="74.25" hidden="1" customHeight="1" x14ac:dyDescent="0.25">
      <c r="A177" s="298" t="s">
        <v>491</v>
      </c>
      <c r="B177" s="299" t="str">
        <f>'PLAN INDICATIVO'!B177</f>
        <v>Atención a grupos vulnerables - promoción social</v>
      </c>
      <c r="C177" s="1548"/>
      <c r="D177" s="1551"/>
      <c r="E177" s="1551"/>
      <c r="F177" s="1552"/>
      <c r="G177" s="1552"/>
      <c r="H177" s="1552"/>
      <c r="I177" s="300">
        <f>'PLAN INDICATIVO'!I177</f>
        <v>0</v>
      </c>
      <c r="J177" s="300">
        <f>'PLAN INDICATIVO'!J177</f>
        <v>0</v>
      </c>
      <c r="K177" s="1425" t="str">
        <f>'PLAN INDICATIVO'!K177</f>
        <v>A.14.1.24</v>
      </c>
      <c r="L177" s="1425" t="str">
        <f>'PLAN INDICATIVO'!L177</f>
        <v>10. Reducción de las desigualdades</v>
      </c>
      <c r="M177" s="1425" t="s">
        <v>2735</v>
      </c>
      <c r="N177" s="1513" t="s">
        <v>5125</v>
      </c>
      <c r="O177" s="1425" t="str">
        <f>'PLAN INDICATIVO'!O177</f>
        <v>Incremento</v>
      </c>
      <c r="P177" s="16" t="str">
        <f>'PLAN INDICATIVO'!P177</f>
        <v xml:space="preserve">Construir 8 parques infantiles, durante el cuatrienio. </v>
      </c>
      <c r="Q177" s="302" t="str">
        <f>'PLAN INDICATIVO'!Q177</f>
        <v xml:space="preserve">No. de parques construidos </v>
      </c>
      <c r="R177" s="303">
        <f>'PLAN INDICATIVO'!R177</f>
        <v>2015</v>
      </c>
      <c r="S177" s="304" t="s">
        <v>177</v>
      </c>
      <c r="T177" s="1293">
        <v>8</v>
      </c>
      <c r="U177" s="303">
        <v>0.7</v>
      </c>
      <c r="V177" s="687">
        <v>200000</v>
      </c>
      <c r="W177" s="303">
        <v>0.7</v>
      </c>
      <c r="X177" s="687">
        <v>0</v>
      </c>
      <c r="Y177" s="304">
        <v>7</v>
      </c>
      <c r="Z177" s="687">
        <v>0</v>
      </c>
      <c r="AA177" s="291"/>
      <c r="AB177" s="686">
        <v>0</v>
      </c>
      <c r="AC177" s="669"/>
      <c r="AD177" s="669">
        <v>1</v>
      </c>
      <c r="AE177" s="669">
        <v>7</v>
      </c>
      <c r="AF177" s="669"/>
      <c r="AG177" s="752" t="s">
        <v>5149</v>
      </c>
      <c r="AH177" s="987">
        <v>20194139600009</v>
      </c>
      <c r="AI177" s="985" t="s">
        <v>3610</v>
      </c>
      <c r="AJ177" s="363">
        <v>43133</v>
      </c>
      <c r="AK177" s="363">
        <v>43403</v>
      </c>
      <c r="AL177" s="358"/>
      <c r="AM177" s="358"/>
      <c r="AN177" s="267" t="s">
        <v>2598</v>
      </c>
      <c r="AO177" s="512"/>
      <c r="AP177" s="525"/>
      <c r="AQ177" s="310"/>
      <c r="AR177" s="310"/>
      <c r="AS177" s="310"/>
      <c r="AT177" s="310"/>
      <c r="AU177" s="310"/>
      <c r="AV177" s="310"/>
      <c r="AW177" s="544"/>
      <c r="AX177" s="525"/>
      <c r="AY177" s="310"/>
      <c r="AZ177" s="310"/>
      <c r="BA177" s="310"/>
      <c r="BB177" s="310"/>
      <c r="BC177" s="310"/>
      <c r="BD177" s="310"/>
      <c r="BE177" s="544"/>
      <c r="BF177" s="525"/>
      <c r="BG177" s="310"/>
      <c r="BH177" s="310"/>
      <c r="BI177" s="310"/>
      <c r="BJ177" s="310"/>
      <c r="BK177" s="310"/>
      <c r="BL177" s="310"/>
      <c r="BM177" s="544">
        <f t="shared" si="73"/>
        <v>0</v>
      </c>
      <c r="BN177" s="525"/>
      <c r="BO177" s="310"/>
      <c r="BP177" s="310"/>
      <c r="BQ177" s="595"/>
      <c r="BR177" s="310"/>
      <c r="BS177" s="310"/>
      <c r="BT177" s="310"/>
      <c r="BU177" s="544"/>
      <c r="BV177" s="556"/>
      <c r="BW177" s="663">
        <f t="shared" si="64"/>
        <v>8</v>
      </c>
      <c r="BX177" s="1047">
        <f t="shared" si="67"/>
        <v>1</v>
      </c>
      <c r="BY177" s="1047">
        <f t="shared" si="74"/>
        <v>0</v>
      </c>
      <c r="BZ177" s="1047">
        <f t="shared" si="75"/>
        <v>1.4285714285714286</v>
      </c>
      <c r="CA177" s="1047">
        <f t="shared" si="76"/>
        <v>1</v>
      </c>
      <c r="CB177" s="1047" t="str">
        <f t="shared" si="77"/>
        <v>No Programada</v>
      </c>
      <c r="CC177" s="1465">
        <v>1</v>
      </c>
      <c r="CD177" t="str">
        <f t="shared" si="78"/>
        <v>ROB</v>
      </c>
      <c r="CE177" t="str">
        <f t="shared" si="78"/>
        <v>VE</v>
      </c>
      <c r="CF177" t="str">
        <f t="shared" si="78"/>
        <v>VE</v>
      </c>
      <c r="CG177" t="str">
        <f t="shared" si="78"/>
        <v>NP</v>
      </c>
    </row>
    <row r="178" spans="1:85" ht="58.5" hidden="1" customHeight="1" x14ac:dyDescent="0.25">
      <c r="A178" s="298" t="s">
        <v>491</v>
      </c>
      <c r="B178" s="299">
        <f>'PLAN INDICATIVO'!B178</f>
        <v>0</v>
      </c>
      <c r="C178" s="1424"/>
      <c r="D178" s="1552"/>
      <c r="E178" s="1552"/>
      <c r="F178" s="1427"/>
      <c r="G178" s="1427" t="s">
        <v>177</v>
      </c>
      <c r="H178" s="1427">
        <v>6</v>
      </c>
      <c r="I178" s="300"/>
      <c r="J178" s="300"/>
      <c r="K178" s="67" t="str">
        <f>'PLAN INDICATIVO'!K178</f>
        <v>A.14.1.25</v>
      </c>
      <c r="L178" s="67" t="str">
        <f>'PLAN INDICATIVO'!L178</f>
        <v>10. Reducción de las desigualdades</v>
      </c>
      <c r="M178" s="1512" t="s">
        <v>2735</v>
      </c>
      <c r="N178" s="1513" t="s">
        <v>5125</v>
      </c>
      <c r="O178" s="1425"/>
      <c r="P178" s="16" t="str">
        <f>'PLAN INDICATIVO'!P178</f>
        <v>Suministrar dotación a los 6 CDI del municipio de La Plata, durante el cuatrenio</v>
      </c>
      <c r="Q178" s="302" t="str">
        <f>'PLAN INDICATIVO'!Q178</f>
        <v xml:space="preserve">No. CDI dotación </v>
      </c>
      <c r="R178" s="303"/>
      <c r="S178" s="304"/>
      <c r="T178" s="1293">
        <v>6</v>
      </c>
      <c r="U178" s="303"/>
      <c r="V178" s="687"/>
      <c r="W178" s="303"/>
      <c r="X178" s="687"/>
      <c r="Y178" s="304"/>
      <c r="Z178" s="687"/>
      <c r="AA178" s="291">
        <v>6</v>
      </c>
      <c r="AB178" s="686"/>
      <c r="AC178" s="669"/>
      <c r="AD178" s="669"/>
      <c r="AE178" s="669"/>
      <c r="AF178" s="669">
        <v>3</v>
      </c>
      <c r="AG178" s="752" t="s">
        <v>5149</v>
      </c>
      <c r="AH178" s="987">
        <v>20194139600009</v>
      </c>
      <c r="AI178" s="1494" t="s">
        <v>5108</v>
      </c>
      <c r="AJ178" s="363">
        <v>43609</v>
      </c>
      <c r="AK178" s="363">
        <v>43814</v>
      </c>
      <c r="AL178" s="358"/>
      <c r="AM178" s="358"/>
      <c r="AN178" s="267"/>
      <c r="AO178" s="512"/>
      <c r="AP178" s="525"/>
      <c r="AQ178" s="766"/>
      <c r="AR178" s="766"/>
      <c r="AS178" s="766"/>
      <c r="AT178" s="766"/>
      <c r="AU178" s="766"/>
      <c r="AV178" s="766"/>
      <c r="AW178" s="544"/>
      <c r="AX178" s="525"/>
      <c r="AY178" s="766"/>
      <c r="AZ178" s="766"/>
      <c r="BA178" s="766"/>
      <c r="BB178" s="766"/>
      <c r="BC178" s="766"/>
      <c r="BD178" s="766"/>
      <c r="BE178" s="544"/>
      <c r="BF178" s="525"/>
      <c r="BG178" s="766"/>
      <c r="BH178" s="766"/>
      <c r="BI178" s="766"/>
      <c r="BJ178" s="766"/>
      <c r="BK178" s="766"/>
      <c r="BL178" s="766"/>
      <c r="BM178" s="544"/>
      <c r="BN178" s="525"/>
      <c r="BO178" s="766"/>
      <c r="BP178" s="766"/>
      <c r="BQ178" s="595"/>
      <c r="BR178" s="766"/>
      <c r="BS178" s="766"/>
      <c r="BT178" s="766"/>
      <c r="BU178" s="544"/>
      <c r="BV178" s="556"/>
      <c r="BW178" s="663">
        <f t="shared" si="64"/>
        <v>3</v>
      </c>
      <c r="BX178" s="1047">
        <f t="shared" si="67"/>
        <v>0.5</v>
      </c>
      <c r="BY178" s="1047" t="str">
        <f t="shared" si="74"/>
        <v>No Programada</v>
      </c>
      <c r="BZ178" s="1047" t="str">
        <f t="shared" si="75"/>
        <v>No Programada</v>
      </c>
      <c r="CA178" s="1047" t="str">
        <f t="shared" si="76"/>
        <v>No Programada</v>
      </c>
      <c r="CB178" s="1047">
        <f t="shared" si="77"/>
        <v>0.5</v>
      </c>
      <c r="CC178" t="s">
        <v>4748</v>
      </c>
      <c r="CD178" t="str">
        <f t="shared" ref="CD178" si="79">IF(BY178="PARA MODIFICAR","M",IF(BY178="PARA ELIMINAR","E",IF(BY178="aplazada","AZ",IF(BY178="no programada","NP",IF(BY178&gt;=85%,"VE",IF(BY178&gt;70%,"VEB",IF(BY178&gt;60%,"AM",IF(BY178&gt;40%,"AMB",IF(BY178&gt;20%,"RO",IF(BY178&gt;=0%,"ROB",""))))))))))</f>
        <v>NP</v>
      </c>
      <c r="CE178" t="str">
        <f t="shared" ref="CE178" si="80">IF(BZ178="PARA MODIFICAR","M",IF(BZ178="PARA ELIMINAR","E",IF(BZ178="aplazada","AZ",IF(BZ178="no programada","NP",IF(BZ178&gt;=85%,"VE",IF(BZ178&gt;70%,"VEB",IF(BZ178&gt;60%,"AM",IF(BZ178&gt;40%,"AMB",IF(BZ178&gt;20%,"RO",IF(BZ178&gt;=0%,"ROB",""))))))))))</f>
        <v>NP</v>
      </c>
      <c r="CF178" t="str">
        <f t="shared" ref="CF178" si="81">IF(CA178="PARA MODIFICAR","M",IF(CA178="PARA ELIMINAR","E",IF(CA178="aplazada","AZ",IF(CA178="no programada","NP",IF(CA178&gt;=85%,"VE",IF(CA178&gt;70%,"VEB",IF(CA178&gt;60%,"AM",IF(CA178&gt;40%,"AMB",IF(CA178&gt;20%,"RO",IF(CA178&gt;=0%,"ROB",""))))))))))</f>
        <v>NP</v>
      </c>
      <c r="CG178" t="str">
        <f t="shared" ref="CG178" si="82">IF(CB178="PARA MODIFICAR","M",IF(CB178="PARA ELIMINAR","E",IF(CB178="aplazada","AZ",IF(CB178="no programada","NP",IF(CB178&gt;=85%,"VE",IF(CB178&gt;70%,"VEB",IF(CB178&gt;60%,"AM",IF(CB178&gt;40%,"AMB",IF(CB178&gt;20%,"RO",IF(CB178&gt;=0%,"ROB",""))))))))))</f>
        <v>AMB</v>
      </c>
    </row>
    <row r="179" spans="1:85" ht="14.25" customHeight="1" x14ac:dyDescent="0.3">
      <c r="A179" s="295"/>
      <c r="B179" s="24" t="str">
        <f>'PLAN INDICATIVO'!B179</f>
        <v>Atención a grupos vulnerables - promoción social</v>
      </c>
      <c r="C179" s="154"/>
      <c r="D179" s="2" t="s">
        <v>567</v>
      </c>
      <c r="E179" s="1"/>
      <c r="F179" s="1"/>
      <c r="G179" s="1"/>
      <c r="H179" s="1"/>
      <c r="I179" s="1"/>
      <c r="J179" s="1"/>
      <c r="K179" s="1"/>
      <c r="L179" s="1"/>
      <c r="M179" s="1"/>
      <c r="N179" s="17"/>
      <c r="O179" s="1"/>
      <c r="P179" s="22" t="s">
        <v>568</v>
      </c>
      <c r="Q179" s="22"/>
      <c r="R179" s="1"/>
      <c r="S179" s="261"/>
      <c r="T179" s="681"/>
      <c r="U179" s="261"/>
      <c r="V179" s="702">
        <f>SUM(V180:V189)</f>
        <v>21500000</v>
      </c>
      <c r="W179" s="261"/>
      <c r="X179" s="689">
        <f>SUM(X180:X189)</f>
        <v>17000000</v>
      </c>
      <c r="Y179" s="261"/>
      <c r="Z179" s="689">
        <f>SUM(Z180:Z189)</f>
        <v>17000000</v>
      </c>
      <c r="AA179" s="261"/>
      <c r="AB179" s="261">
        <f>SUM(AB180:AB189)</f>
        <v>23000000</v>
      </c>
      <c r="AC179" s="261"/>
      <c r="AD179" s="261"/>
      <c r="AE179" s="261"/>
      <c r="AF179" s="261"/>
      <c r="AG179" s="273"/>
      <c r="AH179" s="273"/>
      <c r="AI179" s="273"/>
      <c r="AJ179" s="261"/>
      <c r="AK179" s="261"/>
      <c r="AL179" s="261"/>
      <c r="AM179" s="261"/>
      <c r="AN179" s="261"/>
      <c r="AO179" s="635"/>
      <c r="AP179" s="616"/>
      <c r="AQ179" s="616"/>
      <c r="AR179" s="616"/>
      <c r="AS179" s="616"/>
      <c r="AT179" s="616"/>
      <c r="AU179" s="616"/>
      <c r="AV179" s="616"/>
      <c r="AW179" s="617"/>
      <c r="AX179" s="616"/>
      <c r="AY179" s="616"/>
      <c r="AZ179" s="616"/>
      <c r="BA179" s="616"/>
      <c r="BB179" s="616"/>
      <c r="BC179" s="616"/>
      <c r="BD179" s="616"/>
      <c r="BE179" s="617"/>
      <c r="BF179" s="616"/>
      <c r="BG179" s="616"/>
      <c r="BH179" s="616"/>
      <c r="BI179" s="616"/>
      <c r="BJ179" s="616"/>
      <c r="BK179" s="616"/>
      <c r="BL179" s="616"/>
      <c r="BM179" s="617">
        <f t="shared" si="73"/>
        <v>0</v>
      </c>
      <c r="BN179" s="616"/>
      <c r="BO179" s="616"/>
      <c r="BP179" s="616"/>
      <c r="BQ179" s="616"/>
      <c r="BR179" s="616"/>
      <c r="BS179" s="616"/>
      <c r="BT179" s="616"/>
      <c r="BU179" s="617"/>
      <c r="BV179" s="556"/>
      <c r="BW179" s="617" t="s">
        <v>2717</v>
      </c>
      <c r="BX179" s="617" t="s">
        <v>2717</v>
      </c>
      <c r="BY179" s="617" t="s">
        <v>2717</v>
      </c>
      <c r="BZ179" s="617" t="s">
        <v>2717</v>
      </c>
      <c r="CA179" s="617" t="s">
        <v>2717</v>
      </c>
      <c r="CB179" s="1047" t="s">
        <v>2717</v>
      </c>
    </row>
    <row r="180" spans="1:85" ht="81.75" customHeight="1" x14ac:dyDescent="0.3">
      <c r="A180" s="298" t="s">
        <v>491</v>
      </c>
      <c r="B180" s="299" t="str">
        <f>'PLAN INDICATIVO'!B180</f>
        <v>Atención a grupos vulnerables - promoción social</v>
      </c>
      <c r="C180" s="1559" t="s">
        <v>569</v>
      </c>
      <c r="D180" s="1549" t="s">
        <v>570</v>
      </c>
      <c r="E180" s="1549" t="s">
        <v>571</v>
      </c>
      <c r="F180" s="1759">
        <v>2015</v>
      </c>
      <c r="G180" s="1550" t="s">
        <v>177</v>
      </c>
      <c r="H180" s="1550">
        <v>10</v>
      </c>
      <c r="I180" s="300">
        <f>'PLAN INDICATIVO'!I180</f>
        <v>0</v>
      </c>
      <c r="J180" s="300">
        <f>'PLAN INDICATIVO'!J180</f>
        <v>0</v>
      </c>
      <c r="K180" s="1425" t="str">
        <f>'PLAN INDICATIVO'!K180</f>
        <v>A.14.2.1</v>
      </c>
      <c r="L180" s="1425" t="str">
        <f>'PLAN INDICATIVO'!L180</f>
        <v>10. Reducción de las desigualdades</v>
      </c>
      <c r="M180" s="1425" t="str">
        <f>'PLAN INDICATIVO'!M180</f>
        <v>Secretaría de Gobierno</v>
      </c>
      <c r="N180" s="1425" t="s">
        <v>5126</v>
      </c>
      <c r="O180" s="1425" t="str">
        <f>'PLAN INDICATIVO'!O180</f>
        <v>Mantenimiento</v>
      </c>
      <c r="P180" s="16" t="str">
        <f>'PLAN INDICATIVO'!P180</f>
        <v>implementar 1 plataforma de juventudes conformada y funcionando cada año</v>
      </c>
      <c r="Q180" s="302" t="str">
        <f>'PLAN INDICATIVO'!Q180</f>
        <v>1 plataforma implementada por año</v>
      </c>
      <c r="R180" s="303">
        <f>'PLAN INDICATIVO'!R180</f>
        <v>2015</v>
      </c>
      <c r="S180" s="304">
        <v>0</v>
      </c>
      <c r="T180" s="699">
        <v>4</v>
      </c>
      <c r="U180" s="303">
        <v>1</v>
      </c>
      <c r="V180" s="687">
        <v>9000000</v>
      </c>
      <c r="W180" s="303">
        <v>1</v>
      </c>
      <c r="X180" s="687">
        <v>3000000</v>
      </c>
      <c r="Y180" s="286">
        <v>1</v>
      </c>
      <c r="Z180" s="1233">
        <v>3000000</v>
      </c>
      <c r="AA180" s="291">
        <v>1</v>
      </c>
      <c r="AB180" s="686">
        <v>7000000</v>
      </c>
      <c r="AC180" s="669"/>
      <c r="AD180" s="669">
        <v>1</v>
      </c>
      <c r="AE180" s="669">
        <v>1</v>
      </c>
      <c r="AF180" s="1503">
        <v>1</v>
      </c>
      <c r="AG180" s="344" t="s">
        <v>5141</v>
      </c>
      <c r="AH180" s="1525">
        <v>2019413960019</v>
      </c>
      <c r="AI180" s="1490" t="s">
        <v>4974</v>
      </c>
      <c r="AJ180" s="309">
        <v>43497</v>
      </c>
      <c r="AK180" s="356">
        <v>43707</v>
      </c>
      <c r="AL180" s="358"/>
      <c r="AM180" s="358"/>
      <c r="AN180" s="267" t="s">
        <v>2598</v>
      </c>
      <c r="AO180" s="512"/>
      <c r="AP180" s="724"/>
      <c r="AQ180" s="725"/>
      <c r="AR180" s="725"/>
      <c r="AS180" s="725"/>
      <c r="AT180" s="725"/>
      <c r="AU180" s="725"/>
      <c r="AV180" s="725"/>
      <c r="AW180" s="726"/>
      <c r="AX180" s="525"/>
      <c r="AY180" s="310"/>
      <c r="AZ180" s="310"/>
      <c r="BA180" s="310"/>
      <c r="BB180" s="310"/>
      <c r="BC180" s="310"/>
      <c r="BD180" s="310"/>
      <c r="BE180" s="544"/>
      <c r="BF180" s="525"/>
      <c r="BG180" s="310"/>
      <c r="BH180" s="310"/>
      <c r="BI180" s="310"/>
      <c r="BJ180" s="310"/>
      <c r="BK180" s="310"/>
      <c r="BL180" s="310"/>
      <c r="BM180" s="544">
        <f t="shared" si="73"/>
        <v>0</v>
      </c>
      <c r="BN180" s="525"/>
      <c r="BO180" s="310"/>
      <c r="BP180" s="310"/>
      <c r="BQ180" s="310"/>
      <c r="BR180" s="310"/>
      <c r="BS180" s="310"/>
      <c r="BT180" s="310"/>
      <c r="BU180" s="544"/>
      <c r="BV180" s="556"/>
      <c r="BW180" s="663">
        <f t="shared" si="64"/>
        <v>3</v>
      </c>
      <c r="BX180" s="1047">
        <f t="shared" si="67"/>
        <v>0.75</v>
      </c>
      <c r="BY180" s="1047">
        <f t="shared" ref="BY180:BY189" si="83">IF(U180&gt;=0.1,AC180/U180,IF(ISBLANK(U180),"No Programada","Aplazada"))</f>
        <v>0</v>
      </c>
      <c r="BZ180" s="1047">
        <f t="shared" ref="BZ180:BZ189" si="84">IF(W180&gt;=0.1,AD180/W180,IF(ISBLANK(W180),"No Programada","Aplazada"))</f>
        <v>1</v>
      </c>
      <c r="CA180" s="1047">
        <f t="shared" ref="CA180:CA189" si="85">IF(Y180&gt;=0.1,AE180/Y180,IF(ISBLANK(Y180),"No Programada","Aplazada"))</f>
        <v>1</v>
      </c>
      <c r="CB180" s="1047">
        <f t="shared" ref="CB180:CB190" si="86">IF(AA180&gt;=0.1,AF180/AA180,IF(ISBLANK(AA180),"No Programada","Aplazada"))</f>
        <v>1</v>
      </c>
      <c r="CD180" t="str">
        <f t="shared" ref="CD180:CG190" si="87">IF(BY180="PARA MODIFICAR","M",IF(BY180="PARA ELIMINAR","E",IF(BY180="aplazada","AZ",IF(BY180="no programada","NP",IF(BY180&gt;=85%,"VE",IF(BY180&gt;70%,"VEB",IF(BY180&gt;60%,"AM",IF(BY180&gt;40%,"AMB",IF(BY180&gt;20%,"RO",IF(BY180&gt;=0%,"ROB",""))))))))))</f>
        <v>ROB</v>
      </c>
      <c r="CE180" t="str">
        <f t="shared" si="87"/>
        <v>VE</v>
      </c>
      <c r="CF180" t="str">
        <f t="shared" si="87"/>
        <v>VE</v>
      </c>
      <c r="CG180" t="str">
        <f t="shared" si="87"/>
        <v>VE</v>
      </c>
    </row>
    <row r="181" spans="1:85" ht="72" customHeight="1" x14ac:dyDescent="0.3">
      <c r="A181" s="298" t="s">
        <v>491</v>
      </c>
      <c r="B181" s="299" t="str">
        <f>'PLAN INDICATIVO'!B181</f>
        <v>Atención a grupos vulnerables - promoción social</v>
      </c>
      <c r="C181" s="1559"/>
      <c r="D181" s="1549"/>
      <c r="E181" s="1549"/>
      <c r="F181" s="1760"/>
      <c r="G181" s="1551"/>
      <c r="H181" s="1551"/>
      <c r="I181" s="300">
        <f>'PLAN INDICATIVO'!I181</f>
        <v>0</v>
      </c>
      <c r="J181" s="300">
        <f>'PLAN INDICATIVO'!J181</f>
        <v>0</v>
      </c>
      <c r="K181" s="1425" t="str">
        <f>'PLAN INDICATIVO'!K181</f>
        <v>A.14.2.2</v>
      </c>
      <c r="L181" s="1425" t="str">
        <f>'PLAN INDICATIVO'!L181</f>
        <v>10. Reducción de las desigualdades</v>
      </c>
      <c r="M181" s="1425" t="str">
        <f>'PLAN INDICATIVO'!M181</f>
        <v>Secretaría de Gobierno</v>
      </c>
      <c r="N181" s="1513" t="s">
        <v>5126</v>
      </c>
      <c r="O181" s="1425" t="str">
        <f>'PLAN INDICATIVO'!O181</f>
        <v>Incremento</v>
      </c>
      <c r="P181" s="16" t="str">
        <f>'PLAN INDICATIVO'!P181</f>
        <v xml:space="preserve">Realizar 8 asambleas de juventudes conforme a la Ley 1622/2013, durante el cuatrienio. </v>
      </c>
      <c r="Q181" s="302" t="str">
        <f>'PLAN INDICATIVO'!Q181</f>
        <v xml:space="preserve">No. de asambleas realizadas </v>
      </c>
      <c r="R181" s="303">
        <f>'PLAN INDICATIVO'!R181</f>
        <v>2015</v>
      </c>
      <c r="S181" s="304">
        <v>0</v>
      </c>
      <c r="T181" s="699">
        <v>8</v>
      </c>
      <c r="U181" s="303">
        <v>2</v>
      </c>
      <c r="V181" s="687">
        <v>1500000</v>
      </c>
      <c r="W181" s="303">
        <v>2</v>
      </c>
      <c r="X181" s="687">
        <v>500000</v>
      </c>
      <c r="Y181" s="286">
        <v>2</v>
      </c>
      <c r="Z181" s="1233">
        <v>500000</v>
      </c>
      <c r="AA181" s="291">
        <v>2</v>
      </c>
      <c r="AB181" s="686">
        <v>2000000</v>
      </c>
      <c r="AC181" s="669"/>
      <c r="AD181" s="669">
        <v>2</v>
      </c>
      <c r="AE181" s="669">
        <v>2</v>
      </c>
      <c r="AF181" s="1503">
        <v>2</v>
      </c>
      <c r="AG181" s="996" t="s">
        <v>5141</v>
      </c>
      <c r="AH181" s="987">
        <v>2019413960019</v>
      </c>
      <c r="AI181" s="355" t="s">
        <v>4975</v>
      </c>
      <c r="AJ181" s="309">
        <v>43497</v>
      </c>
      <c r="AK181" s="356">
        <v>43707</v>
      </c>
      <c r="AL181" s="358"/>
      <c r="AM181" s="358"/>
      <c r="AN181" s="267" t="s">
        <v>2598</v>
      </c>
      <c r="AO181" s="512"/>
      <c r="AP181" s="724"/>
      <c r="AQ181" s="725"/>
      <c r="AR181" s="725"/>
      <c r="AS181" s="725"/>
      <c r="AT181" s="725"/>
      <c r="AU181" s="725"/>
      <c r="AV181" s="725"/>
      <c r="AW181" s="726"/>
      <c r="AX181" s="525"/>
      <c r="AY181" s="310"/>
      <c r="AZ181" s="310"/>
      <c r="BA181" s="310"/>
      <c r="BB181" s="310"/>
      <c r="BC181" s="310"/>
      <c r="BD181" s="310"/>
      <c r="BE181" s="544"/>
      <c r="BF181" s="525"/>
      <c r="BG181" s="310"/>
      <c r="BH181" s="310"/>
      <c r="BI181" s="310"/>
      <c r="BJ181" s="310"/>
      <c r="BK181" s="310"/>
      <c r="BL181" s="310"/>
      <c r="BM181" s="544">
        <f t="shared" si="73"/>
        <v>0</v>
      </c>
      <c r="BN181" s="525"/>
      <c r="BO181" s="310"/>
      <c r="BP181" s="310"/>
      <c r="BQ181" s="310"/>
      <c r="BR181" s="310"/>
      <c r="BS181" s="310"/>
      <c r="BT181" s="310"/>
      <c r="BU181" s="544"/>
      <c r="BV181" s="556"/>
      <c r="BW181" s="663">
        <f t="shared" si="64"/>
        <v>6</v>
      </c>
      <c r="BX181" s="1047">
        <f t="shared" si="67"/>
        <v>0.75</v>
      </c>
      <c r="BY181" s="1047">
        <f t="shared" si="83"/>
        <v>0</v>
      </c>
      <c r="BZ181" s="1047">
        <f t="shared" si="84"/>
        <v>1</v>
      </c>
      <c r="CA181" s="1047">
        <f t="shared" si="85"/>
        <v>1</v>
      </c>
      <c r="CB181" s="1047">
        <f t="shared" si="86"/>
        <v>1</v>
      </c>
      <c r="CD181" t="str">
        <f t="shared" si="87"/>
        <v>ROB</v>
      </c>
      <c r="CE181" t="str">
        <f t="shared" si="87"/>
        <v>VE</v>
      </c>
      <c r="CF181" t="str">
        <f t="shared" si="87"/>
        <v>VE</v>
      </c>
      <c r="CG181" t="str">
        <f t="shared" si="87"/>
        <v>VE</v>
      </c>
    </row>
    <row r="182" spans="1:85" ht="5.25" customHeight="1" x14ac:dyDescent="0.3">
      <c r="A182" s="298" t="s">
        <v>2458</v>
      </c>
      <c r="B182" s="299" t="str">
        <f>'PLAN INDICATIVO'!B182</f>
        <v>Atención a grupos vulnerables - promoción social</v>
      </c>
      <c r="C182" s="1559"/>
      <c r="D182" s="1549"/>
      <c r="E182" s="1549"/>
      <c r="F182" s="1760"/>
      <c r="G182" s="1551"/>
      <c r="H182" s="1551"/>
      <c r="I182" s="300">
        <f>'PLAN INDICATIVO'!I182</f>
        <v>0</v>
      </c>
      <c r="J182" s="300">
        <f>'PLAN INDICATIVO'!J182</f>
        <v>0</v>
      </c>
      <c r="K182" s="1425" t="str">
        <f>'PLAN INDICATIVO'!K182</f>
        <v>A.14.2.3</v>
      </c>
      <c r="L182" s="1425" t="str">
        <f>'PLAN INDICATIVO'!L182</f>
        <v>10. Reducción de las desigualdades</v>
      </c>
      <c r="M182" s="1425" t="str">
        <f>'PLAN INDICATIVO'!M182</f>
        <v>Secretaría de Gobierno</v>
      </c>
      <c r="N182" s="1513" t="s">
        <v>5126</v>
      </c>
      <c r="O182" s="1425" t="str">
        <f>'PLAN INDICATIVO'!O182</f>
        <v>Incremento</v>
      </c>
      <c r="P182" s="16" t="str">
        <f>'PLAN INDICATIVO'!P182</f>
        <v xml:space="preserve">Realizar 4 reuniones de concertación entre el plataforma juvenil y el gabinete municipal, durante el cuatrienio. </v>
      </c>
      <c r="Q182" s="302" t="str">
        <f>'PLAN INDICATIVO'!Q182</f>
        <v>No. de reuniones de concertación realizadas.</v>
      </c>
      <c r="R182" s="303">
        <f>'PLAN INDICATIVO'!R182</f>
        <v>2015</v>
      </c>
      <c r="S182" s="304">
        <v>0</v>
      </c>
      <c r="T182" s="699">
        <v>4</v>
      </c>
      <c r="U182" s="303">
        <v>1</v>
      </c>
      <c r="V182" s="687">
        <v>1000000</v>
      </c>
      <c r="W182" s="17">
        <v>0</v>
      </c>
      <c r="X182" s="687">
        <v>500000</v>
      </c>
      <c r="Y182" s="286"/>
      <c r="Z182" s="1233">
        <v>500000</v>
      </c>
      <c r="AA182" s="291">
        <v>3</v>
      </c>
      <c r="AB182" s="686"/>
      <c r="AC182" s="669"/>
      <c r="AD182" s="669"/>
      <c r="AE182" s="669"/>
      <c r="AF182" s="1503">
        <v>3</v>
      </c>
      <c r="AG182" s="996" t="s">
        <v>5141</v>
      </c>
      <c r="AH182" s="987">
        <v>2019413960019</v>
      </c>
      <c r="AI182" s="1490" t="s">
        <v>4976</v>
      </c>
      <c r="AJ182" s="309">
        <v>43497</v>
      </c>
      <c r="AK182" s="356">
        <v>43768</v>
      </c>
      <c r="AL182" s="358"/>
      <c r="AM182" s="358"/>
      <c r="AN182" s="267" t="s">
        <v>2594</v>
      </c>
      <c r="AO182" s="512"/>
      <c r="AP182" s="724"/>
      <c r="AQ182" s="725"/>
      <c r="AR182" s="725"/>
      <c r="AS182" s="725"/>
      <c r="AT182" s="725"/>
      <c r="AU182" s="725"/>
      <c r="AV182" s="725"/>
      <c r="AW182" s="726"/>
      <c r="AX182" s="525"/>
      <c r="AY182" s="310"/>
      <c r="AZ182" s="310"/>
      <c r="BA182" s="310"/>
      <c r="BB182" s="310"/>
      <c r="BC182" s="310"/>
      <c r="BD182" s="310"/>
      <c r="BE182" s="544"/>
      <c r="BF182" s="525"/>
      <c r="BG182" s="310"/>
      <c r="BH182" s="310"/>
      <c r="BI182" s="310"/>
      <c r="BJ182" s="310"/>
      <c r="BK182" s="310"/>
      <c r="BL182" s="310"/>
      <c r="BM182" s="544">
        <f t="shared" si="73"/>
        <v>0</v>
      </c>
      <c r="BN182" s="525"/>
      <c r="BO182" s="310"/>
      <c r="BP182" s="310"/>
      <c r="BQ182" s="310"/>
      <c r="BR182" s="310"/>
      <c r="BS182" s="310"/>
      <c r="BT182" s="310"/>
      <c r="BU182" s="544"/>
      <c r="BV182" s="556"/>
      <c r="BW182" s="663">
        <f t="shared" si="64"/>
        <v>3</v>
      </c>
      <c r="BX182" s="1047">
        <f t="shared" si="67"/>
        <v>0.75</v>
      </c>
      <c r="BY182" s="1047">
        <f t="shared" si="83"/>
        <v>0</v>
      </c>
      <c r="BZ182" s="1047" t="str">
        <f t="shared" si="84"/>
        <v>Aplazada</v>
      </c>
      <c r="CA182" s="1047" t="str">
        <f t="shared" si="85"/>
        <v>No Programada</v>
      </c>
      <c r="CB182" s="1047">
        <f t="shared" si="86"/>
        <v>1</v>
      </c>
      <c r="CD182" t="str">
        <f t="shared" si="87"/>
        <v>ROB</v>
      </c>
      <c r="CE182" t="str">
        <f t="shared" si="87"/>
        <v>AZ</v>
      </c>
      <c r="CF182" t="str">
        <f t="shared" si="87"/>
        <v>NP</v>
      </c>
      <c r="CG182" t="str">
        <f t="shared" si="87"/>
        <v>VE</v>
      </c>
    </row>
    <row r="183" spans="1:85" ht="85.5" hidden="1" customHeight="1" x14ac:dyDescent="0.25">
      <c r="A183" s="298" t="s">
        <v>491</v>
      </c>
      <c r="B183" s="299" t="str">
        <f>'PLAN INDICATIVO'!B183</f>
        <v>Atención a grupos vulnerables - promoción social</v>
      </c>
      <c r="C183" s="1559"/>
      <c r="D183" s="1549"/>
      <c r="E183" s="1549"/>
      <c r="F183" s="1760"/>
      <c r="G183" s="1551"/>
      <c r="H183" s="1551"/>
      <c r="I183" s="300">
        <f>'PLAN INDICATIVO'!I183</f>
        <v>0</v>
      </c>
      <c r="J183" s="300">
        <f>'PLAN INDICATIVO'!J183</f>
        <v>0</v>
      </c>
      <c r="K183" s="1425" t="str">
        <f>'PLAN INDICATIVO'!K183</f>
        <v>A.14.2.4</v>
      </c>
      <c r="L183" s="1425" t="str">
        <f>'PLAN INDICATIVO'!L183</f>
        <v>10. Reducción de las desigualdades</v>
      </c>
      <c r="M183" s="1425" t="str">
        <f>'PLAN INDICATIVO'!M183</f>
        <v>Secretaría de Gobierno</v>
      </c>
      <c r="N183" s="1513" t="s">
        <v>5126</v>
      </c>
      <c r="O183" s="1425" t="str">
        <f>'PLAN INDICATIVO'!O183</f>
        <v>Incremento</v>
      </c>
      <c r="P183" s="16" t="str">
        <f>'PLAN INDICATIVO'!P183</f>
        <v xml:space="preserve">Realizar 4 festivales "Arte más conciencia por la dignidad y la paz", durante el cuatrienio. </v>
      </c>
      <c r="Q183" s="302" t="str">
        <f>'PLAN INDICATIVO'!Q183</f>
        <v>No. de festivales realizados</v>
      </c>
      <c r="R183" s="303">
        <f>'PLAN INDICATIVO'!R183</f>
        <v>2015</v>
      </c>
      <c r="S183" s="304">
        <v>0</v>
      </c>
      <c r="T183" s="699">
        <v>4</v>
      </c>
      <c r="U183" s="303">
        <v>1</v>
      </c>
      <c r="V183" s="687">
        <v>6000000</v>
      </c>
      <c r="W183" s="303">
        <v>1</v>
      </c>
      <c r="X183" s="687">
        <v>2000000</v>
      </c>
      <c r="Y183" s="286">
        <v>1</v>
      </c>
      <c r="Z183" s="1233">
        <v>2000000</v>
      </c>
      <c r="AA183" s="291">
        <v>1</v>
      </c>
      <c r="AB183" s="686"/>
      <c r="AC183" s="669"/>
      <c r="AD183" s="669">
        <v>1</v>
      </c>
      <c r="AE183" s="669">
        <v>1</v>
      </c>
      <c r="AF183" s="669">
        <v>1</v>
      </c>
      <c r="AG183" s="996" t="s">
        <v>5141</v>
      </c>
      <c r="AH183" s="987">
        <v>2019413960019</v>
      </c>
      <c r="AI183" s="1490" t="s">
        <v>4977</v>
      </c>
      <c r="AJ183" s="309">
        <v>43497</v>
      </c>
      <c r="AK183" s="356">
        <v>43768</v>
      </c>
      <c r="AL183" s="358"/>
      <c r="AM183" s="358"/>
      <c r="AN183" s="267" t="s">
        <v>2604</v>
      </c>
      <c r="AO183" s="512"/>
      <c r="AP183" s="724"/>
      <c r="AQ183" s="725"/>
      <c r="AR183" s="725"/>
      <c r="AS183" s="725"/>
      <c r="AT183" s="725"/>
      <c r="AU183" s="725"/>
      <c r="AV183" s="725"/>
      <c r="AW183" s="726"/>
      <c r="AX183" s="531"/>
      <c r="AY183" s="310"/>
      <c r="AZ183" s="310"/>
      <c r="BA183" s="310"/>
      <c r="BB183" s="310"/>
      <c r="BC183" s="310"/>
      <c r="BD183" s="310"/>
      <c r="BE183" s="544"/>
      <c r="BF183" s="531"/>
      <c r="BG183" s="310"/>
      <c r="BH183" s="310"/>
      <c r="BI183" s="310"/>
      <c r="BJ183" s="310"/>
      <c r="BK183" s="310"/>
      <c r="BL183" s="310"/>
      <c r="BM183" s="544">
        <f t="shared" si="73"/>
        <v>0</v>
      </c>
      <c r="BN183" s="525"/>
      <c r="BO183" s="310"/>
      <c r="BP183" s="310"/>
      <c r="BQ183" s="310"/>
      <c r="BR183" s="310"/>
      <c r="BS183" s="310"/>
      <c r="BT183" s="310"/>
      <c r="BU183" s="544"/>
      <c r="BV183" s="556"/>
      <c r="BW183" s="663">
        <f t="shared" si="64"/>
        <v>3</v>
      </c>
      <c r="BX183" s="1047">
        <f t="shared" si="67"/>
        <v>0.75</v>
      </c>
      <c r="BY183" s="1047">
        <f t="shared" si="83"/>
        <v>0</v>
      </c>
      <c r="BZ183" s="1047">
        <f t="shared" si="84"/>
        <v>1</v>
      </c>
      <c r="CA183" s="1047">
        <f t="shared" si="85"/>
        <v>1</v>
      </c>
      <c r="CB183" s="1047">
        <f t="shared" si="86"/>
        <v>1</v>
      </c>
      <c r="CD183" t="str">
        <f t="shared" si="87"/>
        <v>ROB</v>
      </c>
      <c r="CE183" t="str">
        <f t="shared" si="87"/>
        <v>VE</v>
      </c>
      <c r="CF183" t="str">
        <f t="shared" si="87"/>
        <v>VE</v>
      </c>
      <c r="CG183" t="str">
        <f t="shared" si="87"/>
        <v>VE</v>
      </c>
    </row>
    <row r="184" spans="1:85" ht="63" hidden="1" customHeight="1" x14ac:dyDescent="0.25">
      <c r="A184" s="298" t="s">
        <v>491</v>
      </c>
      <c r="B184" s="299" t="str">
        <f>'PLAN INDICATIVO'!B184</f>
        <v>Atención a grupos vulnerables - promoción social</v>
      </c>
      <c r="C184" s="1559"/>
      <c r="D184" s="1549"/>
      <c r="E184" s="1549"/>
      <c r="F184" s="1760"/>
      <c r="G184" s="1551"/>
      <c r="H184" s="1551"/>
      <c r="I184" s="300">
        <f>'PLAN INDICATIVO'!I184</f>
        <v>0</v>
      </c>
      <c r="J184" s="300">
        <f>'PLAN INDICATIVO'!J184</f>
        <v>0</v>
      </c>
      <c r="K184" s="1425" t="str">
        <f>'PLAN INDICATIVO'!K184</f>
        <v>A.14.2.5</v>
      </c>
      <c r="L184" s="1425" t="str">
        <f>'PLAN INDICATIVO'!L184</f>
        <v>10. Reducción de las desigualdades</v>
      </c>
      <c r="M184" s="1425" t="str">
        <f>'PLAN INDICATIVO'!M184</f>
        <v>Secretaría de Gobierno</v>
      </c>
      <c r="N184" s="1513" t="s">
        <v>5126</v>
      </c>
      <c r="O184" s="1425" t="str">
        <f>'PLAN INDICATIVO'!O184</f>
        <v>Mantenimiento</v>
      </c>
      <c r="P184" s="16" t="str">
        <f>'PLAN INDICATIVO'!P184</f>
        <v>implementar 1 Política municipal de juventud formulada durante el cuatrienio</v>
      </c>
      <c r="Q184" s="302" t="str">
        <f>'PLAN INDICATIVO'!Q184</f>
        <v>No. De políticas implementadas</v>
      </c>
      <c r="R184" s="303">
        <f>'PLAN INDICATIVO'!R184</f>
        <v>2015</v>
      </c>
      <c r="S184" s="304">
        <v>0</v>
      </c>
      <c r="T184" s="699">
        <v>1</v>
      </c>
      <c r="U184" s="303">
        <v>1</v>
      </c>
      <c r="V184" s="687">
        <v>1000000</v>
      </c>
      <c r="W184" s="303">
        <v>1</v>
      </c>
      <c r="X184" s="687">
        <v>5500000</v>
      </c>
      <c r="Y184" s="286"/>
      <c r="Z184" s="687">
        <v>5500000</v>
      </c>
      <c r="AA184" s="291">
        <v>0.8</v>
      </c>
      <c r="AB184" s="686"/>
      <c r="AC184" s="669"/>
      <c r="AD184" s="669">
        <v>0.2</v>
      </c>
      <c r="AE184" s="669"/>
      <c r="AF184" s="669">
        <v>0.8</v>
      </c>
      <c r="AG184" s="996" t="s">
        <v>5141</v>
      </c>
      <c r="AH184" s="987">
        <v>2019413960019</v>
      </c>
      <c r="AI184" s="1490" t="s">
        <v>5065</v>
      </c>
      <c r="AJ184" s="309">
        <v>43497</v>
      </c>
      <c r="AK184" s="356">
        <v>43768</v>
      </c>
      <c r="AL184" s="358"/>
      <c r="AM184" s="358"/>
      <c r="AN184" s="267" t="s">
        <v>2594</v>
      </c>
      <c r="AO184" s="512"/>
      <c r="AP184" s="724"/>
      <c r="AQ184" s="725"/>
      <c r="AR184" s="725"/>
      <c r="AS184" s="725"/>
      <c r="AT184" s="725"/>
      <c r="AU184" s="725"/>
      <c r="AV184" s="725"/>
      <c r="AW184" s="726"/>
      <c r="AX184" s="525"/>
      <c r="AY184" s="310"/>
      <c r="AZ184" s="310"/>
      <c r="BA184" s="310"/>
      <c r="BB184" s="310"/>
      <c r="BC184" s="310"/>
      <c r="BD184" s="310"/>
      <c r="BE184" s="544"/>
      <c r="BF184" s="525"/>
      <c r="BG184" s="310"/>
      <c r="BH184" s="310"/>
      <c r="BI184" s="310"/>
      <c r="BJ184" s="310"/>
      <c r="BK184" s="310"/>
      <c r="BL184" s="310"/>
      <c r="BM184" s="544">
        <f t="shared" si="73"/>
        <v>0</v>
      </c>
      <c r="BN184" s="525"/>
      <c r="BO184" s="310"/>
      <c r="BP184" s="310"/>
      <c r="BQ184" s="310"/>
      <c r="BR184" s="310"/>
      <c r="BS184" s="310"/>
      <c r="BT184" s="310"/>
      <c r="BU184" s="544"/>
      <c r="BV184" s="556"/>
      <c r="BW184" s="663">
        <f t="shared" si="64"/>
        <v>1</v>
      </c>
      <c r="BX184" s="1047">
        <f t="shared" si="67"/>
        <v>1</v>
      </c>
      <c r="BY184" s="1047">
        <f t="shared" si="83"/>
        <v>0</v>
      </c>
      <c r="BZ184" s="1047">
        <f t="shared" si="84"/>
        <v>0.2</v>
      </c>
      <c r="CA184" s="1047" t="str">
        <f t="shared" si="85"/>
        <v>No Programada</v>
      </c>
      <c r="CB184" s="1047">
        <f t="shared" si="86"/>
        <v>1</v>
      </c>
      <c r="CD184" t="str">
        <f t="shared" si="87"/>
        <v>ROB</v>
      </c>
      <c r="CE184" t="str">
        <f t="shared" si="87"/>
        <v>ROB</v>
      </c>
      <c r="CF184" t="str">
        <f t="shared" si="87"/>
        <v>NP</v>
      </c>
      <c r="CG184" t="str">
        <f t="shared" si="87"/>
        <v>VE</v>
      </c>
    </row>
    <row r="185" spans="1:85" ht="92.25" customHeight="1" x14ac:dyDescent="0.3">
      <c r="A185" s="298" t="s">
        <v>491</v>
      </c>
      <c r="B185" s="299" t="str">
        <f>'PLAN INDICATIVO'!B185</f>
        <v>Atención a grupos vulnerables - promoción social</v>
      </c>
      <c r="C185" s="1559"/>
      <c r="D185" s="1549"/>
      <c r="E185" s="1549"/>
      <c r="F185" s="1760"/>
      <c r="G185" s="1551"/>
      <c r="H185" s="1551"/>
      <c r="I185" s="300">
        <f>'PLAN INDICATIVO'!I185</f>
        <v>0</v>
      </c>
      <c r="J185" s="300">
        <f>'PLAN INDICATIVO'!J185</f>
        <v>0</v>
      </c>
      <c r="K185" s="1425" t="str">
        <f>'PLAN INDICATIVO'!K185</f>
        <v>A.14.2.6</v>
      </c>
      <c r="L185" s="1425" t="str">
        <f>'PLAN INDICATIVO'!L185</f>
        <v>10. Reducción de las desigualdades</v>
      </c>
      <c r="M185" s="1425" t="str">
        <f>'PLAN INDICATIVO'!M185</f>
        <v>Secretaría de Gobierno</v>
      </c>
      <c r="N185" s="1513" t="s">
        <v>5126</v>
      </c>
      <c r="O185" s="1425" t="str">
        <f>'PLAN INDICATIVO'!O185</f>
        <v>Mantenimiento</v>
      </c>
      <c r="P185" s="16" t="str">
        <f>'PLAN INDICATIVO'!P185</f>
        <v>mantener 1 consejo municipal de juventud elegido, sesionando y gestionando, conforme a la Ley 1622/2013  durante el cuatrienio</v>
      </c>
      <c r="Q185" s="302" t="str">
        <f>'PLAN INDICATIVO'!Q185</f>
        <v xml:space="preserve">No. de consejos municipales sesionando y gestionando. </v>
      </c>
      <c r="R185" s="303">
        <f>'PLAN INDICATIVO'!R185</f>
        <v>2015</v>
      </c>
      <c r="S185" s="304">
        <v>0</v>
      </c>
      <c r="T185" s="699">
        <v>1</v>
      </c>
      <c r="U185" s="303">
        <v>0</v>
      </c>
      <c r="V185" s="687">
        <v>500000</v>
      </c>
      <c r="W185" s="303">
        <v>0</v>
      </c>
      <c r="X185" s="687">
        <v>500000</v>
      </c>
      <c r="Y185" s="286"/>
      <c r="Z185" s="1233">
        <v>500000</v>
      </c>
      <c r="AA185" s="291">
        <v>1</v>
      </c>
      <c r="AB185" s="686">
        <v>6100000</v>
      </c>
      <c r="AC185" s="669"/>
      <c r="AD185" s="669"/>
      <c r="AE185" s="669"/>
      <c r="AF185" s="669">
        <v>0.5</v>
      </c>
      <c r="AG185" s="996" t="s">
        <v>5141</v>
      </c>
      <c r="AH185" s="987">
        <v>2019413960019</v>
      </c>
      <c r="AI185" s="361" t="s">
        <v>5066</v>
      </c>
      <c r="AJ185" s="309">
        <v>43497</v>
      </c>
      <c r="AK185" s="356">
        <v>43768</v>
      </c>
      <c r="AL185" s="358"/>
      <c r="AM185" s="358"/>
      <c r="AN185" s="267" t="s">
        <v>2594</v>
      </c>
      <c r="AO185" s="512"/>
      <c r="AP185" s="724"/>
      <c r="AQ185" s="725"/>
      <c r="AR185" s="725"/>
      <c r="AS185" s="725"/>
      <c r="AT185" s="725"/>
      <c r="AU185" s="725"/>
      <c r="AV185" s="725"/>
      <c r="AW185" s="726"/>
      <c r="AX185" s="525"/>
      <c r="AY185" s="310"/>
      <c r="AZ185" s="310"/>
      <c r="BA185" s="310"/>
      <c r="BB185" s="310"/>
      <c r="BC185" s="310"/>
      <c r="BD185" s="310"/>
      <c r="BE185" s="544"/>
      <c r="BF185" s="525"/>
      <c r="BG185" s="310"/>
      <c r="BH185" s="310"/>
      <c r="BI185" s="310"/>
      <c r="BJ185" s="310"/>
      <c r="BK185" s="310"/>
      <c r="BL185" s="310"/>
      <c r="BM185" s="544">
        <f t="shared" si="73"/>
        <v>0</v>
      </c>
      <c r="BN185" s="310"/>
      <c r="BO185" s="310"/>
      <c r="BP185" s="310"/>
      <c r="BQ185" s="310"/>
      <c r="BR185" s="310"/>
      <c r="BS185" s="310"/>
      <c r="BT185" s="310"/>
      <c r="BU185" s="544"/>
      <c r="BV185" s="556"/>
      <c r="BW185" s="663">
        <f t="shared" si="64"/>
        <v>0.5</v>
      </c>
      <c r="BX185" s="1047">
        <f t="shared" si="67"/>
        <v>0.5</v>
      </c>
      <c r="BY185" s="1047" t="str">
        <f t="shared" si="83"/>
        <v>Aplazada</v>
      </c>
      <c r="BZ185" s="1047" t="str">
        <f t="shared" si="84"/>
        <v>Aplazada</v>
      </c>
      <c r="CA185" s="1047" t="str">
        <f t="shared" si="85"/>
        <v>No Programada</v>
      </c>
      <c r="CB185" s="1047">
        <f t="shared" si="86"/>
        <v>0.5</v>
      </c>
      <c r="CD185" t="str">
        <f t="shared" si="87"/>
        <v>AZ</v>
      </c>
      <c r="CE185" t="str">
        <f t="shared" si="87"/>
        <v>AZ</v>
      </c>
      <c r="CF185" t="str">
        <f t="shared" si="87"/>
        <v>NP</v>
      </c>
      <c r="CG185" t="str">
        <f t="shared" si="87"/>
        <v>AMB</v>
      </c>
    </row>
    <row r="186" spans="1:85" ht="90" customHeight="1" x14ac:dyDescent="0.3">
      <c r="A186" s="298" t="s">
        <v>491</v>
      </c>
      <c r="B186" s="299" t="str">
        <f>'PLAN INDICATIVO'!B186</f>
        <v>Atención a grupos vulnerables - promoción social</v>
      </c>
      <c r="C186" s="1559"/>
      <c r="D186" s="1549"/>
      <c r="E186" s="1549"/>
      <c r="F186" s="1760"/>
      <c r="G186" s="1551"/>
      <c r="H186" s="1551"/>
      <c r="I186" s="300">
        <f>'PLAN INDICATIVO'!I186</f>
        <v>0</v>
      </c>
      <c r="J186" s="300">
        <f>'PLAN INDICATIVO'!J186</f>
        <v>0</v>
      </c>
      <c r="K186" s="1425" t="str">
        <f>'PLAN INDICATIVO'!K186</f>
        <v>A.14.2.7</v>
      </c>
      <c r="L186" s="1425" t="str">
        <f>'PLAN INDICATIVO'!L186</f>
        <v>10. Reducción de las desigualdades</v>
      </c>
      <c r="M186" s="1425" t="str">
        <f>'PLAN INDICATIVO'!M186</f>
        <v>Secretaría de Gobierno</v>
      </c>
      <c r="N186" s="1513" t="s">
        <v>5126</v>
      </c>
      <c r="O186" s="1425" t="str">
        <f>'PLAN INDICATIVO'!O186</f>
        <v>Incremento</v>
      </c>
      <c r="P186" s="16" t="str">
        <f>'PLAN INDICATIVO'!P186</f>
        <v>Realizar 2 ofertas institucionales a población juvenil, para acceso a programas de desarrollo económico durante el cuatrienio</v>
      </c>
      <c r="Q186" s="302" t="str">
        <f>'PLAN INDICATIVO'!Q186</f>
        <v>Oferta realizada</v>
      </c>
      <c r="R186" s="303">
        <f>'PLAN INDICATIVO'!R186</f>
        <v>2015</v>
      </c>
      <c r="S186" s="304">
        <v>0</v>
      </c>
      <c r="T186" s="699">
        <v>2</v>
      </c>
      <c r="U186" s="303">
        <v>1</v>
      </c>
      <c r="V186" s="687">
        <v>500000</v>
      </c>
      <c r="W186" s="303">
        <v>1</v>
      </c>
      <c r="X186" s="687">
        <v>500000</v>
      </c>
      <c r="Y186" s="286">
        <v>1</v>
      </c>
      <c r="Z186" s="1233">
        <v>500000</v>
      </c>
      <c r="AA186" s="291"/>
      <c r="AB186" s="686">
        <v>1600000</v>
      </c>
      <c r="AC186" s="669"/>
      <c r="AD186" s="669">
        <v>1</v>
      </c>
      <c r="AE186" s="669">
        <v>1</v>
      </c>
      <c r="AF186" s="669"/>
      <c r="AG186" s="996" t="s">
        <v>5141</v>
      </c>
      <c r="AH186" s="987">
        <v>2019413960019</v>
      </c>
      <c r="AI186" s="355"/>
      <c r="AJ186" s="309"/>
      <c r="AK186" s="358"/>
      <c r="AL186" s="358"/>
      <c r="AM186" s="358"/>
      <c r="AN186" s="267" t="s">
        <v>2598</v>
      </c>
      <c r="AO186" s="512"/>
      <c r="AP186" s="724"/>
      <c r="AQ186" s="725"/>
      <c r="AR186" s="725"/>
      <c r="AS186" s="725"/>
      <c r="AT186" s="725"/>
      <c r="AU186" s="725"/>
      <c r="AV186" s="725"/>
      <c r="AW186" s="726"/>
      <c r="AX186" s="525"/>
      <c r="AY186" s="310"/>
      <c r="AZ186" s="310"/>
      <c r="BA186" s="310"/>
      <c r="BB186" s="310"/>
      <c r="BC186" s="310"/>
      <c r="BD186" s="310"/>
      <c r="BE186" s="544"/>
      <c r="BF186" s="525"/>
      <c r="BG186" s="310"/>
      <c r="BH186" s="310"/>
      <c r="BI186" s="310"/>
      <c r="BJ186" s="310"/>
      <c r="BK186" s="310"/>
      <c r="BL186" s="310"/>
      <c r="BM186" s="544">
        <f t="shared" si="73"/>
        <v>0</v>
      </c>
      <c r="BN186" s="310"/>
      <c r="BO186" s="310"/>
      <c r="BP186" s="310"/>
      <c r="BQ186" s="310"/>
      <c r="BR186" s="310"/>
      <c r="BS186" s="310"/>
      <c r="BT186" s="310"/>
      <c r="BU186" s="544"/>
      <c r="BV186" s="556"/>
      <c r="BW186" s="663">
        <f t="shared" si="64"/>
        <v>2</v>
      </c>
      <c r="BX186" s="1047">
        <f t="shared" si="67"/>
        <v>1</v>
      </c>
      <c r="BY186" s="1047">
        <f t="shared" si="83"/>
        <v>0</v>
      </c>
      <c r="BZ186" s="1047">
        <f t="shared" si="84"/>
        <v>1</v>
      </c>
      <c r="CA186" s="1047">
        <f t="shared" si="85"/>
        <v>1</v>
      </c>
      <c r="CB186" s="1047" t="str">
        <f t="shared" si="86"/>
        <v>No Programada</v>
      </c>
      <c r="CD186" t="str">
        <f t="shared" si="87"/>
        <v>ROB</v>
      </c>
      <c r="CE186" t="str">
        <f t="shared" si="87"/>
        <v>VE</v>
      </c>
      <c r="CF186" t="str">
        <f t="shared" si="87"/>
        <v>VE</v>
      </c>
      <c r="CG186" t="str">
        <f t="shared" si="87"/>
        <v>NP</v>
      </c>
    </row>
    <row r="187" spans="1:85" ht="72.75" customHeight="1" x14ac:dyDescent="0.3">
      <c r="A187" s="298" t="s">
        <v>491</v>
      </c>
      <c r="B187" s="299" t="str">
        <f>'PLAN INDICATIVO'!B187</f>
        <v>Atención a grupos vulnerables - promoción social</v>
      </c>
      <c r="C187" s="1559"/>
      <c r="D187" s="1549"/>
      <c r="E187" s="1549"/>
      <c r="F187" s="1760"/>
      <c r="G187" s="1551"/>
      <c r="H187" s="1551"/>
      <c r="I187" s="300">
        <f>'PLAN INDICATIVO'!I187</f>
        <v>0</v>
      </c>
      <c r="J187" s="300">
        <f>'PLAN INDICATIVO'!J187</f>
        <v>0</v>
      </c>
      <c r="K187" s="1425" t="str">
        <f>'PLAN INDICATIVO'!K187</f>
        <v>A.14.2.8</v>
      </c>
      <c r="L187" s="1425" t="str">
        <f>'PLAN INDICATIVO'!L187</f>
        <v>10. Reducción de las desigualdades</v>
      </c>
      <c r="M187" s="1425" t="str">
        <f>'PLAN INDICATIVO'!M187</f>
        <v>Secretaría de Gobierno</v>
      </c>
      <c r="N187" s="1513" t="s">
        <v>5126</v>
      </c>
      <c r="O187" s="1425" t="str">
        <f>'PLAN INDICATIVO'!O187</f>
        <v>Incremento</v>
      </c>
      <c r="P187" s="16" t="str">
        <f>'PLAN INDICATIVO'!P187</f>
        <v>Realizar 4 encuentros municipales de juventudes, durante el cuatrienio.</v>
      </c>
      <c r="Q187" s="302" t="str">
        <f>'PLAN INDICATIVO'!Q187</f>
        <v>No. de encuentros realizados</v>
      </c>
      <c r="R187" s="303">
        <f>'PLAN INDICATIVO'!R187</f>
        <v>2015</v>
      </c>
      <c r="S187" s="304">
        <v>0</v>
      </c>
      <c r="T187" s="699">
        <v>4</v>
      </c>
      <c r="U187" s="303">
        <v>1</v>
      </c>
      <c r="V187" s="687">
        <v>1000000</v>
      </c>
      <c r="W187" s="303">
        <v>1</v>
      </c>
      <c r="X187" s="687">
        <v>1000000</v>
      </c>
      <c r="Y187" s="286">
        <v>1</v>
      </c>
      <c r="Z187" s="1233">
        <v>1000000</v>
      </c>
      <c r="AA187" s="291">
        <v>1</v>
      </c>
      <c r="AB187" s="686">
        <v>1800000</v>
      </c>
      <c r="AC187" s="669"/>
      <c r="AD187" s="669">
        <v>1</v>
      </c>
      <c r="AE187" s="669">
        <v>1</v>
      </c>
      <c r="AF187" s="669">
        <v>1</v>
      </c>
      <c r="AG187" s="996" t="s">
        <v>5141</v>
      </c>
      <c r="AH187" s="987">
        <v>2019413960019</v>
      </c>
      <c r="AI187" s="1491" t="s">
        <v>4978</v>
      </c>
      <c r="AJ187" s="309">
        <v>43497</v>
      </c>
      <c r="AK187" s="356">
        <v>43768</v>
      </c>
      <c r="AL187" s="358"/>
      <c r="AM187" s="358"/>
      <c r="AN187" s="267" t="s">
        <v>2598</v>
      </c>
      <c r="AO187" s="512"/>
      <c r="AP187" s="724"/>
      <c r="AQ187" s="725"/>
      <c r="AR187" s="725"/>
      <c r="AS187" s="725"/>
      <c r="AT187" s="725"/>
      <c r="AU187" s="725"/>
      <c r="AV187" s="725"/>
      <c r="AW187" s="726"/>
      <c r="AX187" s="525"/>
      <c r="AY187" s="310"/>
      <c r="AZ187" s="310"/>
      <c r="BA187" s="310"/>
      <c r="BB187" s="310"/>
      <c r="BC187" s="310"/>
      <c r="BD187" s="310"/>
      <c r="BE187" s="544"/>
      <c r="BF187" s="525"/>
      <c r="BG187" s="794"/>
      <c r="BH187" s="794"/>
      <c r="BI187" s="794"/>
      <c r="BJ187" s="794"/>
      <c r="BK187" s="794"/>
      <c r="BL187" s="310"/>
      <c r="BM187" s="544">
        <f t="shared" si="73"/>
        <v>0</v>
      </c>
      <c r="BN187" s="310"/>
      <c r="BO187" s="310"/>
      <c r="BP187" s="310"/>
      <c r="BQ187" s="310"/>
      <c r="BR187" s="310"/>
      <c r="BS187" s="310"/>
      <c r="BT187" s="310"/>
      <c r="BU187" s="544"/>
      <c r="BV187" s="556"/>
      <c r="BW187" s="663">
        <f t="shared" si="64"/>
        <v>3</v>
      </c>
      <c r="BX187" s="1047">
        <f t="shared" si="67"/>
        <v>0.75</v>
      </c>
      <c r="BY187" s="1047">
        <f t="shared" si="83"/>
        <v>0</v>
      </c>
      <c r="BZ187" s="1047">
        <f t="shared" si="84"/>
        <v>1</v>
      </c>
      <c r="CA187" s="1047">
        <f t="shared" si="85"/>
        <v>1</v>
      </c>
      <c r="CB187" s="1047">
        <f t="shared" si="86"/>
        <v>1</v>
      </c>
      <c r="CD187" t="str">
        <f t="shared" si="87"/>
        <v>ROB</v>
      </c>
      <c r="CE187" t="str">
        <f t="shared" si="87"/>
        <v>VE</v>
      </c>
      <c r="CF187" t="str">
        <f t="shared" si="87"/>
        <v>VE</v>
      </c>
      <c r="CG187" t="str">
        <f t="shared" si="87"/>
        <v>VE</v>
      </c>
    </row>
    <row r="188" spans="1:85" ht="61.5" customHeight="1" x14ac:dyDescent="0.3">
      <c r="A188" s="298" t="s">
        <v>491</v>
      </c>
      <c r="B188" s="299" t="str">
        <f>'PLAN INDICATIVO'!B188</f>
        <v>Atención a grupos vulnerables - promoción social</v>
      </c>
      <c r="C188" s="1559"/>
      <c r="D188" s="1549"/>
      <c r="E188" s="1549"/>
      <c r="F188" s="1760"/>
      <c r="G188" s="1551"/>
      <c r="H188" s="1551"/>
      <c r="I188" s="300">
        <f>'PLAN INDICATIVO'!I188</f>
        <v>0</v>
      </c>
      <c r="J188" s="300">
        <f>'PLAN INDICATIVO'!J188</f>
        <v>0</v>
      </c>
      <c r="K188" s="1425" t="str">
        <f>'PLAN INDICATIVO'!K188</f>
        <v>A.14.2.9</v>
      </c>
      <c r="L188" s="1425" t="str">
        <f>'PLAN INDICATIVO'!L188</f>
        <v>10. Reducción de las desigualdades</v>
      </c>
      <c r="M188" s="1425" t="str">
        <f>'PLAN INDICATIVO'!M188</f>
        <v>Secretaría de Gobierno</v>
      </c>
      <c r="N188" s="1513" t="s">
        <v>5126</v>
      </c>
      <c r="O188" s="1425" t="str">
        <f>'PLAN INDICATIVO'!O188</f>
        <v>Incremento</v>
      </c>
      <c r="P188" s="16" t="str">
        <f>'PLAN INDICATIVO'!P188</f>
        <v>Jóvenes participando en 15 consejos de política social en el cuatrienio</v>
      </c>
      <c r="Q188" s="302" t="str">
        <f>'PLAN INDICATIVO'!Q188</f>
        <v>Consejos de Política económica y social</v>
      </c>
      <c r="R188" s="303">
        <f>'PLAN INDICATIVO'!R188</f>
        <v>2015</v>
      </c>
      <c r="S188" s="304">
        <v>0</v>
      </c>
      <c r="T188" s="699">
        <v>15</v>
      </c>
      <c r="U188" s="303">
        <v>4</v>
      </c>
      <c r="V188" s="687">
        <v>500000</v>
      </c>
      <c r="W188" s="303">
        <v>4</v>
      </c>
      <c r="X188" s="687">
        <v>500000</v>
      </c>
      <c r="Y188" s="286">
        <v>4</v>
      </c>
      <c r="Z188" s="1233">
        <v>500000</v>
      </c>
      <c r="AA188" s="291">
        <v>4</v>
      </c>
      <c r="AB188" s="686">
        <v>2000000</v>
      </c>
      <c r="AC188" s="669"/>
      <c r="AD188" s="669">
        <v>4</v>
      </c>
      <c r="AE188" s="669">
        <v>4</v>
      </c>
      <c r="AF188" s="669">
        <v>4</v>
      </c>
      <c r="AG188" s="996" t="s">
        <v>5141</v>
      </c>
      <c r="AH188" s="987">
        <v>2019413960019</v>
      </c>
      <c r="AI188" s="355" t="s">
        <v>5067</v>
      </c>
      <c r="AJ188" s="309">
        <v>43497</v>
      </c>
      <c r="AK188" s="356">
        <v>43768</v>
      </c>
      <c r="AL188" s="358"/>
      <c r="AM188" s="358"/>
      <c r="AN188" s="267" t="s">
        <v>2598</v>
      </c>
      <c r="AO188" s="512"/>
      <c r="AP188" s="724"/>
      <c r="AQ188" s="725"/>
      <c r="AR188" s="725"/>
      <c r="AS188" s="725"/>
      <c r="AT188" s="725"/>
      <c r="AU188" s="725"/>
      <c r="AV188" s="725"/>
      <c r="AW188" s="726"/>
      <c r="AX188" s="525"/>
      <c r="AY188" s="310"/>
      <c r="AZ188" s="310"/>
      <c r="BA188" s="310"/>
      <c r="BB188" s="310"/>
      <c r="BC188" s="310"/>
      <c r="BD188" s="310"/>
      <c r="BE188" s="544"/>
      <c r="BF188" s="525"/>
      <c r="BG188" s="310"/>
      <c r="BH188" s="310"/>
      <c r="BI188" s="310"/>
      <c r="BJ188" s="310"/>
      <c r="BK188" s="310"/>
      <c r="BL188" s="310"/>
      <c r="BM188" s="544">
        <f t="shared" si="73"/>
        <v>0</v>
      </c>
      <c r="BN188" s="310"/>
      <c r="BO188" s="310"/>
      <c r="BP188" s="310"/>
      <c r="BQ188" s="310"/>
      <c r="BR188" s="310"/>
      <c r="BS188" s="310"/>
      <c r="BT188" s="310"/>
      <c r="BU188" s="544"/>
      <c r="BV188" s="556"/>
      <c r="BW188" s="663">
        <f t="shared" si="64"/>
        <v>12</v>
      </c>
      <c r="BX188" s="1047">
        <f t="shared" si="67"/>
        <v>0.8</v>
      </c>
      <c r="BY188" s="1047">
        <f t="shared" si="83"/>
        <v>0</v>
      </c>
      <c r="BZ188" s="1047">
        <f t="shared" si="84"/>
        <v>1</v>
      </c>
      <c r="CA188" s="1047">
        <f t="shared" si="85"/>
        <v>1</v>
      </c>
      <c r="CB188" s="1047">
        <f t="shared" si="86"/>
        <v>1</v>
      </c>
      <c r="CD188" t="str">
        <f t="shared" si="87"/>
        <v>ROB</v>
      </c>
      <c r="CE188" t="str">
        <f t="shared" si="87"/>
        <v>VE</v>
      </c>
      <c r="CF188" t="str">
        <f t="shared" si="87"/>
        <v>VE</v>
      </c>
      <c r="CG188" t="str">
        <f t="shared" si="87"/>
        <v>VE</v>
      </c>
    </row>
    <row r="189" spans="1:85" ht="77.25" customHeight="1" x14ac:dyDescent="0.3">
      <c r="A189" s="298" t="s">
        <v>491</v>
      </c>
      <c r="B189" s="299" t="str">
        <f>'PLAN INDICATIVO'!B189</f>
        <v>Atención a grupos vulnerables - promoción social</v>
      </c>
      <c r="C189" s="1559"/>
      <c r="D189" s="1549"/>
      <c r="E189" s="1549"/>
      <c r="F189" s="1761"/>
      <c r="G189" s="1551"/>
      <c r="H189" s="1552"/>
      <c r="I189" s="300">
        <f>'PLAN INDICATIVO'!I189</f>
        <v>0</v>
      </c>
      <c r="J189" s="300">
        <f>'PLAN INDICATIVO'!J189</f>
        <v>0</v>
      </c>
      <c r="K189" s="1425" t="str">
        <f>'PLAN INDICATIVO'!K189</f>
        <v>A.14.2.10</v>
      </c>
      <c r="L189" s="1425" t="str">
        <f>'PLAN INDICATIVO'!L189</f>
        <v>10. Reducción de las desigualdades</v>
      </c>
      <c r="M189" s="1425" t="str">
        <f>'PLAN INDICATIVO'!M189</f>
        <v>Secretaría de Gobierno</v>
      </c>
      <c r="N189" s="1513" t="s">
        <v>5126</v>
      </c>
      <c r="O189" s="1425" t="str">
        <f>'PLAN INDICATIVO'!O189</f>
        <v>Incremento</v>
      </c>
      <c r="P189" s="16" t="str">
        <f>'PLAN INDICATIVO'!P189</f>
        <v xml:space="preserve">Realizar 4 encuentros con personeros estudiantiles, durante el cuatrienio. </v>
      </c>
      <c r="Q189" s="302" t="str">
        <f>'PLAN INDICATIVO'!Q189</f>
        <v>No. de encuentros con personeros estudiantiles</v>
      </c>
      <c r="R189" s="303">
        <f>'PLAN INDICATIVO'!R189</f>
        <v>2015</v>
      </c>
      <c r="S189" s="304">
        <v>0</v>
      </c>
      <c r="T189" s="699">
        <v>4</v>
      </c>
      <c r="U189" s="303">
        <v>1</v>
      </c>
      <c r="V189" s="687">
        <v>500000</v>
      </c>
      <c r="W189" s="303">
        <v>1</v>
      </c>
      <c r="X189" s="687">
        <v>3000000</v>
      </c>
      <c r="Y189" s="286">
        <v>1</v>
      </c>
      <c r="Z189" s="1233">
        <v>3000000</v>
      </c>
      <c r="AA189" s="291">
        <v>1</v>
      </c>
      <c r="AB189" s="686">
        <v>2500000</v>
      </c>
      <c r="AC189" s="671"/>
      <c r="AD189" s="671">
        <v>1</v>
      </c>
      <c r="AE189" s="671">
        <v>1</v>
      </c>
      <c r="AF189" s="671">
        <v>1</v>
      </c>
      <c r="AG189" s="996" t="s">
        <v>5141</v>
      </c>
      <c r="AH189" s="987">
        <v>2019413960019</v>
      </c>
      <c r="AI189" s="1490" t="s">
        <v>4979</v>
      </c>
      <c r="AJ189" s="309">
        <v>43497</v>
      </c>
      <c r="AK189" s="356">
        <v>43768</v>
      </c>
      <c r="AL189" s="358"/>
      <c r="AM189" s="358"/>
      <c r="AN189" s="267" t="s">
        <v>2598</v>
      </c>
      <c r="AO189" s="512"/>
      <c r="AP189" s="724"/>
      <c r="AQ189" s="725"/>
      <c r="AR189" s="725"/>
      <c r="AS189" s="725"/>
      <c r="AT189" s="725"/>
      <c r="AU189" s="727"/>
      <c r="AV189" s="725"/>
      <c r="AW189" s="726"/>
      <c r="AX189" s="525"/>
      <c r="AY189" s="310"/>
      <c r="AZ189" s="310"/>
      <c r="BA189" s="310"/>
      <c r="BB189" s="310"/>
      <c r="BC189" s="380"/>
      <c r="BD189" s="310"/>
      <c r="BE189" s="544"/>
      <c r="BF189" s="525"/>
      <c r="BG189" s="310"/>
      <c r="BH189" s="310"/>
      <c r="BI189" s="310"/>
      <c r="BJ189" s="310"/>
      <c r="BK189" s="380"/>
      <c r="BL189" s="310"/>
      <c r="BM189" s="544">
        <f t="shared" si="73"/>
        <v>0</v>
      </c>
      <c r="BN189" s="310"/>
      <c r="BO189" s="310"/>
      <c r="BP189" s="310"/>
      <c r="BQ189" s="310"/>
      <c r="BR189" s="310"/>
      <c r="BS189" s="380"/>
      <c r="BT189" s="310"/>
      <c r="BU189" s="544"/>
      <c r="BV189" s="556"/>
      <c r="BW189" s="663">
        <f t="shared" si="64"/>
        <v>3</v>
      </c>
      <c r="BX189" s="1047">
        <f t="shared" si="67"/>
        <v>0.75</v>
      </c>
      <c r="BY189" s="1047">
        <f t="shared" si="83"/>
        <v>0</v>
      </c>
      <c r="BZ189" s="1047">
        <f t="shared" si="84"/>
        <v>1</v>
      </c>
      <c r="CA189" s="1047">
        <f t="shared" si="85"/>
        <v>1</v>
      </c>
      <c r="CB189" s="1047">
        <f t="shared" si="86"/>
        <v>1</v>
      </c>
      <c r="CD189" t="str">
        <f t="shared" si="87"/>
        <v>ROB</v>
      </c>
      <c r="CE189" t="str">
        <f t="shared" si="87"/>
        <v>VE</v>
      </c>
      <c r="CF189" t="str">
        <f t="shared" si="87"/>
        <v>VE</v>
      </c>
      <c r="CG189" t="str">
        <f t="shared" si="87"/>
        <v>VE</v>
      </c>
    </row>
    <row r="190" spans="1:85" s="1393" customFormat="1" ht="78.75" hidden="1" customHeight="1" x14ac:dyDescent="0.25">
      <c r="A190" s="299" t="s">
        <v>491</v>
      </c>
      <c r="B190" s="299" t="str">
        <f>'PLAN INDICATIVO'!B190</f>
        <v>Atención a grupos vulnerables - promoción social</v>
      </c>
      <c r="C190" s="1559"/>
      <c r="D190" s="1549"/>
      <c r="E190" s="1549"/>
      <c r="F190" s="1376"/>
      <c r="G190" s="1552"/>
      <c r="H190" s="1512">
        <v>1</v>
      </c>
      <c r="I190" s="1512"/>
      <c r="J190" s="1512"/>
      <c r="K190" s="1512" t="str">
        <f>'PLAN INDICATIVO'!K190</f>
        <v>A.14.2.11</v>
      </c>
      <c r="L190" s="1512" t="str">
        <f>'PLAN INDICATIVO'!L190</f>
        <v>10. Reducción de las desigualdades</v>
      </c>
      <c r="M190" s="1512" t="str">
        <f>'PLAN INDICATIVO'!M190</f>
        <v>Secretaría de Gobierno</v>
      </c>
      <c r="N190" s="1513" t="s">
        <v>5126</v>
      </c>
      <c r="O190" s="1512"/>
      <c r="P190" s="16" t="str">
        <f>'PLAN INDICATIVO'!P190</f>
        <v xml:space="preserve">Una estrategia implementada cada año mediante los enlaces municipales, para atención integral de la población Juvenir </v>
      </c>
      <c r="Q190" s="302" t="str">
        <f>'PLAN INDICATIVO'!Q190</f>
        <v>Estrategia Implementada</v>
      </c>
      <c r="R190" s="302"/>
      <c r="S190" s="302"/>
      <c r="T190" s="699">
        <v>1</v>
      </c>
      <c r="U190" s="303"/>
      <c r="V190" s="303"/>
      <c r="W190" s="303"/>
      <c r="X190" s="303"/>
      <c r="Y190" s="286"/>
      <c r="Z190" s="1233"/>
      <c r="AA190" s="291">
        <v>1</v>
      </c>
      <c r="AB190" s="687"/>
      <c r="AC190" s="669"/>
      <c r="AD190" s="669"/>
      <c r="AE190" s="669"/>
      <c r="AF190" s="669">
        <v>1</v>
      </c>
      <c r="AG190" s="996" t="s">
        <v>5141</v>
      </c>
      <c r="AH190" s="987">
        <v>2019413960019</v>
      </c>
      <c r="AI190" s="1379"/>
      <c r="AJ190" s="1380"/>
      <c r="AK190" s="1381"/>
      <c r="AL190" s="844"/>
      <c r="AM190" s="844"/>
      <c r="AN190" s="1382"/>
      <c r="AO190" s="512"/>
      <c r="AP190" s="1383"/>
      <c r="AQ190" s="1384"/>
      <c r="AR190" s="1384"/>
      <c r="AS190" s="1384"/>
      <c r="AT190" s="1384"/>
      <c r="AU190" s="1385"/>
      <c r="AV190" s="1384"/>
      <c r="AW190" s="1386"/>
      <c r="AX190" s="1387"/>
      <c r="AY190" s="1388"/>
      <c r="AZ190" s="1388"/>
      <c r="BA190" s="1388"/>
      <c r="BB190" s="1388"/>
      <c r="BC190" s="1389"/>
      <c r="BD190" s="1388"/>
      <c r="BE190" s="1390"/>
      <c r="BF190" s="1387"/>
      <c r="BG190" s="1388"/>
      <c r="BH190" s="1388"/>
      <c r="BI190" s="1388"/>
      <c r="BJ190" s="1388"/>
      <c r="BK190" s="1389"/>
      <c r="BL190" s="1388"/>
      <c r="BM190" s="1390"/>
      <c r="BN190" s="310"/>
      <c r="BO190" s="310"/>
      <c r="BP190" s="310"/>
      <c r="BQ190" s="310"/>
      <c r="BR190" s="310"/>
      <c r="BS190" s="310"/>
      <c r="BT190" s="310"/>
      <c r="BU190" s="310"/>
      <c r="BV190" s="556"/>
      <c r="BW190" s="663">
        <f t="shared" si="64"/>
        <v>1</v>
      </c>
      <c r="BX190" s="1047">
        <f t="shared" si="67"/>
        <v>1</v>
      </c>
      <c r="BY190" s="1391"/>
      <c r="BZ190" s="1391"/>
      <c r="CA190" s="1391"/>
      <c r="CB190" s="1392">
        <f t="shared" si="86"/>
        <v>1</v>
      </c>
      <c r="CD190" t="str">
        <f t="shared" si="87"/>
        <v>ROB</v>
      </c>
      <c r="CE190" t="str">
        <f t="shared" si="87"/>
        <v>ROB</v>
      </c>
      <c r="CF190" t="str">
        <f t="shared" si="87"/>
        <v>ROB</v>
      </c>
      <c r="CG190" t="str">
        <f t="shared" si="87"/>
        <v>VE</v>
      </c>
    </row>
    <row r="191" spans="1:85" ht="25.5" customHeight="1" x14ac:dyDescent="0.3">
      <c r="A191" s="295"/>
      <c r="B191" s="24" t="str">
        <f>'PLAN INDICATIVO'!B191</f>
        <v>Atención a grupos vulnerables - promoción social</v>
      </c>
      <c r="C191" s="1602" t="s">
        <v>602</v>
      </c>
      <c r="D191" s="1603"/>
      <c r="E191" s="1603"/>
      <c r="F191" s="1603"/>
      <c r="G191" s="1603"/>
      <c r="H191" s="1603"/>
      <c r="I191" s="1603"/>
      <c r="J191" s="1603"/>
      <c r="K191" s="1603"/>
      <c r="L191" s="1603"/>
      <c r="M191" s="1603"/>
      <c r="N191" s="1603"/>
      <c r="O191" s="1604"/>
      <c r="P191" s="365" t="s">
        <v>603</v>
      </c>
      <c r="Q191" s="62"/>
      <c r="R191" s="53"/>
      <c r="S191" s="275"/>
      <c r="T191" s="683"/>
      <c r="U191" s="275"/>
      <c r="V191" s="703">
        <f>SUM(V192:V198)</f>
        <v>10000000</v>
      </c>
      <c r="W191" s="275"/>
      <c r="X191" s="703">
        <f>SUM(X192:X198)</f>
        <v>14550000</v>
      </c>
      <c r="Y191" s="275"/>
      <c r="Z191" s="703">
        <f>SUM(Z192:Z198)</f>
        <v>19860000</v>
      </c>
      <c r="AA191" s="275"/>
      <c r="AB191" s="703">
        <f>SUM(AB192:AB198)</f>
        <v>12000000</v>
      </c>
      <c r="AC191" s="275"/>
      <c r="AD191" s="275"/>
      <c r="AE191" s="275"/>
      <c r="AF191" s="275"/>
      <c r="AG191" s="276"/>
      <c r="AH191" s="276"/>
      <c r="AI191" s="276"/>
      <c r="AJ191" s="275"/>
      <c r="AK191" s="275"/>
      <c r="AL191" s="275"/>
      <c r="AM191" s="275"/>
      <c r="AN191" s="275"/>
      <c r="AO191" s="642"/>
      <c r="AP191" s="643"/>
      <c r="AQ191" s="643"/>
      <c r="AR191" s="643"/>
      <c r="AS191" s="643"/>
      <c r="AT191" s="643"/>
      <c r="AU191" s="643"/>
      <c r="AV191" s="643"/>
      <c r="AW191" s="617"/>
      <c r="AX191" s="643"/>
      <c r="AY191" s="643"/>
      <c r="AZ191" s="643"/>
      <c r="BA191" s="643"/>
      <c r="BB191" s="643"/>
      <c r="BC191" s="643"/>
      <c r="BD191" s="643"/>
      <c r="BE191" s="617"/>
      <c r="BF191" s="643"/>
      <c r="BG191" s="643"/>
      <c r="BH191" s="643"/>
      <c r="BI191" s="643"/>
      <c r="BJ191" s="643"/>
      <c r="BK191" s="643"/>
      <c r="BL191" s="643"/>
      <c r="BM191" s="617">
        <f t="shared" si="73"/>
        <v>0</v>
      </c>
      <c r="BN191" s="643"/>
      <c r="BO191" s="643"/>
      <c r="BP191" s="643"/>
      <c r="BQ191" s="643"/>
      <c r="BR191" s="643"/>
      <c r="BS191" s="643"/>
      <c r="BT191" s="643"/>
      <c r="BU191" s="617"/>
      <c r="BV191" s="556"/>
      <c r="BW191" s="617" t="s">
        <v>2717</v>
      </c>
      <c r="BX191" s="617" t="s">
        <v>2717</v>
      </c>
      <c r="BY191" s="617" t="s">
        <v>2717</v>
      </c>
      <c r="BZ191" s="617" t="s">
        <v>2717</v>
      </c>
      <c r="CA191" s="617" t="s">
        <v>2717</v>
      </c>
      <c r="CB191" s="617" t="s">
        <v>2717</v>
      </c>
    </row>
    <row r="192" spans="1:85" ht="74.25" customHeight="1" x14ac:dyDescent="0.3">
      <c r="A192" s="298" t="s">
        <v>491</v>
      </c>
      <c r="B192" s="299" t="str">
        <f>'PLAN INDICATIVO'!B192</f>
        <v>Atención a grupos vulnerables - promoción social</v>
      </c>
      <c r="C192" s="1546" t="s">
        <v>604</v>
      </c>
      <c r="D192" s="1549" t="s">
        <v>605</v>
      </c>
      <c r="E192" s="1549" t="s">
        <v>606</v>
      </c>
      <c r="F192" s="1549">
        <v>2015</v>
      </c>
      <c r="G192" s="1549" t="s">
        <v>177</v>
      </c>
      <c r="H192" s="1549">
        <v>12</v>
      </c>
      <c r="I192" s="300">
        <f>'PLAN INDICATIVO'!I192</f>
        <v>0</v>
      </c>
      <c r="J192" s="300">
        <f>'PLAN INDICATIVO'!J192</f>
        <v>0</v>
      </c>
      <c r="K192" s="1425" t="str">
        <f>'PLAN INDICATIVO'!K192</f>
        <v>A.14.3.1</v>
      </c>
      <c r="L192" s="301" t="str">
        <f>'PLAN INDICATIVO'!L192</f>
        <v>5. Igualdad de Género</v>
      </c>
      <c r="M192" s="301" t="str">
        <f>'PLAN INDICATIVO'!M192</f>
        <v>Secretaría de Gobierno</v>
      </c>
      <c r="N192" s="1513" t="s">
        <v>5126</v>
      </c>
      <c r="O192" s="1425" t="str">
        <f>'PLAN INDICATIVO'!O192</f>
        <v>Incremento</v>
      </c>
      <c r="P192" s="16" t="str">
        <f>'PLAN INDICATIVO'!P192</f>
        <v>Crear e implementar 1 política municipal de equidad de género, durante el cuatrienio, para la mujer líder y emprendedora</v>
      </c>
      <c r="Q192" s="302" t="str">
        <f>'PLAN INDICATIVO'!Q192</f>
        <v>No. De políticas de equidad creadas</v>
      </c>
      <c r="R192" s="303">
        <f>'PLAN INDICATIVO'!R192</f>
        <v>2015</v>
      </c>
      <c r="S192" s="304">
        <v>0</v>
      </c>
      <c r="T192" s="699">
        <v>1</v>
      </c>
      <c r="U192" s="303">
        <v>1</v>
      </c>
      <c r="V192" s="303">
        <v>3000000</v>
      </c>
      <c r="W192" s="303">
        <v>0</v>
      </c>
      <c r="X192" s="687">
        <v>3000000</v>
      </c>
      <c r="Y192" s="286"/>
      <c r="Z192" s="1233"/>
      <c r="AA192" s="291">
        <v>0.5</v>
      </c>
      <c r="AB192" s="686">
        <v>1800000</v>
      </c>
      <c r="AC192" s="669"/>
      <c r="AD192" s="669">
        <v>0.5</v>
      </c>
      <c r="AE192" s="669"/>
      <c r="AF192" s="669">
        <v>0.1</v>
      </c>
      <c r="AG192" s="341" t="s">
        <v>5150</v>
      </c>
      <c r="AH192" s="987">
        <v>2019413960007</v>
      </c>
      <c r="AI192" s="1490" t="s">
        <v>4980</v>
      </c>
      <c r="AJ192" s="309">
        <v>43497</v>
      </c>
      <c r="AK192" s="359">
        <v>43799</v>
      </c>
      <c r="AL192" s="358"/>
      <c r="AM192" s="358"/>
      <c r="AN192" s="267" t="s">
        <v>2594</v>
      </c>
      <c r="AO192" s="512"/>
      <c r="AP192" s="525"/>
      <c r="AQ192" s="310"/>
      <c r="AR192" s="310"/>
      <c r="AS192" s="310"/>
      <c r="AT192" s="310"/>
      <c r="AU192" s="310"/>
      <c r="AV192" s="310"/>
      <c r="AW192" s="544"/>
      <c r="AX192" s="525"/>
      <c r="AY192" s="310"/>
      <c r="AZ192" s="310"/>
      <c r="BA192" s="310"/>
      <c r="BB192" s="310"/>
      <c r="BC192" s="310"/>
      <c r="BD192" s="310"/>
      <c r="BE192" s="544"/>
      <c r="BF192" s="525"/>
      <c r="BG192" s="310"/>
      <c r="BH192" s="310"/>
      <c r="BI192" s="310"/>
      <c r="BJ192" s="310"/>
      <c r="BK192" s="310"/>
      <c r="BL192" s="310"/>
      <c r="BM192" s="544">
        <f t="shared" si="73"/>
        <v>0</v>
      </c>
      <c r="BN192" s="525"/>
      <c r="BO192" s="310"/>
      <c r="BP192" s="310"/>
      <c r="BQ192" s="310"/>
      <c r="BR192" s="310"/>
      <c r="BS192" s="310"/>
      <c r="BT192" s="310"/>
      <c r="BU192" s="544"/>
      <c r="BV192" s="556"/>
      <c r="BW192" s="663">
        <f t="shared" si="64"/>
        <v>0.6</v>
      </c>
      <c r="BX192" s="1047">
        <f t="shared" si="67"/>
        <v>0.6</v>
      </c>
      <c r="BY192" s="1047">
        <f t="shared" ref="BY192:BY198" si="88">IF(U192&gt;=0.1,AC192/U192,IF(ISBLANK(U192),"No Programada","Aplazada"))</f>
        <v>0</v>
      </c>
      <c r="BZ192" s="1047" t="str">
        <f t="shared" ref="BZ192:BZ198" si="89">IF(W192&gt;=0.1,AD192/W192,IF(ISBLANK(W192),"No Programada","Aplazada"))</f>
        <v>Aplazada</v>
      </c>
      <c r="CA192" s="1047" t="str">
        <f t="shared" ref="CA192:CA198" si="90">IF(Y192&gt;=0.1,AE192/Y192,IF(ISBLANK(Y192),"No Programada","Aplazada"))</f>
        <v>No Programada</v>
      </c>
      <c r="CB192" s="1047">
        <f t="shared" ref="CB192:CB198" si="91">IF(AA192&gt;=0.1,AF192/AA192,IF(ISBLANK(AA192),"No Programada","Aplazada"))</f>
        <v>0.2</v>
      </c>
      <c r="CD192" t="str">
        <f t="shared" ref="CD192:CG198" si="92">IF(BY192="PARA MODIFICAR","M",IF(BY192="PARA ELIMINAR","E",IF(BY192="aplazada","AZ",IF(BY192="no programada","NP",IF(BY192&gt;=85%,"VE",IF(BY192&gt;70%,"VEB",IF(BY192&gt;60%,"AM",IF(BY192&gt;40%,"AMB",IF(BY192&gt;20%,"RO",IF(BY192&gt;=0%,"ROB",""))))))))))</f>
        <v>ROB</v>
      </c>
      <c r="CE192" t="str">
        <f t="shared" si="92"/>
        <v>AZ</v>
      </c>
      <c r="CF192" t="str">
        <f t="shared" si="92"/>
        <v>NP</v>
      </c>
      <c r="CG192" t="str">
        <f t="shared" si="92"/>
        <v>ROB</v>
      </c>
    </row>
    <row r="193" spans="1:85" ht="79.5" customHeight="1" x14ac:dyDescent="0.3">
      <c r="A193" s="298" t="s">
        <v>491</v>
      </c>
      <c r="B193" s="299" t="str">
        <f>'PLAN INDICATIVO'!B193</f>
        <v>Atención a grupos vulnerables - promoción social</v>
      </c>
      <c r="C193" s="1547"/>
      <c r="D193" s="1549"/>
      <c r="E193" s="1549"/>
      <c r="F193" s="1549"/>
      <c r="G193" s="1549"/>
      <c r="H193" s="1549"/>
      <c r="I193" s="300">
        <f>'PLAN INDICATIVO'!I193</f>
        <v>0</v>
      </c>
      <c r="J193" s="300">
        <f>'PLAN INDICATIVO'!J193</f>
        <v>0</v>
      </c>
      <c r="K193" s="1425" t="str">
        <f>'PLAN INDICATIVO'!K193</f>
        <v>A.14.3.2</v>
      </c>
      <c r="L193" s="301" t="str">
        <f>'PLAN INDICATIVO'!L193</f>
        <v>5. Igualdad de Género</v>
      </c>
      <c r="M193" s="301" t="str">
        <f>'PLAN INDICATIVO'!M193</f>
        <v>Secretaría de Gobierno</v>
      </c>
      <c r="N193" s="1513" t="s">
        <v>5126</v>
      </c>
      <c r="O193" s="1425" t="str">
        <f>'PLAN INDICATIVO'!O193</f>
        <v>Incremento</v>
      </c>
      <c r="P193" s="16" t="str">
        <f>'PLAN INDICATIVO'!P193</f>
        <v>Reaizar 4 ferias de la mujer microempresaria  durante el cuatrienio</v>
      </c>
      <c r="Q193" s="302" t="str">
        <f>'PLAN INDICATIVO'!Q193</f>
        <v>No. De ferias realizadas</v>
      </c>
      <c r="R193" s="303">
        <f>'PLAN INDICATIVO'!R193</f>
        <v>2015</v>
      </c>
      <c r="S193" s="304">
        <v>0</v>
      </c>
      <c r="T193" s="699">
        <v>4</v>
      </c>
      <c r="U193" s="303">
        <v>1</v>
      </c>
      <c r="V193" s="303">
        <v>3000000</v>
      </c>
      <c r="W193" s="303">
        <v>1</v>
      </c>
      <c r="X193" s="687">
        <v>5000000</v>
      </c>
      <c r="Y193" s="286">
        <v>1</v>
      </c>
      <c r="Z193" s="1233">
        <v>5360000</v>
      </c>
      <c r="AA193" s="291">
        <v>2</v>
      </c>
      <c r="AB193" s="686">
        <v>5440000</v>
      </c>
      <c r="AC193" s="669"/>
      <c r="AD193" s="669"/>
      <c r="AE193" s="669">
        <v>1</v>
      </c>
      <c r="AF193" s="669">
        <v>2</v>
      </c>
      <c r="AG193" s="341" t="s">
        <v>5150</v>
      </c>
      <c r="AH193" s="987">
        <v>2019413960007</v>
      </c>
      <c r="AI193" s="750" t="s">
        <v>5068</v>
      </c>
      <c r="AJ193" s="309">
        <v>43497</v>
      </c>
      <c r="AK193" s="363">
        <v>43646</v>
      </c>
      <c r="AL193" s="358"/>
      <c r="AM193" s="358"/>
      <c r="AN193" s="267" t="s">
        <v>2598</v>
      </c>
      <c r="AO193" s="512"/>
      <c r="AP193" s="720"/>
      <c r="AQ193" s="310"/>
      <c r="AR193" s="310"/>
      <c r="AS193" s="310"/>
      <c r="AT193" s="310"/>
      <c r="AU193" s="310"/>
      <c r="AV193" s="310"/>
      <c r="AW193" s="544"/>
      <c r="AX193" s="525"/>
      <c r="AY193" s="310"/>
      <c r="AZ193" s="310"/>
      <c r="BA193" s="310"/>
      <c r="BB193" s="310"/>
      <c r="BC193" s="310"/>
      <c r="BD193" s="310"/>
      <c r="BE193" s="544"/>
      <c r="BF193" s="525"/>
      <c r="BG193" s="310"/>
      <c r="BH193" s="310"/>
      <c r="BI193" s="310"/>
      <c r="BJ193" s="310"/>
      <c r="BK193" s="310"/>
      <c r="BL193" s="310"/>
      <c r="BM193" s="544">
        <f t="shared" si="73"/>
        <v>0</v>
      </c>
      <c r="BN193" s="525"/>
      <c r="BO193" s="310"/>
      <c r="BP193" s="310"/>
      <c r="BQ193" s="310"/>
      <c r="BR193" s="310"/>
      <c r="BS193" s="310"/>
      <c r="BT193" s="310"/>
      <c r="BU193" s="544"/>
      <c r="BV193" s="556"/>
      <c r="BW193" s="663">
        <f t="shared" si="64"/>
        <v>3</v>
      </c>
      <c r="BX193" s="1047">
        <f t="shared" si="67"/>
        <v>0.75</v>
      </c>
      <c r="BY193" s="1047">
        <f t="shared" si="88"/>
        <v>0</v>
      </c>
      <c r="BZ193" s="1047">
        <f t="shared" si="89"/>
        <v>0</v>
      </c>
      <c r="CA193" s="1047">
        <f t="shared" si="90"/>
        <v>1</v>
      </c>
      <c r="CB193" s="1047">
        <f t="shared" si="91"/>
        <v>1</v>
      </c>
      <c r="CD193" t="str">
        <f t="shared" si="92"/>
        <v>ROB</v>
      </c>
      <c r="CE193" t="str">
        <f t="shared" si="92"/>
        <v>ROB</v>
      </c>
      <c r="CF193" t="str">
        <f t="shared" si="92"/>
        <v>VE</v>
      </c>
      <c r="CG193" t="str">
        <f t="shared" si="92"/>
        <v>VE</v>
      </c>
    </row>
    <row r="194" spans="1:85" ht="81.75" hidden="1" customHeight="1" x14ac:dyDescent="0.25">
      <c r="A194" s="298" t="s">
        <v>491</v>
      </c>
      <c r="B194" s="299" t="str">
        <f>'PLAN INDICATIVO'!B194</f>
        <v>Atención a grupos vulnerables - promoción social</v>
      </c>
      <c r="C194" s="1547"/>
      <c r="D194" s="1549"/>
      <c r="E194" s="1549"/>
      <c r="F194" s="1549"/>
      <c r="G194" s="1549"/>
      <c r="H194" s="1549"/>
      <c r="I194" s="300">
        <f>'PLAN INDICATIVO'!I194</f>
        <v>0</v>
      </c>
      <c r="J194" s="300">
        <f>'PLAN INDICATIVO'!J194</f>
        <v>0</v>
      </c>
      <c r="K194" s="1425" t="str">
        <f>'PLAN INDICATIVO'!K194</f>
        <v>A.14.3.3</v>
      </c>
      <c r="L194" s="301" t="str">
        <f>'PLAN INDICATIVO'!L194</f>
        <v>5. Igualdad de Género</v>
      </c>
      <c r="M194" s="301" t="str">
        <f>'PLAN INDICATIVO'!M194</f>
        <v>Secretaría de Gobierno</v>
      </c>
      <c r="N194" s="1513" t="s">
        <v>5126</v>
      </c>
      <c r="O194" s="1425" t="str">
        <f>'PLAN INDICATIVO'!O194</f>
        <v>Incremento</v>
      </c>
      <c r="P194" s="16" t="str">
        <f>'PLAN INDICATIVO'!P194</f>
        <v>Realizar 1 oferta mediante el programa capital semilla a la mujer Plateña, para acceso a proyectos de desarrollo económico, durante el cuatrienio</v>
      </c>
      <c r="Q194" s="302" t="str">
        <f>'PLAN INDICATIVO'!Q194</f>
        <v>No. De ofertas realizadas</v>
      </c>
      <c r="R194" s="303">
        <f>'PLAN INDICATIVO'!R194</f>
        <v>2015</v>
      </c>
      <c r="S194" s="304">
        <v>0</v>
      </c>
      <c r="T194" s="699">
        <v>1</v>
      </c>
      <c r="U194" s="303">
        <v>0</v>
      </c>
      <c r="V194" s="303"/>
      <c r="W194" s="303">
        <v>1</v>
      </c>
      <c r="X194" s="687"/>
      <c r="Y194" s="286"/>
      <c r="Z194" s="1233">
        <v>10000000</v>
      </c>
      <c r="AA194" s="291"/>
      <c r="AB194" s="686"/>
      <c r="AC194" s="669"/>
      <c r="AD194" s="669">
        <v>1</v>
      </c>
      <c r="AE194" s="669"/>
      <c r="AF194" s="669"/>
      <c r="AG194" s="341" t="s">
        <v>5150</v>
      </c>
      <c r="AH194" s="987">
        <v>2019413960007</v>
      </c>
      <c r="AI194" s="355"/>
      <c r="AJ194" s="309"/>
      <c r="AK194" s="359"/>
      <c r="AL194" s="358"/>
      <c r="AM194" s="358"/>
      <c r="AN194" s="267" t="s">
        <v>2594</v>
      </c>
      <c r="AO194" s="512"/>
      <c r="AP194" s="525"/>
      <c r="AQ194" s="310"/>
      <c r="AR194" s="310"/>
      <c r="AS194" s="310"/>
      <c r="AT194" s="310"/>
      <c r="AU194" s="310"/>
      <c r="AV194" s="310"/>
      <c r="AW194" s="544"/>
      <c r="AX194" s="525"/>
      <c r="AY194" s="310"/>
      <c r="AZ194" s="310"/>
      <c r="BA194" s="310"/>
      <c r="BB194" s="310"/>
      <c r="BC194" s="310"/>
      <c r="BD194" s="310"/>
      <c r="BE194" s="544"/>
      <c r="BF194" s="525"/>
      <c r="BG194" s="310"/>
      <c r="BH194" s="310"/>
      <c r="BI194" s="310"/>
      <c r="BJ194" s="310"/>
      <c r="BK194" s="310"/>
      <c r="BL194" s="310"/>
      <c r="BM194" s="544">
        <f t="shared" si="73"/>
        <v>0</v>
      </c>
      <c r="BN194" s="525"/>
      <c r="BO194" s="310"/>
      <c r="BP194" s="310"/>
      <c r="BQ194" s="310"/>
      <c r="BR194" s="310"/>
      <c r="BS194" s="310"/>
      <c r="BT194" s="310"/>
      <c r="BU194" s="544"/>
      <c r="BV194" s="556"/>
      <c r="BW194" s="663">
        <f t="shared" si="64"/>
        <v>1</v>
      </c>
      <c r="BX194" s="1047">
        <f t="shared" si="67"/>
        <v>1</v>
      </c>
      <c r="BY194" s="1047" t="str">
        <f t="shared" si="88"/>
        <v>Aplazada</v>
      </c>
      <c r="BZ194" s="1047">
        <f t="shared" si="89"/>
        <v>1</v>
      </c>
      <c r="CA194" s="1047" t="str">
        <f t="shared" si="90"/>
        <v>No Programada</v>
      </c>
      <c r="CB194" s="1047" t="str">
        <f t="shared" si="91"/>
        <v>No Programada</v>
      </c>
      <c r="CD194" t="str">
        <f t="shared" si="92"/>
        <v>AZ</v>
      </c>
      <c r="CE194" t="str">
        <f t="shared" si="92"/>
        <v>VE</v>
      </c>
      <c r="CF194" t="str">
        <f t="shared" si="92"/>
        <v>NP</v>
      </c>
      <c r="CG194" t="str">
        <f t="shared" si="92"/>
        <v>NP</v>
      </c>
    </row>
    <row r="195" spans="1:85" ht="83.25" hidden="1" customHeight="1" x14ac:dyDescent="0.25">
      <c r="A195" s="298" t="s">
        <v>491</v>
      </c>
      <c r="B195" s="299" t="str">
        <f>'PLAN INDICATIVO'!B195</f>
        <v>Atención a grupos vulnerables - promoción social</v>
      </c>
      <c r="C195" s="1547"/>
      <c r="D195" s="1549"/>
      <c r="E195" s="1549"/>
      <c r="F195" s="1549"/>
      <c r="G195" s="1549"/>
      <c r="H195" s="1549"/>
      <c r="I195" s="300">
        <f>'PLAN INDICATIVO'!I195</f>
        <v>0</v>
      </c>
      <c r="J195" s="300">
        <f>'PLAN INDICATIVO'!J195</f>
        <v>0</v>
      </c>
      <c r="K195" s="1425" t="str">
        <f>'PLAN INDICATIVO'!K195</f>
        <v>A.14.3.4</v>
      </c>
      <c r="L195" s="301" t="str">
        <f>'PLAN INDICATIVO'!L195</f>
        <v>5. Igualdad de Género</v>
      </c>
      <c r="M195" s="301" t="str">
        <f>'PLAN INDICATIVO'!M195</f>
        <v>Secretaría de Gobierno</v>
      </c>
      <c r="N195" s="1513" t="s">
        <v>5126</v>
      </c>
      <c r="O195" s="1425" t="str">
        <f>'PLAN INDICATIVO'!O195</f>
        <v>Incremento</v>
      </c>
      <c r="P195" s="16" t="str">
        <f>'PLAN INDICATIVO'!P195</f>
        <v>Apoyo a un (1) programa para potencializar a la mujer plateña, como generadora de fuente de ingresos a partir de proyectos sociales y productivos.</v>
      </c>
      <c r="Q195" s="302" t="str">
        <f>'PLAN INDICATIVO'!Q195</f>
        <v>No. De apoyos realizados</v>
      </c>
      <c r="R195" s="303">
        <f>'PLAN INDICATIVO'!R195</f>
        <v>2015</v>
      </c>
      <c r="S195" s="304">
        <v>0</v>
      </c>
      <c r="T195" s="699">
        <v>1</v>
      </c>
      <c r="U195" s="303">
        <v>1</v>
      </c>
      <c r="V195" s="303">
        <v>1000000</v>
      </c>
      <c r="W195" s="303">
        <v>1</v>
      </c>
      <c r="X195" s="687">
        <v>1000000</v>
      </c>
      <c r="Y195" s="286"/>
      <c r="Z195" s="1233"/>
      <c r="AA195" s="291"/>
      <c r="AB195" s="686"/>
      <c r="AC195" s="669"/>
      <c r="AD195" s="669">
        <v>1</v>
      </c>
      <c r="AE195" s="669"/>
      <c r="AF195" s="669"/>
      <c r="AG195" s="341" t="s">
        <v>5150</v>
      </c>
      <c r="AH195" s="987">
        <v>2019413960007</v>
      </c>
      <c r="AI195" s="355"/>
      <c r="AJ195" s="309"/>
      <c r="AK195" s="359"/>
      <c r="AL195" s="358"/>
      <c r="AM195" s="358"/>
      <c r="AN195" s="267" t="s">
        <v>2594</v>
      </c>
      <c r="AO195" s="512"/>
      <c r="AP195" s="525"/>
      <c r="AQ195" s="310"/>
      <c r="AR195" s="310"/>
      <c r="AS195" s="310"/>
      <c r="AT195" s="310"/>
      <c r="AU195" s="310"/>
      <c r="AV195" s="310"/>
      <c r="AW195" s="544"/>
      <c r="AX195" s="525"/>
      <c r="AY195" s="310"/>
      <c r="AZ195" s="310"/>
      <c r="BA195" s="310"/>
      <c r="BB195" s="310"/>
      <c r="BC195" s="310"/>
      <c r="BD195" s="310"/>
      <c r="BE195" s="544"/>
      <c r="BF195" s="525"/>
      <c r="BG195" s="310"/>
      <c r="BH195" s="310"/>
      <c r="BI195" s="310"/>
      <c r="BJ195" s="310"/>
      <c r="BK195" s="310"/>
      <c r="BL195" s="310"/>
      <c r="BM195" s="544">
        <f t="shared" si="73"/>
        <v>0</v>
      </c>
      <c r="BN195" s="525"/>
      <c r="BO195" s="310"/>
      <c r="BP195" s="310"/>
      <c r="BQ195" s="310"/>
      <c r="BR195" s="310"/>
      <c r="BS195" s="310"/>
      <c r="BT195" s="310"/>
      <c r="BU195" s="544"/>
      <c r="BV195" s="556"/>
      <c r="BW195" s="663">
        <f t="shared" si="64"/>
        <v>1</v>
      </c>
      <c r="BX195" s="1047">
        <f t="shared" si="67"/>
        <v>1</v>
      </c>
      <c r="BY195" s="1047">
        <f t="shared" si="88"/>
        <v>0</v>
      </c>
      <c r="BZ195" s="1047">
        <f t="shared" si="89"/>
        <v>1</v>
      </c>
      <c r="CA195" s="1047" t="str">
        <f t="shared" si="90"/>
        <v>No Programada</v>
      </c>
      <c r="CB195" s="1047" t="str">
        <f t="shared" si="91"/>
        <v>No Programada</v>
      </c>
      <c r="CD195" t="str">
        <f t="shared" si="92"/>
        <v>ROB</v>
      </c>
      <c r="CE195" t="str">
        <f t="shared" si="92"/>
        <v>VE</v>
      </c>
      <c r="CF195" t="str">
        <f t="shared" si="92"/>
        <v>NP</v>
      </c>
      <c r="CG195" t="str">
        <f t="shared" si="92"/>
        <v>NP</v>
      </c>
    </row>
    <row r="196" spans="1:85" ht="72" customHeight="1" x14ac:dyDescent="0.3">
      <c r="A196" s="298" t="s">
        <v>491</v>
      </c>
      <c r="B196" s="299" t="str">
        <f>'PLAN INDICATIVO'!B196</f>
        <v>Atención a grupos vulnerables - promoción social</v>
      </c>
      <c r="C196" s="1547"/>
      <c r="D196" s="1549"/>
      <c r="E196" s="1549"/>
      <c r="F196" s="1549"/>
      <c r="G196" s="1549"/>
      <c r="H196" s="1549"/>
      <c r="I196" s="300">
        <f>'PLAN INDICATIVO'!I196</f>
        <v>0</v>
      </c>
      <c r="J196" s="300">
        <f>'PLAN INDICATIVO'!J196</f>
        <v>0</v>
      </c>
      <c r="K196" s="1425" t="str">
        <f>'PLAN INDICATIVO'!K196</f>
        <v>A.14.3.5</v>
      </c>
      <c r="L196" s="301" t="str">
        <f>'PLAN INDICATIVO'!L196</f>
        <v>5. Igualdad de Género</v>
      </c>
      <c r="M196" s="301" t="str">
        <f>'PLAN INDICATIVO'!M196</f>
        <v>Secretaría de Gobierno</v>
      </c>
      <c r="N196" s="1513" t="s">
        <v>5126</v>
      </c>
      <c r="O196" s="1425" t="str">
        <f>'PLAN INDICATIVO'!O196</f>
        <v>Incremento</v>
      </c>
      <c r="P196" s="16" t="str">
        <f>'PLAN INDICATIVO'!P196</f>
        <v>Implementar 1 campaña cada año para prevenir violencia contra la mujer</v>
      </c>
      <c r="Q196" s="302" t="str">
        <f>'PLAN INDICATIVO'!Q196</f>
        <v>Campaña implementada</v>
      </c>
      <c r="R196" s="303">
        <f>'PLAN INDICATIVO'!R196</f>
        <v>2015</v>
      </c>
      <c r="S196" s="304">
        <v>1</v>
      </c>
      <c r="T196" s="699">
        <v>4</v>
      </c>
      <c r="U196" s="303">
        <v>1</v>
      </c>
      <c r="V196" s="303">
        <v>2000000</v>
      </c>
      <c r="W196" s="303">
        <v>1</v>
      </c>
      <c r="X196" s="687">
        <v>4550000</v>
      </c>
      <c r="Y196" s="286">
        <v>1</v>
      </c>
      <c r="Z196" s="1233">
        <v>3500000</v>
      </c>
      <c r="AA196" s="291">
        <v>1</v>
      </c>
      <c r="AB196" s="686">
        <v>3760000</v>
      </c>
      <c r="AC196" s="669"/>
      <c r="AD196" s="669">
        <v>1</v>
      </c>
      <c r="AE196" s="669">
        <v>1</v>
      </c>
      <c r="AF196" s="669">
        <v>1</v>
      </c>
      <c r="AG196" s="341" t="s">
        <v>5150</v>
      </c>
      <c r="AH196" s="987">
        <v>2019413960007</v>
      </c>
      <c r="AI196" s="1490" t="s">
        <v>4981</v>
      </c>
      <c r="AJ196" s="309">
        <v>43497</v>
      </c>
      <c r="AK196" s="359">
        <v>43585</v>
      </c>
      <c r="AL196" s="358"/>
      <c r="AM196" s="358"/>
      <c r="AN196" s="267" t="s">
        <v>2598</v>
      </c>
      <c r="AO196" s="512"/>
      <c r="AP196" s="720"/>
      <c r="AQ196" s="310"/>
      <c r="AR196" s="310"/>
      <c r="AS196" s="310"/>
      <c r="AT196" s="310"/>
      <c r="AU196" s="310"/>
      <c r="AV196" s="310"/>
      <c r="AW196" s="544"/>
      <c r="AX196" s="525"/>
      <c r="AY196" s="310"/>
      <c r="AZ196" s="310"/>
      <c r="BA196" s="310"/>
      <c r="BB196" s="310"/>
      <c r="BC196" s="310"/>
      <c r="BD196" s="310"/>
      <c r="BE196" s="544"/>
      <c r="BF196" s="525"/>
      <c r="BG196" s="310"/>
      <c r="BH196" s="310"/>
      <c r="BI196" s="310"/>
      <c r="BJ196" s="310"/>
      <c r="BK196" s="310"/>
      <c r="BL196" s="310"/>
      <c r="BM196" s="544">
        <f t="shared" si="73"/>
        <v>0</v>
      </c>
      <c r="BN196" s="525"/>
      <c r="BO196" s="310"/>
      <c r="BP196" s="310"/>
      <c r="BQ196" s="310"/>
      <c r="BR196" s="310"/>
      <c r="BS196" s="310"/>
      <c r="BT196" s="310"/>
      <c r="BU196" s="544"/>
      <c r="BV196" s="556"/>
      <c r="BW196" s="663">
        <f t="shared" si="64"/>
        <v>3</v>
      </c>
      <c r="BX196" s="1047">
        <f t="shared" si="67"/>
        <v>0.75</v>
      </c>
      <c r="BY196" s="1047">
        <f t="shared" si="88"/>
        <v>0</v>
      </c>
      <c r="BZ196" s="1047">
        <f t="shared" si="89"/>
        <v>1</v>
      </c>
      <c r="CA196" s="1047">
        <f t="shared" si="90"/>
        <v>1</v>
      </c>
      <c r="CB196" s="1047">
        <f t="shared" si="91"/>
        <v>1</v>
      </c>
      <c r="CD196" t="str">
        <f t="shared" si="92"/>
        <v>ROB</v>
      </c>
      <c r="CE196" t="str">
        <f t="shared" si="92"/>
        <v>VE</v>
      </c>
      <c r="CF196" t="str">
        <f t="shared" si="92"/>
        <v>VE</v>
      </c>
      <c r="CG196" t="str">
        <f t="shared" si="92"/>
        <v>VE</v>
      </c>
    </row>
    <row r="197" spans="1:85" ht="78" customHeight="1" x14ac:dyDescent="0.3">
      <c r="A197" s="298" t="s">
        <v>491</v>
      </c>
      <c r="B197" s="299" t="str">
        <f>'PLAN INDICATIVO'!B197</f>
        <v>Atención a grupos vulnerables - promoción social</v>
      </c>
      <c r="C197" s="1547"/>
      <c r="D197" s="1549"/>
      <c r="E197" s="1549"/>
      <c r="F197" s="1549"/>
      <c r="G197" s="1549"/>
      <c r="H197" s="1549"/>
      <c r="I197" s="300">
        <f>'PLAN INDICATIVO'!I197</f>
        <v>0</v>
      </c>
      <c r="J197" s="300">
        <f>'PLAN INDICATIVO'!J197</f>
        <v>0</v>
      </c>
      <c r="K197" s="1425" t="str">
        <f>'PLAN INDICATIVO'!K197</f>
        <v>A.14.3.6</v>
      </c>
      <c r="L197" s="301" t="str">
        <f>'PLAN INDICATIVO'!L197</f>
        <v>5. Igualdad de Género</v>
      </c>
      <c r="M197" s="301" t="str">
        <f>'PLAN INDICATIVO'!M197</f>
        <v>Secretaría de Gobierno</v>
      </c>
      <c r="N197" s="1513" t="s">
        <v>5126</v>
      </c>
      <c r="O197" s="1425" t="str">
        <f>'PLAN INDICATIVO'!O197</f>
        <v>Mantenimiento</v>
      </c>
      <c r="P197" s="16" t="str">
        <f>'PLAN INDICATIVO'!P197</f>
        <v>Realizar 2 sesiones del Consejo Comunitario de Mujeres por año</v>
      </c>
      <c r="Q197" s="302" t="str">
        <f>'PLAN INDICATIVO'!Q197</f>
        <v>No. De sesiones del consejo Comunitario de mujeres por año</v>
      </c>
      <c r="R197" s="303">
        <f>'PLAN INDICATIVO'!R197</f>
        <v>2015</v>
      </c>
      <c r="S197" s="304">
        <v>2</v>
      </c>
      <c r="T197" s="699">
        <v>8</v>
      </c>
      <c r="U197" s="303">
        <v>2</v>
      </c>
      <c r="V197" s="303">
        <v>500000</v>
      </c>
      <c r="W197" s="303">
        <v>2</v>
      </c>
      <c r="X197" s="687">
        <v>500000</v>
      </c>
      <c r="Y197" s="284">
        <v>2</v>
      </c>
      <c r="Z197" s="1233">
        <v>500000</v>
      </c>
      <c r="AA197" s="291">
        <v>2</v>
      </c>
      <c r="AB197" s="686">
        <v>500000</v>
      </c>
      <c r="AC197" s="669"/>
      <c r="AD197" s="669">
        <v>1</v>
      </c>
      <c r="AE197" s="669">
        <v>2</v>
      </c>
      <c r="AF197" s="669">
        <v>2</v>
      </c>
      <c r="AG197" s="341" t="s">
        <v>5150</v>
      </c>
      <c r="AH197" s="987">
        <v>2019413960007</v>
      </c>
      <c r="AI197" s="1490" t="s">
        <v>4982</v>
      </c>
      <c r="AJ197" s="309">
        <v>43497</v>
      </c>
      <c r="AK197" s="363">
        <v>43615</v>
      </c>
      <c r="AL197" s="358"/>
      <c r="AM197" s="358"/>
      <c r="AN197" s="267" t="s">
        <v>2598</v>
      </c>
      <c r="AO197" s="512"/>
      <c r="AP197" s="525"/>
      <c r="AQ197" s="721"/>
      <c r="AR197" s="310"/>
      <c r="AS197" s="310"/>
      <c r="AT197" s="310"/>
      <c r="AU197" s="310"/>
      <c r="AV197" s="310"/>
      <c r="AW197" s="544"/>
      <c r="AX197" s="525"/>
      <c r="AY197" s="310"/>
      <c r="AZ197" s="310"/>
      <c r="BA197" s="310"/>
      <c r="BB197" s="310"/>
      <c r="BC197" s="310"/>
      <c r="BD197" s="310"/>
      <c r="BE197" s="544"/>
      <c r="BF197" s="525"/>
      <c r="BG197" s="310"/>
      <c r="BH197" s="310"/>
      <c r="BI197" s="310"/>
      <c r="BJ197" s="310"/>
      <c r="BK197" s="310"/>
      <c r="BL197" s="310"/>
      <c r="BM197" s="544">
        <f t="shared" si="73"/>
        <v>0</v>
      </c>
      <c r="BN197" s="525"/>
      <c r="BO197" s="310"/>
      <c r="BP197" s="310"/>
      <c r="BQ197" s="310"/>
      <c r="BR197" s="310"/>
      <c r="BS197" s="310"/>
      <c r="BT197" s="310"/>
      <c r="BU197" s="544"/>
      <c r="BV197" s="556"/>
      <c r="BW197" s="663">
        <f t="shared" si="64"/>
        <v>5</v>
      </c>
      <c r="BX197" s="1047">
        <f t="shared" si="67"/>
        <v>0.625</v>
      </c>
      <c r="BY197" s="1047">
        <f t="shared" si="88"/>
        <v>0</v>
      </c>
      <c r="BZ197" s="1047">
        <f t="shared" si="89"/>
        <v>0.5</v>
      </c>
      <c r="CA197" s="1047">
        <f t="shared" si="90"/>
        <v>1</v>
      </c>
      <c r="CB197" s="1047">
        <f t="shared" si="91"/>
        <v>1</v>
      </c>
      <c r="CD197" t="str">
        <f t="shared" si="92"/>
        <v>ROB</v>
      </c>
      <c r="CE197" t="str">
        <f t="shared" si="92"/>
        <v>AMB</v>
      </c>
      <c r="CF197" t="str">
        <f t="shared" si="92"/>
        <v>VE</v>
      </c>
      <c r="CG197" t="str">
        <f t="shared" si="92"/>
        <v>VE</v>
      </c>
    </row>
    <row r="198" spans="1:85" ht="48.75" customHeight="1" x14ac:dyDescent="0.3">
      <c r="A198" s="298" t="s">
        <v>491</v>
      </c>
      <c r="B198" s="299" t="str">
        <f>'PLAN INDICATIVO'!B198</f>
        <v>Atención a grupos vulnerables - promoción social</v>
      </c>
      <c r="C198" s="1548"/>
      <c r="D198" s="1549"/>
      <c r="E198" s="1549"/>
      <c r="F198" s="1549"/>
      <c r="G198" s="1549"/>
      <c r="H198" s="1549"/>
      <c r="I198" s="300">
        <f>'PLAN INDICATIVO'!I198</f>
        <v>0</v>
      </c>
      <c r="J198" s="300">
        <f>'PLAN INDICATIVO'!J198</f>
        <v>0</v>
      </c>
      <c r="K198" s="1425" t="str">
        <f>'PLAN INDICATIVO'!K198</f>
        <v>A.14.3.7</v>
      </c>
      <c r="L198" s="301" t="str">
        <f>'PLAN INDICATIVO'!L198</f>
        <v>5. Igualdad de Género</v>
      </c>
      <c r="M198" s="301" t="str">
        <f>'PLAN INDICATIVO'!M198</f>
        <v>Secretaría de Gobierno</v>
      </c>
      <c r="N198" s="1425" t="s">
        <v>5125</v>
      </c>
      <c r="O198" s="1425" t="str">
        <f>'PLAN INDICATIVO'!O198</f>
        <v>Mantenimiento</v>
      </c>
      <c r="P198" s="16" t="str">
        <f>'PLAN INDICATIVO'!P198</f>
        <v>Establecer 1 ruta de atención para el restablecimiento del derecho de las menores embarazadas y divulgarla</v>
      </c>
      <c r="Q198" s="302" t="str">
        <f>'PLAN INDICATIVO'!Q198</f>
        <v>No. De Ruta de atención establecida por año</v>
      </c>
      <c r="R198" s="303">
        <f>'PLAN INDICATIVO'!R198</f>
        <v>2015</v>
      </c>
      <c r="S198" s="304">
        <v>0</v>
      </c>
      <c r="T198" s="699">
        <v>1</v>
      </c>
      <c r="U198" s="303">
        <v>1</v>
      </c>
      <c r="V198" s="303">
        <v>500000</v>
      </c>
      <c r="W198" s="303">
        <v>1</v>
      </c>
      <c r="X198" s="687">
        <v>500000</v>
      </c>
      <c r="Y198" s="286">
        <v>0.5</v>
      </c>
      <c r="Z198" s="687">
        <v>500000</v>
      </c>
      <c r="AA198" s="291">
        <v>0.5</v>
      </c>
      <c r="AB198" s="686">
        <v>500000</v>
      </c>
      <c r="AC198" s="669"/>
      <c r="AD198" s="669">
        <v>0.5</v>
      </c>
      <c r="AE198" s="669">
        <v>0.45</v>
      </c>
      <c r="AF198" s="669">
        <v>0.5</v>
      </c>
      <c r="AG198" s="341" t="s">
        <v>5150</v>
      </c>
      <c r="AH198" s="987">
        <v>2019413960007</v>
      </c>
      <c r="AI198" s="985" t="s">
        <v>4838</v>
      </c>
      <c r="AJ198" s="363">
        <v>43477</v>
      </c>
      <c r="AK198" s="363">
        <v>43597</v>
      </c>
      <c r="AL198" s="358"/>
      <c r="AM198" s="358"/>
      <c r="AN198" s="267" t="s">
        <v>2598</v>
      </c>
      <c r="AO198" s="997"/>
      <c r="AP198" s="525"/>
      <c r="AQ198" s="310"/>
      <c r="AR198" s="310"/>
      <c r="AS198" s="310"/>
      <c r="AT198" s="310"/>
      <c r="AU198" s="310"/>
      <c r="AV198" s="310"/>
      <c r="AW198" s="544"/>
      <c r="AX198" s="525"/>
      <c r="AY198" s="310"/>
      <c r="AZ198" s="310"/>
      <c r="BA198" s="310"/>
      <c r="BB198" s="310"/>
      <c r="BC198" s="310"/>
      <c r="BD198" s="310"/>
      <c r="BE198" s="544"/>
      <c r="BF198" s="525"/>
      <c r="BG198" s="310"/>
      <c r="BH198" s="310"/>
      <c r="BI198" s="310"/>
      <c r="BJ198" s="310"/>
      <c r="BK198" s="310"/>
      <c r="BL198" s="310"/>
      <c r="BM198" s="544">
        <f t="shared" si="73"/>
        <v>0</v>
      </c>
      <c r="BN198" s="310"/>
      <c r="BO198" s="310"/>
      <c r="BP198" s="310"/>
      <c r="BQ198" s="310"/>
      <c r="BR198" s="310"/>
      <c r="BS198" s="310"/>
      <c r="BT198" s="310"/>
      <c r="BU198" s="544"/>
      <c r="BV198" s="556"/>
      <c r="BW198" s="663">
        <f t="shared" si="64"/>
        <v>1.45</v>
      </c>
      <c r="BX198" s="1047">
        <f t="shared" si="67"/>
        <v>1.45</v>
      </c>
      <c r="BY198" s="1047">
        <f t="shared" si="88"/>
        <v>0</v>
      </c>
      <c r="BZ198" s="1047">
        <f t="shared" si="89"/>
        <v>0.5</v>
      </c>
      <c r="CA198" s="1047">
        <f t="shared" si="90"/>
        <v>0.9</v>
      </c>
      <c r="CB198" s="1047">
        <f t="shared" si="91"/>
        <v>1</v>
      </c>
      <c r="CC198" t="s">
        <v>4747</v>
      </c>
      <c r="CD198" t="str">
        <f t="shared" si="92"/>
        <v>ROB</v>
      </c>
      <c r="CE198" t="str">
        <f t="shared" si="92"/>
        <v>AMB</v>
      </c>
      <c r="CF198" t="str">
        <f t="shared" si="92"/>
        <v>VE</v>
      </c>
      <c r="CG198" t="str">
        <f t="shared" si="92"/>
        <v>VE</v>
      </c>
    </row>
    <row r="199" spans="1:85" ht="30" customHeight="1" x14ac:dyDescent="0.3">
      <c r="A199" s="295"/>
      <c r="B199" s="24" t="str">
        <f>'PLAN INDICATIVO'!B199</f>
        <v>Atención a grupos vulnerables - promoción social</v>
      </c>
      <c r="C199" s="366"/>
      <c r="D199" s="367" t="s">
        <v>628</v>
      </c>
      <c r="E199" s="368"/>
      <c r="F199" s="368"/>
      <c r="G199" s="368"/>
      <c r="H199" s="368"/>
      <c r="I199" s="368"/>
      <c r="J199" s="368"/>
      <c r="K199" s="368"/>
      <c r="L199" s="368"/>
      <c r="M199" s="368"/>
      <c r="N199" s="364"/>
      <c r="O199" s="368"/>
      <c r="P199" s="365" t="s">
        <v>629</v>
      </c>
      <c r="Q199" s="22"/>
      <c r="R199" s="1"/>
      <c r="S199" s="261"/>
      <c r="T199" s="681"/>
      <c r="U199" s="261"/>
      <c r="V199" s="689">
        <f>SUM(V200:V209)</f>
        <v>56000000</v>
      </c>
      <c r="W199" s="261"/>
      <c r="X199" s="689">
        <f>SUM(X200:X209)</f>
        <v>56000000</v>
      </c>
      <c r="Y199" s="261"/>
      <c r="Z199" s="689">
        <f>SUM(Z200:Z209)</f>
        <v>56000000</v>
      </c>
      <c r="AA199" s="261"/>
      <c r="AB199" s="689">
        <f>SUM(AB200:AB209)</f>
        <v>360000000</v>
      </c>
      <c r="AC199" s="261"/>
      <c r="AD199" s="261"/>
      <c r="AE199" s="261"/>
      <c r="AF199" s="261"/>
      <c r="AG199" s="273"/>
      <c r="AH199" s="273"/>
      <c r="AI199" s="273"/>
      <c r="AJ199" s="261"/>
      <c r="AK199" s="261"/>
      <c r="AL199" s="261"/>
      <c r="AM199" s="261"/>
      <c r="AN199" s="261"/>
      <c r="AO199" s="635"/>
      <c r="AP199" s="758"/>
      <c r="AQ199" s="616"/>
      <c r="AR199" s="616"/>
      <c r="AS199" s="616"/>
      <c r="AT199" s="616"/>
      <c r="AU199" s="616"/>
      <c r="AV199" s="616"/>
      <c r="AW199" s="757"/>
      <c r="AX199" s="616"/>
      <c r="AY199" s="616"/>
      <c r="AZ199" s="616"/>
      <c r="BA199" s="616"/>
      <c r="BB199" s="616"/>
      <c r="BC199" s="616"/>
      <c r="BD199" s="616"/>
      <c r="BE199" s="617"/>
      <c r="BF199" s="616"/>
      <c r="BG199" s="616"/>
      <c r="BH199" s="616"/>
      <c r="BI199" s="616"/>
      <c r="BJ199" s="616"/>
      <c r="BK199" s="616"/>
      <c r="BL199" s="616"/>
      <c r="BM199" s="617">
        <f t="shared" si="73"/>
        <v>0</v>
      </c>
      <c r="BN199" s="616"/>
      <c r="BO199" s="616"/>
      <c r="BP199" s="616"/>
      <c r="BQ199" s="616"/>
      <c r="BR199" s="616"/>
      <c r="BS199" s="616"/>
      <c r="BT199" s="616"/>
      <c r="BU199" s="617"/>
      <c r="BV199" s="556"/>
      <c r="BW199" s="663" t="s">
        <v>2717</v>
      </c>
      <c r="BX199" s="261" t="s">
        <v>2717</v>
      </c>
      <c r="BY199" s="261" t="s">
        <v>2717</v>
      </c>
      <c r="BZ199" s="261" t="s">
        <v>2717</v>
      </c>
      <c r="CA199" s="261" t="s">
        <v>2717</v>
      </c>
      <c r="CB199" s="261" t="s">
        <v>2717</v>
      </c>
    </row>
    <row r="200" spans="1:85" ht="78" customHeight="1" x14ac:dyDescent="0.3">
      <c r="A200" s="298" t="s">
        <v>491</v>
      </c>
      <c r="B200" s="299" t="str">
        <f>'PLAN INDICATIVO'!B200</f>
        <v>Atención a grupos vulnerables - promoción social</v>
      </c>
      <c r="C200" s="1546" t="s">
        <v>630</v>
      </c>
      <c r="D200" s="1549" t="s">
        <v>631</v>
      </c>
      <c r="E200" s="1549" t="s">
        <v>632</v>
      </c>
      <c r="F200" s="1549">
        <v>2015</v>
      </c>
      <c r="G200" s="1549" t="s">
        <v>177</v>
      </c>
      <c r="H200" s="1549">
        <v>35</v>
      </c>
      <c r="I200" s="300">
        <f>'PLAN INDICATIVO'!I200</f>
        <v>0</v>
      </c>
      <c r="J200" s="300">
        <f>'PLAN INDICATIVO'!J200</f>
        <v>0</v>
      </c>
      <c r="K200" s="1425" t="str">
        <f>'PLAN INDICATIVO'!K200</f>
        <v>A.14.4.1</v>
      </c>
      <c r="L200" s="301" t="str">
        <f>'PLAN INDICATIVO'!L200</f>
        <v>10. Reducción de las desigualdades</v>
      </c>
      <c r="M200" s="301" t="str">
        <f>'PLAN INDICATIVO'!M200</f>
        <v>Secretaría de Gobierno</v>
      </c>
      <c r="N200" s="1513" t="s">
        <v>5126</v>
      </c>
      <c r="O200" s="1425" t="str">
        <f>'PLAN INDICATIVO'!O200</f>
        <v>Incremento</v>
      </c>
      <c r="P200" s="16" t="str">
        <f>'PLAN INDICATIVO'!P200</f>
        <v xml:space="preserve">Realizar 8 jornadas de sensibilización para comunicar los derechos de las personas mayores, dirigidas a servidores públicos, instituciones educativas y comunidad en general del municipio, en el cuatrienio. </v>
      </c>
      <c r="Q200" s="302" t="str">
        <f>'PLAN INDICATIVO'!Q200</f>
        <v xml:space="preserve">No. de jornadas realizadas </v>
      </c>
      <c r="R200" s="303">
        <f>'PLAN INDICATIVO'!R200</f>
        <v>2015</v>
      </c>
      <c r="S200" s="304">
        <v>0</v>
      </c>
      <c r="T200" s="699">
        <v>8</v>
      </c>
      <c r="U200" s="303">
        <v>2</v>
      </c>
      <c r="V200" s="687">
        <v>3000000</v>
      </c>
      <c r="W200" s="303">
        <v>2</v>
      </c>
      <c r="X200" s="687">
        <v>3500000</v>
      </c>
      <c r="Y200" s="286">
        <v>2</v>
      </c>
      <c r="Z200" s="1233">
        <v>2000000</v>
      </c>
      <c r="AA200" s="291">
        <v>1</v>
      </c>
      <c r="AB200" s="686">
        <v>6500000</v>
      </c>
      <c r="AC200" s="669"/>
      <c r="AD200" s="669">
        <v>2</v>
      </c>
      <c r="AE200" s="669">
        <v>2</v>
      </c>
      <c r="AF200" s="669">
        <v>3</v>
      </c>
      <c r="AG200" s="341" t="s">
        <v>5143</v>
      </c>
      <c r="AH200" s="987">
        <v>20194139600013</v>
      </c>
      <c r="AI200" s="355" t="s">
        <v>4796</v>
      </c>
      <c r="AJ200" s="309">
        <v>43497</v>
      </c>
      <c r="AK200" s="363">
        <v>43707</v>
      </c>
      <c r="AL200" s="358"/>
      <c r="AM200" s="358"/>
      <c r="AN200" s="756" t="s">
        <v>2598</v>
      </c>
      <c r="AO200" s="512"/>
      <c r="AP200" s="525"/>
      <c r="AQ200" s="310"/>
      <c r="AR200" s="310"/>
      <c r="AS200" s="310"/>
      <c r="AT200" s="310"/>
      <c r="AU200" s="310"/>
      <c r="AV200" s="310"/>
      <c r="AW200" s="544"/>
      <c r="AX200" s="525"/>
      <c r="AY200" s="310"/>
      <c r="AZ200" s="310"/>
      <c r="BA200" s="310"/>
      <c r="BB200" s="310"/>
      <c r="BC200" s="310"/>
      <c r="BD200" s="310"/>
      <c r="BE200" s="544"/>
      <c r="BF200" s="525"/>
      <c r="BG200" s="310"/>
      <c r="BH200" s="310"/>
      <c r="BI200" s="310"/>
      <c r="BJ200" s="310"/>
      <c r="BK200" s="310"/>
      <c r="BL200" s="310"/>
      <c r="BM200" s="544">
        <f t="shared" si="73"/>
        <v>0</v>
      </c>
      <c r="BN200" s="310"/>
      <c r="BO200" s="310"/>
      <c r="BP200" s="310"/>
      <c r="BQ200" s="310"/>
      <c r="BR200" s="310"/>
      <c r="BS200" s="310"/>
      <c r="BT200" s="310"/>
      <c r="BU200" s="544"/>
      <c r="BV200" s="556"/>
      <c r="BW200" s="663">
        <f t="shared" si="64"/>
        <v>7</v>
      </c>
      <c r="BX200" s="1047">
        <f t="shared" si="67"/>
        <v>0.875</v>
      </c>
      <c r="BY200" s="1047">
        <f t="shared" ref="BY200:BY209" si="93">IF(U200&gt;=0.1,AC200/U200,IF(ISBLANK(U200),"No Programada","Aplazada"))</f>
        <v>0</v>
      </c>
      <c r="BZ200" s="1047">
        <f t="shared" ref="BZ200:BZ209" si="94">IF(W200&gt;=0.1,AD200/W200,IF(ISBLANK(W200),"No Programada","Aplazada"))</f>
        <v>1</v>
      </c>
      <c r="CA200" s="1047">
        <f t="shared" ref="CA200:CA209" si="95">IF(Y200&gt;=0.1,AE200/Y200,IF(ISBLANK(Y200),"No Programada","Aplazada"))</f>
        <v>1</v>
      </c>
      <c r="CB200" s="1047">
        <f t="shared" ref="CB200:CB209" si="96">IF(AA200&gt;=0.1,AF200/AA200,IF(ISBLANK(AA200),"No Programada","Aplazada"))</f>
        <v>3</v>
      </c>
      <c r="CD200" t="str">
        <f t="shared" ref="CD200:CG209" si="97">IF(BY200="PARA MODIFICAR","M",IF(BY200="PARA ELIMINAR","E",IF(BY200="aplazada","AZ",IF(BY200="no programada","NP",IF(BY200&gt;=85%,"VE",IF(BY200&gt;70%,"VEB",IF(BY200&gt;60%,"AM",IF(BY200&gt;40%,"AMB",IF(BY200&gt;20%,"RO",IF(BY200&gt;=0%,"ROB",""))))))))))</f>
        <v>ROB</v>
      </c>
      <c r="CE200" t="str">
        <f t="shared" si="97"/>
        <v>VE</v>
      </c>
      <c r="CF200" t="str">
        <f t="shared" si="97"/>
        <v>VE</v>
      </c>
      <c r="CG200" t="str">
        <f t="shared" si="97"/>
        <v>VE</v>
      </c>
    </row>
    <row r="201" spans="1:85" ht="83.25" customHeight="1" x14ac:dyDescent="0.3">
      <c r="A201" s="298" t="s">
        <v>491</v>
      </c>
      <c r="B201" s="299" t="str">
        <f>'PLAN INDICATIVO'!B201</f>
        <v>Atención a grupos vulnerables - promoción social</v>
      </c>
      <c r="C201" s="1547"/>
      <c r="D201" s="1549"/>
      <c r="E201" s="1549"/>
      <c r="F201" s="1549"/>
      <c r="G201" s="1549"/>
      <c r="H201" s="1549"/>
      <c r="I201" s="300">
        <f>'PLAN INDICATIVO'!I201</f>
        <v>0</v>
      </c>
      <c r="J201" s="300">
        <f>'PLAN INDICATIVO'!J201</f>
        <v>0</v>
      </c>
      <c r="K201" s="1425" t="str">
        <f>'PLAN INDICATIVO'!K201</f>
        <v>A.14.4.2</v>
      </c>
      <c r="L201" s="301" t="str">
        <f>'PLAN INDICATIVO'!L201</f>
        <v>10. Reducción de las desigualdades</v>
      </c>
      <c r="M201" s="301" t="str">
        <f>'PLAN INDICATIVO'!M201</f>
        <v>Secretaría de Gobierno</v>
      </c>
      <c r="N201" s="1513" t="s">
        <v>5126</v>
      </c>
      <c r="O201" s="1425" t="str">
        <f>'PLAN INDICATIVO'!O201</f>
        <v>Incremento</v>
      </c>
      <c r="P201" s="16" t="str">
        <f>'PLAN INDICATIVO'!P201</f>
        <v xml:space="preserve">Realizar 1 Mejoramiento de la infraestructura y dotación de la Casa Centro día durante cuatrienio.  </v>
      </c>
      <c r="Q201" s="302" t="str">
        <f>'PLAN INDICATIVO'!Q201</f>
        <v>No. de mejoramientos realizados</v>
      </c>
      <c r="R201" s="303">
        <f>'PLAN INDICATIVO'!R201</f>
        <v>2015</v>
      </c>
      <c r="S201" s="304">
        <v>0</v>
      </c>
      <c r="T201" s="699">
        <v>1</v>
      </c>
      <c r="U201" s="303">
        <v>0.5</v>
      </c>
      <c r="V201" s="687">
        <v>3000000</v>
      </c>
      <c r="W201" s="303">
        <v>0</v>
      </c>
      <c r="X201" s="687"/>
      <c r="Y201" s="286">
        <v>0.1</v>
      </c>
      <c r="Z201" s="1233"/>
      <c r="AA201" s="291">
        <v>1</v>
      </c>
      <c r="AB201" s="686">
        <v>252000000</v>
      </c>
      <c r="AC201" s="669"/>
      <c r="AD201" s="669">
        <v>0.4</v>
      </c>
      <c r="AE201" s="669"/>
      <c r="AF201" s="669">
        <v>0.1</v>
      </c>
      <c r="AG201" s="341" t="s">
        <v>5143</v>
      </c>
      <c r="AH201" s="987">
        <v>20194139600013</v>
      </c>
      <c r="AI201" s="355" t="s">
        <v>4983</v>
      </c>
      <c r="AJ201" s="309">
        <v>43497</v>
      </c>
      <c r="AK201" s="363">
        <v>43615</v>
      </c>
      <c r="AL201" s="358"/>
      <c r="AM201" s="358"/>
      <c r="AN201" s="267" t="s">
        <v>2600</v>
      </c>
      <c r="AO201" s="512"/>
      <c r="AP201" s="525"/>
      <c r="AQ201" s="310"/>
      <c r="AR201" s="310"/>
      <c r="AS201" s="310"/>
      <c r="AT201" s="310"/>
      <c r="AU201" s="310"/>
      <c r="AV201" s="310"/>
      <c r="AW201" s="544"/>
      <c r="AX201" s="525"/>
      <c r="AY201" s="310"/>
      <c r="AZ201" s="310"/>
      <c r="BA201" s="310"/>
      <c r="BB201" s="310"/>
      <c r="BC201" s="310"/>
      <c r="BD201" s="310"/>
      <c r="BE201" s="544"/>
      <c r="BF201" s="525"/>
      <c r="BG201" s="310"/>
      <c r="BH201" s="310"/>
      <c r="BI201" s="310"/>
      <c r="BJ201" s="310"/>
      <c r="BK201" s="310"/>
      <c r="BL201" s="310"/>
      <c r="BM201" s="544">
        <f t="shared" si="73"/>
        <v>0</v>
      </c>
      <c r="BN201" s="310"/>
      <c r="BO201" s="310"/>
      <c r="BP201" s="310"/>
      <c r="BQ201" s="310"/>
      <c r="BR201" s="310"/>
      <c r="BS201" s="310"/>
      <c r="BT201" s="310"/>
      <c r="BU201" s="544"/>
      <c r="BV201" s="556"/>
      <c r="BW201" s="663">
        <f t="shared" si="64"/>
        <v>0.5</v>
      </c>
      <c r="BX201" s="1047">
        <f t="shared" si="67"/>
        <v>0.5</v>
      </c>
      <c r="BY201" s="1047">
        <f t="shared" si="93"/>
        <v>0</v>
      </c>
      <c r="BZ201" s="1047" t="str">
        <f t="shared" si="94"/>
        <v>Aplazada</v>
      </c>
      <c r="CA201" s="1047">
        <f t="shared" si="95"/>
        <v>0</v>
      </c>
      <c r="CB201" s="1047">
        <f t="shared" si="96"/>
        <v>0.1</v>
      </c>
      <c r="CD201" t="str">
        <f t="shared" si="97"/>
        <v>ROB</v>
      </c>
      <c r="CE201" t="str">
        <f t="shared" si="97"/>
        <v>AZ</v>
      </c>
      <c r="CF201" t="str">
        <f t="shared" si="97"/>
        <v>ROB</v>
      </c>
      <c r="CG201" t="str">
        <f t="shared" si="97"/>
        <v>ROB</v>
      </c>
    </row>
    <row r="202" spans="1:85" ht="77.25" customHeight="1" x14ac:dyDescent="0.3">
      <c r="A202" s="298" t="s">
        <v>491</v>
      </c>
      <c r="B202" s="299" t="str">
        <f>'PLAN INDICATIVO'!B202</f>
        <v>Atención a grupos vulnerables - promoción social</v>
      </c>
      <c r="C202" s="1547"/>
      <c r="D202" s="1549"/>
      <c r="E202" s="1549"/>
      <c r="F202" s="1549"/>
      <c r="G202" s="1549"/>
      <c r="H202" s="1549"/>
      <c r="I202" s="300">
        <f>'PLAN INDICATIVO'!I202</f>
        <v>0</v>
      </c>
      <c r="J202" s="300">
        <f>'PLAN INDICATIVO'!J202</f>
        <v>0</v>
      </c>
      <c r="K202" s="1425" t="str">
        <f>'PLAN INDICATIVO'!K202</f>
        <v>A.14.4.3</v>
      </c>
      <c r="L202" s="301" t="str">
        <f>'PLAN INDICATIVO'!L202</f>
        <v>10. Reducción de las desigualdades</v>
      </c>
      <c r="M202" s="301" t="str">
        <f>'PLAN INDICATIVO'!M202</f>
        <v>Secretaría de Gobierno</v>
      </c>
      <c r="N202" s="1513" t="s">
        <v>5126</v>
      </c>
      <c r="O202" s="1425" t="str">
        <f>'PLAN INDICATIVO'!O202</f>
        <v>Incremento</v>
      </c>
      <c r="P202" s="16" t="str">
        <f>'PLAN INDICATIVO'!P202</f>
        <v xml:space="preserve">Realizar 2 jornadas de caracterización de adultos mayores por fuera del sistema de salud, para lograr su inclusión durante el cuatrienio. </v>
      </c>
      <c r="Q202" s="302" t="str">
        <f>'PLAN INDICATIVO'!Q202</f>
        <v xml:space="preserve">No. de jornadas de caracterización realizadas </v>
      </c>
      <c r="R202" s="303">
        <f>'PLAN INDICATIVO'!R202</f>
        <v>2015</v>
      </c>
      <c r="S202" s="304">
        <v>0</v>
      </c>
      <c r="T202" s="699">
        <v>2</v>
      </c>
      <c r="U202" s="303">
        <v>1</v>
      </c>
      <c r="V202" s="687">
        <v>1000000</v>
      </c>
      <c r="W202" s="303">
        <v>0</v>
      </c>
      <c r="X202" s="687"/>
      <c r="Y202" s="286"/>
      <c r="Z202" s="1233">
        <v>1500000</v>
      </c>
      <c r="AA202" s="291">
        <v>1</v>
      </c>
      <c r="AB202" s="686">
        <v>11500000</v>
      </c>
      <c r="AC202" s="669"/>
      <c r="AD202" s="669">
        <v>1</v>
      </c>
      <c r="AE202" s="669">
        <v>1</v>
      </c>
      <c r="AF202" s="1492"/>
      <c r="AG202" s="341" t="s">
        <v>5143</v>
      </c>
      <c r="AH202" s="987">
        <v>20194139600013</v>
      </c>
      <c r="AI202" s="355" t="s">
        <v>4797</v>
      </c>
      <c r="AJ202" s="309"/>
      <c r="AK202" s="363"/>
      <c r="AL202" s="358"/>
      <c r="AM202" s="358"/>
      <c r="AN202" s="267" t="s">
        <v>2594</v>
      </c>
      <c r="AO202" s="512"/>
      <c r="AP202" s="720"/>
      <c r="AQ202" s="310"/>
      <c r="AR202" s="310"/>
      <c r="AS202" s="310"/>
      <c r="AT202" s="310"/>
      <c r="AU202" s="310"/>
      <c r="AV202" s="310"/>
      <c r="AW202" s="544"/>
      <c r="AX202" s="525"/>
      <c r="AY202" s="310"/>
      <c r="AZ202" s="310"/>
      <c r="BA202" s="310"/>
      <c r="BB202" s="310"/>
      <c r="BC202" s="310"/>
      <c r="BD202" s="310"/>
      <c r="BE202" s="544"/>
      <c r="BF202" s="525"/>
      <c r="BG202" s="310"/>
      <c r="BH202" s="310"/>
      <c r="BI202" s="310"/>
      <c r="BJ202" s="310"/>
      <c r="BK202" s="310"/>
      <c r="BL202" s="310"/>
      <c r="BM202" s="544">
        <f t="shared" si="73"/>
        <v>0</v>
      </c>
      <c r="BN202" s="310"/>
      <c r="BO202" s="310"/>
      <c r="BP202" s="310"/>
      <c r="BQ202" s="310"/>
      <c r="BR202" s="310"/>
      <c r="BS202" s="310"/>
      <c r="BT202" s="310"/>
      <c r="BU202" s="544"/>
      <c r="BV202" s="556"/>
      <c r="BW202" s="663">
        <f t="shared" ref="BW202:BW266" si="98">AC202+AD202+AE202+AF202</f>
        <v>2</v>
      </c>
      <c r="BX202" s="1047">
        <f t="shared" si="67"/>
        <v>1</v>
      </c>
      <c r="BY202" s="1047">
        <f t="shared" si="93"/>
        <v>0</v>
      </c>
      <c r="BZ202" s="1047" t="str">
        <f t="shared" si="94"/>
        <v>Aplazada</v>
      </c>
      <c r="CA202" s="1047" t="str">
        <f t="shared" si="95"/>
        <v>No Programada</v>
      </c>
      <c r="CB202" s="1047">
        <f t="shared" si="96"/>
        <v>0</v>
      </c>
      <c r="CD202" t="str">
        <f t="shared" si="97"/>
        <v>ROB</v>
      </c>
      <c r="CE202" t="str">
        <f t="shared" si="97"/>
        <v>AZ</v>
      </c>
      <c r="CF202" t="str">
        <f t="shared" si="97"/>
        <v>NP</v>
      </c>
      <c r="CG202" t="str">
        <f t="shared" si="97"/>
        <v>ROB</v>
      </c>
    </row>
    <row r="203" spans="1:85" ht="78.75" customHeight="1" x14ac:dyDescent="0.3">
      <c r="A203" s="298" t="s">
        <v>491</v>
      </c>
      <c r="B203" s="299" t="str">
        <f>'PLAN INDICATIVO'!B203</f>
        <v>Atención a grupos vulnerables - promoción social</v>
      </c>
      <c r="C203" s="1547"/>
      <c r="D203" s="1549"/>
      <c r="E203" s="1549"/>
      <c r="F203" s="1549"/>
      <c r="G203" s="1549"/>
      <c r="H203" s="1549"/>
      <c r="I203" s="300">
        <f>'PLAN INDICATIVO'!I203</f>
        <v>0</v>
      </c>
      <c r="J203" s="300">
        <f>'PLAN INDICATIVO'!J203</f>
        <v>0</v>
      </c>
      <c r="K203" s="1425" t="str">
        <f>'PLAN INDICATIVO'!K203</f>
        <v>A.14.4.4</v>
      </c>
      <c r="L203" s="301" t="str">
        <f>'PLAN INDICATIVO'!L203</f>
        <v>10. Reducción de las desigualdades</v>
      </c>
      <c r="M203" s="301" t="str">
        <f>'PLAN INDICATIVO'!M203</f>
        <v>Secretaría de Gobierno</v>
      </c>
      <c r="N203" s="1513" t="s">
        <v>5126</v>
      </c>
      <c r="O203" s="1425" t="str">
        <f>'PLAN INDICATIVO'!O203</f>
        <v>Incremento</v>
      </c>
      <c r="P203" s="16" t="str">
        <f>'PLAN INDICATIVO'!P203</f>
        <v xml:space="preserve">Realizar 4 actividades durante el cuatrienio, dirigidas a adultos mayores para lograr mejorar condiciones alimenticias. </v>
      </c>
      <c r="Q203" s="302" t="str">
        <f>'PLAN INDICATIVO'!Q203</f>
        <v xml:space="preserve">No. de actividades realizadas </v>
      </c>
      <c r="R203" s="303">
        <f>'PLAN INDICATIVO'!R203</f>
        <v>2015</v>
      </c>
      <c r="S203" s="304">
        <v>0</v>
      </c>
      <c r="T203" s="699">
        <v>4</v>
      </c>
      <c r="U203" s="303">
        <v>1</v>
      </c>
      <c r="V203" s="687">
        <v>1000000</v>
      </c>
      <c r="W203" s="303">
        <v>1</v>
      </c>
      <c r="X203" s="687">
        <v>5000000</v>
      </c>
      <c r="Y203" s="286">
        <v>1</v>
      </c>
      <c r="Z203" s="1233">
        <v>5000000</v>
      </c>
      <c r="AA203" s="291">
        <v>1</v>
      </c>
      <c r="AB203" s="686">
        <v>10000000</v>
      </c>
      <c r="AC203" s="669"/>
      <c r="AD203" s="669">
        <v>1</v>
      </c>
      <c r="AE203" s="669">
        <v>1</v>
      </c>
      <c r="AF203" s="669">
        <v>1</v>
      </c>
      <c r="AG203" s="341" t="s">
        <v>5143</v>
      </c>
      <c r="AH203" s="987">
        <v>20194139600013</v>
      </c>
      <c r="AI203" s="355" t="s">
        <v>4798</v>
      </c>
      <c r="AJ203" s="309">
        <v>43497</v>
      </c>
      <c r="AK203" s="363">
        <v>43799</v>
      </c>
      <c r="AL203" s="358"/>
      <c r="AM203" s="358"/>
      <c r="AN203" s="267" t="s">
        <v>2598</v>
      </c>
      <c r="AO203" s="512"/>
      <c r="AP203" s="720"/>
      <c r="AQ203" s="310"/>
      <c r="AR203" s="310"/>
      <c r="AS203" s="310"/>
      <c r="AT203" s="310"/>
      <c r="AU203" s="310"/>
      <c r="AV203" s="310"/>
      <c r="AW203" s="544"/>
      <c r="AX203" s="525"/>
      <c r="AY203" s="310"/>
      <c r="AZ203" s="310"/>
      <c r="BA203" s="310"/>
      <c r="BB203" s="310"/>
      <c r="BC203" s="310"/>
      <c r="BD203" s="310"/>
      <c r="BE203" s="544"/>
      <c r="BF203" s="525"/>
      <c r="BG203" s="310"/>
      <c r="BH203" s="310"/>
      <c r="BI203" s="310"/>
      <c r="BJ203" s="310"/>
      <c r="BK203" s="310"/>
      <c r="BL203" s="310"/>
      <c r="BM203" s="544">
        <f t="shared" si="73"/>
        <v>0</v>
      </c>
      <c r="BN203" s="310"/>
      <c r="BO203" s="310"/>
      <c r="BP203" s="310"/>
      <c r="BQ203" s="310"/>
      <c r="BR203" s="310"/>
      <c r="BS203" s="310"/>
      <c r="BT203" s="310"/>
      <c r="BU203" s="544"/>
      <c r="BV203" s="556"/>
      <c r="BW203" s="663">
        <f t="shared" si="98"/>
        <v>3</v>
      </c>
      <c r="BX203" s="1047">
        <f t="shared" si="67"/>
        <v>0.75</v>
      </c>
      <c r="BY203" s="1047">
        <f t="shared" si="93"/>
        <v>0</v>
      </c>
      <c r="BZ203" s="1047">
        <f t="shared" si="94"/>
        <v>1</v>
      </c>
      <c r="CA203" s="1047">
        <f t="shared" si="95"/>
        <v>1</v>
      </c>
      <c r="CB203" s="1047">
        <f t="shared" si="96"/>
        <v>1</v>
      </c>
      <c r="CD203" t="str">
        <f t="shared" si="97"/>
        <v>ROB</v>
      </c>
      <c r="CE203" t="str">
        <f t="shared" si="97"/>
        <v>VE</v>
      </c>
      <c r="CF203" t="str">
        <f t="shared" si="97"/>
        <v>VE</v>
      </c>
      <c r="CG203" t="str">
        <f t="shared" si="97"/>
        <v>VE</v>
      </c>
    </row>
    <row r="204" spans="1:85" ht="85.5" customHeight="1" x14ac:dyDescent="0.3">
      <c r="A204" s="298" t="s">
        <v>491</v>
      </c>
      <c r="B204" s="299" t="str">
        <f>'PLAN INDICATIVO'!B204</f>
        <v>Atención a grupos vulnerables - promoción social</v>
      </c>
      <c r="C204" s="1547"/>
      <c r="D204" s="1549"/>
      <c r="E204" s="1549"/>
      <c r="F204" s="1549"/>
      <c r="G204" s="1549"/>
      <c r="H204" s="1549"/>
      <c r="I204" s="300">
        <f>'PLAN INDICATIVO'!I204</f>
        <v>0</v>
      </c>
      <c r="J204" s="300">
        <f>'PLAN INDICATIVO'!J204</f>
        <v>0</v>
      </c>
      <c r="K204" s="1425" t="str">
        <f>'PLAN INDICATIVO'!K204</f>
        <v>A.14.4.5</v>
      </c>
      <c r="L204" s="301" t="str">
        <f>'PLAN INDICATIVO'!L204</f>
        <v>10. Reducción de las desigualdades</v>
      </c>
      <c r="M204" s="301" t="str">
        <f>'PLAN INDICATIVO'!M204</f>
        <v>Secretaría de Gobierno</v>
      </c>
      <c r="N204" s="1513" t="s">
        <v>5126</v>
      </c>
      <c r="O204" s="1425" t="str">
        <f>'PLAN INDICATIVO'!O204</f>
        <v>Mantenimiento</v>
      </c>
      <c r="P204" s="16" t="str">
        <f>'PLAN INDICATIVO'!P204</f>
        <v xml:space="preserve">Realizar 4 jornadas al año, articuladas con secretaria de cultura y con deporte, para brindar espacios de recreación y entornos de hábitos saludables para adultos mayores. </v>
      </c>
      <c r="Q204" s="302" t="str">
        <f>'PLAN INDICATIVO'!Q204</f>
        <v>No. de jornadas realizadas por año</v>
      </c>
      <c r="R204" s="303">
        <f>'PLAN INDICATIVO'!R204</f>
        <v>2015</v>
      </c>
      <c r="S204" s="304">
        <v>0</v>
      </c>
      <c r="T204" s="699">
        <v>16</v>
      </c>
      <c r="U204" s="303">
        <v>4</v>
      </c>
      <c r="V204" s="687">
        <v>4000000</v>
      </c>
      <c r="W204" s="303">
        <v>4</v>
      </c>
      <c r="X204" s="687">
        <v>16000000</v>
      </c>
      <c r="Y204" s="286">
        <v>4</v>
      </c>
      <c r="Z204" s="1233">
        <v>16000000</v>
      </c>
      <c r="AA204" s="291">
        <v>1</v>
      </c>
      <c r="AB204" s="686">
        <v>16000000</v>
      </c>
      <c r="AC204" s="669"/>
      <c r="AD204" s="669">
        <v>16</v>
      </c>
      <c r="AE204" s="669">
        <v>6</v>
      </c>
      <c r="AF204" s="669">
        <v>4</v>
      </c>
      <c r="AG204" s="341" t="s">
        <v>5143</v>
      </c>
      <c r="AH204" s="987">
        <v>20194139600013</v>
      </c>
      <c r="AI204" s="355" t="s">
        <v>4799</v>
      </c>
      <c r="AJ204" s="309">
        <v>43497</v>
      </c>
      <c r="AK204" s="363">
        <v>43799</v>
      </c>
      <c r="AL204" s="358"/>
      <c r="AM204" s="358"/>
      <c r="AN204" s="267" t="s">
        <v>2598</v>
      </c>
      <c r="AO204" s="512"/>
      <c r="AP204" s="720"/>
      <c r="AQ204" s="310"/>
      <c r="AR204" s="310"/>
      <c r="AS204" s="310"/>
      <c r="AT204" s="310"/>
      <c r="AU204" s="310"/>
      <c r="AV204" s="310"/>
      <c r="AW204" s="544"/>
      <c r="AX204" s="525"/>
      <c r="AY204" s="310"/>
      <c r="AZ204" s="310"/>
      <c r="BA204" s="310"/>
      <c r="BB204" s="310"/>
      <c r="BC204" s="310"/>
      <c r="BD204" s="310"/>
      <c r="BE204" s="544"/>
      <c r="BF204" s="525"/>
      <c r="BG204" s="310"/>
      <c r="BH204" s="310"/>
      <c r="BI204" s="310"/>
      <c r="BJ204" s="310"/>
      <c r="BK204" s="310"/>
      <c r="BL204" s="310"/>
      <c r="BM204" s="544">
        <f t="shared" si="73"/>
        <v>0</v>
      </c>
      <c r="BN204" s="310"/>
      <c r="BO204" s="310"/>
      <c r="BP204" s="310"/>
      <c r="BQ204" s="310"/>
      <c r="BR204" s="310"/>
      <c r="BS204" s="310"/>
      <c r="BT204" s="310"/>
      <c r="BU204" s="544"/>
      <c r="BV204" s="556"/>
      <c r="BW204" s="663">
        <f t="shared" si="98"/>
        <v>26</v>
      </c>
      <c r="BX204" s="1047">
        <f t="shared" si="67"/>
        <v>1.625</v>
      </c>
      <c r="BY204" s="1047">
        <f t="shared" si="93"/>
        <v>0</v>
      </c>
      <c r="BZ204" s="1047">
        <f t="shared" si="94"/>
        <v>4</v>
      </c>
      <c r="CA204" s="1047">
        <f t="shared" si="95"/>
        <v>1.5</v>
      </c>
      <c r="CB204" s="1047">
        <f t="shared" si="96"/>
        <v>4</v>
      </c>
      <c r="CD204" t="str">
        <f t="shared" si="97"/>
        <v>ROB</v>
      </c>
      <c r="CE204" t="str">
        <f t="shared" si="97"/>
        <v>VE</v>
      </c>
      <c r="CF204" t="str">
        <f t="shared" si="97"/>
        <v>VE</v>
      </c>
      <c r="CG204" t="str">
        <f t="shared" si="97"/>
        <v>VE</v>
      </c>
    </row>
    <row r="205" spans="1:85" ht="82.5" hidden="1" customHeight="1" x14ac:dyDescent="0.25">
      <c r="A205" s="298" t="s">
        <v>491</v>
      </c>
      <c r="B205" s="299" t="str">
        <f>'PLAN INDICATIVO'!B205</f>
        <v>Atención a grupos vulnerables - promoción social</v>
      </c>
      <c r="C205" s="1547"/>
      <c r="D205" s="1549"/>
      <c r="E205" s="1549"/>
      <c r="F205" s="1549"/>
      <c r="G205" s="1549"/>
      <c r="H205" s="1549"/>
      <c r="I205" s="1425" t="str">
        <f>'PLAN INDICATIVO'!I205</f>
        <v>SI</v>
      </c>
      <c r="J205" s="1425">
        <f>'PLAN INDICATIVO'!J205</f>
        <v>0</v>
      </c>
      <c r="K205" s="1425" t="str">
        <f>'PLAN INDICATIVO'!K205</f>
        <v>A.14.4.6</v>
      </c>
      <c r="L205" s="301" t="str">
        <f>'PLAN INDICATIVO'!L205</f>
        <v>10. Reducción de las desigualdades</v>
      </c>
      <c r="M205" s="301" t="str">
        <f>'PLAN INDICATIVO'!M205</f>
        <v>Secretaría de Gobierno</v>
      </c>
      <c r="N205" s="1513" t="s">
        <v>5126</v>
      </c>
      <c r="O205" s="1425" t="str">
        <f>'PLAN INDICATIVO'!O205</f>
        <v>Incremento</v>
      </c>
      <c r="P205" s="16" t="str">
        <f>'PLAN INDICATIVO'!P205</f>
        <v>Inscribir 1 proyecto para la construir de centro de atención para el adulto mayor "Villa de la sabiduría" durante el cuatrienio.</v>
      </c>
      <c r="Q205" s="302" t="str">
        <f>'PLAN INDICATIVO'!Q205</f>
        <v>No. de proyectos inscritos</v>
      </c>
      <c r="R205" s="303">
        <f>'PLAN INDICATIVO'!R205</f>
        <v>2015</v>
      </c>
      <c r="S205" s="304">
        <v>0</v>
      </c>
      <c r="T205" s="699">
        <v>1</v>
      </c>
      <c r="U205" s="303">
        <v>0.5</v>
      </c>
      <c r="V205" s="687">
        <v>500000</v>
      </c>
      <c r="W205" s="303">
        <v>0</v>
      </c>
      <c r="X205" s="687"/>
      <c r="Y205" s="286">
        <v>0.5</v>
      </c>
      <c r="Z205" s="1233"/>
      <c r="AA205" s="291">
        <v>0.5</v>
      </c>
      <c r="AB205" s="686"/>
      <c r="AC205" s="669"/>
      <c r="AD205" s="669"/>
      <c r="AE205" s="669"/>
      <c r="AF205" s="669">
        <v>0.5</v>
      </c>
      <c r="AG205" s="341" t="s">
        <v>5143</v>
      </c>
      <c r="AH205" s="987">
        <v>20194139600013</v>
      </c>
      <c r="AI205" s="355" t="s">
        <v>4800</v>
      </c>
      <c r="AJ205" s="309">
        <v>43497</v>
      </c>
      <c r="AK205" s="363">
        <v>43799</v>
      </c>
      <c r="AL205" s="358"/>
      <c r="AM205" s="358"/>
      <c r="AN205" s="267" t="s">
        <v>2600</v>
      </c>
      <c r="AO205" s="512"/>
      <c r="AP205" s="720"/>
      <c r="AQ205" s="310"/>
      <c r="AR205" s="310"/>
      <c r="AS205" s="310"/>
      <c r="AT205" s="310"/>
      <c r="AU205" s="310"/>
      <c r="AV205" s="310"/>
      <c r="AW205" s="544"/>
      <c r="AX205" s="525"/>
      <c r="AY205" s="310"/>
      <c r="AZ205" s="310"/>
      <c r="BA205" s="310"/>
      <c r="BB205" s="310"/>
      <c r="BC205" s="310"/>
      <c r="BD205" s="310"/>
      <c r="BE205" s="544"/>
      <c r="BF205" s="525"/>
      <c r="BG205" s="310"/>
      <c r="BH205" s="310"/>
      <c r="BI205" s="310"/>
      <c r="BJ205" s="310"/>
      <c r="BK205" s="310"/>
      <c r="BL205" s="310"/>
      <c r="BM205" s="544">
        <f t="shared" si="73"/>
        <v>0</v>
      </c>
      <c r="BN205" s="310"/>
      <c r="BO205" s="310"/>
      <c r="BP205" s="310"/>
      <c r="BQ205" s="310"/>
      <c r="BR205" s="310"/>
      <c r="BS205" s="310"/>
      <c r="BT205" s="310"/>
      <c r="BU205" s="544"/>
      <c r="BV205" s="556"/>
      <c r="BW205" s="663">
        <f t="shared" si="98"/>
        <v>0.5</v>
      </c>
      <c r="BX205" s="1047">
        <f t="shared" si="67"/>
        <v>0.5</v>
      </c>
      <c r="BY205" s="1047">
        <f t="shared" si="93"/>
        <v>0</v>
      </c>
      <c r="BZ205" s="1047" t="str">
        <f t="shared" si="94"/>
        <v>Aplazada</v>
      </c>
      <c r="CA205" s="1047">
        <f t="shared" si="95"/>
        <v>0</v>
      </c>
      <c r="CB205" s="1047">
        <f t="shared" si="96"/>
        <v>1</v>
      </c>
      <c r="CD205" t="str">
        <f t="shared" si="97"/>
        <v>ROB</v>
      </c>
      <c r="CE205" t="str">
        <f t="shared" si="97"/>
        <v>AZ</v>
      </c>
      <c r="CF205" t="str">
        <f t="shared" si="97"/>
        <v>ROB</v>
      </c>
      <c r="CG205" t="str">
        <f t="shared" si="97"/>
        <v>VE</v>
      </c>
    </row>
    <row r="206" spans="1:85" ht="83.25" hidden="1" customHeight="1" x14ac:dyDescent="0.25">
      <c r="A206" s="298" t="s">
        <v>491</v>
      </c>
      <c r="B206" s="299" t="str">
        <f>'PLAN INDICATIVO'!B206</f>
        <v>Atención a grupos vulnerables - promoción social</v>
      </c>
      <c r="C206" s="1547"/>
      <c r="D206" s="1549"/>
      <c r="E206" s="1549"/>
      <c r="F206" s="1549"/>
      <c r="G206" s="1549"/>
      <c r="H206" s="1549"/>
      <c r="I206" s="300">
        <f>'PLAN INDICATIVO'!I206</f>
        <v>0</v>
      </c>
      <c r="J206" s="300">
        <f>'PLAN INDICATIVO'!J206</f>
        <v>0</v>
      </c>
      <c r="K206" s="1425" t="str">
        <f>'PLAN INDICATIVO'!K206</f>
        <v>A.14.4.7</v>
      </c>
      <c r="L206" s="301" t="str">
        <f>'PLAN INDICATIVO'!L206</f>
        <v>10. Reducción de las desigualdades</v>
      </c>
      <c r="M206" s="301" t="str">
        <f>'PLAN INDICATIVO'!M206</f>
        <v>Secretaría de Gobierno</v>
      </c>
      <c r="N206" s="1513" t="s">
        <v>5126</v>
      </c>
      <c r="O206" s="1425" t="str">
        <f>'PLAN INDICATIVO'!O206</f>
        <v>Mantenimiento</v>
      </c>
      <c r="P206" s="71" t="str">
        <f>'PLAN INDICATIVO'!P206</f>
        <v>Implementar 1 programa de manualidades para el adulto mayor, cada año</v>
      </c>
      <c r="Q206" s="302" t="str">
        <f>'PLAN INDICATIVO'!Q206</f>
        <v>No. de programas implementados por año</v>
      </c>
      <c r="R206" s="303">
        <f>'PLAN INDICATIVO'!R206</f>
        <v>2015</v>
      </c>
      <c r="S206" s="304">
        <v>0</v>
      </c>
      <c r="T206" s="699">
        <v>4</v>
      </c>
      <c r="U206" s="303">
        <v>1</v>
      </c>
      <c r="V206" s="687">
        <v>8500000</v>
      </c>
      <c r="W206" s="303">
        <v>1</v>
      </c>
      <c r="X206" s="687">
        <v>1000000</v>
      </c>
      <c r="Y206" s="286">
        <v>1</v>
      </c>
      <c r="Z206" s="1233">
        <v>1000000</v>
      </c>
      <c r="AA206" s="291">
        <v>1</v>
      </c>
      <c r="AB206" s="686"/>
      <c r="AC206" s="669"/>
      <c r="AD206" s="669">
        <v>1</v>
      </c>
      <c r="AE206" s="669">
        <v>1</v>
      </c>
      <c r="AF206" s="933">
        <v>1</v>
      </c>
      <c r="AG206" s="341" t="s">
        <v>5143</v>
      </c>
      <c r="AH206" s="987">
        <v>20194139600013</v>
      </c>
      <c r="AI206" s="355" t="s">
        <v>4984</v>
      </c>
      <c r="AJ206" s="309">
        <v>43497</v>
      </c>
      <c r="AK206" s="363">
        <v>43799</v>
      </c>
      <c r="AL206" s="358"/>
      <c r="AM206" s="358"/>
      <c r="AN206" s="267" t="s">
        <v>2598</v>
      </c>
      <c r="AO206" s="512"/>
      <c r="AP206" s="720"/>
      <c r="AQ206" s="310"/>
      <c r="AR206" s="310"/>
      <c r="AS206" s="310"/>
      <c r="AT206" s="310"/>
      <c r="AU206" s="310"/>
      <c r="AV206" s="310"/>
      <c r="AW206" s="544"/>
      <c r="AX206" s="525"/>
      <c r="AY206" s="310"/>
      <c r="AZ206" s="310"/>
      <c r="BA206" s="310"/>
      <c r="BB206" s="310"/>
      <c r="BC206" s="310"/>
      <c r="BD206" s="310"/>
      <c r="BE206" s="544"/>
      <c r="BF206" s="525"/>
      <c r="BG206" s="310"/>
      <c r="BH206" s="310"/>
      <c r="BI206" s="310"/>
      <c r="BJ206" s="310"/>
      <c r="BK206" s="310"/>
      <c r="BL206" s="310"/>
      <c r="BM206" s="544">
        <f t="shared" si="73"/>
        <v>0</v>
      </c>
      <c r="BN206" s="310"/>
      <c r="BO206" s="310"/>
      <c r="BP206" s="310"/>
      <c r="BQ206" s="310"/>
      <c r="BR206" s="310"/>
      <c r="BS206" s="310"/>
      <c r="BT206" s="310"/>
      <c r="BU206" s="544"/>
      <c r="BV206" s="556"/>
      <c r="BW206" s="663">
        <f t="shared" si="98"/>
        <v>3</v>
      </c>
      <c r="BX206" s="1047">
        <f t="shared" si="67"/>
        <v>0.75</v>
      </c>
      <c r="BY206" s="1047">
        <f t="shared" si="93"/>
        <v>0</v>
      </c>
      <c r="BZ206" s="1047">
        <f t="shared" si="94"/>
        <v>1</v>
      </c>
      <c r="CA206" s="1047">
        <f t="shared" si="95"/>
        <v>1</v>
      </c>
      <c r="CB206" s="1047">
        <f t="shared" si="96"/>
        <v>1</v>
      </c>
      <c r="CD206" t="str">
        <f t="shared" si="97"/>
        <v>ROB</v>
      </c>
      <c r="CE206" t="str">
        <f t="shared" si="97"/>
        <v>VE</v>
      </c>
      <c r="CF206" t="str">
        <f t="shared" si="97"/>
        <v>VE</v>
      </c>
      <c r="CG206" t="str">
        <f t="shared" si="97"/>
        <v>VE</v>
      </c>
    </row>
    <row r="207" spans="1:85" ht="93" customHeight="1" x14ac:dyDescent="0.3">
      <c r="A207" s="298" t="s">
        <v>491</v>
      </c>
      <c r="B207" s="299" t="str">
        <f>'PLAN INDICATIVO'!B207</f>
        <v>Atención a grupos vulnerables - promoción social</v>
      </c>
      <c r="C207" s="1547"/>
      <c r="D207" s="1549"/>
      <c r="E207" s="1549"/>
      <c r="F207" s="1549"/>
      <c r="G207" s="1549"/>
      <c r="H207" s="1549"/>
      <c r="I207" s="300">
        <f>'PLAN INDICATIVO'!I207</f>
        <v>0</v>
      </c>
      <c r="J207" s="300">
        <f>'PLAN INDICATIVO'!J207</f>
        <v>0</v>
      </c>
      <c r="K207" s="1425" t="str">
        <f>'PLAN INDICATIVO'!K207</f>
        <v>A.14.4.8</v>
      </c>
      <c r="L207" s="301" t="str">
        <f>'PLAN INDICATIVO'!L207</f>
        <v>10. Reducción de las desigualdades</v>
      </c>
      <c r="M207" s="301" t="str">
        <f>'PLAN INDICATIVO'!M207</f>
        <v>Secretaría de Gobierno</v>
      </c>
      <c r="N207" s="1513" t="s">
        <v>5126</v>
      </c>
      <c r="O207" s="1425" t="str">
        <f>'PLAN INDICATIVO'!O207</f>
        <v>Incremento</v>
      </c>
      <c r="P207" s="71" t="str">
        <f>'PLAN INDICATIVO'!P207</f>
        <v xml:space="preserve">Realizar 8 celebraciones al adulto mayor, durante el cuatrienio. (día del adulto mayor y navidad) </v>
      </c>
      <c r="Q207" s="302" t="str">
        <f>'PLAN INDICATIVO'!Q207</f>
        <v xml:space="preserve">No. de celebraciones realizadas </v>
      </c>
      <c r="R207" s="303">
        <f>'PLAN INDICATIVO'!R207</f>
        <v>2015</v>
      </c>
      <c r="S207" s="304">
        <v>0</v>
      </c>
      <c r="T207" s="699">
        <v>8</v>
      </c>
      <c r="U207" s="303">
        <v>2</v>
      </c>
      <c r="V207" s="687">
        <v>12000000</v>
      </c>
      <c r="W207" s="303">
        <v>2</v>
      </c>
      <c r="X207" s="687">
        <v>4000000</v>
      </c>
      <c r="Y207" s="286">
        <v>2</v>
      </c>
      <c r="Z207" s="1233">
        <v>4000000</v>
      </c>
      <c r="AA207" s="291">
        <v>1</v>
      </c>
      <c r="AB207" s="686">
        <v>22000000</v>
      </c>
      <c r="AC207" s="669"/>
      <c r="AD207" s="669">
        <v>2</v>
      </c>
      <c r="AE207" s="669">
        <v>1</v>
      </c>
      <c r="AF207" s="1504">
        <v>2</v>
      </c>
      <c r="AG207" s="341" t="s">
        <v>5143</v>
      </c>
      <c r="AH207" s="987">
        <v>20194139600013</v>
      </c>
      <c r="AI207" s="355" t="s">
        <v>5069</v>
      </c>
      <c r="AJ207" s="309">
        <v>43497</v>
      </c>
      <c r="AK207" s="363">
        <v>43829</v>
      </c>
      <c r="AL207" s="358"/>
      <c r="AM207" s="358"/>
      <c r="AN207" s="267" t="s">
        <v>2604</v>
      </c>
      <c r="AO207" s="512"/>
      <c r="AP207" s="720"/>
      <c r="AQ207" s="310"/>
      <c r="AR207" s="310"/>
      <c r="AS207" s="310"/>
      <c r="AT207" s="310"/>
      <c r="AU207" s="310"/>
      <c r="AV207" s="310"/>
      <c r="AW207" s="544"/>
      <c r="AX207" s="525"/>
      <c r="AY207" s="310"/>
      <c r="AZ207" s="310"/>
      <c r="BA207" s="310"/>
      <c r="BB207" s="310"/>
      <c r="BC207" s="310"/>
      <c r="BD207" s="310"/>
      <c r="BE207" s="544"/>
      <c r="BF207" s="525"/>
      <c r="BG207" s="310"/>
      <c r="BH207" s="310"/>
      <c r="BI207" s="310"/>
      <c r="BJ207" s="310"/>
      <c r="BK207" s="310"/>
      <c r="BL207" s="310"/>
      <c r="BM207" s="544">
        <f t="shared" si="73"/>
        <v>0</v>
      </c>
      <c r="BN207" s="310"/>
      <c r="BO207" s="310"/>
      <c r="BP207" s="310"/>
      <c r="BQ207" s="310"/>
      <c r="BR207" s="310"/>
      <c r="BS207" s="310"/>
      <c r="BT207" s="310"/>
      <c r="BU207" s="544"/>
      <c r="BV207" s="556"/>
      <c r="BW207" s="663">
        <f t="shared" si="98"/>
        <v>5</v>
      </c>
      <c r="BX207" s="1047">
        <f t="shared" si="67"/>
        <v>0.625</v>
      </c>
      <c r="BY207" s="1047">
        <f t="shared" si="93"/>
        <v>0</v>
      </c>
      <c r="BZ207" s="1047">
        <f t="shared" si="94"/>
        <v>1</v>
      </c>
      <c r="CA207" s="1047">
        <f t="shared" si="95"/>
        <v>0.5</v>
      </c>
      <c r="CB207" s="1047">
        <f t="shared" si="96"/>
        <v>2</v>
      </c>
      <c r="CD207" t="str">
        <f t="shared" si="97"/>
        <v>ROB</v>
      </c>
      <c r="CE207" t="str">
        <f t="shared" si="97"/>
        <v>VE</v>
      </c>
      <c r="CF207" t="str">
        <f t="shared" si="97"/>
        <v>AMB</v>
      </c>
      <c r="CG207" t="str">
        <f t="shared" si="97"/>
        <v>VE</v>
      </c>
    </row>
    <row r="208" spans="1:85" ht="81" customHeight="1" x14ac:dyDescent="0.3">
      <c r="A208" s="298" t="s">
        <v>491</v>
      </c>
      <c r="B208" s="299" t="str">
        <f>'PLAN INDICATIVO'!B208</f>
        <v>Atención a grupos vulnerables - promoción social</v>
      </c>
      <c r="C208" s="1547"/>
      <c r="D208" s="1549"/>
      <c r="E208" s="1549"/>
      <c r="F208" s="1549"/>
      <c r="G208" s="1549"/>
      <c r="H208" s="1549"/>
      <c r="I208" s="300">
        <f>'PLAN INDICATIVO'!I208</f>
        <v>0</v>
      </c>
      <c r="J208" s="300">
        <f>'PLAN INDICATIVO'!J208</f>
        <v>0</v>
      </c>
      <c r="K208" s="1425" t="str">
        <f>'PLAN INDICATIVO'!K208</f>
        <v>A.14.4.9</v>
      </c>
      <c r="L208" s="301" t="str">
        <f>'PLAN INDICATIVO'!L208</f>
        <v>10. Reducción de las desigualdades</v>
      </c>
      <c r="M208" s="301" t="str">
        <f>'PLAN INDICATIVO'!M208</f>
        <v>Secretaría de Gobierno</v>
      </c>
      <c r="N208" s="1513" t="s">
        <v>5126</v>
      </c>
      <c r="O208" s="1425" t="str">
        <f>'PLAN INDICATIVO'!O208</f>
        <v>Mantenimiento</v>
      </c>
      <c r="P208" s="71" t="str">
        <f>'PLAN INDICATIVO'!P208</f>
        <v>Ejecutar 1 plan de apoyo para al talento humano que desarrolla funciones de atención y apoyo al adulto mayor, cada año</v>
      </c>
      <c r="Q208" s="302" t="str">
        <f>'PLAN INDICATIVO'!Q208</f>
        <v>No. de apoyos realizados por año</v>
      </c>
      <c r="R208" s="303">
        <f>'PLAN INDICATIVO'!R208</f>
        <v>2015</v>
      </c>
      <c r="S208" s="304">
        <v>1</v>
      </c>
      <c r="T208" s="699">
        <v>4</v>
      </c>
      <c r="U208" s="303">
        <v>1</v>
      </c>
      <c r="V208" s="687">
        <v>4500000</v>
      </c>
      <c r="W208" s="303">
        <v>1</v>
      </c>
      <c r="X208" s="687">
        <v>12000000</v>
      </c>
      <c r="Y208" s="286">
        <v>1</v>
      </c>
      <c r="Z208" s="1233">
        <v>12000000</v>
      </c>
      <c r="AA208" s="291">
        <v>1</v>
      </c>
      <c r="AB208" s="686">
        <v>22000000</v>
      </c>
      <c r="AC208" s="669"/>
      <c r="AD208" s="669">
        <v>1</v>
      </c>
      <c r="AE208" s="669">
        <v>1</v>
      </c>
      <c r="AF208" s="933">
        <v>1</v>
      </c>
      <c r="AG208" s="341" t="s">
        <v>5143</v>
      </c>
      <c r="AH208" s="987">
        <v>20194139600013</v>
      </c>
      <c r="AI208" s="1490" t="s">
        <v>4985</v>
      </c>
      <c r="AJ208" s="309">
        <v>43497</v>
      </c>
      <c r="AK208" s="363">
        <v>43829</v>
      </c>
      <c r="AL208" s="358"/>
      <c r="AM208" s="358"/>
      <c r="AN208" s="267" t="s">
        <v>2598</v>
      </c>
      <c r="AO208" s="512"/>
      <c r="AP208" s="720"/>
      <c r="AQ208" s="310"/>
      <c r="AR208" s="310"/>
      <c r="AS208" s="310"/>
      <c r="AT208" s="310"/>
      <c r="AU208" s="310"/>
      <c r="AV208" s="310"/>
      <c r="AW208" s="544"/>
      <c r="AX208" s="525"/>
      <c r="AY208" s="310"/>
      <c r="AZ208" s="310"/>
      <c r="BA208" s="310"/>
      <c r="BB208" s="310"/>
      <c r="BC208" s="310"/>
      <c r="BD208" s="310"/>
      <c r="BE208" s="544"/>
      <c r="BF208" s="525"/>
      <c r="BG208" s="310"/>
      <c r="BH208" s="310"/>
      <c r="BI208" s="310"/>
      <c r="BJ208" s="310"/>
      <c r="BK208" s="310"/>
      <c r="BL208" s="310"/>
      <c r="BM208" s="544">
        <f t="shared" si="73"/>
        <v>0</v>
      </c>
      <c r="BN208" s="310"/>
      <c r="BO208" s="310"/>
      <c r="BP208" s="310"/>
      <c r="BQ208" s="310"/>
      <c r="BR208" s="310"/>
      <c r="BS208" s="310"/>
      <c r="BT208" s="310"/>
      <c r="BU208" s="544"/>
      <c r="BV208" s="556"/>
      <c r="BW208" s="663">
        <f t="shared" si="98"/>
        <v>3</v>
      </c>
      <c r="BX208" s="1047">
        <f t="shared" si="67"/>
        <v>0.75</v>
      </c>
      <c r="BY208" s="1047">
        <f t="shared" si="93"/>
        <v>0</v>
      </c>
      <c r="BZ208" s="1047">
        <f t="shared" si="94"/>
        <v>1</v>
      </c>
      <c r="CA208" s="1047">
        <f t="shared" si="95"/>
        <v>1</v>
      </c>
      <c r="CB208" s="1047">
        <f t="shared" si="96"/>
        <v>1</v>
      </c>
      <c r="CD208" t="str">
        <f t="shared" si="97"/>
        <v>ROB</v>
      </c>
      <c r="CE208" t="str">
        <f t="shared" si="97"/>
        <v>VE</v>
      </c>
      <c r="CF208" t="str">
        <f t="shared" si="97"/>
        <v>VE</v>
      </c>
      <c r="CG208" t="str">
        <f t="shared" si="97"/>
        <v>VE</v>
      </c>
    </row>
    <row r="209" spans="1:85" ht="72" customHeight="1" x14ac:dyDescent="0.3">
      <c r="A209" s="298" t="s">
        <v>491</v>
      </c>
      <c r="B209" s="299" t="str">
        <f>'PLAN INDICATIVO'!B209</f>
        <v>Atención a grupos vulnerables - promoción social</v>
      </c>
      <c r="C209" s="1548"/>
      <c r="D209" s="1549"/>
      <c r="E209" s="1549"/>
      <c r="F209" s="1549"/>
      <c r="G209" s="1549"/>
      <c r="H209" s="1549"/>
      <c r="I209" s="300">
        <f>'PLAN INDICATIVO'!I209</f>
        <v>0</v>
      </c>
      <c r="J209" s="300">
        <f>'PLAN INDICATIVO'!J209</f>
        <v>0</v>
      </c>
      <c r="K209" s="1425" t="str">
        <f>'PLAN INDICATIVO'!K209</f>
        <v>A.14.4.10</v>
      </c>
      <c r="L209" s="301" t="str">
        <f>'PLAN INDICATIVO'!L209</f>
        <v>10. Reducción de las desigualdades</v>
      </c>
      <c r="M209" s="301" t="str">
        <f>'PLAN INDICATIVO'!M209</f>
        <v>Secretaría de Gobierno</v>
      </c>
      <c r="N209" s="1513" t="s">
        <v>5126</v>
      </c>
      <c r="O209" s="1425" t="str">
        <f>'PLAN INDICATIVO'!O209</f>
        <v>Mantenimiento</v>
      </c>
      <c r="P209" s="71" t="str">
        <f>'PLAN INDICATIVO'!P209</f>
        <v>Realizar 1 apoyo al hogar de paso del adulto mayor del municipio de la Plata Huila, cada año</v>
      </c>
      <c r="Q209" s="302" t="str">
        <f>'PLAN INDICATIVO'!Q209</f>
        <v>No. de apoyos realizados por año</v>
      </c>
      <c r="R209" s="303">
        <f>'PLAN INDICATIVO'!R209</f>
        <v>2015</v>
      </c>
      <c r="S209" s="304">
        <v>1</v>
      </c>
      <c r="T209" s="699">
        <v>1</v>
      </c>
      <c r="U209" s="303">
        <v>0.25</v>
      </c>
      <c r="V209" s="687">
        <v>18500000</v>
      </c>
      <c r="W209" s="303">
        <v>0.25</v>
      </c>
      <c r="X209" s="687">
        <v>14500000</v>
      </c>
      <c r="Y209" s="303">
        <v>0.25</v>
      </c>
      <c r="Z209" s="687">
        <v>14500000</v>
      </c>
      <c r="AA209" s="291">
        <v>0.25</v>
      </c>
      <c r="AB209" s="686">
        <v>20000000</v>
      </c>
      <c r="AC209" s="669"/>
      <c r="AD209" s="669"/>
      <c r="AE209" s="669">
        <v>0.25</v>
      </c>
      <c r="AF209" s="669">
        <v>0.25</v>
      </c>
      <c r="AG209" s="341" t="s">
        <v>5143</v>
      </c>
      <c r="AH209" s="987">
        <v>20194139600013</v>
      </c>
      <c r="AI209" s="355" t="s">
        <v>5070</v>
      </c>
      <c r="AJ209" s="309">
        <v>43497</v>
      </c>
      <c r="AK209" s="363">
        <v>43768</v>
      </c>
      <c r="AL209" s="358"/>
      <c r="AM209" s="358"/>
      <c r="AN209" s="954" t="s">
        <v>2598</v>
      </c>
      <c r="AO209" s="512"/>
      <c r="AP209" s="525"/>
      <c r="AQ209" s="310"/>
      <c r="AR209" s="310"/>
      <c r="AS209" s="310"/>
      <c r="AT209" s="310"/>
      <c r="AU209" s="310"/>
      <c r="AV209" s="310"/>
      <c r="AW209" s="544"/>
      <c r="AX209" s="525"/>
      <c r="AY209" s="310"/>
      <c r="AZ209" s="310"/>
      <c r="BA209" s="310"/>
      <c r="BB209" s="310"/>
      <c r="BC209" s="310"/>
      <c r="BD209" s="310"/>
      <c r="BE209" s="544"/>
      <c r="BF209" s="525"/>
      <c r="BG209" s="310"/>
      <c r="BH209" s="310"/>
      <c r="BI209" s="310"/>
      <c r="BJ209" s="310"/>
      <c r="BK209" s="310"/>
      <c r="BL209" s="310"/>
      <c r="BM209" s="544">
        <f t="shared" si="73"/>
        <v>0</v>
      </c>
      <c r="BN209" s="310"/>
      <c r="BO209" s="310"/>
      <c r="BP209" s="310"/>
      <c r="BQ209" s="310"/>
      <c r="BR209" s="310"/>
      <c r="BS209" s="310"/>
      <c r="BT209" s="310"/>
      <c r="BU209" s="544"/>
      <c r="BV209" s="556"/>
      <c r="BW209" s="663">
        <f t="shared" si="98"/>
        <v>0.5</v>
      </c>
      <c r="BX209" s="1047">
        <f t="shared" si="67"/>
        <v>0.5</v>
      </c>
      <c r="BY209" s="1047">
        <f t="shared" si="93"/>
        <v>0</v>
      </c>
      <c r="BZ209" s="1047">
        <f t="shared" si="94"/>
        <v>0</v>
      </c>
      <c r="CA209" s="1047">
        <f t="shared" si="95"/>
        <v>1</v>
      </c>
      <c r="CB209" s="1047">
        <f t="shared" si="96"/>
        <v>1</v>
      </c>
      <c r="CD209" t="str">
        <f t="shared" si="97"/>
        <v>ROB</v>
      </c>
      <c r="CE209" t="str">
        <f t="shared" si="97"/>
        <v>ROB</v>
      </c>
      <c r="CF209" t="str">
        <f t="shared" si="97"/>
        <v>VE</v>
      </c>
      <c r="CG209" t="str">
        <f t="shared" si="97"/>
        <v>VE</v>
      </c>
    </row>
    <row r="210" spans="1:85" ht="43.5" customHeight="1" x14ac:dyDescent="0.3">
      <c r="A210" s="295"/>
      <c r="B210" s="24" t="str">
        <f>'PLAN INDICATIVO'!B210</f>
        <v>Atención a grupos vulnerables - promoción social</v>
      </c>
      <c r="C210" s="1574" t="s">
        <v>662</v>
      </c>
      <c r="D210" s="1575"/>
      <c r="E210" s="1575"/>
      <c r="F210" s="1575"/>
      <c r="G210" s="1575"/>
      <c r="H210" s="1575"/>
      <c r="I210" s="1575"/>
      <c r="J210" s="1575"/>
      <c r="K210" s="1575"/>
      <c r="L210" s="1575"/>
      <c r="M210" s="1575"/>
      <c r="N210" s="1575"/>
      <c r="O210" s="1576"/>
      <c r="P210" s="369" t="s">
        <v>663</v>
      </c>
      <c r="Q210" s="22"/>
      <c r="R210" s="1"/>
      <c r="S210" s="261"/>
      <c r="T210" s="681"/>
      <c r="U210" s="261"/>
      <c r="V210" s="689">
        <f>SUM(V211:V218)</f>
        <v>12000000</v>
      </c>
      <c r="W210" s="261"/>
      <c r="X210" s="689">
        <f>SUM(X211:X218)</f>
        <v>12660000</v>
      </c>
      <c r="Y210" s="261"/>
      <c r="Z210" s="689">
        <f>SUM(Z211:Z218)</f>
        <v>12660000</v>
      </c>
      <c r="AA210" s="261"/>
      <c r="AB210" s="689">
        <f>SUM(AB211:AB218)</f>
        <v>15000000</v>
      </c>
      <c r="AC210" s="261"/>
      <c r="AD210" s="261"/>
      <c r="AE210" s="261"/>
      <c r="AF210" s="261"/>
      <c r="AG210" s="273"/>
      <c r="AH210" s="273"/>
      <c r="AI210" s="273"/>
      <c r="AJ210" s="261"/>
      <c r="AK210" s="261"/>
      <c r="AL210" s="261"/>
      <c r="AM210" s="261"/>
      <c r="AN210" s="261"/>
      <c r="AO210" s="635"/>
      <c r="AP210" s="616"/>
      <c r="AQ210" s="616"/>
      <c r="AR210" s="616"/>
      <c r="AS210" s="616"/>
      <c r="AT210" s="616"/>
      <c r="AU210" s="616"/>
      <c r="AV210" s="616"/>
      <c r="AW210" s="617"/>
      <c r="AX210" s="616"/>
      <c r="AY210" s="616"/>
      <c r="AZ210" s="616"/>
      <c r="BA210" s="616"/>
      <c r="BB210" s="616"/>
      <c r="BC210" s="616"/>
      <c r="BD210" s="616"/>
      <c r="BE210" s="617"/>
      <c r="BF210" s="616"/>
      <c r="BG210" s="616"/>
      <c r="BH210" s="616"/>
      <c r="BI210" s="616"/>
      <c r="BJ210" s="616"/>
      <c r="BK210" s="616"/>
      <c r="BL210" s="616"/>
      <c r="BM210" s="617">
        <f t="shared" si="73"/>
        <v>0</v>
      </c>
      <c r="BN210" s="616"/>
      <c r="BO210" s="616"/>
      <c r="BP210" s="616"/>
      <c r="BQ210" s="616"/>
      <c r="BR210" s="616"/>
      <c r="BS210" s="616"/>
      <c r="BT210" s="616"/>
      <c r="BU210" s="617"/>
      <c r="BV210" s="556"/>
      <c r="BW210" s="617" t="s">
        <v>2717</v>
      </c>
      <c r="BX210" s="617" t="s">
        <v>2717</v>
      </c>
      <c r="BY210" s="617" t="s">
        <v>2717</v>
      </c>
      <c r="BZ210" s="617" t="s">
        <v>2717</v>
      </c>
      <c r="CA210" s="617" t="s">
        <v>2717</v>
      </c>
      <c r="CB210" s="1047" t="s">
        <v>2717</v>
      </c>
    </row>
    <row r="211" spans="1:85" ht="77.25" customHeight="1" x14ac:dyDescent="0.3">
      <c r="A211" s="298" t="s">
        <v>491</v>
      </c>
      <c r="B211" s="299" t="str">
        <f>'PLAN INDICATIVO'!B211</f>
        <v>Atención a grupos vulnerables - promoción social</v>
      </c>
      <c r="C211" s="1559" t="s">
        <v>664</v>
      </c>
      <c r="D211" s="1549" t="s">
        <v>665</v>
      </c>
      <c r="E211" s="1549" t="s">
        <v>252</v>
      </c>
      <c r="F211" s="1549">
        <v>2015</v>
      </c>
      <c r="G211" s="1562">
        <v>11672</v>
      </c>
      <c r="H211" s="1562">
        <v>13500</v>
      </c>
      <c r="I211" s="300">
        <f>'PLAN INDICATIVO'!I211</f>
        <v>0</v>
      </c>
      <c r="J211" s="300">
        <f>'PLAN INDICATIVO'!J211</f>
        <v>0</v>
      </c>
      <c r="K211" s="1428" t="str">
        <f>'PLAN INDICATIVO'!K211</f>
        <v>A.14.5.1</v>
      </c>
      <c r="L211" s="301" t="str">
        <f>'PLAN INDICATIVO'!L211</f>
        <v>10. Reducción de las desigualdades</v>
      </c>
      <c r="M211" s="301" t="str">
        <f>'PLAN INDICATIVO'!M211</f>
        <v>Secretaría de Gobierno</v>
      </c>
      <c r="N211" s="1513" t="s">
        <v>5126</v>
      </c>
      <c r="O211" s="1372" t="str">
        <f>'PLAN INDICATIVO'!O211</f>
        <v>Mantenimiento</v>
      </c>
      <c r="P211" s="16" t="str">
        <f>'PLAN INDICATIVO'!P211</f>
        <v>Mantener actualizada 1 caracterización de la población indígena cada año</v>
      </c>
      <c r="Q211" s="302" t="str">
        <f>'PLAN INDICATIVO'!Q211</f>
        <v>No. De Caracterización realizada por año</v>
      </c>
      <c r="R211" s="303">
        <f>'PLAN INDICATIVO'!R211</f>
        <v>2015</v>
      </c>
      <c r="S211" s="304">
        <v>0</v>
      </c>
      <c r="T211" s="699">
        <v>1</v>
      </c>
      <c r="U211" s="934">
        <v>0.25</v>
      </c>
      <c r="V211" s="687">
        <v>7000000</v>
      </c>
      <c r="W211" s="934">
        <v>0.25</v>
      </c>
      <c r="X211" s="687">
        <v>2660000</v>
      </c>
      <c r="Y211" s="1238">
        <v>0.25</v>
      </c>
      <c r="Z211" s="1233">
        <v>2660000</v>
      </c>
      <c r="AA211" s="1311">
        <v>0.25</v>
      </c>
      <c r="AB211" s="686">
        <v>4000000</v>
      </c>
      <c r="AC211" s="669"/>
      <c r="AD211" s="669">
        <v>0.25</v>
      </c>
      <c r="AE211" s="669">
        <v>0.25</v>
      </c>
      <c r="AF211" s="669">
        <v>0.25</v>
      </c>
      <c r="AG211" s="341" t="s">
        <v>5144</v>
      </c>
      <c r="AH211" s="987">
        <v>20194139600012</v>
      </c>
      <c r="AI211" s="962" t="s">
        <v>4794</v>
      </c>
      <c r="AJ211" s="309">
        <v>43497</v>
      </c>
      <c r="AK211" s="363">
        <v>43799</v>
      </c>
      <c r="AL211" s="358"/>
      <c r="AM211" s="358"/>
      <c r="AN211" s="267" t="s">
        <v>2598</v>
      </c>
      <c r="AO211" s="512"/>
      <c r="AP211" s="525"/>
      <c r="AQ211" s="310"/>
      <c r="AR211" s="310"/>
      <c r="AS211" s="310"/>
      <c r="AT211" s="310"/>
      <c r="AU211" s="310"/>
      <c r="AV211" s="310"/>
      <c r="AW211" s="544"/>
      <c r="AX211" s="525"/>
      <c r="AY211" s="310"/>
      <c r="AZ211" s="310"/>
      <c r="BA211" s="310"/>
      <c r="BB211" s="310"/>
      <c r="BC211" s="310"/>
      <c r="BD211" s="310"/>
      <c r="BE211" s="544"/>
      <c r="BF211" s="525"/>
      <c r="BG211" s="310"/>
      <c r="BH211" s="310"/>
      <c r="BI211" s="310"/>
      <c r="BJ211" s="310"/>
      <c r="BK211" s="310"/>
      <c r="BL211" s="310"/>
      <c r="BM211" s="544">
        <f t="shared" si="73"/>
        <v>0</v>
      </c>
      <c r="BN211" s="310"/>
      <c r="BO211" s="310"/>
      <c r="BP211" s="310"/>
      <c r="BQ211" s="310"/>
      <c r="BR211" s="310"/>
      <c r="BS211" s="310"/>
      <c r="BT211" s="310"/>
      <c r="BU211" s="544"/>
      <c r="BV211" s="556"/>
      <c r="BW211" s="663">
        <f t="shared" si="98"/>
        <v>0.75</v>
      </c>
      <c r="BX211" s="1047">
        <f t="shared" ref="BX211:BX275" si="99">BW211/T211</f>
        <v>0.75</v>
      </c>
      <c r="BY211" s="1047">
        <f t="shared" ref="BY211:BY218" si="100">IF(U211&gt;=0.1,AC211/U211,IF(ISBLANK(U211),"No Programada","Aplazada"))</f>
        <v>0</v>
      </c>
      <c r="BZ211" s="1047">
        <f t="shared" ref="BZ211:BZ218" si="101">IF(W211&gt;=0.1,AD211/W211,IF(ISBLANK(W211),"No Programada","Aplazada"))</f>
        <v>1</v>
      </c>
      <c r="CA211" s="1047">
        <f t="shared" ref="CA211:CA218" si="102">IF(Y211&gt;=0.1,AE211/Y211,IF(ISBLANK(Y211),"No Programada","Aplazada"))</f>
        <v>1</v>
      </c>
      <c r="CB211" s="1047">
        <f t="shared" ref="CB211:CB218" si="103">IF(AA211&gt;=0.1,AF211/AA211,IF(ISBLANK(AA211),"No Programada","Aplazada"))</f>
        <v>1</v>
      </c>
      <c r="CD211" t="str">
        <f t="shared" ref="CD211:CG218" si="104">IF(BY211="PARA MODIFICAR","M",IF(BY211="PARA ELIMINAR","E",IF(BY211="aplazada","AZ",IF(BY211="no programada","NP",IF(BY211&gt;=85%,"VE",IF(BY211&gt;70%,"VEB",IF(BY211&gt;60%,"AM",IF(BY211&gt;40%,"AMB",IF(BY211&gt;20%,"RO",IF(BY211&gt;=0%,"ROB",""))))))))))</f>
        <v>ROB</v>
      </c>
      <c r="CE211" t="str">
        <f t="shared" si="104"/>
        <v>VE</v>
      </c>
      <c r="CF211" t="str">
        <f t="shared" si="104"/>
        <v>VE</v>
      </c>
      <c r="CG211" t="str">
        <f t="shared" si="104"/>
        <v>VE</v>
      </c>
    </row>
    <row r="212" spans="1:85" ht="63" hidden="1" customHeight="1" x14ac:dyDescent="0.25">
      <c r="A212" s="298" t="s">
        <v>491</v>
      </c>
      <c r="B212" s="299" t="str">
        <f>'PLAN INDICATIVO'!B212</f>
        <v>Atención a grupos vulnerables - promoción social</v>
      </c>
      <c r="C212" s="1559"/>
      <c r="D212" s="1549"/>
      <c r="E212" s="1549"/>
      <c r="F212" s="1549"/>
      <c r="G212" s="1549"/>
      <c r="H212" s="1549"/>
      <c r="I212" s="300">
        <f>'PLAN INDICATIVO'!I212</f>
        <v>0</v>
      </c>
      <c r="J212" s="300">
        <f>'PLAN INDICATIVO'!J212</f>
        <v>0</v>
      </c>
      <c r="K212" s="1428" t="str">
        <f>'PLAN INDICATIVO'!K212</f>
        <v>A.14.5.2</v>
      </c>
      <c r="L212" s="301" t="str">
        <f>'PLAN INDICATIVO'!L212</f>
        <v>10. Reducción de las desigualdades</v>
      </c>
      <c r="M212" s="301" t="str">
        <f>'PLAN INDICATIVO'!M212</f>
        <v>Secretaría de Gobierno</v>
      </c>
      <c r="N212" s="1513" t="s">
        <v>5126</v>
      </c>
      <c r="O212" s="1372" t="str">
        <f>'PLAN INDICATIVO'!O212</f>
        <v>Incremento</v>
      </c>
      <c r="P212" s="16" t="str">
        <f>'PLAN INDICATIVO'!P212</f>
        <v>Realizar 2 Capacitaciones dirigidas a funcionarios municipales sobre promoción de derechos étnicos durante el cuatrienio</v>
      </c>
      <c r="Q212" s="302" t="str">
        <f>'PLAN INDICATIVO'!Q212</f>
        <v>No. De capacitaciones realizadas</v>
      </c>
      <c r="R212" s="303">
        <f>'PLAN INDICATIVO'!R212</f>
        <v>2015</v>
      </c>
      <c r="S212" s="304">
        <v>0</v>
      </c>
      <c r="T212" s="699">
        <v>2</v>
      </c>
      <c r="U212" s="303">
        <v>0</v>
      </c>
      <c r="V212" s="687">
        <v>0</v>
      </c>
      <c r="W212" s="303">
        <v>0</v>
      </c>
      <c r="X212" s="687"/>
      <c r="Y212" s="286">
        <v>1</v>
      </c>
      <c r="Z212" s="1233">
        <v>500000</v>
      </c>
      <c r="AA212" s="291"/>
      <c r="AB212" s="686"/>
      <c r="AC212" s="669"/>
      <c r="AD212" s="669"/>
      <c r="AE212" s="669">
        <v>1</v>
      </c>
      <c r="AF212" s="669"/>
      <c r="AG212" s="341" t="s">
        <v>5144</v>
      </c>
      <c r="AH212" s="987">
        <v>20194139600012</v>
      </c>
      <c r="AI212" s="355"/>
      <c r="AJ212" s="309"/>
      <c r="AK212" s="359"/>
      <c r="AL212" s="358"/>
      <c r="AM212" s="358"/>
      <c r="AN212" s="267" t="s">
        <v>2598</v>
      </c>
      <c r="AO212" s="512"/>
      <c r="AP212" s="525"/>
      <c r="AQ212" s="310"/>
      <c r="AR212" s="310"/>
      <c r="AS212" s="310"/>
      <c r="AT212" s="310"/>
      <c r="AU212" s="310"/>
      <c r="AV212" s="310"/>
      <c r="AW212" s="544"/>
      <c r="AX212" s="525"/>
      <c r="AY212" s="310"/>
      <c r="AZ212" s="310"/>
      <c r="BA212" s="310"/>
      <c r="BB212" s="310"/>
      <c r="BC212" s="310"/>
      <c r="BD212" s="310"/>
      <c r="BE212" s="544"/>
      <c r="BF212" s="525"/>
      <c r="BG212" s="310"/>
      <c r="BH212" s="310"/>
      <c r="BI212" s="310"/>
      <c r="BJ212" s="310"/>
      <c r="BK212" s="310"/>
      <c r="BL212" s="310"/>
      <c r="BM212" s="544">
        <f t="shared" si="73"/>
        <v>0</v>
      </c>
      <c r="BN212" s="310"/>
      <c r="BO212" s="310"/>
      <c r="BP212" s="310"/>
      <c r="BQ212" s="310"/>
      <c r="BR212" s="310"/>
      <c r="BS212" s="310"/>
      <c r="BT212" s="310"/>
      <c r="BU212" s="544"/>
      <c r="BV212" s="556"/>
      <c r="BW212" s="663">
        <f t="shared" si="98"/>
        <v>1</v>
      </c>
      <c r="BX212" s="1047">
        <f t="shared" si="99"/>
        <v>0.5</v>
      </c>
      <c r="BY212" s="1047" t="str">
        <f t="shared" si="100"/>
        <v>Aplazada</v>
      </c>
      <c r="BZ212" s="1047" t="str">
        <f t="shared" si="101"/>
        <v>Aplazada</v>
      </c>
      <c r="CA212" s="1047">
        <f t="shared" si="102"/>
        <v>1</v>
      </c>
      <c r="CB212" s="1047" t="str">
        <f t="shared" si="103"/>
        <v>No Programada</v>
      </c>
      <c r="CD212" t="str">
        <f t="shared" si="104"/>
        <v>AZ</v>
      </c>
      <c r="CE212" t="str">
        <f t="shared" si="104"/>
        <v>AZ</v>
      </c>
      <c r="CF212" t="str">
        <f t="shared" si="104"/>
        <v>VE</v>
      </c>
      <c r="CG212" t="str">
        <f t="shared" si="104"/>
        <v>NP</v>
      </c>
    </row>
    <row r="213" spans="1:85" ht="89.25" customHeight="1" x14ac:dyDescent="0.3">
      <c r="A213" s="298" t="s">
        <v>491</v>
      </c>
      <c r="B213" s="299" t="str">
        <f>'PLAN INDICATIVO'!B213</f>
        <v>Atención a grupos vulnerables - promoción social</v>
      </c>
      <c r="C213" s="1559"/>
      <c r="D213" s="1549"/>
      <c r="E213" s="1549"/>
      <c r="F213" s="1549"/>
      <c r="G213" s="1549"/>
      <c r="H213" s="1549"/>
      <c r="I213" s="300">
        <f>'PLAN INDICATIVO'!I213</f>
        <v>0</v>
      </c>
      <c r="J213" s="300">
        <f>'PLAN INDICATIVO'!J213</f>
        <v>0</v>
      </c>
      <c r="K213" s="1428" t="str">
        <f>'PLAN INDICATIVO'!K213</f>
        <v>A.14.5.3</v>
      </c>
      <c r="L213" s="301" t="str">
        <f>'PLAN INDICATIVO'!L213</f>
        <v>10. Reducción de las desigualdades</v>
      </c>
      <c r="M213" s="301" t="str">
        <f>'PLAN INDICATIVO'!M213</f>
        <v>Secretaría de Gobierno</v>
      </c>
      <c r="N213" s="1513" t="s">
        <v>5126</v>
      </c>
      <c r="O213" s="1372" t="str">
        <f>'PLAN INDICATIVO'!O213</f>
        <v>Incremento</v>
      </c>
      <c r="P213" s="16" t="str">
        <f>'PLAN INDICATIVO'!P213</f>
        <v>Adelantar 2 procesos en el cuatrienio  para que la población Étnica obtengan recursos  para el fortalecimiento de los sectores</v>
      </c>
      <c r="Q213" s="302" t="str">
        <f>'PLAN INDICATIVO'!Q213</f>
        <v>No. De procesos ejecutados</v>
      </c>
      <c r="R213" s="303">
        <f>'PLAN INDICATIVO'!R213</f>
        <v>2015</v>
      </c>
      <c r="S213" s="304">
        <v>0</v>
      </c>
      <c r="T213" s="699">
        <v>2</v>
      </c>
      <c r="U213" s="303">
        <v>1</v>
      </c>
      <c r="V213" s="687">
        <v>1000000</v>
      </c>
      <c r="W213" s="303">
        <v>1</v>
      </c>
      <c r="X213" s="687">
        <v>1000000</v>
      </c>
      <c r="Y213" s="286">
        <v>1</v>
      </c>
      <c r="Z213" s="1233">
        <v>500000</v>
      </c>
      <c r="AA213" s="291"/>
      <c r="AB213" s="686">
        <v>4000000</v>
      </c>
      <c r="AC213" s="669"/>
      <c r="AD213" s="669">
        <v>1</v>
      </c>
      <c r="AE213" s="669">
        <v>1</v>
      </c>
      <c r="AF213" s="669"/>
      <c r="AG213" s="341" t="s">
        <v>5144</v>
      </c>
      <c r="AH213" s="987">
        <v>20194139600012</v>
      </c>
      <c r="AI213" s="355"/>
      <c r="AJ213" s="309"/>
      <c r="AK213" s="363"/>
      <c r="AL213" s="358"/>
      <c r="AM213" s="358"/>
      <c r="AN213" s="267" t="s">
        <v>2598</v>
      </c>
      <c r="AO213" s="512"/>
      <c r="AP213" s="525"/>
      <c r="AQ213" s="310"/>
      <c r="AR213" s="310"/>
      <c r="AS213" s="310"/>
      <c r="AT213" s="310"/>
      <c r="AU213" s="310"/>
      <c r="AV213" s="310"/>
      <c r="AW213" s="544"/>
      <c r="AX213" s="525"/>
      <c r="AY213" s="310"/>
      <c r="AZ213" s="310"/>
      <c r="BA213" s="310"/>
      <c r="BB213" s="310"/>
      <c r="BC213" s="310"/>
      <c r="BD213" s="310"/>
      <c r="BE213" s="544"/>
      <c r="BF213" s="525"/>
      <c r="BG213" s="310"/>
      <c r="BH213" s="310"/>
      <c r="BI213" s="310"/>
      <c r="BJ213" s="310"/>
      <c r="BK213" s="310"/>
      <c r="BL213" s="310"/>
      <c r="BM213" s="544">
        <f t="shared" si="73"/>
        <v>0</v>
      </c>
      <c r="BN213" s="310"/>
      <c r="BO213" s="310"/>
      <c r="BP213" s="310"/>
      <c r="BQ213" s="310"/>
      <c r="BR213" s="310"/>
      <c r="BS213" s="310"/>
      <c r="BT213" s="310"/>
      <c r="BU213" s="544"/>
      <c r="BV213" s="556"/>
      <c r="BW213" s="663">
        <f t="shared" si="98"/>
        <v>2</v>
      </c>
      <c r="BX213" s="1047">
        <f t="shared" si="99"/>
        <v>1</v>
      </c>
      <c r="BY213" s="1047">
        <f t="shared" si="100"/>
        <v>0</v>
      </c>
      <c r="BZ213" s="1047">
        <f t="shared" si="101"/>
        <v>1</v>
      </c>
      <c r="CA213" s="1047">
        <f t="shared" si="102"/>
        <v>1</v>
      </c>
      <c r="CB213" s="1047" t="str">
        <f t="shared" si="103"/>
        <v>No Programada</v>
      </c>
      <c r="CD213" t="str">
        <f t="shared" si="104"/>
        <v>ROB</v>
      </c>
      <c r="CE213" t="str">
        <f t="shared" si="104"/>
        <v>VE</v>
      </c>
      <c r="CF213" t="str">
        <f t="shared" si="104"/>
        <v>VE</v>
      </c>
      <c r="CG213" t="str">
        <f t="shared" si="104"/>
        <v>NP</v>
      </c>
    </row>
    <row r="214" spans="1:85" ht="106.5" hidden="1" customHeight="1" x14ac:dyDescent="0.25">
      <c r="A214" s="298" t="s">
        <v>491</v>
      </c>
      <c r="B214" s="299" t="str">
        <f>'PLAN INDICATIVO'!B214</f>
        <v>Atención a grupos vulnerables - promoción social</v>
      </c>
      <c r="C214" s="1559"/>
      <c r="D214" s="1549"/>
      <c r="E214" s="1549"/>
      <c r="F214" s="1549"/>
      <c r="G214" s="1549"/>
      <c r="H214" s="1549"/>
      <c r="I214" s="300">
        <f>'PLAN INDICATIVO'!I214</f>
        <v>0</v>
      </c>
      <c r="J214" s="300">
        <f>'PLAN INDICATIVO'!J214</f>
        <v>0</v>
      </c>
      <c r="K214" s="1428" t="str">
        <f>'PLAN INDICATIVO'!K214</f>
        <v>A.14.5.4</v>
      </c>
      <c r="L214" s="301" t="str">
        <f>'PLAN INDICATIVO'!L214</f>
        <v>10. Reducción de las desigualdades</v>
      </c>
      <c r="M214" s="301" t="str">
        <f>'PLAN INDICATIVO'!M214</f>
        <v>Secretaría de Gobierno</v>
      </c>
      <c r="N214" s="1513" t="s">
        <v>5126</v>
      </c>
      <c r="O214" s="1372" t="str">
        <f>'PLAN INDICATIVO'!O214</f>
        <v>Incremento</v>
      </c>
      <c r="P214" s="16" t="str">
        <f>'PLAN INDICATIVO'!P214</f>
        <v>implementar 2 estrategias durante el cuatrienio para fortalecer costumbres y vivencias de la población indígena y afro</v>
      </c>
      <c r="Q214" s="302" t="str">
        <f>'PLAN INDICATIVO'!Q214</f>
        <v>No. De Estrategia Implementada</v>
      </c>
      <c r="R214" s="303">
        <f>'PLAN INDICATIVO'!R214</f>
        <v>2015</v>
      </c>
      <c r="S214" s="304">
        <v>0</v>
      </c>
      <c r="T214" s="699">
        <v>2</v>
      </c>
      <c r="U214" s="303">
        <v>1</v>
      </c>
      <c r="V214" s="687">
        <v>0</v>
      </c>
      <c r="W214" s="303">
        <v>1</v>
      </c>
      <c r="X214" s="687"/>
      <c r="Y214" s="286"/>
      <c r="Z214" s="1233">
        <v>500000</v>
      </c>
      <c r="AA214" s="291"/>
      <c r="AB214" s="686"/>
      <c r="AC214" s="669"/>
      <c r="AD214" s="669">
        <v>1</v>
      </c>
      <c r="AE214" s="669"/>
      <c r="AF214" s="669"/>
      <c r="AG214" s="341" t="s">
        <v>5144</v>
      </c>
      <c r="AH214" s="987">
        <v>20194139600012</v>
      </c>
      <c r="AI214" s="355"/>
      <c r="AJ214" s="309"/>
      <c r="AK214" s="363"/>
      <c r="AL214" s="358"/>
      <c r="AM214" s="358"/>
      <c r="AN214" s="267" t="s">
        <v>2594</v>
      </c>
      <c r="AO214" s="512"/>
      <c r="AP214" s="525"/>
      <c r="AQ214" s="310"/>
      <c r="AR214" s="310"/>
      <c r="AS214" s="310"/>
      <c r="AT214" s="310"/>
      <c r="AU214" s="310"/>
      <c r="AV214" s="310"/>
      <c r="AW214" s="544"/>
      <c r="AX214" s="525"/>
      <c r="AY214" s="310"/>
      <c r="AZ214" s="310"/>
      <c r="BA214" s="310"/>
      <c r="BB214" s="310"/>
      <c r="BC214" s="310"/>
      <c r="BD214" s="310"/>
      <c r="BE214" s="544"/>
      <c r="BF214" s="525"/>
      <c r="BG214" s="310"/>
      <c r="BH214" s="310"/>
      <c r="BI214" s="310"/>
      <c r="BJ214" s="310"/>
      <c r="BK214" s="310"/>
      <c r="BL214" s="310"/>
      <c r="BM214" s="544">
        <f t="shared" si="73"/>
        <v>0</v>
      </c>
      <c r="BN214" s="310"/>
      <c r="BO214" s="310"/>
      <c r="BP214" s="310"/>
      <c r="BQ214" s="310"/>
      <c r="BR214" s="310"/>
      <c r="BS214" s="310"/>
      <c r="BT214" s="310"/>
      <c r="BU214" s="544"/>
      <c r="BV214" s="556"/>
      <c r="BW214" s="663">
        <f t="shared" si="98"/>
        <v>1</v>
      </c>
      <c r="BX214" s="1047">
        <f t="shared" si="99"/>
        <v>0.5</v>
      </c>
      <c r="BY214" s="1047">
        <f t="shared" si="100"/>
        <v>0</v>
      </c>
      <c r="BZ214" s="1047">
        <f t="shared" si="101"/>
        <v>1</v>
      </c>
      <c r="CA214" s="1047" t="str">
        <f t="shared" si="102"/>
        <v>No Programada</v>
      </c>
      <c r="CB214" s="1047" t="str">
        <f t="shared" si="103"/>
        <v>No Programada</v>
      </c>
      <c r="CD214" t="str">
        <f t="shared" si="104"/>
        <v>ROB</v>
      </c>
      <c r="CE214" t="str">
        <f t="shared" si="104"/>
        <v>VE</v>
      </c>
      <c r="CF214" t="str">
        <f t="shared" si="104"/>
        <v>NP</v>
      </c>
      <c r="CG214" t="str">
        <f t="shared" si="104"/>
        <v>NP</v>
      </c>
    </row>
    <row r="215" spans="1:85" ht="96" hidden="1" customHeight="1" x14ac:dyDescent="0.25">
      <c r="A215" s="298" t="s">
        <v>491</v>
      </c>
      <c r="B215" s="299" t="str">
        <f>'PLAN INDICATIVO'!B215</f>
        <v>Atención a grupos vulnerables - promoción social</v>
      </c>
      <c r="C215" s="1559"/>
      <c r="D215" s="1549"/>
      <c r="E215" s="1549"/>
      <c r="F215" s="1549"/>
      <c r="G215" s="1549"/>
      <c r="H215" s="1549"/>
      <c r="I215" s="300">
        <f>'PLAN INDICATIVO'!I215</f>
        <v>0</v>
      </c>
      <c r="J215" s="300">
        <f>'PLAN INDICATIVO'!J215</f>
        <v>0</v>
      </c>
      <c r="K215" s="1428" t="str">
        <f>'PLAN INDICATIVO'!K215</f>
        <v>A.14.5.5</v>
      </c>
      <c r="L215" s="301" t="str">
        <f>'PLAN INDICATIVO'!L215</f>
        <v>10. Reducción de las desigualdades</v>
      </c>
      <c r="M215" s="301" t="str">
        <f>'PLAN INDICATIVO'!M215</f>
        <v>Secretaría de Gobierno</v>
      </c>
      <c r="N215" s="1513" t="s">
        <v>5126</v>
      </c>
      <c r="O215" s="1372" t="str">
        <f>'PLAN INDICATIVO'!O215</f>
        <v>Incremento</v>
      </c>
      <c r="P215" s="16" t="str">
        <f>'PLAN INDICATIVO'!P215</f>
        <v>Realizar 2 planes de capacitación con enfoque diferencial étnico para cualificación del recurso humano durante el cuatrienio</v>
      </c>
      <c r="Q215" s="302" t="str">
        <f>'PLAN INDICATIVO'!Q215</f>
        <v>No. De planes de Capacitación realizadas</v>
      </c>
      <c r="R215" s="303">
        <f>'PLAN INDICATIVO'!R215</f>
        <v>2015</v>
      </c>
      <c r="S215" s="304">
        <v>0</v>
      </c>
      <c r="T215" s="699">
        <v>2</v>
      </c>
      <c r="U215" s="303">
        <v>1</v>
      </c>
      <c r="V215" s="687">
        <v>1000000</v>
      </c>
      <c r="W215" s="303">
        <v>0</v>
      </c>
      <c r="X215" s="687">
        <v>1000000</v>
      </c>
      <c r="Y215" s="286">
        <v>1</v>
      </c>
      <c r="Z215" s="1233"/>
      <c r="AA215" s="291"/>
      <c r="AB215" s="686"/>
      <c r="AC215" s="669"/>
      <c r="AD215" s="669">
        <v>1</v>
      </c>
      <c r="AE215" s="669">
        <v>1</v>
      </c>
      <c r="AF215" s="669"/>
      <c r="AG215" s="341" t="s">
        <v>5144</v>
      </c>
      <c r="AH215" s="987">
        <v>20194139600012</v>
      </c>
      <c r="AI215" s="355"/>
      <c r="AJ215" s="309">
        <v>43497</v>
      </c>
      <c r="AK215" s="363">
        <v>43707</v>
      </c>
      <c r="AL215" s="358"/>
      <c r="AM215" s="358"/>
      <c r="AN215" s="267" t="s">
        <v>2598</v>
      </c>
      <c r="AO215" s="512"/>
      <c r="AP215" s="525"/>
      <c r="AQ215" s="310"/>
      <c r="AR215" s="310"/>
      <c r="AS215" s="310"/>
      <c r="AT215" s="310"/>
      <c r="AU215" s="310"/>
      <c r="AV215" s="310"/>
      <c r="AW215" s="544"/>
      <c r="AX215" s="525"/>
      <c r="AY215" s="310"/>
      <c r="AZ215" s="310"/>
      <c r="BA215" s="310"/>
      <c r="BB215" s="310"/>
      <c r="BC215" s="310"/>
      <c r="BD215" s="310"/>
      <c r="BE215" s="544"/>
      <c r="BF215" s="525"/>
      <c r="BG215" s="310"/>
      <c r="BH215" s="310"/>
      <c r="BI215" s="310"/>
      <c r="BJ215" s="310"/>
      <c r="BK215" s="310"/>
      <c r="BL215" s="310"/>
      <c r="BM215" s="544">
        <f t="shared" si="73"/>
        <v>0</v>
      </c>
      <c r="BN215" s="310"/>
      <c r="BO215" s="310"/>
      <c r="BP215" s="310"/>
      <c r="BQ215" s="310"/>
      <c r="BR215" s="310"/>
      <c r="BS215" s="310"/>
      <c r="BT215" s="310"/>
      <c r="BU215" s="544"/>
      <c r="BV215" s="556"/>
      <c r="BW215" s="663">
        <f t="shared" si="98"/>
        <v>2</v>
      </c>
      <c r="BX215" s="1047">
        <f t="shared" si="99"/>
        <v>1</v>
      </c>
      <c r="BY215" s="1047">
        <f t="shared" si="100"/>
        <v>0</v>
      </c>
      <c r="BZ215" s="1047" t="str">
        <f t="shared" si="101"/>
        <v>Aplazada</v>
      </c>
      <c r="CA215" s="1047">
        <f t="shared" si="102"/>
        <v>1</v>
      </c>
      <c r="CB215" s="1047" t="str">
        <f t="shared" si="103"/>
        <v>No Programada</v>
      </c>
      <c r="CD215" t="str">
        <f t="shared" si="104"/>
        <v>ROB</v>
      </c>
      <c r="CE215" t="str">
        <f t="shared" si="104"/>
        <v>AZ</v>
      </c>
      <c r="CF215" t="str">
        <f t="shared" si="104"/>
        <v>VE</v>
      </c>
      <c r="CG215" t="str">
        <f t="shared" si="104"/>
        <v>NP</v>
      </c>
    </row>
    <row r="216" spans="1:85" ht="73.5" customHeight="1" x14ac:dyDescent="0.3">
      <c r="A216" s="298" t="s">
        <v>491</v>
      </c>
      <c r="B216" s="299" t="str">
        <f>'PLAN INDICATIVO'!B216</f>
        <v>Atención a grupos vulnerables - promoción social</v>
      </c>
      <c r="C216" s="1559"/>
      <c r="D216" s="1549"/>
      <c r="E216" s="1549"/>
      <c r="F216" s="1549"/>
      <c r="G216" s="1549"/>
      <c r="H216" s="1549"/>
      <c r="I216" s="300">
        <f>'PLAN INDICATIVO'!I216</f>
        <v>0</v>
      </c>
      <c r="J216" s="300">
        <f>'PLAN INDICATIVO'!J216</f>
        <v>0</v>
      </c>
      <c r="K216" s="1428" t="str">
        <f>'PLAN INDICATIVO'!K216</f>
        <v>A.14.5.6</v>
      </c>
      <c r="L216" s="301" t="str">
        <f>'PLAN INDICATIVO'!L216</f>
        <v>10. Reducción de las desigualdades</v>
      </c>
      <c r="M216" s="301" t="str">
        <f>'PLAN INDICATIVO'!M216</f>
        <v>Secretaría de Gobierno</v>
      </c>
      <c r="N216" s="1513" t="s">
        <v>5126</v>
      </c>
      <c r="O216" s="1372" t="str">
        <f>'PLAN INDICATIVO'!O216</f>
        <v>Mantenimiento</v>
      </c>
      <c r="P216" s="16" t="str">
        <f>'PLAN INDICATIVO'!P216</f>
        <v>Realizar 1 actividad anual de enriquecimiento de la cultura ancestral</v>
      </c>
      <c r="Q216" s="302" t="str">
        <f>'PLAN INDICATIVO'!Q216</f>
        <v>No. De Actividad realizada por año</v>
      </c>
      <c r="R216" s="303">
        <f>'PLAN INDICATIVO'!R216</f>
        <v>2015</v>
      </c>
      <c r="S216" s="304">
        <v>0</v>
      </c>
      <c r="T216" s="699">
        <v>1</v>
      </c>
      <c r="U216" s="934">
        <v>0.25</v>
      </c>
      <c r="V216" s="687">
        <v>2000000</v>
      </c>
      <c r="W216" s="934">
        <v>0.25</v>
      </c>
      <c r="X216" s="687">
        <v>2000000</v>
      </c>
      <c r="Y216" s="1238">
        <v>0.25</v>
      </c>
      <c r="Z216" s="1233">
        <v>2000000</v>
      </c>
      <c r="AA216" s="1311">
        <v>0.25</v>
      </c>
      <c r="AB216" s="686">
        <v>3000000</v>
      </c>
      <c r="AC216" s="669"/>
      <c r="AD216" s="669">
        <v>0.25</v>
      </c>
      <c r="AE216" s="669">
        <v>0.25</v>
      </c>
      <c r="AF216" s="669">
        <v>0.25</v>
      </c>
      <c r="AG216" s="341" t="s">
        <v>5144</v>
      </c>
      <c r="AH216" s="987">
        <v>20194139600012</v>
      </c>
      <c r="AI216" s="355" t="s">
        <v>4793</v>
      </c>
      <c r="AJ216" s="309">
        <v>43497</v>
      </c>
      <c r="AK216" s="363">
        <v>43434</v>
      </c>
      <c r="AL216" s="358"/>
      <c r="AM216" s="358"/>
      <c r="AN216" s="267" t="s">
        <v>2598</v>
      </c>
      <c r="AO216" s="512"/>
      <c r="AP216" s="525"/>
      <c r="AQ216" s="310"/>
      <c r="AR216" s="310"/>
      <c r="AS216" s="310"/>
      <c r="AT216" s="310"/>
      <c r="AU216" s="310"/>
      <c r="AV216" s="310"/>
      <c r="AW216" s="544"/>
      <c r="AX216" s="525"/>
      <c r="AY216" s="310"/>
      <c r="AZ216" s="310"/>
      <c r="BA216" s="310"/>
      <c r="BB216" s="310"/>
      <c r="BC216" s="310"/>
      <c r="BD216" s="310"/>
      <c r="BE216" s="544"/>
      <c r="BF216" s="525"/>
      <c r="BG216" s="310"/>
      <c r="BH216" s="310"/>
      <c r="BI216" s="310"/>
      <c r="BJ216" s="310"/>
      <c r="BK216" s="310"/>
      <c r="BL216" s="310"/>
      <c r="BM216" s="544">
        <f t="shared" si="73"/>
        <v>0</v>
      </c>
      <c r="BN216" s="310"/>
      <c r="BO216" s="310"/>
      <c r="BP216" s="310"/>
      <c r="BQ216" s="310"/>
      <c r="BR216" s="310"/>
      <c r="BS216" s="310"/>
      <c r="BT216" s="310"/>
      <c r="BU216" s="544"/>
      <c r="BV216" s="556"/>
      <c r="BW216" s="663">
        <f t="shared" si="98"/>
        <v>0.75</v>
      </c>
      <c r="BX216" s="1047">
        <f t="shared" si="99"/>
        <v>0.75</v>
      </c>
      <c r="BY216" s="1047">
        <f t="shared" si="100"/>
        <v>0</v>
      </c>
      <c r="BZ216" s="1047">
        <f t="shared" si="101"/>
        <v>1</v>
      </c>
      <c r="CA216" s="1047">
        <f t="shared" si="102"/>
        <v>1</v>
      </c>
      <c r="CB216" s="1047">
        <f t="shared" si="103"/>
        <v>1</v>
      </c>
      <c r="CD216" t="str">
        <f t="shared" si="104"/>
        <v>ROB</v>
      </c>
      <c r="CE216" t="str">
        <f t="shared" si="104"/>
        <v>VE</v>
      </c>
      <c r="CF216" t="str">
        <f t="shared" si="104"/>
        <v>VE</v>
      </c>
      <c r="CG216" t="str">
        <f t="shared" si="104"/>
        <v>VE</v>
      </c>
    </row>
    <row r="217" spans="1:85" ht="75.75" hidden="1" customHeight="1" x14ac:dyDescent="0.25">
      <c r="A217" s="298" t="s">
        <v>491</v>
      </c>
      <c r="B217" s="299" t="str">
        <f>'PLAN INDICATIVO'!B217</f>
        <v>Atención a grupos vulnerables - promoción social</v>
      </c>
      <c r="C217" s="1559"/>
      <c r="D217" s="1549"/>
      <c r="E217" s="1549"/>
      <c r="F217" s="1549"/>
      <c r="G217" s="1549"/>
      <c r="H217" s="1549"/>
      <c r="I217" s="371">
        <f>'PLAN INDICATIVO'!I217</f>
        <v>0</v>
      </c>
      <c r="J217" s="371">
        <f>'PLAN INDICATIVO'!J217</f>
        <v>0</v>
      </c>
      <c r="K217" s="1428" t="str">
        <f>'PLAN INDICATIVO'!K217</f>
        <v>A.14.5.7</v>
      </c>
      <c r="L217" s="301" t="str">
        <f>'PLAN INDICATIVO'!L217</f>
        <v>10. Reducción de las desigualdades</v>
      </c>
      <c r="M217" s="301" t="str">
        <f>'PLAN INDICATIVO'!M217</f>
        <v>Secretaría de Gobierno</v>
      </c>
      <c r="N217" s="1513" t="s">
        <v>5126</v>
      </c>
      <c r="O217" s="1372" t="str">
        <f>'PLAN INDICATIVO'!O217</f>
        <v>Incremento</v>
      </c>
      <c r="P217" s="71" t="str">
        <f>'PLAN INDICATIVO'!P217</f>
        <v>Realizar 2 proyectos de infraestructura durante el cuatrienio con destino a la población indígena</v>
      </c>
      <c r="Q217" s="345" t="str">
        <f>'PLAN INDICATIVO'!Q217</f>
        <v>No. De proyectos realizados</v>
      </c>
      <c r="R217" s="346">
        <f>'PLAN INDICATIVO'!R217</f>
        <v>2015</v>
      </c>
      <c r="S217" s="342">
        <v>0</v>
      </c>
      <c r="T217" s="704">
        <v>2</v>
      </c>
      <c r="U217" s="346">
        <v>1</v>
      </c>
      <c r="V217" s="687">
        <v>1000000</v>
      </c>
      <c r="W217" s="346">
        <v>1</v>
      </c>
      <c r="X217" s="687">
        <v>6000000</v>
      </c>
      <c r="Y217" s="1240">
        <v>1</v>
      </c>
      <c r="Z217" s="1233">
        <v>6000000</v>
      </c>
      <c r="AA217" s="1312"/>
      <c r="AB217" s="686"/>
      <c r="AC217" s="670"/>
      <c r="AD217" s="670">
        <v>1</v>
      </c>
      <c r="AE217" s="670">
        <v>1</v>
      </c>
      <c r="AF217" s="670"/>
      <c r="AG217" s="341" t="s">
        <v>5144</v>
      </c>
      <c r="AH217" s="987">
        <v>20194139600012</v>
      </c>
      <c r="AI217" s="361"/>
      <c r="AJ217" s="309"/>
      <c r="AK217" s="363"/>
      <c r="AL217" s="362"/>
      <c r="AM217" s="362"/>
      <c r="AN217" s="267" t="s">
        <v>2598</v>
      </c>
      <c r="AO217" s="513"/>
      <c r="AP217" s="528"/>
      <c r="AQ217" s="472"/>
      <c r="AR217" s="472"/>
      <c r="AS217" s="472"/>
      <c r="AT217" s="472"/>
      <c r="AU217" s="472"/>
      <c r="AV217" s="472"/>
      <c r="AW217" s="544"/>
      <c r="AX217" s="528"/>
      <c r="AY217" s="472"/>
      <c r="AZ217" s="472"/>
      <c r="BA217" s="472"/>
      <c r="BB217" s="472"/>
      <c r="BC217" s="472"/>
      <c r="BD217" s="472"/>
      <c r="BE217" s="544"/>
      <c r="BF217" s="528"/>
      <c r="BG217" s="310"/>
      <c r="BH217" s="472"/>
      <c r="BI217" s="472"/>
      <c r="BJ217" s="472"/>
      <c r="BK217" s="472"/>
      <c r="BL217" s="472"/>
      <c r="BM217" s="544">
        <f t="shared" ref="BM217:BM281" si="105">SUM(BF217:BL217)</f>
        <v>0</v>
      </c>
      <c r="BN217" s="528"/>
      <c r="BO217" s="472"/>
      <c r="BP217" s="472"/>
      <c r="BQ217" s="472"/>
      <c r="BR217" s="472"/>
      <c r="BS217" s="472"/>
      <c r="BT217" s="472"/>
      <c r="BU217" s="544"/>
      <c r="BV217" s="556"/>
      <c r="BW217" s="663">
        <f t="shared" si="98"/>
        <v>2</v>
      </c>
      <c r="BX217" s="1047">
        <f t="shared" si="99"/>
        <v>1</v>
      </c>
      <c r="BY217" s="1047">
        <f t="shared" si="100"/>
        <v>0</v>
      </c>
      <c r="BZ217" s="1047">
        <f t="shared" si="101"/>
        <v>1</v>
      </c>
      <c r="CA217" s="1047">
        <f t="shared" si="102"/>
        <v>1</v>
      </c>
      <c r="CB217" s="1047" t="str">
        <f t="shared" si="103"/>
        <v>No Programada</v>
      </c>
      <c r="CD217" t="str">
        <f t="shared" si="104"/>
        <v>ROB</v>
      </c>
      <c r="CE217" t="str">
        <f t="shared" si="104"/>
        <v>VE</v>
      </c>
      <c r="CF217" t="str">
        <f t="shared" si="104"/>
        <v>VE</v>
      </c>
      <c r="CG217" t="str">
        <f t="shared" si="104"/>
        <v>NP</v>
      </c>
    </row>
    <row r="218" spans="1:85" ht="80.25" customHeight="1" x14ac:dyDescent="0.3">
      <c r="A218" s="298" t="s">
        <v>491</v>
      </c>
      <c r="B218" s="299" t="str">
        <f>'PLAN INDICATIVO'!B218</f>
        <v>Atención a grupos vulnerables - promoción social</v>
      </c>
      <c r="C218" s="1559"/>
      <c r="D218" s="1549"/>
      <c r="E218" s="1549"/>
      <c r="F218" s="1549"/>
      <c r="G218" s="1549"/>
      <c r="H218" s="1549"/>
      <c r="I218" s="300">
        <f>'PLAN INDICATIVO'!I218</f>
        <v>0</v>
      </c>
      <c r="J218" s="300">
        <f>'PLAN INDICATIVO'!J218</f>
        <v>0</v>
      </c>
      <c r="K218" s="1428" t="str">
        <f>'PLAN INDICATIVO'!K218</f>
        <v>A.14.5.8</v>
      </c>
      <c r="L218" s="301" t="str">
        <f>'PLAN INDICATIVO'!L218</f>
        <v>10. Reducción de las desigualdades</v>
      </c>
      <c r="M218" s="301" t="str">
        <f>'PLAN INDICATIVO'!M218</f>
        <v>Secretaría de Gobierno</v>
      </c>
      <c r="N218" s="1513" t="s">
        <v>5126</v>
      </c>
      <c r="O218" s="1372" t="str">
        <f>'PLAN INDICATIVO'!O218</f>
        <v>Incremento</v>
      </c>
      <c r="P218" s="16" t="str">
        <f>'PLAN INDICATIVO'!P218</f>
        <v>Realizar 1 foro educativo indígena durante el cuatrienio</v>
      </c>
      <c r="Q218" s="302" t="str">
        <f>'PLAN INDICATIVO'!Q218</f>
        <v>No. De foros realizados</v>
      </c>
      <c r="R218" s="303">
        <f>'PLAN INDICATIVO'!R218</f>
        <v>2015</v>
      </c>
      <c r="S218" s="304">
        <v>0</v>
      </c>
      <c r="T218" s="699">
        <v>1</v>
      </c>
      <c r="U218" s="303">
        <v>0</v>
      </c>
      <c r="V218" s="687">
        <v>0</v>
      </c>
      <c r="W218" s="303">
        <v>0</v>
      </c>
      <c r="X218" s="687"/>
      <c r="Y218" s="286">
        <v>1</v>
      </c>
      <c r="Z218" s="1233">
        <v>500000</v>
      </c>
      <c r="AA218" s="291"/>
      <c r="AB218" s="686">
        <v>4000000</v>
      </c>
      <c r="AC218" s="669"/>
      <c r="AD218" s="669"/>
      <c r="AE218" s="669">
        <v>1</v>
      </c>
      <c r="AF218" s="669"/>
      <c r="AG218" s="341" t="s">
        <v>5144</v>
      </c>
      <c r="AH218" s="987">
        <v>20194139600012</v>
      </c>
      <c r="AI218" s="355"/>
      <c r="AJ218" s="309"/>
      <c r="AK218" s="359"/>
      <c r="AL218" s="358"/>
      <c r="AM218" s="358"/>
      <c r="AN218" s="267" t="s">
        <v>2598</v>
      </c>
      <c r="AO218" s="512"/>
      <c r="AP218" s="525"/>
      <c r="AQ218" s="310"/>
      <c r="AR218" s="310"/>
      <c r="AS218" s="310"/>
      <c r="AT218" s="310"/>
      <c r="AU218" s="310"/>
      <c r="AV218" s="310"/>
      <c r="AW218" s="544"/>
      <c r="AX218" s="525"/>
      <c r="AY218" s="310"/>
      <c r="AZ218" s="310"/>
      <c r="BA218" s="310"/>
      <c r="BB218" s="310"/>
      <c r="BC218" s="310"/>
      <c r="BD218" s="310"/>
      <c r="BE218" s="544"/>
      <c r="BF218" s="525"/>
      <c r="BG218" s="310"/>
      <c r="BH218" s="310"/>
      <c r="BI218" s="310"/>
      <c r="BJ218" s="310"/>
      <c r="BK218" s="310"/>
      <c r="BL218" s="310"/>
      <c r="BM218" s="544">
        <f t="shared" si="105"/>
        <v>0</v>
      </c>
      <c r="BN218" s="525"/>
      <c r="BO218" s="310"/>
      <c r="BP218" s="310"/>
      <c r="BQ218" s="310"/>
      <c r="BR218" s="310"/>
      <c r="BS218" s="310"/>
      <c r="BT218" s="310"/>
      <c r="BU218" s="544"/>
      <c r="BV218" s="556"/>
      <c r="BW218" s="663">
        <f t="shared" si="98"/>
        <v>1</v>
      </c>
      <c r="BX218" s="1047">
        <f t="shared" si="99"/>
        <v>1</v>
      </c>
      <c r="BY218" s="1047" t="str">
        <f t="shared" si="100"/>
        <v>Aplazada</v>
      </c>
      <c r="BZ218" s="1047" t="str">
        <f t="shared" si="101"/>
        <v>Aplazada</v>
      </c>
      <c r="CA218" s="1047">
        <f t="shared" si="102"/>
        <v>1</v>
      </c>
      <c r="CB218" s="1047" t="str">
        <f t="shared" si="103"/>
        <v>No Programada</v>
      </c>
      <c r="CD218" t="str">
        <f t="shared" si="104"/>
        <v>AZ</v>
      </c>
      <c r="CE218" t="str">
        <f t="shared" si="104"/>
        <v>AZ</v>
      </c>
      <c r="CF218" t="str">
        <f t="shared" si="104"/>
        <v>VE</v>
      </c>
      <c r="CG218" t="str">
        <f t="shared" si="104"/>
        <v>NP</v>
      </c>
    </row>
    <row r="219" spans="1:85" ht="45.75" hidden="1" customHeight="1" x14ac:dyDescent="0.25">
      <c r="A219" s="298" t="s">
        <v>491</v>
      </c>
      <c r="B219" s="299" t="str">
        <f>'PLAN INDICATIVO'!B219</f>
        <v>Atención a grupos vulnerables - promoción social</v>
      </c>
      <c r="C219" s="1559"/>
      <c r="D219" s="1549"/>
      <c r="E219" s="1549"/>
      <c r="F219" s="1549"/>
      <c r="G219" s="1549"/>
      <c r="H219" s="1549"/>
      <c r="I219" s="1"/>
      <c r="J219" s="1"/>
      <c r="K219" s="370"/>
      <c r="L219" s="1"/>
      <c r="M219" s="1"/>
      <c r="N219" s="17"/>
      <c r="O219" s="1395"/>
      <c r="P219" s="365" t="s">
        <v>689</v>
      </c>
      <c r="Q219" s="22"/>
      <c r="R219" s="1"/>
      <c r="S219" s="261"/>
      <c r="T219" s="681"/>
      <c r="U219" s="261"/>
      <c r="V219" s="689">
        <f>SUM(V220:V224)</f>
        <v>6000000</v>
      </c>
      <c r="W219" s="261"/>
      <c r="X219" s="689">
        <f>SUM(X220:X224)</f>
        <v>3000000</v>
      </c>
      <c r="Y219" s="261"/>
      <c r="Z219" s="689">
        <f>SUM(Z220:Z224)</f>
        <v>3000000</v>
      </c>
      <c r="AA219" s="261"/>
      <c r="AB219" s="689"/>
      <c r="AC219" s="261"/>
      <c r="AD219" s="261"/>
      <c r="AE219" s="261"/>
      <c r="AF219" s="261"/>
      <c r="AG219" s="273"/>
      <c r="AH219" s="273"/>
      <c r="AI219" s="273"/>
      <c r="AJ219" s="261"/>
      <c r="AK219" s="261"/>
      <c r="AL219" s="261"/>
      <c r="AM219" s="261"/>
      <c r="AN219" s="261"/>
      <c r="AO219" s="635"/>
      <c r="AP219" s="616"/>
      <c r="AQ219" s="616"/>
      <c r="AR219" s="616"/>
      <c r="AS219" s="616"/>
      <c r="AT219" s="616"/>
      <c r="AU219" s="616"/>
      <c r="AV219" s="616"/>
      <c r="AW219" s="617"/>
      <c r="AX219" s="616"/>
      <c r="AY219" s="616"/>
      <c r="AZ219" s="616"/>
      <c r="BA219" s="616"/>
      <c r="BB219" s="616"/>
      <c r="BC219" s="616"/>
      <c r="BD219" s="616"/>
      <c r="BE219" s="617"/>
      <c r="BF219" s="616"/>
      <c r="BG219" s="616"/>
      <c r="BH219" s="616"/>
      <c r="BI219" s="616"/>
      <c r="BJ219" s="616"/>
      <c r="BK219" s="616"/>
      <c r="BL219" s="616"/>
      <c r="BM219" s="617">
        <f t="shared" si="105"/>
        <v>0</v>
      </c>
      <c r="BN219" s="616"/>
      <c r="BO219" s="616"/>
      <c r="BP219" s="616"/>
      <c r="BQ219" s="616"/>
      <c r="BR219" s="616"/>
      <c r="BS219" s="616"/>
      <c r="BT219" s="616"/>
      <c r="BU219" s="617"/>
      <c r="BV219" s="556"/>
      <c r="BW219" s="617" t="s">
        <v>2717</v>
      </c>
      <c r="BX219" s="617" t="s">
        <v>2717</v>
      </c>
      <c r="BY219" s="617" t="s">
        <v>2717</v>
      </c>
      <c r="BZ219" s="617" t="s">
        <v>2717</v>
      </c>
      <c r="CA219" s="617" t="s">
        <v>2717</v>
      </c>
      <c r="CB219" s="617" t="s">
        <v>2717</v>
      </c>
    </row>
    <row r="220" spans="1:85" ht="64.5" hidden="1" customHeight="1" x14ac:dyDescent="0.25">
      <c r="A220" s="298" t="s">
        <v>491</v>
      </c>
      <c r="B220" s="299" t="str">
        <f>'PLAN INDICATIVO'!B220</f>
        <v>Atención a grupos vulnerables - promoción social</v>
      </c>
      <c r="C220" s="1559"/>
      <c r="D220" s="1549"/>
      <c r="E220" s="1549"/>
      <c r="F220" s="1549"/>
      <c r="G220" s="1549"/>
      <c r="H220" s="1549"/>
      <c r="I220" s="300">
        <f>'PLAN INDICATIVO'!I220</f>
        <v>0</v>
      </c>
      <c r="J220" s="300">
        <f>'PLAN INDICATIVO'!J220</f>
        <v>0</v>
      </c>
      <c r="K220" s="1428" t="str">
        <f>'PLAN INDICATIVO'!K220</f>
        <v>A.14.5.9</v>
      </c>
      <c r="L220" s="301" t="str">
        <f>'PLAN INDICATIVO'!L220</f>
        <v>10. Reducción de las desigualdades</v>
      </c>
      <c r="M220" s="301" t="str">
        <f>'PLAN INDICATIVO'!M220</f>
        <v>Secretaría de Gobierno</v>
      </c>
      <c r="N220" s="1513" t="s">
        <v>5126</v>
      </c>
      <c r="O220" s="1372" t="str">
        <f>'PLAN INDICATIVO'!O220</f>
        <v>Incremento</v>
      </c>
      <c r="P220" s="16" t="str">
        <f>'PLAN INDICATIVO'!P220</f>
        <v>Realizar 4 capacitaciones durante el cuatrienio para mejorar cultura sobre derechos de población LGTBI</v>
      </c>
      <c r="Q220" s="302" t="str">
        <f>'PLAN INDICATIVO'!Q220</f>
        <v>No. De capacitaciones realizadas</v>
      </c>
      <c r="R220" s="303">
        <f>'PLAN INDICATIVO'!R220</f>
        <v>2015</v>
      </c>
      <c r="S220" s="304">
        <v>0</v>
      </c>
      <c r="T220" s="699">
        <v>4</v>
      </c>
      <c r="U220" s="303">
        <v>1</v>
      </c>
      <c r="V220" s="687">
        <v>600000</v>
      </c>
      <c r="W220" s="303">
        <v>1</v>
      </c>
      <c r="X220" s="687">
        <v>600000</v>
      </c>
      <c r="Y220" s="286">
        <v>1</v>
      </c>
      <c r="Z220" s="1233">
        <v>1000000</v>
      </c>
      <c r="AA220" s="291">
        <v>1</v>
      </c>
      <c r="AB220" s="687"/>
      <c r="AC220" s="669"/>
      <c r="AD220" s="669">
        <v>1</v>
      </c>
      <c r="AE220" s="669">
        <v>1</v>
      </c>
      <c r="AF220" s="669">
        <v>1</v>
      </c>
      <c r="AG220" s="341" t="s">
        <v>5142</v>
      </c>
      <c r="AH220" s="987">
        <v>2019413960017</v>
      </c>
      <c r="AI220" s="355"/>
      <c r="AJ220" s="309">
        <v>43497</v>
      </c>
      <c r="AK220" s="359">
        <v>43615</v>
      </c>
      <c r="AL220" s="358"/>
      <c r="AM220" s="358"/>
      <c r="AN220" s="267" t="s">
        <v>2598</v>
      </c>
      <c r="AO220" s="512"/>
      <c r="AP220" s="544"/>
      <c r="AQ220" s="544"/>
      <c r="AR220" s="544"/>
      <c r="AS220" s="544"/>
      <c r="AT220" s="544"/>
      <c r="AU220" s="544"/>
      <c r="AV220" s="544"/>
      <c r="AW220" s="544"/>
      <c r="AX220" s="525"/>
      <c r="AY220" s="310"/>
      <c r="AZ220" s="310"/>
      <c r="BA220" s="310"/>
      <c r="BB220" s="310"/>
      <c r="BC220" s="310"/>
      <c r="BD220" s="310"/>
      <c r="BE220" s="544"/>
      <c r="BF220" s="525"/>
      <c r="BG220" s="1313"/>
      <c r="BH220" s="310"/>
      <c r="BI220" s="310"/>
      <c r="BJ220" s="310"/>
      <c r="BK220" s="310"/>
      <c r="BL220" s="310"/>
      <c r="BM220" s="544">
        <f t="shared" si="105"/>
        <v>0</v>
      </c>
      <c r="BN220" s="525"/>
      <c r="BO220" s="310"/>
      <c r="BP220" s="310"/>
      <c r="BQ220" s="310"/>
      <c r="BR220" s="310"/>
      <c r="BS220" s="310"/>
      <c r="BT220" s="310"/>
      <c r="BU220" s="544"/>
      <c r="BV220" s="556"/>
      <c r="BW220" s="663">
        <f t="shared" si="98"/>
        <v>3</v>
      </c>
      <c r="BX220" s="1047">
        <f t="shared" si="99"/>
        <v>0.75</v>
      </c>
      <c r="BY220" s="1047">
        <f>IF(U220&gt;=0.1,AC220/U220,IF(ISBLANK(U220),"No Programada","Aplazada"))</f>
        <v>0</v>
      </c>
      <c r="BZ220" s="1047">
        <f>IF(W220&gt;=0.1,AD220/W220,IF(ISBLANK(W220),"No Programada","Aplazada"))</f>
        <v>1</v>
      </c>
      <c r="CA220" s="1047">
        <f>IF(Y220&gt;=0.1,AE220/Y220,IF(ISBLANK(Y220),"No Programada","Aplazada"))</f>
        <v>1</v>
      </c>
      <c r="CB220" s="1047">
        <f>IF(AA220&gt;=0.1,AF220/AA220,IF(ISBLANK(AA220),"No Programada","Aplazada"))</f>
        <v>1</v>
      </c>
      <c r="CD220" t="str">
        <f t="shared" ref="CD220:CG224" si="106">IF(BY220="PARA MODIFICAR","M",IF(BY220="PARA ELIMINAR","E",IF(BY220="aplazada","AZ",IF(BY220="no programada","NP",IF(BY220&gt;=85%,"VE",IF(BY220&gt;70%,"VEB",IF(BY220&gt;60%,"AM",IF(BY220&gt;40%,"AMB",IF(BY220&gt;20%,"RO",IF(BY220&gt;=0%,"ROB",""))))))))))</f>
        <v>ROB</v>
      </c>
      <c r="CE220" t="str">
        <f t="shared" si="106"/>
        <v>VE</v>
      </c>
      <c r="CF220" t="str">
        <f t="shared" si="106"/>
        <v>VE</v>
      </c>
      <c r="CG220" t="str">
        <f t="shared" si="106"/>
        <v>VE</v>
      </c>
    </row>
    <row r="221" spans="1:85" ht="33.75" hidden="1" customHeight="1" x14ac:dyDescent="0.25">
      <c r="A221" s="298" t="s">
        <v>491</v>
      </c>
      <c r="B221" s="299" t="str">
        <f>'PLAN INDICATIVO'!B221</f>
        <v>Atención a grupos vulnerables - promoción social</v>
      </c>
      <c r="C221" s="1559"/>
      <c r="D221" s="1549"/>
      <c r="E221" s="1549"/>
      <c r="F221" s="1549"/>
      <c r="G221" s="1549"/>
      <c r="H221" s="1549"/>
      <c r="I221" s="300">
        <f>'PLAN INDICATIVO'!I221</f>
        <v>0</v>
      </c>
      <c r="J221" s="300">
        <f>'PLAN INDICATIVO'!J221</f>
        <v>0</v>
      </c>
      <c r="K221" s="1428" t="str">
        <f>'PLAN INDICATIVO'!K221</f>
        <v>A.14.5.10</v>
      </c>
      <c r="L221" s="301" t="str">
        <f>'PLAN INDICATIVO'!L221</f>
        <v>10. Reducción de las desigualdades</v>
      </c>
      <c r="M221" s="301" t="str">
        <f>'PLAN INDICATIVO'!M221</f>
        <v>Secretaría de Gobierno</v>
      </c>
      <c r="N221" s="1513" t="s">
        <v>5126</v>
      </c>
      <c r="O221" s="1372" t="str">
        <f>'PLAN INDICATIVO'!O221</f>
        <v>Incremento</v>
      </c>
      <c r="P221" s="16" t="str">
        <f>'PLAN INDICATIVO'!P221</f>
        <v>Realizar 4 Capacitaciones dirigidas a funcionarios municipales sobre promoción de derechos de población LGTBI durante el cuatrienio</v>
      </c>
      <c r="Q221" s="302" t="str">
        <f>'PLAN INDICATIVO'!Q221</f>
        <v>No. De capacitaciones realizadas</v>
      </c>
      <c r="R221" s="303">
        <f>'PLAN INDICATIVO'!R221</f>
        <v>2015</v>
      </c>
      <c r="S221" s="304">
        <v>0</v>
      </c>
      <c r="T221" s="699">
        <v>4</v>
      </c>
      <c r="U221" s="303">
        <v>1</v>
      </c>
      <c r="V221" s="687">
        <v>1000000</v>
      </c>
      <c r="W221" s="303">
        <v>1</v>
      </c>
      <c r="X221" s="687">
        <v>600000</v>
      </c>
      <c r="Y221" s="286">
        <v>1</v>
      </c>
      <c r="Z221" s="1233">
        <v>1000000</v>
      </c>
      <c r="AA221" s="291">
        <v>1</v>
      </c>
      <c r="AB221" s="687"/>
      <c r="AC221" s="669"/>
      <c r="AD221" s="669">
        <v>1</v>
      </c>
      <c r="AE221" s="669">
        <v>1</v>
      </c>
      <c r="AF221" s="669">
        <v>1</v>
      </c>
      <c r="AG221" s="341" t="s">
        <v>5142</v>
      </c>
      <c r="AH221" s="987">
        <v>2019413960017</v>
      </c>
      <c r="AI221" s="355" t="s">
        <v>4801</v>
      </c>
      <c r="AJ221" s="309">
        <v>43497</v>
      </c>
      <c r="AK221" s="359">
        <v>43615</v>
      </c>
      <c r="AL221" s="358"/>
      <c r="AM221" s="358"/>
      <c r="AN221" s="267" t="s">
        <v>2598</v>
      </c>
      <c r="AO221" s="512"/>
      <c r="AP221" s="544"/>
      <c r="AQ221" s="544"/>
      <c r="AR221" s="544"/>
      <c r="AS221" s="544"/>
      <c r="AT221" s="544"/>
      <c r="AU221" s="544"/>
      <c r="AV221" s="544"/>
      <c r="AW221" s="544"/>
      <c r="AX221" s="525"/>
      <c r="AY221" s="310"/>
      <c r="AZ221" s="310"/>
      <c r="BA221" s="310"/>
      <c r="BB221" s="310"/>
      <c r="BC221" s="310"/>
      <c r="BD221" s="310"/>
      <c r="BE221" s="544"/>
      <c r="BF221" s="525"/>
      <c r="BG221" s="1313"/>
      <c r="BH221" s="310"/>
      <c r="BI221" s="310"/>
      <c r="BJ221" s="310"/>
      <c r="BK221" s="310"/>
      <c r="BL221" s="310"/>
      <c r="BM221" s="544">
        <f t="shared" si="105"/>
        <v>0</v>
      </c>
      <c r="BN221" s="525"/>
      <c r="BO221" s="310"/>
      <c r="BP221" s="310"/>
      <c r="BQ221" s="310"/>
      <c r="BR221" s="310"/>
      <c r="BS221" s="310"/>
      <c r="BT221" s="310"/>
      <c r="BU221" s="544"/>
      <c r="BV221" s="556"/>
      <c r="BW221" s="663">
        <f t="shared" si="98"/>
        <v>3</v>
      </c>
      <c r="BX221" s="1047">
        <f t="shared" si="99"/>
        <v>0.75</v>
      </c>
      <c r="BY221" s="1047">
        <f>IF(U221&gt;=0.1,AC221/U221,IF(ISBLANK(U221),"No Programada","Aplazada"))</f>
        <v>0</v>
      </c>
      <c r="BZ221" s="1047">
        <f>IF(W221&gt;=0.1,AD221/W221,IF(ISBLANK(W221),"No Programada","Aplazada"))</f>
        <v>1</v>
      </c>
      <c r="CA221" s="1047">
        <f>IF(Y221&gt;=0.1,AE221/Y221,IF(ISBLANK(Y221),"No Programada","Aplazada"))</f>
        <v>1</v>
      </c>
      <c r="CB221" s="1047">
        <f>IF(AA221&gt;=0.1,AF221/AA221,IF(ISBLANK(AA221),"No Programada","Aplazada"))</f>
        <v>1</v>
      </c>
      <c r="CD221" t="str">
        <f t="shared" si="106"/>
        <v>ROB</v>
      </c>
      <c r="CE221" t="str">
        <f t="shared" si="106"/>
        <v>VE</v>
      </c>
      <c r="CF221" t="str">
        <f t="shared" si="106"/>
        <v>VE</v>
      </c>
      <c r="CG221" t="str">
        <f t="shared" si="106"/>
        <v>VE</v>
      </c>
    </row>
    <row r="222" spans="1:85" ht="63.75" hidden="1" customHeight="1" x14ac:dyDescent="0.25">
      <c r="A222" s="298" t="s">
        <v>491</v>
      </c>
      <c r="B222" s="299" t="str">
        <f>'PLAN INDICATIVO'!B222</f>
        <v>Atención a grupos vulnerables - promoción social</v>
      </c>
      <c r="C222" s="1559"/>
      <c r="D222" s="1549"/>
      <c r="E222" s="1549"/>
      <c r="F222" s="1549"/>
      <c r="G222" s="1549"/>
      <c r="H222" s="1549"/>
      <c r="I222" s="300">
        <f>'PLAN INDICATIVO'!I222</f>
        <v>0</v>
      </c>
      <c r="J222" s="300">
        <f>'PLAN INDICATIVO'!J222</f>
        <v>0</v>
      </c>
      <c r="K222" s="1428" t="str">
        <f>'PLAN INDICATIVO'!K222</f>
        <v>A.14.5.11</v>
      </c>
      <c r="L222" s="301" t="str">
        <f>'PLAN INDICATIVO'!L222</f>
        <v>10. Reducción de las desigualdades</v>
      </c>
      <c r="M222" s="301" t="str">
        <f>'PLAN INDICATIVO'!M222</f>
        <v>Secretaría de Gobierno</v>
      </c>
      <c r="N222" s="1513" t="s">
        <v>5126</v>
      </c>
      <c r="O222" s="1372" t="str">
        <f>'PLAN INDICATIVO'!O222</f>
        <v>Incremento</v>
      </c>
      <c r="P222" s="16" t="str">
        <f>'PLAN INDICATIVO'!P222</f>
        <v>Establecer 1 protocolo de atención a población LGTBI y con divulgación durante el cuatrienio</v>
      </c>
      <c r="Q222" s="302" t="str">
        <f>'PLAN INDICATIVO'!Q222</f>
        <v>No. De Protocolos de atención establecidos</v>
      </c>
      <c r="R222" s="303">
        <f>'PLAN INDICATIVO'!R222</f>
        <v>2015</v>
      </c>
      <c r="S222" s="304">
        <v>0</v>
      </c>
      <c r="T222" s="699">
        <v>1</v>
      </c>
      <c r="U222" s="303">
        <v>1</v>
      </c>
      <c r="V222" s="687">
        <v>1600000</v>
      </c>
      <c r="W222" s="303">
        <v>0</v>
      </c>
      <c r="X222" s="687">
        <v>600000</v>
      </c>
      <c r="Y222" s="286"/>
      <c r="Z222" s="1233"/>
      <c r="AA222" s="291">
        <v>1</v>
      </c>
      <c r="AB222" s="687"/>
      <c r="AC222" s="669"/>
      <c r="AD222" s="669"/>
      <c r="AE222" s="669">
        <v>0.5</v>
      </c>
      <c r="AF222" s="669">
        <v>0.5</v>
      </c>
      <c r="AG222" s="341" t="s">
        <v>5142</v>
      </c>
      <c r="AH222" s="987">
        <v>2019413960017</v>
      </c>
      <c r="AI222" s="1490" t="s">
        <v>4986</v>
      </c>
      <c r="AJ222" s="309">
        <v>43497</v>
      </c>
      <c r="AK222" s="359">
        <v>43676</v>
      </c>
      <c r="AL222" s="358"/>
      <c r="AM222" s="358"/>
      <c r="AN222" s="267" t="s">
        <v>2598</v>
      </c>
      <c r="AO222" s="512"/>
      <c r="AP222" s="544"/>
      <c r="AQ222" s="544"/>
      <c r="AR222" s="544"/>
      <c r="AS222" s="544"/>
      <c r="AT222" s="544"/>
      <c r="AU222" s="544"/>
      <c r="AV222" s="544"/>
      <c r="AW222" s="544"/>
      <c r="AX222" s="525"/>
      <c r="AY222" s="310"/>
      <c r="AZ222" s="310"/>
      <c r="BA222" s="310"/>
      <c r="BB222" s="310"/>
      <c r="BC222" s="310"/>
      <c r="BD222" s="310"/>
      <c r="BE222" s="544"/>
      <c r="BF222" s="525"/>
      <c r="BG222" s="310"/>
      <c r="BH222" s="310"/>
      <c r="BI222" s="310"/>
      <c r="BJ222" s="310"/>
      <c r="BK222" s="310"/>
      <c r="BL222" s="310"/>
      <c r="BM222" s="544">
        <f t="shared" si="105"/>
        <v>0</v>
      </c>
      <c r="BN222" s="525"/>
      <c r="BO222" s="310"/>
      <c r="BP222" s="310"/>
      <c r="BQ222" s="310"/>
      <c r="BR222" s="310"/>
      <c r="BS222" s="310"/>
      <c r="BT222" s="310"/>
      <c r="BU222" s="544"/>
      <c r="BV222" s="556"/>
      <c r="BW222" s="663">
        <f t="shared" si="98"/>
        <v>1</v>
      </c>
      <c r="BX222" s="1047">
        <f t="shared" si="99"/>
        <v>1</v>
      </c>
      <c r="BY222" s="1047">
        <f>IF(U222&gt;=0.1,AC222/U222,IF(ISBLANK(U222),"No Programada","Aplazada"))</f>
        <v>0</v>
      </c>
      <c r="BZ222" s="1047" t="str">
        <f>IF(W222&gt;=0.1,AD222/W222,IF(ISBLANK(W222),"No Programada","Aplazada"))</f>
        <v>Aplazada</v>
      </c>
      <c r="CA222" s="1047" t="str">
        <f>IF(Y222&gt;=0.1,AE222/Y222,IF(ISBLANK(Y222),"No Programada","Aplazada"))</f>
        <v>No Programada</v>
      </c>
      <c r="CB222" s="1047">
        <f>IF(AA222&gt;=0.1,AF222/AA222,IF(ISBLANK(AA222),"No Programada","Aplazada"))</f>
        <v>0.5</v>
      </c>
      <c r="CD222" t="str">
        <f t="shared" si="106"/>
        <v>ROB</v>
      </c>
      <c r="CE222" t="str">
        <f t="shared" si="106"/>
        <v>AZ</v>
      </c>
      <c r="CF222" t="str">
        <f t="shared" si="106"/>
        <v>NP</v>
      </c>
      <c r="CG222" t="str">
        <f t="shared" si="106"/>
        <v>AMB</v>
      </c>
    </row>
    <row r="223" spans="1:85" ht="3" hidden="1" customHeight="1" x14ac:dyDescent="0.25">
      <c r="A223" s="298" t="s">
        <v>2464</v>
      </c>
      <c r="B223" s="299" t="str">
        <f>'PLAN INDICATIVO'!B223</f>
        <v>Atención a grupos vulnerables - promoción social</v>
      </c>
      <c r="C223" s="1559"/>
      <c r="D223" s="1549"/>
      <c r="E223" s="1549"/>
      <c r="F223" s="1549"/>
      <c r="G223" s="1549"/>
      <c r="H223" s="1549"/>
      <c r="I223" s="300">
        <f>'PLAN INDICATIVO'!I223</f>
        <v>0</v>
      </c>
      <c r="J223" s="300">
        <f>'PLAN INDICATIVO'!J223</f>
        <v>0</v>
      </c>
      <c r="K223" s="1428" t="str">
        <f>'PLAN INDICATIVO'!K223</f>
        <v>A.14.5.12</v>
      </c>
      <c r="L223" s="301" t="str">
        <f>'PLAN INDICATIVO'!L223</f>
        <v>10. Reducción de las desigualdades</v>
      </c>
      <c r="M223" s="301" t="str">
        <f>'PLAN INDICATIVO'!M223</f>
        <v>Secretaría de Gobierno</v>
      </c>
      <c r="N223" s="1513" t="s">
        <v>5126</v>
      </c>
      <c r="O223" s="1372" t="str">
        <f>'PLAN INDICATIVO'!O223</f>
        <v>Incremento</v>
      </c>
      <c r="P223" s="1199" t="str">
        <f>'PLAN INDICATIVO'!P223</f>
        <v>Realizar 1 oferta mediante el programa capital semilla a población LGTBI, para acceso a programas de desarrollo económico durante el cuatrienio</v>
      </c>
      <c r="Q223" s="302" t="str">
        <f>'PLAN INDICATIVO'!Q223</f>
        <v xml:space="preserve">No. de ofertas realizadas </v>
      </c>
      <c r="R223" s="303">
        <f>'PLAN INDICATIVO'!R223</f>
        <v>2015</v>
      </c>
      <c r="S223" s="304">
        <v>0</v>
      </c>
      <c r="T223" s="699">
        <v>1</v>
      </c>
      <c r="U223" s="1463">
        <v>1</v>
      </c>
      <c r="V223" s="1234">
        <v>2200000</v>
      </c>
      <c r="W223" s="303">
        <v>0</v>
      </c>
      <c r="X223" s="1234">
        <v>600000</v>
      </c>
      <c r="Y223" s="1463"/>
      <c r="Z223" s="1234"/>
      <c r="AA223" s="1463">
        <v>1</v>
      </c>
      <c r="AB223" s="1234"/>
      <c r="AC223" s="795"/>
      <c r="AD223" s="795">
        <v>0.3</v>
      </c>
      <c r="AE223" s="795">
        <v>1</v>
      </c>
      <c r="AF223" s="669">
        <v>0.3</v>
      </c>
      <c r="AG223" s="341" t="s">
        <v>5142</v>
      </c>
      <c r="AH223" s="987">
        <v>2019413960017</v>
      </c>
      <c r="AI223" s="1339" t="s">
        <v>4307</v>
      </c>
      <c r="AJ223" s="1479"/>
      <c r="AK223" s="1341"/>
      <c r="AL223" s="795"/>
      <c r="AM223" s="795"/>
      <c r="AN223" s="1342" t="s">
        <v>2604</v>
      </c>
      <c r="AO223" s="1343"/>
      <c r="AP223" s="800"/>
      <c r="AQ223" s="800"/>
      <c r="AR223" s="800"/>
      <c r="AS223" s="800"/>
      <c r="AT223" s="800"/>
      <c r="AU223" s="800"/>
      <c r="AV223" s="800"/>
      <c r="AW223" s="800"/>
      <c r="AX223" s="1323"/>
      <c r="AY223" s="1313"/>
      <c r="AZ223" s="1313"/>
      <c r="BA223" s="1313"/>
      <c r="BB223" s="1313"/>
      <c r="BC223" s="1313"/>
      <c r="BD223" s="1313"/>
      <c r="BE223" s="800"/>
      <c r="BF223" s="1323"/>
      <c r="BG223" s="1313"/>
      <c r="BH223" s="1313"/>
      <c r="BI223" s="1313"/>
      <c r="BJ223" s="1313"/>
      <c r="BK223" s="1313"/>
      <c r="BL223" s="1313"/>
      <c r="BM223" s="800">
        <f t="shared" si="105"/>
        <v>0</v>
      </c>
      <c r="BN223" s="1323"/>
      <c r="BO223" s="1313"/>
      <c r="BP223" s="1313"/>
      <c r="BQ223" s="1313"/>
      <c r="BR223" s="1313"/>
      <c r="BS223" s="1313"/>
      <c r="BT223" s="1313"/>
      <c r="BU223" s="800"/>
      <c r="BV223" s="556"/>
      <c r="BW223" s="663">
        <f t="shared" si="98"/>
        <v>1.6</v>
      </c>
      <c r="BX223" s="1047">
        <f t="shared" si="99"/>
        <v>1.6</v>
      </c>
      <c r="BY223" s="1047">
        <f>IF(U223&gt;=0.1,AC223/U223,IF(ISBLANK(U223),"No Programada","Aplazada"))</f>
        <v>0</v>
      </c>
      <c r="BZ223" s="1047" t="str">
        <f>IF(W223&gt;=0.1,AD223/W223,IF(ISBLANK(W223),"No Programada","Aplazada"))</f>
        <v>Aplazada</v>
      </c>
      <c r="CA223" s="1047" t="s">
        <v>4000</v>
      </c>
      <c r="CB223" s="1047" t="s">
        <v>4789</v>
      </c>
      <c r="CD223" t="str">
        <f t="shared" si="106"/>
        <v>ROB</v>
      </c>
      <c r="CE223" t="str">
        <f t="shared" si="106"/>
        <v>AZ</v>
      </c>
      <c r="CF223" t="str">
        <f t="shared" si="106"/>
        <v>E</v>
      </c>
      <c r="CG223" t="str">
        <f t="shared" si="106"/>
        <v>E</v>
      </c>
    </row>
    <row r="224" spans="1:85" ht="115.5" hidden="1" customHeight="1" x14ac:dyDescent="0.25">
      <c r="A224" s="298" t="s">
        <v>491</v>
      </c>
      <c r="B224" s="299" t="str">
        <f>'PLAN INDICATIVO'!B224</f>
        <v>Atención a grupos vulnerables - promoción social</v>
      </c>
      <c r="C224" s="1559"/>
      <c r="D224" s="1549"/>
      <c r="E224" s="1549"/>
      <c r="F224" s="1549"/>
      <c r="G224" s="1549"/>
      <c r="H224" s="1549"/>
      <c r="I224" s="300">
        <f>'PLAN INDICATIVO'!I224</f>
        <v>0</v>
      </c>
      <c r="J224" s="300">
        <f>'PLAN INDICATIVO'!J224</f>
        <v>0</v>
      </c>
      <c r="K224" s="1428" t="str">
        <f>'PLAN INDICATIVO'!K224</f>
        <v>A.14.5.13</v>
      </c>
      <c r="L224" s="301" t="str">
        <f>'PLAN INDICATIVO'!L224</f>
        <v>10. Reducción de las desigualdades</v>
      </c>
      <c r="M224" s="301" t="str">
        <f>'PLAN INDICATIVO'!M224</f>
        <v>Secretaría de Gobierno</v>
      </c>
      <c r="N224" s="1513" t="s">
        <v>5126</v>
      </c>
      <c r="O224" s="1372" t="str">
        <f>'PLAN INDICATIVO'!O224</f>
        <v>Incremento</v>
      </c>
      <c r="P224" s="16" t="str">
        <f>'PLAN INDICATIVO'!P224</f>
        <v>Realizar 8 socializaciones en Articulación con la secretaria de salud sobre la realidades de la población LGTBI    durante  el cuatrienio</v>
      </c>
      <c r="Q224" s="302" t="str">
        <f>'PLAN INDICATIVO'!Q224</f>
        <v>No.  De socializaciones realizadas</v>
      </c>
      <c r="R224" s="303">
        <f>'PLAN INDICATIVO'!R224</f>
        <v>2015</v>
      </c>
      <c r="S224" s="304">
        <v>0</v>
      </c>
      <c r="T224" s="699">
        <v>8</v>
      </c>
      <c r="U224" s="303">
        <v>2</v>
      </c>
      <c r="V224" s="687">
        <v>600000</v>
      </c>
      <c r="W224" s="303">
        <v>1</v>
      </c>
      <c r="X224" s="687">
        <v>600000</v>
      </c>
      <c r="Y224" s="303">
        <v>2</v>
      </c>
      <c r="Z224" s="687">
        <v>1000000</v>
      </c>
      <c r="AA224" s="291">
        <v>1</v>
      </c>
      <c r="AB224" s="687"/>
      <c r="AC224" s="669"/>
      <c r="AD224" s="669">
        <v>2</v>
      </c>
      <c r="AE224" s="669">
        <v>2</v>
      </c>
      <c r="AF224" s="669">
        <v>2</v>
      </c>
      <c r="AG224" s="341" t="s">
        <v>5142</v>
      </c>
      <c r="AH224" s="987">
        <v>2019413960017</v>
      </c>
      <c r="AI224" s="1490" t="s">
        <v>4987</v>
      </c>
      <c r="AJ224" s="309">
        <v>43497</v>
      </c>
      <c r="AK224" s="359">
        <v>43707</v>
      </c>
      <c r="AL224" s="358"/>
      <c r="AM224" s="358"/>
      <c r="AN224" s="267" t="s">
        <v>2598</v>
      </c>
      <c r="AO224" s="512"/>
      <c r="AP224" s="793"/>
      <c r="AQ224" s="794"/>
      <c r="AR224" s="794"/>
      <c r="AS224" s="794"/>
      <c r="AT224" s="794"/>
      <c r="AU224" s="794"/>
      <c r="AV224" s="794"/>
      <c r="AW224" s="544"/>
      <c r="AX224" s="525"/>
      <c r="AY224" s="310"/>
      <c r="AZ224" s="310"/>
      <c r="BA224" s="310"/>
      <c r="BB224" s="310"/>
      <c r="BC224" s="310"/>
      <c r="BD224" s="310"/>
      <c r="BE224" s="544"/>
      <c r="BF224" s="525"/>
      <c r="BG224" s="310"/>
      <c r="BH224" s="310"/>
      <c r="BI224" s="310"/>
      <c r="BJ224" s="310"/>
      <c r="BK224" s="310"/>
      <c r="BL224" s="310"/>
      <c r="BM224" s="544">
        <f t="shared" si="105"/>
        <v>0</v>
      </c>
      <c r="BN224" s="525"/>
      <c r="BO224" s="310"/>
      <c r="BP224" s="310"/>
      <c r="BQ224" s="310"/>
      <c r="BR224" s="310"/>
      <c r="BS224" s="310"/>
      <c r="BT224" s="310"/>
      <c r="BU224" s="544"/>
      <c r="BV224" s="556"/>
      <c r="BW224" s="663">
        <f t="shared" si="98"/>
        <v>6</v>
      </c>
      <c r="BX224" s="1047">
        <f t="shared" si="99"/>
        <v>0.75</v>
      </c>
      <c r="BY224" s="1047">
        <f>IF(U224&gt;=0.1,AC224/U224,IF(ISBLANK(U224),"No Programada","Aplazada"))</f>
        <v>0</v>
      </c>
      <c r="BZ224" s="1047">
        <f>IF(W224&gt;=0.1,AD224/W224,IF(ISBLANK(W224),"No Programada","Aplazada"))</f>
        <v>2</v>
      </c>
      <c r="CA224" s="1047">
        <f>AE224/Y224</f>
        <v>1</v>
      </c>
      <c r="CB224" s="1047">
        <f>IF(AA224&gt;=0.1,AF224/AA224,IF(ISBLANK(AA224),"No Programada","Aplazada"))</f>
        <v>2</v>
      </c>
      <c r="CD224" t="str">
        <f t="shared" si="106"/>
        <v>ROB</v>
      </c>
      <c r="CE224" t="str">
        <f t="shared" si="106"/>
        <v>VE</v>
      </c>
      <c r="CF224" t="str">
        <f t="shared" si="106"/>
        <v>VE</v>
      </c>
      <c r="CG224" t="str">
        <f t="shared" si="106"/>
        <v>VE</v>
      </c>
    </row>
    <row r="225" spans="1:85" ht="48.75" customHeight="1" x14ac:dyDescent="0.3">
      <c r="A225" s="298" t="s">
        <v>491</v>
      </c>
      <c r="B225" s="299" t="str">
        <f>'PLAN INDICATIVO'!B225</f>
        <v>Atención a grupos vulnerables - promoción social</v>
      </c>
      <c r="C225" s="1559"/>
      <c r="D225" s="1549"/>
      <c r="E225" s="1549"/>
      <c r="F225" s="1549"/>
      <c r="G225" s="1549"/>
      <c r="H225" s="1549"/>
      <c r="I225" s="17"/>
      <c r="J225" s="17"/>
      <c r="K225" s="370"/>
      <c r="L225" s="17"/>
      <c r="M225" s="17"/>
      <c r="N225" s="17"/>
      <c r="O225" s="1396"/>
      <c r="P225" s="369" t="s">
        <v>703</v>
      </c>
      <c r="Q225" s="25"/>
      <c r="R225" s="17"/>
      <c r="S225" s="270"/>
      <c r="T225" s="677"/>
      <c r="U225" s="270"/>
      <c r="V225" s="705">
        <f>SUM(V226:V232)</f>
        <v>25</v>
      </c>
      <c r="W225" s="270"/>
      <c r="X225" s="705">
        <f>SUM(X226:X232)</f>
        <v>40000000</v>
      </c>
      <c r="Y225" s="270"/>
      <c r="Z225" s="705">
        <f>SUM(Z226:Z232)</f>
        <v>40000000</v>
      </c>
      <c r="AA225" s="270"/>
      <c r="AB225" s="705">
        <f>SUM(AB226:AB232)</f>
        <v>33000000</v>
      </c>
      <c r="AC225" s="270"/>
      <c r="AD225" s="270"/>
      <c r="AE225" s="270"/>
      <c r="AF225" s="270"/>
      <c r="AG225" s="279"/>
      <c r="AH225" s="279"/>
      <c r="AI225" s="279"/>
      <c r="AJ225" s="270"/>
      <c r="AK225" s="270"/>
      <c r="AL225" s="270"/>
      <c r="AM225" s="270"/>
      <c r="AN225" s="270"/>
      <c r="AO225" s="644"/>
      <c r="AP225" s="616"/>
      <c r="AQ225" s="616"/>
      <c r="AR225" s="616"/>
      <c r="AS225" s="616"/>
      <c r="AT225" s="616"/>
      <c r="AU225" s="616"/>
      <c r="AV225" s="616"/>
      <c r="AW225" s="617"/>
      <c r="AX225" s="616"/>
      <c r="AY225" s="616"/>
      <c r="AZ225" s="616"/>
      <c r="BA225" s="616"/>
      <c r="BB225" s="616"/>
      <c r="BC225" s="616"/>
      <c r="BD225" s="616"/>
      <c r="BE225" s="617"/>
      <c r="BF225" s="616"/>
      <c r="BG225" s="616"/>
      <c r="BH225" s="616"/>
      <c r="BI225" s="616"/>
      <c r="BJ225" s="616"/>
      <c r="BK225" s="616"/>
      <c r="BL225" s="616"/>
      <c r="BM225" s="617">
        <f t="shared" si="105"/>
        <v>0</v>
      </c>
      <c r="BN225" s="616"/>
      <c r="BO225" s="616"/>
      <c r="BP225" s="616"/>
      <c r="BQ225" s="616"/>
      <c r="BR225" s="616"/>
      <c r="BS225" s="616"/>
      <c r="BT225" s="616"/>
      <c r="BU225" s="617"/>
      <c r="BV225" s="556"/>
      <c r="BW225" s="617" t="s">
        <v>2717</v>
      </c>
      <c r="BX225" s="617" t="s">
        <v>2717</v>
      </c>
      <c r="BY225" s="617" t="s">
        <v>2717</v>
      </c>
      <c r="BZ225" s="617" t="s">
        <v>2717</v>
      </c>
      <c r="CA225" s="617" t="s">
        <v>2717</v>
      </c>
      <c r="CB225" s="1047" t="s">
        <v>2717</v>
      </c>
    </row>
    <row r="226" spans="1:85" ht="87" customHeight="1" x14ac:dyDescent="0.3">
      <c r="A226" s="298" t="s">
        <v>491</v>
      </c>
      <c r="B226" s="299" t="str">
        <f>'PLAN INDICATIVO'!B226</f>
        <v>Atención a grupos vulnerables - promoción social</v>
      </c>
      <c r="C226" s="1559"/>
      <c r="D226" s="1549"/>
      <c r="E226" s="1549"/>
      <c r="F226" s="1549"/>
      <c r="G226" s="1549"/>
      <c r="H226" s="1549"/>
      <c r="I226" s="300">
        <f>'PLAN INDICATIVO'!I226</f>
        <v>0</v>
      </c>
      <c r="J226" s="300">
        <f>'PLAN INDICATIVO'!J226</f>
        <v>0</v>
      </c>
      <c r="K226" s="1428" t="str">
        <f>'PLAN INDICATIVO'!K226</f>
        <v>A.14.5.14</v>
      </c>
      <c r="L226" s="301" t="str">
        <f>'PLAN INDICATIVO'!L226</f>
        <v>10. Reducción de las desigualdades</v>
      </c>
      <c r="M226" s="301" t="str">
        <f>'PLAN INDICATIVO'!M226</f>
        <v>Secretaría de Gobierno</v>
      </c>
      <c r="N226" s="1513" t="s">
        <v>5126</v>
      </c>
      <c r="O226" s="1372" t="str">
        <f>'PLAN INDICATIVO'!O226</f>
        <v>Incremento</v>
      </c>
      <c r="P226" s="16" t="str">
        <f>'PLAN INDICATIVO'!P226</f>
        <v xml:space="preserve">Realizar 4 seguimientos y evaluación de la política pública para personas con discapacidad, durante el cuatrienio </v>
      </c>
      <c r="Q226" s="302" t="str">
        <f>'PLAN INDICATIVO'!Q226</f>
        <v xml:space="preserve">No. de seguimientos realizados </v>
      </c>
      <c r="R226" s="303">
        <f>'PLAN INDICATIVO'!R226</f>
        <v>2015</v>
      </c>
      <c r="S226" s="304">
        <v>0</v>
      </c>
      <c r="T226" s="699">
        <v>4</v>
      </c>
      <c r="U226" s="303">
        <v>1</v>
      </c>
      <c r="V226" s="833">
        <v>10</v>
      </c>
      <c r="W226" s="303">
        <v>1</v>
      </c>
      <c r="X226" s="687">
        <v>20000000</v>
      </c>
      <c r="Y226" s="286">
        <v>1</v>
      </c>
      <c r="Z226" s="1233">
        <v>20000000</v>
      </c>
      <c r="AA226" s="291">
        <v>1</v>
      </c>
      <c r="AB226" s="686">
        <v>15000000</v>
      </c>
      <c r="AC226" s="669"/>
      <c r="AD226" s="669">
        <v>1</v>
      </c>
      <c r="AE226" s="669">
        <v>1</v>
      </c>
      <c r="AF226" s="669">
        <v>1</v>
      </c>
      <c r="AG226" s="341" t="s">
        <v>5145</v>
      </c>
      <c r="AH226" s="987">
        <v>2019413960016</v>
      </c>
      <c r="AI226" s="1490" t="s">
        <v>4988</v>
      </c>
      <c r="AJ226" s="309">
        <v>43497</v>
      </c>
      <c r="AK226" s="363">
        <v>43829</v>
      </c>
      <c r="AL226" s="358"/>
      <c r="AM226" s="358"/>
      <c r="AN226" s="267" t="s">
        <v>2598</v>
      </c>
      <c r="AO226" s="512"/>
      <c r="AP226" s="720"/>
      <c r="AQ226" s="310"/>
      <c r="AR226" s="310"/>
      <c r="AS226" s="310"/>
      <c r="AT226" s="310"/>
      <c r="AU226" s="310"/>
      <c r="AV226" s="310"/>
      <c r="AW226" s="544"/>
      <c r="AX226" s="525"/>
      <c r="AY226" s="310"/>
      <c r="AZ226" s="310"/>
      <c r="BA226" s="310"/>
      <c r="BB226" s="310"/>
      <c r="BC226" s="310"/>
      <c r="BD226" s="310"/>
      <c r="BE226" s="544"/>
      <c r="BF226" s="525"/>
      <c r="BG226" s="310"/>
      <c r="BH226" s="310"/>
      <c r="BI226" s="310"/>
      <c r="BJ226" s="310"/>
      <c r="BK226" s="310"/>
      <c r="BL226" s="310"/>
      <c r="BM226" s="544">
        <f t="shared" si="105"/>
        <v>0</v>
      </c>
      <c r="BN226" s="525"/>
      <c r="BO226" s="310"/>
      <c r="BP226" s="310"/>
      <c r="BQ226" s="310"/>
      <c r="BR226" s="310"/>
      <c r="BS226" s="310"/>
      <c r="BT226" s="310"/>
      <c r="BU226" s="544"/>
      <c r="BV226" s="556"/>
      <c r="BW226" s="663">
        <f t="shared" si="98"/>
        <v>3</v>
      </c>
      <c r="BX226" s="1047">
        <f t="shared" si="99"/>
        <v>0.75</v>
      </c>
      <c r="BY226" s="1047">
        <f t="shared" ref="BY226:BY232" si="107">IF(U226&gt;=0.1,AC226/U226,IF(ISBLANK(U226),"No Programada","Aplazada"))</f>
        <v>0</v>
      </c>
      <c r="BZ226" s="1047">
        <f t="shared" ref="BZ226:BZ232" si="108">IF(W226&gt;=0.1,AD226/W226,IF(ISBLANK(W226),"No Programada","Aplazada"))</f>
        <v>1</v>
      </c>
      <c r="CA226" s="1047">
        <f t="shared" ref="CA226:CA232" si="109">IF(Y226&gt;=0.1,AE226/Y226,IF(ISBLANK(Y226),"No Programada","Aplazada"))</f>
        <v>1</v>
      </c>
      <c r="CB226" s="1047">
        <f t="shared" ref="CB226:CB232" si="110">IF(AA226&gt;=0.1,AF226/AA226,IF(ISBLANK(AA226),"No Programada","Aplazada"))</f>
        <v>1</v>
      </c>
      <c r="CD226" t="str">
        <f t="shared" ref="CD226:CG232" si="111">IF(BY226="PARA MODIFICAR","M",IF(BY226="PARA ELIMINAR","E",IF(BY226="aplazada","AZ",IF(BY226="no programada","NP",IF(BY226&gt;=85%,"VE",IF(BY226&gt;70%,"VEB",IF(BY226&gt;60%,"AM",IF(BY226&gt;40%,"AMB",IF(BY226&gt;20%,"RO",IF(BY226&gt;=0%,"ROB",""))))))))))</f>
        <v>ROB</v>
      </c>
      <c r="CE226" t="str">
        <f t="shared" si="111"/>
        <v>VE</v>
      </c>
      <c r="CF226" t="str">
        <f t="shared" si="111"/>
        <v>VE</v>
      </c>
      <c r="CG226" t="str">
        <f t="shared" si="111"/>
        <v>VE</v>
      </c>
    </row>
    <row r="227" spans="1:85" ht="97.5" customHeight="1" x14ac:dyDescent="0.3">
      <c r="A227" s="298" t="s">
        <v>491</v>
      </c>
      <c r="B227" s="299" t="str">
        <f>'PLAN INDICATIVO'!B227</f>
        <v>Atención a grupos vulnerables - promoción social</v>
      </c>
      <c r="C227" s="1559"/>
      <c r="D227" s="1549"/>
      <c r="E227" s="1549"/>
      <c r="F227" s="1549"/>
      <c r="G227" s="1549"/>
      <c r="H227" s="1549"/>
      <c r="I227" s="300">
        <f>'PLAN INDICATIVO'!I227</f>
        <v>0</v>
      </c>
      <c r="J227" s="300">
        <f>'PLAN INDICATIVO'!J227</f>
        <v>0</v>
      </c>
      <c r="K227" s="1428" t="str">
        <f>'PLAN INDICATIVO'!K227</f>
        <v>A.14.5.15</v>
      </c>
      <c r="L227" s="301" t="str">
        <f>'PLAN INDICATIVO'!L227</f>
        <v>10. Reducción de las desigualdades</v>
      </c>
      <c r="M227" s="301" t="str">
        <f>'PLAN INDICATIVO'!M227</f>
        <v>Secretaría de Gobierno</v>
      </c>
      <c r="N227" s="1513" t="s">
        <v>5126</v>
      </c>
      <c r="O227" s="1372" t="str">
        <f>'PLAN INDICATIVO'!O227</f>
        <v>Incremento</v>
      </c>
      <c r="P227" s="16" t="str">
        <f>'PLAN INDICATIVO'!P227</f>
        <v>Desarrollar 2 campañas durante el cuatrienio dirigido a promoción de la participación de la población con discapacidad en oferta institucional con enfoque diferencial</v>
      </c>
      <c r="Q227" s="302" t="str">
        <f>'PLAN INDICATIVO'!Q227</f>
        <v xml:space="preserve">No. de campañas realizadas </v>
      </c>
      <c r="R227" s="303">
        <f>'PLAN INDICATIVO'!R227</f>
        <v>2015</v>
      </c>
      <c r="S227" s="304">
        <v>0</v>
      </c>
      <c r="T227" s="699">
        <v>2</v>
      </c>
      <c r="U227" s="303">
        <v>0</v>
      </c>
      <c r="V227" s="833">
        <v>5</v>
      </c>
      <c r="W227" s="303">
        <v>1</v>
      </c>
      <c r="X227" s="687"/>
      <c r="Y227" s="286"/>
      <c r="Z227" s="1233"/>
      <c r="AA227" s="291">
        <v>1</v>
      </c>
      <c r="AB227" s="686">
        <v>6000000</v>
      </c>
      <c r="AC227" s="669"/>
      <c r="AD227" s="669">
        <v>3</v>
      </c>
      <c r="AE227" s="669"/>
      <c r="AF227" s="669"/>
      <c r="AG227" s="341" t="s">
        <v>5145</v>
      </c>
      <c r="AH227" s="987">
        <v>2019413960016</v>
      </c>
      <c r="AI227" s="361"/>
      <c r="AJ227" s="309"/>
      <c r="AK227" s="359"/>
      <c r="AL227" s="358"/>
      <c r="AM227" s="358"/>
      <c r="AN227" s="267" t="s">
        <v>2594</v>
      </c>
      <c r="AO227" s="512"/>
      <c r="AP227" s="525"/>
      <c r="AQ227" s="310"/>
      <c r="AR227" s="310"/>
      <c r="AS227" s="310"/>
      <c r="AT227" s="310"/>
      <c r="AU227" s="310"/>
      <c r="AV227" s="310"/>
      <c r="AW227" s="544"/>
      <c r="AX227" s="525"/>
      <c r="AY227" s="310"/>
      <c r="AZ227" s="310"/>
      <c r="BA227" s="310"/>
      <c r="BB227" s="310"/>
      <c r="BC227" s="310"/>
      <c r="BD227" s="310"/>
      <c r="BE227" s="544"/>
      <c r="BF227" s="525"/>
      <c r="BG227" s="310"/>
      <c r="BH227" s="310"/>
      <c r="BI227" s="310"/>
      <c r="BJ227" s="310"/>
      <c r="BK227" s="310"/>
      <c r="BL227" s="310"/>
      <c r="BM227" s="544">
        <f t="shared" si="105"/>
        <v>0</v>
      </c>
      <c r="BN227" s="525"/>
      <c r="BO227" s="310"/>
      <c r="BP227" s="310"/>
      <c r="BQ227" s="310"/>
      <c r="BR227" s="310"/>
      <c r="BS227" s="310"/>
      <c r="BT227" s="310"/>
      <c r="BU227" s="544"/>
      <c r="BV227" s="556"/>
      <c r="BW227" s="663">
        <f t="shared" si="98"/>
        <v>3</v>
      </c>
      <c r="BX227" s="1047">
        <f t="shared" si="99"/>
        <v>1.5</v>
      </c>
      <c r="BY227" s="1047" t="str">
        <f t="shared" si="107"/>
        <v>Aplazada</v>
      </c>
      <c r="BZ227" s="1047">
        <f t="shared" si="108"/>
        <v>3</v>
      </c>
      <c r="CA227" s="1047" t="str">
        <f t="shared" si="109"/>
        <v>No Programada</v>
      </c>
      <c r="CB227" s="1047">
        <f t="shared" si="110"/>
        <v>0</v>
      </c>
      <c r="CD227" t="str">
        <f t="shared" si="111"/>
        <v>AZ</v>
      </c>
      <c r="CE227" t="str">
        <f t="shared" si="111"/>
        <v>VE</v>
      </c>
      <c r="CF227" t="str">
        <f t="shared" si="111"/>
        <v>NP</v>
      </c>
      <c r="CG227" t="str">
        <f t="shared" si="111"/>
        <v>ROB</v>
      </c>
    </row>
    <row r="228" spans="1:85" ht="100.5" hidden="1" customHeight="1" x14ac:dyDescent="0.25">
      <c r="A228" s="298" t="s">
        <v>491</v>
      </c>
      <c r="B228" s="299" t="str">
        <f>'PLAN INDICATIVO'!B228</f>
        <v>Atención a grupos vulnerables - promoción social</v>
      </c>
      <c r="C228" s="1559"/>
      <c r="D228" s="1549"/>
      <c r="E228" s="1549"/>
      <c r="F228" s="1549"/>
      <c r="G228" s="1549"/>
      <c r="H228" s="1549"/>
      <c r="I228" s="300">
        <f>'PLAN INDICATIVO'!I228</f>
        <v>0</v>
      </c>
      <c r="J228" s="300">
        <f>'PLAN INDICATIVO'!J228</f>
        <v>0</v>
      </c>
      <c r="K228" s="1428" t="str">
        <f>'PLAN INDICATIVO'!K228</f>
        <v>A.14.5.16</v>
      </c>
      <c r="L228" s="301" t="str">
        <f>'PLAN INDICATIVO'!L228</f>
        <v>10. Reducción de las desigualdades</v>
      </c>
      <c r="M228" s="301" t="str">
        <f>'PLAN INDICATIVO'!M228</f>
        <v>Secretaría de Gobierno</v>
      </c>
      <c r="N228" s="1513" t="s">
        <v>5126</v>
      </c>
      <c r="O228" s="1372" t="str">
        <f>'PLAN INDICATIVO'!O228</f>
        <v>Incremento</v>
      </c>
      <c r="P228" s="16" t="str">
        <f>'PLAN INDICATIVO'!P228</f>
        <v>Realizar 1 proyecto para ayudas técnicas durante el cuatrienio para fortalecer la atención a la población en situación de discapacidad</v>
      </c>
      <c r="Q228" s="302" t="str">
        <f>'PLAN INDICATIVO'!Q228</f>
        <v xml:space="preserve">No. de proyectos realizados </v>
      </c>
      <c r="R228" s="303">
        <f>'PLAN INDICATIVO'!R228</f>
        <v>2015</v>
      </c>
      <c r="S228" s="304">
        <v>0</v>
      </c>
      <c r="T228" s="699">
        <v>1</v>
      </c>
      <c r="U228" s="303">
        <v>0</v>
      </c>
      <c r="V228" s="833">
        <v>0</v>
      </c>
      <c r="W228" s="303">
        <v>0</v>
      </c>
      <c r="X228" s="687"/>
      <c r="Y228" s="286"/>
      <c r="Z228" s="1233">
        <v>10000000</v>
      </c>
      <c r="AA228" s="291"/>
      <c r="AB228" s="686"/>
      <c r="AC228" s="669"/>
      <c r="AD228" s="669"/>
      <c r="AE228" s="669">
        <v>1</v>
      </c>
      <c r="AF228" s="933">
        <v>1</v>
      </c>
      <c r="AG228" s="341" t="s">
        <v>5145</v>
      </c>
      <c r="AH228" s="987">
        <v>2019413960016</v>
      </c>
      <c r="AI228" s="1490" t="s">
        <v>4989</v>
      </c>
      <c r="AJ228" s="309"/>
      <c r="AK228" s="359"/>
      <c r="AL228" s="358"/>
      <c r="AM228" s="358"/>
      <c r="AN228" s="267" t="s">
        <v>2598</v>
      </c>
      <c r="AO228" s="512"/>
      <c r="AP228" s="525"/>
      <c r="AQ228" s="310"/>
      <c r="AR228" s="310"/>
      <c r="AS228" s="310"/>
      <c r="AT228" s="310"/>
      <c r="AU228" s="310"/>
      <c r="AV228" s="310"/>
      <c r="AW228" s="544"/>
      <c r="AX228" s="525"/>
      <c r="AY228" s="310"/>
      <c r="AZ228" s="310"/>
      <c r="BA228" s="310"/>
      <c r="BB228" s="310"/>
      <c r="BC228" s="310"/>
      <c r="BD228" s="310"/>
      <c r="BE228" s="544"/>
      <c r="BF228" s="525"/>
      <c r="BG228" s="310"/>
      <c r="BH228" s="310"/>
      <c r="BI228" s="310"/>
      <c r="BJ228" s="310"/>
      <c r="BK228" s="310"/>
      <c r="BL228" s="310"/>
      <c r="BM228" s="544">
        <f t="shared" si="105"/>
        <v>0</v>
      </c>
      <c r="BN228" s="525"/>
      <c r="BO228" s="310"/>
      <c r="BP228" s="310"/>
      <c r="BQ228" s="310"/>
      <c r="BR228" s="310"/>
      <c r="BS228" s="310"/>
      <c r="BT228" s="310"/>
      <c r="BU228" s="544"/>
      <c r="BV228" s="556"/>
      <c r="BW228" s="663">
        <f t="shared" si="98"/>
        <v>2</v>
      </c>
      <c r="BX228" s="1047">
        <f t="shared" si="99"/>
        <v>2</v>
      </c>
      <c r="BY228" s="1047" t="str">
        <f t="shared" si="107"/>
        <v>Aplazada</v>
      </c>
      <c r="BZ228" s="1047" t="str">
        <f t="shared" si="108"/>
        <v>Aplazada</v>
      </c>
      <c r="CA228" s="1047">
        <v>1</v>
      </c>
      <c r="CB228" s="1047" t="str">
        <f t="shared" si="110"/>
        <v>No Programada</v>
      </c>
      <c r="CD228" t="str">
        <f t="shared" si="111"/>
        <v>AZ</v>
      </c>
      <c r="CE228" t="str">
        <f t="shared" si="111"/>
        <v>AZ</v>
      </c>
      <c r="CF228" t="str">
        <f t="shared" si="111"/>
        <v>VE</v>
      </c>
      <c r="CG228" t="str">
        <f t="shared" si="111"/>
        <v>NP</v>
      </c>
    </row>
    <row r="229" spans="1:85" ht="107.25" customHeight="1" x14ac:dyDescent="0.3">
      <c r="A229" s="298" t="s">
        <v>491</v>
      </c>
      <c r="B229" s="299" t="str">
        <f>'PLAN INDICATIVO'!B229</f>
        <v>Atención a grupos vulnerables - promoción social</v>
      </c>
      <c r="C229" s="1559"/>
      <c r="D229" s="1549"/>
      <c r="E229" s="1549"/>
      <c r="F229" s="1549"/>
      <c r="G229" s="1549"/>
      <c r="H229" s="1549"/>
      <c r="I229" s="300">
        <f>'PLAN INDICATIVO'!I229</f>
        <v>0</v>
      </c>
      <c r="J229" s="300">
        <f>'PLAN INDICATIVO'!J229</f>
        <v>0</v>
      </c>
      <c r="K229" s="1428" t="str">
        <f>'PLAN INDICATIVO'!K229</f>
        <v>A.14.5.17</v>
      </c>
      <c r="L229" s="301" t="str">
        <f>'PLAN INDICATIVO'!L229</f>
        <v>10. Reducción de las desigualdades</v>
      </c>
      <c r="M229" s="301" t="str">
        <f>'PLAN INDICATIVO'!M229</f>
        <v>Secretaría de Gobierno</v>
      </c>
      <c r="N229" s="1513" t="s">
        <v>5126</v>
      </c>
      <c r="O229" s="1372" t="str">
        <f>'PLAN INDICATIVO'!O229</f>
        <v>Incremento</v>
      </c>
      <c r="P229" s="16" t="str">
        <f>'PLAN INDICATIVO'!P229</f>
        <v xml:space="preserve">Realizar 4 celebraciones del día de la discapacidad, 2 de las fiestas tradicionales sampedrinas durante el cuatrienio. </v>
      </c>
      <c r="Q229" s="302" t="str">
        <f>'PLAN INDICATIVO'!Q229</f>
        <v xml:space="preserve">No. de celebraciones realizadas </v>
      </c>
      <c r="R229" s="303">
        <f>'PLAN INDICATIVO'!R229</f>
        <v>2015</v>
      </c>
      <c r="S229" s="304">
        <v>0</v>
      </c>
      <c r="T229" s="1304">
        <v>6</v>
      </c>
      <c r="U229" s="303">
        <v>1</v>
      </c>
      <c r="V229" s="833">
        <v>8</v>
      </c>
      <c r="W229" s="303">
        <v>1</v>
      </c>
      <c r="X229" s="687">
        <v>20000000</v>
      </c>
      <c r="Y229" s="286">
        <v>1</v>
      </c>
      <c r="Z229" s="1233">
        <v>10000000</v>
      </c>
      <c r="AA229" s="291">
        <v>1</v>
      </c>
      <c r="AB229" s="686">
        <v>7000000</v>
      </c>
      <c r="AC229" s="669"/>
      <c r="AD229" s="669">
        <v>1</v>
      </c>
      <c r="AE229" s="669">
        <v>0.5</v>
      </c>
      <c r="AF229" s="933">
        <v>2</v>
      </c>
      <c r="AG229" s="341" t="s">
        <v>5145</v>
      </c>
      <c r="AH229" s="987">
        <v>2019413960016</v>
      </c>
      <c r="AI229" s="355" t="s">
        <v>4990</v>
      </c>
      <c r="AJ229" s="309">
        <v>43497</v>
      </c>
      <c r="AK229" s="363">
        <v>43802</v>
      </c>
      <c r="AL229" s="358"/>
      <c r="AM229" s="358"/>
      <c r="AN229" s="267" t="s">
        <v>2600</v>
      </c>
      <c r="AO229" s="512"/>
      <c r="AP229" s="525"/>
      <c r="AQ229" s="310"/>
      <c r="AR229" s="310"/>
      <c r="AS229" s="310"/>
      <c r="AT229" s="310"/>
      <c r="AU229" s="310"/>
      <c r="AV229" s="310"/>
      <c r="AW229" s="544"/>
      <c r="AX229" s="525"/>
      <c r="AY229" s="310"/>
      <c r="AZ229" s="310"/>
      <c r="BA229" s="310"/>
      <c r="BB229" s="310"/>
      <c r="BC229" s="310"/>
      <c r="BD229" s="310"/>
      <c r="BE229" s="544"/>
      <c r="BF229" s="525"/>
      <c r="BG229" s="310"/>
      <c r="BH229" s="310"/>
      <c r="BI229" s="310"/>
      <c r="BJ229" s="310"/>
      <c r="BK229" s="310"/>
      <c r="BL229" s="310"/>
      <c r="BM229" s="544">
        <f t="shared" si="105"/>
        <v>0</v>
      </c>
      <c r="BN229" s="525"/>
      <c r="BO229" s="310"/>
      <c r="BP229" s="310"/>
      <c r="BQ229" s="310"/>
      <c r="BR229" s="310"/>
      <c r="BS229" s="310"/>
      <c r="BT229" s="310"/>
      <c r="BU229" s="544"/>
      <c r="BV229" s="556"/>
      <c r="BW229" s="663">
        <f t="shared" si="98"/>
        <v>3.5</v>
      </c>
      <c r="BX229" s="1047">
        <f t="shared" si="99"/>
        <v>0.58333333333333337</v>
      </c>
      <c r="BY229" s="1047">
        <f t="shared" si="107"/>
        <v>0</v>
      </c>
      <c r="BZ229" s="1047">
        <f t="shared" si="108"/>
        <v>1</v>
      </c>
      <c r="CA229" s="1047">
        <f t="shared" si="109"/>
        <v>0.5</v>
      </c>
      <c r="CB229" s="1047">
        <f t="shared" si="110"/>
        <v>2</v>
      </c>
      <c r="CD229" t="str">
        <f t="shared" si="111"/>
        <v>ROB</v>
      </c>
      <c r="CE229" t="str">
        <f t="shared" si="111"/>
        <v>VE</v>
      </c>
      <c r="CF229" t="str">
        <f t="shared" si="111"/>
        <v>AMB</v>
      </c>
      <c r="CG229" t="str">
        <f t="shared" si="111"/>
        <v>VE</v>
      </c>
    </row>
    <row r="230" spans="1:85" ht="81.75" hidden="1" customHeight="1" x14ac:dyDescent="0.25">
      <c r="A230" s="298" t="s">
        <v>491</v>
      </c>
      <c r="B230" s="299" t="str">
        <f>'PLAN INDICATIVO'!B230</f>
        <v>Atención a grupos vulnerables - promoción social</v>
      </c>
      <c r="C230" s="1559"/>
      <c r="D230" s="1549"/>
      <c r="E230" s="1549"/>
      <c r="F230" s="1549"/>
      <c r="G230" s="1549"/>
      <c r="H230" s="1549"/>
      <c r="I230" s="300">
        <f>'PLAN INDICATIVO'!I230</f>
        <v>0</v>
      </c>
      <c r="J230" s="300">
        <f>'PLAN INDICATIVO'!J230</f>
        <v>0</v>
      </c>
      <c r="K230" s="1428" t="str">
        <f>'PLAN INDICATIVO'!K230</f>
        <v>A.14.5.18</v>
      </c>
      <c r="L230" s="301" t="str">
        <f>'PLAN INDICATIVO'!L230</f>
        <v>10. Reducción de las desigualdades</v>
      </c>
      <c r="M230" s="301" t="str">
        <f>'PLAN INDICATIVO'!M230</f>
        <v>Secretaría de Gobierno</v>
      </c>
      <c r="N230" s="1513" t="s">
        <v>5126</v>
      </c>
      <c r="O230" s="1372" t="str">
        <f>'PLAN INDICATIVO'!O230</f>
        <v>Incremento</v>
      </c>
      <c r="P230" s="16" t="str">
        <f>'PLAN INDICATIVO'!P230</f>
        <v xml:space="preserve">Realizar 1 estudio para la reubicación de la unidad de atención integral UAI, durante el cuatrienio. </v>
      </c>
      <c r="Q230" s="302" t="str">
        <f>'PLAN INDICATIVO'!Q230</f>
        <v xml:space="preserve">No. de estudios realizados </v>
      </c>
      <c r="R230" s="303">
        <f>'PLAN INDICATIVO'!R230</f>
        <v>2015</v>
      </c>
      <c r="S230" s="304">
        <v>0</v>
      </c>
      <c r="T230" s="699">
        <v>1</v>
      </c>
      <c r="U230" s="303">
        <v>0</v>
      </c>
      <c r="V230" s="833">
        <v>0</v>
      </c>
      <c r="W230" s="303">
        <v>0</v>
      </c>
      <c r="X230" s="687"/>
      <c r="Y230" s="286"/>
      <c r="Z230" s="1233"/>
      <c r="AA230" s="291">
        <v>1</v>
      </c>
      <c r="AB230" s="686"/>
      <c r="AC230" s="669"/>
      <c r="AD230" s="669"/>
      <c r="AE230" s="669"/>
      <c r="AF230" s="933">
        <v>1</v>
      </c>
      <c r="AG230" s="341" t="s">
        <v>5145</v>
      </c>
      <c r="AH230" s="987">
        <v>2019413960016</v>
      </c>
      <c r="AI230" s="1490" t="s">
        <v>5071</v>
      </c>
      <c r="AJ230" s="309">
        <v>43497</v>
      </c>
      <c r="AK230" s="363">
        <v>43707</v>
      </c>
      <c r="AL230" s="358"/>
      <c r="AM230" s="358"/>
      <c r="AN230" s="267" t="s">
        <v>2594</v>
      </c>
      <c r="AO230" s="512"/>
      <c r="AP230" s="525"/>
      <c r="AQ230" s="310"/>
      <c r="AR230" s="310"/>
      <c r="AS230" s="310"/>
      <c r="AT230" s="310"/>
      <c r="AU230" s="310"/>
      <c r="AV230" s="310"/>
      <c r="AW230" s="544"/>
      <c r="AX230" s="525"/>
      <c r="AY230" s="310"/>
      <c r="AZ230" s="310"/>
      <c r="BA230" s="310"/>
      <c r="BB230" s="310"/>
      <c r="BC230" s="310"/>
      <c r="BD230" s="310"/>
      <c r="BE230" s="544"/>
      <c r="BF230" s="525"/>
      <c r="BG230" s="310"/>
      <c r="BH230" s="310"/>
      <c r="BI230" s="310"/>
      <c r="BJ230" s="310"/>
      <c r="BK230" s="310"/>
      <c r="BL230" s="310"/>
      <c r="BM230" s="544">
        <f t="shared" si="105"/>
        <v>0</v>
      </c>
      <c r="BN230" s="525"/>
      <c r="BO230" s="310"/>
      <c r="BP230" s="310"/>
      <c r="BQ230" s="310"/>
      <c r="BR230" s="310"/>
      <c r="BS230" s="310"/>
      <c r="BT230" s="310"/>
      <c r="BU230" s="544"/>
      <c r="BV230" s="556"/>
      <c r="BW230" s="663">
        <f t="shared" si="98"/>
        <v>1</v>
      </c>
      <c r="BX230" s="1047">
        <f t="shared" si="99"/>
        <v>1</v>
      </c>
      <c r="BY230" s="1047" t="str">
        <f t="shared" si="107"/>
        <v>Aplazada</v>
      </c>
      <c r="BZ230" s="1047" t="str">
        <f t="shared" si="108"/>
        <v>Aplazada</v>
      </c>
      <c r="CA230" s="1047" t="str">
        <f t="shared" si="109"/>
        <v>No Programada</v>
      </c>
      <c r="CB230" s="1047">
        <f t="shared" si="110"/>
        <v>1</v>
      </c>
      <c r="CD230" t="str">
        <f t="shared" si="111"/>
        <v>AZ</v>
      </c>
      <c r="CE230" t="str">
        <f t="shared" si="111"/>
        <v>AZ</v>
      </c>
      <c r="CF230" t="str">
        <f t="shared" si="111"/>
        <v>NP</v>
      </c>
      <c r="CG230" t="str">
        <f t="shared" si="111"/>
        <v>VE</v>
      </c>
    </row>
    <row r="231" spans="1:85" ht="69.75" customHeight="1" x14ac:dyDescent="0.3">
      <c r="A231" s="298" t="s">
        <v>491</v>
      </c>
      <c r="B231" s="299" t="str">
        <f>'PLAN INDICATIVO'!B231</f>
        <v>Atención a grupos vulnerables - promoción social</v>
      </c>
      <c r="C231" s="1559"/>
      <c r="D231" s="1549"/>
      <c r="E231" s="1549"/>
      <c r="F231" s="1549"/>
      <c r="G231" s="1549"/>
      <c r="H231" s="1549"/>
      <c r="I231" s="300">
        <f>'PLAN INDICATIVO'!I231</f>
        <v>0</v>
      </c>
      <c r="J231" s="300">
        <f>'PLAN INDICATIVO'!J231</f>
        <v>0</v>
      </c>
      <c r="K231" s="1428" t="str">
        <f>'PLAN INDICATIVO'!K231</f>
        <v>A.14.5.19</v>
      </c>
      <c r="L231" s="301" t="str">
        <f>'PLAN INDICATIVO'!L231</f>
        <v>10. Reducción de las desigualdades</v>
      </c>
      <c r="M231" s="301" t="str">
        <f>'PLAN INDICATIVO'!M231</f>
        <v>Secretaría de Gobierno</v>
      </c>
      <c r="N231" s="1513" t="s">
        <v>5126</v>
      </c>
      <c r="O231" s="1372" t="str">
        <f>'PLAN INDICATIVO'!O231</f>
        <v>Incremento</v>
      </c>
      <c r="P231" s="71" t="str">
        <f>'PLAN INDICATIVO'!P231</f>
        <v>Realizar 1 caracterización de la población con discapacidad, durante el cuatrienio.</v>
      </c>
      <c r="Q231" s="302" t="str">
        <f>'PLAN INDICATIVO'!Q231</f>
        <v xml:space="preserve">No. de caracterizaciones realizadas </v>
      </c>
      <c r="R231" s="303">
        <f>'PLAN INDICATIVO'!R231</f>
        <v>2015</v>
      </c>
      <c r="S231" s="304">
        <v>0</v>
      </c>
      <c r="T231" s="699">
        <v>1</v>
      </c>
      <c r="U231" s="303">
        <v>0</v>
      </c>
      <c r="V231" s="833">
        <v>1</v>
      </c>
      <c r="W231" s="303">
        <v>1</v>
      </c>
      <c r="X231" s="687"/>
      <c r="Y231" s="286"/>
      <c r="Z231" s="1233"/>
      <c r="AA231" s="291"/>
      <c r="AB231" s="686">
        <v>5000000</v>
      </c>
      <c r="AC231" s="669"/>
      <c r="AD231" s="669">
        <v>1</v>
      </c>
      <c r="AE231" s="669"/>
      <c r="AF231" s="669"/>
      <c r="AG231" s="341" t="s">
        <v>5145</v>
      </c>
      <c r="AH231" s="987">
        <v>2019413960016</v>
      </c>
      <c r="AI231" s="355"/>
      <c r="AJ231" s="309"/>
      <c r="AK231" s="359"/>
      <c r="AL231" s="358"/>
      <c r="AM231" s="358"/>
      <c r="AN231" s="834" t="s">
        <v>2594</v>
      </c>
      <c r="AO231" s="512"/>
      <c r="AP231" s="525"/>
      <c r="AQ231" s="310"/>
      <c r="AR231" s="310"/>
      <c r="AS231" s="310"/>
      <c r="AT231" s="310"/>
      <c r="AU231" s="310"/>
      <c r="AV231" s="310"/>
      <c r="AW231" s="544"/>
      <c r="AX231" s="525"/>
      <c r="AY231" s="310"/>
      <c r="AZ231" s="310"/>
      <c r="BA231" s="310"/>
      <c r="BB231" s="310"/>
      <c r="BC231" s="310"/>
      <c r="BD231" s="310"/>
      <c r="BE231" s="544"/>
      <c r="BF231" s="525"/>
      <c r="BG231" s="310"/>
      <c r="BH231" s="310"/>
      <c r="BI231" s="310"/>
      <c r="BJ231" s="310"/>
      <c r="BK231" s="310"/>
      <c r="BL231" s="310"/>
      <c r="BM231" s="544">
        <f t="shared" si="105"/>
        <v>0</v>
      </c>
      <c r="BN231" s="525"/>
      <c r="BO231" s="310"/>
      <c r="BP231" s="310"/>
      <c r="BQ231" s="310"/>
      <c r="BR231" s="310"/>
      <c r="BS231" s="310"/>
      <c r="BT231" s="310"/>
      <c r="BU231" s="544"/>
      <c r="BV231" s="556"/>
      <c r="BW231" s="663">
        <f t="shared" si="98"/>
        <v>1</v>
      </c>
      <c r="BX231" s="1047">
        <f t="shared" si="99"/>
        <v>1</v>
      </c>
      <c r="BY231" s="1047" t="str">
        <f t="shared" si="107"/>
        <v>Aplazada</v>
      </c>
      <c r="BZ231" s="1047">
        <f t="shared" si="108"/>
        <v>1</v>
      </c>
      <c r="CA231" s="1047" t="str">
        <f t="shared" si="109"/>
        <v>No Programada</v>
      </c>
      <c r="CB231" s="1047" t="str">
        <f t="shared" si="110"/>
        <v>No Programada</v>
      </c>
      <c r="CD231" t="str">
        <f t="shared" si="111"/>
        <v>AZ</v>
      </c>
      <c r="CE231" t="str">
        <f t="shared" si="111"/>
        <v>VE</v>
      </c>
      <c r="CF231" t="str">
        <f t="shared" si="111"/>
        <v>NP</v>
      </c>
      <c r="CG231" t="str">
        <f t="shared" si="111"/>
        <v>NP</v>
      </c>
    </row>
    <row r="232" spans="1:85" ht="113.25" hidden="1" customHeight="1" x14ac:dyDescent="0.25">
      <c r="A232" s="298" t="s">
        <v>491</v>
      </c>
      <c r="B232" s="299" t="str">
        <f>'PLAN INDICATIVO'!B232</f>
        <v>Atención a grupos vulnerables - promoción social</v>
      </c>
      <c r="C232" s="1559"/>
      <c r="D232" s="1549"/>
      <c r="E232" s="1549"/>
      <c r="F232" s="1549"/>
      <c r="G232" s="1549"/>
      <c r="H232" s="1549"/>
      <c r="I232" s="300">
        <f>'PLAN INDICATIVO'!I232</f>
        <v>0</v>
      </c>
      <c r="J232" s="300">
        <f>'PLAN INDICATIVO'!J232</f>
        <v>0</v>
      </c>
      <c r="K232" s="1428" t="str">
        <f>'PLAN INDICATIVO'!K232</f>
        <v>A.14.5.20</v>
      </c>
      <c r="L232" s="301" t="str">
        <f>'PLAN INDICATIVO'!L232</f>
        <v>10. Reducción de las desigualdades</v>
      </c>
      <c r="M232" s="301" t="str">
        <f>'PLAN INDICATIVO'!M232</f>
        <v>Secretaría de Gobierno</v>
      </c>
      <c r="N232" s="1513" t="s">
        <v>5126</v>
      </c>
      <c r="O232" s="1372" t="str">
        <f>'PLAN INDICATIVO'!O232</f>
        <v>Incremento</v>
      </c>
      <c r="P232" s="16" t="str">
        <f>'PLAN INDICATIVO'!P232</f>
        <v>Realizar 2 ofertas institucionales  a población con discapacidad, para acceso a programas de desarrollo económico durante el cuatrienio</v>
      </c>
      <c r="Q232" s="302" t="str">
        <f>'PLAN INDICATIVO'!Q232</f>
        <v xml:space="preserve">No. de ofertas realizadas </v>
      </c>
      <c r="R232" s="303">
        <f>'PLAN INDICATIVO'!R232</f>
        <v>2015</v>
      </c>
      <c r="S232" s="304">
        <v>0</v>
      </c>
      <c r="T232" s="699">
        <v>2</v>
      </c>
      <c r="U232" s="303">
        <v>0</v>
      </c>
      <c r="V232" s="833">
        <v>1</v>
      </c>
      <c r="W232" s="303">
        <v>1</v>
      </c>
      <c r="X232" s="687"/>
      <c r="Y232" s="286">
        <v>0.5</v>
      </c>
      <c r="Z232" s="1233"/>
      <c r="AA232" s="291">
        <v>1</v>
      </c>
      <c r="AB232" s="687"/>
      <c r="AC232" s="669"/>
      <c r="AD232" s="669">
        <v>0.5</v>
      </c>
      <c r="AE232" s="669">
        <v>0.5</v>
      </c>
      <c r="AF232" s="669">
        <v>1</v>
      </c>
      <c r="AG232" s="341" t="s">
        <v>5145</v>
      </c>
      <c r="AH232" s="987">
        <v>2019413960016</v>
      </c>
      <c r="AI232" s="1490" t="s">
        <v>4991</v>
      </c>
      <c r="AJ232" s="309">
        <v>43497</v>
      </c>
      <c r="AK232" s="359"/>
      <c r="AL232" s="358"/>
      <c r="AM232" s="358"/>
      <c r="AN232" s="267" t="s">
        <v>2598</v>
      </c>
      <c r="AO232" s="512"/>
      <c r="AP232" s="525"/>
      <c r="AQ232" s="310"/>
      <c r="AR232" s="310"/>
      <c r="AS232" s="310"/>
      <c r="AT232" s="310"/>
      <c r="AU232" s="310"/>
      <c r="AV232" s="310"/>
      <c r="AW232" s="544"/>
      <c r="AX232" s="525"/>
      <c r="AY232" s="310"/>
      <c r="AZ232" s="310"/>
      <c r="BA232" s="310"/>
      <c r="BB232" s="310"/>
      <c r="BC232" s="310"/>
      <c r="BD232" s="310"/>
      <c r="BE232" s="544"/>
      <c r="BF232" s="525"/>
      <c r="BG232" s="310"/>
      <c r="BH232" s="310"/>
      <c r="BI232" s="310"/>
      <c r="BJ232" s="310"/>
      <c r="BK232" s="310"/>
      <c r="BL232" s="310"/>
      <c r="BM232" s="544">
        <f t="shared" si="105"/>
        <v>0</v>
      </c>
      <c r="BN232" s="525"/>
      <c r="BO232" s="310"/>
      <c r="BP232" s="310"/>
      <c r="BQ232" s="310"/>
      <c r="BR232" s="310"/>
      <c r="BS232" s="310"/>
      <c r="BT232" s="310"/>
      <c r="BU232" s="544"/>
      <c r="BV232" s="556"/>
      <c r="BW232" s="663">
        <f t="shared" si="98"/>
        <v>2</v>
      </c>
      <c r="BX232" s="1047">
        <f t="shared" si="99"/>
        <v>1</v>
      </c>
      <c r="BY232" s="1047" t="str">
        <f t="shared" si="107"/>
        <v>Aplazada</v>
      </c>
      <c r="BZ232" s="1047">
        <f t="shared" si="108"/>
        <v>0.5</v>
      </c>
      <c r="CA232" s="1047">
        <f t="shared" si="109"/>
        <v>1</v>
      </c>
      <c r="CB232" s="1047">
        <f t="shared" si="110"/>
        <v>1</v>
      </c>
      <c r="CD232" t="str">
        <f t="shared" si="111"/>
        <v>AZ</v>
      </c>
      <c r="CE232" t="str">
        <f t="shared" si="111"/>
        <v>AMB</v>
      </c>
      <c r="CF232" t="str">
        <f t="shared" si="111"/>
        <v>VE</v>
      </c>
      <c r="CG232" t="str">
        <f t="shared" si="111"/>
        <v>VE</v>
      </c>
    </row>
    <row r="233" spans="1:85" ht="29.25" customHeight="1" x14ac:dyDescent="0.3">
      <c r="A233" s="298" t="s">
        <v>491</v>
      </c>
      <c r="B233" s="299" t="str">
        <f>'PLAN INDICATIVO'!B233</f>
        <v>Atención a grupos vulnerables - promoción social</v>
      </c>
      <c r="C233" s="1559"/>
      <c r="D233" s="1549"/>
      <c r="E233" s="1549"/>
      <c r="F233" s="1549"/>
      <c r="G233" s="1549"/>
      <c r="H233" s="1549"/>
      <c r="I233" s="17"/>
      <c r="J233" s="17"/>
      <c r="K233" s="370"/>
      <c r="L233" s="17"/>
      <c r="M233" s="17"/>
      <c r="N233" s="17"/>
      <c r="O233" s="1396"/>
      <c r="P233" s="62" t="s">
        <v>723</v>
      </c>
      <c r="Q233" s="25"/>
      <c r="R233" s="17"/>
      <c r="S233" s="270"/>
      <c r="T233" s="677"/>
      <c r="U233" s="270"/>
      <c r="V233" s="705">
        <f>SUM(V234:V239)</f>
        <v>66500000</v>
      </c>
      <c r="W233" s="270"/>
      <c r="X233" s="705">
        <f>SUM(X234:X239)</f>
        <v>52000000</v>
      </c>
      <c r="Y233" s="270"/>
      <c r="Z233" s="705">
        <f>SUM(Z234:Z239)</f>
        <v>52000000</v>
      </c>
      <c r="AA233" s="270"/>
      <c r="AB233" s="705">
        <f>SUM(AB234:AB240)</f>
        <v>62000000</v>
      </c>
      <c r="AC233" s="270"/>
      <c r="AD233" s="270"/>
      <c r="AE233" s="270"/>
      <c r="AF233" s="270"/>
      <c r="AG233" s="279"/>
      <c r="AH233" s="279"/>
      <c r="AI233" s="279"/>
      <c r="AJ233" s="270"/>
      <c r="AK233" s="270"/>
      <c r="AL233" s="270"/>
      <c r="AM233" s="270"/>
      <c r="AN233" s="270"/>
      <c r="AO233" s="644"/>
      <c r="AP233" s="619"/>
      <c r="AQ233" s="619"/>
      <c r="AR233" s="619"/>
      <c r="AS233" s="619"/>
      <c r="AT233" s="619"/>
      <c r="AU233" s="619"/>
      <c r="AV233" s="619"/>
      <c r="AW233" s="617"/>
      <c r="AX233" s="619"/>
      <c r="AY233" s="619"/>
      <c r="AZ233" s="619"/>
      <c r="BA233" s="619"/>
      <c r="BB233" s="619"/>
      <c r="BC233" s="619"/>
      <c r="BD233" s="619"/>
      <c r="BE233" s="617"/>
      <c r="BF233" s="619"/>
      <c r="BG233" s="619"/>
      <c r="BH233" s="619"/>
      <c r="BI233" s="619"/>
      <c r="BJ233" s="619"/>
      <c r="BK233" s="619"/>
      <c r="BL233" s="619"/>
      <c r="BM233" s="617">
        <f t="shared" si="105"/>
        <v>0</v>
      </c>
      <c r="BN233" s="619"/>
      <c r="BO233" s="619"/>
      <c r="BP233" s="619"/>
      <c r="BQ233" s="619"/>
      <c r="BR233" s="619"/>
      <c r="BS233" s="619"/>
      <c r="BT233" s="619"/>
      <c r="BU233" s="617"/>
      <c r="BV233" s="556"/>
      <c r="BW233" s="617" t="s">
        <v>2717</v>
      </c>
      <c r="BX233" s="617" t="s">
        <v>2717</v>
      </c>
      <c r="BY233" s="617" t="s">
        <v>2717</v>
      </c>
      <c r="BZ233" s="617" t="s">
        <v>2717</v>
      </c>
      <c r="CA233" s="617" t="s">
        <v>2717</v>
      </c>
      <c r="CB233" s="1047" t="s">
        <v>2717</v>
      </c>
    </row>
    <row r="234" spans="1:85" ht="59.25" customHeight="1" x14ac:dyDescent="0.3">
      <c r="A234" s="298" t="s">
        <v>491</v>
      </c>
      <c r="B234" s="299" t="str">
        <f>'PLAN INDICATIVO'!B234</f>
        <v>Atención a grupos vulnerables - promoción social</v>
      </c>
      <c r="C234" s="1559"/>
      <c r="D234" s="1549"/>
      <c r="E234" s="1549"/>
      <c r="F234" s="1549"/>
      <c r="G234" s="1549"/>
      <c r="H234" s="1549"/>
      <c r="I234" s="300">
        <f>'PLAN INDICATIVO'!I234</f>
        <v>0</v>
      </c>
      <c r="J234" s="300">
        <f>'PLAN INDICATIVO'!J234</f>
        <v>0</v>
      </c>
      <c r="K234" s="1428" t="str">
        <f>'PLAN INDICATIVO'!K234</f>
        <v>A.14.5.21</v>
      </c>
      <c r="L234" s="301" t="str">
        <f>'PLAN INDICATIVO'!L234</f>
        <v>10. Reducción de las desigualdades</v>
      </c>
      <c r="M234" s="301" t="str">
        <f>'PLAN INDICATIVO'!M234</f>
        <v>Secretaría de Gobierno</v>
      </c>
      <c r="N234" s="1513" t="s">
        <v>5126</v>
      </c>
      <c r="O234" s="1372" t="str">
        <f>'PLAN INDICATIVO'!O234</f>
        <v>Incremento</v>
      </c>
      <c r="P234" s="16" t="str">
        <f>'PLAN INDICATIVO'!P234</f>
        <v>Realizar 8 capacitaciones en el cuatrienio para la promoción de derechos de los afro descendiente</v>
      </c>
      <c r="Q234" s="302" t="str">
        <f>'PLAN INDICATIVO'!Q234</f>
        <v>No. De Capacitaciones realizadas</v>
      </c>
      <c r="R234" s="303">
        <f>'PLAN INDICATIVO'!R234</f>
        <v>2015</v>
      </c>
      <c r="S234" s="304">
        <v>0</v>
      </c>
      <c r="T234" s="699">
        <v>8</v>
      </c>
      <c r="U234" s="303">
        <v>2</v>
      </c>
      <c r="V234" s="687">
        <v>8000000</v>
      </c>
      <c r="W234" s="303">
        <v>2</v>
      </c>
      <c r="X234" s="687">
        <v>5000000</v>
      </c>
      <c r="Y234" s="286">
        <v>2</v>
      </c>
      <c r="Z234" s="1233">
        <v>5000000</v>
      </c>
      <c r="AA234" s="291">
        <v>1</v>
      </c>
      <c r="AB234" s="686">
        <v>4000000</v>
      </c>
      <c r="AC234" s="669"/>
      <c r="AD234" s="669">
        <v>2</v>
      </c>
      <c r="AE234" s="669">
        <v>2</v>
      </c>
      <c r="AF234" s="669">
        <v>2</v>
      </c>
      <c r="AG234" s="341" t="s">
        <v>5146</v>
      </c>
      <c r="AH234" s="987">
        <v>20194139600012</v>
      </c>
      <c r="AI234" s="1490" t="s">
        <v>4992</v>
      </c>
      <c r="AJ234" s="309">
        <v>43497</v>
      </c>
      <c r="AK234" s="363">
        <v>43707</v>
      </c>
      <c r="AL234" s="358"/>
      <c r="AM234" s="358"/>
      <c r="AN234" s="267" t="s">
        <v>2598</v>
      </c>
      <c r="AO234" s="512"/>
      <c r="AP234" s="724"/>
      <c r="AQ234" s="721"/>
      <c r="AR234" s="721"/>
      <c r="AS234" s="721"/>
      <c r="AT234" s="721"/>
      <c r="AU234" s="721"/>
      <c r="AV234" s="721"/>
      <c r="AW234" s="544"/>
      <c r="AX234" s="525"/>
      <c r="AY234" s="310"/>
      <c r="AZ234" s="310"/>
      <c r="BA234" s="310"/>
      <c r="BB234" s="310"/>
      <c r="BC234" s="310"/>
      <c r="BD234" s="310"/>
      <c r="BE234" s="544"/>
      <c r="BF234" s="525"/>
      <c r="BG234" s="310"/>
      <c r="BH234" s="310"/>
      <c r="BI234" s="310"/>
      <c r="BJ234" s="310"/>
      <c r="BK234" s="310"/>
      <c r="BL234" s="310"/>
      <c r="BM234" s="544">
        <f t="shared" si="105"/>
        <v>0</v>
      </c>
      <c r="BN234" s="525"/>
      <c r="BO234" s="310"/>
      <c r="BP234" s="310"/>
      <c r="BQ234" s="310"/>
      <c r="BR234" s="310"/>
      <c r="BS234" s="310"/>
      <c r="BT234" s="310"/>
      <c r="BU234" s="544"/>
      <c r="BV234" s="556"/>
      <c r="BW234" s="663">
        <f t="shared" si="98"/>
        <v>6</v>
      </c>
      <c r="BX234" s="1047">
        <f t="shared" si="99"/>
        <v>0.75</v>
      </c>
      <c r="BY234" s="1047">
        <f t="shared" ref="BY234:BY240" si="112">IF(U234&gt;=0.1,AC234/U234,IF(ISBLANK(U234),"No Programada","Aplazada"))</f>
        <v>0</v>
      </c>
      <c r="BZ234" s="1047">
        <f t="shared" ref="BZ234:BZ240" si="113">IF(W234&gt;=0.1,AD234/W234,IF(ISBLANK(W234),"No Programada","Aplazada"))</f>
        <v>1</v>
      </c>
      <c r="CA234" s="1047">
        <f t="shared" ref="CA234:CA240" si="114">IF(Y234&gt;=0.1,AE234/Y234,IF(ISBLANK(Y234),"No Programada","Aplazada"))</f>
        <v>1</v>
      </c>
      <c r="CB234" s="1047">
        <f t="shared" ref="CB234:CB240" si="115">IF(AA234&gt;=0.1,AF234/AA234,IF(ISBLANK(AA234),"No Programada","Aplazada"))</f>
        <v>2</v>
      </c>
      <c r="CD234" t="str">
        <f t="shared" ref="CD234:CG240" si="116">IF(BY234="PARA MODIFICAR","M",IF(BY234="PARA ELIMINAR","E",IF(BY234="aplazada","AZ",IF(BY234="no programada","NP",IF(BY234&gt;=85%,"VE",IF(BY234&gt;70%,"VEB",IF(BY234&gt;60%,"AM",IF(BY234&gt;40%,"AMB",IF(BY234&gt;20%,"RO",IF(BY234&gt;=0%,"ROB",""))))))))))</f>
        <v>ROB</v>
      </c>
      <c r="CE234" t="str">
        <f t="shared" si="116"/>
        <v>VE</v>
      </c>
      <c r="CF234" t="str">
        <f t="shared" si="116"/>
        <v>VE</v>
      </c>
      <c r="CG234" t="str">
        <f t="shared" si="116"/>
        <v>VE</v>
      </c>
    </row>
    <row r="235" spans="1:85" ht="5.25" hidden="1" customHeight="1" x14ac:dyDescent="0.25">
      <c r="A235" s="298" t="s">
        <v>491</v>
      </c>
      <c r="B235" s="299" t="s">
        <v>3427</v>
      </c>
      <c r="C235" s="1559"/>
      <c r="D235" s="1549"/>
      <c r="E235" s="1549"/>
      <c r="F235" s="1549"/>
      <c r="G235" s="1549"/>
      <c r="H235" s="1549"/>
      <c r="I235" s="300">
        <f>'PLAN INDICATIVO'!I235</f>
        <v>0</v>
      </c>
      <c r="J235" s="300">
        <f>'PLAN INDICATIVO'!J235</f>
        <v>0</v>
      </c>
      <c r="K235" s="1428" t="str">
        <f>'PLAN INDICATIVO'!K235</f>
        <v>A.14.5.22</v>
      </c>
      <c r="L235" s="301" t="str">
        <f>'PLAN INDICATIVO'!L235</f>
        <v>10. Reducción de las desigualdades</v>
      </c>
      <c r="M235" s="301" t="str">
        <f>'PLAN INDICATIVO'!M235</f>
        <v>Secretaría de Gobierno</v>
      </c>
      <c r="N235" s="1513" t="s">
        <v>5126</v>
      </c>
      <c r="O235" s="1372" t="str">
        <f>'PLAN INDICATIVO'!O235</f>
        <v>Incremento</v>
      </c>
      <c r="P235" s="1199" t="str">
        <f>'PLAN INDICATIVO'!P235</f>
        <v xml:space="preserve">Realizar la Construcción, Adecuación y/o mantenimiento  de 3 espacios públicos, zonas verdes, parques, plazoletas o plazas de mercado, durante el cuatrienio </v>
      </c>
      <c r="Q235" s="1199" t="str">
        <f>'PLAN INDICATIVO'!Q235</f>
        <v>No. De Planes Integrales afro implementados</v>
      </c>
      <c r="R235" s="1463">
        <f>'PLAN INDICATIVO'!R235</f>
        <v>2015</v>
      </c>
      <c r="S235" s="795">
        <v>0</v>
      </c>
      <c r="T235" s="1463">
        <v>1</v>
      </c>
      <c r="U235" s="1463">
        <v>0</v>
      </c>
      <c r="V235" s="1234">
        <v>5000000</v>
      </c>
      <c r="W235" s="1463">
        <v>1</v>
      </c>
      <c r="X235" s="1234">
        <v>5000000</v>
      </c>
      <c r="Y235" s="1463">
        <v>0.5</v>
      </c>
      <c r="Z235" s="1234"/>
      <c r="AA235" s="1463">
        <v>0</v>
      </c>
      <c r="AB235" s="1234"/>
      <c r="AC235" s="795"/>
      <c r="AD235" s="795">
        <v>0.5</v>
      </c>
      <c r="AE235" s="795">
        <v>0.1</v>
      </c>
      <c r="AF235" s="669"/>
      <c r="AG235" s="1339" t="s">
        <v>3649</v>
      </c>
      <c r="AH235" s="1340">
        <v>2018413960018</v>
      </c>
      <c r="AI235" s="355"/>
      <c r="AJ235" s="1341"/>
      <c r="AK235" s="1341"/>
      <c r="AL235" s="795"/>
      <c r="AM235" s="795"/>
      <c r="AN235" s="1342" t="s">
        <v>2604</v>
      </c>
      <c r="AO235" s="1343"/>
      <c r="AP235" s="801"/>
      <c r="AQ235" s="1344"/>
      <c r="AR235" s="1344"/>
      <c r="AS235" s="1344"/>
      <c r="AT235" s="1344"/>
      <c r="AU235" s="1344"/>
      <c r="AV235" s="1344"/>
      <c r="AW235" s="800"/>
      <c r="AX235" s="1323"/>
      <c r="AY235" s="1313"/>
      <c r="AZ235" s="1313"/>
      <c r="BA235" s="1313"/>
      <c r="BB235" s="1313"/>
      <c r="BC235" s="1313"/>
      <c r="BD235" s="1313"/>
      <c r="BE235" s="800"/>
      <c r="BF235" s="1323"/>
      <c r="BG235" s="1313"/>
      <c r="BH235" s="1313"/>
      <c r="BI235" s="1313"/>
      <c r="BJ235" s="1313"/>
      <c r="BK235" s="1313"/>
      <c r="BL235" s="1313"/>
      <c r="BM235" s="800">
        <f t="shared" si="105"/>
        <v>0</v>
      </c>
      <c r="BN235" s="525"/>
      <c r="BO235" s="310"/>
      <c r="BP235" s="310"/>
      <c r="BQ235" s="310"/>
      <c r="BR235" s="310"/>
      <c r="BS235" s="310"/>
      <c r="BT235" s="310"/>
      <c r="BU235" s="544"/>
      <c r="BV235" s="556"/>
      <c r="BW235" s="663">
        <f t="shared" si="98"/>
        <v>0.6</v>
      </c>
      <c r="BX235" s="1047">
        <f t="shared" si="99"/>
        <v>0.6</v>
      </c>
      <c r="BY235" s="1047" t="str">
        <f t="shared" si="112"/>
        <v>Aplazada</v>
      </c>
      <c r="BZ235" s="1047">
        <f t="shared" si="113"/>
        <v>0.5</v>
      </c>
      <c r="CA235" s="1047">
        <f t="shared" si="114"/>
        <v>0.2</v>
      </c>
      <c r="CB235" s="1047" t="s">
        <v>4789</v>
      </c>
      <c r="CD235" t="str">
        <f t="shared" si="116"/>
        <v>AZ</v>
      </c>
      <c r="CE235" t="str">
        <f t="shared" si="116"/>
        <v>AMB</v>
      </c>
      <c r="CF235" t="str">
        <f t="shared" si="116"/>
        <v>ROB</v>
      </c>
      <c r="CG235" t="str">
        <f t="shared" si="116"/>
        <v>E</v>
      </c>
    </row>
    <row r="236" spans="1:85" ht="80.25" customHeight="1" x14ac:dyDescent="0.3">
      <c r="A236" s="298" t="s">
        <v>491</v>
      </c>
      <c r="B236" s="299" t="str">
        <f>'PLAN INDICATIVO'!B236</f>
        <v>Atención a grupos vulnerables - promoción social</v>
      </c>
      <c r="C236" s="1559"/>
      <c r="D236" s="1549"/>
      <c r="E236" s="1549"/>
      <c r="F236" s="1549"/>
      <c r="G236" s="1549"/>
      <c r="H236" s="1549"/>
      <c r="I236" s="300">
        <f>'PLAN INDICATIVO'!I236</f>
        <v>0</v>
      </c>
      <c r="J236" s="300">
        <f>'PLAN INDICATIVO'!J236</f>
        <v>0</v>
      </c>
      <c r="K236" s="1428" t="str">
        <f>'PLAN INDICATIVO'!K236</f>
        <v>A.14.5.23</v>
      </c>
      <c r="L236" s="301" t="str">
        <f>'PLAN INDICATIVO'!L236</f>
        <v>10. Reducción de las desigualdades</v>
      </c>
      <c r="M236" s="301" t="str">
        <f>'PLAN INDICATIVO'!M236</f>
        <v>Secretaría de Gobierno</v>
      </c>
      <c r="N236" s="1513" t="s">
        <v>5126</v>
      </c>
      <c r="O236" s="1372" t="str">
        <f>'PLAN INDICATIVO'!O236</f>
        <v>Incremento</v>
      </c>
      <c r="P236" s="16" t="str">
        <f>'PLAN INDICATIVO'!P236</f>
        <v>Fortalecer 1 escuela artística con enfoque diferencial afro  durante el cuatrienio.</v>
      </c>
      <c r="Q236" s="302" t="str">
        <f>'PLAN INDICATIVO'!Q236</f>
        <v>No. De escuelas artísticas fortalecidas</v>
      </c>
      <c r="R236" s="303">
        <f>'PLAN INDICATIVO'!R236</f>
        <v>2015</v>
      </c>
      <c r="S236" s="304">
        <v>0</v>
      </c>
      <c r="T236" s="699">
        <v>1</v>
      </c>
      <c r="U236" s="303">
        <v>0</v>
      </c>
      <c r="V236" s="687">
        <v>0</v>
      </c>
      <c r="W236" s="303">
        <v>0</v>
      </c>
      <c r="X236" s="687"/>
      <c r="Y236" s="286">
        <v>0.5</v>
      </c>
      <c r="Z236" s="1233">
        <v>5000000</v>
      </c>
      <c r="AA236" s="291">
        <v>1</v>
      </c>
      <c r="AB236" s="686">
        <v>4000000</v>
      </c>
      <c r="AC236" s="669"/>
      <c r="AD236" s="669"/>
      <c r="AE236" s="669">
        <v>0.5</v>
      </c>
      <c r="AF236" s="669">
        <v>0.1</v>
      </c>
      <c r="AG236" s="341" t="s">
        <v>5146</v>
      </c>
      <c r="AH236" s="987">
        <v>20194139600012</v>
      </c>
      <c r="AI236" s="355" t="s">
        <v>5072</v>
      </c>
      <c r="AJ236" s="309">
        <v>43497</v>
      </c>
      <c r="AK236" s="363">
        <v>43403</v>
      </c>
      <c r="AL236" s="358"/>
      <c r="AM236" s="358"/>
      <c r="AN236" s="267" t="s">
        <v>2598</v>
      </c>
      <c r="AO236" s="512"/>
      <c r="AP236" s="720"/>
      <c r="AQ236" s="721"/>
      <c r="AR236" s="721"/>
      <c r="AS236" s="721"/>
      <c r="AT236" s="721"/>
      <c r="AU236" s="721"/>
      <c r="AV236" s="721"/>
      <c r="AW236" s="544"/>
      <c r="AX236" s="525"/>
      <c r="AY236" s="310"/>
      <c r="AZ236" s="310"/>
      <c r="BA236" s="310"/>
      <c r="BB236" s="310"/>
      <c r="BC236" s="310"/>
      <c r="BD236" s="310"/>
      <c r="BE236" s="544"/>
      <c r="BF236" s="525"/>
      <c r="BG236" s="310"/>
      <c r="BH236" s="310"/>
      <c r="BI236" s="310"/>
      <c r="BJ236" s="310"/>
      <c r="BK236" s="310"/>
      <c r="BL236" s="310"/>
      <c r="BM236" s="544">
        <f t="shared" si="105"/>
        <v>0</v>
      </c>
      <c r="BN236" s="525"/>
      <c r="BO236" s="310"/>
      <c r="BP236" s="310"/>
      <c r="BQ236" s="310"/>
      <c r="BR236" s="310"/>
      <c r="BS236" s="310"/>
      <c r="BT236" s="310"/>
      <c r="BU236" s="544"/>
      <c r="BV236" s="556"/>
      <c r="BW236" s="663">
        <f t="shared" si="98"/>
        <v>0.6</v>
      </c>
      <c r="BX236" s="1047">
        <f t="shared" si="99"/>
        <v>0.6</v>
      </c>
      <c r="BY236" s="1047" t="str">
        <f t="shared" si="112"/>
        <v>Aplazada</v>
      </c>
      <c r="BZ236" s="1047" t="str">
        <f t="shared" si="113"/>
        <v>Aplazada</v>
      </c>
      <c r="CA236" s="1047">
        <f>AE236/Y236</f>
        <v>1</v>
      </c>
      <c r="CB236" s="1047">
        <f t="shared" si="115"/>
        <v>0.1</v>
      </c>
      <c r="CD236" t="str">
        <f t="shared" si="116"/>
        <v>AZ</v>
      </c>
      <c r="CE236" t="str">
        <f t="shared" si="116"/>
        <v>AZ</v>
      </c>
      <c r="CF236" t="str">
        <f t="shared" si="116"/>
        <v>VE</v>
      </c>
      <c r="CG236" t="str">
        <f t="shared" si="116"/>
        <v>ROB</v>
      </c>
    </row>
    <row r="237" spans="1:85" ht="60" customHeight="1" x14ac:dyDescent="0.3">
      <c r="A237" s="298" t="s">
        <v>491</v>
      </c>
      <c r="B237" s="299" t="str">
        <f>'PLAN INDICATIVO'!B237</f>
        <v>Atención a grupos vulnerables - promoción social</v>
      </c>
      <c r="C237" s="1559"/>
      <c r="D237" s="1549"/>
      <c r="E237" s="1549"/>
      <c r="F237" s="1549"/>
      <c r="G237" s="1549"/>
      <c r="H237" s="1549"/>
      <c r="I237" s="300">
        <f>'PLAN INDICATIVO'!I237</f>
        <v>0</v>
      </c>
      <c r="J237" s="300">
        <f>'PLAN INDICATIVO'!J237</f>
        <v>0</v>
      </c>
      <c r="K237" s="1428" t="str">
        <f>'PLAN INDICATIVO'!K237</f>
        <v>A.14.5.24</v>
      </c>
      <c r="L237" s="301" t="str">
        <f>'PLAN INDICATIVO'!L237</f>
        <v>10. Reducción de las desigualdades</v>
      </c>
      <c r="M237" s="301" t="str">
        <f>'PLAN INDICATIVO'!M237</f>
        <v>Secretaría de Gobierno</v>
      </c>
      <c r="N237" s="1513" t="s">
        <v>5126</v>
      </c>
      <c r="O237" s="1372" t="str">
        <f>'PLAN INDICATIVO'!O237</f>
        <v>Incremento</v>
      </c>
      <c r="P237" s="16" t="str">
        <f>'PLAN INDICATIVO'!P237</f>
        <v>Crear 1 política municipal para la población afro, durante el cuatrienio</v>
      </c>
      <c r="Q237" s="302" t="str">
        <f>'PLAN INDICATIVO'!Q237</f>
        <v>No. De Políticas municipales creadas</v>
      </c>
      <c r="R237" s="303">
        <f>'PLAN INDICATIVO'!R237</f>
        <v>2015</v>
      </c>
      <c r="S237" s="304">
        <v>0</v>
      </c>
      <c r="T237" s="699">
        <v>1</v>
      </c>
      <c r="U237" s="303">
        <v>0.5</v>
      </c>
      <c r="V237" s="687">
        <v>500000</v>
      </c>
      <c r="W237" s="303">
        <v>0</v>
      </c>
      <c r="X237" s="687"/>
      <c r="Y237" s="286">
        <v>0.1</v>
      </c>
      <c r="Z237" s="1233"/>
      <c r="AA237" s="291">
        <v>0.1</v>
      </c>
      <c r="AB237" s="686">
        <v>3500000</v>
      </c>
      <c r="AC237" s="669"/>
      <c r="AD237" s="669">
        <v>0.55000000000000004</v>
      </c>
      <c r="AE237" s="669">
        <v>0.1</v>
      </c>
      <c r="AF237" s="669">
        <v>0.05</v>
      </c>
      <c r="AG237" s="341" t="s">
        <v>5146</v>
      </c>
      <c r="AH237" s="987">
        <v>20194139600012</v>
      </c>
      <c r="AI237" s="1490" t="s">
        <v>5073</v>
      </c>
      <c r="AJ237" s="309">
        <v>43497</v>
      </c>
      <c r="AK237" s="363">
        <v>43554</v>
      </c>
      <c r="AL237" s="358"/>
      <c r="AM237" s="358"/>
      <c r="AN237" s="267" t="s">
        <v>2598</v>
      </c>
      <c r="AO237" s="512"/>
      <c r="AP237" s="720"/>
      <c r="AQ237" s="721"/>
      <c r="AR237" s="721"/>
      <c r="AS237" s="721"/>
      <c r="AT237" s="721"/>
      <c r="AU237" s="721"/>
      <c r="AV237" s="721"/>
      <c r="AW237" s="544"/>
      <c r="AX237" s="525"/>
      <c r="AY237" s="310"/>
      <c r="AZ237" s="310"/>
      <c r="BA237" s="310"/>
      <c r="BB237" s="310"/>
      <c r="BC237" s="310"/>
      <c r="BD237" s="310"/>
      <c r="BE237" s="544"/>
      <c r="BF237" s="525"/>
      <c r="BG237" s="310"/>
      <c r="BH237" s="310"/>
      <c r="BI237" s="310"/>
      <c r="BJ237" s="310"/>
      <c r="BK237" s="310"/>
      <c r="BL237" s="310"/>
      <c r="BM237" s="544">
        <f t="shared" si="105"/>
        <v>0</v>
      </c>
      <c r="BN237" s="525"/>
      <c r="BO237" s="310"/>
      <c r="BP237" s="310"/>
      <c r="BQ237" s="310"/>
      <c r="BR237" s="310"/>
      <c r="BS237" s="310"/>
      <c r="BT237" s="310"/>
      <c r="BU237" s="544"/>
      <c r="BV237" s="556"/>
      <c r="BW237" s="663">
        <f t="shared" si="98"/>
        <v>0.70000000000000007</v>
      </c>
      <c r="BX237" s="1047">
        <f t="shared" si="99"/>
        <v>0.70000000000000007</v>
      </c>
      <c r="BY237" s="1047">
        <f t="shared" si="112"/>
        <v>0</v>
      </c>
      <c r="BZ237" s="1047" t="str">
        <f t="shared" si="113"/>
        <v>Aplazada</v>
      </c>
      <c r="CA237" s="1047">
        <f t="shared" si="114"/>
        <v>1</v>
      </c>
      <c r="CB237" s="1047">
        <f t="shared" si="115"/>
        <v>0.5</v>
      </c>
      <c r="CD237" t="str">
        <f t="shared" si="116"/>
        <v>ROB</v>
      </c>
      <c r="CE237" t="str">
        <f t="shared" si="116"/>
        <v>AZ</v>
      </c>
      <c r="CF237" t="str">
        <f t="shared" si="116"/>
        <v>VE</v>
      </c>
      <c r="CG237" t="str">
        <f t="shared" si="116"/>
        <v>AMB</v>
      </c>
    </row>
    <row r="238" spans="1:85" ht="87.75" customHeight="1" x14ac:dyDescent="0.3">
      <c r="A238" s="298" t="s">
        <v>491</v>
      </c>
      <c r="B238" s="299" t="str">
        <f>'PLAN INDICATIVO'!B238</f>
        <v>Atención a grupos vulnerables - promoción social</v>
      </c>
      <c r="C238" s="1559"/>
      <c r="D238" s="1549"/>
      <c r="E238" s="1549"/>
      <c r="F238" s="1549"/>
      <c r="G238" s="1549"/>
      <c r="H238" s="1549"/>
      <c r="I238" s="300">
        <f>'PLAN INDICATIVO'!I238</f>
        <v>0</v>
      </c>
      <c r="J238" s="300">
        <f>'PLAN INDICATIVO'!J238</f>
        <v>0</v>
      </c>
      <c r="K238" s="1428" t="str">
        <f>'PLAN INDICATIVO'!K238</f>
        <v>A.14.5.25</v>
      </c>
      <c r="L238" s="301" t="str">
        <f>'PLAN INDICATIVO'!L238</f>
        <v>10. Reducción de las desigualdades</v>
      </c>
      <c r="M238" s="301" t="str">
        <f>'PLAN INDICATIVO'!M238</f>
        <v>Secretaría de Gobierno</v>
      </c>
      <c r="N238" s="1513" t="s">
        <v>5126</v>
      </c>
      <c r="O238" s="1372" t="str">
        <f>'PLAN INDICATIVO'!O238</f>
        <v>Mantenimiento</v>
      </c>
      <c r="P238" s="74" t="str">
        <f>'PLAN INDICATIVO'!P238</f>
        <v>Implementar 1 programa de apoyo a otros grupos de población vulnerable, cada año</v>
      </c>
      <c r="Q238" s="302" t="str">
        <f>'PLAN INDICATIVO'!Q238</f>
        <v>No. de programas de aopoyo implementados por año</v>
      </c>
      <c r="R238" s="303">
        <f>'PLAN INDICATIVO'!R238</f>
        <v>2015</v>
      </c>
      <c r="S238" s="304">
        <v>1</v>
      </c>
      <c r="T238" s="699">
        <v>1</v>
      </c>
      <c r="U238" s="934">
        <v>0.25</v>
      </c>
      <c r="V238" s="687">
        <v>18000000</v>
      </c>
      <c r="W238" s="934">
        <v>0.25</v>
      </c>
      <c r="X238" s="687">
        <v>1000000</v>
      </c>
      <c r="Y238" s="934">
        <v>0.25</v>
      </c>
      <c r="Z238" s="687">
        <v>1000000</v>
      </c>
      <c r="AA238" s="1311">
        <v>1</v>
      </c>
      <c r="AB238" s="686">
        <v>15000000</v>
      </c>
      <c r="AC238" s="669"/>
      <c r="AD238" s="669">
        <v>0.14000000000000001</v>
      </c>
      <c r="AE238" s="669">
        <v>0.25</v>
      </c>
      <c r="AF238" s="669">
        <v>1</v>
      </c>
      <c r="AG238" s="341" t="s">
        <v>5146</v>
      </c>
      <c r="AH238" s="987">
        <v>20194139600012</v>
      </c>
      <c r="AI238" s="1491" t="s">
        <v>4993</v>
      </c>
      <c r="AJ238" s="309">
        <v>43497</v>
      </c>
      <c r="AK238" s="363">
        <v>43814</v>
      </c>
      <c r="AL238" s="358"/>
      <c r="AM238" s="358"/>
      <c r="AN238" s="267" t="s">
        <v>2598</v>
      </c>
      <c r="AO238" s="512"/>
      <c r="AP238" s="720"/>
      <c r="AQ238" s="721"/>
      <c r="AR238" s="721"/>
      <c r="AS238" s="721"/>
      <c r="AT238" s="721"/>
      <c r="AU238" s="721"/>
      <c r="AV238" s="721"/>
      <c r="AW238" s="544"/>
      <c r="AX238" s="525"/>
      <c r="AY238" s="310"/>
      <c r="AZ238" s="310"/>
      <c r="BA238" s="310"/>
      <c r="BB238" s="310"/>
      <c r="BC238" s="310"/>
      <c r="BD238" s="310"/>
      <c r="BE238" s="544"/>
      <c r="BF238" s="525"/>
      <c r="BG238" s="310"/>
      <c r="BH238" s="310"/>
      <c r="BI238" s="310"/>
      <c r="BJ238" s="310"/>
      <c r="BK238" s="310"/>
      <c r="BL238" s="310"/>
      <c r="BM238" s="544">
        <f t="shared" si="105"/>
        <v>0</v>
      </c>
      <c r="BN238" s="525"/>
      <c r="BO238" s="310"/>
      <c r="BP238" s="310"/>
      <c r="BQ238" s="310"/>
      <c r="BR238" s="310"/>
      <c r="BS238" s="310"/>
      <c r="BT238" s="310"/>
      <c r="BU238" s="544"/>
      <c r="BV238" s="556"/>
      <c r="BW238" s="663">
        <f t="shared" si="98"/>
        <v>1.3900000000000001</v>
      </c>
      <c r="BX238" s="1047">
        <f t="shared" si="99"/>
        <v>1.3900000000000001</v>
      </c>
      <c r="BY238" s="1047">
        <f t="shared" si="112"/>
        <v>0</v>
      </c>
      <c r="BZ238" s="1047">
        <f t="shared" si="113"/>
        <v>0.56000000000000005</v>
      </c>
      <c r="CA238" s="1047">
        <f t="shared" si="114"/>
        <v>1</v>
      </c>
      <c r="CB238" s="1047">
        <f t="shared" si="115"/>
        <v>1</v>
      </c>
      <c r="CD238" t="str">
        <f t="shared" si="116"/>
        <v>ROB</v>
      </c>
      <c r="CE238" t="str">
        <f t="shared" si="116"/>
        <v>AMB</v>
      </c>
      <c r="CF238" t="str">
        <f t="shared" si="116"/>
        <v>VE</v>
      </c>
      <c r="CG238" t="str">
        <f t="shared" si="116"/>
        <v>VE</v>
      </c>
    </row>
    <row r="239" spans="1:85" ht="79.5" customHeight="1" x14ac:dyDescent="0.3">
      <c r="A239" s="298" t="s">
        <v>491</v>
      </c>
      <c r="B239" s="299" t="str">
        <f>'PLAN INDICATIVO'!B239</f>
        <v>Atención a grupos vulnerables - promoción social</v>
      </c>
      <c r="C239" s="1559"/>
      <c r="D239" s="1549"/>
      <c r="E239" s="1549"/>
      <c r="F239" s="1549"/>
      <c r="G239" s="1549"/>
      <c r="H239" s="1549"/>
      <c r="I239" s="300">
        <f>'PLAN INDICATIVO'!I239</f>
        <v>0</v>
      </c>
      <c r="J239" s="300">
        <f>'PLAN INDICATIVO'!J239</f>
        <v>0</v>
      </c>
      <c r="K239" s="1428" t="str">
        <f>'PLAN INDICATIVO'!K239</f>
        <v>A.14.5.26</v>
      </c>
      <c r="L239" s="301" t="str">
        <f>'PLAN INDICATIVO'!L239</f>
        <v>1. Fin de la Pobreza</v>
      </c>
      <c r="M239" s="301" t="str">
        <f>'PLAN INDICATIVO'!M239</f>
        <v>Secretaría de Gobierno</v>
      </c>
      <c r="N239" s="1513" t="s">
        <v>5126</v>
      </c>
      <c r="O239" s="1372" t="str">
        <f>'PLAN INDICATIVO'!O239</f>
        <v>Mantenimiento</v>
      </c>
      <c r="P239" s="74" t="str">
        <f>'PLAN INDICATIVO'!P239</f>
        <v>Implementar 1 programa  para la superación de la pobreza  extrema en el marco de la red unidos y más familias en acción, entre otros, cada año</v>
      </c>
      <c r="Q239" s="302" t="str">
        <f>'PLAN INDICATIVO'!Q239</f>
        <v>No. de programas implementados</v>
      </c>
      <c r="R239" s="303">
        <f>'PLAN INDICATIVO'!R239</f>
        <v>2015</v>
      </c>
      <c r="S239" s="304">
        <v>1</v>
      </c>
      <c r="T239" s="699">
        <v>1</v>
      </c>
      <c r="U239" s="934">
        <v>0.25</v>
      </c>
      <c r="V239" s="687">
        <v>35000000</v>
      </c>
      <c r="W239" s="934">
        <v>0.25</v>
      </c>
      <c r="X239" s="687">
        <v>41000000</v>
      </c>
      <c r="Y239" s="934">
        <v>0.25</v>
      </c>
      <c r="Z239" s="687">
        <v>41000000</v>
      </c>
      <c r="AA239" s="1311">
        <v>1</v>
      </c>
      <c r="AB239" s="686">
        <v>32000000</v>
      </c>
      <c r="AC239" s="669"/>
      <c r="AD239" s="669">
        <v>0.25</v>
      </c>
      <c r="AE239" s="669">
        <v>0.25</v>
      </c>
      <c r="AF239" s="669">
        <v>0.36</v>
      </c>
      <c r="AG239" s="341" t="s">
        <v>5147</v>
      </c>
      <c r="AH239" s="987">
        <v>20194139600021</v>
      </c>
      <c r="AI239" s="1490" t="s">
        <v>5074</v>
      </c>
      <c r="AJ239" s="309">
        <v>43497</v>
      </c>
      <c r="AK239" s="363">
        <v>43814</v>
      </c>
      <c r="AL239" s="358"/>
      <c r="AM239" s="358"/>
      <c r="AN239" s="267" t="s">
        <v>2598</v>
      </c>
      <c r="AO239" s="512"/>
      <c r="AP239" s="720"/>
      <c r="AQ239" s="721"/>
      <c r="AR239" s="721"/>
      <c r="AS239" s="721"/>
      <c r="AT239" s="721"/>
      <c r="AU239" s="721"/>
      <c r="AV239" s="721"/>
      <c r="AW239" s="544"/>
      <c r="AX239" s="525"/>
      <c r="AY239" s="310"/>
      <c r="AZ239" s="310"/>
      <c r="BA239" s="310"/>
      <c r="BB239" s="310"/>
      <c r="BC239" s="310"/>
      <c r="BD239" s="310"/>
      <c r="BE239" s="544"/>
      <c r="BF239" s="525"/>
      <c r="BG239" s="310"/>
      <c r="BH239" s="310"/>
      <c r="BI239" s="310"/>
      <c r="BJ239" s="310"/>
      <c r="BK239" s="310"/>
      <c r="BL239" s="310"/>
      <c r="BM239" s="544">
        <f t="shared" si="105"/>
        <v>0</v>
      </c>
      <c r="BN239" s="525"/>
      <c r="BO239" s="310"/>
      <c r="BP239" s="310"/>
      <c r="BQ239" s="310"/>
      <c r="BR239" s="310"/>
      <c r="BS239" s="310"/>
      <c r="BT239" s="310"/>
      <c r="BU239" s="544"/>
      <c r="BV239" s="556"/>
      <c r="BW239" s="663">
        <f t="shared" si="98"/>
        <v>0.86</v>
      </c>
      <c r="BX239" s="1047">
        <f t="shared" si="99"/>
        <v>0.86</v>
      </c>
      <c r="BY239" s="1047">
        <f t="shared" si="112"/>
        <v>0</v>
      </c>
      <c r="BZ239" s="1047">
        <f t="shared" si="113"/>
        <v>1</v>
      </c>
      <c r="CA239" s="1047">
        <f t="shared" si="114"/>
        <v>1</v>
      </c>
      <c r="CB239" s="1047">
        <f t="shared" si="115"/>
        <v>0.36</v>
      </c>
      <c r="CD239" t="str">
        <f t="shared" si="116"/>
        <v>ROB</v>
      </c>
      <c r="CE239" t="str">
        <f t="shared" si="116"/>
        <v>VE</v>
      </c>
      <c r="CF239" t="str">
        <f t="shared" si="116"/>
        <v>VE</v>
      </c>
      <c r="CG239" t="str">
        <f t="shared" si="116"/>
        <v>RO</v>
      </c>
    </row>
    <row r="240" spans="1:85" ht="79.5" customHeight="1" x14ac:dyDescent="0.3">
      <c r="A240" s="298" t="s">
        <v>491</v>
      </c>
      <c r="B240" s="299" t="str">
        <f>'PLAN INDICATIVO'!B240</f>
        <v>Atención a grupos vulnerables - promoción social</v>
      </c>
      <c r="C240" s="1559"/>
      <c r="D240" s="1549"/>
      <c r="E240" s="1549"/>
      <c r="F240" s="1425"/>
      <c r="G240" s="1425"/>
      <c r="H240" s="1425"/>
      <c r="I240" s="300">
        <f>'PLAN INDICATIVO'!I240</f>
        <v>0</v>
      </c>
      <c r="J240" s="1377">
        <f>'PLAN INDICATIVO'!J240</f>
        <v>0</v>
      </c>
      <c r="K240" s="1371" t="str">
        <f>'PLAN INDICATIVO'!K240</f>
        <v>A.14.5.27</v>
      </c>
      <c r="L240" s="1368" t="str">
        <f>'PLAN INDICATIVO'!L240</f>
        <v>1. Fin de la Pobreza</v>
      </c>
      <c r="M240" s="301" t="str">
        <f>'PLAN INDICATIVO'!M240</f>
        <v>Secretaría de Gobierno</v>
      </c>
      <c r="N240" s="1513" t="s">
        <v>5126</v>
      </c>
      <c r="O240" s="1372"/>
      <c r="P240" s="74" t="str">
        <f>'PLAN INDICATIVO'!P240</f>
        <v>Celebrar el día de la Afrocolombianidad cada año</v>
      </c>
      <c r="Q240" s="302" t="str">
        <f>'PLAN INDICATIVO'!Q240</f>
        <v>Dia de la afrocolombianidad celebrado</v>
      </c>
      <c r="R240" s="303"/>
      <c r="S240" s="304"/>
      <c r="T240" s="699">
        <v>2</v>
      </c>
      <c r="U240" s="934"/>
      <c r="V240" s="687"/>
      <c r="W240" s="934"/>
      <c r="X240" s="687"/>
      <c r="Y240" s="934"/>
      <c r="Z240" s="687"/>
      <c r="AA240" s="1398">
        <v>1</v>
      </c>
      <c r="AB240" s="686">
        <v>3500000</v>
      </c>
      <c r="AC240" s="669"/>
      <c r="AD240" s="669"/>
      <c r="AE240" s="669"/>
      <c r="AF240" s="669">
        <v>2</v>
      </c>
      <c r="AG240" s="341" t="s">
        <v>5146</v>
      </c>
      <c r="AH240" s="987">
        <v>20194139600012</v>
      </c>
      <c r="AI240" s="1490" t="s">
        <v>4994</v>
      </c>
      <c r="AJ240" s="309"/>
      <c r="AK240" s="363"/>
      <c r="AL240" s="358"/>
      <c r="AM240" s="358"/>
      <c r="AN240" s="267"/>
      <c r="AO240" s="512"/>
      <c r="AP240" s="720"/>
      <c r="AQ240" s="1394"/>
      <c r="AR240" s="1394"/>
      <c r="AS240" s="1394"/>
      <c r="AT240" s="1394"/>
      <c r="AU240" s="1394"/>
      <c r="AV240" s="1394"/>
      <c r="AW240" s="544"/>
      <c r="AX240" s="525"/>
      <c r="AY240" s="766"/>
      <c r="AZ240" s="766"/>
      <c r="BA240" s="766"/>
      <c r="BB240" s="766"/>
      <c r="BC240" s="766"/>
      <c r="BD240" s="766"/>
      <c r="BE240" s="544"/>
      <c r="BF240" s="525"/>
      <c r="BG240" s="766"/>
      <c r="BH240" s="766"/>
      <c r="BI240" s="766"/>
      <c r="BJ240" s="766"/>
      <c r="BK240" s="766"/>
      <c r="BL240" s="766"/>
      <c r="BM240" s="544"/>
      <c r="BN240" s="525"/>
      <c r="BO240" s="310"/>
      <c r="BP240" s="766"/>
      <c r="BQ240" s="766"/>
      <c r="BR240" s="766"/>
      <c r="BS240" s="766"/>
      <c r="BT240" s="766"/>
      <c r="BU240" s="544"/>
      <c r="BV240" s="556"/>
      <c r="BW240" s="663">
        <f t="shared" si="98"/>
        <v>2</v>
      </c>
      <c r="BX240" s="1047">
        <f t="shared" si="99"/>
        <v>1</v>
      </c>
      <c r="BY240" s="1047" t="str">
        <f t="shared" si="112"/>
        <v>No Programada</v>
      </c>
      <c r="BZ240" s="1047" t="str">
        <f t="shared" si="113"/>
        <v>No Programada</v>
      </c>
      <c r="CA240" s="1047" t="str">
        <f t="shared" si="114"/>
        <v>No Programada</v>
      </c>
      <c r="CB240" s="1047">
        <f t="shared" si="115"/>
        <v>2</v>
      </c>
      <c r="CD240" t="str">
        <f t="shared" si="116"/>
        <v>NP</v>
      </c>
      <c r="CE240" t="str">
        <f t="shared" si="116"/>
        <v>NP</v>
      </c>
      <c r="CF240" t="str">
        <f t="shared" si="116"/>
        <v>NP</v>
      </c>
      <c r="CG240" t="str">
        <f t="shared" si="116"/>
        <v>VE</v>
      </c>
    </row>
    <row r="241" spans="1:85" ht="30.75" customHeight="1" x14ac:dyDescent="0.3">
      <c r="A241" s="295"/>
      <c r="B241" s="24" t="str">
        <f>'PLAN INDICATIVO'!B241</f>
        <v>Atención a grupos vulnerables - promoción social</v>
      </c>
      <c r="C241" s="1574" t="s">
        <v>743</v>
      </c>
      <c r="D241" s="1575"/>
      <c r="E241" s="1575"/>
      <c r="F241" s="1575"/>
      <c r="G241" s="1575"/>
      <c r="H241" s="1575"/>
      <c r="I241" s="1575"/>
      <c r="J241" s="1575"/>
      <c r="K241" s="1575"/>
      <c r="L241" s="1575"/>
      <c r="M241" s="1575"/>
      <c r="N241" s="1575"/>
      <c r="O241" s="1576"/>
      <c r="P241" s="369" t="s">
        <v>744</v>
      </c>
      <c r="Q241" s="22"/>
      <c r="R241" s="1"/>
      <c r="S241" s="261"/>
      <c r="T241" s="681"/>
      <c r="U241" s="261"/>
      <c r="V241" s="689">
        <f>SUM(V242:V258)</f>
        <v>47400000</v>
      </c>
      <c r="W241" s="261"/>
      <c r="X241" s="689">
        <f>SUM(X242:X258)</f>
        <v>49030000</v>
      </c>
      <c r="Y241" s="261"/>
      <c r="Z241" s="689">
        <f>SUM(Z242:Z258)</f>
        <v>49700000</v>
      </c>
      <c r="AA241" s="261"/>
      <c r="AB241" s="689">
        <f>SUM(AB242:AB258)</f>
        <v>85356000</v>
      </c>
      <c r="AC241" s="261"/>
      <c r="AD241" s="261"/>
      <c r="AE241" s="261"/>
      <c r="AF241" s="261"/>
      <c r="AG241" s="273"/>
      <c r="AH241" s="273"/>
      <c r="AI241" s="273"/>
      <c r="AJ241" s="261"/>
      <c r="AK241" s="261"/>
      <c r="AL241" s="261"/>
      <c r="AM241" s="261"/>
      <c r="AN241" s="261"/>
      <c r="AO241" s="635"/>
      <c r="AP241" s="616"/>
      <c r="AQ241" s="616"/>
      <c r="AR241" s="616"/>
      <c r="AS241" s="616"/>
      <c r="AT241" s="616"/>
      <c r="AU241" s="616"/>
      <c r="AV241" s="616"/>
      <c r="AW241" s="617"/>
      <c r="AX241" s="616"/>
      <c r="AY241" s="616"/>
      <c r="AZ241" s="616"/>
      <c r="BA241" s="616"/>
      <c r="BB241" s="616"/>
      <c r="BC241" s="616"/>
      <c r="BD241" s="616"/>
      <c r="BE241" s="617"/>
      <c r="BF241" s="616"/>
      <c r="BG241" s="616"/>
      <c r="BH241" s="616"/>
      <c r="BI241" s="616"/>
      <c r="BJ241" s="616"/>
      <c r="BK241" s="616"/>
      <c r="BL241" s="616"/>
      <c r="BM241" s="617">
        <f t="shared" si="105"/>
        <v>0</v>
      </c>
      <c r="BN241" s="616"/>
      <c r="BO241" s="616"/>
      <c r="BP241" s="616"/>
      <c r="BQ241" s="616"/>
      <c r="BR241" s="616"/>
      <c r="BS241" s="616"/>
      <c r="BT241" s="616"/>
      <c r="BU241" s="617"/>
      <c r="BV241" s="556"/>
      <c r="BW241" s="617" t="s">
        <v>2717</v>
      </c>
      <c r="BX241" s="617" t="s">
        <v>2717</v>
      </c>
      <c r="BY241" s="617" t="s">
        <v>2717</v>
      </c>
      <c r="BZ241" s="617" t="s">
        <v>2717</v>
      </c>
      <c r="CA241" s="617" t="s">
        <v>2717</v>
      </c>
      <c r="CB241" s="1047" t="s">
        <v>2717</v>
      </c>
    </row>
    <row r="242" spans="1:85" ht="92.25" customHeight="1" x14ac:dyDescent="0.3">
      <c r="A242" s="298" t="s">
        <v>491</v>
      </c>
      <c r="B242" s="299" t="str">
        <f>'PLAN INDICATIVO'!B242</f>
        <v>Atención a grupos vulnerables - promoción social</v>
      </c>
      <c r="C242" s="1546" t="s">
        <v>745</v>
      </c>
      <c r="D242" s="1550" t="s">
        <v>746</v>
      </c>
      <c r="E242" s="1550" t="s">
        <v>747</v>
      </c>
      <c r="F242" s="1550">
        <v>2015</v>
      </c>
      <c r="G242" s="1550">
        <v>1</v>
      </c>
      <c r="H242" s="1550">
        <v>1</v>
      </c>
      <c r="I242" s="300">
        <f>'PLAN INDICATIVO'!I242</f>
        <v>0</v>
      </c>
      <c r="J242" s="300">
        <f>'PLAN INDICATIVO'!J242</f>
        <v>0</v>
      </c>
      <c r="K242" s="1425" t="str">
        <f>'PLAN INDICATIVO'!K242</f>
        <v>A.14.6.1</v>
      </c>
      <c r="L242" s="301" t="str">
        <f>'PLAN INDICATIVO'!L242</f>
        <v>10. Reducción de las desigualdades</v>
      </c>
      <c r="M242" s="301" t="str">
        <f>'PLAN INDICATIVO'!M242</f>
        <v>Secretaría de Gobierno</v>
      </c>
      <c r="N242" s="1513" t="s">
        <v>5126</v>
      </c>
      <c r="O242" s="1425" t="str">
        <f>'PLAN INDICATIVO'!O242</f>
        <v>Incremento</v>
      </c>
      <c r="P242" s="16" t="str">
        <f>'PLAN INDICATIVO'!P242</f>
        <v>Realizar 16  plenarias de mesa de trabajo para garantizar la participación de la construcción política de victimas durante el cuatrienio</v>
      </c>
      <c r="Q242" s="302" t="str">
        <f>'PLAN INDICATIVO'!Q242</f>
        <v>No. De mesa de trabajo realizadas</v>
      </c>
      <c r="R242" s="303">
        <f>'PLAN INDICATIVO'!R242</f>
        <v>2015</v>
      </c>
      <c r="S242" s="304">
        <v>4</v>
      </c>
      <c r="T242" s="699">
        <v>16</v>
      </c>
      <c r="U242" s="303">
        <v>4</v>
      </c>
      <c r="V242" s="687">
        <v>6500000</v>
      </c>
      <c r="W242" s="303">
        <v>4</v>
      </c>
      <c r="X242" s="687">
        <v>2500000</v>
      </c>
      <c r="Y242" s="286">
        <v>4</v>
      </c>
      <c r="Z242" s="1233">
        <v>4000000</v>
      </c>
      <c r="AA242" s="291">
        <v>1</v>
      </c>
      <c r="AB242" s="686">
        <v>10000000</v>
      </c>
      <c r="AC242" s="669"/>
      <c r="AD242" s="669">
        <v>4</v>
      </c>
      <c r="AE242" s="669">
        <v>4</v>
      </c>
      <c r="AF242" s="669">
        <v>4</v>
      </c>
      <c r="AG242" s="341" t="s">
        <v>5148</v>
      </c>
      <c r="AH242" s="987">
        <v>2019413960024</v>
      </c>
      <c r="AI242" s="355" t="s">
        <v>4995</v>
      </c>
      <c r="AJ242" s="309">
        <v>43497</v>
      </c>
      <c r="AK242" s="363">
        <v>43814</v>
      </c>
      <c r="AL242" s="358"/>
      <c r="AM242" s="358"/>
      <c r="AN242" s="267" t="s">
        <v>2598</v>
      </c>
      <c r="AO242" s="512"/>
      <c r="AP242" s="528"/>
      <c r="AQ242" s="472"/>
      <c r="AR242" s="472"/>
      <c r="AS242" s="472"/>
      <c r="AT242" s="472"/>
      <c r="AU242" s="472"/>
      <c r="AV242" s="472"/>
      <c r="AW242" s="544"/>
      <c r="AX242" s="528"/>
      <c r="AY242" s="472"/>
      <c r="AZ242" s="472"/>
      <c r="BA242" s="472"/>
      <c r="BB242" s="472"/>
      <c r="BC242" s="472"/>
      <c r="BD242" s="472"/>
      <c r="BE242" s="544"/>
      <c r="BF242" s="528"/>
      <c r="BG242" s="472"/>
      <c r="BH242" s="472"/>
      <c r="BI242" s="472"/>
      <c r="BJ242" s="472"/>
      <c r="BK242" s="472"/>
      <c r="BL242" s="472"/>
      <c r="BM242" s="544">
        <f t="shared" si="105"/>
        <v>0</v>
      </c>
      <c r="BN242" s="472"/>
      <c r="BO242" s="472"/>
      <c r="BP242" s="472"/>
      <c r="BQ242" s="472"/>
      <c r="BR242" s="472"/>
      <c r="BS242" s="472"/>
      <c r="BT242" s="472"/>
      <c r="BU242" s="544"/>
      <c r="BV242" s="556"/>
      <c r="BW242" s="663">
        <f t="shared" si="98"/>
        <v>12</v>
      </c>
      <c r="BX242" s="1047">
        <f t="shared" si="99"/>
        <v>0.75</v>
      </c>
      <c r="BY242" s="1047">
        <f t="shared" ref="BY242:BY258" si="117">IF(U242&gt;=0.1,AC242/U242,IF(ISBLANK(U242),"No Programada","Aplazada"))</f>
        <v>0</v>
      </c>
      <c r="BZ242" s="1047">
        <f t="shared" ref="BZ242:BZ258" si="118">IF(W242&gt;=0.1,AD242/W242,IF(ISBLANK(W242),"No Programada","Aplazada"))</f>
        <v>1</v>
      </c>
      <c r="CA242" s="1047">
        <f t="shared" ref="CA242:CA258" si="119">IF(Y242&gt;=0.1,AE242/Y242,IF(ISBLANK(Y242),"No Programada","Aplazada"))</f>
        <v>1</v>
      </c>
      <c r="CB242" s="1047">
        <f t="shared" ref="CB242:CB258" si="120">IF(AA242&gt;=0.1,AF242/AA242,IF(ISBLANK(AA242),"No Programada","Aplazada"))</f>
        <v>4</v>
      </c>
      <c r="CD242" t="str">
        <f t="shared" ref="CD242:CG258" si="121">IF(BY242="PARA MODIFICAR","M",IF(BY242="PARA ELIMINAR","E",IF(BY242="aplazada","AZ",IF(BY242="no programada","NP",IF(BY242&gt;=85%,"VE",IF(BY242&gt;70%,"VEB",IF(BY242&gt;60%,"AM",IF(BY242&gt;40%,"AMB",IF(BY242&gt;20%,"RO",IF(BY242&gt;=0%,"ROB",""))))))))))</f>
        <v>ROB</v>
      </c>
      <c r="CE242" t="str">
        <f t="shared" si="121"/>
        <v>VE</v>
      </c>
      <c r="CF242" t="str">
        <f t="shared" si="121"/>
        <v>VE</v>
      </c>
      <c r="CG242" t="str">
        <f t="shared" si="121"/>
        <v>VE</v>
      </c>
    </row>
    <row r="243" spans="1:85" ht="134.25" customHeight="1" x14ac:dyDescent="0.3">
      <c r="A243" s="298" t="s">
        <v>491</v>
      </c>
      <c r="B243" s="299" t="str">
        <f>'PLAN INDICATIVO'!B243</f>
        <v>Atención a grupos vulnerables - promoción social</v>
      </c>
      <c r="C243" s="1547"/>
      <c r="D243" s="1551"/>
      <c r="E243" s="1551"/>
      <c r="F243" s="1551"/>
      <c r="G243" s="1551"/>
      <c r="H243" s="1551"/>
      <c r="I243" s="300">
        <f>'PLAN INDICATIVO'!I243</f>
        <v>0</v>
      </c>
      <c r="J243" s="300">
        <f>'PLAN INDICATIVO'!J243</f>
        <v>0</v>
      </c>
      <c r="K243" s="1425" t="str">
        <f>'PLAN INDICATIVO'!K243</f>
        <v>A.14.6.2</v>
      </c>
      <c r="L243" s="301" t="str">
        <f>'PLAN INDICATIVO'!L243</f>
        <v>10. Reducción de las desigualdades</v>
      </c>
      <c r="M243" s="301" t="str">
        <f>'PLAN INDICATIVO'!M243</f>
        <v>Secretaría de Gobierno</v>
      </c>
      <c r="N243" s="1513" t="s">
        <v>5126</v>
      </c>
      <c r="O243" s="1425" t="str">
        <f>'PLAN INDICATIVO'!O243</f>
        <v>Mantenimiento</v>
      </c>
      <c r="P243" s="16" t="str">
        <f>'PLAN INDICATIVO'!P243</f>
        <v>1 estrategia implementada cada año mediante los enlaces municipales, para atención integral de la población víctima</v>
      </c>
      <c r="Q243" s="302" t="str">
        <f>'PLAN INDICATIVO'!Q243</f>
        <v>No. De estrategias implementadas por año</v>
      </c>
      <c r="R243" s="303">
        <f>'PLAN INDICATIVO'!R243</f>
        <v>2015</v>
      </c>
      <c r="S243" s="304">
        <v>1</v>
      </c>
      <c r="T243" s="699">
        <v>1</v>
      </c>
      <c r="U243" s="303">
        <v>1</v>
      </c>
      <c r="V243" s="687">
        <v>11600000</v>
      </c>
      <c r="W243" s="303">
        <v>1</v>
      </c>
      <c r="X243" s="687">
        <v>12500000</v>
      </c>
      <c r="Y243" s="286">
        <v>1</v>
      </c>
      <c r="Z243" s="1233">
        <v>12500000</v>
      </c>
      <c r="AA243" s="291">
        <v>1</v>
      </c>
      <c r="AB243" s="686">
        <v>20000000</v>
      </c>
      <c r="AC243" s="669"/>
      <c r="AD243" s="669">
        <v>1</v>
      </c>
      <c r="AE243" s="669">
        <v>1</v>
      </c>
      <c r="AF243" s="669">
        <v>1</v>
      </c>
      <c r="AG243" s="341" t="s">
        <v>5148</v>
      </c>
      <c r="AH243" s="987">
        <v>2019413960024</v>
      </c>
      <c r="AI243" s="355" t="s">
        <v>4996</v>
      </c>
      <c r="AJ243" s="309">
        <v>43497</v>
      </c>
      <c r="AK243" s="363">
        <v>43814</v>
      </c>
      <c r="AL243" s="358"/>
      <c r="AM243" s="358"/>
      <c r="AN243" s="267" t="s">
        <v>2598</v>
      </c>
      <c r="AO243" s="512"/>
      <c r="AP243" s="528"/>
      <c r="AQ243" s="472"/>
      <c r="AR243" s="472"/>
      <c r="AS243" s="472"/>
      <c r="AT243" s="472"/>
      <c r="AU243" s="472"/>
      <c r="AV243" s="472"/>
      <c r="AW243" s="544"/>
      <c r="AX243" s="528"/>
      <c r="AY243" s="472"/>
      <c r="AZ243" s="472"/>
      <c r="BA243" s="472"/>
      <c r="BB243" s="472"/>
      <c r="BC243" s="472"/>
      <c r="BD243" s="472"/>
      <c r="BE243" s="544"/>
      <c r="BF243" s="528"/>
      <c r="BG243" s="472"/>
      <c r="BH243" s="472"/>
      <c r="BI243" s="472"/>
      <c r="BJ243" s="472"/>
      <c r="BK243" s="472"/>
      <c r="BL243" s="472"/>
      <c r="BM243" s="544">
        <f t="shared" si="105"/>
        <v>0</v>
      </c>
      <c r="BN243" s="472"/>
      <c r="BO243" s="472"/>
      <c r="BP243" s="472"/>
      <c r="BQ243" s="472"/>
      <c r="BR243" s="472"/>
      <c r="BS243" s="472"/>
      <c r="BT243" s="472"/>
      <c r="BU243" s="544"/>
      <c r="BV243" s="556"/>
      <c r="BW243" s="663">
        <f t="shared" si="98"/>
        <v>3</v>
      </c>
      <c r="BX243" s="1047">
        <f t="shared" si="99"/>
        <v>3</v>
      </c>
      <c r="BY243" s="1047">
        <f t="shared" si="117"/>
        <v>0</v>
      </c>
      <c r="BZ243" s="1047">
        <f t="shared" si="118"/>
        <v>1</v>
      </c>
      <c r="CA243" s="1047">
        <f t="shared" si="119"/>
        <v>1</v>
      </c>
      <c r="CB243" s="1047">
        <f t="shared" si="120"/>
        <v>1</v>
      </c>
      <c r="CD243" t="str">
        <f t="shared" si="121"/>
        <v>ROB</v>
      </c>
      <c r="CE243" t="str">
        <f t="shared" si="121"/>
        <v>VE</v>
      </c>
      <c r="CF243" t="str">
        <f t="shared" si="121"/>
        <v>VE</v>
      </c>
      <c r="CG243" t="str">
        <f t="shared" si="121"/>
        <v>VE</v>
      </c>
    </row>
    <row r="244" spans="1:85" ht="72.75" customHeight="1" x14ac:dyDescent="0.3">
      <c r="A244" s="298" t="s">
        <v>491</v>
      </c>
      <c r="B244" s="299" t="str">
        <f>'PLAN INDICATIVO'!B244</f>
        <v>Atención a grupos vulnerables - promoción social</v>
      </c>
      <c r="C244" s="1547"/>
      <c r="D244" s="1551"/>
      <c r="E244" s="1551"/>
      <c r="F244" s="1551"/>
      <c r="G244" s="1551"/>
      <c r="H244" s="1551"/>
      <c r="I244" s="300">
        <f>'PLAN INDICATIVO'!I244</f>
        <v>0</v>
      </c>
      <c r="J244" s="300">
        <f>'PLAN INDICATIVO'!J244</f>
        <v>0</v>
      </c>
      <c r="K244" s="1425" t="str">
        <f>'PLAN INDICATIVO'!K244</f>
        <v>A.14.6.3</v>
      </c>
      <c r="L244" s="301" t="str">
        <f>'PLAN INDICATIVO'!L244</f>
        <v>10. Reducción de las desigualdades</v>
      </c>
      <c r="M244" s="301" t="str">
        <f>'PLAN INDICATIVO'!M244</f>
        <v>Secretaría de Gobierno</v>
      </c>
      <c r="N244" s="1513" t="s">
        <v>5126</v>
      </c>
      <c r="O244" s="1425" t="str">
        <f>'PLAN INDICATIVO'!O244</f>
        <v>Mantenimiento</v>
      </c>
      <c r="P244" s="16" t="str">
        <f>'PLAN INDICATIVO'!P244</f>
        <v>Implementar 2 jornadas al año para brindar servicios de salud y vacunación infantil a la población victima</v>
      </c>
      <c r="Q244" s="302" t="str">
        <f>'PLAN INDICATIVO'!Q244</f>
        <v>No. De Jornadas de vacunación realizadas por año</v>
      </c>
      <c r="R244" s="303">
        <f>'PLAN INDICATIVO'!R244</f>
        <v>2015</v>
      </c>
      <c r="S244" s="304">
        <v>0</v>
      </c>
      <c r="T244" s="699">
        <v>2</v>
      </c>
      <c r="U244" s="303">
        <v>2</v>
      </c>
      <c r="V244" s="687">
        <v>8000000</v>
      </c>
      <c r="W244" s="303">
        <v>2</v>
      </c>
      <c r="X244" s="687">
        <v>500000</v>
      </c>
      <c r="Y244" s="286">
        <v>2</v>
      </c>
      <c r="Z244" s="1233">
        <v>500000</v>
      </c>
      <c r="AA244" s="291">
        <v>1</v>
      </c>
      <c r="AB244" s="686">
        <v>2000000</v>
      </c>
      <c r="AC244" s="669"/>
      <c r="AD244" s="669">
        <v>2</v>
      </c>
      <c r="AE244" s="669">
        <v>2</v>
      </c>
      <c r="AF244" s="669">
        <v>2</v>
      </c>
      <c r="AG244" s="341" t="s">
        <v>5148</v>
      </c>
      <c r="AH244" s="987">
        <v>2019413960024</v>
      </c>
      <c r="AI244" s="355" t="s">
        <v>4802</v>
      </c>
      <c r="AJ244" s="309">
        <v>43497</v>
      </c>
      <c r="AK244" s="363">
        <v>43707</v>
      </c>
      <c r="AL244" s="358"/>
      <c r="AM244" s="358"/>
      <c r="AN244" s="267" t="s">
        <v>2598</v>
      </c>
      <c r="AO244" s="512"/>
      <c r="AP244" s="528"/>
      <c r="AQ244" s="472"/>
      <c r="AR244" s="472"/>
      <c r="AS244" s="472"/>
      <c r="AT244" s="472"/>
      <c r="AU244" s="472"/>
      <c r="AV244" s="472"/>
      <c r="AW244" s="544"/>
      <c r="AX244" s="528"/>
      <c r="AY244" s="472"/>
      <c r="AZ244" s="472"/>
      <c r="BA244" s="472"/>
      <c r="BB244" s="472"/>
      <c r="BC244" s="472"/>
      <c r="BD244" s="472"/>
      <c r="BE244" s="544"/>
      <c r="BF244" s="528"/>
      <c r="BG244" s="472"/>
      <c r="BH244" s="472"/>
      <c r="BI244" s="472"/>
      <c r="BJ244" s="472"/>
      <c r="BK244" s="472"/>
      <c r="BL244" s="472"/>
      <c r="BM244" s="544">
        <f t="shared" si="105"/>
        <v>0</v>
      </c>
      <c r="BN244" s="472"/>
      <c r="BO244" s="472"/>
      <c r="BP244" s="472"/>
      <c r="BQ244" s="472"/>
      <c r="BR244" s="472"/>
      <c r="BS244" s="472"/>
      <c r="BT244" s="472"/>
      <c r="BU244" s="544"/>
      <c r="BV244" s="556"/>
      <c r="BW244" s="663">
        <f t="shared" si="98"/>
        <v>6</v>
      </c>
      <c r="BX244" s="1047">
        <f t="shared" si="99"/>
        <v>3</v>
      </c>
      <c r="BY244" s="1047">
        <f t="shared" si="117"/>
        <v>0</v>
      </c>
      <c r="BZ244" s="1047">
        <f t="shared" si="118"/>
        <v>1</v>
      </c>
      <c r="CA244" s="1047">
        <f t="shared" si="119"/>
        <v>1</v>
      </c>
      <c r="CB244" s="1047">
        <f t="shared" si="120"/>
        <v>2</v>
      </c>
      <c r="CD244" t="str">
        <f t="shared" si="121"/>
        <v>ROB</v>
      </c>
      <c r="CE244" t="str">
        <f t="shared" si="121"/>
        <v>VE</v>
      </c>
      <c r="CF244" t="str">
        <f t="shared" si="121"/>
        <v>VE</v>
      </c>
      <c r="CG244" t="str">
        <f t="shared" si="121"/>
        <v>VE</v>
      </c>
    </row>
    <row r="245" spans="1:85" ht="108.75" hidden="1" customHeight="1" x14ac:dyDescent="0.25">
      <c r="A245" s="298" t="s">
        <v>491</v>
      </c>
      <c r="B245" s="299" t="str">
        <f>'PLAN INDICATIVO'!B245</f>
        <v>Atención a grupos vulnerables - promoción social</v>
      </c>
      <c r="C245" s="1547"/>
      <c r="D245" s="1551"/>
      <c r="E245" s="1551"/>
      <c r="F245" s="1551"/>
      <c r="G245" s="1551"/>
      <c r="H245" s="1551"/>
      <c r="I245" s="300">
        <f>'PLAN INDICATIVO'!I245</f>
        <v>0</v>
      </c>
      <c r="J245" s="300">
        <f>'PLAN INDICATIVO'!J245</f>
        <v>0</v>
      </c>
      <c r="K245" s="1425" t="str">
        <f>'PLAN INDICATIVO'!K245</f>
        <v>A.14.6.4</v>
      </c>
      <c r="L245" s="301" t="str">
        <f>'PLAN INDICATIVO'!L245</f>
        <v>10. Reducción de las desigualdades</v>
      </c>
      <c r="M245" s="301" t="str">
        <f>'PLAN INDICATIVO'!M245</f>
        <v>Secretaría de Gobierno</v>
      </c>
      <c r="N245" s="1513" t="s">
        <v>5126</v>
      </c>
      <c r="O245" s="1425" t="str">
        <f>'PLAN INDICATIVO'!O245</f>
        <v>Mantenimiento</v>
      </c>
      <c r="P245" s="16" t="str">
        <f>'PLAN INDICATIVO'!P245</f>
        <v>Participar en 2 consejos educativos en el año para proteger y fiscalizar que se brinden los servicios educativos a las víctimas</v>
      </c>
      <c r="Q245" s="302" t="str">
        <f>'PLAN INDICATIVO'!Q245</f>
        <v>No. de consejo educativos realizados por año</v>
      </c>
      <c r="R245" s="303">
        <f>'PLAN INDICATIVO'!R245</f>
        <v>2015</v>
      </c>
      <c r="S245" s="304">
        <v>0</v>
      </c>
      <c r="T245" s="699">
        <v>2</v>
      </c>
      <c r="U245" s="303">
        <v>2</v>
      </c>
      <c r="V245" s="687">
        <v>2800000</v>
      </c>
      <c r="W245" s="303">
        <v>2</v>
      </c>
      <c r="X245" s="687">
        <v>500000</v>
      </c>
      <c r="Y245" s="286">
        <v>2</v>
      </c>
      <c r="Z245" s="1233">
        <v>500000</v>
      </c>
      <c r="AA245" s="291">
        <v>2</v>
      </c>
      <c r="AB245" s="686"/>
      <c r="AC245" s="669"/>
      <c r="AD245" s="669">
        <v>2</v>
      </c>
      <c r="AE245" s="669">
        <v>2</v>
      </c>
      <c r="AF245" s="669">
        <v>2</v>
      </c>
      <c r="AG245" s="341" t="s">
        <v>5148</v>
      </c>
      <c r="AH245" s="987">
        <v>2019413960024</v>
      </c>
      <c r="AI245" s="355" t="s">
        <v>4997</v>
      </c>
      <c r="AJ245" s="309">
        <v>43497</v>
      </c>
      <c r="AK245" s="363">
        <v>43768</v>
      </c>
      <c r="AL245" s="358"/>
      <c r="AM245" s="358"/>
      <c r="AN245" s="267" t="s">
        <v>2598</v>
      </c>
      <c r="AO245" s="512"/>
      <c r="AP245" s="528"/>
      <c r="AQ245" s="472"/>
      <c r="AR245" s="472"/>
      <c r="AS245" s="472"/>
      <c r="AT245" s="472"/>
      <c r="AU245" s="472"/>
      <c r="AV245" s="472"/>
      <c r="AW245" s="544"/>
      <c r="AX245" s="528"/>
      <c r="AY245" s="472"/>
      <c r="AZ245" s="472"/>
      <c r="BA245" s="472"/>
      <c r="BB245" s="472"/>
      <c r="BC245" s="472"/>
      <c r="BD245" s="472"/>
      <c r="BE245" s="544"/>
      <c r="BF245" s="528"/>
      <c r="BG245" s="472"/>
      <c r="BH245" s="472"/>
      <c r="BI245" s="472"/>
      <c r="BJ245" s="472"/>
      <c r="BK245" s="472"/>
      <c r="BL245" s="472"/>
      <c r="BM245" s="544">
        <f t="shared" si="105"/>
        <v>0</v>
      </c>
      <c r="BN245" s="472"/>
      <c r="BO245" s="472"/>
      <c r="BP245" s="472"/>
      <c r="BQ245" s="472"/>
      <c r="BR245" s="472"/>
      <c r="BS245" s="472"/>
      <c r="BT245" s="472"/>
      <c r="BU245" s="544"/>
      <c r="BV245" s="556"/>
      <c r="BW245" s="663">
        <f t="shared" si="98"/>
        <v>6</v>
      </c>
      <c r="BX245" s="1047">
        <f t="shared" si="99"/>
        <v>3</v>
      </c>
      <c r="BY245" s="1047">
        <f t="shared" si="117"/>
        <v>0</v>
      </c>
      <c r="BZ245" s="1047">
        <f t="shared" si="118"/>
        <v>1</v>
      </c>
      <c r="CA245" s="1047">
        <f t="shared" si="119"/>
        <v>1</v>
      </c>
      <c r="CB245" s="1047">
        <f t="shared" si="120"/>
        <v>1</v>
      </c>
      <c r="CD245" t="str">
        <f t="shared" si="121"/>
        <v>ROB</v>
      </c>
      <c r="CE245" t="str">
        <f t="shared" si="121"/>
        <v>VE</v>
      </c>
      <c r="CF245" t="str">
        <f t="shared" si="121"/>
        <v>VE</v>
      </c>
      <c r="CG245" t="str">
        <f t="shared" si="121"/>
        <v>VE</v>
      </c>
    </row>
    <row r="246" spans="1:85" ht="111" hidden="1" customHeight="1" x14ac:dyDescent="0.25">
      <c r="A246" s="298" t="s">
        <v>491</v>
      </c>
      <c r="B246" s="299" t="str">
        <f>'PLAN INDICATIVO'!B246</f>
        <v>Atención a grupos vulnerables - promoción social</v>
      </c>
      <c r="C246" s="1547"/>
      <c r="D246" s="1551"/>
      <c r="E246" s="1551"/>
      <c r="F246" s="1551"/>
      <c r="G246" s="1551"/>
      <c r="H246" s="1551"/>
      <c r="I246" s="300">
        <f>'PLAN INDICATIVO'!I246</f>
        <v>0</v>
      </c>
      <c r="J246" s="300">
        <f>'PLAN INDICATIVO'!J246</f>
        <v>0</v>
      </c>
      <c r="K246" s="1425" t="str">
        <f>'PLAN INDICATIVO'!K246</f>
        <v>A.14.6.5</v>
      </c>
      <c r="L246" s="301" t="str">
        <f>'PLAN INDICATIVO'!L246</f>
        <v>10. Reducción de las desigualdades</v>
      </c>
      <c r="M246" s="301" t="str">
        <f>'PLAN INDICATIVO'!M246</f>
        <v>Secretaría de Gobierno</v>
      </c>
      <c r="N246" s="1513" t="s">
        <v>5126</v>
      </c>
      <c r="O246" s="1425" t="str">
        <f>'PLAN INDICATIVO'!O246</f>
        <v>Incremento</v>
      </c>
      <c r="P246" s="16" t="str">
        <f>'PLAN INDICATIVO'!P246</f>
        <v>Realizar 2 campañas de  sensibilización y fortalecimiento a las iniciativas del gobierno nacional con las víctimas del conflicto donde se busque el retorno y la reunificación familiar durante el cuatrienio</v>
      </c>
      <c r="Q246" s="302" t="str">
        <f>'PLAN INDICATIVO'!Q246</f>
        <v>No. De Campañas realizadas</v>
      </c>
      <c r="R246" s="303">
        <f>'PLAN INDICATIVO'!R246</f>
        <v>2015</v>
      </c>
      <c r="S246" s="304">
        <v>0</v>
      </c>
      <c r="T246" s="699">
        <v>2</v>
      </c>
      <c r="U246" s="303">
        <v>0</v>
      </c>
      <c r="V246" s="687"/>
      <c r="W246" s="303">
        <v>1</v>
      </c>
      <c r="X246" s="687">
        <v>500000</v>
      </c>
      <c r="Y246" s="286">
        <v>1</v>
      </c>
      <c r="Z246" s="1233">
        <v>500000</v>
      </c>
      <c r="AA246" s="291">
        <v>1</v>
      </c>
      <c r="AB246" s="686"/>
      <c r="AC246" s="669"/>
      <c r="AD246" s="669">
        <v>1</v>
      </c>
      <c r="AE246" s="669">
        <v>1</v>
      </c>
      <c r="AF246" s="669"/>
      <c r="AG246" s="341" t="s">
        <v>5148</v>
      </c>
      <c r="AH246" s="987">
        <v>2019413960024</v>
      </c>
      <c r="AI246" s="355" t="s">
        <v>4876</v>
      </c>
      <c r="AJ246" s="309">
        <v>43497</v>
      </c>
      <c r="AK246" s="363">
        <v>43768</v>
      </c>
      <c r="AL246" s="358"/>
      <c r="AM246" s="358"/>
      <c r="AN246" s="267" t="s">
        <v>2598</v>
      </c>
      <c r="AO246" s="512"/>
      <c r="AP246" s="528"/>
      <c r="AQ246" s="472"/>
      <c r="AR246" s="472"/>
      <c r="AS246" s="472"/>
      <c r="AT246" s="472"/>
      <c r="AU246" s="472"/>
      <c r="AV246" s="472"/>
      <c r="AW246" s="544"/>
      <c r="AX246" s="528"/>
      <c r="AY246" s="472"/>
      <c r="AZ246" s="472"/>
      <c r="BA246" s="472"/>
      <c r="BB246" s="472"/>
      <c r="BC246" s="472"/>
      <c r="BD246" s="472"/>
      <c r="BE246" s="544"/>
      <c r="BF246" s="528"/>
      <c r="BG246" s="472"/>
      <c r="BH246" s="472"/>
      <c r="BI246" s="472"/>
      <c r="BJ246" s="472"/>
      <c r="BK246" s="472"/>
      <c r="BL246" s="472"/>
      <c r="BM246" s="544">
        <f t="shared" si="105"/>
        <v>0</v>
      </c>
      <c r="BN246" s="472"/>
      <c r="BO246" s="472"/>
      <c r="BP246" s="472"/>
      <c r="BQ246" s="472"/>
      <c r="BR246" s="472"/>
      <c r="BS246" s="472"/>
      <c r="BT246" s="472"/>
      <c r="BU246" s="544"/>
      <c r="BV246" s="556"/>
      <c r="BW246" s="663">
        <f t="shared" si="98"/>
        <v>2</v>
      </c>
      <c r="BX246" s="1047">
        <f t="shared" si="99"/>
        <v>1</v>
      </c>
      <c r="BY246" s="1047" t="str">
        <f t="shared" si="117"/>
        <v>Aplazada</v>
      </c>
      <c r="BZ246" s="1047">
        <f t="shared" si="118"/>
        <v>1</v>
      </c>
      <c r="CA246" s="1047">
        <f t="shared" si="119"/>
        <v>1</v>
      </c>
      <c r="CB246" s="1047">
        <f t="shared" si="120"/>
        <v>0</v>
      </c>
      <c r="CD246" t="str">
        <f t="shared" si="121"/>
        <v>AZ</v>
      </c>
      <c r="CE246" t="str">
        <f t="shared" si="121"/>
        <v>VE</v>
      </c>
      <c r="CF246" t="str">
        <f t="shared" si="121"/>
        <v>VE</v>
      </c>
      <c r="CG246" t="str">
        <f t="shared" si="121"/>
        <v>ROB</v>
      </c>
    </row>
    <row r="247" spans="1:85" ht="95.25" hidden="1" customHeight="1" x14ac:dyDescent="0.25">
      <c r="A247" s="298" t="s">
        <v>491</v>
      </c>
      <c r="B247" s="299" t="str">
        <f>'PLAN INDICATIVO'!B247</f>
        <v>Atención a grupos vulnerables - promoción social</v>
      </c>
      <c r="C247" s="1547"/>
      <c r="D247" s="1551"/>
      <c r="E247" s="1551"/>
      <c r="F247" s="1551"/>
      <c r="G247" s="1551"/>
      <c r="H247" s="1551"/>
      <c r="I247" s="300">
        <f>'PLAN INDICATIVO'!I247</f>
        <v>0</v>
      </c>
      <c r="J247" s="300">
        <f>'PLAN INDICATIVO'!J247</f>
        <v>0</v>
      </c>
      <c r="K247" s="1425" t="str">
        <f>'PLAN INDICATIVO'!K247</f>
        <v>A.14.6.6</v>
      </c>
      <c r="L247" s="301" t="str">
        <f>'PLAN INDICATIVO'!L247</f>
        <v>10. Reducción de las desigualdades</v>
      </c>
      <c r="M247" s="301" t="str">
        <f>'PLAN INDICATIVO'!M247</f>
        <v>Secretaría de Gobierno</v>
      </c>
      <c r="N247" s="1513" t="s">
        <v>5126</v>
      </c>
      <c r="O247" s="1425" t="str">
        <f>'PLAN INDICATIVO'!O247</f>
        <v>Incremento</v>
      </c>
      <c r="P247" s="16" t="str">
        <f>'PLAN INDICATIVO'!P247</f>
        <v xml:space="preserve">Realizar 3 jornadas de articulación institucional  entre la Registraduría, ejército nacional y funcionarios del SISBEN para lograr identidad de población víctima del conflicto armado, durante el cuatrienio. </v>
      </c>
      <c r="Q247" s="302" t="str">
        <f>'PLAN INDICATIVO'!Q247</f>
        <v>No. De Jornadas de oferta realizadas</v>
      </c>
      <c r="R247" s="303">
        <f>'PLAN INDICATIVO'!R247</f>
        <v>2015</v>
      </c>
      <c r="S247" s="304">
        <v>0</v>
      </c>
      <c r="T247" s="699">
        <v>3</v>
      </c>
      <c r="U247" s="303">
        <v>1</v>
      </c>
      <c r="V247" s="687"/>
      <c r="W247" s="303">
        <v>1</v>
      </c>
      <c r="X247" s="687">
        <v>500000</v>
      </c>
      <c r="Y247" s="286">
        <v>1</v>
      </c>
      <c r="Z247" s="1233">
        <v>500000</v>
      </c>
      <c r="AA247" s="291">
        <v>1</v>
      </c>
      <c r="AB247" s="686"/>
      <c r="AC247" s="669"/>
      <c r="AD247" s="669">
        <v>1</v>
      </c>
      <c r="AE247" s="669">
        <v>1</v>
      </c>
      <c r="AF247" s="669">
        <v>1</v>
      </c>
      <c r="AG247" s="341" t="s">
        <v>5148</v>
      </c>
      <c r="AH247" s="987">
        <v>2019413960024</v>
      </c>
      <c r="AI247" s="355" t="s">
        <v>4998</v>
      </c>
      <c r="AJ247" s="309">
        <v>43497</v>
      </c>
      <c r="AK247" s="363">
        <v>43646</v>
      </c>
      <c r="AL247" s="358"/>
      <c r="AM247" s="358"/>
      <c r="AN247" s="267" t="s">
        <v>2598</v>
      </c>
      <c r="AO247" s="512"/>
      <c r="AP247" s="528">
        <v>850000</v>
      </c>
      <c r="AQ247" s="472"/>
      <c r="AR247" s="472"/>
      <c r="AS247" s="472"/>
      <c r="AT247" s="472"/>
      <c r="AU247" s="472"/>
      <c r="AV247" s="472"/>
      <c r="AW247" s="544"/>
      <c r="AX247" s="528"/>
      <c r="AY247" s="472"/>
      <c r="AZ247" s="472"/>
      <c r="BA247" s="472"/>
      <c r="BB247" s="472"/>
      <c r="BC247" s="472"/>
      <c r="BD247" s="472"/>
      <c r="BE247" s="544"/>
      <c r="BF247" s="528"/>
      <c r="BG247" s="472"/>
      <c r="BH247" s="472"/>
      <c r="BI247" s="472"/>
      <c r="BJ247" s="472"/>
      <c r="BK247" s="472"/>
      <c r="BL247" s="472"/>
      <c r="BM247" s="544">
        <f t="shared" si="105"/>
        <v>0</v>
      </c>
      <c r="BN247" s="472"/>
      <c r="BO247" s="472"/>
      <c r="BP247" s="472"/>
      <c r="BQ247" s="472"/>
      <c r="BR247" s="472"/>
      <c r="BS247" s="472"/>
      <c r="BT247" s="472"/>
      <c r="BU247" s="544"/>
      <c r="BV247" s="556"/>
      <c r="BW247" s="663">
        <f t="shared" si="98"/>
        <v>3</v>
      </c>
      <c r="BX247" s="1047">
        <f t="shared" si="99"/>
        <v>1</v>
      </c>
      <c r="BY247" s="1047">
        <f t="shared" si="117"/>
        <v>0</v>
      </c>
      <c r="BZ247" s="1047">
        <f t="shared" si="118"/>
        <v>1</v>
      </c>
      <c r="CA247" s="1047">
        <f t="shared" si="119"/>
        <v>1</v>
      </c>
      <c r="CB247" s="1047">
        <f t="shared" si="120"/>
        <v>1</v>
      </c>
      <c r="CD247" t="str">
        <f t="shared" si="121"/>
        <v>ROB</v>
      </c>
      <c r="CE247" t="str">
        <f t="shared" si="121"/>
        <v>VE</v>
      </c>
      <c r="CF247" t="str">
        <f t="shared" si="121"/>
        <v>VE</v>
      </c>
      <c r="CG247" t="str">
        <f t="shared" si="121"/>
        <v>VE</v>
      </c>
    </row>
    <row r="248" spans="1:85" ht="96.75" hidden="1" customHeight="1" x14ac:dyDescent="0.25">
      <c r="A248" s="298" t="s">
        <v>491</v>
      </c>
      <c r="B248" s="299" t="str">
        <f>'PLAN INDICATIVO'!B248</f>
        <v>Atención a grupos vulnerables - promoción social</v>
      </c>
      <c r="C248" s="1547"/>
      <c r="D248" s="1551"/>
      <c r="E248" s="1551"/>
      <c r="F248" s="1551"/>
      <c r="G248" s="1551"/>
      <c r="H248" s="1551"/>
      <c r="I248" s="300">
        <f>'PLAN INDICATIVO'!I248</f>
        <v>0</v>
      </c>
      <c r="J248" s="300">
        <f>'PLAN INDICATIVO'!J248</f>
        <v>0</v>
      </c>
      <c r="K248" s="1425" t="str">
        <f>'PLAN INDICATIVO'!K248</f>
        <v>A.14.6.7</v>
      </c>
      <c r="L248" s="301" t="str">
        <f>'PLAN INDICATIVO'!L248</f>
        <v>10. Reducción de las desigualdades</v>
      </c>
      <c r="M248" s="301" t="str">
        <f>'PLAN INDICATIVO'!M248</f>
        <v>Secretaría de Gobierno</v>
      </c>
      <c r="N248" s="1513" t="s">
        <v>5126</v>
      </c>
      <c r="O248" s="1425" t="str">
        <f>'PLAN INDICATIVO'!O248</f>
        <v>Incremento</v>
      </c>
      <c r="P248" s="16" t="str">
        <f>'PLAN INDICATIVO'!P248</f>
        <v>Desarrollar 3 proyectos productivos articulados con el programa  capital semilla para generar unidades productivas y mejorar ingresos de población víctima del conflicto armado,  durante el cuatrienio</v>
      </c>
      <c r="Q248" s="302" t="str">
        <f>'PLAN INDICATIVO'!Q248</f>
        <v>No. De Proyectos productivos articulados</v>
      </c>
      <c r="R248" s="303">
        <f>'PLAN INDICATIVO'!R248</f>
        <v>2015</v>
      </c>
      <c r="S248" s="304">
        <v>0</v>
      </c>
      <c r="T248" s="699">
        <v>3</v>
      </c>
      <c r="U248" s="303">
        <v>1</v>
      </c>
      <c r="V248" s="687"/>
      <c r="W248" s="303">
        <v>0</v>
      </c>
      <c r="X248" s="687">
        <v>16330000</v>
      </c>
      <c r="Y248" s="286">
        <v>3</v>
      </c>
      <c r="Z248" s="1233">
        <v>16700000</v>
      </c>
      <c r="AA248" s="291">
        <v>1</v>
      </c>
      <c r="AB248" s="686"/>
      <c r="AC248" s="669"/>
      <c r="AD248" s="669"/>
      <c r="AE248" s="669">
        <v>3</v>
      </c>
      <c r="AF248" s="669"/>
      <c r="AG248" s="341" t="s">
        <v>5148</v>
      </c>
      <c r="AH248" s="987">
        <v>2019413960024</v>
      </c>
      <c r="AI248" s="355"/>
      <c r="AJ248" s="309">
        <v>43497</v>
      </c>
      <c r="AK248" s="363">
        <v>43799</v>
      </c>
      <c r="AL248" s="358"/>
      <c r="AM248" s="358"/>
      <c r="AN248" s="267" t="s">
        <v>2598</v>
      </c>
      <c r="AO248" s="512"/>
      <c r="AP248" s="528"/>
      <c r="AQ248" s="472"/>
      <c r="AR248" s="472"/>
      <c r="AS248" s="472"/>
      <c r="AT248" s="472"/>
      <c r="AU248" s="472"/>
      <c r="AV248" s="472"/>
      <c r="AW248" s="544"/>
      <c r="AX248" s="528"/>
      <c r="AY248" s="472"/>
      <c r="AZ248" s="472"/>
      <c r="BA248" s="472"/>
      <c r="BB248" s="472"/>
      <c r="BC248" s="472"/>
      <c r="BD248" s="472"/>
      <c r="BE248" s="544"/>
      <c r="BF248" s="528"/>
      <c r="BG248" s="472"/>
      <c r="BH248" s="472"/>
      <c r="BI248" s="472"/>
      <c r="BJ248" s="472"/>
      <c r="BK248" s="472"/>
      <c r="BL248" s="472"/>
      <c r="BM248" s="544">
        <f t="shared" si="105"/>
        <v>0</v>
      </c>
      <c r="BN248" s="472"/>
      <c r="BO248" s="472"/>
      <c r="BP248" s="472"/>
      <c r="BQ248" s="472"/>
      <c r="BR248" s="472"/>
      <c r="BS248" s="472"/>
      <c r="BT248" s="472"/>
      <c r="BU248" s="544"/>
      <c r="BV248" s="556"/>
      <c r="BW248" s="663">
        <f t="shared" si="98"/>
        <v>3</v>
      </c>
      <c r="BX248" s="1047">
        <f t="shared" si="99"/>
        <v>1</v>
      </c>
      <c r="BY248" s="1047">
        <f t="shared" si="117"/>
        <v>0</v>
      </c>
      <c r="BZ248" s="1047" t="str">
        <f t="shared" si="118"/>
        <v>Aplazada</v>
      </c>
      <c r="CA248" s="1047">
        <f t="shared" si="119"/>
        <v>1</v>
      </c>
      <c r="CB248" s="1047">
        <f t="shared" si="120"/>
        <v>0</v>
      </c>
      <c r="CD248" t="str">
        <f t="shared" si="121"/>
        <v>ROB</v>
      </c>
      <c r="CE248" t="str">
        <f t="shared" si="121"/>
        <v>AZ</v>
      </c>
      <c r="CF248" t="str">
        <f t="shared" si="121"/>
        <v>VE</v>
      </c>
      <c r="CG248" t="str">
        <f t="shared" si="121"/>
        <v>ROB</v>
      </c>
    </row>
    <row r="249" spans="1:85" ht="111" hidden="1" customHeight="1" x14ac:dyDescent="0.25">
      <c r="A249" s="298" t="s">
        <v>491</v>
      </c>
      <c r="B249" s="299" t="str">
        <f>'PLAN INDICATIVO'!B249</f>
        <v>Atención a grupos vulnerables - promoción social</v>
      </c>
      <c r="C249" s="1547"/>
      <c r="D249" s="1551"/>
      <c r="E249" s="1551"/>
      <c r="F249" s="1551"/>
      <c r="G249" s="1551"/>
      <c r="H249" s="1551"/>
      <c r="I249" s="300">
        <f>'PLAN INDICATIVO'!I249</f>
        <v>0</v>
      </c>
      <c r="J249" s="300">
        <f>'PLAN INDICATIVO'!J249</f>
        <v>0</v>
      </c>
      <c r="K249" s="1425" t="str">
        <f>'PLAN INDICATIVO'!K249</f>
        <v>A.14.6.8</v>
      </c>
      <c r="L249" s="301" t="str">
        <f>'PLAN INDICATIVO'!L249</f>
        <v>10. Reducción de las desigualdades</v>
      </c>
      <c r="M249" s="301" t="str">
        <f>'PLAN INDICATIVO'!M249</f>
        <v>Secretaría de Gobierno</v>
      </c>
      <c r="N249" s="1513" t="s">
        <v>5126</v>
      </c>
      <c r="O249" s="1425" t="str">
        <f>'PLAN INDICATIVO'!O249</f>
        <v>Incremento</v>
      </c>
      <c r="P249" s="16" t="str">
        <f>'PLAN INDICATIVO'!P249</f>
        <v>Apoyar 3 unidades de negocio establecidas por las personas en proceso de reintegración, a través del beneficio de inserción económica brindado por la Agencia Colombiana Para La Reintegración, durante el cuatrienio</v>
      </c>
      <c r="Q249" s="302" t="str">
        <f>'PLAN INDICATIVO'!Q249</f>
        <v>No. De Unidades de negocio apoyadas</v>
      </c>
      <c r="R249" s="303">
        <f>'PLAN INDICATIVO'!R249</f>
        <v>2015</v>
      </c>
      <c r="S249" s="304">
        <v>0</v>
      </c>
      <c r="T249" s="699">
        <v>3</v>
      </c>
      <c r="U249" s="303">
        <v>1</v>
      </c>
      <c r="V249" s="687"/>
      <c r="W249" s="303">
        <v>0</v>
      </c>
      <c r="X249" s="687">
        <v>3200000</v>
      </c>
      <c r="Y249" s="286"/>
      <c r="Z249" s="1233">
        <v>3500000</v>
      </c>
      <c r="AA249" s="291">
        <v>3</v>
      </c>
      <c r="AB249" s="686"/>
      <c r="AC249" s="669"/>
      <c r="AD249" s="669"/>
      <c r="AE249" s="669"/>
      <c r="AF249" s="669">
        <v>2</v>
      </c>
      <c r="AG249" s="341" t="s">
        <v>5148</v>
      </c>
      <c r="AH249" s="987">
        <v>2019413960024</v>
      </c>
      <c r="AI249" s="355" t="s">
        <v>5075</v>
      </c>
      <c r="AJ249" s="309">
        <v>43497</v>
      </c>
      <c r="AK249" s="363">
        <v>43799</v>
      </c>
      <c r="AL249" s="358"/>
      <c r="AM249" s="358"/>
      <c r="AN249" s="267" t="s">
        <v>2604</v>
      </c>
      <c r="AO249" s="512"/>
      <c r="AP249" s="528"/>
      <c r="AQ249" s="472"/>
      <c r="AR249" s="472"/>
      <c r="AS249" s="472"/>
      <c r="AT249" s="472"/>
      <c r="AU249" s="472"/>
      <c r="AV249" s="472"/>
      <c r="AW249" s="544"/>
      <c r="AX249" s="528"/>
      <c r="AY249" s="472"/>
      <c r="AZ249" s="472"/>
      <c r="BA249" s="472"/>
      <c r="BB249" s="472"/>
      <c r="BC249" s="472"/>
      <c r="BD249" s="472"/>
      <c r="BE249" s="544"/>
      <c r="BF249" s="528"/>
      <c r="BG249" s="472"/>
      <c r="BH249" s="472"/>
      <c r="BI249" s="472"/>
      <c r="BJ249" s="472"/>
      <c r="BK249" s="472"/>
      <c r="BL249" s="472"/>
      <c r="BM249" s="544">
        <f t="shared" si="105"/>
        <v>0</v>
      </c>
      <c r="BN249" s="472"/>
      <c r="BO249" s="472"/>
      <c r="BP249" s="472"/>
      <c r="BQ249" s="472"/>
      <c r="BR249" s="472"/>
      <c r="BS249" s="472"/>
      <c r="BT249" s="472"/>
      <c r="BU249" s="544"/>
      <c r="BV249" s="556"/>
      <c r="BW249" s="663">
        <f t="shared" si="98"/>
        <v>2</v>
      </c>
      <c r="BX249" s="1047">
        <f t="shared" si="99"/>
        <v>0.66666666666666663</v>
      </c>
      <c r="BY249" s="1047">
        <f t="shared" si="117"/>
        <v>0</v>
      </c>
      <c r="BZ249" s="1047" t="str">
        <f t="shared" si="118"/>
        <v>Aplazada</v>
      </c>
      <c r="CA249" s="1047" t="str">
        <f t="shared" si="119"/>
        <v>No Programada</v>
      </c>
      <c r="CB249" s="1047">
        <f t="shared" si="120"/>
        <v>0.66666666666666663</v>
      </c>
      <c r="CD249" t="str">
        <f t="shared" si="121"/>
        <v>ROB</v>
      </c>
      <c r="CE249" t="str">
        <f t="shared" si="121"/>
        <v>AZ</v>
      </c>
      <c r="CF249" t="str">
        <f t="shared" si="121"/>
        <v>NP</v>
      </c>
      <c r="CG249" t="str">
        <f t="shared" si="121"/>
        <v>AM</v>
      </c>
    </row>
    <row r="250" spans="1:85" ht="89.25" hidden="1" customHeight="1" x14ac:dyDescent="0.25">
      <c r="A250" s="298" t="s">
        <v>491</v>
      </c>
      <c r="B250" s="299" t="str">
        <f>'PLAN INDICATIVO'!B250</f>
        <v>Atención a grupos vulnerables - promoción social</v>
      </c>
      <c r="C250" s="1547"/>
      <c r="D250" s="1551"/>
      <c r="E250" s="1551"/>
      <c r="F250" s="1551"/>
      <c r="G250" s="1551"/>
      <c r="H250" s="1551"/>
      <c r="I250" s="300">
        <f>'PLAN INDICATIVO'!I250</f>
        <v>0</v>
      </c>
      <c r="J250" s="300">
        <f>'PLAN INDICATIVO'!J250</f>
        <v>0</v>
      </c>
      <c r="K250" s="1425" t="str">
        <f>'PLAN INDICATIVO'!K250</f>
        <v>A.14.6.9</v>
      </c>
      <c r="L250" s="301" t="str">
        <f>'PLAN INDICATIVO'!L250</f>
        <v>10. Reducción de las desigualdades</v>
      </c>
      <c r="M250" s="301" t="str">
        <f>'PLAN INDICATIVO'!M250</f>
        <v>Secretaría de Gobierno</v>
      </c>
      <c r="N250" s="1513" t="s">
        <v>5126</v>
      </c>
      <c r="O250" s="1425" t="str">
        <f>'PLAN INDICATIVO'!O250</f>
        <v>Incremento</v>
      </c>
      <c r="P250" s="16" t="str">
        <f>'PLAN INDICATIVO'!P250</f>
        <v xml:space="preserve">Realizar 1 oferta institucional a la población víctima del conflicto armado  para acceso a programas de vivienda nueva o mejoramiento de las mismas, durante el cuatrienio. </v>
      </c>
      <c r="Q250" s="302" t="str">
        <f>'PLAN INDICATIVO'!Q250</f>
        <v xml:space="preserve">No. de ofertas realizadas </v>
      </c>
      <c r="R250" s="303">
        <f>'PLAN INDICATIVO'!R250</f>
        <v>2015</v>
      </c>
      <c r="S250" s="304">
        <v>0</v>
      </c>
      <c r="T250" s="699">
        <v>1</v>
      </c>
      <c r="U250" s="303">
        <v>1</v>
      </c>
      <c r="V250" s="687"/>
      <c r="W250" s="303">
        <v>0</v>
      </c>
      <c r="X250" s="687">
        <v>500000</v>
      </c>
      <c r="Y250" s="286">
        <v>0.7</v>
      </c>
      <c r="Z250" s="1233"/>
      <c r="AA250" s="291">
        <v>1</v>
      </c>
      <c r="AB250" s="686"/>
      <c r="AC250" s="669"/>
      <c r="AD250" s="669">
        <v>0.3</v>
      </c>
      <c r="AE250" s="669">
        <v>0.7</v>
      </c>
      <c r="AF250" s="669"/>
      <c r="AG250" s="341" t="s">
        <v>5148</v>
      </c>
      <c r="AH250" s="987">
        <v>2019413960024</v>
      </c>
      <c r="AI250" s="1490" t="s">
        <v>4999</v>
      </c>
      <c r="AJ250" s="309">
        <v>43497</v>
      </c>
      <c r="AK250" s="363">
        <v>43799</v>
      </c>
      <c r="AL250" s="358"/>
      <c r="AM250" s="358"/>
      <c r="AN250" s="267" t="s">
        <v>2598</v>
      </c>
      <c r="AO250" s="512"/>
      <c r="AP250" s="528"/>
      <c r="AQ250" s="472"/>
      <c r="AR250" s="472"/>
      <c r="AS250" s="472"/>
      <c r="AT250" s="472"/>
      <c r="AU250" s="472"/>
      <c r="AV250" s="472"/>
      <c r="AW250" s="544"/>
      <c r="AX250" s="528"/>
      <c r="AY250" s="472"/>
      <c r="AZ250" s="472"/>
      <c r="BA250" s="472"/>
      <c r="BB250" s="472"/>
      <c r="BC250" s="472"/>
      <c r="BD250" s="472"/>
      <c r="BE250" s="544"/>
      <c r="BF250" s="528"/>
      <c r="BG250" s="472"/>
      <c r="BH250" s="472"/>
      <c r="BI250" s="472"/>
      <c r="BJ250" s="472"/>
      <c r="BK250" s="472"/>
      <c r="BL250" s="472"/>
      <c r="BM250" s="544">
        <f t="shared" si="105"/>
        <v>0</v>
      </c>
      <c r="BN250" s="472"/>
      <c r="BO250" s="472"/>
      <c r="BP250" s="472"/>
      <c r="BQ250" s="472"/>
      <c r="BR250" s="472"/>
      <c r="BS250" s="472"/>
      <c r="BT250" s="472"/>
      <c r="BU250" s="544"/>
      <c r="BV250" s="556"/>
      <c r="BW250" s="663">
        <f t="shared" si="98"/>
        <v>1</v>
      </c>
      <c r="BX250" s="1047">
        <f t="shared" si="99"/>
        <v>1</v>
      </c>
      <c r="BY250" s="1047">
        <f t="shared" si="117"/>
        <v>0</v>
      </c>
      <c r="BZ250" s="1047" t="str">
        <f t="shared" si="118"/>
        <v>Aplazada</v>
      </c>
      <c r="CA250" s="1047">
        <f t="shared" si="119"/>
        <v>1</v>
      </c>
      <c r="CB250" s="1047">
        <f t="shared" si="120"/>
        <v>0</v>
      </c>
      <c r="CD250" t="str">
        <f t="shared" si="121"/>
        <v>ROB</v>
      </c>
      <c r="CE250" t="str">
        <f t="shared" si="121"/>
        <v>AZ</v>
      </c>
      <c r="CF250" t="str">
        <f t="shared" si="121"/>
        <v>VE</v>
      </c>
      <c r="CG250" t="str">
        <f t="shared" si="121"/>
        <v>ROB</v>
      </c>
    </row>
    <row r="251" spans="1:85" ht="66" customHeight="1" x14ac:dyDescent="0.3">
      <c r="A251" s="298" t="s">
        <v>491</v>
      </c>
      <c r="B251" s="299" t="str">
        <f>'PLAN INDICATIVO'!B251</f>
        <v>Atención a grupos vulnerables - promoción social</v>
      </c>
      <c r="C251" s="1547"/>
      <c r="D251" s="1551"/>
      <c r="E251" s="1551"/>
      <c r="F251" s="1551"/>
      <c r="G251" s="1551"/>
      <c r="H251" s="1551"/>
      <c r="I251" s="300">
        <f>'PLAN INDICATIVO'!I251</f>
        <v>0</v>
      </c>
      <c r="J251" s="300">
        <f>'PLAN INDICATIVO'!J251</f>
        <v>0</v>
      </c>
      <c r="K251" s="1425" t="str">
        <f>'PLAN INDICATIVO'!K251</f>
        <v>A.14.6.10</v>
      </c>
      <c r="L251" s="301" t="str">
        <f>'PLAN INDICATIVO'!L251</f>
        <v>10. Reducción de las desigualdades</v>
      </c>
      <c r="M251" s="301" t="str">
        <f>'PLAN INDICATIVO'!M251</f>
        <v>Secretaría de Gobierno</v>
      </c>
      <c r="N251" s="1513" t="s">
        <v>5126</v>
      </c>
      <c r="O251" s="1425" t="str">
        <f>'PLAN INDICATIVO'!O251</f>
        <v>Incremento</v>
      </c>
      <c r="P251" s="16" t="str">
        <f>'PLAN INDICATIVO'!P251</f>
        <v xml:space="preserve">Realizar 4 conmemoraciones del día de las víctimas, durante el cuatrienio. </v>
      </c>
      <c r="Q251" s="302" t="str">
        <f>'PLAN INDICATIVO'!Q251</f>
        <v xml:space="preserve">No. De Conmemoraciones realizadas </v>
      </c>
      <c r="R251" s="303">
        <f>'PLAN INDICATIVO'!R251</f>
        <v>2015</v>
      </c>
      <c r="S251" s="304">
        <v>1</v>
      </c>
      <c r="T251" s="699">
        <v>4</v>
      </c>
      <c r="U251" s="303">
        <v>1</v>
      </c>
      <c r="V251" s="687">
        <v>1500000</v>
      </c>
      <c r="W251" s="303">
        <v>1</v>
      </c>
      <c r="X251" s="687">
        <v>1500000</v>
      </c>
      <c r="Y251" s="286">
        <v>1</v>
      </c>
      <c r="Z251" s="1233">
        <v>1500000</v>
      </c>
      <c r="AA251" s="291">
        <v>1</v>
      </c>
      <c r="AB251" s="686">
        <v>15000000</v>
      </c>
      <c r="AC251" s="669"/>
      <c r="AD251" s="669">
        <v>1</v>
      </c>
      <c r="AE251" s="669">
        <v>1</v>
      </c>
      <c r="AF251" s="669">
        <v>1</v>
      </c>
      <c r="AG251" s="341" t="s">
        <v>5148</v>
      </c>
      <c r="AH251" s="987">
        <v>2019413960024</v>
      </c>
      <c r="AI251" s="355" t="s">
        <v>5000</v>
      </c>
      <c r="AJ251" s="309">
        <v>43497</v>
      </c>
      <c r="AK251" s="363">
        <v>43707</v>
      </c>
      <c r="AL251" s="358"/>
      <c r="AM251" s="358"/>
      <c r="AN251" s="267" t="s">
        <v>2598</v>
      </c>
      <c r="AO251" s="512"/>
      <c r="AP251" s="528"/>
      <c r="AQ251" s="852"/>
      <c r="AR251" s="472"/>
      <c r="AS251" s="472"/>
      <c r="AT251" s="472"/>
      <c r="AU251" s="472"/>
      <c r="AV251" s="472"/>
      <c r="AW251" s="544"/>
      <c r="AX251" s="528"/>
      <c r="AY251" s="472"/>
      <c r="AZ251" s="472"/>
      <c r="BA251" s="472"/>
      <c r="BB251" s="472"/>
      <c r="BC251" s="472"/>
      <c r="BD251" s="472"/>
      <c r="BE251" s="544"/>
      <c r="BF251" s="528"/>
      <c r="BG251" s="472"/>
      <c r="BH251" s="472"/>
      <c r="BI251" s="472"/>
      <c r="BJ251" s="472"/>
      <c r="BK251" s="472"/>
      <c r="BL251" s="472"/>
      <c r="BM251" s="544">
        <f t="shared" si="105"/>
        <v>0</v>
      </c>
      <c r="BN251" s="472"/>
      <c r="BO251" s="472"/>
      <c r="BP251" s="472"/>
      <c r="BQ251" s="472"/>
      <c r="BR251" s="472"/>
      <c r="BS251" s="472"/>
      <c r="BT251" s="472"/>
      <c r="BU251" s="472"/>
      <c r="BV251" s="556"/>
      <c r="BW251" s="663">
        <f t="shared" si="98"/>
        <v>3</v>
      </c>
      <c r="BX251" s="1047">
        <f t="shared" si="99"/>
        <v>0.75</v>
      </c>
      <c r="BY251" s="1047">
        <f t="shared" si="117"/>
        <v>0</v>
      </c>
      <c r="BZ251" s="1047">
        <f t="shared" si="118"/>
        <v>1</v>
      </c>
      <c r="CA251" s="1047">
        <f t="shared" si="119"/>
        <v>1</v>
      </c>
      <c r="CB251" s="1047">
        <f t="shared" si="120"/>
        <v>1</v>
      </c>
      <c r="CD251" t="str">
        <f t="shared" si="121"/>
        <v>ROB</v>
      </c>
      <c r="CE251" t="str">
        <f t="shared" si="121"/>
        <v>VE</v>
      </c>
      <c r="CF251" t="str">
        <f t="shared" si="121"/>
        <v>VE</v>
      </c>
      <c r="CG251" t="str">
        <f t="shared" si="121"/>
        <v>VE</v>
      </c>
    </row>
    <row r="252" spans="1:85" ht="114.75" customHeight="1" x14ac:dyDescent="0.3">
      <c r="A252" s="298" t="s">
        <v>491</v>
      </c>
      <c r="B252" s="299" t="str">
        <f>'PLAN INDICATIVO'!B252</f>
        <v>Atención a grupos vulnerables - promoción social</v>
      </c>
      <c r="C252" s="1547"/>
      <c r="D252" s="1551"/>
      <c r="E252" s="1551"/>
      <c r="F252" s="1551"/>
      <c r="G252" s="1551"/>
      <c r="H252" s="1551"/>
      <c r="I252" s="300">
        <f>'PLAN INDICATIVO'!I252</f>
        <v>0</v>
      </c>
      <c r="J252" s="300">
        <f>'PLAN INDICATIVO'!J252</f>
        <v>0</v>
      </c>
      <c r="K252" s="1425" t="str">
        <f>'PLAN INDICATIVO'!K252</f>
        <v>A.14.6.11</v>
      </c>
      <c r="L252" s="301" t="str">
        <f>'PLAN INDICATIVO'!L252</f>
        <v>10. Reducción de las desigualdades</v>
      </c>
      <c r="M252" s="301" t="str">
        <f>'PLAN INDICATIVO'!M252</f>
        <v>Secretaría de Gobierno</v>
      </c>
      <c r="N252" s="1513" t="s">
        <v>5126</v>
      </c>
      <c r="O252" s="1425" t="str">
        <f>'PLAN INDICATIVO'!O252</f>
        <v>Mantenimiento</v>
      </c>
      <c r="P252" s="16" t="str">
        <f>'PLAN INDICATIVO'!P252</f>
        <v>Realizar cada año 1 apoyo a las diferentes instituciones del gobierno departamental y nacional donde se coadyuve en los procesos de reparación integral de las victimas del conflicto armado.</v>
      </c>
      <c r="Q252" s="302" t="str">
        <f>'PLAN INDICATIVO'!Q252</f>
        <v>No. De Jornadas Realizadas por año</v>
      </c>
      <c r="R252" s="303">
        <f>'PLAN INDICATIVO'!R252</f>
        <v>2015</v>
      </c>
      <c r="S252" s="304">
        <v>0</v>
      </c>
      <c r="T252" s="699">
        <v>4</v>
      </c>
      <c r="U252" s="303">
        <v>1</v>
      </c>
      <c r="V252" s="687">
        <v>2630000</v>
      </c>
      <c r="W252" s="303">
        <v>1</v>
      </c>
      <c r="X252" s="687">
        <v>500000</v>
      </c>
      <c r="Y252" s="286">
        <v>1</v>
      </c>
      <c r="Z252" s="1233">
        <v>500000</v>
      </c>
      <c r="AA252" s="291">
        <v>1</v>
      </c>
      <c r="AB252" s="686">
        <v>6856000</v>
      </c>
      <c r="AC252" s="669"/>
      <c r="AD252" s="669">
        <v>1</v>
      </c>
      <c r="AE252" s="669">
        <v>1</v>
      </c>
      <c r="AF252" s="669">
        <v>1</v>
      </c>
      <c r="AG252" s="341" t="s">
        <v>5148</v>
      </c>
      <c r="AH252" s="987">
        <v>2019413960024</v>
      </c>
      <c r="AI252" s="355" t="s">
        <v>4877</v>
      </c>
      <c r="AJ252" s="309">
        <v>43497</v>
      </c>
      <c r="AK252" s="363">
        <v>43676</v>
      </c>
      <c r="AL252" s="358"/>
      <c r="AM252" s="358"/>
      <c r="AN252" s="267" t="s">
        <v>2598</v>
      </c>
      <c r="AO252" s="512"/>
      <c r="AP252" s="528"/>
      <c r="AQ252" s="472"/>
      <c r="AR252" s="472"/>
      <c r="AS252" s="472"/>
      <c r="AT252" s="472"/>
      <c r="AU252" s="472"/>
      <c r="AV252" s="472"/>
      <c r="AW252" s="544"/>
      <c r="AX252" s="528"/>
      <c r="AY252" s="472"/>
      <c r="AZ252" s="472"/>
      <c r="BA252" s="472"/>
      <c r="BB252" s="472"/>
      <c r="BC252" s="472"/>
      <c r="BD252" s="472"/>
      <c r="BE252" s="544"/>
      <c r="BF252" s="528"/>
      <c r="BG252" s="472"/>
      <c r="BH252" s="472"/>
      <c r="BI252" s="472"/>
      <c r="BJ252" s="472"/>
      <c r="BK252" s="472"/>
      <c r="BL252" s="472"/>
      <c r="BM252" s="544">
        <f t="shared" si="105"/>
        <v>0</v>
      </c>
      <c r="BN252" s="472"/>
      <c r="BO252" s="472"/>
      <c r="BP252" s="472"/>
      <c r="BQ252" s="472"/>
      <c r="BR252" s="472"/>
      <c r="BS252" s="472"/>
      <c r="BT252" s="472"/>
      <c r="BU252" s="544"/>
      <c r="BV252" s="556"/>
      <c r="BW252" s="663">
        <f t="shared" si="98"/>
        <v>3</v>
      </c>
      <c r="BX252" s="1047">
        <f t="shared" si="99"/>
        <v>0.75</v>
      </c>
      <c r="BY252" s="1047">
        <f t="shared" si="117"/>
        <v>0</v>
      </c>
      <c r="BZ252" s="1047">
        <f t="shared" si="118"/>
        <v>1</v>
      </c>
      <c r="CA252" s="1047">
        <f t="shared" si="119"/>
        <v>1</v>
      </c>
      <c r="CB252" s="1047">
        <f t="shared" si="120"/>
        <v>1</v>
      </c>
      <c r="CD252" t="str">
        <f t="shared" si="121"/>
        <v>ROB</v>
      </c>
      <c r="CE252" t="str">
        <f t="shared" si="121"/>
        <v>VE</v>
      </c>
      <c r="CF252" t="str">
        <f t="shared" si="121"/>
        <v>VE</v>
      </c>
      <c r="CG252" t="str">
        <f t="shared" si="121"/>
        <v>VE</v>
      </c>
    </row>
    <row r="253" spans="1:85" ht="75" customHeight="1" x14ac:dyDescent="0.3">
      <c r="A253" s="298" t="s">
        <v>491</v>
      </c>
      <c r="B253" s="299" t="str">
        <f>'PLAN INDICATIVO'!B253</f>
        <v>Atención a grupos vulnerables - promoción social</v>
      </c>
      <c r="C253" s="1547"/>
      <c r="D253" s="1551"/>
      <c r="E253" s="1551"/>
      <c r="F253" s="1551"/>
      <c r="G253" s="1551"/>
      <c r="H253" s="1551"/>
      <c r="I253" s="300">
        <f>'PLAN INDICATIVO'!I253</f>
        <v>0</v>
      </c>
      <c r="J253" s="300">
        <f>'PLAN INDICATIVO'!J253</f>
        <v>0</v>
      </c>
      <c r="K253" s="1425" t="str">
        <f>'PLAN INDICATIVO'!K253</f>
        <v>A.14.6.12</v>
      </c>
      <c r="L253" s="301" t="str">
        <f>'PLAN INDICATIVO'!L253</f>
        <v>10. Reducción de las desigualdades</v>
      </c>
      <c r="M253" s="301" t="str">
        <f>'PLAN INDICATIVO'!M253</f>
        <v>Secretaría de Gobierno</v>
      </c>
      <c r="N253" s="1513" t="s">
        <v>5126</v>
      </c>
      <c r="O253" s="1425" t="str">
        <f>'PLAN INDICATIVO'!O253</f>
        <v>Mantenimiento</v>
      </c>
      <c r="P253" s="16" t="str">
        <f>'PLAN INDICATIVO'!P253</f>
        <v>Realizar 1 plan de apoyo a las mujeres victimas residentes en el municipio, cada año</v>
      </c>
      <c r="Q253" s="302" t="str">
        <f>'PLAN INDICATIVO'!Q253</f>
        <v>No. de apoyos otorgados por año</v>
      </c>
      <c r="R253" s="303">
        <f>'PLAN INDICATIVO'!R253</f>
        <v>2015</v>
      </c>
      <c r="S253" s="304">
        <v>1</v>
      </c>
      <c r="T253" s="699">
        <v>1</v>
      </c>
      <c r="U253" s="303">
        <v>0.25</v>
      </c>
      <c r="V253" s="687">
        <v>1370000</v>
      </c>
      <c r="W253" s="303">
        <v>0.25</v>
      </c>
      <c r="X253" s="687">
        <v>1000000</v>
      </c>
      <c r="Y253" s="286">
        <v>0.25</v>
      </c>
      <c r="Z253" s="1233">
        <v>1500000</v>
      </c>
      <c r="AA253" s="291">
        <v>1</v>
      </c>
      <c r="AB253" s="686">
        <v>5000000</v>
      </c>
      <c r="AC253" s="669"/>
      <c r="AD253" s="669">
        <v>0.25</v>
      </c>
      <c r="AE253" s="669">
        <v>0.25</v>
      </c>
      <c r="AF253" s="669">
        <v>0.2</v>
      </c>
      <c r="AG253" s="341" t="s">
        <v>5148</v>
      </c>
      <c r="AH253" s="987">
        <v>2019413960024</v>
      </c>
      <c r="AI253" s="355" t="s">
        <v>5001</v>
      </c>
      <c r="AJ253" s="309">
        <v>43497</v>
      </c>
      <c r="AK253" s="363">
        <v>43738</v>
      </c>
      <c r="AL253" s="358"/>
      <c r="AM253" s="358"/>
      <c r="AN253" s="267" t="s">
        <v>2598</v>
      </c>
      <c r="AO253" s="512"/>
      <c r="AP253" s="528"/>
      <c r="AQ253" s="852"/>
      <c r="AR253" s="472"/>
      <c r="AS253" s="472"/>
      <c r="AT253" s="472"/>
      <c r="AU253" s="472"/>
      <c r="AV253" s="472"/>
      <c r="AW253" s="544"/>
      <c r="AX253" s="528"/>
      <c r="AY253" s="472"/>
      <c r="AZ253" s="472"/>
      <c r="BA253" s="472"/>
      <c r="BB253" s="472"/>
      <c r="BC253" s="472"/>
      <c r="BD253" s="472"/>
      <c r="BE253" s="544"/>
      <c r="BF253" s="528"/>
      <c r="BG253" s="472"/>
      <c r="BH253" s="472"/>
      <c r="BI253" s="472"/>
      <c r="BJ253" s="472"/>
      <c r="BK253" s="472"/>
      <c r="BL253" s="472"/>
      <c r="BM253" s="544">
        <f t="shared" si="105"/>
        <v>0</v>
      </c>
      <c r="BN253" s="472"/>
      <c r="BO253" s="472"/>
      <c r="BP253" s="472"/>
      <c r="BQ253" s="472"/>
      <c r="BR253" s="472"/>
      <c r="BS253" s="472"/>
      <c r="BT253" s="472"/>
      <c r="BU253" s="544"/>
      <c r="BV253" s="556"/>
      <c r="BW253" s="663">
        <f t="shared" si="98"/>
        <v>0.7</v>
      </c>
      <c r="BX253" s="1047">
        <f t="shared" si="99"/>
        <v>0.7</v>
      </c>
      <c r="BY253" s="1047">
        <f t="shared" si="117"/>
        <v>0</v>
      </c>
      <c r="BZ253" s="1047">
        <f t="shared" si="118"/>
        <v>1</v>
      </c>
      <c r="CA253" s="1047">
        <f t="shared" si="119"/>
        <v>1</v>
      </c>
      <c r="CB253" s="1047">
        <f t="shared" si="120"/>
        <v>0.2</v>
      </c>
      <c r="CD253" t="str">
        <f t="shared" si="121"/>
        <v>ROB</v>
      </c>
      <c r="CE253" t="str">
        <f t="shared" si="121"/>
        <v>VE</v>
      </c>
      <c r="CF253" t="str">
        <f t="shared" si="121"/>
        <v>VE</v>
      </c>
      <c r="CG253" t="str">
        <f t="shared" si="121"/>
        <v>ROB</v>
      </c>
    </row>
    <row r="254" spans="1:85" ht="83.25" customHeight="1" x14ac:dyDescent="0.3">
      <c r="A254" s="298" t="s">
        <v>491</v>
      </c>
      <c r="B254" s="299" t="str">
        <f>'PLAN INDICATIVO'!B254</f>
        <v>Atención a grupos vulnerables - promoción social</v>
      </c>
      <c r="C254" s="1547"/>
      <c r="D254" s="1551"/>
      <c r="E254" s="1551"/>
      <c r="F254" s="1551"/>
      <c r="G254" s="1551"/>
      <c r="H254" s="1551"/>
      <c r="I254" s="300">
        <f>'PLAN INDICATIVO'!I254</f>
        <v>0</v>
      </c>
      <c r="J254" s="300">
        <f>'PLAN INDICATIVO'!J254</f>
        <v>0</v>
      </c>
      <c r="K254" s="1425" t="str">
        <f>'PLAN INDICATIVO'!K254</f>
        <v>A.14.6.13</v>
      </c>
      <c r="L254" s="301" t="str">
        <f>'PLAN INDICATIVO'!L254</f>
        <v>10. Reducción de las desigualdades</v>
      </c>
      <c r="M254" s="301" t="str">
        <f>'PLAN INDICATIVO'!M254</f>
        <v>Secretaría de Gobierno</v>
      </c>
      <c r="N254" s="1513" t="s">
        <v>5126</v>
      </c>
      <c r="O254" s="1425" t="str">
        <f>'PLAN INDICATIVO'!O254</f>
        <v>Incremento</v>
      </c>
      <c r="P254" s="16" t="str">
        <f>'PLAN INDICATIVO'!P254</f>
        <v xml:space="preserve">Realizar 1 caracterización de la población víctima del conflicto armado, durante el cuatrienio. </v>
      </c>
      <c r="Q254" s="302" t="str">
        <f>'PLAN INDICATIVO'!Q254</f>
        <v xml:space="preserve">No. de caracterizaciones realizadas </v>
      </c>
      <c r="R254" s="303">
        <f>'PLAN INDICATIVO'!R254</f>
        <v>2015</v>
      </c>
      <c r="S254" s="304">
        <v>0</v>
      </c>
      <c r="T254" s="699">
        <v>1</v>
      </c>
      <c r="U254" s="303">
        <v>1</v>
      </c>
      <c r="V254" s="687"/>
      <c r="W254" s="303">
        <v>1</v>
      </c>
      <c r="X254" s="687">
        <v>500000</v>
      </c>
      <c r="Y254" s="286">
        <v>0.5</v>
      </c>
      <c r="Z254" s="1233"/>
      <c r="AA254" s="291">
        <v>1</v>
      </c>
      <c r="AB254" s="686">
        <v>5000000</v>
      </c>
      <c r="AC254" s="669"/>
      <c r="AD254" s="669">
        <v>0.5</v>
      </c>
      <c r="AE254" s="669">
        <v>0.5</v>
      </c>
      <c r="AF254" s="669"/>
      <c r="AG254" s="341" t="s">
        <v>5148</v>
      </c>
      <c r="AH254" s="987">
        <v>2019413960024</v>
      </c>
      <c r="AI254" s="355"/>
      <c r="AJ254" s="309"/>
      <c r="AK254" s="363"/>
      <c r="AL254" s="358"/>
      <c r="AM254" s="358"/>
      <c r="AN254" s="267" t="s">
        <v>2598</v>
      </c>
      <c r="AO254" s="512"/>
      <c r="AP254" s="528"/>
      <c r="AQ254" s="472"/>
      <c r="AR254" s="472"/>
      <c r="AS254" s="472"/>
      <c r="AT254" s="472"/>
      <c r="AU254" s="472"/>
      <c r="AV254" s="472"/>
      <c r="AW254" s="544"/>
      <c r="AX254" s="528"/>
      <c r="AY254" s="472"/>
      <c r="AZ254" s="472"/>
      <c r="BA254" s="472"/>
      <c r="BB254" s="472"/>
      <c r="BC254" s="472"/>
      <c r="BD254" s="472"/>
      <c r="BE254" s="544"/>
      <c r="BF254" s="528"/>
      <c r="BG254" s="472"/>
      <c r="BH254" s="472"/>
      <c r="BI254" s="472"/>
      <c r="BJ254" s="472"/>
      <c r="BK254" s="472"/>
      <c r="BL254" s="472"/>
      <c r="BM254" s="544">
        <f t="shared" si="105"/>
        <v>0</v>
      </c>
      <c r="BN254" s="472"/>
      <c r="BO254" s="472"/>
      <c r="BP254" s="472"/>
      <c r="BQ254" s="472"/>
      <c r="BR254" s="472"/>
      <c r="BS254" s="472"/>
      <c r="BT254" s="472"/>
      <c r="BU254" s="544"/>
      <c r="BV254" s="556"/>
      <c r="BW254" s="663">
        <f t="shared" si="98"/>
        <v>1</v>
      </c>
      <c r="BX254" s="1047">
        <f t="shared" si="99"/>
        <v>1</v>
      </c>
      <c r="BY254" s="1047">
        <f t="shared" si="117"/>
        <v>0</v>
      </c>
      <c r="BZ254" s="1047">
        <f t="shared" si="118"/>
        <v>0.5</v>
      </c>
      <c r="CA254" s="1047">
        <f t="shared" si="119"/>
        <v>1</v>
      </c>
      <c r="CB254" s="1047">
        <f t="shared" si="120"/>
        <v>0</v>
      </c>
      <c r="CD254" t="str">
        <f t="shared" si="121"/>
        <v>ROB</v>
      </c>
      <c r="CE254" t="str">
        <f t="shared" si="121"/>
        <v>AMB</v>
      </c>
      <c r="CF254" t="str">
        <f t="shared" si="121"/>
        <v>VE</v>
      </c>
      <c r="CG254" t="str">
        <f t="shared" si="121"/>
        <v>ROB</v>
      </c>
    </row>
    <row r="255" spans="1:85" ht="99" customHeight="1" x14ac:dyDescent="0.3">
      <c r="A255" s="298" t="s">
        <v>491</v>
      </c>
      <c r="B255" s="299" t="str">
        <f>'PLAN INDICATIVO'!B255</f>
        <v>Atención a grupos vulnerables - promoción social</v>
      </c>
      <c r="C255" s="1547"/>
      <c r="D255" s="1551"/>
      <c r="E255" s="1551"/>
      <c r="F255" s="1551"/>
      <c r="G255" s="1551"/>
      <c r="H255" s="1551"/>
      <c r="I255" s="300">
        <f>'PLAN INDICATIVO'!I255</f>
        <v>0</v>
      </c>
      <c r="J255" s="300">
        <f>'PLAN INDICATIVO'!J255</f>
        <v>0</v>
      </c>
      <c r="K255" s="1425" t="str">
        <f>'PLAN INDICATIVO'!K255</f>
        <v>A.14.6.14</v>
      </c>
      <c r="L255" s="301" t="str">
        <f>'PLAN INDICATIVO'!L255</f>
        <v>10. Reducción de las desigualdades</v>
      </c>
      <c r="M255" s="301" t="str">
        <f>'PLAN INDICATIVO'!M255</f>
        <v>Secretaría de Gobierno</v>
      </c>
      <c r="N255" s="1513" t="s">
        <v>5126</v>
      </c>
      <c r="O255" s="1425" t="str">
        <f>'PLAN INDICATIVO'!O255</f>
        <v>Mantenimiento</v>
      </c>
      <c r="P255" s="16" t="str">
        <f>'PLAN INDICATIVO'!P255</f>
        <v xml:space="preserve">Ejecutar 1 plan de auxilio funerario a la población víctima del conflicto armado cada año </v>
      </c>
      <c r="Q255" s="302" t="str">
        <f>'PLAN INDICATIVO'!Q255</f>
        <v>No. de planes implementados por año</v>
      </c>
      <c r="R255" s="303">
        <f>'PLAN INDICATIVO'!R255</f>
        <v>2015</v>
      </c>
      <c r="S255" s="304">
        <v>1</v>
      </c>
      <c r="T255" s="699">
        <v>1</v>
      </c>
      <c r="U255" s="303">
        <v>1</v>
      </c>
      <c r="V255" s="687">
        <v>2000000</v>
      </c>
      <c r="W255" s="303">
        <v>1</v>
      </c>
      <c r="X255" s="687">
        <v>2000000</v>
      </c>
      <c r="Y255" s="286">
        <v>1</v>
      </c>
      <c r="Z255" s="1233">
        <v>2000000</v>
      </c>
      <c r="AA255" s="291">
        <v>1</v>
      </c>
      <c r="AB255" s="686">
        <v>5000000</v>
      </c>
      <c r="AC255" s="669"/>
      <c r="AD255" s="669">
        <v>6</v>
      </c>
      <c r="AE255" s="669">
        <v>1</v>
      </c>
      <c r="AF255" s="669">
        <v>1</v>
      </c>
      <c r="AG255" s="341" t="s">
        <v>5148</v>
      </c>
      <c r="AH255" s="987">
        <v>2019413960024</v>
      </c>
      <c r="AI255" s="1490" t="s">
        <v>5002</v>
      </c>
      <c r="AJ255" s="309">
        <v>43497</v>
      </c>
      <c r="AK255" s="363">
        <v>43799</v>
      </c>
      <c r="AL255" s="358"/>
      <c r="AM255" s="358"/>
      <c r="AN255" s="267" t="s">
        <v>2598</v>
      </c>
      <c r="AO255" s="512"/>
      <c r="AP255" s="528"/>
      <c r="AQ255" s="472"/>
      <c r="AR255" s="472"/>
      <c r="AS255" s="472"/>
      <c r="AT255" s="472"/>
      <c r="AU255" s="472"/>
      <c r="AV255" s="472"/>
      <c r="AW255" s="544"/>
      <c r="AX255" s="528"/>
      <c r="AY255" s="472"/>
      <c r="AZ255" s="472"/>
      <c r="BA255" s="472"/>
      <c r="BB255" s="472"/>
      <c r="BC255" s="472"/>
      <c r="BD255" s="472"/>
      <c r="BE255" s="544"/>
      <c r="BF255" s="528"/>
      <c r="BG255" s="472"/>
      <c r="BH255" s="472"/>
      <c r="BI255" s="472"/>
      <c r="BJ255" s="472"/>
      <c r="BK255" s="472"/>
      <c r="BL255" s="472"/>
      <c r="BM255" s="544">
        <f t="shared" si="105"/>
        <v>0</v>
      </c>
      <c r="BN255" s="472"/>
      <c r="BO255" s="472"/>
      <c r="BP255" s="472"/>
      <c r="BQ255" s="472"/>
      <c r="BR255" s="472"/>
      <c r="BS255" s="472"/>
      <c r="BT255" s="472"/>
      <c r="BU255" s="544"/>
      <c r="BV255" s="556"/>
      <c r="BW255" s="663">
        <f t="shared" si="98"/>
        <v>8</v>
      </c>
      <c r="BX255" s="1047">
        <f t="shared" si="99"/>
        <v>8</v>
      </c>
      <c r="BY255" s="1047">
        <f t="shared" si="117"/>
        <v>0</v>
      </c>
      <c r="BZ255" s="1047">
        <f t="shared" si="118"/>
        <v>6</v>
      </c>
      <c r="CA255" s="1047">
        <f t="shared" si="119"/>
        <v>1</v>
      </c>
      <c r="CB255" s="1047">
        <f t="shared" si="120"/>
        <v>1</v>
      </c>
      <c r="CD255" t="str">
        <f t="shared" si="121"/>
        <v>ROB</v>
      </c>
      <c r="CE255" t="str">
        <f t="shared" si="121"/>
        <v>VE</v>
      </c>
      <c r="CF255" t="str">
        <f t="shared" si="121"/>
        <v>VE</v>
      </c>
      <c r="CG255" t="str">
        <f t="shared" si="121"/>
        <v>VE</v>
      </c>
    </row>
    <row r="256" spans="1:85" ht="84.75" customHeight="1" x14ac:dyDescent="0.3">
      <c r="A256" s="298" t="s">
        <v>491</v>
      </c>
      <c r="B256" s="299" t="str">
        <f>'PLAN INDICATIVO'!B256</f>
        <v>Atención a grupos vulnerables - promoción social</v>
      </c>
      <c r="C256" s="1547"/>
      <c r="D256" s="1551"/>
      <c r="E256" s="1551"/>
      <c r="F256" s="1551"/>
      <c r="G256" s="1551"/>
      <c r="H256" s="1551"/>
      <c r="I256" s="300">
        <f>'PLAN INDICATIVO'!I256</f>
        <v>0</v>
      </c>
      <c r="J256" s="300">
        <f>'PLAN INDICATIVO'!J256</f>
        <v>0</v>
      </c>
      <c r="K256" s="1425" t="str">
        <f>'PLAN INDICATIVO'!K256</f>
        <v>A.14.6.15</v>
      </c>
      <c r="L256" s="301" t="str">
        <f>'PLAN INDICATIVO'!L256</f>
        <v>10. Reducción de las desigualdades</v>
      </c>
      <c r="M256" s="301" t="str">
        <f>'PLAN INDICATIVO'!M256</f>
        <v>Secretaría de Gobierno</v>
      </c>
      <c r="N256" s="1513" t="s">
        <v>5126</v>
      </c>
      <c r="O256" s="1425" t="str">
        <f>'PLAN INDICATIVO'!O256</f>
        <v>Mantenimiento</v>
      </c>
      <c r="P256" s="16" t="str">
        <f>'PLAN INDICATIVO'!P256</f>
        <v>Ejecutar 1 programa de atención en ayuda humanitaria de inmediatez a la población víctima del conflicto armado cada año</v>
      </c>
      <c r="Q256" s="302" t="str">
        <f>'PLAN INDICATIVO'!Q256</f>
        <v>No. de programas implementados  por año</v>
      </c>
      <c r="R256" s="303">
        <f>'PLAN INDICATIVO'!R256</f>
        <v>2015</v>
      </c>
      <c r="S256" s="304">
        <v>1</v>
      </c>
      <c r="T256" s="699">
        <v>1</v>
      </c>
      <c r="U256" s="934">
        <v>0.25</v>
      </c>
      <c r="V256" s="687">
        <v>5000000</v>
      </c>
      <c r="W256" s="934">
        <v>0.25</v>
      </c>
      <c r="X256" s="687">
        <v>5000000</v>
      </c>
      <c r="Y256" s="1238">
        <v>0.25</v>
      </c>
      <c r="Z256" s="1233">
        <v>5000000</v>
      </c>
      <c r="AA256" s="1311">
        <v>1</v>
      </c>
      <c r="AB256" s="686">
        <v>10000000</v>
      </c>
      <c r="AC256" s="669"/>
      <c r="AD256" s="669">
        <v>0.25</v>
      </c>
      <c r="AE256" s="669">
        <v>0.25</v>
      </c>
      <c r="AF256" s="669">
        <v>0.25</v>
      </c>
      <c r="AG256" s="341" t="s">
        <v>5148</v>
      </c>
      <c r="AH256" s="987">
        <v>2019413960024</v>
      </c>
      <c r="AI256" s="355" t="s">
        <v>4878</v>
      </c>
      <c r="AJ256" s="309">
        <v>43497</v>
      </c>
      <c r="AK256" s="363">
        <v>43814</v>
      </c>
      <c r="AL256" s="358"/>
      <c r="AM256" s="358"/>
      <c r="AN256" s="267" t="s">
        <v>2604</v>
      </c>
      <c r="AO256" s="512"/>
      <c r="AP256" s="528"/>
      <c r="AQ256" s="472"/>
      <c r="AR256" s="472"/>
      <c r="AS256" s="472"/>
      <c r="AT256" s="472"/>
      <c r="AU256" s="472"/>
      <c r="AV256" s="472"/>
      <c r="AW256" s="544"/>
      <c r="AX256" s="528"/>
      <c r="AY256" s="472"/>
      <c r="AZ256" s="472"/>
      <c r="BA256" s="472"/>
      <c r="BB256" s="472"/>
      <c r="BC256" s="472"/>
      <c r="BD256" s="472"/>
      <c r="BE256" s="544"/>
      <c r="BF256" s="528"/>
      <c r="BG256" s="472"/>
      <c r="BH256" s="472"/>
      <c r="BI256" s="472"/>
      <c r="BJ256" s="472"/>
      <c r="BK256" s="472"/>
      <c r="BL256" s="472"/>
      <c r="BM256" s="544">
        <f t="shared" si="105"/>
        <v>0</v>
      </c>
      <c r="BN256" s="472"/>
      <c r="BO256" s="472"/>
      <c r="BP256" s="472"/>
      <c r="BQ256" s="472"/>
      <c r="BR256" s="472"/>
      <c r="BS256" s="472"/>
      <c r="BT256" s="472"/>
      <c r="BU256" s="544"/>
      <c r="BV256" s="556"/>
      <c r="BW256" s="663">
        <f t="shared" si="98"/>
        <v>0.75</v>
      </c>
      <c r="BX256" s="1047">
        <f t="shared" si="99"/>
        <v>0.75</v>
      </c>
      <c r="BY256" s="1047">
        <f t="shared" si="117"/>
        <v>0</v>
      </c>
      <c r="BZ256" s="1047">
        <f t="shared" si="118"/>
        <v>1</v>
      </c>
      <c r="CA256" s="1047">
        <f t="shared" si="119"/>
        <v>1</v>
      </c>
      <c r="CB256" s="1047">
        <f t="shared" si="120"/>
        <v>0.25</v>
      </c>
      <c r="CD256" t="str">
        <f t="shared" si="121"/>
        <v>ROB</v>
      </c>
      <c r="CE256" t="str">
        <f t="shared" si="121"/>
        <v>VE</v>
      </c>
      <c r="CF256" t="str">
        <f t="shared" si="121"/>
        <v>VE</v>
      </c>
      <c r="CG256" t="str">
        <f t="shared" si="121"/>
        <v>RO</v>
      </c>
    </row>
    <row r="257" spans="1:85" ht="86.25" customHeight="1" x14ac:dyDescent="0.3">
      <c r="A257" s="298" t="s">
        <v>491</v>
      </c>
      <c r="B257" s="299" t="str">
        <f>'PLAN INDICATIVO'!B257</f>
        <v>Atención a grupos vulnerables - promoción social</v>
      </c>
      <c r="C257" s="1547"/>
      <c r="D257" s="1551"/>
      <c r="E257" s="1551"/>
      <c r="F257" s="1551"/>
      <c r="G257" s="1551"/>
      <c r="H257" s="1551"/>
      <c r="I257" s="300">
        <f>'PLAN INDICATIVO'!I257</f>
        <v>0</v>
      </c>
      <c r="J257" s="300">
        <f>'PLAN INDICATIVO'!J257</f>
        <v>0</v>
      </c>
      <c r="K257" s="1425" t="str">
        <f>'PLAN INDICATIVO'!K257</f>
        <v>A.14.6.16</v>
      </c>
      <c r="L257" s="301" t="str">
        <f>'PLAN INDICATIVO'!L257</f>
        <v>10. Reducción de las desigualdades</v>
      </c>
      <c r="M257" s="301" t="str">
        <f>'PLAN INDICATIVO'!M257</f>
        <v>Secretaría de Gobierno</v>
      </c>
      <c r="N257" s="1513" t="s">
        <v>5126</v>
      </c>
      <c r="O257" s="1425" t="str">
        <f>'PLAN INDICATIVO'!O257</f>
        <v>Incremento</v>
      </c>
      <c r="P257" s="16" t="str">
        <f>'PLAN INDICATIVO'!P257</f>
        <v xml:space="preserve">Realizar 4 jornadas de sensibilización para comunicar los derechos de la población víctima del conflicto armado, dirigidas a servidores públicos, instituciones educativas y comunidad en general del municipio, en el cuatrienio. </v>
      </c>
      <c r="Q257" s="302" t="str">
        <f>'PLAN INDICATIVO'!Q257</f>
        <v>No. de jornadas de sensibilización realizadas</v>
      </c>
      <c r="R257" s="303">
        <f>'PLAN INDICATIVO'!R257</f>
        <v>2015</v>
      </c>
      <c r="S257" s="304">
        <v>1</v>
      </c>
      <c r="T257" s="699">
        <v>4</v>
      </c>
      <c r="U257" s="303">
        <v>1</v>
      </c>
      <c r="V257" s="687">
        <v>5000000</v>
      </c>
      <c r="W257" s="303">
        <v>1</v>
      </c>
      <c r="X257" s="687">
        <v>500000</v>
      </c>
      <c r="Y257" s="286">
        <v>1</v>
      </c>
      <c r="Z257" s="1233">
        <v>500000</v>
      </c>
      <c r="AA257" s="291">
        <v>1</v>
      </c>
      <c r="AB257" s="686">
        <v>1500000</v>
      </c>
      <c r="AC257" s="669"/>
      <c r="AD257" s="669">
        <v>3</v>
      </c>
      <c r="AE257" s="669">
        <v>1</v>
      </c>
      <c r="AF257" s="669"/>
      <c r="AG257" s="341" t="s">
        <v>5148</v>
      </c>
      <c r="AH257" s="987">
        <v>2019413960024</v>
      </c>
      <c r="AI257" s="1335"/>
      <c r="AJ257" s="309"/>
      <c r="AK257" s="363"/>
      <c r="AL257" s="358"/>
      <c r="AM257" s="358"/>
      <c r="AN257" s="267" t="s">
        <v>2598</v>
      </c>
      <c r="AO257" s="512"/>
      <c r="AP257" s="528"/>
      <c r="AQ257" s="472"/>
      <c r="AR257" s="472"/>
      <c r="AS257" s="472"/>
      <c r="AT257" s="472"/>
      <c r="AU257" s="472"/>
      <c r="AV257" s="472"/>
      <c r="AW257" s="544"/>
      <c r="AX257" s="528"/>
      <c r="AY257" s="472"/>
      <c r="AZ257" s="472"/>
      <c r="BA257" s="472"/>
      <c r="BB257" s="472"/>
      <c r="BC257" s="472"/>
      <c r="BD257" s="472"/>
      <c r="BE257" s="544"/>
      <c r="BF257" s="528"/>
      <c r="BG257" s="472"/>
      <c r="BH257" s="472"/>
      <c r="BI257" s="472"/>
      <c r="BJ257" s="472"/>
      <c r="BK257" s="472"/>
      <c r="BL257" s="472"/>
      <c r="BM257" s="544">
        <f t="shared" si="105"/>
        <v>0</v>
      </c>
      <c r="BN257" s="472"/>
      <c r="BO257" s="472"/>
      <c r="BP257" s="472"/>
      <c r="BQ257" s="472"/>
      <c r="BR257" s="472"/>
      <c r="BS257" s="472"/>
      <c r="BT257" s="472"/>
      <c r="BU257" s="544"/>
      <c r="BV257" s="556"/>
      <c r="BW257" s="663">
        <f t="shared" si="98"/>
        <v>4</v>
      </c>
      <c r="BX257" s="1047">
        <f t="shared" si="99"/>
        <v>1</v>
      </c>
      <c r="BY257" s="1047">
        <f t="shared" si="117"/>
        <v>0</v>
      </c>
      <c r="BZ257" s="1047">
        <f t="shared" si="118"/>
        <v>3</v>
      </c>
      <c r="CA257" s="1047">
        <f t="shared" si="119"/>
        <v>1</v>
      </c>
      <c r="CB257" s="1047">
        <f t="shared" si="120"/>
        <v>0</v>
      </c>
      <c r="CD257" t="str">
        <f t="shared" si="121"/>
        <v>ROB</v>
      </c>
      <c r="CE257" t="str">
        <f t="shared" si="121"/>
        <v>VE</v>
      </c>
      <c r="CF257" t="str">
        <f t="shared" si="121"/>
        <v>VE</v>
      </c>
      <c r="CG257" t="str">
        <f t="shared" si="121"/>
        <v>ROB</v>
      </c>
    </row>
    <row r="258" spans="1:85" ht="69.75" customHeight="1" x14ac:dyDescent="0.3">
      <c r="A258" s="393" t="s">
        <v>491</v>
      </c>
      <c r="B258" s="394" t="str">
        <f>'PLAN INDICATIVO'!B258</f>
        <v>Atención a grupos vulnerables - promoción social</v>
      </c>
      <c r="C258" s="1547"/>
      <c r="D258" s="1551"/>
      <c r="E258" s="1551"/>
      <c r="F258" s="1551"/>
      <c r="G258" s="1551"/>
      <c r="H258" s="1551"/>
      <c r="I258" s="395">
        <f>'PLAN INDICATIVO'!I258</f>
        <v>0</v>
      </c>
      <c r="J258" s="395">
        <f>'PLAN INDICATIVO'!J258</f>
        <v>0</v>
      </c>
      <c r="K258" s="1426" t="str">
        <f>'PLAN INDICATIVO'!K258</f>
        <v>A.14.6.17</v>
      </c>
      <c r="L258" s="396" t="str">
        <f>'PLAN INDICATIVO'!L258</f>
        <v>10. Reducción de las desigualdades</v>
      </c>
      <c r="M258" s="396" t="str">
        <f>'PLAN INDICATIVO'!M258</f>
        <v>Secretaría de Gobierno</v>
      </c>
      <c r="N258" s="1513" t="s">
        <v>5126</v>
      </c>
      <c r="O258" s="1426" t="str">
        <f>'PLAN INDICATIVO'!O258</f>
        <v>Incremento</v>
      </c>
      <c r="P258" s="70" t="str">
        <f>'PLAN INDICATIVO'!P258</f>
        <v>Apoyar 1 proceso de reintegración comunitaria (MAMBRÚ) en el municipio de la Plata, liderado por la Agencia Colombiana Para La Reintegración, durante el cuatrienio</v>
      </c>
      <c r="Q258" s="350" t="str">
        <f>'PLAN INDICATIVO'!Q258</f>
        <v>No. de apoyos a procesos de reintegración realizados</v>
      </c>
      <c r="R258" s="397">
        <f>'PLAN INDICATIVO'!R258</f>
        <v>2015</v>
      </c>
      <c r="S258" s="1433">
        <v>0</v>
      </c>
      <c r="T258" s="699">
        <v>1</v>
      </c>
      <c r="U258" s="303">
        <v>0</v>
      </c>
      <c r="V258" s="687">
        <v>1000000</v>
      </c>
      <c r="W258" s="303">
        <v>0</v>
      </c>
      <c r="X258" s="687">
        <v>1000000</v>
      </c>
      <c r="Y258" s="286"/>
      <c r="Z258" s="1233"/>
      <c r="AA258" s="291"/>
      <c r="AB258" s="686">
        <v>5000000</v>
      </c>
      <c r="AC258" s="671"/>
      <c r="AD258" s="671"/>
      <c r="AE258" s="671">
        <v>1</v>
      </c>
      <c r="AF258" s="671"/>
      <c r="AG258" s="341" t="s">
        <v>5148</v>
      </c>
      <c r="AH258" s="987">
        <v>2019413960024</v>
      </c>
      <c r="AI258" s="399"/>
      <c r="AJ258" s="309"/>
      <c r="AK258" s="363"/>
      <c r="AL258" s="358"/>
      <c r="AM258" s="358"/>
      <c r="AN258" s="267" t="s">
        <v>2594</v>
      </c>
      <c r="AO258" s="512"/>
      <c r="AP258" s="525"/>
      <c r="AQ258" s="310"/>
      <c r="AR258" s="310"/>
      <c r="AS258" s="310"/>
      <c r="AT258" s="310"/>
      <c r="AU258" s="310"/>
      <c r="AV258" s="310"/>
      <c r="AW258" s="544"/>
      <c r="AX258" s="525"/>
      <c r="AY258" s="310"/>
      <c r="AZ258" s="310"/>
      <c r="BA258" s="310"/>
      <c r="BB258" s="310"/>
      <c r="BC258" s="310"/>
      <c r="BD258" s="310"/>
      <c r="BE258" s="544"/>
      <c r="BF258" s="525"/>
      <c r="BG258" s="310"/>
      <c r="BH258" s="310"/>
      <c r="BI258" s="310"/>
      <c r="BJ258" s="310"/>
      <c r="BK258" s="310"/>
      <c r="BL258" s="310"/>
      <c r="BM258" s="544">
        <f t="shared" si="105"/>
        <v>0</v>
      </c>
      <c r="BN258" s="472"/>
      <c r="BO258" s="472"/>
      <c r="BP258" s="472"/>
      <c r="BQ258" s="472"/>
      <c r="BR258" s="472"/>
      <c r="BS258" s="472"/>
      <c r="BT258" s="472"/>
      <c r="BU258" s="544"/>
      <c r="BV258" s="556"/>
      <c r="BW258" s="663">
        <f t="shared" si="98"/>
        <v>1</v>
      </c>
      <c r="BX258" s="1047">
        <f t="shared" si="99"/>
        <v>1</v>
      </c>
      <c r="BY258" s="1047" t="str">
        <f t="shared" si="117"/>
        <v>Aplazada</v>
      </c>
      <c r="BZ258" s="1047" t="str">
        <f t="shared" si="118"/>
        <v>Aplazada</v>
      </c>
      <c r="CA258" s="1047" t="str">
        <f t="shared" si="119"/>
        <v>No Programada</v>
      </c>
      <c r="CB258" s="1047" t="str">
        <f t="shared" si="120"/>
        <v>No Programada</v>
      </c>
      <c r="CD258" t="str">
        <f t="shared" si="121"/>
        <v>AZ</v>
      </c>
      <c r="CE258" t="str">
        <f t="shared" si="121"/>
        <v>AZ</v>
      </c>
      <c r="CF258" t="str">
        <f t="shared" si="121"/>
        <v>NP</v>
      </c>
      <c r="CG258" t="str">
        <f t="shared" si="121"/>
        <v>NP</v>
      </c>
    </row>
    <row r="259" spans="1:85" ht="19.5" hidden="1" customHeight="1" thickBot="1" x14ac:dyDescent="0.3">
      <c r="A259" s="1757" t="str">
        <f>'PLAN INDICATIVO'!A259:N259</f>
        <v>DIMENSIÓN ECONOMICA</v>
      </c>
      <c r="B259" s="1757"/>
      <c r="C259" s="1757"/>
      <c r="D259" s="1757"/>
      <c r="E259" s="1757"/>
      <c r="F259" s="1757"/>
      <c r="G259" s="1757"/>
      <c r="H259" s="1757"/>
      <c r="I259" s="1757"/>
      <c r="J259" s="1757"/>
      <c r="K259" s="1757"/>
      <c r="L259" s="1757"/>
      <c r="M259" s="1757"/>
      <c r="N259" s="1758"/>
      <c r="O259" s="415">
        <f>'PLAN INDICATIVO'!O259</f>
        <v>0</v>
      </c>
      <c r="P259" s="416">
        <f>'PLAN INDICATIVO'!P259</f>
        <v>0</v>
      </c>
      <c r="Q259" s="416">
        <f>'PLAN INDICATIVO'!Q259</f>
        <v>0</v>
      </c>
      <c r="R259" s="397">
        <f>'PLAN INDICATIVO'!R259</f>
        <v>0</v>
      </c>
      <c r="S259" s="762"/>
      <c r="T259" s="762"/>
      <c r="U259" s="762"/>
      <c r="V259" s="762"/>
      <c r="W259" s="762"/>
      <c r="X259" s="762"/>
      <c r="Y259" s="762"/>
      <c r="Z259" s="762"/>
      <c r="AA259" s="762"/>
      <c r="AB259" s="762"/>
      <c r="AC259" s="762"/>
      <c r="AD259" s="762"/>
      <c r="AE259" s="762"/>
      <c r="AF259" s="762"/>
      <c r="AG259" s="762"/>
      <c r="AH259" s="984"/>
      <c r="AI259" s="454"/>
      <c r="AJ259" s="322"/>
      <c r="AK259" s="292"/>
      <c r="AL259" s="292"/>
      <c r="AM259" s="292"/>
      <c r="AN259" s="292"/>
      <c r="AO259" s="504"/>
      <c r="AP259" s="632"/>
      <c r="AQ259" s="633"/>
      <c r="AR259" s="633"/>
      <c r="AS259" s="633"/>
      <c r="AT259" s="633"/>
      <c r="AU259" s="633"/>
      <c r="AV259" s="633"/>
      <c r="AW259" s="555"/>
      <c r="AX259" s="632"/>
      <c r="AY259" s="633"/>
      <c r="AZ259" s="633"/>
      <c r="BA259" s="633"/>
      <c r="BB259" s="633"/>
      <c r="BC259" s="633"/>
      <c r="BD259" s="633"/>
      <c r="BE259" s="555"/>
      <c r="BF259" s="632"/>
      <c r="BG259" s="633"/>
      <c r="BH259" s="633"/>
      <c r="BI259" s="633"/>
      <c r="BJ259" s="633"/>
      <c r="BK259" s="633"/>
      <c r="BL259" s="633"/>
      <c r="BM259" s="555">
        <f t="shared" si="105"/>
        <v>0</v>
      </c>
      <c r="BN259" s="632"/>
      <c r="BO259" s="633"/>
      <c r="BP259" s="633"/>
      <c r="BQ259" s="633"/>
      <c r="BR259" s="633"/>
      <c r="BS259" s="633"/>
      <c r="BT259" s="633"/>
      <c r="BU259" s="555"/>
      <c r="BV259" s="556"/>
      <c r="BW259" s="555" t="s">
        <v>2717</v>
      </c>
      <c r="BX259" s="555" t="s">
        <v>2717</v>
      </c>
      <c r="BY259" s="555" t="s">
        <v>2717</v>
      </c>
      <c r="BZ259" s="555" t="s">
        <v>2717</v>
      </c>
      <c r="CA259" s="555" t="s">
        <v>2717</v>
      </c>
      <c r="CB259" s="1047" t="s">
        <v>2717</v>
      </c>
    </row>
    <row r="260" spans="1:85" ht="19.5" customHeight="1" x14ac:dyDescent="0.3">
      <c r="A260" s="423"/>
      <c r="B260" s="293" t="str">
        <f>'PLAN INDICATIVO'!B260</f>
        <v>Promoción del desarrollo</v>
      </c>
      <c r="C260" s="1595" t="s">
        <v>2863</v>
      </c>
      <c r="D260" s="1596"/>
      <c r="E260" s="1596"/>
      <c r="F260" s="1596"/>
      <c r="G260" s="1596"/>
      <c r="H260" s="1596"/>
      <c r="I260" s="1596"/>
      <c r="J260" s="1596"/>
      <c r="K260" s="1596"/>
      <c r="L260" s="1596"/>
      <c r="M260" s="1596"/>
      <c r="N260" s="1596"/>
      <c r="O260" s="1596"/>
      <c r="P260" s="1596"/>
      <c r="Q260" s="1596"/>
      <c r="R260" s="1596"/>
      <c r="S260" s="1596"/>
      <c r="T260" s="1596"/>
      <c r="U260" s="1596"/>
      <c r="V260" s="1596"/>
      <c r="W260" s="1596"/>
      <c r="X260" s="1596"/>
      <c r="Y260" s="1596"/>
      <c r="Z260" s="1596"/>
      <c r="AA260" s="1596"/>
      <c r="AB260" s="1596"/>
      <c r="AC260" s="1596"/>
      <c r="AD260" s="1596"/>
      <c r="AE260" s="1596"/>
      <c r="AF260" s="1596"/>
      <c r="AG260" s="1596"/>
      <c r="AH260" s="1596"/>
      <c r="AI260" s="1596"/>
      <c r="AJ260" s="1596"/>
      <c r="AK260" s="1596"/>
      <c r="AL260" s="1596"/>
      <c r="AM260" s="1597"/>
      <c r="AN260" s="294"/>
      <c r="AO260" s="506"/>
      <c r="AP260" s="524"/>
      <c r="AQ260" s="374"/>
      <c r="AR260" s="374"/>
      <c r="AS260" s="374"/>
      <c r="AT260" s="374"/>
      <c r="AU260" s="374"/>
      <c r="AV260" s="374"/>
      <c r="AW260" s="544"/>
      <c r="AX260" s="524"/>
      <c r="AY260" s="374"/>
      <c r="AZ260" s="374"/>
      <c r="BA260" s="374"/>
      <c r="BB260" s="374"/>
      <c r="BC260" s="374"/>
      <c r="BD260" s="374"/>
      <c r="BE260" s="544"/>
      <c r="BF260" s="541"/>
      <c r="BG260" s="542"/>
      <c r="BH260" s="542"/>
      <c r="BI260" s="542"/>
      <c r="BJ260" s="542"/>
      <c r="BK260" s="542"/>
      <c r="BL260" s="542"/>
      <c r="BM260" s="543">
        <f t="shared" si="105"/>
        <v>0</v>
      </c>
      <c r="BN260" s="541"/>
      <c r="BO260" s="542"/>
      <c r="BP260" s="542"/>
      <c r="BQ260" s="542"/>
      <c r="BR260" s="542"/>
      <c r="BS260" s="542"/>
      <c r="BT260" s="542"/>
      <c r="BU260" s="543"/>
      <c r="BV260" s="620"/>
      <c r="BW260" s="876" t="s">
        <v>2717</v>
      </c>
      <c r="BX260" s="876" t="s">
        <v>2717</v>
      </c>
      <c r="BY260" s="876" t="s">
        <v>2717</v>
      </c>
      <c r="BZ260" s="876" t="s">
        <v>2717</v>
      </c>
      <c r="CA260" s="876" t="s">
        <v>2717</v>
      </c>
      <c r="CB260" s="1047" t="s">
        <v>2717</v>
      </c>
    </row>
    <row r="261" spans="1:85" ht="31.5" customHeight="1" x14ac:dyDescent="0.3">
      <c r="A261" s="296"/>
      <c r="B261" s="24" t="str">
        <f>'PLAN INDICATIVO'!B261</f>
        <v>Promoción del desarrollo</v>
      </c>
      <c r="C261" s="1574" t="s">
        <v>799</v>
      </c>
      <c r="D261" s="1575"/>
      <c r="E261" s="1575"/>
      <c r="F261" s="1575"/>
      <c r="G261" s="1575"/>
      <c r="H261" s="1575"/>
      <c r="I261" s="1575"/>
      <c r="J261" s="1575"/>
      <c r="K261" s="1575"/>
      <c r="L261" s="1575"/>
      <c r="M261" s="1575"/>
      <c r="N261" s="1575"/>
      <c r="O261" s="1576"/>
      <c r="P261" s="22"/>
      <c r="Q261" s="22"/>
      <c r="R261" s="1"/>
      <c r="S261" s="261"/>
      <c r="T261" s="681"/>
      <c r="U261" s="261"/>
      <c r="V261" s="689">
        <f>SUM(V262:V272)</f>
        <v>45000000</v>
      </c>
      <c r="W261" s="261"/>
      <c r="X261" s="689">
        <f>SUM(X262:X272)</f>
        <v>59000000</v>
      </c>
      <c r="Y261" s="261"/>
      <c r="Z261" s="689">
        <f>SUM(Z262:Z272)</f>
        <v>40000000</v>
      </c>
      <c r="AA261" s="262"/>
      <c r="AB261" s="690">
        <f>SUM(AB262:AB271)+AB289</f>
        <v>45000000</v>
      </c>
      <c r="AC261" s="262"/>
      <c r="AD261" s="262"/>
      <c r="AE261" s="262"/>
      <c r="AF261" s="262"/>
      <c r="AG261" s="263"/>
      <c r="AH261" s="263"/>
      <c r="AI261" s="263"/>
      <c r="AJ261" s="262"/>
      <c r="AK261" s="262"/>
      <c r="AL261" s="262"/>
      <c r="AM261" s="262"/>
      <c r="AN261" s="262"/>
      <c r="AO261" s="612"/>
      <c r="AP261" s="616"/>
      <c r="AQ261" s="616"/>
      <c r="AR261" s="616"/>
      <c r="AS261" s="616"/>
      <c r="AT261" s="616"/>
      <c r="AU261" s="616"/>
      <c r="AV261" s="616"/>
      <c r="AW261" s="617"/>
      <c r="AX261" s="616"/>
      <c r="AY261" s="616"/>
      <c r="AZ261" s="616"/>
      <c r="BA261" s="616"/>
      <c r="BB261" s="616"/>
      <c r="BC261" s="616"/>
      <c r="BD261" s="616"/>
      <c r="BE261" s="617"/>
      <c r="BF261" s="616"/>
      <c r="BG261" s="616"/>
      <c r="BH261" s="616"/>
      <c r="BI261" s="616"/>
      <c r="BJ261" s="616"/>
      <c r="BK261" s="616"/>
      <c r="BL261" s="616"/>
      <c r="BM261" s="617">
        <f t="shared" si="105"/>
        <v>0</v>
      </c>
      <c r="BN261" s="616"/>
      <c r="BO261" s="616"/>
      <c r="BP261" s="616"/>
      <c r="BQ261" s="616"/>
      <c r="BR261" s="616"/>
      <c r="BS261" s="616"/>
      <c r="BT261" s="616"/>
      <c r="BU261" s="617"/>
      <c r="BV261" s="556"/>
      <c r="BW261" s="617" t="s">
        <v>2717</v>
      </c>
      <c r="BX261" s="617" t="s">
        <v>2717</v>
      </c>
      <c r="BY261" s="617" t="s">
        <v>2717</v>
      </c>
      <c r="BZ261" s="617" t="s">
        <v>2717</v>
      </c>
      <c r="CA261" s="617" t="s">
        <v>2717</v>
      </c>
      <c r="CB261" s="1047" t="s">
        <v>2717</v>
      </c>
    </row>
    <row r="262" spans="1:85" ht="87.75" hidden="1" customHeight="1" x14ac:dyDescent="0.25">
      <c r="A262" s="298" t="s">
        <v>800</v>
      </c>
      <c r="B262" s="299" t="str">
        <f>'PLAN INDICATIVO'!B262</f>
        <v>Desarrollo Económico/Promoción del desarrollo</v>
      </c>
      <c r="C262" s="1546" t="s">
        <v>802</v>
      </c>
      <c r="D262" s="1549" t="s">
        <v>803</v>
      </c>
      <c r="E262" s="1549" t="s">
        <v>804</v>
      </c>
      <c r="F262" s="1549">
        <v>2015</v>
      </c>
      <c r="G262" s="1549">
        <v>696</v>
      </c>
      <c r="H262" s="1549">
        <v>800</v>
      </c>
      <c r="I262" s="300">
        <f>'PLAN INDICATIVO'!I262</f>
        <v>0</v>
      </c>
      <c r="J262" s="300">
        <f>'PLAN INDICATIVO'!J262</f>
        <v>0</v>
      </c>
      <c r="K262" s="1425" t="str">
        <f>'PLAN INDICATIVO'!K262</f>
        <v>A.13.1.1</v>
      </c>
      <c r="L262" s="301" t="str">
        <f>'PLAN INDICATIVO'!L262</f>
        <v>8. Trabajo decente y crecimiento económico</v>
      </c>
      <c r="M262" s="301" t="str">
        <f>'PLAN INDICATIVO'!M262</f>
        <v>Secretaría de Gobierno</v>
      </c>
      <c r="N262" s="1513" t="s">
        <v>5126</v>
      </c>
      <c r="O262" s="1425" t="str">
        <f>'PLAN INDICATIVO'!O262</f>
        <v>Incremento</v>
      </c>
      <c r="P262" s="16" t="str">
        <f>'PLAN INDICATIVO'!P262</f>
        <v>Implementar 1 Plan local de productividad y competitividad durante el cuatrienio</v>
      </c>
      <c r="Q262" s="302" t="str">
        <f>'PLAN INDICATIVO'!Q262</f>
        <v>No. De Planes implementados</v>
      </c>
      <c r="R262" s="303">
        <f>'PLAN INDICATIVO'!R262</f>
        <v>2015</v>
      </c>
      <c r="S262" s="304">
        <v>0</v>
      </c>
      <c r="T262" s="498">
        <v>1</v>
      </c>
      <c r="U262" s="303">
        <v>0</v>
      </c>
      <c r="V262" s="687">
        <v>5000000</v>
      </c>
      <c r="W262" s="572">
        <v>1</v>
      </c>
      <c r="X262" s="687">
        <v>16000000</v>
      </c>
      <c r="Y262" s="1232"/>
      <c r="Z262" s="687"/>
      <c r="AA262" s="1310">
        <v>0.3</v>
      </c>
      <c r="AB262" s="687"/>
      <c r="AC262" s="665"/>
      <c r="AD262" s="665">
        <v>0.7</v>
      </c>
      <c r="AE262" s="665"/>
      <c r="AF262" s="665"/>
      <c r="AG262" s="306" t="s">
        <v>5151</v>
      </c>
      <c r="AH262" s="987">
        <v>2019413960029</v>
      </c>
      <c r="AI262" s="986" t="s">
        <v>5003</v>
      </c>
      <c r="AJ262" s="309">
        <v>43497</v>
      </c>
      <c r="AK262" s="838">
        <v>43707</v>
      </c>
      <c r="AL262" s="308"/>
      <c r="AM262" s="308"/>
      <c r="AN262" s="267" t="s">
        <v>2594</v>
      </c>
      <c r="AO262" s="507"/>
      <c r="AP262" s="525"/>
      <c r="AQ262" s="310"/>
      <c r="AR262" s="310"/>
      <c r="AS262" s="310"/>
      <c r="AT262" s="310"/>
      <c r="AU262" s="310"/>
      <c r="AV262" s="310"/>
      <c r="AW262" s="544"/>
      <c r="AX262" s="525"/>
      <c r="AY262" s="310"/>
      <c r="AZ262" s="310"/>
      <c r="BA262" s="310"/>
      <c r="BB262" s="310"/>
      <c r="BC262" s="310"/>
      <c r="BD262" s="310"/>
      <c r="BE262" s="544"/>
      <c r="BF262" s="525"/>
      <c r="BG262" s="310"/>
      <c r="BH262" s="310"/>
      <c r="BI262" s="310"/>
      <c r="BJ262" s="310"/>
      <c r="BK262" s="310"/>
      <c r="BL262" s="310"/>
      <c r="BM262" s="544">
        <f t="shared" si="105"/>
        <v>0</v>
      </c>
      <c r="BN262" s="525"/>
      <c r="BO262" s="310"/>
      <c r="BP262" s="310"/>
      <c r="BQ262" s="310"/>
      <c r="BR262" s="310"/>
      <c r="BS262" s="310"/>
      <c r="BT262" s="310"/>
      <c r="BU262" s="544"/>
      <c r="BV262" s="556"/>
      <c r="BW262" s="663">
        <f t="shared" si="98"/>
        <v>0.7</v>
      </c>
      <c r="BX262" s="1047">
        <f t="shared" si="99"/>
        <v>0.7</v>
      </c>
      <c r="BY262" s="1047" t="str">
        <f t="shared" ref="BY262:BY272" si="122">IF(U262&gt;=0.1,AC262/U262,IF(ISBLANK(U262),"No Programada","Aplazada"))</f>
        <v>Aplazada</v>
      </c>
      <c r="BZ262" s="1047">
        <f t="shared" ref="BZ262:BZ272" si="123">IF(W262&gt;=0.1,AD262/W262,IF(ISBLANK(W262),"No Programada","Aplazada"))</f>
        <v>0.7</v>
      </c>
      <c r="CA262" s="1047" t="str">
        <f>IF(Y262&gt;=0.1,AE262/Y262,IF(ISBLANK(Y262),"No Programada","Aplazada"))</f>
        <v>No Programada</v>
      </c>
      <c r="CB262" s="1047">
        <f t="shared" ref="CB262:CB272" si="124">IF(AA262&gt;=0.1,AF262/AA262,IF(ISBLANK(AA262),"No Programada","Aplazada"))</f>
        <v>0</v>
      </c>
      <c r="CD262" t="str">
        <f t="shared" ref="CD262:CG272" si="125">IF(BY262="PARA MODIFICAR","M",IF(BY262="PARA ELIMINAR","E",IF(BY262="aplazada","AZ",IF(BY262="no programada","NP",IF(BY262&gt;=85%,"VE",IF(BY262&gt;70%,"VEB",IF(BY262&gt;60%,"AM",IF(BY262&gt;40%,"AMB",IF(BY262&gt;20%,"RO",IF(BY262&gt;=0%,"ROB",""))))))))))</f>
        <v>AZ</v>
      </c>
      <c r="CE262" t="str">
        <f t="shared" si="125"/>
        <v>AM</v>
      </c>
      <c r="CF262" t="str">
        <f t="shared" si="125"/>
        <v>NP</v>
      </c>
      <c r="CG262" t="str">
        <f t="shared" si="125"/>
        <v>ROB</v>
      </c>
    </row>
    <row r="263" spans="1:85" ht="113.25" customHeight="1" x14ac:dyDescent="0.3">
      <c r="A263" s="298" t="s">
        <v>800</v>
      </c>
      <c r="B263" s="299" t="str">
        <f>'PLAN INDICATIVO'!B263</f>
        <v>Desarrollo Económico/Promoción del desarrollo</v>
      </c>
      <c r="C263" s="1547"/>
      <c r="D263" s="1549"/>
      <c r="E263" s="1549"/>
      <c r="F263" s="1549"/>
      <c r="G263" s="1549"/>
      <c r="H263" s="1549"/>
      <c r="I263" s="300">
        <f>'PLAN INDICATIVO'!I263</f>
        <v>0</v>
      </c>
      <c r="J263" s="300">
        <f>'PLAN INDICATIVO'!J263</f>
        <v>0</v>
      </c>
      <c r="K263" s="1425" t="str">
        <f>'PLAN INDICATIVO'!K263</f>
        <v>A.13.1.2</v>
      </c>
      <c r="L263" s="301" t="str">
        <f>'PLAN INDICATIVO'!L263</f>
        <v>8. Trabajo decente y crecimiento económico</v>
      </c>
      <c r="M263" s="301" t="str">
        <f>'PLAN INDICATIVO'!M263</f>
        <v>Secretaría de Gobierno</v>
      </c>
      <c r="N263" s="1513" t="s">
        <v>5126</v>
      </c>
      <c r="O263" s="1425" t="str">
        <f>'PLAN INDICATIVO'!O263</f>
        <v>Incremento</v>
      </c>
      <c r="P263" s="16" t="str">
        <f>'PLAN INDICATIVO'!P263</f>
        <v xml:space="preserve">Lograr 1 proyecto de acuerdo aprobado para otorgar incentivos tributarios para la instalación de nuevas empresas durante el cuatrienio </v>
      </c>
      <c r="Q263" s="302" t="str">
        <f>'PLAN INDICATIVO'!Q263</f>
        <v xml:space="preserve">No. De Proyecto Logrados </v>
      </c>
      <c r="R263" s="303">
        <f>'PLAN INDICATIVO'!R263</f>
        <v>2015</v>
      </c>
      <c r="S263" s="304">
        <v>0</v>
      </c>
      <c r="T263" s="498">
        <v>1</v>
      </c>
      <c r="U263" s="303">
        <v>1</v>
      </c>
      <c r="V263" s="687">
        <v>500000</v>
      </c>
      <c r="W263" s="66">
        <v>0</v>
      </c>
      <c r="X263" s="687">
        <v>500000</v>
      </c>
      <c r="Y263" s="1232">
        <v>1</v>
      </c>
      <c r="Z263" s="687"/>
      <c r="AA263" s="1310">
        <v>0.7</v>
      </c>
      <c r="AB263" s="686">
        <v>6500000</v>
      </c>
      <c r="AC263" s="665"/>
      <c r="AD263" s="665"/>
      <c r="AE263" s="665">
        <v>0.3</v>
      </c>
      <c r="AF263" s="665"/>
      <c r="AG263" s="306" t="s">
        <v>5151</v>
      </c>
      <c r="AH263" s="987">
        <v>2019413960029</v>
      </c>
      <c r="AI263" s="307" t="s">
        <v>5004</v>
      </c>
      <c r="AJ263" s="309">
        <v>43497</v>
      </c>
      <c r="AK263" s="838">
        <v>43707</v>
      </c>
      <c r="AL263" s="308"/>
      <c r="AM263" s="308"/>
      <c r="AN263" s="267" t="s">
        <v>2604</v>
      </c>
      <c r="AO263" s="507"/>
      <c r="AP263" s="525"/>
      <c r="AQ263" s="310"/>
      <c r="AR263" s="310"/>
      <c r="AS263" s="310"/>
      <c r="AT263" s="310"/>
      <c r="AU263" s="310"/>
      <c r="AV263" s="310"/>
      <c r="AW263" s="544"/>
      <c r="AX263" s="525"/>
      <c r="AY263" s="310"/>
      <c r="AZ263" s="310"/>
      <c r="BA263" s="310"/>
      <c r="BB263" s="310"/>
      <c r="BC263" s="310"/>
      <c r="BD263" s="310"/>
      <c r="BE263" s="544"/>
      <c r="BF263" s="525"/>
      <c r="BG263" s="310"/>
      <c r="BH263" s="310"/>
      <c r="BI263" s="310"/>
      <c r="BJ263" s="310"/>
      <c r="BK263" s="310"/>
      <c r="BL263" s="310"/>
      <c r="BM263" s="544">
        <f t="shared" si="105"/>
        <v>0</v>
      </c>
      <c r="BN263" s="525"/>
      <c r="BO263" s="310"/>
      <c r="BP263" s="310"/>
      <c r="BQ263" s="310"/>
      <c r="BR263" s="310"/>
      <c r="BS263" s="310"/>
      <c r="BT263" s="310"/>
      <c r="BU263" s="544"/>
      <c r="BV263" s="556"/>
      <c r="BW263" s="663">
        <f t="shared" si="98"/>
        <v>0.3</v>
      </c>
      <c r="BX263" s="1047">
        <f t="shared" si="99"/>
        <v>0.3</v>
      </c>
      <c r="BY263" s="1047">
        <f t="shared" si="122"/>
        <v>0</v>
      </c>
      <c r="BZ263" s="1047" t="str">
        <f t="shared" si="123"/>
        <v>Aplazada</v>
      </c>
      <c r="CA263" s="1047">
        <f>IF(Y263&gt;=0.1,AE263/Y263,IF(ISBLANK(Y263),"No Programada","Aplazada"))</f>
        <v>0.3</v>
      </c>
      <c r="CB263" s="1047">
        <f t="shared" si="124"/>
        <v>0</v>
      </c>
      <c r="CD263" t="str">
        <f t="shared" si="125"/>
        <v>ROB</v>
      </c>
      <c r="CE263" t="str">
        <f t="shared" si="125"/>
        <v>AZ</v>
      </c>
      <c r="CF263" t="str">
        <f t="shared" si="125"/>
        <v>RO</v>
      </c>
      <c r="CG263" t="str">
        <f t="shared" si="125"/>
        <v>ROB</v>
      </c>
    </row>
    <row r="264" spans="1:85" ht="87" customHeight="1" x14ac:dyDescent="0.3">
      <c r="A264" s="298" t="s">
        <v>800</v>
      </c>
      <c r="B264" s="299" t="str">
        <f>'PLAN INDICATIVO'!B264</f>
        <v>Desarrollo Económico/Promoción del desarrollo</v>
      </c>
      <c r="C264" s="1547"/>
      <c r="D264" s="1549"/>
      <c r="E264" s="1549"/>
      <c r="F264" s="1549"/>
      <c r="G264" s="1549"/>
      <c r="H264" s="1549"/>
      <c r="I264" s="300">
        <f>'PLAN INDICATIVO'!I264</f>
        <v>0</v>
      </c>
      <c r="J264" s="300">
        <f>'PLAN INDICATIVO'!J264</f>
        <v>0</v>
      </c>
      <c r="K264" s="1425" t="str">
        <f>'PLAN INDICATIVO'!K264</f>
        <v>A.13.1.3</v>
      </c>
      <c r="L264" s="301" t="str">
        <f>'PLAN INDICATIVO'!L264</f>
        <v>8. Trabajo decente y crecimiento económico</v>
      </c>
      <c r="M264" s="301" t="str">
        <f>'PLAN INDICATIVO'!M264</f>
        <v>Secretaría de Gobierno</v>
      </c>
      <c r="N264" s="1513" t="s">
        <v>5126</v>
      </c>
      <c r="O264" s="1425" t="str">
        <f>'PLAN INDICATIVO'!O264</f>
        <v>Incremento</v>
      </c>
      <c r="P264" s="16" t="str">
        <f>'PLAN INDICATIVO'!P264</f>
        <v>Implementar 1 estrategia para el manejo de vendedores ambulantes durante  del cuatrienio</v>
      </c>
      <c r="Q264" s="302" t="str">
        <f>'PLAN INDICATIVO'!Q264</f>
        <v xml:space="preserve">No. De Estrategias implementada </v>
      </c>
      <c r="R264" s="303">
        <f>'PLAN INDICATIVO'!R264</f>
        <v>2015</v>
      </c>
      <c r="S264" s="304">
        <v>0</v>
      </c>
      <c r="T264" s="498">
        <v>1</v>
      </c>
      <c r="U264" s="303">
        <v>1</v>
      </c>
      <c r="V264" s="687">
        <v>10000000</v>
      </c>
      <c r="W264" s="66">
        <v>0</v>
      </c>
      <c r="X264" s="687">
        <v>10000000</v>
      </c>
      <c r="Y264" s="1232"/>
      <c r="Z264" s="687"/>
      <c r="AA264" s="1310">
        <v>1</v>
      </c>
      <c r="AB264" s="686">
        <v>650000</v>
      </c>
      <c r="AC264" s="665"/>
      <c r="AD264" s="665"/>
      <c r="AE264" s="665"/>
      <c r="AF264" s="665"/>
      <c r="AG264" s="306" t="s">
        <v>5151</v>
      </c>
      <c r="AH264" s="987">
        <v>2019413960029</v>
      </c>
      <c r="AI264" s="307" t="s">
        <v>5005</v>
      </c>
      <c r="AJ264" s="309">
        <v>43497</v>
      </c>
      <c r="AK264" s="838">
        <v>43768</v>
      </c>
      <c r="AL264" s="308"/>
      <c r="AM264" s="308"/>
      <c r="AN264" s="267" t="s">
        <v>2594</v>
      </c>
      <c r="AO264" s="507"/>
      <c r="AP264" s="525"/>
      <c r="AQ264" s="310"/>
      <c r="AR264" s="310"/>
      <c r="AS264" s="310"/>
      <c r="AT264" s="310"/>
      <c r="AU264" s="310"/>
      <c r="AV264" s="310"/>
      <c r="AW264" s="544"/>
      <c r="AX264" s="525"/>
      <c r="AY264" s="310"/>
      <c r="AZ264" s="310"/>
      <c r="BA264" s="310"/>
      <c r="BB264" s="310"/>
      <c r="BC264" s="310"/>
      <c r="BD264" s="310"/>
      <c r="BE264" s="544"/>
      <c r="BF264" s="525"/>
      <c r="BG264" s="310"/>
      <c r="BH264" s="310"/>
      <c r="BI264" s="310"/>
      <c r="BJ264" s="310"/>
      <c r="BK264" s="310"/>
      <c r="BL264" s="310"/>
      <c r="BM264" s="544">
        <f t="shared" si="105"/>
        <v>0</v>
      </c>
      <c r="BN264" s="525"/>
      <c r="BO264" s="310"/>
      <c r="BP264" s="310"/>
      <c r="BQ264" s="310"/>
      <c r="BR264" s="310"/>
      <c r="BS264" s="310"/>
      <c r="BT264" s="310"/>
      <c r="BU264" s="544"/>
      <c r="BV264" s="556"/>
      <c r="BW264" s="663">
        <f t="shared" si="98"/>
        <v>0</v>
      </c>
      <c r="BX264" s="1047">
        <f t="shared" si="99"/>
        <v>0</v>
      </c>
      <c r="BY264" s="1047">
        <f t="shared" si="122"/>
        <v>0</v>
      </c>
      <c r="BZ264" s="1047" t="str">
        <f t="shared" si="123"/>
        <v>Aplazada</v>
      </c>
      <c r="CA264" s="1047" t="str">
        <f>IF(Y264&gt;=0.1,AE264/Y264,IF(ISBLANK(Y264),"No Programada","Aplazada"))</f>
        <v>No Programada</v>
      </c>
      <c r="CB264" s="1047">
        <f t="shared" si="124"/>
        <v>0</v>
      </c>
      <c r="CD264" t="str">
        <f t="shared" si="125"/>
        <v>ROB</v>
      </c>
      <c r="CE264" t="str">
        <f t="shared" si="125"/>
        <v>AZ</v>
      </c>
      <c r="CF264" t="str">
        <f t="shared" si="125"/>
        <v>NP</v>
      </c>
      <c r="CG264" t="str">
        <f t="shared" si="125"/>
        <v>ROB</v>
      </c>
    </row>
    <row r="265" spans="1:85" ht="56.25" customHeight="1" x14ac:dyDescent="0.3">
      <c r="A265" s="298" t="s">
        <v>800</v>
      </c>
      <c r="B265" s="299" t="str">
        <f>'PLAN INDICATIVO'!B265</f>
        <v>Desarrollo Económico/Promoción del desarrollo</v>
      </c>
      <c r="C265" s="1547"/>
      <c r="D265" s="1549"/>
      <c r="E265" s="1549"/>
      <c r="F265" s="1549"/>
      <c r="G265" s="1549"/>
      <c r="H265" s="1549"/>
      <c r="I265" s="300">
        <f>'PLAN INDICATIVO'!I265</f>
        <v>0</v>
      </c>
      <c r="J265" s="300">
        <f>'PLAN INDICATIVO'!J265</f>
        <v>0</v>
      </c>
      <c r="K265" s="1425" t="str">
        <f>'PLAN INDICATIVO'!K265</f>
        <v>A.13.1.4</v>
      </c>
      <c r="L265" s="301" t="str">
        <f>'PLAN INDICATIVO'!L265</f>
        <v>8. Trabajo decente y crecimiento económico</v>
      </c>
      <c r="M265" s="301" t="str">
        <f>'PLAN INDICATIVO'!M265</f>
        <v>Secretaría de Gobierno</v>
      </c>
      <c r="N265" s="1513" t="s">
        <v>5126</v>
      </c>
      <c r="O265" s="1425" t="str">
        <f>'PLAN INDICATIVO'!O265</f>
        <v>Incremento</v>
      </c>
      <c r="P265" s="16" t="str">
        <f>'PLAN INDICATIVO'!P265</f>
        <v>Realizar 2 convenios interadministrativos dirigidos a disminuir la informalidad durante el cuatrienio</v>
      </c>
      <c r="Q265" s="302" t="str">
        <f>'PLAN INDICATIVO'!Q265</f>
        <v>No. De convenios interadministrativos suscritos</v>
      </c>
      <c r="R265" s="303">
        <f>'PLAN INDICATIVO'!R265</f>
        <v>2015</v>
      </c>
      <c r="S265" s="304">
        <v>0</v>
      </c>
      <c r="T265" s="498">
        <v>2</v>
      </c>
      <c r="U265" s="303">
        <v>1</v>
      </c>
      <c r="V265" s="687">
        <v>500000</v>
      </c>
      <c r="W265" s="572">
        <v>0</v>
      </c>
      <c r="X265" s="687">
        <v>500000</v>
      </c>
      <c r="Y265" s="1232"/>
      <c r="Z265" s="687">
        <v>5000000</v>
      </c>
      <c r="AA265" s="1310">
        <v>2</v>
      </c>
      <c r="AB265" s="686">
        <v>6500000</v>
      </c>
      <c r="AC265" s="665"/>
      <c r="AD265" s="665"/>
      <c r="AE265" s="665"/>
      <c r="AF265" s="665"/>
      <c r="AG265" s="306" t="s">
        <v>5151</v>
      </c>
      <c r="AH265" s="987">
        <v>2019413960029</v>
      </c>
      <c r="AI265" s="307" t="s">
        <v>5005</v>
      </c>
      <c r="AJ265" s="309">
        <v>43497</v>
      </c>
      <c r="AK265" s="838">
        <v>43707</v>
      </c>
      <c r="AL265" s="308"/>
      <c r="AM265" s="308"/>
      <c r="AN265" s="267" t="s">
        <v>2594</v>
      </c>
      <c r="AO265" s="507"/>
      <c r="AP265" s="525"/>
      <c r="AQ265" s="310"/>
      <c r="AR265" s="310"/>
      <c r="AS265" s="310"/>
      <c r="AT265" s="310"/>
      <c r="AU265" s="310"/>
      <c r="AV265" s="310"/>
      <c r="AW265" s="544"/>
      <c r="AX265" s="525"/>
      <c r="AY265" s="310"/>
      <c r="AZ265" s="310"/>
      <c r="BA265" s="310"/>
      <c r="BB265" s="310"/>
      <c r="BC265" s="310"/>
      <c r="BD265" s="310"/>
      <c r="BE265" s="544"/>
      <c r="BF265" s="525"/>
      <c r="BG265" s="310"/>
      <c r="BH265" s="310"/>
      <c r="BI265" s="310"/>
      <c r="BJ265" s="310"/>
      <c r="BK265" s="310"/>
      <c r="BL265" s="310"/>
      <c r="BM265" s="544">
        <f t="shared" si="105"/>
        <v>0</v>
      </c>
      <c r="BN265" s="310"/>
      <c r="BO265" s="310"/>
      <c r="BP265" s="310"/>
      <c r="BQ265" s="310"/>
      <c r="BR265" s="310"/>
      <c r="BS265" s="310"/>
      <c r="BT265" s="310"/>
      <c r="BU265" s="544"/>
      <c r="BV265" s="556"/>
      <c r="BW265" s="663">
        <f t="shared" si="98"/>
        <v>0</v>
      </c>
      <c r="BX265" s="1047">
        <f t="shared" si="99"/>
        <v>0</v>
      </c>
      <c r="BY265" s="1047">
        <f t="shared" si="122"/>
        <v>0</v>
      </c>
      <c r="BZ265" s="1047" t="str">
        <f t="shared" si="123"/>
        <v>Aplazada</v>
      </c>
      <c r="CA265" s="1047" t="str">
        <f>IF(Y265&gt;=0.1,AE265/Y265,IF(ISBLANK(Y265),"No Programada","Aplazada"))</f>
        <v>No Programada</v>
      </c>
      <c r="CB265" s="1047">
        <f t="shared" si="124"/>
        <v>0</v>
      </c>
      <c r="CD265" t="str">
        <f t="shared" si="125"/>
        <v>ROB</v>
      </c>
      <c r="CE265" t="str">
        <f t="shared" si="125"/>
        <v>AZ</v>
      </c>
      <c r="CF265" t="str">
        <f t="shared" si="125"/>
        <v>NP</v>
      </c>
      <c r="CG265" t="str">
        <f t="shared" si="125"/>
        <v>ROB</v>
      </c>
    </row>
    <row r="266" spans="1:85" ht="51.75" hidden="1" customHeight="1" x14ac:dyDescent="0.25">
      <c r="A266" s="298" t="s">
        <v>800</v>
      </c>
      <c r="B266" s="299" t="str">
        <f>'PLAN INDICATIVO'!B266</f>
        <v>Desarrollo Económico/Promoción del desarrollo</v>
      </c>
      <c r="C266" s="1547"/>
      <c r="D266" s="1549"/>
      <c r="E266" s="1549"/>
      <c r="F266" s="1549"/>
      <c r="G266" s="1549"/>
      <c r="H266" s="1549"/>
      <c r="I266" s="300">
        <f>'PLAN INDICATIVO'!I266</f>
        <v>0</v>
      </c>
      <c r="J266" s="300">
        <f>'PLAN INDICATIVO'!J266</f>
        <v>0</v>
      </c>
      <c r="K266" s="1425" t="str">
        <f>'PLAN INDICATIVO'!K266</f>
        <v>A.13.1.5</v>
      </c>
      <c r="L266" s="301" t="str">
        <f>'PLAN INDICATIVO'!L266</f>
        <v>8. Trabajo decente y crecimiento económico</v>
      </c>
      <c r="M266" s="301" t="str">
        <f>'PLAN INDICATIVO'!M266</f>
        <v>Secretaría de Gobierno</v>
      </c>
      <c r="N266" s="1513" t="s">
        <v>5126</v>
      </c>
      <c r="O266" s="1425" t="str">
        <f>'PLAN INDICATIVO'!O266</f>
        <v>Incremento</v>
      </c>
      <c r="P266" s="16" t="str">
        <f>'PLAN INDICATIVO'!P266</f>
        <v>Apoyar 20 empresas  para su formalización durante el cuatrienio</v>
      </c>
      <c r="Q266" s="302" t="str">
        <f>'PLAN INDICATIVO'!Q266</f>
        <v>No. De empresas apoyadas</v>
      </c>
      <c r="R266" s="303">
        <f>'PLAN INDICATIVO'!R266</f>
        <v>2015</v>
      </c>
      <c r="S266" s="304">
        <v>0</v>
      </c>
      <c r="T266" s="498">
        <v>20</v>
      </c>
      <c r="U266" s="303">
        <v>5</v>
      </c>
      <c r="V266" s="687">
        <v>9500000</v>
      </c>
      <c r="W266" s="572">
        <v>5</v>
      </c>
      <c r="X266" s="687">
        <v>10000000</v>
      </c>
      <c r="Y266" s="1232"/>
      <c r="Z266" s="687">
        <v>7000000</v>
      </c>
      <c r="AA266" s="1310"/>
      <c r="AB266" s="686"/>
      <c r="AC266" s="665"/>
      <c r="AD266" s="665">
        <v>212</v>
      </c>
      <c r="AE266" s="665"/>
      <c r="AF266" s="665"/>
      <c r="AG266" s="306" t="s">
        <v>5151</v>
      </c>
      <c r="AH266" s="987">
        <v>2019413960029</v>
      </c>
      <c r="AI266" s="307"/>
      <c r="AJ266" s="309"/>
      <c r="AK266" s="308"/>
      <c r="AL266" s="308"/>
      <c r="AM266" s="308"/>
      <c r="AN266" s="267" t="s">
        <v>2594</v>
      </c>
      <c r="AO266" s="507"/>
      <c r="AP266" s="525"/>
      <c r="AQ266" s="310"/>
      <c r="AR266" s="310"/>
      <c r="AS266" s="310"/>
      <c r="AT266" s="310"/>
      <c r="AU266" s="310"/>
      <c r="AV266" s="310"/>
      <c r="AW266" s="544"/>
      <c r="AX266" s="525"/>
      <c r="AY266" s="310"/>
      <c r="AZ266" s="310"/>
      <c r="BA266" s="310"/>
      <c r="BB266" s="310"/>
      <c r="BC266" s="310"/>
      <c r="BD266" s="310"/>
      <c r="BE266" s="544"/>
      <c r="BF266" s="525"/>
      <c r="BG266" s="310"/>
      <c r="BH266" s="310"/>
      <c r="BI266" s="310"/>
      <c r="BJ266" s="310"/>
      <c r="BK266" s="310"/>
      <c r="BL266" s="310"/>
      <c r="BM266" s="544">
        <f t="shared" si="105"/>
        <v>0</v>
      </c>
      <c r="BN266" s="310"/>
      <c r="BO266" s="310"/>
      <c r="BP266" s="310"/>
      <c r="BQ266" s="310"/>
      <c r="BR266" s="310"/>
      <c r="BS266" s="310"/>
      <c r="BT266" s="310"/>
      <c r="BU266" s="544"/>
      <c r="BV266" s="556"/>
      <c r="BW266" s="663">
        <f t="shared" si="98"/>
        <v>212</v>
      </c>
      <c r="BX266" s="1047">
        <f t="shared" si="99"/>
        <v>10.6</v>
      </c>
      <c r="BY266" s="1047">
        <f t="shared" si="122"/>
        <v>0</v>
      </c>
      <c r="BZ266" s="1047">
        <f t="shared" si="123"/>
        <v>42.4</v>
      </c>
      <c r="CA266" s="1047" t="str">
        <f t="shared" ref="CA266:CA272" si="126">IF(Y266&gt;=0.1,AE266/Y266,IF(ISBLANK(Y266),"No Programada","Aplazada"))</f>
        <v>No Programada</v>
      </c>
      <c r="CB266" s="1047" t="str">
        <f t="shared" si="124"/>
        <v>No Programada</v>
      </c>
      <c r="CD266" t="str">
        <f t="shared" si="125"/>
        <v>ROB</v>
      </c>
      <c r="CE266" t="str">
        <f t="shared" si="125"/>
        <v>VE</v>
      </c>
      <c r="CF266" t="str">
        <f t="shared" si="125"/>
        <v>NP</v>
      </c>
      <c r="CG266" t="str">
        <f t="shared" si="125"/>
        <v>NP</v>
      </c>
    </row>
    <row r="267" spans="1:85" s="231" customFormat="1" ht="81" customHeight="1" x14ac:dyDescent="0.3">
      <c r="A267" s="298" t="s">
        <v>800</v>
      </c>
      <c r="B267" s="299" t="str">
        <f>'PLAN INDICATIVO'!B267</f>
        <v>Desarrollo Económico/Promoción del desarrollo</v>
      </c>
      <c r="C267" s="1599"/>
      <c r="D267" s="1601"/>
      <c r="E267" s="1601"/>
      <c r="F267" s="1601"/>
      <c r="G267" s="1601"/>
      <c r="H267" s="1601"/>
      <c r="I267" s="371">
        <f>'PLAN INDICATIVO'!I267</f>
        <v>0</v>
      </c>
      <c r="J267" s="371">
        <f>'PLAN INDICATIVO'!J267</f>
        <v>0</v>
      </c>
      <c r="K267" s="1432" t="str">
        <f>'PLAN INDICATIVO'!K267</f>
        <v>A.13.1.6</v>
      </c>
      <c r="L267" s="372" t="str">
        <f>'PLAN INDICATIVO'!L267</f>
        <v>8. Trabajo decente y crecimiento económico</v>
      </c>
      <c r="M267" s="372" t="str">
        <f>'PLAN INDICATIVO'!M267</f>
        <v>Secretaría de Gobierno</v>
      </c>
      <c r="N267" s="1513" t="s">
        <v>5126</v>
      </c>
      <c r="O267" s="1432" t="str">
        <f>'PLAN INDICATIVO'!O267</f>
        <v>Incremento</v>
      </c>
      <c r="P267" s="16" t="str">
        <f>'PLAN INDICATIVO'!P267</f>
        <v>Capacitar 2.000 jóvenes  para desarrollar actividades laborales durante el cuatrienio</v>
      </c>
      <c r="Q267" s="302" t="str">
        <f>'PLAN INDICATIVO'!Q267</f>
        <v>No. De jóvenes capacitados</v>
      </c>
      <c r="R267" s="303">
        <f>'PLAN INDICATIVO'!R267</f>
        <v>2015</v>
      </c>
      <c r="S267" s="304" t="s">
        <v>177</v>
      </c>
      <c r="T267" s="498">
        <v>2000</v>
      </c>
      <c r="U267" s="303">
        <v>500</v>
      </c>
      <c r="V267" s="687">
        <v>9000000</v>
      </c>
      <c r="W267" s="572">
        <v>500</v>
      </c>
      <c r="X267" s="687">
        <v>10000000</v>
      </c>
      <c r="Y267" s="1232">
        <v>975</v>
      </c>
      <c r="Z267" s="687">
        <v>10000000</v>
      </c>
      <c r="AA267" s="1310">
        <v>200</v>
      </c>
      <c r="AB267" s="686">
        <v>6500000</v>
      </c>
      <c r="AC267" s="667"/>
      <c r="AD267" s="667">
        <v>350</v>
      </c>
      <c r="AE267" s="667">
        <v>975</v>
      </c>
      <c r="AF267" s="667"/>
      <c r="AG267" s="306" t="s">
        <v>5151</v>
      </c>
      <c r="AH267" s="987">
        <v>2019413960029</v>
      </c>
      <c r="AI267" s="336" t="s">
        <v>5006</v>
      </c>
      <c r="AJ267" s="309">
        <v>43497</v>
      </c>
      <c r="AK267" s="339">
        <v>43768</v>
      </c>
      <c r="AL267" s="337"/>
      <c r="AM267" s="337"/>
      <c r="AN267" s="267" t="s">
        <v>2598</v>
      </c>
      <c r="AO267" s="510"/>
      <c r="AP267" s="528"/>
      <c r="AQ267" s="472"/>
      <c r="AR267" s="472"/>
      <c r="AS267" s="472"/>
      <c r="AT267" s="472"/>
      <c r="AU267" s="472"/>
      <c r="AV267" s="472"/>
      <c r="AW267" s="544"/>
      <c r="AX267" s="528"/>
      <c r="AY267" s="472"/>
      <c r="AZ267" s="472"/>
      <c r="BA267" s="472"/>
      <c r="BB267" s="472"/>
      <c r="BC267" s="472"/>
      <c r="BD267" s="472"/>
      <c r="BE267" s="544"/>
      <c r="BF267" s="528"/>
      <c r="BG267" s="472"/>
      <c r="BH267" s="472"/>
      <c r="BI267" s="472"/>
      <c r="BJ267" s="472"/>
      <c r="BK267" s="472"/>
      <c r="BL267" s="472"/>
      <c r="BM267" s="544">
        <f t="shared" si="105"/>
        <v>0</v>
      </c>
      <c r="BN267" s="310"/>
      <c r="BO267" s="310"/>
      <c r="BP267" s="472"/>
      <c r="BQ267" s="472"/>
      <c r="BR267" s="472"/>
      <c r="BS267" s="472"/>
      <c r="BT267" s="472"/>
      <c r="BU267" s="544"/>
      <c r="BV267" s="653"/>
      <c r="BW267" s="663">
        <f t="shared" ref="BW267:BW325" si="127">AC267+AD267+AE267+AF267</f>
        <v>1325</v>
      </c>
      <c r="BX267" s="1047">
        <f t="shared" si="99"/>
        <v>0.66249999999999998</v>
      </c>
      <c r="BY267" s="1047">
        <f t="shared" si="122"/>
        <v>0</v>
      </c>
      <c r="BZ267" s="1047">
        <f t="shared" si="123"/>
        <v>0.7</v>
      </c>
      <c r="CA267" s="1047">
        <f t="shared" si="126"/>
        <v>1</v>
      </c>
      <c r="CB267" s="1047">
        <f t="shared" si="124"/>
        <v>0</v>
      </c>
      <c r="CC267"/>
      <c r="CD267" t="str">
        <f t="shared" si="125"/>
        <v>ROB</v>
      </c>
      <c r="CE267" t="str">
        <f t="shared" si="125"/>
        <v>AM</v>
      </c>
      <c r="CF267" t="str">
        <f t="shared" si="125"/>
        <v>VE</v>
      </c>
      <c r="CG267" t="str">
        <f t="shared" si="125"/>
        <v>ROB</v>
      </c>
    </row>
    <row r="268" spans="1:85" ht="54.75" hidden="1" customHeight="1" x14ac:dyDescent="0.25">
      <c r="A268" s="298" t="s">
        <v>800</v>
      </c>
      <c r="B268" s="299" t="str">
        <f>'PLAN INDICATIVO'!B268</f>
        <v>Desarrollo Económico/Promoción del desarrollo</v>
      </c>
      <c r="C268" s="1547"/>
      <c r="D268" s="1549"/>
      <c r="E268" s="1549"/>
      <c r="F268" s="1549"/>
      <c r="G268" s="1549"/>
      <c r="H268" s="1549"/>
      <c r="I268" s="300">
        <f>'PLAN INDICATIVO'!I268</f>
        <v>0</v>
      </c>
      <c r="J268" s="300">
        <f>'PLAN INDICATIVO'!J268</f>
        <v>0</v>
      </c>
      <c r="K268" s="1425" t="str">
        <f>'PLAN INDICATIVO'!K268</f>
        <v>A.13.1.7</v>
      </c>
      <c r="L268" s="301" t="str">
        <f>'PLAN INDICATIVO'!L268</f>
        <v>8. Trabajo decente y crecimiento económico</v>
      </c>
      <c r="M268" s="301" t="str">
        <f>'PLAN INDICATIVO'!M268</f>
        <v>Secretaría de Gobierno</v>
      </c>
      <c r="N268" s="1513" t="s">
        <v>5126</v>
      </c>
      <c r="O268" s="1425" t="str">
        <f>'PLAN INDICATIVO'!O268</f>
        <v>Incremento</v>
      </c>
      <c r="P268" s="16" t="str">
        <f>'PLAN INDICATIVO'!P268</f>
        <v>Suscribir 4 convenios para apoyo a MIPYMES durante el cuatrienio</v>
      </c>
      <c r="Q268" s="302" t="str">
        <f>'PLAN INDICATIVO'!Q268</f>
        <v>No. De convenios  suscritos</v>
      </c>
      <c r="R268" s="303">
        <f>'PLAN INDICATIVO'!R268</f>
        <v>2015</v>
      </c>
      <c r="S268" s="304">
        <v>0</v>
      </c>
      <c r="T268" s="498">
        <v>4</v>
      </c>
      <c r="U268" s="303">
        <v>1</v>
      </c>
      <c r="V268" s="687">
        <v>1000000</v>
      </c>
      <c r="W268" s="572">
        <v>0</v>
      </c>
      <c r="X268" s="687">
        <v>500000</v>
      </c>
      <c r="Y268" s="1232"/>
      <c r="Z268" s="687">
        <v>1000000</v>
      </c>
      <c r="AA268" s="1310"/>
      <c r="AB268" s="686"/>
      <c r="AC268" s="665"/>
      <c r="AD268" s="665">
        <v>1</v>
      </c>
      <c r="AE268" s="665"/>
      <c r="AF268" s="665"/>
      <c r="AG268" s="306" t="s">
        <v>5151</v>
      </c>
      <c r="AH268" s="987">
        <v>2019413960029</v>
      </c>
      <c r="AI268" s="307"/>
      <c r="AJ268" s="309"/>
      <c r="AK268" s="339"/>
      <c r="AL268" s="308"/>
      <c r="AM268" s="308"/>
      <c r="AN268" s="267" t="s">
        <v>2594</v>
      </c>
      <c r="AO268" s="507"/>
      <c r="AP268" s="525"/>
      <c r="AQ268" s="310"/>
      <c r="AR268" s="310"/>
      <c r="AS268" s="310"/>
      <c r="AT268" s="310"/>
      <c r="AU268" s="310"/>
      <c r="AV268" s="310"/>
      <c r="AW268" s="544"/>
      <c r="AX268" s="525"/>
      <c r="AY268" s="310"/>
      <c r="AZ268" s="310"/>
      <c r="BA268" s="310"/>
      <c r="BB268" s="310"/>
      <c r="BC268" s="310"/>
      <c r="BD268" s="310"/>
      <c r="BE268" s="544"/>
      <c r="BF268" s="525"/>
      <c r="BG268" s="310"/>
      <c r="BH268" s="310"/>
      <c r="BI268" s="310"/>
      <c r="BJ268" s="310"/>
      <c r="BK268" s="310"/>
      <c r="BL268" s="310"/>
      <c r="BM268" s="544">
        <f t="shared" si="105"/>
        <v>0</v>
      </c>
      <c r="BN268" s="310"/>
      <c r="BO268" s="310"/>
      <c r="BP268" s="310"/>
      <c r="BQ268" s="310"/>
      <c r="BR268" s="310"/>
      <c r="BS268" s="310"/>
      <c r="BT268" s="310"/>
      <c r="BU268" s="544"/>
      <c r="BV268" s="556"/>
      <c r="BW268" s="663">
        <f t="shared" si="127"/>
        <v>1</v>
      </c>
      <c r="BX268" s="1047">
        <f t="shared" si="99"/>
        <v>0.25</v>
      </c>
      <c r="BY268" s="1047">
        <f t="shared" si="122"/>
        <v>0</v>
      </c>
      <c r="BZ268" s="1047" t="str">
        <f t="shared" si="123"/>
        <v>Aplazada</v>
      </c>
      <c r="CA268" s="1047" t="str">
        <f t="shared" si="126"/>
        <v>No Programada</v>
      </c>
      <c r="CB268" s="1047" t="str">
        <f t="shared" si="124"/>
        <v>No Programada</v>
      </c>
      <c r="CD268" t="str">
        <f t="shared" si="125"/>
        <v>ROB</v>
      </c>
      <c r="CE268" t="str">
        <f t="shared" si="125"/>
        <v>AZ</v>
      </c>
      <c r="CF268" t="str">
        <f t="shared" si="125"/>
        <v>NP</v>
      </c>
      <c r="CG268" t="str">
        <f t="shared" si="125"/>
        <v>NP</v>
      </c>
    </row>
    <row r="269" spans="1:85" ht="60.75" customHeight="1" x14ac:dyDescent="0.3">
      <c r="A269" s="298" t="s">
        <v>800</v>
      </c>
      <c r="B269" s="299" t="str">
        <f>'PLAN INDICATIVO'!B269</f>
        <v>Desarrollo Económico/Promoción del desarrollo</v>
      </c>
      <c r="C269" s="1547"/>
      <c r="D269" s="1549"/>
      <c r="E269" s="1549"/>
      <c r="F269" s="1549"/>
      <c r="G269" s="1549"/>
      <c r="H269" s="1549"/>
      <c r="I269" s="300">
        <f>'PLAN INDICATIVO'!I269</f>
        <v>0</v>
      </c>
      <c r="J269" s="300">
        <f>'PLAN INDICATIVO'!J269</f>
        <v>0</v>
      </c>
      <c r="K269" s="1425" t="str">
        <f>'PLAN INDICATIVO'!K269</f>
        <v>A.13.1.8</v>
      </c>
      <c r="L269" s="301" t="str">
        <f>'PLAN INDICATIVO'!L269</f>
        <v>8. Trabajo decente y crecimiento económico</v>
      </c>
      <c r="M269" s="301" t="str">
        <f>'PLAN INDICATIVO'!M269</f>
        <v>Secretaría de Gobierno</v>
      </c>
      <c r="N269" s="1513" t="s">
        <v>5126</v>
      </c>
      <c r="O269" s="1425" t="str">
        <f>'PLAN INDICATIVO'!O269</f>
        <v>Incremento</v>
      </c>
      <c r="P269" s="16" t="str">
        <f>'PLAN INDICATIVO'!P269</f>
        <v>Realizar 4 ruedas de negocio para mejorar comercialización de producción local, durante el cuatrienio</v>
      </c>
      <c r="Q269" s="302" t="str">
        <f>'PLAN INDICATIVO'!Q269</f>
        <v>No. De ruedas de negocios realizadas</v>
      </c>
      <c r="R269" s="303">
        <f>'PLAN INDICATIVO'!R269</f>
        <v>2015</v>
      </c>
      <c r="S269" s="304">
        <v>0</v>
      </c>
      <c r="T269" s="498">
        <v>4</v>
      </c>
      <c r="U269" s="303">
        <v>1</v>
      </c>
      <c r="V269" s="687">
        <v>500000</v>
      </c>
      <c r="W269" s="572">
        <v>1</v>
      </c>
      <c r="X269" s="687">
        <v>500000</v>
      </c>
      <c r="Y269" s="1232">
        <v>2</v>
      </c>
      <c r="Z269" s="687">
        <v>1000000</v>
      </c>
      <c r="AA269" s="1310">
        <v>2</v>
      </c>
      <c r="AB269" s="686">
        <v>6500000</v>
      </c>
      <c r="AC269" s="665"/>
      <c r="AD269" s="665">
        <v>1</v>
      </c>
      <c r="AE269" s="665"/>
      <c r="AF269" s="665">
        <v>2</v>
      </c>
      <c r="AG269" s="306" t="s">
        <v>5151</v>
      </c>
      <c r="AH269" s="987">
        <v>2019413960029</v>
      </c>
      <c r="AI269" s="307" t="s">
        <v>4795</v>
      </c>
      <c r="AJ269" s="309">
        <v>43497</v>
      </c>
      <c r="AK269" s="339">
        <v>43738</v>
      </c>
      <c r="AL269" s="308"/>
      <c r="AM269" s="308"/>
      <c r="AN269" s="267" t="s">
        <v>2600</v>
      </c>
      <c r="AO269" s="507"/>
      <c r="AP269" s="525"/>
      <c r="AQ269" s="310"/>
      <c r="AR269" s="310"/>
      <c r="AS269" s="310"/>
      <c r="AT269" s="310"/>
      <c r="AU269" s="310"/>
      <c r="AV269" s="310"/>
      <c r="AW269" s="544"/>
      <c r="AX269" s="525"/>
      <c r="AY269" s="310"/>
      <c r="AZ269" s="310"/>
      <c r="BA269" s="310"/>
      <c r="BB269" s="310"/>
      <c r="BC269" s="310"/>
      <c r="BD269" s="310"/>
      <c r="BE269" s="544"/>
      <c r="BF269" s="525"/>
      <c r="BG269" s="310"/>
      <c r="BH269" s="310"/>
      <c r="BI269" s="310"/>
      <c r="BJ269" s="310"/>
      <c r="BK269" s="310"/>
      <c r="BL269" s="310"/>
      <c r="BM269" s="544">
        <f t="shared" si="105"/>
        <v>0</v>
      </c>
      <c r="BN269" s="310"/>
      <c r="BO269" s="310"/>
      <c r="BP269" s="310"/>
      <c r="BQ269" s="310"/>
      <c r="BR269" s="310"/>
      <c r="BS269" s="310"/>
      <c r="BT269" s="310"/>
      <c r="BU269" s="544"/>
      <c r="BV269" s="556"/>
      <c r="BW269" s="663">
        <f t="shared" si="127"/>
        <v>3</v>
      </c>
      <c r="BX269" s="1047">
        <f t="shared" si="99"/>
        <v>0.75</v>
      </c>
      <c r="BY269" s="1047">
        <f t="shared" si="122"/>
        <v>0</v>
      </c>
      <c r="BZ269" s="1047">
        <f t="shared" si="123"/>
        <v>1</v>
      </c>
      <c r="CA269" s="1047">
        <f t="shared" si="126"/>
        <v>0</v>
      </c>
      <c r="CB269" s="1047">
        <f t="shared" si="124"/>
        <v>1</v>
      </c>
      <c r="CD269" t="str">
        <f t="shared" si="125"/>
        <v>ROB</v>
      </c>
      <c r="CE269" t="str">
        <f t="shared" si="125"/>
        <v>VE</v>
      </c>
      <c r="CF269" t="str">
        <f t="shared" si="125"/>
        <v>ROB</v>
      </c>
      <c r="CG269" t="str">
        <f t="shared" si="125"/>
        <v>VE</v>
      </c>
    </row>
    <row r="270" spans="1:85" s="231" customFormat="1" ht="69" customHeight="1" x14ac:dyDescent="0.3">
      <c r="A270" s="354" t="s">
        <v>800</v>
      </c>
      <c r="B270" s="299" t="str">
        <f>'PLAN INDICATIVO'!B270</f>
        <v>Desarrollo Económico/Promoción del desarrollo</v>
      </c>
      <c r="C270" s="1599"/>
      <c r="D270" s="1601"/>
      <c r="E270" s="1601"/>
      <c r="F270" s="1601"/>
      <c r="G270" s="1601"/>
      <c r="H270" s="1601"/>
      <c r="I270" s="371">
        <f>'PLAN INDICATIVO'!I270</f>
        <v>0</v>
      </c>
      <c r="J270" s="371">
        <f>'PLAN INDICATIVO'!J270</f>
        <v>0</v>
      </c>
      <c r="K270" s="1432" t="str">
        <f>'PLAN INDICATIVO'!K270</f>
        <v>A.13.1.9</v>
      </c>
      <c r="L270" s="372" t="str">
        <f>'PLAN INDICATIVO'!L270</f>
        <v>8. Trabajo decente y crecimiento económico</v>
      </c>
      <c r="M270" s="372" t="str">
        <f>'PLAN INDICATIVO'!M270</f>
        <v>Secretaría de Gobierno</v>
      </c>
      <c r="N270" s="1513" t="s">
        <v>5126</v>
      </c>
      <c r="O270" s="1432" t="str">
        <f>'PLAN INDICATIVO'!O270</f>
        <v>Mantenimiento</v>
      </c>
      <c r="P270" s="16" t="str">
        <f>'PLAN INDICATIVO'!P270</f>
        <v>Realizar 3 eventos cada año para promoción y fomento empresarial</v>
      </c>
      <c r="Q270" s="302" t="str">
        <f>'PLAN INDICATIVO'!Q270</f>
        <v>No. De eventos realizados por año</v>
      </c>
      <c r="R270" s="303">
        <f>'PLAN INDICATIVO'!R270</f>
        <v>2015</v>
      </c>
      <c r="S270" s="304">
        <v>2</v>
      </c>
      <c r="T270" s="498">
        <v>3</v>
      </c>
      <c r="U270" s="303">
        <v>3</v>
      </c>
      <c r="V270" s="687">
        <v>1000000</v>
      </c>
      <c r="W270" s="572">
        <v>3</v>
      </c>
      <c r="X270" s="687">
        <v>10000000</v>
      </c>
      <c r="Y270" s="1232">
        <v>3</v>
      </c>
      <c r="Z270" s="687">
        <v>10000000</v>
      </c>
      <c r="AA270" s="1310"/>
      <c r="AB270" s="686">
        <v>6500000</v>
      </c>
      <c r="AC270" s="667"/>
      <c r="AD270" s="667">
        <v>0</v>
      </c>
      <c r="AE270" s="667">
        <v>3</v>
      </c>
      <c r="AF270" s="667"/>
      <c r="AG270" s="306" t="s">
        <v>5151</v>
      </c>
      <c r="AH270" s="987">
        <v>2019413960029</v>
      </c>
      <c r="AI270" s="336"/>
      <c r="AJ270" s="309"/>
      <c r="AK270" s="339"/>
      <c r="AL270" s="337"/>
      <c r="AM270" s="337"/>
      <c r="AN270" s="280" t="s">
        <v>2598</v>
      </c>
      <c r="AO270" s="507"/>
      <c r="AP270" s="528"/>
      <c r="AQ270" s="472"/>
      <c r="AR270" s="472"/>
      <c r="AS270" s="472"/>
      <c r="AT270" s="472"/>
      <c r="AU270" s="472"/>
      <c r="AV270" s="472"/>
      <c r="AW270" s="544"/>
      <c r="AX270" s="528"/>
      <c r="AY270" s="472"/>
      <c r="AZ270" s="472"/>
      <c r="BA270" s="472"/>
      <c r="BB270" s="472"/>
      <c r="BC270" s="472"/>
      <c r="BD270" s="472"/>
      <c r="BE270" s="544"/>
      <c r="BF270" s="528"/>
      <c r="BG270" s="472"/>
      <c r="BH270" s="472"/>
      <c r="BI270" s="472"/>
      <c r="BJ270" s="472"/>
      <c r="BK270" s="472"/>
      <c r="BL270" s="472"/>
      <c r="BM270" s="544">
        <f t="shared" si="105"/>
        <v>0</v>
      </c>
      <c r="BN270" s="310"/>
      <c r="BO270" s="310"/>
      <c r="BP270" s="472"/>
      <c r="BQ270" s="472"/>
      <c r="BR270" s="472"/>
      <c r="BS270" s="472"/>
      <c r="BT270" s="472"/>
      <c r="BU270" s="544"/>
      <c r="BV270" s="653"/>
      <c r="BW270" s="663">
        <f t="shared" si="127"/>
        <v>3</v>
      </c>
      <c r="BX270" s="1047">
        <f t="shared" si="99"/>
        <v>1</v>
      </c>
      <c r="BY270" s="1047">
        <f t="shared" si="122"/>
        <v>0</v>
      </c>
      <c r="BZ270" s="1047">
        <f t="shared" si="123"/>
        <v>0</v>
      </c>
      <c r="CA270" s="1047">
        <f t="shared" si="126"/>
        <v>1</v>
      </c>
      <c r="CB270" s="1047" t="str">
        <f t="shared" si="124"/>
        <v>No Programada</v>
      </c>
      <c r="CC270"/>
      <c r="CD270" t="str">
        <f t="shared" si="125"/>
        <v>ROB</v>
      </c>
      <c r="CE270" t="str">
        <f t="shared" si="125"/>
        <v>ROB</v>
      </c>
      <c r="CF270" t="str">
        <f t="shared" si="125"/>
        <v>VE</v>
      </c>
      <c r="CG270" t="str">
        <f t="shared" si="125"/>
        <v>NP</v>
      </c>
    </row>
    <row r="271" spans="1:85" s="231" customFormat="1" ht="63" customHeight="1" x14ac:dyDescent="0.3">
      <c r="A271" s="354" t="s">
        <v>800</v>
      </c>
      <c r="B271" s="299" t="str">
        <f>'PLAN INDICATIVO'!B271</f>
        <v>Desarrollo Económico/Promoción del desarrollo</v>
      </c>
      <c r="C271" s="1599"/>
      <c r="D271" s="1601"/>
      <c r="E271" s="1601"/>
      <c r="F271" s="1601"/>
      <c r="G271" s="1601"/>
      <c r="H271" s="1601"/>
      <c r="I271" s="371">
        <f>'PLAN INDICATIVO'!I271</f>
        <v>0</v>
      </c>
      <c r="J271" s="371">
        <f>'PLAN INDICATIVO'!J271</f>
        <v>0</v>
      </c>
      <c r="K271" s="1432" t="str">
        <f>'PLAN INDICATIVO'!K271</f>
        <v>A.13.1.10</v>
      </c>
      <c r="L271" s="372" t="str">
        <f>'PLAN INDICATIVO'!L271</f>
        <v>8. Trabajo decente y crecimiento económico</v>
      </c>
      <c r="M271" s="372" t="str">
        <f>'PLAN INDICATIVO'!M271</f>
        <v>Secretaría de Gobierno</v>
      </c>
      <c r="N271" s="1513" t="s">
        <v>5126</v>
      </c>
      <c r="O271" s="1432" t="str">
        <f>'PLAN INDICATIVO'!O271</f>
        <v>Incremento</v>
      </c>
      <c r="P271" s="16" t="str">
        <f>'PLAN INDICATIVO'!P271</f>
        <v>Implementar 1 programa de formación para el empleo cada año</v>
      </c>
      <c r="Q271" s="302" t="str">
        <f>'PLAN INDICATIVO'!Q271</f>
        <v>No. De Programa implementado por año</v>
      </c>
      <c r="R271" s="303">
        <f>'PLAN INDICATIVO'!R271</f>
        <v>2015</v>
      </c>
      <c r="S271" s="304">
        <v>1</v>
      </c>
      <c r="T271" s="498">
        <v>4</v>
      </c>
      <c r="U271" s="303">
        <v>1</v>
      </c>
      <c r="V271" s="687">
        <v>6000000</v>
      </c>
      <c r="W271" s="572">
        <v>1</v>
      </c>
      <c r="X271" s="687">
        <v>500000</v>
      </c>
      <c r="Y271" s="1232">
        <v>1</v>
      </c>
      <c r="Z271" s="687">
        <v>1000000</v>
      </c>
      <c r="AA271" s="1310">
        <v>4</v>
      </c>
      <c r="AB271" s="686">
        <v>6850000</v>
      </c>
      <c r="AC271" s="667"/>
      <c r="AD271" s="667">
        <v>0</v>
      </c>
      <c r="AE271" s="667"/>
      <c r="AF271" s="667">
        <v>1</v>
      </c>
      <c r="AG271" s="306" t="s">
        <v>5151</v>
      </c>
      <c r="AH271" s="987">
        <v>2019413960029</v>
      </c>
      <c r="AI271" s="336" t="s">
        <v>5007</v>
      </c>
      <c r="AJ271" s="309">
        <v>43497</v>
      </c>
      <c r="AK271" s="339">
        <v>43768</v>
      </c>
      <c r="AL271" s="337"/>
      <c r="AM271" s="337"/>
      <c r="AN271" s="280" t="s">
        <v>2600</v>
      </c>
      <c r="AO271" s="507"/>
      <c r="AP271" s="528"/>
      <c r="AQ271" s="472"/>
      <c r="AR271" s="472"/>
      <c r="AS271" s="472"/>
      <c r="AT271" s="472"/>
      <c r="AU271" s="472"/>
      <c r="AV271" s="472"/>
      <c r="AW271" s="544"/>
      <c r="AX271" s="528"/>
      <c r="AY271" s="472"/>
      <c r="AZ271" s="472"/>
      <c r="BA271" s="472"/>
      <c r="BB271" s="472"/>
      <c r="BC271" s="472"/>
      <c r="BD271" s="472"/>
      <c r="BE271" s="544"/>
      <c r="BF271" s="528"/>
      <c r="BG271" s="472"/>
      <c r="BH271" s="472"/>
      <c r="BI271" s="472"/>
      <c r="BJ271" s="472"/>
      <c r="BK271" s="472"/>
      <c r="BL271" s="472"/>
      <c r="BM271" s="544">
        <f t="shared" si="105"/>
        <v>0</v>
      </c>
      <c r="BN271" s="310"/>
      <c r="BO271" s="310"/>
      <c r="BP271" s="472"/>
      <c r="BQ271" s="472"/>
      <c r="BR271" s="472"/>
      <c r="BS271" s="472"/>
      <c r="BT271" s="472"/>
      <c r="BU271" s="544"/>
      <c r="BV271" s="653"/>
      <c r="BW271" s="663">
        <f t="shared" si="127"/>
        <v>1</v>
      </c>
      <c r="BX271" s="1047">
        <f t="shared" si="99"/>
        <v>0.25</v>
      </c>
      <c r="BY271" s="1047">
        <f t="shared" si="122"/>
        <v>0</v>
      </c>
      <c r="BZ271" s="1047">
        <f t="shared" si="123"/>
        <v>0</v>
      </c>
      <c r="CA271" s="1047">
        <f t="shared" si="126"/>
        <v>0</v>
      </c>
      <c r="CB271" s="1047">
        <f t="shared" si="124"/>
        <v>0.25</v>
      </c>
      <c r="CC271"/>
      <c r="CD271" t="str">
        <f t="shared" si="125"/>
        <v>ROB</v>
      </c>
      <c r="CE271" t="str">
        <f t="shared" si="125"/>
        <v>ROB</v>
      </c>
      <c r="CF271" t="str">
        <f t="shared" si="125"/>
        <v>ROB</v>
      </c>
      <c r="CG271" t="str">
        <f t="shared" si="125"/>
        <v>RO</v>
      </c>
    </row>
    <row r="272" spans="1:85" ht="74.25" hidden="1" customHeight="1" x14ac:dyDescent="0.25">
      <c r="A272" s="298" t="s">
        <v>800</v>
      </c>
      <c r="B272" s="299" t="str">
        <f>'PLAN INDICATIVO'!B272</f>
        <v>Desarrollo Económico/Promoción del desarrollo</v>
      </c>
      <c r="C272" s="1548"/>
      <c r="D272" s="1549"/>
      <c r="E272" s="1549"/>
      <c r="F272" s="1549"/>
      <c r="G272" s="1549"/>
      <c r="H272" s="1549"/>
      <c r="I272" s="300">
        <f>'PLAN INDICATIVO'!I272</f>
        <v>0</v>
      </c>
      <c r="J272" s="300">
        <f>'PLAN INDICATIVO'!J272</f>
        <v>0</v>
      </c>
      <c r="K272" s="1425" t="str">
        <f>'PLAN INDICATIVO'!K272</f>
        <v>A.13.1.11</v>
      </c>
      <c r="L272" s="301" t="str">
        <f>'PLAN INDICATIVO'!L272</f>
        <v>8. Trabajo decente y crecimiento económico</v>
      </c>
      <c r="M272" s="301" t="str">
        <f>'PLAN INDICATIVO'!M272</f>
        <v>Secretaría de Gobierno</v>
      </c>
      <c r="N272" s="1513" t="s">
        <v>5126</v>
      </c>
      <c r="O272" s="1425" t="str">
        <f>'PLAN INDICATIVO'!O272</f>
        <v>Mantenimiento</v>
      </c>
      <c r="P272" s="16" t="str">
        <f>'PLAN INDICATIVO'!P272</f>
        <v>Implementar 1 programa para generación de empleo cada año</v>
      </c>
      <c r="Q272" s="302" t="str">
        <f>'PLAN INDICATIVO'!Q272</f>
        <v>Programa implementado por año</v>
      </c>
      <c r="R272" s="303">
        <f>'PLAN INDICATIVO'!R272</f>
        <v>2015</v>
      </c>
      <c r="S272" s="304">
        <v>1</v>
      </c>
      <c r="T272" s="498">
        <v>1</v>
      </c>
      <c r="U272" s="303">
        <v>1</v>
      </c>
      <c r="V272" s="687">
        <v>2000000</v>
      </c>
      <c r="W272" s="572">
        <v>1</v>
      </c>
      <c r="X272" s="687">
        <v>500000</v>
      </c>
      <c r="Y272" s="1232"/>
      <c r="Z272" s="687">
        <v>5000000</v>
      </c>
      <c r="AA272" s="1310">
        <v>1</v>
      </c>
      <c r="AB272" s="1298"/>
      <c r="AC272" s="665"/>
      <c r="AD272" s="665">
        <v>1</v>
      </c>
      <c r="AE272" s="665">
        <v>1</v>
      </c>
      <c r="AF272" s="665">
        <v>1</v>
      </c>
      <c r="AG272" s="306" t="s">
        <v>5151</v>
      </c>
      <c r="AH272" s="987">
        <v>2019413960029</v>
      </c>
      <c r="AI272" s="307" t="s">
        <v>5076</v>
      </c>
      <c r="AJ272" s="309">
        <v>43497</v>
      </c>
      <c r="AK272" s="339">
        <v>43753</v>
      </c>
      <c r="AL272" s="308"/>
      <c r="AM272" s="308"/>
      <c r="AN272" s="281" t="s">
        <v>2598</v>
      </c>
      <c r="AO272" s="507"/>
      <c r="AP272" s="525"/>
      <c r="AQ272" s="310"/>
      <c r="AR272" s="310"/>
      <c r="AS272" s="310"/>
      <c r="AT272" s="310"/>
      <c r="AU272" s="310"/>
      <c r="AV272" s="310"/>
      <c r="AW272" s="544"/>
      <c r="AX272" s="525"/>
      <c r="AY272" s="310"/>
      <c r="AZ272" s="310"/>
      <c r="BA272" s="310"/>
      <c r="BB272" s="310"/>
      <c r="BC272" s="310"/>
      <c r="BD272" s="310"/>
      <c r="BE272" s="544"/>
      <c r="BF272" s="525"/>
      <c r="BG272" s="310"/>
      <c r="BH272" s="310"/>
      <c r="BI272" s="310"/>
      <c r="BJ272" s="310"/>
      <c r="BK272" s="310"/>
      <c r="BL272" s="310"/>
      <c r="BM272" s="544">
        <f t="shared" si="105"/>
        <v>0</v>
      </c>
      <c r="BN272" s="310"/>
      <c r="BO272" s="310"/>
      <c r="BP272" s="310"/>
      <c r="BQ272" s="310"/>
      <c r="BR272" s="310"/>
      <c r="BS272" s="310"/>
      <c r="BT272" s="310"/>
      <c r="BU272" s="544"/>
      <c r="BV272" s="556"/>
      <c r="BW272" s="663">
        <f t="shared" si="127"/>
        <v>3</v>
      </c>
      <c r="BX272" s="1047">
        <f t="shared" si="99"/>
        <v>3</v>
      </c>
      <c r="BY272" s="1047">
        <f t="shared" si="122"/>
        <v>0</v>
      </c>
      <c r="BZ272" s="1047">
        <f t="shared" si="123"/>
        <v>1</v>
      </c>
      <c r="CA272" s="1047" t="str">
        <f t="shared" si="126"/>
        <v>No Programada</v>
      </c>
      <c r="CB272" s="1047">
        <f t="shared" si="124"/>
        <v>1</v>
      </c>
      <c r="CD272" t="str">
        <f t="shared" si="125"/>
        <v>ROB</v>
      </c>
      <c r="CE272" t="str">
        <f t="shared" si="125"/>
        <v>VE</v>
      </c>
      <c r="CF272" t="str">
        <f t="shared" si="125"/>
        <v>NP</v>
      </c>
      <c r="CG272" t="str">
        <f t="shared" si="125"/>
        <v>VE</v>
      </c>
    </row>
    <row r="273" spans="1:85" ht="57.75" customHeight="1" x14ac:dyDescent="0.3">
      <c r="A273" s="295"/>
      <c r="B273" s="24" t="str">
        <f>'PLAN INDICATIVO'!B273</f>
        <v>Promoción del desarrollo</v>
      </c>
      <c r="C273" s="1574" t="s">
        <v>839</v>
      </c>
      <c r="D273" s="1575"/>
      <c r="E273" s="1575"/>
      <c r="F273" s="1575"/>
      <c r="G273" s="1575"/>
      <c r="H273" s="1575"/>
      <c r="I273" s="1575"/>
      <c r="J273" s="1575"/>
      <c r="K273" s="1575"/>
      <c r="L273" s="1575"/>
      <c r="M273" s="1575"/>
      <c r="N273" s="1575"/>
      <c r="O273" s="1576"/>
      <c r="P273" s="22"/>
      <c r="Q273" s="22"/>
      <c r="R273" s="1"/>
      <c r="S273" s="261"/>
      <c r="T273" s="681"/>
      <c r="U273" s="261"/>
      <c r="V273" s="689">
        <f>SUM(V274:V285)</f>
        <v>3500000</v>
      </c>
      <c r="W273" s="261"/>
      <c r="X273" s="689">
        <f>SUM(X274:X285)</f>
        <v>10000000</v>
      </c>
      <c r="Y273" s="261"/>
      <c r="Z273" s="689">
        <f>SUM(Z274:Z285)</f>
        <v>14500000</v>
      </c>
      <c r="AA273" s="262"/>
      <c r="AB273" s="1527">
        <f>SUM(AB274:AB285)</f>
        <v>116699448</v>
      </c>
      <c r="AC273" s="262"/>
      <c r="AD273" s="262"/>
      <c r="AE273" s="262"/>
      <c r="AF273" s="262"/>
      <c r="AG273" s="263"/>
      <c r="AH273" s="263"/>
      <c r="AI273" s="263"/>
      <c r="AJ273" s="262"/>
      <c r="AK273" s="262"/>
      <c r="AL273" s="262"/>
      <c r="AM273" s="262"/>
      <c r="AN273" s="262"/>
      <c r="AO273" s="612"/>
      <c r="AP273" s="616"/>
      <c r="AQ273" s="616"/>
      <c r="AR273" s="616"/>
      <c r="AS273" s="616"/>
      <c r="AT273" s="616"/>
      <c r="AU273" s="616"/>
      <c r="AV273" s="616"/>
      <c r="AW273" s="617"/>
      <c r="AX273" s="616"/>
      <c r="AY273" s="616"/>
      <c r="AZ273" s="616"/>
      <c r="BA273" s="616"/>
      <c r="BB273" s="616"/>
      <c r="BC273" s="616"/>
      <c r="BD273" s="616"/>
      <c r="BE273" s="617"/>
      <c r="BF273" s="616"/>
      <c r="BG273" s="616"/>
      <c r="BH273" s="616"/>
      <c r="BI273" s="616"/>
      <c r="BJ273" s="616"/>
      <c r="BK273" s="616"/>
      <c r="BL273" s="616"/>
      <c r="BM273" s="617">
        <f t="shared" si="105"/>
        <v>0</v>
      </c>
      <c r="BN273" s="616"/>
      <c r="BO273" s="616"/>
      <c r="BP273" s="616"/>
      <c r="BQ273" s="616"/>
      <c r="BR273" s="616"/>
      <c r="BS273" s="616"/>
      <c r="BT273" s="616"/>
      <c r="BU273" s="617"/>
      <c r="BV273" s="556"/>
      <c r="BW273" s="663" t="s">
        <v>2717</v>
      </c>
      <c r="BX273" s="617" t="s">
        <v>2717</v>
      </c>
      <c r="BY273" s="617" t="s">
        <v>2717</v>
      </c>
      <c r="BZ273" s="617" t="s">
        <v>2717</v>
      </c>
      <c r="CA273" s="617" t="s">
        <v>2717</v>
      </c>
      <c r="CB273" s="1047" t="s">
        <v>2717</v>
      </c>
    </row>
    <row r="274" spans="1:85" ht="49.5" customHeight="1" x14ac:dyDescent="0.3">
      <c r="A274" s="298" t="s">
        <v>800</v>
      </c>
      <c r="B274" s="299" t="str">
        <f>'PLAN INDICATIVO'!B274</f>
        <v>Desarrollo Económico/Promoción del desarrollo</v>
      </c>
      <c r="C274" s="1546" t="s">
        <v>840</v>
      </c>
      <c r="D274" s="1549" t="s">
        <v>841</v>
      </c>
      <c r="E274" s="1549" t="s">
        <v>842</v>
      </c>
      <c r="F274" s="1549">
        <v>2015</v>
      </c>
      <c r="G274" s="1562">
        <v>20000</v>
      </c>
      <c r="H274" s="1562">
        <v>22000</v>
      </c>
      <c r="I274" s="300">
        <f>'PLAN INDICATIVO'!I274</f>
        <v>0</v>
      </c>
      <c r="J274" s="300">
        <f>'PLAN INDICATIVO'!J274</f>
        <v>0</v>
      </c>
      <c r="K274" s="1428" t="str">
        <f>'PLAN INDICATIVO'!K274</f>
        <v>A.13.2.1</v>
      </c>
      <c r="L274" s="301" t="str">
        <f>'PLAN INDICATIVO'!L274</f>
        <v>8. Trabajo decente y crecimiento económico</v>
      </c>
      <c r="M274" s="301" t="str">
        <f>'PLAN INDICATIVO'!M274</f>
        <v>Secretaría de Educación, Cultura, deporte y Turismo</v>
      </c>
      <c r="N274" s="1425" t="s">
        <v>5122</v>
      </c>
      <c r="O274" s="1425" t="str">
        <f>'PLAN INDICATIVO'!O274</f>
        <v>Incremento</v>
      </c>
      <c r="P274" s="16" t="str">
        <f>'PLAN INDICATIVO'!P274</f>
        <v>Crear 1 plan estratégico de  turismo para el Municipio de la Plata, durante el cuatrienio</v>
      </c>
      <c r="Q274" s="302" t="str">
        <f>'PLAN INDICATIVO'!Q274</f>
        <v>No. De planes estratégicos creados</v>
      </c>
      <c r="R274" s="303">
        <f>'PLAN INDICATIVO'!R274</f>
        <v>2015</v>
      </c>
      <c r="S274" s="304">
        <v>0</v>
      </c>
      <c r="T274" s="498">
        <v>1</v>
      </c>
      <c r="U274" s="303"/>
      <c r="V274" s="687"/>
      <c r="W274" s="572"/>
      <c r="X274" s="687"/>
      <c r="Y274" s="1232"/>
      <c r="Z274" s="1233">
        <v>500000</v>
      </c>
      <c r="AA274" s="1310"/>
      <c r="AB274" s="1532">
        <v>11669944</v>
      </c>
      <c r="AC274" s="665"/>
      <c r="AD274" s="665"/>
      <c r="AE274" s="665"/>
      <c r="AF274" s="665">
        <v>0</v>
      </c>
      <c r="AG274" s="306" t="s">
        <v>5152</v>
      </c>
      <c r="AH274" s="987">
        <v>2019413960022</v>
      </c>
      <c r="AI274" s="1007" t="s">
        <v>4754</v>
      </c>
      <c r="AJ274" s="309"/>
      <c r="AK274" s="838"/>
      <c r="AL274" s="308"/>
      <c r="AM274" s="308"/>
      <c r="AN274" s="267" t="s">
        <v>2594</v>
      </c>
      <c r="AO274" s="507"/>
      <c r="AP274" s="525"/>
      <c r="AQ274" s="310"/>
      <c r="AR274" s="310"/>
      <c r="AS274" s="310"/>
      <c r="AT274" s="310"/>
      <c r="AU274" s="310"/>
      <c r="AV274" s="310"/>
      <c r="AW274" s="544"/>
      <c r="AX274" s="525"/>
      <c r="AY274" s="310"/>
      <c r="AZ274" s="310"/>
      <c r="BA274" s="310"/>
      <c r="BB274" s="310"/>
      <c r="BC274" s="310"/>
      <c r="BD274" s="310"/>
      <c r="BE274" s="544"/>
      <c r="BF274" s="525"/>
      <c r="BG274" s="310"/>
      <c r="BH274" s="310"/>
      <c r="BI274" s="310"/>
      <c r="BJ274" s="310"/>
      <c r="BK274" s="310"/>
      <c r="BL274" s="310"/>
      <c r="BM274" s="544">
        <f t="shared" si="105"/>
        <v>0</v>
      </c>
      <c r="BN274" s="525"/>
      <c r="BO274" s="310"/>
      <c r="BP274" s="310"/>
      <c r="BQ274" s="310"/>
      <c r="BR274" s="310"/>
      <c r="BS274" s="310"/>
      <c r="BT274" s="310"/>
      <c r="BU274" s="544"/>
      <c r="BV274" s="556"/>
      <c r="BW274" s="663">
        <f t="shared" si="127"/>
        <v>0</v>
      </c>
      <c r="BX274" s="1047">
        <f t="shared" si="99"/>
        <v>0</v>
      </c>
      <c r="BY274" s="1047" t="str">
        <f t="shared" ref="BY274:BY285" si="128">IF(U274&gt;=0.1,AC274/U274,IF(ISBLANK(U274),"No Programada","Aplazada"))</f>
        <v>No Programada</v>
      </c>
      <c r="BZ274" s="1047" t="str">
        <f t="shared" ref="BZ274:CA285" si="129">IF(W274&gt;=0.1,AD274/W274,IF(ISBLANK(W274),"No Programada","Aplazada"))</f>
        <v>No Programada</v>
      </c>
      <c r="CA274" s="1047" t="str">
        <f t="shared" ref="CA274:CA285" si="130">IF(Y274&gt;=0.1,AE274/Y274,IF(ISBLANK(Y274),"No Programada","Aplazada"))</f>
        <v>No Programada</v>
      </c>
      <c r="CB274" s="1047" t="str">
        <f t="shared" ref="CB274:CB285" si="131">IF(AA274&gt;=0.1,AF274/AA274,IF(ISBLANK(AA274),"No Programada","Aplazada"))</f>
        <v>No Programada</v>
      </c>
      <c r="CD274" t="str">
        <f t="shared" ref="CD274:CG285" si="132">IF(BY274="PARA MODIFICAR","M",IF(BY274="PARA ELIMINAR","E",IF(BY274="aplazada","AZ",IF(BY274="no programada","NP",IF(BY274&gt;=85%,"VE",IF(BY274&gt;70%,"VEB",IF(BY274&gt;60%,"AM",IF(BY274&gt;40%,"AMB",IF(BY274&gt;20%,"RO",IF(BY274&gt;=0%,"ROB",""))))))))))</f>
        <v>NP</v>
      </c>
      <c r="CE274" t="str">
        <f t="shared" si="132"/>
        <v>NP</v>
      </c>
      <c r="CF274" t="str">
        <f t="shared" si="132"/>
        <v>NP</v>
      </c>
      <c r="CG274" t="str">
        <f t="shared" si="132"/>
        <v>NP</v>
      </c>
    </row>
    <row r="275" spans="1:85" ht="51" customHeight="1" x14ac:dyDescent="0.3">
      <c r="A275" s="298" t="s">
        <v>800</v>
      </c>
      <c r="B275" s="299" t="str">
        <f>'PLAN INDICATIVO'!B275</f>
        <v>Desarrollo Económico/Promoción del desarrollo</v>
      </c>
      <c r="C275" s="1547"/>
      <c r="D275" s="1549"/>
      <c r="E275" s="1549"/>
      <c r="F275" s="1549"/>
      <c r="G275" s="1549"/>
      <c r="H275" s="1549"/>
      <c r="I275" s="300">
        <f>'PLAN INDICATIVO'!I275</f>
        <v>0</v>
      </c>
      <c r="J275" s="300">
        <f>'PLAN INDICATIVO'!J275</f>
        <v>0</v>
      </c>
      <c r="K275" s="1428" t="str">
        <f>'PLAN INDICATIVO'!K275</f>
        <v>A.13.2.2</v>
      </c>
      <c r="L275" s="301" t="str">
        <f>'PLAN INDICATIVO'!L275</f>
        <v>8. Trabajo decente y crecimiento económico</v>
      </c>
      <c r="M275" s="301" t="str">
        <f>'PLAN INDICATIVO'!M275</f>
        <v>Secretaría de Educación, Cultura, deporte y Turismo</v>
      </c>
      <c r="N275" s="1513" t="s">
        <v>5122</v>
      </c>
      <c r="O275" s="1425" t="str">
        <f>'PLAN INDICATIVO'!O275</f>
        <v>Incremento</v>
      </c>
      <c r="P275" s="16" t="str">
        <f>'PLAN INDICATIVO'!P275</f>
        <v>Realizar 8 capacitaciones durante el cuatrienio, en temas de interés para el fortalecimiento del sector del turismo</v>
      </c>
      <c r="Q275" s="302" t="str">
        <f>'PLAN INDICATIVO'!Q275</f>
        <v>No. De capacitaciones realizadas</v>
      </c>
      <c r="R275" s="303">
        <f>'PLAN INDICATIVO'!R275</f>
        <v>2015</v>
      </c>
      <c r="S275" s="304">
        <v>0</v>
      </c>
      <c r="T275" s="498">
        <v>8</v>
      </c>
      <c r="U275" s="303">
        <v>1</v>
      </c>
      <c r="V275" s="687"/>
      <c r="W275" s="572">
        <v>2</v>
      </c>
      <c r="X275" s="687">
        <v>5000000</v>
      </c>
      <c r="Y275" s="1232">
        <v>2</v>
      </c>
      <c r="Z275" s="1233">
        <v>5000000</v>
      </c>
      <c r="AA275" s="1310">
        <v>2</v>
      </c>
      <c r="AB275" s="687">
        <v>11669944</v>
      </c>
      <c r="AC275" s="665"/>
      <c r="AD275" s="665">
        <v>2</v>
      </c>
      <c r="AE275" s="665">
        <v>3</v>
      </c>
      <c r="AF275" s="665">
        <v>0</v>
      </c>
      <c r="AG275" s="306" t="s">
        <v>5152</v>
      </c>
      <c r="AH275" s="987">
        <v>2019413960022</v>
      </c>
      <c r="AI275" s="1007" t="s">
        <v>5090</v>
      </c>
      <c r="AJ275" s="309">
        <v>43497</v>
      </c>
      <c r="AK275" s="339">
        <v>43687</v>
      </c>
      <c r="AL275" s="308"/>
      <c r="AM275" s="308"/>
      <c r="AN275" s="267" t="s">
        <v>2598</v>
      </c>
      <c r="AO275" s="507"/>
      <c r="AP275" s="525"/>
      <c r="AQ275" s="310"/>
      <c r="AR275" s="310"/>
      <c r="AS275" s="310"/>
      <c r="AT275" s="310"/>
      <c r="AU275" s="310"/>
      <c r="AV275" s="310"/>
      <c r="AW275" s="544"/>
      <c r="AX275" s="525"/>
      <c r="AY275" s="310"/>
      <c r="AZ275" s="310"/>
      <c r="BA275" s="310"/>
      <c r="BB275" s="310"/>
      <c r="BC275" s="310"/>
      <c r="BD275" s="310"/>
      <c r="BE275" s="544"/>
      <c r="BF275" s="525"/>
      <c r="BG275" s="310"/>
      <c r="BH275" s="310"/>
      <c r="BI275" s="310"/>
      <c r="BJ275" s="310"/>
      <c r="BK275" s="310"/>
      <c r="BL275" s="310"/>
      <c r="BM275" s="544">
        <f t="shared" si="105"/>
        <v>0</v>
      </c>
      <c r="BN275" s="525"/>
      <c r="BO275" s="310"/>
      <c r="BP275" s="310"/>
      <c r="BQ275" s="310"/>
      <c r="BR275" s="310"/>
      <c r="BS275" s="310"/>
      <c r="BT275" s="310"/>
      <c r="BU275" s="544"/>
      <c r="BV275" s="556"/>
      <c r="BW275" s="663">
        <f t="shared" si="127"/>
        <v>5</v>
      </c>
      <c r="BX275" s="1047">
        <f t="shared" si="99"/>
        <v>0.625</v>
      </c>
      <c r="BY275" s="1047">
        <f t="shared" si="128"/>
        <v>0</v>
      </c>
      <c r="BZ275" s="1047">
        <f t="shared" si="129"/>
        <v>1</v>
      </c>
      <c r="CA275" s="1047">
        <f t="shared" si="130"/>
        <v>1.5</v>
      </c>
      <c r="CB275" s="1047">
        <f t="shared" si="131"/>
        <v>0</v>
      </c>
      <c r="CD275" t="str">
        <f t="shared" si="132"/>
        <v>ROB</v>
      </c>
      <c r="CE275" t="str">
        <f t="shared" si="132"/>
        <v>VE</v>
      </c>
      <c r="CF275" t="str">
        <f t="shared" si="132"/>
        <v>VE</v>
      </c>
      <c r="CG275" t="str">
        <f t="shared" si="132"/>
        <v>ROB</v>
      </c>
    </row>
    <row r="276" spans="1:85" ht="56.25" customHeight="1" x14ac:dyDescent="0.3">
      <c r="A276" s="298" t="s">
        <v>800</v>
      </c>
      <c r="B276" s="299" t="str">
        <f>'PLAN INDICATIVO'!B276</f>
        <v>Desarrollo Económico/Promoción del desarrollo</v>
      </c>
      <c r="C276" s="1547"/>
      <c r="D276" s="1549"/>
      <c r="E276" s="1549"/>
      <c r="F276" s="1549"/>
      <c r="G276" s="1549"/>
      <c r="H276" s="1549"/>
      <c r="I276" s="300">
        <f>'PLAN INDICATIVO'!I276</f>
        <v>0</v>
      </c>
      <c r="J276" s="300">
        <f>'PLAN INDICATIVO'!J276</f>
        <v>0</v>
      </c>
      <c r="K276" s="1428" t="str">
        <f>'PLAN INDICATIVO'!K276</f>
        <v>A.13.2.3</v>
      </c>
      <c r="L276" s="301" t="str">
        <f>'PLAN INDICATIVO'!L276</f>
        <v>8. Trabajo decente y crecimiento económico</v>
      </c>
      <c r="M276" s="301" t="str">
        <f>'PLAN INDICATIVO'!M276</f>
        <v>Secretaría de Educación, Cultura, deporte y Turismo</v>
      </c>
      <c r="N276" s="1513" t="s">
        <v>5122</v>
      </c>
      <c r="O276" s="1425" t="str">
        <f>'PLAN INDICATIVO'!O276</f>
        <v>Incremento</v>
      </c>
      <c r="P276" s="16" t="str">
        <f>'PLAN INDICATIVO'!P276</f>
        <v>Buscar una alternativa para ofertar líneas de crédito blando con bajas tasas de interés dirigidas al mejoramiento de la planta turística, durante el cuatrienio.</v>
      </c>
      <c r="Q276" s="302" t="str">
        <f>'PLAN INDICATIVO'!Q276</f>
        <v>No. De alternativas para líneas de crédito gestionadas</v>
      </c>
      <c r="R276" s="303">
        <f>'PLAN INDICATIVO'!R276</f>
        <v>2015</v>
      </c>
      <c r="S276" s="304">
        <v>0</v>
      </c>
      <c r="T276" s="1299">
        <v>1</v>
      </c>
      <c r="U276" s="303"/>
      <c r="V276" s="687"/>
      <c r="W276" s="572"/>
      <c r="X276" s="687"/>
      <c r="Y276" s="1232">
        <v>1</v>
      </c>
      <c r="Z276" s="1233">
        <v>500000</v>
      </c>
      <c r="AA276" s="1310"/>
      <c r="AB276" s="687"/>
      <c r="AC276" s="665"/>
      <c r="AD276" s="665"/>
      <c r="AE276" s="665">
        <v>1</v>
      </c>
      <c r="AF276" s="665">
        <v>0</v>
      </c>
      <c r="AG276" s="306" t="s">
        <v>5152</v>
      </c>
      <c r="AH276" s="987">
        <v>2019413960022</v>
      </c>
      <c r="AI276" s="1007" t="s">
        <v>5091</v>
      </c>
      <c r="AJ276" s="309"/>
      <c r="AK276" s="308"/>
      <c r="AL276" s="308"/>
      <c r="AM276" s="308"/>
      <c r="AN276" s="267" t="s">
        <v>2598</v>
      </c>
      <c r="AO276" s="507"/>
      <c r="AP276" s="525"/>
      <c r="AQ276" s="310"/>
      <c r="AR276" s="310"/>
      <c r="AS276" s="310"/>
      <c r="AT276" s="310"/>
      <c r="AU276" s="310"/>
      <c r="AV276" s="310"/>
      <c r="AW276" s="544"/>
      <c r="AX276" s="525"/>
      <c r="AY276" s="310"/>
      <c r="AZ276" s="310"/>
      <c r="BA276" s="310"/>
      <c r="BB276" s="310"/>
      <c r="BC276" s="310"/>
      <c r="BD276" s="310"/>
      <c r="BE276" s="544"/>
      <c r="BF276" s="525"/>
      <c r="BG276" s="310"/>
      <c r="BH276" s="310"/>
      <c r="BI276" s="310"/>
      <c r="BJ276" s="310"/>
      <c r="BK276" s="310"/>
      <c r="BL276" s="310"/>
      <c r="BM276" s="544">
        <f t="shared" si="105"/>
        <v>0</v>
      </c>
      <c r="BN276" s="525"/>
      <c r="BO276" s="310"/>
      <c r="BP276" s="310"/>
      <c r="BQ276" s="310"/>
      <c r="BR276" s="310"/>
      <c r="BS276" s="310"/>
      <c r="BT276" s="310"/>
      <c r="BU276" s="544"/>
      <c r="BV276" s="556"/>
      <c r="BW276" s="663">
        <f t="shared" si="127"/>
        <v>1</v>
      </c>
      <c r="BX276" s="1047">
        <f t="shared" ref="BX276:BX339" si="133">BW276/T276</f>
        <v>1</v>
      </c>
      <c r="BY276" s="1047" t="str">
        <f t="shared" si="128"/>
        <v>No Programada</v>
      </c>
      <c r="BZ276" s="1047" t="str">
        <f t="shared" si="129"/>
        <v>No Programada</v>
      </c>
      <c r="CA276" s="1047">
        <f t="shared" si="130"/>
        <v>1</v>
      </c>
      <c r="CB276" s="1047" t="str">
        <f t="shared" si="131"/>
        <v>No Programada</v>
      </c>
      <c r="CD276" t="str">
        <f t="shared" si="132"/>
        <v>NP</v>
      </c>
      <c r="CE276" t="str">
        <f t="shared" si="132"/>
        <v>NP</v>
      </c>
      <c r="CF276" t="str">
        <f t="shared" si="132"/>
        <v>VE</v>
      </c>
      <c r="CG276" t="str">
        <f t="shared" si="132"/>
        <v>NP</v>
      </c>
    </row>
    <row r="277" spans="1:85" ht="51" customHeight="1" x14ac:dyDescent="0.3">
      <c r="A277" s="298" t="s">
        <v>800</v>
      </c>
      <c r="B277" s="299" t="str">
        <f>'PLAN INDICATIVO'!B277</f>
        <v>Desarrollo Económico/Promoción del desarrollo</v>
      </c>
      <c r="C277" s="1547"/>
      <c r="D277" s="1549"/>
      <c r="E277" s="1549"/>
      <c r="F277" s="1549"/>
      <c r="G277" s="1549"/>
      <c r="H277" s="1549"/>
      <c r="I277" s="300">
        <f>'PLAN INDICATIVO'!I277</f>
        <v>0</v>
      </c>
      <c r="J277" s="300">
        <f>'PLAN INDICATIVO'!J277</f>
        <v>0</v>
      </c>
      <c r="K277" s="1428" t="str">
        <f>'PLAN INDICATIVO'!K277</f>
        <v>A.13.2.4</v>
      </c>
      <c r="L277" s="301" t="str">
        <f>'PLAN INDICATIVO'!L277</f>
        <v>8. Trabajo decente y crecimiento económico</v>
      </c>
      <c r="M277" s="301" t="str">
        <f>'PLAN INDICATIVO'!M277</f>
        <v>Secretaría de Educación, Cultura, deporte y Turismo</v>
      </c>
      <c r="N277" s="1513" t="s">
        <v>5122</v>
      </c>
      <c r="O277" s="1425" t="str">
        <f>'PLAN INDICATIVO'!O277</f>
        <v>Incremento</v>
      </c>
      <c r="P277" s="16" t="str">
        <f>'PLAN INDICATIVO'!P277</f>
        <v>Apoyar 2 proyectos de desarrollo económico que permitan el crecimiento acelerado de las empresas turísticas.</v>
      </c>
      <c r="Q277" s="302" t="str">
        <f>'PLAN INDICATIVO'!Q277</f>
        <v>No. De Proyectos apoyados</v>
      </c>
      <c r="R277" s="303">
        <f>'PLAN INDICATIVO'!R277</f>
        <v>2015</v>
      </c>
      <c r="S277" s="304">
        <v>0</v>
      </c>
      <c r="T277" s="1299">
        <v>2</v>
      </c>
      <c r="U277" s="303"/>
      <c r="V277" s="687"/>
      <c r="W277" s="572"/>
      <c r="X277" s="687"/>
      <c r="Y277" s="1232"/>
      <c r="Z277" s="1233">
        <v>500000</v>
      </c>
      <c r="AA277" s="1310">
        <v>2</v>
      </c>
      <c r="AB277" s="687">
        <v>11669944</v>
      </c>
      <c r="AC277" s="665"/>
      <c r="AD277" s="665"/>
      <c r="AE277" s="665"/>
      <c r="AF277" s="665">
        <v>0</v>
      </c>
      <c r="AG277" s="306" t="s">
        <v>5152</v>
      </c>
      <c r="AH277" s="987">
        <v>2019413960022</v>
      </c>
      <c r="AI277" s="1007" t="s">
        <v>4755</v>
      </c>
      <c r="AJ277" s="309">
        <v>43497</v>
      </c>
      <c r="AK277" s="838">
        <v>43708</v>
      </c>
      <c r="AL277" s="308"/>
      <c r="AM277" s="308"/>
      <c r="AN277" s="267" t="s">
        <v>2594</v>
      </c>
      <c r="AO277" s="507"/>
      <c r="AP277" s="525"/>
      <c r="AQ277" s="310"/>
      <c r="AR277" s="310"/>
      <c r="AS277" s="310"/>
      <c r="AT277" s="310"/>
      <c r="AU277" s="310"/>
      <c r="AV277" s="310"/>
      <c r="AW277" s="544"/>
      <c r="AX277" s="525"/>
      <c r="AY277" s="310"/>
      <c r="AZ277" s="310"/>
      <c r="BA277" s="310"/>
      <c r="BB277" s="310"/>
      <c r="BC277" s="310"/>
      <c r="BD277" s="310"/>
      <c r="BE277" s="544"/>
      <c r="BF277" s="525"/>
      <c r="BG277" s="310"/>
      <c r="BH277" s="310"/>
      <c r="BI277" s="310"/>
      <c r="BJ277" s="310"/>
      <c r="BK277" s="310"/>
      <c r="BL277" s="310"/>
      <c r="BM277" s="544">
        <f t="shared" si="105"/>
        <v>0</v>
      </c>
      <c r="BN277" s="525"/>
      <c r="BO277" s="310"/>
      <c r="BP277" s="310"/>
      <c r="BQ277" s="310"/>
      <c r="BR277" s="310"/>
      <c r="BS277" s="310"/>
      <c r="BT277" s="310"/>
      <c r="BU277" s="544"/>
      <c r="BV277" s="556"/>
      <c r="BW277" s="663">
        <f t="shared" si="127"/>
        <v>0</v>
      </c>
      <c r="BX277" s="1047">
        <f t="shared" si="133"/>
        <v>0</v>
      </c>
      <c r="BY277" s="1047" t="str">
        <f t="shared" si="128"/>
        <v>No Programada</v>
      </c>
      <c r="BZ277" s="1047" t="str">
        <f t="shared" si="129"/>
        <v>No Programada</v>
      </c>
      <c r="CA277" s="1047" t="str">
        <f t="shared" si="129"/>
        <v>No Programada</v>
      </c>
      <c r="CB277" s="1047">
        <f t="shared" si="131"/>
        <v>0</v>
      </c>
      <c r="CD277" t="str">
        <f t="shared" si="132"/>
        <v>NP</v>
      </c>
      <c r="CE277" t="str">
        <f t="shared" si="132"/>
        <v>NP</v>
      </c>
      <c r="CF277" t="str">
        <f t="shared" si="132"/>
        <v>NP</v>
      </c>
      <c r="CG277" t="str">
        <f t="shared" si="132"/>
        <v>ROB</v>
      </c>
    </row>
    <row r="278" spans="1:85" ht="43.5" customHeight="1" x14ac:dyDescent="0.3">
      <c r="A278" s="298" t="s">
        <v>800</v>
      </c>
      <c r="B278" s="299" t="str">
        <f>'PLAN INDICATIVO'!B278</f>
        <v>Desarrollo Económico/Promoción del desarrollo</v>
      </c>
      <c r="C278" s="1547"/>
      <c r="D278" s="1549"/>
      <c r="E278" s="1549"/>
      <c r="F278" s="1549"/>
      <c r="G278" s="1549"/>
      <c r="H278" s="1549"/>
      <c r="I278" s="300">
        <f>'PLAN INDICATIVO'!I278</f>
        <v>0</v>
      </c>
      <c r="J278" s="300">
        <f>'PLAN INDICATIVO'!J278</f>
        <v>0</v>
      </c>
      <c r="K278" s="1428" t="str">
        <f>'PLAN INDICATIVO'!K278</f>
        <v>A.13.2.5</v>
      </c>
      <c r="L278" s="301" t="str">
        <f>'PLAN INDICATIVO'!L278</f>
        <v>8. Trabajo decente y crecimiento económico</v>
      </c>
      <c r="M278" s="301" t="str">
        <f>'PLAN INDICATIVO'!M278</f>
        <v>Secretaría de Educación, Cultura, deporte y Turismo</v>
      </c>
      <c r="N278" s="1513" t="s">
        <v>5122</v>
      </c>
      <c r="O278" s="1425" t="str">
        <f>'PLAN INDICATIVO'!O278</f>
        <v>Incremento</v>
      </c>
      <c r="P278" s="16" t="str">
        <f>'PLAN INDICATIVO'!P278</f>
        <v>Implementar 4 proyectos para identificación de los atractivos que requieren intervención y Ejecutar obras para la recuperación y adecuación que permita la atención de público.</v>
      </c>
      <c r="Q278" s="302" t="str">
        <f>'PLAN INDICATIVO'!Q278</f>
        <v>No. De Proyectos implementados</v>
      </c>
      <c r="R278" s="303">
        <f>'PLAN INDICATIVO'!R278</f>
        <v>2015</v>
      </c>
      <c r="S278" s="304">
        <v>0</v>
      </c>
      <c r="T278" s="498">
        <v>4</v>
      </c>
      <c r="U278" s="303"/>
      <c r="V278" s="687">
        <v>500000</v>
      </c>
      <c r="W278" s="572">
        <v>2</v>
      </c>
      <c r="X278" s="687">
        <v>1000000</v>
      </c>
      <c r="Y278" s="1232">
        <v>1</v>
      </c>
      <c r="Z278" s="1233">
        <v>500000</v>
      </c>
      <c r="AA278" s="1310">
        <v>1</v>
      </c>
      <c r="AB278" s="687">
        <v>11669944</v>
      </c>
      <c r="AC278" s="665"/>
      <c r="AD278" s="665">
        <v>2</v>
      </c>
      <c r="AE278" s="665">
        <v>1</v>
      </c>
      <c r="AF278" s="665">
        <v>0</v>
      </c>
      <c r="AG278" s="306" t="s">
        <v>5152</v>
      </c>
      <c r="AH278" s="987">
        <v>2019413960022</v>
      </c>
      <c r="AI278" s="1007" t="s">
        <v>5092</v>
      </c>
      <c r="AJ278" s="309">
        <v>43497</v>
      </c>
      <c r="AK278" s="881">
        <v>43769</v>
      </c>
      <c r="AL278" s="308"/>
      <c r="AM278" s="308"/>
      <c r="AN278" s="267" t="s">
        <v>2598</v>
      </c>
      <c r="AO278" s="507"/>
      <c r="AP278" s="525"/>
      <c r="AQ278" s="310"/>
      <c r="AR278" s="310"/>
      <c r="AS278" s="310"/>
      <c r="AT278" s="310"/>
      <c r="AU278" s="310"/>
      <c r="AV278" s="310"/>
      <c r="AW278" s="544"/>
      <c r="AX278" s="525"/>
      <c r="AY278" s="310"/>
      <c r="AZ278" s="310"/>
      <c r="BA278" s="310"/>
      <c r="BB278" s="310"/>
      <c r="BC278" s="310"/>
      <c r="BD278" s="310"/>
      <c r="BE278" s="544"/>
      <c r="BF278" s="525"/>
      <c r="BG278" s="310"/>
      <c r="BH278" s="310"/>
      <c r="BI278" s="310"/>
      <c r="BJ278" s="310"/>
      <c r="BK278" s="310"/>
      <c r="BL278" s="310"/>
      <c r="BM278" s="544">
        <f t="shared" si="105"/>
        <v>0</v>
      </c>
      <c r="BN278" s="525"/>
      <c r="BO278" s="310"/>
      <c r="BP278" s="310"/>
      <c r="BQ278" s="310"/>
      <c r="BR278" s="310"/>
      <c r="BS278" s="310"/>
      <c r="BT278" s="310"/>
      <c r="BU278" s="544"/>
      <c r="BV278" s="556"/>
      <c r="BW278" s="663">
        <f t="shared" si="127"/>
        <v>3</v>
      </c>
      <c r="BX278" s="1047">
        <f t="shared" si="133"/>
        <v>0.75</v>
      </c>
      <c r="BY278" s="1047" t="str">
        <f t="shared" si="128"/>
        <v>No Programada</v>
      </c>
      <c r="BZ278" s="1047">
        <f t="shared" si="129"/>
        <v>1</v>
      </c>
      <c r="CA278" s="1047">
        <f t="shared" si="130"/>
        <v>1</v>
      </c>
      <c r="CB278" s="1047">
        <f t="shared" si="131"/>
        <v>0</v>
      </c>
      <c r="CD278" t="str">
        <f t="shared" si="132"/>
        <v>NP</v>
      </c>
      <c r="CE278" t="str">
        <f t="shared" si="132"/>
        <v>VE</v>
      </c>
      <c r="CF278" t="str">
        <f t="shared" si="132"/>
        <v>VE</v>
      </c>
      <c r="CG278" t="str">
        <f t="shared" si="132"/>
        <v>ROB</v>
      </c>
    </row>
    <row r="279" spans="1:85" ht="36" customHeight="1" x14ac:dyDescent="0.3">
      <c r="A279" s="298" t="s">
        <v>2458</v>
      </c>
      <c r="B279" s="299" t="str">
        <f>'PLAN INDICATIVO'!B279</f>
        <v>Desarrollo Económico/Promoción del desarrollo</v>
      </c>
      <c r="C279" s="1547"/>
      <c r="D279" s="1549"/>
      <c r="E279" s="1549"/>
      <c r="F279" s="1549"/>
      <c r="G279" s="1549"/>
      <c r="H279" s="1549"/>
      <c r="I279" s="300">
        <f>'PLAN INDICATIVO'!I279</f>
        <v>0</v>
      </c>
      <c r="J279" s="300">
        <f>'PLAN INDICATIVO'!J279</f>
        <v>0</v>
      </c>
      <c r="K279" s="1428" t="str">
        <f>'PLAN INDICATIVO'!K279</f>
        <v>A.13.2.6</v>
      </c>
      <c r="L279" s="301" t="str">
        <f>'PLAN INDICATIVO'!L279</f>
        <v>8. Trabajo decente y crecimiento económico</v>
      </c>
      <c r="M279" s="301" t="str">
        <f>'PLAN INDICATIVO'!M279</f>
        <v>Secretaría de Educación, Cultura, deporte y Turismo</v>
      </c>
      <c r="N279" s="1513" t="s">
        <v>5122</v>
      </c>
      <c r="O279" s="1425" t="str">
        <f>'PLAN INDICATIVO'!O279</f>
        <v>Incremento</v>
      </c>
      <c r="P279" s="16" t="str">
        <f>'PLAN INDICATIVO'!P279</f>
        <v>Realizar la instalación de material informativo de los principales atractivos  y culturales del municipio.</v>
      </c>
      <c r="Q279" s="302" t="str">
        <f>'PLAN INDICATIVO'!Q279</f>
        <v>No. Material informativo instalado</v>
      </c>
      <c r="R279" s="303">
        <f>'PLAN INDICATIVO'!R279</f>
        <v>2015</v>
      </c>
      <c r="S279" s="304">
        <v>0</v>
      </c>
      <c r="T279" s="498">
        <v>1</v>
      </c>
      <c r="U279" s="303"/>
      <c r="V279" s="687"/>
      <c r="W279" s="572"/>
      <c r="X279" s="687"/>
      <c r="Y279" s="1232"/>
      <c r="Z279" s="1233">
        <v>500000</v>
      </c>
      <c r="AA279" s="1310">
        <v>1</v>
      </c>
      <c r="AB279" s="687">
        <v>11669944</v>
      </c>
      <c r="AC279" s="665"/>
      <c r="AD279" s="665"/>
      <c r="AE279" s="665"/>
      <c r="AF279" s="665">
        <v>1</v>
      </c>
      <c r="AG279" s="306" t="s">
        <v>5152</v>
      </c>
      <c r="AH279" s="987">
        <v>2019413960022</v>
      </c>
      <c r="AI279" s="1007" t="s">
        <v>5093</v>
      </c>
      <c r="AJ279" s="309">
        <v>43497</v>
      </c>
      <c r="AK279" s="881">
        <v>43465</v>
      </c>
      <c r="AL279" s="308"/>
      <c r="AM279" s="308"/>
      <c r="AN279" s="267" t="s">
        <v>2594</v>
      </c>
      <c r="AO279" s="507"/>
      <c r="AP279" s="525"/>
      <c r="AQ279" s="310"/>
      <c r="AR279" s="310"/>
      <c r="AS279" s="310"/>
      <c r="AT279" s="310"/>
      <c r="AU279" s="310"/>
      <c r="AV279" s="310"/>
      <c r="AW279" s="544"/>
      <c r="AX279" s="525"/>
      <c r="AY279" s="310"/>
      <c r="AZ279" s="310"/>
      <c r="BA279" s="310"/>
      <c r="BB279" s="310"/>
      <c r="BC279" s="310"/>
      <c r="BD279" s="310"/>
      <c r="BE279" s="544"/>
      <c r="BF279" s="525"/>
      <c r="BG279" s="310"/>
      <c r="BH279" s="310"/>
      <c r="BI279" s="310"/>
      <c r="BJ279" s="310"/>
      <c r="BK279" s="310"/>
      <c r="BL279" s="310"/>
      <c r="BM279" s="544">
        <f t="shared" ref="BM279" si="134">SUM(BF279:BL279)</f>
        <v>0</v>
      </c>
      <c r="BN279" s="525"/>
      <c r="BO279" s="310"/>
      <c r="BP279" s="310"/>
      <c r="BQ279" s="310"/>
      <c r="BR279" s="310"/>
      <c r="BS279" s="310"/>
      <c r="BT279" s="310"/>
      <c r="BU279" s="544"/>
      <c r="BV279" s="556"/>
      <c r="BW279" s="663">
        <f t="shared" si="127"/>
        <v>1</v>
      </c>
      <c r="BX279" s="1047">
        <f t="shared" si="133"/>
        <v>1</v>
      </c>
      <c r="BY279" s="1047" t="str">
        <f t="shared" si="128"/>
        <v>No Programada</v>
      </c>
      <c r="BZ279" s="1047" t="str">
        <f t="shared" si="129"/>
        <v>No Programada</v>
      </c>
      <c r="CA279" s="1047" t="str">
        <f t="shared" si="130"/>
        <v>No Programada</v>
      </c>
      <c r="CB279" s="1047">
        <f t="shared" si="131"/>
        <v>1</v>
      </c>
      <c r="CD279" t="str">
        <f t="shared" si="132"/>
        <v>NP</v>
      </c>
      <c r="CE279" t="str">
        <f t="shared" si="132"/>
        <v>NP</v>
      </c>
      <c r="CF279" t="str">
        <f t="shared" si="132"/>
        <v>NP</v>
      </c>
      <c r="CG279" t="str">
        <f t="shared" si="132"/>
        <v>VE</v>
      </c>
    </row>
    <row r="280" spans="1:85" ht="56.25" customHeight="1" x14ac:dyDescent="0.3">
      <c r="A280" s="298" t="s">
        <v>2464</v>
      </c>
      <c r="B280" s="299" t="str">
        <f>'PLAN INDICATIVO'!B280</f>
        <v>Desarrollo Económico/Promoción del desarrollo</v>
      </c>
      <c r="C280" s="1547"/>
      <c r="D280" s="1549"/>
      <c r="E280" s="1549"/>
      <c r="F280" s="1549"/>
      <c r="G280" s="1549"/>
      <c r="H280" s="1549"/>
      <c r="I280" s="300">
        <f>'PLAN INDICATIVO'!I280</f>
        <v>0</v>
      </c>
      <c r="J280" s="300">
        <f>'PLAN INDICATIVO'!J280</f>
        <v>0</v>
      </c>
      <c r="K280" s="1428" t="str">
        <f>'PLAN INDICATIVO'!K280</f>
        <v>A.13.2.7</v>
      </c>
      <c r="L280" s="301" t="str">
        <f>'PLAN INDICATIVO'!L280</f>
        <v>8. Trabajo decente y crecimiento económico</v>
      </c>
      <c r="M280" s="301" t="str">
        <f>'PLAN INDICATIVO'!M280</f>
        <v>Secretaría de Educación, Cultura, deporte y Turismo</v>
      </c>
      <c r="N280" s="1513" t="s">
        <v>5122</v>
      </c>
      <c r="O280" s="1425" t="str">
        <f>'PLAN INDICATIVO'!O280</f>
        <v>Incremento</v>
      </c>
      <c r="P280" s="16" t="str">
        <f>'PLAN INDICATIVO'!P280</f>
        <v>Apoyar 2 proyectos de desarrollo turístico con capital semilla a nuevas empresas que por su nivel de innovación sean merecedoras de tal beneficio, durante el cuatrienio</v>
      </c>
      <c r="Q280" s="302" t="str">
        <f>'PLAN INDICATIVO'!Q280</f>
        <v>No. Proyectos apoyados</v>
      </c>
      <c r="R280" s="303">
        <f>'PLAN INDICATIVO'!R280</f>
        <v>2015</v>
      </c>
      <c r="S280" s="304">
        <v>0</v>
      </c>
      <c r="T280" s="498">
        <v>2</v>
      </c>
      <c r="U280" s="303"/>
      <c r="V280" s="687"/>
      <c r="W280" s="572"/>
      <c r="X280" s="687"/>
      <c r="Y280" s="1232"/>
      <c r="Z280" s="1233">
        <v>500000</v>
      </c>
      <c r="AA280" s="1310">
        <v>2</v>
      </c>
      <c r="AB280" s="687">
        <v>11669944</v>
      </c>
      <c r="AC280" s="665"/>
      <c r="AD280" s="665"/>
      <c r="AE280" s="665"/>
      <c r="AF280" s="665">
        <v>0</v>
      </c>
      <c r="AG280" s="306" t="s">
        <v>5152</v>
      </c>
      <c r="AH280" s="987">
        <v>2019413960022</v>
      </c>
      <c r="AI280" s="1007" t="s">
        <v>4756</v>
      </c>
      <c r="AJ280" s="309">
        <v>43497</v>
      </c>
      <c r="AK280" s="838">
        <v>43748</v>
      </c>
      <c r="AL280" s="308"/>
      <c r="AM280" s="308"/>
      <c r="AN280" s="267" t="s">
        <v>2594</v>
      </c>
      <c r="AO280" s="507"/>
      <c r="AP280" s="525"/>
      <c r="AQ280" s="310"/>
      <c r="AR280" s="310"/>
      <c r="AS280" s="310"/>
      <c r="AT280" s="310"/>
      <c r="AU280" s="310"/>
      <c r="AV280" s="310"/>
      <c r="AW280" s="544"/>
      <c r="AX280" s="525"/>
      <c r="AY280" s="310"/>
      <c r="AZ280" s="310"/>
      <c r="BA280" s="310"/>
      <c r="BB280" s="310"/>
      <c r="BC280" s="310"/>
      <c r="BD280" s="310"/>
      <c r="BE280" s="544"/>
      <c r="BF280" s="525"/>
      <c r="BG280" s="310"/>
      <c r="BH280" s="310"/>
      <c r="BI280" s="310"/>
      <c r="BJ280" s="310"/>
      <c r="BK280" s="310"/>
      <c r="BL280" s="310"/>
      <c r="BM280" s="544">
        <f t="shared" si="105"/>
        <v>0</v>
      </c>
      <c r="BN280" s="525"/>
      <c r="BO280" s="310"/>
      <c r="BP280" s="310"/>
      <c r="BQ280" s="310"/>
      <c r="BR280" s="310"/>
      <c r="BS280" s="310"/>
      <c r="BT280" s="310"/>
      <c r="BU280" s="544"/>
      <c r="BV280" s="556"/>
      <c r="BW280" s="663">
        <f t="shared" si="127"/>
        <v>0</v>
      </c>
      <c r="BX280" s="1047">
        <f t="shared" si="133"/>
        <v>0</v>
      </c>
      <c r="BY280" s="1047" t="str">
        <f t="shared" si="128"/>
        <v>No Programada</v>
      </c>
      <c r="BZ280" s="1047" t="str">
        <f t="shared" si="129"/>
        <v>No Programada</v>
      </c>
      <c r="CA280" s="1047" t="str">
        <f t="shared" si="130"/>
        <v>No Programada</v>
      </c>
      <c r="CB280" s="1047">
        <f t="shared" si="131"/>
        <v>0</v>
      </c>
      <c r="CD280" t="str">
        <f t="shared" si="132"/>
        <v>NP</v>
      </c>
      <c r="CE280" t="str">
        <f t="shared" si="132"/>
        <v>NP</v>
      </c>
      <c r="CF280" t="str">
        <f t="shared" si="132"/>
        <v>NP</v>
      </c>
      <c r="CG280" t="str">
        <f t="shared" si="132"/>
        <v>ROB</v>
      </c>
    </row>
    <row r="281" spans="1:85" ht="61.5" customHeight="1" x14ac:dyDescent="0.3">
      <c r="A281" s="298" t="s">
        <v>800</v>
      </c>
      <c r="B281" s="299" t="str">
        <f>'PLAN INDICATIVO'!B281</f>
        <v>Desarrollo Económico/Promoción del desarrollo</v>
      </c>
      <c r="C281" s="1547"/>
      <c r="D281" s="1549"/>
      <c r="E281" s="1549"/>
      <c r="F281" s="1549"/>
      <c r="G281" s="1549"/>
      <c r="H281" s="1549"/>
      <c r="I281" s="300">
        <f>'PLAN INDICATIVO'!I281</f>
        <v>0</v>
      </c>
      <c r="J281" s="300">
        <f>'PLAN INDICATIVO'!J281</f>
        <v>0</v>
      </c>
      <c r="K281" s="1428" t="str">
        <f>'PLAN INDICATIVO'!K281</f>
        <v>A.13.2.8</v>
      </c>
      <c r="L281" s="301" t="str">
        <f>'PLAN INDICATIVO'!L281</f>
        <v>8. Trabajo decente y crecimiento económico</v>
      </c>
      <c r="M281" s="301" t="str">
        <f>'PLAN INDICATIVO'!M281</f>
        <v>Secretaría de Educación, Cultura, deporte y Turismo</v>
      </c>
      <c r="N281" s="1513" t="s">
        <v>5122</v>
      </c>
      <c r="O281" s="1425" t="str">
        <f>'PLAN INDICATIVO'!O281</f>
        <v>Incremento</v>
      </c>
      <c r="P281" s="16" t="str">
        <f>'PLAN INDICATIVO'!P281</f>
        <v>Formular 2 proyectos durante el cuatrienio para buscar apoyo económico que permitan la creación de nuevas empresas.</v>
      </c>
      <c r="Q281" s="302" t="str">
        <f>'PLAN INDICATIVO'!Q281</f>
        <v>No. Proyectos formulados</v>
      </c>
      <c r="R281" s="303">
        <f>'PLAN INDICATIVO'!R281</f>
        <v>2015</v>
      </c>
      <c r="S281" s="304">
        <v>0</v>
      </c>
      <c r="T281" s="498">
        <v>2</v>
      </c>
      <c r="U281" s="303"/>
      <c r="V281" s="687"/>
      <c r="W281" s="572"/>
      <c r="X281" s="687"/>
      <c r="Y281" s="1232"/>
      <c r="Z281" s="1233">
        <v>500000</v>
      </c>
      <c r="AA281" s="1310">
        <v>2</v>
      </c>
      <c r="AB281" s="687"/>
      <c r="AC281" s="665"/>
      <c r="AD281" s="665"/>
      <c r="AE281" s="665"/>
      <c r="AF281" s="665">
        <v>0</v>
      </c>
      <c r="AG281" s="306" t="s">
        <v>5152</v>
      </c>
      <c r="AH281" s="987">
        <v>2019413960022</v>
      </c>
      <c r="AI281" s="1007" t="s">
        <v>4757</v>
      </c>
      <c r="AJ281" s="309">
        <v>43497</v>
      </c>
      <c r="AK281" s="838">
        <v>43748</v>
      </c>
      <c r="AL281" s="308"/>
      <c r="AM281" s="308"/>
      <c r="AN281" s="267" t="s">
        <v>2594</v>
      </c>
      <c r="AO281" s="507"/>
      <c r="AP281" s="525"/>
      <c r="AQ281" s="310"/>
      <c r="AR281" s="310"/>
      <c r="AS281" s="310"/>
      <c r="AT281" s="310"/>
      <c r="AU281" s="310"/>
      <c r="AV281" s="310"/>
      <c r="AW281" s="544"/>
      <c r="AX281" s="525"/>
      <c r="AY281" s="310"/>
      <c r="AZ281" s="310"/>
      <c r="BA281" s="310"/>
      <c r="BB281" s="310"/>
      <c r="BC281" s="310"/>
      <c r="BD281" s="310"/>
      <c r="BE281" s="544"/>
      <c r="BF281" s="525"/>
      <c r="BG281" s="310"/>
      <c r="BH281" s="310"/>
      <c r="BI281" s="310"/>
      <c r="BJ281" s="310"/>
      <c r="BK281" s="310"/>
      <c r="BL281" s="310"/>
      <c r="BM281" s="544">
        <f t="shared" si="105"/>
        <v>0</v>
      </c>
      <c r="BN281" s="525"/>
      <c r="BO281" s="310"/>
      <c r="BP281" s="310"/>
      <c r="BQ281" s="310"/>
      <c r="BR281" s="310"/>
      <c r="BS281" s="310"/>
      <c r="BT281" s="310"/>
      <c r="BU281" s="544"/>
      <c r="BV281" s="556"/>
      <c r="BW281" s="663">
        <f t="shared" si="127"/>
        <v>0</v>
      </c>
      <c r="BX281" s="1047">
        <f t="shared" si="133"/>
        <v>0</v>
      </c>
      <c r="BY281" s="1047" t="str">
        <f t="shared" si="128"/>
        <v>No Programada</v>
      </c>
      <c r="BZ281" s="1047" t="str">
        <f t="shared" si="129"/>
        <v>No Programada</v>
      </c>
      <c r="CA281" s="1047" t="str">
        <f t="shared" si="130"/>
        <v>No Programada</v>
      </c>
      <c r="CB281" s="1047">
        <f t="shared" si="131"/>
        <v>0</v>
      </c>
      <c r="CD281" t="str">
        <f t="shared" si="132"/>
        <v>NP</v>
      </c>
      <c r="CE281" t="str">
        <f t="shared" si="132"/>
        <v>NP</v>
      </c>
      <c r="CF281" t="str">
        <f t="shared" si="132"/>
        <v>NP</v>
      </c>
      <c r="CG281" t="str">
        <f t="shared" si="132"/>
        <v>ROB</v>
      </c>
    </row>
    <row r="282" spans="1:85" ht="51" customHeight="1" x14ac:dyDescent="0.3">
      <c r="A282" s="298" t="s">
        <v>800</v>
      </c>
      <c r="B282" s="299" t="str">
        <f>'PLAN INDICATIVO'!B282</f>
        <v>Desarrollo Económico/Promoción del desarrollo</v>
      </c>
      <c r="C282" s="1547"/>
      <c r="D282" s="1549"/>
      <c r="E282" s="1549"/>
      <c r="F282" s="1549"/>
      <c r="G282" s="1549"/>
      <c r="H282" s="1549"/>
      <c r="I282" s="300">
        <f>'PLAN INDICATIVO'!I282</f>
        <v>0</v>
      </c>
      <c r="J282" s="300">
        <f>'PLAN INDICATIVO'!J282</f>
        <v>0</v>
      </c>
      <c r="K282" s="1428" t="str">
        <f>'PLAN INDICATIVO'!K282</f>
        <v>A.13.2.9</v>
      </c>
      <c r="L282" s="301" t="str">
        <f>'PLAN INDICATIVO'!L282</f>
        <v>8. Trabajo decente y crecimiento económico</v>
      </c>
      <c r="M282" s="301" t="str">
        <f>'PLAN INDICATIVO'!M282</f>
        <v>Secretaría de Educación, Cultura, deporte y Turismo</v>
      </c>
      <c r="N282" s="1513" t="s">
        <v>5122</v>
      </c>
      <c r="O282" s="1425" t="str">
        <f>'PLAN INDICATIVO'!O282</f>
        <v>Incremento</v>
      </c>
      <c r="P282" s="16" t="str">
        <f>'PLAN INDICATIVO'!P282</f>
        <v>Crear 1 documento de cátedra plateña durante el cuatrienio, que permita a los pobladores conocer sobre los recursos, atractivos y actividades turísticas y culturales del Municipio.</v>
      </c>
      <c r="Q282" s="302" t="str">
        <f>'PLAN INDICATIVO'!Q282</f>
        <v>No. Documento creado</v>
      </c>
      <c r="R282" s="303">
        <f>'PLAN INDICATIVO'!R282</f>
        <v>2015</v>
      </c>
      <c r="S282" s="304">
        <v>0</v>
      </c>
      <c r="T282" s="498">
        <v>1</v>
      </c>
      <c r="U282" s="303"/>
      <c r="V282" s="687">
        <v>1500000</v>
      </c>
      <c r="W282" s="572">
        <v>0.33</v>
      </c>
      <c r="X282" s="687">
        <v>1000000</v>
      </c>
      <c r="Y282" s="1232"/>
      <c r="Z282" s="1233">
        <v>500000</v>
      </c>
      <c r="AA282" s="1310">
        <v>0.34</v>
      </c>
      <c r="AB282" s="687">
        <v>11669944</v>
      </c>
      <c r="AC282" s="665"/>
      <c r="AD282" s="665">
        <v>0.33</v>
      </c>
      <c r="AE282" s="665">
        <v>0.33</v>
      </c>
      <c r="AF282" s="665">
        <v>0.34</v>
      </c>
      <c r="AG282" s="306" t="s">
        <v>5152</v>
      </c>
      <c r="AH282" s="987">
        <v>2019413960022</v>
      </c>
      <c r="AI282" s="1007" t="s">
        <v>5094</v>
      </c>
      <c r="AJ282" s="309">
        <v>43497</v>
      </c>
      <c r="AK282" s="838">
        <v>43748</v>
      </c>
      <c r="AL282" s="308"/>
      <c r="AM282" s="308"/>
      <c r="AN282" s="267" t="s">
        <v>2598</v>
      </c>
      <c r="AO282" s="507"/>
      <c r="AP282" s="525"/>
      <c r="AQ282" s="310"/>
      <c r="AR282" s="310"/>
      <c r="AS282" s="310"/>
      <c r="AT282" s="310"/>
      <c r="AU282" s="310"/>
      <c r="AV282" s="310"/>
      <c r="AW282" s="544"/>
      <c r="AX282" s="525"/>
      <c r="AY282" s="310"/>
      <c r="AZ282" s="310"/>
      <c r="BA282" s="310"/>
      <c r="BB282" s="310"/>
      <c r="BC282" s="310"/>
      <c r="BD282" s="310"/>
      <c r="BE282" s="544"/>
      <c r="BF282" s="525"/>
      <c r="BG282" s="310"/>
      <c r="BH282" s="310"/>
      <c r="BI282" s="310"/>
      <c r="BJ282" s="310"/>
      <c r="BK282" s="310"/>
      <c r="BL282" s="310"/>
      <c r="BM282" s="544">
        <f t="shared" ref="BM282" si="135">SUM(BF282:BL282)</f>
        <v>0</v>
      </c>
      <c r="BN282" s="525"/>
      <c r="BO282" s="310"/>
      <c r="BP282" s="310"/>
      <c r="BQ282" s="310"/>
      <c r="BR282" s="310"/>
      <c r="BS282" s="310"/>
      <c r="BT282" s="310"/>
      <c r="BU282" s="544"/>
      <c r="BV282" s="556"/>
      <c r="BW282" s="663">
        <f t="shared" si="127"/>
        <v>1</v>
      </c>
      <c r="BX282" s="1047">
        <f t="shared" si="133"/>
        <v>1</v>
      </c>
      <c r="BY282" s="1047" t="str">
        <f t="shared" si="128"/>
        <v>No Programada</v>
      </c>
      <c r="BZ282" s="1047">
        <f t="shared" si="129"/>
        <v>1</v>
      </c>
      <c r="CA282" s="1047" t="str">
        <f t="shared" si="130"/>
        <v>No Programada</v>
      </c>
      <c r="CB282" s="1047">
        <f t="shared" si="131"/>
        <v>1</v>
      </c>
      <c r="CD282" t="str">
        <f t="shared" si="132"/>
        <v>NP</v>
      </c>
      <c r="CE282" t="str">
        <f t="shared" si="132"/>
        <v>VE</v>
      </c>
      <c r="CF282" t="str">
        <f t="shared" si="132"/>
        <v>NP</v>
      </c>
      <c r="CG282" t="str">
        <f t="shared" si="132"/>
        <v>VE</v>
      </c>
    </row>
    <row r="283" spans="1:85" ht="51" customHeight="1" x14ac:dyDescent="0.3">
      <c r="A283" s="298" t="s">
        <v>800</v>
      </c>
      <c r="B283" s="299" t="str">
        <f>'PLAN INDICATIVO'!B283</f>
        <v>Desarrollo Económico/Promoción del desarrollo</v>
      </c>
      <c r="C283" s="1547"/>
      <c r="D283" s="1549"/>
      <c r="E283" s="1549"/>
      <c r="F283" s="1549"/>
      <c r="G283" s="1549"/>
      <c r="H283" s="1549"/>
      <c r="I283" s="300">
        <f>'PLAN INDICATIVO'!I283</f>
        <v>0</v>
      </c>
      <c r="J283" s="300">
        <f>'PLAN INDICATIVO'!J283</f>
        <v>0</v>
      </c>
      <c r="K283" s="1428" t="str">
        <f>'PLAN INDICATIVO'!K283</f>
        <v>A.13.2.10</v>
      </c>
      <c r="L283" s="301" t="str">
        <f>'PLAN INDICATIVO'!L283</f>
        <v>8. Trabajo decente y crecimiento económico</v>
      </c>
      <c r="M283" s="301" t="str">
        <f>'PLAN INDICATIVO'!M283</f>
        <v>Secretaría de Educación, Cultura, deporte y Turismo</v>
      </c>
      <c r="N283" s="1513" t="s">
        <v>5122</v>
      </c>
      <c r="O283" s="1425" t="str">
        <f>'PLAN INDICATIVO'!O283</f>
        <v>Incremento</v>
      </c>
      <c r="P283" s="16" t="str">
        <f>'PLAN INDICATIVO'!P283</f>
        <v>Realizar 4 mingas comunitarias destinadas a la protección y conservación del patrimonio turístico del municipio</v>
      </c>
      <c r="Q283" s="302" t="str">
        <f>'PLAN INDICATIVO'!Q283</f>
        <v>No. de mingas realizadas</v>
      </c>
      <c r="R283" s="303">
        <f>'PLAN INDICATIVO'!R283</f>
        <v>2015</v>
      </c>
      <c r="S283" s="304">
        <v>0</v>
      </c>
      <c r="T283" s="498">
        <v>4</v>
      </c>
      <c r="U283" s="303">
        <v>1</v>
      </c>
      <c r="V283" s="687">
        <v>500000</v>
      </c>
      <c r="W283" s="572">
        <v>1</v>
      </c>
      <c r="X283" s="687">
        <v>1000000</v>
      </c>
      <c r="Y283" s="1232">
        <v>1</v>
      </c>
      <c r="Z283" s="1233">
        <v>500000</v>
      </c>
      <c r="AA283" s="1310">
        <v>1.5</v>
      </c>
      <c r="AB283" s="687">
        <v>11669944</v>
      </c>
      <c r="AC283" s="665"/>
      <c r="AD283" s="665">
        <v>1</v>
      </c>
      <c r="AE283" s="665">
        <v>0.5</v>
      </c>
      <c r="AF283" s="665">
        <v>0</v>
      </c>
      <c r="AG283" s="306" t="s">
        <v>5152</v>
      </c>
      <c r="AH283" s="987">
        <v>2019413960022</v>
      </c>
      <c r="AI283" s="1007" t="s">
        <v>5095</v>
      </c>
      <c r="AJ283" s="309">
        <v>43497</v>
      </c>
      <c r="AK283" s="838">
        <v>43748</v>
      </c>
      <c r="AL283" s="308"/>
      <c r="AM283" s="308"/>
      <c r="AN283" s="267" t="s">
        <v>2604</v>
      </c>
      <c r="AO283" s="507"/>
      <c r="AP283" s="310"/>
      <c r="AQ283" s="310"/>
      <c r="AR283" s="310"/>
      <c r="AS283" s="310"/>
      <c r="AT283" s="310"/>
      <c r="AU283" s="310"/>
      <c r="AV283" s="310"/>
      <c r="AW283" s="544"/>
      <c r="AX283" s="525"/>
      <c r="AY283" s="310"/>
      <c r="AZ283" s="310"/>
      <c r="BA283" s="310"/>
      <c r="BB283" s="310"/>
      <c r="BC283" s="310"/>
      <c r="BD283" s="310"/>
      <c r="BE283" s="544"/>
      <c r="BF283" s="525"/>
      <c r="BG283" s="310"/>
      <c r="BH283" s="310"/>
      <c r="BI283" s="310"/>
      <c r="BJ283" s="310"/>
      <c r="BK283" s="310"/>
      <c r="BL283" s="310"/>
      <c r="BM283" s="544">
        <f t="shared" ref="BM283:BM338" si="136">SUM(BF283:BL283)</f>
        <v>0</v>
      </c>
      <c r="BN283" s="525"/>
      <c r="BO283" s="310"/>
      <c r="BP283" s="310"/>
      <c r="BQ283" s="310"/>
      <c r="BR283" s="310"/>
      <c r="BS283" s="310"/>
      <c r="BT283" s="310"/>
      <c r="BU283" s="544"/>
      <c r="BV283" s="556"/>
      <c r="BW283" s="663">
        <f t="shared" si="127"/>
        <v>1.5</v>
      </c>
      <c r="BX283" s="1047">
        <f t="shared" si="133"/>
        <v>0.375</v>
      </c>
      <c r="BY283" s="1047">
        <f t="shared" si="128"/>
        <v>0</v>
      </c>
      <c r="BZ283" s="1047">
        <f t="shared" si="129"/>
        <v>1</v>
      </c>
      <c r="CA283" s="1047">
        <f t="shared" si="130"/>
        <v>0.5</v>
      </c>
      <c r="CB283" s="1047">
        <f t="shared" si="131"/>
        <v>0</v>
      </c>
      <c r="CD283" t="str">
        <f t="shared" si="132"/>
        <v>ROB</v>
      </c>
      <c r="CE283" t="str">
        <f t="shared" si="132"/>
        <v>VE</v>
      </c>
      <c r="CF283" t="str">
        <f t="shared" si="132"/>
        <v>AMB</v>
      </c>
      <c r="CG283" t="str">
        <f t="shared" si="132"/>
        <v>ROB</v>
      </c>
    </row>
    <row r="284" spans="1:85" ht="43.5" customHeight="1" x14ac:dyDescent="0.3">
      <c r="A284" s="298" t="s">
        <v>800</v>
      </c>
      <c r="B284" s="299" t="str">
        <f>'PLAN INDICATIVO'!B284</f>
        <v>Desarrollo Económico/Promoción del desarrollo</v>
      </c>
      <c r="C284" s="1547"/>
      <c r="D284" s="1549"/>
      <c r="E284" s="1549"/>
      <c r="F284" s="1549"/>
      <c r="G284" s="1549"/>
      <c r="H284" s="1549"/>
      <c r="I284" s="300">
        <f>'PLAN INDICATIVO'!I284</f>
        <v>0</v>
      </c>
      <c r="J284" s="300">
        <f>'PLAN INDICATIVO'!J284</f>
        <v>0</v>
      </c>
      <c r="K284" s="1428" t="str">
        <f>'PLAN INDICATIVO'!K284</f>
        <v>A.13.2.11</v>
      </c>
      <c r="L284" s="301" t="str">
        <f>'PLAN INDICATIVO'!L284</f>
        <v>8. Trabajo decente y crecimiento económico</v>
      </c>
      <c r="M284" s="301" t="str">
        <f>'PLAN INDICATIVO'!M284</f>
        <v>Secretaría de Educación, Cultura, deporte y Turismo</v>
      </c>
      <c r="N284" s="1513" t="s">
        <v>5122</v>
      </c>
      <c r="O284" s="1425" t="str">
        <f>'PLAN INDICATIVO'!O284</f>
        <v>Incremento</v>
      </c>
      <c r="P284" s="16" t="str">
        <f>'PLAN INDICATIVO'!P284</f>
        <v>Capacitar a 60  actores del sector turístico, en  estrategias de marketing relacional, social marketing y branding, durante el cuatrienio</v>
      </c>
      <c r="Q284" s="302" t="str">
        <f>'PLAN INDICATIVO'!Q284</f>
        <v>No. de  actores capacitados</v>
      </c>
      <c r="R284" s="303">
        <f>'PLAN INDICATIVO'!R284</f>
        <v>2015</v>
      </c>
      <c r="S284" s="304">
        <v>0</v>
      </c>
      <c r="T284" s="498">
        <v>60</v>
      </c>
      <c r="U284" s="303"/>
      <c r="V284" s="687">
        <v>500000</v>
      </c>
      <c r="W284" s="572">
        <v>30</v>
      </c>
      <c r="X284" s="687">
        <v>1000000</v>
      </c>
      <c r="Y284" s="1232"/>
      <c r="Z284" s="1233">
        <v>4500000</v>
      </c>
      <c r="AA284" s="1310"/>
      <c r="AB284" s="687">
        <v>11669944</v>
      </c>
      <c r="AC284" s="665"/>
      <c r="AD284" s="665">
        <v>60</v>
      </c>
      <c r="AE284" s="665">
        <v>30</v>
      </c>
      <c r="AF284" s="665">
        <v>0</v>
      </c>
      <c r="AG284" s="306" t="s">
        <v>5152</v>
      </c>
      <c r="AH284" s="987">
        <v>2019413960022</v>
      </c>
      <c r="AI284" s="1007" t="s">
        <v>4741</v>
      </c>
      <c r="AJ284" s="309">
        <v>43497</v>
      </c>
      <c r="AK284" s="838">
        <v>43748</v>
      </c>
      <c r="AL284" s="308"/>
      <c r="AM284" s="308"/>
      <c r="AN284" s="267" t="s">
        <v>2598</v>
      </c>
      <c r="AO284" s="507"/>
      <c r="AP284" s="525"/>
      <c r="AQ284" s="310"/>
      <c r="AR284" s="310"/>
      <c r="AS284" s="310"/>
      <c r="AT284" s="310"/>
      <c r="AU284" s="310"/>
      <c r="AV284" s="310"/>
      <c r="AW284" s="544"/>
      <c r="AX284" s="525"/>
      <c r="AY284" s="310"/>
      <c r="AZ284" s="310"/>
      <c r="BA284" s="310"/>
      <c r="BB284" s="310"/>
      <c r="BC284" s="310"/>
      <c r="BD284" s="310"/>
      <c r="BE284" s="544"/>
      <c r="BF284" s="525"/>
      <c r="BG284" s="310"/>
      <c r="BH284" s="310"/>
      <c r="BI284" s="310"/>
      <c r="BJ284" s="310"/>
      <c r="BK284" s="310"/>
      <c r="BL284" s="310"/>
      <c r="BM284" s="544">
        <f t="shared" si="136"/>
        <v>0</v>
      </c>
      <c r="BN284" s="525"/>
      <c r="BO284" s="310"/>
      <c r="BP284" s="310"/>
      <c r="BQ284" s="310"/>
      <c r="BR284" s="310"/>
      <c r="BS284" s="310"/>
      <c r="BT284" s="310"/>
      <c r="BU284" s="544"/>
      <c r="BV284" s="556"/>
      <c r="BW284" s="663">
        <f t="shared" si="127"/>
        <v>90</v>
      </c>
      <c r="BX284" s="1047">
        <f t="shared" si="133"/>
        <v>1.5</v>
      </c>
      <c r="BY284" s="1047" t="str">
        <f t="shared" si="128"/>
        <v>No Programada</v>
      </c>
      <c r="BZ284" s="1047">
        <f t="shared" si="129"/>
        <v>2</v>
      </c>
      <c r="CA284" s="1047" t="str">
        <f t="shared" si="130"/>
        <v>No Programada</v>
      </c>
      <c r="CB284" s="1047" t="str">
        <f t="shared" si="131"/>
        <v>No Programada</v>
      </c>
      <c r="CD284" t="str">
        <f t="shared" si="132"/>
        <v>NP</v>
      </c>
      <c r="CE284" t="str">
        <f t="shared" si="132"/>
        <v>VE</v>
      </c>
      <c r="CF284" t="str">
        <f t="shared" si="132"/>
        <v>NP</v>
      </c>
      <c r="CG284" t="str">
        <f t="shared" si="132"/>
        <v>NP</v>
      </c>
    </row>
    <row r="285" spans="1:85" ht="43.5" customHeight="1" x14ac:dyDescent="0.3">
      <c r="A285" s="298" t="s">
        <v>800</v>
      </c>
      <c r="B285" s="299" t="str">
        <f>'PLAN INDICATIVO'!B285</f>
        <v>Desarrollo Económico/Promoción del desarrollo</v>
      </c>
      <c r="C285" s="1548"/>
      <c r="D285" s="1549"/>
      <c r="E285" s="1549"/>
      <c r="F285" s="1549"/>
      <c r="G285" s="1549"/>
      <c r="H285" s="1549"/>
      <c r="I285" s="300">
        <f>'PLAN INDICATIVO'!I285</f>
        <v>0</v>
      </c>
      <c r="J285" s="300">
        <f>'PLAN INDICATIVO'!J285</f>
        <v>0</v>
      </c>
      <c r="K285" s="1428" t="str">
        <f>'PLAN INDICATIVO'!K285</f>
        <v>A.13.2.12</v>
      </c>
      <c r="L285" s="301" t="str">
        <f>'PLAN INDICATIVO'!L285</f>
        <v>8. Trabajo decente y crecimiento económico</v>
      </c>
      <c r="M285" s="301" t="str">
        <f>'PLAN INDICATIVO'!M285</f>
        <v>Secretaría de Educación, Cultura, deporte y Turismo</v>
      </c>
      <c r="N285" s="1513" t="s">
        <v>5122</v>
      </c>
      <c r="O285" s="1425" t="str">
        <f>'PLAN INDICATIVO'!O285</f>
        <v>Mantenimiento</v>
      </c>
      <c r="P285" s="16" t="str">
        <f>'PLAN INDICATIVO'!P285</f>
        <v>Realizar 1 Diseño de formas tradicionales de promoción, tales como revistas, página WEB, participación en ferias y eventos, ruedas de negocios y misiones o fam trips, entre otros</v>
      </c>
      <c r="Q285" s="302" t="str">
        <f>'PLAN INDICATIVO'!Q285</f>
        <v>No. De Diseño de promoción creado</v>
      </c>
      <c r="R285" s="303">
        <f>'PLAN INDICATIVO'!R285</f>
        <v>2015</v>
      </c>
      <c r="S285" s="304">
        <v>0</v>
      </c>
      <c r="T285" s="498">
        <v>1</v>
      </c>
      <c r="U285" s="303"/>
      <c r="V285" s="687">
        <v>500000</v>
      </c>
      <c r="W285" s="572">
        <v>0.33</v>
      </c>
      <c r="X285" s="687">
        <v>1000000</v>
      </c>
      <c r="Y285" s="572">
        <v>0.33</v>
      </c>
      <c r="Z285" s="687">
        <v>500000</v>
      </c>
      <c r="AA285" s="1310">
        <v>0.34</v>
      </c>
      <c r="AB285" s="687">
        <v>11669952</v>
      </c>
      <c r="AC285" s="665"/>
      <c r="AD285" s="665">
        <v>0.33</v>
      </c>
      <c r="AE285" s="665">
        <v>0.33</v>
      </c>
      <c r="AF285" s="665">
        <v>3</v>
      </c>
      <c r="AG285" s="306" t="s">
        <v>5152</v>
      </c>
      <c r="AH285" s="987">
        <v>2019413960022</v>
      </c>
      <c r="AI285" s="1007" t="s">
        <v>4944</v>
      </c>
      <c r="AJ285" s="309">
        <v>43497</v>
      </c>
      <c r="AK285" s="838">
        <v>43748</v>
      </c>
      <c r="AL285" s="308"/>
      <c r="AM285" s="308"/>
      <c r="AN285" s="267" t="s">
        <v>2598</v>
      </c>
      <c r="AO285" s="507"/>
      <c r="AP285" s="525"/>
      <c r="AQ285" s="310"/>
      <c r="AR285" s="310"/>
      <c r="AS285" s="310"/>
      <c r="AT285" s="310"/>
      <c r="AU285" s="310"/>
      <c r="AV285" s="310"/>
      <c r="AW285" s="544"/>
      <c r="AX285" s="525"/>
      <c r="AY285" s="310"/>
      <c r="AZ285" s="310"/>
      <c r="BA285" s="310"/>
      <c r="BB285" s="310"/>
      <c r="BC285" s="310"/>
      <c r="BD285" s="310"/>
      <c r="BE285" s="544"/>
      <c r="BF285" s="525"/>
      <c r="BG285" s="310"/>
      <c r="BH285" s="310"/>
      <c r="BI285" s="310"/>
      <c r="BJ285" s="310"/>
      <c r="BK285" s="310"/>
      <c r="BL285" s="310"/>
      <c r="BM285" s="544">
        <f t="shared" si="136"/>
        <v>0</v>
      </c>
      <c r="BN285" s="310"/>
      <c r="BO285" s="310"/>
      <c r="BP285" s="310"/>
      <c r="BQ285" s="310"/>
      <c r="BR285" s="310"/>
      <c r="BS285" s="310"/>
      <c r="BT285" s="310"/>
      <c r="BU285" s="544"/>
      <c r="BV285" s="556"/>
      <c r="BW285" s="663">
        <f t="shared" si="127"/>
        <v>3.66</v>
      </c>
      <c r="BX285" s="1047">
        <f t="shared" si="133"/>
        <v>3.66</v>
      </c>
      <c r="BY285" s="1047" t="str">
        <f t="shared" si="128"/>
        <v>No Programada</v>
      </c>
      <c r="BZ285" s="1047">
        <f t="shared" si="129"/>
        <v>1</v>
      </c>
      <c r="CA285" s="1047">
        <f t="shared" si="130"/>
        <v>1</v>
      </c>
      <c r="CB285" s="1047">
        <f t="shared" si="131"/>
        <v>8.8235294117647047</v>
      </c>
      <c r="CD285" t="str">
        <f t="shared" si="132"/>
        <v>NP</v>
      </c>
      <c r="CE285" t="str">
        <f t="shared" si="132"/>
        <v>VE</v>
      </c>
      <c r="CF285" t="str">
        <f t="shared" si="132"/>
        <v>VE</v>
      </c>
      <c r="CG285" t="str">
        <f t="shared" si="132"/>
        <v>VE</v>
      </c>
    </row>
    <row r="286" spans="1:85" s="3" customFormat="1" ht="32.25" customHeight="1" x14ac:dyDescent="0.3">
      <c r="A286" s="295"/>
      <c r="B286" s="24" t="str">
        <f>'PLAN INDICATIVO'!B286</f>
        <v>Promoción del desarrollo</v>
      </c>
      <c r="C286" s="6"/>
      <c r="D286" s="2" t="s">
        <v>878</v>
      </c>
      <c r="E286" s="1"/>
      <c r="F286" s="1"/>
      <c r="G286" s="1"/>
      <c r="H286" s="1"/>
      <c r="I286" s="1"/>
      <c r="J286" s="1"/>
      <c r="K286" s="1"/>
      <c r="L286" s="1"/>
      <c r="M286" s="1"/>
      <c r="N286" s="17"/>
      <c r="O286" s="1"/>
      <c r="P286" s="22" t="s">
        <v>878</v>
      </c>
      <c r="Q286" s="22"/>
      <c r="R286" s="1"/>
      <c r="S286" s="261"/>
      <c r="T286" s="681"/>
      <c r="U286" s="261"/>
      <c r="V286" s="261"/>
      <c r="W286" s="261"/>
      <c r="X286" s="689">
        <f>SUM(X287:X290)</f>
        <v>1000000</v>
      </c>
      <c r="Y286" s="261"/>
      <c r="Z286" s="689">
        <f>SUM(Z289:Z290)</f>
        <v>1000000</v>
      </c>
      <c r="AA286" s="262"/>
      <c r="AB286" s="703">
        <f>SUM(AB287:AB290)</f>
        <v>5000000</v>
      </c>
      <c r="AC286" s="262"/>
      <c r="AD286" s="262"/>
      <c r="AE286" s="262"/>
      <c r="AF286" s="262"/>
      <c r="AG286" s="263"/>
      <c r="AH286" s="263"/>
      <c r="AI286" s="263"/>
      <c r="AJ286" s="264"/>
      <c r="AK286" s="264"/>
      <c r="AL286" s="264">
        <f>SUM(AL291:AL301)</f>
        <v>0</v>
      </c>
      <c r="AM286" s="264">
        <f>SUM(AM291:AM301)</f>
        <v>0</v>
      </c>
      <c r="AN286" s="264">
        <f>SUM(AN291:AN301)</f>
        <v>0</v>
      </c>
      <c r="AO286" s="645"/>
      <c r="AP286" s="616"/>
      <c r="AQ286" s="616"/>
      <c r="AR286" s="616"/>
      <c r="AS286" s="616"/>
      <c r="AT286" s="616"/>
      <c r="AU286" s="616"/>
      <c r="AV286" s="616"/>
      <c r="AW286" s="617"/>
      <c r="AX286" s="616"/>
      <c r="AY286" s="616"/>
      <c r="AZ286" s="616"/>
      <c r="BA286" s="616"/>
      <c r="BB286" s="616"/>
      <c r="BC286" s="616"/>
      <c r="BD286" s="616"/>
      <c r="BE286" s="617"/>
      <c r="BF286" s="616"/>
      <c r="BG286" s="616"/>
      <c r="BH286" s="616"/>
      <c r="BI286" s="616"/>
      <c r="BJ286" s="616"/>
      <c r="BK286" s="616"/>
      <c r="BL286" s="616"/>
      <c r="BM286" s="617">
        <f t="shared" si="136"/>
        <v>0</v>
      </c>
      <c r="BN286" s="616"/>
      <c r="BO286" s="616"/>
      <c r="BP286" s="616"/>
      <c r="BQ286" s="616"/>
      <c r="BR286" s="616"/>
      <c r="BS286" s="616"/>
      <c r="BT286" s="616"/>
      <c r="BU286" s="617"/>
      <c r="BV286" s="600"/>
      <c r="BW286" s="617">
        <f t="shared" si="127"/>
        <v>0</v>
      </c>
      <c r="BX286" s="617" t="s">
        <v>2717</v>
      </c>
      <c r="BY286" s="617" t="s">
        <v>2717</v>
      </c>
      <c r="BZ286" s="617" t="s">
        <v>2717</v>
      </c>
      <c r="CA286" s="617" t="s">
        <v>2717</v>
      </c>
      <c r="CB286" s="1047" t="s">
        <v>2717</v>
      </c>
      <c r="CC286"/>
      <c r="CD286"/>
      <c r="CE286"/>
      <c r="CF286"/>
      <c r="CG286"/>
    </row>
    <row r="287" spans="1:85" s="3" customFormat="1" ht="69" hidden="1" customHeight="1" x14ac:dyDescent="0.25">
      <c r="A287" s="298" t="s">
        <v>800</v>
      </c>
      <c r="B287" s="299" t="str">
        <f>'PLAN INDICATIVO'!B287</f>
        <v>Desarrollo Económico/Promoción del desarrollo</v>
      </c>
      <c r="C287" s="1559" t="s">
        <v>879</v>
      </c>
      <c r="D287" s="1550" t="s">
        <v>880</v>
      </c>
      <c r="E287" s="1550" t="s">
        <v>881</v>
      </c>
      <c r="F287" s="1550">
        <v>2015</v>
      </c>
      <c r="G287" s="1550">
        <v>0</v>
      </c>
      <c r="H287" s="1550">
        <v>1</v>
      </c>
      <c r="I287" s="300">
        <f>'PLAN INDICATIVO'!I287</f>
        <v>0</v>
      </c>
      <c r="J287" s="300">
        <f>'PLAN INDICATIVO'!J287</f>
        <v>0</v>
      </c>
      <c r="K287" s="1428" t="str">
        <f>'PLAN INDICATIVO'!K287</f>
        <v>A.13.3.1</v>
      </c>
      <c r="L287" s="301" t="str">
        <f>'PLAN INDICATIVO'!L287</f>
        <v>9. Industria, innovación e infraestructura</v>
      </c>
      <c r="M287" s="301" t="s">
        <v>497</v>
      </c>
      <c r="N287" s="1425" t="s">
        <v>5126</v>
      </c>
      <c r="O287" s="1425" t="str">
        <f>'PLAN INDICATIVO'!O287</f>
        <v>Incremento</v>
      </c>
      <c r="P287" s="16" t="str">
        <f>'PLAN INDICATIVO'!P287</f>
        <v>Apoyar para la creación de un centro de investigación o desarrollo tecnológico</v>
      </c>
      <c r="Q287" s="302" t="str">
        <f>'PLAN INDICATIVO'!Q287</f>
        <v>No. De apoyos gestionados en el cuatrenio.</v>
      </c>
      <c r="R287" s="303">
        <f>'PLAN INDICATIVO'!R287</f>
        <v>2015</v>
      </c>
      <c r="S287" s="304">
        <v>0</v>
      </c>
      <c r="T287" s="498">
        <v>1</v>
      </c>
      <c r="U287" s="304">
        <v>0</v>
      </c>
      <c r="V287" s="687"/>
      <c r="W287" s="303">
        <v>0</v>
      </c>
      <c r="X287" s="687"/>
      <c r="Y287" s="286"/>
      <c r="Z287" s="1237"/>
      <c r="AA287" s="291"/>
      <c r="AB287" s="1528"/>
      <c r="AC287" s="665"/>
      <c r="AD287" s="665">
        <v>1</v>
      </c>
      <c r="AE287" s="665"/>
      <c r="AF287" s="665"/>
      <c r="AG287" s="306" t="s">
        <v>5151</v>
      </c>
      <c r="AH287" s="987">
        <v>2019413960029</v>
      </c>
      <c r="AI287" s="307" t="s">
        <v>4213</v>
      </c>
      <c r="AJ287" s="309"/>
      <c r="AK287" s="374"/>
      <c r="AL287" s="374"/>
      <c r="AM287" s="374"/>
      <c r="AN287" s="267" t="s">
        <v>2594</v>
      </c>
      <c r="AO287" s="509"/>
      <c r="AP287" s="524"/>
      <c r="AQ287" s="310"/>
      <c r="AR287" s="374"/>
      <c r="AS287" s="374"/>
      <c r="AT287" s="374"/>
      <c r="AU287" s="374"/>
      <c r="AV287" s="374"/>
      <c r="AW287" s="544"/>
      <c r="AX287" s="524"/>
      <c r="AY287" s="374"/>
      <c r="AZ287" s="374"/>
      <c r="BA287" s="374"/>
      <c r="BB287" s="374"/>
      <c r="BC287" s="374"/>
      <c r="BD287" s="374"/>
      <c r="BE287" s="544"/>
      <c r="BF287" s="524"/>
      <c r="BG287" s="374"/>
      <c r="BH287" s="374"/>
      <c r="BI287" s="374"/>
      <c r="BJ287" s="374"/>
      <c r="BK287" s="374"/>
      <c r="BL287" s="374"/>
      <c r="BM287" s="544">
        <f t="shared" si="136"/>
        <v>0</v>
      </c>
      <c r="BN287" s="524"/>
      <c r="BO287" s="374"/>
      <c r="BP287" s="374"/>
      <c r="BQ287" s="374"/>
      <c r="BR287" s="374"/>
      <c r="BS287" s="374"/>
      <c r="BT287" s="374"/>
      <c r="BU287" s="544"/>
      <c r="BV287" s="600"/>
      <c r="BW287" s="663">
        <f t="shared" si="127"/>
        <v>1</v>
      </c>
      <c r="BX287" s="1047">
        <f t="shared" si="133"/>
        <v>1</v>
      </c>
      <c r="BY287" s="1047" t="str">
        <f>IF(U287&gt;=0.1,AC287/U287,IF(ISBLANK(U287),"No Programada","Aplazada"))</f>
        <v>Aplazada</v>
      </c>
      <c r="BZ287" s="1047" t="str">
        <f>IF(W287&gt;=0.1,AD287/W287,IF(ISBLANK(W287),"No Programada","Aplazada"))</f>
        <v>Aplazada</v>
      </c>
      <c r="CA287" s="1047" t="str">
        <f>IF(Y287&gt;=0.1,AE287/Y287,IF(ISBLANK(Y287),"No Programada","Aplazada"))</f>
        <v>No Programada</v>
      </c>
      <c r="CB287" s="1047" t="str">
        <f>IF(AA287&gt;=0.1,AF287/AA287,IF(ISBLANK(AA287),"No Programada","Aplazada"))</f>
        <v>No Programada</v>
      </c>
      <c r="CC287" s="540"/>
      <c r="CD287" t="str">
        <f t="shared" ref="CD287:CG290" si="137">IF(BY287="PARA MODIFICAR","M",IF(BY287="PARA ELIMINAR","E",IF(BY287="aplazada","AZ",IF(BY287="no programada","NP",IF(BY287&gt;=85%,"VE",IF(BY287&gt;70%,"VEB",IF(BY287&gt;60%,"AM",IF(BY287&gt;40%,"AMB",IF(BY287&gt;20%,"RO",IF(BY287&gt;=0%,"ROB",""))))))))))</f>
        <v>AZ</v>
      </c>
      <c r="CE287" t="str">
        <f t="shared" si="137"/>
        <v>AZ</v>
      </c>
      <c r="CF287" t="str">
        <f t="shared" si="137"/>
        <v>NP</v>
      </c>
      <c r="CG287" t="str">
        <f t="shared" si="137"/>
        <v>NP</v>
      </c>
    </row>
    <row r="288" spans="1:85" s="3" customFormat="1" ht="99" hidden="1" customHeight="1" x14ac:dyDescent="0.25">
      <c r="A288" s="298" t="s">
        <v>800</v>
      </c>
      <c r="B288" s="299" t="str">
        <f>'PLAN INDICATIVO'!B288</f>
        <v>Desarrollo Económico/Promoción del desarrollo</v>
      </c>
      <c r="C288" s="1559"/>
      <c r="D288" s="1551"/>
      <c r="E288" s="1551"/>
      <c r="F288" s="1551"/>
      <c r="G288" s="1551"/>
      <c r="H288" s="1551"/>
      <c r="I288" s="300">
        <f>'PLAN INDICATIVO'!I288</f>
        <v>0</v>
      </c>
      <c r="J288" s="300">
        <f>'PLAN INDICATIVO'!J288</f>
        <v>0</v>
      </c>
      <c r="K288" s="1428" t="str">
        <f>'PLAN INDICATIVO'!K288</f>
        <v>A.13.3.2</v>
      </c>
      <c r="L288" s="301" t="str">
        <f>'PLAN INDICATIVO'!L288</f>
        <v>9. Industria, innovación e infraestructura</v>
      </c>
      <c r="M288" s="301" t="s">
        <v>497</v>
      </c>
      <c r="N288" s="1513" t="s">
        <v>5126</v>
      </c>
      <c r="O288" s="1425" t="str">
        <f>'PLAN INDICATIVO'!O288</f>
        <v>Incremento</v>
      </c>
      <c r="P288" s="16" t="str">
        <f>'PLAN INDICATIVO'!P288</f>
        <v>Apoyo para la creación de grupos de investigación categorizados por Colciencias.</v>
      </c>
      <c r="Q288" s="302" t="str">
        <f>'PLAN INDICATIVO'!Q288</f>
        <v>No. De apoyos gestionados en el cuatrienio.</v>
      </c>
      <c r="R288" s="303">
        <f>'PLAN INDICATIVO'!R288</f>
        <v>2015</v>
      </c>
      <c r="S288" s="304">
        <v>0</v>
      </c>
      <c r="T288" s="498">
        <v>1</v>
      </c>
      <c r="U288" s="304">
        <v>1</v>
      </c>
      <c r="V288" s="687">
        <v>1000000</v>
      </c>
      <c r="W288" s="303">
        <v>1</v>
      </c>
      <c r="X288" s="687">
        <v>500000</v>
      </c>
      <c r="Y288" s="286"/>
      <c r="Z288" s="1237"/>
      <c r="AA288" s="291"/>
      <c r="AB288" s="1528"/>
      <c r="AC288" s="665"/>
      <c r="AD288" s="665">
        <v>1</v>
      </c>
      <c r="AE288" s="665"/>
      <c r="AF288" s="665"/>
      <c r="AG288" s="306" t="s">
        <v>5151</v>
      </c>
      <c r="AH288" s="987">
        <v>2019413960029</v>
      </c>
      <c r="AI288" s="307"/>
      <c r="AJ288" s="309"/>
      <c r="AK288" s="374"/>
      <c r="AL288" s="374"/>
      <c r="AM288" s="374"/>
      <c r="AN288" s="267" t="s">
        <v>2594</v>
      </c>
      <c r="AO288" s="514"/>
      <c r="AP288" s="524"/>
      <c r="AQ288" s="374"/>
      <c r="AR288" s="374"/>
      <c r="AS288" s="374"/>
      <c r="AT288" s="374"/>
      <c r="AU288" s="374"/>
      <c r="AV288" s="374"/>
      <c r="AW288" s="544"/>
      <c r="AX288" s="524"/>
      <c r="AY288" s="374"/>
      <c r="AZ288" s="374"/>
      <c r="BA288" s="374"/>
      <c r="BB288" s="374"/>
      <c r="BC288" s="374"/>
      <c r="BD288" s="374"/>
      <c r="BE288" s="544"/>
      <c r="BF288" s="524"/>
      <c r="BG288" s="374"/>
      <c r="BH288" s="374"/>
      <c r="BI288" s="374"/>
      <c r="BJ288" s="374"/>
      <c r="BK288" s="374"/>
      <c r="BL288" s="374"/>
      <c r="BM288" s="544">
        <f t="shared" si="136"/>
        <v>0</v>
      </c>
      <c r="BN288" s="524"/>
      <c r="BO288" s="374"/>
      <c r="BP288" s="374"/>
      <c r="BQ288" s="374"/>
      <c r="BR288" s="374"/>
      <c r="BS288" s="374"/>
      <c r="BT288" s="374"/>
      <c r="BU288" s="544"/>
      <c r="BV288" s="600"/>
      <c r="BW288" s="663">
        <f t="shared" si="127"/>
        <v>1</v>
      </c>
      <c r="BX288" s="1047">
        <f t="shared" si="133"/>
        <v>1</v>
      </c>
      <c r="BY288" s="1047">
        <f>IF(U288&gt;=0.1,AC288/U288,IF(ISBLANK(U288),"No Programada","Aplazada"))</f>
        <v>0</v>
      </c>
      <c r="BZ288" s="1047">
        <f>IF(W288&gt;=0.1,AD288/W288,IF(ISBLANK(W288),"No Programada","Aplazada"))</f>
        <v>1</v>
      </c>
      <c r="CA288" s="1047" t="str">
        <f>IF(Y288&gt;=0.1,AE288/Y288,IF(ISBLANK(Y288),"No Programada","Aplazada"))</f>
        <v>No Programada</v>
      </c>
      <c r="CB288" s="1047" t="str">
        <f>IF(AA288&gt;=0.1,AF288/AA288,IF(ISBLANK(AA288),"No Programada","Aplazada"))</f>
        <v>No Programada</v>
      </c>
      <c r="CC288" s="540"/>
      <c r="CD288" t="str">
        <f t="shared" si="137"/>
        <v>ROB</v>
      </c>
      <c r="CE288" t="str">
        <f t="shared" si="137"/>
        <v>VE</v>
      </c>
      <c r="CF288" t="str">
        <f t="shared" si="137"/>
        <v>NP</v>
      </c>
      <c r="CG288" t="str">
        <f t="shared" si="137"/>
        <v>NP</v>
      </c>
    </row>
    <row r="289" spans="1:85" s="3" customFormat="1" ht="92.25" customHeight="1" x14ac:dyDescent="0.3">
      <c r="A289" s="298" t="s">
        <v>800</v>
      </c>
      <c r="B289" s="299" t="str">
        <f>'PLAN INDICATIVO'!B289</f>
        <v>Desarrollo Económico/Promoción del desarrollo</v>
      </c>
      <c r="C289" s="1559"/>
      <c r="D289" s="1551"/>
      <c r="E289" s="1551"/>
      <c r="F289" s="1551"/>
      <c r="G289" s="1551"/>
      <c r="H289" s="1551"/>
      <c r="I289" s="300">
        <f>'PLAN INDICATIVO'!I289</f>
        <v>0</v>
      </c>
      <c r="J289" s="300">
        <f>'PLAN INDICATIVO'!J289</f>
        <v>0</v>
      </c>
      <c r="K289" s="1428" t="str">
        <f>'PLAN INDICATIVO'!K289</f>
        <v>A.13.3.3</v>
      </c>
      <c r="L289" s="301" t="str">
        <f>'PLAN INDICATIVO'!L289</f>
        <v>9. Industria, innovación e infraestructura</v>
      </c>
      <c r="M289" s="301" t="s">
        <v>497</v>
      </c>
      <c r="N289" s="1513" t="s">
        <v>5126</v>
      </c>
      <c r="O289" s="1425" t="str">
        <f>'PLAN INDICATIVO'!O289</f>
        <v>Incremento</v>
      </c>
      <c r="P289" s="16" t="str">
        <f>'PLAN INDICATIVO'!P289</f>
        <v>Implementar 1 punto vive digital para mejorar acceso a competitividad local</v>
      </c>
      <c r="Q289" s="302" t="str">
        <f>'PLAN INDICATIVO'!Q289</f>
        <v>Punto vive digital implementado</v>
      </c>
      <c r="R289" s="303">
        <f>'PLAN INDICATIVO'!R289</f>
        <v>2015</v>
      </c>
      <c r="S289" s="304">
        <v>0</v>
      </c>
      <c r="T289" s="498">
        <v>1</v>
      </c>
      <c r="U289" s="304">
        <v>0</v>
      </c>
      <c r="V289" s="687"/>
      <c r="W289" s="303">
        <v>0</v>
      </c>
      <c r="X289" s="687"/>
      <c r="Y289" s="286"/>
      <c r="Z289" s="1233">
        <v>500000</v>
      </c>
      <c r="AA289" s="291"/>
      <c r="AB289" s="1530">
        <v>5000000</v>
      </c>
      <c r="AC289" s="665"/>
      <c r="AD289" s="665">
        <v>1</v>
      </c>
      <c r="AE289" s="665"/>
      <c r="AF289" s="665"/>
      <c r="AG289" s="306" t="s">
        <v>5151</v>
      </c>
      <c r="AH289" s="987">
        <v>2019413960029</v>
      </c>
      <c r="AI289" s="307"/>
      <c r="AJ289" s="309"/>
      <c r="AK289" s="310"/>
      <c r="AL289" s="310"/>
      <c r="AM289" s="310"/>
      <c r="AN289" s="267" t="s">
        <v>2594</v>
      </c>
      <c r="AO289" s="509"/>
      <c r="AP289" s="525"/>
      <c r="AQ289" s="310"/>
      <c r="AR289" s="310"/>
      <c r="AS289" s="310"/>
      <c r="AT289" s="310"/>
      <c r="AU289" s="310"/>
      <c r="AV289" s="310"/>
      <c r="AW289" s="544"/>
      <c r="AX289" s="525"/>
      <c r="AY289" s="310"/>
      <c r="AZ289" s="310"/>
      <c r="BA289" s="310"/>
      <c r="BB289" s="310"/>
      <c r="BC289" s="310"/>
      <c r="BD289" s="310"/>
      <c r="BE289" s="544"/>
      <c r="BF289" s="525"/>
      <c r="BG289" s="310"/>
      <c r="BH289" s="310"/>
      <c r="BI289" s="310"/>
      <c r="BJ289" s="310"/>
      <c r="BK289" s="310"/>
      <c r="BL289" s="310"/>
      <c r="BM289" s="544">
        <f t="shared" si="136"/>
        <v>0</v>
      </c>
      <c r="BN289" s="525"/>
      <c r="BO289" s="310"/>
      <c r="BP289" s="310"/>
      <c r="BQ289" s="310"/>
      <c r="BR289" s="310"/>
      <c r="BS289" s="310"/>
      <c r="BT289" s="310"/>
      <c r="BU289" s="544"/>
      <c r="BV289" s="648">
        <f>SUM(AR289:AW289)</f>
        <v>0</v>
      </c>
      <c r="BW289" s="663">
        <f t="shared" si="127"/>
        <v>1</v>
      </c>
      <c r="BX289" s="1047">
        <f t="shared" si="133"/>
        <v>1</v>
      </c>
      <c r="BY289" s="1047" t="str">
        <f>IF(U289&gt;=0.1,AC289/U289,IF(ISBLANK(U289),"No Programada","Aplazada"))</f>
        <v>Aplazada</v>
      </c>
      <c r="BZ289" s="1047" t="str">
        <f>IF(W289&gt;=0.1,AD289/W289,IF(ISBLANK(W289),"No Programada","Aplazada"))</f>
        <v>Aplazada</v>
      </c>
      <c r="CA289" s="1047" t="str">
        <f>IF(Y289&gt;=0.1,AE289/Y289,IF(ISBLANK(Y289),"No Programada","Aplazada"))</f>
        <v>No Programada</v>
      </c>
      <c r="CB289" s="1047" t="str">
        <f>IF(AA289&gt;=0.1,AF289/AA289,IF(ISBLANK(AA289),"No Programada","Aplazada"))</f>
        <v>No Programada</v>
      </c>
      <c r="CC289" s="540"/>
      <c r="CD289" t="str">
        <f t="shared" si="137"/>
        <v>AZ</v>
      </c>
      <c r="CE289" t="str">
        <f t="shared" si="137"/>
        <v>AZ</v>
      </c>
      <c r="CF289" t="str">
        <f t="shared" si="137"/>
        <v>NP</v>
      </c>
      <c r="CG289" t="str">
        <f t="shared" si="137"/>
        <v>NP</v>
      </c>
    </row>
    <row r="290" spans="1:85" s="3" customFormat="1" ht="111.75" hidden="1" customHeight="1" x14ac:dyDescent="0.25">
      <c r="A290" s="298" t="s">
        <v>800</v>
      </c>
      <c r="B290" s="299" t="str">
        <f>'PLAN INDICATIVO'!B290</f>
        <v>Desarrollo Económico/Promoción del desarrollo</v>
      </c>
      <c r="C290" s="1559"/>
      <c r="D290" s="1552"/>
      <c r="E290" s="1552"/>
      <c r="F290" s="1552"/>
      <c r="G290" s="1552"/>
      <c r="H290" s="1552"/>
      <c r="I290" s="300">
        <f>'PLAN INDICATIVO'!I290</f>
        <v>0</v>
      </c>
      <c r="J290" s="300">
        <f>'PLAN INDICATIVO'!J290</f>
        <v>0</v>
      </c>
      <c r="K290" s="1428" t="str">
        <f>'PLAN INDICATIVO'!K290</f>
        <v>A.13.3.4</v>
      </c>
      <c r="L290" s="301" t="str">
        <f>'PLAN INDICATIVO'!L290</f>
        <v>9. Industria, innovación e infraestructura</v>
      </c>
      <c r="M290" s="301" t="s">
        <v>497</v>
      </c>
      <c r="N290" s="1513" t="s">
        <v>5126</v>
      </c>
      <c r="O290" s="1425" t="str">
        <f>'PLAN INDICATIVO'!O290</f>
        <v>Incremento</v>
      </c>
      <c r="P290" s="16" t="str">
        <f>'PLAN INDICATIVO'!P290</f>
        <v>Formular 4 proyectos de ciencia, tecnología e imnovacion durante el cuatrienio, ante entidades del orden departamental, nacional e internacional</v>
      </c>
      <c r="Q290" s="302" t="str">
        <f>'PLAN INDICATIVO'!Q290</f>
        <v>No. De proyectos apoyados y/o gestionados en el cuatrenio.</v>
      </c>
      <c r="R290" s="303">
        <f>'PLAN INDICATIVO'!R290</f>
        <v>2015</v>
      </c>
      <c r="S290" s="304">
        <v>0</v>
      </c>
      <c r="T290" s="498">
        <v>4</v>
      </c>
      <c r="U290" s="304">
        <v>1</v>
      </c>
      <c r="V290" s="687">
        <v>1000000</v>
      </c>
      <c r="W290" s="303">
        <v>1</v>
      </c>
      <c r="X290" s="687">
        <v>500000</v>
      </c>
      <c r="Y290" s="286">
        <v>2</v>
      </c>
      <c r="Z290" s="1233">
        <v>500000</v>
      </c>
      <c r="AA290" s="291">
        <v>1</v>
      </c>
      <c r="AB290" s="1298"/>
      <c r="AC290" s="665"/>
      <c r="AD290" s="665">
        <v>0</v>
      </c>
      <c r="AE290" s="665">
        <v>3</v>
      </c>
      <c r="AF290" s="665">
        <v>1</v>
      </c>
      <c r="AG290" s="306" t="s">
        <v>5151</v>
      </c>
      <c r="AH290" s="987">
        <v>2019413960029</v>
      </c>
      <c r="AI290" s="307" t="s">
        <v>4959</v>
      </c>
      <c r="AJ290" s="309">
        <v>43497</v>
      </c>
      <c r="AK290" s="838">
        <v>43768</v>
      </c>
      <c r="AL290" s="374"/>
      <c r="AM290" s="374"/>
      <c r="AN290" s="267" t="s">
        <v>2598</v>
      </c>
      <c r="AO290" s="507"/>
      <c r="AP290" s="525"/>
      <c r="AQ290" s="310"/>
      <c r="AR290" s="310"/>
      <c r="AS290" s="310"/>
      <c r="AT290" s="310"/>
      <c r="AU290" s="310"/>
      <c r="AV290" s="310"/>
      <c r="AW290" s="544"/>
      <c r="AX290" s="525"/>
      <c r="AY290" s="310"/>
      <c r="AZ290" s="310"/>
      <c r="BA290" s="310"/>
      <c r="BB290" s="310"/>
      <c r="BC290" s="310"/>
      <c r="BD290" s="310"/>
      <c r="BE290" s="544"/>
      <c r="BF290" s="525"/>
      <c r="BG290" s="310"/>
      <c r="BH290" s="310"/>
      <c r="BI290" s="310"/>
      <c r="BJ290" s="310"/>
      <c r="BK290" s="310"/>
      <c r="BL290" s="310"/>
      <c r="BM290" s="544">
        <f t="shared" ref="BM290" si="138">SUM(BF290:BL290)</f>
        <v>0</v>
      </c>
      <c r="BN290" s="310"/>
      <c r="BO290" s="310"/>
      <c r="BP290" s="310"/>
      <c r="BQ290" s="310"/>
      <c r="BR290" s="310"/>
      <c r="BS290" s="310"/>
      <c r="BT290" s="310"/>
      <c r="BU290" s="544"/>
      <c r="BV290" s="600"/>
      <c r="BW290" s="663">
        <f t="shared" si="127"/>
        <v>4</v>
      </c>
      <c r="BX290" s="1047">
        <f t="shared" si="133"/>
        <v>1</v>
      </c>
      <c r="BY290" s="1047">
        <f>IF(U290&gt;=0.1,AC290/U290,IF(ISBLANK(U290),"No Programada","Aplazada"))</f>
        <v>0</v>
      </c>
      <c r="BZ290" s="1047">
        <f>IF(W290&gt;=0.1,AD290/W290,IF(ISBLANK(W290),"No Programada","Aplazada"))</f>
        <v>0</v>
      </c>
      <c r="CA290" s="1047">
        <f>IF(Y290&gt;=0.1,AE290/Y290,IF(ISBLANK(Y290),"No Programada","Aplazada"))</f>
        <v>1.5</v>
      </c>
      <c r="CB290" s="1047">
        <f>IF(AA290&gt;=0.1,AF290/AA290,IF(ISBLANK(AA290),"No Programada","Aplazada"))</f>
        <v>1</v>
      </c>
      <c r="CC290" s="540"/>
      <c r="CD290" t="str">
        <f t="shared" si="137"/>
        <v>ROB</v>
      </c>
      <c r="CE290" t="str">
        <f t="shared" si="137"/>
        <v>ROB</v>
      </c>
      <c r="CF290" t="str">
        <f t="shared" si="137"/>
        <v>VE</v>
      </c>
      <c r="CG290" t="str">
        <f t="shared" si="137"/>
        <v>VE</v>
      </c>
    </row>
    <row r="291" spans="1:85" ht="38.25" customHeight="1" x14ac:dyDescent="0.3">
      <c r="A291" s="423"/>
      <c r="B291" s="293" t="str">
        <f>'PLAN INDICATIVO'!B291</f>
        <v>Agropecuario</v>
      </c>
      <c r="C291" s="1629" t="s">
        <v>2876</v>
      </c>
      <c r="D291" s="1630"/>
      <c r="E291" s="1630"/>
      <c r="F291" s="1630"/>
      <c r="G291" s="1630"/>
      <c r="H291" s="1630"/>
      <c r="I291" s="1630"/>
      <c r="J291" s="1630"/>
      <c r="K291" s="1630"/>
      <c r="L291" s="1630"/>
      <c r="M291" s="1630"/>
      <c r="N291" s="1630"/>
      <c r="O291" s="1630"/>
      <c r="P291" s="1630"/>
      <c r="Q291" s="1630"/>
      <c r="R291" s="1630"/>
      <c r="S291" s="1630"/>
      <c r="T291" s="1630"/>
      <c r="U291" s="1630"/>
      <c r="V291" s="1630"/>
      <c r="W291" s="1630"/>
      <c r="X291" s="1630"/>
      <c r="Y291" s="1630"/>
      <c r="Z291" s="1630"/>
      <c r="AA291" s="1630"/>
      <c r="AB291" s="1630"/>
      <c r="AC291" s="1630"/>
      <c r="AD291" s="1630"/>
      <c r="AE291" s="1630"/>
      <c r="AF291" s="1630"/>
      <c r="AG291" s="1630"/>
      <c r="AH291" s="1630"/>
      <c r="AI291" s="1630"/>
      <c r="AJ291" s="1630"/>
      <c r="AK291" s="1630"/>
      <c r="AL291" s="1630"/>
      <c r="AM291" s="1631"/>
      <c r="AN291" s="294"/>
      <c r="AO291" s="506"/>
      <c r="AP291" s="524"/>
      <c r="AQ291" s="374"/>
      <c r="AR291" s="374"/>
      <c r="AS291" s="374"/>
      <c r="AT291" s="374"/>
      <c r="AU291" s="374"/>
      <c r="AV291" s="374"/>
      <c r="AW291" s="544"/>
      <c r="AX291" s="524"/>
      <c r="AY291" s="374"/>
      <c r="AZ291" s="374"/>
      <c r="BA291" s="374"/>
      <c r="BB291" s="374"/>
      <c r="BC291" s="374"/>
      <c r="BD291" s="374"/>
      <c r="BE291" s="544"/>
      <c r="BF291" s="524"/>
      <c r="BG291" s="374"/>
      <c r="BH291" s="374"/>
      <c r="BI291" s="374"/>
      <c r="BJ291" s="374"/>
      <c r="BK291" s="374"/>
      <c r="BL291" s="374"/>
      <c r="BM291" s="544">
        <f t="shared" si="136"/>
        <v>0</v>
      </c>
      <c r="BN291" s="524"/>
      <c r="BO291" s="374"/>
      <c r="BP291" s="374"/>
      <c r="BQ291" s="374"/>
      <c r="BR291" s="374"/>
      <c r="BS291" s="374"/>
      <c r="BT291" s="374"/>
      <c r="BU291" s="544"/>
      <c r="BV291" s="556"/>
      <c r="BW291" s="294" t="s">
        <v>2717</v>
      </c>
      <c r="BX291" s="294" t="s">
        <v>2717</v>
      </c>
      <c r="BY291" s="294" t="s">
        <v>2717</v>
      </c>
      <c r="BZ291" s="294" t="s">
        <v>2717</v>
      </c>
      <c r="CA291" s="294" t="s">
        <v>2717</v>
      </c>
      <c r="CB291" s="1047" t="s">
        <v>2717</v>
      </c>
    </row>
    <row r="292" spans="1:85" ht="28.5" customHeight="1" x14ac:dyDescent="0.3">
      <c r="A292" s="296"/>
      <c r="B292" s="24" t="str">
        <f>'PLAN INDICATIVO'!B292</f>
        <v>Agropecuario</v>
      </c>
      <c r="C292" s="1574" t="s">
        <v>895</v>
      </c>
      <c r="D292" s="1575"/>
      <c r="E292" s="1575"/>
      <c r="F292" s="1575"/>
      <c r="G292" s="1575"/>
      <c r="H292" s="1575"/>
      <c r="I292" s="1575"/>
      <c r="J292" s="1575"/>
      <c r="K292" s="1575"/>
      <c r="L292" s="1575"/>
      <c r="M292" s="1575"/>
      <c r="N292" s="1575"/>
      <c r="O292" s="1576"/>
      <c r="P292" s="22"/>
      <c r="Q292" s="22"/>
      <c r="R292" s="1"/>
      <c r="S292" s="261"/>
      <c r="T292" s="681"/>
      <c r="U292" s="261"/>
      <c r="V292" s="689">
        <f>SUM(V293:V325)</f>
        <v>495000005</v>
      </c>
      <c r="W292" s="261"/>
      <c r="X292" s="689">
        <f>SUM(X293:X325)</f>
        <v>273000000</v>
      </c>
      <c r="Y292" s="261"/>
      <c r="Z292" s="689">
        <f>SUM(Z293:Z325)</f>
        <v>401000000</v>
      </c>
      <c r="AA292" s="262"/>
      <c r="AB292" s="690">
        <f>SUM(AB293:AB325)</f>
        <v>315000000</v>
      </c>
      <c r="AC292" s="262"/>
      <c r="AD292" s="262"/>
      <c r="AE292" s="262"/>
      <c r="AF292" s="262"/>
      <c r="AG292" s="263"/>
      <c r="AH292" s="263"/>
      <c r="AI292" s="263"/>
      <c r="AJ292" s="262"/>
      <c r="AK292" s="262"/>
      <c r="AL292" s="262"/>
      <c r="AM292" s="262"/>
      <c r="AN292" s="262"/>
      <c r="AO292" s="612"/>
      <c r="AP292" s="616"/>
      <c r="AQ292" s="616"/>
      <c r="AR292" s="616"/>
      <c r="AS292" s="616"/>
      <c r="AT292" s="616"/>
      <c r="AU292" s="616"/>
      <c r="AV292" s="616"/>
      <c r="AW292" s="617"/>
      <c r="AX292" s="616"/>
      <c r="AY292" s="616"/>
      <c r="AZ292" s="616"/>
      <c r="BA292" s="616"/>
      <c r="BB292" s="616"/>
      <c r="BC292" s="616"/>
      <c r="BD292" s="616"/>
      <c r="BE292" s="617"/>
      <c r="BF292" s="616"/>
      <c r="BG292" s="616"/>
      <c r="BH292" s="616"/>
      <c r="BI292" s="616"/>
      <c r="BJ292" s="616"/>
      <c r="BK292" s="616"/>
      <c r="BL292" s="616"/>
      <c r="BM292" s="617">
        <f t="shared" si="136"/>
        <v>0</v>
      </c>
      <c r="BN292" s="616"/>
      <c r="BO292" s="616"/>
      <c r="BP292" s="616"/>
      <c r="BQ292" s="616"/>
      <c r="BR292" s="616"/>
      <c r="BS292" s="616"/>
      <c r="BT292" s="616"/>
      <c r="BU292" s="617"/>
      <c r="BV292" s="556"/>
      <c r="BW292" s="617" t="s">
        <v>2717</v>
      </c>
      <c r="BX292" s="617" t="s">
        <v>2717</v>
      </c>
      <c r="BY292" s="617" t="s">
        <v>2717</v>
      </c>
      <c r="BZ292" s="617" t="s">
        <v>2717</v>
      </c>
      <c r="CA292" s="617" t="s">
        <v>2717</v>
      </c>
      <c r="CB292" s="1047" t="s">
        <v>2717</v>
      </c>
    </row>
    <row r="293" spans="1:85" ht="2.25" hidden="1" customHeight="1" x14ac:dyDescent="0.25">
      <c r="A293" s="1347"/>
      <c r="B293" s="1348"/>
      <c r="C293" s="1546" t="s">
        <v>897</v>
      </c>
      <c r="D293" s="1549" t="s">
        <v>898</v>
      </c>
      <c r="E293" s="1549" t="s">
        <v>899</v>
      </c>
      <c r="F293" s="1549">
        <v>2015</v>
      </c>
      <c r="G293" s="1562">
        <v>3803</v>
      </c>
      <c r="H293" s="1562">
        <v>4200</v>
      </c>
      <c r="I293" s="1463" t="str">
        <f>'PLAN INDICATIVO'!I293</f>
        <v>SI</v>
      </c>
      <c r="J293" s="1463">
        <f>'PLAN INDICATIVO'!J293</f>
        <v>0</v>
      </c>
      <c r="K293" s="1350" t="str">
        <f>'PLAN INDICATIVO'!K293</f>
        <v>A.8.1.1</v>
      </c>
      <c r="L293" s="1351" t="str">
        <f>'PLAN INDICATIVO'!L293</f>
        <v>12. Producción y consumo responsables</v>
      </c>
      <c r="M293" s="1351" t="str">
        <f>'PLAN INDICATIVO'!M293</f>
        <v>Unidad de Desarrollo Rural</v>
      </c>
      <c r="N293" s="1463" t="str">
        <f>'PLAN INDICATIVO'!N293</f>
        <v>GABRIEL ERNESTO CAMPOS ALVIRA</v>
      </c>
      <c r="O293" s="1463" t="str">
        <f>'PLAN INDICATIVO'!O293</f>
        <v>Mantenimiento</v>
      </c>
      <c r="P293" s="1199" t="str">
        <f>'PLAN INDICATIVO'!P293</f>
        <v>Adecuar una planta de sacrificio con el objetivo de cumplir las políticas públicas nacionales, durante el cuatrienio</v>
      </c>
      <c r="Q293" s="1199" t="str">
        <f>'PLAN INDICATIVO'!Q293</f>
        <v>No. De planta de sacrificio adecuadas</v>
      </c>
      <c r="R293" s="1463">
        <f>'PLAN INDICATIVO'!R293</f>
        <v>2015</v>
      </c>
      <c r="S293" s="795">
        <v>0</v>
      </c>
      <c r="T293" s="715">
        <v>1</v>
      </c>
      <c r="U293" s="1463">
        <v>0</v>
      </c>
      <c r="V293" s="1234">
        <v>0</v>
      </c>
      <c r="W293" s="715">
        <v>0</v>
      </c>
      <c r="X293" s="1234"/>
      <c r="Y293" s="715"/>
      <c r="Z293" s="1234">
        <v>200000000</v>
      </c>
      <c r="AA293" s="715">
        <v>1</v>
      </c>
      <c r="AB293" s="1234"/>
      <c r="AC293" s="665">
        <v>0</v>
      </c>
      <c r="AD293" s="665">
        <v>0</v>
      </c>
      <c r="AE293" s="665"/>
      <c r="AF293" s="665"/>
      <c r="AG293" s="1306"/>
      <c r="AH293" s="307"/>
      <c r="AI293" s="1306" t="s">
        <v>4307</v>
      </c>
      <c r="AJ293" s="1305"/>
      <c r="AK293" s="1305"/>
      <c r="AL293" s="1305"/>
      <c r="AM293" s="1305"/>
      <c r="AN293" s="1342" t="s">
        <v>2604</v>
      </c>
      <c r="AO293" s="1327"/>
      <c r="AP293" s="1480"/>
      <c r="AQ293" s="1481"/>
      <c r="AR293" s="1481"/>
      <c r="AS293" s="1481"/>
      <c r="AT293" s="1481"/>
      <c r="AU293" s="1481"/>
      <c r="AV293" s="1481"/>
      <c r="AW293" s="1482"/>
      <c r="AX293" s="1323"/>
      <c r="AY293" s="1313"/>
      <c r="AZ293" s="1313"/>
      <c r="BA293" s="1313"/>
      <c r="BB293" s="1313"/>
      <c r="BC293" s="1313"/>
      <c r="BD293" s="1313"/>
      <c r="BE293" s="800"/>
      <c r="BF293" s="1323"/>
      <c r="BG293" s="1313"/>
      <c r="BH293" s="1313"/>
      <c r="BI293" s="1313"/>
      <c r="BJ293" s="1313"/>
      <c r="BK293" s="1313"/>
      <c r="BL293" s="1313"/>
      <c r="BM293" s="800">
        <f t="shared" si="136"/>
        <v>0</v>
      </c>
      <c r="BN293" s="1323"/>
      <c r="BO293" s="1313"/>
      <c r="BP293" s="1313"/>
      <c r="BQ293" s="1313"/>
      <c r="BR293" s="1313"/>
      <c r="BS293" s="1313"/>
      <c r="BT293" s="1313"/>
      <c r="BU293" s="800"/>
      <c r="BV293" s="556"/>
      <c r="BW293" s="663">
        <f t="shared" si="127"/>
        <v>0</v>
      </c>
      <c r="BX293" s="1047">
        <f t="shared" si="133"/>
        <v>0</v>
      </c>
      <c r="BY293" s="1047" t="str">
        <f t="shared" ref="BY293:BY325" si="139">IF(U293&gt;=0.1,AC293/U293,IF(ISBLANK(U293),"No Programada","Aplazada"))</f>
        <v>Aplazada</v>
      </c>
      <c r="BZ293" s="1047" t="str">
        <f t="shared" ref="BZ293:BZ325" si="140">IF(W293&gt;=0.1,AD293/W293,IF(ISBLANK(W293),"No Programada","Aplazada"))</f>
        <v>Aplazada</v>
      </c>
      <c r="CA293" s="1047" t="str">
        <f t="shared" ref="CA293:CA325" si="141">IF(Y293&gt;=0.1,AE293/Y293,IF(ISBLANK(Y293),"No Programada","Aplazada"))</f>
        <v>No Programada</v>
      </c>
      <c r="CB293" s="1047">
        <f t="shared" ref="CB293:CB325" si="142">IF(AA293&gt;=0.1,AF293/AA293,IF(ISBLANK(AA293),"No Programada","Aplazada"))</f>
        <v>0</v>
      </c>
      <c r="CD293" t="str">
        <f t="shared" ref="CD293:CG325" si="143">IF(BY293="PARA MODIFICAR","M",IF(BY293="PARA ELIMINAR","E",IF(BY293="aplazada","AZ",IF(BY293="no programada","NP",IF(BY293&gt;=85%,"VE",IF(BY293&gt;70%,"VEB",IF(BY293&gt;60%,"AM",IF(BY293&gt;40%,"AMB",IF(BY293&gt;20%,"RO",IF(BY293&gt;=0%,"ROB",""))))))))))</f>
        <v>AZ</v>
      </c>
      <c r="CE293" t="str">
        <f t="shared" si="143"/>
        <v>AZ</v>
      </c>
      <c r="CF293" t="str">
        <f t="shared" si="143"/>
        <v>NP</v>
      </c>
      <c r="CG293" t="str">
        <f t="shared" si="143"/>
        <v>ROB</v>
      </c>
    </row>
    <row r="294" spans="1:85" ht="112.5" customHeight="1" x14ac:dyDescent="0.3">
      <c r="A294" s="298" t="s">
        <v>896</v>
      </c>
      <c r="B294" s="299" t="str">
        <f>'PLAN INDICATIVO'!B294</f>
        <v>Agropecuario</v>
      </c>
      <c r="C294" s="1547"/>
      <c r="D294" s="1549"/>
      <c r="E294" s="1549"/>
      <c r="F294" s="1549"/>
      <c r="G294" s="1549"/>
      <c r="H294" s="1549"/>
      <c r="I294" s="300">
        <f>'PLAN INDICATIVO'!I294</f>
        <v>0</v>
      </c>
      <c r="J294" s="300">
        <f>'PLAN INDICATIVO'!J294</f>
        <v>0</v>
      </c>
      <c r="K294" s="1428" t="str">
        <f>'PLAN INDICATIVO'!K294</f>
        <v>A.8.1.2</v>
      </c>
      <c r="L294" s="301" t="str">
        <f>'PLAN INDICATIVO'!L294</f>
        <v>12. Producción y consumo responsables</v>
      </c>
      <c r="M294" s="301" t="str">
        <f>'PLAN INDICATIVO'!M294</f>
        <v>Unidad de Desarrollo Rural</v>
      </c>
      <c r="N294" s="1425" t="s">
        <v>5127</v>
      </c>
      <c r="O294" s="1425" t="str">
        <f>'PLAN INDICATIVO'!O294</f>
        <v>Incremento</v>
      </c>
      <c r="P294" s="16" t="str">
        <f>'PLAN INDICATIVO'!P294</f>
        <v>Presentar 14 proyectos productivos por grupos asociativos de mujer rural que permitan incorporarla a la equidad de género, con acompañamiento técnico y social, durante el cuatrienio</v>
      </c>
      <c r="Q294" s="302" t="str">
        <f>'PLAN INDICATIVO'!Q294</f>
        <v>No. De proyectos presentados</v>
      </c>
      <c r="R294" s="303">
        <f>'PLAN INDICATIVO'!R294</f>
        <v>2015</v>
      </c>
      <c r="S294" s="304">
        <v>0</v>
      </c>
      <c r="T294" s="498">
        <v>14</v>
      </c>
      <c r="U294" s="303">
        <v>5</v>
      </c>
      <c r="V294" s="687">
        <v>32000000</v>
      </c>
      <c r="W294" s="572">
        <v>5</v>
      </c>
      <c r="X294" s="687">
        <v>12000000</v>
      </c>
      <c r="Y294" s="1232">
        <v>3</v>
      </c>
      <c r="Z294" s="687">
        <v>2000000</v>
      </c>
      <c r="AA294" s="1310">
        <v>9</v>
      </c>
      <c r="AB294" s="1531">
        <v>7485000</v>
      </c>
      <c r="AC294" s="665"/>
      <c r="AD294" s="665">
        <v>5</v>
      </c>
      <c r="AE294" s="665">
        <v>0</v>
      </c>
      <c r="AF294" s="665">
        <v>4</v>
      </c>
      <c r="AG294" s="307" t="s">
        <v>5158</v>
      </c>
      <c r="AH294" s="987">
        <v>2019413960011</v>
      </c>
      <c r="AI294" s="1470" t="s">
        <v>5110</v>
      </c>
      <c r="AJ294" s="309">
        <v>43483</v>
      </c>
      <c r="AK294" s="838">
        <v>43601</v>
      </c>
      <c r="AL294" s="308"/>
      <c r="AM294" s="308"/>
      <c r="AN294" s="267" t="s">
        <v>2600</v>
      </c>
      <c r="AO294" s="507"/>
      <c r="AP294" s="965"/>
      <c r="AQ294" s="966"/>
      <c r="AR294" s="966"/>
      <c r="AS294" s="966"/>
      <c r="AT294" s="966"/>
      <c r="AU294" s="966"/>
      <c r="AV294" s="966"/>
      <c r="AW294" s="1215"/>
      <c r="AX294" s="525"/>
      <c r="AY294" s="310"/>
      <c r="AZ294" s="310"/>
      <c r="BA294" s="310"/>
      <c r="BB294" s="310"/>
      <c r="BC294" s="310"/>
      <c r="BD294" s="310"/>
      <c r="BE294" s="544"/>
      <c r="BF294" s="525"/>
      <c r="BG294" s="310"/>
      <c r="BH294" s="310"/>
      <c r="BI294" s="310"/>
      <c r="BJ294" s="310"/>
      <c r="BK294" s="310"/>
      <c r="BL294" s="310"/>
      <c r="BM294" s="544">
        <f t="shared" si="136"/>
        <v>0</v>
      </c>
      <c r="BN294" s="310"/>
      <c r="BO294" s="310"/>
      <c r="BP294" s="310"/>
      <c r="BQ294" s="310"/>
      <c r="BR294" s="310"/>
      <c r="BS294" s="310"/>
      <c r="BT294" s="310"/>
      <c r="BU294" s="544"/>
      <c r="BV294" s="556"/>
      <c r="BW294" s="663">
        <f t="shared" si="127"/>
        <v>9</v>
      </c>
      <c r="BX294" s="1047">
        <f t="shared" si="133"/>
        <v>0.6428571428571429</v>
      </c>
      <c r="BY294" s="1047">
        <f t="shared" si="139"/>
        <v>0</v>
      </c>
      <c r="BZ294" s="1047">
        <f t="shared" si="140"/>
        <v>1</v>
      </c>
      <c r="CA294" s="1047">
        <f t="shared" si="141"/>
        <v>0</v>
      </c>
      <c r="CB294" s="1047">
        <f t="shared" si="142"/>
        <v>0.44444444444444442</v>
      </c>
      <c r="CD294" t="str">
        <f t="shared" si="143"/>
        <v>ROB</v>
      </c>
      <c r="CE294" t="str">
        <f t="shared" si="143"/>
        <v>VE</v>
      </c>
      <c r="CF294" t="str">
        <f t="shared" si="143"/>
        <v>ROB</v>
      </c>
      <c r="CG294" t="str">
        <f t="shared" si="143"/>
        <v>AMB</v>
      </c>
    </row>
    <row r="295" spans="1:85" ht="84" customHeight="1" x14ac:dyDescent="0.3">
      <c r="A295" s="298" t="s">
        <v>896</v>
      </c>
      <c r="B295" s="299" t="str">
        <f>'PLAN INDICATIVO'!B295</f>
        <v>Agropecuario</v>
      </c>
      <c r="C295" s="1547"/>
      <c r="D295" s="1549"/>
      <c r="E295" s="1549"/>
      <c r="F295" s="1549"/>
      <c r="G295" s="1549"/>
      <c r="H295" s="1549"/>
      <c r="I295" s="300">
        <f>'PLAN INDICATIVO'!I295</f>
        <v>0</v>
      </c>
      <c r="J295" s="300">
        <f>'PLAN INDICATIVO'!J295</f>
        <v>0</v>
      </c>
      <c r="K295" s="1428" t="str">
        <f>'PLAN INDICATIVO'!K295</f>
        <v>A.8.1.3</v>
      </c>
      <c r="L295" s="301" t="str">
        <f>'PLAN INDICATIVO'!L295</f>
        <v>12. Producción y consumo responsables</v>
      </c>
      <c r="M295" s="301" t="str">
        <f>'PLAN INDICATIVO'!M295</f>
        <v>Unidad de Desarrollo Rural</v>
      </c>
      <c r="N295" s="1513" t="s">
        <v>5127</v>
      </c>
      <c r="O295" s="1425" t="str">
        <f>'PLAN INDICATIVO'!O295</f>
        <v>Incremento</v>
      </c>
      <c r="P295" s="16" t="str">
        <f>'PLAN INDICATIVO'!P295</f>
        <v>Apoyar 3 proyectos de comercialización de productos agropecuarios con acompañamiento técnico y social durante el cuatrienio.</v>
      </c>
      <c r="Q295" s="302" t="str">
        <f>'PLAN INDICATIVO'!Q295</f>
        <v xml:space="preserve">No. De proyectos apoyados </v>
      </c>
      <c r="R295" s="303">
        <f>'PLAN INDICATIVO'!R295</f>
        <v>2015</v>
      </c>
      <c r="S295" s="304">
        <v>0</v>
      </c>
      <c r="T295" s="498">
        <v>3</v>
      </c>
      <c r="U295" s="303">
        <v>0</v>
      </c>
      <c r="V295" s="687">
        <v>2000000</v>
      </c>
      <c r="W295" s="572">
        <v>1</v>
      </c>
      <c r="X295" s="687">
        <v>2000000</v>
      </c>
      <c r="Y295" s="1232">
        <v>1</v>
      </c>
      <c r="Z295" s="1233">
        <v>2000000</v>
      </c>
      <c r="AA295" s="1310">
        <v>2</v>
      </c>
      <c r="AB295" s="1531">
        <v>4125000</v>
      </c>
      <c r="AC295" s="665"/>
      <c r="AD295" s="665">
        <v>1</v>
      </c>
      <c r="AE295" s="665">
        <v>0</v>
      </c>
      <c r="AF295" s="665">
        <v>2</v>
      </c>
      <c r="AG295" s="307" t="s">
        <v>5158</v>
      </c>
      <c r="AH295" s="987">
        <v>2019413960011</v>
      </c>
      <c r="AI295" s="1471" t="s">
        <v>5111</v>
      </c>
      <c r="AJ295" s="309">
        <v>43553</v>
      </c>
      <c r="AK295" s="838">
        <v>43789</v>
      </c>
      <c r="AL295" s="308"/>
      <c r="AM295" s="308"/>
      <c r="AN295" s="267" t="s">
        <v>2600</v>
      </c>
      <c r="AO295" s="507"/>
      <c r="AP295" s="965"/>
      <c r="AQ295" s="966"/>
      <c r="AR295" s="966"/>
      <c r="AS295" s="966"/>
      <c r="AT295" s="966"/>
      <c r="AU295" s="966"/>
      <c r="AV295" s="966"/>
      <c r="AW295" s="1215"/>
      <c r="AX295" s="525"/>
      <c r="AY295" s="310"/>
      <c r="AZ295" s="310"/>
      <c r="BA295" s="310"/>
      <c r="BB295" s="310"/>
      <c r="BC295" s="310"/>
      <c r="BD295" s="310"/>
      <c r="BE295" s="544"/>
      <c r="BF295" s="525"/>
      <c r="BG295" s="310"/>
      <c r="BH295" s="310"/>
      <c r="BI295" s="310"/>
      <c r="BJ295" s="310"/>
      <c r="BK295" s="310"/>
      <c r="BL295" s="310"/>
      <c r="BM295" s="544">
        <f t="shared" si="136"/>
        <v>0</v>
      </c>
      <c r="BN295" s="310"/>
      <c r="BO295" s="310"/>
      <c r="BP295" s="310"/>
      <c r="BQ295" s="310"/>
      <c r="BR295" s="310"/>
      <c r="BS295" s="310"/>
      <c r="BT295" s="310"/>
      <c r="BU295" s="544"/>
      <c r="BV295" s="556"/>
      <c r="BW295" s="663">
        <f t="shared" si="127"/>
        <v>3</v>
      </c>
      <c r="BX295" s="1047">
        <f t="shared" si="133"/>
        <v>1</v>
      </c>
      <c r="BY295" s="1047" t="str">
        <f t="shared" si="139"/>
        <v>Aplazada</v>
      </c>
      <c r="BZ295" s="1047">
        <f t="shared" si="140"/>
        <v>1</v>
      </c>
      <c r="CA295" s="1047">
        <f t="shared" si="141"/>
        <v>0</v>
      </c>
      <c r="CB295" s="1047">
        <f t="shared" si="142"/>
        <v>1</v>
      </c>
      <c r="CD295" t="str">
        <f t="shared" si="143"/>
        <v>AZ</v>
      </c>
      <c r="CE295" t="str">
        <f t="shared" si="143"/>
        <v>VE</v>
      </c>
      <c r="CF295" t="str">
        <f t="shared" si="143"/>
        <v>ROB</v>
      </c>
      <c r="CG295" t="str">
        <f t="shared" si="143"/>
        <v>VE</v>
      </c>
    </row>
    <row r="296" spans="1:85" ht="66.75" customHeight="1" x14ac:dyDescent="0.3">
      <c r="A296" s="298" t="s">
        <v>896</v>
      </c>
      <c r="B296" s="299" t="str">
        <f>'PLAN INDICATIVO'!B296</f>
        <v>Agropecuario</v>
      </c>
      <c r="C296" s="1547"/>
      <c r="D296" s="1549"/>
      <c r="E296" s="1549"/>
      <c r="F296" s="1549"/>
      <c r="G296" s="1549"/>
      <c r="H296" s="1549"/>
      <c r="I296" s="300">
        <f>'PLAN INDICATIVO'!I296</f>
        <v>0</v>
      </c>
      <c r="J296" s="300">
        <f>'PLAN INDICATIVO'!J296</f>
        <v>0</v>
      </c>
      <c r="K296" s="1428" t="str">
        <f>'PLAN INDICATIVO'!K296</f>
        <v>A.8.1.4</v>
      </c>
      <c r="L296" s="301" t="str">
        <f>'PLAN INDICATIVO'!L296</f>
        <v>12. Producción y consumo responsables</v>
      </c>
      <c r="M296" s="301" t="str">
        <f>'PLAN INDICATIVO'!M296</f>
        <v>Unidad de Desarrollo Rural</v>
      </c>
      <c r="N296" s="1513" t="s">
        <v>5127</v>
      </c>
      <c r="O296" s="1425" t="str">
        <f>'PLAN INDICATIVO'!O296</f>
        <v>Incremento</v>
      </c>
      <c r="P296" s="16" t="str">
        <f>'PLAN INDICATIVO'!P296</f>
        <v>Realizar 4 campañas donde permita la sanidad agropecuaria e inocuidad de los alimentos en el Municipio durante el cuatrienio</v>
      </c>
      <c r="Q296" s="302" t="str">
        <f>'PLAN INDICATIVO'!Q296</f>
        <v>No. De campañas realizadas</v>
      </c>
      <c r="R296" s="303">
        <f>'PLAN INDICATIVO'!R296</f>
        <v>2015</v>
      </c>
      <c r="S296" s="304">
        <v>0</v>
      </c>
      <c r="T296" s="498">
        <v>4</v>
      </c>
      <c r="U296" s="303">
        <v>1</v>
      </c>
      <c r="V296" s="687">
        <v>2000000</v>
      </c>
      <c r="W296" s="572">
        <v>1</v>
      </c>
      <c r="X296" s="687">
        <v>1000000</v>
      </c>
      <c r="Y296" s="1232">
        <v>1</v>
      </c>
      <c r="Z296" s="1233">
        <v>1000000</v>
      </c>
      <c r="AA296" s="1310">
        <v>1</v>
      </c>
      <c r="AB296" s="1531">
        <v>4125000</v>
      </c>
      <c r="AC296" s="665"/>
      <c r="AD296" s="665">
        <v>2</v>
      </c>
      <c r="AE296" s="665">
        <v>1</v>
      </c>
      <c r="AF296" s="665">
        <v>1</v>
      </c>
      <c r="AG296" s="307" t="s">
        <v>5158</v>
      </c>
      <c r="AH296" s="987">
        <v>2019413960011</v>
      </c>
      <c r="AI296" s="1472" t="s">
        <v>5112</v>
      </c>
      <c r="AJ296" s="309">
        <v>43483</v>
      </c>
      <c r="AK296" s="838">
        <v>43601</v>
      </c>
      <c r="AL296" s="308"/>
      <c r="AM296" s="308"/>
      <c r="AN296" s="267" t="s">
        <v>2598</v>
      </c>
      <c r="AO296" s="507"/>
      <c r="AP296" s="965"/>
      <c r="AQ296" s="966"/>
      <c r="AR296" s="966"/>
      <c r="AS296" s="966"/>
      <c r="AT296" s="966"/>
      <c r="AU296" s="966"/>
      <c r="AV296" s="966"/>
      <c r="AW296" s="1215"/>
      <c r="AX296" s="525"/>
      <c r="AY296" s="310"/>
      <c r="AZ296" s="310"/>
      <c r="BA296" s="310"/>
      <c r="BB296" s="310"/>
      <c r="BC296" s="310"/>
      <c r="BD296" s="310"/>
      <c r="BE296" s="544"/>
      <c r="BF296" s="525"/>
      <c r="BG296" s="310"/>
      <c r="BH296" s="310"/>
      <c r="BI296" s="310"/>
      <c r="BJ296" s="310"/>
      <c r="BK296" s="310"/>
      <c r="BL296" s="310"/>
      <c r="BM296" s="544">
        <f t="shared" si="136"/>
        <v>0</v>
      </c>
      <c r="BN296" s="310"/>
      <c r="BO296" s="310"/>
      <c r="BP296" s="310"/>
      <c r="BQ296" s="310"/>
      <c r="BR296" s="310"/>
      <c r="BS296" s="310"/>
      <c r="BT296" s="310"/>
      <c r="BU296" s="544"/>
      <c r="BV296" s="556"/>
      <c r="BW296" s="663">
        <f t="shared" si="127"/>
        <v>4</v>
      </c>
      <c r="BX296" s="1047">
        <f t="shared" si="133"/>
        <v>1</v>
      </c>
      <c r="BY296" s="1047">
        <f t="shared" si="139"/>
        <v>0</v>
      </c>
      <c r="BZ296" s="1047">
        <f t="shared" si="140"/>
        <v>2</v>
      </c>
      <c r="CA296" s="1047">
        <f t="shared" si="141"/>
        <v>1</v>
      </c>
      <c r="CB296" s="1047">
        <f t="shared" si="142"/>
        <v>1</v>
      </c>
      <c r="CD296" t="str">
        <f t="shared" si="143"/>
        <v>ROB</v>
      </c>
      <c r="CE296" t="str">
        <f t="shared" si="143"/>
        <v>VE</v>
      </c>
      <c r="CF296" t="str">
        <f t="shared" si="143"/>
        <v>VE</v>
      </c>
      <c r="CG296" t="str">
        <f t="shared" si="143"/>
        <v>VE</v>
      </c>
    </row>
    <row r="297" spans="1:85" ht="87.75" customHeight="1" x14ac:dyDescent="0.3">
      <c r="A297" s="298" t="s">
        <v>896</v>
      </c>
      <c r="B297" s="299" t="str">
        <f>'PLAN INDICATIVO'!B297</f>
        <v>Agropecuario</v>
      </c>
      <c r="C297" s="1547"/>
      <c r="D297" s="1549"/>
      <c r="E297" s="1549"/>
      <c r="F297" s="1549"/>
      <c r="G297" s="1549"/>
      <c r="H297" s="1549"/>
      <c r="I297" s="300">
        <f>'PLAN INDICATIVO'!I297</f>
        <v>0</v>
      </c>
      <c r="J297" s="300">
        <f>'PLAN INDICATIVO'!J297</f>
        <v>0</v>
      </c>
      <c r="K297" s="1428" t="str">
        <f>'PLAN INDICATIVO'!K297</f>
        <v>A.8.1.5</v>
      </c>
      <c r="L297" s="301" t="str">
        <f>'PLAN INDICATIVO'!L297</f>
        <v>12. Producción y consumo responsables</v>
      </c>
      <c r="M297" s="301" t="str">
        <f>'PLAN INDICATIVO'!M297</f>
        <v>Unidad de Desarrollo Rural</v>
      </c>
      <c r="N297" s="1513" t="s">
        <v>5127</v>
      </c>
      <c r="O297" s="1425" t="str">
        <f>'PLAN INDICATIVO'!O297</f>
        <v>Incremento</v>
      </c>
      <c r="P297" s="16" t="str">
        <f>'PLAN INDICATIVO'!P297</f>
        <v xml:space="preserve">Mantener la frontera agrícola a 100 has de cultivos estacionarios y no estacionarios, durante el cuatrienio </v>
      </c>
      <c r="Q297" s="302" t="str">
        <f>'PLAN INDICATIVO'!Q297</f>
        <v>No. De hectáreas diversificadas con cultivos estacionarios y no estacionarios</v>
      </c>
      <c r="R297" s="303">
        <f>'PLAN INDICATIVO'!R297</f>
        <v>2015</v>
      </c>
      <c r="S297" s="304">
        <v>0</v>
      </c>
      <c r="T297" s="498">
        <v>100</v>
      </c>
      <c r="U297" s="303">
        <v>0</v>
      </c>
      <c r="V297" s="687">
        <v>5000000</v>
      </c>
      <c r="W297" s="572">
        <v>33</v>
      </c>
      <c r="X297" s="687">
        <v>5000000</v>
      </c>
      <c r="Y297" s="1232">
        <v>33</v>
      </c>
      <c r="Z297" s="1233">
        <v>5000000</v>
      </c>
      <c r="AA297" s="1310">
        <v>34</v>
      </c>
      <c r="AB297" s="1531">
        <v>20000000</v>
      </c>
      <c r="AC297" s="665"/>
      <c r="AD297" s="665">
        <v>33</v>
      </c>
      <c r="AE297" s="665">
        <v>33</v>
      </c>
      <c r="AF297" s="665">
        <v>34</v>
      </c>
      <c r="AG297" s="307" t="s">
        <v>5158</v>
      </c>
      <c r="AH297" s="987">
        <v>2019413960011</v>
      </c>
      <c r="AI297" s="1471" t="s">
        <v>5113</v>
      </c>
      <c r="AJ297" s="309">
        <v>43553</v>
      </c>
      <c r="AK297" s="838">
        <v>43789</v>
      </c>
      <c r="AL297" s="308"/>
      <c r="AM297" s="308"/>
      <c r="AN297" s="267" t="s">
        <v>2598</v>
      </c>
      <c r="AO297" s="507"/>
      <c r="AP297" s="965"/>
      <c r="AQ297" s="966"/>
      <c r="AR297" s="966"/>
      <c r="AS297" s="966"/>
      <c r="AT297" s="966"/>
      <c r="AU297" s="966"/>
      <c r="AV297" s="966"/>
      <c r="AW297" s="1215"/>
      <c r="AX297" s="525"/>
      <c r="AY297" s="310"/>
      <c r="AZ297" s="310"/>
      <c r="BA297" s="310"/>
      <c r="BB297" s="310"/>
      <c r="BC297" s="310"/>
      <c r="BD297" s="310"/>
      <c r="BE297" s="544"/>
      <c r="BF297" s="525"/>
      <c r="BG297" s="310"/>
      <c r="BH297" s="310"/>
      <c r="BI297" s="310"/>
      <c r="BJ297" s="310"/>
      <c r="BK297" s="310"/>
      <c r="BL297" s="310"/>
      <c r="BM297" s="544">
        <f t="shared" si="136"/>
        <v>0</v>
      </c>
      <c r="BN297" s="525"/>
      <c r="BO297" s="310"/>
      <c r="BP297" s="310"/>
      <c r="BQ297" s="310"/>
      <c r="BR297" s="310"/>
      <c r="BS297" s="310"/>
      <c r="BT297" s="310"/>
      <c r="BU297" s="544"/>
      <c r="BV297" s="556"/>
      <c r="BW297" s="663">
        <f t="shared" si="127"/>
        <v>100</v>
      </c>
      <c r="BX297" s="1047">
        <f t="shared" si="133"/>
        <v>1</v>
      </c>
      <c r="BY297" s="1047" t="str">
        <f t="shared" si="139"/>
        <v>Aplazada</v>
      </c>
      <c r="BZ297" s="1047">
        <f t="shared" si="140"/>
        <v>1</v>
      </c>
      <c r="CA297" s="1047">
        <f t="shared" si="141"/>
        <v>1</v>
      </c>
      <c r="CB297" s="1047">
        <f t="shared" si="142"/>
        <v>1</v>
      </c>
      <c r="CD297" t="str">
        <f t="shared" si="143"/>
        <v>AZ</v>
      </c>
      <c r="CE297" t="str">
        <f t="shared" si="143"/>
        <v>VE</v>
      </c>
      <c r="CF297" t="str">
        <f t="shared" si="143"/>
        <v>VE</v>
      </c>
      <c r="CG297" t="str">
        <f t="shared" si="143"/>
        <v>VE</v>
      </c>
    </row>
    <row r="298" spans="1:85" ht="83.25" customHeight="1" x14ac:dyDescent="0.3">
      <c r="A298" s="298" t="s">
        <v>896</v>
      </c>
      <c r="B298" s="299" t="str">
        <f>'PLAN INDICATIVO'!B298</f>
        <v>Agropecuario</v>
      </c>
      <c r="C298" s="1547"/>
      <c r="D298" s="1549"/>
      <c r="E298" s="1549"/>
      <c r="F298" s="1549"/>
      <c r="G298" s="1549"/>
      <c r="H298" s="1549"/>
      <c r="I298" s="300">
        <f>'PLAN INDICATIVO'!I298</f>
        <v>0</v>
      </c>
      <c r="J298" s="300">
        <f>'PLAN INDICATIVO'!J298</f>
        <v>0</v>
      </c>
      <c r="K298" s="1428" t="str">
        <f>'PLAN INDICATIVO'!K298</f>
        <v>A.8.1.6</v>
      </c>
      <c r="L298" s="301" t="str">
        <f>'PLAN INDICATIVO'!L298</f>
        <v>12. Producción y consumo responsables</v>
      </c>
      <c r="M298" s="301" t="str">
        <f>'PLAN INDICATIVO'!M298</f>
        <v>Unidad de Desarrollo Rural</v>
      </c>
      <c r="N298" s="1513" t="s">
        <v>5127</v>
      </c>
      <c r="O298" s="1425" t="str">
        <f>'PLAN INDICATIVO'!O298</f>
        <v>Mantenimiento</v>
      </c>
      <c r="P298" s="16" t="str">
        <f>'PLAN INDICATIVO'!P298</f>
        <v xml:space="preserve">Mantener 1 convenio suscritos con el comité de cafeteros para el mejoramiento del sector cada año, durante el cuatrienio </v>
      </c>
      <c r="Q298" s="302" t="str">
        <f>'PLAN INDICATIVO'!Q298</f>
        <v>No. De convenios suscritos por año</v>
      </c>
      <c r="R298" s="303">
        <f>'PLAN INDICATIVO'!R298</f>
        <v>2015</v>
      </c>
      <c r="S298" s="304">
        <v>0</v>
      </c>
      <c r="T298" s="498">
        <v>1</v>
      </c>
      <c r="U298" s="303">
        <v>0.25</v>
      </c>
      <c r="V298" s="687">
        <v>10000000</v>
      </c>
      <c r="W298" s="572">
        <v>0.25</v>
      </c>
      <c r="X298" s="687">
        <v>35000000</v>
      </c>
      <c r="Y298" s="1232">
        <v>0.5</v>
      </c>
      <c r="Z298" s="1233">
        <v>35000000</v>
      </c>
      <c r="AA298" s="1310">
        <v>1</v>
      </c>
      <c r="AB298" s="1531">
        <v>4125000</v>
      </c>
      <c r="AC298" s="665"/>
      <c r="AD298" s="665">
        <v>0.25</v>
      </c>
      <c r="AE298" s="665">
        <v>0.5</v>
      </c>
      <c r="AF298" s="665">
        <v>0</v>
      </c>
      <c r="AG298" s="307" t="s">
        <v>5158</v>
      </c>
      <c r="AH298" s="987">
        <v>2019413960011</v>
      </c>
      <c r="AI298" s="307" t="s">
        <v>5043</v>
      </c>
      <c r="AJ298" s="335">
        <v>43477</v>
      </c>
      <c r="AK298" s="838">
        <v>43595</v>
      </c>
      <c r="AL298" s="308"/>
      <c r="AM298" s="308"/>
      <c r="AN298" s="267" t="s">
        <v>2598</v>
      </c>
      <c r="AO298" s="510"/>
      <c r="AP298" s="969"/>
      <c r="AQ298" s="966"/>
      <c r="AR298" s="966"/>
      <c r="AS298" s="966"/>
      <c r="AT298" s="966"/>
      <c r="AU298" s="966"/>
      <c r="AV298" s="966"/>
      <c r="AW298" s="1216"/>
      <c r="AX298" s="525"/>
      <c r="AY298" s="310"/>
      <c r="AZ298" s="310"/>
      <c r="BA298" s="310"/>
      <c r="BB298" s="310"/>
      <c r="BC298" s="310"/>
      <c r="BD298" s="310"/>
      <c r="BE298" s="544"/>
      <c r="BF298" s="525"/>
      <c r="BG298" s="310"/>
      <c r="BH298" s="310"/>
      <c r="BI298" s="310"/>
      <c r="BJ298" s="310"/>
      <c r="BK298" s="310"/>
      <c r="BL298" s="310"/>
      <c r="BM298" s="544">
        <f t="shared" si="136"/>
        <v>0</v>
      </c>
      <c r="BN298" s="525"/>
      <c r="BO298" s="310"/>
      <c r="BP298" s="310"/>
      <c r="BQ298" s="310"/>
      <c r="BR298" s="310"/>
      <c r="BS298" s="310"/>
      <c r="BT298" s="310"/>
      <c r="BU298" s="544"/>
      <c r="BV298" s="556"/>
      <c r="BW298" s="663">
        <f t="shared" si="127"/>
        <v>0.75</v>
      </c>
      <c r="BX298" s="1047">
        <f t="shared" si="133"/>
        <v>0.75</v>
      </c>
      <c r="BY298" s="1047">
        <f t="shared" si="139"/>
        <v>0</v>
      </c>
      <c r="BZ298" s="1047">
        <f t="shared" si="140"/>
        <v>1</v>
      </c>
      <c r="CA298" s="1047">
        <f t="shared" si="141"/>
        <v>1</v>
      </c>
      <c r="CB298" s="1047">
        <f t="shared" si="142"/>
        <v>0</v>
      </c>
      <c r="CD298" t="str">
        <f t="shared" si="143"/>
        <v>ROB</v>
      </c>
      <c r="CE298" t="str">
        <f t="shared" si="143"/>
        <v>VE</v>
      </c>
      <c r="CF298" t="str">
        <f t="shared" si="143"/>
        <v>VE</v>
      </c>
      <c r="CG298" t="str">
        <f t="shared" si="143"/>
        <v>ROB</v>
      </c>
    </row>
    <row r="299" spans="1:85" ht="82.5" customHeight="1" x14ac:dyDescent="0.3">
      <c r="A299" s="298" t="s">
        <v>896</v>
      </c>
      <c r="B299" s="299" t="str">
        <f>'PLAN INDICATIVO'!B299</f>
        <v>Agropecuario</v>
      </c>
      <c r="C299" s="1547"/>
      <c r="D299" s="1549"/>
      <c r="E299" s="1549"/>
      <c r="F299" s="1549"/>
      <c r="G299" s="1549"/>
      <c r="H299" s="1549"/>
      <c r="I299" s="300">
        <f>'PLAN INDICATIVO'!I299</f>
        <v>0</v>
      </c>
      <c r="J299" s="300">
        <f>'PLAN INDICATIVO'!J299</f>
        <v>0</v>
      </c>
      <c r="K299" s="1428" t="str">
        <f>'PLAN INDICATIVO'!K299</f>
        <v>A.8.1.7</v>
      </c>
      <c r="L299" s="301" t="str">
        <f>'PLAN INDICATIVO'!L299</f>
        <v>12. Producción y consumo responsables</v>
      </c>
      <c r="M299" s="301" t="str">
        <f>'PLAN INDICATIVO'!M299</f>
        <v>Unidad de Desarrollo Rural</v>
      </c>
      <c r="N299" s="1513" t="s">
        <v>5127</v>
      </c>
      <c r="O299" s="1425" t="str">
        <f>'PLAN INDICATIVO'!O299</f>
        <v>Incremento</v>
      </c>
      <c r="P299" s="16" t="str">
        <f>'PLAN INDICATIVO'!P299</f>
        <v>Otorgar 25 apoyos   a  las asociaciones o Empresarios del Campo del municipio de la Plata, durante el cuatrienio.</v>
      </c>
      <c r="Q299" s="302" t="str">
        <f>'PLAN INDICATIVO'!Q299</f>
        <v>No. De apoyos otorgados</v>
      </c>
      <c r="R299" s="303">
        <f>'PLAN INDICATIVO'!R299</f>
        <v>2015</v>
      </c>
      <c r="S299" s="304">
        <v>0</v>
      </c>
      <c r="T299" s="498">
        <v>25</v>
      </c>
      <c r="U299" s="303">
        <v>6</v>
      </c>
      <c r="V299" s="687">
        <v>3000000</v>
      </c>
      <c r="W299" s="572">
        <v>6</v>
      </c>
      <c r="X299" s="687">
        <v>2000000</v>
      </c>
      <c r="Y299" s="1232">
        <v>6</v>
      </c>
      <c r="Z299" s="1233">
        <v>5000000</v>
      </c>
      <c r="AA299" s="1310">
        <v>7</v>
      </c>
      <c r="AB299" s="1531">
        <v>30000000</v>
      </c>
      <c r="AC299" s="665"/>
      <c r="AD299" s="899">
        <v>6</v>
      </c>
      <c r="AE299" s="665">
        <v>6</v>
      </c>
      <c r="AF299" s="665">
        <v>5</v>
      </c>
      <c r="AG299" s="307" t="s">
        <v>5158</v>
      </c>
      <c r="AH299" s="987">
        <v>2019413960011</v>
      </c>
      <c r="AI299" s="1471" t="s">
        <v>5114</v>
      </c>
      <c r="AJ299" s="309">
        <v>43553</v>
      </c>
      <c r="AK299" s="838">
        <v>43789</v>
      </c>
      <c r="AL299" s="308"/>
      <c r="AM299" s="308"/>
      <c r="AN299" s="267" t="s">
        <v>2598</v>
      </c>
      <c r="AO299" s="507"/>
      <c r="AP299" s="965"/>
      <c r="AQ299" s="966"/>
      <c r="AR299" s="966"/>
      <c r="AS299" s="966"/>
      <c r="AT299" s="966"/>
      <c r="AU299" s="966"/>
      <c r="AV299" s="966"/>
      <c r="AW299" s="1215"/>
      <c r="AX299" s="525"/>
      <c r="AY299" s="310"/>
      <c r="AZ299" s="310"/>
      <c r="BA299" s="310"/>
      <c r="BB299" s="310"/>
      <c r="BC299" s="310"/>
      <c r="BD299" s="310"/>
      <c r="BE299" s="544"/>
      <c r="BF299" s="525"/>
      <c r="BG299" s="310"/>
      <c r="BH299" s="310"/>
      <c r="BI299" s="310"/>
      <c r="BJ299" s="310"/>
      <c r="BK299" s="310"/>
      <c r="BL299" s="310"/>
      <c r="BM299" s="544">
        <f t="shared" si="136"/>
        <v>0</v>
      </c>
      <c r="BN299" s="525"/>
      <c r="BO299" s="310"/>
      <c r="BP299" s="310"/>
      <c r="BQ299" s="310"/>
      <c r="BR299" s="310"/>
      <c r="BS299" s="310"/>
      <c r="BT299" s="310"/>
      <c r="BU299" s="544"/>
      <c r="BV299" s="556"/>
      <c r="BW299" s="663">
        <f t="shared" si="127"/>
        <v>17</v>
      </c>
      <c r="BX299" s="1047">
        <f t="shared" si="133"/>
        <v>0.68</v>
      </c>
      <c r="BY299" s="1047">
        <f t="shared" si="139"/>
        <v>0</v>
      </c>
      <c r="BZ299" s="1047">
        <f t="shared" si="140"/>
        <v>1</v>
      </c>
      <c r="CA299" s="1047">
        <f t="shared" si="141"/>
        <v>1</v>
      </c>
      <c r="CB299" s="1047">
        <f t="shared" si="142"/>
        <v>0.7142857142857143</v>
      </c>
      <c r="CD299" t="str">
        <f t="shared" si="143"/>
        <v>ROB</v>
      </c>
      <c r="CE299" t="str">
        <f t="shared" si="143"/>
        <v>VE</v>
      </c>
      <c r="CF299" t="str">
        <f t="shared" si="143"/>
        <v>VE</v>
      </c>
      <c r="CG299" t="str">
        <f t="shared" si="143"/>
        <v>VEB</v>
      </c>
    </row>
    <row r="300" spans="1:85" ht="101.25" customHeight="1" x14ac:dyDescent="0.3">
      <c r="A300" s="298" t="s">
        <v>896</v>
      </c>
      <c r="B300" s="299" t="str">
        <f>'PLAN INDICATIVO'!B300</f>
        <v>Agropecuario</v>
      </c>
      <c r="C300" s="1547"/>
      <c r="D300" s="1549"/>
      <c r="E300" s="1549"/>
      <c r="F300" s="1549"/>
      <c r="G300" s="1549"/>
      <c r="H300" s="1549"/>
      <c r="I300" s="300">
        <f>'PLAN INDICATIVO'!I300</f>
        <v>0</v>
      </c>
      <c r="J300" s="300">
        <f>'PLAN INDICATIVO'!J300</f>
        <v>0</v>
      </c>
      <c r="K300" s="1428" t="str">
        <f>'PLAN INDICATIVO'!K300</f>
        <v>A.8.1.8</v>
      </c>
      <c r="L300" s="301" t="str">
        <f>'PLAN INDICATIVO'!L300</f>
        <v>12. Producción y consumo responsables</v>
      </c>
      <c r="M300" s="301" t="str">
        <f>'PLAN INDICATIVO'!M300</f>
        <v>Unidad de Desarrollo Rural</v>
      </c>
      <c r="N300" s="1513" t="s">
        <v>5127</v>
      </c>
      <c r="O300" s="1425" t="str">
        <f>'PLAN INDICATIVO'!O300</f>
        <v>Incremento</v>
      </c>
      <c r="P300" s="16" t="str">
        <f>'PLAN INDICATIVO'!P300</f>
        <v>Brindar a 800 productores agropecuarios asistencia técnica para mejorar producción agropecuaria durante el cuatrienio</v>
      </c>
      <c r="Q300" s="302" t="str">
        <f>'PLAN INDICATIVO'!Q300</f>
        <v>No. De productores agropecuarios con asistencia técnica</v>
      </c>
      <c r="R300" s="303">
        <f>'PLAN INDICATIVO'!R300</f>
        <v>2015</v>
      </c>
      <c r="S300" s="304">
        <v>400</v>
      </c>
      <c r="T300" s="498">
        <v>800</v>
      </c>
      <c r="U300" s="303">
        <v>200</v>
      </c>
      <c r="V300" s="687">
        <v>10000000</v>
      </c>
      <c r="W300" s="572">
        <v>200</v>
      </c>
      <c r="X300" s="687">
        <v>5000000</v>
      </c>
      <c r="Y300" s="1232">
        <v>300</v>
      </c>
      <c r="Z300" s="1233">
        <v>5000000</v>
      </c>
      <c r="AA300" s="1310">
        <v>50</v>
      </c>
      <c r="AB300" s="1531">
        <v>4950000</v>
      </c>
      <c r="AC300" s="665"/>
      <c r="AD300" s="665">
        <v>250</v>
      </c>
      <c r="AE300" s="665">
        <v>300</v>
      </c>
      <c r="AF300" s="665">
        <v>54</v>
      </c>
      <c r="AG300" s="307" t="s">
        <v>5158</v>
      </c>
      <c r="AH300" s="987">
        <v>2019413960011</v>
      </c>
      <c r="AI300" s="1471" t="s">
        <v>4945</v>
      </c>
      <c r="AJ300" s="309">
        <v>43553</v>
      </c>
      <c r="AK300" s="838">
        <v>43789</v>
      </c>
      <c r="AL300" s="308"/>
      <c r="AM300" s="308"/>
      <c r="AN300" s="267" t="s">
        <v>2598</v>
      </c>
      <c r="AO300" s="507"/>
      <c r="AP300" s="965"/>
      <c r="AQ300" s="966"/>
      <c r="AR300" s="966"/>
      <c r="AS300" s="966"/>
      <c r="AT300" s="966"/>
      <c r="AU300" s="966"/>
      <c r="AV300" s="966"/>
      <c r="AW300" s="1215"/>
      <c r="AX300" s="525"/>
      <c r="AY300" s="310"/>
      <c r="AZ300" s="310"/>
      <c r="BA300" s="310"/>
      <c r="BB300" s="310"/>
      <c r="BC300" s="310"/>
      <c r="BD300" s="310"/>
      <c r="BE300" s="544"/>
      <c r="BF300" s="525"/>
      <c r="BG300" s="310"/>
      <c r="BH300" s="310"/>
      <c r="BI300" s="310"/>
      <c r="BJ300" s="310"/>
      <c r="BK300" s="310"/>
      <c r="BL300" s="310"/>
      <c r="BM300" s="544">
        <f t="shared" si="136"/>
        <v>0</v>
      </c>
      <c r="BN300" s="525"/>
      <c r="BO300" s="310"/>
      <c r="BP300" s="310"/>
      <c r="BQ300" s="310"/>
      <c r="BR300" s="310"/>
      <c r="BS300" s="310"/>
      <c r="BT300" s="310"/>
      <c r="BU300" s="544"/>
      <c r="BV300" s="556"/>
      <c r="BW300" s="663">
        <f t="shared" si="127"/>
        <v>604</v>
      </c>
      <c r="BX300" s="1047">
        <f t="shared" si="133"/>
        <v>0.755</v>
      </c>
      <c r="BY300" s="1047">
        <f t="shared" si="139"/>
        <v>0</v>
      </c>
      <c r="BZ300" s="1047">
        <f t="shared" si="140"/>
        <v>1.25</v>
      </c>
      <c r="CA300" s="1047">
        <f t="shared" si="141"/>
        <v>1</v>
      </c>
      <c r="CB300" s="1047">
        <f t="shared" si="142"/>
        <v>1.08</v>
      </c>
      <c r="CD300" t="str">
        <f t="shared" si="143"/>
        <v>ROB</v>
      </c>
      <c r="CE300" t="str">
        <f t="shared" si="143"/>
        <v>VE</v>
      </c>
      <c r="CF300" t="str">
        <f t="shared" si="143"/>
        <v>VE</v>
      </c>
      <c r="CG300" t="str">
        <f t="shared" si="143"/>
        <v>VE</v>
      </c>
    </row>
    <row r="301" spans="1:85" ht="75" customHeight="1" x14ac:dyDescent="0.3">
      <c r="A301" s="298" t="s">
        <v>896</v>
      </c>
      <c r="B301" s="299" t="str">
        <f>'PLAN INDICATIVO'!B301</f>
        <v>Agropecuario</v>
      </c>
      <c r="C301" s="1547"/>
      <c r="D301" s="1549"/>
      <c r="E301" s="1549"/>
      <c r="F301" s="1549"/>
      <c r="G301" s="1549"/>
      <c r="H301" s="1549"/>
      <c r="I301" s="300">
        <f>'PLAN INDICATIVO'!I301</f>
        <v>0</v>
      </c>
      <c r="J301" s="300">
        <f>'PLAN INDICATIVO'!J301</f>
        <v>0</v>
      </c>
      <c r="K301" s="1428" t="str">
        <f>'PLAN INDICATIVO'!K301</f>
        <v>A.8.1.9</v>
      </c>
      <c r="L301" s="301" t="str">
        <f>'PLAN INDICATIVO'!L301</f>
        <v>12. Producción y consumo responsables</v>
      </c>
      <c r="M301" s="301" t="str">
        <f>'PLAN INDICATIVO'!M301</f>
        <v>Unidad de Desarrollo Rural</v>
      </c>
      <c r="N301" s="1513" t="s">
        <v>5127</v>
      </c>
      <c r="O301" s="1425" t="str">
        <f>'PLAN INDICATIVO'!O301</f>
        <v>Incremento</v>
      </c>
      <c r="P301" s="16" t="str">
        <f>'PLAN INDICATIVO'!P301</f>
        <v>Realizar acompañamiento técnico y social a 2.000  familias vulnerables   en la implementación de agricultura rural durante el cuatrienio.</v>
      </c>
      <c r="Q301" s="302" t="str">
        <f>'PLAN INDICATIVO'!Q301</f>
        <v>No. De familias con acompañamiento técnico</v>
      </c>
      <c r="R301" s="303">
        <f>'PLAN INDICATIVO'!R301</f>
        <v>2015</v>
      </c>
      <c r="S301" s="304" t="s">
        <v>177</v>
      </c>
      <c r="T301" s="498">
        <v>2000</v>
      </c>
      <c r="U301" s="303">
        <v>500</v>
      </c>
      <c r="V301" s="687">
        <v>5000000</v>
      </c>
      <c r="W301" s="572">
        <v>500</v>
      </c>
      <c r="X301" s="687">
        <v>5000000</v>
      </c>
      <c r="Y301" s="1232">
        <v>300</v>
      </c>
      <c r="Z301" s="1233">
        <v>14000000</v>
      </c>
      <c r="AA301" s="1310">
        <v>600</v>
      </c>
      <c r="AB301" s="1531">
        <v>7600000</v>
      </c>
      <c r="AC301" s="665"/>
      <c r="AD301" s="667">
        <v>500</v>
      </c>
      <c r="AE301" s="665">
        <v>300</v>
      </c>
      <c r="AF301" s="665">
        <v>600</v>
      </c>
      <c r="AG301" s="307" t="s">
        <v>5158</v>
      </c>
      <c r="AH301" s="987">
        <v>2019413960011</v>
      </c>
      <c r="AI301" s="1471" t="s">
        <v>5115</v>
      </c>
      <c r="AJ301" s="309">
        <v>43553</v>
      </c>
      <c r="AK301" s="838">
        <v>43789</v>
      </c>
      <c r="AL301" s="308"/>
      <c r="AM301" s="308"/>
      <c r="AN301" s="267" t="s">
        <v>2598</v>
      </c>
      <c r="AO301" s="507"/>
      <c r="AP301" s="965"/>
      <c r="AQ301" s="966"/>
      <c r="AR301" s="966"/>
      <c r="AS301" s="966"/>
      <c r="AT301" s="966"/>
      <c r="AU301" s="966"/>
      <c r="AV301" s="966"/>
      <c r="AW301" s="1215"/>
      <c r="AX301" s="525"/>
      <c r="AY301" s="310"/>
      <c r="AZ301" s="310"/>
      <c r="BA301" s="310"/>
      <c r="BB301" s="310"/>
      <c r="BC301" s="310"/>
      <c r="BD301" s="310"/>
      <c r="BE301" s="544"/>
      <c r="BF301" s="525"/>
      <c r="BG301" s="310"/>
      <c r="BH301" s="310"/>
      <c r="BI301" s="310"/>
      <c r="BJ301" s="310"/>
      <c r="BK301" s="310"/>
      <c r="BL301" s="310"/>
      <c r="BM301" s="544">
        <f t="shared" si="136"/>
        <v>0</v>
      </c>
      <c r="BN301" s="525"/>
      <c r="BO301" s="310"/>
      <c r="BP301" s="310"/>
      <c r="BQ301" s="310"/>
      <c r="BR301" s="310"/>
      <c r="BS301" s="310"/>
      <c r="BT301" s="310"/>
      <c r="BU301" s="544"/>
      <c r="BV301" s="556"/>
      <c r="BW301" s="663">
        <f t="shared" si="127"/>
        <v>1400</v>
      </c>
      <c r="BX301" s="1047">
        <f t="shared" si="133"/>
        <v>0.7</v>
      </c>
      <c r="BY301" s="1047">
        <f t="shared" si="139"/>
        <v>0</v>
      </c>
      <c r="BZ301" s="1047">
        <f t="shared" si="140"/>
        <v>1</v>
      </c>
      <c r="CA301" s="1047">
        <f t="shared" si="141"/>
        <v>1</v>
      </c>
      <c r="CB301" s="1047">
        <f t="shared" si="142"/>
        <v>1</v>
      </c>
      <c r="CD301" t="str">
        <f t="shared" si="143"/>
        <v>ROB</v>
      </c>
      <c r="CE301" t="str">
        <f t="shared" si="143"/>
        <v>VE</v>
      </c>
      <c r="CF301" t="str">
        <f t="shared" si="143"/>
        <v>VE</v>
      </c>
      <c r="CG301" t="str">
        <f t="shared" si="143"/>
        <v>VE</v>
      </c>
    </row>
    <row r="302" spans="1:85" ht="72" customHeight="1" x14ac:dyDescent="0.3">
      <c r="A302" s="298" t="s">
        <v>896</v>
      </c>
      <c r="B302" s="299" t="str">
        <f>'PLAN INDICATIVO'!B302</f>
        <v>Agropecuario</v>
      </c>
      <c r="C302" s="1547"/>
      <c r="D302" s="1549"/>
      <c r="E302" s="1549"/>
      <c r="F302" s="1549"/>
      <c r="G302" s="1549"/>
      <c r="H302" s="1549"/>
      <c r="I302" s="300">
        <f>'PLAN INDICATIVO'!I302</f>
        <v>0</v>
      </c>
      <c r="J302" s="300">
        <f>'PLAN INDICATIVO'!J302</f>
        <v>0</v>
      </c>
      <c r="K302" s="1428" t="str">
        <f>'PLAN INDICATIVO'!K302</f>
        <v>A.8.1.10</v>
      </c>
      <c r="L302" s="301" t="str">
        <f>'PLAN INDICATIVO'!L302</f>
        <v>12. Producción y consumo responsables</v>
      </c>
      <c r="M302" s="301" t="str">
        <f>'PLAN INDICATIVO'!M302</f>
        <v>Unidad de Desarrollo Rural</v>
      </c>
      <c r="N302" s="1513" t="s">
        <v>5127</v>
      </c>
      <c r="O302" s="1425" t="str">
        <f>'PLAN INDICATIVO'!O302</f>
        <v>Incremento</v>
      </c>
      <c r="P302" s="16" t="str">
        <f>'PLAN INDICATIVO'!P302</f>
        <v>Realizar acompañamiento técnico y social a 1.000  familias en la implementación de agricultura en la zona urbana durante el cuatrienio.</v>
      </c>
      <c r="Q302" s="302" t="str">
        <f>'PLAN INDICATIVO'!Q302</f>
        <v>No. De familias beneficiadas</v>
      </c>
      <c r="R302" s="303">
        <f>'PLAN INDICATIVO'!R302</f>
        <v>2015</v>
      </c>
      <c r="S302" s="304" t="s">
        <v>177</v>
      </c>
      <c r="T302" s="498">
        <v>1000</v>
      </c>
      <c r="U302" s="303">
        <v>250</v>
      </c>
      <c r="V302" s="687">
        <v>4000000</v>
      </c>
      <c r="W302" s="572">
        <v>250</v>
      </c>
      <c r="X302" s="687">
        <v>3000000</v>
      </c>
      <c r="Y302" s="1239">
        <v>250</v>
      </c>
      <c r="Z302" s="1233">
        <v>14000000</v>
      </c>
      <c r="AA302" s="1310">
        <v>200</v>
      </c>
      <c r="AB302" s="1531">
        <v>4125000</v>
      </c>
      <c r="AC302" s="665"/>
      <c r="AD302" s="667">
        <v>250</v>
      </c>
      <c r="AE302" s="667">
        <v>250</v>
      </c>
      <c r="AF302" s="667"/>
      <c r="AG302" s="307" t="s">
        <v>5158</v>
      </c>
      <c r="AH302" s="987">
        <v>2019413960011</v>
      </c>
      <c r="AI302" s="309" t="s">
        <v>4862</v>
      </c>
      <c r="AJ302" s="890"/>
      <c r="AK302" s="337"/>
      <c r="AL302" s="337"/>
      <c r="AM302" s="308"/>
      <c r="AN302" s="267" t="s">
        <v>2598</v>
      </c>
      <c r="AO302" s="507"/>
      <c r="AP302" s="969"/>
      <c r="AQ302" s="970"/>
      <c r="AR302" s="970"/>
      <c r="AS302" s="970"/>
      <c r="AT302" s="970"/>
      <c r="AU302" s="970"/>
      <c r="AV302" s="970"/>
      <c r="AW302" s="1217"/>
      <c r="AX302" s="525"/>
      <c r="AY302" s="310"/>
      <c r="AZ302" s="310"/>
      <c r="BA302" s="310"/>
      <c r="BB302" s="310"/>
      <c r="BC302" s="310"/>
      <c r="BD302" s="310"/>
      <c r="BE302" s="544"/>
      <c r="BF302" s="525"/>
      <c r="BG302" s="310"/>
      <c r="BH302" s="310"/>
      <c r="BI302" s="310"/>
      <c r="BJ302" s="310"/>
      <c r="BK302" s="310"/>
      <c r="BL302" s="310"/>
      <c r="BM302" s="544">
        <f t="shared" si="136"/>
        <v>0</v>
      </c>
      <c r="BN302" s="525"/>
      <c r="BO302" s="310"/>
      <c r="BP302" s="310"/>
      <c r="BQ302" s="310"/>
      <c r="BR302" s="310"/>
      <c r="BS302" s="310"/>
      <c r="BT302" s="310"/>
      <c r="BU302" s="544"/>
      <c r="BV302" s="556"/>
      <c r="BW302" s="663">
        <f t="shared" si="127"/>
        <v>500</v>
      </c>
      <c r="BX302" s="1047">
        <f t="shared" si="133"/>
        <v>0.5</v>
      </c>
      <c r="BY302" s="1047">
        <f t="shared" si="139"/>
        <v>0</v>
      </c>
      <c r="BZ302" s="1047">
        <f t="shared" si="140"/>
        <v>1</v>
      </c>
      <c r="CA302" s="1047">
        <f t="shared" si="141"/>
        <v>1</v>
      </c>
      <c r="CB302" s="1047">
        <f t="shared" si="142"/>
        <v>0</v>
      </c>
      <c r="CD302" t="str">
        <f t="shared" si="143"/>
        <v>ROB</v>
      </c>
      <c r="CE302" t="str">
        <f t="shared" si="143"/>
        <v>VE</v>
      </c>
      <c r="CF302" t="str">
        <f t="shared" si="143"/>
        <v>VE</v>
      </c>
      <c r="CG302" t="str">
        <f t="shared" si="143"/>
        <v>ROB</v>
      </c>
    </row>
    <row r="303" spans="1:85" ht="78" customHeight="1" x14ac:dyDescent="0.3">
      <c r="A303" s="298" t="s">
        <v>896</v>
      </c>
      <c r="B303" s="299" t="str">
        <f>'PLAN INDICATIVO'!B303</f>
        <v>Agropecuario</v>
      </c>
      <c r="C303" s="1547"/>
      <c r="D303" s="1549"/>
      <c r="E303" s="1549"/>
      <c r="F303" s="1549"/>
      <c r="G303" s="1549"/>
      <c r="H303" s="1549"/>
      <c r="I303" s="300">
        <f>'PLAN INDICATIVO'!I303</f>
        <v>0</v>
      </c>
      <c r="J303" s="300">
        <f>'PLAN INDICATIVO'!J303</f>
        <v>0</v>
      </c>
      <c r="K303" s="1428" t="str">
        <f>'PLAN INDICATIVO'!K303</f>
        <v>A.8.1.11</v>
      </c>
      <c r="L303" s="301" t="str">
        <f>'PLAN INDICATIVO'!L303</f>
        <v>12. Producción y consumo responsables</v>
      </c>
      <c r="M303" s="301" t="str">
        <f>'PLAN INDICATIVO'!M303</f>
        <v>Unidad de Desarrollo Rural</v>
      </c>
      <c r="N303" s="1513" t="s">
        <v>5127</v>
      </c>
      <c r="O303" s="1425" t="str">
        <f>'PLAN INDICATIVO'!O303</f>
        <v>Incremento</v>
      </c>
      <c r="P303" s="16" t="str">
        <f>'PLAN INDICATIVO'!P303</f>
        <v>Realizar 6 actividades cada año, para fortalecimiento de mercados campesinos "María Helena Cortes"</v>
      </c>
      <c r="Q303" s="302" t="str">
        <f>'PLAN INDICATIVO'!Q303</f>
        <v>No. De actividades realizadas por año</v>
      </c>
      <c r="R303" s="303">
        <f>'PLAN INDICATIVO'!R303</f>
        <v>2015</v>
      </c>
      <c r="S303" s="304">
        <v>0</v>
      </c>
      <c r="T303" s="498">
        <v>24</v>
      </c>
      <c r="U303" s="572">
        <v>6</v>
      </c>
      <c r="V303" s="687">
        <v>2000000</v>
      </c>
      <c r="W303" s="572">
        <v>6</v>
      </c>
      <c r="X303" s="687">
        <v>2000000</v>
      </c>
      <c r="Y303" s="1232">
        <v>6</v>
      </c>
      <c r="Z303" s="1233">
        <v>9000000</v>
      </c>
      <c r="AA303" s="1310">
        <v>6</v>
      </c>
      <c r="AB303" s="1531">
        <v>4950000</v>
      </c>
      <c r="AC303" s="665"/>
      <c r="AD303" s="665">
        <v>6</v>
      </c>
      <c r="AE303" s="665">
        <v>6</v>
      </c>
      <c r="AF303" s="665">
        <v>6</v>
      </c>
      <c r="AG303" s="307" t="s">
        <v>5158</v>
      </c>
      <c r="AH303" s="987">
        <v>2019413960011</v>
      </c>
      <c r="AI303" s="1471" t="s">
        <v>5116</v>
      </c>
      <c r="AJ303" s="309">
        <v>43553</v>
      </c>
      <c r="AK303" s="838">
        <v>43789</v>
      </c>
      <c r="AL303" s="308"/>
      <c r="AM303" s="308"/>
      <c r="AN303" s="267" t="s">
        <v>2598</v>
      </c>
      <c r="AO303" s="507"/>
      <c r="AP303" s="965"/>
      <c r="AQ303" s="966"/>
      <c r="AR303" s="966"/>
      <c r="AS303" s="966"/>
      <c r="AT303" s="966"/>
      <c r="AU303" s="966"/>
      <c r="AV303" s="966"/>
      <c r="AW303" s="1215"/>
      <c r="AX303" s="525"/>
      <c r="AY303" s="310"/>
      <c r="AZ303" s="310"/>
      <c r="BA303" s="310"/>
      <c r="BB303" s="310"/>
      <c r="BC303" s="310"/>
      <c r="BD303" s="310"/>
      <c r="BE303" s="544"/>
      <c r="BF303" s="525"/>
      <c r="BG303" s="310"/>
      <c r="BH303" s="310"/>
      <c r="BI303" s="310"/>
      <c r="BJ303" s="310"/>
      <c r="BK303" s="310"/>
      <c r="BL303" s="310"/>
      <c r="BM303" s="544">
        <f t="shared" si="136"/>
        <v>0</v>
      </c>
      <c r="BN303" s="525"/>
      <c r="BO303" s="310"/>
      <c r="BP303" s="310"/>
      <c r="BQ303" s="310"/>
      <c r="BR303" s="310"/>
      <c r="BS303" s="310"/>
      <c r="BT303" s="310"/>
      <c r="BU303" s="544"/>
      <c r="BV303" s="556"/>
      <c r="BW303" s="663">
        <f t="shared" si="127"/>
        <v>18</v>
      </c>
      <c r="BX303" s="1047">
        <f t="shared" si="133"/>
        <v>0.75</v>
      </c>
      <c r="BY303" s="1047">
        <f t="shared" si="139"/>
        <v>0</v>
      </c>
      <c r="BZ303" s="1047">
        <f t="shared" si="140"/>
        <v>1</v>
      </c>
      <c r="CA303" s="1047">
        <f t="shared" si="141"/>
        <v>1</v>
      </c>
      <c r="CB303" s="1047">
        <f t="shared" si="142"/>
        <v>1</v>
      </c>
      <c r="CD303" t="str">
        <f t="shared" si="143"/>
        <v>ROB</v>
      </c>
      <c r="CE303" t="str">
        <f t="shared" si="143"/>
        <v>VE</v>
      </c>
      <c r="CF303" t="str">
        <f t="shared" si="143"/>
        <v>VE</v>
      </c>
      <c r="CG303" t="str">
        <f t="shared" si="143"/>
        <v>VE</v>
      </c>
    </row>
    <row r="304" spans="1:85" ht="72" customHeight="1" x14ac:dyDescent="0.3">
      <c r="A304" s="298" t="s">
        <v>896</v>
      </c>
      <c r="B304" s="299" t="str">
        <f>'PLAN INDICATIVO'!B304</f>
        <v>Agropecuario</v>
      </c>
      <c r="C304" s="1547"/>
      <c r="D304" s="1549"/>
      <c r="E304" s="1549"/>
      <c r="F304" s="1549"/>
      <c r="G304" s="1549"/>
      <c r="H304" s="1549"/>
      <c r="I304" s="300">
        <f>'PLAN INDICATIVO'!I304</f>
        <v>0</v>
      </c>
      <c r="J304" s="300">
        <f>'PLAN INDICATIVO'!J304</f>
        <v>0</v>
      </c>
      <c r="K304" s="1428" t="str">
        <f>'PLAN INDICATIVO'!K304</f>
        <v>A.8.1.12</v>
      </c>
      <c r="L304" s="301" t="str">
        <f>'PLAN INDICATIVO'!L304</f>
        <v>12. Producción y consumo responsables</v>
      </c>
      <c r="M304" s="301" t="str">
        <f>'PLAN INDICATIVO'!M304</f>
        <v>Unidad de Desarrollo Rural</v>
      </c>
      <c r="N304" s="1513" t="s">
        <v>5127</v>
      </c>
      <c r="O304" s="1425" t="str">
        <f>'PLAN INDICATIVO'!O304</f>
        <v>Incremento</v>
      </c>
      <c r="P304" s="16" t="str">
        <f>'PLAN INDICATIVO'!P304</f>
        <v>Realizar 10 capacitaciones en busca del fortalecimiento en la agricultura, cada año</v>
      </c>
      <c r="Q304" s="302" t="str">
        <f>'PLAN INDICATIVO'!Q304</f>
        <v>No. De capacitaciones realizadas por año</v>
      </c>
      <c r="R304" s="303">
        <f>'PLAN INDICATIVO'!R304</f>
        <v>2015</v>
      </c>
      <c r="S304" s="304">
        <v>0</v>
      </c>
      <c r="T304" s="498">
        <v>40</v>
      </c>
      <c r="U304" s="572">
        <v>10</v>
      </c>
      <c r="V304" s="687">
        <v>1000000</v>
      </c>
      <c r="W304" s="572">
        <v>10</v>
      </c>
      <c r="X304" s="687">
        <v>1500000</v>
      </c>
      <c r="Y304" s="1232">
        <v>10</v>
      </c>
      <c r="Z304" s="1233">
        <v>4000000</v>
      </c>
      <c r="AA304" s="1310">
        <v>10</v>
      </c>
      <c r="AB304" s="1531">
        <v>4950000</v>
      </c>
      <c r="AC304" s="665"/>
      <c r="AD304" s="665">
        <v>10</v>
      </c>
      <c r="AE304" s="665">
        <v>10</v>
      </c>
      <c r="AF304" s="665">
        <v>15</v>
      </c>
      <c r="AG304" s="307" t="s">
        <v>5158</v>
      </c>
      <c r="AH304" s="987">
        <v>2019413960011</v>
      </c>
      <c r="AI304" s="1471" t="s">
        <v>5044</v>
      </c>
      <c r="AJ304" s="309">
        <v>43483</v>
      </c>
      <c r="AK304" s="838">
        <v>43601</v>
      </c>
      <c r="AL304" s="308"/>
      <c r="AM304" s="308"/>
      <c r="AN304" s="267" t="s">
        <v>2598</v>
      </c>
      <c r="AO304" s="507"/>
      <c r="AP304" s="965"/>
      <c r="AQ304" s="966"/>
      <c r="AR304" s="966"/>
      <c r="AS304" s="966"/>
      <c r="AT304" s="966"/>
      <c r="AU304" s="966"/>
      <c r="AV304" s="966"/>
      <c r="AW304" s="1215"/>
      <c r="AX304" s="525"/>
      <c r="AY304" s="310"/>
      <c r="AZ304" s="310"/>
      <c r="BA304" s="310"/>
      <c r="BB304" s="310"/>
      <c r="BC304" s="310"/>
      <c r="BD304" s="310"/>
      <c r="BE304" s="544"/>
      <c r="BF304" s="525"/>
      <c r="BG304" s="310"/>
      <c r="BH304" s="310"/>
      <c r="BI304" s="310"/>
      <c r="BJ304" s="310"/>
      <c r="BK304" s="310"/>
      <c r="BL304" s="310"/>
      <c r="BM304" s="544">
        <f t="shared" si="136"/>
        <v>0</v>
      </c>
      <c r="BN304" s="310"/>
      <c r="BO304" s="310"/>
      <c r="BP304" s="310"/>
      <c r="BQ304" s="310"/>
      <c r="BR304" s="310"/>
      <c r="BS304" s="310"/>
      <c r="BT304" s="310"/>
      <c r="BU304" s="544"/>
      <c r="BV304" s="556"/>
      <c r="BW304" s="663">
        <f t="shared" si="127"/>
        <v>35</v>
      </c>
      <c r="BX304" s="1047">
        <f t="shared" si="133"/>
        <v>0.875</v>
      </c>
      <c r="BY304" s="1047">
        <f t="shared" si="139"/>
        <v>0</v>
      </c>
      <c r="BZ304" s="1047">
        <f t="shared" si="140"/>
        <v>1</v>
      </c>
      <c r="CA304" s="1047">
        <f t="shared" si="141"/>
        <v>1</v>
      </c>
      <c r="CB304" s="1047">
        <f t="shared" si="142"/>
        <v>1.5</v>
      </c>
      <c r="CD304" t="str">
        <f t="shared" si="143"/>
        <v>ROB</v>
      </c>
      <c r="CE304" t="str">
        <f t="shared" si="143"/>
        <v>VE</v>
      </c>
      <c r="CF304" t="str">
        <f t="shared" si="143"/>
        <v>VE</v>
      </c>
      <c r="CG304" t="str">
        <f t="shared" si="143"/>
        <v>VE</v>
      </c>
    </row>
    <row r="305" spans="1:85" ht="124.5" hidden="1" customHeight="1" x14ac:dyDescent="0.25">
      <c r="A305" s="298" t="s">
        <v>896</v>
      </c>
      <c r="B305" s="299" t="str">
        <f>'PLAN INDICATIVO'!B305</f>
        <v>Agropecuario</v>
      </c>
      <c r="C305" s="1547"/>
      <c r="D305" s="1549"/>
      <c r="E305" s="1549"/>
      <c r="F305" s="1549"/>
      <c r="G305" s="1549"/>
      <c r="H305" s="1549"/>
      <c r="I305" s="300">
        <f>'PLAN INDICATIVO'!I305</f>
        <v>0</v>
      </c>
      <c r="J305" s="300">
        <f>'PLAN INDICATIVO'!J305</f>
        <v>0</v>
      </c>
      <c r="K305" s="1428" t="str">
        <f>'PLAN INDICATIVO'!K305</f>
        <v>A.8.1.13</v>
      </c>
      <c r="L305" s="301" t="str">
        <f>'PLAN INDICATIVO'!L305</f>
        <v>12. Producción y consumo responsables</v>
      </c>
      <c r="M305" s="301" t="str">
        <f>'PLAN INDICATIVO'!M305</f>
        <v>Unidad de Desarrollo Rural</v>
      </c>
      <c r="N305" s="1513" t="s">
        <v>5127</v>
      </c>
      <c r="O305" s="1425" t="str">
        <f>'PLAN INDICATIVO'!O305</f>
        <v>Incremento</v>
      </c>
      <c r="P305" s="16" t="str">
        <f>'PLAN INDICATIVO'!P305</f>
        <v>Asegurar 100 has cultivadas con frutales y cultivos permanentes con garantía de sostenibilidad técnica y comercial en el municipio de La Plata, durante el cuatrienio</v>
      </c>
      <c r="Q305" s="302" t="str">
        <f>'PLAN INDICATIVO'!Q305</f>
        <v>No. De hectáreas cultivadas</v>
      </c>
      <c r="R305" s="303">
        <f>'PLAN INDICATIVO'!R305</f>
        <v>2015</v>
      </c>
      <c r="S305" s="304">
        <v>0</v>
      </c>
      <c r="T305" s="498">
        <v>100</v>
      </c>
      <c r="U305" s="572">
        <v>25</v>
      </c>
      <c r="V305" s="687">
        <v>3000000</v>
      </c>
      <c r="W305" s="572">
        <v>25</v>
      </c>
      <c r="X305" s="687">
        <v>3000000</v>
      </c>
      <c r="Y305" s="1232">
        <v>25</v>
      </c>
      <c r="Z305" s="1233">
        <v>12000000</v>
      </c>
      <c r="AA305" s="1310">
        <v>20</v>
      </c>
      <c r="AB305" s="1531"/>
      <c r="AC305" s="665"/>
      <c r="AD305" s="665">
        <v>25</v>
      </c>
      <c r="AE305" s="665">
        <v>25</v>
      </c>
      <c r="AF305" s="665">
        <v>34</v>
      </c>
      <c r="AG305" s="307" t="s">
        <v>5153</v>
      </c>
      <c r="AH305" s="987">
        <v>2019413960010</v>
      </c>
      <c r="AI305" s="1471" t="s">
        <v>5117</v>
      </c>
      <c r="AJ305" s="309">
        <v>43553</v>
      </c>
      <c r="AK305" s="838">
        <v>43789</v>
      </c>
      <c r="AL305" s="308"/>
      <c r="AM305" s="308"/>
      <c r="AN305" s="267" t="s">
        <v>2598</v>
      </c>
      <c r="AO305" s="507"/>
      <c r="AP305" s="965"/>
      <c r="AQ305" s="966"/>
      <c r="AR305" s="966"/>
      <c r="AS305" s="966"/>
      <c r="AT305" s="966"/>
      <c r="AU305" s="966"/>
      <c r="AV305" s="966"/>
      <c r="AW305" s="1215"/>
      <c r="AX305" s="525"/>
      <c r="AY305" s="310"/>
      <c r="AZ305" s="310"/>
      <c r="BA305" s="310"/>
      <c r="BB305" s="310"/>
      <c r="BC305" s="310"/>
      <c r="BD305" s="310"/>
      <c r="BE305" s="544"/>
      <c r="BF305" s="525"/>
      <c r="BG305" s="310"/>
      <c r="BH305" s="310"/>
      <c r="BI305" s="310"/>
      <c r="BJ305" s="310"/>
      <c r="BK305" s="310"/>
      <c r="BL305" s="310"/>
      <c r="BM305" s="544">
        <f t="shared" si="136"/>
        <v>0</v>
      </c>
      <c r="BN305" s="525"/>
      <c r="BO305" s="310"/>
      <c r="BP305" s="310"/>
      <c r="BQ305" s="310"/>
      <c r="BR305" s="310"/>
      <c r="BS305" s="310"/>
      <c r="BT305" s="310"/>
      <c r="BU305" s="544"/>
      <c r="BV305" s="556"/>
      <c r="BW305" s="663">
        <f t="shared" si="127"/>
        <v>84</v>
      </c>
      <c r="BX305" s="1047">
        <f t="shared" si="133"/>
        <v>0.84</v>
      </c>
      <c r="BY305" s="1047">
        <f t="shared" si="139"/>
        <v>0</v>
      </c>
      <c r="BZ305" s="1047">
        <f t="shared" si="140"/>
        <v>1</v>
      </c>
      <c r="CA305" s="1047">
        <f t="shared" si="141"/>
        <v>1</v>
      </c>
      <c r="CB305" s="1047">
        <f t="shared" si="142"/>
        <v>1.7</v>
      </c>
      <c r="CD305" t="str">
        <f t="shared" si="143"/>
        <v>ROB</v>
      </c>
      <c r="CE305" t="str">
        <f t="shared" si="143"/>
        <v>VE</v>
      </c>
      <c r="CF305" t="str">
        <f t="shared" si="143"/>
        <v>VE</v>
      </c>
      <c r="CG305" t="str">
        <f t="shared" si="143"/>
        <v>VE</v>
      </c>
    </row>
    <row r="306" spans="1:85" ht="92.25" customHeight="1" x14ac:dyDescent="0.3">
      <c r="A306" s="298" t="s">
        <v>896</v>
      </c>
      <c r="B306" s="299" t="str">
        <f>'PLAN INDICATIVO'!B306</f>
        <v>Agropecuario</v>
      </c>
      <c r="C306" s="1547"/>
      <c r="D306" s="1549"/>
      <c r="E306" s="1549"/>
      <c r="F306" s="1549"/>
      <c r="G306" s="1549"/>
      <c r="H306" s="1549"/>
      <c r="I306" s="300">
        <f>'PLAN INDICATIVO'!I306</f>
        <v>0</v>
      </c>
      <c r="J306" s="300">
        <f>'PLAN INDICATIVO'!J306</f>
        <v>0</v>
      </c>
      <c r="K306" s="1428" t="str">
        <f>'PLAN INDICATIVO'!K306</f>
        <v>A.8.1.14</v>
      </c>
      <c r="L306" s="301" t="str">
        <f>'PLAN INDICATIVO'!L306</f>
        <v>12. Producción y consumo responsables</v>
      </c>
      <c r="M306" s="301" t="str">
        <f>'PLAN INDICATIVO'!M306</f>
        <v>Unidad de Desarrollo Rural</v>
      </c>
      <c r="N306" s="1513" t="s">
        <v>5127</v>
      </c>
      <c r="O306" s="1425" t="str">
        <f>'PLAN INDICATIVO'!O306</f>
        <v>Incremento</v>
      </c>
      <c r="P306" s="16" t="str">
        <f>'PLAN INDICATIVO'!P306</f>
        <v xml:space="preserve">Capacitar 200 grupos productores de cafés  en compañía con Sena y cámara de comercio, con objetivo de garantizar su calidad, durante el cuatrienio </v>
      </c>
      <c r="Q306" s="302" t="str">
        <f>'PLAN INDICATIVO'!Q306</f>
        <v>No. De grupos capacitados</v>
      </c>
      <c r="R306" s="303">
        <f>'PLAN INDICATIVO'!R306</f>
        <v>2015</v>
      </c>
      <c r="S306" s="304">
        <v>0</v>
      </c>
      <c r="T306" s="498">
        <v>200</v>
      </c>
      <c r="U306" s="572">
        <v>50</v>
      </c>
      <c r="V306" s="687">
        <v>5000000</v>
      </c>
      <c r="W306" s="572">
        <v>50</v>
      </c>
      <c r="X306" s="687">
        <v>5000000</v>
      </c>
      <c r="Y306" s="1232">
        <v>50</v>
      </c>
      <c r="Z306" s="1233">
        <v>9000000</v>
      </c>
      <c r="AA306" s="1310">
        <v>50</v>
      </c>
      <c r="AB306" s="1531">
        <v>8800000</v>
      </c>
      <c r="AC306" s="665"/>
      <c r="AD306" s="665">
        <v>50</v>
      </c>
      <c r="AE306" s="665">
        <v>50</v>
      </c>
      <c r="AF306" s="665">
        <v>54</v>
      </c>
      <c r="AG306" s="307" t="s">
        <v>5158</v>
      </c>
      <c r="AH306" s="987">
        <v>2019413960011</v>
      </c>
      <c r="AI306" s="1471" t="s">
        <v>5118</v>
      </c>
      <c r="AJ306" s="838"/>
      <c r="AK306" s="308"/>
      <c r="AL306" s="308"/>
      <c r="AM306" s="308"/>
      <c r="AN306" s="267" t="s">
        <v>2598</v>
      </c>
      <c r="AO306" s="507"/>
      <c r="AP306" s="967"/>
      <c r="AQ306" s="966"/>
      <c r="AR306" s="966"/>
      <c r="AS306" s="966"/>
      <c r="AT306" s="966"/>
      <c r="AU306" s="966"/>
      <c r="AV306" s="966"/>
      <c r="AW306" s="1215"/>
      <c r="AX306" s="531"/>
      <c r="AY306" s="310"/>
      <c r="AZ306" s="310"/>
      <c r="BA306" s="310"/>
      <c r="BB306" s="310"/>
      <c r="BC306" s="310"/>
      <c r="BD306" s="310"/>
      <c r="BE306" s="544"/>
      <c r="BF306" s="531"/>
      <c r="BG306" s="310"/>
      <c r="BH306" s="310"/>
      <c r="BI306" s="310"/>
      <c r="BJ306" s="310"/>
      <c r="BK306" s="310"/>
      <c r="BL306" s="310"/>
      <c r="BM306" s="544">
        <f t="shared" si="136"/>
        <v>0</v>
      </c>
      <c r="BN306" s="531"/>
      <c r="BO306" s="310"/>
      <c r="BP306" s="310"/>
      <c r="BQ306" s="310"/>
      <c r="BR306" s="310"/>
      <c r="BS306" s="310"/>
      <c r="BT306" s="310"/>
      <c r="BU306" s="544"/>
      <c r="BV306" s="556"/>
      <c r="BW306" s="663">
        <f t="shared" si="127"/>
        <v>154</v>
      </c>
      <c r="BX306" s="1047">
        <f t="shared" si="133"/>
        <v>0.77</v>
      </c>
      <c r="BY306" s="1047">
        <f t="shared" si="139"/>
        <v>0</v>
      </c>
      <c r="BZ306" s="1047">
        <f t="shared" si="140"/>
        <v>1</v>
      </c>
      <c r="CA306" s="1047">
        <f t="shared" si="141"/>
        <v>1</v>
      </c>
      <c r="CB306" s="1047">
        <f t="shared" si="142"/>
        <v>1.08</v>
      </c>
      <c r="CD306" t="str">
        <f t="shared" si="143"/>
        <v>ROB</v>
      </c>
      <c r="CE306" t="str">
        <f t="shared" si="143"/>
        <v>VE</v>
      </c>
      <c r="CF306" t="str">
        <f t="shared" si="143"/>
        <v>VE</v>
      </c>
      <c r="CG306" t="str">
        <f t="shared" si="143"/>
        <v>VE</v>
      </c>
    </row>
    <row r="307" spans="1:85" ht="76.5" customHeight="1" x14ac:dyDescent="0.3">
      <c r="A307" s="298" t="s">
        <v>2458</v>
      </c>
      <c r="B307" s="299" t="str">
        <f>'PLAN INDICATIVO'!B307</f>
        <v>Agropecuario</v>
      </c>
      <c r="C307" s="1547"/>
      <c r="D307" s="1549"/>
      <c r="E307" s="1549"/>
      <c r="F307" s="1549"/>
      <c r="G307" s="1549"/>
      <c r="H307" s="1549"/>
      <c r="I307" s="300">
        <f>'PLAN INDICATIVO'!I307</f>
        <v>0</v>
      </c>
      <c r="J307" s="300">
        <f>'PLAN INDICATIVO'!J307</f>
        <v>0</v>
      </c>
      <c r="K307" s="1428" t="str">
        <f>'PLAN INDICATIVO'!K307</f>
        <v>A.8.1.15</v>
      </c>
      <c r="L307" s="301" t="str">
        <f>'PLAN INDICATIVO'!L307</f>
        <v>12. Producción y consumo responsables</v>
      </c>
      <c r="M307" s="301" t="str">
        <f>'PLAN INDICATIVO'!M307</f>
        <v>Unidad de Desarrollo Rural</v>
      </c>
      <c r="N307" s="1513" t="s">
        <v>5127</v>
      </c>
      <c r="O307" s="1425" t="str">
        <f>'PLAN INDICATIVO'!O307</f>
        <v>Incremento</v>
      </c>
      <c r="P307" s="16" t="str">
        <f>'PLAN INDICATIVO'!P307</f>
        <v>Realizar 1  certámenes anuales  feriales de apoyo al desarrollo agropecuario</v>
      </c>
      <c r="Q307" s="302" t="str">
        <f>'PLAN INDICATIVO'!Q307</f>
        <v>No. De certámenes realizados por año</v>
      </c>
      <c r="R307" s="303">
        <f>'PLAN INDICATIVO'!R307</f>
        <v>2015</v>
      </c>
      <c r="S307" s="304">
        <v>1</v>
      </c>
      <c r="T307" s="1299">
        <v>1</v>
      </c>
      <c r="U307" s="572">
        <v>2</v>
      </c>
      <c r="V307" s="687">
        <v>12000000</v>
      </c>
      <c r="W307" s="572">
        <v>1</v>
      </c>
      <c r="X307" s="687">
        <v>15000000</v>
      </c>
      <c r="Y307" s="572">
        <v>1</v>
      </c>
      <c r="Z307" s="687">
        <v>20000000</v>
      </c>
      <c r="AA307" s="1310">
        <v>1</v>
      </c>
      <c r="AB307" s="1531">
        <f>25000000+9900000</f>
        <v>34900000</v>
      </c>
      <c r="AC307" s="665"/>
      <c r="AD307" s="665">
        <v>1</v>
      </c>
      <c r="AE307" s="665">
        <v>1</v>
      </c>
      <c r="AF307" s="665">
        <v>1</v>
      </c>
      <c r="AG307" s="307" t="s">
        <v>5158</v>
      </c>
      <c r="AH307" s="987">
        <v>2019413960011</v>
      </c>
      <c r="AI307" s="1471" t="s">
        <v>4946</v>
      </c>
      <c r="AJ307" s="838">
        <v>43642</v>
      </c>
      <c r="AK307" s="838">
        <v>43703</v>
      </c>
      <c r="AL307" s="308"/>
      <c r="AM307" s="308"/>
      <c r="AN307" s="267" t="s">
        <v>2598</v>
      </c>
      <c r="AO307" s="507"/>
      <c r="AP307" s="967"/>
      <c r="AQ307" s="966"/>
      <c r="AR307" s="966"/>
      <c r="AS307" s="966"/>
      <c r="AT307" s="966"/>
      <c r="AU307" s="966"/>
      <c r="AV307" s="966"/>
      <c r="AW307" s="1218"/>
      <c r="AX307" s="531"/>
      <c r="AY307" s="310"/>
      <c r="AZ307" s="310"/>
      <c r="BA307" s="310"/>
      <c r="BB307" s="310"/>
      <c r="BC307" s="310"/>
      <c r="BD307" s="310"/>
      <c r="BE307" s="544"/>
      <c r="BF307" s="531"/>
      <c r="BG307" s="310"/>
      <c r="BH307" s="310"/>
      <c r="BI307" s="310"/>
      <c r="BJ307" s="310"/>
      <c r="BK307" s="310"/>
      <c r="BL307" s="310"/>
      <c r="BM307" s="544">
        <f t="shared" si="136"/>
        <v>0</v>
      </c>
      <c r="BN307" s="310"/>
      <c r="BO307" s="310"/>
      <c r="BP307" s="310"/>
      <c r="BQ307" s="310"/>
      <c r="BR307" s="310"/>
      <c r="BS307" s="310"/>
      <c r="BT307" s="310"/>
      <c r="BU307" s="544"/>
      <c r="BV307" s="556"/>
      <c r="BW307" s="663">
        <f t="shared" si="127"/>
        <v>3</v>
      </c>
      <c r="BX307" s="1047">
        <f t="shared" si="133"/>
        <v>3</v>
      </c>
      <c r="BY307" s="1047">
        <f t="shared" si="139"/>
        <v>0</v>
      </c>
      <c r="BZ307" s="1047">
        <f t="shared" si="140"/>
        <v>1</v>
      </c>
      <c r="CA307" s="1047">
        <f t="shared" si="141"/>
        <v>1</v>
      </c>
      <c r="CB307" s="1047">
        <f t="shared" si="142"/>
        <v>1</v>
      </c>
      <c r="CD307" t="str">
        <f t="shared" si="143"/>
        <v>ROB</v>
      </c>
      <c r="CE307" t="str">
        <f t="shared" si="143"/>
        <v>VE</v>
      </c>
      <c r="CF307" t="str">
        <f t="shared" si="143"/>
        <v>VE</v>
      </c>
      <c r="CG307" t="str">
        <f t="shared" si="143"/>
        <v>VE</v>
      </c>
    </row>
    <row r="308" spans="1:85" ht="87" customHeight="1" x14ac:dyDescent="0.3">
      <c r="A308" s="298" t="s">
        <v>2464</v>
      </c>
      <c r="B308" s="299" t="str">
        <f>'PLAN INDICATIVO'!B308</f>
        <v>Agropecuario</v>
      </c>
      <c r="C308" s="1547"/>
      <c r="D308" s="1549"/>
      <c r="E308" s="1549"/>
      <c r="F308" s="1549"/>
      <c r="G308" s="1549"/>
      <c r="H308" s="1549"/>
      <c r="I308" s="300">
        <f>'PLAN INDICATIVO'!I308</f>
        <v>0</v>
      </c>
      <c r="J308" s="300">
        <f>'PLAN INDICATIVO'!J308</f>
        <v>0</v>
      </c>
      <c r="K308" s="1428" t="str">
        <f>'PLAN INDICATIVO'!K308</f>
        <v>A.8.1.16</v>
      </c>
      <c r="L308" s="301" t="str">
        <f>'PLAN INDICATIVO'!L308</f>
        <v>12. Producción y consumo responsables</v>
      </c>
      <c r="M308" s="301" t="str">
        <f>'PLAN INDICATIVO'!M308</f>
        <v>Unidad de Desarrollo Rural</v>
      </c>
      <c r="N308" s="1513" t="s">
        <v>5127</v>
      </c>
      <c r="O308" s="1425" t="str">
        <f>'PLAN INDICATIVO'!O308</f>
        <v>Incremento</v>
      </c>
      <c r="P308" s="16" t="str">
        <f>'PLAN INDICATIVO'!P308</f>
        <v>Realizar  2 actividades que permita  mejorar producción agropecuaria</v>
      </c>
      <c r="Q308" s="302" t="str">
        <f>'PLAN INDICATIVO'!Q308</f>
        <v>No. Actividades realizadas</v>
      </c>
      <c r="R308" s="303">
        <f>'PLAN INDICATIVO'!R308</f>
        <v>2015</v>
      </c>
      <c r="S308" s="304">
        <v>0</v>
      </c>
      <c r="T308" s="498">
        <v>2</v>
      </c>
      <c r="U308" s="572">
        <v>0</v>
      </c>
      <c r="V308" s="687">
        <v>0</v>
      </c>
      <c r="W308" s="572">
        <v>0</v>
      </c>
      <c r="X308" s="687"/>
      <c r="Y308" s="572">
        <v>2</v>
      </c>
      <c r="Z308" s="687">
        <v>3000000</v>
      </c>
      <c r="AA308" s="1310">
        <v>1</v>
      </c>
      <c r="AB308" s="1531">
        <v>54915000</v>
      </c>
      <c r="AC308" s="665"/>
      <c r="AD308" s="665">
        <v>0</v>
      </c>
      <c r="AE308" s="665"/>
      <c r="AF308" s="665"/>
      <c r="AG308" s="307" t="s">
        <v>5158</v>
      </c>
      <c r="AH308" s="987">
        <v>2019413960011</v>
      </c>
      <c r="AI308" s="1203" t="s">
        <v>4307</v>
      </c>
      <c r="AJ308" s="1203"/>
      <c r="AK308" s="1203"/>
      <c r="AL308" s="1203"/>
      <c r="AM308" s="308"/>
      <c r="AN308" s="267" t="s">
        <v>2594</v>
      </c>
      <c r="AO308" s="507"/>
      <c r="AP308" s="1220"/>
      <c r="AQ308" s="885"/>
      <c r="AR308" s="885"/>
      <c r="AS308" s="885"/>
      <c r="AT308" s="885"/>
      <c r="AU308" s="885"/>
      <c r="AV308" s="885"/>
      <c r="AW308" s="1221"/>
      <c r="AX308" s="525"/>
      <c r="AY308" s="310"/>
      <c r="AZ308" s="310"/>
      <c r="BA308" s="310"/>
      <c r="BB308" s="310"/>
      <c r="BC308" s="310"/>
      <c r="BD308" s="310"/>
      <c r="BE308" s="544"/>
      <c r="BF308" s="525"/>
      <c r="BG308" s="310"/>
      <c r="BH308" s="310"/>
      <c r="BI308" s="310"/>
      <c r="BJ308" s="310"/>
      <c r="BK308" s="310"/>
      <c r="BL308" s="310"/>
      <c r="BM308" s="544">
        <f t="shared" si="136"/>
        <v>0</v>
      </c>
      <c r="BN308" s="310"/>
      <c r="BO308" s="310"/>
      <c r="BP308" s="310"/>
      <c r="BQ308" s="310"/>
      <c r="BR308" s="310"/>
      <c r="BS308" s="310"/>
      <c r="BT308" s="310"/>
      <c r="BU308" s="544"/>
      <c r="BV308" s="556"/>
      <c r="BW308" s="663">
        <f t="shared" si="127"/>
        <v>0</v>
      </c>
      <c r="BX308" s="1047">
        <f t="shared" si="133"/>
        <v>0</v>
      </c>
      <c r="BY308" s="1047" t="str">
        <f t="shared" si="139"/>
        <v>Aplazada</v>
      </c>
      <c r="BZ308" s="1047" t="str">
        <f t="shared" si="140"/>
        <v>Aplazada</v>
      </c>
      <c r="CA308" s="1047" t="s">
        <v>4000</v>
      </c>
      <c r="CB308" s="1047">
        <f t="shared" si="142"/>
        <v>0</v>
      </c>
      <c r="CD308" t="str">
        <f t="shared" si="143"/>
        <v>AZ</v>
      </c>
      <c r="CE308" t="str">
        <f t="shared" si="143"/>
        <v>AZ</v>
      </c>
      <c r="CF308" t="str">
        <f t="shared" si="143"/>
        <v>E</v>
      </c>
      <c r="CG308" t="str">
        <f t="shared" si="143"/>
        <v>ROB</v>
      </c>
    </row>
    <row r="309" spans="1:85" ht="72.75" customHeight="1" x14ac:dyDescent="0.3">
      <c r="A309" s="298" t="s">
        <v>896</v>
      </c>
      <c r="B309" s="299" t="str">
        <f>'PLAN INDICATIVO'!B309</f>
        <v>Agropecuario</v>
      </c>
      <c r="C309" s="1547"/>
      <c r="D309" s="1549"/>
      <c r="E309" s="1549"/>
      <c r="F309" s="1549"/>
      <c r="G309" s="1549"/>
      <c r="H309" s="1549"/>
      <c r="I309" s="300">
        <f>'PLAN INDICATIVO'!I309</f>
        <v>0</v>
      </c>
      <c r="J309" s="300">
        <f>'PLAN INDICATIVO'!J309</f>
        <v>0</v>
      </c>
      <c r="K309" s="1428" t="str">
        <f>'PLAN INDICATIVO'!K309</f>
        <v>A.8.1.17</v>
      </c>
      <c r="L309" s="301" t="str">
        <f>'PLAN INDICATIVO'!L309</f>
        <v>12. Producción y consumo responsables</v>
      </c>
      <c r="M309" s="301" t="str">
        <f>'PLAN INDICATIVO'!M309</f>
        <v>Unidad de Desarrollo Rural</v>
      </c>
      <c r="N309" s="1513" t="s">
        <v>5127</v>
      </c>
      <c r="O309" s="1425" t="str">
        <f>'PLAN INDICATIVO'!O309</f>
        <v>Incremento</v>
      </c>
      <c r="P309" s="16" t="str">
        <f>'PLAN INDICATIVO'!P309</f>
        <v>Apoyar 1 proyecto para implementar la infraestructura de secado y beneficio de café, durante cuatrienio</v>
      </c>
      <c r="Q309" s="302" t="str">
        <f>'PLAN INDICATIVO'!Q309</f>
        <v>No. De proyectos elaborados</v>
      </c>
      <c r="R309" s="303">
        <f>'PLAN INDICATIVO'!R309</f>
        <v>2015</v>
      </c>
      <c r="S309" s="304">
        <v>0</v>
      </c>
      <c r="T309" s="498">
        <v>1</v>
      </c>
      <c r="U309" s="572">
        <v>0</v>
      </c>
      <c r="V309" s="687">
        <v>5000000</v>
      </c>
      <c r="W309" s="572">
        <v>0.33</v>
      </c>
      <c r="X309" s="687">
        <v>5000000</v>
      </c>
      <c r="Y309" s="572"/>
      <c r="Z309" s="572">
        <v>2000000</v>
      </c>
      <c r="AA309" s="1310">
        <v>0.67</v>
      </c>
      <c r="AB309" s="1531">
        <v>9900000</v>
      </c>
      <c r="AC309" s="665"/>
      <c r="AD309" s="665">
        <v>0.33</v>
      </c>
      <c r="AE309" s="665"/>
      <c r="AF309" s="665">
        <v>1</v>
      </c>
      <c r="AG309" s="307" t="s">
        <v>5158</v>
      </c>
      <c r="AH309" s="987">
        <v>2019413960011</v>
      </c>
      <c r="AI309" s="1473" t="s">
        <v>5119</v>
      </c>
      <c r="AJ309" s="838">
        <v>43621</v>
      </c>
      <c r="AK309" s="838">
        <v>43816</v>
      </c>
      <c r="AL309" s="308"/>
      <c r="AM309" s="308"/>
      <c r="AN309" s="267" t="s">
        <v>2594</v>
      </c>
      <c r="AO309" s="507"/>
      <c r="AP309" s="965"/>
      <c r="AQ309" s="966"/>
      <c r="AR309" s="966"/>
      <c r="AS309" s="966"/>
      <c r="AT309" s="966"/>
      <c r="AU309" s="966"/>
      <c r="AV309" s="966"/>
      <c r="AW309" s="1215"/>
      <c r="AX309" s="525"/>
      <c r="AY309" s="310"/>
      <c r="AZ309" s="310"/>
      <c r="BA309" s="310"/>
      <c r="BB309" s="310"/>
      <c r="BC309" s="310"/>
      <c r="BD309" s="310"/>
      <c r="BE309" s="544"/>
      <c r="BF309" s="525"/>
      <c r="BG309" s="310"/>
      <c r="BH309" s="310"/>
      <c r="BI309" s="310"/>
      <c r="BJ309" s="310"/>
      <c r="BK309" s="310"/>
      <c r="BL309" s="310"/>
      <c r="BM309" s="544">
        <f t="shared" si="136"/>
        <v>0</v>
      </c>
      <c r="BN309" s="310"/>
      <c r="BO309" s="310"/>
      <c r="BP309" s="310"/>
      <c r="BQ309" s="310"/>
      <c r="BR309" s="310"/>
      <c r="BS309" s="310"/>
      <c r="BT309" s="310"/>
      <c r="BU309" s="544"/>
      <c r="BV309" s="556"/>
      <c r="BW309" s="663">
        <f t="shared" si="127"/>
        <v>1.33</v>
      </c>
      <c r="BX309" s="1047">
        <f t="shared" si="133"/>
        <v>1.33</v>
      </c>
      <c r="BY309" s="1047" t="str">
        <f t="shared" si="139"/>
        <v>Aplazada</v>
      </c>
      <c r="BZ309" s="1047">
        <f t="shared" si="140"/>
        <v>1</v>
      </c>
      <c r="CA309" s="1047" t="str">
        <f t="shared" si="141"/>
        <v>No Programada</v>
      </c>
      <c r="CB309" s="1047">
        <f t="shared" si="142"/>
        <v>1.4925373134328357</v>
      </c>
      <c r="CD309" t="str">
        <f t="shared" si="143"/>
        <v>AZ</v>
      </c>
      <c r="CE309" t="str">
        <f t="shared" si="143"/>
        <v>VE</v>
      </c>
      <c r="CF309" t="str">
        <f t="shared" si="143"/>
        <v>NP</v>
      </c>
      <c r="CG309" t="str">
        <f t="shared" si="143"/>
        <v>VE</v>
      </c>
    </row>
    <row r="310" spans="1:85" ht="88.5" customHeight="1" x14ac:dyDescent="0.3">
      <c r="A310" s="298" t="s">
        <v>896</v>
      </c>
      <c r="B310" s="299" t="str">
        <f>'PLAN INDICATIVO'!B310</f>
        <v>Agropecuario</v>
      </c>
      <c r="C310" s="1547"/>
      <c r="D310" s="1549"/>
      <c r="E310" s="1549"/>
      <c r="F310" s="1549"/>
      <c r="G310" s="1549"/>
      <c r="H310" s="1549"/>
      <c r="I310" s="300">
        <f>'PLAN INDICATIVO'!I310</f>
        <v>0</v>
      </c>
      <c r="J310" s="300">
        <f>'PLAN INDICATIVO'!J310</f>
        <v>0</v>
      </c>
      <c r="K310" s="1428" t="str">
        <f>'PLAN INDICATIVO'!K310</f>
        <v>A.8.1.18</v>
      </c>
      <c r="L310" s="301" t="str">
        <f>'PLAN INDICATIVO'!L310</f>
        <v>12. Producción y consumo responsables</v>
      </c>
      <c r="M310" s="301" t="str">
        <f>'PLAN INDICATIVO'!M310</f>
        <v>Unidad de Desarrollo Rural</v>
      </c>
      <c r="N310" s="1513" t="s">
        <v>5127</v>
      </c>
      <c r="O310" s="1425" t="str">
        <f>'PLAN INDICATIVO'!O310</f>
        <v>Incremento</v>
      </c>
      <c r="P310" s="16" t="str">
        <f>'PLAN INDICATIVO'!P310</f>
        <v>Apoyar 3 alianzas productivas, para el sector agroindustrial, durante el cuatrenio</v>
      </c>
      <c r="Q310" s="302" t="str">
        <f>'PLAN INDICATIVO'!Q310</f>
        <v>No. De alianzas productivas apoyadas</v>
      </c>
      <c r="R310" s="303">
        <f>'PLAN INDICATIVO'!R310</f>
        <v>2015</v>
      </c>
      <c r="S310" s="304">
        <v>0</v>
      </c>
      <c r="T310" s="498">
        <v>3</v>
      </c>
      <c r="U310" s="572">
        <v>0</v>
      </c>
      <c r="V310" s="687">
        <v>5000000</v>
      </c>
      <c r="W310" s="572">
        <v>1</v>
      </c>
      <c r="X310" s="687">
        <v>5000000</v>
      </c>
      <c r="Y310" s="572"/>
      <c r="Z310" s="572">
        <v>8000000</v>
      </c>
      <c r="AA310" s="1310">
        <v>1</v>
      </c>
      <c r="AB310" s="1531">
        <f>8800000</f>
        <v>8800000</v>
      </c>
      <c r="AC310" s="665"/>
      <c r="AD310" s="665">
        <v>1</v>
      </c>
      <c r="AE310" s="665">
        <v>1</v>
      </c>
      <c r="AF310" s="665">
        <v>1</v>
      </c>
      <c r="AG310" s="307" t="s">
        <v>5158</v>
      </c>
      <c r="AH310" s="987">
        <v>2019413960011</v>
      </c>
      <c r="AI310" s="307" t="s">
        <v>5045</v>
      </c>
      <c r="AJ310" s="838"/>
      <c r="AK310" s="308"/>
      <c r="AL310" s="308"/>
      <c r="AM310" s="308"/>
      <c r="AN310" s="267" t="s">
        <v>2598</v>
      </c>
      <c r="AO310" s="507"/>
      <c r="AP310" s="965"/>
      <c r="AQ310" s="966"/>
      <c r="AR310" s="966"/>
      <c r="AS310" s="966"/>
      <c r="AT310" s="966"/>
      <c r="AU310" s="966"/>
      <c r="AV310" s="966"/>
      <c r="AW310" s="1215"/>
      <c r="AX310" s="525"/>
      <c r="AY310" s="310"/>
      <c r="AZ310" s="310"/>
      <c r="BA310" s="310"/>
      <c r="BB310" s="310"/>
      <c r="BC310" s="310"/>
      <c r="BD310" s="310"/>
      <c r="BE310" s="544"/>
      <c r="BF310" s="525"/>
      <c r="BG310" s="310"/>
      <c r="BH310" s="310"/>
      <c r="BI310" s="310"/>
      <c r="BJ310" s="310"/>
      <c r="BK310" s="310"/>
      <c r="BL310" s="310"/>
      <c r="BM310" s="544">
        <f t="shared" si="136"/>
        <v>0</v>
      </c>
      <c r="BN310" s="310"/>
      <c r="BO310" s="310"/>
      <c r="BP310" s="310"/>
      <c r="BQ310" s="310"/>
      <c r="BR310" s="310"/>
      <c r="BS310" s="310"/>
      <c r="BT310" s="310"/>
      <c r="BU310" s="544"/>
      <c r="BV310" s="556"/>
      <c r="BW310" s="663">
        <f t="shared" si="127"/>
        <v>3</v>
      </c>
      <c r="BX310" s="1047">
        <f t="shared" si="133"/>
        <v>1</v>
      </c>
      <c r="BY310" s="1047" t="str">
        <f t="shared" si="139"/>
        <v>Aplazada</v>
      </c>
      <c r="BZ310" s="1047">
        <f t="shared" si="140"/>
        <v>1</v>
      </c>
      <c r="CA310" s="1047" t="str">
        <f t="shared" si="141"/>
        <v>No Programada</v>
      </c>
      <c r="CB310" s="1047">
        <f t="shared" si="142"/>
        <v>1</v>
      </c>
      <c r="CD310" t="str">
        <f t="shared" si="143"/>
        <v>AZ</v>
      </c>
      <c r="CE310" t="str">
        <f t="shared" si="143"/>
        <v>VE</v>
      </c>
      <c r="CF310" t="str">
        <f t="shared" si="143"/>
        <v>NP</v>
      </c>
      <c r="CG310" t="str">
        <f t="shared" si="143"/>
        <v>VE</v>
      </c>
    </row>
    <row r="311" spans="1:85" ht="76.5" customHeight="1" x14ac:dyDescent="0.3">
      <c r="A311" s="298" t="s">
        <v>896</v>
      </c>
      <c r="B311" s="299" t="str">
        <f>'PLAN INDICATIVO'!B311</f>
        <v>Agropecuario</v>
      </c>
      <c r="C311" s="1547"/>
      <c r="D311" s="1549"/>
      <c r="E311" s="1549"/>
      <c r="F311" s="1549"/>
      <c r="G311" s="1549"/>
      <c r="H311" s="1549"/>
      <c r="I311" s="300">
        <f>'PLAN INDICATIVO'!I311</f>
        <v>0</v>
      </c>
      <c r="J311" s="300">
        <f>'PLAN INDICATIVO'!J311</f>
        <v>0</v>
      </c>
      <c r="K311" s="1428" t="str">
        <f>'PLAN INDICATIVO'!K311</f>
        <v>A.8.1.19</v>
      </c>
      <c r="L311" s="301" t="str">
        <f>'PLAN INDICATIVO'!L311</f>
        <v>12. Producción y consumo responsables</v>
      </c>
      <c r="M311" s="301" t="str">
        <f>'PLAN INDICATIVO'!M311</f>
        <v>Unidad de Desarrollo Rural</v>
      </c>
      <c r="N311" s="1513" t="s">
        <v>5127</v>
      </c>
      <c r="O311" s="1425" t="str">
        <f>'PLAN INDICATIVO'!O311</f>
        <v>Incremento</v>
      </c>
      <c r="P311" s="16" t="str">
        <f>'PLAN INDICATIVO'!P311</f>
        <v>Realizar 4 jornadas, para la divulgación de oferta institucional para la  financiación en proyectos productivos.</v>
      </c>
      <c r="Q311" s="302" t="str">
        <f>'PLAN INDICATIVO'!Q311</f>
        <v>No. De jornadas realizadas</v>
      </c>
      <c r="R311" s="303">
        <f>'PLAN INDICATIVO'!R311</f>
        <v>2015</v>
      </c>
      <c r="S311" s="304">
        <v>0</v>
      </c>
      <c r="T311" s="498">
        <v>4</v>
      </c>
      <c r="U311" s="572">
        <v>1</v>
      </c>
      <c r="V311" s="687">
        <v>500000</v>
      </c>
      <c r="W311" s="572">
        <v>1</v>
      </c>
      <c r="X311" s="687">
        <v>500000</v>
      </c>
      <c r="Y311" s="572">
        <v>2</v>
      </c>
      <c r="Z311" s="572">
        <v>500000</v>
      </c>
      <c r="AA311" s="1310">
        <v>1</v>
      </c>
      <c r="AB311" s="1531">
        <v>4950000</v>
      </c>
      <c r="AC311" s="665"/>
      <c r="AD311" s="665">
        <v>6</v>
      </c>
      <c r="AE311" s="665">
        <v>1</v>
      </c>
      <c r="AF311" s="665"/>
      <c r="AG311" s="307" t="s">
        <v>5158</v>
      </c>
      <c r="AH311" s="987">
        <v>2019413960011</v>
      </c>
      <c r="AI311" s="307" t="s">
        <v>4863</v>
      </c>
      <c r="AJ311" s="309"/>
      <c r="AK311" s="308"/>
      <c r="AL311" s="308"/>
      <c r="AM311" s="308"/>
      <c r="AN311" s="267" t="s">
        <v>2604</v>
      </c>
      <c r="AO311" s="507"/>
      <c r="AP311" s="965"/>
      <c r="AQ311" s="966"/>
      <c r="AR311" s="966"/>
      <c r="AS311" s="966"/>
      <c r="AT311" s="966"/>
      <c r="AU311" s="966"/>
      <c r="AV311" s="966"/>
      <c r="AW311" s="1215"/>
      <c r="AX311" s="525"/>
      <c r="AY311" s="310"/>
      <c r="AZ311" s="310"/>
      <c r="BA311" s="310"/>
      <c r="BB311" s="310"/>
      <c r="BC311" s="310"/>
      <c r="BD311" s="310"/>
      <c r="BE311" s="544"/>
      <c r="BF311" s="525"/>
      <c r="BG311" s="310"/>
      <c r="BH311" s="310"/>
      <c r="BI311" s="310"/>
      <c r="BJ311" s="310"/>
      <c r="BK311" s="310"/>
      <c r="BL311" s="310"/>
      <c r="BM311" s="544">
        <f t="shared" si="136"/>
        <v>0</v>
      </c>
      <c r="BN311" s="310"/>
      <c r="BO311" s="310"/>
      <c r="BP311" s="310"/>
      <c r="BQ311" s="310"/>
      <c r="BR311" s="310"/>
      <c r="BS311" s="310"/>
      <c r="BT311" s="310"/>
      <c r="BU311" s="544"/>
      <c r="BV311" s="556"/>
      <c r="BW311" s="663">
        <f t="shared" si="127"/>
        <v>7</v>
      </c>
      <c r="BX311" s="1047">
        <f t="shared" si="133"/>
        <v>1.75</v>
      </c>
      <c r="BY311" s="1047">
        <f t="shared" si="139"/>
        <v>0</v>
      </c>
      <c r="BZ311" s="1047">
        <f t="shared" si="140"/>
        <v>6</v>
      </c>
      <c r="CA311" s="1047">
        <f t="shared" si="141"/>
        <v>0.5</v>
      </c>
      <c r="CB311" s="1047">
        <f t="shared" si="142"/>
        <v>0</v>
      </c>
      <c r="CD311" t="str">
        <f t="shared" si="143"/>
        <v>ROB</v>
      </c>
      <c r="CE311" t="str">
        <f t="shared" si="143"/>
        <v>VE</v>
      </c>
      <c r="CF311" t="str">
        <f t="shared" si="143"/>
        <v>AMB</v>
      </c>
      <c r="CG311" t="str">
        <f t="shared" si="143"/>
        <v>ROB</v>
      </c>
    </row>
    <row r="312" spans="1:85" ht="72.75" hidden="1" customHeight="1" x14ac:dyDescent="0.25">
      <c r="A312" s="298" t="s">
        <v>896</v>
      </c>
      <c r="B312" s="299" t="str">
        <f>'PLAN INDICATIVO'!B312</f>
        <v>Agropecuario</v>
      </c>
      <c r="C312" s="1547"/>
      <c r="D312" s="1549"/>
      <c r="E312" s="1549"/>
      <c r="F312" s="1549"/>
      <c r="G312" s="1549"/>
      <c r="H312" s="1549"/>
      <c r="I312" s="1425" t="str">
        <f>'PLAN INDICATIVO'!I312</f>
        <v>SI</v>
      </c>
      <c r="J312" s="1425">
        <f>'PLAN INDICATIVO'!J312</f>
        <v>0</v>
      </c>
      <c r="K312" s="1428" t="str">
        <f>'PLAN INDICATIVO'!K312</f>
        <v>A.8.1.20</v>
      </c>
      <c r="L312" s="301" t="str">
        <f>'PLAN INDICATIVO'!L312</f>
        <v>12. Producción y consumo responsables</v>
      </c>
      <c r="M312" s="301" t="str">
        <f>'PLAN INDICATIVO'!M312</f>
        <v>Unidad de Desarrollo Rural</v>
      </c>
      <c r="N312" s="1513" t="s">
        <v>5127</v>
      </c>
      <c r="O312" s="1425" t="str">
        <f>'PLAN INDICATIVO'!O312</f>
        <v>Incremento</v>
      </c>
      <c r="P312" s="16" t="str">
        <f>'PLAN INDICATIVO'!P312</f>
        <v>Apoyar la construcción de 1 instalación para el fortalecimiento de los moreros de Santa Martha, en el cuatrienio</v>
      </c>
      <c r="Q312" s="302" t="str">
        <f>'PLAN INDICATIVO'!Q312</f>
        <v>No. De instalaciones apoyadas</v>
      </c>
      <c r="R312" s="303">
        <f>'PLAN INDICATIVO'!R312</f>
        <v>2015</v>
      </c>
      <c r="S312" s="304">
        <v>0</v>
      </c>
      <c r="T312" s="498">
        <v>1</v>
      </c>
      <c r="U312" s="572">
        <v>0</v>
      </c>
      <c r="V312" s="687">
        <v>123000000</v>
      </c>
      <c r="W312" s="572">
        <v>0.5</v>
      </c>
      <c r="X312" s="687">
        <v>100000000</v>
      </c>
      <c r="Y312" s="572">
        <v>0.7</v>
      </c>
      <c r="Z312" s="572">
        <v>500000</v>
      </c>
      <c r="AA312" s="1310">
        <v>0.7</v>
      </c>
      <c r="AB312" s="1531"/>
      <c r="AC312" s="665"/>
      <c r="AD312" s="665">
        <v>0.3</v>
      </c>
      <c r="AE312" s="665"/>
      <c r="AF312" s="665">
        <v>1</v>
      </c>
      <c r="AG312" s="307" t="s">
        <v>5153</v>
      </c>
      <c r="AH312" s="987">
        <v>2019413960010</v>
      </c>
      <c r="AI312" s="838" t="s">
        <v>5120</v>
      </c>
      <c r="AJ312" s="838"/>
      <c r="AK312" s="308"/>
      <c r="AL312" s="308"/>
      <c r="AM312" s="308"/>
      <c r="AN312" s="267" t="s">
        <v>2600</v>
      </c>
      <c r="AO312" s="507"/>
      <c r="AP312" s="965"/>
      <c r="AQ312" s="966"/>
      <c r="AR312" s="966"/>
      <c r="AS312" s="966"/>
      <c r="AT312" s="966"/>
      <c r="AU312" s="966"/>
      <c r="AV312" s="966"/>
      <c r="AW312" s="1215"/>
      <c r="AX312" s="525"/>
      <c r="AY312" s="310"/>
      <c r="AZ312" s="310"/>
      <c r="BA312" s="310"/>
      <c r="BB312" s="310"/>
      <c r="BC312" s="310"/>
      <c r="BD312" s="310"/>
      <c r="BE312" s="544"/>
      <c r="BF312" s="525"/>
      <c r="BG312" s="310"/>
      <c r="BH312" s="310"/>
      <c r="BI312" s="310"/>
      <c r="BJ312" s="310"/>
      <c r="BK312" s="310"/>
      <c r="BL312" s="310"/>
      <c r="BM312" s="544">
        <f t="shared" si="136"/>
        <v>0</v>
      </c>
      <c r="BN312" s="310"/>
      <c r="BO312" s="310"/>
      <c r="BP312" s="310"/>
      <c r="BQ312" s="310"/>
      <c r="BR312" s="310"/>
      <c r="BS312" s="310"/>
      <c r="BT312" s="310"/>
      <c r="BU312" s="544"/>
      <c r="BV312" s="556"/>
      <c r="BW312" s="663">
        <f t="shared" si="127"/>
        <v>1.3</v>
      </c>
      <c r="BX312" s="1047">
        <f t="shared" si="133"/>
        <v>1.3</v>
      </c>
      <c r="BY312" s="1047" t="str">
        <f t="shared" si="139"/>
        <v>Aplazada</v>
      </c>
      <c r="BZ312" s="1047">
        <f t="shared" si="140"/>
        <v>0.6</v>
      </c>
      <c r="CA312" s="1047">
        <f t="shared" si="141"/>
        <v>0</v>
      </c>
      <c r="CB312" s="1047">
        <f t="shared" si="142"/>
        <v>1.4285714285714286</v>
      </c>
      <c r="CD312" t="str">
        <f t="shared" si="143"/>
        <v>AZ</v>
      </c>
      <c r="CE312" t="str">
        <f t="shared" si="143"/>
        <v>AMB</v>
      </c>
      <c r="CF312" t="str">
        <f t="shared" si="143"/>
        <v>ROB</v>
      </c>
      <c r="CG312" t="str">
        <f t="shared" si="143"/>
        <v>VE</v>
      </c>
    </row>
    <row r="313" spans="1:85" ht="93" hidden="1" customHeight="1" x14ac:dyDescent="0.25">
      <c r="A313" s="298" t="s">
        <v>896</v>
      </c>
      <c r="B313" s="299" t="str">
        <f>'PLAN INDICATIVO'!B313</f>
        <v>Agropecuario</v>
      </c>
      <c r="C313" s="1547"/>
      <c r="D313" s="1549"/>
      <c r="E313" s="1549"/>
      <c r="F313" s="1549"/>
      <c r="G313" s="1549"/>
      <c r="H313" s="1549"/>
      <c r="I313" s="1425" t="str">
        <f>'PLAN INDICATIVO'!I313</f>
        <v>SI</v>
      </c>
      <c r="J313" s="1425">
        <f>'PLAN INDICATIVO'!J313</f>
        <v>0</v>
      </c>
      <c r="K313" s="1428" t="str">
        <f>'PLAN INDICATIVO'!K313</f>
        <v>A.8.1.21</v>
      </c>
      <c r="L313" s="301" t="str">
        <f>'PLAN INDICATIVO'!L313</f>
        <v>12. Producción y consumo responsables</v>
      </c>
      <c r="M313" s="301" t="str">
        <f>'PLAN INDICATIVO'!M313</f>
        <v>Unidad de Desarrollo Rural</v>
      </c>
      <c r="N313" s="1513" t="s">
        <v>5127</v>
      </c>
      <c r="O313" s="1425" t="str">
        <f>'PLAN INDICATIVO'!O313</f>
        <v>Incremento</v>
      </c>
      <c r="P313" s="16" t="str">
        <f>'PLAN INDICATIVO'!P313</f>
        <v>Apoyar la construcción de 1 centro de acopio agrícola en el sector urbano, durante el cuatrienio</v>
      </c>
      <c r="Q313" s="302" t="str">
        <f>'PLAN INDICATIVO'!Q313</f>
        <v>No. De centros de acopio construidos</v>
      </c>
      <c r="R313" s="303">
        <f>'PLAN INDICATIVO'!R313</f>
        <v>2015</v>
      </c>
      <c r="S313" s="304">
        <v>0</v>
      </c>
      <c r="T313" s="498">
        <v>1</v>
      </c>
      <c r="U313" s="572">
        <v>0.25</v>
      </c>
      <c r="V313" s="687">
        <v>500000</v>
      </c>
      <c r="W313" s="572">
        <v>0.75</v>
      </c>
      <c r="X313" s="687">
        <v>500000</v>
      </c>
      <c r="Y313" s="572"/>
      <c r="Z313" s="572">
        <v>500000</v>
      </c>
      <c r="AA313" s="1310"/>
      <c r="AB313" s="1531"/>
      <c r="AC313" s="665"/>
      <c r="AD313" s="665">
        <v>1</v>
      </c>
      <c r="AE313" s="665"/>
      <c r="AF313" s="665"/>
      <c r="AG313" s="307" t="s">
        <v>5153</v>
      </c>
      <c r="AH313" s="987">
        <v>2019413960010</v>
      </c>
      <c r="AI313" s="309" t="s">
        <v>4862</v>
      </c>
      <c r="AJ313" s="309"/>
      <c r="AK313" s="308"/>
      <c r="AL313" s="308"/>
      <c r="AM313" s="308"/>
      <c r="AN313" s="267" t="s">
        <v>2594</v>
      </c>
      <c r="AO313" s="507"/>
      <c r="AP313" s="965"/>
      <c r="AQ313" s="966"/>
      <c r="AR313" s="966"/>
      <c r="AS313" s="966"/>
      <c r="AT313" s="966"/>
      <c r="AU313" s="966"/>
      <c r="AV313" s="966"/>
      <c r="AW313" s="1215"/>
      <c r="AX313" s="525"/>
      <c r="AY313" s="310"/>
      <c r="AZ313" s="310"/>
      <c r="BA313" s="310"/>
      <c r="BB313" s="310"/>
      <c r="BC313" s="310"/>
      <c r="BD313" s="310"/>
      <c r="BE313" s="544"/>
      <c r="BF313" s="525"/>
      <c r="BG313" s="310"/>
      <c r="BH313" s="310"/>
      <c r="BI313" s="310"/>
      <c r="BJ313" s="310"/>
      <c r="BK313" s="310"/>
      <c r="BL313" s="310"/>
      <c r="BM313" s="544">
        <f t="shared" si="136"/>
        <v>0</v>
      </c>
      <c r="BN313" s="310"/>
      <c r="BO313" s="310"/>
      <c r="BP313" s="310"/>
      <c r="BQ313" s="310"/>
      <c r="BR313" s="310"/>
      <c r="BS313" s="310"/>
      <c r="BT313" s="310"/>
      <c r="BU313" s="544"/>
      <c r="BV313" s="556"/>
      <c r="BW313" s="663">
        <f t="shared" si="127"/>
        <v>1</v>
      </c>
      <c r="BX313" s="1047">
        <f t="shared" si="133"/>
        <v>1</v>
      </c>
      <c r="BY313" s="1047">
        <f t="shared" si="139"/>
        <v>0</v>
      </c>
      <c r="BZ313" s="1047">
        <f t="shared" si="140"/>
        <v>1.3333333333333333</v>
      </c>
      <c r="CA313" s="1047" t="str">
        <f t="shared" si="141"/>
        <v>No Programada</v>
      </c>
      <c r="CB313" s="1047" t="str">
        <f t="shared" si="142"/>
        <v>No Programada</v>
      </c>
      <c r="CD313" t="str">
        <f t="shared" si="143"/>
        <v>ROB</v>
      </c>
      <c r="CE313" t="str">
        <f t="shared" si="143"/>
        <v>VE</v>
      </c>
      <c r="CF313" t="str">
        <f t="shared" si="143"/>
        <v>NP</v>
      </c>
      <c r="CG313" t="str">
        <f t="shared" si="143"/>
        <v>NP</v>
      </c>
    </row>
    <row r="314" spans="1:85" ht="76.5" customHeight="1" x14ac:dyDescent="0.3">
      <c r="A314" s="298" t="s">
        <v>896</v>
      </c>
      <c r="B314" s="299" t="str">
        <f>'PLAN INDICATIVO'!B314</f>
        <v>Agropecuario</v>
      </c>
      <c r="C314" s="1547"/>
      <c r="D314" s="1549"/>
      <c r="E314" s="1549"/>
      <c r="F314" s="1549"/>
      <c r="G314" s="1549"/>
      <c r="H314" s="1549"/>
      <c r="I314" s="300">
        <f>'PLAN INDICATIVO'!I314</f>
        <v>0</v>
      </c>
      <c r="J314" s="300">
        <f>'PLAN INDICATIVO'!J314</f>
        <v>0</v>
      </c>
      <c r="K314" s="1428" t="str">
        <f>'PLAN INDICATIVO'!K314</f>
        <v>A.8.1.22</v>
      </c>
      <c r="L314" s="301" t="str">
        <f>'PLAN INDICATIVO'!L314</f>
        <v>12. Producción y consumo responsables</v>
      </c>
      <c r="M314" s="301" t="str">
        <f>'PLAN INDICATIVO'!M314</f>
        <v>Unidad de Desarrollo Rural</v>
      </c>
      <c r="N314" s="1513" t="s">
        <v>5127</v>
      </c>
      <c r="O314" s="1425" t="str">
        <f>'PLAN INDICATIVO'!O314</f>
        <v>Incremento</v>
      </c>
      <c r="P314" s="16" t="str">
        <f>'PLAN INDICATIVO'!P314</f>
        <v>Apoyar 2 proyectos para Fincas Demostrativas, durante el cuatrienio</v>
      </c>
      <c r="Q314" s="302" t="str">
        <f>'PLAN INDICATIVO'!Q314</f>
        <v>No. De proyectos apoyados</v>
      </c>
      <c r="R314" s="303">
        <f>'PLAN INDICATIVO'!R314</f>
        <v>2015</v>
      </c>
      <c r="S314" s="304">
        <v>0</v>
      </c>
      <c r="T314" s="498">
        <v>2</v>
      </c>
      <c r="U314" s="572">
        <v>0.5</v>
      </c>
      <c r="V314" s="687">
        <v>2500000</v>
      </c>
      <c r="W314" s="572">
        <v>0.5</v>
      </c>
      <c r="X314" s="687">
        <v>2500000</v>
      </c>
      <c r="Y314" s="572"/>
      <c r="Z314" s="572">
        <v>1000000</v>
      </c>
      <c r="AA314" s="1310">
        <v>1</v>
      </c>
      <c r="AB314" s="1531">
        <v>50000000</v>
      </c>
      <c r="AC314" s="665"/>
      <c r="AD314" s="665">
        <v>1.5</v>
      </c>
      <c r="AE314" s="665"/>
      <c r="AF314" s="665">
        <v>2</v>
      </c>
      <c r="AG314" s="307" t="s">
        <v>5158</v>
      </c>
      <c r="AH314" s="987">
        <v>2019413960011</v>
      </c>
      <c r="AI314" s="307" t="s">
        <v>5046</v>
      </c>
      <c r="AJ314" s="309">
        <v>43553</v>
      </c>
      <c r="AK314" s="838">
        <v>43789</v>
      </c>
      <c r="AL314" s="308"/>
      <c r="AM314" s="308"/>
      <c r="AN314" s="267" t="s">
        <v>2594</v>
      </c>
      <c r="AO314" s="507"/>
      <c r="AP314" s="967"/>
      <c r="AQ314" s="966"/>
      <c r="AR314" s="966"/>
      <c r="AS314" s="966"/>
      <c r="AT314" s="966"/>
      <c r="AU314" s="966"/>
      <c r="AV314" s="968"/>
      <c r="AW314" s="1215"/>
      <c r="AX314" s="531"/>
      <c r="AY314" s="310"/>
      <c r="AZ314" s="310"/>
      <c r="BA314" s="310"/>
      <c r="BB314" s="310"/>
      <c r="BC314" s="310"/>
      <c r="BD314" s="380"/>
      <c r="BE314" s="544"/>
      <c r="BF314" s="531"/>
      <c r="BG314" s="310"/>
      <c r="BH314" s="310"/>
      <c r="BI314" s="310"/>
      <c r="BJ314" s="310"/>
      <c r="BK314" s="310"/>
      <c r="BL314" s="380"/>
      <c r="BM314" s="544">
        <f t="shared" si="136"/>
        <v>0</v>
      </c>
      <c r="BN314" s="380"/>
      <c r="BO314" s="310"/>
      <c r="BP314" s="310"/>
      <c r="BQ314" s="310"/>
      <c r="BR314" s="310"/>
      <c r="BS314" s="310"/>
      <c r="BT314" s="380"/>
      <c r="BU314" s="544"/>
      <c r="BV314" s="556"/>
      <c r="BW314" s="663">
        <f t="shared" si="127"/>
        <v>3.5</v>
      </c>
      <c r="BX314" s="1047">
        <f t="shared" si="133"/>
        <v>1.75</v>
      </c>
      <c r="BY314" s="1047">
        <f t="shared" si="139"/>
        <v>0</v>
      </c>
      <c r="BZ314" s="1047">
        <f t="shared" si="140"/>
        <v>3</v>
      </c>
      <c r="CA314" s="1047" t="str">
        <f t="shared" si="141"/>
        <v>No Programada</v>
      </c>
      <c r="CB314" s="1047">
        <f t="shared" si="142"/>
        <v>2</v>
      </c>
      <c r="CD314" t="str">
        <f t="shared" si="143"/>
        <v>ROB</v>
      </c>
      <c r="CE314" t="str">
        <f t="shared" si="143"/>
        <v>VE</v>
      </c>
      <c r="CF314" t="str">
        <f t="shared" si="143"/>
        <v>NP</v>
      </c>
      <c r="CG314" t="str">
        <f t="shared" si="143"/>
        <v>VE</v>
      </c>
    </row>
    <row r="315" spans="1:85" ht="69" hidden="1" customHeight="1" x14ac:dyDescent="0.25">
      <c r="A315" s="298" t="s">
        <v>896</v>
      </c>
      <c r="B315" s="299" t="str">
        <f>'PLAN INDICATIVO'!B315</f>
        <v>Agropecuario</v>
      </c>
      <c r="C315" s="1547"/>
      <c r="D315" s="1549"/>
      <c r="E315" s="1549"/>
      <c r="F315" s="1549"/>
      <c r="G315" s="1549"/>
      <c r="H315" s="1549"/>
      <c r="I315" s="300">
        <f>'PLAN INDICATIVO'!I315</f>
        <v>0</v>
      </c>
      <c r="J315" s="375">
        <f>'PLAN INDICATIVO'!J315</f>
        <v>0</v>
      </c>
      <c r="K315" s="1428" t="str">
        <f>'PLAN INDICATIVO'!K315</f>
        <v>A.8.1.23</v>
      </c>
      <c r="L315" s="301" t="str">
        <f>'PLAN INDICATIVO'!L315</f>
        <v>12. Producción y consumo responsables</v>
      </c>
      <c r="M315" s="301" t="str">
        <f>'PLAN INDICATIVO'!M315</f>
        <v>Unidad de Desarrollo Rural</v>
      </c>
      <c r="N315" s="1513" t="s">
        <v>5127</v>
      </c>
      <c r="O315" s="1425" t="str">
        <f>'PLAN INDICATIVO'!O315</f>
        <v>Incremento</v>
      </c>
      <c r="P315" s="16" t="str">
        <f>'PLAN INDICATIVO'!P315</f>
        <v>Apoyar 1 proyecto para la implantación de una planta pasteurizadora en el municipio durante el cuatrienio</v>
      </c>
      <c r="Q315" s="348" t="str">
        <f>'PLAN INDICATIVO'!Q315</f>
        <v>No. De proyectos apoyados</v>
      </c>
      <c r="R315" s="303">
        <f>'PLAN INDICATIVO'!R315</f>
        <v>2015</v>
      </c>
      <c r="S315" s="304">
        <v>0</v>
      </c>
      <c r="T315" s="498">
        <v>1</v>
      </c>
      <c r="U315" s="572">
        <v>0</v>
      </c>
      <c r="V315" s="687">
        <v>500000</v>
      </c>
      <c r="W315" s="572">
        <v>1</v>
      </c>
      <c r="X315" s="687">
        <v>500000</v>
      </c>
      <c r="Y315" s="572"/>
      <c r="Z315" s="572"/>
      <c r="AA315" s="1310"/>
      <c r="AB315" s="1531"/>
      <c r="AC315" s="665"/>
      <c r="AD315" s="665">
        <v>1</v>
      </c>
      <c r="AE315" s="665"/>
      <c r="AF315" s="665"/>
      <c r="AG315" s="307" t="s">
        <v>5153</v>
      </c>
      <c r="AH315" s="987">
        <v>2019413960010</v>
      </c>
      <c r="AI315" s="308"/>
      <c r="AJ315" s="308"/>
      <c r="AK315" s="308"/>
      <c r="AL315" s="308"/>
      <c r="AM315" s="308"/>
      <c r="AN315" s="267" t="s">
        <v>2594</v>
      </c>
      <c r="AO315" s="507"/>
      <c r="AP315" s="965"/>
      <c r="AQ315" s="966"/>
      <c r="AR315" s="966"/>
      <c r="AS315" s="966"/>
      <c r="AT315" s="966"/>
      <c r="AU315" s="966"/>
      <c r="AV315" s="966"/>
      <c r="AW315" s="1215"/>
      <c r="AX315" s="525"/>
      <c r="AY315" s="310"/>
      <c r="AZ315" s="310"/>
      <c r="BA315" s="310"/>
      <c r="BB315" s="310"/>
      <c r="BC315" s="310"/>
      <c r="BD315" s="310"/>
      <c r="BE315" s="544"/>
      <c r="BF315" s="525"/>
      <c r="BG315" s="310"/>
      <c r="BH315" s="310"/>
      <c r="BI315" s="310"/>
      <c r="BJ315" s="310"/>
      <c r="BK315" s="310"/>
      <c r="BL315" s="310"/>
      <c r="BM315" s="544">
        <f t="shared" si="136"/>
        <v>0</v>
      </c>
      <c r="BN315" s="310"/>
      <c r="BO315" s="310"/>
      <c r="BP315" s="310"/>
      <c r="BQ315" s="310"/>
      <c r="BR315" s="310"/>
      <c r="BS315" s="310"/>
      <c r="BT315" s="310"/>
      <c r="BU315" s="544"/>
      <c r="BV315" s="556"/>
      <c r="BW315" s="663">
        <f t="shared" si="127"/>
        <v>1</v>
      </c>
      <c r="BX315" s="1047">
        <f t="shared" si="133"/>
        <v>1</v>
      </c>
      <c r="BY315" s="1047" t="str">
        <f t="shared" si="139"/>
        <v>Aplazada</v>
      </c>
      <c r="BZ315" s="1047">
        <f t="shared" si="140"/>
        <v>1</v>
      </c>
      <c r="CA315" s="1047" t="str">
        <f t="shared" si="141"/>
        <v>No Programada</v>
      </c>
      <c r="CB315" s="1047" t="str">
        <f t="shared" si="142"/>
        <v>No Programada</v>
      </c>
      <c r="CD315" t="str">
        <f t="shared" si="143"/>
        <v>AZ</v>
      </c>
      <c r="CE315" t="str">
        <f t="shared" si="143"/>
        <v>VE</v>
      </c>
      <c r="CF315" t="str">
        <f t="shared" si="143"/>
        <v>NP</v>
      </c>
      <c r="CG315" t="str">
        <f t="shared" si="143"/>
        <v>NP</v>
      </c>
    </row>
    <row r="316" spans="1:85" ht="82.5" hidden="1" customHeight="1" x14ac:dyDescent="0.25">
      <c r="A316" s="298" t="s">
        <v>896</v>
      </c>
      <c r="B316" s="299" t="str">
        <f>'PLAN INDICATIVO'!B316</f>
        <v>Agropecuario</v>
      </c>
      <c r="C316" s="1547"/>
      <c r="D316" s="1549"/>
      <c r="E316" s="1549"/>
      <c r="F316" s="1549"/>
      <c r="G316" s="1549"/>
      <c r="H316" s="1549"/>
      <c r="I316" s="300">
        <f>'PLAN INDICATIVO'!I316</f>
        <v>0</v>
      </c>
      <c r="J316" s="375">
        <f>'PLAN INDICATIVO'!J316</f>
        <v>0</v>
      </c>
      <c r="K316" s="1428" t="str">
        <f>'PLAN INDICATIVO'!K316</f>
        <v>A.8.1.24</v>
      </c>
      <c r="L316" s="301" t="str">
        <f>'PLAN INDICATIVO'!L316</f>
        <v>2. Hambre cero</v>
      </c>
      <c r="M316" s="301" t="str">
        <f>'PLAN INDICATIVO'!M316</f>
        <v>Unidad de Desarrollo Rural</v>
      </c>
      <c r="N316" s="1513" t="s">
        <v>5127</v>
      </c>
      <c r="O316" s="1425" t="str">
        <f>'PLAN INDICATIVO'!O316</f>
        <v>Incremento</v>
      </c>
      <c r="P316" s="71" t="str">
        <f>'PLAN INDICATIVO'!P316</f>
        <v>Apoyar a 600  familias en seguridad alimentaria durante el cuatrienio.</v>
      </c>
      <c r="Q316" s="348" t="str">
        <f>'PLAN INDICATIVO'!Q316</f>
        <v xml:space="preserve">No. De familias apoyadas </v>
      </c>
      <c r="R316" s="303" t="str">
        <f>'PLAN INDICATIVO'!R316</f>
        <v>2012 -2015</v>
      </c>
      <c r="S316" s="304">
        <v>750</v>
      </c>
      <c r="T316" s="498">
        <v>600</v>
      </c>
      <c r="U316" s="303">
        <v>0</v>
      </c>
      <c r="V316" s="687">
        <v>206000000</v>
      </c>
      <c r="W316" s="572">
        <v>600</v>
      </c>
      <c r="X316" s="687">
        <v>4500000</v>
      </c>
      <c r="Y316" s="572">
        <v>200</v>
      </c>
      <c r="Z316" s="572">
        <v>2000000</v>
      </c>
      <c r="AA316" s="1310">
        <v>200</v>
      </c>
      <c r="AB316" s="1531"/>
      <c r="AC316" s="665"/>
      <c r="AD316" s="665">
        <v>200</v>
      </c>
      <c r="AE316" s="665">
        <v>200</v>
      </c>
      <c r="AF316" s="665">
        <v>200</v>
      </c>
      <c r="AG316" s="307" t="s">
        <v>5153</v>
      </c>
      <c r="AH316" s="987">
        <v>2019413960010</v>
      </c>
      <c r="AI316" s="1471" t="s">
        <v>4947</v>
      </c>
      <c r="AJ316" s="309">
        <v>43553</v>
      </c>
      <c r="AK316" s="838">
        <v>43789</v>
      </c>
      <c r="AL316" s="308"/>
      <c r="AM316" s="308"/>
      <c r="AN316" s="267" t="s">
        <v>2598</v>
      </c>
      <c r="AO316" s="507"/>
      <c r="AP316" s="969"/>
      <c r="AQ316" s="970"/>
      <c r="AR316" s="970"/>
      <c r="AS316" s="970"/>
      <c r="AT316" s="970"/>
      <c r="AU316" s="970"/>
      <c r="AV316" s="970"/>
      <c r="AW316" s="1217"/>
      <c r="AX316" s="525"/>
      <c r="AY316" s="310"/>
      <c r="AZ316" s="310"/>
      <c r="BA316" s="310"/>
      <c r="BB316" s="310"/>
      <c r="BC316" s="310"/>
      <c r="BD316" s="310"/>
      <c r="BE316" s="544"/>
      <c r="BF316" s="525"/>
      <c r="BG316" s="310"/>
      <c r="BH316" s="310"/>
      <c r="BI316" s="310"/>
      <c r="BJ316" s="310"/>
      <c r="BK316" s="310"/>
      <c r="BL316" s="310"/>
      <c r="BM316" s="544">
        <f t="shared" si="136"/>
        <v>0</v>
      </c>
      <c r="BN316" s="310"/>
      <c r="BO316" s="310"/>
      <c r="BP316" s="310"/>
      <c r="BQ316" s="310"/>
      <c r="BR316" s="310"/>
      <c r="BS316" s="310"/>
      <c r="BT316" s="310"/>
      <c r="BU316" s="544"/>
      <c r="BV316" s="556"/>
      <c r="BW316" s="663">
        <f t="shared" si="127"/>
        <v>600</v>
      </c>
      <c r="BX316" s="1047">
        <f t="shared" si="133"/>
        <v>1</v>
      </c>
      <c r="BY316" s="1047" t="str">
        <f t="shared" si="139"/>
        <v>Aplazada</v>
      </c>
      <c r="BZ316" s="1047">
        <f t="shared" si="140"/>
        <v>0.33333333333333331</v>
      </c>
      <c r="CA316" s="1047">
        <f t="shared" si="141"/>
        <v>1</v>
      </c>
      <c r="CB316" s="1047">
        <f t="shared" si="142"/>
        <v>1</v>
      </c>
      <c r="CD316" t="str">
        <f t="shared" si="143"/>
        <v>AZ</v>
      </c>
      <c r="CE316" t="str">
        <f t="shared" si="143"/>
        <v>RO</v>
      </c>
      <c r="CF316" t="str">
        <f t="shared" si="143"/>
        <v>VE</v>
      </c>
      <c r="CG316" t="str">
        <f t="shared" si="143"/>
        <v>VE</v>
      </c>
    </row>
    <row r="317" spans="1:85" ht="81" customHeight="1" x14ac:dyDescent="0.3">
      <c r="A317" s="298" t="s">
        <v>896</v>
      </c>
      <c r="B317" s="299" t="str">
        <f>'PLAN INDICATIVO'!B317</f>
        <v>Agropecuario</v>
      </c>
      <c r="C317" s="1547"/>
      <c r="D317" s="1549"/>
      <c r="E317" s="1549"/>
      <c r="F317" s="1549"/>
      <c r="G317" s="1549"/>
      <c r="H317" s="1549"/>
      <c r="I317" s="300">
        <f>'PLAN INDICATIVO'!I317</f>
        <v>0</v>
      </c>
      <c r="J317" s="375">
        <f>'PLAN INDICATIVO'!J317</f>
        <v>0</v>
      </c>
      <c r="K317" s="1428" t="str">
        <f>'PLAN INDICATIVO'!K317</f>
        <v>A.8.1.25</v>
      </c>
      <c r="L317" s="301" t="str">
        <f>'PLAN INDICATIVO'!L317</f>
        <v>12. Producción y consumo responsables</v>
      </c>
      <c r="M317" s="301" t="str">
        <f>'PLAN INDICATIVO'!M317</f>
        <v>Unidad de Desarrollo Rural</v>
      </c>
      <c r="N317" s="1513" t="s">
        <v>5127</v>
      </c>
      <c r="O317" s="1425" t="str">
        <f>'PLAN INDICATIVO'!O317</f>
        <v>Incremento</v>
      </c>
      <c r="P317" s="71" t="str">
        <f>'PLAN INDICATIVO'!P317</f>
        <v>Realizar 100 Mejoramientos genéticos bovinos en el Municipio de La Plata durante el cuatrienio.</v>
      </c>
      <c r="Q317" s="348" t="str">
        <f>'PLAN INDICATIVO'!Q317</f>
        <v>No. De mejoramientos genéticos realizados.</v>
      </c>
      <c r="R317" s="303" t="str">
        <f>'PLAN INDICATIVO'!R317</f>
        <v>2012 -2015</v>
      </c>
      <c r="S317" s="304">
        <v>450</v>
      </c>
      <c r="T317" s="498">
        <v>100</v>
      </c>
      <c r="U317" s="572">
        <v>0</v>
      </c>
      <c r="V317" s="687">
        <v>0</v>
      </c>
      <c r="W317" s="572">
        <v>0</v>
      </c>
      <c r="X317" s="687"/>
      <c r="Y317" s="572">
        <v>100</v>
      </c>
      <c r="Z317" s="572">
        <v>4000000</v>
      </c>
      <c r="AA317" s="1310">
        <v>20</v>
      </c>
      <c r="AB317" s="1531">
        <v>9900000</v>
      </c>
      <c r="AC317" s="665"/>
      <c r="AD317" s="665">
        <v>0</v>
      </c>
      <c r="AE317" s="665">
        <v>100</v>
      </c>
      <c r="AF317" s="665"/>
      <c r="AG317" s="307" t="s">
        <v>5158</v>
      </c>
      <c r="AH317" s="987">
        <v>2019413960011</v>
      </c>
      <c r="AI317" s="838" t="s">
        <v>4862</v>
      </c>
      <c r="AJ317" s="838"/>
      <c r="AK317" s="308"/>
      <c r="AL317" s="308"/>
      <c r="AM317" s="308"/>
      <c r="AN317" s="267" t="s">
        <v>2598</v>
      </c>
      <c r="AO317" s="507"/>
      <c r="AP317" s="1315"/>
      <c r="AQ317" s="1316"/>
      <c r="AR317" s="1317"/>
      <c r="AS317" s="1317"/>
      <c r="AT317" s="1317"/>
      <c r="AU317" s="1317"/>
      <c r="AV317" s="1317"/>
      <c r="AW317" s="1318"/>
      <c r="AX317" s="1319"/>
      <c r="AY317" s="1320"/>
      <c r="AZ317" s="1320"/>
      <c r="BA317" s="1320"/>
      <c r="BB317" s="1320"/>
      <c r="BC317" s="1320"/>
      <c r="BD317" s="1320"/>
      <c r="BE317" s="1321"/>
      <c r="BF317" s="1319"/>
      <c r="BG317" s="1320"/>
      <c r="BH317" s="310"/>
      <c r="BI317" s="310"/>
      <c r="BJ317" s="310"/>
      <c r="BK317" s="310"/>
      <c r="BL317" s="310"/>
      <c r="BM317" s="544">
        <f t="shared" si="136"/>
        <v>0</v>
      </c>
      <c r="BN317" s="310"/>
      <c r="BO317" s="310"/>
      <c r="BP317" s="310"/>
      <c r="BQ317" s="310"/>
      <c r="BR317" s="310"/>
      <c r="BS317" s="310"/>
      <c r="BT317" s="310"/>
      <c r="BU317" s="544"/>
      <c r="BV317" s="556"/>
      <c r="BW317" s="663">
        <f t="shared" si="127"/>
        <v>100</v>
      </c>
      <c r="BX317" s="1047">
        <f t="shared" si="133"/>
        <v>1</v>
      </c>
      <c r="BY317" s="1047" t="str">
        <f t="shared" si="139"/>
        <v>Aplazada</v>
      </c>
      <c r="BZ317" s="1047" t="str">
        <f t="shared" si="140"/>
        <v>Aplazada</v>
      </c>
      <c r="CA317" s="1047">
        <f t="shared" si="141"/>
        <v>1</v>
      </c>
      <c r="CB317" s="1047">
        <f t="shared" si="142"/>
        <v>0</v>
      </c>
      <c r="CD317" t="str">
        <f t="shared" si="143"/>
        <v>AZ</v>
      </c>
      <c r="CE317" t="str">
        <f t="shared" si="143"/>
        <v>AZ</v>
      </c>
      <c r="CF317" t="str">
        <f t="shared" si="143"/>
        <v>VE</v>
      </c>
      <c r="CG317" t="str">
        <f t="shared" si="143"/>
        <v>ROB</v>
      </c>
    </row>
    <row r="318" spans="1:85" ht="82.5" hidden="1" customHeight="1" x14ac:dyDescent="0.25">
      <c r="A318" s="298" t="s">
        <v>896</v>
      </c>
      <c r="B318" s="299" t="str">
        <f>'PLAN INDICATIVO'!B318</f>
        <v>Agropecuario</v>
      </c>
      <c r="C318" s="1547"/>
      <c r="D318" s="1549"/>
      <c r="E318" s="1549"/>
      <c r="F318" s="1549"/>
      <c r="G318" s="1549"/>
      <c r="H318" s="1549"/>
      <c r="I318" s="300">
        <f>'PLAN INDICATIVO'!I318</f>
        <v>0</v>
      </c>
      <c r="J318" s="375">
        <f>'PLAN INDICATIVO'!J318</f>
        <v>0</v>
      </c>
      <c r="K318" s="1428" t="str">
        <f>'PLAN INDICATIVO'!K318</f>
        <v>A.8.1.26</v>
      </c>
      <c r="L318" s="301" t="str">
        <f>'PLAN INDICATIVO'!L318</f>
        <v>12. Producción y consumo responsables</v>
      </c>
      <c r="M318" s="301" t="str">
        <f>'PLAN INDICATIVO'!M318</f>
        <v>Unidad de Desarrollo Rural</v>
      </c>
      <c r="N318" s="1513" t="s">
        <v>5127</v>
      </c>
      <c r="O318" s="1425" t="str">
        <f>'PLAN INDICATIVO'!O318</f>
        <v>Incremento</v>
      </c>
      <c r="P318" s="71" t="str">
        <f>'PLAN INDICATIVO'!P318</f>
        <v>Instalar 10 secaderos de café tipo invernadero durante el cuatrienio</v>
      </c>
      <c r="Q318" s="348" t="str">
        <f>'PLAN INDICATIVO'!Q318</f>
        <v xml:space="preserve">No. De Secaderos instalados </v>
      </c>
      <c r="R318" s="303">
        <f>'PLAN INDICATIVO'!R318</f>
        <v>2015</v>
      </c>
      <c r="S318" s="304">
        <v>0</v>
      </c>
      <c r="T318" s="498">
        <v>10</v>
      </c>
      <c r="U318" s="572">
        <v>0</v>
      </c>
      <c r="V318" s="687">
        <v>3000000</v>
      </c>
      <c r="W318" s="572">
        <v>0</v>
      </c>
      <c r="X318" s="687">
        <v>5000000</v>
      </c>
      <c r="Y318" s="572"/>
      <c r="Z318" s="572">
        <v>5000000</v>
      </c>
      <c r="AA318" s="1310">
        <v>10</v>
      </c>
      <c r="AB318" s="1531"/>
      <c r="AC318" s="665"/>
      <c r="AD318" s="665">
        <v>0</v>
      </c>
      <c r="AE318" s="665"/>
      <c r="AF318" s="665">
        <v>0</v>
      </c>
      <c r="AG318" s="307" t="s">
        <v>5153</v>
      </c>
      <c r="AH318" s="987">
        <v>2019413960010</v>
      </c>
      <c r="AI318" s="1473" t="s">
        <v>4864</v>
      </c>
      <c r="AJ318" s="838">
        <v>43621</v>
      </c>
      <c r="AK318" s="838">
        <v>43816</v>
      </c>
      <c r="AL318" s="308"/>
      <c r="AM318" s="308"/>
      <c r="AN318" s="267" t="s">
        <v>2594</v>
      </c>
      <c r="AO318" s="507"/>
      <c r="AP318" s="965"/>
      <c r="AQ318" s="966"/>
      <c r="AR318" s="966"/>
      <c r="AS318" s="966"/>
      <c r="AT318" s="966"/>
      <c r="AU318" s="966"/>
      <c r="AV318" s="966"/>
      <c r="AW318" s="1215"/>
      <c r="AX318" s="525"/>
      <c r="AY318" s="310"/>
      <c r="AZ318" s="310"/>
      <c r="BA318" s="310"/>
      <c r="BB318" s="310"/>
      <c r="BC318" s="310"/>
      <c r="BD318" s="310"/>
      <c r="BE318" s="544"/>
      <c r="BF318" s="525"/>
      <c r="BG318" s="310"/>
      <c r="BH318" s="310"/>
      <c r="BI318" s="310"/>
      <c r="BJ318" s="310"/>
      <c r="BK318" s="310"/>
      <c r="BL318" s="310"/>
      <c r="BM318" s="544">
        <f t="shared" si="136"/>
        <v>0</v>
      </c>
      <c r="BN318" s="310"/>
      <c r="BO318" s="310"/>
      <c r="BP318" s="310"/>
      <c r="BQ318" s="310"/>
      <c r="BR318" s="310"/>
      <c r="BS318" s="310"/>
      <c r="BT318" s="310"/>
      <c r="BU318" s="544"/>
      <c r="BV318" s="556"/>
      <c r="BW318" s="663">
        <f t="shared" si="127"/>
        <v>0</v>
      </c>
      <c r="BX318" s="1047">
        <f t="shared" si="133"/>
        <v>0</v>
      </c>
      <c r="BY318" s="1047" t="str">
        <f t="shared" si="139"/>
        <v>Aplazada</v>
      </c>
      <c r="BZ318" s="1047" t="str">
        <f t="shared" si="140"/>
        <v>Aplazada</v>
      </c>
      <c r="CA318" s="1047" t="str">
        <f t="shared" si="141"/>
        <v>No Programada</v>
      </c>
      <c r="CB318" s="1047">
        <f t="shared" si="142"/>
        <v>0</v>
      </c>
      <c r="CD318" t="str">
        <f t="shared" si="143"/>
        <v>AZ</v>
      </c>
      <c r="CE318" t="str">
        <f t="shared" si="143"/>
        <v>AZ</v>
      </c>
      <c r="CF318" t="str">
        <f t="shared" si="143"/>
        <v>NP</v>
      </c>
      <c r="CG318" t="str">
        <f t="shared" si="143"/>
        <v>ROB</v>
      </c>
    </row>
    <row r="319" spans="1:85" ht="88.5" customHeight="1" x14ac:dyDescent="0.3">
      <c r="A319" s="298" t="s">
        <v>896</v>
      </c>
      <c r="B319" s="299" t="str">
        <f>'PLAN INDICATIVO'!B319</f>
        <v>Agropecuario</v>
      </c>
      <c r="C319" s="1547"/>
      <c r="D319" s="1549"/>
      <c r="E319" s="1549"/>
      <c r="F319" s="1549"/>
      <c r="G319" s="1549"/>
      <c r="H319" s="1549"/>
      <c r="I319" s="300">
        <f>'PLAN INDICATIVO'!I319</f>
        <v>0</v>
      </c>
      <c r="J319" s="375">
        <f>'PLAN INDICATIVO'!J319</f>
        <v>0</v>
      </c>
      <c r="K319" s="1428" t="str">
        <f>'PLAN INDICATIVO'!K319</f>
        <v>A.8.1.27</v>
      </c>
      <c r="L319" s="301" t="str">
        <f>'PLAN INDICATIVO'!L319</f>
        <v>12. Producción y consumo responsables</v>
      </c>
      <c r="M319" s="301" t="str">
        <f>'PLAN INDICATIVO'!M319</f>
        <v>Unidad de Desarrollo Rural</v>
      </c>
      <c r="N319" s="1513" t="s">
        <v>5127</v>
      </c>
      <c r="O319" s="1425" t="str">
        <f>'PLAN INDICATIVO'!O319</f>
        <v>Incremento</v>
      </c>
      <c r="P319" s="71" t="str">
        <f>'PLAN INDICATIVO'!P319</f>
        <v>Apoyar la Implementación de una (1)  microcentral de beneficio para productores de café en el Municipio durante el cuatrenio.</v>
      </c>
      <c r="Q319" s="348" t="str">
        <f>'PLAN INDICATIVO'!Q319</f>
        <v>No. De apoyos ofrecidos microcentral implementada</v>
      </c>
      <c r="R319" s="303">
        <f>'PLAN INDICATIVO'!R319</f>
        <v>2015</v>
      </c>
      <c r="S319" s="304">
        <v>0</v>
      </c>
      <c r="T319" s="498">
        <v>1</v>
      </c>
      <c r="U319" s="572">
        <v>0</v>
      </c>
      <c r="V319" s="687">
        <v>7000000</v>
      </c>
      <c r="W319" s="572">
        <v>0.33</v>
      </c>
      <c r="X319" s="687">
        <v>3000000</v>
      </c>
      <c r="Y319" s="572"/>
      <c r="Z319" s="572">
        <v>500000</v>
      </c>
      <c r="AA319" s="1310">
        <v>0.67</v>
      </c>
      <c r="AB319" s="1531">
        <v>7600000</v>
      </c>
      <c r="AC319" s="665"/>
      <c r="AD319" s="665">
        <v>0.33</v>
      </c>
      <c r="AE319" s="665"/>
      <c r="AF319" s="665">
        <v>1</v>
      </c>
      <c r="AG319" s="307" t="s">
        <v>5158</v>
      </c>
      <c r="AH319" s="987">
        <v>2019413960011</v>
      </c>
      <c r="AI319" s="1473" t="s">
        <v>5047</v>
      </c>
      <c r="AJ319" s="838">
        <v>43621</v>
      </c>
      <c r="AK319" s="838">
        <v>43816</v>
      </c>
      <c r="AL319" s="308"/>
      <c r="AM319" s="308"/>
      <c r="AN319" s="267" t="s">
        <v>2594</v>
      </c>
      <c r="AO319" s="507"/>
      <c r="AP319" s="965"/>
      <c r="AQ319" s="966"/>
      <c r="AR319" s="966"/>
      <c r="AS319" s="966"/>
      <c r="AT319" s="966"/>
      <c r="AU319" s="966"/>
      <c r="AV319" s="966"/>
      <c r="AW319" s="1215"/>
      <c r="AX319" s="525"/>
      <c r="AY319" s="310"/>
      <c r="AZ319" s="310"/>
      <c r="BA319" s="310"/>
      <c r="BB319" s="310"/>
      <c r="BC319" s="310"/>
      <c r="BD319" s="310"/>
      <c r="BE319" s="544"/>
      <c r="BF319" s="525"/>
      <c r="BG319" s="310"/>
      <c r="BH319" s="310"/>
      <c r="BI319" s="310"/>
      <c r="BJ319" s="310"/>
      <c r="BK319" s="310"/>
      <c r="BL319" s="310"/>
      <c r="BM319" s="544">
        <f t="shared" si="136"/>
        <v>0</v>
      </c>
      <c r="BN319" s="310"/>
      <c r="BO319" s="310"/>
      <c r="BP319" s="310"/>
      <c r="BQ319" s="310"/>
      <c r="BR319" s="310"/>
      <c r="BS319" s="310"/>
      <c r="BT319" s="310"/>
      <c r="BU319" s="544"/>
      <c r="BV319" s="556"/>
      <c r="BW319" s="663">
        <f t="shared" si="127"/>
        <v>1.33</v>
      </c>
      <c r="BX319" s="1047">
        <f t="shared" si="133"/>
        <v>1.33</v>
      </c>
      <c r="BY319" s="1047" t="str">
        <f t="shared" si="139"/>
        <v>Aplazada</v>
      </c>
      <c r="BZ319" s="1047">
        <f t="shared" si="140"/>
        <v>1</v>
      </c>
      <c r="CA319" s="1047" t="str">
        <f t="shared" si="141"/>
        <v>No Programada</v>
      </c>
      <c r="CB319" s="1047">
        <f t="shared" si="142"/>
        <v>1.4925373134328357</v>
      </c>
      <c r="CD319" t="str">
        <f t="shared" si="143"/>
        <v>AZ</v>
      </c>
      <c r="CE319" t="str">
        <f t="shared" si="143"/>
        <v>VE</v>
      </c>
      <c r="CF319" t="str">
        <f t="shared" si="143"/>
        <v>NP</v>
      </c>
      <c r="CG319" t="str">
        <f t="shared" si="143"/>
        <v>VE</v>
      </c>
    </row>
    <row r="320" spans="1:85" ht="92.25" hidden="1" customHeight="1" x14ac:dyDescent="0.25">
      <c r="A320" s="298" t="s">
        <v>896</v>
      </c>
      <c r="B320" s="299" t="str">
        <f>'PLAN INDICATIVO'!B320</f>
        <v>Agropecuario</v>
      </c>
      <c r="C320" s="1547"/>
      <c r="D320" s="1549"/>
      <c r="E320" s="1549"/>
      <c r="F320" s="1549"/>
      <c r="G320" s="1549"/>
      <c r="H320" s="1549"/>
      <c r="I320" s="300">
        <f>'PLAN INDICATIVO'!I320</f>
        <v>0</v>
      </c>
      <c r="J320" s="375">
        <f>'PLAN INDICATIVO'!J320</f>
        <v>0</v>
      </c>
      <c r="K320" s="1428" t="str">
        <f>'PLAN INDICATIVO'!K320</f>
        <v>A.8.1.28</v>
      </c>
      <c r="L320" s="301" t="str">
        <f>'PLAN INDICATIVO'!L320</f>
        <v>12. Producción y consumo responsables</v>
      </c>
      <c r="M320" s="301" t="str">
        <f>'PLAN INDICATIVO'!M320</f>
        <v>Unidad de Desarrollo Rural</v>
      </c>
      <c r="N320" s="1513" t="s">
        <v>5127</v>
      </c>
      <c r="O320" s="1425" t="str">
        <f>'PLAN INDICATIVO'!O320</f>
        <v>Incremento</v>
      </c>
      <c r="P320" s="71" t="str">
        <f>'PLAN INDICATIVO'!P320</f>
        <v>Implementar 1 Proyecto de cofinanciación agropecuario en convenio con entidades financiera durante el cuatrienio</v>
      </c>
      <c r="Q320" s="348" t="str">
        <f>'PLAN INDICATIVO'!Q320</f>
        <v xml:space="preserve">No. De Proyectos implementados </v>
      </c>
      <c r="R320" s="303">
        <f>'PLAN INDICATIVO'!R320</f>
        <v>2015</v>
      </c>
      <c r="S320" s="304">
        <v>1</v>
      </c>
      <c r="T320" s="498">
        <v>1</v>
      </c>
      <c r="U320" s="572">
        <v>0</v>
      </c>
      <c r="V320" s="687">
        <v>0</v>
      </c>
      <c r="W320" s="572">
        <v>0</v>
      </c>
      <c r="X320" s="687"/>
      <c r="Y320" s="572"/>
      <c r="Z320" s="572">
        <v>4000000</v>
      </c>
      <c r="AA320" s="1310"/>
      <c r="AB320" s="1531"/>
      <c r="AC320" s="665"/>
      <c r="AD320" s="665">
        <v>1</v>
      </c>
      <c r="AE320" s="665"/>
      <c r="AF320" s="665"/>
      <c r="AG320" s="307" t="s">
        <v>5153</v>
      </c>
      <c r="AH320" s="987">
        <v>2019413960010</v>
      </c>
      <c r="AI320" s="308" t="s">
        <v>4862</v>
      </c>
      <c r="AJ320" s="308"/>
      <c r="AK320" s="308"/>
      <c r="AL320" s="308"/>
      <c r="AM320" s="308"/>
      <c r="AN320" s="267" t="s">
        <v>2594</v>
      </c>
      <c r="AO320" s="507"/>
      <c r="AP320" s="729"/>
      <c r="AQ320" s="730"/>
      <c r="AR320" s="730"/>
      <c r="AS320" s="730"/>
      <c r="AT320" s="730"/>
      <c r="AU320" s="730"/>
      <c r="AV320" s="730"/>
      <c r="AW320" s="731"/>
      <c r="AX320" s="525"/>
      <c r="AY320" s="310"/>
      <c r="AZ320" s="310"/>
      <c r="BA320" s="310"/>
      <c r="BB320" s="310"/>
      <c r="BC320" s="310"/>
      <c r="BD320" s="310"/>
      <c r="BE320" s="544"/>
      <c r="BF320" s="525"/>
      <c r="BG320" s="310"/>
      <c r="BH320" s="310"/>
      <c r="BI320" s="310"/>
      <c r="BJ320" s="310"/>
      <c r="BK320" s="310"/>
      <c r="BL320" s="310"/>
      <c r="BM320" s="544">
        <f t="shared" si="136"/>
        <v>0</v>
      </c>
      <c r="BN320" s="310"/>
      <c r="BO320" s="310"/>
      <c r="BP320" s="310"/>
      <c r="BQ320" s="310"/>
      <c r="BR320" s="310"/>
      <c r="BS320" s="310"/>
      <c r="BT320" s="310"/>
      <c r="BU320" s="544"/>
      <c r="BV320" s="556"/>
      <c r="BW320" s="663">
        <f t="shared" si="127"/>
        <v>1</v>
      </c>
      <c r="BX320" s="1047">
        <f t="shared" si="133"/>
        <v>1</v>
      </c>
      <c r="BY320" s="1047" t="str">
        <f t="shared" si="139"/>
        <v>Aplazada</v>
      </c>
      <c r="BZ320" s="1047" t="str">
        <f t="shared" si="140"/>
        <v>Aplazada</v>
      </c>
      <c r="CA320" s="1047" t="str">
        <f t="shared" si="141"/>
        <v>No Programada</v>
      </c>
      <c r="CB320" s="1047" t="str">
        <f t="shared" si="142"/>
        <v>No Programada</v>
      </c>
      <c r="CD320" t="str">
        <f t="shared" si="143"/>
        <v>AZ</v>
      </c>
      <c r="CE320" t="str">
        <f t="shared" si="143"/>
        <v>AZ</v>
      </c>
      <c r="CF320" t="str">
        <f t="shared" si="143"/>
        <v>NP</v>
      </c>
      <c r="CG320" t="str">
        <f t="shared" si="143"/>
        <v>NP</v>
      </c>
    </row>
    <row r="321" spans="1:85" ht="83.25" customHeight="1" x14ac:dyDescent="0.3">
      <c r="A321" s="298" t="s">
        <v>2458</v>
      </c>
      <c r="B321" s="299" t="str">
        <f>'PLAN INDICATIVO'!B321</f>
        <v>Agropecuario</v>
      </c>
      <c r="C321" s="1547"/>
      <c r="D321" s="1549"/>
      <c r="E321" s="1549"/>
      <c r="F321" s="1549"/>
      <c r="G321" s="1549"/>
      <c r="H321" s="1549"/>
      <c r="I321" s="300">
        <f>'PLAN INDICATIVO'!I321</f>
        <v>0</v>
      </c>
      <c r="J321" s="375">
        <f>'PLAN INDICATIVO'!J321</f>
        <v>0</v>
      </c>
      <c r="K321" s="1428" t="str">
        <f>'PLAN INDICATIVO'!K321</f>
        <v>A.8.1.29</v>
      </c>
      <c r="L321" s="301" t="str">
        <f>'PLAN INDICATIVO'!L321</f>
        <v>12. Producción y consumo responsables</v>
      </c>
      <c r="M321" s="301" t="str">
        <f>'PLAN INDICATIVO'!M321</f>
        <v>Unidad de Desarrollo Rural</v>
      </c>
      <c r="N321" s="1513" t="s">
        <v>5127</v>
      </c>
      <c r="O321" s="1425" t="str">
        <f>'PLAN INDICATIVO'!O321</f>
        <v>Mantenimiento</v>
      </c>
      <c r="P321" s="71" t="str">
        <f>'PLAN INDICATIVO'!P321</f>
        <v>Realizar 1 Celebración anual del día del campesino  durante el cuatrienio.</v>
      </c>
      <c r="Q321" s="348" t="str">
        <f>'PLAN INDICATIVO'!Q321</f>
        <v>No. De celebraciones realizadas por año</v>
      </c>
      <c r="R321" s="303">
        <f>'PLAN INDICATIVO'!R321</f>
        <v>2015</v>
      </c>
      <c r="S321" s="304">
        <v>1</v>
      </c>
      <c r="T321" s="498">
        <v>1</v>
      </c>
      <c r="U321" s="572">
        <v>0.25</v>
      </c>
      <c r="V321" s="687">
        <v>8000000</v>
      </c>
      <c r="W321" s="572">
        <v>0.25</v>
      </c>
      <c r="X321" s="687">
        <v>2000000</v>
      </c>
      <c r="Y321" s="572">
        <v>0.25</v>
      </c>
      <c r="Z321" s="572">
        <v>500000</v>
      </c>
      <c r="AA321" s="1232">
        <v>0.25</v>
      </c>
      <c r="AB321" s="1531">
        <f>8800000+20000000</f>
        <v>28800000</v>
      </c>
      <c r="AC321" s="665"/>
      <c r="AD321" s="665">
        <v>0.25</v>
      </c>
      <c r="AE321" s="665">
        <v>0.25</v>
      </c>
      <c r="AF321" s="665">
        <v>0</v>
      </c>
      <c r="AG321" s="307" t="s">
        <v>5158</v>
      </c>
      <c r="AH321" s="987">
        <v>2019413960011</v>
      </c>
      <c r="AI321" s="1471" t="s">
        <v>4861</v>
      </c>
      <c r="AJ321" s="309">
        <v>43553</v>
      </c>
      <c r="AK321" s="838">
        <v>43789</v>
      </c>
      <c r="AL321" s="308"/>
      <c r="AM321" s="308"/>
      <c r="AN321" s="267" t="s">
        <v>2598</v>
      </c>
      <c r="AO321" s="507"/>
      <c r="AP321" s="965"/>
      <c r="AQ321" s="966"/>
      <c r="AR321" s="966"/>
      <c r="AS321" s="966"/>
      <c r="AT321" s="966"/>
      <c r="AU321" s="966"/>
      <c r="AV321" s="966"/>
      <c r="AW321" s="1215"/>
      <c r="AX321" s="525"/>
      <c r="AY321" s="310"/>
      <c r="AZ321" s="310"/>
      <c r="BA321" s="310"/>
      <c r="BB321" s="310"/>
      <c r="BC321" s="310"/>
      <c r="BD321" s="310"/>
      <c r="BE321" s="544"/>
      <c r="BF321" s="525"/>
      <c r="BG321" s="310"/>
      <c r="BH321" s="310"/>
      <c r="BI321" s="310"/>
      <c r="BJ321" s="310"/>
      <c r="BK321" s="310"/>
      <c r="BL321" s="310"/>
      <c r="BM321" s="544">
        <f t="shared" si="136"/>
        <v>0</v>
      </c>
      <c r="BN321" s="310"/>
      <c r="BO321" s="310"/>
      <c r="BP321" s="310"/>
      <c r="BQ321" s="310"/>
      <c r="BR321" s="310"/>
      <c r="BS321" s="310"/>
      <c r="BT321" s="310"/>
      <c r="BU321" s="544"/>
      <c r="BV321" s="556"/>
      <c r="BW321" s="663">
        <f t="shared" si="127"/>
        <v>0.5</v>
      </c>
      <c r="BX321" s="1047">
        <f t="shared" si="133"/>
        <v>0.5</v>
      </c>
      <c r="BY321" s="1047">
        <f t="shared" si="139"/>
        <v>0</v>
      </c>
      <c r="BZ321" s="1047">
        <f t="shared" si="140"/>
        <v>1</v>
      </c>
      <c r="CA321" s="1047">
        <f t="shared" si="141"/>
        <v>1</v>
      </c>
      <c r="CB321" s="1047">
        <f t="shared" si="142"/>
        <v>0</v>
      </c>
      <c r="CD321" t="str">
        <f t="shared" si="143"/>
        <v>ROB</v>
      </c>
      <c r="CE321" t="str">
        <f t="shared" si="143"/>
        <v>VE</v>
      </c>
      <c r="CF321" t="str">
        <f t="shared" si="143"/>
        <v>VE</v>
      </c>
      <c r="CG321" t="str">
        <f t="shared" si="143"/>
        <v>ROB</v>
      </c>
    </row>
    <row r="322" spans="1:85" ht="7.5" customHeight="1" thickBot="1" x14ac:dyDescent="0.35">
      <c r="A322" s="1347"/>
      <c r="B322" s="1348" t="s">
        <v>3427</v>
      </c>
      <c r="C322" s="1547"/>
      <c r="D322" s="1549"/>
      <c r="E322" s="1549"/>
      <c r="F322" s="1549"/>
      <c r="G322" s="1549"/>
      <c r="H322" s="1549"/>
      <c r="I322" s="1412">
        <f>'PLAN INDICATIVO'!I322</f>
        <v>0</v>
      </c>
      <c r="J322" s="1421">
        <f>'PLAN INDICATIVO'!J322</f>
        <v>0</v>
      </c>
      <c r="K322" s="1350" t="str">
        <f>'PLAN INDICATIVO'!K322</f>
        <v>A.8.1.30</v>
      </c>
      <c r="L322" s="1351" t="str">
        <f>'PLAN INDICATIVO'!L322</f>
        <v>12. Producción y consumo responsables</v>
      </c>
      <c r="M322" s="1351" t="str">
        <f>'PLAN INDICATIVO'!M322</f>
        <v>Unidad de Desarrollo Rural</v>
      </c>
      <c r="N322" s="1463" t="str">
        <f>'PLAN INDICATIVO'!N322</f>
        <v>GABRIEL ERNESTO CAMPOS ALVIRA</v>
      </c>
      <c r="O322" s="1463" t="str">
        <f>'PLAN INDICATIVO'!O322</f>
        <v>Incremento</v>
      </c>
      <c r="P322" s="1199" t="str">
        <f>'PLAN INDICATIVO'!P322</f>
        <v>Apoyar la construcción y/o mejoramiento de 1 distrito de riego, durante el cuatrienio</v>
      </c>
      <c r="Q322" s="1307" t="str">
        <f>'PLAN INDICATIVO'!Q322</f>
        <v>No. distrito de riego apoyado
para su construcción y/o
mejoramiento</v>
      </c>
      <c r="R322" s="1463">
        <f>'PLAN INDICATIVO'!R322</f>
        <v>2015</v>
      </c>
      <c r="S322" s="795">
        <v>0</v>
      </c>
      <c r="T322" s="715">
        <v>1</v>
      </c>
      <c r="U322" s="715">
        <v>0</v>
      </c>
      <c r="V322" s="1234">
        <v>19000000</v>
      </c>
      <c r="W322" s="715">
        <v>0</v>
      </c>
      <c r="X322" s="1234">
        <v>19000000</v>
      </c>
      <c r="Y322" s="715"/>
      <c r="Z322" s="1234">
        <v>500000</v>
      </c>
      <c r="AA322" s="715">
        <v>1</v>
      </c>
      <c r="AB322" s="1529"/>
      <c r="AC322" s="1305"/>
      <c r="AD322" s="1305"/>
      <c r="AE322" s="1305"/>
      <c r="AF322" s="1305"/>
      <c r="AG322" s="921"/>
      <c r="AH322" s="987"/>
      <c r="AI322" s="1262"/>
      <c r="AJ322" s="1305"/>
      <c r="AK322" s="1305"/>
      <c r="AL322" s="1305"/>
      <c r="AM322" s="1305"/>
      <c r="AN322" s="1342" t="s">
        <v>2604</v>
      </c>
      <c r="AO322" s="507"/>
      <c r="AP322" s="1483"/>
      <c r="AQ322" s="1484"/>
      <c r="AR322" s="1484"/>
      <c r="AS322" s="1484"/>
      <c r="AT322" s="1484"/>
      <c r="AU322" s="1484"/>
      <c r="AV322" s="1484"/>
      <c r="AW322" s="1485"/>
      <c r="AX322" s="1323"/>
      <c r="AY322" s="1313"/>
      <c r="AZ322" s="1313"/>
      <c r="BA322" s="1313"/>
      <c r="BB322" s="1313"/>
      <c r="BC322" s="1313"/>
      <c r="BD322" s="1313"/>
      <c r="BE322" s="800"/>
      <c r="BF322" s="1323"/>
      <c r="BG322" s="1313"/>
      <c r="BH322" s="1313"/>
      <c r="BI322" s="1313"/>
      <c r="BJ322" s="1313"/>
      <c r="BK322" s="1313"/>
      <c r="BL322" s="1313"/>
      <c r="BM322" s="800">
        <f t="shared" si="136"/>
        <v>0</v>
      </c>
      <c r="BN322" s="310"/>
      <c r="BO322" s="310"/>
      <c r="BP322" s="310"/>
      <c r="BQ322" s="310"/>
      <c r="BR322" s="310"/>
      <c r="BS322" s="310"/>
      <c r="BT322" s="310"/>
      <c r="BU322" s="800"/>
      <c r="BV322" s="556"/>
      <c r="BW322" s="663">
        <f t="shared" si="127"/>
        <v>0</v>
      </c>
      <c r="BX322" s="1047">
        <f t="shared" si="133"/>
        <v>0</v>
      </c>
      <c r="BY322" s="1047" t="str">
        <f t="shared" si="139"/>
        <v>Aplazada</v>
      </c>
      <c r="BZ322" s="1047" t="str">
        <f t="shared" si="140"/>
        <v>Aplazada</v>
      </c>
      <c r="CA322" s="1047" t="s">
        <v>4000</v>
      </c>
      <c r="CB322" s="1047" t="s">
        <v>4789</v>
      </c>
      <c r="CD322" t="str">
        <f t="shared" si="143"/>
        <v>AZ</v>
      </c>
      <c r="CE322" t="str">
        <f t="shared" si="143"/>
        <v>AZ</v>
      </c>
      <c r="CF322" t="str">
        <f t="shared" si="143"/>
        <v>E</v>
      </c>
      <c r="CG322" t="str">
        <f t="shared" si="143"/>
        <v>E</v>
      </c>
    </row>
    <row r="323" spans="1:85" ht="75" hidden="1" customHeight="1" x14ac:dyDescent="0.25">
      <c r="A323" s="298" t="s">
        <v>896</v>
      </c>
      <c r="B323" s="299" t="str">
        <f>'PLAN INDICATIVO'!B323</f>
        <v>Agropecuario</v>
      </c>
      <c r="C323" s="1547"/>
      <c r="D323" s="1549"/>
      <c r="E323" s="1549"/>
      <c r="F323" s="1549"/>
      <c r="G323" s="1549"/>
      <c r="H323" s="1549"/>
      <c r="I323" s="300">
        <f>'PLAN INDICATIVO'!I323</f>
        <v>0</v>
      </c>
      <c r="J323" s="375">
        <f>'PLAN INDICATIVO'!J323</f>
        <v>0</v>
      </c>
      <c r="K323" s="1428" t="str">
        <f>'PLAN INDICATIVO'!K323</f>
        <v>A.8.1.31</v>
      </c>
      <c r="L323" s="301" t="str">
        <f>'PLAN INDICATIVO'!L323</f>
        <v>12. Producción y consumo responsables</v>
      </c>
      <c r="M323" s="301" t="str">
        <f>'PLAN INDICATIVO'!M323</f>
        <v>Unidad de Desarrollo Rural</v>
      </c>
      <c r="N323" s="1513" t="s">
        <v>5127</v>
      </c>
      <c r="O323" s="1425" t="str">
        <f>'PLAN INDICATIVO'!O323</f>
        <v>Incremento</v>
      </c>
      <c r="P323" s="71" t="str">
        <f>'PLAN INDICATIVO'!P323</f>
        <v>Apoyar lo construcción de 20 reservorios de agua para mejorar producción agropecuario, durante el cuatrienio</v>
      </c>
      <c r="Q323" s="348" t="str">
        <f>'PLAN INDICATIVO'!Q323</f>
        <v>No. De reservorios apoyados</v>
      </c>
      <c r="R323" s="303">
        <f>'PLAN INDICATIVO'!R323</f>
        <v>2015</v>
      </c>
      <c r="S323" s="304">
        <v>0</v>
      </c>
      <c r="T323" s="498">
        <v>20</v>
      </c>
      <c r="U323" s="572">
        <v>5</v>
      </c>
      <c r="V323" s="687">
        <v>5</v>
      </c>
      <c r="W323" s="572">
        <v>0</v>
      </c>
      <c r="X323" s="687">
        <v>3000000</v>
      </c>
      <c r="Y323" s="572"/>
      <c r="Z323" s="687">
        <v>3000000</v>
      </c>
      <c r="AA323" s="1310">
        <v>7</v>
      </c>
      <c r="AB323" s="1298"/>
      <c r="AC323" s="665"/>
      <c r="AD323" s="665">
        <v>0</v>
      </c>
      <c r="AE323" s="665"/>
      <c r="AF323" s="665">
        <v>0</v>
      </c>
      <c r="AG323" s="307" t="s">
        <v>5153</v>
      </c>
      <c r="AH323" s="987">
        <v>2019413960010</v>
      </c>
      <c r="AI323" s="309"/>
      <c r="AJ323" s="309"/>
      <c r="AK323" s="308"/>
      <c r="AL323" s="308"/>
      <c r="AM323" s="308"/>
      <c r="AN323" s="267" t="s">
        <v>2594</v>
      </c>
      <c r="AO323" s="507"/>
      <c r="AP323" s="965"/>
      <c r="AQ323" s="966"/>
      <c r="AR323" s="966"/>
      <c r="AS323" s="966"/>
      <c r="AT323" s="966"/>
      <c r="AU323" s="966"/>
      <c r="AV323" s="966"/>
      <c r="AW323" s="1215"/>
      <c r="AX323" s="525"/>
      <c r="AY323" s="310"/>
      <c r="AZ323" s="310"/>
      <c r="BA323" s="310"/>
      <c r="BB323" s="310"/>
      <c r="BC323" s="310"/>
      <c r="BD323" s="310"/>
      <c r="BE323" s="544"/>
      <c r="BF323" s="525"/>
      <c r="BG323" s="310"/>
      <c r="BH323" s="310"/>
      <c r="BI323" s="310"/>
      <c r="BJ323" s="310"/>
      <c r="BK323" s="310"/>
      <c r="BL323" s="310"/>
      <c r="BM323" s="544">
        <f t="shared" si="136"/>
        <v>0</v>
      </c>
      <c r="BN323" s="310"/>
      <c r="BO323" s="310"/>
      <c r="BP323" s="310"/>
      <c r="BQ323" s="310"/>
      <c r="BR323" s="310"/>
      <c r="BS323" s="310"/>
      <c r="BT323" s="310"/>
      <c r="BU323" s="544"/>
      <c r="BV323" s="556"/>
      <c r="BW323" s="663">
        <f t="shared" si="127"/>
        <v>0</v>
      </c>
      <c r="BX323" s="1047">
        <f t="shared" si="133"/>
        <v>0</v>
      </c>
      <c r="BY323" s="1047">
        <f t="shared" si="139"/>
        <v>0</v>
      </c>
      <c r="BZ323" s="1047" t="str">
        <f t="shared" si="140"/>
        <v>Aplazada</v>
      </c>
      <c r="CA323" s="1047" t="str">
        <f t="shared" si="141"/>
        <v>No Programada</v>
      </c>
      <c r="CB323" s="1047">
        <f t="shared" si="142"/>
        <v>0</v>
      </c>
      <c r="CD323" t="str">
        <f t="shared" si="143"/>
        <v>ROB</v>
      </c>
      <c r="CE323" t="str">
        <f t="shared" si="143"/>
        <v>AZ</v>
      </c>
      <c r="CF323" t="str">
        <f t="shared" si="143"/>
        <v>NP</v>
      </c>
      <c r="CG323" t="str">
        <f t="shared" si="143"/>
        <v>ROB</v>
      </c>
    </row>
    <row r="324" spans="1:85" ht="90" hidden="1" customHeight="1" x14ac:dyDescent="0.25">
      <c r="A324" s="298" t="s">
        <v>896</v>
      </c>
      <c r="B324" s="299" t="str">
        <f>'PLAN INDICATIVO'!B324</f>
        <v>Agropecuario</v>
      </c>
      <c r="C324" s="1547"/>
      <c r="D324" s="1549"/>
      <c r="E324" s="1549"/>
      <c r="F324" s="1549"/>
      <c r="G324" s="1549"/>
      <c r="H324" s="1549"/>
      <c r="I324" s="300">
        <f>'PLAN INDICATIVO'!I324</f>
        <v>0</v>
      </c>
      <c r="J324" s="375">
        <f>'PLAN INDICATIVO'!J324</f>
        <v>0</v>
      </c>
      <c r="K324" s="1428" t="str">
        <f>'PLAN INDICATIVO'!K324</f>
        <v>A.8.1.32</v>
      </c>
      <c r="L324" s="301" t="str">
        <f>'PLAN INDICATIVO'!L324</f>
        <v>12. Producción y consumo responsables</v>
      </c>
      <c r="M324" s="301" t="str">
        <f>'PLAN INDICATIVO'!M324</f>
        <v>Unidad de Desarrollo Rural</v>
      </c>
      <c r="N324" s="1513" t="s">
        <v>5127</v>
      </c>
      <c r="O324" s="1425" t="str">
        <f>'PLAN INDICATIVO'!O324</f>
        <v>Incremento</v>
      </c>
      <c r="P324" s="16" t="str">
        <f>'PLAN INDICATIVO'!P324</f>
        <v>Otorgar 30 incentivos de capital semilla para pequeños empresarios rurales, durante el cuatrienio</v>
      </c>
      <c r="Q324" s="348" t="str">
        <f>'PLAN INDICATIVO'!Q324</f>
        <v xml:space="preserve">No. De incentivos otorgados </v>
      </c>
      <c r="R324" s="303">
        <f>'PLAN INDICATIVO'!R324</f>
        <v>2015</v>
      </c>
      <c r="S324" s="304">
        <v>0</v>
      </c>
      <c r="T324" s="498">
        <v>30</v>
      </c>
      <c r="U324" s="572">
        <v>0</v>
      </c>
      <c r="V324" s="687">
        <v>9000000</v>
      </c>
      <c r="W324" s="572">
        <v>10</v>
      </c>
      <c r="X324" s="687">
        <v>18000000</v>
      </c>
      <c r="Y324" s="572">
        <v>10</v>
      </c>
      <c r="Z324" s="687">
        <v>19000000</v>
      </c>
      <c r="AA324" s="1310"/>
      <c r="AB324" s="1298"/>
      <c r="AC324" s="665"/>
      <c r="AD324" s="665">
        <v>10</v>
      </c>
      <c r="AE324" s="672">
        <v>10</v>
      </c>
      <c r="AF324" s="672"/>
      <c r="AG324" s="307" t="s">
        <v>5153</v>
      </c>
      <c r="AH324" s="987">
        <v>2019413960010</v>
      </c>
      <c r="AI324" s="307" t="s">
        <v>3109</v>
      </c>
      <c r="AJ324" s="427"/>
      <c r="AK324" s="427"/>
      <c r="AL324" s="427"/>
      <c r="AM324" s="308"/>
      <c r="AN324" s="267" t="s">
        <v>2598</v>
      </c>
      <c r="AO324" s="516"/>
      <c r="AP324" s="1222"/>
      <c r="AQ324" s="1222"/>
      <c r="AR324" s="1223"/>
      <c r="AS324" s="1223"/>
      <c r="AT324" s="1223"/>
      <c r="AU324" s="1223"/>
      <c r="AV324" s="1223"/>
      <c r="AW324" s="1224"/>
      <c r="AX324" s="525"/>
      <c r="AY324" s="310"/>
      <c r="AZ324" s="310"/>
      <c r="BA324" s="310"/>
      <c r="BB324" s="310"/>
      <c r="BC324" s="310"/>
      <c r="BD324" s="310"/>
      <c r="BE324" s="544"/>
      <c r="BF324" s="525"/>
      <c r="BG324" s="310"/>
      <c r="BH324" s="310"/>
      <c r="BI324" s="310"/>
      <c r="BJ324" s="310"/>
      <c r="BK324" s="310"/>
      <c r="BL324" s="310"/>
      <c r="BM324" s="544">
        <f t="shared" si="136"/>
        <v>0</v>
      </c>
      <c r="BN324" s="310"/>
      <c r="BO324" s="310"/>
      <c r="BP324" s="310"/>
      <c r="BQ324" s="310"/>
      <c r="BR324" s="310"/>
      <c r="BS324" s="310"/>
      <c r="BT324" s="310"/>
      <c r="BU324" s="544"/>
      <c r="BV324" s="556"/>
      <c r="BW324" s="663">
        <f t="shared" si="127"/>
        <v>20</v>
      </c>
      <c r="BX324" s="1047">
        <f t="shared" si="133"/>
        <v>0.66666666666666663</v>
      </c>
      <c r="BY324" s="1047" t="str">
        <f t="shared" si="139"/>
        <v>Aplazada</v>
      </c>
      <c r="BZ324" s="1047">
        <f t="shared" si="140"/>
        <v>1</v>
      </c>
      <c r="CA324" s="1047">
        <f t="shared" si="141"/>
        <v>1</v>
      </c>
      <c r="CB324" s="1047" t="str">
        <f t="shared" si="142"/>
        <v>No Programada</v>
      </c>
      <c r="CD324" t="str">
        <f t="shared" si="143"/>
        <v>AZ</v>
      </c>
      <c r="CE324" t="str">
        <f t="shared" si="143"/>
        <v>VE</v>
      </c>
      <c r="CF324" t="str">
        <f t="shared" si="143"/>
        <v>VE</v>
      </c>
      <c r="CG324" t="str">
        <f t="shared" si="143"/>
        <v>NP</v>
      </c>
    </row>
    <row r="325" spans="1:85" ht="66" hidden="1" customHeight="1" thickBot="1" x14ac:dyDescent="0.3">
      <c r="A325" s="298" t="s">
        <v>896</v>
      </c>
      <c r="B325" s="299" t="str">
        <f>'PLAN INDICATIVO'!B325</f>
        <v>Agropecuario</v>
      </c>
      <c r="C325" s="1548"/>
      <c r="D325" s="1549"/>
      <c r="E325" s="1549"/>
      <c r="F325" s="1549"/>
      <c r="G325" s="1549"/>
      <c r="H325" s="1549"/>
      <c r="I325" s="300">
        <f>'PLAN INDICATIVO'!I325</f>
        <v>0</v>
      </c>
      <c r="J325" s="300">
        <f>'PLAN INDICATIVO'!J325</f>
        <v>0</v>
      </c>
      <c r="K325" s="1428" t="str">
        <f>'PLAN INDICATIVO'!K325</f>
        <v>A.8.1.33</v>
      </c>
      <c r="L325" s="301" t="str">
        <f>'PLAN INDICATIVO'!L325</f>
        <v>12. Producción y consumo responsables</v>
      </c>
      <c r="M325" s="301" t="str">
        <f>'PLAN INDICATIVO'!M325</f>
        <v>Unidad de Desarrollo Rural</v>
      </c>
      <c r="N325" s="1513" t="s">
        <v>5127</v>
      </c>
      <c r="O325" s="1425" t="str">
        <f>'PLAN INDICATIVO'!O325</f>
        <v>Incremento</v>
      </c>
      <c r="P325" s="16" t="str">
        <f>'PLAN INDICATIVO'!P325</f>
        <v>Otorgar 40 incentivos de capital semilla para personas  víctimas del conflicto, con acompañamiento técnico y social, durante el cuatrienio</v>
      </c>
      <c r="Q325" s="348" t="str">
        <f>'PLAN INDICATIVO'!Q325</f>
        <v xml:space="preserve">No. De incentivos otorgados </v>
      </c>
      <c r="R325" s="303">
        <f>'PLAN INDICATIVO'!R325</f>
        <v>2015</v>
      </c>
      <c r="S325" s="304">
        <v>19</v>
      </c>
      <c r="T325" s="498">
        <v>40</v>
      </c>
      <c r="U325" s="572">
        <v>10</v>
      </c>
      <c r="V325" s="687">
        <v>10000000</v>
      </c>
      <c r="W325" s="572">
        <v>10</v>
      </c>
      <c r="X325" s="687">
        <v>8000000</v>
      </c>
      <c r="Y325" s="572">
        <v>19</v>
      </c>
      <c r="Z325" s="687">
        <v>10000000</v>
      </c>
      <c r="AA325" s="1310"/>
      <c r="AB325" s="1298"/>
      <c r="AC325" s="665"/>
      <c r="AD325" s="665">
        <v>10</v>
      </c>
      <c r="AE325" s="1206">
        <v>20</v>
      </c>
      <c r="AF325" s="1206"/>
      <c r="AG325" s="307" t="s">
        <v>5153</v>
      </c>
      <c r="AH325" s="987">
        <v>2019413960010</v>
      </c>
      <c r="AI325" s="1209" t="s">
        <v>4863</v>
      </c>
      <c r="AJ325" s="1209"/>
      <c r="AK325" s="1210"/>
      <c r="AL325" s="1210"/>
      <c r="AM325" s="308"/>
      <c r="AN325" s="267" t="s">
        <v>2598</v>
      </c>
      <c r="AO325" s="516"/>
      <c r="AP325" s="1225"/>
      <c r="AQ325" s="1226"/>
      <c r="AR325" s="1226"/>
      <c r="AS325" s="1226"/>
      <c r="AT325" s="1226"/>
      <c r="AU325" s="1226"/>
      <c r="AV325" s="1226"/>
      <c r="AW325" s="1227"/>
      <c r="AX325" s="525"/>
      <c r="AY325" s="310"/>
      <c r="AZ325" s="310"/>
      <c r="BA325" s="310"/>
      <c r="BB325" s="310"/>
      <c r="BC325" s="310"/>
      <c r="BD325" s="310"/>
      <c r="BE325" s="544"/>
      <c r="BF325" s="525"/>
      <c r="BG325" s="310"/>
      <c r="BH325" s="310"/>
      <c r="BI325" s="310"/>
      <c r="BJ325" s="310"/>
      <c r="BK325" s="310"/>
      <c r="BL325" s="310"/>
      <c r="BM325" s="544">
        <f t="shared" si="136"/>
        <v>0</v>
      </c>
      <c r="BN325" s="310"/>
      <c r="BO325" s="310"/>
      <c r="BP325" s="310"/>
      <c r="BQ325" s="310"/>
      <c r="BR325" s="310"/>
      <c r="BS325" s="310"/>
      <c r="BT325" s="310"/>
      <c r="BU325" s="544"/>
      <c r="BV325" s="556"/>
      <c r="BW325" s="663">
        <f t="shared" si="127"/>
        <v>30</v>
      </c>
      <c r="BX325" s="1047">
        <f t="shared" si="133"/>
        <v>0.75</v>
      </c>
      <c r="BY325" s="1047">
        <f t="shared" si="139"/>
        <v>0</v>
      </c>
      <c r="BZ325" s="1047">
        <f t="shared" si="140"/>
        <v>1</v>
      </c>
      <c r="CA325" s="1047">
        <f t="shared" si="141"/>
        <v>1.0526315789473684</v>
      </c>
      <c r="CB325" s="1047" t="str">
        <f t="shared" si="142"/>
        <v>No Programada</v>
      </c>
      <c r="CD325" t="str">
        <f t="shared" si="143"/>
        <v>ROB</v>
      </c>
      <c r="CE325" t="str">
        <f t="shared" si="143"/>
        <v>VE</v>
      </c>
      <c r="CF325" t="str">
        <f t="shared" si="143"/>
        <v>VE</v>
      </c>
      <c r="CG325" t="str">
        <f t="shared" si="143"/>
        <v>NP</v>
      </c>
    </row>
    <row r="326" spans="1:85" ht="35.25" customHeight="1" thickBot="1" x14ac:dyDescent="0.35">
      <c r="A326" s="428"/>
      <c r="B326" s="429" t="str">
        <f>'PLAN INDICATIVO'!B326</f>
        <v>TRANSPORTE</v>
      </c>
      <c r="C326" s="1627" t="s">
        <v>2918</v>
      </c>
      <c r="D326" s="1627"/>
      <c r="E326" s="1627"/>
      <c r="F326" s="1627"/>
      <c r="G326" s="1627"/>
      <c r="H326" s="1627"/>
      <c r="I326" s="1627"/>
      <c r="J326" s="1627"/>
      <c r="K326" s="1627"/>
      <c r="L326" s="1627"/>
      <c r="M326" s="1627"/>
      <c r="N326" s="1627"/>
      <c r="O326" s="1627"/>
      <c r="P326" s="1627"/>
      <c r="Q326" s="1627"/>
      <c r="R326" s="1627"/>
      <c r="S326" s="1627"/>
      <c r="T326" s="1627"/>
      <c r="U326" s="1627"/>
      <c r="V326" s="1627"/>
      <c r="W326" s="1627"/>
      <c r="X326" s="1627"/>
      <c r="Y326" s="1627"/>
      <c r="Z326" s="1627"/>
      <c r="AA326" s="1627"/>
      <c r="AB326" s="1627"/>
      <c r="AC326" s="1627"/>
      <c r="AD326" s="1627"/>
      <c r="AE326" s="1627"/>
      <c r="AF326" s="1627"/>
      <c r="AG326" s="1627"/>
      <c r="AH326" s="1627"/>
      <c r="AI326" s="1627"/>
      <c r="AJ326" s="1627"/>
      <c r="AK326" s="1627"/>
      <c r="AL326" s="1627"/>
      <c r="AM326" s="1628"/>
      <c r="AN326" s="294"/>
      <c r="AO326" s="1322"/>
      <c r="AP326" s="741"/>
      <c r="AQ326" s="742"/>
      <c r="AR326" s="742"/>
      <c r="AS326" s="742"/>
      <c r="AT326" s="742"/>
      <c r="AU326" s="742"/>
      <c r="AV326" s="742"/>
      <c r="AW326" s="731"/>
      <c r="AX326" s="524"/>
      <c r="AY326" s="374"/>
      <c r="AZ326" s="374"/>
      <c r="BA326" s="374"/>
      <c r="BB326" s="374"/>
      <c r="BC326" s="374"/>
      <c r="BD326" s="374"/>
      <c r="BE326" s="544"/>
      <c r="BF326" s="524"/>
      <c r="BG326" s="374"/>
      <c r="BH326" s="374"/>
      <c r="BI326" s="374"/>
      <c r="BJ326" s="374"/>
      <c r="BK326" s="374"/>
      <c r="BL326" s="374"/>
      <c r="BM326" s="544">
        <f t="shared" si="136"/>
        <v>0</v>
      </c>
      <c r="BN326" s="524"/>
      <c r="BO326" s="374"/>
      <c r="BP326" s="374"/>
      <c r="BQ326" s="374"/>
      <c r="BR326" s="374"/>
      <c r="BS326" s="374"/>
      <c r="BT326" s="374"/>
      <c r="BU326" s="544"/>
      <c r="BV326" s="595"/>
      <c r="BW326" s="544" t="s">
        <v>2717</v>
      </c>
      <c r="BX326" s="544" t="s">
        <v>2717</v>
      </c>
      <c r="BY326" s="544" t="s">
        <v>2717</v>
      </c>
      <c r="BZ326" s="544" t="s">
        <v>2717</v>
      </c>
      <c r="CA326" s="544" t="s">
        <v>2717</v>
      </c>
      <c r="CB326" s="1047" t="s">
        <v>2717</v>
      </c>
    </row>
    <row r="327" spans="1:85" ht="18" customHeight="1" thickBot="1" x14ac:dyDescent="0.35">
      <c r="A327" s="296"/>
      <c r="B327" s="331" t="str">
        <f>'PLAN INDICATIVO'!B327</f>
        <v>Transporte</v>
      </c>
      <c r="C327" s="1574" t="s">
        <v>1001</v>
      </c>
      <c r="D327" s="1575"/>
      <c r="E327" s="1575"/>
      <c r="F327" s="1575"/>
      <c r="G327" s="1575"/>
      <c r="H327" s="1575"/>
      <c r="I327" s="1575"/>
      <c r="J327" s="1575"/>
      <c r="K327" s="1575"/>
      <c r="L327" s="1575"/>
      <c r="M327" s="1575"/>
      <c r="N327" s="1575"/>
      <c r="O327" s="1576"/>
      <c r="P327" s="22"/>
      <c r="Q327" s="22"/>
      <c r="R327" s="1"/>
      <c r="S327" s="261"/>
      <c r="T327" s="681"/>
      <c r="U327" s="261"/>
      <c r="V327" s="707">
        <f>SUM(V328:V348)</f>
        <v>3064000000</v>
      </c>
      <c r="W327" s="261"/>
      <c r="X327" s="689">
        <f>SUM(X328:X348)</f>
        <v>3074000000</v>
      </c>
      <c r="Y327" s="261"/>
      <c r="Z327" s="689">
        <f>SUM(Z328:Z348)</f>
        <v>1901000000</v>
      </c>
      <c r="AA327" s="262"/>
      <c r="AB327" s="690">
        <f>SUM(AB328:AB348)</f>
        <v>816000000</v>
      </c>
      <c r="AC327" s="262"/>
      <c r="AD327" s="262"/>
      <c r="AE327" s="262"/>
      <c r="AF327" s="262"/>
      <c r="AG327" s="263"/>
      <c r="AH327" s="263"/>
      <c r="AI327" s="263"/>
      <c r="AJ327" s="262"/>
      <c r="AK327" s="262"/>
      <c r="AL327" s="262"/>
      <c r="AM327" s="262"/>
      <c r="AN327" s="262"/>
      <c r="AO327" s="612"/>
      <c r="AP327" s="616"/>
      <c r="AQ327" s="616"/>
      <c r="AR327" s="616"/>
      <c r="AS327" s="616"/>
      <c r="AT327" s="616"/>
      <c r="AU327" s="616"/>
      <c r="AV327" s="616"/>
      <c r="AW327" s="617"/>
      <c r="AX327" s="616"/>
      <c r="AY327" s="616"/>
      <c r="AZ327" s="616"/>
      <c r="BA327" s="616"/>
      <c r="BB327" s="616"/>
      <c r="BC327" s="616"/>
      <c r="BD327" s="616"/>
      <c r="BE327" s="617"/>
      <c r="BF327" s="616"/>
      <c r="BG327" s="616"/>
      <c r="BH327" s="616"/>
      <c r="BI327" s="616"/>
      <c r="BJ327" s="616"/>
      <c r="BK327" s="616"/>
      <c r="BL327" s="616"/>
      <c r="BM327" s="617">
        <f t="shared" si="136"/>
        <v>0</v>
      </c>
      <c r="BN327" s="616"/>
      <c r="BO327" s="616"/>
      <c r="BP327" s="616"/>
      <c r="BQ327" s="616"/>
      <c r="BR327" s="616"/>
      <c r="BS327" s="616"/>
      <c r="BT327" s="616"/>
      <c r="BU327" s="617"/>
      <c r="BV327" s="556"/>
      <c r="BW327" s="663" t="s">
        <v>2717</v>
      </c>
      <c r="BX327" s="262" t="s">
        <v>2717</v>
      </c>
      <c r="BY327" s="262" t="s">
        <v>2717</v>
      </c>
      <c r="BZ327" s="262" t="s">
        <v>2717</v>
      </c>
      <c r="CA327" s="262" t="s">
        <v>2717</v>
      </c>
      <c r="CB327" s="262" t="s">
        <v>2717</v>
      </c>
    </row>
    <row r="328" spans="1:85" ht="86.25" customHeight="1" x14ac:dyDescent="0.3">
      <c r="A328" s="298" t="s">
        <v>1002</v>
      </c>
      <c r="B328" s="299" t="str">
        <f>'PLAN INDICATIVO'!B328</f>
        <v>Transporte</v>
      </c>
      <c r="C328" s="1546" t="s">
        <v>1003</v>
      </c>
      <c r="D328" s="1550" t="s">
        <v>1004</v>
      </c>
      <c r="E328" s="1550" t="s">
        <v>1005</v>
      </c>
      <c r="F328" s="1550">
        <v>2015</v>
      </c>
      <c r="G328" s="1550">
        <v>98</v>
      </c>
      <c r="H328" s="1550">
        <v>98</v>
      </c>
      <c r="I328" s="300">
        <f>'PLAN INDICATIVO'!I328</f>
        <v>0</v>
      </c>
      <c r="J328" s="300">
        <f>'PLAN INDICATIVO'!J328</f>
        <v>0</v>
      </c>
      <c r="K328" s="1425" t="str">
        <f>'PLAN INDICATIVO'!K328</f>
        <v>A.9.1.1</v>
      </c>
      <c r="L328" s="301" t="str">
        <f>'PLAN INDICATIVO'!L328</f>
        <v>11. Ciudades y comunidades sostenibles</v>
      </c>
      <c r="M328" s="301" t="str">
        <f>'PLAN INDICATIVO'!M328</f>
        <v xml:space="preserve">Secretaría de Tránsito </v>
      </c>
      <c r="N328" s="1425" t="s">
        <v>5128</v>
      </c>
      <c r="O328" s="1425" t="str">
        <f>'PLAN INDICATIVO'!O328</f>
        <v>Mantenimiento</v>
      </c>
      <c r="P328" s="16" t="str">
        <f>'PLAN INDICATIVO'!P328</f>
        <v>Implementar 1 observatorio de accidentalidad durante el cuatrienio</v>
      </c>
      <c r="Q328" s="302" t="str">
        <f>'PLAN INDICATIVO'!Q328</f>
        <v>No. Observatorio de accidental implementado</v>
      </c>
      <c r="R328" s="303">
        <f>'PLAN INDICATIVO'!R328</f>
        <v>2015</v>
      </c>
      <c r="S328" s="304">
        <v>0</v>
      </c>
      <c r="T328" s="498">
        <v>1</v>
      </c>
      <c r="U328" s="303">
        <v>1</v>
      </c>
      <c r="V328" s="687">
        <v>15000000</v>
      </c>
      <c r="W328" s="572">
        <v>1</v>
      </c>
      <c r="X328" s="687">
        <v>5000000</v>
      </c>
      <c r="Y328" s="572">
        <v>0.3</v>
      </c>
      <c r="Z328" s="687">
        <v>10000000</v>
      </c>
      <c r="AA328" s="1310">
        <v>0.3</v>
      </c>
      <c r="AB328" s="686">
        <v>10000000</v>
      </c>
      <c r="AC328" s="665"/>
      <c r="AD328" s="665">
        <v>0.7</v>
      </c>
      <c r="AE328" s="665"/>
      <c r="AF328" s="665">
        <v>0.3</v>
      </c>
      <c r="AG328" s="306" t="s">
        <v>5154</v>
      </c>
      <c r="AH328" s="987">
        <v>2019413960023</v>
      </c>
      <c r="AI328" s="1502" t="s">
        <v>5061</v>
      </c>
      <c r="AJ328" s="309">
        <v>43497</v>
      </c>
      <c r="AK328" s="838">
        <v>43707</v>
      </c>
      <c r="AL328" s="838"/>
      <c r="AM328" s="308"/>
      <c r="AN328" s="1006" t="s">
        <v>2600</v>
      </c>
      <c r="AO328" s="507"/>
      <c r="AP328" s="525"/>
      <c r="AQ328" s="310"/>
      <c r="AR328" s="310"/>
      <c r="AS328" s="310"/>
      <c r="AT328" s="310"/>
      <c r="AU328" s="310"/>
      <c r="AV328" s="310"/>
      <c r="AW328" s="544"/>
      <c r="AX328" s="525"/>
      <c r="AY328" s="310"/>
      <c r="AZ328" s="310"/>
      <c r="BA328" s="310"/>
      <c r="BB328" s="310"/>
      <c r="BC328" s="310"/>
      <c r="BD328" s="310"/>
      <c r="BE328" s="544"/>
      <c r="BF328" s="525"/>
      <c r="BG328" s="310"/>
      <c r="BH328" s="310"/>
      <c r="BI328" s="310"/>
      <c r="BJ328" s="310"/>
      <c r="BK328" s="310"/>
      <c r="BL328" s="310"/>
      <c r="BM328" s="544">
        <f t="shared" si="136"/>
        <v>0</v>
      </c>
      <c r="BN328" s="525"/>
      <c r="BO328" s="310"/>
      <c r="BP328" s="310"/>
      <c r="BQ328" s="310"/>
      <c r="BR328" s="310"/>
      <c r="BS328" s="310"/>
      <c r="BT328" s="310"/>
      <c r="BU328" s="544"/>
      <c r="BV328" s="556"/>
      <c r="BW328" s="663">
        <f t="shared" ref="BW328:BW366" si="144">AC328+AD328+AE328+AF328</f>
        <v>1</v>
      </c>
      <c r="BX328" s="1047">
        <f t="shared" si="133"/>
        <v>1</v>
      </c>
      <c r="BY328" s="1047">
        <f t="shared" ref="BY328:BY348" si="145">IF(U328&gt;=0.1,AC328/U328,IF(ISBLANK(U328),"No Programada","Aplazada"))</f>
        <v>0</v>
      </c>
      <c r="BZ328" s="1047">
        <f t="shared" ref="BZ328:BZ348" si="146">IF(W328&gt;=0.1,AD328/W328,IF(ISBLANK(W328),"No Programada","Aplazada"))</f>
        <v>0.7</v>
      </c>
      <c r="CA328" s="1047">
        <f t="shared" ref="CA328:CA348" si="147">IF(Y328&gt;=0.1,AE328/Y328,IF(ISBLANK(Y328),"No Programada","Aplazada"))</f>
        <v>0</v>
      </c>
      <c r="CB328" s="1047">
        <f t="shared" ref="CB328:CB348" si="148">IF(AA328&gt;=0.1,AF328/AA328,IF(ISBLANK(AA328),"No Programada","Aplazada"))</f>
        <v>1</v>
      </c>
      <c r="CD328" t="str">
        <f t="shared" ref="CD328:CG348" si="149">IF(BY328="PARA MODIFICAR","M",IF(BY328="PARA ELIMINAR","E",IF(BY328="aplazada","AZ",IF(BY328="no programada","NP",IF(BY328&gt;=85%,"VE",IF(BY328&gt;70%,"VEB",IF(BY328&gt;60%,"AM",IF(BY328&gt;40%,"AMB",IF(BY328&gt;20%,"RO",IF(BY328&gt;=0%,"ROB",""))))))))))</f>
        <v>ROB</v>
      </c>
      <c r="CE328" t="str">
        <f t="shared" si="149"/>
        <v>AM</v>
      </c>
      <c r="CF328" t="str">
        <f t="shared" si="149"/>
        <v>ROB</v>
      </c>
      <c r="CG328" t="str">
        <f t="shared" si="149"/>
        <v>VE</v>
      </c>
    </row>
    <row r="329" spans="1:85" ht="79.5" customHeight="1" x14ac:dyDescent="0.3">
      <c r="A329" s="298" t="s">
        <v>1002</v>
      </c>
      <c r="B329" s="299" t="str">
        <f>'PLAN INDICATIVO'!B329</f>
        <v>Transporte</v>
      </c>
      <c r="C329" s="1547"/>
      <c r="D329" s="1551"/>
      <c r="E329" s="1551"/>
      <c r="F329" s="1551"/>
      <c r="G329" s="1551"/>
      <c r="H329" s="1551"/>
      <c r="I329" s="300">
        <f>'PLAN INDICATIVO'!I329</f>
        <v>0</v>
      </c>
      <c r="J329" s="300">
        <f>'PLAN INDICATIVO'!J329</f>
        <v>0</v>
      </c>
      <c r="K329" s="1425" t="str">
        <f>'PLAN INDICATIVO'!K329</f>
        <v>A.9.1.2</v>
      </c>
      <c r="L329" s="301" t="str">
        <f>'PLAN INDICATIVO'!L329</f>
        <v>11. Ciudades y comunidades sostenibles</v>
      </c>
      <c r="M329" s="301" t="str">
        <f>'PLAN INDICATIVO'!M329</f>
        <v xml:space="preserve">Secretaría de Tránsito </v>
      </c>
      <c r="N329" s="1513" t="s">
        <v>5128</v>
      </c>
      <c r="O329" s="1425" t="str">
        <f>'PLAN INDICATIVO'!O329</f>
        <v>Incremento</v>
      </c>
      <c r="P329" s="16" t="str">
        <f>'PLAN INDICATIVO'!P329</f>
        <v>Realizar 4 campañas de sensibilización sobre la importancia de utilizar garajes y así evitar el hurto de los vehículos en el cuatrienio</v>
      </c>
      <c r="Q329" s="302" t="str">
        <f>'PLAN INDICATIVO'!Q329</f>
        <v>No. Campañas realizadas</v>
      </c>
      <c r="R329" s="303">
        <f>'PLAN INDICATIVO'!R329</f>
        <v>2015</v>
      </c>
      <c r="S329" s="304">
        <v>0</v>
      </c>
      <c r="T329" s="498">
        <v>4</v>
      </c>
      <c r="U329" s="303">
        <v>1</v>
      </c>
      <c r="V329" s="687">
        <v>15000000</v>
      </c>
      <c r="W329" s="572">
        <v>1</v>
      </c>
      <c r="X329" s="687">
        <v>10000000</v>
      </c>
      <c r="Y329" s="572"/>
      <c r="Z329" s="687">
        <v>10000000</v>
      </c>
      <c r="AA329" s="1310">
        <v>1</v>
      </c>
      <c r="AB329" s="686">
        <v>10000000</v>
      </c>
      <c r="AC329" s="665"/>
      <c r="AD329" s="665">
        <v>1</v>
      </c>
      <c r="AE329" s="665"/>
      <c r="AF329" s="665">
        <v>1</v>
      </c>
      <c r="AG329" s="306" t="s">
        <v>5154</v>
      </c>
      <c r="AH329" s="987">
        <v>2019413960023</v>
      </c>
      <c r="AI329" s="307"/>
      <c r="AJ329" s="309">
        <v>43497</v>
      </c>
      <c r="AK329" s="335">
        <v>43768</v>
      </c>
      <c r="AL329" s="308"/>
      <c r="AM329" s="308"/>
      <c r="AN329" s="267" t="s">
        <v>2594</v>
      </c>
      <c r="AO329" s="507"/>
      <c r="AP329" s="525"/>
      <c r="AQ329" s="310"/>
      <c r="AR329" s="380"/>
      <c r="AS329" s="310"/>
      <c r="AT329" s="310"/>
      <c r="AU329" s="310"/>
      <c r="AV329" s="310"/>
      <c r="AW329" s="544"/>
      <c r="AX329" s="525"/>
      <c r="AY329" s="310"/>
      <c r="AZ329" s="380"/>
      <c r="BA329" s="310"/>
      <c r="BB329" s="310"/>
      <c r="BC329" s="310"/>
      <c r="BD329" s="310"/>
      <c r="BE329" s="544"/>
      <c r="BF329" s="525"/>
      <c r="BG329" s="310"/>
      <c r="BH329" s="380"/>
      <c r="BI329" s="310"/>
      <c r="BJ329" s="310"/>
      <c r="BK329" s="310"/>
      <c r="BL329" s="310"/>
      <c r="BM329" s="544">
        <f t="shared" si="136"/>
        <v>0</v>
      </c>
      <c r="BN329" s="525"/>
      <c r="BO329" s="310"/>
      <c r="BP329" s="380"/>
      <c r="BQ329" s="310"/>
      <c r="BR329" s="310"/>
      <c r="BS329" s="310"/>
      <c r="BT329" s="310"/>
      <c r="BU329" s="544"/>
      <c r="BV329" s="556"/>
      <c r="BW329" s="663">
        <f t="shared" si="144"/>
        <v>2</v>
      </c>
      <c r="BX329" s="1047">
        <f t="shared" si="133"/>
        <v>0.5</v>
      </c>
      <c r="BY329" s="1047">
        <f t="shared" si="145"/>
        <v>0</v>
      </c>
      <c r="BZ329" s="1047">
        <f t="shared" si="146"/>
        <v>1</v>
      </c>
      <c r="CA329" s="1047" t="str">
        <f t="shared" si="147"/>
        <v>No Programada</v>
      </c>
      <c r="CB329" s="1047">
        <f t="shared" si="148"/>
        <v>1</v>
      </c>
      <c r="CD329" t="str">
        <f t="shared" si="149"/>
        <v>ROB</v>
      </c>
      <c r="CE329" t="str">
        <f t="shared" si="149"/>
        <v>VE</v>
      </c>
      <c r="CF329" t="str">
        <f t="shared" si="149"/>
        <v>NP</v>
      </c>
      <c r="CG329" t="str">
        <f t="shared" si="149"/>
        <v>VE</v>
      </c>
    </row>
    <row r="330" spans="1:85" ht="93.75" hidden="1" customHeight="1" x14ac:dyDescent="0.25">
      <c r="A330" s="298" t="s">
        <v>1002</v>
      </c>
      <c r="B330" s="299" t="str">
        <f>'PLAN INDICATIVO'!B330</f>
        <v>Transporte</v>
      </c>
      <c r="C330" s="1547"/>
      <c r="D330" s="1551"/>
      <c r="E330" s="1551"/>
      <c r="F330" s="1551"/>
      <c r="G330" s="1551"/>
      <c r="H330" s="1551"/>
      <c r="I330" s="300">
        <f>'PLAN INDICATIVO'!I330</f>
        <v>0</v>
      </c>
      <c r="J330" s="300">
        <f>'PLAN INDICATIVO'!J330</f>
        <v>0</v>
      </c>
      <c r="K330" s="1425" t="str">
        <f>'PLAN INDICATIVO'!K330</f>
        <v>A.9.1.3</v>
      </c>
      <c r="L330" s="301" t="str">
        <f>'PLAN INDICATIVO'!L330</f>
        <v>11. Ciudades y comunidades sostenibles</v>
      </c>
      <c r="M330" s="301" t="str">
        <f>'PLAN INDICATIVO'!M330</f>
        <v xml:space="preserve">Secretaría de Tránsito </v>
      </c>
      <c r="N330" s="1513" t="s">
        <v>5128</v>
      </c>
      <c r="O330" s="1425" t="str">
        <f>'PLAN INDICATIVO'!O330</f>
        <v>Incremento</v>
      </c>
      <c r="P330" s="16" t="str">
        <f>'PLAN INDICATIVO'!P330</f>
        <v xml:space="preserve">Implementar 1 estrategia para la ubicación de zonas azules en el municipio de La Plata, en el cuatrienio </v>
      </c>
      <c r="Q330" s="302" t="str">
        <f>'PLAN INDICATIVO'!Q330</f>
        <v>No. De estrategias implementadas</v>
      </c>
      <c r="R330" s="303">
        <f>'PLAN INDICATIVO'!R330</f>
        <v>2015</v>
      </c>
      <c r="S330" s="304">
        <v>0</v>
      </c>
      <c r="T330" s="498">
        <v>1</v>
      </c>
      <c r="U330" s="303">
        <v>0.5</v>
      </c>
      <c r="V330" s="687">
        <v>20000000</v>
      </c>
      <c r="W330" s="572">
        <v>1</v>
      </c>
      <c r="X330" s="687">
        <v>5000000</v>
      </c>
      <c r="Y330" s="572">
        <v>0.1</v>
      </c>
      <c r="Z330" s="687"/>
      <c r="AA330" s="1310">
        <v>0.02</v>
      </c>
      <c r="AB330" s="686"/>
      <c r="AC330" s="894"/>
      <c r="AD330" s="665">
        <v>0.4</v>
      </c>
      <c r="AE330" s="665">
        <v>0.08</v>
      </c>
      <c r="AF330" s="665">
        <v>0.02</v>
      </c>
      <c r="AG330" s="306" t="s">
        <v>5154</v>
      </c>
      <c r="AH330" s="987">
        <v>2019413960023</v>
      </c>
      <c r="AI330" s="307" t="s">
        <v>4854</v>
      </c>
      <c r="AJ330" s="309">
        <v>43497</v>
      </c>
      <c r="AK330" s="335">
        <v>43646</v>
      </c>
      <c r="AL330" s="308"/>
      <c r="AM330" s="308"/>
      <c r="AN330" s="267" t="s">
        <v>2604</v>
      </c>
      <c r="AO330" s="507"/>
      <c r="AP330" s="525"/>
      <c r="AQ330" s="310"/>
      <c r="AR330" s="380"/>
      <c r="AS330" s="310"/>
      <c r="AT330" s="310"/>
      <c r="AU330" s="310"/>
      <c r="AV330" s="310"/>
      <c r="AW330" s="544"/>
      <c r="AX330" s="525"/>
      <c r="AY330" s="310"/>
      <c r="AZ330" s="380"/>
      <c r="BA330" s="310"/>
      <c r="BB330" s="310"/>
      <c r="BC330" s="310"/>
      <c r="BD330" s="310"/>
      <c r="BE330" s="544"/>
      <c r="BF330" s="525"/>
      <c r="BG330" s="310"/>
      <c r="BH330" s="380"/>
      <c r="BI330" s="310"/>
      <c r="BJ330" s="310"/>
      <c r="BK330" s="310"/>
      <c r="BL330" s="310"/>
      <c r="BM330" s="544">
        <f t="shared" si="136"/>
        <v>0</v>
      </c>
      <c r="BN330" s="310"/>
      <c r="BO330" s="310"/>
      <c r="BP330" s="380"/>
      <c r="BQ330" s="310"/>
      <c r="BR330" s="310"/>
      <c r="BS330" s="310"/>
      <c r="BT330" s="310"/>
      <c r="BU330" s="544"/>
      <c r="BV330" s="556"/>
      <c r="BW330" s="663">
        <f t="shared" si="144"/>
        <v>0.5</v>
      </c>
      <c r="BX330" s="1047">
        <f t="shared" si="133"/>
        <v>0.5</v>
      </c>
      <c r="BY330" s="1047">
        <f t="shared" si="145"/>
        <v>0</v>
      </c>
      <c r="BZ330" s="1047">
        <f t="shared" si="146"/>
        <v>0.4</v>
      </c>
      <c r="CA330" s="1047">
        <f t="shared" si="147"/>
        <v>0.79999999999999993</v>
      </c>
      <c r="CB330" s="1047">
        <f>IF(AA330&gt;=0.01,AF330/AA330,IF(ISBLANK(AA330),"No Programada","Aplazada"))</f>
        <v>1</v>
      </c>
      <c r="CD330" t="str">
        <f t="shared" si="149"/>
        <v>ROB</v>
      </c>
      <c r="CE330" t="str">
        <f t="shared" si="149"/>
        <v>RO</v>
      </c>
      <c r="CF330" t="str">
        <f t="shared" si="149"/>
        <v>VEB</v>
      </c>
      <c r="CG330" t="str">
        <f t="shared" si="149"/>
        <v>VE</v>
      </c>
    </row>
    <row r="331" spans="1:85" ht="115.5" customHeight="1" x14ac:dyDescent="0.3">
      <c r="A331" s="298" t="s">
        <v>1002</v>
      </c>
      <c r="B331" s="299" t="str">
        <f>'PLAN INDICATIVO'!B331</f>
        <v>Transporte</v>
      </c>
      <c r="C331" s="1547"/>
      <c r="D331" s="1551"/>
      <c r="E331" s="1551"/>
      <c r="F331" s="1551"/>
      <c r="G331" s="1551"/>
      <c r="H331" s="1551"/>
      <c r="I331" s="1425" t="str">
        <f>'PLAN INDICATIVO'!I331</f>
        <v>SI</v>
      </c>
      <c r="J331" s="1425">
        <f>'PLAN INDICATIVO'!J331</f>
        <v>0</v>
      </c>
      <c r="K331" s="1425" t="str">
        <f>'PLAN INDICATIVO'!K331</f>
        <v>A.9.1.4</v>
      </c>
      <c r="L331" s="301" t="str">
        <f>'PLAN INDICATIVO'!L331</f>
        <v>11. Ciudades y comunidades sostenibles</v>
      </c>
      <c r="M331" s="301" t="str">
        <f>'PLAN INDICATIVO'!M331</f>
        <v xml:space="preserve">Secretaría de Tránsito </v>
      </c>
      <c r="N331" s="1513" t="s">
        <v>5128</v>
      </c>
      <c r="O331" s="1425" t="str">
        <f>'PLAN INDICATIVO'!O331</f>
        <v>Mantenimiento</v>
      </c>
      <c r="P331" s="16" t="str">
        <f>'PLAN INDICATIVO'!P331</f>
        <v>Implementar cada año 1 programa de optimización tecnológica y de sistema de semaforización de la secretaría de tránsito municipal, durante el cuatrienio</v>
      </c>
      <c r="Q331" s="302" t="str">
        <f>'PLAN INDICATIVO'!Q331</f>
        <v>No. De Programa implementado por año</v>
      </c>
      <c r="R331" s="303">
        <f>'PLAN INDICATIVO'!R331</f>
        <v>2015</v>
      </c>
      <c r="S331" s="304">
        <v>0</v>
      </c>
      <c r="T331" s="498">
        <v>1</v>
      </c>
      <c r="U331" s="303">
        <v>0.25</v>
      </c>
      <c r="V331" s="687">
        <v>40000000</v>
      </c>
      <c r="W331" s="572">
        <v>0.25</v>
      </c>
      <c r="X331" s="687">
        <v>5000000</v>
      </c>
      <c r="Y331" s="572">
        <v>0.25</v>
      </c>
      <c r="Z331" s="687">
        <v>20000000</v>
      </c>
      <c r="AA331" s="1310">
        <v>0.75</v>
      </c>
      <c r="AB331" s="686">
        <v>60000000</v>
      </c>
      <c r="AC331" s="665"/>
      <c r="AD331" s="665">
        <v>0.25</v>
      </c>
      <c r="AE331" s="665"/>
      <c r="AF331" s="665">
        <v>0.75</v>
      </c>
      <c r="AG331" s="306" t="s">
        <v>5154</v>
      </c>
      <c r="AH331" s="987">
        <v>2019413960023</v>
      </c>
      <c r="AI331" s="307" t="s">
        <v>4855</v>
      </c>
      <c r="AJ331" s="309">
        <v>43497</v>
      </c>
      <c r="AK331" s="335">
        <v>43799</v>
      </c>
      <c r="AL331" s="308"/>
      <c r="AM331" s="308"/>
      <c r="AN331" s="267" t="s">
        <v>2600</v>
      </c>
      <c r="AO331" s="507"/>
      <c r="AP331" s="947"/>
      <c r="AQ331" s="310"/>
      <c r="AR331" s="380"/>
      <c r="AS331" s="310"/>
      <c r="AT331" s="310"/>
      <c r="AU331" s="310"/>
      <c r="AV331" s="310"/>
      <c r="AW331" s="544"/>
      <c r="AX331" s="525"/>
      <c r="AY331" s="310"/>
      <c r="AZ331" s="380"/>
      <c r="BA331" s="310"/>
      <c r="BB331" s="310"/>
      <c r="BC331" s="310"/>
      <c r="BD331" s="310"/>
      <c r="BE331" s="544"/>
      <c r="BF331" s="525"/>
      <c r="BG331" s="310"/>
      <c r="BH331" s="380"/>
      <c r="BI331" s="310"/>
      <c r="BJ331" s="310"/>
      <c r="BK331" s="310"/>
      <c r="BL331" s="310"/>
      <c r="BM331" s="544">
        <f t="shared" si="136"/>
        <v>0</v>
      </c>
      <c r="BN331" s="525"/>
      <c r="BO331" s="310"/>
      <c r="BP331" s="380"/>
      <c r="BQ331" s="310"/>
      <c r="BR331" s="310"/>
      <c r="BS331" s="310"/>
      <c r="BT331" s="310"/>
      <c r="BU331" s="544"/>
      <c r="BV331" s="556"/>
      <c r="BW331" s="663">
        <f t="shared" si="144"/>
        <v>1</v>
      </c>
      <c r="BX331" s="1047">
        <f t="shared" si="133"/>
        <v>1</v>
      </c>
      <c r="BY331" s="1047">
        <f t="shared" si="145"/>
        <v>0</v>
      </c>
      <c r="BZ331" s="1047">
        <f t="shared" si="146"/>
        <v>1</v>
      </c>
      <c r="CA331" s="1047">
        <f t="shared" si="147"/>
        <v>0</v>
      </c>
      <c r="CB331" s="1047">
        <f t="shared" si="148"/>
        <v>1</v>
      </c>
      <c r="CD331" t="str">
        <f t="shared" si="149"/>
        <v>ROB</v>
      </c>
      <c r="CE331" t="str">
        <f t="shared" si="149"/>
        <v>VE</v>
      </c>
      <c r="CF331" t="str">
        <f t="shared" si="149"/>
        <v>ROB</v>
      </c>
      <c r="CG331" t="str">
        <f t="shared" si="149"/>
        <v>VE</v>
      </c>
    </row>
    <row r="332" spans="1:85" ht="71.25" customHeight="1" x14ac:dyDescent="0.3">
      <c r="A332" s="298" t="s">
        <v>1002</v>
      </c>
      <c r="B332" s="299" t="str">
        <f>'PLAN INDICATIVO'!B332</f>
        <v>Transporte</v>
      </c>
      <c r="C332" s="1547"/>
      <c r="D332" s="1551"/>
      <c r="E332" s="1551"/>
      <c r="F332" s="1551"/>
      <c r="G332" s="1551"/>
      <c r="H332" s="1551"/>
      <c r="I332" s="300">
        <f>'PLAN INDICATIVO'!I332</f>
        <v>0</v>
      </c>
      <c r="J332" s="300">
        <f>'PLAN INDICATIVO'!J332</f>
        <v>0</v>
      </c>
      <c r="K332" s="1425" t="str">
        <f>'PLAN INDICATIVO'!K332</f>
        <v>A.9.1.5</v>
      </c>
      <c r="L332" s="301" t="str">
        <f>'PLAN INDICATIVO'!L332</f>
        <v>11. Ciudades y comunidades sostenibles</v>
      </c>
      <c r="M332" s="301" t="str">
        <f>'PLAN INDICATIVO'!M332</f>
        <v xml:space="preserve">Secretaría de Tránsito </v>
      </c>
      <c r="N332" s="1513" t="s">
        <v>5128</v>
      </c>
      <c r="O332" s="1425" t="str">
        <f>'PLAN INDICATIVO'!O332</f>
        <v>Mantenimiento</v>
      </c>
      <c r="P332" s="16" t="str">
        <f>'PLAN INDICATIVO'!P332</f>
        <v>Realizar 3 reuniones anuales con el consejo municipal de transporte</v>
      </c>
      <c r="Q332" s="302" t="str">
        <f>'PLAN INDICATIVO'!Q332</f>
        <v>No. de reuniones realizadas por año</v>
      </c>
      <c r="R332" s="303">
        <f>'PLAN INDICATIVO'!R332</f>
        <v>2015</v>
      </c>
      <c r="S332" s="304">
        <v>0</v>
      </c>
      <c r="T332" s="498">
        <v>12</v>
      </c>
      <c r="U332" s="303">
        <v>3</v>
      </c>
      <c r="V332" s="687">
        <v>5000000</v>
      </c>
      <c r="W332" s="572">
        <v>3</v>
      </c>
      <c r="X332" s="687">
        <v>5000000</v>
      </c>
      <c r="Y332" s="572">
        <v>3</v>
      </c>
      <c r="Z332" s="687">
        <v>10000000</v>
      </c>
      <c r="AA332" s="1310">
        <v>3</v>
      </c>
      <c r="AB332" s="686">
        <v>10000000</v>
      </c>
      <c r="AC332" s="665"/>
      <c r="AD332" s="665">
        <v>3</v>
      </c>
      <c r="AE332" s="665">
        <v>1</v>
      </c>
      <c r="AF332" s="665">
        <v>3</v>
      </c>
      <c r="AG332" s="306" t="s">
        <v>5154</v>
      </c>
      <c r="AH332" s="987">
        <v>2019413960023</v>
      </c>
      <c r="AI332" s="307" t="s">
        <v>4886</v>
      </c>
      <c r="AJ332" s="309">
        <v>43497</v>
      </c>
      <c r="AK332" s="335">
        <v>43799</v>
      </c>
      <c r="AL332" s="308"/>
      <c r="AM332" s="308"/>
      <c r="AN332" s="267" t="s">
        <v>2604</v>
      </c>
      <c r="AO332" s="507"/>
      <c r="AP332" s="525"/>
      <c r="AQ332" s="310"/>
      <c r="AR332" s="310"/>
      <c r="AS332" s="310"/>
      <c r="AT332" s="310"/>
      <c r="AU332" s="310"/>
      <c r="AV332" s="310"/>
      <c r="AW332" s="544"/>
      <c r="AX332" s="525"/>
      <c r="AY332" s="310"/>
      <c r="AZ332" s="310"/>
      <c r="BA332" s="310"/>
      <c r="BB332" s="310"/>
      <c r="BC332" s="310"/>
      <c r="BD332" s="310"/>
      <c r="BE332" s="544"/>
      <c r="BF332" s="525"/>
      <c r="BG332" s="310"/>
      <c r="BH332" s="310"/>
      <c r="BI332" s="310"/>
      <c r="BJ332" s="310"/>
      <c r="BK332" s="310"/>
      <c r="BL332" s="310"/>
      <c r="BM332" s="544">
        <f t="shared" si="136"/>
        <v>0</v>
      </c>
      <c r="BN332" s="525"/>
      <c r="BO332" s="310"/>
      <c r="BP332" s="310"/>
      <c r="BQ332" s="310"/>
      <c r="BR332" s="310"/>
      <c r="BS332" s="310"/>
      <c r="BT332" s="310"/>
      <c r="BU332" s="544"/>
      <c r="BV332" s="556"/>
      <c r="BW332" s="663">
        <f t="shared" si="144"/>
        <v>7</v>
      </c>
      <c r="BX332" s="1047">
        <f t="shared" si="133"/>
        <v>0.58333333333333337</v>
      </c>
      <c r="BY332" s="1047">
        <f t="shared" si="145"/>
        <v>0</v>
      </c>
      <c r="BZ332" s="1047">
        <f t="shared" si="146"/>
        <v>1</v>
      </c>
      <c r="CA332" s="1047">
        <f t="shared" si="147"/>
        <v>0.33333333333333331</v>
      </c>
      <c r="CB332" s="1047">
        <f t="shared" si="148"/>
        <v>1</v>
      </c>
      <c r="CD332" t="str">
        <f t="shared" si="149"/>
        <v>ROB</v>
      </c>
      <c r="CE332" t="str">
        <f t="shared" si="149"/>
        <v>VE</v>
      </c>
      <c r="CF332" t="str">
        <f t="shared" si="149"/>
        <v>RO</v>
      </c>
      <c r="CG332" t="str">
        <f t="shared" si="149"/>
        <v>VE</v>
      </c>
    </row>
    <row r="333" spans="1:85" ht="94.5" customHeight="1" x14ac:dyDescent="0.3">
      <c r="A333" s="298" t="s">
        <v>1002</v>
      </c>
      <c r="B333" s="299" t="str">
        <f>'PLAN INDICATIVO'!B333</f>
        <v>Transporte</v>
      </c>
      <c r="C333" s="1547"/>
      <c r="D333" s="1551"/>
      <c r="E333" s="1551"/>
      <c r="F333" s="1551"/>
      <c r="G333" s="1551"/>
      <c r="H333" s="1551"/>
      <c r="I333" s="300">
        <f>'PLAN INDICATIVO'!I333</f>
        <v>0</v>
      </c>
      <c r="J333" s="300">
        <f>'PLAN INDICATIVO'!J333</f>
        <v>0</v>
      </c>
      <c r="K333" s="1425" t="str">
        <f>'PLAN INDICATIVO'!K333</f>
        <v>A.9.1.6</v>
      </c>
      <c r="L333" s="301" t="str">
        <f>'PLAN INDICATIVO'!L333</f>
        <v>11. Ciudades y comunidades sostenibles</v>
      </c>
      <c r="M333" s="301" t="str">
        <f>'PLAN INDICATIVO'!M333</f>
        <v xml:space="preserve">Secretaría de Tránsito </v>
      </c>
      <c r="N333" s="1513" t="s">
        <v>5128</v>
      </c>
      <c r="O333" s="1425" t="str">
        <f>'PLAN INDICATIVO'!O333</f>
        <v>Mantenimiento</v>
      </c>
      <c r="P333" s="16" t="str">
        <f>'PLAN INDICATIVO'!P333</f>
        <v>Crear 1 plan de medios orientados a informar sobre los avances en materia de transporte y movilidad, y promover la seguridad vial cada año</v>
      </c>
      <c r="Q333" s="302" t="str">
        <f>'PLAN INDICATIVO'!Q333</f>
        <v>No. De Planes creados</v>
      </c>
      <c r="R333" s="303">
        <f>'PLAN INDICATIVO'!R333</f>
        <v>2015</v>
      </c>
      <c r="S333" s="304">
        <v>0</v>
      </c>
      <c r="T333" s="498">
        <v>1</v>
      </c>
      <c r="U333" s="303">
        <v>0.25</v>
      </c>
      <c r="V333" s="687">
        <v>15000000</v>
      </c>
      <c r="W333" s="572">
        <v>0.25</v>
      </c>
      <c r="X333" s="687">
        <v>10000000</v>
      </c>
      <c r="Y333" s="572">
        <v>0.25</v>
      </c>
      <c r="Z333" s="687">
        <v>20000000</v>
      </c>
      <c r="AA333" s="1310">
        <v>0.25</v>
      </c>
      <c r="AB333" s="686">
        <v>10000000</v>
      </c>
      <c r="AC333" s="665"/>
      <c r="AD333" s="665" t="s">
        <v>3783</v>
      </c>
      <c r="AE333" s="665">
        <v>0.25</v>
      </c>
      <c r="AF333" s="665">
        <v>0.25</v>
      </c>
      <c r="AG333" s="306" t="s">
        <v>5154</v>
      </c>
      <c r="AH333" s="987">
        <v>2019413960023</v>
      </c>
      <c r="AI333" s="307" t="s">
        <v>4887</v>
      </c>
      <c r="AJ333" s="309">
        <v>43497</v>
      </c>
      <c r="AK333" s="335">
        <v>43738</v>
      </c>
      <c r="AL333" s="308"/>
      <c r="AM333" s="308"/>
      <c r="AN333" s="267" t="s">
        <v>2598</v>
      </c>
      <c r="AO333" s="507"/>
      <c r="AP333" s="525"/>
      <c r="AQ333" s="310"/>
      <c r="AR333" s="310"/>
      <c r="AS333" s="310"/>
      <c r="AT333" s="310"/>
      <c r="AU333" s="310"/>
      <c r="AV333" s="310"/>
      <c r="AW333" s="544"/>
      <c r="AX333" s="525"/>
      <c r="AY333" s="310"/>
      <c r="AZ333" s="310"/>
      <c r="BA333" s="310"/>
      <c r="BB333" s="310"/>
      <c r="BC333" s="310"/>
      <c r="BD333" s="310"/>
      <c r="BE333" s="544"/>
      <c r="BF333" s="525"/>
      <c r="BG333" s="310"/>
      <c r="BH333" s="310"/>
      <c r="BI333" s="310"/>
      <c r="BJ333" s="310"/>
      <c r="BK333" s="310"/>
      <c r="BL333" s="310"/>
      <c r="BM333" s="544">
        <f t="shared" si="136"/>
        <v>0</v>
      </c>
      <c r="BN333" s="525"/>
      <c r="BO333" s="310"/>
      <c r="BP333" s="310"/>
      <c r="BQ333" s="310"/>
      <c r="BR333" s="310"/>
      <c r="BS333" s="310"/>
      <c r="BT333" s="310"/>
      <c r="BU333" s="544"/>
      <c r="BV333" s="556"/>
      <c r="BW333" s="663">
        <f t="shared" si="144"/>
        <v>0.75</v>
      </c>
      <c r="BX333" s="1047">
        <f t="shared" si="133"/>
        <v>0.75</v>
      </c>
      <c r="BY333" s="1047">
        <f t="shared" si="145"/>
        <v>0</v>
      </c>
      <c r="BZ333" s="1047">
        <f t="shared" si="146"/>
        <v>1</v>
      </c>
      <c r="CA333" s="1047">
        <f t="shared" si="147"/>
        <v>1</v>
      </c>
      <c r="CB333" s="1047">
        <f t="shared" si="148"/>
        <v>1</v>
      </c>
      <c r="CD333" t="str">
        <f t="shared" si="149"/>
        <v>ROB</v>
      </c>
      <c r="CE333" t="str">
        <f t="shared" si="149"/>
        <v>VE</v>
      </c>
      <c r="CF333" t="str">
        <f t="shared" si="149"/>
        <v>VE</v>
      </c>
      <c r="CG333" t="str">
        <f t="shared" si="149"/>
        <v>VE</v>
      </c>
    </row>
    <row r="334" spans="1:85" ht="97.5" customHeight="1" x14ac:dyDescent="0.3">
      <c r="A334" s="298" t="s">
        <v>1002</v>
      </c>
      <c r="B334" s="299" t="str">
        <f>'PLAN INDICATIVO'!B334</f>
        <v>Transporte</v>
      </c>
      <c r="C334" s="1547"/>
      <c r="D334" s="1551"/>
      <c r="E334" s="1551"/>
      <c r="F334" s="1551"/>
      <c r="G334" s="1551"/>
      <c r="H334" s="1551"/>
      <c r="I334" s="300">
        <f>'PLAN INDICATIVO'!I334</f>
        <v>0</v>
      </c>
      <c r="J334" s="300">
        <f>'PLAN INDICATIVO'!J334</f>
        <v>0</v>
      </c>
      <c r="K334" s="1425" t="str">
        <f>'PLAN INDICATIVO'!K334</f>
        <v>A.9.1.7</v>
      </c>
      <c r="L334" s="301" t="str">
        <f>'PLAN INDICATIVO'!L334</f>
        <v>11. Ciudades y comunidades sostenibles</v>
      </c>
      <c r="M334" s="301" t="str">
        <f>'PLAN INDICATIVO'!M334</f>
        <v xml:space="preserve">Secretaría de Tránsito </v>
      </c>
      <c r="N334" s="1513" t="s">
        <v>5128</v>
      </c>
      <c r="O334" s="1425" t="str">
        <f>'PLAN INDICATIVO'!O334</f>
        <v>Incremento</v>
      </c>
      <c r="P334" s="16" t="str">
        <f>'PLAN INDICATIVO'!P334</f>
        <v>Implementar 1 estrategia encaminada a aumentar la matrícula y traspasos de vehículos, la seguridad vial y la eficiencia administrativa en la secretaria de tránsito, durante el cuatrienio</v>
      </c>
      <c r="Q334" s="302" t="str">
        <f>'PLAN INDICATIVO'!Q334</f>
        <v>No. Estrategias implementadas.</v>
      </c>
      <c r="R334" s="303">
        <f>'PLAN INDICATIVO'!R334</f>
        <v>2015</v>
      </c>
      <c r="S334" s="304">
        <v>0</v>
      </c>
      <c r="T334" s="498">
        <v>1</v>
      </c>
      <c r="U334" s="303">
        <v>1</v>
      </c>
      <c r="V334" s="687">
        <v>15000000</v>
      </c>
      <c r="W334" s="572">
        <v>0.7</v>
      </c>
      <c r="X334" s="687"/>
      <c r="Y334" s="572">
        <v>0.2</v>
      </c>
      <c r="Z334" s="687"/>
      <c r="AA334" s="1310">
        <v>1</v>
      </c>
      <c r="AB334" s="686">
        <v>10000000</v>
      </c>
      <c r="AC334" s="665"/>
      <c r="AD334" s="665">
        <v>0.7</v>
      </c>
      <c r="AE334" s="665">
        <v>0.2</v>
      </c>
      <c r="AF334" s="665"/>
      <c r="AG334" s="306" t="s">
        <v>5154</v>
      </c>
      <c r="AH334" s="987">
        <v>2019413960023</v>
      </c>
      <c r="AI334" s="307"/>
      <c r="AJ334" s="309"/>
      <c r="AK334" s="335"/>
      <c r="AL334" s="308"/>
      <c r="AM334" s="308"/>
      <c r="AN334" s="267" t="s">
        <v>2598</v>
      </c>
      <c r="AO334" s="507"/>
      <c r="AP334" s="525"/>
      <c r="AQ334" s="310"/>
      <c r="AR334" s="310"/>
      <c r="AS334" s="310"/>
      <c r="AT334" s="310"/>
      <c r="AU334" s="310"/>
      <c r="AV334" s="310"/>
      <c r="AW334" s="544"/>
      <c r="AX334" s="525"/>
      <c r="AY334" s="310"/>
      <c r="AZ334" s="310"/>
      <c r="BA334" s="310"/>
      <c r="BB334" s="310"/>
      <c r="BC334" s="310"/>
      <c r="BD334" s="310"/>
      <c r="BE334" s="544"/>
      <c r="BF334" s="525"/>
      <c r="BG334" s="310"/>
      <c r="BH334" s="310"/>
      <c r="BI334" s="310"/>
      <c r="BJ334" s="310"/>
      <c r="BK334" s="310"/>
      <c r="BL334" s="310"/>
      <c r="BM334" s="544">
        <f t="shared" si="136"/>
        <v>0</v>
      </c>
      <c r="BN334" s="525"/>
      <c r="BO334" s="310"/>
      <c r="BP334" s="310"/>
      <c r="BQ334" s="310"/>
      <c r="BR334" s="310"/>
      <c r="BS334" s="310"/>
      <c r="BT334" s="310"/>
      <c r="BU334" s="544"/>
      <c r="BV334" s="556"/>
      <c r="BW334" s="663">
        <f t="shared" si="144"/>
        <v>0.89999999999999991</v>
      </c>
      <c r="BX334" s="1047">
        <f t="shared" si="133"/>
        <v>0.89999999999999991</v>
      </c>
      <c r="BY334" s="1047">
        <f t="shared" si="145"/>
        <v>0</v>
      </c>
      <c r="BZ334" s="1047">
        <f t="shared" si="146"/>
        <v>1</v>
      </c>
      <c r="CA334" s="1047">
        <f t="shared" si="147"/>
        <v>1</v>
      </c>
      <c r="CB334" s="1047">
        <f t="shared" si="148"/>
        <v>0</v>
      </c>
      <c r="CD334" t="str">
        <f t="shared" si="149"/>
        <v>ROB</v>
      </c>
      <c r="CE334" t="str">
        <f t="shared" si="149"/>
        <v>VE</v>
      </c>
      <c r="CF334" t="str">
        <f t="shared" si="149"/>
        <v>VE</v>
      </c>
      <c r="CG334" t="str">
        <f t="shared" si="149"/>
        <v>ROB</v>
      </c>
    </row>
    <row r="335" spans="1:85" ht="77.25" customHeight="1" x14ac:dyDescent="0.3">
      <c r="A335" s="298" t="s">
        <v>1002</v>
      </c>
      <c r="B335" s="299" t="str">
        <f>'PLAN INDICATIVO'!B335</f>
        <v>Transporte</v>
      </c>
      <c r="C335" s="1547"/>
      <c r="D335" s="1551"/>
      <c r="E335" s="1551"/>
      <c r="F335" s="1551"/>
      <c r="G335" s="1551"/>
      <c r="H335" s="1551"/>
      <c r="I335" s="300">
        <f>'PLAN INDICATIVO'!I335</f>
        <v>0</v>
      </c>
      <c r="J335" s="300">
        <f>'PLAN INDICATIVO'!J335</f>
        <v>0</v>
      </c>
      <c r="K335" s="1425" t="str">
        <f>'PLAN INDICATIVO'!K335</f>
        <v>A.9.1.8</v>
      </c>
      <c r="L335" s="301" t="str">
        <f>'PLAN INDICATIVO'!L335</f>
        <v>11. Ciudades y comunidades sostenibles</v>
      </c>
      <c r="M335" s="301" t="str">
        <f>'PLAN INDICATIVO'!M335</f>
        <v xml:space="preserve">Secretaría de Tránsito </v>
      </c>
      <c r="N335" s="1513" t="s">
        <v>5128</v>
      </c>
      <c r="O335" s="1425" t="str">
        <f>'PLAN INDICATIVO'!O335</f>
        <v>Incremento</v>
      </c>
      <c r="P335" s="16" t="str">
        <f>'PLAN INDICATIVO'!P335</f>
        <v>Formulación e implementación de 2 programa de señalización y demarcación vial, durante el cuatrienio</v>
      </c>
      <c r="Q335" s="302" t="str">
        <f>'PLAN INDICATIVO'!Q335</f>
        <v xml:space="preserve">No. De programas formulados e implementados </v>
      </c>
      <c r="R335" s="303">
        <f>'PLAN INDICATIVO'!R335</f>
        <v>2015</v>
      </c>
      <c r="S335" s="304">
        <v>0</v>
      </c>
      <c r="T335" s="498">
        <v>2</v>
      </c>
      <c r="U335" s="303">
        <v>1</v>
      </c>
      <c r="V335" s="687">
        <v>70000000</v>
      </c>
      <c r="W335" s="572">
        <v>1</v>
      </c>
      <c r="X335" s="687">
        <v>10000000</v>
      </c>
      <c r="Y335" s="572">
        <v>1</v>
      </c>
      <c r="Z335" s="687"/>
      <c r="AA335" s="1310">
        <v>1</v>
      </c>
      <c r="AB335" s="686">
        <v>60000000</v>
      </c>
      <c r="AC335" s="665"/>
      <c r="AD335" s="665">
        <v>1</v>
      </c>
      <c r="AE335" s="665">
        <v>1</v>
      </c>
      <c r="AF335" s="665"/>
      <c r="AG335" s="306" t="s">
        <v>5154</v>
      </c>
      <c r="AH335" s="987">
        <v>2019413960023</v>
      </c>
      <c r="AI335" s="335"/>
      <c r="AJ335" s="309"/>
      <c r="AK335" s="335"/>
      <c r="AL335" s="308"/>
      <c r="AM335" s="308"/>
      <c r="AN335" s="267" t="s">
        <v>2598</v>
      </c>
      <c r="AO335" s="507"/>
      <c r="AP335" s="310"/>
      <c r="AQ335" s="310"/>
      <c r="AR335" s="310"/>
      <c r="AS335" s="310"/>
      <c r="AT335" s="310"/>
      <c r="AU335" s="310"/>
      <c r="AV335" s="310"/>
      <c r="AW335" s="310"/>
      <c r="AX335" s="310"/>
      <c r="AY335" s="310"/>
      <c r="AZ335" s="310"/>
      <c r="BA335" s="310"/>
      <c r="BB335" s="310"/>
      <c r="BC335" s="310"/>
      <c r="BD335" s="310"/>
      <c r="BE335" s="310"/>
      <c r="BF335" s="310"/>
      <c r="BG335" s="310"/>
      <c r="BH335" s="310"/>
      <c r="BI335" s="310"/>
      <c r="BJ335" s="310"/>
      <c r="BK335" s="310"/>
      <c r="BL335" s="310"/>
      <c r="BM335" s="544">
        <f t="shared" si="136"/>
        <v>0</v>
      </c>
      <c r="BN335" s="525"/>
      <c r="BO335" s="310"/>
      <c r="BP335" s="310"/>
      <c r="BQ335" s="310"/>
      <c r="BR335" s="310"/>
      <c r="BS335" s="310"/>
      <c r="BT335" s="310"/>
      <c r="BU335" s="544"/>
      <c r="BV335" s="556"/>
      <c r="BW335" s="663">
        <f t="shared" si="144"/>
        <v>2</v>
      </c>
      <c r="BX335" s="1047">
        <f t="shared" si="133"/>
        <v>1</v>
      </c>
      <c r="BY335" s="1047">
        <f t="shared" si="145"/>
        <v>0</v>
      </c>
      <c r="BZ335" s="1047">
        <f t="shared" si="146"/>
        <v>1</v>
      </c>
      <c r="CA335" s="1047">
        <f t="shared" si="147"/>
        <v>1</v>
      </c>
      <c r="CB335" s="1047">
        <f t="shared" si="148"/>
        <v>0</v>
      </c>
      <c r="CD335" t="str">
        <f t="shared" si="149"/>
        <v>ROB</v>
      </c>
      <c r="CE335" t="str">
        <f t="shared" si="149"/>
        <v>VE</v>
      </c>
      <c r="CF335" t="str">
        <f t="shared" si="149"/>
        <v>VE</v>
      </c>
      <c r="CG335" t="str">
        <f t="shared" si="149"/>
        <v>ROB</v>
      </c>
    </row>
    <row r="336" spans="1:85" ht="81" customHeight="1" x14ac:dyDescent="0.3">
      <c r="A336" s="298" t="s">
        <v>1002</v>
      </c>
      <c r="B336" s="299" t="str">
        <f>'PLAN INDICATIVO'!B336</f>
        <v>Transporte</v>
      </c>
      <c r="C336" s="1547"/>
      <c r="D336" s="1551"/>
      <c r="E336" s="1551"/>
      <c r="F336" s="1551"/>
      <c r="G336" s="1551"/>
      <c r="H336" s="1551"/>
      <c r="I336" s="300">
        <f>'PLAN INDICATIVO'!I336</f>
        <v>0</v>
      </c>
      <c r="J336" s="300">
        <f>'PLAN INDICATIVO'!J336</f>
        <v>0</v>
      </c>
      <c r="K336" s="1425" t="str">
        <f>'PLAN INDICATIVO'!K336</f>
        <v>A.9.1.9</v>
      </c>
      <c r="L336" s="301" t="str">
        <f>'PLAN INDICATIVO'!L336</f>
        <v>11. Ciudades y comunidades sostenibles</v>
      </c>
      <c r="M336" s="301" t="str">
        <f>'PLAN INDICATIVO'!M336</f>
        <v xml:space="preserve">Secretaría de Tránsito </v>
      </c>
      <c r="N336" s="1513" t="s">
        <v>5128</v>
      </c>
      <c r="O336" s="1425" t="str">
        <f>'PLAN INDICATIVO'!O336</f>
        <v>Incremento</v>
      </c>
      <c r="P336" s="16" t="str">
        <f>'PLAN INDICATIVO'!P336</f>
        <v>Realizar 700 operativos en el sector urbano y rural para el control del cumplimiento de las normas de tránsito en el cuatrienio</v>
      </c>
      <c r="Q336" s="302" t="str">
        <f>'PLAN INDICATIVO'!Q336</f>
        <v>No. Operativos realizado</v>
      </c>
      <c r="R336" s="303">
        <f>'PLAN INDICATIVO'!R336</f>
        <v>2015</v>
      </c>
      <c r="S336" s="304">
        <v>0</v>
      </c>
      <c r="T336" s="498">
        <v>700</v>
      </c>
      <c r="U336" s="303">
        <v>100</v>
      </c>
      <c r="V336" s="687">
        <v>20000000</v>
      </c>
      <c r="W336" s="572">
        <v>84</v>
      </c>
      <c r="X336" s="687">
        <v>10000000</v>
      </c>
      <c r="Y336" s="572">
        <v>84</v>
      </c>
      <c r="Z336" s="687">
        <v>50000000</v>
      </c>
      <c r="AA336" s="1310">
        <v>1</v>
      </c>
      <c r="AB336" s="686">
        <v>25000000</v>
      </c>
      <c r="AC336" s="665"/>
      <c r="AD336" s="665">
        <v>670</v>
      </c>
      <c r="AE336" s="665">
        <v>90</v>
      </c>
      <c r="AF336" s="665">
        <v>1</v>
      </c>
      <c r="AG336" s="306" t="s">
        <v>5154</v>
      </c>
      <c r="AH336" s="987">
        <v>2019413960023</v>
      </c>
      <c r="AI336" s="307"/>
      <c r="AJ336" s="309">
        <v>43497</v>
      </c>
      <c r="AK336" s="335">
        <v>43814</v>
      </c>
      <c r="AL336" s="308"/>
      <c r="AM336" s="308"/>
      <c r="AN336" s="267" t="s">
        <v>2598</v>
      </c>
      <c r="AO336" s="507"/>
      <c r="AP336" s="1323"/>
      <c r="AQ336" s="1313"/>
      <c r="AR336" s="1313"/>
      <c r="AS336" s="1313"/>
      <c r="AT336" s="1313"/>
      <c r="AU336" s="1313"/>
      <c r="AV336" s="1313"/>
      <c r="AW336" s="800"/>
      <c r="AX336" s="1323"/>
      <c r="AY336" s="1313"/>
      <c r="AZ336" s="1313"/>
      <c r="BA336" s="1313"/>
      <c r="BB336" s="1313"/>
      <c r="BC336" s="1313"/>
      <c r="BD336" s="1313"/>
      <c r="BE336" s="800"/>
      <c r="BF336" s="1323"/>
      <c r="BG336" s="1313"/>
      <c r="BH336" s="1313"/>
      <c r="BI336" s="1313"/>
      <c r="BJ336" s="1313"/>
      <c r="BK336" s="1313"/>
      <c r="BL336" s="1313"/>
      <c r="BM336" s="544">
        <f t="shared" si="136"/>
        <v>0</v>
      </c>
      <c r="BN336" s="525"/>
      <c r="BO336" s="310"/>
      <c r="BP336" s="310"/>
      <c r="BQ336" s="310"/>
      <c r="BR336" s="310"/>
      <c r="BS336" s="310"/>
      <c r="BT336" s="310"/>
      <c r="BU336" s="544"/>
      <c r="BV336" s="556"/>
      <c r="BW336" s="663">
        <f t="shared" si="144"/>
        <v>761</v>
      </c>
      <c r="BX336" s="1047">
        <f t="shared" si="133"/>
        <v>1.0871428571428572</v>
      </c>
      <c r="BY336" s="1047">
        <f t="shared" si="145"/>
        <v>0</v>
      </c>
      <c r="BZ336" s="1047">
        <f t="shared" si="146"/>
        <v>7.9761904761904763</v>
      </c>
      <c r="CA336" s="1047">
        <f t="shared" si="147"/>
        <v>1.0714285714285714</v>
      </c>
      <c r="CB336" s="1047">
        <f t="shared" si="148"/>
        <v>1</v>
      </c>
      <c r="CD336" t="str">
        <f t="shared" si="149"/>
        <v>ROB</v>
      </c>
      <c r="CE336" t="str">
        <f t="shared" si="149"/>
        <v>VE</v>
      </c>
      <c r="CF336" t="str">
        <f t="shared" si="149"/>
        <v>VE</v>
      </c>
      <c r="CG336" t="str">
        <f t="shared" si="149"/>
        <v>VE</v>
      </c>
    </row>
    <row r="337" spans="1:86" ht="53.25" customHeight="1" x14ac:dyDescent="0.3">
      <c r="A337" s="298" t="s">
        <v>1002</v>
      </c>
      <c r="B337" s="299" t="str">
        <f>'PLAN INDICATIVO'!B337</f>
        <v>Transporte</v>
      </c>
      <c r="C337" s="1547"/>
      <c r="D337" s="1551"/>
      <c r="E337" s="1551"/>
      <c r="F337" s="1551"/>
      <c r="G337" s="1551"/>
      <c r="H337" s="1551"/>
      <c r="I337" s="300">
        <f>'PLAN INDICATIVO'!I337</f>
        <v>0</v>
      </c>
      <c r="J337" s="300">
        <f>'PLAN INDICATIVO'!J337</f>
        <v>0</v>
      </c>
      <c r="K337" s="1425" t="str">
        <f>'PLAN INDICATIVO'!K337</f>
        <v>A.9.1.10</v>
      </c>
      <c r="L337" s="301" t="str">
        <f>'PLAN INDICATIVO'!L337</f>
        <v>11. Ciudades y comunidades sostenibles</v>
      </c>
      <c r="M337" s="301" t="str">
        <f>'PLAN INDICATIVO'!M337</f>
        <v xml:space="preserve">Secretaría de Tránsito </v>
      </c>
      <c r="N337" s="1513" t="s">
        <v>5128</v>
      </c>
      <c r="O337" s="1425" t="str">
        <f>'PLAN INDICATIVO'!O337</f>
        <v>Mantenimiento</v>
      </c>
      <c r="P337" s="16" t="str">
        <f>'PLAN INDICATIVO'!P337</f>
        <v>Contratar 17 nuevos agentes de tránsito durante el cuatrienio</v>
      </c>
      <c r="Q337" s="302" t="str">
        <f>'PLAN INDICATIVO'!Q337</f>
        <v>No. de Agentes contratados</v>
      </c>
      <c r="R337" s="303">
        <f>'PLAN INDICATIVO'!R337</f>
        <v>2015</v>
      </c>
      <c r="S337" s="304">
        <v>0</v>
      </c>
      <c r="T337" s="498">
        <v>67</v>
      </c>
      <c r="U337" s="303">
        <v>17</v>
      </c>
      <c r="V337" s="687">
        <v>60000000</v>
      </c>
      <c r="W337" s="572">
        <v>17</v>
      </c>
      <c r="X337" s="572">
        <v>30000000</v>
      </c>
      <c r="Y337" s="572">
        <v>6</v>
      </c>
      <c r="Z337" s="572">
        <v>130000000</v>
      </c>
      <c r="AA337" s="1310">
        <v>5</v>
      </c>
      <c r="AB337" s="686">
        <v>25000000</v>
      </c>
      <c r="AC337" s="665"/>
      <c r="AD337" s="665">
        <v>18</v>
      </c>
      <c r="AE337" s="665">
        <v>6</v>
      </c>
      <c r="AF337" s="665">
        <v>15</v>
      </c>
      <c r="AG337" s="306" t="s">
        <v>5154</v>
      </c>
      <c r="AH337" s="987">
        <v>2019413960023</v>
      </c>
      <c r="AI337" s="307"/>
      <c r="AJ337" s="309">
        <v>43497</v>
      </c>
      <c r="AK337" s="335">
        <v>43814</v>
      </c>
      <c r="AL337" s="308"/>
      <c r="AM337" s="308"/>
      <c r="AN337" s="267" t="s">
        <v>2598</v>
      </c>
      <c r="AO337" s="507"/>
      <c r="AP337" s="525"/>
      <c r="AQ337" s="310"/>
      <c r="AR337" s="310"/>
      <c r="AS337" s="310"/>
      <c r="AT337" s="310"/>
      <c r="AU337" s="310"/>
      <c r="AV337" s="310"/>
      <c r="AW337" s="544"/>
      <c r="AX337" s="525"/>
      <c r="AY337" s="310"/>
      <c r="AZ337" s="310"/>
      <c r="BA337" s="310"/>
      <c r="BB337" s="310"/>
      <c r="BC337" s="310"/>
      <c r="BD337" s="310"/>
      <c r="BE337" s="544"/>
      <c r="BF337" s="310"/>
      <c r="BG337" s="310"/>
      <c r="BH337" s="310"/>
      <c r="BI337" s="310"/>
      <c r="BJ337" s="310"/>
      <c r="BK337" s="310"/>
      <c r="BL337" s="310"/>
      <c r="BM337" s="544">
        <f t="shared" si="136"/>
        <v>0</v>
      </c>
      <c r="BN337" s="525"/>
      <c r="BO337" s="310"/>
      <c r="BP337" s="310"/>
      <c r="BQ337" s="310"/>
      <c r="BR337" s="310"/>
      <c r="BS337" s="310"/>
      <c r="BT337" s="310"/>
      <c r="BU337" s="544"/>
      <c r="BV337" s="556"/>
      <c r="BW337" s="663">
        <f t="shared" si="144"/>
        <v>39</v>
      </c>
      <c r="BX337" s="1047">
        <f t="shared" si="133"/>
        <v>0.58208955223880599</v>
      </c>
      <c r="BY337" s="1047">
        <f t="shared" si="145"/>
        <v>0</v>
      </c>
      <c r="BZ337" s="1047">
        <f t="shared" si="146"/>
        <v>1.0588235294117647</v>
      </c>
      <c r="CA337" s="1047">
        <f t="shared" si="147"/>
        <v>1</v>
      </c>
      <c r="CB337" s="1047">
        <f t="shared" si="148"/>
        <v>3</v>
      </c>
      <c r="CD337" t="str">
        <f t="shared" si="149"/>
        <v>ROB</v>
      </c>
      <c r="CE337" t="str">
        <f t="shared" si="149"/>
        <v>VE</v>
      </c>
      <c r="CF337" t="str">
        <f t="shared" si="149"/>
        <v>VE</v>
      </c>
      <c r="CG337" t="str">
        <f t="shared" si="149"/>
        <v>VE</v>
      </c>
    </row>
    <row r="338" spans="1:86" ht="91.5" customHeight="1" x14ac:dyDescent="0.3">
      <c r="A338" s="298" t="s">
        <v>1002</v>
      </c>
      <c r="B338" s="299" t="str">
        <f>'PLAN INDICATIVO'!B338</f>
        <v>Transporte</v>
      </c>
      <c r="C338" s="1547"/>
      <c r="D338" s="1551"/>
      <c r="E338" s="1551"/>
      <c r="F338" s="1551"/>
      <c r="G338" s="1551"/>
      <c r="H338" s="1551"/>
      <c r="I338" s="300">
        <f>'PLAN INDICATIVO'!I338</f>
        <v>0</v>
      </c>
      <c r="J338" s="300">
        <f>'PLAN INDICATIVO'!J338</f>
        <v>0</v>
      </c>
      <c r="K338" s="1425" t="str">
        <f>'PLAN INDICATIVO'!K338</f>
        <v>A.9.1.11</v>
      </c>
      <c r="L338" s="301" t="str">
        <f>'PLAN INDICATIVO'!L338</f>
        <v>11. Ciudades y comunidades sostenibles</v>
      </c>
      <c r="M338" s="301" t="str">
        <f>'PLAN INDICATIVO'!M338</f>
        <v xml:space="preserve">Secretaría de Tránsito </v>
      </c>
      <c r="N338" s="1513" t="s">
        <v>5128</v>
      </c>
      <c r="O338" s="1425" t="str">
        <f>'PLAN INDICATIVO'!O338</f>
        <v>Mantenimiento</v>
      </c>
      <c r="P338" s="16" t="str">
        <f>'PLAN INDICATIVO'!P338</f>
        <v>Implementar el plan maestro de movilidad y seguridad vial cada año</v>
      </c>
      <c r="Q338" s="302" t="str">
        <f>'PLAN INDICATIVO'!Q338</f>
        <v xml:space="preserve">Plan maestro de movilidad implementado por año. </v>
      </c>
      <c r="R338" s="303">
        <f>'PLAN INDICATIVO'!R338</f>
        <v>2015</v>
      </c>
      <c r="S338" s="304">
        <v>1</v>
      </c>
      <c r="T338" s="498">
        <v>1</v>
      </c>
      <c r="U338" s="303">
        <v>0.25</v>
      </c>
      <c r="V338" s="687">
        <v>25000000</v>
      </c>
      <c r="W338" s="572">
        <v>0.25</v>
      </c>
      <c r="X338" s="572">
        <v>10000000</v>
      </c>
      <c r="Y338" s="572">
        <v>0.25</v>
      </c>
      <c r="Z338" s="572">
        <v>10000000</v>
      </c>
      <c r="AA338" s="1310">
        <v>0.5</v>
      </c>
      <c r="AB338" s="686">
        <v>80000000</v>
      </c>
      <c r="AC338" s="665"/>
      <c r="AD338" s="665">
        <v>0.15</v>
      </c>
      <c r="AE338" s="665">
        <v>0.1</v>
      </c>
      <c r="AF338" s="665">
        <v>0.5</v>
      </c>
      <c r="AG338" s="306" t="s">
        <v>5154</v>
      </c>
      <c r="AH338" s="987">
        <v>2019413960023</v>
      </c>
      <c r="AI338" s="307" t="s">
        <v>4888</v>
      </c>
      <c r="AJ338" s="309">
        <v>43497</v>
      </c>
      <c r="AK338" s="335">
        <v>43814</v>
      </c>
      <c r="AL338" s="308"/>
      <c r="AM338" s="308"/>
      <c r="AN338" s="267" t="s">
        <v>2604</v>
      </c>
      <c r="AO338" s="507"/>
      <c r="AP338" s="525"/>
      <c r="AQ338" s="310"/>
      <c r="AR338" s="310"/>
      <c r="AS338" s="310"/>
      <c r="AT338" s="310"/>
      <c r="AU338" s="310"/>
      <c r="AV338" s="310"/>
      <c r="AW338" s="544"/>
      <c r="AX338" s="525"/>
      <c r="AY338" s="310"/>
      <c r="AZ338" s="310"/>
      <c r="BA338" s="310"/>
      <c r="BB338" s="310"/>
      <c r="BC338" s="310"/>
      <c r="BD338" s="310"/>
      <c r="BE338" s="544"/>
      <c r="BF338" s="310"/>
      <c r="BG338" s="310"/>
      <c r="BH338" s="310"/>
      <c r="BI338" s="310"/>
      <c r="BJ338" s="310"/>
      <c r="BK338" s="310"/>
      <c r="BL338" s="310"/>
      <c r="BM338" s="544">
        <f t="shared" si="136"/>
        <v>0</v>
      </c>
      <c r="BN338" s="525"/>
      <c r="BO338" s="310"/>
      <c r="BP338" s="310"/>
      <c r="BQ338" s="310"/>
      <c r="BR338" s="310"/>
      <c r="BS338" s="310"/>
      <c r="BT338" s="310"/>
      <c r="BU338" s="544"/>
      <c r="BV338" s="556"/>
      <c r="BW338" s="663">
        <f t="shared" si="144"/>
        <v>0.75</v>
      </c>
      <c r="BX338" s="1047">
        <f t="shared" si="133"/>
        <v>0.75</v>
      </c>
      <c r="BY338" s="1047">
        <f t="shared" si="145"/>
        <v>0</v>
      </c>
      <c r="BZ338" s="1047">
        <f t="shared" si="146"/>
        <v>0.6</v>
      </c>
      <c r="CA338" s="1047">
        <f t="shared" si="147"/>
        <v>0.4</v>
      </c>
      <c r="CB338" s="1047">
        <f t="shared" si="148"/>
        <v>1</v>
      </c>
      <c r="CD338" t="str">
        <f t="shared" si="149"/>
        <v>ROB</v>
      </c>
      <c r="CE338" t="str">
        <f t="shared" si="149"/>
        <v>AMB</v>
      </c>
      <c r="CF338" t="str">
        <f t="shared" si="149"/>
        <v>RO</v>
      </c>
      <c r="CG338" t="str">
        <f t="shared" si="149"/>
        <v>VE</v>
      </c>
    </row>
    <row r="339" spans="1:86" ht="92.25" customHeight="1" x14ac:dyDescent="0.3">
      <c r="A339" s="298" t="s">
        <v>1002</v>
      </c>
      <c r="B339" s="299" t="str">
        <f>'PLAN INDICATIVO'!B339</f>
        <v>Transporte</v>
      </c>
      <c r="C339" s="1547"/>
      <c r="D339" s="1551"/>
      <c r="E339" s="1551"/>
      <c r="F339" s="1551"/>
      <c r="G339" s="1551"/>
      <c r="H339" s="1551"/>
      <c r="I339" s="300">
        <f>'PLAN INDICATIVO'!I339</f>
        <v>0</v>
      </c>
      <c r="J339" s="300">
        <f>'PLAN INDICATIVO'!J339</f>
        <v>0</v>
      </c>
      <c r="K339" s="1425" t="str">
        <f>'PLAN INDICATIVO'!K339</f>
        <v>A.9.1.12</v>
      </c>
      <c r="L339" s="301" t="str">
        <f>'PLAN INDICATIVO'!L339</f>
        <v>11. Ciudades y comunidades sostenibles</v>
      </c>
      <c r="M339" s="301" t="str">
        <f>'PLAN INDICATIVO'!M339</f>
        <v>Secretaría de Obras Civiles</v>
      </c>
      <c r="N339" s="1425" t="s">
        <v>5129</v>
      </c>
      <c r="O339" s="1425" t="str">
        <f>'PLAN INDICATIVO'!O339</f>
        <v>Incremento</v>
      </c>
      <c r="P339" s="16" t="str">
        <f>'PLAN INDICATIVO'!P339</f>
        <v>Realizar 4 mantenimientos correctivos o preventivos a maquinaria pesada del municipio durante el cuatrienio.</v>
      </c>
      <c r="Q339" s="302" t="str">
        <f>'PLAN INDICATIVO'!Q339</f>
        <v xml:space="preserve">No. de mantenimientos realizados </v>
      </c>
      <c r="R339" s="303">
        <f>'PLAN INDICATIVO'!R339</f>
        <v>2015</v>
      </c>
      <c r="S339" s="304">
        <v>1</v>
      </c>
      <c r="T339" s="498">
        <v>4</v>
      </c>
      <c r="U339" s="303">
        <v>1</v>
      </c>
      <c r="V339" s="687">
        <v>55000000</v>
      </c>
      <c r="W339" s="572">
        <v>1</v>
      </c>
      <c r="X339" s="572">
        <v>60000000</v>
      </c>
      <c r="Y339" s="572">
        <v>1</v>
      </c>
      <c r="Z339" s="572">
        <v>30000000</v>
      </c>
      <c r="AA339" s="1310">
        <v>1</v>
      </c>
      <c r="AB339" s="686">
        <v>30000000</v>
      </c>
      <c r="AC339" s="665"/>
      <c r="AD339" s="665">
        <v>1</v>
      </c>
      <c r="AE339" s="665">
        <v>1</v>
      </c>
      <c r="AF339" s="665">
        <v>1</v>
      </c>
      <c r="AG339" s="306" t="s">
        <v>5154</v>
      </c>
      <c r="AH339" s="987">
        <v>2019413960023</v>
      </c>
      <c r="AI339" s="307" t="s">
        <v>4856</v>
      </c>
      <c r="AJ339" s="335">
        <v>43132</v>
      </c>
      <c r="AK339" s="335">
        <v>43281</v>
      </c>
      <c r="AL339" s="308"/>
      <c r="AM339" s="308"/>
      <c r="AN339" s="267" t="s">
        <v>2598</v>
      </c>
      <c r="AO339" s="507"/>
      <c r="AP339" s="525">
        <f>100000000+50000000</f>
        <v>150000000</v>
      </c>
      <c r="AQ339" s="310"/>
      <c r="AR339" s="380"/>
      <c r="AS339" s="310"/>
      <c r="AT339" s="310"/>
      <c r="AU339" s="310"/>
      <c r="AV339" s="310"/>
      <c r="AW339" s="544"/>
      <c r="AX339" s="525"/>
      <c r="AY339" s="310"/>
      <c r="AZ339" s="380"/>
      <c r="BA339" s="310"/>
      <c r="BB339" s="310"/>
      <c r="BC339" s="310"/>
      <c r="BD339" s="310"/>
      <c r="BE339" s="544"/>
      <c r="BF339" s="525">
        <f>100000000+50000000</f>
        <v>150000000</v>
      </c>
      <c r="BG339" s="310"/>
      <c r="BH339" s="380"/>
      <c r="BI339" s="310"/>
      <c r="BJ339" s="310"/>
      <c r="BK339" s="310"/>
      <c r="BL339" s="310"/>
      <c r="BM339" s="544"/>
      <c r="BN339" s="525"/>
      <c r="BO339" s="310"/>
      <c r="BP339" s="380"/>
      <c r="BQ339" s="310"/>
      <c r="BR339" s="310"/>
      <c r="BS339" s="310"/>
      <c r="BT339" s="310"/>
      <c r="BU339" s="544"/>
      <c r="BV339" s="556"/>
      <c r="BW339" s="663">
        <f t="shared" si="144"/>
        <v>3</v>
      </c>
      <c r="BX339" s="1047">
        <f t="shared" si="133"/>
        <v>0.75</v>
      </c>
      <c r="BY339" s="1047">
        <f t="shared" si="145"/>
        <v>0</v>
      </c>
      <c r="BZ339" s="1047">
        <f t="shared" si="146"/>
        <v>1</v>
      </c>
      <c r="CA339" s="1047">
        <f t="shared" si="147"/>
        <v>1</v>
      </c>
      <c r="CB339" s="1047">
        <f t="shared" si="148"/>
        <v>1</v>
      </c>
      <c r="CD339" t="str">
        <f t="shared" si="149"/>
        <v>ROB</v>
      </c>
      <c r="CE339" t="str">
        <f t="shared" si="149"/>
        <v>VE</v>
      </c>
      <c r="CF339" t="str">
        <f t="shared" si="149"/>
        <v>VE</v>
      </c>
      <c r="CG339" t="str">
        <f t="shared" si="149"/>
        <v>VE</v>
      </c>
    </row>
    <row r="340" spans="1:86" ht="81" customHeight="1" x14ac:dyDescent="0.3">
      <c r="A340" s="298" t="s">
        <v>1002</v>
      </c>
      <c r="B340" s="299" t="str">
        <f>'PLAN INDICATIVO'!B340</f>
        <v>Transporte</v>
      </c>
      <c r="C340" s="1547"/>
      <c r="D340" s="1551"/>
      <c r="E340" s="1551"/>
      <c r="F340" s="1551"/>
      <c r="G340" s="1551"/>
      <c r="H340" s="1551"/>
      <c r="I340" s="1425" t="str">
        <f>'PLAN INDICATIVO'!I340</f>
        <v>SI</v>
      </c>
      <c r="J340" s="1425">
        <f>'PLAN INDICATIVO'!J340</f>
        <v>0</v>
      </c>
      <c r="K340" s="1425" t="str">
        <f>'PLAN INDICATIVO'!K340</f>
        <v>A.9.1.13</v>
      </c>
      <c r="L340" s="301" t="str">
        <f>'PLAN INDICATIVO'!L340</f>
        <v>11. Ciudades y comunidades sostenibles</v>
      </c>
      <c r="M340" s="301" t="str">
        <f>'PLAN INDICATIVO'!M340</f>
        <v>Secretaría de Obras Civiles</v>
      </c>
      <c r="N340" s="1513" t="s">
        <v>5129</v>
      </c>
      <c r="O340" s="1425" t="str">
        <f>'PLAN INDICATIVO'!O340</f>
        <v>Incremento</v>
      </c>
      <c r="P340" s="16" t="str">
        <f>'PLAN INDICATIVO'!P340</f>
        <v>Adquirir un kit de maquinaria para hacer el mantenimiento a la red vial, durante el cuatrienio.</v>
      </c>
      <c r="Q340" s="302" t="str">
        <f>'PLAN INDICATIVO'!Q340</f>
        <v>No. De Kit de maquinaria adquirido</v>
      </c>
      <c r="R340" s="303">
        <f>'PLAN INDICATIVO'!R340</f>
        <v>2015</v>
      </c>
      <c r="S340" s="304">
        <v>0</v>
      </c>
      <c r="T340" s="498">
        <v>1</v>
      </c>
      <c r="U340" s="303">
        <v>1</v>
      </c>
      <c r="V340" s="687">
        <v>1015000000</v>
      </c>
      <c r="W340" s="572"/>
      <c r="X340" s="572">
        <v>1000000000</v>
      </c>
      <c r="Y340" s="572">
        <v>1</v>
      </c>
      <c r="Z340" s="572"/>
      <c r="AA340" s="1310">
        <v>1</v>
      </c>
      <c r="AB340" s="686"/>
      <c r="AC340" s="665"/>
      <c r="AD340" s="665">
        <v>0</v>
      </c>
      <c r="AE340" s="665">
        <v>0</v>
      </c>
      <c r="AF340" s="665">
        <v>0</v>
      </c>
      <c r="AG340" s="306" t="s">
        <v>5154</v>
      </c>
      <c r="AH340" s="987">
        <v>2019413960023</v>
      </c>
      <c r="AI340" s="307" t="s">
        <v>4857</v>
      </c>
      <c r="AJ340" s="335"/>
      <c r="AK340" s="335"/>
      <c r="AL340" s="308"/>
      <c r="AM340" s="308"/>
      <c r="AN340" s="267" t="s">
        <v>2600</v>
      </c>
      <c r="AO340" s="507"/>
      <c r="AP340" s="525"/>
      <c r="AQ340" s="310"/>
      <c r="AR340" s="310"/>
      <c r="AS340" s="310"/>
      <c r="AT340" s="310"/>
      <c r="AU340" s="310"/>
      <c r="AV340" s="310"/>
      <c r="AW340" s="544"/>
      <c r="AX340" s="525"/>
      <c r="AY340" s="310"/>
      <c r="AZ340" s="310"/>
      <c r="BA340" s="310"/>
      <c r="BB340" s="310"/>
      <c r="BC340" s="310"/>
      <c r="BD340" s="310"/>
      <c r="BE340" s="544"/>
      <c r="BF340" s="525">
        <v>0</v>
      </c>
      <c r="BG340" s="310"/>
      <c r="BH340" s="310"/>
      <c r="BI340" s="310"/>
      <c r="BJ340" s="310"/>
      <c r="BK340" s="310"/>
      <c r="BL340" s="310"/>
      <c r="BM340" s="544">
        <f t="shared" ref="BM340:BM348" si="150">SUM(BF340:BL340)</f>
        <v>0</v>
      </c>
      <c r="BN340" s="525"/>
      <c r="BO340" s="310"/>
      <c r="BP340" s="310"/>
      <c r="BQ340" s="310"/>
      <c r="BR340" s="310"/>
      <c r="BS340" s="310"/>
      <c r="BT340" s="310"/>
      <c r="BU340" s="544"/>
      <c r="BV340" s="556"/>
      <c r="BW340" s="663">
        <f t="shared" si="144"/>
        <v>0</v>
      </c>
      <c r="BX340" s="1047">
        <f t="shared" ref="BX340:BX403" si="151">BW340/T340</f>
        <v>0</v>
      </c>
      <c r="BY340" s="1047">
        <f t="shared" si="145"/>
        <v>0</v>
      </c>
      <c r="BZ340" s="1047" t="str">
        <f t="shared" si="146"/>
        <v>No Programada</v>
      </c>
      <c r="CA340" s="1047">
        <f t="shared" si="147"/>
        <v>0</v>
      </c>
      <c r="CB340" s="1047">
        <f t="shared" si="148"/>
        <v>0</v>
      </c>
      <c r="CD340" t="str">
        <f t="shared" si="149"/>
        <v>ROB</v>
      </c>
      <c r="CE340" t="str">
        <f t="shared" si="149"/>
        <v>NP</v>
      </c>
      <c r="CF340" t="str">
        <f t="shared" si="149"/>
        <v>ROB</v>
      </c>
      <c r="CG340" t="str">
        <f t="shared" si="149"/>
        <v>ROB</v>
      </c>
    </row>
    <row r="341" spans="1:86" ht="66.75" customHeight="1" x14ac:dyDescent="0.3">
      <c r="A341" s="298" t="s">
        <v>1002</v>
      </c>
      <c r="B341" s="299" t="str">
        <f>'PLAN INDICATIVO'!B341</f>
        <v>Transporte</v>
      </c>
      <c r="C341" s="1547"/>
      <c r="D341" s="1551"/>
      <c r="E341" s="1551"/>
      <c r="F341" s="1551"/>
      <c r="G341" s="1551"/>
      <c r="H341" s="1551"/>
      <c r="I341" s="1425" t="str">
        <f>'PLAN INDICATIVO'!I341</f>
        <v>SI</v>
      </c>
      <c r="J341" s="1425">
        <f>'PLAN INDICATIVO'!J341</f>
        <v>0</v>
      </c>
      <c r="K341" s="1425" t="str">
        <f>'PLAN INDICATIVO'!K341</f>
        <v>A.9.1.14</v>
      </c>
      <c r="L341" s="301" t="str">
        <f>'PLAN INDICATIVO'!L341</f>
        <v>11. Ciudades y comunidades sostenibles</v>
      </c>
      <c r="M341" s="301" t="str">
        <f>'PLAN INDICATIVO'!M341</f>
        <v>Secretaría de Obras Civiles</v>
      </c>
      <c r="N341" s="1513" t="s">
        <v>5129</v>
      </c>
      <c r="O341" s="1425" t="str">
        <f>'PLAN INDICATIVO'!O341</f>
        <v>Incremento</v>
      </c>
      <c r="P341" s="16" t="str">
        <f>'PLAN INDICATIVO'!P341</f>
        <v>Formular  de 1 diseño e ingeniería de detalle para la construcción de la vía circunvalar.</v>
      </c>
      <c r="Q341" s="302" t="str">
        <f>'PLAN INDICATIVO'!Q341</f>
        <v xml:space="preserve">No. De Estudios y diseños formulados </v>
      </c>
      <c r="R341" s="303">
        <f>'PLAN INDICATIVO'!R341</f>
        <v>2015</v>
      </c>
      <c r="S341" s="304">
        <v>0</v>
      </c>
      <c r="T341" s="498">
        <v>1</v>
      </c>
      <c r="U341" s="303">
        <v>0.7</v>
      </c>
      <c r="V341" s="687">
        <v>414000000</v>
      </c>
      <c r="W341" s="572">
        <v>0.7</v>
      </c>
      <c r="X341" s="572">
        <v>400000000</v>
      </c>
      <c r="Y341" s="572"/>
      <c r="Z341" s="572"/>
      <c r="AA341" s="1310"/>
      <c r="AB341" s="686"/>
      <c r="AC341" s="665"/>
      <c r="AD341" s="665">
        <v>1</v>
      </c>
      <c r="AE341" s="665"/>
      <c r="AF341" s="665"/>
      <c r="AG341" s="306" t="s">
        <v>5154</v>
      </c>
      <c r="AH341" s="987">
        <v>2019413960023</v>
      </c>
      <c r="AI341" s="307" t="s">
        <v>4290</v>
      </c>
      <c r="AJ341" s="335"/>
      <c r="AK341" s="335"/>
      <c r="AL341" s="308"/>
      <c r="AM341" s="308"/>
      <c r="AN341" s="267" t="s">
        <v>2594</v>
      </c>
      <c r="AO341" s="507"/>
      <c r="AP341" s="525"/>
      <c r="AQ341" s="310"/>
      <c r="AR341" s="310"/>
      <c r="AS341" s="310"/>
      <c r="AT341" s="310"/>
      <c r="AU341" s="310"/>
      <c r="AV341" s="310"/>
      <c r="AW341" s="544"/>
      <c r="AX341" s="525"/>
      <c r="AY341" s="310"/>
      <c r="AZ341" s="310"/>
      <c r="BA341" s="310"/>
      <c r="BB341" s="310"/>
      <c r="BC341" s="310"/>
      <c r="BD341" s="310"/>
      <c r="BE341" s="544"/>
      <c r="BF341" s="525"/>
      <c r="BG341" s="310"/>
      <c r="BH341" s="310"/>
      <c r="BI341" s="310"/>
      <c r="BJ341" s="310"/>
      <c r="BK341" s="310"/>
      <c r="BL341" s="310"/>
      <c r="BM341" s="544">
        <f t="shared" si="150"/>
        <v>0</v>
      </c>
      <c r="BN341" s="525"/>
      <c r="BO341" s="310"/>
      <c r="BP341" s="310"/>
      <c r="BQ341" s="310"/>
      <c r="BR341" s="310"/>
      <c r="BS341" s="310"/>
      <c r="BT341" s="310"/>
      <c r="BU341" s="544"/>
      <c r="BV341" s="556"/>
      <c r="BW341" s="663">
        <f t="shared" si="144"/>
        <v>1</v>
      </c>
      <c r="BX341" s="1047">
        <f t="shared" si="151"/>
        <v>1</v>
      </c>
      <c r="BY341" s="1047">
        <f t="shared" si="145"/>
        <v>0</v>
      </c>
      <c r="BZ341" s="1047">
        <f t="shared" si="146"/>
        <v>1.4285714285714286</v>
      </c>
      <c r="CA341" s="1047" t="str">
        <f t="shared" si="147"/>
        <v>No Programada</v>
      </c>
      <c r="CB341" s="1047" t="str">
        <f t="shared" si="148"/>
        <v>No Programada</v>
      </c>
      <c r="CD341" t="str">
        <f t="shared" si="149"/>
        <v>ROB</v>
      </c>
      <c r="CE341" t="str">
        <f t="shared" si="149"/>
        <v>VE</v>
      </c>
      <c r="CF341" t="str">
        <f t="shared" si="149"/>
        <v>NP</v>
      </c>
      <c r="CG341" t="str">
        <f t="shared" si="149"/>
        <v>NP</v>
      </c>
    </row>
    <row r="342" spans="1:86" ht="94.5" customHeight="1" x14ac:dyDescent="0.3">
      <c r="A342" s="298" t="s">
        <v>1002</v>
      </c>
      <c r="B342" s="299" t="str">
        <f>'PLAN INDICATIVO'!B342</f>
        <v>Transporte</v>
      </c>
      <c r="C342" s="1547"/>
      <c r="D342" s="1551"/>
      <c r="E342" s="1551"/>
      <c r="F342" s="1551"/>
      <c r="G342" s="1551"/>
      <c r="H342" s="1551"/>
      <c r="I342" s="1425" t="str">
        <f>'PLAN INDICATIVO'!I342</f>
        <v>SI</v>
      </c>
      <c r="J342" s="1425">
        <f>'PLAN INDICATIVO'!J342</f>
        <v>0</v>
      </c>
      <c r="K342" s="1425" t="str">
        <f>'PLAN INDICATIVO'!K342</f>
        <v>A.9.1.15</v>
      </c>
      <c r="L342" s="301" t="str">
        <f>'PLAN INDICATIVO'!L342</f>
        <v>11. Ciudades y comunidades sostenibles</v>
      </c>
      <c r="M342" s="301" t="str">
        <f>'PLAN INDICATIVO'!M342</f>
        <v>Secretaría de Obras Civiles</v>
      </c>
      <c r="N342" s="1513" t="s">
        <v>5129</v>
      </c>
      <c r="O342" s="1425" t="str">
        <f>'PLAN INDICATIVO'!O342</f>
        <v>Incremento</v>
      </c>
      <c r="P342" s="16" t="str">
        <f>'PLAN INDICATIVO'!P342</f>
        <v>Pavimentar 34.000 m2 de vías en el sector urbano y/o centros poblados, durante el cuatrienio.</v>
      </c>
      <c r="Q342" s="302" t="str">
        <f>'PLAN INDICATIVO'!Q342</f>
        <v>No. de m2 de vías pavimentados</v>
      </c>
      <c r="R342" s="303">
        <f>'PLAN INDICATIVO'!R342</f>
        <v>2015</v>
      </c>
      <c r="S342" s="304">
        <v>0</v>
      </c>
      <c r="T342" s="1302">
        <v>34000</v>
      </c>
      <c r="U342" s="303">
        <v>9000</v>
      </c>
      <c r="V342" s="687">
        <v>899000000</v>
      </c>
      <c r="W342" s="572">
        <v>9000</v>
      </c>
      <c r="X342" s="572">
        <v>1064000000</v>
      </c>
      <c r="Y342" s="572"/>
      <c r="Z342" s="572">
        <v>1100000000</v>
      </c>
      <c r="AA342" s="1310">
        <v>463.84</v>
      </c>
      <c r="AB342" s="686">
        <v>150000000</v>
      </c>
      <c r="AC342" s="665"/>
      <c r="AD342" s="665">
        <v>11301.539999999999</v>
      </c>
      <c r="AE342" s="665">
        <v>3134</v>
      </c>
      <c r="AF342" s="1466">
        <v>464</v>
      </c>
      <c r="AG342" s="306" t="s">
        <v>5154</v>
      </c>
      <c r="AH342" s="987">
        <v>2019413960023</v>
      </c>
      <c r="AI342" s="307" t="s">
        <v>5059</v>
      </c>
      <c r="AJ342" s="335">
        <v>43132</v>
      </c>
      <c r="AK342" s="335">
        <v>43281</v>
      </c>
      <c r="AL342" s="308"/>
      <c r="AM342" s="308"/>
      <c r="AN342" s="267" t="s">
        <v>2594</v>
      </c>
      <c r="AO342" s="507"/>
      <c r="AP342" s="525"/>
      <c r="AQ342" s="310"/>
      <c r="AR342" s="310"/>
      <c r="AS342" s="310"/>
      <c r="AT342" s="310"/>
      <c r="AU342" s="310"/>
      <c r="AV342" s="310"/>
      <c r="AW342" s="544"/>
      <c r="AX342" s="525"/>
      <c r="AY342" s="310"/>
      <c r="AZ342" s="310"/>
      <c r="BA342" s="310"/>
      <c r="BB342" s="310"/>
      <c r="BC342" s="310"/>
      <c r="BD342" s="310"/>
      <c r="BE342" s="544"/>
      <c r="BF342" s="525"/>
      <c r="BG342" s="310"/>
      <c r="BH342" s="310">
        <v>2743585627</v>
      </c>
      <c r="BI342" s="310"/>
      <c r="BJ342" s="310"/>
      <c r="BK342" s="310">
        <v>249869941</v>
      </c>
      <c r="BL342" s="310"/>
      <c r="BM342" s="544">
        <f t="shared" si="150"/>
        <v>2993455568</v>
      </c>
      <c r="BN342" s="525"/>
      <c r="BO342" s="310"/>
      <c r="BP342" s="310"/>
      <c r="BQ342" s="310"/>
      <c r="BR342" s="310"/>
      <c r="BS342" s="310"/>
      <c r="BT342" s="310"/>
      <c r="BU342" s="544"/>
      <c r="BV342" s="556"/>
      <c r="BW342" s="663">
        <f t="shared" si="144"/>
        <v>14899.539999999999</v>
      </c>
      <c r="BX342" s="1047">
        <f t="shared" si="151"/>
        <v>0.43822176470588231</v>
      </c>
      <c r="BY342" s="1047">
        <f t="shared" si="145"/>
        <v>0</v>
      </c>
      <c r="BZ342" s="1047">
        <f t="shared" si="146"/>
        <v>1.2557266666666667</v>
      </c>
      <c r="CA342" s="1047" t="str">
        <f t="shared" si="147"/>
        <v>No Programada</v>
      </c>
      <c r="CB342" s="1047"/>
      <c r="CD342" t="str">
        <f t="shared" si="149"/>
        <v>ROB</v>
      </c>
      <c r="CE342" t="str">
        <f t="shared" si="149"/>
        <v>VE</v>
      </c>
      <c r="CF342" t="str">
        <f t="shared" si="149"/>
        <v>NP</v>
      </c>
      <c r="CG342" t="str">
        <f t="shared" si="149"/>
        <v>ROB</v>
      </c>
      <c r="CH342" t="s">
        <v>4790</v>
      </c>
    </row>
    <row r="343" spans="1:86" ht="74.25" customHeight="1" x14ac:dyDescent="0.3">
      <c r="A343" s="298" t="s">
        <v>1002</v>
      </c>
      <c r="B343" s="299" t="str">
        <f>'PLAN INDICATIVO'!B343</f>
        <v>Transporte</v>
      </c>
      <c r="C343" s="1547"/>
      <c r="D343" s="1551"/>
      <c r="E343" s="1551"/>
      <c r="F343" s="1551"/>
      <c r="G343" s="1551"/>
      <c r="H343" s="1551"/>
      <c r="I343" s="1425" t="str">
        <f>'PLAN INDICATIVO'!I343</f>
        <v>SI</v>
      </c>
      <c r="J343" s="1425">
        <f>'PLAN INDICATIVO'!J343</f>
        <v>0</v>
      </c>
      <c r="K343" s="1425" t="str">
        <f>'PLAN INDICATIVO'!K343</f>
        <v>A.9.1.16</v>
      </c>
      <c r="L343" s="301" t="str">
        <f>'PLAN INDICATIVO'!L343</f>
        <v>11. Ciudades y comunidades sostenibles</v>
      </c>
      <c r="M343" s="301" t="str">
        <f>'PLAN INDICATIVO'!M343</f>
        <v>Secretaría de Obras Civiles</v>
      </c>
      <c r="N343" s="1513" t="s">
        <v>5129</v>
      </c>
      <c r="O343" s="1425" t="str">
        <f>'PLAN INDICATIVO'!O343</f>
        <v>Incremento</v>
      </c>
      <c r="P343" s="16" t="str">
        <f>'PLAN INDICATIVO'!P343</f>
        <v>Construir 1200 ml de andenes en el sector urbano y/o los centros poblados, durante el cuatrienio.</v>
      </c>
      <c r="Q343" s="302" t="str">
        <f>'PLAN INDICATIVO'!Q343</f>
        <v>No. de metros lineales de andenes construidos</v>
      </c>
      <c r="R343" s="303">
        <f>'PLAN INDICATIVO'!R343</f>
        <v>2015</v>
      </c>
      <c r="S343" s="304">
        <v>0</v>
      </c>
      <c r="T343" s="1302">
        <v>1200</v>
      </c>
      <c r="U343" s="303">
        <v>400</v>
      </c>
      <c r="V343" s="687">
        <v>80000000</v>
      </c>
      <c r="W343" s="572"/>
      <c r="X343" s="687">
        <v>75000000</v>
      </c>
      <c r="Y343" s="572">
        <v>496</v>
      </c>
      <c r="Z343" s="687">
        <v>15000000</v>
      </c>
      <c r="AA343" s="1310">
        <v>96</v>
      </c>
      <c r="AB343" s="686">
        <v>50000000</v>
      </c>
      <c r="AC343" s="665"/>
      <c r="AD343" s="665">
        <v>0</v>
      </c>
      <c r="AE343" s="665">
        <v>400</v>
      </c>
      <c r="AF343" s="665">
        <v>100</v>
      </c>
      <c r="AG343" s="306" t="s">
        <v>5154</v>
      </c>
      <c r="AH343" s="987">
        <v>2019413960023</v>
      </c>
      <c r="AI343" s="307" t="s">
        <v>4758</v>
      </c>
      <c r="AJ343" s="335">
        <v>43132</v>
      </c>
      <c r="AK343" s="335">
        <v>43281</v>
      </c>
      <c r="AL343" s="308"/>
      <c r="AM343" s="308"/>
      <c r="AN343" s="267" t="s">
        <v>2600</v>
      </c>
      <c r="AO343" s="507"/>
      <c r="AP343" s="525"/>
      <c r="AQ343" s="310"/>
      <c r="AR343" s="310"/>
      <c r="AS343" s="310"/>
      <c r="AT343" s="310"/>
      <c r="AU343" s="310"/>
      <c r="AV343" s="310"/>
      <c r="AW343" s="544"/>
      <c r="AX343" s="525"/>
      <c r="AY343" s="310"/>
      <c r="AZ343" s="310"/>
      <c r="BA343" s="310"/>
      <c r="BB343" s="310"/>
      <c r="BC343" s="310"/>
      <c r="BD343" s="310"/>
      <c r="BE343" s="544"/>
      <c r="BF343" s="525"/>
      <c r="BG343" s="310"/>
      <c r="BH343" s="310"/>
      <c r="BI343" s="310"/>
      <c r="BJ343" s="310"/>
      <c r="BK343" s="310"/>
      <c r="BL343" s="310"/>
      <c r="BM343" s="544">
        <f t="shared" si="150"/>
        <v>0</v>
      </c>
      <c r="BN343" s="525"/>
      <c r="BO343" s="310"/>
      <c r="BP343" s="310"/>
      <c r="BQ343" s="310"/>
      <c r="BR343" s="310"/>
      <c r="BS343" s="310"/>
      <c r="BT343" s="310"/>
      <c r="BU343" s="544"/>
      <c r="BV343" s="556"/>
      <c r="BW343" s="663">
        <f t="shared" si="144"/>
        <v>500</v>
      </c>
      <c r="BX343" s="1047">
        <f t="shared" si="151"/>
        <v>0.41666666666666669</v>
      </c>
      <c r="BY343" s="1047">
        <f t="shared" si="145"/>
        <v>0</v>
      </c>
      <c r="BZ343" s="1047" t="str">
        <f t="shared" si="146"/>
        <v>No Programada</v>
      </c>
      <c r="CA343" s="1047">
        <f t="shared" si="147"/>
        <v>0.80645161290322576</v>
      </c>
      <c r="CB343" s="1047">
        <f t="shared" si="148"/>
        <v>1.0416666666666667</v>
      </c>
      <c r="CD343" t="str">
        <f t="shared" si="149"/>
        <v>ROB</v>
      </c>
      <c r="CE343" t="str">
        <f t="shared" si="149"/>
        <v>NP</v>
      </c>
      <c r="CF343" t="str">
        <f t="shared" si="149"/>
        <v>VEB</v>
      </c>
      <c r="CG343" t="str">
        <f t="shared" si="149"/>
        <v>VE</v>
      </c>
    </row>
    <row r="344" spans="1:86" ht="80.25" customHeight="1" x14ac:dyDescent="0.3">
      <c r="A344" s="298" t="s">
        <v>1002</v>
      </c>
      <c r="B344" s="299" t="str">
        <f>'PLAN INDICATIVO'!B344</f>
        <v>Transporte</v>
      </c>
      <c r="C344" s="1547"/>
      <c r="D344" s="1551"/>
      <c r="E344" s="1551"/>
      <c r="F344" s="1551"/>
      <c r="G344" s="1551"/>
      <c r="H344" s="1551"/>
      <c r="I344" s="300">
        <f>'PLAN INDICATIVO'!I344</f>
        <v>0</v>
      </c>
      <c r="J344" s="300">
        <f>'PLAN INDICATIVO'!J344</f>
        <v>0</v>
      </c>
      <c r="K344" s="1425" t="str">
        <f>'PLAN INDICATIVO'!K344</f>
        <v>A.9.1.17</v>
      </c>
      <c r="L344" s="301" t="str">
        <f>'PLAN INDICATIVO'!L344</f>
        <v>11. Ciudades y comunidades sostenibles</v>
      </c>
      <c r="M344" s="301" t="str">
        <f>'PLAN INDICATIVO'!M344</f>
        <v>Secretaría de Obras Civiles</v>
      </c>
      <c r="N344" s="1513" t="s">
        <v>5129</v>
      </c>
      <c r="O344" s="1425" t="str">
        <f>'PLAN INDICATIVO'!O344</f>
        <v>Incremento</v>
      </c>
      <c r="P344" s="16" t="str">
        <f>'PLAN INDICATIVO'!P344</f>
        <v>Realizar mantenimiento rutinario de 500 km  de la red vial terciaria rural y centros poblados, durante el cuatrienio.</v>
      </c>
      <c r="Q344" s="302" t="str">
        <f>'PLAN INDICATIVO'!Q344</f>
        <v>No. de Km de red vial mantenida</v>
      </c>
      <c r="R344" s="303">
        <f>'PLAN INDICATIVO'!R344</f>
        <v>2015</v>
      </c>
      <c r="S344" s="304">
        <v>0</v>
      </c>
      <c r="T344" s="498">
        <v>500</v>
      </c>
      <c r="U344" s="303">
        <v>125</v>
      </c>
      <c r="V344" s="687">
        <v>50000000</v>
      </c>
      <c r="W344" s="572">
        <v>125</v>
      </c>
      <c r="X344" s="687">
        <v>120000000</v>
      </c>
      <c r="Y344" s="572">
        <v>125</v>
      </c>
      <c r="Z344" s="687">
        <v>185000000</v>
      </c>
      <c r="AA344" s="1310">
        <v>141</v>
      </c>
      <c r="AB344" s="686">
        <v>150000000</v>
      </c>
      <c r="AC344" s="665"/>
      <c r="AD344" s="665">
        <v>144</v>
      </c>
      <c r="AE344" s="665">
        <v>85</v>
      </c>
      <c r="AF344" s="665">
        <v>141</v>
      </c>
      <c r="AG344" s="306" t="s">
        <v>5154</v>
      </c>
      <c r="AH344" s="987">
        <v>2019413960023</v>
      </c>
      <c r="AI344" s="307" t="s">
        <v>4889</v>
      </c>
      <c r="AJ344" s="335">
        <v>43132</v>
      </c>
      <c r="AK344" s="335">
        <v>43281</v>
      </c>
      <c r="AL344" s="308"/>
      <c r="AM344" s="308"/>
      <c r="AN344" s="267" t="s">
        <v>2604</v>
      </c>
      <c r="AO344" s="507"/>
      <c r="AP344" s="525"/>
      <c r="AQ344" s="310"/>
      <c r="AR344" s="310"/>
      <c r="AS344" s="310"/>
      <c r="AT344" s="310"/>
      <c r="AU344" s="310"/>
      <c r="AV344" s="310"/>
      <c r="AW344" s="544"/>
      <c r="AX344" s="525"/>
      <c r="AY344" s="310"/>
      <c r="AZ344" s="310"/>
      <c r="BA344" s="310"/>
      <c r="BB344" s="310"/>
      <c r="BC344" s="310"/>
      <c r="BD344" s="310"/>
      <c r="BE344" s="544"/>
      <c r="BF344" s="525" t="s">
        <v>4759</v>
      </c>
      <c r="BG344" s="310"/>
      <c r="BH344" s="310"/>
      <c r="BI344" s="310"/>
      <c r="BJ344" s="310"/>
      <c r="BK344" s="310"/>
      <c r="BL344" s="310"/>
      <c r="BM344" s="544">
        <f t="shared" si="150"/>
        <v>0</v>
      </c>
      <c r="BN344" s="525"/>
      <c r="BO344" s="310"/>
      <c r="BP344" s="310"/>
      <c r="BQ344" s="310"/>
      <c r="BR344" s="310"/>
      <c r="BS344" s="310"/>
      <c r="BT344" s="310"/>
      <c r="BU344" s="544"/>
      <c r="BV344" s="556"/>
      <c r="BW344" s="663">
        <f t="shared" si="144"/>
        <v>370</v>
      </c>
      <c r="BX344" s="1047">
        <f t="shared" si="151"/>
        <v>0.74</v>
      </c>
      <c r="BY344" s="1047">
        <f t="shared" si="145"/>
        <v>0</v>
      </c>
      <c r="BZ344" s="1047">
        <f t="shared" si="146"/>
        <v>1.1519999999999999</v>
      </c>
      <c r="CA344" s="1047">
        <f t="shared" si="147"/>
        <v>0.68</v>
      </c>
      <c r="CB344" s="1047">
        <f t="shared" si="148"/>
        <v>1</v>
      </c>
      <c r="CD344" t="str">
        <f t="shared" si="149"/>
        <v>ROB</v>
      </c>
      <c r="CE344" t="str">
        <f t="shared" si="149"/>
        <v>VE</v>
      </c>
      <c r="CF344" t="str">
        <f t="shared" si="149"/>
        <v>AM</v>
      </c>
      <c r="CG344" t="str">
        <f t="shared" si="149"/>
        <v>VE</v>
      </c>
    </row>
    <row r="345" spans="1:86" ht="81.75" customHeight="1" x14ac:dyDescent="0.3">
      <c r="A345" s="298" t="s">
        <v>1002</v>
      </c>
      <c r="B345" s="299" t="str">
        <f>'PLAN INDICATIVO'!B345</f>
        <v>Transporte</v>
      </c>
      <c r="C345" s="1547"/>
      <c r="D345" s="1551"/>
      <c r="E345" s="1551"/>
      <c r="F345" s="1551"/>
      <c r="G345" s="1551"/>
      <c r="H345" s="1551"/>
      <c r="I345" s="1425" t="str">
        <f>'PLAN INDICATIVO'!I345</f>
        <v>SI</v>
      </c>
      <c r="J345" s="1425">
        <f>'PLAN INDICATIVO'!J345</f>
        <v>0</v>
      </c>
      <c r="K345" s="1425" t="str">
        <f>'PLAN INDICATIVO'!K345</f>
        <v>A.9.1.18</v>
      </c>
      <c r="L345" s="301" t="str">
        <f>'PLAN INDICATIVO'!L345</f>
        <v>11. Ciudades y comunidades sostenibles</v>
      </c>
      <c r="M345" s="301" t="str">
        <f>'PLAN INDICATIVO'!M345</f>
        <v>Secretaría de Obras Civiles</v>
      </c>
      <c r="N345" s="1513" t="s">
        <v>5129</v>
      </c>
      <c r="O345" s="1425" t="str">
        <f>'PLAN INDICATIVO'!O345</f>
        <v>Incremento</v>
      </c>
      <c r="P345" s="16" t="str">
        <f>'PLAN INDICATIVO'!P345</f>
        <v>Construir  3.500 ml en placa huella</v>
      </c>
      <c r="Q345" s="302" t="str">
        <f>'PLAN INDICATIVO'!Q345</f>
        <v>No. de Metros lineales de placa huella construida</v>
      </c>
      <c r="R345" s="303">
        <f>'PLAN INDICATIVO'!R345</f>
        <v>2015</v>
      </c>
      <c r="S345" s="304">
        <v>0</v>
      </c>
      <c r="T345" s="1299">
        <v>3500</v>
      </c>
      <c r="U345" s="303">
        <v>700</v>
      </c>
      <c r="V345" s="687">
        <v>111000000</v>
      </c>
      <c r="W345" s="572">
        <v>700</v>
      </c>
      <c r="X345" s="687">
        <v>130000000</v>
      </c>
      <c r="Y345" s="572">
        <v>1457</v>
      </c>
      <c r="Z345" s="687">
        <v>165000000</v>
      </c>
      <c r="AA345" s="1310">
        <v>98.7</v>
      </c>
      <c r="AB345" s="686">
        <v>35000000</v>
      </c>
      <c r="AC345" s="665"/>
      <c r="AD345" s="665">
        <v>1050</v>
      </c>
      <c r="AE345" s="665">
        <f>607.8+1250</f>
        <v>1857.8</v>
      </c>
      <c r="AF345" s="665">
        <v>200</v>
      </c>
      <c r="AG345" s="306" t="s">
        <v>5154</v>
      </c>
      <c r="AH345" s="987">
        <v>2019413960023</v>
      </c>
      <c r="AI345" s="307" t="s">
        <v>4890</v>
      </c>
      <c r="AJ345" s="335">
        <v>43132</v>
      </c>
      <c r="AK345" s="335">
        <v>43281</v>
      </c>
      <c r="AL345" s="308"/>
      <c r="AM345" s="308"/>
      <c r="AN345" s="267" t="s">
        <v>2604</v>
      </c>
      <c r="AO345" s="507"/>
      <c r="AP345" s="525"/>
      <c r="AQ345" s="310"/>
      <c r="AR345" s="310"/>
      <c r="AS345" s="310"/>
      <c r="AT345" s="310"/>
      <c r="AU345" s="310"/>
      <c r="AV345" s="310"/>
      <c r="AW345" s="544"/>
      <c r="AX345" s="525"/>
      <c r="AY345" s="310"/>
      <c r="AZ345" s="310"/>
      <c r="BA345" s="310"/>
      <c r="BB345" s="310"/>
      <c r="BC345" s="310"/>
      <c r="BD345" s="310"/>
      <c r="BE345" s="544"/>
      <c r="BF345" s="525"/>
      <c r="BG345" s="310"/>
      <c r="BH345" s="310"/>
      <c r="BI345" s="310"/>
      <c r="BJ345" s="310"/>
      <c r="BK345" s="310"/>
      <c r="BL345" s="310"/>
      <c r="BM345" s="544">
        <f t="shared" si="150"/>
        <v>0</v>
      </c>
      <c r="BN345" s="525"/>
      <c r="BO345" s="310"/>
      <c r="BP345" s="310"/>
      <c r="BQ345" s="310"/>
      <c r="BR345" s="310"/>
      <c r="BS345" s="310"/>
      <c r="BT345" s="310"/>
      <c r="BU345" s="544"/>
      <c r="BV345" s="556"/>
      <c r="BW345" s="663">
        <f t="shared" si="144"/>
        <v>3107.8</v>
      </c>
      <c r="BX345" s="1047">
        <f t="shared" si="151"/>
        <v>0.88794285714285714</v>
      </c>
      <c r="BY345" s="1047">
        <f t="shared" si="145"/>
        <v>0</v>
      </c>
      <c r="BZ345" s="1047">
        <f t="shared" si="146"/>
        <v>1.5</v>
      </c>
      <c r="CA345" s="1047">
        <f t="shared" si="147"/>
        <v>1.275085792724777</v>
      </c>
      <c r="CB345" s="1047">
        <f t="shared" si="148"/>
        <v>2.0263424518743669</v>
      </c>
      <c r="CD345" t="str">
        <f t="shared" si="149"/>
        <v>ROB</v>
      </c>
      <c r="CE345" t="str">
        <f t="shared" si="149"/>
        <v>VE</v>
      </c>
      <c r="CF345" t="str">
        <f t="shared" si="149"/>
        <v>VE</v>
      </c>
      <c r="CG345" t="str">
        <f t="shared" si="149"/>
        <v>VE</v>
      </c>
    </row>
    <row r="346" spans="1:86" ht="81" customHeight="1" x14ac:dyDescent="0.3">
      <c r="A346" s="298" t="s">
        <v>1002</v>
      </c>
      <c r="B346" s="299" t="str">
        <f>'PLAN INDICATIVO'!B346</f>
        <v>Transporte</v>
      </c>
      <c r="C346" s="1547"/>
      <c r="D346" s="1551"/>
      <c r="E346" s="1551"/>
      <c r="F346" s="1551"/>
      <c r="G346" s="1551"/>
      <c r="H346" s="1551"/>
      <c r="I346" s="1425" t="str">
        <f>'PLAN INDICATIVO'!I346</f>
        <v>SI</v>
      </c>
      <c r="J346" s="1425">
        <f>'PLAN INDICATIVO'!J346</f>
        <v>0</v>
      </c>
      <c r="K346" s="1425" t="str">
        <f>'PLAN INDICATIVO'!K346</f>
        <v>A.9.1.19</v>
      </c>
      <c r="L346" s="301" t="str">
        <f>'PLAN INDICATIVO'!L346</f>
        <v>11. Ciudades y comunidades sostenibles</v>
      </c>
      <c r="M346" s="301" t="str">
        <f>'PLAN INDICATIVO'!M346</f>
        <v>Secretaría de Obras Civiles</v>
      </c>
      <c r="N346" s="1513" t="s">
        <v>5129</v>
      </c>
      <c r="O346" s="1425" t="str">
        <f>'PLAN INDICATIVO'!O346</f>
        <v>Incremento</v>
      </c>
      <c r="P346" s="16" t="str">
        <f>'PLAN INDICATIVO'!P346</f>
        <v>Realizar la construcción y/o mejoramiento de 85 obras de arte viales,  en el cuatrienio.</v>
      </c>
      <c r="Q346" s="302" t="str">
        <f>'PLAN INDICATIVO'!Q346</f>
        <v>No. de obras de arte construidas o mejoradas</v>
      </c>
      <c r="R346" s="303">
        <f>'PLAN INDICATIVO'!R346</f>
        <v>2015</v>
      </c>
      <c r="S346" s="304">
        <v>0</v>
      </c>
      <c r="T346" s="1299">
        <v>85</v>
      </c>
      <c r="U346" s="303">
        <v>20</v>
      </c>
      <c r="V346" s="687">
        <v>29000000</v>
      </c>
      <c r="W346" s="572">
        <v>12</v>
      </c>
      <c r="X346" s="687">
        <v>20000000</v>
      </c>
      <c r="Y346" s="572">
        <v>5</v>
      </c>
      <c r="Z346" s="687">
        <v>36000000</v>
      </c>
      <c r="AA346" s="1336">
        <v>39</v>
      </c>
      <c r="AB346" s="686">
        <v>21000000</v>
      </c>
      <c r="AC346" s="665"/>
      <c r="AD346" s="665">
        <v>13</v>
      </c>
      <c r="AE346" s="665">
        <v>3</v>
      </c>
      <c r="AF346" s="665">
        <v>70</v>
      </c>
      <c r="AG346" s="306" t="s">
        <v>5154</v>
      </c>
      <c r="AH346" s="987">
        <v>2019413960023</v>
      </c>
      <c r="AI346" s="307" t="s">
        <v>4891</v>
      </c>
      <c r="AJ346" s="335">
        <v>43132</v>
      </c>
      <c r="AK346" s="335">
        <v>43281</v>
      </c>
      <c r="AL346" s="308"/>
      <c r="AM346" s="308"/>
      <c r="AN346" s="267" t="s">
        <v>2600</v>
      </c>
      <c r="AO346" s="507"/>
      <c r="AP346" s="525"/>
      <c r="AQ346" s="310"/>
      <c r="AR346" s="310"/>
      <c r="AS346" s="310"/>
      <c r="AT346" s="310"/>
      <c r="AU346" s="310"/>
      <c r="AV346" s="310"/>
      <c r="AW346" s="544"/>
      <c r="AX346" s="525"/>
      <c r="AY346" s="310"/>
      <c r="AZ346" s="310"/>
      <c r="BA346" s="310"/>
      <c r="BB346" s="310"/>
      <c r="BC346" s="310"/>
      <c r="BD346" s="310"/>
      <c r="BE346" s="544"/>
      <c r="BF346" s="525">
        <v>49000000</v>
      </c>
      <c r="BG346" s="310">
        <f>140000000+31000000</f>
        <v>171000000</v>
      </c>
      <c r="BH346" s="310"/>
      <c r="BI346" s="310"/>
      <c r="BJ346" s="310"/>
      <c r="BK346" s="310"/>
      <c r="BL346" s="310">
        <v>147000000</v>
      </c>
      <c r="BM346" s="544">
        <f t="shared" si="150"/>
        <v>367000000</v>
      </c>
      <c r="BN346" s="525"/>
      <c r="BO346" s="310"/>
      <c r="BP346" s="310"/>
      <c r="BQ346" s="310"/>
      <c r="BR346" s="310"/>
      <c r="BS346" s="310"/>
      <c r="BT346" s="310"/>
      <c r="BU346" s="544"/>
      <c r="BV346" s="556"/>
      <c r="BW346" s="663">
        <f t="shared" si="144"/>
        <v>86</v>
      </c>
      <c r="BX346" s="1047">
        <f t="shared" si="151"/>
        <v>1.0117647058823529</v>
      </c>
      <c r="BY346" s="1047">
        <f t="shared" si="145"/>
        <v>0</v>
      </c>
      <c r="BZ346" s="1047">
        <f t="shared" si="146"/>
        <v>1.0833333333333333</v>
      </c>
      <c r="CA346" s="1047">
        <f t="shared" si="147"/>
        <v>0.6</v>
      </c>
      <c r="CB346" s="1047">
        <f t="shared" si="148"/>
        <v>1.7948717948717949</v>
      </c>
      <c r="CD346" t="str">
        <f t="shared" si="149"/>
        <v>ROB</v>
      </c>
      <c r="CE346" t="str">
        <f t="shared" si="149"/>
        <v>VE</v>
      </c>
      <c r="CF346" t="str">
        <f t="shared" si="149"/>
        <v>AMB</v>
      </c>
      <c r="CG346" t="str">
        <f t="shared" si="149"/>
        <v>VE</v>
      </c>
    </row>
    <row r="347" spans="1:86" ht="100.5" customHeight="1" x14ac:dyDescent="0.3">
      <c r="A347" s="298" t="s">
        <v>1002</v>
      </c>
      <c r="B347" s="299" t="str">
        <f>'PLAN INDICATIVO'!B347</f>
        <v>Transporte</v>
      </c>
      <c r="C347" s="1547"/>
      <c r="D347" s="1551"/>
      <c r="E347" s="1551"/>
      <c r="F347" s="1551"/>
      <c r="G347" s="1551"/>
      <c r="H347" s="1551"/>
      <c r="I347" s="1425" t="str">
        <f>'PLAN INDICATIVO'!I347</f>
        <v>SI</v>
      </c>
      <c r="J347" s="1425">
        <f>'PLAN INDICATIVO'!J347</f>
        <v>0</v>
      </c>
      <c r="K347" s="1425" t="str">
        <f>'PLAN INDICATIVO'!K347</f>
        <v>A.9.1.20</v>
      </c>
      <c r="L347" s="301" t="str">
        <f>'PLAN INDICATIVO'!L347</f>
        <v>11. Ciudades y comunidades sostenibles</v>
      </c>
      <c r="M347" s="301" t="str">
        <f>'PLAN INDICATIVO'!M347</f>
        <v>Secretaría de Obras Civiles</v>
      </c>
      <c r="N347" s="1513" t="s">
        <v>5129</v>
      </c>
      <c r="O347" s="1425" t="str">
        <f>'PLAN INDICATIVO'!O347</f>
        <v>Incremento</v>
      </c>
      <c r="P347" s="16" t="str">
        <f>'PLAN INDICATIVO'!P347</f>
        <v>Realizar la construcción y/o mejoramiento de  6  puentes vehiculares.</v>
      </c>
      <c r="Q347" s="302" t="str">
        <f>'PLAN INDICATIVO'!Q347</f>
        <v>No. de puentes vehiculares construidos</v>
      </c>
      <c r="R347" s="303">
        <f>'PLAN INDICATIVO'!R347</f>
        <v>2015</v>
      </c>
      <c r="S347" s="304">
        <v>0</v>
      </c>
      <c r="T347" s="498">
        <v>6</v>
      </c>
      <c r="U347" s="303">
        <v>2</v>
      </c>
      <c r="V347" s="687">
        <v>60000000</v>
      </c>
      <c r="W347" s="572">
        <v>1</v>
      </c>
      <c r="X347" s="687">
        <v>55000000</v>
      </c>
      <c r="Y347" s="572">
        <v>1</v>
      </c>
      <c r="Z347" s="687">
        <v>100000000</v>
      </c>
      <c r="AA347" s="1310"/>
      <c r="AB347" s="686">
        <v>45000000</v>
      </c>
      <c r="AC347" s="665"/>
      <c r="AD347" s="665">
        <v>3</v>
      </c>
      <c r="AE347" s="665">
        <v>3</v>
      </c>
      <c r="AF347" s="665"/>
      <c r="AG347" s="306" t="s">
        <v>5154</v>
      </c>
      <c r="AH347" s="987">
        <v>2019413960023</v>
      </c>
      <c r="AI347" s="307" t="s">
        <v>4892</v>
      </c>
      <c r="AJ347" s="335">
        <v>43132</v>
      </c>
      <c r="AK347" s="335">
        <v>43281</v>
      </c>
      <c r="AL347" s="308"/>
      <c r="AM347" s="308"/>
      <c r="AN347" s="267" t="s">
        <v>2598</v>
      </c>
      <c r="AO347" s="507"/>
      <c r="AP347" s="525"/>
      <c r="AQ347" s="310"/>
      <c r="AR347" s="310"/>
      <c r="AS347" s="310"/>
      <c r="AT347" s="310"/>
      <c r="AU347" s="310"/>
      <c r="AV347" s="310"/>
      <c r="AW347" s="544"/>
      <c r="AX347" s="525"/>
      <c r="AY347" s="310"/>
      <c r="AZ347" s="310"/>
      <c r="BA347" s="310"/>
      <c r="BB347" s="310"/>
      <c r="BC347" s="310"/>
      <c r="BD347" s="310"/>
      <c r="BE347" s="544"/>
      <c r="BF347" s="525">
        <f>10537121+13406056+56558220+1288599+9703334+10146666+586825+802218</f>
        <v>103029039</v>
      </c>
      <c r="BG347" s="310">
        <f>12797629+26209194+37050000+127000000+200000+130064886+15649252+18000000</f>
        <v>366970961</v>
      </c>
      <c r="BH347" s="310"/>
      <c r="BI347" s="310"/>
      <c r="BJ347" s="310"/>
      <c r="BK347" s="310">
        <v>1718278032</v>
      </c>
      <c r="BL347" s="310"/>
      <c r="BM347" s="544">
        <f>SUM(BF347:BL347)</f>
        <v>2188278032</v>
      </c>
      <c r="BN347" s="525"/>
      <c r="BO347" s="310"/>
      <c r="BP347" s="310"/>
      <c r="BQ347" s="310"/>
      <c r="BR347" s="310"/>
      <c r="BS347" s="310"/>
      <c r="BT347" s="310"/>
      <c r="BU347" s="544"/>
      <c r="BV347" s="556"/>
      <c r="BW347" s="663">
        <f t="shared" si="144"/>
        <v>6</v>
      </c>
      <c r="BX347" s="1047">
        <f t="shared" si="151"/>
        <v>1</v>
      </c>
      <c r="BY347" s="1047">
        <f t="shared" si="145"/>
        <v>0</v>
      </c>
      <c r="BZ347" s="1047">
        <f t="shared" si="146"/>
        <v>3</v>
      </c>
      <c r="CA347" s="1047">
        <f t="shared" si="147"/>
        <v>3</v>
      </c>
      <c r="CB347" s="1047" t="str">
        <f t="shared" si="148"/>
        <v>No Programada</v>
      </c>
      <c r="CD347" t="str">
        <f t="shared" si="149"/>
        <v>ROB</v>
      </c>
      <c r="CE347" t="str">
        <f t="shared" si="149"/>
        <v>VE</v>
      </c>
      <c r="CF347" t="str">
        <f t="shared" si="149"/>
        <v>VE</v>
      </c>
      <c r="CG347" t="str">
        <f t="shared" si="149"/>
        <v>NP</v>
      </c>
    </row>
    <row r="348" spans="1:86" ht="72.75" customHeight="1" thickBot="1" x14ac:dyDescent="0.35">
      <c r="A348" s="298" t="s">
        <v>1002</v>
      </c>
      <c r="B348" s="299" t="str">
        <f>'PLAN INDICATIVO'!B348</f>
        <v>Transporte</v>
      </c>
      <c r="C348" s="1548"/>
      <c r="D348" s="1552"/>
      <c r="E348" s="1552"/>
      <c r="F348" s="1552"/>
      <c r="G348" s="1552"/>
      <c r="H348" s="1552"/>
      <c r="I348" s="1425" t="str">
        <f>'PLAN INDICATIVO'!I348</f>
        <v>SI</v>
      </c>
      <c r="J348" s="1425">
        <f>'PLAN INDICATIVO'!J348</f>
        <v>0</v>
      </c>
      <c r="K348" s="1425" t="str">
        <f>'PLAN INDICATIVO'!K348</f>
        <v>A.9.1.21</v>
      </c>
      <c r="L348" s="301" t="str">
        <f>'PLAN INDICATIVO'!L348</f>
        <v>11. Ciudades y comunidades sostenibles</v>
      </c>
      <c r="M348" s="301" t="str">
        <f>'PLAN INDICATIVO'!M348</f>
        <v>Secretaría de Obras Civiles</v>
      </c>
      <c r="N348" s="1513" t="s">
        <v>5129</v>
      </c>
      <c r="O348" s="1425" t="str">
        <f>'PLAN INDICATIVO'!O348</f>
        <v>Incremento</v>
      </c>
      <c r="P348" s="1514" t="str">
        <f>'PLAN INDICATIVO'!P348</f>
        <v>Realizar apoyo institucional para la Construcción y/o ampliación  de  3.000 ml  de vías terciarias durante el cuatrienio.</v>
      </c>
      <c r="Q348" s="302" t="str">
        <f>'PLAN INDICATIVO'!Q348</f>
        <v>No. de metros lineales de vías terciarias construidas</v>
      </c>
      <c r="R348" s="303">
        <f>'PLAN INDICATIVO'!R348</f>
        <v>2015</v>
      </c>
      <c r="S348" s="304">
        <v>0</v>
      </c>
      <c r="T348" s="1299">
        <v>3000</v>
      </c>
      <c r="U348" s="303"/>
      <c r="V348" s="687">
        <v>51000000</v>
      </c>
      <c r="W348" s="572">
        <v>250</v>
      </c>
      <c r="X348" s="687">
        <v>50000000</v>
      </c>
      <c r="Y348" s="572"/>
      <c r="Z348" s="687">
        <v>10000000</v>
      </c>
      <c r="AA348" s="1310"/>
      <c r="AB348" s="686">
        <v>35000000</v>
      </c>
      <c r="AC348" s="665"/>
      <c r="AD348" s="665"/>
      <c r="AE348" s="665">
        <v>4250</v>
      </c>
      <c r="AF348" s="665"/>
      <c r="AG348" s="306" t="s">
        <v>5154</v>
      </c>
      <c r="AH348" s="987">
        <v>2019413960023</v>
      </c>
      <c r="AI348" s="307" t="s">
        <v>4760</v>
      </c>
      <c r="AJ348" s="335"/>
      <c r="AK348" s="335"/>
      <c r="AL348" s="308"/>
      <c r="AM348" s="308"/>
      <c r="AN348" s="267" t="s">
        <v>2594</v>
      </c>
      <c r="AO348" s="507"/>
      <c r="AP348" s="525"/>
      <c r="AQ348" s="310"/>
      <c r="AR348" s="310"/>
      <c r="AS348" s="310"/>
      <c r="AT348" s="310"/>
      <c r="AU348" s="310"/>
      <c r="AV348" s="310"/>
      <c r="AW348" s="544"/>
      <c r="AX348" s="525"/>
      <c r="AY348" s="310"/>
      <c r="AZ348" s="310"/>
      <c r="BA348" s="310"/>
      <c r="BB348" s="310"/>
      <c r="BC348" s="310"/>
      <c r="BD348" s="310"/>
      <c r="BE348" s="544"/>
      <c r="BF348" s="525"/>
      <c r="BG348" s="310"/>
      <c r="BH348" s="310"/>
      <c r="BI348" s="310"/>
      <c r="BJ348" s="310"/>
      <c r="BK348" s="310"/>
      <c r="BL348" s="310">
        <v>63051500</v>
      </c>
      <c r="BM348" s="544">
        <f t="shared" si="150"/>
        <v>63051500</v>
      </c>
      <c r="BN348" s="525"/>
      <c r="BO348" s="310"/>
      <c r="BP348" s="310"/>
      <c r="BQ348" s="310"/>
      <c r="BR348" s="310"/>
      <c r="BS348" s="310"/>
      <c r="BT348" s="310"/>
      <c r="BU348" s="544"/>
      <c r="BV348" s="556"/>
      <c r="BW348" s="663">
        <f t="shared" si="144"/>
        <v>4250</v>
      </c>
      <c r="BX348" s="1047">
        <f t="shared" si="151"/>
        <v>1.4166666666666667</v>
      </c>
      <c r="BY348" s="1047" t="str">
        <f t="shared" si="145"/>
        <v>No Programada</v>
      </c>
      <c r="BZ348" s="1047">
        <f t="shared" si="146"/>
        <v>0</v>
      </c>
      <c r="CA348" s="1047" t="str">
        <f t="shared" si="147"/>
        <v>No Programada</v>
      </c>
      <c r="CB348" s="1047" t="str">
        <f t="shared" si="148"/>
        <v>No Programada</v>
      </c>
      <c r="CD348" t="str">
        <f t="shared" si="149"/>
        <v>NP</v>
      </c>
      <c r="CE348" t="str">
        <f t="shared" si="149"/>
        <v>ROB</v>
      </c>
      <c r="CF348" t="str">
        <f t="shared" si="149"/>
        <v>NP</v>
      </c>
      <c r="CG348" t="str">
        <f t="shared" si="149"/>
        <v>NP</v>
      </c>
      <c r="CH348" t="s">
        <v>4790</v>
      </c>
    </row>
    <row r="349" spans="1:86" ht="36" customHeight="1" thickBot="1" x14ac:dyDescent="0.35">
      <c r="A349" s="428"/>
      <c r="B349" s="439" t="str">
        <f>'PLAN INDICATIVO'!B349</f>
        <v>Servicios Públicos</v>
      </c>
      <c r="C349" s="1636" t="s">
        <v>2948</v>
      </c>
      <c r="D349" s="1627"/>
      <c r="E349" s="1627"/>
      <c r="F349" s="1627"/>
      <c r="G349" s="1627"/>
      <c r="H349" s="1627"/>
      <c r="I349" s="1627"/>
      <c r="J349" s="1627"/>
      <c r="K349" s="1627"/>
      <c r="L349" s="1627"/>
      <c r="M349" s="1627"/>
      <c r="N349" s="1627"/>
      <c r="O349" s="1627"/>
      <c r="P349" s="1627"/>
      <c r="Q349" s="1627"/>
      <c r="R349" s="1627"/>
      <c r="S349" s="1627"/>
      <c r="T349" s="1627"/>
      <c r="U349" s="1627"/>
      <c r="V349" s="1627"/>
      <c r="W349" s="1627"/>
      <c r="X349" s="1627"/>
      <c r="Y349" s="1627"/>
      <c r="Z349" s="1627"/>
      <c r="AA349" s="1627"/>
      <c r="AB349" s="1627"/>
      <c r="AC349" s="1627"/>
      <c r="AD349" s="1627"/>
      <c r="AE349" s="1627"/>
      <c r="AF349" s="1627"/>
      <c r="AG349" s="1627"/>
      <c r="AH349" s="1627"/>
      <c r="AI349" s="1627"/>
      <c r="AJ349" s="1627"/>
      <c r="AK349" s="1627"/>
      <c r="AL349" s="1627"/>
      <c r="AM349" s="1628"/>
      <c r="AN349" s="435"/>
      <c r="AO349" s="505"/>
      <c r="AP349" s="541"/>
      <c r="AQ349" s="542"/>
      <c r="AR349" s="542"/>
      <c r="AS349" s="542"/>
      <c r="AT349" s="542"/>
      <c r="AU349" s="542"/>
      <c r="AV349" s="542"/>
      <c r="AW349" s="543"/>
      <c r="AX349" s="541"/>
      <c r="AY349" s="542"/>
      <c r="AZ349" s="542"/>
      <c r="BA349" s="542"/>
      <c r="BB349" s="542"/>
      <c r="BC349" s="542"/>
      <c r="BD349" s="542"/>
      <c r="BE349" s="543"/>
      <c r="BF349" s="541"/>
      <c r="BG349" s="542"/>
      <c r="BH349" s="542"/>
      <c r="BI349" s="542"/>
      <c r="BJ349" s="542"/>
      <c r="BK349" s="542"/>
      <c r="BL349" s="542"/>
      <c r="BM349" s="543">
        <f t="shared" ref="BM349:BM412" si="152">SUM(BF349:BL349)</f>
        <v>0</v>
      </c>
      <c r="BN349" s="541"/>
      <c r="BO349" s="542"/>
      <c r="BP349" s="542"/>
      <c r="BQ349" s="542"/>
      <c r="BR349" s="542"/>
      <c r="BS349" s="542"/>
      <c r="BT349" s="542"/>
      <c r="BU349" s="542"/>
      <c r="BV349" s="620"/>
      <c r="BW349" s="620" t="s">
        <v>2717</v>
      </c>
      <c r="BX349" s="620" t="s">
        <v>2717</v>
      </c>
      <c r="BY349" s="620" t="s">
        <v>2717</v>
      </c>
      <c r="BZ349" s="620" t="s">
        <v>2717</v>
      </c>
      <c r="CA349" s="620" t="s">
        <v>2717</v>
      </c>
      <c r="CB349" s="620" t="s">
        <v>2717</v>
      </c>
    </row>
    <row r="350" spans="1:86" ht="15.75" customHeight="1" x14ac:dyDescent="0.3">
      <c r="A350" s="296"/>
      <c r="B350" s="331" t="str">
        <f>'PLAN INDICATIVO'!B350</f>
        <v>Otros Servicios Públicos</v>
      </c>
      <c r="C350" s="1605" t="s">
        <v>1072</v>
      </c>
      <c r="D350" s="1606"/>
      <c r="E350" s="1606"/>
      <c r="F350" s="1606"/>
      <c r="G350" s="1606"/>
      <c r="H350" s="1606"/>
      <c r="I350" s="1606"/>
      <c r="J350" s="1606"/>
      <c r="K350" s="1606"/>
      <c r="L350" s="1606"/>
      <c r="M350" s="1606"/>
      <c r="N350" s="1606"/>
      <c r="O350" s="1607"/>
      <c r="P350" s="318"/>
      <c r="Q350" s="318"/>
      <c r="R350" s="317"/>
      <c r="S350" s="319"/>
      <c r="T350" s="676"/>
      <c r="U350" s="319"/>
      <c r="V350" s="695">
        <f>SUM(V351:V352)</f>
        <v>1048500000</v>
      </c>
      <c r="W350" s="319"/>
      <c r="X350" s="695">
        <f>SUM(X351:X352)</f>
        <v>752000000</v>
      </c>
      <c r="Y350" s="319"/>
      <c r="Z350" s="695">
        <f>SUM(Z351:Z352)</f>
        <v>759540000</v>
      </c>
      <c r="AA350" s="320"/>
      <c r="AB350" s="708">
        <f>SUM(AB351:AB352)</f>
        <v>905000000</v>
      </c>
      <c r="AC350" s="320"/>
      <c r="AD350" s="320"/>
      <c r="AE350" s="320"/>
      <c r="AF350" s="320"/>
      <c r="AG350" s="321"/>
      <c r="AH350" s="321"/>
      <c r="AI350" s="321"/>
      <c r="AJ350" s="320"/>
      <c r="AK350" s="320"/>
      <c r="AL350" s="320"/>
      <c r="AM350" s="320"/>
      <c r="AN350" s="262"/>
      <c r="AO350" s="612"/>
      <c r="AP350" s="616"/>
      <c r="AQ350" s="616"/>
      <c r="AR350" s="616"/>
      <c r="AS350" s="616"/>
      <c r="AT350" s="616"/>
      <c r="AU350" s="616"/>
      <c r="AV350" s="616"/>
      <c r="AW350" s="617"/>
      <c r="AX350" s="616"/>
      <c r="AY350" s="616"/>
      <c r="AZ350" s="616"/>
      <c r="BA350" s="616"/>
      <c r="BB350" s="616"/>
      <c r="BC350" s="616"/>
      <c r="BD350" s="616"/>
      <c r="BE350" s="617"/>
      <c r="BF350" s="616"/>
      <c r="BG350" s="616"/>
      <c r="BH350" s="616"/>
      <c r="BI350" s="616"/>
      <c r="BJ350" s="616"/>
      <c r="BK350" s="616"/>
      <c r="BL350" s="616"/>
      <c r="BM350" s="617">
        <f t="shared" si="152"/>
        <v>0</v>
      </c>
      <c r="BN350" s="616"/>
      <c r="BO350" s="616"/>
      <c r="BP350" s="616"/>
      <c r="BQ350" s="616"/>
      <c r="BR350" s="616"/>
      <c r="BS350" s="616"/>
      <c r="BT350" s="616"/>
      <c r="BU350" s="617"/>
      <c r="BV350" s="651"/>
      <c r="BW350" s="617" t="s">
        <v>2717</v>
      </c>
      <c r="BX350" s="617" t="s">
        <v>2717</v>
      </c>
      <c r="BY350" s="617" t="s">
        <v>2717</v>
      </c>
      <c r="BZ350" s="617" t="s">
        <v>2717</v>
      </c>
      <c r="CA350" s="617" t="s">
        <v>2717</v>
      </c>
      <c r="CB350" s="1047" t="s">
        <v>2717</v>
      </c>
    </row>
    <row r="351" spans="1:86" ht="86.25" customHeight="1" x14ac:dyDescent="0.3">
      <c r="A351" s="298" t="s">
        <v>1073</v>
      </c>
      <c r="B351" s="299" t="str">
        <f>'PLAN INDICATIVO'!B351</f>
        <v>Otros Servicios Públicos</v>
      </c>
      <c r="C351" s="1429" t="s">
        <v>1074</v>
      </c>
      <c r="D351" s="1425" t="s">
        <v>1075</v>
      </c>
      <c r="E351" s="1425" t="s">
        <v>1076</v>
      </c>
      <c r="F351" s="1425">
        <v>2005</v>
      </c>
      <c r="G351" s="1425">
        <v>92.6</v>
      </c>
      <c r="H351" s="1425">
        <v>94</v>
      </c>
      <c r="I351" s="1425" t="str">
        <f>'PLAN INDICATIVO'!I351</f>
        <v>SI</v>
      </c>
      <c r="J351" s="1425">
        <f>'PLAN INDICATIVO'!J351</f>
        <v>0</v>
      </c>
      <c r="K351" s="1425" t="str">
        <f>'PLAN INDICATIVO'!K351</f>
        <v>A.6.1.1</v>
      </c>
      <c r="L351" s="301" t="str">
        <f>'PLAN INDICATIVO'!L351</f>
        <v>7. Energía Asequible y no contaminante</v>
      </c>
      <c r="M351" s="301" t="str">
        <f>'PLAN INDICATIVO'!M351</f>
        <v>Secretaría de Obras Civiles</v>
      </c>
      <c r="N351" s="1513" t="s">
        <v>5129</v>
      </c>
      <c r="O351" s="1425" t="str">
        <f>'PLAN INDICATIVO'!O351</f>
        <v>Incremento</v>
      </c>
      <c r="P351" s="16" t="str">
        <f>'PLAN INDICATIVO'!P351</f>
        <v>Aumentar la cobertura  en electrificación  a 300 nuevas familias, durante el cuatrienio.</v>
      </c>
      <c r="Q351" s="302" t="str">
        <f>'PLAN INDICATIVO'!Q351</f>
        <v>No. De familias beneficiadas con electrificación</v>
      </c>
      <c r="R351" s="303">
        <f>'PLAN INDICATIVO'!R351</f>
        <v>2015</v>
      </c>
      <c r="S351" s="304">
        <v>0</v>
      </c>
      <c r="T351" s="677">
        <v>300</v>
      </c>
      <c r="U351" s="303">
        <v>71</v>
      </c>
      <c r="V351" s="687">
        <v>398500000</v>
      </c>
      <c r="W351" s="66">
        <v>197</v>
      </c>
      <c r="X351" s="687">
        <v>46000000</v>
      </c>
      <c r="Y351" s="66">
        <v>57</v>
      </c>
      <c r="Z351" s="687">
        <v>56500000</v>
      </c>
      <c r="AA351" s="1310">
        <v>1</v>
      </c>
      <c r="AB351" s="686">
        <v>215000000</v>
      </c>
      <c r="AC351" s="665"/>
      <c r="AD351" s="665">
        <f>48+59</f>
        <v>107</v>
      </c>
      <c r="AE351" s="665">
        <f>197</f>
        <v>197</v>
      </c>
      <c r="AF351" s="665"/>
      <c r="AG351" s="306" t="s">
        <v>5155</v>
      </c>
      <c r="AH351" s="987">
        <v>2019413960028</v>
      </c>
      <c r="AI351" s="307" t="s">
        <v>4761</v>
      </c>
      <c r="AJ351" s="309"/>
      <c r="AK351" s="335"/>
      <c r="AL351" s="308"/>
      <c r="AM351" s="308"/>
      <c r="AN351" s="267" t="s">
        <v>2598</v>
      </c>
      <c r="AO351" s="507"/>
      <c r="AP351" s="525"/>
      <c r="AQ351" s="310"/>
      <c r="AR351" s="310"/>
      <c r="AS351" s="310"/>
      <c r="AT351" s="310"/>
      <c r="AU351" s="310"/>
      <c r="AV351" s="310"/>
      <c r="AW351" s="544"/>
      <c r="AX351" s="525"/>
      <c r="AY351" s="310"/>
      <c r="AZ351" s="310"/>
      <c r="BA351" s="310"/>
      <c r="BB351" s="310"/>
      <c r="BC351" s="310"/>
      <c r="BD351" s="310"/>
      <c r="BE351" s="544"/>
      <c r="BF351" s="525"/>
      <c r="BG351" s="310"/>
      <c r="BH351" s="310"/>
      <c r="BI351" s="310"/>
      <c r="BJ351" s="310"/>
      <c r="BK351" s="310"/>
      <c r="BL351" s="310"/>
      <c r="BM351" s="544">
        <f>SUM(BF351:BL351)</f>
        <v>0</v>
      </c>
      <c r="BN351" s="525"/>
      <c r="BO351" s="310"/>
      <c r="BP351" s="310"/>
      <c r="BQ351" s="310"/>
      <c r="BR351" s="310"/>
      <c r="BS351" s="310"/>
      <c r="BT351" s="310"/>
      <c r="BU351" s="544"/>
      <c r="BV351" s="556"/>
      <c r="BW351" s="663">
        <f t="shared" si="144"/>
        <v>304</v>
      </c>
      <c r="BX351" s="1047">
        <f t="shared" si="151"/>
        <v>1.0133333333333334</v>
      </c>
      <c r="BY351" s="1047">
        <f>IF(U351&gt;=0.1,AC351/U351,IF(ISBLANK(U351),"No Programada","Aplazada"))</f>
        <v>0</v>
      </c>
      <c r="BZ351" s="1047">
        <f>IF(W351&gt;=0.1,AD351/W351,IF(ISBLANK(W351),"No Programada","Aplazada"))</f>
        <v>0.54314720812182737</v>
      </c>
      <c r="CA351" s="1047">
        <f>IF(Y351&gt;=0.1,AE351/Y351,IF(ISBLANK(Y351),"No Programada","Aplazada"))</f>
        <v>3.4561403508771931</v>
      </c>
      <c r="CB351" s="1047">
        <f>IF(AA351&gt;=0.1,AF351/AA351,IF(ISBLANK(AA351),"No Programada","Aplazada"))</f>
        <v>0</v>
      </c>
      <c r="CD351" t="str">
        <f t="shared" ref="CD351:CG352" si="153">IF(BY351="PARA MODIFICAR","M",IF(BY351="PARA ELIMINAR","E",IF(BY351="aplazada","AZ",IF(BY351="no programada","NP",IF(BY351&gt;=85%,"VE",IF(BY351&gt;70%,"VEB",IF(BY351&gt;60%,"AM",IF(BY351&gt;40%,"AMB",IF(BY351&gt;20%,"RO",IF(BY351&gt;=0%,"ROB",""))))))))))</f>
        <v>ROB</v>
      </c>
      <c r="CE351" t="str">
        <f t="shared" si="153"/>
        <v>AMB</v>
      </c>
      <c r="CF351" t="str">
        <f t="shared" si="153"/>
        <v>VE</v>
      </c>
      <c r="CG351" t="str">
        <f t="shared" si="153"/>
        <v>ROB</v>
      </c>
    </row>
    <row r="352" spans="1:86" ht="90.75" customHeight="1" x14ac:dyDescent="0.3">
      <c r="A352" s="298" t="s">
        <v>1073</v>
      </c>
      <c r="B352" s="299" t="str">
        <f>'PLAN INDICATIVO'!B352</f>
        <v>Otros Servicios Públicos</v>
      </c>
      <c r="C352" s="1429" t="s">
        <v>1081</v>
      </c>
      <c r="D352" s="1425" t="s">
        <v>1082</v>
      </c>
      <c r="E352" s="1425" t="s">
        <v>1083</v>
      </c>
      <c r="F352" s="1425">
        <v>2005</v>
      </c>
      <c r="G352" s="1425">
        <v>95</v>
      </c>
      <c r="H352" s="1425">
        <v>95</v>
      </c>
      <c r="I352" s="300">
        <f>'PLAN INDICATIVO'!I352</f>
        <v>0</v>
      </c>
      <c r="J352" s="300">
        <f>'PLAN INDICATIVO'!J352</f>
        <v>0</v>
      </c>
      <c r="K352" s="1425" t="str">
        <f>'PLAN INDICATIVO'!K352</f>
        <v>A.6.2.1</v>
      </c>
      <c r="L352" s="301" t="str">
        <f>'PLAN INDICATIVO'!L352</f>
        <v>7. Energía Asequible y no contaminante</v>
      </c>
      <c r="M352" s="301" t="str">
        <f>'PLAN INDICATIVO'!M352</f>
        <v>Secretaría de Obras Civiles</v>
      </c>
      <c r="N352" s="1513" t="s">
        <v>5129</v>
      </c>
      <c r="O352" s="1425" t="str">
        <f>'PLAN INDICATIVO'!O352</f>
        <v>Mantenimiento</v>
      </c>
      <c r="P352" s="16" t="str">
        <f>'PLAN INDICATIVO'!P352</f>
        <v>Implementar  1 programa de mantenimiento y/o ampliación anual al sistema de alumbrado público.</v>
      </c>
      <c r="Q352" s="302" t="str">
        <f>'PLAN INDICATIVO'!Q352</f>
        <v>No. de mantenimientos implementados por año</v>
      </c>
      <c r="R352" s="303">
        <f>'PLAN INDICATIVO'!R352</f>
        <v>2015</v>
      </c>
      <c r="S352" s="304">
        <v>0</v>
      </c>
      <c r="T352" s="677">
        <v>1</v>
      </c>
      <c r="U352" s="303">
        <v>0.25</v>
      </c>
      <c r="V352" s="687">
        <v>650000000</v>
      </c>
      <c r="W352" s="303">
        <v>0.25</v>
      </c>
      <c r="X352" s="687">
        <v>706000000</v>
      </c>
      <c r="Y352" s="303">
        <v>0.25</v>
      </c>
      <c r="Z352" s="687">
        <v>703040000</v>
      </c>
      <c r="AA352" s="291">
        <v>1</v>
      </c>
      <c r="AB352" s="686">
        <v>690000000</v>
      </c>
      <c r="AC352" s="665"/>
      <c r="AD352" s="665">
        <v>0.25</v>
      </c>
      <c r="AE352" s="665">
        <v>0.25</v>
      </c>
      <c r="AF352" s="665">
        <v>0.25</v>
      </c>
      <c r="AG352" s="306" t="s">
        <v>5155</v>
      </c>
      <c r="AH352" s="987">
        <v>2019413960028</v>
      </c>
      <c r="AI352" s="307" t="s">
        <v>5060</v>
      </c>
      <c r="AJ352" s="335">
        <v>43132</v>
      </c>
      <c r="AK352" s="335">
        <v>43281</v>
      </c>
      <c r="AL352" s="308"/>
      <c r="AM352" s="308"/>
      <c r="AN352" s="267" t="s">
        <v>2598</v>
      </c>
      <c r="AO352" s="515"/>
      <c r="AP352" s="525"/>
      <c r="AQ352" s="310"/>
      <c r="AR352" s="310"/>
      <c r="AS352" s="310"/>
      <c r="AT352" s="310"/>
      <c r="AU352" s="310"/>
      <c r="AV352" s="310"/>
      <c r="AW352" s="544"/>
      <c r="AX352" s="525"/>
      <c r="AY352" s="310"/>
      <c r="AZ352" s="310"/>
      <c r="BA352" s="310"/>
      <c r="BB352" s="310"/>
      <c r="BC352" s="310"/>
      <c r="BD352" s="310"/>
      <c r="BE352" s="544"/>
      <c r="BF352" s="525">
        <v>60000000</v>
      </c>
      <c r="BG352" s="310"/>
      <c r="BH352" s="310"/>
      <c r="BI352" s="310"/>
      <c r="BJ352" s="310"/>
      <c r="BK352" s="310"/>
      <c r="BL352" s="310"/>
      <c r="BM352" s="544">
        <f>SUM(BF352:BL352)</f>
        <v>60000000</v>
      </c>
      <c r="BN352" s="525"/>
      <c r="BO352" s="310"/>
      <c r="BP352" s="310"/>
      <c r="BQ352" s="310"/>
      <c r="BR352" s="310"/>
      <c r="BS352" s="310"/>
      <c r="BT352" s="310"/>
      <c r="BU352" s="544"/>
      <c r="BV352" s="556"/>
      <c r="BW352" s="663">
        <f t="shared" si="144"/>
        <v>0.75</v>
      </c>
      <c r="BX352" s="1047">
        <f t="shared" si="151"/>
        <v>0.75</v>
      </c>
      <c r="BY352" s="1047">
        <f>IF(U352&gt;=0.1,AC352/U352,IF(ISBLANK(U352),"No Programada","Aplazada"))</f>
        <v>0</v>
      </c>
      <c r="BZ352" s="1047">
        <f>IF(W352&gt;=0.1,AD352/W352,IF(ISBLANK(W352),"No Programada","Aplazada"))</f>
        <v>1</v>
      </c>
      <c r="CA352" s="1047">
        <f>IF(Y352&gt;=0.1,AE352/Y352,IF(ISBLANK(Y352),"No Programada","Aplazada"))</f>
        <v>1</v>
      </c>
      <c r="CB352" s="1047">
        <f>IF(AA352&gt;=0.1,AF352/AA352,IF(ISBLANK(AA352),"No Programada","Aplazada"))</f>
        <v>0.25</v>
      </c>
      <c r="CD352" t="str">
        <f t="shared" si="153"/>
        <v>ROB</v>
      </c>
      <c r="CE352" t="str">
        <f t="shared" si="153"/>
        <v>VE</v>
      </c>
      <c r="CF352" t="str">
        <f t="shared" si="153"/>
        <v>VE</v>
      </c>
      <c r="CG352" t="str">
        <f t="shared" si="153"/>
        <v>RO</v>
      </c>
    </row>
    <row r="353" spans="1:85" ht="28.5" customHeight="1" x14ac:dyDescent="0.3">
      <c r="A353" s="295"/>
      <c r="B353" s="24" t="str">
        <f>'PLAN INDICATIVO'!B353</f>
        <v>Otros Servicios Públicos</v>
      </c>
      <c r="C353" s="1574" t="s">
        <v>1087</v>
      </c>
      <c r="D353" s="1575"/>
      <c r="E353" s="1575"/>
      <c r="F353" s="1575"/>
      <c r="G353" s="1575"/>
      <c r="H353" s="1575"/>
      <c r="I353" s="1575"/>
      <c r="J353" s="1575"/>
      <c r="K353" s="1575"/>
      <c r="L353" s="1575"/>
      <c r="M353" s="1575"/>
      <c r="N353" s="1575"/>
      <c r="O353" s="1576"/>
      <c r="P353" s="22"/>
      <c r="Q353" s="22"/>
      <c r="R353" s="1"/>
      <c r="S353" s="261"/>
      <c r="T353" s="681"/>
      <c r="U353" s="261"/>
      <c r="V353" s="261"/>
      <c r="W353" s="261"/>
      <c r="X353" s="707">
        <v>14900000000</v>
      </c>
      <c r="Y353" s="261"/>
      <c r="Z353" s="261"/>
      <c r="AA353" s="262"/>
      <c r="AB353" s="690">
        <f>AB354</f>
        <v>30493188</v>
      </c>
      <c r="AC353" s="262"/>
      <c r="AD353" s="262"/>
      <c r="AE353" s="262"/>
      <c r="AF353" s="262"/>
      <c r="AG353" s="262"/>
      <c r="AH353" s="262"/>
      <c r="AI353" s="262"/>
      <c r="AJ353" s="262"/>
      <c r="AK353" s="262"/>
      <c r="AL353" s="262"/>
      <c r="AM353" s="262"/>
      <c r="AN353" s="262"/>
      <c r="AO353" s="262"/>
      <c r="AP353" s="262"/>
      <c r="AQ353" s="262"/>
      <c r="AR353" s="262"/>
      <c r="AS353" s="262"/>
      <c r="AT353" s="262"/>
      <c r="AU353" s="262"/>
      <c r="AV353" s="262"/>
      <c r="AW353" s="262"/>
      <c r="AX353" s="262"/>
      <c r="AY353" s="262"/>
      <c r="AZ353" s="262"/>
      <c r="BA353" s="262"/>
      <c r="BB353" s="262"/>
      <c r="BC353" s="262"/>
      <c r="BD353" s="262"/>
      <c r="BE353" s="262"/>
      <c r="BF353" s="262"/>
      <c r="BG353" s="262"/>
      <c r="BH353" s="262"/>
      <c r="BI353" s="262"/>
      <c r="BJ353" s="262"/>
      <c r="BK353" s="262"/>
      <c r="BL353" s="262"/>
      <c r="BM353" s="262">
        <f t="shared" si="152"/>
        <v>0</v>
      </c>
      <c r="BN353" s="262"/>
      <c r="BO353" s="262"/>
      <c r="BP353" s="262"/>
      <c r="BQ353" s="262"/>
      <c r="BR353" s="262"/>
      <c r="BS353" s="262"/>
      <c r="BT353" s="262"/>
      <c r="BU353" s="262"/>
      <c r="BV353" s="262"/>
      <c r="BW353" s="663" t="s">
        <v>2717</v>
      </c>
      <c r="BX353" s="262" t="s">
        <v>2717</v>
      </c>
      <c r="BY353" s="262" t="s">
        <v>2717</v>
      </c>
      <c r="BZ353" s="262" t="s">
        <v>2717</v>
      </c>
      <c r="CA353" s="262" t="s">
        <v>2717</v>
      </c>
      <c r="CB353" s="262" t="s">
        <v>2717</v>
      </c>
    </row>
    <row r="354" spans="1:85" ht="85.5" customHeight="1" thickBot="1" x14ac:dyDescent="0.35">
      <c r="A354" s="393" t="s">
        <v>2464</v>
      </c>
      <c r="B354" s="394" t="str">
        <f>'PLAN INDICATIVO'!B354</f>
        <v>Otros Servicios Públicos</v>
      </c>
      <c r="C354" s="1423" t="s">
        <v>1088</v>
      </c>
      <c r="D354" s="1426" t="s">
        <v>1089</v>
      </c>
      <c r="E354" s="1426" t="s">
        <v>1090</v>
      </c>
      <c r="F354" s="1426">
        <v>2005</v>
      </c>
      <c r="G354" s="1426">
        <v>87.9</v>
      </c>
      <c r="H354" s="1426">
        <v>90</v>
      </c>
      <c r="I354" s="1426" t="str">
        <f>'PLAN INDICATIVO'!I354</f>
        <v>SI</v>
      </c>
      <c r="J354" s="1426">
        <f>'PLAN INDICATIVO'!J354</f>
        <v>0</v>
      </c>
      <c r="K354" s="1426" t="str">
        <f>'PLAN INDICATIVO'!K354</f>
        <v>A.6.3.1</v>
      </c>
      <c r="L354" s="396" t="str">
        <f>'PLAN INDICATIVO'!L354</f>
        <v>7. Energía Asequible y no contaminante</v>
      </c>
      <c r="M354" s="396" t="str">
        <f>'PLAN INDICATIVO'!M354</f>
        <v>Secretaría de Obras Civiles</v>
      </c>
      <c r="N354" s="1513" t="s">
        <v>5129</v>
      </c>
      <c r="O354" s="1426" t="str">
        <f>'PLAN INDICATIVO'!O354</f>
        <v>Incremento</v>
      </c>
      <c r="P354" s="70" t="str">
        <f>'PLAN INDICATIVO'!P354</f>
        <v>Aumentar la cobertura  en gasoducto a 500 nuevas familias del sector urbano y rural, durante el cuatrienio.</v>
      </c>
      <c r="Q354" s="350" t="str">
        <f>'PLAN INDICATIVO'!Q354</f>
        <v>No. De familias beneficiadas con Gasificación</v>
      </c>
      <c r="R354" s="397">
        <f>'PLAN INDICATIVO'!R354</f>
        <v>2015</v>
      </c>
      <c r="S354" s="1433">
        <v>0</v>
      </c>
      <c r="T354" s="682">
        <v>500</v>
      </c>
      <c r="U354" s="1433">
        <v>100</v>
      </c>
      <c r="V354" s="687"/>
      <c r="W354" s="1433">
        <v>100</v>
      </c>
      <c r="X354" s="687">
        <v>14900000</v>
      </c>
      <c r="Y354" s="1433">
        <v>200</v>
      </c>
      <c r="Z354" s="687">
        <v>6700000</v>
      </c>
      <c r="AA354" s="418">
        <v>1</v>
      </c>
      <c r="AB354" s="686">
        <v>30493188</v>
      </c>
      <c r="AC354" s="672"/>
      <c r="AD354" s="672">
        <v>0</v>
      </c>
      <c r="AE354" s="672">
        <v>0</v>
      </c>
      <c r="AF354" s="672"/>
      <c r="AG354" s="306" t="s">
        <v>5155</v>
      </c>
      <c r="AH354" s="987">
        <v>2019413960028</v>
      </c>
      <c r="AI354" s="307" t="s">
        <v>4762</v>
      </c>
      <c r="AJ354" s="309">
        <v>43497</v>
      </c>
      <c r="AK354" s="309">
        <v>43799</v>
      </c>
      <c r="AL354" s="427"/>
      <c r="AM354" s="427"/>
      <c r="AN354" s="436" t="s">
        <v>2600</v>
      </c>
      <c r="AO354" s="516"/>
      <c r="AP354" s="525"/>
      <c r="AQ354" s="310"/>
      <c r="AR354" s="310"/>
      <c r="AS354" s="310"/>
      <c r="AT354" s="310"/>
      <c r="AU354" s="310"/>
      <c r="AV354" s="310"/>
      <c r="AW354" s="544"/>
      <c r="AX354" s="525"/>
      <c r="AY354" s="310"/>
      <c r="AZ354" s="310"/>
      <c r="BA354" s="310"/>
      <c r="BB354" s="310"/>
      <c r="BC354" s="310"/>
      <c r="BD354" s="310"/>
      <c r="BE354" s="544"/>
      <c r="BF354" s="525"/>
      <c r="BG354" s="310"/>
      <c r="BH354" s="310"/>
      <c r="BI354" s="310"/>
      <c r="BJ354" s="310"/>
      <c r="BK354" s="310"/>
      <c r="BL354" s="310"/>
      <c r="BM354" s="544">
        <f t="shared" si="152"/>
        <v>0</v>
      </c>
      <c r="BN354" s="525"/>
      <c r="BO354" s="310"/>
      <c r="BP354" s="310"/>
      <c r="BQ354" s="310"/>
      <c r="BR354" s="310"/>
      <c r="BS354" s="310"/>
      <c r="BT354" s="310"/>
      <c r="BU354" s="544"/>
      <c r="BV354" s="556"/>
      <c r="BW354" s="663">
        <f t="shared" si="144"/>
        <v>0</v>
      </c>
      <c r="BX354" s="1047">
        <f t="shared" si="151"/>
        <v>0</v>
      </c>
      <c r="BY354" s="1047">
        <f>IF(U354&gt;=0.1,AC354/U354,IF(ISBLANK(U354),"No Programada","Aplazada"))</f>
        <v>0</v>
      </c>
      <c r="BZ354" s="1047">
        <f>IF(W354&gt;=0.1,AD354/W354,IF(ISBLANK(W354),"No Programada","Aplazada"))</f>
        <v>0</v>
      </c>
      <c r="CA354" s="1047">
        <f>IF(X354&gt;=0.1,AE354/X354,IF(ISBLANK(X354),"No Programada","Aplazada"))</f>
        <v>0</v>
      </c>
      <c r="CB354" s="1047">
        <f>IF(AA354&gt;=0.1,AF354/AA354,IF(ISBLANK(AA354),"No Programada","Aplazada"))</f>
        <v>0</v>
      </c>
      <c r="CD354" t="str">
        <f>IF(BY354="PARA MODIFICAR","M",IF(BY354="PARA ELIMINAR","E",IF(BY354="aplazada","AZ",IF(BY354="no programada","NP",IF(BY354&gt;=85%,"VE",IF(BY354&gt;70%,"VEB",IF(BY354&gt;60%,"AM",IF(BY354&gt;40%,"AMB",IF(BY354&gt;20%,"RO",IF(BY354&gt;=0%,"ROB",""))))))))))</f>
        <v>ROB</v>
      </c>
      <c r="CE354" t="str">
        <f>IF(BZ354="PARA MODIFICAR","M",IF(BZ354="PARA ELIMINAR","E",IF(BZ354="aplazada","AZ",IF(BZ354="no programada","NP",IF(BZ354&gt;=85%,"VE",IF(BZ354&gt;70%,"VEB",IF(BZ354&gt;60%,"AM",IF(BZ354&gt;40%,"AMB",IF(BZ354&gt;20%,"RO",IF(BZ354&gt;=0%,"ROB",""))))))))))</f>
        <v>ROB</v>
      </c>
      <c r="CF354" t="str">
        <f>IF(CA354="PARA MODIFICAR","M",IF(CA354="PARA ELIMINAR","E",IF(CA354="aplazada","AZ",IF(CA354="no programada","NP",IF(CA354&gt;=85%,"VE",IF(CA354&gt;70%,"VEB",IF(CA354&gt;60%,"AM",IF(CA354&gt;40%,"AMB",IF(CA354&gt;20%,"RO",IF(CA354&gt;=0%,"ROB",""))))))))))</f>
        <v>ROB</v>
      </c>
      <c r="CG354" t="str">
        <f>IF(CB354="PARA MODIFICAR","M",IF(CB354="PARA ELIMINAR","E",IF(CB354="aplazada","AZ",IF(CB354="no programada","NP",IF(CB354&gt;=85%,"VE",IF(CB354&gt;70%,"VEB",IF(CB354&gt;60%,"AM",IF(CB354&gt;40%,"AMB",IF(CB354&gt;20%,"RO",IF(CB354&gt;=0%,"ROB",""))))))))))</f>
        <v>ROB</v>
      </c>
    </row>
    <row r="355" spans="1:85" ht="60.75" customHeight="1" thickBot="1" x14ac:dyDescent="0.35">
      <c r="A355" s="401"/>
      <c r="B355" s="405" t="str">
        <f>'PLAN INDICATIVO'!B355</f>
        <v>DIMENSIÓN INSTITUCIONAL</v>
      </c>
      <c r="C355" s="1632" t="s">
        <v>2952</v>
      </c>
      <c r="D355" s="1633"/>
      <c r="E355" s="1633"/>
      <c r="F355" s="1633"/>
      <c r="G355" s="1633"/>
      <c r="H355" s="1633"/>
      <c r="I355" s="1633"/>
      <c r="J355" s="1633"/>
      <c r="K355" s="1633"/>
      <c r="L355" s="1633"/>
      <c r="M355" s="1633"/>
      <c r="N355" s="1633"/>
      <c r="O355" s="1633"/>
      <c r="P355" s="1633"/>
      <c r="Q355" s="1633"/>
      <c r="R355" s="1633"/>
      <c r="S355" s="1633"/>
      <c r="T355" s="1633"/>
      <c r="U355" s="1633"/>
      <c r="V355" s="1633"/>
      <c r="W355" s="1633"/>
      <c r="X355" s="1633"/>
      <c r="Y355" s="1633"/>
      <c r="Z355" s="1633"/>
      <c r="AA355" s="1633"/>
      <c r="AB355" s="1633"/>
      <c r="AC355" s="1633"/>
      <c r="AD355" s="1633"/>
      <c r="AE355" s="1633"/>
      <c r="AF355" s="1633"/>
      <c r="AG355" s="1633"/>
      <c r="AH355" s="1633"/>
      <c r="AI355" s="1633"/>
      <c r="AJ355" s="1633"/>
      <c r="AK355" s="1633"/>
      <c r="AL355" s="1633"/>
      <c r="AM355" s="1634"/>
      <c r="AN355" s="662"/>
      <c r="AO355" s="641"/>
      <c r="AP355" s="632"/>
      <c r="AQ355" s="633"/>
      <c r="AR355" s="633"/>
      <c r="AS355" s="633"/>
      <c r="AT355" s="633"/>
      <c r="AU355" s="633"/>
      <c r="AV355" s="633"/>
      <c r="AW355" s="555"/>
      <c r="AX355" s="632"/>
      <c r="AY355" s="633"/>
      <c r="AZ355" s="633"/>
      <c r="BA355" s="633"/>
      <c r="BB355" s="633"/>
      <c r="BC355" s="633"/>
      <c r="BD355" s="633"/>
      <c r="BE355" s="555"/>
      <c r="BF355" s="632"/>
      <c r="BG355" s="633"/>
      <c r="BH355" s="633"/>
      <c r="BI355" s="633"/>
      <c r="BJ355" s="633"/>
      <c r="BK355" s="633"/>
      <c r="BL355" s="633"/>
      <c r="BM355" s="555">
        <f t="shared" si="152"/>
        <v>0</v>
      </c>
      <c r="BN355" s="632"/>
      <c r="BO355" s="633"/>
      <c r="BP355" s="633"/>
      <c r="BQ355" s="633"/>
      <c r="BR355" s="633"/>
      <c r="BS355" s="633"/>
      <c r="BT355" s="633"/>
      <c r="BU355" s="555"/>
      <c r="BV355" s="556"/>
      <c r="BW355" s="555" t="s">
        <v>2717</v>
      </c>
      <c r="BX355" s="555" t="s">
        <v>2717</v>
      </c>
      <c r="BY355" s="555" t="s">
        <v>2717</v>
      </c>
      <c r="BZ355" s="555" t="s">
        <v>2717</v>
      </c>
      <c r="CA355" s="555" t="s">
        <v>2717</v>
      </c>
      <c r="CB355" s="1260" t="s">
        <v>2717</v>
      </c>
    </row>
    <row r="356" spans="1:85" ht="23.25" customHeight="1" x14ac:dyDescent="0.3">
      <c r="A356" s="423"/>
      <c r="B356" s="293" t="str">
        <f>'PLAN INDICATIVO'!B356</f>
        <v xml:space="preserve">Equipamiento </v>
      </c>
      <c r="C356" s="1595" t="s">
        <v>2953</v>
      </c>
      <c r="D356" s="1596"/>
      <c r="E356" s="1596"/>
      <c r="F356" s="1596"/>
      <c r="G356" s="1596"/>
      <c r="H356" s="1596"/>
      <c r="I356" s="1596"/>
      <c r="J356" s="1596"/>
      <c r="K356" s="1596"/>
      <c r="L356" s="1596"/>
      <c r="M356" s="1596"/>
      <c r="N356" s="1596"/>
      <c r="O356" s="1596"/>
      <c r="P356" s="1596"/>
      <c r="Q356" s="1596"/>
      <c r="R356" s="1596"/>
      <c r="S356" s="1596"/>
      <c r="T356" s="1596"/>
      <c r="U356" s="1596"/>
      <c r="V356" s="1596"/>
      <c r="W356" s="1596"/>
      <c r="X356" s="1596"/>
      <c r="Y356" s="1596"/>
      <c r="Z356" s="1596"/>
      <c r="AA356" s="1596"/>
      <c r="AB356" s="1596"/>
      <c r="AC356" s="1596"/>
      <c r="AD356" s="1596"/>
      <c r="AE356" s="1596"/>
      <c r="AF356" s="1596"/>
      <c r="AG356" s="1597"/>
      <c r="AH356" s="1431"/>
      <c r="AI356" s="646"/>
      <c r="AJ356" s="294"/>
      <c r="AK356" s="294"/>
      <c r="AL356" s="294"/>
      <c r="AM356" s="294"/>
      <c r="AN356" s="294"/>
      <c r="AO356" s="505"/>
      <c r="AP356" s="541"/>
      <c r="AQ356" s="542"/>
      <c r="AR356" s="542"/>
      <c r="AS356" s="542"/>
      <c r="AT356" s="542"/>
      <c r="AU356" s="542"/>
      <c r="AV356" s="542"/>
      <c r="AW356" s="543"/>
      <c r="AX356" s="541"/>
      <c r="AY356" s="542"/>
      <c r="AZ356" s="542"/>
      <c r="BA356" s="542"/>
      <c r="BB356" s="542"/>
      <c r="BC356" s="542"/>
      <c r="BD356" s="542"/>
      <c r="BE356" s="543"/>
      <c r="BF356" s="541"/>
      <c r="BG356" s="542"/>
      <c r="BH356" s="542"/>
      <c r="BI356" s="542"/>
      <c r="BJ356" s="542"/>
      <c r="BK356" s="542"/>
      <c r="BL356" s="542"/>
      <c r="BM356" s="543">
        <f t="shared" si="152"/>
        <v>0</v>
      </c>
      <c r="BN356" s="541"/>
      <c r="BO356" s="542"/>
      <c r="BP356" s="542"/>
      <c r="BQ356" s="542"/>
      <c r="BR356" s="542"/>
      <c r="BS356" s="542"/>
      <c r="BT356" s="542"/>
      <c r="BU356" s="543"/>
      <c r="BV356" s="556"/>
      <c r="BW356" s="663" t="s">
        <v>2717</v>
      </c>
      <c r="BX356" s="543" t="s">
        <v>2717</v>
      </c>
      <c r="BY356" s="543" t="s">
        <v>2717</v>
      </c>
      <c r="BZ356" s="543" t="s">
        <v>2717</v>
      </c>
      <c r="CA356" s="543" t="s">
        <v>2717</v>
      </c>
      <c r="CB356" s="1047" t="s">
        <v>2717</v>
      </c>
    </row>
    <row r="357" spans="1:85" ht="11.25" customHeight="1" x14ac:dyDescent="0.3">
      <c r="A357" s="296"/>
      <c r="B357" s="24" t="str">
        <f>'PLAN INDICATIVO'!B357</f>
        <v xml:space="preserve">Equipamiento </v>
      </c>
      <c r="C357" s="1574" t="s">
        <v>1096</v>
      </c>
      <c r="D357" s="1575"/>
      <c r="E357" s="1575"/>
      <c r="F357" s="1575"/>
      <c r="G357" s="1575"/>
      <c r="H357" s="1575"/>
      <c r="I357" s="1575"/>
      <c r="J357" s="1575"/>
      <c r="K357" s="1575"/>
      <c r="L357" s="1575"/>
      <c r="M357" s="1575"/>
      <c r="N357" s="1575"/>
      <c r="O357" s="1576"/>
      <c r="P357" s="22"/>
      <c r="Q357" s="22"/>
      <c r="R357" s="1"/>
      <c r="S357" s="261"/>
      <c r="T357" s="681"/>
      <c r="U357" s="261"/>
      <c r="V357" s="689">
        <f>SUM(V358:V366)</f>
        <v>1833000000</v>
      </c>
      <c r="W357" s="261"/>
      <c r="X357" s="689">
        <f>SUM(X358:X366)</f>
        <v>1613000000</v>
      </c>
      <c r="Y357" s="261"/>
      <c r="Z357" s="689">
        <f>SUM(Z358:Z366)</f>
        <v>106900000</v>
      </c>
      <c r="AA357" s="262"/>
      <c r="AB357" s="690">
        <f>SUM(AB358:AB366)</f>
        <v>155500000</v>
      </c>
      <c r="AC357" s="262"/>
      <c r="AD357" s="262"/>
      <c r="AE357" s="262"/>
      <c r="AF357" s="262"/>
      <c r="AG357" s="263"/>
      <c r="AH357" s="263"/>
      <c r="AI357" s="263"/>
      <c r="AJ357" s="262"/>
      <c r="AK357" s="262"/>
      <c r="AL357" s="262"/>
      <c r="AM357" s="262"/>
      <c r="AN357" s="262"/>
      <c r="AO357" s="612"/>
      <c r="AP357" s="616"/>
      <c r="AQ357" s="616"/>
      <c r="AR357" s="616"/>
      <c r="AS357" s="616"/>
      <c r="AT357" s="616"/>
      <c r="AU357" s="616"/>
      <c r="AV357" s="616"/>
      <c r="AW357" s="617"/>
      <c r="AX357" s="616"/>
      <c r="AY357" s="616"/>
      <c r="AZ357" s="616"/>
      <c r="BA357" s="616"/>
      <c r="BB357" s="616"/>
      <c r="BC357" s="616"/>
      <c r="BD357" s="616"/>
      <c r="BE357" s="617"/>
      <c r="BF357" s="616"/>
      <c r="BG357" s="616"/>
      <c r="BH357" s="616"/>
      <c r="BI357" s="616"/>
      <c r="BJ357" s="616"/>
      <c r="BK357" s="616"/>
      <c r="BL357" s="616"/>
      <c r="BM357" s="617">
        <f t="shared" si="152"/>
        <v>0</v>
      </c>
      <c r="BN357" s="616"/>
      <c r="BO357" s="616"/>
      <c r="BP357" s="616"/>
      <c r="BQ357" s="616"/>
      <c r="BR357" s="616"/>
      <c r="BS357" s="616"/>
      <c r="BT357" s="616"/>
      <c r="BU357" s="617"/>
      <c r="BV357" s="556"/>
      <c r="BW357" s="617" t="s">
        <v>2717</v>
      </c>
      <c r="BX357" s="617" t="s">
        <v>2717</v>
      </c>
      <c r="BY357" s="617" t="s">
        <v>2717</v>
      </c>
      <c r="BZ357" s="617" t="s">
        <v>2717</v>
      </c>
      <c r="CA357" s="617" t="s">
        <v>2717</v>
      </c>
      <c r="CB357" s="1047" t="s">
        <v>2717</v>
      </c>
    </row>
    <row r="358" spans="1:85" ht="126.75" customHeight="1" x14ac:dyDescent="0.3">
      <c r="A358" s="298" t="s">
        <v>1097</v>
      </c>
      <c r="B358" s="299" t="str">
        <f>'PLAN INDICATIVO'!B358</f>
        <v xml:space="preserve">Equipamiento </v>
      </c>
      <c r="C358" s="1546" t="s">
        <v>1098</v>
      </c>
      <c r="D358" s="1549" t="s">
        <v>1099</v>
      </c>
      <c r="E358" s="1549" t="s">
        <v>1100</v>
      </c>
      <c r="F358" s="1549">
        <v>2015</v>
      </c>
      <c r="G358" s="1549" t="s">
        <v>177</v>
      </c>
      <c r="H358" s="1549">
        <v>80</v>
      </c>
      <c r="I358" s="1425" t="str">
        <f>'PLAN INDICATIVO'!I358</f>
        <v>SI</v>
      </c>
      <c r="J358" s="1425">
        <f>'PLAN INDICATIVO'!J358</f>
        <v>0</v>
      </c>
      <c r="K358" s="1425" t="str">
        <f>'PLAN INDICATIVO'!K358</f>
        <v>A.15.1.1</v>
      </c>
      <c r="L358" s="301" t="str">
        <f>'PLAN INDICATIVO'!L358</f>
        <v>11. Ciudades y comunidades sostenibles</v>
      </c>
      <c r="M358" s="301" t="str">
        <f>'PLAN INDICATIVO'!M358</f>
        <v>Departamento Municipal de Planeación</v>
      </c>
      <c r="N358" s="1425" t="s">
        <v>5123</v>
      </c>
      <c r="O358" s="1425" t="str">
        <f>'PLAN INDICATIVO'!O358</f>
        <v>Incremento</v>
      </c>
      <c r="P358" s="16" t="str">
        <f>'PLAN INDICATIVO'!P358</f>
        <v>Realizar la construcción, adecuación y/o mantenimiento de 4 instalaciones públicas,  durante el cuatrienio (palacio municipal, casa de la cultura, casa de la justicia, entre otros)</v>
      </c>
      <c r="Q358" s="302" t="str">
        <f>'PLAN INDICATIVO'!Q358</f>
        <v>No. De instalaciones administrativas construidas, adecuadas o con mantenimiento durante el cuatrienio</v>
      </c>
      <c r="R358" s="303">
        <f>'PLAN INDICATIVO'!R358</f>
        <v>2015</v>
      </c>
      <c r="S358" s="304">
        <v>0</v>
      </c>
      <c r="T358" s="498">
        <v>4</v>
      </c>
      <c r="U358" s="303">
        <v>1</v>
      </c>
      <c r="V358" s="687">
        <v>1200000000</v>
      </c>
      <c r="W358" s="572">
        <v>1</v>
      </c>
      <c r="X358" s="687">
        <v>1000000000</v>
      </c>
      <c r="Y358" s="1232">
        <v>1</v>
      </c>
      <c r="Z358" s="687">
        <v>52400000</v>
      </c>
      <c r="AA358" s="1310">
        <v>2</v>
      </c>
      <c r="AB358" s="687">
        <f>50500000+25000000</f>
        <v>75500000</v>
      </c>
      <c r="AC358" s="665"/>
      <c r="AD358" s="665">
        <v>0.8</v>
      </c>
      <c r="AE358" s="665"/>
      <c r="AF358" s="665">
        <v>1</v>
      </c>
      <c r="AG358" s="306" t="s">
        <v>5156</v>
      </c>
      <c r="AH358" s="987">
        <v>2019413960027</v>
      </c>
      <c r="AI358" s="336" t="s">
        <v>4885</v>
      </c>
      <c r="AJ358" s="309">
        <v>43497</v>
      </c>
      <c r="AK358" s="335">
        <v>43768</v>
      </c>
      <c r="AL358" s="308"/>
      <c r="AM358" s="308"/>
      <c r="AN358" s="267" t="s">
        <v>2600</v>
      </c>
      <c r="AO358" s="507"/>
      <c r="AP358" s="525"/>
      <c r="AQ358" s="310"/>
      <c r="AR358" s="310"/>
      <c r="AS358" s="310"/>
      <c r="AT358" s="310"/>
      <c r="AU358" s="310"/>
      <c r="AV358" s="310"/>
      <c r="AW358" s="544"/>
      <c r="AX358" s="525"/>
      <c r="AY358" s="310"/>
      <c r="AZ358" s="310"/>
      <c r="BA358" s="310"/>
      <c r="BB358" s="310"/>
      <c r="BC358" s="310"/>
      <c r="BD358" s="310"/>
      <c r="BE358" s="544"/>
      <c r="BF358" s="525"/>
      <c r="BG358" s="310"/>
      <c r="BH358" s="310"/>
      <c r="BI358" s="310"/>
      <c r="BJ358" s="310"/>
      <c r="BK358" s="310"/>
      <c r="BL358" s="310"/>
      <c r="BM358" s="544">
        <f t="shared" si="152"/>
        <v>0</v>
      </c>
      <c r="BN358" s="525"/>
      <c r="BO358" s="310"/>
      <c r="BP358" s="310"/>
      <c r="BQ358" s="310"/>
      <c r="BR358" s="310"/>
      <c r="BS358" s="310"/>
      <c r="BT358" s="310"/>
      <c r="BU358" s="544"/>
      <c r="BV358" s="556"/>
      <c r="BW358" s="663">
        <f t="shared" si="144"/>
        <v>1.8</v>
      </c>
      <c r="BX358" s="1047">
        <f t="shared" si="151"/>
        <v>0.45</v>
      </c>
      <c r="BY358" s="1047">
        <f t="shared" ref="BY358:BY366" si="154">IF(U358&gt;=0.1,AC358/U358,IF(ISBLANK(U358),"No Programada","Aplazada"))</f>
        <v>0</v>
      </c>
      <c r="BZ358" s="1047">
        <f t="shared" ref="BZ358:BZ366" si="155">IF(W358&gt;=0.1,AD358/W358,IF(ISBLANK(W358),"No Programada","Aplazada"))</f>
        <v>0.8</v>
      </c>
      <c r="CA358" s="1047">
        <f t="shared" ref="CA358:CA366" si="156">IF(Y358&gt;=0.1,AE358/Y358,IF(ISBLANK(Y358),"No Programada","Aplazada"))</f>
        <v>0</v>
      </c>
      <c r="CB358" s="1047">
        <f t="shared" ref="CB358:CB366" si="157">IF(AA358&gt;=0.1,AF358/AA358,IF(ISBLANK(AA358),"No Programada","Aplazada"))</f>
        <v>0.5</v>
      </c>
      <c r="CD358" t="str">
        <f t="shared" ref="CD358:CG366" si="158">IF(BY358="PARA MODIFICAR","M",IF(BY358="PARA ELIMINAR","E",IF(BY358="aplazada","AZ",IF(BY358="no programada","NP",IF(BY358&gt;=85%,"VE",IF(BY358&gt;70%,"VEB",IF(BY358&gt;60%,"AM",IF(BY358&gt;40%,"AMB",IF(BY358&gt;20%,"RO",IF(BY358&gt;=0%,"ROB",""))))))))))</f>
        <v>ROB</v>
      </c>
      <c r="CE358" t="str">
        <f t="shared" si="158"/>
        <v>VEB</v>
      </c>
      <c r="CF358" t="str">
        <f t="shared" si="158"/>
        <v>ROB</v>
      </c>
      <c r="CG358" t="str">
        <f>IF(CB358="PARA MODIFICAR","M",IF(CB358="PARA ELIMINAR","E",IF(CB358="aplazada","AZ",IF(CB358="no programada","NP",IF(CB358&gt;=85%,"VE",IF(CB358&gt;70%,"VEB",IF(CB358&gt;60%,"AM",IF(CB358&gt;40%,"AMB",IF(CB358&gt;20%,"RO",IF(CB358&gt;=0%,"ROB",""))))))))))</f>
        <v>AMB</v>
      </c>
    </row>
    <row r="359" spans="1:85" ht="144" customHeight="1" x14ac:dyDescent="0.3">
      <c r="A359" s="298" t="s">
        <v>1097</v>
      </c>
      <c r="B359" s="299" t="str">
        <f>'PLAN INDICATIVO'!B359</f>
        <v xml:space="preserve">Equipamiento </v>
      </c>
      <c r="C359" s="1547"/>
      <c r="D359" s="1549"/>
      <c r="E359" s="1549"/>
      <c r="F359" s="1549"/>
      <c r="G359" s="1549"/>
      <c r="H359" s="1549"/>
      <c r="I359" s="1425" t="str">
        <f>'PLAN INDICATIVO'!I359</f>
        <v>si</v>
      </c>
      <c r="J359" s="1425">
        <f>'PLAN INDICATIVO'!J359</f>
        <v>0</v>
      </c>
      <c r="K359" s="1425" t="str">
        <f>'PLAN INDICATIVO'!K359</f>
        <v>A.15.1.2</v>
      </c>
      <c r="L359" s="301" t="str">
        <f>'PLAN INDICATIVO'!L359</f>
        <v>11. Ciudades y comunidades sostenibles</v>
      </c>
      <c r="M359" s="301" t="str">
        <f>'PLAN INDICATIVO'!M359</f>
        <v>Departamento Municipal de Planeación</v>
      </c>
      <c r="N359" s="1513" t="s">
        <v>5123</v>
      </c>
      <c r="O359" s="1425" t="str">
        <f>'PLAN INDICATIVO'!O359</f>
        <v>Incremento</v>
      </c>
      <c r="P359" s="16" t="str">
        <f>'PLAN INDICATIVO'!P359</f>
        <v xml:space="preserve">Realizar la Construcción, Adecuación y/o mantenimiento  de 3 espacios públicos, zonas verdes, parques, plazoletas o plazas de mercado, durante el cuatrienio </v>
      </c>
      <c r="Q359" s="302" t="str">
        <f>'PLAN INDICATIVO'!Q359</f>
        <v>No. De espacios públicos con mejoramiento y/o mantenimiento durante el cuatrienio</v>
      </c>
      <c r="R359" s="303">
        <f>'PLAN INDICATIVO'!R359</f>
        <v>2015</v>
      </c>
      <c r="S359" s="304">
        <v>1</v>
      </c>
      <c r="T359" s="498">
        <v>3</v>
      </c>
      <c r="U359" s="303">
        <v>1</v>
      </c>
      <c r="V359" s="687">
        <v>80000000</v>
      </c>
      <c r="W359" s="572">
        <v>1.7</v>
      </c>
      <c r="X359" s="687">
        <v>52000000</v>
      </c>
      <c r="Y359" s="1232"/>
      <c r="Z359" s="687">
        <v>40000000</v>
      </c>
      <c r="AA359" s="1310">
        <v>1</v>
      </c>
      <c r="AB359" s="687">
        <f>35000000+38000000</f>
        <v>73000000</v>
      </c>
      <c r="AC359" s="665"/>
      <c r="AD359" s="665">
        <v>1.7</v>
      </c>
      <c r="AE359" s="665"/>
      <c r="AF359" s="665">
        <v>1</v>
      </c>
      <c r="AG359" s="306" t="s">
        <v>5156</v>
      </c>
      <c r="AH359" s="987">
        <v>2019413960027</v>
      </c>
      <c r="AI359" s="336" t="s">
        <v>4956</v>
      </c>
      <c r="AJ359" s="309">
        <v>43497</v>
      </c>
      <c r="AK359" s="335">
        <v>43768</v>
      </c>
      <c r="AL359" s="337"/>
      <c r="AM359" s="337"/>
      <c r="AN359" s="267" t="s">
        <v>2594</v>
      </c>
      <c r="AO359" s="510"/>
      <c r="AP359" s="528"/>
      <c r="AQ359" s="472"/>
      <c r="AR359" s="472"/>
      <c r="AS359" s="472"/>
      <c r="AT359" s="472"/>
      <c r="AU359" s="472"/>
      <c r="AV359" s="472"/>
      <c r="AW359" s="544"/>
      <c r="AX359" s="528"/>
      <c r="AY359" s="472"/>
      <c r="AZ359" s="472"/>
      <c r="BA359" s="472"/>
      <c r="BB359" s="472"/>
      <c r="BC359" s="472"/>
      <c r="BD359" s="472"/>
      <c r="BE359" s="544"/>
      <c r="BF359" s="528"/>
      <c r="BG359" s="472"/>
      <c r="BH359" s="472"/>
      <c r="BI359" s="472"/>
      <c r="BJ359" s="472"/>
      <c r="BK359" s="472"/>
      <c r="BL359" s="472"/>
      <c r="BM359" s="544">
        <f t="shared" si="152"/>
        <v>0</v>
      </c>
      <c r="BN359" s="528"/>
      <c r="BO359" s="472"/>
      <c r="BP359" s="472"/>
      <c r="BQ359" s="472"/>
      <c r="BR359" s="472"/>
      <c r="BS359" s="472"/>
      <c r="BT359" s="472"/>
      <c r="BU359" s="544"/>
      <c r="BV359" s="556"/>
      <c r="BW359" s="663">
        <f t="shared" si="144"/>
        <v>2.7</v>
      </c>
      <c r="BX359" s="1047">
        <f t="shared" si="151"/>
        <v>0.9</v>
      </c>
      <c r="BY359" s="1047">
        <f t="shared" si="154"/>
        <v>0</v>
      </c>
      <c r="BZ359" s="1047">
        <f t="shared" si="155"/>
        <v>1</v>
      </c>
      <c r="CA359" s="1047" t="str">
        <f t="shared" si="156"/>
        <v>No Programada</v>
      </c>
      <c r="CB359" s="1047">
        <f t="shared" si="157"/>
        <v>1</v>
      </c>
      <c r="CD359" t="str">
        <f t="shared" si="158"/>
        <v>ROB</v>
      </c>
      <c r="CE359" t="str">
        <f t="shared" si="158"/>
        <v>VE</v>
      </c>
      <c r="CF359" t="str">
        <f t="shared" si="158"/>
        <v>NP</v>
      </c>
      <c r="CG359" t="str">
        <f t="shared" si="158"/>
        <v>VE</v>
      </c>
    </row>
    <row r="360" spans="1:85" s="1399" customFormat="1" ht="2.25" customHeight="1" x14ac:dyDescent="0.3">
      <c r="A360" s="1347"/>
      <c r="B360" s="1348" t="str">
        <f>'PLAN INDICATIVO'!B360</f>
        <v xml:space="preserve">Equipamiento </v>
      </c>
      <c r="C360" s="1755"/>
      <c r="D360" s="1756"/>
      <c r="E360" s="1756"/>
      <c r="F360" s="1756"/>
      <c r="G360" s="1756"/>
      <c r="H360" s="1756"/>
      <c r="I360" s="1468" t="str">
        <f>'PLAN INDICATIVO'!I360</f>
        <v>SI</v>
      </c>
      <c r="J360" s="1468">
        <f>'PLAN INDICATIVO'!J360</f>
        <v>0</v>
      </c>
      <c r="K360" s="1468" t="str">
        <f>'PLAN INDICATIVO'!K360</f>
        <v>A.15.1.3</v>
      </c>
      <c r="L360" s="1351" t="str">
        <f>'PLAN INDICATIVO'!L360</f>
        <v>11. Ciudades y comunidades sostenibles</v>
      </c>
      <c r="M360" s="1351" t="str">
        <f>'PLAN INDICATIVO'!M360</f>
        <v>Departamento Municipal de Planeación</v>
      </c>
      <c r="N360" s="1513" t="s">
        <v>5123</v>
      </c>
      <c r="O360" s="1468" t="str">
        <f>'PLAN INDICATIVO'!O360</f>
        <v>Incremento</v>
      </c>
      <c r="P360" s="1199" t="str">
        <f>'PLAN INDICATIVO'!P360</f>
        <v>Inscribir 1 proyecto para gestionar recursos y/o reubicar la plaza de mercado durante el cuatrienio</v>
      </c>
      <c r="Q360" s="1199" t="str">
        <f>'PLAN INDICATIVO'!Q360</f>
        <v>No. Proyectos inscritos</v>
      </c>
      <c r="R360" s="1468">
        <f>'PLAN INDICATIVO'!R360</f>
        <v>2015</v>
      </c>
      <c r="S360" s="795">
        <v>0</v>
      </c>
      <c r="T360" s="498">
        <v>1</v>
      </c>
      <c r="U360" s="1463"/>
      <c r="V360" s="687">
        <v>2000000</v>
      </c>
      <c r="W360" s="572">
        <v>1</v>
      </c>
      <c r="X360" s="687">
        <v>1000000</v>
      </c>
      <c r="Y360" s="715"/>
      <c r="Z360" s="1234"/>
      <c r="AA360" s="715"/>
      <c r="AB360" s="1234"/>
      <c r="AC360" s="1305"/>
      <c r="AD360" s="1305">
        <v>1</v>
      </c>
      <c r="AE360" s="1305"/>
      <c r="AF360" s="1305"/>
      <c r="AG360" s="1306" t="s">
        <v>4304</v>
      </c>
      <c r="AH360" s="987">
        <v>2018413960028</v>
      </c>
      <c r="AI360" s="1306" t="s">
        <v>4307</v>
      </c>
      <c r="AJ360" s="1417">
        <v>43146</v>
      </c>
      <c r="AK360" s="1418">
        <v>43434</v>
      </c>
      <c r="AL360" s="1305"/>
      <c r="AM360" s="1305"/>
      <c r="AN360" s="1342" t="s">
        <v>2604</v>
      </c>
      <c r="AO360" s="1327"/>
      <c r="AP360" s="525"/>
      <c r="AQ360" s="310"/>
      <c r="AR360" s="310"/>
      <c r="AS360" s="310"/>
      <c r="AT360" s="310"/>
      <c r="AU360" s="310"/>
      <c r="AV360" s="310"/>
      <c r="AW360" s="544"/>
      <c r="AX360" s="525"/>
      <c r="AY360" s="310"/>
      <c r="AZ360" s="310"/>
      <c r="BA360" s="310"/>
      <c r="BB360" s="310"/>
      <c r="BC360" s="1313"/>
      <c r="BD360" s="1313"/>
      <c r="BE360" s="800"/>
      <c r="BF360" s="1323"/>
      <c r="BG360" s="1313"/>
      <c r="BH360" s="1313"/>
      <c r="BI360" s="1313"/>
      <c r="BJ360" s="1313"/>
      <c r="BK360" s="1313"/>
      <c r="BL360" s="1313"/>
      <c r="BM360" s="800">
        <f t="shared" si="152"/>
        <v>0</v>
      </c>
      <c r="BN360" s="525"/>
      <c r="BO360" s="310"/>
      <c r="BP360" s="310"/>
      <c r="BQ360" s="310"/>
      <c r="BR360" s="310"/>
      <c r="BS360" s="310"/>
      <c r="BT360" s="310"/>
      <c r="BU360" s="544"/>
      <c r="BV360" s="1415"/>
      <c r="BW360" s="1416">
        <f t="shared" si="144"/>
        <v>1</v>
      </c>
      <c r="BX360" s="1346">
        <f t="shared" si="151"/>
        <v>1</v>
      </c>
      <c r="BY360" s="1346" t="str">
        <f t="shared" si="154"/>
        <v>No Programada</v>
      </c>
      <c r="BZ360" s="1346">
        <f t="shared" si="155"/>
        <v>1</v>
      </c>
      <c r="CA360" s="1346" t="s">
        <v>4000</v>
      </c>
      <c r="CB360" s="1346" t="str">
        <f t="shared" si="157"/>
        <v>No Programada</v>
      </c>
      <c r="CD360" s="1399" t="str">
        <f t="shared" si="158"/>
        <v>NP</v>
      </c>
      <c r="CE360" s="1399" t="str">
        <f t="shared" si="158"/>
        <v>VE</v>
      </c>
      <c r="CF360" s="1399" t="str">
        <f t="shared" si="158"/>
        <v>E</v>
      </c>
      <c r="CG360" s="1399" t="str">
        <f t="shared" si="158"/>
        <v>NP</v>
      </c>
    </row>
    <row r="361" spans="1:85" ht="117" hidden="1" customHeight="1" x14ac:dyDescent="0.25">
      <c r="A361" s="298" t="s">
        <v>1097</v>
      </c>
      <c r="B361" s="299" t="str">
        <f>'PLAN INDICATIVO'!B361</f>
        <v xml:space="preserve">Equipamiento </v>
      </c>
      <c r="C361" s="1547"/>
      <c r="D361" s="1549"/>
      <c r="E361" s="1549"/>
      <c r="F361" s="1549"/>
      <c r="G361" s="1549"/>
      <c r="H361" s="1549"/>
      <c r="I361" s="1425" t="str">
        <f>'PLAN INDICATIVO'!I361</f>
        <v>SI</v>
      </c>
      <c r="J361" s="1425">
        <f>'PLAN INDICATIVO'!J361</f>
        <v>0</v>
      </c>
      <c r="K361" s="1425" t="str">
        <f>'PLAN INDICATIVO'!K361</f>
        <v>A.15.1.4</v>
      </c>
      <c r="L361" s="301" t="str">
        <f>'PLAN INDICATIVO'!L361</f>
        <v>11. Ciudades y comunidades sostenibles</v>
      </c>
      <c r="M361" s="301" t="str">
        <f>'PLAN INDICATIVO'!M361</f>
        <v>Departamento Municipal de Planeación</v>
      </c>
      <c r="N361" s="1513" t="s">
        <v>5123</v>
      </c>
      <c r="O361" s="1425" t="str">
        <f>'PLAN INDICATIVO'!O361</f>
        <v>Incremento</v>
      </c>
      <c r="P361" s="907" t="str">
        <f>'PLAN INDICATIVO'!P361</f>
        <v>Realizar 1 obra de adecuación, dotación y/o mantenimiento de  las instalaciones del honorable Concejo Municipal, durante el cuatrienio</v>
      </c>
      <c r="Q361" s="302" t="str">
        <f>'PLAN INDICATIVO'!Q361</f>
        <v>No. De Adecuaciones o mantenimientos realizados</v>
      </c>
      <c r="R361" s="303">
        <f>'PLAN INDICATIVO'!R361</f>
        <v>2015</v>
      </c>
      <c r="S361" s="304">
        <v>0</v>
      </c>
      <c r="T361" s="498">
        <v>1</v>
      </c>
      <c r="U361" s="303">
        <v>1</v>
      </c>
      <c r="V361" s="687">
        <v>0</v>
      </c>
      <c r="W361" s="572"/>
      <c r="X361" s="687"/>
      <c r="Y361" s="1232"/>
      <c r="Z361" s="687"/>
      <c r="AA361" s="1310"/>
      <c r="AB361" s="687"/>
      <c r="AC361" s="665"/>
      <c r="AD361" s="843">
        <v>0</v>
      </c>
      <c r="AE361" s="665"/>
      <c r="AF361" s="665"/>
      <c r="AG361" s="306" t="s">
        <v>5156</v>
      </c>
      <c r="AH361" s="987">
        <v>2019413960027</v>
      </c>
      <c r="AI361" s="307"/>
      <c r="AJ361" s="309"/>
      <c r="AK361" s="335"/>
      <c r="AL361" s="308"/>
      <c r="AM361" s="308"/>
      <c r="AN361" s="267" t="s">
        <v>2594</v>
      </c>
      <c r="AO361" s="507"/>
      <c r="AP361" s="525"/>
      <c r="AQ361" s="310"/>
      <c r="AR361" s="310"/>
      <c r="AS361" s="310"/>
      <c r="AT361" s="310"/>
      <c r="AU361" s="310"/>
      <c r="AV361" s="310"/>
      <c r="AW361" s="544"/>
      <c r="AX361" s="525"/>
      <c r="AY361" s="310"/>
      <c r="AZ361" s="310"/>
      <c r="BA361" s="310"/>
      <c r="BB361" s="310"/>
      <c r="BC361" s="310"/>
      <c r="BD361" s="310"/>
      <c r="BE361" s="544"/>
      <c r="BF361" s="525"/>
      <c r="BG361" s="310"/>
      <c r="BH361" s="310"/>
      <c r="BI361" s="310"/>
      <c r="BJ361" s="310"/>
      <c r="BK361" s="310"/>
      <c r="BL361" s="310"/>
      <c r="BM361" s="544">
        <f t="shared" si="152"/>
        <v>0</v>
      </c>
      <c r="BN361" s="525"/>
      <c r="BO361" s="310"/>
      <c r="BP361" s="310"/>
      <c r="BQ361" s="310"/>
      <c r="BR361" s="310"/>
      <c r="BS361" s="310"/>
      <c r="BT361" s="310"/>
      <c r="BU361" s="544"/>
      <c r="BV361" s="556"/>
      <c r="BW361" s="663">
        <f t="shared" si="144"/>
        <v>0</v>
      </c>
      <c r="BX361" s="1047">
        <f t="shared" si="151"/>
        <v>0</v>
      </c>
      <c r="BY361" s="1047">
        <f t="shared" si="154"/>
        <v>0</v>
      </c>
      <c r="BZ361" s="1047" t="str">
        <f t="shared" si="155"/>
        <v>No Programada</v>
      </c>
      <c r="CA361" s="1047" t="str">
        <f t="shared" si="156"/>
        <v>No Programada</v>
      </c>
      <c r="CB361" s="1047" t="str">
        <f t="shared" si="157"/>
        <v>No Programada</v>
      </c>
      <c r="CD361" t="str">
        <f t="shared" si="158"/>
        <v>ROB</v>
      </c>
      <c r="CE361" t="str">
        <f t="shared" si="158"/>
        <v>NP</v>
      </c>
      <c r="CF361" t="str">
        <f t="shared" si="158"/>
        <v>NP</v>
      </c>
      <c r="CG361" t="str">
        <f t="shared" si="158"/>
        <v>NP</v>
      </c>
    </row>
    <row r="362" spans="1:85" s="1399" customFormat="1" ht="0.75" customHeight="1" x14ac:dyDescent="0.3">
      <c r="A362" s="1347"/>
      <c r="B362" s="1348" t="str">
        <f>'PLAN INDICATIVO'!B362</f>
        <v xml:space="preserve">Equipamiento </v>
      </c>
      <c r="C362" s="1755"/>
      <c r="D362" s="1756"/>
      <c r="E362" s="1756"/>
      <c r="F362" s="1756"/>
      <c r="G362" s="1756"/>
      <c r="H362" s="1756"/>
      <c r="I362" s="1463" t="str">
        <f>'PLAN INDICATIVO'!I362</f>
        <v>SI</v>
      </c>
      <c r="J362" s="1463">
        <f>'PLAN INDICATIVO'!J362</f>
        <v>0</v>
      </c>
      <c r="K362" s="1463" t="str">
        <f>'PLAN INDICATIVO'!K362</f>
        <v>A.15.1.5</v>
      </c>
      <c r="L362" s="1351" t="str">
        <f>'PLAN INDICATIVO'!L362</f>
        <v>11. Ciudades y comunidades sostenibles</v>
      </c>
      <c r="M362" s="1351" t="str">
        <f>'PLAN INDICATIVO'!M362</f>
        <v>Departamento Municipal de Planeación</v>
      </c>
      <c r="N362" s="1513" t="s">
        <v>5123</v>
      </c>
      <c r="O362" s="1463" t="str">
        <f>'PLAN INDICATIVO'!O362</f>
        <v>Incremento</v>
      </c>
      <c r="P362" s="1199" t="str">
        <f>'PLAN INDICATIVO'!P362</f>
        <v>Realizar 1 proyecto inscrito, con apoyo y gestión de recursos para la reubicación de la estación de policía del La Plata, durante el cuatrienio</v>
      </c>
      <c r="Q362" s="1199" t="str">
        <f>'PLAN INDICATIVO'!Q362</f>
        <v>No. De proyectos realizados durante el cuatrienio</v>
      </c>
      <c r="R362" s="1463">
        <f>'PLAN INDICATIVO'!R362</f>
        <v>2015</v>
      </c>
      <c r="S362" s="795">
        <v>0</v>
      </c>
      <c r="T362" s="715">
        <v>1</v>
      </c>
      <c r="U362" s="1463"/>
      <c r="V362" s="1234">
        <v>509000000</v>
      </c>
      <c r="W362" s="715">
        <v>1</v>
      </c>
      <c r="X362" s="1234">
        <v>510000000</v>
      </c>
      <c r="Y362" s="715"/>
      <c r="Z362" s="1234"/>
      <c r="AA362" s="715">
        <v>1</v>
      </c>
      <c r="AB362" s="1234"/>
      <c r="AC362" s="1305"/>
      <c r="AD362" s="1305"/>
      <c r="AE362" s="1305"/>
      <c r="AF362" s="1305"/>
      <c r="AG362" s="1306" t="s">
        <v>4304</v>
      </c>
      <c r="AH362" s="987">
        <v>2018413960028</v>
      </c>
      <c r="AI362" s="1306" t="s">
        <v>4307</v>
      </c>
      <c r="AJ362" s="1413"/>
      <c r="AK362" s="1418"/>
      <c r="AL362" s="1305"/>
      <c r="AM362" s="1305"/>
      <c r="AN362" s="1342" t="s">
        <v>2604</v>
      </c>
      <c r="AO362" s="1327"/>
      <c r="AP362" s="525"/>
      <c r="AQ362" s="310"/>
      <c r="AR362" s="310"/>
      <c r="AS362" s="310"/>
      <c r="AT362" s="310"/>
      <c r="AU362" s="310"/>
      <c r="AV362" s="310"/>
      <c r="AW362" s="544"/>
      <c r="AX362" s="525"/>
      <c r="AY362" s="310"/>
      <c r="AZ362" s="310"/>
      <c r="BA362" s="310"/>
      <c r="BB362" s="310"/>
      <c r="BC362" s="1313"/>
      <c r="BD362" s="1313"/>
      <c r="BE362" s="800"/>
      <c r="BF362" s="1323"/>
      <c r="BG362" s="1313"/>
      <c r="BH362" s="1313"/>
      <c r="BI362" s="1313"/>
      <c r="BJ362" s="1313"/>
      <c r="BK362" s="1313"/>
      <c r="BL362" s="1313"/>
      <c r="BM362" s="800">
        <f t="shared" si="152"/>
        <v>0</v>
      </c>
      <c r="BN362" s="525"/>
      <c r="BO362" s="310"/>
      <c r="BP362" s="310"/>
      <c r="BQ362" s="310"/>
      <c r="BR362" s="310"/>
      <c r="BS362" s="310"/>
      <c r="BT362" s="310"/>
      <c r="BU362" s="544"/>
      <c r="BV362" s="1415"/>
      <c r="BW362" s="1416">
        <f t="shared" si="144"/>
        <v>0</v>
      </c>
      <c r="BX362" s="1346">
        <f t="shared" si="151"/>
        <v>0</v>
      </c>
      <c r="BY362" s="1346" t="str">
        <f t="shared" si="154"/>
        <v>No Programada</v>
      </c>
      <c r="BZ362" s="1346">
        <f t="shared" si="155"/>
        <v>0</v>
      </c>
      <c r="CA362" s="1346" t="s">
        <v>4000</v>
      </c>
      <c r="CB362" s="1346" t="s">
        <v>4789</v>
      </c>
      <c r="CD362" s="1399" t="str">
        <f t="shared" si="158"/>
        <v>NP</v>
      </c>
      <c r="CE362" s="1399" t="str">
        <f t="shared" si="158"/>
        <v>ROB</v>
      </c>
      <c r="CF362" s="1399" t="str">
        <f t="shared" si="158"/>
        <v>E</v>
      </c>
      <c r="CG362" s="1399" t="str">
        <f t="shared" si="158"/>
        <v>E</v>
      </c>
    </row>
    <row r="363" spans="1:85" ht="69" hidden="1" customHeight="1" x14ac:dyDescent="0.25">
      <c r="A363" s="298" t="s">
        <v>1097</v>
      </c>
      <c r="B363" s="299" t="str">
        <f>'PLAN INDICATIVO'!B363</f>
        <v xml:space="preserve">Equipamiento </v>
      </c>
      <c r="C363" s="1547"/>
      <c r="D363" s="1549"/>
      <c r="E363" s="1549"/>
      <c r="F363" s="1549"/>
      <c r="G363" s="1549"/>
      <c r="H363" s="1549"/>
      <c r="I363" s="300">
        <f>'PLAN INDICATIVO'!I363</f>
        <v>0</v>
      </c>
      <c r="J363" s="300">
        <f>'PLAN INDICATIVO'!J363</f>
        <v>0</v>
      </c>
      <c r="K363" s="1425" t="str">
        <f>'PLAN INDICATIVO'!K363</f>
        <v>A.15.1.6</v>
      </c>
      <c r="L363" s="301" t="str">
        <f>'PLAN INDICATIVO'!L363</f>
        <v>11. Ciudades y comunidades sostenibles</v>
      </c>
      <c r="M363" s="301" t="str">
        <f>'PLAN INDICATIVO'!M363</f>
        <v>Departamento Municipal de Planeación</v>
      </c>
      <c r="N363" s="1513" t="s">
        <v>5123</v>
      </c>
      <c r="O363" s="1425" t="str">
        <f>'PLAN INDICATIVO'!O363</f>
        <v>Incremento</v>
      </c>
      <c r="P363" s="16" t="str">
        <f>'PLAN INDICATIVO'!P363</f>
        <v>Construir 1 centro de integración ciudadana durante el cuatrienio</v>
      </c>
      <c r="Q363" s="302" t="str">
        <f>'PLAN INDICATIVO'!Q363</f>
        <v>No. De centros de integración construidos</v>
      </c>
      <c r="R363" s="303">
        <f>'PLAN INDICATIVO'!R363</f>
        <v>2015</v>
      </c>
      <c r="S363" s="304">
        <v>0</v>
      </c>
      <c r="T363" s="498">
        <v>1</v>
      </c>
      <c r="U363" s="303">
        <v>0.5</v>
      </c>
      <c r="V363" s="687">
        <v>1000000</v>
      </c>
      <c r="W363" s="572">
        <v>1</v>
      </c>
      <c r="X363" s="687"/>
      <c r="Y363" s="1232"/>
      <c r="Z363" s="687"/>
      <c r="AA363" s="1310"/>
      <c r="AB363" s="687"/>
      <c r="AC363" s="665"/>
      <c r="AD363" s="665">
        <v>1</v>
      </c>
      <c r="AE363" s="665"/>
      <c r="AF363" s="665"/>
      <c r="AG363" s="306" t="s">
        <v>5156</v>
      </c>
      <c r="AH363" s="987">
        <v>2019413960027</v>
      </c>
      <c r="AI363" s="336"/>
      <c r="AJ363" s="309"/>
      <c r="AK363" s="376"/>
      <c r="AL363" s="376"/>
      <c r="AM363" s="376"/>
      <c r="AN363" s="267" t="s">
        <v>2594</v>
      </c>
      <c r="AO363" s="519"/>
      <c r="AP363" s="528"/>
      <c r="AQ363" s="472"/>
      <c r="AR363" s="472"/>
      <c r="AS363" s="472"/>
      <c r="AT363" s="475"/>
      <c r="AU363" s="475"/>
      <c r="AV363" s="475"/>
      <c r="AW363" s="544"/>
      <c r="AX363" s="532"/>
      <c r="AY363" s="475"/>
      <c r="AZ363" s="475"/>
      <c r="BA363" s="475"/>
      <c r="BB363" s="475"/>
      <c r="BC363" s="475"/>
      <c r="BD363" s="475"/>
      <c r="BE363" s="544"/>
      <c r="BF363" s="532"/>
      <c r="BG363" s="475"/>
      <c r="BH363" s="475"/>
      <c r="BI363" s="475"/>
      <c r="BJ363" s="475"/>
      <c r="BK363" s="475"/>
      <c r="BL363" s="475"/>
      <c r="BM363" s="544">
        <f t="shared" si="152"/>
        <v>0</v>
      </c>
      <c r="BN363" s="532"/>
      <c r="BO363" s="475"/>
      <c r="BP363" s="475"/>
      <c r="BQ363" s="475"/>
      <c r="BR363" s="475"/>
      <c r="BS363" s="475"/>
      <c r="BT363" s="475"/>
      <c r="BU363" s="544"/>
      <c r="BV363" s="556"/>
      <c r="BW363" s="663">
        <f t="shared" si="144"/>
        <v>1</v>
      </c>
      <c r="BX363" s="1047">
        <f t="shared" si="151"/>
        <v>1</v>
      </c>
      <c r="BY363" s="1047">
        <f t="shared" si="154"/>
        <v>0</v>
      </c>
      <c r="BZ363" s="1047">
        <f t="shared" si="155"/>
        <v>1</v>
      </c>
      <c r="CA363" s="1047" t="str">
        <f t="shared" si="156"/>
        <v>No Programada</v>
      </c>
      <c r="CB363" s="1047" t="str">
        <f t="shared" si="157"/>
        <v>No Programada</v>
      </c>
      <c r="CD363" t="str">
        <f t="shared" si="158"/>
        <v>ROB</v>
      </c>
      <c r="CE363" t="str">
        <f t="shared" si="158"/>
        <v>VE</v>
      </c>
      <c r="CF363" t="str">
        <f t="shared" si="158"/>
        <v>NP</v>
      </c>
      <c r="CG363" t="str">
        <f t="shared" si="158"/>
        <v>NP</v>
      </c>
    </row>
    <row r="364" spans="1:85" ht="92.25" customHeight="1" thickBot="1" x14ac:dyDescent="0.35">
      <c r="A364" s="298" t="s">
        <v>1097</v>
      </c>
      <c r="B364" s="299" t="str">
        <f>'PLAN INDICATIVO'!B364</f>
        <v xml:space="preserve">Equipamiento </v>
      </c>
      <c r="C364" s="1547"/>
      <c r="D364" s="1549"/>
      <c r="E364" s="1549"/>
      <c r="F364" s="1549"/>
      <c r="G364" s="1549"/>
      <c r="H364" s="1549"/>
      <c r="I364" s="300">
        <f>'PLAN INDICATIVO'!I364</f>
        <v>0</v>
      </c>
      <c r="J364" s="300">
        <f>'PLAN INDICATIVO'!J364</f>
        <v>0</v>
      </c>
      <c r="K364" s="1425" t="str">
        <f>'PLAN INDICATIVO'!K364</f>
        <v>A.15.1.7</v>
      </c>
      <c r="L364" s="301" t="str">
        <f>'PLAN INDICATIVO'!L364</f>
        <v>11. Ciudades y comunidades sostenibles</v>
      </c>
      <c r="M364" s="301" t="str">
        <f>'PLAN INDICATIVO'!M364</f>
        <v>Departamento Municipal de Planeación</v>
      </c>
      <c r="N364" s="1425" t="s">
        <v>5130</v>
      </c>
      <c r="O364" s="1425" t="str">
        <f>'PLAN INDICATIVO'!O364</f>
        <v>Incremento</v>
      </c>
      <c r="P364" s="16" t="str">
        <f>'PLAN INDICATIVO'!P364</f>
        <v>Construir y/o mejorar en coordinación con la ESE San Sebastian, 6 puestos de Salud durante el cuatrienio.</v>
      </c>
      <c r="Q364" s="302" t="str">
        <f>'PLAN INDICATIVO'!Q364</f>
        <v>No. De centros de salud construidos y/o mejorados</v>
      </c>
      <c r="R364" s="303">
        <f>'PLAN INDICATIVO'!R364</f>
        <v>2015</v>
      </c>
      <c r="S364" s="304">
        <v>0</v>
      </c>
      <c r="T364" s="498">
        <v>6</v>
      </c>
      <c r="U364" s="303">
        <v>2</v>
      </c>
      <c r="V364" s="687">
        <v>10000000</v>
      </c>
      <c r="W364" s="572">
        <v>2</v>
      </c>
      <c r="X364" s="687">
        <v>10000000</v>
      </c>
      <c r="Y364" s="572">
        <v>3</v>
      </c>
      <c r="Z364" s="687">
        <v>14500000</v>
      </c>
      <c r="AA364" s="1310">
        <v>3.6</v>
      </c>
      <c r="AB364" s="687">
        <v>7000000</v>
      </c>
      <c r="AC364" s="665"/>
      <c r="AD364" s="665">
        <v>0.1</v>
      </c>
      <c r="AE364" s="665">
        <v>2.2999999999999998</v>
      </c>
      <c r="AF364" s="665">
        <v>4</v>
      </c>
      <c r="AG364" s="306" t="s">
        <v>5156</v>
      </c>
      <c r="AH364" s="987">
        <v>2019413960027</v>
      </c>
      <c r="AI364" s="307" t="s">
        <v>4957</v>
      </c>
      <c r="AJ364" s="309">
        <v>43497</v>
      </c>
      <c r="AK364" s="838">
        <v>43768</v>
      </c>
      <c r="AL364" s="308"/>
      <c r="AM364" s="308"/>
      <c r="AN364" s="267" t="s">
        <v>2604</v>
      </c>
      <c r="AO364" s="507"/>
      <c r="AP364" s="525"/>
      <c r="AQ364" s="310"/>
      <c r="AR364" s="310"/>
      <c r="AS364" s="310"/>
      <c r="AT364" s="310"/>
      <c r="AU364" s="310"/>
      <c r="AV364" s="310"/>
      <c r="AW364" s="544"/>
      <c r="AX364" s="525"/>
      <c r="AY364" s="310"/>
      <c r="AZ364" s="310"/>
      <c r="BA364" s="310"/>
      <c r="BB364" s="310"/>
      <c r="BC364" s="310"/>
      <c r="BD364" s="310"/>
      <c r="BE364" s="544"/>
      <c r="BF364" s="525"/>
      <c r="BG364" s="310"/>
      <c r="BH364" s="310"/>
      <c r="BI364" s="310"/>
      <c r="BJ364" s="310"/>
      <c r="BK364" s="310"/>
      <c r="BL364" s="310"/>
      <c r="BM364" s="544">
        <f t="shared" si="152"/>
        <v>0</v>
      </c>
      <c r="BN364" s="525"/>
      <c r="BO364" s="310"/>
      <c r="BP364" s="310"/>
      <c r="BQ364" s="310"/>
      <c r="BR364" s="310"/>
      <c r="BS364" s="310"/>
      <c r="BT364" s="310"/>
      <c r="BU364" s="544"/>
      <c r="BV364" s="556"/>
      <c r="BW364" s="663">
        <f t="shared" si="144"/>
        <v>6.4</v>
      </c>
      <c r="BX364" s="1047">
        <f t="shared" si="151"/>
        <v>1.0666666666666667</v>
      </c>
      <c r="BY364" s="1047">
        <f t="shared" si="154"/>
        <v>0</v>
      </c>
      <c r="BZ364" s="1047">
        <f t="shared" si="155"/>
        <v>0.05</v>
      </c>
      <c r="CA364" s="1047">
        <f t="shared" si="156"/>
        <v>0.76666666666666661</v>
      </c>
      <c r="CB364" s="1047">
        <f t="shared" si="157"/>
        <v>1.1111111111111112</v>
      </c>
      <c r="CD364" t="str">
        <f t="shared" si="158"/>
        <v>ROB</v>
      </c>
      <c r="CE364" t="str">
        <f t="shared" si="158"/>
        <v>ROB</v>
      </c>
      <c r="CF364" t="str">
        <f t="shared" si="158"/>
        <v>VEB</v>
      </c>
      <c r="CG364" t="str">
        <f t="shared" si="158"/>
        <v>VE</v>
      </c>
    </row>
    <row r="365" spans="1:85" ht="82.5" hidden="1" customHeight="1" x14ac:dyDescent="0.25">
      <c r="A365" s="298" t="s">
        <v>1097</v>
      </c>
      <c r="B365" s="299" t="str">
        <f>'PLAN INDICATIVO'!B365</f>
        <v xml:space="preserve">Equipamiento </v>
      </c>
      <c r="C365" s="1547"/>
      <c r="D365" s="1549"/>
      <c r="E365" s="1549"/>
      <c r="F365" s="1549"/>
      <c r="G365" s="1549"/>
      <c r="H365" s="1549"/>
      <c r="I365" s="300">
        <f>'PLAN INDICATIVO'!I365</f>
        <v>0</v>
      </c>
      <c r="J365" s="300">
        <f>'PLAN INDICATIVO'!J365</f>
        <v>0</v>
      </c>
      <c r="K365" s="1425" t="str">
        <f>'PLAN INDICATIVO'!K365</f>
        <v>A.15.1.8</v>
      </c>
      <c r="L365" s="301" t="str">
        <f>'PLAN INDICATIVO'!L365</f>
        <v>11. Ciudades y comunidades sostenibles</v>
      </c>
      <c r="M365" s="301" t="str">
        <f>'PLAN INDICATIVO'!M365</f>
        <v>Departamento Municipal de Planeación</v>
      </c>
      <c r="N365" s="1513" t="s">
        <v>5123</v>
      </c>
      <c r="O365" s="1425" t="str">
        <f>'PLAN INDICATIVO'!O365</f>
        <v>Incremento</v>
      </c>
      <c r="P365" s="16" t="str">
        <f>'PLAN INDICATIVO'!P365</f>
        <v>Adquirir 1 lote y realizar obras de adecuación para alojamiento de maquinaria pesada, durante el cuatrienio, y/o para Obras de Infraestructura.</v>
      </c>
      <c r="Q365" s="302" t="str">
        <f>'PLAN INDICATIVO'!Q365</f>
        <v xml:space="preserve">No. De lotes adquiridos </v>
      </c>
      <c r="R365" s="815">
        <f>'PLAN INDICATIVO'!R365</f>
        <v>2015</v>
      </c>
      <c r="S365" s="935">
        <v>0</v>
      </c>
      <c r="T365" s="498">
        <v>1</v>
      </c>
      <c r="U365" s="303"/>
      <c r="V365" s="687">
        <v>30000000</v>
      </c>
      <c r="W365" s="572">
        <v>1</v>
      </c>
      <c r="X365" s="687">
        <v>30000000</v>
      </c>
      <c r="Y365" s="572"/>
      <c r="Z365" s="937"/>
      <c r="AA365" s="1310">
        <v>0.9</v>
      </c>
      <c r="AB365" s="937"/>
      <c r="AC365" s="665"/>
      <c r="AD365" s="665">
        <v>0.1</v>
      </c>
      <c r="AE365" s="665"/>
      <c r="AF365" s="665"/>
      <c r="AG365" s="306" t="s">
        <v>5156</v>
      </c>
      <c r="AH365" s="987">
        <v>2019413960027</v>
      </c>
      <c r="AI365" s="307"/>
      <c r="AJ365" s="309">
        <v>43497</v>
      </c>
      <c r="AK365" s="838">
        <v>43799</v>
      </c>
      <c r="AL365" s="308"/>
      <c r="AM365" s="308"/>
      <c r="AN365" s="267" t="s">
        <v>2594</v>
      </c>
      <c r="AO365" s="507"/>
      <c r="AP365" s="525"/>
      <c r="AQ365" s="310"/>
      <c r="AR365" s="310"/>
      <c r="AS365" s="310"/>
      <c r="AT365" s="310"/>
      <c r="AU365" s="310"/>
      <c r="AV365" s="310"/>
      <c r="AW365" s="544"/>
      <c r="AX365" s="525"/>
      <c r="AY365" s="310"/>
      <c r="AZ365" s="310"/>
      <c r="BA365" s="310"/>
      <c r="BB365" s="310"/>
      <c r="BC365" s="310"/>
      <c r="BD365" s="310"/>
      <c r="BE365" s="544"/>
      <c r="BF365" s="525"/>
      <c r="BG365" s="310"/>
      <c r="BH365" s="310"/>
      <c r="BI365" s="310"/>
      <c r="BJ365" s="310"/>
      <c r="BK365" s="310"/>
      <c r="BL365" s="310"/>
      <c r="BM365" s="544">
        <f t="shared" si="152"/>
        <v>0</v>
      </c>
      <c r="BN365" s="525"/>
      <c r="BO365" s="310"/>
      <c r="BP365" s="310"/>
      <c r="BQ365" s="310"/>
      <c r="BR365" s="310"/>
      <c r="BS365" s="310"/>
      <c r="BT365" s="310"/>
      <c r="BU365" s="544"/>
      <c r="BV365" s="556"/>
      <c r="BW365" s="663">
        <f t="shared" si="144"/>
        <v>0.1</v>
      </c>
      <c r="BX365" s="1047">
        <f t="shared" si="151"/>
        <v>0.1</v>
      </c>
      <c r="BY365" s="1047" t="str">
        <f t="shared" si="154"/>
        <v>No Programada</v>
      </c>
      <c r="BZ365" s="1047">
        <f t="shared" si="155"/>
        <v>0.1</v>
      </c>
      <c r="CA365" s="1047" t="s">
        <v>4312</v>
      </c>
      <c r="CB365" s="1047">
        <f t="shared" si="157"/>
        <v>0</v>
      </c>
      <c r="CD365" t="str">
        <f t="shared" si="158"/>
        <v>NP</v>
      </c>
      <c r="CE365" t="str">
        <f t="shared" si="158"/>
        <v>ROB</v>
      </c>
      <c r="CF365" t="str">
        <f t="shared" si="158"/>
        <v>NP</v>
      </c>
      <c r="CG365" t="str">
        <f t="shared" si="158"/>
        <v>ROB</v>
      </c>
    </row>
    <row r="366" spans="1:85" ht="96" hidden="1" customHeight="1" thickBot="1" x14ac:dyDescent="0.3">
      <c r="A366" s="298" t="s">
        <v>1097</v>
      </c>
      <c r="B366" s="299" t="str">
        <f>'PLAN INDICATIVO'!B366</f>
        <v xml:space="preserve">Equipamiento </v>
      </c>
      <c r="C366" s="1548"/>
      <c r="D366" s="1549"/>
      <c r="E366" s="1549"/>
      <c r="F366" s="1549"/>
      <c r="G366" s="1549"/>
      <c r="H366" s="1549"/>
      <c r="I366" s="300">
        <f>'PLAN INDICATIVO'!I366</f>
        <v>0</v>
      </c>
      <c r="J366" s="300">
        <f>'PLAN INDICATIVO'!J366</f>
        <v>0</v>
      </c>
      <c r="K366" s="1425" t="str">
        <f>'PLAN INDICATIVO'!K366</f>
        <v>A.15.1.9</v>
      </c>
      <c r="L366" s="301" t="str">
        <f>'PLAN INDICATIVO'!L366</f>
        <v>11. Ciudades y comunidades sostenibles</v>
      </c>
      <c r="M366" s="301" t="str">
        <f>'PLAN INDICATIVO'!M366</f>
        <v>Departamento Municipal de Planeación</v>
      </c>
      <c r="N366" s="1425" t="str">
        <f>'PLAN INDICATIVO'!N366</f>
        <v>MAURICIO LEGARDA GONZALEZ</v>
      </c>
      <c r="O366" s="1425" t="str">
        <f>'PLAN INDICATIVO'!O366</f>
        <v>Incremento</v>
      </c>
      <c r="P366" s="16" t="str">
        <f>'PLAN INDICATIVO'!P366</f>
        <v>Promover la donación de un (1) lote para la construcción del tecnoparque del Servicion Nacional de Aprendisaje SENA como apoyo a las investigaciones y prácticas agropecuarias.</v>
      </c>
      <c r="Q366" s="302" t="str">
        <f>'PLAN INDICATIVO'!Q366</f>
        <v>No. De acciones realizadas para la donación del lote durante el cuatrenio</v>
      </c>
      <c r="R366" s="303">
        <f>'PLAN INDICATIVO'!R366</f>
        <v>2015</v>
      </c>
      <c r="S366" s="304">
        <v>0</v>
      </c>
      <c r="T366" s="498">
        <v>1</v>
      </c>
      <c r="U366" s="303"/>
      <c r="V366" s="687">
        <v>1000000</v>
      </c>
      <c r="W366" s="823"/>
      <c r="X366" s="687">
        <v>10000000</v>
      </c>
      <c r="Y366" s="1232">
        <v>1</v>
      </c>
      <c r="Z366" s="687"/>
      <c r="AA366" s="1310"/>
      <c r="AB366" s="687"/>
      <c r="AC366" s="665">
        <v>0</v>
      </c>
      <c r="AD366" s="665"/>
      <c r="AE366" s="665">
        <v>1</v>
      </c>
      <c r="AF366" s="665"/>
      <c r="AG366" s="306" t="s">
        <v>5156</v>
      </c>
      <c r="AH366" s="987">
        <v>2019413960027</v>
      </c>
      <c r="AI366" s="307"/>
      <c r="AJ366" s="309"/>
      <c r="AK366" s="838"/>
      <c r="AL366" s="308"/>
      <c r="AM366" s="308"/>
      <c r="AN366" s="267" t="s">
        <v>2598</v>
      </c>
      <c r="AO366" s="507"/>
      <c r="AP366" s="525"/>
      <c r="AQ366" s="310"/>
      <c r="AR366" s="310"/>
      <c r="AS366" s="310"/>
      <c r="AT366" s="310"/>
      <c r="AU366" s="310"/>
      <c r="AV366" s="310"/>
      <c r="AW366" s="544"/>
      <c r="AX366" s="525"/>
      <c r="AY366" s="310"/>
      <c r="AZ366" s="310"/>
      <c r="BA366" s="310"/>
      <c r="BB366" s="310"/>
      <c r="BC366" s="310"/>
      <c r="BD366" s="310"/>
      <c r="BE366" s="544"/>
      <c r="BF366" s="525"/>
      <c r="BG366" s="310"/>
      <c r="BH366" s="310"/>
      <c r="BI366" s="310"/>
      <c r="BJ366" s="310"/>
      <c r="BK366" s="310"/>
      <c r="BL366" s="310"/>
      <c r="BM366" s="544">
        <f t="shared" si="152"/>
        <v>0</v>
      </c>
      <c r="BN366" s="525"/>
      <c r="BO366" s="310"/>
      <c r="BP366" s="310"/>
      <c r="BQ366" s="310"/>
      <c r="BR366" s="310"/>
      <c r="BS366" s="310"/>
      <c r="BT366" s="310"/>
      <c r="BU366" s="544"/>
      <c r="BV366" s="556"/>
      <c r="BW366" s="663">
        <f t="shared" si="144"/>
        <v>1</v>
      </c>
      <c r="BX366" s="1047">
        <f t="shared" si="151"/>
        <v>1</v>
      </c>
      <c r="BY366" s="1047" t="str">
        <f t="shared" si="154"/>
        <v>No Programada</v>
      </c>
      <c r="BZ366" s="1047" t="str">
        <f t="shared" si="155"/>
        <v>No Programada</v>
      </c>
      <c r="CA366" s="1047">
        <f t="shared" si="156"/>
        <v>1</v>
      </c>
      <c r="CB366" s="1047" t="str">
        <f t="shared" si="157"/>
        <v>No Programada</v>
      </c>
      <c r="CD366" t="str">
        <f t="shared" si="158"/>
        <v>NP</v>
      </c>
      <c r="CE366" t="str">
        <f t="shared" si="158"/>
        <v>NP</v>
      </c>
      <c r="CF366" t="str">
        <f t="shared" si="158"/>
        <v>VE</v>
      </c>
      <c r="CG366" t="str">
        <f t="shared" si="158"/>
        <v>NP</v>
      </c>
    </row>
    <row r="367" spans="1:85" ht="13.5" customHeight="1" thickBot="1" x14ac:dyDescent="0.35">
      <c r="A367" s="428"/>
      <c r="B367" s="429" t="str">
        <f>'PLAN INDICATIVO'!B367</f>
        <v>FORTALECIMIENTO INSTITUCIONAL</v>
      </c>
      <c r="C367" s="1578" t="s">
        <v>1133</v>
      </c>
      <c r="D367" s="1578"/>
      <c r="E367" s="1578"/>
      <c r="F367" s="1578"/>
      <c r="G367" s="1578"/>
      <c r="H367" s="1578"/>
      <c r="I367" s="1578"/>
      <c r="J367" s="1578"/>
      <c r="K367" s="1578"/>
      <c r="L367" s="1578"/>
      <c r="M367" s="1578"/>
      <c r="N367" s="1578"/>
      <c r="O367" s="1578"/>
      <c r="P367" s="1578"/>
      <c r="Q367" s="1578"/>
      <c r="R367" s="1578"/>
      <c r="S367" s="1578"/>
      <c r="T367" s="1578"/>
      <c r="U367" s="1578"/>
      <c r="V367" s="1578"/>
      <c r="W367" s="1578"/>
      <c r="X367" s="1578"/>
      <c r="Y367" s="1578"/>
      <c r="Z367" s="1578"/>
      <c r="AA367" s="1578"/>
      <c r="AB367" s="1578"/>
      <c r="AC367" s="1578"/>
      <c r="AD367" s="1578"/>
      <c r="AE367" s="1578"/>
      <c r="AF367" s="1578"/>
      <c r="AG367" s="1578"/>
      <c r="AH367" s="1578"/>
      <c r="AI367" s="1578"/>
      <c r="AJ367" s="1578"/>
      <c r="AK367" s="1578"/>
      <c r="AL367" s="1578"/>
      <c r="AM367" s="1644"/>
      <c r="AN367" s="294"/>
      <c r="AO367" s="294"/>
      <c r="AP367" s="294"/>
      <c r="AQ367" s="294"/>
      <c r="AR367" s="294"/>
      <c r="AS367" s="294"/>
      <c r="AT367" s="294"/>
      <c r="AU367" s="294"/>
      <c r="AV367" s="294"/>
      <c r="AW367" s="294"/>
      <c r="AX367" s="294"/>
      <c r="AY367" s="294"/>
      <c r="AZ367" s="294"/>
      <c r="BA367" s="294"/>
      <c r="BB367" s="294"/>
      <c r="BC367" s="294"/>
      <c r="BD367" s="294"/>
      <c r="BE367" s="294"/>
      <c r="BF367" s="294"/>
      <c r="BG367" s="294"/>
      <c r="BH367" s="294"/>
      <c r="BI367" s="294"/>
      <c r="BJ367" s="294"/>
      <c r="BK367" s="294"/>
      <c r="BL367" s="294"/>
      <c r="BM367" s="294">
        <f t="shared" si="152"/>
        <v>0</v>
      </c>
      <c r="BN367" s="294"/>
      <c r="BO367" s="294"/>
      <c r="BP367" s="294"/>
      <c r="BQ367" s="294"/>
      <c r="BR367" s="294"/>
      <c r="BS367" s="294"/>
      <c r="BT367" s="294"/>
      <c r="BU367" s="294"/>
      <c r="BV367" s="294"/>
      <c r="BW367" s="294" t="s">
        <v>2717</v>
      </c>
      <c r="BX367" s="294" t="s">
        <v>2717</v>
      </c>
      <c r="BY367" s="294" t="s">
        <v>2717</v>
      </c>
      <c r="BZ367" s="294" t="s">
        <v>2717</v>
      </c>
      <c r="CA367" s="294" t="s">
        <v>2717</v>
      </c>
      <c r="CB367" s="663" t="s">
        <v>2717</v>
      </c>
      <c r="CC367" s="663"/>
    </row>
    <row r="368" spans="1:85" ht="36" customHeight="1" x14ac:dyDescent="0.3">
      <c r="A368" s="296"/>
      <c r="B368" s="331" t="str">
        <f>'PLAN INDICATIVO'!B368</f>
        <v>Fortalecimiento institucional</v>
      </c>
      <c r="C368" s="1574" t="s">
        <v>1134</v>
      </c>
      <c r="D368" s="1575"/>
      <c r="E368" s="1575"/>
      <c r="F368" s="1575"/>
      <c r="G368" s="1575"/>
      <c r="H368" s="1575"/>
      <c r="I368" s="1575"/>
      <c r="J368" s="1575"/>
      <c r="K368" s="1575"/>
      <c r="L368" s="1575"/>
      <c r="M368" s="1575"/>
      <c r="N368" s="1575"/>
      <c r="O368" s="1576"/>
      <c r="P368" s="22"/>
      <c r="Q368" s="22"/>
      <c r="R368" s="1"/>
      <c r="S368" s="261"/>
      <c r="T368" s="681"/>
      <c r="U368" s="261"/>
      <c r="V368" s="689">
        <f>SUM(V369:V393)</f>
        <v>723150000</v>
      </c>
      <c r="W368" s="261"/>
      <c r="X368" s="689">
        <f>SUM(X369:X393)</f>
        <v>1070000000</v>
      </c>
      <c r="Y368" s="261"/>
      <c r="Z368" s="689">
        <f>SUM(Z369:Z393)</f>
        <v>754000000</v>
      </c>
      <c r="AA368" s="262"/>
      <c r="AB368" s="690">
        <f>SUM(AB369:AB393)</f>
        <v>557072000</v>
      </c>
      <c r="AC368" s="262"/>
      <c r="AD368" s="262"/>
      <c r="AE368" s="262"/>
      <c r="AF368" s="262"/>
      <c r="AG368" s="263"/>
      <c r="AH368" s="263"/>
      <c r="AI368" s="263"/>
      <c r="AJ368" s="262"/>
      <c r="AK368" s="262"/>
      <c r="AL368" s="262"/>
      <c r="AM368" s="262"/>
      <c r="AN368" s="262"/>
      <c r="AO368" s="612"/>
      <c r="AP368" s="616"/>
      <c r="AQ368" s="616"/>
      <c r="AR368" s="616"/>
      <c r="AS368" s="616"/>
      <c r="AT368" s="616"/>
      <c r="AU368" s="616"/>
      <c r="AV368" s="616"/>
      <c r="AW368" s="617"/>
      <c r="AX368" s="616"/>
      <c r="AY368" s="616"/>
      <c r="AZ368" s="616"/>
      <c r="BA368" s="616"/>
      <c r="BB368" s="616"/>
      <c r="BC368" s="616"/>
      <c r="BD368" s="616"/>
      <c r="BE368" s="617"/>
      <c r="BF368" s="616"/>
      <c r="BG368" s="616"/>
      <c r="BH368" s="616"/>
      <c r="BI368" s="616"/>
      <c r="BJ368" s="616"/>
      <c r="BK368" s="616"/>
      <c r="BL368" s="616"/>
      <c r="BM368" s="617">
        <f t="shared" si="152"/>
        <v>0</v>
      </c>
      <c r="BN368" s="616"/>
      <c r="BO368" s="616"/>
      <c r="BP368" s="616"/>
      <c r="BQ368" s="616"/>
      <c r="BR368" s="616"/>
      <c r="BS368" s="616"/>
      <c r="BT368" s="616"/>
      <c r="BU368" s="617"/>
      <c r="BV368" s="556"/>
      <c r="BW368" s="617" t="s">
        <v>2717</v>
      </c>
      <c r="BX368" s="617" t="s">
        <v>2717</v>
      </c>
      <c r="BY368" s="617" t="s">
        <v>2717</v>
      </c>
      <c r="BZ368" s="617" t="s">
        <v>2717</v>
      </c>
      <c r="CA368" s="617" t="s">
        <v>2717</v>
      </c>
      <c r="CB368" s="1047" t="s">
        <v>2717</v>
      </c>
    </row>
    <row r="369" spans="1:85" ht="72" customHeight="1" x14ac:dyDescent="0.3">
      <c r="A369" s="298" t="s">
        <v>1135</v>
      </c>
      <c r="B369" s="299" t="str">
        <f>'PLAN INDICATIVO'!B369</f>
        <v>Fortalecimiento institucional</v>
      </c>
      <c r="C369" s="1546" t="s">
        <v>1136</v>
      </c>
      <c r="D369" s="1549" t="s">
        <v>1137</v>
      </c>
      <c r="E369" s="1549" t="s">
        <v>1138</v>
      </c>
      <c r="F369" s="1549">
        <v>2015</v>
      </c>
      <c r="G369" s="1549">
        <v>75.61</v>
      </c>
      <c r="H369" s="1549">
        <v>78</v>
      </c>
      <c r="I369" s="300">
        <f>'PLAN INDICATIVO'!I369</f>
        <v>0</v>
      </c>
      <c r="J369" s="300">
        <f>'PLAN INDICATIVO'!J369</f>
        <v>0</v>
      </c>
      <c r="K369" s="1425" t="str">
        <f>'PLAN INDICATIVO'!K369</f>
        <v>A.17.1.1</v>
      </c>
      <c r="L369" s="301" t="str">
        <f>'PLAN INDICATIVO'!L369</f>
        <v>16. Paz, justicia e instituciones sólidas</v>
      </c>
      <c r="M369" s="301" t="str">
        <f>'PLAN INDICATIVO'!M369</f>
        <v>Secretaría de Hacienda</v>
      </c>
      <c r="N369" s="1425" t="s">
        <v>5131</v>
      </c>
      <c r="O369" s="1425" t="str">
        <f>'PLAN INDICATIVO'!O369</f>
        <v>Incremento</v>
      </c>
      <c r="P369" s="16" t="str">
        <f>'PLAN INDICATIVO'!P369</f>
        <v>Implementar 8 estrategias para aumento de ingresos propios del municipio durante el cuatrienio.</v>
      </c>
      <c r="Q369" s="302" t="str">
        <f>'PLAN INDICATIVO'!Q369</f>
        <v>No. De Estrategias implementadas</v>
      </c>
      <c r="R369" s="303">
        <f>'PLAN INDICATIVO'!R369</f>
        <v>2015</v>
      </c>
      <c r="S369" s="304">
        <v>2</v>
      </c>
      <c r="T369" s="498">
        <v>8</v>
      </c>
      <c r="U369" s="303">
        <v>2</v>
      </c>
      <c r="V369" s="687">
        <v>5500000</v>
      </c>
      <c r="W369" s="572">
        <v>2</v>
      </c>
      <c r="X369" s="687">
        <v>49000000</v>
      </c>
      <c r="Y369" s="572">
        <v>2</v>
      </c>
      <c r="Z369" s="687">
        <v>50000000</v>
      </c>
      <c r="AA369" s="1310">
        <v>2</v>
      </c>
      <c r="AB369" s="686">
        <v>21250000</v>
      </c>
      <c r="AC369" s="665"/>
      <c r="AD369" s="665">
        <v>2</v>
      </c>
      <c r="AE369" s="665">
        <v>2</v>
      </c>
      <c r="AF369" s="665">
        <v>1.7</v>
      </c>
      <c r="AG369" s="306" t="s">
        <v>5156</v>
      </c>
      <c r="AH369" s="987">
        <v>2019413960027</v>
      </c>
      <c r="AI369" s="307" t="s">
        <v>4896</v>
      </c>
      <c r="AJ369" s="309">
        <v>43497</v>
      </c>
      <c r="AK369" s="335">
        <v>43799</v>
      </c>
      <c r="AL369" s="308"/>
      <c r="AM369" s="308"/>
      <c r="AN369" s="267" t="s">
        <v>2598</v>
      </c>
      <c r="AO369" s="507"/>
      <c r="AP369" s="525"/>
      <c r="AQ369" s="310"/>
      <c r="AR369" s="310"/>
      <c r="AS369" s="310"/>
      <c r="AT369" s="310"/>
      <c r="AU369" s="310"/>
      <c r="AV369" s="310"/>
      <c r="AW369" s="544"/>
      <c r="AX369" s="525"/>
      <c r="AY369" s="310"/>
      <c r="AZ369" s="310"/>
      <c r="BA369" s="310"/>
      <c r="BB369" s="310"/>
      <c r="BC369" s="310"/>
      <c r="BD369" s="310"/>
      <c r="BE369" s="544"/>
      <c r="BF369" s="525"/>
      <c r="BG369" s="310"/>
      <c r="BH369" s="310"/>
      <c r="BI369" s="310"/>
      <c r="BJ369" s="310"/>
      <c r="BK369" s="310"/>
      <c r="BL369" s="310"/>
      <c r="BM369" s="544">
        <f t="shared" si="152"/>
        <v>0</v>
      </c>
      <c r="BN369" s="1496"/>
      <c r="BO369" s="310"/>
      <c r="BP369" s="310"/>
      <c r="BQ369" s="310"/>
      <c r="BR369" s="310"/>
      <c r="BS369" s="310"/>
      <c r="BT369" s="310"/>
      <c r="BU369" s="544"/>
      <c r="BV369" s="556"/>
      <c r="BW369" s="663">
        <f t="shared" ref="BW369:BW433" si="159">AC369+AD369+AE369+AF369</f>
        <v>5.7</v>
      </c>
      <c r="BX369" s="1047">
        <f t="shared" si="151"/>
        <v>0.71250000000000002</v>
      </c>
      <c r="BY369" s="1047">
        <f t="shared" ref="BY369:BY393" si="160">IF(U369&gt;=0.1,AC369/U369,IF(ISBLANK(U369),"No Programada","Aplazada"))</f>
        <v>0</v>
      </c>
      <c r="BZ369" s="1047">
        <f t="shared" ref="BZ369:BZ393" si="161">IF(W369&gt;=0.1,AD369/W369,IF(ISBLANK(W369),"No Programada","Aplazada"))</f>
        <v>1</v>
      </c>
      <c r="CA369" s="1047">
        <f t="shared" ref="CA369:CA393" si="162">IF(Y369&gt;=0.1,AE369/Y369,IF(ISBLANK(Y369),"No Programada","Aplazada"))</f>
        <v>1</v>
      </c>
      <c r="CB369" s="1047">
        <f t="shared" ref="CB369:CB393" si="163">IF(AA369&gt;=0.1,AF369/AA369,IF(ISBLANK(AA369),"No Programada","Aplazada"))</f>
        <v>0.85</v>
      </c>
      <c r="CD369" t="str">
        <f t="shared" ref="CD369:CG393" si="164">IF(BY369="PARA MODIFICAR","M",IF(BY369="PARA ELIMINAR","E",IF(BY369="aplazada","AZ",IF(BY369="no programada","NP",IF(BY369&gt;=85%,"VE",IF(BY369&gt;70%,"VEB",IF(BY369&gt;60%,"AM",IF(BY369&gt;40%,"AMB",IF(BY369&gt;20%,"RO",IF(BY369&gt;=0%,"ROB",""))))))))))</f>
        <v>ROB</v>
      </c>
      <c r="CE369" t="str">
        <f t="shared" si="164"/>
        <v>VE</v>
      </c>
      <c r="CF369" t="str">
        <f t="shared" si="164"/>
        <v>VE</v>
      </c>
      <c r="CG369" t="str">
        <f t="shared" si="164"/>
        <v>VE</v>
      </c>
    </row>
    <row r="370" spans="1:85" ht="66" customHeight="1" x14ac:dyDescent="0.3">
      <c r="A370" s="298" t="s">
        <v>1135</v>
      </c>
      <c r="B370" s="299" t="str">
        <f>'PLAN INDICATIVO'!B370</f>
        <v>Fortalecimiento institucional</v>
      </c>
      <c r="C370" s="1547"/>
      <c r="D370" s="1549"/>
      <c r="E370" s="1549"/>
      <c r="F370" s="1549"/>
      <c r="G370" s="1549"/>
      <c r="H370" s="1549"/>
      <c r="I370" s="300">
        <f>'PLAN INDICATIVO'!I370</f>
        <v>0</v>
      </c>
      <c r="J370" s="300">
        <f>'PLAN INDICATIVO'!J370</f>
        <v>0</v>
      </c>
      <c r="K370" s="1425" t="str">
        <f>'PLAN INDICATIVO'!K370</f>
        <v>A.17.1.2</v>
      </c>
      <c r="L370" s="301" t="str">
        <f>'PLAN INDICATIVO'!L370</f>
        <v>16. Paz, justicia e instituciones sólidas</v>
      </c>
      <c r="M370" s="301" t="str">
        <f>'PLAN INDICATIVO'!M370</f>
        <v>Secretaría de Hacienda</v>
      </c>
      <c r="N370" s="1513" t="s">
        <v>5131</v>
      </c>
      <c r="O370" s="1425" t="str">
        <f>'PLAN INDICATIVO'!O370</f>
        <v>Incremento</v>
      </c>
      <c r="P370" s="16" t="str">
        <f>'PLAN INDICATIVO'!P370</f>
        <v>Realizar 2 revisiones  a la deuda pública para mejorar condiciones durante el cuatrienio</v>
      </c>
      <c r="Q370" s="302" t="str">
        <f>'PLAN INDICATIVO'!Q370</f>
        <v>No. De Revisiones realizadas</v>
      </c>
      <c r="R370" s="303">
        <f>'PLAN INDICATIVO'!R370</f>
        <v>2015</v>
      </c>
      <c r="S370" s="304">
        <v>2</v>
      </c>
      <c r="T370" s="498">
        <v>2</v>
      </c>
      <c r="U370" s="303">
        <v>0</v>
      </c>
      <c r="V370" s="687"/>
      <c r="W370" s="572">
        <v>1</v>
      </c>
      <c r="X370" s="687"/>
      <c r="Y370" s="572"/>
      <c r="Z370" s="687">
        <v>1000000</v>
      </c>
      <c r="AA370" s="1310"/>
      <c r="AB370" s="686">
        <v>21250000</v>
      </c>
      <c r="AC370" s="665"/>
      <c r="AD370" s="665">
        <v>1</v>
      </c>
      <c r="AE370" s="665"/>
      <c r="AF370" s="665"/>
      <c r="AG370" s="306" t="s">
        <v>5156</v>
      </c>
      <c r="AH370" s="987">
        <v>2019413960027</v>
      </c>
      <c r="AI370" s="307"/>
      <c r="AJ370" s="309"/>
      <c r="AK370" s="335"/>
      <c r="AL370" s="308"/>
      <c r="AM370" s="308"/>
      <c r="AN370" s="267" t="s">
        <v>2594</v>
      </c>
      <c r="AO370" s="507"/>
      <c r="AP370" s="525"/>
      <c r="AQ370" s="310"/>
      <c r="AR370" s="310"/>
      <c r="AS370" s="310"/>
      <c r="AT370" s="310"/>
      <c r="AU370" s="310"/>
      <c r="AV370" s="310"/>
      <c r="AW370" s="544"/>
      <c r="AX370" s="525"/>
      <c r="AY370" s="310"/>
      <c r="AZ370" s="310"/>
      <c r="BA370" s="310"/>
      <c r="BB370" s="310"/>
      <c r="BC370" s="310"/>
      <c r="BD370" s="310"/>
      <c r="BE370" s="544"/>
      <c r="BF370" s="525"/>
      <c r="BG370" s="310"/>
      <c r="BH370" s="310"/>
      <c r="BI370" s="310"/>
      <c r="BJ370" s="310"/>
      <c r="BK370" s="310"/>
      <c r="BL370" s="310"/>
      <c r="BM370" s="544">
        <f t="shared" si="152"/>
        <v>0</v>
      </c>
      <c r="BN370" s="525"/>
      <c r="BO370" s="310"/>
      <c r="BP370" s="310"/>
      <c r="BQ370" s="310"/>
      <c r="BR370" s="310"/>
      <c r="BS370" s="310"/>
      <c r="BT370" s="310"/>
      <c r="BU370" s="544"/>
      <c r="BV370" s="556"/>
      <c r="BW370" s="663">
        <f t="shared" si="159"/>
        <v>1</v>
      </c>
      <c r="BX370" s="1047">
        <f t="shared" si="151"/>
        <v>0.5</v>
      </c>
      <c r="BY370" s="1047" t="str">
        <f t="shared" si="160"/>
        <v>Aplazada</v>
      </c>
      <c r="BZ370" s="1047">
        <f t="shared" si="161"/>
        <v>1</v>
      </c>
      <c r="CA370" s="1047" t="str">
        <f t="shared" si="162"/>
        <v>No Programada</v>
      </c>
      <c r="CB370" s="1047" t="str">
        <f t="shared" si="163"/>
        <v>No Programada</v>
      </c>
      <c r="CD370" t="str">
        <f t="shared" si="164"/>
        <v>AZ</v>
      </c>
      <c r="CE370" t="str">
        <f t="shared" si="164"/>
        <v>VE</v>
      </c>
      <c r="CF370" t="str">
        <f t="shared" si="164"/>
        <v>NP</v>
      </c>
      <c r="CG370" t="str">
        <f t="shared" si="164"/>
        <v>NP</v>
      </c>
    </row>
    <row r="371" spans="1:85" ht="78.75" customHeight="1" x14ac:dyDescent="0.3">
      <c r="A371" s="298" t="s">
        <v>1135</v>
      </c>
      <c r="B371" s="299" t="str">
        <f>'PLAN INDICATIVO'!B371</f>
        <v>Fortalecimiento institucional</v>
      </c>
      <c r="C371" s="1547"/>
      <c r="D371" s="1549"/>
      <c r="E371" s="1549"/>
      <c r="F371" s="1549"/>
      <c r="G371" s="1549"/>
      <c r="H371" s="1549"/>
      <c r="I371" s="300">
        <f>'PLAN INDICATIVO'!I371</f>
        <v>0</v>
      </c>
      <c r="J371" s="300">
        <f>'PLAN INDICATIVO'!J371</f>
        <v>0</v>
      </c>
      <c r="K371" s="1425" t="str">
        <f>'PLAN INDICATIVO'!K371</f>
        <v>A.17.1.3</v>
      </c>
      <c r="L371" s="301" t="str">
        <f>'PLAN INDICATIVO'!L371</f>
        <v>16. Paz, justicia e instituciones sólidas</v>
      </c>
      <c r="M371" s="301" t="str">
        <f>'PLAN INDICATIVO'!M371</f>
        <v>Secretaría de Hacienda</v>
      </c>
      <c r="N371" s="1513" t="s">
        <v>5131</v>
      </c>
      <c r="O371" s="1425" t="str">
        <f>'PLAN INDICATIVO'!O371</f>
        <v>Incremento</v>
      </c>
      <c r="P371" s="16" t="str">
        <f>'PLAN INDICATIVO'!P371</f>
        <v>Realizar 2 capacitaciones referente a gestión fiscal dirigida a funcionarios durante el cuatrienio</v>
      </c>
      <c r="Q371" s="302" t="str">
        <f>'PLAN INDICATIVO'!Q371</f>
        <v>No. de capacitaciones realizadas</v>
      </c>
      <c r="R371" s="303">
        <f>'PLAN INDICATIVO'!R371</f>
        <v>2015</v>
      </c>
      <c r="S371" s="304">
        <v>0</v>
      </c>
      <c r="T371" s="498">
        <v>2</v>
      </c>
      <c r="U371" s="303">
        <v>0</v>
      </c>
      <c r="V371" s="687"/>
      <c r="W371" s="572">
        <v>1</v>
      </c>
      <c r="X371" s="687"/>
      <c r="Y371" s="572">
        <v>1</v>
      </c>
      <c r="Z371" s="687">
        <v>1000000</v>
      </c>
      <c r="AA371" s="1310"/>
      <c r="AB371" s="686">
        <v>21250000</v>
      </c>
      <c r="AC371" s="665"/>
      <c r="AD371" s="665">
        <v>1</v>
      </c>
      <c r="AE371" s="665">
        <v>1</v>
      </c>
      <c r="AF371" s="665"/>
      <c r="AG371" s="306" t="s">
        <v>5156</v>
      </c>
      <c r="AH371" s="987">
        <v>2019413960027</v>
      </c>
      <c r="AI371" s="307"/>
      <c r="AJ371" s="309"/>
      <c r="AK371" s="335"/>
      <c r="AL371" s="308"/>
      <c r="AM371" s="308" t="s">
        <v>2717</v>
      </c>
      <c r="AN371" s="267" t="s">
        <v>2598</v>
      </c>
      <c r="AO371" s="507"/>
      <c r="AP371" s="525"/>
      <c r="AQ371" s="310"/>
      <c r="AR371" s="310"/>
      <c r="AS371" s="310"/>
      <c r="AT371" s="310"/>
      <c r="AU371" s="310"/>
      <c r="AV371" s="310"/>
      <c r="AW371" s="544"/>
      <c r="AX371" s="525"/>
      <c r="AY371" s="310"/>
      <c r="AZ371" s="310"/>
      <c r="BA371" s="310"/>
      <c r="BB371" s="310"/>
      <c r="BC371" s="310"/>
      <c r="BD371" s="310"/>
      <c r="BE371" s="544"/>
      <c r="BF371" s="525"/>
      <c r="BG371" s="310"/>
      <c r="BH371" s="310"/>
      <c r="BI371" s="310"/>
      <c r="BJ371" s="310"/>
      <c r="BK371" s="310"/>
      <c r="BL371" s="310"/>
      <c r="BM371" s="544">
        <f t="shared" si="152"/>
        <v>0</v>
      </c>
      <c r="BN371" s="525"/>
      <c r="BO371" s="310"/>
      <c r="BP371" s="310"/>
      <c r="BQ371" s="310"/>
      <c r="BR371" s="310"/>
      <c r="BS371" s="310"/>
      <c r="BT371" s="310"/>
      <c r="BU371" s="544"/>
      <c r="BV371" s="556"/>
      <c r="BW371" s="663">
        <f t="shared" si="159"/>
        <v>2</v>
      </c>
      <c r="BX371" s="1047">
        <f t="shared" si="151"/>
        <v>1</v>
      </c>
      <c r="BY371" s="1047" t="str">
        <f t="shared" si="160"/>
        <v>Aplazada</v>
      </c>
      <c r="BZ371" s="1047">
        <f t="shared" si="161"/>
        <v>1</v>
      </c>
      <c r="CA371" s="1047">
        <f t="shared" si="162"/>
        <v>1</v>
      </c>
      <c r="CB371" s="1047" t="str">
        <f t="shared" si="163"/>
        <v>No Programada</v>
      </c>
      <c r="CD371" t="str">
        <f t="shared" si="164"/>
        <v>AZ</v>
      </c>
      <c r="CE371" t="str">
        <f t="shared" si="164"/>
        <v>VE</v>
      </c>
      <c r="CF371" t="str">
        <f t="shared" si="164"/>
        <v>VE</v>
      </c>
      <c r="CG371" t="str">
        <f t="shared" si="164"/>
        <v>NP</v>
      </c>
    </row>
    <row r="372" spans="1:85" ht="96" customHeight="1" x14ac:dyDescent="0.3">
      <c r="A372" s="298" t="s">
        <v>1135</v>
      </c>
      <c r="B372" s="299" t="str">
        <f>'PLAN INDICATIVO'!B372</f>
        <v>Fortalecimiento institucional</v>
      </c>
      <c r="C372" s="1547"/>
      <c r="D372" s="1549"/>
      <c r="E372" s="1549"/>
      <c r="F372" s="1549"/>
      <c r="G372" s="1549"/>
      <c r="H372" s="1549"/>
      <c r="I372" s="300">
        <f>'PLAN INDICATIVO'!I372</f>
        <v>0</v>
      </c>
      <c r="J372" s="300">
        <f>'PLAN INDICATIVO'!J372</f>
        <v>0</v>
      </c>
      <c r="K372" s="1425" t="str">
        <f>'PLAN INDICATIVO'!K372</f>
        <v>A.17.1.4</v>
      </c>
      <c r="L372" s="301" t="str">
        <f>'PLAN INDICATIVO'!L372</f>
        <v>16. Paz, justicia e instituciones sólidas</v>
      </c>
      <c r="M372" s="301" t="str">
        <f>'PLAN INDICATIVO'!M372</f>
        <v>Secretaría de Hacienda</v>
      </c>
      <c r="N372" s="1513" t="s">
        <v>5131</v>
      </c>
      <c r="O372" s="1425" t="str">
        <f>'PLAN INDICATIVO'!O372</f>
        <v>Mantenimiento</v>
      </c>
      <c r="P372" s="16" t="str">
        <f>'PLAN INDICATIVO'!P372</f>
        <v>Realizar 3 actividades de fiscalización a gastos e ingresos cada año</v>
      </c>
      <c r="Q372" s="302" t="str">
        <f>'PLAN INDICATIVO'!Q372</f>
        <v>No. de actividades realizadas por año</v>
      </c>
      <c r="R372" s="303">
        <f>'PLAN INDICATIVO'!R372</f>
        <v>2015</v>
      </c>
      <c r="S372" s="304">
        <v>2</v>
      </c>
      <c r="T372" s="498">
        <v>12</v>
      </c>
      <c r="U372" s="303">
        <v>3</v>
      </c>
      <c r="V372" s="687">
        <v>1000000</v>
      </c>
      <c r="W372" s="572">
        <v>3</v>
      </c>
      <c r="X372" s="687">
        <v>1000000</v>
      </c>
      <c r="Y372" s="572">
        <v>3</v>
      </c>
      <c r="Z372" s="687">
        <v>1000000</v>
      </c>
      <c r="AA372" s="1310">
        <v>5</v>
      </c>
      <c r="AB372" s="686">
        <v>21250000</v>
      </c>
      <c r="AC372" s="665"/>
      <c r="AD372" s="665">
        <v>3</v>
      </c>
      <c r="AE372" s="665">
        <v>3</v>
      </c>
      <c r="AF372" s="665">
        <v>5</v>
      </c>
      <c r="AG372" s="306" t="s">
        <v>5156</v>
      </c>
      <c r="AH372" s="987">
        <v>2019413960027</v>
      </c>
      <c r="AI372" s="307" t="s">
        <v>4898</v>
      </c>
      <c r="AJ372" s="309">
        <v>43497</v>
      </c>
      <c r="AK372" s="335">
        <v>43799</v>
      </c>
      <c r="AL372" s="308"/>
      <c r="AM372" s="308"/>
      <c r="AN372" s="267" t="s">
        <v>2598</v>
      </c>
      <c r="AO372" s="1467"/>
      <c r="AP372" s="525"/>
      <c r="AQ372" s="310"/>
      <c r="AR372" s="310"/>
      <c r="AS372" s="310"/>
      <c r="AT372" s="310"/>
      <c r="AU372" s="310"/>
      <c r="AV372" s="310"/>
      <c r="AW372" s="544"/>
      <c r="AX372" s="525"/>
      <c r="AY372" s="310"/>
      <c r="AZ372" s="310"/>
      <c r="BA372" s="310"/>
      <c r="BB372" s="310"/>
      <c r="BC372" s="310"/>
      <c r="BD372" s="310"/>
      <c r="BE372" s="544"/>
      <c r="BF372" s="525"/>
      <c r="BG372" s="310"/>
      <c r="BH372" s="310"/>
      <c r="BI372" s="310"/>
      <c r="BJ372" s="310"/>
      <c r="BK372" s="310"/>
      <c r="BL372" s="310"/>
      <c r="BM372" s="544">
        <f t="shared" si="152"/>
        <v>0</v>
      </c>
      <c r="BN372" s="1496"/>
      <c r="BO372" s="1497"/>
      <c r="BP372" s="310"/>
      <c r="BQ372" s="310"/>
      <c r="BR372" s="310"/>
      <c r="BS372" s="310"/>
      <c r="BT372" s="310"/>
      <c r="BU372" s="544"/>
      <c r="BV372" s="556"/>
      <c r="BW372" s="663">
        <f t="shared" si="159"/>
        <v>11</v>
      </c>
      <c r="BX372" s="1047">
        <f t="shared" si="151"/>
        <v>0.91666666666666663</v>
      </c>
      <c r="BY372" s="1047">
        <f t="shared" si="160"/>
        <v>0</v>
      </c>
      <c r="BZ372" s="1047">
        <f t="shared" si="161"/>
        <v>1</v>
      </c>
      <c r="CA372" s="1047">
        <f t="shared" si="162"/>
        <v>1</v>
      </c>
      <c r="CB372" s="1047">
        <f t="shared" si="163"/>
        <v>1</v>
      </c>
      <c r="CD372" t="str">
        <f t="shared" si="164"/>
        <v>ROB</v>
      </c>
      <c r="CE372" t="str">
        <f t="shared" si="164"/>
        <v>VE</v>
      </c>
      <c r="CF372" t="str">
        <f t="shared" si="164"/>
        <v>VE</v>
      </c>
      <c r="CG372" t="str">
        <f t="shared" si="164"/>
        <v>VE</v>
      </c>
    </row>
    <row r="373" spans="1:85" ht="141.75" customHeight="1" x14ac:dyDescent="0.3">
      <c r="A373" s="298" t="s">
        <v>1135</v>
      </c>
      <c r="B373" s="299" t="str">
        <f>'PLAN INDICATIVO'!B373</f>
        <v>Fortalecimiento institucional</v>
      </c>
      <c r="C373" s="1547"/>
      <c r="D373" s="1549"/>
      <c r="E373" s="1549"/>
      <c r="F373" s="1549"/>
      <c r="G373" s="1549"/>
      <c r="H373" s="1549"/>
      <c r="I373" s="1425" t="str">
        <f>'PLAN INDICATIVO'!I373</f>
        <v>si</v>
      </c>
      <c r="J373" s="1425">
        <f>'PLAN INDICATIVO'!J373</f>
        <v>0</v>
      </c>
      <c r="K373" s="1425" t="str">
        <f>'PLAN INDICATIVO'!K373</f>
        <v>A.17.1.5</v>
      </c>
      <c r="L373" s="301" t="str">
        <f>'PLAN INDICATIVO'!L373</f>
        <v>16. Paz, justicia e instituciones sólidas</v>
      </c>
      <c r="M373" s="301" t="str">
        <f>'PLAN INDICATIVO'!M373</f>
        <v>Departamento Municipal de Planeación</v>
      </c>
      <c r="N373" s="1425" t="s">
        <v>5123</v>
      </c>
      <c r="O373" s="1425" t="str">
        <f>'PLAN INDICATIVO'!O373</f>
        <v>Incremento</v>
      </c>
      <c r="P373" s="16" t="str">
        <f>'PLAN INDICATIVO'!P373</f>
        <v>Actualizar y aprobar 1 PBOT durante el cuatrienio</v>
      </c>
      <c r="Q373" s="302" t="str">
        <f>'PLAN INDICATIVO'!Q373</f>
        <v>No. De PBOT actualizado y aprobado</v>
      </c>
      <c r="R373" s="303">
        <f>'PLAN INDICATIVO'!R373</f>
        <v>2015</v>
      </c>
      <c r="S373" s="304">
        <v>0</v>
      </c>
      <c r="T373" s="498">
        <v>1</v>
      </c>
      <c r="U373" s="303">
        <v>0</v>
      </c>
      <c r="V373" s="687">
        <v>301000000</v>
      </c>
      <c r="W373" s="572">
        <v>0.3</v>
      </c>
      <c r="X373" s="687">
        <v>301000000</v>
      </c>
      <c r="Y373" s="572">
        <v>0.1</v>
      </c>
      <c r="Z373" s="687"/>
      <c r="AA373" s="1310">
        <v>0.8</v>
      </c>
      <c r="AB373" s="686">
        <v>30000000</v>
      </c>
      <c r="AC373" s="665"/>
      <c r="AD373" s="665">
        <v>0.1</v>
      </c>
      <c r="AE373" s="665">
        <v>0.1</v>
      </c>
      <c r="AF373" s="665">
        <v>0.2</v>
      </c>
      <c r="AG373" s="306" t="s">
        <v>5156</v>
      </c>
      <c r="AH373" s="987">
        <v>2019413960027</v>
      </c>
      <c r="AI373" s="307"/>
      <c r="AJ373" s="309">
        <v>43497</v>
      </c>
      <c r="AK373" s="838">
        <v>43814</v>
      </c>
      <c r="AL373" s="308"/>
      <c r="AM373" s="308"/>
      <c r="AN373" s="267" t="s">
        <v>2598</v>
      </c>
      <c r="AO373" s="507"/>
      <c r="AP373" s="525"/>
      <c r="AQ373" s="310"/>
      <c r="AR373" s="310"/>
      <c r="AS373" s="310"/>
      <c r="AT373" s="310"/>
      <c r="AU373" s="310"/>
      <c r="AV373" s="310"/>
      <c r="AW373" s="544"/>
      <c r="AX373" s="525"/>
      <c r="AY373" s="310"/>
      <c r="AZ373" s="310"/>
      <c r="BA373" s="310"/>
      <c r="BB373" s="310"/>
      <c r="BC373" s="310"/>
      <c r="BD373" s="310"/>
      <c r="BE373" s="544"/>
      <c r="BF373" s="525"/>
      <c r="BG373" s="310"/>
      <c r="BH373" s="310"/>
      <c r="BI373" s="310"/>
      <c r="BJ373" s="310"/>
      <c r="BK373" s="310"/>
      <c r="BL373" s="310"/>
      <c r="BM373" s="544">
        <f t="shared" si="152"/>
        <v>0</v>
      </c>
      <c r="BN373" s="1496"/>
      <c r="BO373" s="1497"/>
      <c r="BP373" s="310"/>
      <c r="BQ373" s="310"/>
      <c r="BR373" s="310"/>
      <c r="BS373" s="310"/>
      <c r="BT373" s="310"/>
      <c r="BU373" s="544"/>
      <c r="BV373" s="556"/>
      <c r="BW373" s="663">
        <f t="shared" si="159"/>
        <v>0.4</v>
      </c>
      <c r="BX373" s="1047">
        <f t="shared" si="151"/>
        <v>0.4</v>
      </c>
      <c r="BY373" s="1047" t="str">
        <f t="shared" si="160"/>
        <v>Aplazada</v>
      </c>
      <c r="BZ373" s="1047">
        <f t="shared" si="161"/>
        <v>0.33333333333333337</v>
      </c>
      <c r="CA373" s="1047">
        <f t="shared" si="162"/>
        <v>1</v>
      </c>
      <c r="CB373" s="1047">
        <f t="shared" si="163"/>
        <v>0.25</v>
      </c>
      <c r="CD373" t="str">
        <f t="shared" si="164"/>
        <v>AZ</v>
      </c>
      <c r="CE373" t="str">
        <f t="shared" si="164"/>
        <v>RO</v>
      </c>
      <c r="CF373" t="str">
        <f t="shared" si="164"/>
        <v>VE</v>
      </c>
      <c r="CG373" t="str">
        <f t="shared" si="164"/>
        <v>RO</v>
      </c>
    </row>
    <row r="374" spans="1:85" ht="74.25" customHeight="1" x14ac:dyDescent="0.3">
      <c r="A374" s="298" t="s">
        <v>1135</v>
      </c>
      <c r="B374" s="299" t="str">
        <f>'PLAN INDICATIVO'!B374</f>
        <v>Fortalecimiento institucional</v>
      </c>
      <c r="C374" s="1547"/>
      <c r="D374" s="1549"/>
      <c r="E374" s="1549"/>
      <c r="F374" s="1549"/>
      <c r="G374" s="1549"/>
      <c r="H374" s="1549"/>
      <c r="I374" s="300">
        <f>'PLAN INDICATIVO'!I374</f>
        <v>0</v>
      </c>
      <c r="J374" s="300">
        <f>'PLAN INDICATIVO'!J374</f>
        <v>0</v>
      </c>
      <c r="K374" s="1425" t="str">
        <f>'PLAN INDICATIVO'!K374</f>
        <v>A.17.1.6</v>
      </c>
      <c r="L374" s="301" t="str">
        <f>'PLAN INDICATIVO'!L374</f>
        <v>16. Paz, justicia e instituciones sólidas</v>
      </c>
      <c r="M374" s="301" t="str">
        <f>'PLAN INDICATIVO'!M374</f>
        <v>Secretaría de Gobierno</v>
      </c>
      <c r="N374" s="1425" t="s">
        <v>5126</v>
      </c>
      <c r="O374" s="1425" t="str">
        <f>'PLAN INDICATIVO'!O374</f>
        <v>Incremento</v>
      </c>
      <c r="P374" s="16" t="str">
        <f>'PLAN INDICATIVO'!P374</f>
        <v>Realizar 1 estudio para la reorganización funcional del municipio durante el cuatrienio (manuales de funciones y procedimientos)</v>
      </c>
      <c r="Q374" s="302" t="str">
        <f>'PLAN INDICATIVO'!Q374</f>
        <v>No. De Estudio de reorganización administrativa realizados</v>
      </c>
      <c r="R374" s="303">
        <f>'PLAN INDICATIVO'!R374</f>
        <v>2015</v>
      </c>
      <c r="S374" s="304">
        <v>0</v>
      </c>
      <c r="T374" s="498">
        <v>1</v>
      </c>
      <c r="U374" s="303">
        <v>0</v>
      </c>
      <c r="V374" s="687">
        <v>5000000</v>
      </c>
      <c r="W374" s="572">
        <v>1</v>
      </c>
      <c r="X374" s="687"/>
      <c r="Y374" s="572"/>
      <c r="Z374" s="687"/>
      <c r="AA374" s="1310">
        <v>0.7</v>
      </c>
      <c r="AB374" s="686">
        <v>1000000</v>
      </c>
      <c r="AC374" s="665"/>
      <c r="AD374" s="665">
        <v>0.3</v>
      </c>
      <c r="AE374" s="665"/>
      <c r="AF374" s="1500">
        <v>0.7</v>
      </c>
      <c r="AG374" s="306" t="s">
        <v>5156</v>
      </c>
      <c r="AH374" s="987">
        <v>2019413960027</v>
      </c>
      <c r="AI374" s="307" t="s">
        <v>4966</v>
      </c>
      <c r="AJ374" s="309">
        <v>43497</v>
      </c>
      <c r="AK374" s="335">
        <v>43799</v>
      </c>
      <c r="AL374" s="308"/>
      <c r="AM374" s="308" t="s">
        <v>2717</v>
      </c>
      <c r="AN374" s="281" t="s">
        <v>2594</v>
      </c>
      <c r="AO374" s="507"/>
      <c r="AP374" s="525"/>
      <c r="AQ374" s="310"/>
      <c r="AR374" s="310"/>
      <c r="AS374" s="310"/>
      <c r="AT374" s="310"/>
      <c r="AU374" s="310"/>
      <c r="AV374" s="310"/>
      <c r="AW374" s="544"/>
      <c r="AX374" s="525"/>
      <c r="AY374" s="310"/>
      <c r="AZ374" s="310"/>
      <c r="BA374" s="310"/>
      <c r="BB374" s="310"/>
      <c r="BC374" s="310"/>
      <c r="BD374" s="310"/>
      <c r="BE374" s="544"/>
      <c r="BF374" s="525"/>
      <c r="BG374" s="310"/>
      <c r="BH374" s="310"/>
      <c r="BI374" s="310"/>
      <c r="BJ374" s="310"/>
      <c r="BK374" s="310"/>
      <c r="BL374" s="310"/>
      <c r="BM374" s="544">
        <f t="shared" si="152"/>
        <v>0</v>
      </c>
      <c r="BN374" s="1496"/>
      <c r="BO374" s="1497"/>
      <c r="BP374" s="310"/>
      <c r="BQ374" s="310"/>
      <c r="BR374" s="310"/>
      <c r="BS374" s="310"/>
      <c r="BT374" s="310"/>
      <c r="BU374" s="544"/>
      <c r="BV374" s="556"/>
      <c r="BW374" s="663">
        <f t="shared" si="159"/>
        <v>1</v>
      </c>
      <c r="BX374" s="1047">
        <f t="shared" si="151"/>
        <v>1</v>
      </c>
      <c r="BY374" s="1047" t="str">
        <f t="shared" si="160"/>
        <v>Aplazada</v>
      </c>
      <c r="BZ374" s="1047">
        <f t="shared" si="161"/>
        <v>0.3</v>
      </c>
      <c r="CA374" s="1047" t="str">
        <f t="shared" si="162"/>
        <v>No Programada</v>
      </c>
      <c r="CB374" s="1047">
        <f t="shared" si="163"/>
        <v>1</v>
      </c>
      <c r="CD374" t="str">
        <f t="shared" si="164"/>
        <v>AZ</v>
      </c>
      <c r="CE374" t="str">
        <f t="shared" si="164"/>
        <v>RO</v>
      </c>
      <c r="CF374" t="str">
        <f t="shared" si="164"/>
        <v>NP</v>
      </c>
      <c r="CG374" t="str">
        <f t="shared" si="164"/>
        <v>VE</v>
      </c>
    </row>
    <row r="375" spans="1:85" ht="75.75" customHeight="1" x14ac:dyDescent="0.3">
      <c r="A375" s="298" t="s">
        <v>1135</v>
      </c>
      <c r="B375" s="299" t="str">
        <f>'PLAN INDICATIVO'!B375</f>
        <v>Fortalecimiento institucional</v>
      </c>
      <c r="C375" s="1547"/>
      <c r="D375" s="1549"/>
      <c r="E375" s="1549"/>
      <c r="F375" s="1549"/>
      <c r="G375" s="1549"/>
      <c r="H375" s="1549"/>
      <c r="I375" s="300">
        <f>'PLAN INDICATIVO'!I375</f>
        <v>0</v>
      </c>
      <c r="J375" s="300">
        <f>'PLAN INDICATIVO'!J375</f>
        <v>0</v>
      </c>
      <c r="K375" s="1425" t="str">
        <f>'PLAN INDICATIVO'!K375</f>
        <v>A.17.1.7</v>
      </c>
      <c r="L375" s="301" t="str">
        <f>'PLAN INDICATIVO'!L375</f>
        <v>16. Paz, justicia e instituciones sólidas</v>
      </c>
      <c r="M375" s="301" t="str">
        <f>'PLAN INDICATIVO'!M375</f>
        <v>Secretaría de Gobierno</v>
      </c>
      <c r="N375" s="1513" t="s">
        <v>5126</v>
      </c>
      <c r="O375" s="1425" t="str">
        <f>'PLAN INDICATIVO'!O375</f>
        <v>Mantenimiento</v>
      </c>
      <c r="P375" s="16" t="str">
        <f>'PLAN INDICATIVO'!P375</f>
        <v>Ejecutar 1 programa anual para el fortalecimiento administrativo, técnico, jurídico y/o profesional de la administración municipal.</v>
      </c>
      <c r="Q375" s="302" t="str">
        <f>'PLAN INDICATIVO'!Q375</f>
        <v>No. De programas ejecutados anualmente</v>
      </c>
      <c r="R375" s="303">
        <f>'PLAN INDICATIVO'!R375</f>
        <v>2015</v>
      </c>
      <c r="S375" s="304">
        <v>1</v>
      </c>
      <c r="T375" s="498">
        <v>1</v>
      </c>
      <c r="U375" s="934">
        <v>0.25</v>
      </c>
      <c r="V375" s="687">
        <v>157340000</v>
      </c>
      <c r="W375" s="934">
        <v>0.25</v>
      </c>
      <c r="X375" s="687">
        <v>270000000</v>
      </c>
      <c r="Y375" s="934">
        <v>0.25</v>
      </c>
      <c r="Z375" s="687">
        <v>280000000</v>
      </c>
      <c r="AA375" s="1310">
        <v>0.25</v>
      </c>
      <c r="AB375" s="686">
        <v>227216000</v>
      </c>
      <c r="AC375" s="665"/>
      <c r="AD375" s="665">
        <v>0.25</v>
      </c>
      <c r="AE375" s="665">
        <v>0.25</v>
      </c>
      <c r="AF375" s="665">
        <v>0.25</v>
      </c>
      <c r="AG375" s="306" t="s">
        <v>5156</v>
      </c>
      <c r="AH375" s="987">
        <v>2019413960027</v>
      </c>
      <c r="AI375" s="335" t="s">
        <v>4967</v>
      </c>
      <c r="AJ375" s="309">
        <v>43497</v>
      </c>
      <c r="AK375" s="335">
        <v>43829</v>
      </c>
      <c r="AL375" s="335"/>
      <c r="AM375" s="308"/>
      <c r="AN375" s="281" t="s">
        <v>2598</v>
      </c>
      <c r="AO375" s="507"/>
      <c r="AP375" s="525"/>
      <c r="AQ375" s="310"/>
      <c r="AR375" s="310"/>
      <c r="AS375" s="310"/>
      <c r="AT375" s="310"/>
      <c r="AU375" s="310"/>
      <c r="AV375" s="310"/>
      <c r="AW375" s="544"/>
      <c r="AX375" s="525"/>
      <c r="AY375" s="310"/>
      <c r="AZ375" s="310"/>
      <c r="BA375" s="310"/>
      <c r="BB375" s="310"/>
      <c r="BC375" s="310"/>
      <c r="BD375" s="310"/>
      <c r="BE375" s="544"/>
      <c r="BF375" s="525"/>
      <c r="BG375" s="310"/>
      <c r="BH375" s="310"/>
      <c r="BI375" s="310"/>
      <c r="BJ375" s="310"/>
      <c r="BK375" s="310"/>
      <c r="BL375" s="310"/>
      <c r="BM375" s="544">
        <f t="shared" si="152"/>
        <v>0</v>
      </c>
      <c r="BN375" s="1496"/>
      <c r="BO375" s="1497"/>
      <c r="BP375" s="310"/>
      <c r="BQ375" s="310"/>
      <c r="BR375" s="310"/>
      <c r="BS375" s="310"/>
      <c r="BT375" s="310"/>
      <c r="BU375" s="544"/>
      <c r="BV375" s="556"/>
      <c r="BW375" s="663">
        <f t="shared" si="159"/>
        <v>0.75</v>
      </c>
      <c r="BX375" s="1047">
        <f t="shared" si="151"/>
        <v>0.75</v>
      </c>
      <c r="BY375" s="1047">
        <f t="shared" si="160"/>
        <v>0</v>
      </c>
      <c r="BZ375" s="1047">
        <f t="shared" si="161"/>
        <v>1</v>
      </c>
      <c r="CA375" s="1047">
        <f t="shared" si="162"/>
        <v>1</v>
      </c>
      <c r="CB375" s="1047">
        <f t="shared" si="163"/>
        <v>1</v>
      </c>
      <c r="CD375" t="str">
        <f t="shared" si="164"/>
        <v>ROB</v>
      </c>
      <c r="CE375" t="str">
        <f t="shared" si="164"/>
        <v>VE</v>
      </c>
      <c r="CF375" t="str">
        <f t="shared" si="164"/>
        <v>VE</v>
      </c>
      <c r="CG375" t="str">
        <f t="shared" si="164"/>
        <v>VE</v>
      </c>
    </row>
    <row r="376" spans="1:85" ht="66.75" hidden="1" customHeight="1" x14ac:dyDescent="0.25">
      <c r="A376" s="298" t="s">
        <v>1135</v>
      </c>
      <c r="B376" s="299" t="str">
        <f>'PLAN INDICATIVO'!B376</f>
        <v>Fortalecimiento institucional</v>
      </c>
      <c r="C376" s="1547"/>
      <c r="D376" s="1549"/>
      <c r="E376" s="1549"/>
      <c r="F376" s="1549"/>
      <c r="G376" s="1549"/>
      <c r="H376" s="1549"/>
      <c r="I376" s="300">
        <f>'PLAN INDICATIVO'!I376</f>
        <v>0</v>
      </c>
      <c r="J376" s="300">
        <f>'PLAN INDICATIVO'!J376</f>
        <v>0</v>
      </c>
      <c r="K376" s="1425" t="str">
        <f>'PLAN INDICATIVO'!K376</f>
        <v>A.17.1.8</v>
      </c>
      <c r="L376" s="301" t="str">
        <f>'PLAN INDICATIVO'!L376</f>
        <v>16. Paz, justicia e instituciones sólidas</v>
      </c>
      <c r="M376" s="301" t="str">
        <f>'PLAN INDICATIVO'!M376</f>
        <v>Secretaría de Gobierno</v>
      </c>
      <c r="N376" s="1513" t="s">
        <v>5126</v>
      </c>
      <c r="O376" s="1425" t="str">
        <f>'PLAN INDICATIVO'!O376</f>
        <v>Incremento</v>
      </c>
      <c r="P376" s="16" t="str">
        <f>'PLAN INDICATIVO'!P376</f>
        <v>Apoyar 4 veedurías públicas para vigilancia a la contratación pública durante el cuatrienio</v>
      </c>
      <c r="Q376" s="302" t="str">
        <f>'PLAN INDICATIVO'!Q376</f>
        <v>No. de veedurías apoyadas</v>
      </c>
      <c r="R376" s="303">
        <f>'PLAN INDICATIVO'!R376</f>
        <v>2015</v>
      </c>
      <c r="S376" s="304">
        <v>4</v>
      </c>
      <c r="T376" s="498">
        <v>4</v>
      </c>
      <c r="U376" s="303">
        <v>1</v>
      </c>
      <c r="V376" s="687">
        <v>1000000</v>
      </c>
      <c r="W376" s="572">
        <v>1</v>
      </c>
      <c r="X376" s="687">
        <v>1000000</v>
      </c>
      <c r="Y376" s="572">
        <v>1</v>
      </c>
      <c r="Z376" s="687">
        <v>1000000</v>
      </c>
      <c r="AA376" s="1310">
        <v>1</v>
      </c>
      <c r="AB376" s="686"/>
      <c r="AC376" s="665"/>
      <c r="AD376" s="665">
        <v>1</v>
      </c>
      <c r="AE376" s="665">
        <v>1</v>
      </c>
      <c r="AF376" s="665">
        <v>1</v>
      </c>
      <c r="AG376" s="306" t="s">
        <v>5156</v>
      </c>
      <c r="AH376" s="987">
        <v>2019413960027</v>
      </c>
      <c r="AI376" s="307" t="s">
        <v>4803</v>
      </c>
      <c r="AJ376" s="309">
        <v>43497</v>
      </c>
      <c r="AK376" s="1360">
        <v>43814</v>
      </c>
      <c r="AL376" s="939"/>
      <c r="AM376" s="308"/>
      <c r="AN376" s="281" t="s">
        <v>2598</v>
      </c>
      <c r="AO376" s="507"/>
      <c r="AP376" s="525"/>
      <c r="AQ376" s="310"/>
      <c r="AR376" s="310"/>
      <c r="AS376" s="310"/>
      <c r="AT376" s="310"/>
      <c r="AU376" s="310"/>
      <c r="AV376" s="310"/>
      <c r="AW376" s="544"/>
      <c r="AX376" s="525"/>
      <c r="AY376" s="310"/>
      <c r="AZ376" s="310"/>
      <c r="BA376" s="310"/>
      <c r="BB376" s="310"/>
      <c r="BC376" s="310"/>
      <c r="BD376" s="310"/>
      <c r="BE376" s="544"/>
      <c r="BF376" s="525"/>
      <c r="BG376" s="310"/>
      <c r="BH376" s="310"/>
      <c r="BI376" s="310"/>
      <c r="BJ376" s="310"/>
      <c r="BK376" s="310"/>
      <c r="BL376" s="310"/>
      <c r="BM376" s="544">
        <f t="shared" si="152"/>
        <v>0</v>
      </c>
      <c r="BN376" s="1496"/>
      <c r="BO376" s="1497"/>
      <c r="BP376" s="310"/>
      <c r="BQ376" s="310"/>
      <c r="BR376" s="310"/>
      <c r="BS376" s="310"/>
      <c r="BT376" s="310"/>
      <c r="BU376" s="544"/>
      <c r="BV376" s="556"/>
      <c r="BW376" s="663">
        <f t="shared" si="159"/>
        <v>3</v>
      </c>
      <c r="BX376" s="1047">
        <f t="shared" si="151"/>
        <v>0.75</v>
      </c>
      <c r="BY376" s="1047">
        <f t="shared" si="160"/>
        <v>0</v>
      </c>
      <c r="BZ376" s="1047">
        <f t="shared" si="161"/>
        <v>1</v>
      </c>
      <c r="CA376" s="1047">
        <f t="shared" si="162"/>
        <v>1</v>
      </c>
      <c r="CB376" s="1047">
        <f t="shared" si="163"/>
        <v>1</v>
      </c>
      <c r="CC376" s="540"/>
      <c r="CD376" t="str">
        <f t="shared" si="164"/>
        <v>ROB</v>
      </c>
      <c r="CE376" t="str">
        <f t="shared" si="164"/>
        <v>VE</v>
      </c>
      <c r="CF376" t="str">
        <f t="shared" si="164"/>
        <v>VE</v>
      </c>
      <c r="CG376" t="str">
        <f t="shared" si="164"/>
        <v>VE</v>
      </c>
    </row>
    <row r="377" spans="1:85" ht="63" customHeight="1" x14ac:dyDescent="0.3">
      <c r="A377" s="298" t="s">
        <v>1135</v>
      </c>
      <c r="B377" s="299" t="str">
        <f>'PLAN INDICATIVO'!B377</f>
        <v>Fortalecimiento institucional</v>
      </c>
      <c r="C377" s="1547"/>
      <c r="D377" s="1549"/>
      <c r="E377" s="1549"/>
      <c r="F377" s="1549"/>
      <c r="G377" s="1549"/>
      <c r="H377" s="1549"/>
      <c r="I377" s="300">
        <f>'PLAN INDICATIVO'!I377</f>
        <v>0</v>
      </c>
      <c r="J377" s="300">
        <f>'PLAN INDICATIVO'!J377</f>
        <v>0</v>
      </c>
      <c r="K377" s="1425" t="str">
        <f>'PLAN INDICATIVO'!K377</f>
        <v>A.17.1.9</v>
      </c>
      <c r="L377" s="301" t="str">
        <f>'PLAN INDICATIVO'!L377</f>
        <v>16. Paz, justicia e instituciones sólidas</v>
      </c>
      <c r="M377" s="301" t="str">
        <f>'PLAN INDICATIVO'!M377</f>
        <v>Secretaría de Gobierno</v>
      </c>
      <c r="N377" s="1513" t="s">
        <v>5126</v>
      </c>
      <c r="O377" s="1425" t="str">
        <f>'PLAN INDICATIVO'!O377</f>
        <v>Mantenimiento</v>
      </c>
      <c r="P377" s="16" t="str">
        <f>'PLAN INDICATIVO'!P377</f>
        <v>100% de la contratación pública, presentada en el SECOP</v>
      </c>
      <c r="Q377" s="302" t="str">
        <f>'PLAN INDICATIVO'!Q377</f>
        <v>Porcentaje de la contratación   publicada en SECOP</v>
      </c>
      <c r="R377" s="303">
        <f>'PLAN INDICATIVO'!R377</f>
        <v>2015</v>
      </c>
      <c r="S377" s="304" t="s">
        <v>177</v>
      </c>
      <c r="T377" s="498">
        <v>100</v>
      </c>
      <c r="U377" s="303">
        <v>100</v>
      </c>
      <c r="V377" s="687">
        <v>15000000</v>
      </c>
      <c r="W377" s="572">
        <v>100</v>
      </c>
      <c r="X377" s="687">
        <v>16000000</v>
      </c>
      <c r="Y377" s="572">
        <v>100</v>
      </c>
      <c r="Z377" s="687">
        <v>1000000</v>
      </c>
      <c r="AA377" s="1310">
        <v>100</v>
      </c>
      <c r="AB377" s="686">
        <v>22000000</v>
      </c>
      <c r="AC377" s="665"/>
      <c r="AD377" s="665">
        <v>100</v>
      </c>
      <c r="AE377" s="665">
        <v>100</v>
      </c>
      <c r="AF377" s="665">
        <v>100</v>
      </c>
      <c r="AG377" s="306" t="s">
        <v>5156</v>
      </c>
      <c r="AH377" s="987">
        <v>2019413960027</v>
      </c>
      <c r="AI377" s="336" t="s">
        <v>4965</v>
      </c>
      <c r="AJ377" s="309">
        <v>43497</v>
      </c>
      <c r="AK377" s="335">
        <v>43814</v>
      </c>
      <c r="AL377" s="335"/>
      <c r="AM377" s="308"/>
      <c r="AN377" s="281" t="s">
        <v>2598</v>
      </c>
      <c r="AO377" s="507"/>
      <c r="AP377" s="525"/>
      <c r="AQ377" s="310"/>
      <c r="AR377" s="310"/>
      <c r="AS377" s="310"/>
      <c r="AT377" s="310"/>
      <c r="AU377" s="310"/>
      <c r="AV377" s="310"/>
      <c r="AW377" s="544"/>
      <c r="AX377" s="525"/>
      <c r="AY377" s="310"/>
      <c r="AZ377" s="310"/>
      <c r="BA377" s="310"/>
      <c r="BB377" s="310"/>
      <c r="BC377" s="310"/>
      <c r="BD377" s="310"/>
      <c r="BE377" s="544"/>
      <c r="BF377" s="525"/>
      <c r="BG377" s="310"/>
      <c r="BH377" s="310"/>
      <c r="BI377" s="310"/>
      <c r="BJ377" s="310"/>
      <c r="BK377" s="310"/>
      <c r="BL377" s="310"/>
      <c r="BM377" s="544">
        <f t="shared" si="152"/>
        <v>0</v>
      </c>
      <c r="BN377" s="1497"/>
      <c r="BO377" s="1497"/>
      <c r="BP377" s="310"/>
      <c r="BQ377" s="310"/>
      <c r="BR377" s="310"/>
      <c r="BS377" s="310"/>
      <c r="BT377" s="310"/>
      <c r="BU377" s="310"/>
      <c r="BV377" s="556"/>
      <c r="BW377" s="663">
        <f t="shared" si="159"/>
        <v>300</v>
      </c>
      <c r="BX377" s="1047">
        <f t="shared" si="151"/>
        <v>3</v>
      </c>
      <c r="BY377" s="1047">
        <f t="shared" si="160"/>
        <v>0</v>
      </c>
      <c r="BZ377" s="1047">
        <f t="shared" si="161"/>
        <v>1</v>
      </c>
      <c r="CA377" s="1047">
        <f t="shared" si="162"/>
        <v>1</v>
      </c>
      <c r="CB377" s="1047">
        <f t="shared" si="163"/>
        <v>1</v>
      </c>
      <c r="CD377" t="str">
        <f t="shared" si="164"/>
        <v>ROB</v>
      </c>
      <c r="CE377" t="str">
        <f t="shared" si="164"/>
        <v>VE</v>
      </c>
      <c r="CF377" t="str">
        <f t="shared" si="164"/>
        <v>VE</v>
      </c>
      <c r="CG377" t="str">
        <f t="shared" si="164"/>
        <v>VE</v>
      </c>
    </row>
    <row r="378" spans="1:85" ht="69.75" customHeight="1" x14ac:dyDescent="0.3">
      <c r="A378" s="298" t="s">
        <v>1135</v>
      </c>
      <c r="B378" s="299" t="str">
        <f>'PLAN INDICATIVO'!B378</f>
        <v>Fortalecimiento institucional</v>
      </c>
      <c r="C378" s="1547"/>
      <c r="D378" s="1549"/>
      <c r="E378" s="1549"/>
      <c r="F378" s="1549"/>
      <c r="G378" s="1549"/>
      <c r="H378" s="1549"/>
      <c r="I378" s="300">
        <f>'PLAN INDICATIVO'!I378</f>
        <v>0</v>
      </c>
      <c r="J378" s="300">
        <f>'PLAN INDICATIVO'!J378</f>
        <v>0</v>
      </c>
      <c r="K378" s="1425" t="str">
        <f>'PLAN INDICATIVO'!K378</f>
        <v>A.17.1.10</v>
      </c>
      <c r="L378" s="301" t="str">
        <f>'PLAN INDICATIVO'!L378</f>
        <v>16. Paz, justicia e instituciones sólidas</v>
      </c>
      <c r="M378" s="301" t="str">
        <f>'PLAN INDICATIVO'!M378</f>
        <v>Secretaría de Gobierno</v>
      </c>
      <c r="N378" s="1513" t="s">
        <v>5126</v>
      </c>
      <c r="O378" s="1425" t="str">
        <f>'PLAN INDICATIVO'!O378</f>
        <v>Mantenimiento</v>
      </c>
      <c r="P378" s="16" t="str">
        <f>'PLAN INDICATIVO'!P378</f>
        <v>Implementar 1 plan de capacitación a funcionarios públicos cada año</v>
      </c>
      <c r="Q378" s="302" t="str">
        <f>'PLAN INDICATIVO'!Q378</f>
        <v>Plan de capacitación implementado por año</v>
      </c>
      <c r="R378" s="303">
        <f>'PLAN INDICATIVO'!R378</f>
        <v>2015</v>
      </c>
      <c r="S378" s="304">
        <v>1</v>
      </c>
      <c r="T378" s="498">
        <v>1</v>
      </c>
      <c r="U378" s="934">
        <v>0.25</v>
      </c>
      <c r="V378" s="687">
        <v>20000000</v>
      </c>
      <c r="W378" s="934">
        <v>0.25</v>
      </c>
      <c r="X378" s="687">
        <v>40000000</v>
      </c>
      <c r="Y378" s="934">
        <v>0.35</v>
      </c>
      <c r="Z378" s="687">
        <v>40000000</v>
      </c>
      <c r="AA378" s="1310"/>
      <c r="AB378" s="686">
        <v>5500000</v>
      </c>
      <c r="AC378" s="665"/>
      <c r="AD378" s="665">
        <v>0.15</v>
      </c>
      <c r="AE378" s="665">
        <v>0.25</v>
      </c>
      <c r="AF378" s="665"/>
      <c r="AG378" s="306" t="s">
        <v>5156</v>
      </c>
      <c r="AH378" s="987">
        <v>2019413960027</v>
      </c>
      <c r="AI378" s="307"/>
      <c r="AJ378" s="309">
        <v>43497</v>
      </c>
      <c r="AK378" s="335">
        <v>43784</v>
      </c>
      <c r="AL378" s="308"/>
      <c r="AM378" s="308"/>
      <c r="AN378" s="281" t="s">
        <v>2604</v>
      </c>
      <c r="AO378" s="507"/>
      <c r="AP378" s="525"/>
      <c r="AQ378" s="310"/>
      <c r="AR378" s="310"/>
      <c r="AS378" s="310"/>
      <c r="AT378" s="310"/>
      <c r="AU378" s="310"/>
      <c r="AV378" s="310"/>
      <c r="AW378" s="544"/>
      <c r="AX378" s="525"/>
      <c r="AY378" s="310"/>
      <c r="AZ378" s="310"/>
      <c r="BA378" s="310"/>
      <c r="BB378" s="310"/>
      <c r="BC378" s="310"/>
      <c r="BD378" s="310"/>
      <c r="BE378" s="544"/>
      <c r="BF378" s="525"/>
      <c r="BG378" s="310"/>
      <c r="BH378" s="310"/>
      <c r="BI378" s="310"/>
      <c r="BJ378" s="310"/>
      <c r="BK378" s="310"/>
      <c r="BL378" s="310"/>
      <c r="BM378" s="544">
        <f t="shared" si="152"/>
        <v>0</v>
      </c>
      <c r="BN378" s="525"/>
      <c r="BO378" s="310"/>
      <c r="BP378" s="310"/>
      <c r="BQ378" s="310"/>
      <c r="BR378" s="310"/>
      <c r="BS378" s="310"/>
      <c r="BT378" s="310"/>
      <c r="BU378" s="544"/>
      <c r="BV378" s="556"/>
      <c r="BW378" s="663">
        <f t="shared" si="159"/>
        <v>0.4</v>
      </c>
      <c r="BX378" s="1047">
        <f t="shared" si="151"/>
        <v>0.4</v>
      </c>
      <c r="BY378" s="1047">
        <f t="shared" si="160"/>
        <v>0</v>
      </c>
      <c r="BZ378" s="1047">
        <f t="shared" si="161"/>
        <v>0.6</v>
      </c>
      <c r="CA378" s="1047">
        <f t="shared" si="162"/>
        <v>0.7142857142857143</v>
      </c>
      <c r="CB378" s="1047" t="str">
        <f t="shared" si="163"/>
        <v>No Programada</v>
      </c>
      <c r="CD378" t="str">
        <f t="shared" si="164"/>
        <v>ROB</v>
      </c>
      <c r="CE378" t="str">
        <f t="shared" si="164"/>
        <v>AMB</v>
      </c>
      <c r="CF378" t="str">
        <f t="shared" si="164"/>
        <v>VEB</v>
      </c>
      <c r="CG378" t="str">
        <f t="shared" si="164"/>
        <v>NP</v>
      </c>
    </row>
    <row r="379" spans="1:85" ht="88.5" customHeight="1" x14ac:dyDescent="0.3">
      <c r="A379" s="298" t="s">
        <v>1135</v>
      </c>
      <c r="B379" s="299" t="str">
        <f>'PLAN INDICATIVO'!B379</f>
        <v>Fortalecimiento institucional</v>
      </c>
      <c r="C379" s="1547"/>
      <c r="D379" s="1549"/>
      <c r="E379" s="1549"/>
      <c r="F379" s="1549"/>
      <c r="G379" s="1549"/>
      <c r="H379" s="1549"/>
      <c r="I379" s="1425" t="str">
        <f>'PLAN INDICATIVO'!I379</f>
        <v>SI</v>
      </c>
      <c r="J379" s="1425">
        <f>'PLAN INDICATIVO'!J379</f>
        <v>0</v>
      </c>
      <c r="K379" s="1425" t="str">
        <f>'PLAN INDICATIVO'!K379</f>
        <v>A.17.1.11</v>
      </c>
      <c r="L379" s="301" t="str">
        <f>'PLAN INDICATIVO'!L379</f>
        <v>16. Paz, justicia e instituciones sólidas</v>
      </c>
      <c r="M379" s="301" t="str">
        <f>'PLAN INDICATIVO'!M379</f>
        <v>Departamento Municipal de Planeación</v>
      </c>
      <c r="N379" s="1425" t="s">
        <v>5123</v>
      </c>
      <c r="O379" s="1425" t="str">
        <f>'PLAN INDICATIVO'!O379</f>
        <v>Incremento</v>
      </c>
      <c r="P379" s="16" t="str">
        <f>'PLAN INDICATIVO'!P379</f>
        <v>Realizar 1 actualización catastral durante el cuatrienio</v>
      </c>
      <c r="Q379" s="302" t="str">
        <f>'PLAN INDICATIVO'!Q379</f>
        <v>No. De actualizaciones catastrales realizadas durante el cuatrienio</v>
      </c>
      <c r="R379" s="303">
        <f>'PLAN INDICATIVO'!R379</f>
        <v>2015</v>
      </c>
      <c r="S379" s="304">
        <v>0</v>
      </c>
      <c r="T379" s="498">
        <v>1</v>
      </c>
      <c r="U379" s="303">
        <v>0</v>
      </c>
      <c r="V379" s="687">
        <v>126000000</v>
      </c>
      <c r="W379" s="572">
        <v>0.3</v>
      </c>
      <c r="X379" s="687">
        <v>96000000</v>
      </c>
      <c r="Y379" s="572">
        <v>0.1</v>
      </c>
      <c r="Z379" s="687"/>
      <c r="AA379" s="1310">
        <v>0.7</v>
      </c>
      <c r="AB379" s="686">
        <v>30000000</v>
      </c>
      <c r="AC379" s="665"/>
      <c r="AD379" s="665">
        <v>0.2</v>
      </c>
      <c r="AE379" s="665">
        <v>0.1</v>
      </c>
      <c r="AF379" s="665">
        <v>0.65</v>
      </c>
      <c r="AG379" s="306" t="s">
        <v>5156</v>
      </c>
      <c r="AH379" s="987">
        <v>2019413960027</v>
      </c>
      <c r="AI379" s="307" t="s">
        <v>4958</v>
      </c>
      <c r="AJ379" s="309">
        <v>43497</v>
      </c>
      <c r="AK379" s="838">
        <v>43814</v>
      </c>
      <c r="AL379" s="308"/>
      <c r="AM379" s="308"/>
      <c r="AN379" s="267" t="s">
        <v>2598</v>
      </c>
      <c r="AO379" s="507"/>
      <c r="AP379" s="525"/>
      <c r="AQ379" s="310"/>
      <c r="AR379" s="310"/>
      <c r="AS379" s="310"/>
      <c r="AT379" s="310"/>
      <c r="AU379" s="310"/>
      <c r="AV379" s="310"/>
      <c r="AW379" s="544"/>
      <c r="AX379" s="525"/>
      <c r="AY379" s="310"/>
      <c r="AZ379" s="310"/>
      <c r="BA379" s="310"/>
      <c r="BB379" s="310"/>
      <c r="BC379" s="310"/>
      <c r="BD379" s="310"/>
      <c r="BE379" s="544"/>
      <c r="BF379" s="525"/>
      <c r="BG379" s="310"/>
      <c r="BH379" s="310"/>
      <c r="BI379" s="310"/>
      <c r="BJ379" s="310"/>
      <c r="BK379" s="310"/>
      <c r="BL379" s="310"/>
      <c r="BM379" s="544">
        <f t="shared" si="152"/>
        <v>0</v>
      </c>
      <c r="BN379" s="1496"/>
      <c r="BO379" s="1497"/>
      <c r="BP379" s="310"/>
      <c r="BQ379" s="310"/>
      <c r="BR379" s="310"/>
      <c r="BS379" s="310"/>
      <c r="BT379" s="310"/>
      <c r="BU379" s="544"/>
      <c r="BV379" s="556"/>
      <c r="BW379" s="663">
        <f t="shared" si="159"/>
        <v>0.95000000000000007</v>
      </c>
      <c r="BX379" s="1047">
        <f t="shared" si="151"/>
        <v>0.95000000000000007</v>
      </c>
      <c r="BY379" s="1047" t="str">
        <f t="shared" si="160"/>
        <v>Aplazada</v>
      </c>
      <c r="BZ379" s="1047">
        <f t="shared" si="161"/>
        <v>0.66666666666666674</v>
      </c>
      <c r="CA379" s="1047">
        <f t="shared" si="162"/>
        <v>1</v>
      </c>
      <c r="CB379" s="1047">
        <f t="shared" si="163"/>
        <v>0.92857142857142871</v>
      </c>
      <c r="CD379" t="str">
        <f t="shared" si="164"/>
        <v>AZ</v>
      </c>
      <c r="CE379" t="str">
        <f t="shared" si="164"/>
        <v>AM</v>
      </c>
      <c r="CF379" t="str">
        <f t="shared" si="164"/>
        <v>VE</v>
      </c>
      <c r="CG379" t="str">
        <f t="shared" si="164"/>
        <v>VE</v>
      </c>
    </row>
    <row r="380" spans="1:85" ht="80.25" customHeight="1" x14ac:dyDescent="0.3">
      <c r="A380" s="298" t="s">
        <v>1135</v>
      </c>
      <c r="B380" s="299" t="str">
        <f>'PLAN INDICATIVO'!B380</f>
        <v>Fortalecimiento institucional</v>
      </c>
      <c r="C380" s="1547"/>
      <c r="D380" s="1549"/>
      <c r="E380" s="1549"/>
      <c r="F380" s="1549"/>
      <c r="G380" s="1549"/>
      <c r="H380" s="1549"/>
      <c r="I380" s="300">
        <f>'PLAN INDICATIVO'!I380</f>
        <v>0</v>
      </c>
      <c r="J380" s="300">
        <f>'PLAN INDICATIVO'!J380</f>
        <v>0</v>
      </c>
      <c r="K380" s="1425" t="str">
        <f>'PLAN INDICATIVO'!K380</f>
        <v>A.17.1.12</v>
      </c>
      <c r="L380" s="301" t="str">
        <f>'PLAN INDICATIVO'!L380</f>
        <v>16. Paz, justicia e instituciones sólidas</v>
      </c>
      <c r="M380" s="301" t="str">
        <f>'PLAN INDICATIVO'!M380</f>
        <v>Departamento Municipal de Planeación</v>
      </c>
      <c r="N380" s="1425" t="s">
        <v>5123</v>
      </c>
      <c r="O380" s="1425" t="str">
        <f>'PLAN INDICATIVO'!O380</f>
        <v>Mantenimiento</v>
      </c>
      <c r="P380" s="16" t="str">
        <f>'PLAN INDICATIVO'!P380</f>
        <v>Realizar 1 seguimientos al año al  Plan de desarrollo</v>
      </c>
      <c r="Q380" s="302" t="str">
        <f>'PLAN INDICATIVO'!Q380</f>
        <v xml:space="preserve">No. de seguimientos  al PBOT y/o Plan de Desarrollo por año </v>
      </c>
      <c r="R380" s="303">
        <f>'PLAN INDICATIVO'!R380</f>
        <v>2015</v>
      </c>
      <c r="S380" s="304">
        <v>0</v>
      </c>
      <c r="T380" s="498">
        <v>2</v>
      </c>
      <c r="U380" s="303">
        <v>1</v>
      </c>
      <c r="V380" s="687">
        <v>20000000</v>
      </c>
      <c r="W380" s="572">
        <v>1</v>
      </c>
      <c r="X380" s="687">
        <v>40000000</v>
      </c>
      <c r="Y380" s="572">
        <v>1</v>
      </c>
      <c r="Z380" s="687">
        <v>40000000</v>
      </c>
      <c r="AA380" s="1310">
        <v>1</v>
      </c>
      <c r="AB380" s="686">
        <v>40000000</v>
      </c>
      <c r="AC380" s="665"/>
      <c r="AD380" s="665">
        <v>1</v>
      </c>
      <c r="AE380" s="665">
        <v>1</v>
      </c>
      <c r="AF380" s="665">
        <v>1</v>
      </c>
      <c r="AG380" s="306" t="s">
        <v>5156</v>
      </c>
      <c r="AH380" s="987">
        <v>2019413960027</v>
      </c>
      <c r="AI380" s="307"/>
      <c r="AJ380" s="309">
        <v>43497</v>
      </c>
      <c r="AK380" s="838">
        <v>43784</v>
      </c>
      <c r="AL380" s="308"/>
      <c r="AM380" s="308"/>
      <c r="AN380" s="267" t="s">
        <v>2598</v>
      </c>
      <c r="AO380" s="507"/>
      <c r="AP380" s="525"/>
      <c r="AQ380" s="310"/>
      <c r="AR380" s="310"/>
      <c r="AS380" s="310"/>
      <c r="AT380" s="310"/>
      <c r="AU380" s="310"/>
      <c r="AV380" s="310"/>
      <c r="AW380" s="544"/>
      <c r="AX380" s="525"/>
      <c r="AY380" s="310"/>
      <c r="AZ380" s="310"/>
      <c r="BA380" s="310"/>
      <c r="BB380" s="310"/>
      <c r="BC380" s="310"/>
      <c r="BD380" s="310"/>
      <c r="BE380" s="544"/>
      <c r="BF380" s="525"/>
      <c r="BG380" s="310"/>
      <c r="BH380" s="310"/>
      <c r="BI380" s="310"/>
      <c r="BJ380" s="310"/>
      <c r="BK380" s="310"/>
      <c r="BL380" s="310"/>
      <c r="BM380" s="544">
        <f t="shared" si="152"/>
        <v>0</v>
      </c>
      <c r="BN380" s="525"/>
      <c r="BO380" s="310"/>
      <c r="BP380" s="310"/>
      <c r="BQ380" s="310"/>
      <c r="BR380" s="310"/>
      <c r="BS380" s="310"/>
      <c r="BT380" s="310"/>
      <c r="BU380" s="544"/>
      <c r="BV380" s="556"/>
      <c r="BW380" s="663">
        <f t="shared" si="159"/>
        <v>3</v>
      </c>
      <c r="BX380" s="1047">
        <f t="shared" si="151"/>
        <v>1.5</v>
      </c>
      <c r="BY380" s="1047">
        <f t="shared" si="160"/>
        <v>0</v>
      </c>
      <c r="BZ380" s="1047">
        <f t="shared" si="161"/>
        <v>1</v>
      </c>
      <c r="CA380" s="1047">
        <f t="shared" si="162"/>
        <v>1</v>
      </c>
      <c r="CB380" s="1047">
        <f t="shared" si="163"/>
        <v>1</v>
      </c>
      <c r="CD380" t="str">
        <f t="shared" si="164"/>
        <v>ROB</v>
      </c>
      <c r="CE380" t="str">
        <f t="shared" si="164"/>
        <v>VE</v>
      </c>
      <c r="CF380" t="str">
        <f t="shared" si="164"/>
        <v>VE</v>
      </c>
      <c r="CG380" t="str">
        <f t="shared" si="164"/>
        <v>VE</v>
      </c>
    </row>
    <row r="381" spans="1:85" s="231" customFormat="1" ht="82.5" customHeight="1" x14ac:dyDescent="0.3">
      <c r="A381" s="354" t="s">
        <v>1135</v>
      </c>
      <c r="B381" s="299" t="str">
        <f>'PLAN INDICATIVO'!B381</f>
        <v>Fortalecimiento institucional</v>
      </c>
      <c r="C381" s="1598"/>
      <c r="D381" s="1600"/>
      <c r="E381" s="1600"/>
      <c r="F381" s="1600"/>
      <c r="G381" s="1600"/>
      <c r="H381" s="1600"/>
      <c r="I381" s="371">
        <f>'PLAN INDICATIVO'!I381</f>
        <v>0</v>
      </c>
      <c r="J381" s="371">
        <f>'PLAN INDICATIVO'!J381</f>
        <v>0</v>
      </c>
      <c r="K381" s="1432" t="str">
        <f>'PLAN INDICATIVO'!K381</f>
        <v>A.17.1.13</v>
      </c>
      <c r="L381" s="372" t="str">
        <f>'PLAN INDICATIVO'!L381</f>
        <v>16. Paz, justicia e instituciones sólidas</v>
      </c>
      <c r="M381" s="372" t="str">
        <f>'PLAN INDICATIVO'!M381</f>
        <v>Secretaría de Gobierno</v>
      </c>
      <c r="N381" s="1513" t="s">
        <v>5126</v>
      </c>
      <c r="O381" s="1432" t="str">
        <f>'PLAN INDICATIVO'!O381</f>
        <v>Incremento</v>
      </c>
      <c r="P381" s="71" t="str">
        <f>'PLAN INDICATIVO'!P381</f>
        <v>Lograr una calificacion de 70 puntos en la política de gobierno digital.</v>
      </c>
      <c r="Q381" s="345" t="str">
        <f>'PLAN INDICATIVO'!Q381</f>
        <v>Puntaje política gobierno digital (DAFP)</v>
      </c>
      <c r="R381" s="346">
        <f>'PLAN INDICATIVO'!R381</f>
        <v>2015</v>
      </c>
      <c r="S381" s="342">
        <v>64</v>
      </c>
      <c r="T381" s="498">
        <v>70</v>
      </c>
      <c r="U381" s="303">
        <v>67</v>
      </c>
      <c r="V381" s="687">
        <v>1000000</v>
      </c>
      <c r="W381" s="572">
        <v>0</v>
      </c>
      <c r="X381" s="687">
        <v>1000000</v>
      </c>
      <c r="Y381" s="572">
        <v>70</v>
      </c>
      <c r="Z381" s="687">
        <v>74000000</v>
      </c>
      <c r="AA381" s="1310">
        <v>70</v>
      </c>
      <c r="AB381" s="686">
        <v>1000000</v>
      </c>
      <c r="AC381" s="667"/>
      <c r="AD381" s="667">
        <v>71.5</v>
      </c>
      <c r="AE381" s="667">
        <v>63.4</v>
      </c>
      <c r="AF381" s="667">
        <v>70</v>
      </c>
      <c r="AG381" s="306" t="s">
        <v>5156</v>
      </c>
      <c r="AH381" s="987">
        <v>2019413960027</v>
      </c>
      <c r="AI381" s="336" t="s">
        <v>4961</v>
      </c>
      <c r="AJ381" s="309">
        <v>43497</v>
      </c>
      <c r="AK381" s="838">
        <v>43799</v>
      </c>
      <c r="AL381" s="337"/>
      <c r="AM381" s="337"/>
      <c r="AN381" s="267" t="s">
        <v>2598</v>
      </c>
      <c r="AO381" s="507"/>
      <c r="AP381" s="528"/>
      <c r="AQ381" s="472"/>
      <c r="AR381" s="472"/>
      <c r="AS381" s="472"/>
      <c r="AT381" s="472"/>
      <c r="AU381" s="472"/>
      <c r="AV381" s="472"/>
      <c r="AW381" s="544"/>
      <c r="AX381" s="528"/>
      <c r="AY381" s="472"/>
      <c r="AZ381" s="472"/>
      <c r="BA381" s="472"/>
      <c r="BB381" s="472"/>
      <c r="BC381" s="472"/>
      <c r="BD381" s="472"/>
      <c r="BE381" s="544"/>
      <c r="BF381" s="528"/>
      <c r="BG381" s="472"/>
      <c r="BH381" s="472"/>
      <c r="BI381" s="472"/>
      <c r="BJ381" s="472"/>
      <c r="BK381" s="472"/>
      <c r="BL381" s="472"/>
      <c r="BM381" s="544">
        <f t="shared" si="152"/>
        <v>0</v>
      </c>
      <c r="BN381" s="528"/>
      <c r="BO381" s="472"/>
      <c r="BP381" s="472"/>
      <c r="BQ381" s="472"/>
      <c r="BR381" s="472"/>
      <c r="BS381" s="472"/>
      <c r="BT381" s="472"/>
      <c r="BU381" s="544"/>
      <c r="BV381" s="653"/>
      <c r="BW381" s="663">
        <f t="shared" si="159"/>
        <v>204.9</v>
      </c>
      <c r="BX381" s="1047">
        <f t="shared" si="151"/>
        <v>2.927142857142857</v>
      </c>
      <c r="BY381" s="1047">
        <f t="shared" si="160"/>
        <v>0</v>
      </c>
      <c r="BZ381" s="1047" t="str">
        <f t="shared" si="161"/>
        <v>Aplazada</v>
      </c>
      <c r="CA381" s="1047">
        <f t="shared" si="162"/>
        <v>0.90571428571428569</v>
      </c>
      <c r="CB381" s="1047">
        <f t="shared" si="163"/>
        <v>1</v>
      </c>
      <c r="CD381" t="str">
        <f t="shared" si="164"/>
        <v>ROB</v>
      </c>
      <c r="CE381" t="str">
        <f t="shared" si="164"/>
        <v>AZ</v>
      </c>
      <c r="CF381" t="str">
        <f t="shared" si="164"/>
        <v>VE</v>
      </c>
      <c r="CG381" t="str">
        <f t="shared" si="164"/>
        <v>VE</v>
      </c>
    </row>
    <row r="382" spans="1:85" ht="104.25" customHeight="1" x14ac:dyDescent="0.3">
      <c r="A382" s="298" t="s">
        <v>1135</v>
      </c>
      <c r="B382" s="299" t="str">
        <f>'PLAN INDICATIVO'!B382</f>
        <v>Fortalecimiento institucional</v>
      </c>
      <c r="C382" s="1547"/>
      <c r="D382" s="1549"/>
      <c r="E382" s="1549"/>
      <c r="F382" s="1549"/>
      <c r="G382" s="1549"/>
      <c r="H382" s="1549"/>
      <c r="I382" s="300">
        <f>'PLAN INDICATIVO'!I382</f>
        <v>0</v>
      </c>
      <c r="J382" s="300">
        <f>'PLAN INDICATIVO'!J382</f>
        <v>0</v>
      </c>
      <c r="K382" s="1425" t="str">
        <f>'PLAN INDICATIVO'!K382</f>
        <v>A.17.1.14</v>
      </c>
      <c r="L382" s="301" t="str">
        <f>'PLAN INDICATIVO'!L382</f>
        <v>16. Paz, justicia e instituciones sólidas</v>
      </c>
      <c r="M382" s="301" t="str">
        <f>'PLAN INDICATIVO'!M382</f>
        <v>Secretaría de Gobierno</v>
      </c>
      <c r="N382" s="1513" t="s">
        <v>5126</v>
      </c>
      <c r="O382" s="1425" t="str">
        <f>'PLAN INDICATIVO'!O382</f>
        <v>Incremento</v>
      </c>
      <c r="P382" s="74" t="str">
        <f>'PLAN INDICATIVO'!P382</f>
        <v>Implementar 4 programas durante el cuatrienio para mantenimiento, mejoramiento y dotaciones de software y equipos  para el fortalecimiento institucional municipal</v>
      </c>
      <c r="Q382" s="302" t="str">
        <f>'PLAN INDICATIVO'!Q382</f>
        <v xml:space="preserve">No. Programas implementados </v>
      </c>
      <c r="R382" s="303">
        <f>'PLAN INDICATIVO'!R382</f>
        <v>2015</v>
      </c>
      <c r="S382" s="304">
        <v>1</v>
      </c>
      <c r="T382" s="498">
        <v>4</v>
      </c>
      <c r="U382" s="303">
        <v>1</v>
      </c>
      <c r="V382" s="687">
        <v>27910000</v>
      </c>
      <c r="W382" s="572">
        <v>1</v>
      </c>
      <c r="X382" s="687">
        <v>187000000</v>
      </c>
      <c r="Y382" s="572">
        <v>1</v>
      </c>
      <c r="Z382" s="687">
        <v>210000000</v>
      </c>
      <c r="AA382" s="1310">
        <v>1</v>
      </c>
      <c r="AB382" s="686">
        <v>44356000</v>
      </c>
      <c r="AC382" s="665"/>
      <c r="AD382" s="665">
        <v>1</v>
      </c>
      <c r="AE382" s="665">
        <v>1</v>
      </c>
      <c r="AF382" s="665">
        <v>1</v>
      </c>
      <c r="AG382" s="306" t="s">
        <v>5156</v>
      </c>
      <c r="AH382" s="987">
        <v>2019413960027</v>
      </c>
      <c r="AI382" s="307"/>
      <c r="AJ382" s="309">
        <v>43497</v>
      </c>
      <c r="AK382" s="838">
        <v>43799</v>
      </c>
      <c r="AL382" s="308"/>
      <c r="AM382" s="308"/>
      <c r="AN382" s="281" t="s">
        <v>2598</v>
      </c>
      <c r="AO382" s="507"/>
      <c r="AP382" s="525"/>
      <c r="AQ382" s="310"/>
      <c r="AR382" s="310"/>
      <c r="AS382" s="310"/>
      <c r="AT382" s="310"/>
      <c r="AU382" s="310"/>
      <c r="AV382" s="310"/>
      <c r="AW382" s="544"/>
      <c r="AX382" s="525"/>
      <c r="AY382" s="310"/>
      <c r="AZ382" s="310"/>
      <c r="BA382" s="310"/>
      <c r="BB382" s="310"/>
      <c r="BC382" s="310"/>
      <c r="BD382" s="310"/>
      <c r="BE382" s="544"/>
      <c r="BF382" s="525"/>
      <c r="BG382" s="310"/>
      <c r="BH382" s="310"/>
      <c r="BI382" s="310"/>
      <c r="BJ382" s="310"/>
      <c r="BK382" s="310"/>
      <c r="BL382" s="310"/>
      <c r="BM382" s="544">
        <f t="shared" si="152"/>
        <v>0</v>
      </c>
      <c r="BN382" s="525"/>
      <c r="BO382" s="310"/>
      <c r="BP382" s="310"/>
      <c r="BQ382" s="310"/>
      <c r="BR382" s="310"/>
      <c r="BS382" s="310"/>
      <c r="BT382" s="310"/>
      <c r="BU382" s="544"/>
      <c r="BV382" s="556"/>
      <c r="BW382" s="663">
        <f t="shared" si="159"/>
        <v>3</v>
      </c>
      <c r="BX382" s="1047">
        <f t="shared" si="151"/>
        <v>0.75</v>
      </c>
      <c r="BY382" s="1047">
        <f t="shared" si="160"/>
        <v>0</v>
      </c>
      <c r="BZ382" s="1047">
        <f t="shared" si="161"/>
        <v>1</v>
      </c>
      <c r="CA382" s="1047">
        <f t="shared" si="162"/>
        <v>1</v>
      </c>
      <c r="CB382" s="1047">
        <f t="shared" si="163"/>
        <v>1</v>
      </c>
      <c r="CD382" t="str">
        <f t="shared" si="164"/>
        <v>ROB</v>
      </c>
      <c r="CE382" t="str">
        <f t="shared" si="164"/>
        <v>VE</v>
      </c>
      <c r="CF382" t="str">
        <f t="shared" si="164"/>
        <v>VE</v>
      </c>
      <c r="CG382" t="str">
        <f t="shared" si="164"/>
        <v>VE</v>
      </c>
    </row>
    <row r="383" spans="1:85" s="231" customFormat="1" ht="48.75" customHeight="1" x14ac:dyDescent="0.3">
      <c r="A383" s="354" t="s">
        <v>2458</v>
      </c>
      <c r="B383" s="299" t="str">
        <f>'PLAN INDICATIVO'!B383</f>
        <v>Fortalecimiento institucional</v>
      </c>
      <c r="C383" s="1599"/>
      <c r="D383" s="1601"/>
      <c r="E383" s="1601"/>
      <c r="F383" s="1601"/>
      <c r="G383" s="1601"/>
      <c r="H383" s="1601"/>
      <c r="I383" s="371">
        <f>'PLAN INDICATIVO'!I383</f>
        <v>0</v>
      </c>
      <c r="J383" s="371">
        <f>'PLAN INDICATIVO'!J383</f>
        <v>0</v>
      </c>
      <c r="K383" s="1432" t="str">
        <f>'PLAN INDICATIVO'!K383</f>
        <v>A.17.1.15</v>
      </c>
      <c r="L383" s="372" t="str">
        <f>'PLAN INDICATIVO'!L383</f>
        <v>16. Paz, justicia e instituciones sólidas</v>
      </c>
      <c r="M383" s="372" t="str">
        <f>'PLAN INDICATIVO'!M383</f>
        <v>Departamento Municipal de Planeación</v>
      </c>
      <c r="N383" s="1513" t="s">
        <v>5123</v>
      </c>
      <c r="O383" s="1432" t="str">
        <f>'PLAN INDICATIVO'!O383</f>
        <v>Mantenimiento</v>
      </c>
      <c r="P383" s="74" t="s">
        <v>4331</v>
      </c>
      <c r="Q383" s="302" t="str">
        <f>'PLAN INDICATIVO'!Q383</f>
        <v>Lograr una calificación de 80 puntos en la dimensión de control interno del MIPG</v>
      </c>
      <c r="R383" s="303">
        <f>'PLAN INDICATIVO'!R383</f>
        <v>2015</v>
      </c>
      <c r="S383" s="304">
        <v>97.65</v>
      </c>
      <c r="T383" s="1302">
        <v>80</v>
      </c>
      <c r="U383" s="303">
        <v>90</v>
      </c>
      <c r="V383" s="687">
        <v>6000000</v>
      </c>
      <c r="W383" s="572">
        <v>90</v>
      </c>
      <c r="X383" s="687">
        <v>36000000</v>
      </c>
      <c r="Y383" s="572">
        <v>75</v>
      </c>
      <c r="Z383" s="687">
        <v>20000000</v>
      </c>
      <c r="AA383" s="1310">
        <v>80</v>
      </c>
      <c r="AB383" s="686">
        <v>12500000</v>
      </c>
      <c r="AC383" s="667"/>
      <c r="AD383" s="667">
        <v>73.2</v>
      </c>
      <c r="AE383" s="667">
        <v>62.7</v>
      </c>
      <c r="AF383" s="667">
        <v>58.4</v>
      </c>
      <c r="AG383" s="306" t="s">
        <v>5156</v>
      </c>
      <c r="AH383" s="987">
        <v>2019413960027</v>
      </c>
      <c r="AI383" s="336"/>
      <c r="AJ383" s="309">
        <v>43497</v>
      </c>
      <c r="AK383" s="838">
        <v>43799</v>
      </c>
      <c r="AL383" s="337"/>
      <c r="AM383" s="337"/>
      <c r="AN383" s="281" t="s">
        <v>2604</v>
      </c>
      <c r="AO383" s="510"/>
      <c r="AP383" s="528"/>
      <c r="AQ383" s="472"/>
      <c r="AR383" s="472"/>
      <c r="AS383" s="472"/>
      <c r="AT383" s="472"/>
      <c r="AU383" s="472"/>
      <c r="AV383" s="472"/>
      <c r="AW383" s="544"/>
      <c r="AX383" s="528"/>
      <c r="AY383" s="472"/>
      <c r="AZ383" s="472"/>
      <c r="BA383" s="472"/>
      <c r="BB383" s="472"/>
      <c r="BC383" s="472"/>
      <c r="BD383" s="472"/>
      <c r="BE383" s="544"/>
      <c r="BF383" s="528"/>
      <c r="BG383" s="472"/>
      <c r="BH383" s="472"/>
      <c r="BI383" s="472"/>
      <c r="BJ383" s="472"/>
      <c r="BK383" s="472"/>
      <c r="BL383" s="472"/>
      <c r="BM383" s="544">
        <f t="shared" si="152"/>
        <v>0</v>
      </c>
      <c r="BN383" s="528"/>
      <c r="BO383" s="472"/>
      <c r="BP383" s="472"/>
      <c r="BQ383" s="472"/>
      <c r="BR383" s="472"/>
      <c r="BS383" s="472"/>
      <c r="BT383" s="472"/>
      <c r="BU383" s="544"/>
      <c r="BV383" s="653"/>
      <c r="BW383" s="663">
        <f t="shared" si="159"/>
        <v>194.3</v>
      </c>
      <c r="BX383" s="1047">
        <f t="shared" si="151"/>
        <v>2.42875</v>
      </c>
      <c r="BY383" s="1047">
        <f t="shared" si="160"/>
        <v>0</v>
      </c>
      <c r="BZ383" s="1047">
        <f t="shared" si="161"/>
        <v>0.81333333333333335</v>
      </c>
      <c r="CA383" s="1047">
        <f t="shared" si="162"/>
        <v>0.83600000000000008</v>
      </c>
      <c r="CB383" s="1047">
        <f t="shared" si="163"/>
        <v>0.73</v>
      </c>
      <c r="CD383" t="str">
        <f t="shared" si="164"/>
        <v>ROB</v>
      </c>
      <c r="CE383" t="str">
        <f t="shared" si="164"/>
        <v>VEB</v>
      </c>
      <c r="CF383" t="str">
        <f t="shared" si="164"/>
        <v>VEB</v>
      </c>
      <c r="CG383" t="str">
        <f t="shared" si="164"/>
        <v>VEB</v>
      </c>
    </row>
    <row r="384" spans="1:85" ht="65.25" customHeight="1" x14ac:dyDescent="0.3">
      <c r="A384" s="298" t="s">
        <v>1135</v>
      </c>
      <c r="B384" s="299" t="str">
        <f>'PLAN INDICATIVO'!B384</f>
        <v>Fortalecimiento institucional</v>
      </c>
      <c r="C384" s="1547"/>
      <c r="D384" s="1549"/>
      <c r="E384" s="1549"/>
      <c r="F384" s="1549"/>
      <c r="G384" s="1549"/>
      <c r="H384" s="1549"/>
      <c r="I384" s="300">
        <f>'PLAN INDICATIVO'!I384</f>
        <v>0</v>
      </c>
      <c r="J384" s="300">
        <f>'PLAN INDICATIVO'!J384</f>
        <v>0</v>
      </c>
      <c r="K384" s="1425" t="str">
        <f>'PLAN INDICATIVO'!K384</f>
        <v>A.17.1.16</v>
      </c>
      <c r="L384" s="301" t="str">
        <f>'PLAN INDICATIVO'!L384</f>
        <v>16. Paz, justicia e instituciones sólidas</v>
      </c>
      <c r="M384" s="301" t="str">
        <f>'PLAN INDICATIVO'!M384</f>
        <v>Departamento Municipal de Planeación</v>
      </c>
      <c r="N384" s="1513" t="s">
        <v>5123</v>
      </c>
      <c r="O384" s="1425" t="str">
        <f>'PLAN INDICATIVO'!O384</f>
        <v>Mantenimiento</v>
      </c>
      <c r="P384" s="74" t="str">
        <f>'PLAN INDICATIVO'!P384</f>
        <v>Lograr una calificación de 80 puntos en el índice de desempeño Institucional del MIPG</v>
      </c>
      <c r="Q384" s="302" t="str">
        <f>'PLAN INDICATIVO'!Q384</f>
        <v>Indice desempeño institucional (DAFP)</v>
      </c>
      <c r="R384" s="303">
        <f>'PLAN INDICATIVO'!R384</f>
        <v>2015</v>
      </c>
      <c r="S384" s="304">
        <v>0</v>
      </c>
      <c r="T384" s="1299">
        <v>80</v>
      </c>
      <c r="U384" s="934">
        <v>0.25</v>
      </c>
      <c r="V384" s="687">
        <v>6000000</v>
      </c>
      <c r="W384" s="934">
        <v>0.25</v>
      </c>
      <c r="X384" s="687">
        <v>1000000</v>
      </c>
      <c r="Y384" s="934">
        <v>62.6</v>
      </c>
      <c r="Z384" s="687">
        <v>1000000</v>
      </c>
      <c r="AA384" s="1310">
        <v>80</v>
      </c>
      <c r="AB384" s="686">
        <v>13750000</v>
      </c>
      <c r="AC384" s="665"/>
      <c r="AD384" s="665">
        <v>0.25</v>
      </c>
      <c r="AE384" s="665">
        <v>62.6</v>
      </c>
      <c r="AF384" s="665">
        <v>58.6</v>
      </c>
      <c r="AG384" s="306" t="s">
        <v>5156</v>
      </c>
      <c r="AH384" s="987">
        <v>2019413960027</v>
      </c>
      <c r="AI384" s="307"/>
      <c r="AJ384" s="309">
        <v>43497</v>
      </c>
      <c r="AK384" s="838">
        <v>43799</v>
      </c>
      <c r="AL384" s="308"/>
      <c r="AM384" s="308"/>
      <c r="AN384" s="281" t="s">
        <v>2598</v>
      </c>
      <c r="AO384" s="510"/>
      <c r="AP384" s="525"/>
      <c r="AQ384" s="310"/>
      <c r="AR384" s="310"/>
      <c r="AS384" s="310"/>
      <c r="AT384" s="310"/>
      <c r="AU384" s="310"/>
      <c r="AV384" s="310"/>
      <c r="AW384" s="544"/>
      <c r="AX384" s="525"/>
      <c r="AY384" s="310"/>
      <c r="AZ384" s="310"/>
      <c r="BA384" s="310"/>
      <c r="BB384" s="310"/>
      <c r="BC384" s="310"/>
      <c r="BD384" s="310"/>
      <c r="BE384" s="544"/>
      <c r="BF384" s="525"/>
      <c r="BG384" s="310"/>
      <c r="BH384" s="310"/>
      <c r="BI384" s="310"/>
      <c r="BJ384" s="310"/>
      <c r="BK384" s="310"/>
      <c r="BL384" s="310"/>
      <c r="BM384" s="544">
        <f t="shared" si="152"/>
        <v>0</v>
      </c>
      <c r="BN384" s="525"/>
      <c r="BO384" s="472"/>
      <c r="BP384" s="310"/>
      <c r="BQ384" s="310"/>
      <c r="BR384" s="310"/>
      <c r="BS384" s="310"/>
      <c r="BT384" s="310"/>
      <c r="BU384" s="544"/>
      <c r="BV384" s="556"/>
      <c r="BW384" s="663">
        <f t="shared" si="159"/>
        <v>121.45</v>
      </c>
      <c r="BX384" s="1047">
        <f t="shared" si="151"/>
        <v>1.5181249999999999</v>
      </c>
      <c r="BY384" s="1047">
        <f t="shared" si="160"/>
        <v>0</v>
      </c>
      <c r="BZ384" s="1047">
        <f t="shared" si="161"/>
        <v>1</v>
      </c>
      <c r="CA384" s="1047">
        <f t="shared" si="162"/>
        <v>1</v>
      </c>
      <c r="CB384" s="1047">
        <f t="shared" si="163"/>
        <v>0.73250000000000004</v>
      </c>
      <c r="CD384" t="str">
        <f t="shared" si="164"/>
        <v>ROB</v>
      </c>
      <c r="CE384" t="str">
        <f t="shared" si="164"/>
        <v>VE</v>
      </c>
      <c r="CF384" t="str">
        <f t="shared" si="164"/>
        <v>VE</v>
      </c>
      <c r="CG384" t="str">
        <f t="shared" si="164"/>
        <v>VEB</v>
      </c>
    </row>
    <row r="385" spans="1:85" ht="48.75" hidden="1" customHeight="1" x14ac:dyDescent="0.25">
      <c r="A385" s="298" t="s">
        <v>1135</v>
      </c>
      <c r="B385" s="299" t="str">
        <f>'PLAN INDICATIVO'!B385</f>
        <v>Fortalecimiento institucional</v>
      </c>
      <c r="C385" s="1547"/>
      <c r="D385" s="1549"/>
      <c r="E385" s="1549"/>
      <c r="F385" s="1549"/>
      <c r="G385" s="1549"/>
      <c r="H385" s="1549"/>
      <c r="I385" s="300">
        <f>'PLAN INDICATIVO'!I385</f>
        <v>0</v>
      </c>
      <c r="J385" s="300">
        <f>'PLAN INDICATIVO'!J385</f>
        <v>0</v>
      </c>
      <c r="K385" s="1425" t="str">
        <f>'PLAN INDICATIVO'!K385</f>
        <v>A.17.1.17</v>
      </c>
      <c r="L385" s="301" t="str">
        <f>'PLAN INDICATIVO'!L385</f>
        <v>16. Paz, justicia e instituciones sólidas</v>
      </c>
      <c r="M385" s="301" t="str">
        <f>'PLAN INDICATIVO'!M385</f>
        <v>Secretaría de Gobierno</v>
      </c>
      <c r="N385" s="1425" t="str">
        <f>'PLAN INDICATIVO'!N385</f>
        <v>HERNAN RODRIGUEZ FALLA</v>
      </c>
      <c r="O385" s="1425" t="str">
        <f>'PLAN INDICATIVO'!O385</f>
        <v>Incremento</v>
      </c>
      <c r="P385" s="74" t="str">
        <f>'PLAN INDICATIVO'!P385</f>
        <v>Apoyar 2 proyectos durante el cuatrienio encaminados a fortalecer los semilleros de investigación</v>
      </c>
      <c r="Q385" s="302" t="str">
        <f>'PLAN INDICATIVO'!Q385</f>
        <v>No. De proyectos apoyados</v>
      </c>
      <c r="R385" s="303">
        <f>'PLAN INDICATIVO'!R385</f>
        <v>2015</v>
      </c>
      <c r="S385" s="304">
        <v>0</v>
      </c>
      <c r="T385" s="498">
        <v>2</v>
      </c>
      <c r="U385" s="303">
        <v>0</v>
      </c>
      <c r="V385" s="687"/>
      <c r="W385" s="572">
        <v>0</v>
      </c>
      <c r="X385" s="687"/>
      <c r="Y385" s="572">
        <v>1</v>
      </c>
      <c r="Z385" s="687">
        <v>1000000</v>
      </c>
      <c r="AA385" s="1310">
        <v>1</v>
      </c>
      <c r="AB385" s="686"/>
      <c r="AC385" s="665"/>
      <c r="AD385" s="665"/>
      <c r="AE385" s="665">
        <v>1</v>
      </c>
      <c r="AF385" s="665">
        <v>1</v>
      </c>
      <c r="AG385" s="306" t="s">
        <v>5156</v>
      </c>
      <c r="AH385" s="987">
        <v>2019413960027</v>
      </c>
      <c r="AI385" s="307" t="s">
        <v>4960</v>
      </c>
      <c r="AJ385" s="309">
        <v>43497</v>
      </c>
      <c r="AK385" s="838">
        <v>43768</v>
      </c>
      <c r="AL385" s="308"/>
      <c r="AM385" s="308"/>
      <c r="AN385" s="281" t="s">
        <v>2598</v>
      </c>
      <c r="AO385" s="507"/>
      <c r="AP385" s="525"/>
      <c r="AQ385" s="310"/>
      <c r="AR385" s="310"/>
      <c r="AS385" s="310"/>
      <c r="AT385" s="310"/>
      <c r="AU385" s="310"/>
      <c r="AV385" s="310"/>
      <c r="AW385" s="544"/>
      <c r="AX385" s="525"/>
      <c r="AY385" s="310"/>
      <c r="AZ385" s="310"/>
      <c r="BA385" s="310"/>
      <c r="BB385" s="310"/>
      <c r="BC385" s="310"/>
      <c r="BD385" s="310"/>
      <c r="BE385" s="544"/>
      <c r="BF385" s="525"/>
      <c r="BG385" s="310"/>
      <c r="BH385" s="310"/>
      <c r="BI385" s="310"/>
      <c r="BJ385" s="310"/>
      <c r="BK385" s="310"/>
      <c r="BL385" s="310"/>
      <c r="BM385" s="544">
        <f t="shared" si="152"/>
        <v>0</v>
      </c>
      <c r="BN385" s="525"/>
      <c r="BO385" s="310"/>
      <c r="BP385" s="310"/>
      <c r="BQ385" s="310"/>
      <c r="BR385" s="310"/>
      <c r="BS385" s="310"/>
      <c r="BT385" s="310"/>
      <c r="BU385" s="544"/>
      <c r="BV385" s="556"/>
      <c r="BW385" s="663">
        <f t="shared" si="159"/>
        <v>2</v>
      </c>
      <c r="BX385" s="1047">
        <f t="shared" si="151"/>
        <v>1</v>
      </c>
      <c r="BY385" s="1047" t="str">
        <f t="shared" si="160"/>
        <v>Aplazada</v>
      </c>
      <c r="BZ385" s="1047" t="str">
        <f t="shared" si="161"/>
        <v>Aplazada</v>
      </c>
      <c r="CA385" s="1047">
        <f t="shared" si="162"/>
        <v>1</v>
      </c>
      <c r="CB385" s="1047">
        <f t="shared" si="163"/>
        <v>1</v>
      </c>
      <c r="CC385" s="540"/>
      <c r="CD385" t="str">
        <f t="shared" si="164"/>
        <v>AZ</v>
      </c>
      <c r="CE385" t="str">
        <f t="shared" si="164"/>
        <v>AZ</v>
      </c>
      <c r="CF385" t="str">
        <f t="shared" si="164"/>
        <v>VE</v>
      </c>
      <c r="CG385" t="str">
        <f t="shared" si="164"/>
        <v>VE</v>
      </c>
    </row>
    <row r="386" spans="1:85" ht="65.25" hidden="1" customHeight="1" x14ac:dyDescent="0.25">
      <c r="A386" s="298" t="s">
        <v>1135</v>
      </c>
      <c r="B386" s="299" t="str">
        <f>'PLAN INDICATIVO'!B386</f>
        <v>Fortalecimiento institucional</v>
      </c>
      <c r="C386" s="1547"/>
      <c r="D386" s="1549"/>
      <c r="E386" s="1549"/>
      <c r="F386" s="1549"/>
      <c r="G386" s="1549"/>
      <c r="H386" s="1549"/>
      <c r="I386" s="300">
        <f>'PLAN INDICATIVO'!I386</f>
        <v>0</v>
      </c>
      <c r="J386" s="300">
        <f>'PLAN INDICATIVO'!J386</f>
        <v>0</v>
      </c>
      <c r="K386" s="1425" t="str">
        <f>'PLAN INDICATIVO'!K386</f>
        <v>A.17.1.18</v>
      </c>
      <c r="L386" s="301" t="str">
        <f>'PLAN INDICATIVO'!L386</f>
        <v>16. Paz, justicia e instituciones sólidas</v>
      </c>
      <c r="M386" s="301" t="str">
        <f>'PLAN INDICATIVO'!M386</f>
        <v>Secretaría de Gobierno</v>
      </c>
      <c r="N386" s="1425" t="str">
        <f>'PLAN INDICATIVO'!N386</f>
        <v>HERNAN RODRIGUEZ FALLA</v>
      </c>
      <c r="O386" s="1425" t="str">
        <f>'PLAN INDICATIVO'!O386</f>
        <v>Incremento</v>
      </c>
      <c r="P386" s="74" t="str">
        <f>'PLAN INDICATIVO'!P386</f>
        <v>Implementar 2 Campañas para mejorar el uso de material obsoleto y reciclaje de equipos de cómputo</v>
      </c>
      <c r="Q386" s="302" t="str">
        <f>'PLAN INDICATIVO'!Q386</f>
        <v>No. De campañas implementadas</v>
      </c>
      <c r="R386" s="303">
        <f>'PLAN INDICATIVO'!R386</f>
        <v>2015</v>
      </c>
      <c r="S386" s="304">
        <v>0</v>
      </c>
      <c r="T386" s="498">
        <v>2</v>
      </c>
      <c r="U386" s="303">
        <v>0</v>
      </c>
      <c r="V386" s="687"/>
      <c r="W386" s="572">
        <v>0</v>
      </c>
      <c r="X386" s="687"/>
      <c r="Y386" s="572">
        <v>1</v>
      </c>
      <c r="Z386" s="687">
        <v>1000000</v>
      </c>
      <c r="AA386" s="1310"/>
      <c r="AB386" s="686"/>
      <c r="AC386" s="665"/>
      <c r="AD386" s="665">
        <v>0</v>
      </c>
      <c r="AE386" s="665">
        <v>1</v>
      </c>
      <c r="AF386" s="665"/>
      <c r="AG386" s="306" t="s">
        <v>5156</v>
      </c>
      <c r="AH386" s="987">
        <v>2019413960027</v>
      </c>
      <c r="AI386" s="307"/>
      <c r="AJ386" s="309"/>
      <c r="AK386" s="838"/>
      <c r="AL386" s="308"/>
      <c r="AM386" s="308" t="s">
        <v>2717</v>
      </c>
      <c r="AN386" s="281" t="s">
        <v>2598</v>
      </c>
      <c r="AO386" s="507"/>
      <c r="AP386" s="525"/>
      <c r="AQ386" s="310"/>
      <c r="AR386" s="310"/>
      <c r="AS386" s="310"/>
      <c r="AT386" s="310"/>
      <c r="AU386" s="310"/>
      <c r="AV386" s="310"/>
      <c r="AW386" s="544"/>
      <c r="AX386" s="525"/>
      <c r="AY386" s="310"/>
      <c r="AZ386" s="310"/>
      <c r="BA386" s="310"/>
      <c r="BB386" s="310"/>
      <c r="BC386" s="310"/>
      <c r="BD386" s="310"/>
      <c r="BE386" s="544"/>
      <c r="BF386" s="525"/>
      <c r="BG386" s="310"/>
      <c r="BH386" s="310"/>
      <c r="BI386" s="310"/>
      <c r="BJ386" s="310"/>
      <c r="BK386" s="310"/>
      <c r="BL386" s="310"/>
      <c r="BM386" s="544">
        <f t="shared" si="152"/>
        <v>0</v>
      </c>
      <c r="BN386" s="525"/>
      <c r="BO386" s="310"/>
      <c r="BP386" s="310"/>
      <c r="BQ386" s="310"/>
      <c r="BR386" s="310"/>
      <c r="BS386" s="310"/>
      <c r="BT386" s="310"/>
      <c r="BU386" s="544"/>
      <c r="BV386" s="556"/>
      <c r="BW386" s="663">
        <f t="shared" si="159"/>
        <v>1</v>
      </c>
      <c r="BX386" s="1047">
        <f t="shared" si="151"/>
        <v>0.5</v>
      </c>
      <c r="BY386" s="1047" t="str">
        <f t="shared" si="160"/>
        <v>Aplazada</v>
      </c>
      <c r="BZ386" s="1047" t="str">
        <f t="shared" si="161"/>
        <v>Aplazada</v>
      </c>
      <c r="CA386" s="1047">
        <f t="shared" si="162"/>
        <v>1</v>
      </c>
      <c r="CB386" s="1047" t="str">
        <f t="shared" si="163"/>
        <v>No Programada</v>
      </c>
      <c r="CD386" t="str">
        <f t="shared" si="164"/>
        <v>AZ</v>
      </c>
      <c r="CE386" t="str">
        <f t="shared" si="164"/>
        <v>AZ</v>
      </c>
      <c r="CF386" t="str">
        <f t="shared" si="164"/>
        <v>VE</v>
      </c>
      <c r="CG386" t="str">
        <f t="shared" si="164"/>
        <v>NP</v>
      </c>
    </row>
    <row r="387" spans="1:85" ht="55.5" hidden="1" customHeight="1" x14ac:dyDescent="0.25">
      <c r="A387" s="298" t="s">
        <v>1135</v>
      </c>
      <c r="B387" s="299" t="str">
        <f>'PLAN INDICATIVO'!B387</f>
        <v>Fortalecimiento institucional</v>
      </c>
      <c r="C387" s="1547"/>
      <c r="D387" s="1549"/>
      <c r="E387" s="1549"/>
      <c r="F387" s="1549"/>
      <c r="G387" s="1549"/>
      <c r="H387" s="1549"/>
      <c r="I387" s="300">
        <f>'PLAN INDICATIVO'!I387</f>
        <v>0</v>
      </c>
      <c r="J387" s="300">
        <f>'PLAN INDICATIVO'!J387</f>
        <v>0</v>
      </c>
      <c r="K387" s="1425" t="str">
        <f>'PLAN INDICATIVO'!K387</f>
        <v>A.17.1.19</v>
      </c>
      <c r="L387" s="301" t="str">
        <f>'PLAN INDICATIVO'!L387</f>
        <v>16. Paz, justicia e instituciones sólidas</v>
      </c>
      <c r="M387" s="301" t="str">
        <f>'PLAN INDICATIVO'!M387</f>
        <v>Departamento Municipal de Planeación</v>
      </c>
      <c r="N387" s="1425" t="str">
        <f>'PLAN INDICATIVO'!N387</f>
        <v>MAURICIO LEGARDA GONZALEZ</v>
      </c>
      <c r="O387" s="1425" t="str">
        <f>'PLAN INDICATIVO'!O387</f>
        <v>Incremento</v>
      </c>
      <c r="P387" s="16" t="str">
        <f>'PLAN INDICATIVO'!P387</f>
        <v>Realizar 4  audiencias de rendición de cuentas con uso de las TIC</v>
      </c>
      <c r="Q387" s="302" t="str">
        <f>'PLAN INDICATIVO'!Q387</f>
        <v>No, de informes de audiencias de rendición realizados</v>
      </c>
      <c r="R387" s="303">
        <f>'PLAN INDICATIVO'!R387</f>
        <v>2015</v>
      </c>
      <c r="S387" s="304">
        <v>1</v>
      </c>
      <c r="T387" s="498">
        <v>4</v>
      </c>
      <c r="U387" s="303">
        <v>1</v>
      </c>
      <c r="V387" s="687">
        <v>10000000</v>
      </c>
      <c r="W387" s="572">
        <v>1</v>
      </c>
      <c r="X387" s="687">
        <v>10000000</v>
      </c>
      <c r="Y387" s="572">
        <v>1</v>
      </c>
      <c r="Z387" s="687">
        <v>20000000</v>
      </c>
      <c r="AA387" s="1310">
        <v>1</v>
      </c>
      <c r="AB387" s="686"/>
      <c r="AC387" s="665"/>
      <c r="AD387" s="665">
        <v>1</v>
      </c>
      <c r="AE387" s="665">
        <v>1</v>
      </c>
      <c r="AF387" s="665">
        <v>1</v>
      </c>
      <c r="AG387" s="306" t="s">
        <v>5156</v>
      </c>
      <c r="AH387" s="987">
        <v>2019413960027</v>
      </c>
      <c r="AI387" s="307" t="s">
        <v>4791</v>
      </c>
      <c r="AJ387" s="309">
        <v>43497</v>
      </c>
      <c r="AK387" s="838">
        <v>43799</v>
      </c>
      <c r="AL387" s="308"/>
      <c r="AM387" s="308"/>
      <c r="AN387" s="267" t="s">
        <v>2598</v>
      </c>
      <c r="AO387" s="507"/>
      <c r="AP387" s="525"/>
      <c r="AQ387" s="310"/>
      <c r="AR387" s="310"/>
      <c r="AS387" s="310"/>
      <c r="AT387" s="310"/>
      <c r="AU387" s="310"/>
      <c r="AV387" s="310"/>
      <c r="AW387" s="544"/>
      <c r="AX387" s="525"/>
      <c r="AY387" s="310"/>
      <c r="AZ387" s="310"/>
      <c r="BA387" s="310"/>
      <c r="BB387" s="310"/>
      <c r="BC387" s="310"/>
      <c r="BD387" s="310"/>
      <c r="BE387" s="544"/>
      <c r="BF387" s="525"/>
      <c r="BG387" s="310"/>
      <c r="BH387" s="310"/>
      <c r="BI387" s="310"/>
      <c r="BJ387" s="310"/>
      <c r="BK387" s="310"/>
      <c r="BL387" s="310"/>
      <c r="BM387" s="544">
        <f t="shared" si="152"/>
        <v>0</v>
      </c>
      <c r="BN387" s="525"/>
      <c r="BO387" s="862"/>
      <c r="BP387" s="310"/>
      <c r="BQ387" s="310"/>
      <c r="BR387" s="310"/>
      <c r="BS387" s="310"/>
      <c r="BT387" s="310"/>
      <c r="BU387" s="544"/>
      <c r="BV387" s="556"/>
      <c r="BW387" s="663">
        <f t="shared" si="159"/>
        <v>3</v>
      </c>
      <c r="BX387" s="1047">
        <f t="shared" si="151"/>
        <v>0.75</v>
      </c>
      <c r="BY387" s="1047">
        <f t="shared" si="160"/>
        <v>0</v>
      </c>
      <c r="BZ387" s="1047">
        <f t="shared" si="161"/>
        <v>1</v>
      </c>
      <c r="CA387" s="1047">
        <f t="shared" si="162"/>
        <v>1</v>
      </c>
      <c r="CB387" s="1047">
        <f t="shared" si="163"/>
        <v>1</v>
      </c>
      <c r="CD387" t="str">
        <f t="shared" si="164"/>
        <v>ROB</v>
      </c>
      <c r="CE387" t="str">
        <f t="shared" si="164"/>
        <v>VE</v>
      </c>
      <c r="CF387" t="str">
        <f t="shared" si="164"/>
        <v>VE</v>
      </c>
      <c r="CG387" t="str">
        <f t="shared" si="164"/>
        <v>VE</v>
      </c>
    </row>
    <row r="388" spans="1:85" ht="72.75" customHeight="1" x14ac:dyDescent="0.3">
      <c r="A388" s="298" t="s">
        <v>1135</v>
      </c>
      <c r="B388" s="299" t="str">
        <f>'PLAN INDICATIVO'!B388</f>
        <v>Fortalecimiento institucional</v>
      </c>
      <c r="C388" s="1547"/>
      <c r="D388" s="1549"/>
      <c r="E388" s="1549"/>
      <c r="F388" s="1549"/>
      <c r="G388" s="1549"/>
      <c r="H388" s="1549"/>
      <c r="I388" s="300">
        <f>'PLAN INDICATIVO'!I388</f>
        <v>0</v>
      </c>
      <c r="J388" s="300">
        <f>'PLAN INDICATIVO'!J388</f>
        <v>0</v>
      </c>
      <c r="K388" s="1425" t="str">
        <f>'PLAN INDICATIVO'!K388</f>
        <v>A.17.1.20</v>
      </c>
      <c r="L388" s="301" t="str">
        <f>'PLAN INDICATIVO'!L388</f>
        <v>16. Paz, justicia e instituciones sólidas</v>
      </c>
      <c r="M388" s="301" t="str">
        <f>'PLAN INDICATIVO'!M388</f>
        <v>Secretaría de Gobierno</v>
      </c>
      <c r="N388" s="1513" t="s">
        <v>5126</v>
      </c>
      <c r="O388" s="1425" t="str">
        <f>'PLAN INDICATIVO'!O388</f>
        <v>Incremento</v>
      </c>
      <c r="P388" s="16" t="str">
        <f>'PLAN INDICATIVO'!P388</f>
        <v>Integrar 2 trámites o servicios a la plataforma NO mas filas</v>
      </c>
      <c r="Q388" s="302" t="str">
        <f>'PLAN INDICATIVO'!Q388</f>
        <v>No. De trámites o servicios integrados</v>
      </c>
      <c r="R388" s="303">
        <f>'PLAN INDICATIVO'!R388</f>
        <v>2015</v>
      </c>
      <c r="S388" s="304">
        <v>0</v>
      </c>
      <c r="T388" s="498">
        <v>2</v>
      </c>
      <c r="U388" s="303">
        <v>0</v>
      </c>
      <c r="V388" s="687"/>
      <c r="W388" s="572">
        <v>1</v>
      </c>
      <c r="X388" s="687">
        <v>1000000</v>
      </c>
      <c r="Y388" s="572"/>
      <c r="Z388" s="687">
        <v>10000000</v>
      </c>
      <c r="AA388" s="1310">
        <v>0.8</v>
      </c>
      <c r="AB388" s="686">
        <v>24750000</v>
      </c>
      <c r="AC388" s="665"/>
      <c r="AD388" s="665">
        <v>0.2</v>
      </c>
      <c r="AE388" s="665"/>
      <c r="AF388" s="665">
        <v>0.8</v>
      </c>
      <c r="AG388" s="306" t="s">
        <v>5156</v>
      </c>
      <c r="AH388" s="987">
        <v>2019413960027</v>
      </c>
      <c r="AI388" s="307" t="s">
        <v>4962</v>
      </c>
      <c r="AJ388" s="309">
        <v>43497</v>
      </c>
      <c r="AK388" s="838">
        <v>43707</v>
      </c>
      <c r="AL388" s="308"/>
      <c r="AM388" s="308"/>
      <c r="AN388" s="281" t="s">
        <v>2594</v>
      </c>
      <c r="AO388" s="507"/>
      <c r="AP388" s="525"/>
      <c r="AQ388" s="310"/>
      <c r="AR388" s="310"/>
      <c r="AS388" s="310"/>
      <c r="AT388" s="310"/>
      <c r="AU388" s="310"/>
      <c r="AV388" s="310"/>
      <c r="AW388" s="544"/>
      <c r="AX388" s="525"/>
      <c r="AY388" s="310"/>
      <c r="AZ388" s="310"/>
      <c r="BA388" s="310"/>
      <c r="BB388" s="310"/>
      <c r="BC388" s="310"/>
      <c r="BD388" s="310"/>
      <c r="BE388" s="544"/>
      <c r="BF388" s="525"/>
      <c r="BG388" s="310"/>
      <c r="BH388" s="310"/>
      <c r="BI388" s="310"/>
      <c r="BJ388" s="310"/>
      <c r="BK388" s="310"/>
      <c r="BL388" s="310"/>
      <c r="BM388" s="544">
        <f t="shared" si="152"/>
        <v>0</v>
      </c>
      <c r="BN388" s="525"/>
      <c r="BO388" s="310"/>
      <c r="BP388" s="310"/>
      <c r="BQ388" s="310"/>
      <c r="BR388" s="310"/>
      <c r="BS388" s="310"/>
      <c r="BT388" s="310"/>
      <c r="BU388" s="544"/>
      <c r="BV388" s="556"/>
      <c r="BW388" s="663">
        <f t="shared" si="159"/>
        <v>1</v>
      </c>
      <c r="BX388" s="1047">
        <f t="shared" si="151"/>
        <v>0.5</v>
      </c>
      <c r="BY388" s="1047" t="str">
        <f t="shared" si="160"/>
        <v>Aplazada</v>
      </c>
      <c r="BZ388" s="1047">
        <f t="shared" si="161"/>
        <v>0.2</v>
      </c>
      <c r="CA388" s="1047" t="str">
        <f t="shared" si="162"/>
        <v>No Programada</v>
      </c>
      <c r="CB388" s="1047">
        <f t="shared" si="163"/>
        <v>1</v>
      </c>
      <c r="CD388" t="str">
        <f t="shared" si="164"/>
        <v>AZ</v>
      </c>
      <c r="CE388" t="str">
        <f t="shared" si="164"/>
        <v>ROB</v>
      </c>
      <c r="CF388" t="str">
        <f t="shared" si="164"/>
        <v>NP</v>
      </c>
      <c r="CG388" t="str">
        <f t="shared" si="164"/>
        <v>VE</v>
      </c>
    </row>
    <row r="389" spans="1:85" ht="48.75" hidden="1" customHeight="1" x14ac:dyDescent="0.25">
      <c r="A389" s="298" t="s">
        <v>1135</v>
      </c>
      <c r="B389" s="299" t="str">
        <f>'PLAN INDICATIVO'!B389</f>
        <v>Fortalecimiento institucional</v>
      </c>
      <c r="C389" s="1547"/>
      <c r="D389" s="1549"/>
      <c r="E389" s="1549"/>
      <c r="F389" s="1549"/>
      <c r="G389" s="1549"/>
      <c r="H389" s="1549"/>
      <c r="I389" s="300">
        <f>'PLAN INDICATIVO'!I389</f>
        <v>0</v>
      </c>
      <c r="J389" s="300">
        <f>'PLAN INDICATIVO'!J389</f>
        <v>0</v>
      </c>
      <c r="K389" s="1425" t="str">
        <f>'PLAN INDICATIVO'!K389</f>
        <v>A.17.1.21</v>
      </c>
      <c r="L389" s="301" t="str">
        <f>'PLAN INDICATIVO'!L389</f>
        <v>16. Paz, justicia e instituciones sólidas</v>
      </c>
      <c r="M389" s="301" t="str">
        <f>'PLAN INDICATIVO'!M389</f>
        <v>Secretaría de Gobierno</v>
      </c>
      <c r="N389" s="1425" t="str">
        <f>'PLAN INDICATIVO'!N389</f>
        <v>HERNAN RODRIGUEZ FALLA</v>
      </c>
      <c r="O389" s="1425" t="str">
        <f>'PLAN INDICATIVO'!O389</f>
        <v>Incremento</v>
      </c>
      <c r="P389" s="16" t="str">
        <f>'PLAN INDICATIVO'!P389</f>
        <v>Ejecutar 4 capacitaciones durante el cuatrienio a funcionarios municipales para mejorar indicadores de Gobierno en línea</v>
      </c>
      <c r="Q389" s="302" t="str">
        <f>'PLAN INDICATIVO'!Q389</f>
        <v>No. de capacitaciones ejecutadas</v>
      </c>
      <c r="R389" s="303">
        <f>'PLAN INDICATIVO'!R389</f>
        <v>2015</v>
      </c>
      <c r="S389" s="304">
        <v>0</v>
      </c>
      <c r="T389" s="498">
        <v>4</v>
      </c>
      <c r="U389" s="303">
        <v>1</v>
      </c>
      <c r="V389" s="687">
        <v>2400000</v>
      </c>
      <c r="W389" s="572">
        <v>1</v>
      </c>
      <c r="X389" s="687">
        <v>1000000</v>
      </c>
      <c r="Y389" s="572"/>
      <c r="Z389" s="687">
        <v>1000000</v>
      </c>
      <c r="AA389" s="1310">
        <v>2</v>
      </c>
      <c r="AB389" s="686"/>
      <c r="AC389" s="665"/>
      <c r="AD389" s="308">
        <v>1</v>
      </c>
      <c r="AE389" s="665"/>
      <c r="AF389" s="665">
        <v>2</v>
      </c>
      <c r="AG389" s="306" t="s">
        <v>5156</v>
      </c>
      <c r="AH389" s="987">
        <v>2019413960027</v>
      </c>
      <c r="AI389" s="307" t="s">
        <v>4968</v>
      </c>
      <c r="AJ389" s="309">
        <v>43497</v>
      </c>
      <c r="AK389" s="838">
        <v>43768</v>
      </c>
      <c r="AL389" s="308"/>
      <c r="AM389" s="308"/>
      <c r="AN389" s="281" t="s">
        <v>2594</v>
      </c>
      <c r="AO389" s="507"/>
      <c r="AP389" s="525"/>
      <c r="AQ389" s="310"/>
      <c r="AR389" s="310"/>
      <c r="AS389" s="310"/>
      <c r="AT389" s="310"/>
      <c r="AU389" s="310"/>
      <c r="AV389" s="310"/>
      <c r="AW389" s="544"/>
      <c r="AX389" s="525"/>
      <c r="AY389" s="310"/>
      <c r="AZ389" s="310"/>
      <c r="BA389" s="310"/>
      <c r="BB389" s="310"/>
      <c r="BC389" s="310"/>
      <c r="BD389" s="310"/>
      <c r="BE389" s="544"/>
      <c r="BF389" s="525"/>
      <c r="BG389" s="310"/>
      <c r="BH389" s="310"/>
      <c r="BI389" s="310"/>
      <c r="BJ389" s="310"/>
      <c r="BK389" s="310"/>
      <c r="BL389" s="310"/>
      <c r="BM389" s="544">
        <f t="shared" si="152"/>
        <v>0</v>
      </c>
      <c r="BN389" s="525"/>
      <c r="BO389" s="310"/>
      <c r="BP389" s="310"/>
      <c r="BQ389" s="310"/>
      <c r="BR389" s="310"/>
      <c r="BS389" s="310"/>
      <c r="BT389" s="310"/>
      <c r="BU389" s="544"/>
      <c r="BV389" s="556"/>
      <c r="BW389" s="663">
        <f t="shared" si="159"/>
        <v>3</v>
      </c>
      <c r="BX389" s="1047">
        <f t="shared" si="151"/>
        <v>0.75</v>
      </c>
      <c r="BY389" s="1047">
        <f t="shared" si="160"/>
        <v>0</v>
      </c>
      <c r="BZ389" s="1047">
        <f t="shared" si="161"/>
        <v>1</v>
      </c>
      <c r="CA389" s="1047" t="str">
        <f t="shared" si="162"/>
        <v>No Programada</v>
      </c>
      <c r="CB389" s="1047">
        <f t="shared" si="163"/>
        <v>1</v>
      </c>
      <c r="CD389" t="str">
        <f t="shared" si="164"/>
        <v>ROB</v>
      </c>
      <c r="CE389" t="str">
        <f t="shared" si="164"/>
        <v>VE</v>
      </c>
      <c r="CF389" t="str">
        <f t="shared" si="164"/>
        <v>NP</v>
      </c>
      <c r="CG389" t="str">
        <f t="shared" si="164"/>
        <v>VE</v>
      </c>
    </row>
    <row r="390" spans="1:85" ht="74.25" customHeight="1" x14ac:dyDescent="0.3">
      <c r="A390" s="298" t="s">
        <v>1135</v>
      </c>
      <c r="B390" s="299" t="str">
        <f>'PLAN INDICATIVO'!B390</f>
        <v>Fortalecimiento institucional</v>
      </c>
      <c r="C390" s="1547"/>
      <c r="D390" s="1549"/>
      <c r="E390" s="1549"/>
      <c r="F390" s="1549"/>
      <c r="G390" s="1549"/>
      <c r="H390" s="1549"/>
      <c r="I390" s="300">
        <f>'PLAN INDICATIVO'!I390</f>
        <v>0</v>
      </c>
      <c r="J390" s="300">
        <f>'PLAN INDICATIVO'!J390</f>
        <v>0</v>
      </c>
      <c r="K390" s="1425" t="str">
        <f>'PLAN INDICATIVO'!K390</f>
        <v>A.17.1.22</v>
      </c>
      <c r="L390" s="301" t="str">
        <f>'PLAN INDICATIVO'!L390</f>
        <v>16. Paz, justicia e instituciones sólidas</v>
      </c>
      <c r="M390" s="301" t="str">
        <f>'PLAN INDICATIVO'!M390</f>
        <v>Departamento Municipal de Planeación</v>
      </c>
      <c r="N390" s="1513" t="s">
        <v>5123</v>
      </c>
      <c r="O390" s="1425" t="str">
        <f>'PLAN INDICATIVO'!O390</f>
        <v>Incremento</v>
      </c>
      <c r="P390" s="16" t="str">
        <f>'PLAN INDICATIVO'!P390</f>
        <v>Realizar 2 revisiones y/o actualizaciones a la estratificación socioeconómica del municipio, durante el cuatrienio</v>
      </c>
      <c r="Q390" s="302" t="str">
        <f>'PLAN INDICATIVO'!Q390</f>
        <v>No. De revisiones o actualizaciones realizadas</v>
      </c>
      <c r="R390" s="303">
        <f>'PLAN INDICATIVO'!R390</f>
        <v>2015</v>
      </c>
      <c r="S390" s="304">
        <v>0</v>
      </c>
      <c r="T390" s="498">
        <v>2</v>
      </c>
      <c r="U390" s="303">
        <v>1</v>
      </c>
      <c r="V390" s="687">
        <v>15000000</v>
      </c>
      <c r="W390" s="572">
        <v>0.3</v>
      </c>
      <c r="X390" s="687">
        <v>16000000</v>
      </c>
      <c r="Y390" s="572">
        <v>0.2</v>
      </c>
      <c r="Z390" s="687"/>
      <c r="AA390" s="1310">
        <v>0.8</v>
      </c>
      <c r="AB390" s="686">
        <v>20000000</v>
      </c>
      <c r="AC390" s="665"/>
      <c r="AD390" s="665">
        <v>0.5</v>
      </c>
      <c r="AE390" s="665">
        <v>0.2</v>
      </c>
      <c r="AF390" s="665">
        <v>0.8</v>
      </c>
      <c r="AG390" s="306" t="s">
        <v>5156</v>
      </c>
      <c r="AH390" s="987">
        <v>2019413960027</v>
      </c>
      <c r="AI390" s="307" t="s">
        <v>4792</v>
      </c>
      <c r="AJ390" s="309">
        <v>43497</v>
      </c>
      <c r="AK390" s="838">
        <v>43814</v>
      </c>
      <c r="AL390" s="308"/>
      <c r="AM390" s="308"/>
      <c r="AN390" s="281" t="s">
        <v>2598</v>
      </c>
      <c r="AO390" s="507"/>
      <c r="AP390" s="525"/>
      <c r="AQ390" s="310"/>
      <c r="AR390" s="310"/>
      <c r="AS390" s="310"/>
      <c r="AT390" s="310"/>
      <c r="AU390" s="310"/>
      <c r="AV390" s="310"/>
      <c r="AW390" s="544"/>
      <c r="AX390" s="525"/>
      <c r="AY390" s="310"/>
      <c r="AZ390" s="310"/>
      <c r="BA390" s="310"/>
      <c r="BB390" s="310"/>
      <c r="BC390" s="310"/>
      <c r="BD390" s="310"/>
      <c r="BE390" s="544"/>
      <c r="BF390" s="525">
        <v>8400000</v>
      </c>
      <c r="BG390" s="310"/>
      <c r="BH390" s="310"/>
      <c r="BI390" s="310"/>
      <c r="BJ390" s="310"/>
      <c r="BK390" s="310"/>
      <c r="BL390" s="310"/>
      <c r="BM390" s="544">
        <f t="shared" si="152"/>
        <v>8400000</v>
      </c>
      <c r="BN390" s="310"/>
      <c r="BO390" s="310"/>
      <c r="BP390" s="310"/>
      <c r="BQ390" s="310"/>
      <c r="BR390" s="310"/>
      <c r="BS390" s="310"/>
      <c r="BT390" s="310"/>
      <c r="BU390" s="544"/>
      <c r="BV390" s="556"/>
      <c r="BW390" s="663">
        <f t="shared" si="159"/>
        <v>1.5</v>
      </c>
      <c r="BX390" s="1047">
        <f t="shared" si="151"/>
        <v>0.75</v>
      </c>
      <c r="BY390" s="1047">
        <f t="shared" si="160"/>
        <v>0</v>
      </c>
      <c r="BZ390" s="1047">
        <f t="shared" si="161"/>
        <v>1.6666666666666667</v>
      </c>
      <c r="CA390" s="1047">
        <f t="shared" si="162"/>
        <v>1</v>
      </c>
      <c r="CB390" s="1047">
        <f t="shared" si="163"/>
        <v>1</v>
      </c>
      <c r="CC390" s="540"/>
      <c r="CD390" t="str">
        <f t="shared" si="164"/>
        <v>ROB</v>
      </c>
      <c r="CE390" t="str">
        <f t="shared" si="164"/>
        <v>VE</v>
      </c>
      <c r="CF390" t="str">
        <f t="shared" si="164"/>
        <v>VE</v>
      </c>
      <c r="CG390" t="str">
        <f t="shared" si="164"/>
        <v>VE</v>
      </c>
    </row>
    <row r="391" spans="1:85" ht="1.5" customHeight="1" thickBot="1" x14ac:dyDescent="0.35">
      <c r="A391" s="298" t="s">
        <v>2464</v>
      </c>
      <c r="B391" s="299" t="str">
        <f>'PLAN INDICATIVO'!B391</f>
        <v>Fortalecimiento institucional</v>
      </c>
      <c r="C391" s="1547"/>
      <c r="D391" s="1549"/>
      <c r="E391" s="1549"/>
      <c r="F391" s="1549"/>
      <c r="G391" s="1549"/>
      <c r="H391" s="1549"/>
      <c r="I391" s="300">
        <f>'PLAN INDICATIVO'!I391</f>
        <v>0</v>
      </c>
      <c r="J391" s="300">
        <f>'PLAN INDICATIVO'!J391</f>
        <v>0</v>
      </c>
      <c r="K391" s="1425" t="str">
        <f>'PLAN INDICATIVO'!K391</f>
        <v>A.17.1.23</v>
      </c>
      <c r="L391" s="301" t="str">
        <f>'PLAN INDICATIVO'!L391</f>
        <v>16. Paz, justicia e instituciones sólidas</v>
      </c>
      <c r="M391" s="301" t="str">
        <f>'PLAN INDICATIVO'!M391</f>
        <v>Secretaría de Gobierno</v>
      </c>
      <c r="N391" s="1425" t="str">
        <f>'PLAN INDICATIVO'!N391</f>
        <v>HERNAN RODRIGUEZ FALLA</v>
      </c>
      <c r="O391" s="1425" t="str">
        <f>'PLAN INDICATIVO'!O391</f>
        <v>Incremento</v>
      </c>
      <c r="P391" s="1199" t="str">
        <f>'PLAN INDICATIVO'!P391</f>
        <v>Ejecutar 1 programa de articulación de Gobierno en Línea y MECI implementado cada año</v>
      </c>
      <c r="Q391" s="1199" t="str">
        <f>'PLAN INDICATIVO'!Q391</f>
        <v>No. De programas Ejecutados</v>
      </c>
      <c r="R391" s="1463">
        <f>'PLAN INDICATIVO'!R391</f>
        <v>2015</v>
      </c>
      <c r="S391" s="795">
        <v>0</v>
      </c>
      <c r="T391" s="715">
        <v>1</v>
      </c>
      <c r="U391" s="934">
        <v>0.25</v>
      </c>
      <c r="V391" s="687">
        <v>1000000</v>
      </c>
      <c r="W391" s="934">
        <v>0.25</v>
      </c>
      <c r="X391" s="687">
        <v>1000000</v>
      </c>
      <c r="Y391" s="1714"/>
      <c r="Z391" s="1715"/>
      <c r="AA391" s="1716"/>
      <c r="AB391" s="1234"/>
      <c r="AC391" s="1305">
        <v>0.25</v>
      </c>
      <c r="AD391" s="1305">
        <v>1</v>
      </c>
      <c r="AE391" s="1305">
        <v>1</v>
      </c>
      <c r="AF391" s="1305"/>
      <c r="AG391" s="306" t="s">
        <v>4314</v>
      </c>
      <c r="AH391" s="987">
        <v>2018413960001</v>
      </c>
      <c r="AI391" s="1306" t="s">
        <v>4307</v>
      </c>
      <c r="AJ391" s="1413"/>
      <c r="AK391" s="1418"/>
      <c r="AL391" s="1305"/>
      <c r="AM391" s="1305"/>
      <c r="AN391" s="1414" t="s">
        <v>2604</v>
      </c>
      <c r="AO391" s="1327"/>
      <c r="AP391" s="1323"/>
      <c r="AQ391" s="1313"/>
      <c r="AR391" s="1313"/>
      <c r="AS391" s="1313"/>
      <c r="AT391" s="1313"/>
      <c r="AU391" s="1313"/>
      <c r="AV391" s="1313"/>
      <c r="AW391" s="800"/>
      <c r="AX391" s="1323"/>
      <c r="AY391" s="1313"/>
      <c r="AZ391" s="1313"/>
      <c r="BA391" s="1313"/>
      <c r="BB391" s="1313"/>
      <c r="BC391" s="1313"/>
      <c r="BD391" s="1313"/>
      <c r="BE391" s="800"/>
      <c r="BF391" s="1323"/>
      <c r="BG391" s="1313"/>
      <c r="BH391" s="1313"/>
      <c r="BI391" s="1313"/>
      <c r="BJ391" s="1313"/>
      <c r="BK391" s="1313"/>
      <c r="BL391" s="1313"/>
      <c r="BM391" s="800">
        <f t="shared" si="152"/>
        <v>0</v>
      </c>
      <c r="BN391" s="1323"/>
      <c r="BO391" s="1313"/>
      <c r="BP391" s="1313"/>
      <c r="BQ391" s="1313"/>
      <c r="BR391" s="1313"/>
      <c r="BS391" s="1313"/>
      <c r="BT391" s="1313"/>
      <c r="BU391" s="800"/>
      <c r="BV391" s="556"/>
      <c r="BW391" s="663">
        <f t="shared" si="159"/>
        <v>2.25</v>
      </c>
      <c r="BX391" s="1047">
        <f t="shared" si="151"/>
        <v>2.25</v>
      </c>
      <c r="BY391" s="1047">
        <f t="shared" si="160"/>
        <v>1</v>
      </c>
      <c r="BZ391" s="1047">
        <f t="shared" si="161"/>
        <v>4</v>
      </c>
      <c r="CA391" s="1047" t="s">
        <v>4000</v>
      </c>
      <c r="CB391" s="1047" t="s">
        <v>4789</v>
      </c>
      <c r="CD391" t="str">
        <f t="shared" si="164"/>
        <v>VE</v>
      </c>
      <c r="CE391" t="str">
        <f t="shared" si="164"/>
        <v>VE</v>
      </c>
      <c r="CF391" t="str">
        <f t="shared" si="164"/>
        <v>E</v>
      </c>
      <c r="CG391" t="str">
        <f t="shared" si="164"/>
        <v>E</v>
      </c>
    </row>
    <row r="392" spans="1:85" ht="55.5" hidden="1" customHeight="1" x14ac:dyDescent="0.25">
      <c r="A392" s="298" t="s">
        <v>1135</v>
      </c>
      <c r="B392" s="299" t="str">
        <f>'PLAN INDICATIVO'!B392</f>
        <v>Fortalecimiento institucional</v>
      </c>
      <c r="C392" s="1547"/>
      <c r="D392" s="1549"/>
      <c r="E392" s="1549"/>
      <c r="F392" s="1549"/>
      <c r="G392" s="1549"/>
      <c r="H392" s="1549"/>
      <c r="I392" s="300">
        <f>'PLAN INDICATIVO'!I392</f>
        <v>0</v>
      </c>
      <c r="J392" s="300">
        <f>'PLAN INDICATIVO'!J392</f>
        <v>0</v>
      </c>
      <c r="K392" s="1425" t="str">
        <f>'PLAN INDICATIVO'!K392</f>
        <v>A.17.1.24</v>
      </c>
      <c r="L392" s="301" t="str">
        <f>'PLAN INDICATIVO'!L392</f>
        <v>16. Paz, justicia e instituciones sólidas</v>
      </c>
      <c r="M392" s="301" t="str">
        <f>'PLAN INDICATIVO'!M392</f>
        <v>Secretaría de Gobierno</v>
      </c>
      <c r="N392" s="1425" t="str">
        <f>'PLAN INDICATIVO'!N392</f>
        <v>HERNAN RODRIGUEZ FALLA</v>
      </c>
      <c r="O392" s="1425" t="str">
        <f>'PLAN INDICATIVO'!O392</f>
        <v>Incremento</v>
      </c>
      <c r="P392" s="16" t="str">
        <f>'PLAN INDICATIVO'!P392</f>
        <v>Implementar 1 Estrategia de cero papel  durante el cuatrienio</v>
      </c>
      <c r="Q392" s="302" t="str">
        <f>'PLAN INDICATIVO'!Q392</f>
        <v>No. De estrategias implementadas</v>
      </c>
      <c r="R392" s="303">
        <f>'PLAN INDICATIVO'!R392</f>
        <v>2015</v>
      </c>
      <c r="S392" s="304">
        <v>0</v>
      </c>
      <c r="T392" s="498">
        <v>1</v>
      </c>
      <c r="U392" s="303">
        <v>1</v>
      </c>
      <c r="V392" s="687">
        <v>1000000</v>
      </c>
      <c r="W392" s="572"/>
      <c r="X392" s="687">
        <v>1000000</v>
      </c>
      <c r="Y392" s="572"/>
      <c r="Z392" s="687"/>
      <c r="AA392" s="1310"/>
      <c r="AB392" s="687"/>
      <c r="AC392" s="665"/>
      <c r="AD392" s="665">
        <v>1</v>
      </c>
      <c r="AE392" s="665"/>
      <c r="AF392" s="665"/>
      <c r="AG392" s="306" t="s">
        <v>4314</v>
      </c>
      <c r="AH392" s="987">
        <v>2018413960001</v>
      </c>
      <c r="AI392" s="307"/>
      <c r="AJ392" s="309"/>
      <c r="AK392" s="838"/>
      <c r="AL392" s="308"/>
      <c r="AM392" s="308"/>
      <c r="AN392" s="281" t="s">
        <v>2594</v>
      </c>
      <c r="AO392" s="507"/>
      <c r="AP392" s="525"/>
      <c r="AQ392" s="310"/>
      <c r="AR392" s="310"/>
      <c r="AS392" s="310"/>
      <c r="AT392" s="310"/>
      <c r="AU392" s="310"/>
      <c r="AV392" s="310"/>
      <c r="AW392" s="544"/>
      <c r="AX392" s="525"/>
      <c r="AY392" s="310"/>
      <c r="AZ392" s="310"/>
      <c r="BA392" s="310"/>
      <c r="BB392" s="310"/>
      <c r="BC392" s="310"/>
      <c r="BD392" s="310"/>
      <c r="BE392" s="544"/>
      <c r="BF392" s="525"/>
      <c r="BG392" s="310"/>
      <c r="BH392" s="310"/>
      <c r="BI392" s="310"/>
      <c r="BJ392" s="310"/>
      <c r="BK392" s="310"/>
      <c r="BL392" s="310"/>
      <c r="BM392" s="544">
        <f t="shared" si="152"/>
        <v>0</v>
      </c>
      <c r="BN392" s="525"/>
      <c r="BO392" s="310"/>
      <c r="BP392" s="310"/>
      <c r="BQ392" s="310"/>
      <c r="BR392" s="310"/>
      <c r="BS392" s="310"/>
      <c r="BT392" s="310"/>
      <c r="BU392" s="544"/>
      <c r="BV392" s="556"/>
      <c r="BW392" s="663">
        <f t="shared" si="159"/>
        <v>1</v>
      </c>
      <c r="BX392" s="1047">
        <f t="shared" si="151"/>
        <v>1</v>
      </c>
      <c r="BY392" s="1047">
        <f t="shared" si="160"/>
        <v>0</v>
      </c>
      <c r="BZ392" s="1047" t="str">
        <f t="shared" si="161"/>
        <v>No Programada</v>
      </c>
      <c r="CA392" s="1047" t="str">
        <f t="shared" si="162"/>
        <v>No Programada</v>
      </c>
      <c r="CB392" s="1047" t="str">
        <f t="shared" si="163"/>
        <v>No Programada</v>
      </c>
      <c r="CD392" t="str">
        <f t="shared" si="164"/>
        <v>ROB</v>
      </c>
      <c r="CE392" t="str">
        <f t="shared" si="164"/>
        <v>NP</v>
      </c>
      <c r="CF392" t="str">
        <f t="shared" si="164"/>
        <v>NP</v>
      </c>
      <c r="CG392" t="str">
        <f t="shared" si="164"/>
        <v>NP</v>
      </c>
    </row>
    <row r="393" spans="1:85" ht="78" hidden="1" customHeight="1" thickBot="1" x14ac:dyDescent="0.3">
      <c r="A393" s="393" t="s">
        <v>1135</v>
      </c>
      <c r="B393" s="394" t="str">
        <f>'PLAN INDICATIVO'!B393</f>
        <v>Fortalecimiento institucional</v>
      </c>
      <c r="C393" s="1548"/>
      <c r="D393" s="1549"/>
      <c r="E393" s="1549"/>
      <c r="F393" s="1549"/>
      <c r="G393" s="1549"/>
      <c r="H393" s="1549"/>
      <c r="I393" s="300">
        <f>'PLAN INDICATIVO'!I393</f>
        <v>0</v>
      </c>
      <c r="J393" s="300">
        <f>'PLAN INDICATIVO'!J393</f>
        <v>0</v>
      </c>
      <c r="K393" s="1425" t="str">
        <f>'PLAN INDICATIVO'!K393</f>
        <v>A.17.1.25</v>
      </c>
      <c r="L393" s="301" t="str">
        <f>'PLAN INDICATIVO'!L393</f>
        <v>16. Paz, justicia e instituciones sólidas</v>
      </c>
      <c r="M393" s="301" t="str">
        <f>'PLAN INDICATIVO'!M393</f>
        <v>Secretaría de Gobierno</v>
      </c>
      <c r="N393" s="1425" t="str">
        <f>'PLAN INDICATIVO'!N393</f>
        <v>HERNAN RODRIGUEZ FALLA</v>
      </c>
      <c r="O393" s="1425" t="str">
        <f>'PLAN INDICATIVO'!O393</f>
        <v>Incremento</v>
      </c>
      <c r="P393" s="16" t="str">
        <f>'PLAN INDICATIVO'!P393</f>
        <v>Adquisición de 2 ambulacias para fortalecer el parque automotor en servicios de salud, durante el cuatrienio</v>
      </c>
      <c r="Q393" s="302" t="str">
        <f>'PLAN INDICATIVO'!Q393</f>
        <v xml:space="preserve">No. De ambulancias adquiridas  </v>
      </c>
      <c r="R393" s="303">
        <f>'PLAN INDICATIVO'!R393</f>
        <v>2015</v>
      </c>
      <c r="S393" s="304">
        <v>0</v>
      </c>
      <c r="T393" s="498">
        <v>2</v>
      </c>
      <c r="U393" s="303">
        <v>1</v>
      </c>
      <c r="V393" s="687">
        <v>1000000</v>
      </c>
      <c r="W393" s="572">
        <v>1</v>
      </c>
      <c r="X393" s="687">
        <v>1000000</v>
      </c>
      <c r="Y393" s="572">
        <v>1</v>
      </c>
      <c r="Z393" s="687">
        <v>1000000</v>
      </c>
      <c r="AA393" s="1310"/>
      <c r="AB393" s="687"/>
      <c r="AC393" s="665">
        <v>1</v>
      </c>
      <c r="AD393" s="665"/>
      <c r="AE393" s="665">
        <v>1</v>
      </c>
      <c r="AF393" s="665"/>
      <c r="AG393" s="306" t="s">
        <v>4314</v>
      </c>
      <c r="AH393" s="987">
        <v>2018413960001</v>
      </c>
      <c r="AI393" s="307"/>
      <c r="AJ393" s="309"/>
      <c r="AK393" s="838"/>
      <c r="AL393" s="308"/>
      <c r="AM393" s="308"/>
      <c r="AN393" s="281" t="s">
        <v>2598</v>
      </c>
      <c r="AO393" s="516"/>
      <c r="AP393" s="623"/>
      <c r="AQ393" s="624"/>
      <c r="AR393" s="624"/>
      <c r="AS393" s="624"/>
      <c r="AT393" s="624"/>
      <c r="AU393" s="624"/>
      <c r="AV393" s="624"/>
      <c r="AW393" s="625"/>
      <c r="AX393" s="623"/>
      <c r="AY393" s="624"/>
      <c r="AZ393" s="624"/>
      <c r="BA393" s="624"/>
      <c r="BB393" s="624"/>
      <c r="BC393" s="624"/>
      <c r="BD393" s="624"/>
      <c r="BE393" s="625"/>
      <c r="BF393" s="623"/>
      <c r="BG393" s="624"/>
      <c r="BH393" s="624"/>
      <c r="BI393" s="624"/>
      <c r="BJ393" s="624"/>
      <c r="BK393" s="624"/>
      <c r="BL393" s="624"/>
      <c r="BM393" s="625">
        <f t="shared" si="152"/>
        <v>0</v>
      </c>
      <c r="BN393" s="623"/>
      <c r="BO393" s="624"/>
      <c r="BP393" s="624"/>
      <c r="BQ393" s="624"/>
      <c r="BR393" s="624"/>
      <c r="BS393" s="624"/>
      <c r="BT393" s="624"/>
      <c r="BU393" s="625"/>
      <c r="BV393" s="649"/>
      <c r="BW393" s="1515">
        <f t="shared" si="159"/>
        <v>2</v>
      </c>
      <c r="BX393" s="1516">
        <f t="shared" si="151"/>
        <v>1</v>
      </c>
      <c r="BY393" s="1516">
        <f t="shared" si="160"/>
        <v>1</v>
      </c>
      <c r="BZ393" s="1516">
        <f t="shared" si="161"/>
        <v>0</v>
      </c>
      <c r="CA393" s="1516">
        <f t="shared" si="162"/>
        <v>1</v>
      </c>
      <c r="CB393" s="1516" t="str">
        <f t="shared" si="163"/>
        <v>No Programada</v>
      </c>
      <c r="CC393" s="540"/>
      <c r="CD393" t="str">
        <f t="shared" si="164"/>
        <v>VE</v>
      </c>
      <c r="CE393" t="str">
        <f t="shared" si="164"/>
        <v>ROB</v>
      </c>
      <c r="CF393" t="str">
        <f t="shared" si="164"/>
        <v>VE</v>
      </c>
      <c r="CG393" t="str">
        <f t="shared" si="164"/>
        <v>NP</v>
      </c>
    </row>
    <row r="394" spans="1:85" ht="27" customHeight="1" thickBot="1" x14ac:dyDescent="0.35">
      <c r="A394" s="428"/>
      <c r="B394" s="438" t="str">
        <f>'PLAN INDICATIVO'!B394</f>
        <v>DESARROLLO COMUNITARIO</v>
      </c>
      <c r="C394" s="1578" t="s">
        <v>1217</v>
      </c>
      <c r="D394" s="1578"/>
      <c r="E394" s="1578"/>
      <c r="F394" s="1578"/>
      <c r="G394" s="1578"/>
      <c r="H394" s="1578"/>
      <c r="I394" s="1578"/>
      <c r="J394" s="1578"/>
      <c r="K394" s="1578"/>
      <c r="L394" s="1578"/>
      <c r="M394" s="1578"/>
      <c r="N394" s="1578"/>
      <c r="O394" s="1578"/>
      <c r="P394" s="1578"/>
      <c r="Q394" s="1578"/>
      <c r="R394" s="1578"/>
      <c r="S394" s="1578"/>
      <c r="T394" s="1578"/>
      <c r="U394" s="1578"/>
      <c r="V394" s="1578"/>
      <c r="W394" s="1578"/>
      <c r="X394" s="1578"/>
      <c r="Y394" s="1578"/>
      <c r="Z394" s="1578"/>
      <c r="AA394" s="1578"/>
      <c r="AB394" s="1578"/>
      <c r="AC394" s="1578"/>
      <c r="AD394" s="1578"/>
      <c r="AE394" s="1578"/>
      <c r="AF394" s="1578"/>
      <c r="AG394" s="1578"/>
      <c r="AH394" s="1578"/>
      <c r="AI394" s="1578"/>
      <c r="AJ394" s="1578"/>
      <c r="AK394" s="1578"/>
      <c r="AL394" s="1578"/>
      <c r="AM394" s="1644"/>
      <c r="AN394" s="505"/>
      <c r="AO394" s="1517"/>
      <c r="AP394" s="627"/>
      <c r="AQ394" s="628"/>
      <c r="AR394" s="628"/>
      <c r="AS394" s="628"/>
      <c r="AT394" s="628"/>
      <c r="AU394" s="628"/>
      <c r="AV394" s="628"/>
      <c r="AW394" s="629"/>
      <c r="AX394" s="627"/>
      <c r="AY394" s="628"/>
      <c r="AZ394" s="628"/>
      <c r="BA394" s="628"/>
      <c r="BB394" s="628"/>
      <c r="BC394" s="628"/>
      <c r="BD394" s="628"/>
      <c r="BE394" s="629"/>
      <c r="BF394" s="627"/>
      <c r="BG394" s="628"/>
      <c r="BH394" s="628"/>
      <c r="BI394" s="628"/>
      <c r="BJ394" s="628"/>
      <c r="BK394" s="628"/>
      <c r="BL394" s="628"/>
      <c r="BM394" s="629">
        <f t="shared" si="152"/>
        <v>0</v>
      </c>
      <c r="BN394" s="627"/>
      <c r="BO394" s="628"/>
      <c r="BP394" s="628"/>
      <c r="BQ394" s="628"/>
      <c r="BR394" s="628"/>
      <c r="BS394" s="628"/>
      <c r="BT394" s="628"/>
      <c r="BU394" s="629"/>
      <c r="BV394" s="1518"/>
      <c r="BW394" s="437" t="s">
        <v>2717</v>
      </c>
      <c r="BX394" s="437" t="s">
        <v>2717</v>
      </c>
      <c r="BY394" s="437" t="s">
        <v>2717</v>
      </c>
      <c r="BZ394" s="437" t="s">
        <v>2717</v>
      </c>
      <c r="CA394" s="437" t="s">
        <v>2717</v>
      </c>
      <c r="CB394" s="1519" t="s">
        <v>2717</v>
      </c>
    </row>
    <row r="395" spans="1:85" ht="23.25" customHeight="1" x14ac:dyDescent="0.3">
      <c r="A395" s="296"/>
      <c r="B395" s="404" t="str">
        <f>'PLAN INDICATIVO'!B395</f>
        <v>Desarrollo comunitario</v>
      </c>
      <c r="C395" s="1574" t="s">
        <v>1219</v>
      </c>
      <c r="D395" s="1575"/>
      <c r="E395" s="1575"/>
      <c r="F395" s="1575"/>
      <c r="G395" s="1575"/>
      <c r="H395" s="1575"/>
      <c r="I395" s="1575"/>
      <c r="J395" s="1575"/>
      <c r="K395" s="1575"/>
      <c r="L395" s="1575"/>
      <c r="M395" s="1575"/>
      <c r="N395" s="1575"/>
      <c r="O395" s="1576"/>
      <c r="P395" s="22"/>
      <c r="Q395" s="22"/>
      <c r="R395" s="1"/>
      <c r="S395" s="261"/>
      <c r="T395" s="681"/>
      <c r="U395" s="261"/>
      <c r="V395" s="689">
        <f>SUM(V396:V406)</f>
        <v>27000000</v>
      </c>
      <c r="W395" s="261"/>
      <c r="X395" s="689">
        <f>SUM(X396:X406)</f>
        <v>59000000</v>
      </c>
      <c r="Y395" s="261"/>
      <c r="Z395" s="689">
        <f>SUM(Z396:Z406)</f>
        <v>50000000</v>
      </c>
      <c r="AA395" s="262"/>
      <c r="AB395" s="690">
        <f>SUM(AB396:AB406)</f>
        <v>101000000</v>
      </c>
      <c r="AC395" s="262"/>
      <c r="AD395" s="262"/>
      <c r="AE395" s="262"/>
      <c r="AF395" s="262"/>
      <c r="AG395" s="263"/>
      <c r="AH395" s="263"/>
      <c r="AI395" s="263"/>
      <c r="AJ395" s="262"/>
      <c r="AK395" s="262"/>
      <c r="AL395" s="262"/>
      <c r="AM395" s="262"/>
      <c r="AN395" s="262"/>
      <c r="AO395" s="630"/>
      <c r="AP395" s="631"/>
      <c r="AQ395" s="631"/>
      <c r="AR395" s="631"/>
      <c r="AS395" s="631"/>
      <c r="AT395" s="631"/>
      <c r="AU395" s="631"/>
      <c r="AV395" s="631"/>
      <c r="AW395" s="617"/>
      <c r="AX395" s="631"/>
      <c r="AY395" s="631"/>
      <c r="AZ395" s="631"/>
      <c r="BA395" s="631"/>
      <c r="BB395" s="631"/>
      <c r="BC395" s="631"/>
      <c r="BD395" s="631"/>
      <c r="BE395" s="617"/>
      <c r="BF395" s="631"/>
      <c r="BG395" s="631"/>
      <c r="BH395" s="631"/>
      <c r="BI395" s="631"/>
      <c r="BJ395" s="631"/>
      <c r="BK395" s="631"/>
      <c r="BL395" s="631"/>
      <c r="BM395" s="617">
        <f t="shared" si="152"/>
        <v>0</v>
      </c>
      <c r="BN395" s="631"/>
      <c r="BO395" s="631"/>
      <c r="BP395" s="631"/>
      <c r="BQ395" s="631"/>
      <c r="BR395" s="631"/>
      <c r="BS395" s="631"/>
      <c r="BT395" s="631"/>
      <c r="BU395" s="617"/>
      <c r="BV395" s="651"/>
      <c r="BW395" s="617" t="s">
        <v>2717</v>
      </c>
      <c r="BX395" s="617" t="s">
        <v>2717</v>
      </c>
      <c r="BY395" s="617" t="s">
        <v>2717</v>
      </c>
      <c r="BZ395" s="617" t="s">
        <v>2717</v>
      </c>
      <c r="CA395" s="617" t="s">
        <v>2717</v>
      </c>
      <c r="CB395" s="1047" t="s">
        <v>2717</v>
      </c>
    </row>
    <row r="396" spans="1:85" ht="83.25" customHeight="1" x14ac:dyDescent="0.3">
      <c r="A396" s="298" t="s">
        <v>1220</v>
      </c>
      <c r="B396" s="299" t="str">
        <f>'PLAN INDICATIVO'!B396</f>
        <v>Desarrollo comunitario</v>
      </c>
      <c r="C396" s="1546" t="s">
        <v>1221</v>
      </c>
      <c r="D396" s="1549" t="s">
        <v>1222</v>
      </c>
      <c r="E396" s="1549" t="s">
        <v>1223</v>
      </c>
      <c r="F396" s="1549">
        <v>2015</v>
      </c>
      <c r="G396" s="1549" t="s">
        <v>177</v>
      </c>
      <c r="H396" s="1549">
        <v>70</v>
      </c>
      <c r="I396" s="300">
        <f>'PLAN INDICATIVO'!I396</f>
        <v>0</v>
      </c>
      <c r="J396" s="300">
        <f>'PLAN INDICATIVO'!J396</f>
        <v>0</v>
      </c>
      <c r="K396" s="1425" t="str">
        <f>'PLAN INDICATIVO'!K396</f>
        <v>A.16.1.1</v>
      </c>
      <c r="L396" s="301" t="str">
        <f>'PLAN INDICATIVO'!L396</f>
        <v>16. Paz, justicia e instituciones sólidas</v>
      </c>
      <c r="M396" s="301" t="str">
        <f>'PLAN INDICATIVO'!M396</f>
        <v>Secretaría de Desarrollo Social</v>
      </c>
      <c r="N396" s="1425" t="s">
        <v>5126</v>
      </c>
      <c r="O396" s="1425" t="str">
        <f>'PLAN INDICATIVO'!O396</f>
        <v>Incremento</v>
      </c>
      <c r="P396" s="16" t="str">
        <f>'PLAN INDICATIVO'!P396</f>
        <v>Realizar 4 celebraciones del día de la acción comunal durante el cuatrienio</v>
      </c>
      <c r="Q396" s="302" t="str">
        <f>'PLAN INDICATIVO'!Q396</f>
        <v>No. De celebraciones realizadas</v>
      </c>
      <c r="R396" s="303">
        <f>'PLAN INDICATIVO'!R396</f>
        <v>2015</v>
      </c>
      <c r="S396" s="304">
        <v>0</v>
      </c>
      <c r="T396" s="699">
        <v>4</v>
      </c>
      <c r="U396" s="303">
        <v>1</v>
      </c>
      <c r="V396" s="687">
        <v>5000000</v>
      </c>
      <c r="W396" s="303">
        <v>1</v>
      </c>
      <c r="X396" s="687">
        <v>7000000</v>
      </c>
      <c r="Y396" s="303">
        <v>1</v>
      </c>
      <c r="Z396" s="687">
        <v>7000000</v>
      </c>
      <c r="AA396" s="291">
        <v>1</v>
      </c>
      <c r="AB396" s="686">
        <v>7000000</v>
      </c>
      <c r="AC396" s="669"/>
      <c r="AD396" s="669">
        <v>1</v>
      </c>
      <c r="AE396" s="669">
        <v>1</v>
      </c>
      <c r="AF396" s="669">
        <v>1</v>
      </c>
      <c r="AG396" s="341" t="s">
        <v>4763</v>
      </c>
      <c r="AH396" s="987">
        <v>2018413960049</v>
      </c>
      <c r="AI396" s="355" t="s">
        <v>5077</v>
      </c>
      <c r="AJ396" s="309">
        <v>43497</v>
      </c>
      <c r="AK396" s="359">
        <v>43799</v>
      </c>
      <c r="AL396" s="358"/>
      <c r="AM396" s="358"/>
      <c r="AN396" s="267" t="s">
        <v>2598</v>
      </c>
      <c r="AO396" s="512"/>
      <c r="AP396" s="525"/>
      <c r="AQ396" s="310"/>
      <c r="AR396" s="380"/>
      <c r="AS396" s="310"/>
      <c r="AT396" s="310"/>
      <c r="AU396" s="310"/>
      <c r="AV396" s="310"/>
      <c r="AW396" s="544"/>
      <c r="AX396" s="525"/>
      <c r="AY396" s="310"/>
      <c r="AZ396" s="380"/>
      <c r="BA396" s="310"/>
      <c r="BB396" s="310"/>
      <c r="BC396" s="310"/>
      <c r="BD396" s="310"/>
      <c r="BE396" s="544"/>
      <c r="BF396" s="525"/>
      <c r="BG396" s="310"/>
      <c r="BH396" s="380"/>
      <c r="BI396" s="310"/>
      <c r="BJ396" s="310"/>
      <c r="BK396" s="310"/>
      <c r="BL396" s="310"/>
      <c r="BM396" s="544">
        <f t="shared" si="152"/>
        <v>0</v>
      </c>
      <c r="BN396" s="525"/>
      <c r="BO396" s="310"/>
      <c r="BP396" s="380"/>
      <c r="BQ396" s="310"/>
      <c r="BR396" s="310"/>
      <c r="BS396" s="310"/>
      <c r="BT396" s="310"/>
      <c r="BU396" s="544"/>
      <c r="BV396" s="556"/>
      <c r="BW396" s="663">
        <f t="shared" si="159"/>
        <v>3</v>
      </c>
      <c r="BX396" s="1047">
        <f t="shared" si="151"/>
        <v>0.75</v>
      </c>
      <c r="BY396" s="1047">
        <f t="shared" ref="BY396:BY406" si="165">IF(U396&gt;=0.1,AC396/U396,IF(ISBLANK(U396),"No Programada","Aplazada"))</f>
        <v>0</v>
      </c>
      <c r="BZ396" s="1047">
        <f t="shared" ref="BZ396:BZ406" si="166">IF(W396&gt;=0.1,AD396/W396,IF(ISBLANK(W396),"No Programada","Aplazada"))</f>
        <v>1</v>
      </c>
      <c r="CA396" s="1047">
        <f t="shared" ref="CA396:CA406" si="167">IF(Y396&gt;=0.1,AE396/Y396,IF(ISBLANK(Y396),"No Programada","Aplazada"))</f>
        <v>1</v>
      </c>
      <c r="CB396" s="1047">
        <f t="shared" ref="CB396:CB406" si="168">IF(AA396&gt;=0.1,AF396/AA396,IF(ISBLANK(AA396),"No Programada","Aplazada"))</f>
        <v>1</v>
      </c>
      <c r="CD396" t="str">
        <f t="shared" ref="CD396:CG406" si="169">IF(BY396="PARA MODIFICAR","M",IF(BY396="PARA ELIMINAR","E",IF(BY396="aplazada","AZ",IF(BY396="no programada","NP",IF(BY396&gt;=85%,"VE",IF(BY396&gt;70%,"VEB",IF(BY396&gt;60%,"AM",IF(BY396&gt;40%,"AMB",IF(BY396&gt;20%,"RO",IF(BY396&gt;=0%,"ROB",""))))))))))</f>
        <v>ROB</v>
      </c>
      <c r="CE396" t="str">
        <f t="shared" si="169"/>
        <v>VE</v>
      </c>
      <c r="CF396" t="str">
        <f t="shared" si="169"/>
        <v>VE</v>
      </c>
      <c r="CG396" t="str">
        <f t="shared" si="169"/>
        <v>VE</v>
      </c>
    </row>
    <row r="397" spans="1:85" ht="76.5" customHeight="1" x14ac:dyDescent="0.3">
      <c r="A397" s="298" t="s">
        <v>2458</v>
      </c>
      <c r="B397" s="299" t="str">
        <f>'PLAN INDICATIVO'!B397</f>
        <v>Desarrollo comunitario</v>
      </c>
      <c r="C397" s="1547"/>
      <c r="D397" s="1549"/>
      <c r="E397" s="1549"/>
      <c r="F397" s="1549"/>
      <c r="G397" s="1549"/>
      <c r="H397" s="1549"/>
      <c r="I397" s="300">
        <f>'PLAN INDICATIVO'!I397</f>
        <v>0</v>
      </c>
      <c r="J397" s="300">
        <f>'PLAN INDICATIVO'!J397</f>
        <v>0</v>
      </c>
      <c r="K397" s="1425" t="str">
        <f>'PLAN INDICATIVO'!K397</f>
        <v>A.16.1.2</v>
      </c>
      <c r="L397" s="301" t="str">
        <f>'PLAN INDICATIVO'!L397</f>
        <v>16. Paz, justicia e instituciones sólidas</v>
      </c>
      <c r="M397" s="301" t="str">
        <f>'PLAN INDICATIVO'!M397</f>
        <v>Secretaría de Desarrollo Social</v>
      </c>
      <c r="N397" s="1425" t="str">
        <f>'PLAN INDICATIVO'!N397</f>
        <v>HERNAN RODRIGUEZ FALLA</v>
      </c>
      <c r="O397" s="1425" t="str">
        <f>'PLAN INDICATIVO'!O397</f>
        <v>Incremento</v>
      </c>
      <c r="P397" s="16" t="str">
        <f>'PLAN INDICATIVO'!P397</f>
        <v>Ejecutar 35  proyectos de inversión durante el cuatrienio con vinculación de las juntas de acción comunal</v>
      </c>
      <c r="Q397" s="302" t="str">
        <f>'PLAN INDICATIVO'!Q397</f>
        <v>No. De proyectos Ejecutados</v>
      </c>
      <c r="R397" s="303">
        <f>'PLAN INDICATIVO'!R397</f>
        <v>2015</v>
      </c>
      <c r="S397" s="304">
        <v>0</v>
      </c>
      <c r="T397" s="1304">
        <v>35</v>
      </c>
      <c r="U397" s="303">
        <v>1</v>
      </c>
      <c r="V397" s="687">
        <v>500000</v>
      </c>
      <c r="W397" s="303">
        <v>1</v>
      </c>
      <c r="X397" s="687">
        <v>1000000</v>
      </c>
      <c r="Y397" s="303"/>
      <c r="Z397" s="687">
        <v>1000000</v>
      </c>
      <c r="AA397" s="291"/>
      <c r="AB397" s="686">
        <v>1000000</v>
      </c>
      <c r="AC397" s="669"/>
      <c r="AD397" s="669">
        <v>23</v>
      </c>
      <c r="AE397" s="669">
        <v>2</v>
      </c>
      <c r="AF397" s="669"/>
      <c r="AG397" s="341" t="s">
        <v>4763</v>
      </c>
      <c r="AH397" s="987">
        <v>2018413960049</v>
      </c>
      <c r="AI397" s="355"/>
      <c r="AJ397" s="309">
        <v>43497</v>
      </c>
      <c r="AK397" s="359">
        <v>43799</v>
      </c>
      <c r="AL397" s="358"/>
      <c r="AM397" s="358"/>
      <c r="AN397" s="267" t="s">
        <v>2598</v>
      </c>
      <c r="AO397" s="512"/>
      <c r="AP397" s="720"/>
      <c r="AQ397" s="721"/>
      <c r="AR397" s="723"/>
      <c r="AS397" s="721"/>
      <c r="AT397" s="721"/>
      <c r="AU397" s="721"/>
      <c r="AV397" s="721"/>
      <c r="AW397" s="722"/>
      <c r="AX397" s="525"/>
      <c r="AY397" s="310"/>
      <c r="AZ397" s="380"/>
      <c r="BA397" s="310"/>
      <c r="BB397" s="310"/>
      <c r="BC397" s="310"/>
      <c r="BD397" s="310"/>
      <c r="BE397" s="544"/>
      <c r="BF397" s="525"/>
      <c r="BG397" s="310"/>
      <c r="BH397" s="380"/>
      <c r="BI397" s="310"/>
      <c r="BJ397" s="310"/>
      <c r="BK397" s="310"/>
      <c r="BL397" s="310"/>
      <c r="BM397" s="544">
        <f t="shared" si="152"/>
        <v>0</v>
      </c>
      <c r="BN397" s="525"/>
      <c r="BO397" s="310"/>
      <c r="BP397" s="380"/>
      <c r="BQ397" s="310"/>
      <c r="BR397" s="310"/>
      <c r="BS397" s="310"/>
      <c r="BT397" s="310"/>
      <c r="BU397" s="544"/>
      <c r="BV397" s="556"/>
      <c r="BW397" s="663">
        <f t="shared" si="159"/>
        <v>25</v>
      </c>
      <c r="BX397" s="1047">
        <f t="shared" si="151"/>
        <v>0.7142857142857143</v>
      </c>
      <c r="BY397" s="1047">
        <f t="shared" si="165"/>
        <v>0</v>
      </c>
      <c r="BZ397" s="1047">
        <f t="shared" si="166"/>
        <v>23</v>
      </c>
      <c r="CA397" s="1047" t="str">
        <f t="shared" si="167"/>
        <v>No Programada</v>
      </c>
      <c r="CB397" s="1047" t="str">
        <f t="shared" si="168"/>
        <v>No Programada</v>
      </c>
      <c r="CD397" t="str">
        <f t="shared" si="169"/>
        <v>ROB</v>
      </c>
      <c r="CE397" t="str">
        <f t="shared" si="169"/>
        <v>VE</v>
      </c>
      <c r="CF397" t="str">
        <f t="shared" si="169"/>
        <v>NP</v>
      </c>
      <c r="CG397" t="str">
        <f t="shared" si="169"/>
        <v>NP</v>
      </c>
    </row>
    <row r="398" spans="1:85" ht="64.5" customHeight="1" x14ac:dyDescent="0.3">
      <c r="A398" s="298" t="s">
        <v>1220</v>
      </c>
      <c r="B398" s="299" t="str">
        <f>'PLAN INDICATIVO'!B398</f>
        <v>Desarrollo comunitario</v>
      </c>
      <c r="C398" s="1547"/>
      <c r="D398" s="1549"/>
      <c r="E398" s="1549"/>
      <c r="F398" s="1549"/>
      <c r="G398" s="1549"/>
      <c r="H398" s="1549"/>
      <c r="I398" s="300">
        <f>'PLAN INDICATIVO'!I398</f>
        <v>0</v>
      </c>
      <c r="J398" s="300">
        <f>'PLAN INDICATIVO'!J398</f>
        <v>0</v>
      </c>
      <c r="K398" s="1425" t="str">
        <f>'PLAN INDICATIVO'!K398</f>
        <v>A.16.1.3</v>
      </c>
      <c r="L398" s="301" t="str">
        <f>'PLAN INDICATIVO'!L398</f>
        <v>16. Paz, justicia e instituciones sólidas</v>
      </c>
      <c r="M398" s="301" t="str">
        <f>'PLAN INDICATIVO'!M398</f>
        <v>Secretaría de Desarrollo Social</v>
      </c>
      <c r="N398" s="1513" t="s">
        <v>5126</v>
      </c>
      <c r="O398" s="1425" t="str">
        <f>'PLAN INDICATIVO'!O398</f>
        <v>Mantenimiento</v>
      </c>
      <c r="P398" s="16" t="str">
        <f>'PLAN INDICATIVO'!P398</f>
        <v>lograr que 1 Oficina de apoyo a las JAC este funcionando cada año</v>
      </c>
      <c r="Q398" s="302" t="str">
        <f>'PLAN INDICATIVO'!Q398</f>
        <v>No. De Oficina funcionando cada año</v>
      </c>
      <c r="R398" s="303">
        <f>'PLAN INDICATIVO'!R398</f>
        <v>2015</v>
      </c>
      <c r="S398" s="304">
        <v>1</v>
      </c>
      <c r="T398" s="699">
        <v>1</v>
      </c>
      <c r="U398" s="303">
        <v>0.25</v>
      </c>
      <c r="V398" s="687">
        <v>1500000</v>
      </c>
      <c r="W398" s="303">
        <v>0.25</v>
      </c>
      <c r="X398" s="687">
        <v>10000000</v>
      </c>
      <c r="Y398" s="303">
        <v>0.25</v>
      </c>
      <c r="Z398" s="687">
        <v>10000000</v>
      </c>
      <c r="AA398" s="291">
        <v>0.25</v>
      </c>
      <c r="AB398" s="686">
        <v>21000000</v>
      </c>
      <c r="AC398" s="669"/>
      <c r="AD398" s="669">
        <v>0.25</v>
      </c>
      <c r="AE398" s="669">
        <v>0.25</v>
      </c>
      <c r="AF398" s="669">
        <v>0.25</v>
      </c>
      <c r="AG398" s="341" t="s">
        <v>4763</v>
      </c>
      <c r="AH398" s="987">
        <v>2018413960049</v>
      </c>
      <c r="AI398" s="355" t="s">
        <v>4804</v>
      </c>
      <c r="AJ398" s="309">
        <v>43497</v>
      </c>
      <c r="AK398" s="359">
        <v>43783</v>
      </c>
      <c r="AL398" s="358"/>
      <c r="AM398" s="358"/>
      <c r="AN398" s="281" t="s">
        <v>2598</v>
      </c>
      <c r="AO398" s="512"/>
      <c r="AP398" s="310"/>
      <c r="AQ398" s="310"/>
      <c r="AR398" s="310"/>
      <c r="AS398" s="310"/>
      <c r="AT398" s="310"/>
      <c r="AU398" s="310"/>
      <c r="AV398" s="310"/>
      <c r="AW398" s="722"/>
      <c r="AX398" s="525"/>
      <c r="AY398" s="310"/>
      <c r="AZ398" s="380"/>
      <c r="BA398" s="310"/>
      <c r="BB398" s="310"/>
      <c r="BC398" s="310"/>
      <c r="BD398" s="310"/>
      <c r="BE398" s="544"/>
      <c r="BF398" s="525"/>
      <c r="BG398" s="310"/>
      <c r="BH398" s="380"/>
      <c r="BI398" s="310"/>
      <c r="BJ398" s="310"/>
      <c r="BK398" s="310"/>
      <c r="BL398" s="310"/>
      <c r="BM398" s="544">
        <f t="shared" si="152"/>
        <v>0</v>
      </c>
      <c r="BN398" s="525"/>
      <c r="BO398" s="310"/>
      <c r="BP398" s="380"/>
      <c r="BQ398" s="310"/>
      <c r="BR398" s="310"/>
      <c r="BS398" s="310"/>
      <c r="BT398" s="310"/>
      <c r="BU398" s="544"/>
      <c r="BV398" s="556"/>
      <c r="BW398" s="663">
        <f t="shared" si="159"/>
        <v>0.75</v>
      </c>
      <c r="BX398" s="1047">
        <f t="shared" si="151"/>
        <v>0.75</v>
      </c>
      <c r="BY398" s="1047">
        <f t="shared" si="165"/>
        <v>0</v>
      </c>
      <c r="BZ398" s="1047">
        <f t="shared" si="166"/>
        <v>1</v>
      </c>
      <c r="CA398" s="1047">
        <f t="shared" si="167"/>
        <v>1</v>
      </c>
      <c r="CB398" s="1047">
        <f t="shared" si="168"/>
        <v>1</v>
      </c>
      <c r="CD398" t="str">
        <f t="shared" si="169"/>
        <v>ROB</v>
      </c>
      <c r="CE398" t="str">
        <f t="shared" si="169"/>
        <v>VE</v>
      </c>
      <c r="CF398" t="str">
        <f t="shared" si="169"/>
        <v>VE</v>
      </c>
      <c r="CG398" t="str">
        <f t="shared" si="169"/>
        <v>VE</v>
      </c>
    </row>
    <row r="399" spans="1:85" ht="136.5" customHeight="1" x14ac:dyDescent="0.3">
      <c r="A399" s="298" t="s">
        <v>2458</v>
      </c>
      <c r="B399" s="299" t="str">
        <f>'PLAN INDICATIVO'!B399</f>
        <v>Desarrollo comunitario</v>
      </c>
      <c r="C399" s="1547"/>
      <c r="D399" s="1549"/>
      <c r="E399" s="1549"/>
      <c r="F399" s="1549"/>
      <c r="G399" s="1549"/>
      <c r="H399" s="1549"/>
      <c r="I399" s="300">
        <f>'PLAN INDICATIVO'!I399</f>
        <v>0</v>
      </c>
      <c r="J399" s="300">
        <f>'PLAN INDICATIVO'!J399</f>
        <v>0</v>
      </c>
      <c r="K399" s="1425" t="str">
        <f>'PLAN INDICATIVO'!K399</f>
        <v>A.16.1.4</v>
      </c>
      <c r="L399" s="301" t="str">
        <f>'PLAN INDICATIVO'!L399</f>
        <v>16. Paz, justicia e instituciones sólidas</v>
      </c>
      <c r="M399" s="301" t="str">
        <f>'PLAN INDICATIVO'!M399</f>
        <v>Secretaría de Desarrollo Social</v>
      </c>
      <c r="N399" s="1513" t="s">
        <v>5126</v>
      </c>
      <c r="O399" s="1425" t="str">
        <f>'PLAN INDICATIVO'!O399</f>
        <v>Incremento</v>
      </c>
      <c r="P399" s="16" t="str">
        <f>'PLAN INDICATIVO'!P399</f>
        <v>Realizar 4 procesos de capacitación y asesoría en participación comunitaria, entre otras, que contribuyan con el fortalecimiento comunal para consolidar procesos de participación ciudadana y control social durante el cuatrenio.</v>
      </c>
      <c r="Q399" s="302" t="str">
        <f>'PLAN INDICATIVO'!Q399</f>
        <v>No.  capacitaciones y asesoría realizadas durante el cuatrenio</v>
      </c>
      <c r="R399" s="303">
        <f>'PLAN INDICATIVO'!R399</f>
        <v>2015</v>
      </c>
      <c r="S399" s="304">
        <v>1</v>
      </c>
      <c r="T399" s="699">
        <v>4</v>
      </c>
      <c r="U399" s="303">
        <v>1</v>
      </c>
      <c r="V399" s="687">
        <v>1000000</v>
      </c>
      <c r="W399" s="303">
        <v>1</v>
      </c>
      <c r="X399" s="687">
        <v>1000000</v>
      </c>
      <c r="Y399" s="303">
        <v>1</v>
      </c>
      <c r="Z399" s="687">
        <v>1000000</v>
      </c>
      <c r="AA399" s="291">
        <v>1</v>
      </c>
      <c r="AB399" s="686">
        <v>25000000</v>
      </c>
      <c r="AC399" s="669"/>
      <c r="AD399" s="669">
        <v>1</v>
      </c>
      <c r="AE399" s="669">
        <v>1</v>
      </c>
      <c r="AF399" s="669">
        <v>1</v>
      </c>
      <c r="AG399" s="341" t="s">
        <v>4763</v>
      </c>
      <c r="AH399" s="987">
        <v>2018413960049</v>
      </c>
      <c r="AI399" s="355" t="s">
        <v>4805</v>
      </c>
      <c r="AJ399" s="309">
        <v>43497</v>
      </c>
      <c r="AK399" s="359">
        <v>43646</v>
      </c>
      <c r="AL399" s="358"/>
      <c r="AM399" s="358"/>
      <c r="AN399" s="267" t="s">
        <v>2598</v>
      </c>
      <c r="AO399" s="512"/>
      <c r="AP399" s="526"/>
      <c r="AQ399" s="470"/>
      <c r="AR399" s="380"/>
      <c r="AS399" s="470"/>
      <c r="AT399" s="470"/>
      <c r="AU399" s="470"/>
      <c r="AV399" s="470"/>
      <c r="AW399" s="722"/>
      <c r="AX399" s="526"/>
      <c r="AY399" s="470"/>
      <c r="AZ399" s="380"/>
      <c r="BA399" s="470"/>
      <c r="BB399" s="470"/>
      <c r="BC399" s="470"/>
      <c r="BD399" s="470"/>
      <c r="BE399" s="544"/>
      <c r="BF399" s="526"/>
      <c r="BG399" s="470"/>
      <c r="BH399" s="380"/>
      <c r="BI399" s="470"/>
      <c r="BJ399" s="470"/>
      <c r="BK399" s="470"/>
      <c r="BL399" s="470"/>
      <c r="BM399" s="544">
        <f t="shared" si="152"/>
        <v>0</v>
      </c>
      <c r="BN399" s="380"/>
      <c r="BO399" s="380"/>
      <c r="BP399" s="380"/>
      <c r="BQ399" s="380"/>
      <c r="BR399" s="380"/>
      <c r="BS399" s="380"/>
      <c r="BT399" s="380"/>
      <c r="BU399" s="544"/>
      <c r="BV399" s="556"/>
      <c r="BW399" s="663">
        <f t="shared" si="159"/>
        <v>3</v>
      </c>
      <c r="BX399" s="1047">
        <f t="shared" si="151"/>
        <v>0.75</v>
      </c>
      <c r="BY399" s="1047">
        <f t="shared" si="165"/>
        <v>0</v>
      </c>
      <c r="BZ399" s="1047">
        <f t="shared" si="166"/>
        <v>1</v>
      </c>
      <c r="CA399" s="1047">
        <f t="shared" si="167"/>
        <v>1</v>
      </c>
      <c r="CB399" s="1047">
        <f t="shared" si="168"/>
        <v>1</v>
      </c>
      <c r="CD399" t="str">
        <f t="shared" si="169"/>
        <v>ROB</v>
      </c>
      <c r="CE399" t="str">
        <f t="shared" si="169"/>
        <v>VE</v>
      </c>
      <c r="CF399" t="str">
        <f t="shared" si="169"/>
        <v>VE</v>
      </c>
      <c r="CG399" t="str">
        <f t="shared" si="169"/>
        <v>VE</v>
      </c>
    </row>
    <row r="400" spans="1:85" ht="72.75" customHeight="1" x14ac:dyDescent="0.3">
      <c r="A400" s="298" t="s">
        <v>1220</v>
      </c>
      <c r="B400" s="299" t="str">
        <f>'PLAN INDICATIVO'!B400</f>
        <v>Desarrollo comunitario</v>
      </c>
      <c r="C400" s="1547"/>
      <c r="D400" s="1549"/>
      <c r="E400" s="1549"/>
      <c r="F400" s="1549"/>
      <c r="G400" s="1549"/>
      <c r="H400" s="1549"/>
      <c r="I400" s="300">
        <f>'PLAN INDICATIVO'!I400</f>
        <v>0</v>
      </c>
      <c r="J400" s="300">
        <f>'PLAN INDICATIVO'!J400</f>
        <v>0</v>
      </c>
      <c r="K400" s="1425" t="str">
        <f>'PLAN INDICATIVO'!K400</f>
        <v>A.16.1.5</v>
      </c>
      <c r="L400" s="301" t="str">
        <f>'PLAN INDICATIVO'!L400</f>
        <v>16. Paz, justicia e instituciones sólidas</v>
      </c>
      <c r="M400" s="301" t="str">
        <f>'PLAN INDICATIVO'!M400</f>
        <v>Secretaría de Desarrollo Social</v>
      </c>
      <c r="N400" s="1513" t="s">
        <v>5126</v>
      </c>
      <c r="O400" s="1425" t="str">
        <f>'PLAN INDICATIVO'!O400</f>
        <v>Incremento</v>
      </c>
      <c r="P400" s="16" t="str">
        <f>'PLAN INDICATIVO'!P400</f>
        <v>Realizar 4 consejos de convivencia y buen gobierno  para concertación de desarrollo local, durante el cuatrienio</v>
      </c>
      <c r="Q400" s="302" t="str">
        <f>'PLAN INDICATIVO'!Q400</f>
        <v>No. De consejos de convivencia realziados</v>
      </c>
      <c r="R400" s="303">
        <f>'PLAN INDICATIVO'!R400</f>
        <v>2015</v>
      </c>
      <c r="S400" s="304">
        <v>0</v>
      </c>
      <c r="T400" s="699">
        <v>4</v>
      </c>
      <c r="U400" s="303">
        <v>1</v>
      </c>
      <c r="V400" s="687">
        <v>500000</v>
      </c>
      <c r="W400" s="303">
        <v>1</v>
      </c>
      <c r="X400" s="687">
        <v>500000</v>
      </c>
      <c r="Y400" s="303">
        <v>1</v>
      </c>
      <c r="Z400" s="687">
        <v>1000000</v>
      </c>
      <c r="AA400" s="291">
        <v>1</v>
      </c>
      <c r="AB400" s="686">
        <v>1000000</v>
      </c>
      <c r="AC400" s="669"/>
      <c r="AD400" s="669">
        <v>1</v>
      </c>
      <c r="AE400" s="669">
        <v>1</v>
      </c>
      <c r="AF400" s="669">
        <v>1</v>
      </c>
      <c r="AG400" s="341" t="s">
        <v>4763</v>
      </c>
      <c r="AH400" s="987">
        <v>2018413960049</v>
      </c>
      <c r="AI400" s="355" t="s">
        <v>4806</v>
      </c>
      <c r="AJ400" s="309">
        <v>43497</v>
      </c>
      <c r="AK400" s="359">
        <v>43705</v>
      </c>
      <c r="AL400" s="358"/>
      <c r="AM400" s="358"/>
      <c r="AN400" s="267" t="s">
        <v>2598</v>
      </c>
      <c r="AO400" s="512"/>
      <c r="AP400" s="525"/>
      <c r="AQ400" s="310"/>
      <c r="AR400" s="380"/>
      <c r="AS400" s="310"/>
      <c r="AT400" s="310"/>
      <c r="AU400" s="310"/>
      <c r="AV400" s="310"/>
      <c r="AW400" s="722"/>
      <c r="AX400" s="525"/>
      <c r="AY400" s="310"/>
      <c r="AZ400" s="380"/>
      <c r="BA400" s="310"/>
      <c r="BB400" s="310"/>
      <c r="BC400" s="310"/>
      <c r="BD400" s="310"/>
      <c r="BE400" s="544"/>
      <c r="BF400" s="525"/>
      <c r="BG400" s="310"/>
      <c r="BH400" s="380"/>
      <c r="BI400" s="310"/>
      <c r="BJ400" s="310"/>
      <c r="BK400" s="310"/>
      <c r="BL400" s="310"/>
      <c r="BM400" s="544">
        <f t="shared" si="152"/>
        <v>0</v>
      </c>
      <c r="BN400" s="310"/>
      <c r="BO400" s="310"/>
      <c r="BP400" s="310"/>
      <c r="BQ400" s="310"/>
      <c r="BR400" s="310"/>
      <c r="BS400" s="310"/>
      <c r="BT400" s="310"/>
      <c r="BU400" s="544"/>
      <c r="BV400" s="556"/>
      <c r="BW400" s="663">
        <f t="shared" si="159"/>
        <v>3</v>
      </c>
      <c r="BX400" s="1047">
        <f t="shared" si="151"/>
        <v>0.75</v>
      </c>
      <c r="BY400" s="1047">
        <f t="shared" si="165"/>
        <v>0</v>
      </c>
      <c r="BZ400" s="1047">
        <f t="shared" si="166"/>
        <v>1</v>
      </c>
      <c r="CA400" s="1047">
        <f t="shared" si="167"/>
        <v>1</v>
      </c>
      <c r="CB400" s="1047">
        <f t="shared" si="168"/>
        <v>1</v>
      </c>
      <c r="CD400" t="str">
        <f t="shared" si="169"/>
        <v>ROB</v>
      </c>
      <c r="CE400" t="str">
        <f t="shared" si="169"/>
        <v>VE</v>
      </c>
      <c r="CF400" t="str">
        <f t="shared" si="169"/>
        <v>VE</v>
      </c>
      <c r="CG400" t="str">
        <f t="shared" si="169"/>
        <v>VE</v>
      </c>
    </row>
    <row r="401" spans="1:85" ht="4.5" customHeight="1" x14ac:dyDescent="0.3">
      <c r="A401" s="298"/>
      <c r="B401" s="299" t="str">
        <f>'PLAN INDICATIVO'!B401</f>
        <v>Desarrollo comunitario</v>
      </c>
      <c r="C401" s="1547"/>
      <c r="D401" s="1549"/>
      <c r="E401" s="1549"/>
      <c r="F401" s="1549"/>
      <c r="G401" s="1549"/>
      <c r="H401" s="1549"/>
      <c r="I401" s="300">
        <f>'PLAN INDICATIVO'!I401</f>
        <v>0</v>
      </c>
      <c r="J401" s="300">
        <f>'PLAN INDICATIVO'!J401</f>
        <v>0</v>
      </c>
      <c r="K401" s="1425" t="str">
        <f>'PLAN INDICATIVO'!K401</f>
        <v>A.16.1.6</v>
      </c>
      <c r="L401" s="301" t="str">
        <f>'PLAN INDICATIVO'!L401</f>
        <v>16. Paz, justicia e instituciones sólidas</v>
      </c>
      <c r="M401" s="301" t="str">
        <f>'PLAN INDICATIVO'!M401</f>
        <v>Secretaría de Desarrollo Social</v>
      </c>
      <c r="N401" s="1425" t="str">
        <f>'PLAN INDICATIVO'!N401</f>
        <v>HERNAN RODRIGUEZ FALLA</v>
      </c>
      <c r="O401" s="1425" t="str">
        <f>'PLAN INDICATIVO'!O401</f>
        <v>Incremento</v>
      </c>
      <c r="P401" s="16" t="str">
        <f>'PLAN INDICATIVO'!P401</f>
        <v xml:space="preserve">Realizas cuatro (4) capacitaciones de Veedurías ciudadanas para control social en el cuatrienio. </v>
      </c>
      <c r="Q401" s="302" t="str">
        <f>'PLAN INDICATIVO'!Q401</f>
        <v xml:space="preserve">No. De veedurías capacitadas </v>
      </c>
      <c r="R401" s="303">
        <f>'PLAN INDICATIVO'!R401</f>
        <v>2015</v>
      </c>
      <c r="S401" s="304">
        <v>0</v>
      </c>
      <c r="T401" s="1463">
        <v>4</v>
      </c>
      <c r="U401" s="1463">
        <v>1</v>
      </c>
      <c r="V401" s="1234">
        <v>1000000</v>
      </c>
      <c r="W401" s="1463">
        <v>1</v>
      </c>
      <c r="X401" s="1234">
        <v>1000000</v>
      </c>
      <c r="Y401" s="1463">
        <v>1</v>
      </c>
      <c r="Z401" s="1234">
        <v>1000000</v>
      </c>
      <c r="AA401" s="1463">
        <v>1</v>
      </c>
      <c r="AB401" s="686">
        <v>1000000</v>
      </c>
      <c r="AC401" s="795"/>
      <c r="AD401" s="795">
        <v>1</v>
      </c>
      <c r="AE401" s="795">
        <v>1</v>
      </c>
      <c r="AF401" s="795"/>
      <c r="AG401" s="341" t="s">
        <v>4763</v>
      </c>
      <c r="AH401" s="987">
        <v>2018413960049</v>
      </c>
      <c r="AI401" s="1339" t="s">
        <v>4307</v>
      </c>
      <c r="AJ401" s="1413"/>
      <c r="AK401" s="1341"/>
      <c r="AL401" s="795"/>
      <c r="AM401" s="795"/>
      <c r="AN401" s="1342" t="s">
        <v>2598</v>
      </c>
      <c r="AO401" s="1343"/>
      <c r="AP401" s="1323"/>
      <c r="AQ401" s="1313"/>
      <c r="AR401" s="1338"/>
      <c r="AS401" s="1313"/>
      <c r="AT401" s="1313"/>
      <c r="AU401" s="1313"/>
      <c r="AV401" s="1313"/>
      <c r="AW401" s="1486"/>
      <c r="AX401" s="1323"/>
      <c r="AY401" s="1313"/>
      <c r="AZ401" s="1338"/>
      <c r="BA401" s="1313"/>
      <c r="BB401" s="1313"/>
      <c r="BC401" s="1313"/>
      <c r="BD401" s="1313"/>
      <c r="BE401" s="800"/>
      <c r="BF401" s="1323"/>
      <c r="BG401" s="1313"/>
      <c r="BH401" s="1338"/>
      <c r="BI401" s="1313"/>
      <c r="BJ401" s="1313"/>
      <c r="BK401" s="1313"/>
      <c r="BL401" s="1313"/>
      <c r="BM401" s="800">
        <f t="shared" si="152"/>
        <v>0</v>
      </c>
      <c r="BN401" s="1323"/>
      <c r="BO401" s="1313"/>
      <c r="BP401" s="1338"/>
      <c r="BQ401" s="1313"/>
      <c r="BR401" s="1313"/>
      <c r="BS401" s="1313"/>
      <c r="BT401" s="1313"/>
      <c r="BU401" s="800"/>
      <c r="BV401" s="556"/>
      <c r="BW401" s="663">
        <f t="shared" si="159"/>
        <v>2</v>
      </c>
      <c r="BX401" s="1047">
        <f t="shared" si="151"/>
        <v>0.5</v>
      </c>
      <c r="BY401" s="1047">
        <f t="shared" si="165"/>
        <v>0</v>
      </c>
      <c r="BZ401" s="1047">
        <f t="shared" si="166"/>
        <v>1</v>
      </c>
      <c r="CA401" s="1047">
        <f t="shared" si="167"/>
        <v>1</v>
      </c>
      <c r="CB401" s="1047" t="s">
        <v>4789</v>
      </c>
      <c r="CD401" t="str">
        <f t="shared" si="169"/>
        <v>ROB</v>
      </c>
      <c r="CE401" t="str">
        <f t="shared" si="169"/>
        <v>VE</v>
      </c>
      <c r="CF401" t="str">
        <f t="shared" si="169"/>
        <v>VE</v>
      </c>
      <c r="CG401" t="str">
        <f t="shared" si="169"/>
        <v>E</v>
      </c>
    </row>
    <row r="402" spans="1:85" ht="84" customHeight="1" x14ac:dyDescent="0.3">
      <c r="A402" s="298" t="s">
        <v>1220</v>
      </c>
      <c r="B402" s="299" t="str">
        <f>'PLAN INDICATIVO'!B402</f>
        <v>Desarrollo comunitario</v>
      </c>
      <c r="C402" s="1547"/>
      <c r="D402" s="1549"/>
      <c r="E402" s="1549"/>
      <c r="F402" s="1549"/>
      <c r="G402" s="1549"/>
      <c r="H402" s="1549"/>
      <c r="I402" s="300">
        <f>'PLAN INDICATIVO'!I402</f>
        <v>0</v>
      </c>
      <c r="J402" s="300">
        <f>'PLAN INDICATIVO'!J402</f>
        <v>0</v>
      </c>
      <c r="K402" s="1425" t="str">
        <f>'PLAN INDICATIVO'!K402</f>
        <v>A.16.1.7</v>
      </c>
      <c r="L402" s="301" t="str">
        <f>'PLAN INDICATIVO'!L402</f>
        <v>16. Paz, justicia e instituciones sólidas</v>
      </c>
      <c r="M402" s="301" t="str">
        <f>'PLAN INDICATIVO'!M402</f>
        <v>Secretaría de Desarrollo Social</v>
      </c>
      <c r="N402" s="1513" t="s">
        <v>5126</v>
      </c>
      <c r="O402" s="1425" t="str">
        <f>'PLAN INDICATIVO'!O402</f>
        <v>Incremento</v>
      </c>
      <c r="P402" s="16" t="str">
        <f>'PLAN INDICATIVO'!P402</f>
        <v>Implementar 1 punto de acceso adicional para fortalecimiento de las TIC en desarrollo comunitario durante el cuatrienio</v>
      </c>
      <c r="Q402" s="302" t="str">
        <f>'PLAN INDICATIVO'!Q402</f>
        <v>No. De puntos de acceso creados</v>
      </c>
      <c r="R402" s="303">
        <f>'PLAN INDICATIVO'!R402</f>
        <v>2015</v>
      </c>
      <c r="S402" s="304">
        <v>0</v>
      </c>
      <c r="T402" s="699">
        <v>1</v>
      </c>
      <c r="U402" s="303"/>
      <c r="V402" s="687">
        <v>1000000</v>
      </c>
      <c r="W402" s="303">
        <v>1</v>
      </c>
      <c r="X402" s="687">
        <v>1000000</v>
      </c>
      <c r="Y402" s="846"/>
      <c r="Z402" s="687"/>
      <c r="AA402" s="291"/>
      <c r="AB402" s="686">
        <v>16000000</v>
      </c>
      <c r="AC402" s="669"/>
      <c r="AD402" s="669">
        <v>1</v>
      </c>
      <c r="AE402" s="669"/>
      <c r="AF402" s="669"/>
      <c r="AG402" s="341" t="s">
        <v>4763</v>
      </c>
      <c r="AH402" s="987">
        <v>2018413960049</v>
      </c>
      <c r="AI402" s="355"/>
      <c r="AJ402" s="309"/>
      <c r="AK402" s="358"/>
      <c r="AL402" s="358"/>
      <c r="AM402" s="358"/>
      <c r="AN402" s="267" t="s">
        <v>2594</v>
      </c>
      <c r="AO402" s="512"/>
      <c r="AP402" s="525"/>
      <c r="AQ402" s="310"/>
      <c r="AR402" s="380"/>
      <c r="AS402" s="310"/>
      <c r="AT402" s="310"/>
      <c r="AU402" s="310"/>
      <c r="AV402" s="310"/>
      <c r="AW402" s="544"/>
      <c r="AX402" s="525"/>
      <c r="AY402" s="310"/>
      <c r="AZ402" s="380"/>
      <c r="BA402" s="310"/>
      <c r="BB402" s="310"/>
      <c r="BC402" s="310"/>
      <c r="BD402" s="310"/>
      <c r="BE402" s="544"/>
      <c r="BF402" s="525"/>
      <c r="BG402" s="310"/>
      <c r="BH402" s="380"/>
      <c r="BI402" s="310"/>
      <c r="BJ402" s="310"/>
      <c r="BK402" s="310"/>
      <c r="BL402" s="310"/>
      <c r="BM402" s="544">
        <f t="shared" si="152"/>
        <v>0</v>
      </c>
      <c r="BN402" s="525"/>
      <c r="BO402" s="310"/>
      <c r="BP402" s="380"/>
      <c r="BQ402" s="310"/>
      <c r="BR402" s="310"/>
      <c r="BS402" s="310"/>
      <c r="BT402" s="310"/>
      <c r="BU402" s="544"/>
      <c r="BV402" s="556"/>
      <c r="BW402" s="663">
        <f t="shared" si="159"/>
        <v>1</v>
      </c>
      <c r="BX402" s="1047">
        <f t="shared" si="151"/>
        <v>1</v>
      </c>
      <c r="BY402" s="1047" t="str">
        <f t="shared" si="165"/>
        <v>No Programada</v>
      </c>
      <c r="BZ402" s="1047">
        <f t="shared" si="166"/>
        <v>1</v>
      </c>
      <c r="CA402" s="1047" t="str">
        <f t="shared" si="167"/>
        <v>No Programada</v>
      </c>
      <c r="CB402" s="1047" t="str">
        <f t="shared" si="168"/>
        <v>No Programada</v>
      </c>
      <c r="CD402" t="str">
        <f t="shared" si="169"/>
        <v>NP</v>
      </c>
      <c r="CE402" t="str">
        <f t="shared" si="169"/>
        <v>VE</v>
      </c>
      <c r="CF402" t="str">
        <f t="shared" si="169"/>
        <v>NP</v>
      </c>
      <c r="CG402" t="str">
        <f t="shared" si="169"/>
        <v>NP</v>
      </c>
    </row>
    <row r="403" spans="1:85" ht="96" customHeight="1" x14ac:dyDescent="0.3">
      <c r="A403" s="298" t="s">
        <v>1220</v>
      </c>
      <c r="B403" s="299" t="str">
        <f>'PLAN INDICATIVO'!B403</f>
        <v>Desarrollo comunitario</v>
      </c>
      <c r="C403" s="1547"/>
      <c r="D403" s="1549"/>
      <c r="E403" s="1549"/>
      <c r="F403" s="1549"/>
      <c r="G403" s="1549"/>
      <c r="H403" s="1549"/>
      <c r="I403" s="300">
        <f>'PLAN INDICATIVO'!I403</f>
        <v>0</v>
      </c>
      <c r="J403" s="300">
        <f>'PLAN INDICATIVO'!J403</f>
        <v>0</v>
      </c>
      <c r="K403" s="1425" t="str">
        <f>'PLAN INDICATIVO'!K403</f>
        <v>A.16.1.8</v>
      </c>
      <c r="L403" s="301" t="str">
        <f>'PLAN INDICATIVO'!L403</f>
        <v>16. Paz, justicia e instituciones sólidas</v>
      </c>
      <c r="M403" s="301" t="str">
        <f>'PLAN INDICATIVO'!M403</f>
        <v>Secretaría de Desarrollo Social</v>
      </c>
      <c r="N403" s="1425" t="str">
        <f>'PLAN INDICATIVO'!N403</f>
        <v>HERNAN RODRIGUEZ FALLA</v>
      </c>
      <c r="O403" s="1425" t="str">
        <f>'PLAN INDICATIVO'!O403</f>
        <v>Incremento</v>
      </c>
      <c r="P403" s="16" t="str">
        <f>'PLAN INDICATIVO'!P403</f>
        <v>Capacitar 120 personas durante el cuatrienio en el programa formador de formadores para el fomento de la participación ciudadana   del sector urbano y rural</v>
      </c>
      <c r="Q403" s="302" t="str">
        <f>'PLAN INDICATIVO'!Q403</f>
        <v>No. Personas capacitadas</v>
      </c>
      <c r="R403" s="303">
        <f>'PLAN INDICATIVO'!R403</f>
        <v>2015</v>
      </c>
      <c r="S403" s="304">
        <v>0</v>
      </c>
      <c r="T403" s="699">
        <v>120</v>
      </c>
      <c r="U403" s="303"/>
      <c r="V403" s="687">
        <v>3000000</v>
      </c>
      <c r="W403" s="303">
        <v>40</v>
      </c>
      <c r="X403" s="687">
        <v>7000000</v>
      </c>
      <c r="Y403" s="303">
        <v>40</v>
      </c>
      <c r="Z403" s="687">
        <v>7000000</v>
      </c>
      <c r="AA403" s="291"/>
      <c r="AB403" s="686">
        <v>7000000</v>
      </c>
      <c r="AC403" s="669"/>
      <c r="AD403" s="669">
        <v>96</v>
      </c>
      <c r="AE403" s="669">
        <v>45</v>
      </c>
      <c r="AF403" s="669"/>
      <c r="AG403" s="341" t="s">
        <v>4763</v>
      </c>
      <c r="AH403" s="987">
        <v>2018413960049</v>
      </c>
      <c r="AI403" s="355"/>
      <c r="AJ403" s="309"/>
      <c r="AK403" s="359"/>
      <c r="AL403" s="358"/>
      <c r="AM403" s="358"/>
      <c r="AN403" s="267" t="s">
        <v>2598</v>
      </c>
      <c r="AO403" s="512"/>
      <c r="AP403" s="525"/>
      <c r="AQ403" s="310"/>
      <c r="AR403" s="380"/>
      <c r="AS403" s="310"/>
      <c r="AT403" s="310"/>
      <c r="AU403" s="310"/>
      <c r="AV403" s="310"/>
      <c r="AW403" s="544"/>
      <c r="AX403" s="525"/>
      <c r="AY403" s="310"/>
      <c r="AZ403" s="380"/>
      <c r="BA403" s="310"/>
      <c r="BB403" s="310"/>
      <c r="BC403" s="310"/>
      <c r="BD403" s="310"/>
      <c r="BE403" s="544"/>
      <c r="BF403" s="525"/>
      <c r="BG403" s="310"/>
      <c r="BH403" s="380"/>
      <c r="BI403" s="310"/>
      <c r="BJ403" s="310"/>
      <c r="BK403" s="310"/>
      <c r="BL403" s="310"/>
      <c r="BM403" s="544">
        <f t="shared" si="152"/>
        <v>0</v>
      </c>
      <c r="BN403" s="525"/>
      <c r="BO403" s="310"/>
      <c r="BP403" s="380"/>
      <c r="BQ403" s="310"/>
      <c r="BR403" s="310"/>
      <c r="BS403" s="310"/>
      <c r="BT403" s="310"/>
      <c r="BU403" s="544"/>
      <c r="BV403" s="556"/>
      <c r="BW403" s="663">
        <f t="shared" si="159"/>
        <v>141</v>
      </c>
      <c r="BX403" s="1047">
        <f t="shared" si="151"/>
        <v>1.175</v>
      </c>
      <c r="BY403" s="1047" t="str">
        <f t="shared" si="165"/>
        <v>No Programada</v>
      </c>
      <c r="BZ403" s="1047">
        <f t="shared" si="166"/>
        <v>2.4</v>
      </c>
      <c r="CA403" s="1047">
        <f t="shared" si="167"/>
        <v>1.125</v>
      </c>
      <c r="CB403" s="1047" t="str">
        <f t="shared" si="168"/>
        <v>No Programada</v>
      </c>
      <c r="CD403" t="str">
        <f t="shared" si="169"/>
        <v>NP</v>
      </c>
      <c r="CE403" t="str">
        <f t="shared" si="169"/>
        <v>VE</v>
      </c>
      <c r="CF403" t="str">
        <f t="shared" si="169"/>
        <v>VE</v>
      </c>
      <c r="CG403" t="str">
        <f t="shared" si="169"/>
        <v>NP</v>
      </c>
    </row>
    <row r="404" spans="1:85" ht="74.25" customHeight="1" x14ac:dyDescent="0.3">
      <c r="A404" s="298" t="s">
        <v>1220</v>
      </c>
      <c r="B404" s="299" t="str">
        <f>'PLAN INDICATIVO'!B404</f>
        <v>Desarrollo comunitario</v>
      </c>
      <c r="C404" s="1547"/>
      <c r="D404" s="1549"/>
      <c r="E404" s="1549"/>
      <c r="F404" s="1549"/>
      <c r="G404" s="1549"/>
      <c r="H404" s="1549"/>
      <c r="I404" s="300">
        <f>'PLAN INDICATIVO'!I404</f>
        <v>0</v>
      </c>
      <c r="J404" s="300">
        <f>'PLAN INDICATIVO'!J404</f>
        <v>0</v>
      </c>
      <c r="K404" s="1425" t="str">
        <f>'PLAN INDICATIVO'!K404</f>
        <v>A.16.1.9</v>
      </c>
      <c r="L404" s="301" t="str">
        <f>'PLAN INDICATIVO'!L404</f>
        <v>16. Paz, justicia e instituciones sólidas</v>
      </c>
      <c r="M404" s="301" t="str">
        <f>'PLAN INDICATIVO'!M404</f>
        <v>Secretaría de Desarrollo Social</v>
      </c>
      <c r="N404" s="1425" t="str">
        <f>'PLAN INDICATIVO'!N404</f>
        <v>HERNAN RODRIGUEZ FALLA</v>
      </c>
      <c r="O404" s="1425" t="str">
        <f>'PLAN INDICATIVO'!O404</f>
        <v>Incremento</v>
      </c>
      <c r="P404" s="16" t="str">
        <f>'PLAN INDICATIVO'!P404</f>
        <v>Realizar 4 rendiciones de cuentas medibles y claras para la comunidad durante el cuatrienio</v>
      </c>
      <c r="Q404" s="302" t="str">
        <f>'PLAN INDICATIVO'!Q404</f>
        <v>No. De rendiciones de cuentas medibles</v>
      </c>
      <c r="R404" s="303">
        <f>'PLAN INDICATIVO'!R404</f>
        <v>2015</v>
      </c>
      <c r="S404" s="304">
        <v>1</v>
      </c>
      <c r="T404" s="699">
        <v>4</v>
      </c>
      <c r="U404" s="303">
        <v>1</v>
      </c>
      <c r="V404" s="687">
        <v>8000000</v>
      </c>
      <c r="W404" s="303">
        <v>1</v>
      </c>
      <c r="X404" s="687">
        <v>10000000</v>
      </c>
      <c r="Y404" s="303">
        <v>1</v>
      </c>
      <c r="Z404" s="687">
        <v>1000000</v>
      </c>
      <c r="AA404" s="291">
        <v>1</v>
      </c>
      <c r="AB404" s="686">
        <v>1000000</v>
      </c>
      <c r="AC404" s="669">
        <v>1</v>
      </c>
      <c r="AD404" s="669">
        <v>1</v>
      </c>
      <c r="AE404" s="669">
        <v>1</v>
      </c>
      <c r="AF404" s="669">
        <v>1</v>
      </c>
      <c r="AG404" s="341" t="s">
        <v>4763</v>
      </c>
      <c r="AH404" s="987">
        <v>2018413960049</v>
      </c>
      <c r="AI404" s="355"/>
      <c r="AJ404" s="309">
        <v>43497</v>
      </c>
      <c r="AK404" s="309">
        <v>43799</v>
      </c>
      <c r="AL404" s="358"/>
      <c r="AM404" s="358"/>
      <c r="AN404" s="267" t="s">
        <v>2598</v>
      </c>
      <c r="AO404" s="512"/>
      <c r="AP404" s="525"/>
      <c r="AQ404" s="310"/>
      <c r="AR404" s="380"/>
      <c r="AS404" s="310"/>
      <c r="AT404" s="310"/>
      <c r="AU404" s="310"/>
      <c r="AV404" s="310"/>
      <c r="AW404" s="544"/>
      <c r="AX404" s="525"/>
      <c r="AY404" s="310"/>
      <c r="AZ404" s="380"/>
      <c r="BA404" s="310"/>
      <c r="BB404" s="310"/>
      <c r="BC404" s="310"/>
      <c r="BD404" s="310"/>
      <c r="BE404" s="544"/>
      <c r="BF404" s="525"/>
      <c r="BG404" s="310"/>
      <c r="BH404" s="380"/>
      <c r="BI404" s="310"/>
      <c r="BJ404" s="310"/>
      <c r="BK404" s="310"/>
      <c r="BL404" s="310"/>
      <c r="BM404" s="544">
        <f t="shared" si="152"/>
        <v>0</v>
      </c>
      <c r="BN404" s="525"/>
      <c r="BO404" s="310"/>
      <c r="BP404" s="380"/>
      <c r="BQ404" s="310"/>
      <c r="BR404" s="310"/>
      <c r="BS404" s="310"/>
      <c r="BT404" s="310"/>
      <c r="BU404" s="544"/>
      <c r="BV404" s="556"/>
      <c r="BW404" s="663">
        <f t="shared" si="159"/>
        <v>4</v>
      </c>
      <c r="BX404" s="1047">
        <f t="shared" ref="BX404:BX468" si="170">BW404/T404</f>
        <v>1</v>
      </c>
      <c r="BY404" s="1047">
        <f t="shared" si="165"/>
        <v>1</v>
      </c>
      <c r="BZ404" s="1047">
        <f t="shared" si="166"/>
        <v>1</v>
      </c>
      <c r="CA404" s="1047">
        <f t="shared" si="167"/>
        <v>1</v>
      </c>
      <c r="CB404" s="1047">
        <f t="shared" si="168"/>
        <v>1</v>
      </c>
      <c r="CD404" t="str">
        <f t="shared" si="169"/>
        <v>VE</v>
      </c>
      <c r="CE404" t="str">
        <f t="shared" si="169"/>
        <v>VE</v>
      </c>
      <c r="CF404" t="str">
        <f t="shared" si="169"/>
        <v>VE</v>
      </c>
      <c r="CG404" t="str">
        <f t="shared" si="169"/>
        <v>VE</v>
      </c>
    </row>
    <row r="405" spans="1:85" s="1399" customFormat="1" ht="4.5" customHeight="1" x14ac:dyDescent="0.3">
      <c r="A405" s="1347"/>
      <c r="B405" s="1348" t="str">
        <f>'PLAN INDICATIVO'!B405</f>
        <v>Desarrollo comunitario</v>
      </c>
      <c r="C405" s="1755"/>
      <c r="D405" s="1756"/>
      <c r="E405" s="1756"/>
      <c r="F405" s="1756"/>
      <c r="G405" s="1756"/>
      <c r="H405" s="1756"/>
      <c r="I405" s="1412">
        <f>'PLAN INDICATIVO'!I405</f>
        <v>0</v>
      </c>
      <c r="J405" s="1412">
        <f>'PLAN INDICATIVO'!J405</f>
        <v>0</v>
      </c>
      <c r="K405" s="1463" t="str">
        <f>'PLAN INDICATIVO'!K405</f>
        <v>A.16.1.10</v>
      </c>
      <c r="L405" s="1351" t="str">
        <f>'PLAN INDICATIVO'!L405</f>
        <v>16. Paz, justicia e instituciones sólidas</v>
      </c>
      <c r="M405" s="1351" t="str">
        <f>'PLAN INDICATIVO'!M405</f>
        <v>Secretaría de Desarrollo Social</v>
      </c>
      <c r="N405" s="1463" t="str">
        <f>'PLAN INDICATIVO'!N405</f>
        <v>HERNAN RODRIGUEZ FALLA</v>
      </c>
      <c r="O405" s="1463" t="str">
        <f>'PLAN INDICATIVO'!O405</f>
        <v>Mantenimiento</v>
      </c>
      <c r="P405" s="16" t="str">
        <f>'PLAN INDICATIVO'!P405</f>
        <v>Implementar 1 programa de capacitación, asesoría y asistencia técnica para consolidar procesos de participación ciudadana y control social, cada año</v>
      </c>
      <c r="Q405" s="1199" t="str">
        <f>'PLAN INDICATIVO'!Q405</f>
        <v>No. de programas de capacitación, asesoría y asistencia técnica, implementados por año</v>
      </c>
      <c r="R405" s="1463">
        <f>'PLAN INDICATIVO'!R405</f>
        <v>2015</v>
      </c>
      <c r="S405" s="795">
        <v>1</v>
      </c>
      <c r="T405" s="1463">
        <v>1</v>
      </c>
      <c r="U405" s="1463">
        <v>1</v>
      </c>
      <c r="V405" s="1234">
        <v>2000000</v>
      </c>
      <c r="W405" s="1463">
        <v>1</v>
      </c>
      <c r="X405" s="1234">
        <v>20000000</v>
      </c>
      <c r="Y405" s="1463">
        <v>1</v>
      </c>
      <c r="Z405" s="1234">
        <v>20000000</v>
      </c>
      <c r="AA405" s="1463"/>
      <c r="AB405" s="686">
        <v>20000000</v>
      </c>
      <c r="AC405" s="795">
        <v>1</v>
      </c>
      <c r="AD405" s="795">
        <v>1</v>
      </c>
      <c r="AE405" s="795">
        <v>1</v>
      </c>
      <c r="AF405" s="795"/>
      <c r="AG405" s="1339" t="s">
        <v>4763</v>
      </c>
      <c r="AH405" s="987">
        <v>2018413960049</v>
      </c>
      <c r="AI405" s="1339" t="s">
        <v>4307</v>
      </c>
      <c r="AJ405" s="1341">
        <v>43191</v>
      </c>
      <c r="AK405" s="1413">
        <v>43434</v>
      </c>
      <c r="AL405" s="795"/>
      <c r="AM405" s="795"/>
      <c r="AN405" s="1414" t="s">
        <v>2598</v>
      </c>
      <c r="AO405" s="1343"/>
      <c r="AP405" s="525"/>
      <c r="AQ405" s="310"/>
      <c r="AR405" s="380"/>
      <c r="AS405" s="310"/>
      <c r="AT405" s="310"/>
      <c r="AU405" s="310"/>
      <c r="AV405" s="310"/>
      <c r="AW405" s="544"/>
      <c r="AX405" s="525"/>
      <c r="AY405" s="310"/>
      <c r="AZ405" s="380"/>
      <c r="BA405" s="310"/>
      <c r="BB405" s="310"/>
      <c r="BC405" s="1313"/>
      <c r="BD405" s="1313"/>
      <c r="BE405" s="800"/>
      <c r="BF405" s="1323"/>
      <c r="BG405" s="1313"/>
      <c r="BH405" s="1338"/>
      <c r="BI405" s="1313"/>
      <c r="BJ405" s="1313"/>
      <c r="BK405" s="1313"/>
      <c r="BL405" s="1313"/>
      <c r="BM405" s="800">
        <f t="shared" si="152"/>
        <v>0</v>
      </c>
      <c r="BN405" s="1323"/>
      <c r="BO405" s="1313"/>
      <c r="BP405" s="1338"/>
      <c r="BQ405" s="1313"/>
      <c r="BR405" s="1313"/>
      <c r="BS405" s="1313"/>
      <c r="BT405" s="1313"/>
      <c r="BU405" s="800"/>
      <c r="BV405" s="1415"/>
      <c r="BW405" s="1416">
        <f t="shared" si="159"/>
        <v>3</v>
      </c>
      <c r="BX405" s="1346">
        <f t="shared" si="170"/>
        <v>3</v>
      </c>
      <c r="BY405" s="1346">
        <f t="shared" si="165"/>
        <v>1</v>
      </c>
      <c r="BZ405" s="1346">
        <f t="shared" si="166"/>
        <v>1</v>
      </c>
      <c r="CA405" s="1346">
        <f t="shared" si="167"/>
        <v>1</v>
      </c>
      <c r="CB405" s="1346" t="s">
        <v>4789</v>
      </c>
      <c r="CD405" s="1399" t="str">
        <f t="shared" si="169"/>
        <v>VE</v>
      </c>
      <c r="CE405" s="1399" t="str">
        <f t="shared" si="169"/>
        <v>VE</v>
      </c>
      <c r="CF405" s="1399" t="str">
        <f t="shared" si="169"/>
        <v>VE</v>
      </c>
      <c r="CG405" s="1399" t="str">
        <f t="shared" si="169"/>
        <v>E</v>
      </c>
    </row>
    <row r="406" spans="1:85" ht="88.5" customHeight="1" thickBot="1" x14ac:dyDescent="0.35">
      <c r="A406" s="393" t="s">
        <v>1220</v>
      </c>
      <c r="B406" s="394" t="str">
        <f>'PLAN INDICATIVO'!B406</f>
        <v>Desarrollo comunitario</v>
      </c>
      <c r="C406" s="1547"/>
      <c r="D406" s="1550"/>
      <c r="E406" s="1550"/>
      <c r="F406" s="1550"/>
      <c r="G406" s="1550"/>
      <c r="H406" s="1550"/>
      <c r="I406" s="395">
        <f>'PLAN INDICATIVO'!I406</f>
        <v>0</v>
      </c>
      <c r="J406" s="395">
        <f>'PLAN INDICATIVO'!J406</f>
        <v>0</v>
      </c>
      <c r="K406" s="1426" t="str">
        <f>'PLAN INDICATIVO'!K406</f>
        <v>A.16.1.11</v>
      </c>
      <c r="L406" s="396" t="str">
        <f>'PLAN INDICATIVO'!L406</f>
        <v>16. Paz, justicia e instituciones sólidas</v>
      </c>
      <c r="M406" s="396" t="str">
        <f>'PLAN INDICATIVO'!M406</f>
        <v>Secretaría de Desarrollo Social</v>
      </c>
      <c r="N406" s="1426" t="str">
        <f>'PLAN INDICATIVO'!N406</f>
        <v>HERNAN RODRIGUEZ FALLA</v>
      </c>
      <c r="O406" s="1426" t="str">
        <f>'PLAN INDICATIVO'!O406</f>
        <v>Incremento</v>
      </c>
      <c r="P406" s="70" t="str">
        <f>'PLAN INDICATIVO'!P406</f>
        <v>Presentar 4 informes impresos durante el cuatrienio para divulgación de rendición de cuentas</v>
      </c>
      <c r="Q406" s="350" t="str">
        <f>'PLAN INDICATIVO'!Q406</f>
        <v>Informes impresos de rendición de cuentas</v>
      </c>
      <c r="R406" s="397">
        <f>'PLAN INDICATIVO'!R406</f>
        <v>2015</v>
      </c>
      <c r="S406" s="1433">
        <v>0</v>
      </c>
      <c r="T406" s="699">
        <v>4</v>
      </c>
      <c r="U406" s="303">
        <v>1</v>
      </c>
      <c r="V406" s="687">
        <v>3500000</v>
      </c>
      <c r="W406" s="303">
        <v>1</v>
      </c>
      <c r="X406" s="687">
        <v>500000</v>
      </c>
      <c r="Y406" s="303">
        <v>1</v>
      </c>
      <c r="Z406" s="687">
        <v>1000000</v>
      </c>
      <c r="AA406" s="291">
        <v>1</v>
      </c>
      <c r="AB406" s="686">
        <v>1000000</v>
      </c>
      <c r="AC406" s="671">
        <v>1</v>
      </c>
      <c r="AD406" s="671">
        <v>1</v>
      </c>
      <c r="AE406" s="671">
        <v>1</v>
      </c>
      <c r="AF406" s="671">
        <v>1</v>
      </c>
      <c r="AG406" s="341" t="s">
        <v>4763</v>
      </c>
      <c r="AH406" s="987">
        <v>2018413960049</v>
      </c>
      <c r="AI406" s="399" t="s">
        <v>5078</v>
      </c>
      <c r="AJ406" s="309">
        <v>43497</v>
      </c>
      <c r="AK406" s="309">
        <v>43799</v>
      </c>
      <c r="AL406" s="400"/>
      <c r="AM406" s="400"/>
      <c r="AN406" s="267" t="s">
        <v>2598</v>
      </c>
      <c r="AO406" s="1521"/>
      <c r="AP406" s="623"/>
      <c r="AQ406" s="624"/>
      <c r="AR406" s="1522"/>
      <c r="AS406" s="624"/>
      <c r="AT406" s="624"/>
      <c r="AU406" s="624"/>
      <c r="AV406" s="624"/>
      <c r="AW406" s="625"/>
      <c r="AX406" s="623"/>
      <c r="AY406" s="624"/>
      <c r="AZ406" s="1522"/>
      <c r="BA406" s="624"/>
      <c r="BB406" s="624"/>
      <c r="BC406" s="624"/>
      <c r="BD406" s="624"/>
      <c r="BE406" s="625"/>
      <c r="BF406" s="623"/>
      <c r="BG406" s="624"/>
      <c r="BH406" s="1522"/>
      <c r="BI406" s="624"/>
      <c r="BJ406" s="624"/>
      <c r="BK406" s="624"/>
      <c r="BL406" s="624"/>
      <c r="BM406" s="625">
        <f t="shared" si="152"/>
        <v>0</v>
      </c>
      <c r="BN406" s="623"/>
      <c r="BO406" s="624"/>
      <c r="BP406" s="1522"/>
      <c r="BQ406" s="624"/>
      <c r="BR406" s="624"/>
      <c r="BS406" s="624"/>
      <c r="BT406" s="624"/>
      <c r="BU406" s="625"/>
      <c r="BV406" s="649"/>
      <c r="BW406" s="1515">
        <f t="shared" si="159"/>
        <v>4</v>
      </c>
      <c r="BX406" s="1516">
        <f t="shared" si="170"/>
        <v>1</v>
      </c>
      <c r="BY406" s="1516">
        <f t="shared" si="165"/>
        <v>1</v>
      </c>
      <c r="BZ406" s="1516">
        <f t="shared" si="166"/>
        <v>1</v>
      </c>
      <c r="CA406" s="1516">
        <f t="shared" si="167"/>
        <v>1</v>
      </c>
      <c r="CB406" s="1516">
        <f t="shared" si="168"/>
        <v>1</v>
      </c>
      <c r="CD406" t="str">
        <f t="shared" si="169"/>
        <v>VE</v>
      </c>
      <c r="CE406" t="str">
        <f t="shared" si="169"/>
        <v>VE</v>
      </c>
      <c r="CF406" t="str">
        <f t="shared" si="169"/>
        <v>VE</v>
      </c>
      <c r="CG406" t="str">
        <f t="shared" si="169"/>
        <v>VE</v>
      </c>
    </row>
    <row r="407" spans="1:85" ht="36" customHeight="1" thickBot="1" x14ac:dyDescent="0.35">
      <c r="A407" s="428"/>
      <c r="B407" s="439"/>
      <c r="C407" s="1577" t="s">
        <v>1258</v>
      </c>
      <c r="D407" s="1578"/>
      <c r="E407" s="1578"/>
      <c r="F407" s="1578"/>
      <c r="G407" s="1578"/>
      <c r="H407" s="1578"/>
      <c r="I407" s="1578"/>
      <c r="J407" s="1578"/>
      <c r="K407" s="1578"/>
      <c r="L407" s="1578"/>
      <c r="M407" s="1578"/>
      <c r="N407" s="1578"/>
      <c r="O407" s="1578"/>
      <c r="P407" s="1578"/>
      <c r="Q407" s="1578"/>
      <c r="R407" s="1578"/>
      <c r="S407" s="1578"/>
      <c r="T407" s="1578"/>
      <c r="U407" s="1578"/>
      <c r="V407" s="1578"/>
      <c r="W407" s="1578"/>
      <c r="X407" s="1578"/>
      <c r="Y407" s="1578"/>
      <c r="Z407" s="1578"/>
      <c r="AA407" s="1578"/>
      <c r="AB407" s="1578"/>
      <c r="AC407" s="1578"/>
      <c r="AD407" s="1578"/>
      <c r="AE407" s="1578"/>
      <c r="AF407" s="1578"/>
      <c r="AG407" s="1578"/>
      <c r="AH407" s="1578"/>
      <c r="AI407" s="1578"/>
      <c r="AJ407" s="1578"/>
      <c r="AK407" s="1578"/>
      <c r="AL407" s="1578"/>
      <c r="AM407" s="1644"/>
      <c r="AN407" s="1520"/>
      <c r="AO407" s="640"/>
      <c r="AP407" s="1523"/>
      <c r="AQ407" s="1523"/>
      <c r="AR407" s="1523"/>
      <c r="AS407" s="1523"/>
      <c r="AT407" s="1523"/>
      <c r="AU407" s="1523"/>
      <c r="AV407" s="1523"/>
      <c r="AW407" s="1523"/>
      <c r="AX407" s="1523"/>
      <c r="AY407" s="1523"/>
      <c r="AZ407" s="1523"/>
      <c r="BA407" s="1523"/>
      <c r="BB407" s="1523"/>
      <c r="BC407" s="1523"/>
      <c r="BD407" s="1523"/>
      <c r="BE407" s="1523"/>
      <c r="BF407" s="1523"/>
      <c r="BG407" s="1523"/>
      <c r="BH407" s="1523"/>
      <c r="BI407" s="1523"/>
      <c r="BJ407" s="1523"/>
      <c r="BK407" s="1523"/>
      <c r="BL407" s="1523"/>
      <c r="BM407" s="1523">
        <f t="shared" si="152"/>
        <v>0</v>
      </c>
      <c r="BN407" s="1523"/>
      <c r="BO407" s="1523"/>
      <c r="BP407" s="1523"/>
      <c r="BQ407" s="1523"/>
      <c r="BR407" s="1523"/>
      <c r="BS407" s="1523"/>
      <c r="BT407" s="1523"/>
      <c r="BU407" s="1523"/>
      <c r="BV407" s="1523"/>
      <c r="BW407" s="1523" t="s">
        <v>2717</v>
      </c>
      <c r="BX407" s="1523" t="s">
        <v>2717</v>
      </c>
      <c r="BY407" s="1523" t="s">
        <v>2717</v>
      </c>
      <c r="BZ407" s="1523" t="s">
        <v>2717</v>
      </c>
      <c r="CA407" s="1523" t="s">
        <v>2717</v>
      </c>
      <c r="CB407" s="1519" t="s">
        <v>2717</v>
      </c>
    </row>
    <row r="408" spans="1:85" ht="23.25" customHeight="1" x14ac:dyDescent="0.3">
      <c r="A408" s="296"/>
      <c r="B408" s="331" t="str">
        <f>'PLAN INDICATIVO'!B408</f>
        <v>Justicia y seguridad</v>
      </c>
      <c r="C408" s="1605" t="s">
        <v>1260</v>
      </c>
      <c r="D408" s="1606"/>
      <c r="E408" s="1606"/>
      <c r="F408" s="1606"/>
      <c r="G408" s="1606"/>
      <c r="H408" s="1606"/>
      <c r="I408" s="1606"/>
      <c r="J408" s="1606"/>
      <c r="K408" s="1606"/>
      <c r="L408" s="1606"/>
      <c r="M408" s="1606"/>
      <c r="N408" s="1606"/>
      <c r="O408" s="1607"/>
      <c r="P408" s="318"/>
      <c r="Q408" s="318"/>
      <c r="R408" s="317"/>
      <c r="S408" s="319"/>
      <c r="T408" s="676"/>
      <c r="U408" s="319"/>
      <c r="V408" s="695">
        <f>SUM(V409:V422)</f>
        <v>238290000</v>
      </c>
      <c r="W408" s="319"/>
      <c r="X408" s="695">
        <f>SUM(X409:X422)</f>
        <v>326000000</v>
      </c>
      <c r="Y408" s="319"/>
      <c r="Z408" s="695">
        <f>SUM(Z409:Z422)</f>
        <v>301000000</v>
      </c>
      <c r="AA408" s="320"/>
      <c r="AB408" s="708">
        <f>SUM(AB409:AB422)</f>
        <v>212144860</v>
      </c>
      <c r="AC408" s="320"/>
      <c r="AD408" s="320"/>
      <c r="AE408" s="320"/>
      <c r="AF408" s="320"/>
      <c r="AG408" s="321"/>
      <c r="AH408" s="321"/>
      <c r="AI408" s="321"/>
      <c r="AJ408" s="320"/>
      <c r="AK408" s="320"/>
      <c r="AL408" s="320"/>
      <c r="AM408" s="320"/>
      <c r="AN408" s="262"/>
      <c r="AO408" s="630"/>
      <c r="AP408" s="631"/>
      <c r="AQ408" s="631"/>
      <c r="AR408" s="631"/>
      <c r="AS408" s="631"/>
      <c r="AT408" s="631"/>
      <c r="AU408" s="631"/>
      <c r="AV408" s="631"/>
      <c r="AW408" s="617"/>
      <c r="AX408" s="631"/>
      <c r="AY408" s="631"/>
      <c r="AZ408" s="631"/>
      <c r="BA408" s="631"/>
      <c r="BB408" s="631"/>
      <c r="BC408" s="631"/>
      <c r="BD408" s="631"/>
      <c r="BE408" s="617"/>
      <c r="BF408" s="631"/>
      <c r="BG408" s="631"/>
      <c r="BH408" s="631"/>
      <c r="BI408" s="631"/>
      <c r="BJ408" s="631"/>
      <c r="BK408" s="631"/>
      <c r="BL408" s="631"/>
      <c r="BM408" s="617">
        <f t="shared" si="152"/>
        <v>0</v>
      </c>
      <c r="BN408" s="631"/>
      <c r="BO408" s="631"/>
      <c r="BP408" s="631"/>
      <c r="BQ408" s="631"/>
      <c r="BR408" s="631"/>
      <c r="BS408" s="631"/>
      <c r="BT408" s="631"/>
      <c r="BU408" s="617"/>
      <c r="BV408" s="651"/>
      <c r="BW408" s="617" t="s">
        <v>2717</v>
      </c>
      <c r="BX408" s="617" t="s">
        <v>2717</v>
      </c>
      <c r="BY408" s="617" t="s">
        <v>2717</v>
      </c>
      <c r="BZ408" s="617" t="s">
        <v>2717</v>
      </c>
      <c r="CA408" s="617" t="s">
        <v>2717</v>
      </c>
      <c r="CB408" s="1047" t="s">
        <v>2717</v>
      </c>
    </row>
    <row r="409" spans="1:85" ht="102" customHeight="1" x14ac:dyDescent="0.3">
      <c r="A409" s="298" t="s">
        <v>1261</v>
      </c>
      <c r="B409" s="299" t="str">
        <f>'PLAN INDICATIVO'!B409</f>
        <v>Justicia y seguridad</v>
      </c>
      <c r="C409" s="1559" t="s">
        <v>1262</v>
      </c>
      <c r="D409" s="1549" t="s">
        <v>1263</v>
      </c>
      <c r="E409" s="1549" t="s">
        <v>1264</v>
      </c>
      <c r="F409" s="1549">
        <v>2015</v>
      </c>
      <c r="G409" s="1549">
        <v>6.49</v>
      </c>
      <c r="H409" s="1549" t="s">
        <v>1265</v>
      </c>
      <c r="I409" s="300">
        <f>'PLAN INDICATIVO'!I409</f>
        <v>0</v>
      </c>
      <c r="J409" s="300">
        <f>'PLAN INDICATIVO'!J409</f>
        <v>0</v>
      </c>
      <c r="K409" s="1425" t="str">
        <f>'PLAN INDICATIVO'!K409</f>
        <v>A.18.1.1</v>
      </c>
      <c r="L409" s="301" t="str">
        <f>'PLAN INDICATIVO'!L409</f>
        <v>16. Paz, justicia e instituciones sólidas</v>
      </c>
      <c r="M409" s="301" t="str">
        <f>'PLAN INDICATIVO'!M409</f>
        <v>Secretaría de Gobierno</v>
      </c>
      <c r="N409" s="1513" t="s">
        <v>5126</v>
      </c>
      <c r="O409" s="1425" t="str">
        <f>'PLAN INDICATIVO'!O409</f>
        <v>Mantenimiento</v>
      </c>
      <c r="P409" s="16" t="str">
        <f>'PLAN INDICATIVO'!P409</f>
        <v>Implementar 1 Plan Integral de Convivencia y Seguridad Ciudadanocada año</v>
      </c>
      <c r="Q409" s="302" t="str">
        <f>'PLAN INDICATIVO'!Q409</f>
        <v>No. De PICSC implementado cada año</v>
      </c>
      <c r="R409" s="303">
        <f>'PLAN INDICATIVO'!R409</f>
        <v>2015</v>
      </c>
      <c r="S409" s="304">
        <v>0</v>
      </c>
      <c r="T409" s="699">
        <v>1</v>
      </c>
      <c r="U409" s="934">
        <v>0.25</v>
      </c>
      <c r="V409" s="687">
        <v>94500000</v>
      </c>
      <c r="W409" s="303">
        <v>0.25</v>
      </c>
      <c r="X409" s="687">
        <v>250000000</v>
      </c>
      <c r="Y409" s="303">
        <v>0.25</v>
      </c>
      <c r="Z409" s="687">
        <v>255000000</v>
      </c>
      <c r="AA409" s="291">
        <v>0.25</v>
      </c>
      <c r="AB409" s="686">
        <v>111144860</v>
      </c>
      <c r="AC409" s="670"/>
      <c r="AD409" s="670">
        <v>0.25</v>
      </c>
      <c r="AE409" s="670">
        <v>0.25</v>
      </c>
      <c r="AF409" s="670">
        <v>0.25</v>
      </c>
      <c r="AG409" s="341" t="s">
        <v>5159</v>
      </c>
      <c r="AH409" s="987">
        <v>2019413960026</v>
      </c>
      <c r="AI409" s="361" t="s">
        <v>5008</v>
      </c>
      <c r="AJ409" s="309">
        <v>43497</v>
      </c>
      <c r="AK409" s="850">
        <v>43814</v>
      </c>
      <c r="AL409" s="362"/>
      <c r="AM409" s="362"/>
      <c r="AN409" s="281" t="s">
        <v>2598</v>
      </c>
      <c r="AO409" s="513"/>
      <c r="AP409" s="528"/>
      <c r="AQ409" s="545"/>
      <c r="AR409" s="472"/>
      <c r="AS409" s="472"/>
      <c r="AT409" s="472"/>
      <c r="AU409" s="472"/>
      <c r="AV409" s="472"/>
      <c r="AW409" s="544"/>
      <c r="AX409" s="528"/>
      <c r="AY409" s="545"/>
      <c r="AZ409" s="472"/>
      <c r="BA409" s="472"/>
      <c r="BB409" s="472"/>
      <c r="BC409" s="472"/>
      <c r="BD409" s="472"/>
      <c r="BE409" s="544"/>
      <c r="BF409" s="528"/>
      <c r="BG409" s="545"/>
      <c r="BH409" s="472"/>
      <c r="BI409" s="472"/>
      <c r="BJ409" s="472"/>
      <c r="BK409" s="472"/>
      <c r="BL409" s="472"/>
      <c r="BM409" s="544">
        <f t="shared" si="152"/>
        <v>0</v>
      </c>
      <c r="BN409" s="528"/>
      <c r="BO409" s="545"/>
      <c r="BP409" s="472"/>
      <c r="BQ409" s="472"/>
      <c r="BR409" s="472"/>
      <c r="BS409" s="472"/>
      <c r="BT409" s="472"/>
      <c r="BU409" s="544"/>
      <c r="BV409" s="556"/>
      <c r="BW409" s="663">
        <f t="shared" si="159"/>
        <v>0.75</v>
      </c>
      <c r="BX409" s="1047">
        <f t="shared" si="170"/>
        <v>0.75</v>
      </c>
      <c r="BY409" s="1047">
        <f t="shared" ref="BY409:BY423" si="171">IF(U409&gt;=0.1,AC409/U409,IF(ISBLANK(U409),"No Programada","Aplazada"))</f>
        <v>0</v>
      </c>
      <c r="BZ409" s="1047">
        <f t="shared" ref="BZ409:BZ423" si="172">IF(W409&gt;=0.1,AD409/W409,IF(ISBLANK(W409),"No Programada","Aplazada"))</f>
        <v>1</v>
      </c>
      <c r="CA409" s="1047">
        <f t="shared" ref="CA409:CA423" si="173">IF(Y409&gt;=0.1,AE409/Y409,IF(ISBLANK(Y409),"No Programada","Aplazada"))</f>
        <v>1</v>
      </c>
      <c r="CB409" s="1047">
        <f t="shared" ref="CB409:CB423" si="174">IF(AA409&gt;=0.1,AF409/AA409,IF(ISBLANK(AA409),"No Programada","Aplazada"))</f>
        <v>1</v>
      </c>
      <c r="CD409" t="str">
        <f t="shared" ref="CD409:CG423" si="175">IF(BY409="PARA MODIFICAR","M",IF(BY409="PARA ELIMINAR","E",IF(BY409="aplazada","AZ",IF(BY409="no programada","NP",IF(BY409&gt;=85%,"VE",IF(BY409&gt;70%,"VEB",IF(BY409&gt;60%,"AM",IF(BY409&gt;40%,"AMB",IF(BY409&gt;20%,"RO",IF(BY409&gt;=0%,"ROB",""))))))))))</f>
        <v>ROB</v>
      </c>
      <c r="CE409" t="str">
        <f t="shared" si="175"/>
        <v>VE</v>
      </c>
      <c r="CF409" t="str">
        <f t="shared" si="175"/>
        <v>VE</v>
      </c>
      <c r="CG409" t="str">
        <f t="shared" si="175"/>
        <v>VE</v>
      </c>
    </row>
    <row r="410" spans="1:85" ht="66.75" customHeight="1" x14ac:dyDescent="0.3">
      <c r="A410" s="298" t="s">
        <v>1261</v>
      </c>
      <c r="B410" s="299" t="str">
        <f>'PLAN INDICATIVO'!B410</f>
        <v>Justicia y seguridad</v>
      </c>
      <c r="C410" s="1559"/>
      <c r="D410" s="1549"/>
      <c r="E410" s="1549"/>
      <c r="F410" s="1549"/>
      <c r="G410" s="1549"/>
      <c r="H410" s="1549"/>
      <c r="I410" s="300">
        <f>'PLAN INDICATIVO'!I410</f>
        <v>0</v>
      </c>
      <c r="J410" s="300">
        <f>'PLAN INDICATIVO'!J410</f>
        <v>0</v>
      </c>
      <c r="K410" s="1425" t="str">
        <f>'PLAN INDICATIVO'!K410</f>
        <v>A.18.1.2</v>
      </c>
      <c r="L410" s="301" t="str">
        <f>'PLAN INDICATIVO'!L410</f>
        <v>16. Paz, justicia e instituciones sólidas</v>
      </c>
      <c r="M410" s="301" t="str">
        <f>'PLAN INDICATIVO'!M410</f>
        <v>Secretaría de Gobierno</v>
      </c>
      <c r="N410" s="1513" t="s">
        <v>5126</v>
      </c>
      <c r="O410" s="1425" t="str">
        <f>'PLAN INDICATIVO'!O410</f>
        <v>Mantenimiento</v>
      </c>
      <c r="P410" s="16" t="str">
        <f>'PLAN INDICATIVO'!P410</f>
        <v>Realizar 12 consejos de seguridad ordinarios  cada año</v>
      </c>
      <c r="Q410" s="302" t="str">
        <f>'PLAN INDICATIVO'!Q410</f>
        <v>No. Consejos de seguridad realizados por año</v>
      </c>
      <c r="R410" s="303">
        <f>'PLAN INDICATIVO'!R410</f>
        <v>2015</v>
      </c>
      <c r="S410" s="304">
        <v>0</v>
      </c>
      <c r="T410" s="699">
        <v>48</v>
      </c>
      <c r="U410" s="303">
        <v>12</v>
      </c>
      <c r="V410" s="687">
        <v>500000</v>
      </c>
      <c r="W410" s="303">
        <v>12</v>
      </c>
      <c r="X410" s="687">
        <v>500000</v>
      </c>
      <c r="Y410" s="303">
        <v>12</v>
      </c>
      <c r="Z410" s="687">
        <v>1000000</v>
      </c>
      <c r="AA410" s="291">
        <v>12</v>
      </c>
      <c r="AB410" s="686">
        <v>20000000</v>
      </c>
      <c r="AC410" s="669"/>
      <c r="AD410" s="669">
        <v>20</v>
      </c>
      <c r="AE410" s="669">
        <v>15</v>
      </c>
      <c r="AF410" s="670">
        <v>16</v>
      </c>
      <c r="AG410" s="341" t="s">
        <v>5159</v>
      </c>
      <c r="AH410" s="987">
        <v>2019413960026</v>
      </c>
      <c r="AI410" s="1490" t="s">
        <v>5096</v>
      </c>
      <c r="AJ410" s="309">
        <v>43497</v>
      </c>
      <c r="AK410" s="359">
        <v>43799</v>
      </c>
      <c r="AL410" s="358"/>
      <c r="AM410" s="358"/>
      <c r="AN410" s="281" t="s">
        <v>2598</v>
      </c>
      <c r="AO410" s="513"/>
      <c r="AP410" s="525"/>
      <c r="AQ410" s="310"/>
      <c r="AR410" s="310"/>
      <c r="AS410" s="310"/>
      <c r="AT410" s="310"/>
      <c r="AU410" s="310"/>
      <c r="AV410" s="310"/>
      <c r="AW410" s="544"/>
      <c r="AX410" s="525"/>
      <c r="AY410" s="310"/>
      <c r="AZ410" s="310"/>
      <c r="BA410" s="310"/>
      <c r="BB410" s="310"/>
      <c r="BC410" s="310"/>
      <c r="BD410" s="310"/>
      <c r="BE410" s="544"/>
      <c r="BF410" s="525"/>
      <c r="BG410" s="310"/>
      <c r="BH410" s="310"/>
      <c r="BI410" s="310"/>
      <c r="BJ410" s="310"/>
      <c r="BK410" s="310"/>
      <c r="BL410" s="310"/>
      <c r="BM410" s="544">
        <f t="shared" si="152"/>
        <v>0</v>
      </c>
      <c r="BN410" s="525"/>
      <c r="BO410" s="525"/>
      <c r="BP410" s="310"/>
      <c r="BQ410" s="310"/>
      <c r="BR410" s="310"/>
      <c r="BS410" s="525"/>
      <c r="BT410" s="525"/>
      <c r="BU410" s="544"/>
      <c r="BV410" s="556"/>
      <c r="BW410" s="663">
        <f t="shared" si="159"/>
        <v>51</v>
      </c>
      <c r="BX410" s="1047">
        <f t="shared" si="170"/>
        <v>1.0625</v>
      </c>
      <c r="BY410" s="1047">
        <f t="shared" si="171"/>
        <v>0</v>
      </c>
      <c r="BZ410" s="1047">
        <f t="shared" si="172"/>
        <v>1.6666666666666667</v>
      </c>
      <c r="CA410" s="1047">
        <f t="shared" si="173"/>
        <v>1.25</v>
      </c>
      <c r="CB410" s="1047">
        <f t="shared" si="174"/>
        <v>1.3333333333333333</v>
      </c>
      <c r="CD410" t="str">
        <f t="shared" si="175"/>
        <v>ROB</v>
      </c>
      <c r="CE410" t="str">
        <f t="shared" si="175"/>
        <v>VE</v>
      </c>
      <c r="CF410" t="str">
        <f t="shared" si="175"/>
        <v>VE</v>
      </c>
      <c r="CG410" t="str">
        <f t="shared" si="175"/>
        <v>VE</v>
      </c>
    </row>
    <row r="411" spans="1:85" ht="73.5" customHeight="1" x14ac:dyDescent="0.3">
      <c r="A411" s="298" t="s">
        <v>1261</v>
      </c>
      <c r="B411" s="299" t="str">
        <f>'PLAN INDICATIVO'!B411</f>
        <v>Justicia y seguridad</v>
      </c>
      <c r="C411" s="1559"/>
      <c r="D411" s="1549"/>
      <c r="E411" s="1549"/>
      <c r="F411" s="1549"/>
      <c r="G411" s="1549"/>
      <c r="H411" s="1549"/>
      <c r="I411" s="300">
        <f>'PLAN INDICATIVO'!I411</f>
        <v>0</v>
      </c>
      <c r="J411" s="300">
        <f>'PLAN INDICATIVO'!J411</f>
        <v>0</v>
      </c>
      <c r="K411" s="1425" t="str">
        <f>'PLAN INDICATIVO'!K411</f>
        <v>A.18.1.3</v>
      </c>
      <c r="L411" s="301" t="str">
        <f>'PLAN INDICATIVO'!L411</f>
        <v>16. Paz, justicia e instituciones sólidas</v>
      </c>
      <c r="M411" s="301" t="str">
        <f>'PLAN INDICATIVO'!M411</f>
        <v>Secretaría de Gobierno</v>
      </c>
      <c r="N411" s="1513" t="s">
        <v>5126</v>
      </c>
      <c r="O411" s="1425" t="str">
        <f>'PLAN INDICATIVO'!O411</f>
        <v>Incremento</v>
      </c>
      <c r="P411" s="16" t="str">
        <f>'PLAN INDICATIVO'!P411</f>
        <v>Celebrar 4 reuniones de Comité de Orden público en el Cuatrienio</v>
      </c>
      <c r="Q411" s="302" t="str">
        <f>'PLAN INDICATIVO'!Q411</f>
        <v>No. De comités de orden públicos realizado</v>
      </c>
      <c r="R411" s="303">
        <f>'PLAN INDICATIVO'!R411</f>
        <v>2015</v>
      </c>
      <c r="S411" s="304">
        <v>0</v>
      </c>
      <c r="T411" s="699">
        <v>4</v>
      </c>
      <c r="U411" s="303">
        <v>1</v>
      </c>
      <c r="V411" s="687">
        <v>500000</v>
      </c>
      <c r="W411" s="303">
        <v>1</v>
      </c>
      <c r="X411" s="687">
        <v>500000</v>
      </c>
      <c r="Y411" s="303">
        <v>1</v>
      </c>
      <c r="Z411" s="687">
        <v>1000000</v>
      </c>
      <c r="AA411" s="291">
        <v>1</v>
      </c>
      <c r="AB411" s="686">
        <v>20000000</v>
      </c>
      <c r="AC411" s="669"/>
      <c r="AD411" s="669">
        <v>4</v>
      </c>
      <c r="AE411" s="669">
        <v>5</v>
      </c>
      <c r="AF411" s="669">
        <v>3</v>
      </c>
      <c r="AG411" s="341" t="s">
        <v>5159</v>
      </c>
      <c r="AH411" s="987">
        <v>2019413960026</v>
      </c>
      <c r="AI411" s="355"/>
      <c r="AJ411" s="309">
        <v>43497</v>
      </c>
      <c r="AK411" s="359">
        <v>43799</v>
      </c>
      <c r="AL411" s="358"/>
      <c r="AM411" s="358"/>
      <c r="AN411" s="267" t="s">
        <v>2598</v>
      </c>
      <c r="AO411" s="513"/>
      <c r="AP411" s="525"/>
      <c r="AQ411" s="310"/>
      <c r="AR411" s="310"/>
      <c r="AS411" s="310"/>
      <c r="AT411" s="310"/>
      <c r="AU411" s="310"/>
      <c r="AV411" s="310"/>
      <c r="AW411" s="544"/>
      <c r="AX411" s="525"/>
      <c r="AY411" s="310"/>
      <c r="AZ411" s="310"/>
      <c r="BA411" s="310"/>
      <c r="BB411" s="310"/>
      <c r="BC411" s="310"/>
      <c r="BD411" s="310"/>
      <c r="BE411" s="544"/>
      <c r="BF411" s="525"/>
      <c r="BG411" s="310"/>
      <c r="BH411" s="310"/>
      <c r="BI411" s="310"/>
      <c r="BJ411" s="310"/>
      <c r="BK411" s="310"/>
      <c r="BL411" s="310"/>
      <c r="BM411" s="544">
        <f t="shared" si="152"/>
        <v>0</v>
      </c>
      <c r="BN411" s="525"/>
      <c r="BO411" s="525"/>
      <c r="BP411" s="310"/>
      <c r="BQ411" s="310"/>
      <c r="BR411" s="310"/>
      <c r="BS411" s="525"/>
      <c r="BT411" s="525"/>
      <c r="BU411" s="544"/>
      <c r="BV411" s="556"/>
      <c r="BW411" s="663">
        <f t="shared" si="159"/>
        <v>12</v>
      </c>
      <c r="BX411" s="1047">
        <f t="shared" si="170"/>
        <v>3</v>
      </c>
      <c r="BY411" s="1047">
        <f t="shared" si="171"/>
        <v>0</v>
      </c>
      <c r="BZ411" s="1047">
        <f t="shared" si="172"/>
        <v>4</v>
      </c>
      <c r="CA411" s="1047">
        <f t="shared" si="173"/>
        <v>5</v>
      </c>
      <c r="CB411" s="1047">
        <f t="shared" si="174"/>
        <v>3</v>
      </c>
      <c r="CD411" t="str">
        <f t="shared" si="175"/>
        <v>ROB</v>
      </c>
      <c r="CE411" t="str">
        <f t="shared" si="175"/>
        <v>VE</v>
      </c>
      <c r="CF411" t="str">
        <f t="shared" si="175"/>
        <v>VE</v>
      </c>
      <c r="CG411" t="str">
        <f t="shared" si="175"/>
        <v>VE</v>
      </c>
    </row>
    <row r="412" spans="1:85" ht="77.25" customHeight="1" x14ac:dyDescent="0.3">
      <c r="A412" s="298" t="s">
        <v>1261</v>
      </c>
      <c r="B412" s="299" t="str">
        <f>'PLAN INDICATIVO'!B412</f>
        <v>Justicia y seguridad</v>
      </c>
      <c r="C412" s="1559"/>
      <c r="D412" s="1549"/>
      <c r="E412" s="1549"/>
      <c r="F412" s="1549"/>
      <c r="G412" s="1549"/>
      <c r="H412" s="1549"/>
      <c r="I412" s="300">
        <f>'PLAN INDICATIVO'!I412</f>
        <v>0</v>
      </c>
      <c r="J412" s="300">
        <f>'PLAN INDICATIVO'!J412</f>
        <v>0</v>
      </c>
      <c r="K412" s="1425" t="str">
        <f>'PLAN INDICATIVO'!K412</f>
        <v>A.18.1.4</v>
      </c>
      <c r="L412" s="301" t="str">
        <f>'PLAN INDICATIVO'!L412</f>
        <v>16. Paz, justicia e instituciones sólidas</v>
      </c>
      <c r="M412" s="301" t="str">
        <f>'PLAN INDICATIVO'!M412</f>
        <v>Secretaría de Gobierno</v>
      </c>
      <c r="N412" s="1513" t="s">
        <v>5126</v>
      </c>
      <c r="O412" s="1425" t="str">
        <f>'PLAN INDICATIVO'!O412</f>
        <v>Mantenimiento</v>
      </c>
      <c r="P412" s="16" t="str">
        <f>'PLAN INDICATIVO'!P412</f>
        <v>Presentar 2 informes del observatorio del delito por la fuerza pública cada año</v>
      </c>
      <c r="Q412" s="302" t="str">
        <f>'PLAN INDICATIVO'!Q412</f>
        <v>No. De informes presentados por año</v>
      </c>
      <c r="R412" s="303">
        <f>'PLAN INDICATIVO'!R412</f>
        <v>2015</v>
      </c>
      <c r="S412" s="304">
        <v>0</v>
      </c>
      <c r="T412" s="699">
        <v>8</v>
      </c>
      <c r="U412" s="303">
        <v>2</v>
      </c>
      <c r="V412" s="687">
        <v>500000</v>
      </c>
      <c r="W412" s="303">
        <v>2</v>
      </c>
      <c r="X412" s="687">
        <v>500000</v>
      </c>
      <c r="Y412" s="303">
        <v>2</v>
      </c>
      <c r="Z412" s="687">
        <v>1000000</v>
      </c>
      <c r="AA412" s="291">
        <v>3</v>
      </c>
      <c r="AB412" s="686">
        <v>20000000</v>
      </c>
      <c r="AC412" s="669"/>
      <c r="AD412" s="669">
        <v>2</v>
      </c>
      <c r="AE412" s="669">
        <v>2</v>
      </c>
      <c r="AF412" s="669">
        <v>3</v>
      </c>
      <c r="AG412" s="341" t="s">
        <v>5159</v>
      </c>
      <c r="AH412" s="987">
        <v>2019413960026</v>
      </c>
      <c r="AI412" s="355" t="s">
        <v>5097</v>
      </c>
      <c r="AJ412" s="309">
        <v>43497</v>
      </c>
      <c r="AK412" s="850">
        <v>43814</v>
      </c>
      <c r="AL412" s="358"/>
      <c r="AM412" s="358"/>
      <c r="AN412" s="281" t="s">
        <v>2598</v>
      </c>
      <c r="AO412" s="513"/>
      <c r="AP412" s="753"/>
      <c r="AQ412" s="310"/>
      <c r="AR412" s="310"/>
      <c r="AS412" s="310"/>
      <c r="AT412" s="310"/>
      <c r="AU412" s="310"/>
      <c r="AV412" s="310"/>
      <c r="AW412" s="544"/>
      <c r="AX412" s="525"/>
      <c r="AY412" s="310"/>
      <c r="AZ412" s="310"/>
      <c r="BA412" s="310"/>
      <c r="BB412" s="310"/>
      <c r="BC412" s="310"/>
      <c r="BD412" s="310"/>
      <c r="BE412" s="544"/>
      <c r="BF412" s="525"/>
      <c r="BG412" s="310"/>
      <c r="BH412" s="310"/>
      <c r="BI412" s="310"/>
      <c r="BJ412" s="310"/>
      <c r="BK412" s="310"/>
      <c r="BL412" s="310"/>
      <c r="BM412" s="544">
        <f t="shared" si="152"/>
        <v>0</v>
      </c>
      <c r="BN412" s="525"/>
      <c r="BO412" s="525"/>
      <c r="BP412" s="310"/>
      <c r="BQ412" s="310"/>
      <c r="BR412" s="310"/>
      <c r="BS412" s="525"/>
      <c r="BT412" s="525"/>
      <c r="BU412" s="544"/>
      <c r="BV412" s="556"/>
      <c r="BW412" s="663">
        <f t="shared" si="159"/>
        <v>7</v>
      </c>
      <c r="BX412" s="1047">
        <f t="shared" si="170"/>
        <v>0.875</v>
      </c>
      <c r="BY412" s="1047">
        <f t="shared" si="171"/>
        <v>0</v>
      </c>
      <c r="BZ412" s="1047">
        <f t="shared" si="172"/>
        <v>1</v>
      </c>
      <c r="CA412" s="1047">
        <f t="shared" si="173"/>
        <v>1</v>
      </c>
      <c r="CB412" s="1047">
        <f t="shared" si="174"/>
        <v>1</v>
      </c>
      <c r="CD412" t="str">
        <f t="shared" si="175"/>
        <v>ROB</v>
      </c>
      <c r="CE412" t="str">
        <f t="shared" si="175"/>
        <v>VE</v>
      </c>
      <c r="CF412" t="str">
        <f t="shared" si="175"/>
        <v>VE</v>
      </c>
      <c r="CG412" t="str">
        <f t="shared" si="175"/>
        <v>VE</v>
      </c>
    </row>
    <row r="413" spans="1:85" ht="65.25" customHeight="1" x14ac:dyDescent="0.3">
      <c r="A413" s="298" t="s">
        <v>1261</v>
      </c>
      <c r="B413" s="299" t="str">
        <f>'PLAN INDICATIVO'!B413</f>
        <v>Justicia y seguridad</v>
      </c>
      <c r="C413" s="1559"/>
      <c r="D413" s="1549"/>
      <c r="E413" s="1549"/>
      <c r="F413" s="1549"/>
      <c r="G413" s="1549"/>
      <c r="H413" s="1549"/>
      <c r="I413" s="300">
        <f>'PLAN INDICATIVO'!I413</f>
        <v>0</v>
      </c>
      <c r="J413" s="300">
        <f>'PLAN INDICATIVO'!J413</f>
        <v>0</v>
      </c>
      <c r="K413" s="1425" t="str">
        <f>'PLAN INDICATIVO'!K413</f>
        <v>A.18.1.5</v>
      </c>
      <c r="L413" s="301" t="str">
        <f>'PLAN INDICATIVO'!L413</f>
        <v>16. Paz, justicia e instituciones sólidas</v>
      </c>
      <c r="M413" s="301" t="str">
        <f>'PLAN INDICATIVO'!M413</f>
        <v>Secretaría de Gobierno</v>
      </c>
      <c r="N413" s="1425" t="s">
        <v>5132</v>
      </c>
      <c r="O413" s="1425" t="str">
        <f>'PLAN INDICATIVO'!O413</f>
        <v>Mantenimiento</v>
      </c>
      <c r="P413" s="16" t="str">
        <f>'PLAN INDICATIVO'!P413</f>
        <v>Realizar 6 controles a pesas y medidas en plazas de mercado y establecimientos de comercio cada año</v>
      </c>
      <c r="Q413" s="302" t="str">
        <f>'PLAN INDICATIVO'!Q413</f>
        <v>No. De controles realizados por año</v>
      </c>
      <c r="R413" s="303">
        <f>'PLAN INDICATIVO'!R413</f>
        <v>2015</v>
      </c>
      <c r="S413" s="304">
        <v>0</v>
      </c>
      <c r="T413" s="699">
        <v>24</v>
      </c>
      <c r="U413" s="303">
        <v>6</v>
      </c>
      <c r="V413" s="687">
        <v>5000000</v>
      </c>
      <c r="W413" s="303">
        <v>6</v>
      </c>
      <c r="X413" s="687">
        <v>10500000</v>
      </c>
      <c r="Y413" s="303">
        <v>6</v>
      </c>
      <c r="Z413" s="687">
        <v>1000000</v>
      </c>
      <c r="AA413" s="291">
        <v>6</v>
      </c>
      <c r="AB413" s="686">
        <v>6000000</v>
      </c>
      <c r="AC413" s="669"/>
      <c r="AD413" s="669">
        <v>6</v>
      </c>
      <c r="AE413" s="669">
        <v>4</v>
      </c>
      <c r="AF413" s="669">
        <v>7</v>
      </c>
      <c r="AG413" s="341" t="s">
        <v>5159</v>
      </c>
      <c r="AH413" s="987">
        <v>2019413960026</v>
      </c>
      <c r="AI413" s="998" t="s">
        <v>4969</v>
      </c>
      <c r="AJ413" s="309">
        <v>43497</v>
      </c>
      <c r="AK413" s="850">
        <v>43814</v>
      </c>
      <c r="AL413" s="358"/>
      <c r="AM413" s="358"/>
      <c r="AN413" s="267" t="s">
        <v>2604</v>
      </c>
      <c r="AO413" s="513"/>
      <c r="AP413" s="525"/>
      <c r="AQ413" s="310"/>
      <c r="AR413" s="310"/>
      <c r="AS413" s="310"/>
      <c r="AT413" s="310"/>
      <c r="AU413" s="310"/>
      <c r="AV413" s="310"/>
      <c r="AW413" s="544"/>
      <c r="AX413" s="525"/>
      <c r="AY413" s="310"/>
      <c r="AZ413" s="310"/>
      <c r="BA413" s="310"/>
      <c r="BB413" s="310"/>
      <c r="BC413" s="310"/>
      <c r="BD413" s="310"/>
      <c r="BE413" s="544"/>
      <c r="BF413" s="525"/>
      <c r="BG413" s="310"/>
      <c r="BH413" s="310"/>
      <c r="BI413" s="310"/>
      <c r="BJ413" s="310"/>
      <c r="BK413" s="310"/>
      <c r="BL413" s="310"/>
      <c r="BM413" s="544">
        <f t="shared" ref="BM413:BM464" si="176">SUM(BF413:BL413)</f>
        <v>0</v>
      </c>
      <c r="BN413" s="525"/>
      <c r="BO413" s="310"/>
      <c r="BP413" s="310"/>
      <c r="BQ413" s="310"/>
      <c r="BR413" s="310"/>
      <c r="BS413" s="310"/>
      <c r="BT413" s="310"/>
      <c r="BU413" s="544"/>
      <c r="BV413" s="556"/>
      <c r="BW413" s="663">
        <f t="shared" si="159"/>
        <v>17</v>
      </c>
      <c r="BX413" s="1047">
        <f t="shared" si="170"/>
        <v>0.70833333333333337</v>
      </c>
      <c r="BY413" s="1047">
        <f t="shared" si="171"/>
        <v>0</v>
      </c>
      <c r="BZ413" s="1047">
        <f t="shared" si="172"/>
        <v>1</v>
      </c>
      <c r="CA413" s="1047">
        <f t="shared" si="173"/>
        <v>0.66666666666666663</v>
      </c>
      <c r="CB413" s="1047">
        <f t="shared" si="174"/>
        <v>1.1666666666666667</v>
      </c>
      <c r="CD413" t="str">
        <f t="shared" si="175"/>
        <v>ROB</v>
      </c>
      <c r="CE413" t="str">
        <f t="shared" si="175"/>
        <v>VE</v>
      </c>
      <c r="CF413" t="str">
        <f t="shared" si="175"/>
        <v>AM</v>
      </c>
      <c r="CG413" t="str">
        <f t="shared" si="175"/>
        <v>VE</v>
      </c>
    </row>
    <row r="414" spans="1:85" ht="36" hidden="1" customHeight="1" x14ac:dyDescent="0.25">
      <c r="A414" s="298" t="s">
        <v>2464</v>
      </c>
      <c r="B414" s="299" t="str">
        <f>'PLAN INDICATIVO'!B414</f>
        <v>Justicia y seguridad</v>
      </c>
      <c r="C414" s="1559"/>
      <c r="D414" s="1549"/>
      <c r="E414" s="1549"/>
      <c r="F414" s="1549"/>
      <c r="G414" s="1549"/>
      <c r="H414" s="1549"/>
      <c r="I414" s="371">
        <f>'PLAN INDICATIVO'!I414</f>
        <v>0</v>
      </c>
      <c r="J414" s="371">
        <f>'PLAN INDICATIVO'!J414</f>
        <v>0</v>
      </c>
      <c r="K414" s="1425" t="str">
        <f>'PLAN INDICATIVO'!K414</f>
        <v>A.18.1.6</v>
      </c>
      <c r="L414" s="301" t="str">
        <f>'PLAN INDICATIVO'!L414</f>
        <v>16. Paz, justicia e instituciones sólidas</v>
      </c>
      <c r="M414" s="301" t="str">
        <f>'PLAN INDICATIVO'!M414</f>
        <v>Secretaría de Gobierno</v>
      </c>
      <c r="N414" s="1425" t="str">
        <f>'PLAN INDICATIVO'!N414</f>
        <v>HERNAN RODRIGUEZ FALLA</v>
      </c>
      <c r="O414" s="1425" t="str">
        <f>'PLAN INDICATIVO'!O414</f>
        <v>Mantenimiento</v>
      </c>
      <c r="P414" s="71" t="str">
        <f>'PLAN INDICATIVO'!P414</f>
        <v>Apoyar el sostenimiento 10 bachilleres auxiliares como apoyo a la seguridad y convivencia ciudadana cada año</v>
      </c>
      <c r="Q414" s="345" t="str">
        <f>'PLAN INDICATIVO'!Q414</f>
        <v>No. de bachilleres apoyados</v>
      </c>
      <c r="R414" s="346">
        <f>'PLAN INDICATIVO'!R414</f>
        <v>2015</v>
      </c>
      <c r="S414" s="342">
        <v>0</v>
      </c>
      <c r="T414" s="704">
        <v>10</v>
      </c>
      <c r="U414" s="346">
        <v>10</v>
      </c>
      <c r="V414" s="687">
        <v>10000000</v>
      </c>
      <c r="W414" s="346">
        <v>10</v>
      </c>
      <c r="X414" s="687">
        <v>8000000</v>
      </c>
      <c r="Y414" s="346">
        <v>10</v>
      </c>
      <c r="Z414" s="687">
        <v>8000000</v>
      </c>
      <c r="AA414" s="1312">
        <v>10</v>
      </c>
      <c r="AB414" s="687"/>
      <c r="AC414" s="670"/>
      <c r="AD414" s="670">
        <v>0</v>
      </c>
      <c r="AE414" s="670">
        <v>5</v>
      </c>
      <c r="AF414" s="670">
        <v>10</v>
      </c>
      <c r="AG414" s="341" t="s">
        <v>4764</v>
      </c>
      <c r="AH414" s="987">
        <v>2018413960019</v>
      </c>
      <c r="AI414" s="932" t="s">
        <v>4858</v>
      </c>
      <c r="AJ414" s="309">
        <v>43497</v>
      </c>
      <c r="AK414" s="850">
        <v>43799</v>
      </c>
      <c r="AL414" s="362"/>
      <c r="AM414" s="362"/>
      <c r="AN414" s="281" t="s">
        <v>2604</v>
      </c>
      <c r="AO414" s="512"/>
      <c r="AP414" s="525"/>
      <c r="AQ414" s="525"/>
      <c r="AR414" s="525"/>
      <c r="AS414" s="525"/>
      <c r="AT414" s="525"/>
      <c r="AU414" s="525"/>
      <c r="AV414" s="525"/>
      <c r="AW414" s="525"/>
      <c r="AX414" s="528"/>
      <c r="AY414" s="472"/>
      <c r="AZ414" s="472"/>
      <c r="BA414" s="472"/>
      <c r="BB414" s="472"/>
      <c r="BC414" s="472"/>
      <c r="BD414" s="472"/>
      <c r="BE414" s="544"/>
      <c r="BF414" s="528"/>
      <c r="BG414" s="472"/>
      <c r="BH414" s="472"/>
      <c r="BI414" s="472"/>
      <c r="BJ414" s="472"/>
      <c r="BK414" s="472"/>
      <c r="BL414" s="472"/>
      <c r="BM414" s="544">
        <f t="shared" si="176"/>
        <v>0</v>
      </c>
      <c r="BN414" s="528"/>
      <c r="BO414" s="472"/>
      <c r="BP414" s="472"/>
      <c r="BQ414" s="472"/>
      <c r="BR414" s="472"/>
      <c r="BS414" s="472"/>
      <c r="BT414" s="472"/>
      <c r="BU414" s="544"/>
      <c r="BV414" s="556"/>
      <c r="BW414" s="663">
        <f t="shared" si="159"/>
        <v>15</v>
      </c>
      <c r="BX414" s="1047">
        <f t="shared" si="170"/>
        <v>1.5</v>
      </c>
      <c r="BY414" s="1047">
        <f t="shared" si="171"/>
        <v>0</v>
      </c>
      <c r="BZ414" s="1047">
        <f t="shared" si="172"/>
        <v>0</v>
      </c>
      <c r="CA414" s="1047">
        <f t="shared" si="173"/>
        <v>0.5</v>
      </c>
      <c r="CB414" s="1047">
        <f t="shared" si="174"/>
        <v>1</v>
      </c>
      <c r="CD414" t="str">
        <f t="shared" si="175"/>
        <v>ROB</v>
      </c>
      <c r="CE414" t="str">
        <f t="shared" si="175"/>
        <v>ROB</v>
      </c>
      <c r="CF414" t="str">
        <f t="shared" si="175"/>
        <v>AMB</v>
      </c>
      <c r="CG414" t="str">
        <f t="shared" si="175"/>
        <v>VE</v>
      </c>
    </row>
    <row r="415" spans="1:85" ht="23.25" hidden="1" customHeight="1" x14ac:dyDescent="0.25">
      <c r="A415" s="298" t="s">
        <v>1261</v>
      </c>
      <c r="B415" s="299" t="str">
        <f>'PLAN INDICATIVO'!B415</f>
        <v>Justicia y seguridad</v>
      </c>
      <c r="C415" s="1559"/>
      <c r="D415" s="1549"/>
      <c r="E415" s="1549"/>
      <c r="F415" s="1549"/>
      <c r="G415" s="1549"/>
      <c r="H415" s="1549"/>
      <c r="I415" s="300">
        <f>'PLAN INDICATIVO'!I415</f>
        <v>0</v>
      </c>
      <c r="J415" s="300">
        <f>'PLAN INDICATIVO'!J415</f>
        <v>0</v>
      </c>
      <c r="K415" s="1425" t="str">
        <f>'PLAN INDICATIVO'!K415</f>
        <v>A.18.1.7</v>
      </c>
      <c r="L415" s="301" t="str">
        <f>'PLAN INDICATIVO'!L415</f>
        <v>16. Paz, justicia e instituciones sólidas</v>
      </c>
      <c r="M415" s="301" t="str">
        <f>'PLAN INDICATIVO'!M415</f>
        <v>Secretaría de Gobierno</v>
      </c>
      <c r="N415" s="1425" t="str">
        <f>'PLAN INDICATIVO'!N415</f>
        <v>HERNAN RODRIGUEZ FALLA</v>
      </c>
      <c r="O415" s="1425" t="str">
        <f>'PLAN INDICATIVO'!O415</f>
        <v>Mantenimiento</v>
      </c>
      <c r="P415" s="16" t="str">
        <f>'PLAN INDICATIVO'!P415</f>
        <v>Implementar 1 estrategia de apoyo a la fuerza pública y organismos de seguridad cada año</v>
      </c>
      <c r="Q415" s="302" t="str">
        <f>'PLAN INDICATIVO'!Q415</f>
        <v>. De Estrategias implementadas por año</v>
      </c>
      <c r="R415" s="303">
        <f>'PLAN INDICATIVO'!R415</f>
        <v>2015</v>
      </c>
      <c r="S415" s="304">
        <v>1</v>
      </c>
      <c r="T415" s="699">
        <v>1</v>
      </c>
      <c r="U415" s="303">
        <v>0.25</v>
      </c>
      <c r="V415" s="687">
        <v>10000000</v>
      </c>
      <c r="W415" s="303">
        <v>0.25</v>
      </c>
      <c r="X415" s="687">
        <v>10000000</v>
      </c>
      <c r="Y415" s="303">
        <v>0.25</v>
      </c>
      <c r="Z415" s="687">
        <v>10000000</v>
      </c>
      <c r="AA415" s="291">
        <v>0.25</v>
      </c>
      <c r="AB415" s="687"/>
      <c r="AC415" s="669"/>
      <c r="AD415" s="669">
        <v>0.25</v>
      </c>
      <c r="AE415" s="669">
        <v>0.25</v>
      </c>
      <c r="AF415" s="669">
        <v>0.2</v>
      </c>
      <c r="AG415" s="341" t="s">
        <v>4764</v>
      </c>
      <c r="AH415" s="987">
        <v>2018413960019</v>
      </c>
      <c r="AI415" s="932" t="s">
        <v>5098</v>
      </c>
      <c r="AJ415" s="309">
        <v>43497</v>
      </c>
      <c r="AK415" s="850">
        <v>43799</v>
      </c>
      <c r="AL415" s="358"/>
      <c r="AM415" s="358"/>
      <c r="AN415" s="267" t="s">
        <v>2598</v>
      </c>
      <c r="AO415" s="512"/>
      <c r="AP415" s="525"/>
      <c r="AQ415" s="310"/>
      <c r="AR415" s="310"/>
      <c r="AS415" s="310"/>
      <c r="AT415" s="310"/>
      <c r="AU415" s="310"/>
      <c r="AV415" s="310"/>
      <c r="AW415" s="544"/>
      <c r="AX415" s="525"/>
      <c r="AY415" s="310"/>
      <c r="AZ415" s="310"/>
      <c r="BA415" s="310"/>
      <c r="BB415" s="310"/>
      <c r="BC415" s="310"/>
      <c r="BD415" s="310"/>
      <c r="BE415" s="544"/>
      <c r="BF415" s="525"/>
      <c r="BG415" s="310"/>
      <c r="BH415" s="310"/>
      <c r="BI415" s="310"/>
      <c r="BJ415" s="310"/>
      <c r="BK415" s="310"/>
      <c r="BL415" s="310"/>
      <c r="BM415" s="544">
        <f t="shared" si="176"/>
        <v>0</v>
      </c>
      <c r="BN415" s="525"/>
      <c r="BO415" s="310"/>
      <c r="BP415" s="310"/>
      <c r="BQ415" s="310"/>
      <c r="BR415" s="310"/>
      <c r="BS415" s="310"/>
      <c r="BT415" s="310"/>
      <c r="BU415" s="544"/>
      <c r="BV415" s="556"/>
      <c r="BW415" s="663">
        <f t="shared" si="159"/>
        <v>0.7</v>
      </c>
      <c r="BX415" s="1047">
        <f t="shared" si="170"/>
        <v>0.7</v>
      </c>
      <c r="BY415" s="1047">
        <f t="shared" si="171"/>
        <v>0</v>
      </c>
      <c r="BZ415" s="1047">
        <f t="shared" si="172"/>
        <v>1</v>
      </c>
      <c r="CA415" s="1047">
        <f t="shared" si="173"/>
        <v>1</v>
      </c>
      <c r="CB415" s="1047">
        <f t="shared" si="174"/>
        <v>0.8</v>
      </c>
      <c r="CD415" t="str">
        <f t="shared" si="175"/>
        <v>ROB</v>
      </c>
      <c r="CE415" t="str">
        <f t="shared" si="175"/>
        <v>VE</v>
      </c>
      <c r="CF415" t="str">
        <f t="shared" si="175"/>
        <v>VE</v>
      </c>
      <c r="CG415" t="str">
        <f t="shared" si="175"/>
        <v>VEB</v>
      </c>
    </row>
    <row r="416" spans="1:85" ht="27.75" hidden="1" customHeight="1" x14ac:dyDescent="0.25">
      <c r="A416" s="298" t="s">
        <v>2458</v>
      </c>
      <c r="B416" s="299" t="str">
        <f>'PLAN INDICATIVO'!B416</f>
        <v>Justicia y seguridad</v>
      </c>
      <c r="C416" s="1559"/>
      <c r="D416" s="1549"/>
      <c r="E416" s="1549"/>
      <c r="F416" s="1549"/>
      <c r="G416" s="1549"/>
      <c r="H416" s="1549"/>
      <c r="I416" s="300">
        <f>'PLAN INDICATIVO'!I416</f>
        <v>0</v>
      </c>
      <c r="J416" s="300">
        <f>'PLAN INDICATIVO'!J416</f>
        <v>0</v>
      </c>
      <c r="K416" s="1425" t="str">
        <f>'PLAN INDICATIVO'!K416</f>
        <v>A.18.1.8</v>
      </c>
      <c r="L416" s="301" t="str">
        <f>'PLAN INDICATIVO'!L416</f>
        <v>16. Paz, justicia e instituciones sólidas</v>
      </c>
      <c r="M416" s="301" t="str">
        <f>'PLAN INDICATIVO'!M416</f>
        <v>Secretaría de Gobierno</v>
      </c>
      <c r="N416" s="1425" t="str">
        <f>'PLAN INDICATIVO'!N416</f>
        <v>HERNAN RODRIGUEZ FALLA</v>
      </c>
      <c r="O416" s="1425" t="str">
        <f>'PLAN INDICATIVO'!O416</f>
        <v>Incremento</v>
      </c>
      <c r="P416" s="16" t="str">
        <f>'PLAN INDICATIVO'!P416</f>
        <v>Suministrar 8 vehiculos automotores para mejorar dotación de fuerza publica en el cuatrienio</v>
      </c>
      <c r="Q416" s="302" t="str">
        <f>'PLAN INDICATIVO'!Q416</f>
        <v>No. de vehiculos automotores dotados</v>
      </c>
      <c r="R416" s="303">
        <f>'PLAN INDICATIVO'!R416</f>
        <v>2015</v>
      </c>
      <c r="S416" s="304">
        <v>0</v>
      </c>
      <c r="T416" s="1304">
        <v>8</v>
      </c>
      <c r="U416" s="303">
        <v>4</v>
      </c>
      <c r="V416" s="687">
        <v>20000000</v>
      </c>
      <c r="W416" s="303">
        <v>2</v>
      </c>
      <c r="X416" s="687"/>
      <c r="Y416" s="303"/>
      <c r="Z416" s="687"/>
      <c r="AA416" s="291">
        <v>6</v>
      </c>
      <c r="AB416" s="687"/>
      <c r="AC416" s="669"/>
      <c r="AD416" s="669">
        <v>2</v>
      </c>
      <c r="AE416" s="669"/>
      <c r="AF416" s="669">
        <v>3</v>
      </c>
      <c r="AG416" s="341" t="s">
        <v>4764</v>
      </c>
      <c r="AH416" s="987">
        <v>2018413960019</v>
      </c>
      <c r="AI416" s="355" t="s">
        <v>4970</v>
      </c>
      <c r="AJ416" s="309">
        <v>43497</v>
      </c>
      <c r="AK416" s="356">
        <v>43799</v>
      </c>
      <c r="AL416" s="358"/>
      <c r="AM416" s="358"/>
      <c r="AN416" s="267" t="s">
        <v>2604</v>
      </c>
      <c r="AO416" s="513"/>
      <c r="AP416" s="525"/>
      <c r="AQ416" s="380"/>
      <c r="AR416" s="310"/>
      <c r="AS416" s="310"/>
      <c r="AT416" s="310"/>
      <c r="AU416" s="310"/>
      <c r="AV416" s="310"/>
      <c r="AW416" s="544"/>
      <c r="AX416" s="525"/>
      <c r="AY416" s="380"/>
      <c r="AZ416" s="310"/>
      <c r="BA416" s="310"/>
      <c r="BB416" s="310"/>
      <c r="BC416" s="310"/>
      <c r="BD416" s="310"/>
      <c r="BE416" s="544"/>
      <c r="BF416" s="525"/>
      <c r="BG416" s="380"/>
      <c r="BH416" s="310"/>
      <c r="BI416" s="310"/>
      <c r="BJ416" s="310"/>
      <c r="BK416" s="310"/>
      <c r="BL416" s="310"/>
      <c r="BM416" s="544">
        <f t="shared" si="176"/>
        <v>0</v>
      </c>
      <c r="BN416" s="525"/>
      <c r="BO416" s="310"/>
      <c r="BP416" s="310"/>
      <c r="BQ416" s="310"/>
      <c r="BR416" s="310"/>
      <c r="BS416" s="310"/>
      <c r="BT416" s="310"/>
      <c r="BU416" s="544"/>
      <c r="BV416" s="556"/>
      <c r="BW416" s="663">
        <f t="shared" si="159"/>
        <v>5</v>
      </c>
      <c r="BX416" s="1047">
        <f t="shared" si="170"/>
        <v>0.625</v>
      </c>
      <c r="BY416" s="1047">
        <f t="shared" si="171"/>
        <v>0</v>
      </c>
      <c r="BZ416" s="1047">
        <f t="shared" si="172"/>
        <v>1</v>
      </c>
      <c r="CA416" s="1047" t="str">
        <f t="shared" si="173"/>
        <v>No Programada</v>
      </c>
      <c r="CB416" s="1047">
        <f t="shared" si="174"/>
        <v>0.5</v>
      </c>
      <c r="CD416" t="str">
        <f t="shared" si="175"/>
        <v>ROB</v>
      </c>
      <c r="CE416" t="str">
        <f t="shared" si="175"/>
        <v>VE</v>
      </c>
      <c r="CF416" t="str">
        <f t="shared" si="175"/>
        <v>NP</v>
      </c>
      <c r="CG416" t="str">
        <f t="shared" si="175"/>
        <v>AMB</v>
      </c>
    </row>
    <row r="417" spans="1:85" ht="22.5" hidden="1" customHeight="1" x14ac:dyDescent="0.25">
      <c r="A417" s="298" t="s">
        <v>1261</v>
      </c>
      <c r="B417" s="299" t="str">
        <f>'PLAN INDICATIVO'!B417</f>
        <v>Justicia y seguridad</v>
      </c>
      <c r="C417" s="1559"/>
      <c r="D417" s="1549"/>
      <c r="E417" s="1549"/>
      <c r="F417" s="1549"/>
      <c r="G417" s="1549"/>
      <c r="H417" s="1549"/>
      <c r="I417" s="300">
        <f>'PLAN INDICATIVO'!I417</f>
        <v>0</v>
      </c>
      <c r="J417" s="300">
        <f>'PLAN INDICATIVO'!J417</f>
        <v>0</v>
      </c>
      <c r="K417" s="1425" t="str">
        <f>'PLAN INDICATIVO'!K417</f>
        <v>A.18.1.9</v>
      </c>
      <c r="L417" s="301" t="str">
        <f>'PLAN INDICATIVO'!L417</f>
        <v>16. Paz, justicia e instituciones sólidas</v>
      </c>
      <c r="M417" s="301" t="str">
        <f>'PLAN INDICATIVO'!M417</f>
        <v>Secretaría de Gobierno</v>
      </c>
      <c r="N417" s="1425" t="str">
        <f>'PLAN INDICATIVO'!N417</f>
        <v>HERNAN RODRIGUEZ FALLA</v>
      </c>
      <c r="O417" s="1425" t="str">
        <f>'PLAN INDICATIVO'!O417</f>
        <v>Incremento</v>
      </c>
      <c r="P417" s="16" t="str">
        <f>'PLAN INDICATIVO'!P417</f>
        <v>Realizar 1 gestión para la compra del terreno para estación de policía, durante el cuatrienio</v>
      </c>
      <c r="Q417" s="302" t="str">
        <f>'PLAN INDICATIVO'!Q417</f>
        <v>No. De Gestión de compra realizada</v>
      </c>
      <c r="R417" s="303">
        <f>'PLAN INDICATIVO'!R417</f>
        <v>2015</v>
      </c>
      <c r="S417" s="304">
        <v>0</v>
      </c>
      <c r="T417" s="699">
        <v>1</v>
      </c>
      <c r="U417" s="303">
        <v>0</v>
      </c>
      <c r="V417" s="687">
        <v>30000000</v>
      </c>
      <c r="W417" s="303">
        <v>1</v>
      </c>
      <c r="X417" s="687"/>
      <c r="Y417" s="303">
        <v>0</v>
      </c>
      <c r="Z417" s="687"/>
      <c r="AA417" s="291"/>
      <c r="AB417" s="687"/>
      <c r="AC417" s="669"/>
      <c r="AD417" s="669">
        <v>1</v>
      </c>
      <c r="AE417" s="669"/>
      <c r="AF417" s="669"/>
      <c r="AG417" s="341" t="s">
        <v>4764</v>
      </c>
      <c r="AH417" s="987">
        <v>2018413960019</v>
      </c>
      <c r="AI417" s="355"/>
      <c r="AJ417" s="309"/>
      <c r="AK417" s="356"/>
      <c r="AL417" s="358"/>
      <c r="AM417" s="358"/>
      <c r="AN417" s="267" t="s">
        <v>2594</v>
      </c>
      <c r="AO417" s="512"/>
      <c r="AP417" s="525"/>
      <c r="AQ417" s="380"/>
      <c r="AR417" s="310"/>
      <c r="AS417" s="310"/>
      <c r="AT417" s="310"/>
      <c r="AU417" s="310"/>
      <c r="AV417" s="310"/>
      <c r="AW417" s="544"/>
      <c r="AX417" s="525"/>
      <c r="AY417" s="380"/>
      <c r="AZ417" s="310"/>
      <c r="BA417" s="310"/>
      <c r="BB417" s="310"/>
      <c r="BC417" s="310"/>
      <c r="BD417" s="310"/>
      <c r="BE417" s="544"/>
      <c r="BF417" s="525"/>
      <c r="BG417" s="380"/>
      <c r="BH417" s="310"/>
      <c r="BI417" s="310"/>
      <c r="BJ417" s="310"/>
      <c r="BK417" s="310"/>
      <c r="BL417" s="310"/>
      <c r="BM417" s="544">
        <f t="shared" si="176"/>
        <v>0</v>
      </c>
      <c r="BN417" s="525"/>
      <c r="BO417" s="380"/>
      <c r="BP417" s="310"/>
      <c r="BQ417" s="310"/>
      <c r="BR417" s="310"/>
      <c r="BS417" s="310"/>
      <c r="BT417" s="310"/>
      <c r="BU417" s="544"/>
      <c r="BV417" s="556"/>
      <c r="BW417" s="663">
        <f t="shared" si="159"/>
        <v>1</v>
      </c>
      <c r="BX417" s="1047">
        <f t="shared" si="170"/>
        <v>1</v>
      </c>
      <c r="BY417" s="1047" t="str">
        <f t="shared" si="171"/>
        <v>Aplazada</v>
      </c>
      <c r="BZ417" s="1047">
        <f t="shared" si="172"/>
        <v>1</v>
      </c>
      <c r="CA417" s="1047" t="str">
        <f t="shared" si="173"/>
        <v>Aplazada</v>
      </c>
      <c r="CB417" s="1047" t="str">
        <f t="shared" si="174"/>
        <v>No Programada</v>
      </c>
      <c r="CD417" t="str">
        <f t="shared" si="175"/>
        <v>AZ</v>
      </c>
      <c r="CE417" t="str">
        <f t="shared" si="175"/>
        <v>VE</v>
      </c>
      <c r="CF417" t="str">
        <f t="shared" si="175"/>
        <v>AZ</v>
      </c>
      <c r="CG417" t="str">
        <f t="shared" si="175"/>
        <v>NP</v>
      </c>
    </row>
    <row r="418" spans="1:85" ht="20.25" hidden="1" customHeight="1" x14ac:dyDescent="0.25">
      <c r="A418" s="298" t="s">
        <v>1261</v>
      </c>
      <c r="B418" s="299" t="str">
        <f>'PLAN INDICATIVO'!B418</f>
        <v>Justicia y seguridad</v>
      </c>
      <c r="C418" s="1559"/>
      <c r="D418" s="1549"/>
      <c r="E418" s="1549"/>
      <c r="F418" s="1549"/>
      <c r="G418" s="1549"/>
      <c r="H418" s="1549"/>
      <c r="I418" s="300">
        <f>'PLAN INDICATIVO'!I418</f>
        <v>0</v>
      </c>
      <c r="J418" s="300">
        <f>'PLAN INDICATIVO'!J418</f>
        <v>0</v>
      </c>
      <c r="K418" s="1425" t="str">
        <f>'PLAN INDICATIVO'!K418</f>
        <v>A.18.1.10</v>
      </c>
      <c r="L418" s="301" t="str">
        <f>'PLAN INDICATIVO'!L418</f>
        <v>16. Paz, justicia e instituciones sólidas</v>
      </c>
      <c r="M418" s="301" t="str">
        <f>'PLAN INDICATIVO'!M418</f>
        <v>Secretaría de Gobierno</v>
      </c>
      <c r="N418" s="1425" t="str">
        <f>'PLAN INDICATIVO'!N418</f>
        <v>HERNAN RODRIGUEZ FALLA</v>
      </c>
      <c r="O418" s="1425" t="str">
        <f>'PLAN INDICATIVO'!O418</f>
        <v>Mantenimiento</v>
      </c>
      <c r="P418" s="16" t="str">
        <f>'PLAN INDICATIVO'!P418</f>
        <v>Implementar 1 Plan de atención para comunidades en riesgo de seguridad cada año</v>
      </c>
      <c r="Q418" s="302" t="str">
        <f>'PLAN INDICATIVO'!Q418</f>
        <v>No. De Plan de atención implementado por año</v>
      </c>
      <c r="R418" s="303">
        <f>'PLAN INDICATIVO'!R418</f>
        <v>2015</v>
      </c>
      <c r="S418" s="304">
        <v>0</v>
      </c>
      <c r="T418" s="699">
        <v>1</v>
      </c>
      <c r="U418" s="303">
        <v>0.25</v>
      </c>
      <c r="V418" s="687">
        <v>1000000</v>
      </c>
      <c r="W418" s="303">
        <v>0.25</v>
      </c>
      <c r="X418" s="687">
        <v>5000000</v>
      </c>
      <c r="Y418" s="303">
        <v>0.25</v>
      </c>
      <c r="Z418" s="687">
        <v>5000000</v>
      </c>
      <c r="AA418" s="291">
        <v>0.65</v>
      </c>
      <c r="AB418" s="687"/>
      <c r="AC418" s="669"/>
      <c r="AD418" s="669">
        <v>0.25</v>
      </c>
      <c r="AE418" s="669">
        <v>0.1</v>
      </c>
      <c r="AF418" s="669">
        <v>1</v>
      </c>
      <c r="AG418" s="341" t="s">
        <v>4764</v>
      </c>
      <c r="AH418" s="987">
        <v>2018413960019</v>
      </c>
      <c r="AI418" s="355" t="s">
        <v>5099</v>
      </c>
      <c r="AJ418" s="309">
        <v>43497</v>
      </c>
      <c r="AK418" s="356">
        <v>43799</v>
      </c>
      <c r="AL418" s="358"/>
      <c r="AM418" s="358"/>
      <c r="AN418" s="267" t="s">
        <v>2604</v>
      </c>
      <c r="AO418" s="512"/>
      <c r="AP418" s="525"/>
      <c r="AQ418" s="310"/>
      <c r="AR418" s="310"/>
      <c r="AS418" s="310"/>
      <c r="AT418" s="310"/>
      <c r="AU418" s="310"/>
      <c r="AV418" s="310"/>
      <c r="AW418" s="544"/>
      <c r="AX418" s="525"/>
      <c r="AY418" s="310"/>
      <c r="AZ418" s="310"/>
      <c r="BA418" s="310"/>
      <c r="BB418" s="310"/>
      <c r="BC418" s="310"/>
      <c r="BD418" s="310"/>
      <c r="BE418" s="544"/>
      <c r="BF418" s="525"/>
      <c r="BG418" s="310"/>
      <c r="BH418" s="310"/>
      <c r="BI418" s="310"/>
      <c r="BJ418" s="310"/>
      <c r="BK418" s="310"/>
      <c r="BL418" s="310"/>
      <c r="BM418" s="544">
        <f t="shared" si="176"/>
        <v>0</v>
      </c>
      <c r="BN418" s="525"/>
      <c r="BO418" s="310"/>
      <c r="BP418" s="310"/>
      <c r="BQ418" s="310"/>
      <c r="BR418" s="310"/>
      <c r="BS418" s="310"/>
      <c r="BT418" s="310"/>
      <c r="BU418" s="544"/>
      <c r="BV418" s="556"/>
      <c r="BW418" s="663">
        <f t="shared" si="159"/>
        <v>1.35</v>
      </c>
      <c r="BX418" s="1047">
        <f t="shared" si="170"/>
        <v>1.35</v>
      </c>
      <c r="BY418" s="1047">
        <f t="shared" si="171"/>
        <v>0</v>
      </c>
      <c r="BZ418" s="1047">
        <f t="shared" si="172"/>
        <v>1</v>
      </c>
      <c r="CA418" s="1047">
        <f t="shared" si="173"/>
        <v>0.4</v>
      </c>
      <c r="CB418" s="1047">
        <f t="shared" si="174"/>
        <v>1.5384615384615383</v>
      </c>
      <c r="CD418" t="str">
        <f t="shared" si="175"/>
        <v>ROB</v>
      </c>
      <c r="CE418" t="str">
        <f t="shared" si="175"/>
        <v>VE</v>
      </c>
      <c r="CF418" t="str">
        <f t="shared" si="175"/>
        <v>RO</v>
      </c>
      <c r="CG418" t="str">
        <f t="shared" si="175"/>
        <v>VE</v>
      </c>
    </row>
    <row r="419" spans="1:85" ht="21" hidden="1" customHeight="1" x14ac:dyDescent="0.25">
      <c r="A419" s="298" t="s">
        <v>1261</v>
      </c>
      <c r="B419" s="299" t="str">
        <f>'PLAN INDICATIVO'!B419</f>
        <v>Justicia y seguridad</v>
      </c>
      <c r="C419" s="1559"/>
      <c r="D419" s="1549"/>
      <c r="E419" s="1549"/>
      <c r="F419" s="1549"/>
      <c r="G419" s="1549"/>
      <c r="H419" s="1549"/>
      <c r="I419" s="300">
        <f>'PLAN INDICATIVO'!I419</f>
        <v>0</v>
      </c>
      <c r="J419" s="300">
        <f>'PLAN INDICATIVO'!J419</f>
        <v>0</v>
      </c>
      <c r="K419" s="1425" t="str">
        <f>'PLAN INDICATIVO'!K419</f>
        <v>A.18.1.11</v>
      </c>
      <c r="L419" s="301" t="str">
        <f>'PLAN INDICATIVO'!L419</f>
        <v>16. Paz, justicia e instituciones sólidas</v>
      </c>
      <c r="M419" s="301" t="str">
        <f>'PLAN INDICATIVO'!M419</f>
        <v>Secretaría de Gobierno</v>
      </c>
      <c r="N419" s="1425" t="str">
        <f>'PLAN INDICATIVO'!N419</f>
        <v>HERNAN RODRIGUEZ FALLA</v>
      </c>
      <c r="O419" s="1425" t="str">
        <f>'PLAN INDICATIVO'!O419</f>
        <v>Mantenimiento</v>
      </c>
      <c r="P419" s="16" t="str">
        <f>'PLAN INDICATIVO'!P419</f>
        <v>Realizar 4 reuniones de alcalde o secretario al barrio, para atender denuncias ciudadanas sobre inseguridad cada año</v>
      </c>
      <c r="Q419" s="302" t="str">
        <f>'PLAN INDICATIVO'!Q419</f>
        <v>No. de reuniones al barrio realizadas por año</v>
      </c>
      <c r="R419" s="303">
        <f>'PLAN INDICATIVO'!R419</f>
        <v>2015</v>
      </c>
      <c r="S419" s="304">
        <v>0</v>
      </c>
      <c r="T419" s="699">
        <v>16</v>
      </c>
      <c r="U419" s="303">
        <v>4</v>
      </c>
      <c r="V419" s="687">
        <v>500000</v>
      </c>
      <c r="W419" s="303">
        <v>4</v>
      </c>
      <c r="X419" s="687">
        <v>500000</v>
      </c>
      <c r="Y419" s="303">
        <v>4</v>
      </c>
      <c r="Z419" s="687">
        <v>1000000</v>
      </c>
      <c r="AA419" s="291">
        <v>4</v>
      </c>
      <c r="AB419" s="687"/>
      <c r="AC419" s="669"/>
      <c r="AD419" s="669">
        <v>8</v>
      </c>
      <c r="AE419" s="669">
        <v>4</v>
      </c>
      <c r="AF419" s="669">
        <v>4</v>
      </c>
      <c r="AG419" s="341" t="s">
        <v>4764</v>
      </c>
      <c r="AH419" s="987">
        <v>2018413960019</v>
      </c>
      <c r="AI419" s="1493" t="s">
        <v>5009</v>
      </c>
      <c r="AJ419" s="309">
        <v>43497</v>
      </c>
      <c r="AK419" s="356">
        <v>43799</v>
      </c>
      <c r="AL419" s="358"/>
      <c r="AM419" s="358"/>
      <c r="AN419" s="281" t="s">
        <v>2598</v>
      </c>
      <c r="AO419" s="513"/>
      <c r="AP419" s="525"/>
      <c r="AQ419" s="310"/>
      <c r="AR419" s="310"/>
      <c r="AS419" s="310"/>
      <c r="AT419" s="310"/>
      <c r="AU419" s="310"/>
      <c r="AV419" s="310"/>
      <c r="AW419" s="544"/>
      <c r="AX419" s="525"/>
      <c r="AY419" s="310"/>
      <c r="AZ419" s="310"/>
      <c r="BA419" s="310"/>
      <c r="BB419" s="310"/>
      <c r="BC419" s="310"/>
      <c r="BD419" s="310"/>
      <c r="BE419" s="544"/>
      <c r="BF419" s="525"/>
      <c r="BG419" s="310"/>
      <c r="BH419" s="310"/>
      <c r="BI419" s="310"/>
      <c r="BJ419" s="310"/>
      <c r="BK419" s="310"/>
      <c r="BL419" s="310"/>
      <c r="BM419" s="544">
        <f t="shared" si="176"/>
        <v>0</v>
      </c>
      <c r="BN419" s="525"/>
      <c r="BO419" s="525"/>
      <c r="BP419" s="310"/>
      <c r="BQ419" s="310"/>
      <c r="BR419" s="310"/>
      <c r="BS419" s="525"/>
      <c r="BT419" s="525"/>
      <c r="BU419" s="544"/>
      <c r="BV419" s="556"/>
      <c r="BW419" s="663">
        <f t="shared" si="159"/>
        <v>16</v>
      </c>
      <c r="BX419" s="1047">
        <f t="shared" si="170"/>
        <v>1</v>
      </c>
      <c r="BY419" s="1047">
        <f t="shared" si="171"/>
        <v>0</v>
      </c>
      <c r="BZ419" s="1047">
        <f t="shared" si="172"/>
        <v>2</v>
      </c>
      <c r="CA419" s="1047">
        <f t="shared" si="173"/>
        <v>1</v>
      </c>
      <c r="CB419" s="1047">
        <f t="shared" si="174"/>
        <v>1</v>
      </c>
      <c r="CD419" t="str">
        <f t="shared" si="175"/>
        <v>ROB</v>
      </c>
      <c r="CE419" t="str">
        <f t="shared" si="175"/>
        <v>VE</v>
      </c>
      <c r="CF419" t="str">
        <f t="shared" si="175"/>
        <v>VE</v>
      </c>
      <c r="CG419" t="str">
        <f t="shared" si="175"/>
        <v>VE</v>
      </c>
    </row>
    <row r="420" spans="1:85" ht="38.25" hidden="1" customHeight="1" x14ac:dyDescent="0.25">
      <c r="A420" s="298" t="s">
        <v>1261</v>
      </c>
      <c r="B420" s="299" t="str">
        <f>'PLAN INDICATIVO'!B420</f>
        <v>Justicia y seguridad</v>
      </c>
      <c r="C420" s="1559"/>
      <c r="D420" s="1549"/>
      <c r="E420" s="1549"/>
      <c r="F420" s="1549"/>
      <c r="G420" s="1549"/>
      <c r="H420" s="1549"/>
      <c r="I420" s="300">
        <f>'PLAN INDICATIVO'!I420</f>
        <v>0</v>
      </c>
      <c r="J420" s="300">
        <f>'PLAN INDICATIVO'!J420</f>
        <v>0</v>
      </c>
      <c r="K420" s="1425" t="str">
        <f>'PLAN INDICATIVO'!K420</f>
        <v>A.18.1.12</v>
      </c>
      <c r="L420" s="301" t="str">
        <f>'PLAN INDICATIVO'!L420</f>
        <v>16. Paz, justicia e instituciones sólidas</v>
      </c>
      <c r="M420" s="301" t="str">
        <f>'PLAN INDICATIVO'!M420</f>
        <v>Secretaría de Gobierno</v>
      </c>
      <c r="N420" s="1425" t="s">
        <v>4360</v>
      </c>
      <c r="O420" s="1425" t="str">
        <f>'PLAN INDICATIVO'!O420</f>
        <v>Incremento</v>
      </c>
      <c r="P420" s="16" t="str">
        <f>'PLAN INDICATIVO'!P420</f>
        <v>Implementar 8 planes desarme durante el cuatrienio</v>
      </c>
      <c r="Q420" s="302" t="str">
        <f>'PLAN INDICATIVO'!Q420</f>
        <v>No. De Planes de desarme implementados</v>
      </c>
      <c r="R420" s="303">
        <f>'PLAN INDICATIVO'!R420</f>
        <v>2015</v>
      </c>
      <c r="S420" s="304">
        <v>0</v>
      </c>
      <c r="T420" s="699">
        <v>8</v>
      </c>
      <c r="U420" s="303">
        <v>2</v>
      </c>
      <c r="V420" s="687">
        <v>5000000</v>
      </c>
      <c r="W420" s="303">
        <v>2</v>
      </c>
      <c r="X420" s="687">
        <v>5000000</v>
      </c>
      <c r="Y420" s="303">
        <v>2</v>
      </c>
      <c r="Z420" s="687">
        <v>8000000</v>
      </c>
      <c r="AA420" s="291">
        <v>3</v>
      </c>
      <c r="AB420" s="687"/>
      <c r="AC420" s="669"/>
      <c r="AD420" s="669">
        <v>2</v>
      </c>
      <c r="AE420" s="669">
        <v>1</v>
      </c>
      <c r="AF420" s="669">
        <v>8</v>
      </c>
      <c r="AG420" s="341" t="s">
        <v>4764</v>
      </c>
      <c r="AH420" s="987">
        <v>2018413960019</v>
      </c>
      <c r="AI420" s="355" t="s">
        <v>4897</v>
      </c>
      <c r="AJ420" s="309">
        <v>43497</v>
      </c>
      <c r="AK420" s="363">
        <v>43799</v>
      </c>
      <c r="AL420" s="358"/>
      <c r="AM420" s="358"/>
      <c r="AN420" s="281" t="s">
        <v>2604</v>
      </c>
      <c r="AO420" s="513"/>
      <c r="AP420" s="525"/>
      <c r="AQ420" s="310"/>
      <c r="AR420" s="310"/>
      <c r="AS420" s="310"/>
      <c r="AT420" s="310"/>
      <c r="AU420" s="310"/>
      <c r="AV420" s="310"/>
      <c r="AW420" s="544"/>
      <c r="AX420" s="525"/>
      <c r="AY420" s="310"/>
      <c r="AZ420" s="310"/>
      <c r="BA420" s="310"/>
      <c r="BB420" s="310"/>
      <c r="BC420" s="310"/>
      <c r="BD420" s="310"/>
      <c r="BE420" s="544"/>
      <c r="BF420" s="525"/>
      <c r="BG420" s="310"/>
      <c r="BH420" s="310"/>
      <c r="BI420" s="310"/>
      <c r="BJ420" s="310"/>
      <c r="BK420" s="310"/>
      <c r="BL420" s="310"/>
      <c r="BM420" s="544">
        <f t="shared" si="176"/>
        <v>0</v>
      </c>
      <c r="BN420" s="525"/>
      <c r="BO420" s="310"/>
      <c r="BP420" s="310"/>
      <c r="BQ420" s="310"/>
      <c r="BR420" s="310"/>
      <c r="BS420" s="310"/>
      <c r="BT420" s="310"/>
      <c r="BU420" s="544"/>
      <c r="BV420" s="556"/>
      <c r="BW420" s="663">
        <f t="shared" si="159"/>
        <v>11</v>
      </c>
      <c r="BX420" s="1047">
        <f t="shared" si="170"/>
        <v>1.375</v>
      </c>
      <c r="BY420" s="1047">
        <f t="shared" si="171"/>
        <v>0</v>
      </c>
      <c r="BZ420" s="1047">
        <f t="shared" si="172"/>
        <v>1</v>
      </c>
      <c r="CA420" s="1047">
        <f t="shared" si="173"/>
        <v>0.5</v>
      </c>
      <c r="CB420" s="1047">
        <f t="shared" si="174"/>
        <v>2.6666666666666665</v>
      </c>
      <c r="CD420" t="str">
        <f t="shared" si="175"/>
        <v>ROB</v>
      </c>
      <c r="CE420" t="str">
        <f t="shared" si="175"/>
        <v>VE</v>
      </c>
      <c r="CF420" t="str">
        <f t="shared" si="175"/>
        <v>AMB</v>
      </c>
      <c r="CG420" t="str">
        <f t="shared" si="175"/>
        <v>VE</v>
      </c>
    </row>
    <row r="421" spans="1:85" ht="28.5" hidden="1" customHeight="1" x14ac:dyDescent="0.25">
      <c r="A421" s="298" t="s">
        <v>1261</v>
      </c>
      <c r="B421" s="299" t="str">
        <f>'PLAN INDICATIVO'!B421</f>
        <v>Justicia y seguridad</v>
      </c>
      <c r="C421" s="1559"/>
      <c r="D421" s="1549"/>
      <c r="E421" s="1549"/>
      <c r="F421" s="1549"/>
      <c r="G421" s="1549"/>
      <c r="H421" s="1549"/>
      <c r="I421" s="300">
        <f>'PLAN INDICATIVO'!I421</f>
        <v>0</v>
      </c>
      <c r="J421" s="300">
        <f>'PLAN INDICATIVO'!J421</f>
        <v>0</v>
      </c>
      <c r="K421" s="1425" t="str">
        <f>'PLAN INDICATIVO'!K421</f>
        <v>A.18.1.13</v>
      </c>
      <c r="L421" s="301" t="str">
        <f>'PLAN INDICATIVO'!L421</f>
        <v>16. Paz, justicia e instituciones sólidas</v>
      </c>
      <c r="M421" s="301" t="str">
        <f>'PLAN INDICATIVO'!M421</f>
        <v>Secretaría de Gobierno</v>
      </c>
      <c r="N421" s="1425" t="str">
        <f>'PLAN INDICATIVO'!N421</f>
        <v>HERNAN RODRIGUEZ FALLA</v>
      </c>
      <c r="O421" s="1425" t="str">
        <f>'PLAN INDICATIVO'!O421</f>
        <v>Incremento</v>
      </c>
      <c r="P421" s="16" t="str">
        <f>'PLAN INDICATIVO'!P421</f>
        <v>Fortalecer 1 línea 123 durante el cuatrienio</v>
      </c>
      <c r="Q421" s="302" t="str">
        <f>'PLAN INDICATIVO'!Q421</f>
        <v>No. De Línea 123 fortalecida</v>
      </c>
      <c r="R421" s="303">
        <f>'PLAN INDICATIVO'!R421</f>
        <v>2015</v>
      </c>
      <c r="S421" s="304">
        <v>0</v>
      </c>
      <c r="T421" s="699">
        <v>1</v>
      </c>
      <c r="U421" s="303">
        <v>1</v>
      </c>
      <c r="V421" s="687">
        <v>6500000</v>
      </c>
      <c r="W421" s="303">
        <v>1</v>
      </c>
      <c r="X421" s="687">
        <v>15000000</v>
      </c>
      <c r="Y421" s="303">
        <v>0</v>
      </c>
      <c r="Z421" s="687"/>
      <c r="AA421" s="291"/>
      <c r="AB421" s="687"/>
      <c r="AC421" s="669"/>
      <c r="AD421" s="669">
        <v>1</v>
      </c>
      <c r="AE421" s="669"/>
      <c r="AF421" s="669"/>
      <c r="AG421" s="341" t="s">
        <v>4764</v>
      </c>
      <c r="AH421" s="987">
        <v>2018413960019</v>
      </c>
      <c r="AI421" s="355"/>
      <c r="AJ421" s="309"/>
      <c r="AK421" s="356"/>
      <c r="AL421" s="358"/>
      <c r="AM421" s="358"/>
      <c r="AN421" s="267" t="s">
        <v>2594</v>
      </c>
      <c r="AO421" s="512"/>
      <c r="AP421" s="525"/>
      <c r="AQ421" s="310"/>
      <c r="AR421" s="310"/>
      <c r="AS421" s="310"/>
      <c r="AT421" s="310"/>
      <c r="AU421" s="310"/>
      <c r="AV421" s="310"/>
      <c r="AW421" s="544"/>
      <c r="AX421" s="525"/>
      <c r="AY421" s="310"/>
      <c r="AZ421" s="310"/>
      <c r="BA421" s="310"/>
      <c r="BB421" s="310"/>
      <c r="BC421" s="310"/>
      <c r="BD421" s="310"/>
      <c r="BE421" s="544"/>
      <c r="BF421" s="525"/>
      <c r="BG421" s="310"/>
      <c r="BH421" s="310"/>
      <c r="BI421" s="310"/>
      <c r="BJ421" s="310"/>
      <c r="BK421" s="310"/>
      <c r="BL421" s="310"/>
      <c r="BM421" s="544">
        <f t="shared" si="176"/>
        <v>0</v>
      </c>
      <c r="BN421" s="525"/>
      <c r="BO421" s="310"/>
      <c r="BP421" s="310"/>
      <c r="BQ421" s="310"/>
      <c r="BR421" s="310"/>
      <c r="BS421" s="310"/>
      <c r="BT421" s="310"/>
      <c r="BU421" s="544"/>
      <c r="BV421" s="556"/>
      <c r="BW421" s="663">
        <f t="shared" si="159"/>
        <v>1</v>
      </c>
      <c r="BX421" s="1047">
        <f t="shared" si="170"/>
        <v>1</v>
      </c>
      <c r="BY421" s="1047">
        <f t="shared" si="171"/>
        <v>0</v>
      </c>
      <c r="BZ421" s="1047">
        <f t="shared" si="172"/>
        <v>1</v>
      </c>
      <c r="CA421" s="1047" t="str">
        <f t="shared" si="173"/>
        <v>Aplazada</v>
      </c>
      <c r="CB421" s="1047" t="str">
        <f t="shared" si="174"/>
        <v>No Programada</v>
      </c>
      <c r="CD421" t="str">
        <f t="shared" si="175"/>
        <v>ROB</v>
      </c>
      <c r="CE421" t="str">
        <f t="shared" si="175"/>
        <v>VE</v>
      </c>
      <c r="CF421" t="str">
        <f t="shared" si="175"/>
        <v>AZ</v>
      </c>
      <c r="CG421" t="str">
        <f t="shared" si="175"/>
        <v>NP</v>
      </c>
    </row>
    <row r="422" spans="1:85" ht="85.5" customHeight="1" x14ac:dyDescent="0.3">
      <c r="A422" s="298" t="s">
        <v>1261</v>
      </c>
      <c r="B422" s="299" t="str">
        <f>'PLAN INDICATIVO'!B422</f>
        <v>Justicia y seguridad</v>
      </c>
      <c r="C422" s="1559"/>
      <c r="D422" s="1549"/>
      <c r="E422" s="1549"/>
      <c r="F422" s="1549"/>
      <c r="G422" s="1549"/>
      <c r="H422" s="1549"/>
      <c r="I422" s="300">
        <f>'PLAN INDICATIVO'!I422</f>
        <v>0</v>
      </c>
      <c r="J422" s="300">
        <f>'PLAN INDICATIVO'!J422</f>
        <v>0</v>
      </c>
      <c r="K422" s="1425" t="str">
        <f>'PLAN INDICATIVO'!K422</f>
        <v>A.18.1.14</v>
      </c>
      <c r="L422" s="301" t="str">
        <f>'PLAN INDICATIVO'!L422</f>
        <v>16. Paz, justicia e instituciones sólidas</v>
      </c>
      <c r="M422" s="301" t="str">
        <f>'PLAN INDICATIVO'!M422</f>
        <v>Secretaría de Gobierno</v>
      </c>
      <c r="N422" s="1513" t="s">
        <v>5126</v>
      </c>
      <c r="O422" s="1425" t="str">
        <f>'PLAN INDICATIVO'!O422</f>
        <v>Mantenimiento</v>
      </c>
      <c r="P422" s="16" t="str">
        <f>'PLAN INDICATIVO'!P422</f>
        <v>Realizar 1 plan de apoyo para comisarios de familia, médicos, psicólogos y trabajadores sociales de las comisarías de familia, cada año</v>
      </c>
      <c r="Q422" s="302" t="str">
        <f>'PLAN INDICATIVO'!Q422</f>
        <v>No. de planes implementados por año</v>
      </c>
      <c r="R422" s="303">
        <f>'PLAN INDICATIVO'!R422</f>
        <v>2015</v>
      </c>
      <c r="S422" s="304">
        <v>0</v>
      </c>
      <c r="T422" s="699">
        <v>1</v>
      </c>
      <c r="U422" s="934">
        <v>0.25</v>
      </c>
      <c r="V422" s="687">
        <v>54290000</v>
      </c>
      <c r="W422" s="934">
        <v>0.25</v>
      </c>
      <c r="X422" s="687">
        <v>20500000</v>
      </c>
      <c r="Y422" s="934">
        <v>0.25</v>
      </c>
      <c r="Z422" s="687">
        <v>10000000</v>
      </c>
      <c r="AA422" s="1311">
        <v>0.25</v>
      </c>
      <c r="AB422" s="686">
        <v>35000000</v>
      </c>
      <c r="AC422" s="669"/>
      <c r="AD422" s="669">
        <v>0.25</v>
      </c>
      <c r="AE422" s="669">
        <v>0.25</v>
      </c>
      <c r="AF422" s="669">
        <v>0.25</v>
      </c>
      <c r="AG422" s="341" t="s">
        <v>5159</v>
      </c>
      <c r="AH422" s="987">
        <v>2019413960026</v>
      </c>
      <c r="AI422" s="355"/>
      <c r="AJ422" s="309">
        <v>43497</v>
      </c>
      <c r="AK422" s="359">
        <v>43829</v>
      </c>
      <c r="AL422" s="358"/>
      <c r="AM422" s="358"/>
      <c r="AN422" s="267" t="s">
        <v>2598</v>
      </c>
      <c r="AO422" s="512"/>
      <c r="AP422" s="525"/>
      <c r="AQ422" s="310"/>
      <c r="AR422" s="310"/>
      <c r="AS422" s="310"/>
      <c r="AT422" s="310"/>
      <c r="AU422" s="310"/>
      <c r="AV422" s="310"/>
      <c r="AW422" s="544"/>
      <c r="AX422" s="525"/>
      <c r="AY422" s="310"/>
      <c r="AZ422" s="310"/>
      <c r="BA422" s="310"/>
      <c r="BB422" s="310"/>
      <c r="BC422" s="310"/>
      <c r="BD422" s="310"/>
      <c r="BE422" s="544"/>
      <c r="BF422" s="525"/>
      <c r="BG422" s="310"/>
      <c r="BH422" s="310"/>
      <c r="BI422" s="310"/>
      <c r="BJ422" s="310"/>
      <c r="BK422" s="310"/>
      <c r="BL422" s="310"/>
      <c r="BM422" s="544">
        <f t="shared" si="176"/>
        <v>0</v>
      </c>
      <c r="BN422" s="525"/>
      <c r="BO422" s="310"/>
      <c r="BP422" s="310"/>
      <c r="BQ422" s="310"/>
      <c r="BR422" s="310"/>
      <c r="BS422" s="310"/>
      <c r="BT422" s="310"/>
      <c r="BU422" s="544"/>
      <c r="BV422" s="556"/>
      <c r="BW422" s="663">
        <f t="shared" si="159"/>
        <v>0.75</v>
      </c>
      <c r="BX422" s="1047">
        <f t="shared" si="170"/>
        <v>0.75</v>
      </c>
      <c r="BY422" s="1047">
        <f t="shared" si="171"/>
        <v>0</v>
      </c>
      <c r="BZ422" s="1047">
        <f t="shared" si="172"/>
        <v>1</v>
      </c>
      <c r="CA422" s="1047">
        <f t="shared" si="173"/>
        <v>1</v>
      </c>
      <c r="CB422" s="1047">
        <f t="shared" si="174"/>
        <v>1</v>
      </c>
      <c r="CD422" t="str">
        <f t="shared" si="175"/>
        <v>ROB</v>
      </c>
      <c r="CE422" t="str">
        <f t="shared" si="175"/>
        <v>VE</v>
      </c>
      <c r="CF422" t="str">
        <f t="shared" si="175"/>
        <v>VE</v>
      </c>
      <c r="CG422" t="str">
        <f t="shared" si="175"/>
        <v>VE</v>
      </c>
    </row>
    <row r="423" spans="1:85" ht="85.5" hidden="1" customHeight="1" x14ac:dyDescent="0.25">
      <c r="A423" s="298" t="s">
        <v>1261</v>
      </c>
      <c r="B423" s="299" t="str">
        <f>'PLAN INDICATIVO'!B423</f>
        <v>Justicia y seguridad</v>
      </c>
      <c r="C423" s="1559"/>
      <c r="D423" s="1549"/>
      <c r="E423" s="1549"/>
      <c r="F423" s="1425"/>
      <c r="G423" s="1549"/>
      <c r="H423" s="1549"/>
      <c r="I423" s="300" t="s">
        <v>4765</v>
      </c>
      <c r="J423" s="300">
        <f>'PLAN INDICATIVO'!J423</f>
        <v>0</v>
      </c>
      <c r="K423" s="1425" t="str">
        <f>'PLAN INDICATIVO'!K423</f>
        <v>A.18.1.15</v>
      </c>
      <c r="L423" s="301" t="str">
        <f>'PLAN INDICATIVO'!L423</f>
        <v>16. Paz, justicia e instituciones sólidas</v>
      </c>
      <c r="M423" s="301" t="str">
        <f>'PLAN INDICATIVO'!M423</f>
        <v>Secretaría de Gobierno</v>
      </c>
      <c r="N423" s="1425" t="str">
        <f>'PLAN INDICATIVO'!N423</f>
        <v>HERNAN RODRIGUEZ FALLA</v>
      </c>
      <c r="O423" s="1372"/>
      <c r="P423" s="16" t="str">
        <f>'PLAN INDICATIVO'!P423</f>
        <v>Construir una infraestructura para el centro de entrenamiento y reentrenamiento del municipio de La Plata</v>
      </c>
      <c r="Q423" s="302" t="str">
        <f>'PLAN INDICATIVO'!Q423</f>
        <v>Infraestructura construida</v>
      </c>
      <c r="R423" s="303"/>
      <c r="S423" s="304"/>
      <c r="T423" s="699">
        <v>1</v>
      </c>
      <c r="U423" s="934"/>
      <c r="V423" s="687"/>
      <c r="W423" s="934"/>
      <c r="X423" s="687"/>
      <c r="Y423" s="934">
        <v>1</v>
      </c>
      <c r="Z423" s="687"/>
      <c r="AA423" s="1311"/>
      <c r="AB423" s="686"/>
      <c r="AC423" s="669"/>
      <c r="AD423" s="669"/>
      <c r="AE423" s="669">
        <v>1</v>
      </c>
      <c r="AF423" s="669"/>
      <c r="AG423" s="341"/>
      <c r="AH423" s="987"/>
      <c r="AI423" s="355"/>
      <c r="AJ423" s="309"/>
      <c r="AK423" s="359"/>
      <c r="AL423" s="358"/>
      <c r="AM423" s="358"/>
      <c r="AN423" s="267"/>
      <c r="AO423" s="512"/>
      <c r="AP423" s="525"/>
      <c r="AQ423" s="766"/>
      <c r="AR423" s="766"/>
      <c r="AS423" s="766"/>
      <c r="AT423" s="766"/>
      <c r="AU423" s="766"/>
      <c r="AV423" s="766"/>
      <c r="AW423" s="544"/>
      <c r="AX423" s="525"/>
      <c r="AY423" s="766"/>
      <c r="AZ423" s="766"/>
      <c r="BA423" s="766"/>
      <c r="BB423" s="766"/>
      <c r="BC423" s="766"/>
      <c r="BD423" s="766"/>
      <c r="BE423" s="544"/>
      <c r="BF423" s="525"/>
      <c r="BG423" s="766"/>
      <c r="BH423" s="766"/>
      <c r="BI423" s="766"/>
      <c r="BJ423" s="766"/>
      <c r="BK423" s="766"/>
      <c r="BL423" s="766"/>
      <c r="BM423" s="544"/>
      <c r="BN423" s="525"/>
      <c r="BO423" s="766"/>
      <c r="BP423" s="766"/>
      <c r="BQ423" s="766"/>
      <c r="BR423" s="766"/>
      <c r="BS423" s="766"/>
      <c r="BT423" s="766"/>
      <c r="BU423" s="544"/>
      <c r="BV423" s="556"/>
      <c r="BW423" s="663">
        <f t="shared" si="159"/>
        <v>1</v>
      </c>
      <c r="BX423" s="1047">
        <f t="shared" si="170"/>
        <v>1</v>
      </c>
      <c r="BY423" s="1047" t="str">
        <f t="shared" si="171"/>
        <v>No Programada</v>
      </c>
      <c r="BZ423" s="1047" t="str">
        <f t="shared" si="172"/>
        <v>No Programada</v>
      </c>
      <c r="CA423" s="1047">
        <f t="shared" si="173"/>
        <v>1</v>
      </c>
      <c r="CB423" s="1047" t="str">
        <f t="shared" si="174"/>
        <v>No Programada</v>
      </c>
      <c r="CD423" t="str">
        <f t="shared" si="175"/>
        <v>NP</v>
      </c>
      <c r="CE423" t="str">
        <f t="shared" si="175"/>
        <v>NP</v>
      </c>
      <c r="CF423" t="str">
        <f t="shared" si="175"/>
        <v>VE</v>
      </c>
      <c r="CG423" t="str">
        <f t="shared" si="175"/>
        <v>NP</v>
      </c>
    </row>
    <row r="424" spans="1:85" ht="23.25" customHeight="1" x14ac:dyDescent="0.3">
      <c r="A424" s="295"/>
      <c r="B424" s="24" t="str">
        <f>'PLAN INDICATIVO'!B424</f>
        <v>Justicia y seguridad</v>
      </c>
      <c r="C424" s="1574" t="s">
        <v>1307</v>
      </c>
      <c r="D424" s="1575"/>
      <c r="E424" s="1575"/>
      <c r="F424" s="1575"/>
      <c r="G424" s="1575"/>
      <c r="H424" s="1575"/>
      <c r="I424" s="1575"/>
      <c r="J424" s="1575"/>
      <c r="K424" s="1575"/>
      <c r="L424" s="1575"/>
      <c r="M424" s="1575"/>
      <c r="N424" s="1575"/>
      <c r="O424" s="1576"/>
      <c r="P424" s="22"/>
      <c r="Q424" s="22"/>
      <c r="R424" s="1"/>
      <c r="S424" s="261"/>
      <c r="T424" s="681"/>
      <c r="U424" s="261"/>
      <c r="V424" s="689">
        <f>SUM(V425:V437)</f>
        <v>82500000</v>
      </c>
      <c r="W424" s="261"/>
      <c r="X424" s="689">
        <f>SUM(X425:X437)</f>
        <v>97000000</v>
      </c>
      <c r="Y424" s="261"/>
      <c r="Z424" s="689">
        <f>SUM(Z425:Z437)</f>
        <v>72000000</v>
      </c>
      <c r="AA424" s="261"/>
      <c r="AB424" s="689">
        <f>SUM(AB425:AB437)</f>
        <v>143000000</v>
      </c>
      <c r="AC424" s="261"/>
      <c r="AD424" s="261"/>
      <c r="AE424" s="261"/>
      <c r="AF424" s="261"/>
      <c r="AG424" s="273"/>
      <c r="AH424" s="273"/>
      <c r="AI424" s="273"/>
      <c r="AJ424" s="261"/>
      <c r="AK424" s="261"/>
      <c r="AL424" s="261"/>
      <c r="AM424" s="261"/>
      <c r="AN424" s="261"/>
      <c r="AO424" s="635"/>
      <c r="AP424" s="616"/>
      <c r="AQ424" s="616"/>
      <c r="AR424" s="616"/>
      <c r="AS424" s="616"/>
      <c r="AT424" s="616"/>
      <c r="AU424" s="616"/>
      <c r="AV424" s="616"/>
      <c r="AW424" s="617"/>
      <c r="AX424" s="616"/>
      <c r="AY424" s="616"/>
      <c r="AZ424" s="616"/>
      <c r="BA424" s="616"/>
      <c r="BB424" s="616"/>
      <c r="BC424" s="616"/>
      <c r="BD424" s="616"/>
      <c r="BE424" s="617"/>
      <c r="BF424" s="616"/>
      <c r="BG424" s="616"/>
      <c r="BH424" s="616"/>
      <c r="BI424" s="616"/>
      <c r="BJ424" s="616"/>
      <c r="BK424" s="616"/>
      <c r="BL424" s="616"/>
      <c r="BM424" s="617">
        <f t="shared" si="176"/>
        <v>0</v>
      </c>
      <c r="BN424" s="616"/>
      <c r="BO424" s="616"/>
      <c r="BP424" s="616"/>
      <c r="BQ424" s="616"/>
      <c r="BR424" s="616"/>
      <c r="BS424" s="616"/>
      <c r="BT424" s="616"/>
      <c r="BU424" s="617"/>
      <c r="BV424" s="556"/>
      <c r="BW424" s="617" t="s">
        <v>2717</v>
      </c>
      <c r="BX424" s="617" t="s">
        <v>2717</v>
      </c>
      <c r="BY424" s="617" t="s">
        <v>2717</v>
      </c>
      <c r="BZ424" s="617" t="s">
        <v>2717</v>
      </c>
      <c r="CA424" s="617" t="s">
        <v>2717</v>
      </c>
      <c r="CB424" s="1047" t="s">
        <v>2717</v>
      </c>
    </row>
    <row r="425" spans="1:85" ht="10.5" hidden="1" customHeight="1" x14ac:dyDescent="0.25">
      <c r="A425" s="298" t="s">
        <v>1261</v>
      </c>
      <c r="B425" s="299" t="str">
        <f>'PLAN INDICATIVO'!B425</f>
        <v>Justicia y seguridad</v>
      </c>
      <c r="C425" s="1546" t="s">
        <v>1308</v>
      </c>
      <c r="D425" s="1549" t="s">
        <v>1309</v>
      </c>
      <c r="E425" s="1549" t="s">
        <v>1310</v>
      </c>
      <c r="F425" s="1549">
        <v>2015</v>
      </c>
      <c r="G425" s="1549" t="s">
        <v>1311</v>
      </c>
      <c r="H425" s="1549">
        <v>270</v>
      </c>
      <c r="I425" s="300">
        <f>'PLAN INDICATIVO'!I425</f>
        <v>0</v>
      </c>
      <c r="J425" s="300">
        <f>'PLAN INDICATIVO'!J425</f>
        <v>0</v>
      </c>
      <c r="K425" s="1425" t="str">
        <f>'PLAN INDICATIVO'!K425</f>
        <v>A.18.2.1</v>
      </c>
      <c r="L425" s="301" t="str">
        <f>'PLAN INDICATIVO'!L425</f>
        <v>16. Paz, justicia e instituciones sólidas</v>
      </c>
      <c r="M425" s="301" t="str">
        <f>'PLAN INDICATIVO'!M425</f>
        <v>Secretaría de Gobierno</v>
      </c>
      <c r="N425" s="1524" t="s">
        <v>5126</v>
      </c>
      <c r="O425" s="1425" t="str">
        <f>'PLAN INDICATIVO'!O425</f>
        <v>Incremento</v>
      </c>
      <c r="P425" s="16" t="str">
        <f>'PLAN INDICATIVO'!P425</f>
        <v>Instalar 10 nuevas cámaras de seguridad y lograr su funcionamiento durante el cuatrienio</v>
      </c>
      <c r="Q425" s="302" t="str">
        <f>'PLAN INDICATIVO'!Q425</f>
        <v>No. de cámaras instaladas</v>
      </c>
      <c r="R425" s="303">
        <f>'PLAN INDICATIVO'!R425</f>
        <v>2015</v>
      </c>
      <c r="S425" s="304">
        <v>0</v>
      </c>
      <c r="T425" s="699">
        <v>10</v>
      </c>
      <c r="U425" s="303">
        <v>6</v>
      </c>
      <c r="V425" s="687">
        <v>5000000</v>
      </c>
      <c r="W425" s="303">
        <v>0</v>
      </c>
      <c r="X425" s="687">
        <v>6000000</v>
      </c>
      <c r="Y425" s="303"/>
      <c r="Z425" s="687">
        <v>1000000</v>
      </c>
      <c r="AA425" s="291">
        <v>10</v>
      </c>
      <c r="AB425" s="687"/>
      <c r="AC425" s="669">
        <v>0</v>
      </c>
      <c r="AD425" s="669">
        <v>0</v>
      </c>
      <c r="AE425" s="669"/>
      <c r="AF425" s="669">
        <v>2</v>
      </c>
      <c r="AG425" s="341" t="s">
        <v>4766</v>
      </c>
      <c r="AH425" s="987">
        <v>2018413960043</v>
      </c>
      <c r="AI425" s="355" t="s">
        <v>4859</v>
      </c>
      <c r="AJ425" s="309">
        <v>43497</v>
      </c>
      <c r="AK425" s="356">
        <v>43768</v>
      </c>
      <c r="AL425" s="358"/>
      <c r="AM425" s="358"/>
      <c r="AN425" s="267" t="s">
        <v>2594</v>
      </c>
      <c r="AO425" s="512"/>
      <c r="AP425" s="525"/>
      <c r="AQ425" s="310"/>
      <c r="AR425" s="310"/>
      <c r="AS425" s="310"/>
      <c r="AT425" s="310"/>
      <c r="AU425" s="310"/>
      <c r="AV425" s="310"/>
      <c r="AW425" s="544"/>
      <c r="AX425" s="525"/>
      <c r="AY425" s="310"/>
      <c r="AZ425" s="310"/>
      <c r="BA425" s="310"/>
      <c r="BB425" s="310"/>
      <c r="BC425" s="310"/>
      <c r="BD425" s="310"/>
      <c r="BE425" s="544"/>
      <c r="BF425" s="525"/>
      <c r="BG425" s="310"/>
      <c r="BH425" s="310"/>
      <c r="BI425" s="310"/>
      <c r="BJ425" s="310"/>
      <c r="BK425" s="310"/>
      <c r="BL425" s="310"/>
      <c r="BM425" s="544">
        <f t="shared" si="176"/>
        <v>0</v>
      </c>
      <c r="BN425" s="525"/>
      <c r="BO425" s="310"/>
      <c r="BP425" s="310"/>
      <c r="BQ425" s="310"/>
      <c r="BR425" s="310"/>
      <c r="BS425" s="310"/>
      <c r="BT425" s="310"/>
      <c r="BU425" s="544"/>
      <c r="BV425" s="556"/>
      <c r="BW425" s="663">
        <f t="shared" si="159"/>
        <v>2</v>
      </c>
      <c r="BX425" s="1047">
        <f t="shared" si="170"/>
        <v>0.2</v>
      </c>
      <c r="BY425" s="1047">
        <f t="shared" ref="BY425:BY437" si="177">IF(U425&gt;=0.1,AC425/U425,IF(ISBLANK(U425),"No Programada","Aplazada"))</f>
        <v>0</v>
      </c>
      <c r="BZ425" s="1047" t="str">
        <f t="shared" ref="BZ425:BZ437" si="178">IF(W425&gt;=0.1,AD425/W425,IF(ISBLANK(W425),"No Programada","Aplazada"))</f>
        <v>Aplazada</v>
      </c>
      <c r="CA425" s="1047" t="str">
        <f t="shared" ref="CA425:CA437" si="179">IF(Y425&gt;=0.1,AE425/Y425,IF(ISBLANK(Y425),"No Programada","Aplazada"))</f>
        <v>No Programada</v>
      </c>
      <c r="CB425" s="1047">
        <f t="shared" ref="CB425:CB437" si="180">IF(AA425&gt;=0.1,AF425/AA425,IF(ISBLANK(AA425),"No Programada","Aplazada"))</f>
        <v>0.2</v>
      </c>
      <c r="CD425" t="str">
        <f t="shared" ref="CD425:CG437" si="181">IF(BY425="PARA MODIFICAR","M",IF(BY425="PARA ELIMINAR","E",IF(BY425="aplazada","AZ",IF(BY425="no programada","NP",IF(BY425&gt;=85%,"VE",IF(BY425&gt;70%,"VEB",IF(BY425&gt;60%,"AM",IF(BY425&gt;40%,"AMB",IF(BY425&gt;20%,"RO",IF(BY425&gt;=0%,"ROB",""))))))))))</f>
        <v>ROB</v>
      </c>
      <c r="CE425" t="str">
        <f t="shared" si="181"/>
        <v>AZ</v>
      </c>
      <c r="CF425" t="str">
        <f t="shared" si="181"/>
        <v>NP</v>
      </c>
      <c r="CG425" t="str">
        <f t="shared" si="181"/>
        <v>ROB</v>
      </c>
    </row>
    <row r="426" spans="1:85" ht="78" customHeight="1" x14ac:dyDescent="0.3">
      <c r="A426" s="298" t="s">
        <v>1261</v>
      </c>
      <c r="B426" s="299" t="str">
        <f>'PLAN INDICATIVO'!B426</f>
        <v>Justicia y seguridad</v>
      </c>
      <c r="C426" s="1547"/>
      <c r="D426" s="1549"/>
      <c r="E426" s="1549"/>
      <c r="F426" s="1549"/>
      <c r="G426" s="1549"/>
      <c r="H426" s="1549"/>
      <c r="I426" s="300">
        <f>'PLAN INDICATIVO'!I426</f>
        <v>0</v>
      </c>
      <c r="J426" s="300">
        <f>'PLAN INDICATIVO'!J426</f>
        <v>0</v>
      </c>
      <c r="K426" s="1425" t="str">
        <f>'PLAN INDICATIVO'!K426</f>
        <v>A.18.2.2</v>
      </c>
      <c r="L426" s="301" t="str">
        <f>'PLAN INDICATIVO'!L426</f>
        <v>16. Paz, justicia e instituciones sólidas</v>
      </c>
      <c r="M426" s="301" t="str">
        <f>'PLAN INDICATIVO'!M426</f>
        <v>Secretaría de Gobierno</v>
      </c>
      <c r="N426" s="1513" t="s">
        <v>5126</v>
      </c>
      <c r="O426" s="1425" t="str">
        <f>'PLAN INDICATIVO'!O426</f>
        <v>Mantenimiento</v>
      </c>
      <c r="P426" s="16" t="str">
        <f>'PLAN INDICATIVO'!P426</f>
        <v xml:space="preserve">Implementar 1 plan de mantenimiento anual a las cámaras de seguridad existentes en el municipio, durante el cuatrienio. </v>
      </c>
      <c r="Q426" s="302" t="str">
        <f>'PLAN INDICATIVO'!Q426</f>
        <v>No. de planes de mantenimiento de cámaras de seguridad implementados</v>
      </c>
      <c r="R426" s="303">
        <f>'PLAN INDICATIVO'!R426</f>
        <v>2015</v>
      </c>
      <c r="S426" s="304">
        <v>1</v>
      </c>
      <c r="T426" s="699">
        <v>1</v>
      </c>
      <c r="U426" s="303">
        <v>0.25</v>
      </c>
      <c r="V426" s="687">
        <v>5000000</v>
      </c>
      <c r="W426" s="303">
        <v>0</v>
      </c>
      <c r="X426" s="687">
        <v>1000000</v>
      </c>
      <c r="Y426" s="303">
        <v>0.25</v>
      </c>
      <c r="Z426" s="687">
        <v>1000000</v>
      </c>
      <c r="AA426" s="291">
        <v>0.3</v>
      </c>
      <c r="AB426" s="686">
        <v>30000000</v>
      </c>
      <c r="AC426" s="669"/>
      <c r="AD426" s="669">
        <v>0.05</v>
      </c>
      <c r="AE426" s="669">
        <v>0.2</v>
      </c>
      <c r="AF426" s="669">
        <v>3</v>
      </c>
      <c r="AG426" s="341" t="s">
        <v>5159</v>
      </c>
      <c r="AH426" s="987">
        <v>2019413960026</v>
      </c>
      <c r="AI426" s="355" t="s">
        <v>4860</v>
      </c>
      <c r="AJ426" s="309">
        <v>43497</v>
      </c>
      <c r="AK426" s="356">
        <v>43738</v>
      </c>
      <c r="AL426" s="358"/>
      <c r="AM426" s="358"/>
      <c r="AN426" s="267" t="s">
        <v>2604</v>
      </c>
      <c r="AO426" s="512"/>
      <c r="AP426" s="525"/>
      <c r="AQ426" s="310"/>
      <c r="AR426" s="310"/>
      <c r="AS426" s="310"/>
      <c r="AT426" s="310"/>
      <c r="AU426" s="310"/>
      <c r="AV426" s="310"/>
      <c r="AW426" s="544"/>
      <c r="AX426" s="525"/>
      <c r="AY426" s="310"/>
      <c r="AZ426" s="310"/>
      <c r="BA426" s="310"/>
      <c r="BB426" s="310"/>
      <c r="BC426" s="310"/>
      <c r="BD426" s="310"/>
      <c r="BE426" s="544"/>
      <c r="BF426" s="525"/>
      <c r="BG426" s="310"/>
      <c r="BH426" s="310"/>
      <c r="BI426" s="310"/>
      <c r="BJ426" s="310"/>
      <c r="BK426" s="310"/>
      <c r="BL426" s="310"/>
      <c r="BM426" s="544">
        <f t="shared" si="176"/>
        <v>0</v>
      </c>
      <c r="BN426" s="525"/>
      <c r="BO426" s="310"/>
      <c r="BP426" s="310"/>
      <c r="BQ426" s="310"/>
      <c r="BR426" s="310"/>
      <c r="BS426" s="310"/>
      <c r="BT426" s="310"/>
      <c r="BU426" s="544"/>
      <c r="BV426" s="556"/>
      <c r="BW426" s="663">
        <f t="shared" si="159"/>
        <v>3.25</v>
      </c>
      <c r="BX426" s="1047">
        <f t="shared" si="170"/>
        <v>3.25</v>
      </c>
      <c r="BY426" s="1047">
        <f t="shared" si="177"/>
        <v>0</v>
      </c>
      <c r="BZ426" s="1047" t="str">
        <f t="shared" si="178"/>
        <v>Aplazada</v>
      </c>
      <c r="CA426" s="1047">
        <f t="shared" si="179"/>
        <v>0.8</v>
      </c>
      <c r="CB426" s="1047">
        <f t="shared" si="180"/>
        <v>10</v>
      </c>
      <c r="CD426" t="str">
        <f t="shared" si="181"/>
        <v>ROB</v>
      </c>
      <c r="CE426" t="str">
        <f t="shared" si="181"/>
        <v>AZ</v>
      </c>
      <c r="CF426" t="str">
        <f t="shared" si="181"/>
        <v>VEB</v>
      </c>
      <c r="CG426" t="str">
        <f t="shared" si="181"/>
        <v>VE</v>
      </c>
    </row>
    <row r="427" spans="1:85" ht="64.5" customHeight="1" x14ac:dyDescent="0.3">
      <c r="A427" s="298" t="s">
        <v>1261</v>
      </c>
      <c r="B427" s="299" t="str">
        <f>'PLAN INDICATIVO'!B427</f>
        <v>Justicia y seguridad</v>
      </c>
      <c r="C427" s="1547"/>
      <c r="D427" s="1549"/>
      <c r="E427" s="1549"/>
      <c r="F427" s="1549"/>
      <c r="G427" s="1549"/>
      <c r="H427" s="1549"/>
      <c r="I427" s="300">
        <f>'PLAN INDICATIVO'!I427</f>
        <v>0</v>
      </c>
      <c r="J427" s="300">
        <f>'PLAN INDICATIVO'!J427</f>
        <v>0</v>
      </c>
      <c r="K427" s="1425" t="str">
        <f>'PLAN INDICATIVO'!K427</f>
        <v>A.18.2.3</v>
      </c>
      <c r="L427" s="301" t="str">
        <f>'PLAN INDICATIVO'!L427</f>
        <v>16. Paz, justicia e instituciones sólidas</v>
      </c>
      <c r="M427" s="301" t="str">
        <f>'PLAN INDICATIVO'!M427</f>
        <v>Secretaría de Gobierno</v>
      </c>
      <c r="N427" s="1425" t="s">
        <v>5132</v>
      </c>
      <c r="O427" s="1425" t="str">
        <f>'PLAN INDICATIVO'!O427</f>
        <v>Mantenimiento</v>
      </c>
      <c r="P427" s="16" t="str">
        <f>'PLAN INDICATIVO'!P427</f>
        <v>Implementar 1 programa al año que promueva la garantía de los derechos humanos</v>
      </c>
      <c r="Q427" s="302" t="str">
        <f>'PLAN INDICATIVO'!Q427</f>
        <v>No. De Programas implementados por año</v>
      </c>
      <c r="R427" s="303">
        <f>'PLAN INDICATIVO'!R427</f>
        <v>2015</v>
      </c>
      <c r="S427" s="304">
        <v>0</v>
      </c>
      <c r="T427" s="699">
        <v>1</v>
      </c>
      <c r="U427" s="303">
        <v>1</v>
      </c>
      <c r="V427" s="687">
        <v>15000000</v>
      </c>
      <c r="W427" s="303">
        <v>1</v>
      </c>
      <c r="X427" s="687">
        <v>4000000</v>
      </c>
      <c r="Y427" s="303">
        <v>1</v>
      </c>
      <c r="Z427" s="687">
        <v>4000000</v>
      </c>
      <c r="AA427" s="291">
        <v>1</v>
      </c>
      <c r="AB427" s="686">
        <v>20000000</v>
      </c>
      <c r="AC427" s="669"/>
      <c r="AD427" s="669">
        <v>1</v>
      </c>
      <c r="AE427" s="669">
        <v>1</v>
      </c>
      <c r="AF427" s="669">
        <v>1</v>
      </c>
      <c r="AG427" s="341" t="s">
        <v>5159</v>
      </c>
      <c r="AH427" s="987">
        <v>2019413960026</v>
      </c>
      <c r="AI427" s="355" t="s">
        <v>4840</v>
      </c>
      <c r="AJ427" s="309">
        <v>43497</v>
      </c>
      <c r="AK427" s="363">
        <v>43799</v>
      </c>
      <c r="AL427" s="358"/>
      <c r="AM427" s="358"/>
      <c r="AN427" s="281" t="s">
        <v>2598</v>
      </c>
      <c r="AO427" s="513"/>
      <c r="AP427" s="525"/>
      <c r="AQ427" s="310"/>
      <c r="AR427" s="310"/>
      <c r="AS427" s="310"/>
      <c r="AT427" s="310"/>
      <c r="AU427" s="310"/>
      <c r="AV427" s="310"/>
      <c r="AW427" s="544"/>
      <c r="AX427" s="525"/>
      <c r="AY427" s="310"/>
      <c r="AZ427" s="310"/>
      <c r="BA427" s="310"/>
      <c r="BB427" s="310"/>
      <c r="BC427" s="310"/>
      <c r="BD427" s="310"/>
      <c r="BE427" s="544"/>
      <c r="BF427" s="525"/>
      <c r="BG427" s="310"/>
      <c r="BH427" s="310"/>
      <c r="BI427" s="310"/>
      <c r="BJ427" s="310"/>
      <c r="BK427" s="310"/>
      <c r="BL427" s="310"/>
      <c r="BM427" s="544">
        <f t="shared" si="176"/>
        <v>0</v>
      </c>
      <c r="BN427" s="525"/>
      <c r="BO427" s="310"/>
      <c r="BP427" s="310"/>
      <c r="BQ427" s="310"/>
      <c r="BR427" s="310"/>
      <c r="BS427" s="310"/>
      <c r="BT427" s="310"/>
      <c r="BU427" s="544"/>
      <c r="BV427" s="556"/>
      <c r="BW427" s="663">
        <f t="shared" si="159"/>
        <v>3</v>
      </c>
      <c r="BX427" s="1047">
        <f t="shared" si="170"/>
        <v>3</v>
      </c>
      <c r="BY427" s="1047">
        <f t="shared" si="177"/>
        <v>0</v>
      </c>
      <c r="BZ427" s="1047">
        <f t="shared" si="178"/>
        <v>1</v>
      </c>
      <c r="CA427" s="1047">
        <f t="shared" si="179"/>
        <v>1</v>
      </c>
      <c r="CB427" s="1047">
        <f t="shared" si="180"/>
        <v>1</v>
      </c>
      <c r="CD427" t="str">
        <f t="shared" si="181"/>
        <v>ROB</v>
      </c>
      <c r="CE427" t="str">
        <f t="shared" si="181"/>
        <v>VE</v>
      </c>
      <c r="CF427" t="str">
        <f t="shared" si="181"/>
        <v>VE</v>
      </c>
      <c r="CG427" t="str">
        <f t="shared" si="181"/>
        <v>VE</v>
      </c>
    </row>
    <row r="428" spans="1:85" ht="66" customHeight="1" x14ac:dyDescent="0.3">
      <c r="A428" s="298" t="s">
        <v>1261</v>
      </c>
      <c r="B428" s="299" t="str">
        <f>'PLAN INDICATIVO'!B428</f>
        <v>Justicia y seguridad</v>
      </c>
      <c r="C428" s="1547"/>
      <c r="D428" s="1549"/>
      <c r="E428" s="1549"/>
      <c r="F428" s="1549"/>
      <c r="G428" s="1549"/>
      <c r="H428" s="1549"/>
      <c r="I428" s="300">
        <f>'PLAN INDICATIVO'!I428</f>
        <v>0</v>
      </c>
      <c r="J428" s="300">
        <f>'PLAN INDICATIVO'!J428</f>
        <v>0</v>
      </c>
      <c r="K428" s="1425" t="str">
        <f>'PLAN INDICATIVO'!K428</f>
        <v>A.18.2.4</v>
      </c>
      <c r="L428" s="301" t="str">
        <f>'PLAN INDICATIVO'!L428</f>
        <v>16. Paz, justicia e instituciones sólidas</v>
      </c>
      <c r="M428" s="301" t="str">
        <f>'PLAN INDICATIVO'!M428</f>
        <v>Secretaría de Gobierno</v>
      </c>
      <c r="N428" s="1425" t="s">
        <v>5125</v>
      </c>
      <c r="O428" s="1425" t="str">
        <f>'PLAN INDICATIVO'!O428</f>
        <v>Mantenimiento</v>
      </c>
      <c r="P428" s="16" t="str">
        <f>'PLAN INDICATIVO'!P428</f>
        <v>Realizar 1 campaña anual para prevención de violencia intrafamiliar, de género y maltrato infantil</v>
      </c>
      <c r="Q428" s="302" t="str">
        <f>'PLAN INDICATIVO'!Q428</f>
        <v>No. de Campaña implementada por año</v>
      </c>
      <c r="R428" s="303">
        <f>'PLAN INDICATIVO'!R428</f>
        <v>2015</v>
      </c>
      <c r="S428" s="304">
        <v>1</v>
      </c>
      <c r="T428" s="699">
        <v>1</v>
      </c>
      <c r="U428" s="303">
        <v>1</v>
      </c>
      <c r="V428" s="687">
        <v>15000000</v>
      </c>
      <c r="W428" s="303">
        <v>1</v>
      </c>
      <c r="X428" s="687">
        <v>6000000</v>
      </c>
      <c r="Y428" s="303">
        <v>1</v>
      </c>
      <c r="Z428" s="687">
        <v>6000000</v>
      </c>
      <c r="AA428" s="291">
        <v>1</v>
      </c>
      <c r="AB428" s="686">
        <v>20000000</v>
      </c>
      <c r="AC428" s="669"/>
      <c r="AD428" s="669">
        <v>1</v>
      </c>
      <c r="AE428" s="669">
        <v>1</v>
      </c>
      <c r="AF428" s="669">
        <v>1</v>
      </c>
      <c r="AG428" s="341" t="s">
        <v>5159</v>
      </c>
      <c r="AH428" s="987">
        <v>2019413960026</v>
      </c>
      <c r="AI428" s="985" t="s">
        <v>5020</v>
      </c>
      <c r="AJ428" s="363">
        <v>43609</v>
      </c>
      <c r="AK428" s="363">
        <v>43814</v>
      </c>
      <c r="AL428" s="358"/>
      <c r="AM428" s="358"/>
      <c r="AN428" s="267" t="s">
        <v>2598</v>
      </c>
      <c r="AO428" s="997"/>
      <c r="AP428" s="525"/>
      <c r="AQ428" s="310"/>
      <c r="AR428" s="310"/>
      <c r="AS428" s="310"/>
      <c r="AT428" s="310"/>
      <c r="AU428" s="310"/>
      <c r="AV428" s="310"/>
      <c r="AW428" s="544"/>
      <c r="AX428" s="525"/>
      <c r="AY428" s="310"/>
      <c r="AZ428" s="310"/>
      <c r="BA428" s="310"/>
      <c r="BB428" s="310"/>
      <c r="BC428" s="310"/>
      <c r="BD428" s="310"/>
      <c r="BE428" s="544"/>
      <c r="BF428" s="525"/>
      <c r="BG428" s="310"/>
      <c r="BH428" s="310"/>
      <c r="BI428" s="310"/>
      <c r="BJ428" s="310"/>
      <c r="BK428" s="310"/>
      <c r="BL428" s="310"/>
      <c r="BM428" s="544">
        <f t="shared" si="176"/>
        <v>0</v>
      </c>
      <c r="BN428" s="595"/>
      <c r="BO428" s="595"/>
      <c r="BP428" s="310"/>
      <c r="BQ428" s="310"/>
      <c r="BR428" s="310"/>
      <c r="BS428" s="310"/>
      <c r="BT428" s="310"/>
      <c r="BU428" s="544"/>
      <c r="BV428" s="556"/>
      <c r="BW428" s="663">
        <f t="shared" si="159"/>
        <v>3</v>
      </c>
      <c r="BX428" s="1047">
        <f t="shared" si="170"/>
        <v>3</v>
      </c>
      <c r="BY428" s="1047">
        <f t="shared" si="177"/>
        <v>0</v>
      </c>
      <c r="BZ428" s="1047">
        <f t="shared" si="178"/>
        <v>1</v>
      </c>
      <c r="CA428" s="1047">
        <f t="shared" si="179"/>
        <v>1</v>
      </c>
      <c r="CB428" s="1047">
        <f t="shared" si="180"/>
        <v>1</v>
      </c>
      <c r="CC428" t="s">
        <v>4752</v>
      </c>
      <c r="CD428" t="str">
        <f t="shared" si="181"/>
        <v>ROB</v>
      </c>
      <c r="CE428" t="str">
        <f t="shared" si="181"/>
        <v>VE</v>
      </c>
      <c r="CF428" t="str">
        <f t="shared" si="181"/>
        <v>VE</v>
      </c>
      <c r="CG428" t="str">
        <f t="shared" si="181"/>
        <v>VE</v>
      </c>
    </row>
    <row r="429" spans="1:85" ht="75.75" customHeight="1" x14ac:dyDescent="0.3">
      <c r="A429" s="298" t="s">
        <v>1261</v>
      </c>
      <c r="B429" s="299" t="str">
        <f>'PLAN INDICATIVO'!B429</f>
        <v>Justicia y seguridad</v>
      </c>
      <c r="C429" s="1547"/>
      <c r="D429" s="1549"/>
      <c r="E429" s="1549"/>
      <c r="F429" s="1549"/>
      <c r="G429" s="1549"/>
      <c r="H429" s="1549"/>
      <c r="I429" s="300">
        <f>'PLAN INDICATIVO'!I429</f>
        <v>0</v>
      </c>
      <c r="J429" s="300">
        <f>'PLAN INDICATIVO'!J429</f>
        <v>0</v>
      </c>
      <c r="K429" s="1425" t="str">
        <f>'PLAN INDICATIVO'!K429</f>
        <v>A.18.2.5</v>
      </c>
      <c r="L429" s="301" t="str">
        <f>'PLAN INDICATIVO'!L429</f>
        <v>16. Paz, justicia e instituciones sólidas</v>
      </c>
      <c r="M429" s="301" t="str">
        <f>'PLAN INDICATIVO'!M429</f>
        <v>Secretaría de Gobierno</v>
      </c>
      <c r="N429" s="1425" t="s">
        <v>5125</v>
      </c>
      <c r="O429" s="1425" t="str">
        <f>'PLAN INDICATIVO'!O429</f>
        <v>Mantenimiento</v>
      </c>
      <c r="P429" s="71" t="str">
        <f>'PLAN INDICATIVO'!P429</f>
        <v>Realizar 1 dotación a la casa de la justicia para mejorar prestación de servicios cada año</v>
      </c>
      <c r="Q429" s="302" t="str">
        <f>'PLAN INDICATIVO'!Q429</f>
        <v>No. De Casa de la Justicia dotada por año</v>
      </c>
      <c r="R429" s="303">
        <f>'PLAN INDICATIVO'!R429</f>
        <v>2015</v>
      </c>
      <c r="S429" s="304">
        <v>0</v>
      </c>
      <c r="T429" s="699">
        <v>1</v>
      </c>
      <c r="U429" s="303">
        <v>1</v>
      </c>
      <c r="V429" s="687">
        <v>6000000</v>
      </c>
      <c r="W429" s="303">
        <v>1</v>
      </c>
      <c r="X429" s="687">
        <v>6000000</v>
      </c>
      <c r="Y429" s="303"/>
      <c r="Z429" s="687">
        <v>1000000</v>
      </c>
      <c r="AA429" s="291">
        <v>1</v>
      </c>
      <c r="AB429" s="686">
        <v>6000000</v>
      </c>
      <c r="AC429" s="669"/>
      <c r="AD429" s="669">
        <v>1</v>
      </c>
      <c r="AE429" s="669"/>
      <c r="AF429" s="669"/>
      <c r="AG429" s="341" t="s">
        <v>5159</v>
      </c>
      <c r="AH429" s="987">
        <v>2019413960026</v>
      </c>
      <c r="AI429" s="987" t="s">
        <v>4839</v>
      </c>
      <c r="AJ429" s="363">
        <v>43189</v>
      </c>
      <c r="AK429" s="363">
        <v>43281</v>
      </c>
      <c r="AL429" s="358"/>
      <c r="AM429" s="358"/>
      <c r="AN429" s="267" t="s">
        <v>2594</v>
      </c>
      <c r="AO429" s="512"/>
      <c r="AP429" s="525"/>
      <c r="AQ429" s="310"/>
      <c r="AR429" s="310"/>
      <c r="AS429" s="310"/>
      <c r="AT429" s="310"/>
      <c r="AU429" s="310"/>
      <c r="AV429" s="310"/>
      <c r="AW429" s="544"/>
      <c r="AX429" s="525"/>
      <c r="AY429" s="310"/>
      <c r="AZ429" s="310"/>
      <c r="BA429" s="310"/>
      <c r="BB429" s="310"/>
      <c r="BC429" s="310"/>
      <c r="BD429" s="310"/>
      <c r="BE429" s="544"/>
      <c r="BF429" s="525"/>
      <c r="BG429" s="310"/>
      <c r="BH429" s="310"/>
      <c r="BI429" s="310"/>
      <c r="BJ429" s="310"/>
      <c r="BK429" s="310"/>
      <c r="BL429" s="310"/>
      <c r="BM429" s="544">
        <f t="shared" si="176"/>
        <v>0</v>
      </c>
      <c r="BN429" s="525"/>
      <c r="BO429" s="310"/>
      <c r="BP429" s="310"/>
      <c r="BQ429" s="310"/>
      <c r="BR429" s="310"/>
      <c r="BS429" s="310"/>
      <c r="BT429" s="310"/>
      <c r="BU429" s="544"/>
      <c r="BV429" s="556"/>
      <c r="BW429" s="663">
        <f t="shared" si="159"/>
        <v>1</v>
      </c>
      <c r="BX429" s="1047">
        <f t="shared" si="170"/>
        <v>1</v>
      </c>
      <c r="BY429" s="1047">
        <f t="shared" si="177"/>
        <v>0</v>
      </c>
      <c r="BZ429" s="1047">
        <f t="shared" si="178"/>
        <v>1</v>
      </c>
      <c r="CA429" s="1047" t="str">
        <f t="shared" si="179"/>
        <v>No Programada</v>
      </c>
      <c r="CB429" s="1047">
        <f t="shared" si="180"/>
        <v>0</v>
      </c>
      <c r="CC429" t="s">
        <v>4748</v>
      </c>
      <c r="CD429" t="str">
        <f t="shared" si="181"/>
        <v>ROB</v>
      </c>
      <c r="CE429" t="str">
        <f t="shared" si="181"/>
        <v>VE</v>
      </c>
      <c r="CF429" t="str">
        <f>IF(CA429="PARA MODIFICAR","M",IF(CA429="PARA ELIMINAR","E",IF(CA429="aplazada","AZ",IF(CA429="no programada","NP",IF(CA429&gt;=85%,"VE",IF(CA429&gt;70%,"VEB",IF(CA429&gt;60%,"AM",IF(CA429&gt;40%,"AMB",IF(CA429&gt;20%,"RO",IF(CA429&gt;=0%,"ROB",""))))))))))</f>
        <v>NP</v>
      </c>
      <c r="CG429" t="str">
        <f t="shared" si="181"/>
        <v>ROB</v>
      </c>
    </row>
    <row r="430" spans="1:85" ht="64.5" customHeight="1" x14ac:dyDescent="0.3">
      <c r="A430" s="298" t="s">
        <v>1261</v>
      </c>
      <c r="B430" s="299" t="str">
        <f>'PLAN INDICATIVO'!B430</f>
        <v>Justicia y seguridad</v>
      </c>
      <c r="C430" s="1547"/>
      <c r="D430" s="1549"/>
      <c r="E430" s="1549"/>
      <c r="F430" s="1549"/>
      <c r="G430" s="1549"/>
      <c r="H430" s="1549"/>
      <c r="I430" s="300">
        <f>'PLAN INDICATIVO'!I430</f>
        <v>0</v>
      </c>
      <c r="J430" s="300">
        <f>'PLAN INDICATIVO'!J430</f>
        <v>0</v>
      </c>
      <c r="K430" s="1425" t="str">
        <f>'PLAN INDICATIVO'!K430</f>
        <v>A.18.2.6</v>
      </c>
      <c r="L430" s="301" t="str">
        <f>'PLAN INDICATIVO'!L430</f>
        <v>16. Paz, justicia e instituciones sólidas</v>
      </c>
      <c r="M430" s="301" t="str">
        <f>'PLAN INDICATIVO'!M430</f>
        <v>Secretaría de Gobierno</v>
      </c>
      <c r="N430" s="1425" t="s">
        <v>5132</v>
      </c>
      <c r="O430" s="1425" t="str">
        <f>'PLAN INDICATIVO'!O430</f>
        <v>Mantenimiento</v>
      </c>
      <c r="P430" s="16" t="str">
        <f>'PLAN INDICATIVO'!P430</f>
        <v>Fortalecer 1 programa de conciliadores en equidad cada año</v>
      </c>
      <c r="Q430" s="302" t="str">
        <f>'PLAN INDICATIVO'!Q430</f>
        <v>No. De Programa fortalecido por año</v>
      </c>
      <c r="R430" s="303">
        <f>'PLAN INDICATIVO'!R430</f>
        <v>2015</v>
      </c>
      <c r="S430" s="304">
        <v>0</v>
      </c>
      <c r="T430" s="699">
        <v>1</v>
      </c>
      <c r="U430" s="303">
        <v>1</v>
      </c>
      <c r="V430" s="687">
        <v>1000000</v>
      </c>
      <c r="W430" s="303">
        <v>1</v>
      </c>
      <c r="X430" s="687">
        <v>2000000</v>
      </c>
      <c r="Y430" s="303">
        <v>1</v>
      </c>
      <c r="Z430" s="687">
        <v>2000000</v>
      </c>
      <c r="AA430" s="291"/>
      <c r="AB430" s="686">
        <v>2000000</v>
      </c>
      <c r="AC430" s="669"/>
      <c r="AD430" s="669">
        <v>1</v>
      </c>
      <c r="AE430" s="669">
        <v>1</v>
      </c>
      <c r="AF430" s="669">
        <v>1</v>
      </c>
      <c r="AG430" s="341" t="s">
        <v>5159</v>
      </c>
      <c r="AH430" s="987">
        <v>2019413960026</v>
      </c>
      <c r="AI430" s="355" t="s">
        <v>4841</v>
      </c>
      <c r="AJ430" s="309">
        <v>43497</v>
      </c>
      <c r="AK430" s="363">
        <v>43676</v>
      </c>
      <c r="AL430" s="358"/>
      <c r="AM430" s="358"/>
      <c r="AN430" s="267" t="s">
        <v>2598</v>
      </c>
      <c r="AO430" s="513"/>
      <c r="AP430" s="525"/>
      <c r="AQ430" s="310"/>
      <c r="AR430" s="310"/>
      <c r="AS430" s="310"/>
      <c r="AT430" s="310"/>
      <c r="AU430" s="310"/>
      <c r="AV430" s="310"/>
      <c r="AW430" s="544"/>
      <c r="AX430" s="525"/>
      <c r="AY430" s="310"/>
      <c r="AZ430" s="310"/>
      <c r="BA430" s="310"/>
      <c r="BB430" s="310"/>
      <c r="BC430" s="310"/>
      <c r="BD430" s="310"/>
      <c r="BE430" s="544"/>
      <c r="BF430" s="525"/>
      <c r="BG430" s="310"/>
      <c r="BH430" s="310"/>
      <c r="BI430" s="310"/>
      <c r="BJ430" s="310"/>
      <c r="BK430" s="310"/>
      <c r="BL430" s="310"/>
      <c r="BM430" s="544">
        <f t="shared" si="176"/>
        <v>0</v>
      </c>
      <c r="BN430" s="525"/>
      <c r="BO430" s="310"/>
      <c r="BP430" s="310"/>
      <c r="BQ430" s="310"/>
      <c r="BR430" s="310"/>
      <c r="BS430" s="310"/>
      <c r="BT430" s="310"/>
      <c r="BU430" s="544"/>
      <c r="BV430" s="556"/>
      <c r="BW430" s="663">
        <f t="shared" si="159"/>
        <v>3</v>
      </c>
      <c r="BX430" s="1047">
        <f t="shared" si="170"/>
        <v>3</v>
      </c>
      <c r="BY430" s="1047">
        <f t="shared" si="177"/>
        <v>0</v>
      </c>
      <c r="BZ430" s="1047">
        <f t="shared" si="178"/>
        <v>1</v>
      </c>
      <c r="CA430" s="1047">
        <f t="shared" si="179"/>
        <v>1</v>
      </c>
      <c r="CB430" s="1047" t="str">
        <f t="shared" si="180"/>
        <v>No Programada</v>
      </c>
      <c r="CD430" t="str">
        <f t="shared" si="181"/>
        <v>ROB</v>
      </c>
      <c r="CE430" t="str">
        <f t="shared" si="181"/>
        <v>VE</v>
      </c>
      <c r="CF430" t="str">
        <f t="shared" si="181"/>
        <v>VE</v>
      </c>
      <c r="CG430" t="str">
        <f t="shared" si="181"/>
        <v>NP</v>
      </c>
    </row>
    <row r="431" spans="1:85" ht="62.25" customHeight="1" x14ac:dyDescent="0.3">
      <c r="A431" s="298" t="s">
        <v>1261</v>
      </c>
      <c r="B431" s="299" t="str">
        <f>'PLAN INDICATIVO'!B431</f>
        <v>Justicia y seguridad</v>
      </c>
      <c r="C431" s="1547"/>
      <c r="D431" s="1549"/>
      <c r="E431" s="1549"/>
      <c r="F431" s="1549"/>
      <c r="G431" s="1549"/>
      <c r="H431" s="1549"/>
      <c r="I431" s="300">
        <f>'PLAN INDICATIVO'!I431</f>
        <v>0</v>
      </c>
      <c r="J431" s="300">
        <f>'PLAN INDICATIVO'!J431</f>
        <v>0</v>
      </c>
      <c r="K431" s="1425" t="str">
        <f>'PLAN INDICATIVO'!K431</f>
        <v>A.18.2.7</v>
      </c>
      <c r="L431" s="301" t="str">
        <f>'PLAN INDICATIVO'!L431</f>
        <v>16. Paz, justicia e instituciones sólidas</v>
      </c>
      <c r="M431" s="301" t="str">
        <f>'PLAN INDICATIVO'!M431</f>
        <v>Secretaría de Gobierno</v>
      </c>
      <c r="N431" s="1524" t="s">
        <v>5132</v>
      </c>
      <c r="O431" s="1425" t="str">
        <f>'PLAN INDICATIVO'!O431</f>
        <v>Incremento</v>
      </c>
      <c r="P431" s="16" t="str">
        <f>'PLAN INDICATIVO'!P431</f>
        <v>Realizar 4 capacitaciones sobre mecanismos alternativos solución de conflictos durante el cuatrienio</v>
      </c>
      <c r="Q431" s="302" t="str">
        <f>'PLAN INDICATIVO'!Q431</f>
        <v>No. De capacitaciones realizadas</v>
      </c>
      <c r="R431" s="303">
        <f>'PLAN INDICATIVO'!R431</f>
        <v>2015</v>
      </c>
      <c r="S431" s="304">
        <v>0</v>
      </c>
      <c r="T431" s="699">
        <v>4</v>
      </c>
      <c r="U431" s="303">
        <v>1</v>
      </c>
      <c r="V431" s="687">
        <v>1000000</v>
      </c>
      <c r="W431" s="303">
        <v>1</v>
      </c>
      <c r="X431" s="687">
        <v>1000000</v>
      </c>
      <c r="Y431" s="303">
        <v>1</v>
      </c>
      <c r="Z431" s="687">
        <v>1000000</v>
      </c>
      <c r="AA431" s="291">
        <v>1</v>
      </c>
      <c r="AB431" s="686">
        <v>3000000</v>
      </c>
      <c r="AC431" s="669"/>
      <c r="AD431" s="669">
        <v>1</v>
      </c>
      <c r="AE431" s="669">
        <v>1</v>
      </c>
      <c r="AF431" s="669">
        <v>1</v>
      </c>
      <c r="AG431" s="341" t="s">
        <v>5159</v>
      </c>
      <c r="AH431" s="987">
        <v>2019413960026</v>
      </c>
      <c r="AI431" s="355" t="s">
        <v>4842</v>
      </c>
      <c r="AJ431" s="309">
        <v>43497</v>
      </c>
      <c r="AK431" s="363">
        <v>43738</v>
      </c>
      <c r="AL431" s="358"/>
      <c r="AM431" s="358"/>
      <c r="AN431" s="267" t="s">
        <v>2598</v>
      </c>
      <c r="AO431" s="512"/>
      <c r="AP431" s="525"/>
      <c r="AQ431" s="310"/>
      <c r="AR431" s="310"/>
      <c r="AS431" s="310"/>
      <c r="AT431" s="310"/>
      <c r="AU431" s="310"/>
      <c r="AV431" s="310"/>
      <c r="AW431" s="544"/>
      <c r="AX431" s="525"/>
      <c r="AY431" s="310"/>
      <c r="AZ431" s="310"/>
      <c r="BA431" s="310"/>
      <c r="BB431" s="310"/>
      <c r="BC431" s="310"/>
      <c r="BD431" s="310"/>
      <c r="BE431" s="544"/>
      <c r="BF431" s="525"/>
      <c r="BG431" s="310"/>
      <c r="BH431" s="310"/>
      <c r="BI431" s="310"/>
      <c r="BJ431" s="310"/>
      <c r="BK431" s="310"/>
      <c r="BL431" s="310"/>
      <c r="BM431" s="544">
        <f t="shared" si="176"/>
        <v>0</v>
      </c>
      <c r="BN431" s="525"/>
      <c r="BO431" s="310"/>
      <c r="BP431" s="310"/>
      <c r="BQ431" s="310"/>
      <c r="BR431" s="310"/>
      <c r="BS431" s="310"/>
      <c r="BT431" s="310"/>
      <c r="BU431" s="544"/>
      <c r="BV431" s="556"/>
      <c r="BW431" s="663">
        <f t="shared" si="159"/>
        <v>3</v>
      </c>
      <c r="BX431" s="1047">
        <f t="shared" si="170"/>
        <v>0.75</v>
      </c>
      <c r="BY431" s="1047">
        <f t="shared" si="177"/>
        <v>0</v>
      </c>
      <c r="BZ431" s="1047">
        <f t="shared" si="178"/>
        <v>1</v>
      </c>
      <c r="CA431" s="1047">
        <f t="shared" si="179"/>
        <v>1</v>
      </c>
      <c r="CB431" s="1047">
        <f t="shared" si="180"/>
        <v>1</v>
      </c>
      <c r="CD431" t="str">
        <f t="shared" si="181"/>
        <v>ROB</v>
      </c>
      <c r="CE431" t="str">
        <f t="shared" si="181"/>
        <v>VE</v>
      </c>
      <c r="CF431" t="str">
        <f t="shared" si="181"/>
        <v>VE</v>
      </c>
      <c r="CG431" t="str">
        <f t="shared" si="181"/>
        <v>VE</v>
      </c>
    </row>
    <row r="432" spans="1:85" ht="64.5" hidden="1" customHeight="1" x14ac:dyDescent="0.25">
      <c r="A432" s="298" t="s">
        <v>1261</v>
      </c>
      <c r="B432" s="299" t="str">
        <f>'PLAN INDICATIVO'!B432</f>
        <v>Justicia y seguridad</v>
      </c>
      <c r="C432" s="1547"/>
      <c r="D432" s="1549"/>
      <c r="E432" s="1549"/>
      <c r="F432" s="1549"/>
      <c r="G432" s="1549"/>
      <c r="H432" s="1549"/>
      <c r="I432" s="300">
        <f>'PLAN INDICATIVO'!I432</f>
        <v>0</v>
      </c>
      <c r="J432" s="300">
        <f>'PLAN INDICATIVO'!J432</f>
        <v>0</v>
      </c>
      <c r="K432" s="1425" t="str">
        <f>'PLAN INDICATIVO'!K432</f>
        <v>A.18.2.8</v>
      </c>
      <c r="L432" s="301" t="str">
        <f>'PLAN INDICATIVO'!L432</f>
        <v>16. Paz, justicia e instituciones sólidas</v>
      </c>
      <c r="M432" s="301" t="str">
        <f>'PLAN INDICATIVO'!M432</f>
        <v>Secretaría de Gobierno</v>
      </c>
      <c r="N432" s="1425" t="s">
        <v>5157</v>
      </c>
      <c r="O432" s="1425" t="str">
        <f>'PLAN INDICATIVO'!O432</f>
        <v>Mantenimiento</v>
      </c>
      <c r="P432" s="16" t="str">
        <f>'PLAN INDICATIVO'!P432</f>
        <v>Implementar 1 programa para la construcción de la paz, la convivencia ciudadana y la solución de conflictos, cada año</v>
      </c>
      <c r="Q432" s="302" t="str">
        <f>'PLAN INDICATIVO'!Q432</f>
        <v>No. De programas implementados por año</v>
      </c>
      <c r="R432" s="303">
        <f>'PLAN INDICATIVO'!R432</f>
        <v>2015</v>
      </c>
      <c r="S432" s="304">
        <v>0</v>
      </c>
      <c r="T432" s="699">
        <v>1</v>
      </c>
      <c r="U432" s="303">
        <v>0.25</v>
      </c>
      <c r="V432" s="687">
        <v>1000000</v>
      </c>
      <c r="W432" s="303">
        <v>0.25</v>
      </c>
      <c r="X432" s="687">
        <v>20000000</v>
      </c>
      <c r="Y432" s="303">
        <v>0.25</v>
      </c>
      <c r="Z432" s="687">
        <v>20000000</v>
      </c>
      <c r="AA432" s="291">
        <v>0.4</v>
      </c>
      <c r="AB432" s="686"/>
      <c r="AC432" s="669"/>
      <c r="AD432" s="933">
        <v>0.25</v>
      </c>
      <c r="AE432" s="669">
        <v>0.1</v>
      </c>
      <c r="AF432" s="669">
        <v>0.4</v>
      </c>
      <c r="AG432" s="341" t="s">
        <v>5159</v>
      </c>
      <c r="AH432" s="987">
        <v>2019413960026</v>
      </c>
      <c r="AI432" s="355" t="s">
        <v>4971</v>
      </c>
      <c r="AJ432" s="309">
        <v>43497</v>
      </c>
      <c r="AK432" s="363">
        <v>43676</v>
      </c>
      <c r="AL432" s="358"/>
      <c r="AM432" s="358"/>
      <c r="AN432" s="267" t="s">
        <v>2604</v>
      </c>
      <c r="AO432" s="513"/>
      <c r="AP432" s="310"/>
      <c r="AQ432" s="310"/>
      <c r="AR432" s="310"/>
      <c r="AS432" s="310"/>
      <c r="AT432" s="310"/>
      <c r="AU432" s="310"/>
      <c r="AV432" s="310"/>
      <c r="AW432" s="310"/>
      <c r="AX432" s="525"/>
      <c r="AY432" s="310"/>
      <c r="AZ432" s="310"/>
      <c r="BA432" s="310"/>
      <c r="BB432" s="310"/>
      <c r="BC432" s="310"/>
      <c r="BD432" s="310"/>
      <c r="BE432" s="544"/>
      <c r="BF432" s="525"/>
      <c r="BG432" s="310"/>
      <c r="BH432" s="310"/>
      <c r="BI432" s="310"/>
      <c r="BJ432" s="310"/>
      <c r="BK432" s="310"/>
      <c r="BL432" s="310"/>
      <c r="BM432" s="544">
        <f t="shared" si="176"/>
        <v>0</v>
      </c>
      <c r="BN432" s="525"/>
      <c r="BO432" s="525"/>
      <c r="BP432" s="310"/>
      <c r="BQ432" s="310"/>
      <c r="BR432" s="310"/>
      <c r="BS432" s="310"/>
      <c r="BT432" s="525"/>
      <c r="BU432" s="544"/>
      <c r="BV432" s="556"/>
      <c r="BW432" s="663">
        <f t="shared" si="159"/>
        <v>0.75</v>
      </c>
      <c r="BX432" s="1047">
        <f t="shared" si="170"/>
        <v>0.75</v>
      </c>
      <c r="BY432" s="1047">
        <f t="shared" si="177"/>
        <v>0</v>
      </c>
      <c r="BZ432" s="1047">
        <f t="shared" si="178"/>
        <v>1</v>
      </c>
      <c r="CA432" s="1047">
        <f t="shared" si="179"/>
        <v>0.4</v>
      </c>
      <c r="CB432" s="1047">
        <f t="shared" si="180"/>
        <v>1</v>
      </c>
      <c r="CD432" t="str">
        <f t="shared" si="181"/>
        <v>ROB</v>
      </c>
      <c r="CE432" t="str">
        <f t="shared" si="181"/>
        <v>VE</v>
      </c>
      <c r="CF432" t="str">
        <f t="shared" si="181"/>
        <v>RO</v>
      </c>
      <c r="CG432" t="str">
        <f t="shared" si="181"/>
        <v>VE</v>
      </c>
    </row>
    <row r="433" spans="1:85" ht="46.5" hidden="1" customHeight="1" x14ac:dyDescent="0.25">
      <c r="A433" s="298" t="s">
        <v>1261</v>
      </c>
      <c r="B433" s="299" t="str">
        <f>'PLAN INDICATIVO'!B433</f>
        <v>Justicia y seguridad</v>
      </c>
      <c r="C433" s="1547"/>
      <c r="D433" s="1549"/>
      <c r="E433" s="1549"/>
      <c r="F433" s="1549"/>
      <c r="G433" s="1549"/>
      <c r="H433" s="1549"/>
      <c r="I433" s="300">
        <f>'PLAN INDICATIVO'!I433</f>
        <v>0</v>
      </c>
      <c r="J433" s="300">
        <f>'PLAN INDICATIVO'!J433</f>
        <v>0</v>
      </c>
      <c r="K433" s="1425" t="str">
        <f>'PLAN INDICATIVO'!K433</f>
        <v>A.18.2.9</v>
      </c>
      <c r="L433" s="301" t="str">
        <f>'PLAN INDICATIVO'!L433</f>
        <v>16. Paz, justicia e instituciones sólidas</v>
      </c>
      <c r="M433" s="301" t="str">
        <f>'PLAN INDICATIVO'!M433</f>
        <v>Secretaría de Gobierno</v>
      </c>
      <c r="N433" s="1425" t="s">
        <v>5126</v>
      </c>
      <c r="O433" s="1425" t="str">
        <f>'PLAN INDICATIVO'!O433</f>
        <v>Mantenimiento</v>
      </c>
      <c r="P433" s="16" t="str">
        <f>'PLAN INDICATIVO'!P433</f>
        <v>Garantizar 1 apoyo institucional al establecimiento penitenciario y carcelario de mediana seguridad (INPEC), del municipio de la Plata Huila, durante el cuatrienio.</v>
      </c>
      <c r="Q433" s="302" t="str">
        <f>'PLAN INDICATIVO'!Q433</f>
        <v>Apoyo a cárcel municipal por año</v>
      </c>
      <c r="R433" s="303">
        <f>'PLAN INDICATIVO'!R433</f>
        <v>2015</v>
      </c>
      <c r="S433" s="304">
        <v>0</v>
      </c>
      <c r="T433" s="699">
        <v>1</v>
      </c>
      <c r="U433" s="303">
        <v>0.25</v>
      </c>
      <c r="V433" s="687">
        <v>10000000</v>
      </c>
      <c r="W433" s="303">
        <v>0.5</v>
      </c>
      <c r="X433" s="687">
        <v>11000000</v>
      </c>
      <c r="Y433" s="303">
        <v>0.25</v>
      </c>
      <c r="Z433" s="687">
        <v>1000000</v>
      </c>
      <c r="AA433" s="291">
        <v>0.5</v>
      </c>
      <c r="AB433" s="686"/>
      <c r="AC433" s="669"/>
      <c r="AD433" s="669">
        <v>0.5</v>
      </c>
      <c r="AE433" s="669"/>
      <c r="AF433" s="669">
        <v>0.5</v>
      </c>
      <c r="AG433" s="341" t="s">
        <v>5159</v>
      </c>
      <c r="AH433" s="987">
        <v>2019413960026</v>
      </c>
      <c r="AI433" s="355" t="s">
        <v>4972</v>
      </c>
      <c r="AJ433" s="309">
        <v>43497</v>
      </c>
      <c r="AK433" s="356">
        <v>43799</v>
      </c>
      <c r="AL433" s="358"/>
      <c r="AM433" s="358"/>
      <c r="AN433" s="267" t="s">
        <v>2600</v>
      </c>
      <c r="AO433" s="513"/>
      <c r="AP433" s="525"/>
      <c r="AQ433" s="310"/>
      <c r="AR433" s="310"/>
      <c r="AS433" s="310"/>
      <c r="AT433" s="310"/>
      <c r="AU433" s="310"/>
      <c r="AV433" s="310"/>
      <c r="AW433" s="544"/>
      <c r="AX433" s="525"/>
      <c r="AY433" s="310"/>
      <c r="AZ433" s="310"/>
      <c r="BA433" s="310"/>
      <c r="BB433" s="310"/>
      <c r="BC433" s="310"/>
      <c r="BD433" s="310"/>
      <c r="BE433" s="544"/>
      <c r="BF433" s="525"/>
      <c r="BG433" s="310"/>
      <c r="BH433" s="310"/>
      <c r="BI433" s="310"/>
      <c r="BJ433" s="310"/>
      <c r="BK433" s="310"/>
      <c r="BL433" s="310"/>
      <c r="BM433" s="544">
        <f t="shared" si="176"/>
        <v>0</v>
      </c>
      <c r="BN433" s="525"/>
      <c r="BO433" s="525"/>
      <c r="BP433" s="310"/>
      <c r="BQ433" s="310"/>
      <c r="BR433" s="310"/>
      <c r="BS433" s="310"/>
      <c r="BT433" s="525"/>
      <c r="BU433" s="544"/>
      <c r="BV433" s="556"/>
      <c r="BW433" s="663">
        <f t="shared" si="159"/>
        <v>1</v>
      </c>
      <c r="BX433" s="1047">
        <f t="shared" si="170"/>
        <v>1</v>
      </c>
      <c r="BY433" s="1047">
        <f t="shared" si="177"/>
        <v>0</v>
      </c>
      <c r="BZ433" s="1047">
        <f t="shared" si="178"/>
        <v>1</v>
      </c>
      <c r="CA433" s="1047">
        <f t="shared" si="179"/>
        <v>0</v>
      </c>
      <c r="CB433" s="1047">
        <f t="shared" si="180"/>
        <v>1</v>
      </c>
      <c r="CD433" t="str">
        <f t="shared" si="181"/>
        <v>ROB</v>
      </c>
      <c r="CE433" t="str">
        <f t="shared" si="181"/>
        <v>VE</v>
      </c>
      <c r="CF433" t="str">
        <f t="shared" si="181"/>
        <v>ROB</v>
      </c>
      <c r="CG433" t="str">
        <f t="shared" si="181"/>
        <v>VE</v>
      </c>
    </row>
    <row r="434" spans="1:85" ht="35.25" customHeight="1" x14ac:dyDescent="0.3">
      <c r="A434" s="298" t="s">
        <v>1261</v>
      </c>
      <c r="B434" s="299" t="str">
        <f>'PLAN INDICATIVO'!B434</f>
        <v>Justicia y seguridad</v>
      </c>
      <c r="C434" s="1547"/>
      <c r="D434" s="1549"/>
      <c r="E434" s="1549"/>
      <c r="F434" s="1549"/>
      <c r="G434" s="1549"/>
      <c r="H434" s="1549"/>
      <c r="I434" s="300">
        <f>'PLAN INDICATIVO'!I434</f>
        <v>0</v>
      </c>
      <c r="J434" s="300">
        <f>'PLAN INDICATIVO'!J434</f>
        <v>0</v>
      </c>
      <c r="K434" s="1425" t="str">
        <f>'PLAN INDICATIVO'!K434</f>
        <v>A.18.2.10</v>
      </c>
      <c r="L434" s="301" t="str">
        <f>'PLAN INDICATIVO'!L434</f>
        <v>16. Paz, justicia e instituciones sólidas</v>
      </c>
      <c r="M434" s="301" t="str">
        <f>'PLAN INDICATIVO'!M434</f>
        <v>Secretaría de Gobierno</v>
      </c>
      <c r="N434" s="1425" t="s">
        <v>5132</v>
      </c>
      <c r="O434" s="1425" t="str">
        <f>'PLAN INDICATIVO'!O434</f>
        <v>Mantenimiento</v>
      </c>
      <c r="P434" s="71" t="str">
        <f>'PLAN INDICATIVO'!P434</f>
        <v xml:space="preserve">Lograr el funcionamiento de 1 coso municipal cada año </v>
      </c>
      <c r="Q434" s="302" t="str">
        <f>'PLAN INDICATIVO'!Q434</f>
        <v>No. De Coso municipal funcionando por año</v>
      </c>
      <c r="R434" s="303">
        <f>'PLAN INDICATIVO'!R434</f>
        <v>2015</v>
      </c>
      <c r="S434" s="304">
        <v>1</v>
      </c>
      <c r="T434" s="699">
        <v>1</v>
      </c>
      <c r="U434" s="303">
        <v>1</v>
      </c>
      <c r="V434" s="687">
        <v>5500000</v>
      </c>
      <c r="W434" s="303">
        <v>1</v>
      </c>
      <c r="X434" s="687">
        <v>15000000</v>
      </c>
      <c r="Y434" s="303">
        <v>1</v>
      </c>
      <c r="Z434" s="687">
        <v>15000000</v>
      </c>
      <c r="AA434" s="291">
        <v>1</v>
      </c>
      <c r="AB434" s="686">
        <v>15000000</v>
      </c>
      <c r="AC434" s="670"/>
      <c r="AD434" s="670">
        <v>1</v>
      </c>
      <c r="AE434" s="670">
        <v>1</v>
      </c>
      <c r="AF434" s="669">
        <v>1</v>
      </c>
      <c r="AG434" s="341" t="s">
        <v>5159</v>
      </c>
      <c r="AH434" s="987">
        <v>2019413960026</v>
      </c>
      <c r="AI434" s="361" t="s">
        <v>4973</v>
      </c>
      <c r="AJ434" s="309">
        <v>43497</v>
      </c>
      <c r="AK434" s="363">
        <v>43814</v>
      </c>
      <c r="AL434" s="362"/>
      <c r="AM434" s="362"/>
      <c r="AN434" s="281" t="s">
        <v>2598</v>
      </c>
      <c r="AO434" s="513"/>
      <c r="AP434" s="528"/>
      <c r="AQ434" s="472"/>
      <c r="AR434" s="472"/>
      <c r="AS434" s="472"/>
      <c r="AT434" s="472"/>
      <c r="AU434" s="472"/>
      <c r="AV434" s="472"/>
      <c r="AW434" s="544"/>
      <c r="AX434" s="528"/>
      <c r="AY434" s="472"/>
      <c r="AZ434" s="472"/>
      <c r="BA434" s="472"/>
      <c r="BB434" s="472"/>
      <c r="BC434" s="472"/>
      <c r="BD434" s="472"/>
      <c r="BE434" s="544"/>
      <c r="BF434" s="528"/>
      <c r="BG434" s="472"/>
      <c r="BH434" s="472"/>
      <c r="BI434" s="472"/>
      <c r="BJ434" s="472"/>
      <c r="BK434" s="472"/>
      <c r="BL434" s="472"/>
      <c r="BM434" s="544">
        <f t="shared" si="176"/>
        <v>0</v>
      </c>
      <c r="BN434" s="472"/>
      <c r="BO434" s="472"/>
      <c r="BP434" s="472"/>
      <c r="BQ434" s="472"/>
      <c r="BR434" s="472"/>
      <c r="BS434" s="472"/>
      <c r="BT434" s="472"/>
      <c r="BU434" s="544"/>
      <c r="BV434" s="556"/>
      <c r="BW434" s="663">
        <f t="shared" ref="BW434:BW489" si="182">AC434+AD434+AE434+AF434</f>
        <v>3</v>
      </c>
      <c r="BX434" s="1047">
        <f t="shared" si="170"/>
        <v>3</v>
      </c>
      <c r="BY434" s="1047">
        <f t="shared" si="177"/>
        <v>0</v>
      </c>
      <c r="BZ434" s="1047">
        <f t="shared" si="178"/>
        <v>1</v>
      </c>
      <c r="CA434" s="1047">
        <f t="shared" si="179"/>
        <v>1</v>
      </c>
      <c r="CB434" s="1047">
        <f t="shared" si="180"/>
        <v>1</v>
      </c>
      <c r="CD434" t="str">
        <f t="shared" si="181"/>
        <v>ROB</v>
      </c>
      <c r="CE434" t="str">
        <f t="shared" si="181"/>
        <v>VE</v>
      </c>
      <c r="CF434" t="str">
        <f t="shared" si="181"/>
        <v>VE</v>
      </c>
      <c r="CG434" t="str">
        <f t="shared" si="181"/>
        <v>VE</v>
      </c>
    </row>
    <row r="435" spans="1:85" ht="48.75" customHeight="1" x14ac:dyDescent="0.3">
      <c r="A435" s="298" t="s">
        <v>1261</v>
      </c>
      <c r="B435" s="299" t="str">
        <f>'PLAN INDICATIVO'!B435</f>
        <v>Justicia y seguridad</v>
      </c>
      <c r="C435" s="1547"/>
      <c r="D435" s="1549"/>
      <c r="E435" s="1549"/>
      <c r="F435" s="1549"/>
      <c r="G435" s="1549"/>
      <c r="H435" s="1549"/>
      <c r="I435" s="300">
        <f>'PLAN INDICATIVO'!I435</f>
        <v>0</v>
      </c>
      <c r="J435" s="300">
        <f>'PLAN INDICATIVO'!J435</f>
        <v>0</v>
      </c>
      <c r="K435" s="1425" t="str">
        <f>'PLAN INDICATIVO'!K435</f>
        <v>A.18.2.11</v>
      </c>
      <c r="L435" s="301" t="str">
        <f>'PLAN INDICATIVO'!L435</f>
        <v>16. Paz, justicia e instituciones sólidas</v>
      </c>
      <c r="M435" s="301" t="str">
        <f>'PLAN INDICATIVO'!M435</f>
        <v>Secretaría de Gobierno</v>
      </c>
      <c r="N435" s="1524" t="s">
        <v>5132</v>
      </c>
      <c r="O435" s="1425" t="str">
        <f>'PLAN INDICATIVO'!O435</f>
        <v>Incremento</v>
      </c>
      <c r="P435" s="16" t="str">
        <f>'PLAN INDICATIVO'!P435</f>
        <v>Implementar 8 Campañas de prevención social del delito durante el cuatrienio</v>
      </c>
      <c r="Q435" s="302" t="str">
        <f>'PLAN INDICATIVO'!Q435</f>
        <v>No. de campañas implementadas</v>
      </c>
      <c r="R435" s="303">
        <f>'PLAN INDICATIVO'!R435</f>
        <v>2015</v>
      </c>
      <c r="S435" s="304">
        <v>0</v>
      </c>
      <c r="T435" s="699">
        <v>8</v>
      </c>
      <c r="U435" s="303">
        <v>2</v>
      </c>
      <c r="V435" s="687">
        <v>11000000</v>
      </c>
      <c r="W435" s="303">
        <v>2</v>
      </c>
      <c r="X435" s="687">
        <v>18000000</v>
      </c>
      <c r="Y435" s="303">
        <v>2</v>
      </c>
      <c r="Z435" s="687">
        <v>19000000</v>
      </c>
      <c r="AA435" s="291">
        <v>2</v>
      </c>
      <c r="AB435" s="686">
        <v>20000000</v>
      </c>
      <c r="AC435" s="669"/>
      <c r="AD435" s="669">
        <v>2</v>
      </c>
      <c r="AE435" s="669">
        <v>2</v>
      </c>
      <c r="AF435" s="669">
        <v>2</v>
      </c>
      <c r="AG435" s="341" t="s">
        <v>5159</v>
      </c>
      <c r="AH435" s="987">
        <v>2019413960026</v>
      </c>
      <c r="AI435" s="355" t="s">
        <v>5100</v>
      </c>
      <c r="AJ435" s="309">
        <v>43497</v>
      </c>
      <c r="AK435" s="356">
        <v>43799</v>
      </c>
      <c r="AL435" s="358"/>
      <c r="AM435" s="358"/>
      <c r="AN435" s="281" t="s">
        <v>2598</v>
      </c>
      <c r="AO435" s="513"/>
      <c r="AP435" s="525"/>
      <c r="AQ435" s="310"/>
      <c r="AR435" s="310"/>
      <c r="AS435" s="310"/>
      <c r="AT435" s="310"/>
      <c r="AU435" s="310"/>
      <c r="AV435" s="310"/>
      <c r="AW435" s="544"/>
      <c r="AX435" s="525"/>
      <c r="AY435" s="310"/>
      <c r="AZ435" s="310"/>
      <c r="BA435" s="310"/>
      <c r="BB435" s="310"/>
      <c r="BC435" s="310"/>
      <c r="BD435" s="310"/>
      <c r="BE435" s="544"/>
      <c r="BF435" s="525"/>
      <c r="BG435" s="310"/>
      <c r="BH435" s="310"/>
      <c r="BI435" s="310"/>
      <c r="BJ435" s="310"/>
      <c r="BK435" s="310"/>
      <c r="BL435" s="310"/>
      <c r="BM435" s="544">
        <f t="shared" si="176"/>
        <v>0</v>
      </c>
      <c r="BN435" s="525"/>
      <c r="BO435" s="310"/>
      <c r="BP435" s="310"/>
      <c r="BQ435" s="310"/>
      <c r="BR435" s="310"/>
      <c r="BS435" s="310"/>
      <c r="BT435" s="310"/>
      <c r="BU435" s="544"/>
      <c r="BV435" s="556"/>
      <c r="BW435" s="663">
        <f t="shared" si="182"/>
        <v>6</v>
      </c>
      <c r="BX435" s="1047">
        <f t="shared" si="170"/>
        <v>0.75</v>
      </c>
      <c r="BY435" s="1047">
        <f t="shared" si="177"/>
        <v>0</v>
      </c>
      <c r="BZ435" s="1047">
        <f t="shared" si="178"/>
        <v>1</v>
      </c>
      <c r="CA435" s="1047">
        <f t="shared" si="179"/>
        <v>1</v>
      </c>
      <c r="CB435" s="1047">
        <f t="shared" si="180"/>
        <v>1</v>
      </c>
      <c r="CD435" t="str">
        <f t="shared" si="181"/>
        <v>ROB</v>
      </c>
      <c r="CE435" t="str">
        <f t="shared" si="181"/>
        <v>VE</v>
      </c>
      <c r="CF435" t="str">
        <f t="shared" si="181"/>
        <v>VE</v>
      </c>
      <c r="CG435" t="str">
        <f t="shared" si="181"/>
        <v>VE</v>
      </c>
    </row>
    <row r="436" spans="1:85" ht="45.75" customHeight="1" x14ac:dyDescent="0.3">
      <c r="A436" s="298" t="s">
        <v>1261</v>
      </c>
      <c r="B436" s="299" t="str">
        <f>'PLAN INDICATIVO'!B436</f>
        <v>Justicia y seguridad</v>
      </c>
      <c r="C436" s="1547"/>
      <c r="D436" s="1549"/>
      <c r="E436" s="1549"/>
      <c r="F436" s="1549"/>
      <c r="G436" s="1549"/>
      <c r="H436" s="1549"/>
      <c r="I436" s="300">
        <f>'PLAN INDICATIVO'!I436</f>
        <v>0</v>
      </c>
      <c r="J436" s="300">
        <f>'PLAN INDICATIVO'!J436</f>
        <v>0</v>
      </c>
      <c r="K436" s="1425" t="str">
        <f>'PLAN INDICATIVO'!K436</f>
        <v>A.18.2.12</v>
      </c>
      <c r="L436" s="301" t="str">
        <f>'PLAN INDICATIVO'!L436</f>
        <v>16. Paz, justicia e instituciones sólidas</v>
      </c>
      <c r="M436" s="301" t="str">
        <f>'PLAN INDICATIVO'!M436</f>
        <v>Secretaría de Gobierno</v>
      </c>
      <c r="N436" s="1524" t="s">
        <v>5132</v>
      </c>
      <c r="O436" s="1425" t="str">
        <f>'PLAN INDICATIVO'!O436</f>
        <v>Incremento</v>
      </c>
      <c r="P436" s="71" t="str">
        <f>'PLAN INDICATIVO'!P436</f>
        <v>Realizar 48 operativos de prevención a la contaminación auditiva y visual, durante el cuatrienio</v>
      </c>
      <c r="Q436" s="302" t="str">
        <f>'PLAN INDICATIVO'!Q436</f>
        <v>No. De operativos realizados</v>
      </c>
      <c r="R436" s="303">
        <f>'PLAN INDICATIVO'!R436</f>
        <v>2015</v>
      </c>
      <c r="S436" s="304" t="s">
        <v>177</v>
      </c>
      <c r="T436" s="699">
        <v>48</v>
      </c>
      <c r="U436" s="303">
        <v>21</v>
      </c>
      <c r="V436" s="687">
        <v>6000000</v>
      </c>
      <c r="W436" s="303">
        <v>15</v>
      </c>
      <c r="X436" s="687">
        <v>6000000</v>
      </c>
      <c r="Y436" s="303">
        <v>17</v>
      </c>
      <c r="Z436" s="687">
        <v>1000000</v>
      </c>
      <c r="AA436" s="291">
        <f>T436-BW436</f>
        <v>3</v>
      </c>
      <c r="AB436" s="686">
        <v>2000000</v>
      </c>
      <c r="AC436" s="669"/>
      <c r="AD436" s="669">
        <v>11</v>
      </c>
      <c r="AE436" s="669">
        <v>2</v>
      </c>
      <c r="AF436" s="669">
        <v>32</v>
      </c>
      <c r="AG436" s="341" t="s">
        <v>5159</v>
      </c>
      <c r="AH436" s="987">
        <v>2019413960026</v>
      </c>
      <c r="AI436" s="355" t="s">
        <v>5101</v>
      </c>
      <c r="AJ436" s="309">
        <v>43497</v>
      </c>
      <c r="AK436" s="356">
        <v>43799</v>
      </c>
      <c r="AL436" s="358"/>
      <c r="AM436" s="358"/>
      <c r="AN436" s="267" t="s">
        <v>2600</v>
      </c>
      <c r="AO436" s="513"/>
      <c r="AP436" s="525"/>
      <c r="AQ436" s="310"/>
      <c r="AR436" s="310"/>
      <c r="AS436" s="310"/>
      <c r="AT436" s="310"/>
      <c r="AU436" s="310"/>
      <c r="AV436" s="310"/>
      <c r="AW436" s="544"/>
      <c r="AX436" s="525"/>
      <c r="AY436" s="310"/>
      <c r="AZ436" s="310"/>
      <c r="BA436" s="310"/>
      <c r="BB436" s="310"/>
      <c r="BC436" s="310"/>
      <c r="BD436" s="310"/>
      <c r="BE436" s="544"/>
      <c r="BF436" s="525"/>
      <c r="BG436" s="310"/>
      <c r="BH436" s="310"/>
      <c r="BI436" s="310"/>
      <c r="BJ436" s="310"/>
      <c r="BK436" s="310"/>
      <c r="BL436" s="310"/>
      <c r="BM436" s="544">
        <f t="shared" si="176"/>
        <v>0</v>
      </c>
      <c r="BN436" s="525"/>
      <c r="BO436" s="310"/>
      <c r="BP436" s="310"/>
      <c r="BQ436" s="310"/>
      <c r="BR436" s="310"/>
      <c r="BS436" s="310"/>
      <c r="BT436" s="310"/>
      <c r="BU436" s="544"/>
      <c r="BV436" s="556"/>
      <c r="BW436" s="663">
        <f t="shared" si="182"/>
        <v>45</v>
      </c>
      <c r="BX436" s="1047">
        <f t="shared" si="170"/>
        <v>0.9375</v>
      </c>
      <c r="BY436" s="1047">
        <f t="shared" si="177"/>
        <v>0</v>
      </c>
      <c r="BZ436" s="1047">
        <f t="shared" si="178"/>
        <v>0.73333333333333328</v>
      </c>
      <c r="CA436" s="1047">
        <f t="shared" si="179"/>
        <v>0.11764705882352941</v>
      </c>
      <c r="CB436" s="1047">
        <f t="shared" si="180"/>
        <v>10.666666666666666</v>
      </c>
      <c r="CD436" t="str">
        <f t="shared" si="181"/>
        <v>ROB</v>
      </c>
      <c r="CE436" t="str">
        <f t="shared" si="181"/>
        <v>VEB</v>
      </c>
      <c r="CF436" t="str">
        <f t="shared" si="181"/>
        <v>ROB</v>
      </c>
      <c r="CG436" t="str">
        <f t="shared" si="181"/>
        <v>VE</v>
      </c>
    </row>
    <row r="437" spans="1:85" ht="42.75" customHeight="1" thickBot="1" x14ac:dyDescent="0.35">
      <c r="A437" s="298" t="s">
        <v>1261</v>
      </c>
      <c r="B437" s="299" t="str">
        <f>'PLAN INDICATIVO'!B437</f>
        <v>Justicia y seguridad</v>
      </c>
      <c r="C437" s="1548"/>
      <c r="D437" s="1549"/>
      <c r="E437" s="1549"/>
      <c r="F437" s="1549"/>
      <c r="G437" s="1549"/>
      <c r="H437" s="1549"/>
      <c r="I437" s="300">
        <f>'PLAN INDICATIVO'!I437</f>
        <v>0</v>
      </c>
      <c r="J437" s="300">
        <f>'PLAN INDICATIVO'!J437</f>
        <v>0</v>
      </c>
      <c r="K437" s="1425" t="str">
        <f>'PLAN INDICATIVO'!K437</f>
        <v>A.18.2.13</v>
      </c>
      <c r="L437" s="301" t="str">
        <f>'PLAN INDICATIVO'!L437</f>
        <v>16. Paz, justicia e instituciones sólidas</v>
      </c>
      <c r="M437" s="301" t="str">
        <f>'PLAN INDICATIVO'!M437</f>
        <v>Secretaría de Gobierno</v>
      </c>
      <c r="N437" s="1513" t="s">
        <v>5132</v>
      </c>
      <c r="O437" s="1425" t="str">
        <f>'PLAN INDICATIVO'!O437</f>
        <v>Incremento</v>
      </c>
      <c r="P437" s="16" t="str">
        <f>'PLAN INDICATIVO'!P437</f>
        <v>Realizar 1 plan para la aplicación del comparendo ambiental, durante el cuatrienio</v>
      </c>
      <c r="Q437" s="302" t="str">
        <f>'PLAN INDICATIVO'!Q437</f>
        <v>No. De planes realizados</v>
      </c>
      <c r="R437" s="303">
        <f>'PLAN INDICATIVO'!R437</f>
        <v>2015</v>
      </c>
      <c r="S437" s="304">
        <v>0</v>
      </c>
      <c r="T437" s="699">
        <v>1</v>
      </c>
      <c r="U437" s="303">
        <v>1</v>
      </c>
      <c r="V437" s="687">
        <v>1000000</v>
      </c>
      <c r="W437" s="303">
        <v>1</v>
      </c>
      <c r="X437" s="687">
        <v>1000000</v>
      </c>
      <c r="Y437" s="303">
        <v>0</v>
      </c>
      <c r="Z437" s="687"/>
      <c r="AA437" s="291"/>
      <c r="AB437" s="686">
        <v>25000000</v>
      </c>
      <c r="AC437" s="669"/>
      <c r="AD437" s="669">
        <v>1</v>
      </c>
      <c r="AE437" s="669"/>
      <c r="AF437" s="669"/>
      <c r="AG437" s="341" t="s">
        <v>5159</v>
      </c>
      <c r="AH437" s="987">
        <v>2019413960026</v>
      </c>
      <c r="AI437" s="355"/>
      <c r="AJ437" s="309"/>
      <c r="AK437" s="363"/>
      <c r="AL437" s="358"/>
      <c r="AM437" s="358"/>
      <c r="AN437" s="267" t="s">
        <v>2594</v>
      </c>
      <c r="AO437" s="512"/>
      <c r="AP437" s="525"/>
      <c r="AQ437" s="310"/>
      <c r="AR437" s="310"/>
      <c r="AS437" s="310"/>
      <c r="AT437" s="310"/>
      <c r="AU437" s="310"/>
      <c r="AV437" s="310"/>
      <c r="AW437" s="544"/>
      <c r="AX437" s="525"/>
      <c r="AY437" s="310"/>
      <c r="AZ437" s="310"/>
      <c r="BA437" s="310"/>
      <c r="BB437" s="310"/>
      <c r="BC437" s="310"/>
      <c r="BD437" s="310"/>
      <c r="BE437" s="544"/>
      <c r="BF437" s="525"/>
      <c r="BG437" s="310"/>
      <c r="BH437" s="310"/>
      <c r="BI437" s="310"/>
      <c r="BJ437" s="310"/>
      <c r="BK437" s="310"/>
      <c r="BL437" s="310"/>
      <c r="BM437" s="544">
        <f t="shared" si="176"/>
        <v>0</v>
      </c>
      <c r="BN437" s="525"/>
      <c r="BO437" s="310"/>
      <c r="BP437" s="310"/>
      <c r="BQ437" s="310"/>
      <c r="BR437" s="310"/>
      <c r="BS437" s="310"/>
      <c r="BT437" s="310"/>
      <c r="BU437" s="544"/>
      <c r="BV437" s="556"/>
      <c r="BW437" s="663">
        <f t="shared" si="182"/>
        <v>1</v>
      </c>
      <c r="BX437" s="1047">
        <f t="shared" si="170"/>
        <v>1</v>
      </c>
      <c r="BY437" s="1047">
        <f t="shared" si="177"/>
        <v>0</v>
      </c>
      <c r="BZ437" s="1047">
        <f t="shared" si="178"/>
        <v>1</v>
      </c>
      <c r="CA437" s="1047" t="str">
        <f t="shared" si="179"/>
        <v>Aplazada</v>
      </c>
      <c r="CB437" s="1047" t="str">
        <f t="shared" si="180"/>
        <v>No Programada</v>
      </c>
      <c r="CD437" t="str">
        <f t="shared" si="181"/>
        <v>ROB</v>
      </c>
      <c r="CE437" t="str">
        <f t="shared" si="181"/>
        <v>VE</v>
      </c>
      <c r="CF437" t="str">
        <f t="shared" si="181"/>
        <v>AZ</v>
      </c>
      <c r="CG437" t="str">
        <f t="shared" si="181"/>
        <v>NP</v>
      </c>
    </row>
    <row r="438" spans="1:85" s="1242" customFormat="1" ht="23.25" hidden="1" customHeight="1" thickBot="1" x14ac:dyDescent="0.3">
      <c r="A438" s="440"/>
      <c r="B438" s="440"/>
      <c r="C438" s="440"/>
      <c r="D438" s="1642" t="s">
        <v>3053</v>
      </c>
      <c r="E438" s="1642"/>
      <c r="F438" s="1642"/>
      <c r="G438" s="1642"/>
      <c r="H438" s="1642"/>
      <c r="I438" s="1642"/>
      <c r="J438" s="1642"/>
      <c r="K438" s="1642"/>
      <c r="L438" s="1642"/>
      <c r="M438" s="1642"/>
      <c r="N438" s="1642"/>
      <c r="O438" s="1642"/>
      <c r="P438" s="1642"/>
      <c r="Q438" s="1642"/>
      <c r="R438" s="1642"/>
      <c r="S438" s="1642"/>
      <c r="T438" s="1642"/>
      <c r="U438" s="1642"/>
      <c r="V438" s="1642"/>
      <c r="W438" s="1642"/>
      <c r="X438" s="1642"/>
      <c r="Y438" s="1642"/>
      <c r="Z438" s="1642"/>
      <c r="AA438" s="1642"/>
      <c r="AB438" s="1642"/>
      <c r="AC438" s="1642"/>
      <c r="AD438" s="1642"/>
      <c r="AE438" s="1642"/>
      <c r="AF438" s="1642"/>
      <c r="AG438" s="1642"/>
      <c r="AH438" s="1642"/>
      <c r="AI438" s="1642"/>
      <c r="AJ438" s="1642"/>
      <c r="AK438" s="1642"/>
      <c r="AL438" s="1642"/>
      <c r="AM438" s="1643"/>
      <c r="AN438" s="292"/>
      <c r="AO438" s="504"/>
      <c r="AP438" s="632"/>
      <c r="AQ438" s="633"/>
      <c r="AR438" s="633"/>
      <c r="AS438" s="633"/>
      <c r="AT438" s="633"/>
      <c r="AU438" s="633"/>
      <c r="AV438" s="633"/>
      <c r="AW438" s="555"/>
      <c r="AX438" s="632"/>
      <c r="AY438" s="633"/>
      <c r="AZ438" s="633"/>
      <c r="BA438" s="633"/>
      <c r="BB438" s="633"/>
      <c r="BC438" s="633"/>
      <c r="BD438" s="633"/>
      <c r="BE438" s="555"/>
      <c r="BF438" s="632"/>
      <c r="BG438" s="633"/>
      <c r="BH438" s="633"/>
      <c r="BI438" s="633"/>
      <c r="BJ438" s="633"/>
      <c r="BK438" s="633"/>
      <c r="BL438" s="633"/>
      <c r="BM438" s="555">
        <f t="shared" si="176"/>
        <v>0</v>
      </c>
      <c r="BN438" s="632"/>
      <c r="BO438" s="633"/>
      <c r="BP438" s="633"/>
      <c r="BQ438" s="633"/>
      <c r="BR438" s="633"/>
      <c r="BS438" s="633"/>
      <c r="BT438" s="633"/>
      <c r="BU438" s="555"/>
      <c r="BV438" s="556"/>
      <c r="BW438" s="555" t="s">
        <v>2717</v>
      </c>
      <c r="BX438" s="555" t="s">
        <v>2717</v>
      </c>
      <c r="BY438" s="555" t="s">
        <v>2717</v>
      </c>
      <c r="BZ438" s="555" t="s">
        <v>2717</v>
      </c>
      <c r="CA438" s="555" t="s">
        <v>2717</v>
      </c>
      <c r="CB438" s="1047" t="s">
        <v>2717</v>
      </c>
      <c r="CC438"/>
      <c r="CD438"/>
      <c r="CE438"/>
      <c r="CF438"/>
      <c r="CG438"/>
    </row>
    <row r="439" spans="1:85" s="1242" customFormat="1" ht="35.25" customHeight="1" thickBot="1" x14ac:dyDescent="0.35">
      <c r="A439" s="441"/>
      <c r="B439" s="442"/>
      <c r="C439" s="1590" t="s">
        <v>1350</v>
      </c>
      <c r="D439" s="1590"/>
      <c r="E439" s="1590"/>
      <c r="F439" s="1590"/>
      <c r="G439" s="1590"/>
      <c r="H439" s="1590"/>
      <c r="I439" s="1590"/>
      <c r="J439" s="1590"/>
      <c r="K439" s="1590"/>
      <c r="L439" s="1590"/>
      <c r="M439" s="1590"/>
      <c r="N439" s="1590"/>
      <c r="O439" s="1590"/>
      <c r="P439" s="1590"/>
      <c r="Q439" s="1590"/>
      <c r="R439" s="1590"/>
      <c r="S439" s="1590"/>
      <c r="T439" s="1590"/>
      <c r="U439" s="1590"/>
      <c r="V439" s="1590"/>
      <c r="W439" s="1590"/>
      <c r="X439" s="1590"/>
      <c r="Y439" s="1590"/>
      <c r="Z439" s="1590"/>
      <c r="AA439" s="1590"/>
      <c r="AB439" s="1590"/>
      <c r="AC439" s="1590"/>
      <c r="AD439" s="1590"/>
      <c r="AE439" s="1590"/>
      <c r="AF439" s="1590"/>
      <c r="AG439" s="1590"/>
      <c r="AH439" s="1590"/>
      <c r="AI439" s="1590"/>
      <c r="AJ439" s="1590"/>
      <c r="AK439" s="1590"/>
      <c r="AL439" s="1590"/>
      <c r="AM439" s="1641"/>
      <c r="AN439" s="437"/>
      <c r="AO439" s="517"/>
      <c r="AP439" s="524"/>
      <c r="AQ439" s="374"/>
      <c r="AR439" s="374"/>
      <c r="AS439" s="374"/>
      <c r="AT439" s="374"/>
      <c r="AU439" s="374"/>
      <c r="AV439" s="374"/>
      <c r="AW439" s="544"/>
      <c r="AX439" s="524"/>
      <c r="AY439" s="374"/>
      <c r="AZ439" s="374"/>
      <c r="BA439" s="374"/>
      <c r="BB439" s="374"/>
      <c r="BC439" s="374"/>
      <c r="BD439" s="374"/>
      <c r="BE439" s="544"/>
      <c r="BF439" s="524"/>
      <c r="BG439" s="374"/>
      <c r="BH439" s="374"/>
      <c r="BI439" s="374"/>
      <c r="BJ439" s="374"/>
      <c r="BK439" s="374"/>
      <c r="BL439" s="374"/>
      <c r="BM439" s="544">
        <f t="shared" si="176"/>
        <v>0</v>
      </c>
      <c r="BN439" s="524"/>
      <c r="BO439" s="374"/>
      <c r="BP439" s="374"/>
      <c r="BQ439" s="374"/>
      <c r="BR439" s="374"/>
      <c r="BS439" s="374"/>
      <c r="BT439" s="374"/>
      <c r="BU439" s="544"/>
      <c r="BV439" s="556"/>
      <c r="BW439" s="544" t="s">
        <v>2717</v>
      </c>
      <c r="BX439" s="544" t="s">
        <v>2717</v>
      </c>
      <c r="BY439" s="544" t="s">
        <v>2717</v>
      </c>
      <c r="BZ439" s="544" t="s">
        <v>2717</v>
      </c>
      <c r="CA439" s="544" t="s">
        <v>2717</v>
      </c>
      <c r="CB439" s="1047" t="s">
        <v>2717</v>
      </c>
      <c r="CC439"/>
      <c r="CD439"/>
      <c r="CE439"/>
      <c r="CF439"/>
      <c r="CG439"/>
    </row>
    <row r="440" spans="1:85" s="1242" customFormat="1" ht="21.75" customHeight="1" x14ac:dyDescent="0.3">
      <c r="A440" s="391"/>
      <c r="B440" s="331" t="str">
        <f>'PLAN INDICATIVO'!B440</f>
        <v>Ambiental</v>
      </c>
      <c r="C440" s="1640" t="s">
        <v>1352</v>
      </c>
      <c r="D440" s="1640"/>
      <c r="E440" s="1640"/>
      <c r="F440" s="1640"/>
      <c r="G440" s="1640"/>
      <c r="H440" s="1640"/>
      <c r="I440" s="1640"/>
      <c r="J440" s="1640"/>
      <c r="K440" s="1640"/>
      <c r="L440" s="1640"/>
      <c r="M440" s="1640"/>
      <c r="N440" s="1640"/>
      <c r="O440" s="1640"/>
      <c r="P440" s="318"/>
      <c r="Q440" s="318"/>
      <c r="R440" s="317"/>
      <c r="S440" s="319"/>
      <c r="T440" s="676"/>
      <c r="U440" s="319"/>
      <c r="V440" s="695">
        <f>SUM(V441:V472)</f>
        <v>308220000</v>
      </c>
      <c r="W440" s="319"/>
      <c r="X440" s="695">
        <f>SUM(X441:X472)</f>
        <v>392900000</v>
      </c>
      <c r="Y440" s="319"/>
      <c r="Z440" s="695">
        <f>SUM(Z441:Z472)</f>
        <v>225000000</v>
      </c>
      <c r="AA440" s="320"/>
      <c r="AB440" s="708">
        <f>SUM(AB441:AB472)</f>
        <v>175791027</v>
      </c>
      <c r="AC440" s="320"/>
      <c r="AD440" s="320"/>
      <c r="AE440" s="320"/>
      <c r="AF440" s="320"/>
      <c r="AG440" s="321"/>
      <c r="AH440" s="321"/>
      <c r="AI440" s="321"/>
      <c r="AJ440" s="320"/>
      <c r="AK440" s="320"/>
      <c r="AL440" s="320"/>
      <c r="AM440" s="320"/>
      <c r="AN440" s="320"/>
      <c r="AO440" s="630"/>
      <c r="AP440" s="616"/>
      <c r="AQ440" s="616"/>
      <c r="AR440" s="616"/>
      <c r="AS440" s="616"/>
      <c r="AT440" s="616"/>
      <c r="AU440" s="616"/>
      <c r="AV440" s="616"/>
      <c r="AW440" s="617"/>
      <c r="AX440" s="616"/>
      <c r="AY440" s="616"/>
      <c r="AZ440" s="616"/>
      <c r="BA440" s="616"/>
      <c r="BB440" s="616"/>
      <c r="BC440" s="616"/>
      <c r="BD440" s="616"/>
      <c r="BE440" s="617"/>
      <c r="BF440" s="616"/>
      <c r="BG440" s="616"/>
      <c r="BH440" s="616"/>
      <c r="BI440" s="616"/>
      <c r="BJ440" s="616"/>
      <c r="BK440" s="616"/>
      <c r="BL440" s="616"/>
      <c r="BM440" s="617">
        <f t="shared" si="176"/>
        <v>0</v>
      </c>
      <c r="BN440" s="616"/>
      <c r="BO440" s="616"/>
      <c r="BP440" s="616"/>
      <c r="BQ440" s="616"/>
      <c r="BR440" s="616"/>
      <c r="BS440" s="616"/>
      <c r="BT440" s="616"/>
      <c r="BU440" s="617"/>
      <c r="BV440" s="556"/>
      <c r="BW440" s="617" t="s">
        <v>2717</v>
      </c>
      <c r="BX440" s="617" t="s">
        <v>2717</v>
      </c>
      <c r="BY440" s="617" t="s">
        <v>2717</v>
      </c>
      <c r="BZ440" s="617" t="s">
        <v>2717</v>
      </c>
      <c r="CA440" s="617" t="s">
        <v>2717</v>
      </c>
      <c r="CB440" s="1047" t="s">
        <v>2717</v>
      </c>
      <c r="CC440"/>
      <c r="CD440"/>
      <c r="CE440"/>
      <c r="CF440"/>
      <c r="CG440"/>
    </row>
    <row r="441" spans="1:85" ht="93.75" customHeight="1" x14ac:dyDescent="0.3">
      <c r="A441" s="298" t="s">
        <v>1353</v>
      </c>
      <c r="B441" s="299" t="str">
        <f>'PLAN INDICATIVO'!B441</f>
        <v>Ambiental</v>
      </c>
      <c r="C441" s="1546" t="s">
        <v>1354</v>
      </c>
      <c r="D441" s="1550" t="s">
        <v>1355</v>
      </c>
      <c r="E441" s="1550" t="s">
        <v>1356</v>
      </c>
      <c r="F441" s="1550">
        <v>2015</v>
      </c>
      <c r="G441" s="1550">
        <v>12676</v>
      </c>
      <c r="H441" s="1550">
        <v>14000</v>
      </c>
      <c r="I441" s="300">
        <f>'PLAN INDICATIVO'!I441</f>
        <v>0</v>
      </c>
      <c r="J441" s="300">
        <f>'PLAN INDICATIVO'!J441</f>
        <v>0</v>
      </c>
      <c r="K441" s="1428" t="str">
        <f>'PLAN INDICATIVO'!K441</f>
        <v>A.10.1.1</v>
      </c>
      <c r="L441" s="301" t="str">
        <f>'PLAN INDICATIVO'!L441</f>
        <v>15. Vida de ecosistemas terrestres</v>
      </c>
      <c r="M441" s="301" t="str">
        <f>'PLAN INDICATIVO'!M441</f>
        <v>Unidad de Desarrollo Rural</v>
      </c>
      <c r="N441" s="1425" t="s">
        <v>5127</v>
      </c>
      <c r="O441" s="1425" t="str">
        <f>'PLAN INDICATIVO'!O441</f>
        <v>Incremento</v>
      </c>
      <c r="P441" s="16" t="str">
        <f>'PLAN INDICATIVO'!P441</f>
        <v>Destinar 44 Predios particulares para la conservación, restauración y protección de zonas de importancia estratégica ambiental incentivados en materia de impuesto predial, durante el cuatrienio</v>
      </c>
      <c r="Q441" s="302" t="str">
        <f>'PLAN INDICATIVO'!Q441</f>
        <v>No. De predios con incentivos</v>
      </c>
      <c r="R441" s="303">
        <f>'PLAN INDICATIVO'!R441</f>
        <v>2015</v>
      </c>
      <c r="S441" s="304">
        <v>195</v>
      </c>
      <c r="T441" s="498">
        <v>44</v>
      </c>
      <c r="U441" s="572">
        <v>10</v>
      </c>
      <c r="V441" s="687">
        <v>5000000</v>
      </c>
      <c r="W441" s="572">
        <v>10</v>
      </c>
      <c r="X441" s="687">
        <v>6000000</v>
      </c>
      <c r="Y441" s="572">
        <v>14</v>
      </c>
      <c r="Z441" s="687">
        <v>1000000</v>
      </c>
      <c r="AA441" s="1310">
        <v>14</v>
      </c>
      <c r="AB441" s="686">
        <f>2285000+70000000</f>
        <v>72285000</v>
      </c>
      <c r="AC441" s="665"/>
      <c r="AD441" s="665">
        <v>10</v>
      </c>
      <c r="AE441" s="665">
        <v>10</v>
      </c>
      <c r="AF441" s="665">
        <v>11</v>
      </c>
      <c r="AG441" s="1359" t="s">
        <v>5158</v>
      </c>
      <c r="AH441" s="987">
        <v>2019413960011</v>
      </c>
      <c r="AI441" s="1474" t="s">
        <v>5048</v>
      </c>
      <c r="AJ441" s="309"/>
      <c r="AK441" s="838"/>
      <c r="AL441" s="308"/>
      <c r="AM441" s="308"/>
      <c r="AN441" s="267" t="s">
        <v>2604</v>
      </c>
      <c r="AO441" s="507"/>
      <c r="AP441" s="973"/>
      <c r="AQ441" s="973"/>
      <c r="AR441" s="973"/>
      <c r="AS441" s="973"/>
      <c r="AT441" s="973"/>
      <c r="AU441" s="973"/>
      <c r="AV441" s="973"/>
      <c r="AW441" s="975"/>
      <c r="AX441" s="525"/>
      <c r="AY441" s="310"/>
      <c r="AZ441" s="310"/>
      <c r="BA441" s="310"/>
      <c r="BB441" s="310"/>
      <c r="BC441" s="310"/>
      <c r="BD441" s="310"/>
      <c r="BE441" s="544"/>
      <c r="BF441" s="525"/>
      <c r="BG441" s="310"/>
      <c r="BH441" s="310"/>
      <c r="BI441" s="310"/>
      <c r="BJ441" s="310"/>
      <c r="BK441" s="310"/>
      <c r="BL441" s="310"/>
      <c r="BM441" s="544">
        <f t="shared" si="176"/>
        <v>0</v>
      </c>
      <c r="BN441" s="310"/>
      <c r="BO441" s="310"/>
      <c r="BP441" s="310"/>
      <c r="BQ441" s="310"/>
      <c r="BR441" s="310"/>
      <c r="BS441" s="310"/>
      <c r="BT441" s="310"/>
      <c r="BU441" s="544"/>
      <c r="BV441" s="556"/>
      <c r="BW441" s="663">
        <f t="shared" si="182"/>
        <v>31</v>
      </c>
      <c r="BX441" s="1047">
        <f t="shared" si="170"/>
        <v>0.70454545454545459</v>
      </c>
      <c r="BY441" s="1047">
        <f t="shared" ref="BY441:BY472" si="183">IF(U441&gt;=0.1,AC441/U441,IF(ISBLANK(U441),"No Programada","Aplazada"))</f>
        <v>0</v>
      </c>
      <c r="BZ441" s="1047">
        <f t="shared" ref="BZ441:CA472" si="184">IF(W441&gt;=0.1,AD441/W441,IF(ISBLANK(W441),"No Programada","Aplazada"))</f>
        <v>1</v>
      </c>
      <c r="CA441" s="1047">
        <f t="shared" ref="CA441:CA471" si="185">IF(Y441&gt;=0.1,AE441/Y441,IF(ISBLANK(Y441),"No Programada","Aplazada"))</f>
        <v>0.7142857142857143</v>
      </c>
      <c r="CB441" s="1047">
        <f t="shared" ref="CB441:CB472" si="186">IF(AA441&gt;=0.1,AF441/AA441,IF(ISBLANK(AA441),"No Programada","Aplazada"))</f>
        <v>0.7857142857142857</v>
      </c>
      <c r="CD441" t="str">
        <f t="shared" ref="CD441:CG472" si="187">IF(BY441="PARA MODIFICAR","M",IF(BY441="PARA ELIMINAR","E",IF(BY441="aplazada","AZ",IF(BY441="no programada","NP",IF(BY441&gt;=85%,"VE",IF(BY441&gt;70%,"VEB",IF(BY441&gt;60%,"AM",IF(BY441&gt;40%,"AMB",IF(BY441&gt;20%,"RO",IF(BY441&gt;=0%,"ROB",""))))))))))</f>
        <v>ROB</v>
      </c>
      <c r="CE441" t="str">
        <f t="shared" si="187"/>
        <v>VE</v>
      </c>
      <c r="CF441" t="str">
        <f t="shared" si="187"/>
        <v>VEB</v>
      </c>
      <c r="CG441" t="str">
        <f t="shared" si="187"/>
        <v>VEB</v>
      </c>
    </row>
    <row r="442" spans="1:85" ht="79.5" customHeight="1" x14ac:dyDescent="0.3">
      <c r="A442" s="298" t="s">
        <v>1353</v>
      </c>
      <c r="B442" s="299" t="str">
        <f>'PLAN INDICATIVO'!B442</f>
        <v>Ambiental</v>
      </c>
      <c r="C442" s="1547"/>
      <c r="D442" s="1551"/>
      <c r="E442" s="1551"/>
      <c r="F442" s="1551"/>
      <c r="G442" s="1551"/>
      <c r="H442" s="1551"/>
      <c r="I442" s="1425" t="str">
        <f>'PLAN INDICATIVO'!I442</f>
        <v>SI</v>
      </c>
      <c r="J442" s="1425">
        <f>'PLAN INDICATIVO'!J442</f>
        <v>0</v>
      </c>
      <c r="K442" s="1428" t="str">
        <f>'PLAN INDICATIVO'!K442</f>
        <v>A.10.1.2</v>
      </c>
      <c r="L442" s="301" t="str">
        <f>'PLAN INDICATIVO'!L442</f>
        <v>15. Vida de ecosistemas terrestres</v>
      </c>
      <c r="M442" s="301" t="str">
        <f>'PLAN INDICATIVO'!M442</f>
        <v>Unidad de Desarrollo Rural</v>
      </c>
      <c r="N442" s="1513" t="s">
        <v>5127</v>
      </c>
      <c r="O442" s="1425" t="str">
        <f>'PLAN INDICATIVO'!O442</f>
        <v>Incremento</v>
      </c>
      <c r="P442" s="16" t="str">
        <f>'PLAN INDICATIVO'!P442</f>
        <v xml:space="preserve">Proteger 12 micro cuencas mediante la reforestación, aislamiento y manejo de regeneración o siembra de especies protectora, durante el cuatrienio </v>
      </c>
      <c r="Q442" s="302" t="str">
        <f>'PLAN INDICATIVO'!Q442</f>
        <v>No. Micro cuencas protegidas con reforestación o aislamiento</v>
      </c>
      <c r="R442" s="303">
        <f>'PLAN INDICATIVO'!R442</f>
        <v>2015</v>
      </c>
      <c r="S442" s="304">
        <v>0</v>
      </c>
      <c r="T442" s="498">
        <v>12</v>
      </c>
      <c r="U442" s="572">
        <v>3</v>
      </c>
      <c r="V442" s="687">
        <v>16000000</v>
      </c>
      <c r="W442" s="572">
        <v>3</v>
      </c>
      <c r="X442" s="687">
        <v>23000000</v>
      </c>
      <c r="Y442" s="572">
        <v>3</v>
      </c>
      <c r="Z442" s="687">
        <v>19000000</v>
      </c>
      <c r="AA442" s="1310">
        <v>2</v>
      </c>
      <c r="AB442" s="686">
        <v>2285000</v>
      </c>
      <c r="AC442" s="665"/>
      <c r="AD442" s="665">
        <v>4</v>
      </c>
      <c r="AE442" s="665">
        <v>3</v>
      </c>
      <c r="AF442" s="665">
        <v>2</v>
      </c>
      <c r="AG442" s="1359" t="s">
        <v>5158</v>
      </c>
      <c r="AH442" s="987">
        <v>2019413960011</v>
      </c>
      <c r="AI442" s="309" t="s">
        <v>5049</v>
      </c>
      <c r="AJ442" s="309"/>
      <c r="AK442" s="308"/>
      <c r="AL442" s="308"/>
      <c r="AM442" s="308"/>
      <c r="AN442" s="267" t="s">
        <v>2598</v>
      </c>
      <c r="AO442" s="507"/>
      <c r="AP442" s="972"/>
      <c r="AQ442" s="973"/>
      <c r="AR442" s="973"/>
      <c r="AS442" s="973"/>
      <c r="AT442" s="973"/>
      <c r="AU442" s="973"/>
      <c r="AV442" s="973"/>
      <c r="AW442" s="975"/>
      <c r="AX442" s="525"/>
      <c r="AY442" s="310"/>
      <c r="AZ442" s="310"/>
      <c r="BA442" s="310"/>
      <c r="BB442" s="310"/>
      <c r="BC442" s="310"/>
      <c r="BD442" s="310"/>
      <c r="BE442" s="544"/>
      <c r="BF442" s="525"/>
      <c r="BG442" s="310"/>
      <c r="BH442" s="310"/>
      <c r="BI442" s="310"/>
      <c r="BJ442" s="310"/>
      <c r="BK442" s="310"/>
      <c r="BL442" s="310"/>
      <c r="BM442" s="544">
        <f t="shared" si="176"/>
        <v>0</v>
      </c>
      <c r="BN442" s="310"/>
      <c r="BO442" s="310"/>
      <c r="BP442" s="310"/>
      <c r="BQ442" s="310"/>
      <c r="BR442" s="310"/>
      <c r="BS442" s="310"/>
      <c r="BT442" s="310"/>
      <c r="BU442" s="544"/>
      <c r="BV442" s="556"/>
      <c r="BW442" s="663">
        <f t="shared" si="182"/>
        <v>9</v>
      </c>
      <c r="BX442" s="1047">
        <f t="shared" si="170"/>
        <v>0.75</v>
      </c>
      <c r="BY442" s="1047">
        <f t="shared" si="183"/>
        <v>0</v>
      </c>
      <c r="BZ442" s="1047">
        <f t="shared" si="184"/>
        <v>1.3333333333333333</v>
      </c>
      <c r="CA442" s="1047">
        <f t="shared" si="185"/>
        <v>1</v>
      </c>
      <c r="CB442" s="1047">
        <f t="shared" si="186"/>
        <v>1</v>
      </c>
      <c r="CD442" t="str">
        <f t="shared" si="187"/>
        <v>ROB</v>
      </c>
      <c r="CE442" t="str">
        <f t="shared" si="187"/>
        <v>VE</v>
      </c>
      <c r="CF442" t="str">
        <f t="shared" si="187"/>
        <v>VE</v>
      </c>
      <c r="CG442" t="str">
        <f t="shared" si="187"/>
        <v>VE</v>
      </c>
    </row>
    <row r="443" spans="1:85" ht="60.75" customHeight="1" x14ac:dyDescent="0.3">
      <c r="A443" s="298" t="s">
        <v>1353</v>
      </c>
      <c r="B443" s="299" t="str">
        <f>'PLAN INDICATIVO'!B443</f>
        <v>Ambiental</v>
      </c>
      <c r="C443" s="1547"/>
      <c r="D443" s="1551"/>
      <c r="E443" s="1551"/>
      <c r="F443" s="1551"/>
      <c r="G443" s="1551"/>
      <c r="H443" s="1551"/>
      <c r="I443" s="300">
        <f>'PLAN INDICATIVO'!I443</f>
        <v>0</v>
      </c>
      <c r="J443" s="300">
        <f>'PLAN INDICATIVO'!J443</f>
        <v>0</v>
      </c>
      <c r="K443" s="1428" t="str">
        <f>'PLAN INDICATIVO'!K443</f>
        <v>A.10.1.3</v>
      </c>
      <c r="L443" s="301" t="str">
        <f>'PLAN INDICATIVO'!L443</f>
        <v>15. Vida de ecosistemas terrestres</v>
      </c>
      <c r="M443" s="301" t="str">
        <f>'PLAN INDICATIVO'!M443</f>
        <v>Unidad de Desarrollo Rural</v>
      </c>
      <c r="N443" s="1513" t="s">
        <v>5127</v>
      </c>
      <c r="O443" s="1425" t="str">
        <f>'PLAN INDICATIVO'!O443</f>
        <v>Incremento</v>
      </c>
      <c r="P443" s="16" t="str">
        <f>'PLAN INDICATIVO'!P443</f>
        <v>Garantizar 3 mejoramientos paisajístico y ambiental en el Municipio durante el cuatrienio</v>
      </c>
      <c r="Q443" s="302" t="str">
        <f>'PLAN INDICATIVO'!Q443</f>
        <v xml:space="preserve">No. De mejoramiento paisajísticos garantizados </v>
      </c>
      <c r="R443" s="303">
        <f>'PLAN INDICATIVO'!R443</f>
        <v>2015</v>
      </c>
      <c r="S443" s="304">
        <v>0</v>
      </c>
      <c r="T443" s="498">
        <v>3</v>
      </c>
      <c r="U443" s="572">
        <v>0</v>
      </c>
      <c r="V443" s="687">
        <v>5000000</v>
      </c>
      <c r="W443" s="572">
        <v>1</v>
      </c>
      <c r="X443" s="687">
        <v>6000000</v>
      </c>
      <c r="Y443" s="572">
        <v>1</v>
      </c>
      <c r="Z443" s="687">
        <v>3000000</v>
      </c>
      <c r="AA443" s="1310">
        <v>2</v>
      </c>
      <c r="AB443" s="686">
        <v>2285000</v>
      </c>
      <c r="AC443" s="665"/>
      <c r="AD443" s="665">
        <v>1</v>
      </c>
      <c r="AE443" s="665"/>
      <c r="AF443" s="665">
        <v>2</v>
      </c>
      <c r="AG443" s="1359" t="s">
        <v>5158</v>
      </c>
      <c r="AH443" s="987">
        <v>2019413960011</v>
      </c>
      <c r="AI443" s="1471" t="s">
        <v>4948</v>
      </c>
      <c r="AJ443" s="309">
        <v>43553</v>
      </c>
      <c r="AK443" s="838">
        <v>43789</v>
      </c>
      <c r="AL443" s="308"/>
      <c r="AM443" s="308"/>
      <c r="AN443" s="267" t="s">
        <v>2600</v>
      </c>
      <c r="AO443" s="507"/>
      <c r="AP443" s="973"/>
      <c r="AQ443" s="973"/>
      <c r="AR443" s="973"/>
      <c r="AS443" s="973"/>
      <c r="AT443" s="973"/>
      <c r="AU443" s="973"/>
      <c r="AV443" s="973"/>
      <c r="AW443" s="975"/>
      <c r="AX443" s="525"/>
      <c r="AY443" s="310"/>
      <c r="AZ443" s="310"/>
      <c r="BA443" s="310"/>
      <c r="BB443" s="310"/>
      <c r="BC443" s="310"/>
      <c r="BD443" s="310"/>
      <c r="BE443" s="544"/>
      <c r="BF443" s="525"/>
      <c r="BG443" s="310"/>
      <c r="BH443" s="310"/>
      <c r="BI443" s="310"/>
      <c r="BJ443" s="310"/>
      <c r="BK443" s="310"/>
      <c r="BL443" s="310"/>
      <c r="BM443" s="544">
        <f t="shared" si="176"/>
        <v>0</v>
      </c>
      <c r="BN443" s="310"/>
      <c r="BO443" s="310"/>
      <c r="BP443" s="310"/>
      <c r="BQ443" s="310"/>
      <c r="BR443" s="310"/>
      <c r="BS443" s="310"/>
      <c r="BT443" s="310"/>
      <c r="BU443" s="544"/>
      <c r="BV443" s="556"/>
      <c r="BW443" s="663">
        <f t="shared" si="182"/>
        <v>3</v>
      </c>
      <c r="BX443" s="1047">
        <f t="shared" si="170"/>
        <v>1</v>
      </c>
      <c r="BY443" s="1047" t="str">
        <f t="shared" si="183"/>
        <v>Aplazada</v>
      </c>
      <c r="BZ443" s="1047">
        <f t="shared" si="184"/>
        <v>1</v>
      </c>
      <c r="CA443" s="1047">
        <f t="shared" si="185"/>
        <v>0</v>
      </c>
      <c r="CB443" s="1047">
        <f t="shared" si="186"/>
        <v>1</v>
      </c>
      <c r="CD443" t="str">
        <f t="shared" si="187"/>
        <v>AZ</v>
      </c>
      <c r="CE443" t="str">
        <f t="shared" si="187"/>
        <v>VE</v>
      </c>
      <c r="CF443" t="str">
        <f t="shared" si="187"/>
        <v>ROB</v>
      </c>
      <c r="CG443" t="str">
        <f t="shared" si="187"/>
        <v>VE</v>
      </c>
    </row>
    <row r="444" spans="1:85" ht="44.25" hidden="1" customHeight="1" x14ac:dyDescent="0.25">
      <c r="A444" s="298" t="s">
        <v>1353</v>
      </c>
      <c r="B444" s="299" t="str">
        <f>'PLAN INDICATIVO'!B444</f>
        <v>Ambiental</v>
      </c>
      <c r="C444" s="1547"/>
      <c r="D444" s="1551"/>
      <c r="E444" s="1551"/>
      <c r="F444" s="1551"/>
      <c r="G444" s="1551"/>
      <c r="H444" s="1551"/>
      <c r="I444" s="300">
        <f>'PLAN INDICATIVO'!I444</f>
        <v>0</v>
      </c>
      <c r="J444" s="300">
        <f>'PLAN INDICATIVO'!J444</f>
        <v>0</v>
      </c>
      <c r="K444" s="1428" t="str">
        <f>'PLAN INDICATIVO'!K444</f>
        <v>A.10.1.4</v>
      </c>
      <c r="L444" s="301" t="str">
        <f>'PLAN INDICATIVO'!L444</f>
        <v>15. Vida de ecosistemas terrestres</v>
      </c>
      <c r="M444" s="301" t="str">
        <f>'PLAN INDICATIVO'!M444</f>
        <v>Unidad de Desarrollo Rural</v>
      </c>
      <c r="N444" s="1513" t="s">
        <v>5127</v>
      </c>
      <c r="O444" s="1425" t="str">
        <f>'PLAN INDICATIVO'!O444</f>
        <v>Incremento</v>
      </c>
      <c r="P444" s="16" t="str">
        <f>'PLAN INDICATIVO'!P444</f>
        <v>Realizar 1 inventario forestal urbano durante el cuatrienio</v>
      </c>
      <c r="Q444" s="302" t="str">
        <f>'PLAN INDICATIVO'!Q444</f>
        <v>No. De inventarios realizados</v>
      </c>
      <c r="R444" s="303">
        <f>'PLAN INDICATIVO'!R444</f>
        <v>2015</v>
      </c>
      <c r="S444" s="304">
        <v>0</v>
      </c>
      <c r="T444" s="498">
        <v>1</v>
      </c>
      <c r="U444" s="572">
        <v>0</v>
      </c>
      <c r="V444" s="687">
        <v>0</v>
      </c>
      <c r="W444" s="572">
        <v>0</v>
      </c>
      <c r="X444" s="687"/>
      <c r="Y444" s="572">
        <v>1</v>
      </c>
      <c r="Z444" s="687">
        <v>4000000</v>
      </c>
      <c r="AA444" s="1310"/>
      <c r="AB444" s="686"/>
      <c r="AC444" s="665"/>
      <c r="AD444" s="665">
        <v>0</v>
      </c>
      <c r="AE444" s="665">
        <v>1</v>
      </c>
      <c r="AF444" s="665"/>
      <c r="AG444" s="1359" t="s">
        <v>5158</v>
      </c>
      <c r="AH444" s="987">
        <v>2019413960011</v>
      </c>
      <c r="AI444" s="1263" t="s">
        <v>4863</v>
      </c>
      <c r="AJ444" s="838"/>
      <c r="AK444" s="308"/>
      <c r="AL444" s="308"/>
      <c r="AM444" s="308"/>
      <c r="AN444" s="267" t="s">
        <v>2598</v>
      </c>
      <c r="AO444" s="507"/>
      <c r="AP444" s="525"/>
      <c r="AQ444" s="310"/>
      <c r="AR444" s="310"/>
      <c r="AS444" s="310"/>
      <c r="AT444" s="310"/>
      <c r="AU444" s="310"/>
      <c r="AV444" s="310"/>
      <c r="AW444" s="544"/>
      <c r="AX444" s="525"/>
      <c r="AY444" s="310"/>
      <c r="AZ444" s="310"/>
      <c r="BA444" s="310"/>
      <c r="BB444" s="310"/>
      <c r="BC444" s="310"/>
      <c r="BD444" s="310"/>
      <c r="BE444" s="544"/>
      <c r="BF444" s="525"/>
      <c r="BG444" s="310"/>
      <c r="BH444" s="310"/>
      <c r="BI444" s="310"/>
      <c r="BJ444" s="310"/>
      <c r="BK444" s="310"/>
      <c r="BL444" s="310"/>
      <c r="BM444" s="544">
        <f t="shared" si="176"/>
        <v>0</v>
      </c>
      <c r="BN444" s="310"/>
      <c r="BO444" s="310"/>
      <c r="BP444" s="310"/>
      <c r="BQ444" s="310"/>
      <c r="BR444" s="310"/>
      <c r="BS444" s="310"/>
      <c r="BT444" s="310"/>
      <c r="BU444" s="544"/>
      <c r="BV444" s="556"/>
      <c r="BW444" s="663">
        <f t="shared" si="182"/>
        <v>1</v>
      </c>
      <c r="BX444" s="1047">
        <f t="shared" si="170"/>
        <v>1</v>
      </c>
      <c r="BY444" s="1047" t="str">
        <f t="shared" si="183"/>
        <v>Aplazada</v>
      </c>
      <c r="BZ444" s="1047" t="str">
        <f t="shared" si="184"/>
        <v>Aplazada</v>
      </c>
      <c r="CA444" s="1047">
        <f t="shared" si="185"/>
        <v>1</v>
      </c>
      <c r="CB444" s="1047" t="str">
        <f t="shared" si="186"/>
        <v>No Programada</v>
      </c>
      <c r="CD444" t="str">
        <f t="shared" si="187"/>
        <v>AZ</v>
      </c>
      <c r="CE444" t="str">
        <f t="shared" si="187"/>
        <v>AZ</v>
      </c>
      <c r="CF444" t="str">
        <f t="shared" si="187"/>
        <v>VE</v>
      </c>
      <c r="CG444" t="str">
        <f t="shared" si="187"/>
        <v>NP</v>
      </c>
    </row>
    <row r="445" spans="1:85" ht="72.75" customHeight="1" x14ac:dyDescent="0.3">
      <c r="A445" s="298" t="s">
        <v>1353</v>
      </c>
      <c r="B445" s="299" t="str">
        <f>'PLAN INDICATIVO'!B445</f>
        <v>Ambiental</v>
      </c>
      <c r="C445" s="1547"/>
      <c r="D445" s="1551"/>
      <c r="E445" s="1551"/>
      <c r="F445" s="1551"/>
      <c r="G445" s="1551"/>
      <c r="H445" s="1551"/>
      <c r="I445" s="300">
        <f>'PLAN INDICATIVO'!I445</f>
        <v>0</v>
      </c>
      <c r="J445" s="300">
        <f>'PLAN INDICATIVO'!J445</f>
        <v>0</v>
      </c>
      <c r="K445" s="1428" t="str">
        <f>'PLAN INDICATIVO'!K445</f>
        <v>A.10.1.5</v>
      </c>
      <c r="L445" s="301" t="str">
        <f>'PLAN INDICATIVO'!L445</f>
        <v>15. Vida de ecosistemas terrestres</v>
      </c>
      <c r="M445" s="301" t="str">
        <f>'PLAN INDICATIVO'!M445</f>
        <v>Unidad de Desarrollo Rural</v>
      </c>
      <c r="N445" s="1513" t="s">
        <v>5127</v>
      </c>
      <c r="O445" s="1425" t="str">
        <f>'PLAN INDICATIVO'!O445</f>
        <v>Incremento</v>
      </c>
      <c r="P445" s="16" t="str">
        <f>'PLAN INDICATIVO'!P445</f>
        <v>Sembrar 12.000 árboles durante el cuatrienio  para la reforestación con seguimiento continúo.</v>
      </c>
      <c r="Q445" s="302" t="str">
        <f>'PLAN INDICATIVO'!Q445</f>
        <v>No. De árboles sembrados</v>
      </c>
      <c r="R445" s="303">
        <f>'PLAN INDICATIVO'!R445</f>
        <v>2015</v>
      </c>
      <c r="S445" s="304">
        <v>0</v>
      </c>
      <c r="T445" s="498">
        <v>12000</v>
      </c>
      <c r="U445" s="572">
        <v>3000</v>
      </c>
      <c r="V445" s="687">
        <v>9000000</v>
      </c>
      <c r="W445" s="572">
        <v>3000</v>
      </c>
      <c r="X445" s="687">
        <v>11000000</v>
      </c>
      <c r="Y445" s="572">
        <v>3000</v>
      </c>
      <c r="Z445" s="687">
        <v>10000000</v>
      </c>
      <c r="AA445" s="1310">
        <v>2000</v>
      </c>
      <c r="AB445" s="686">
        <v>2285000</v>
      </c>
      <c r="AC445" s="673"/>
      <c r="AD445" s="673">
        <v>3000</v>
      </c>
      <c r="AE445" s="673">
        <v>3000</v>
      </c>
      <c r="AF445" s="673">
        <v>2000</v>
      </c>
      <c r="AG445" s="1359" t="s">
        <v>5158</v>
      </c>
      <c r="AH445" s="987">
        <v>2019413960011</v>
      </c>
      <c r="AI445" s="1471" t="s">
        <v>4949</v>
      </c>
      <c r="AJ445" s="309">
        <v>43553</v>
      </c>
      <c r="AK445" s="838">
        <v>43789</v>
      </c>
      <c r="AL445" s="308"/>
      <c r="AM445" s="308"/>
      <c r="AN445" s="267" t="s">
        <v>2598</v>
      </c>
      <c r="AO445" s="507"/>
      <c r="AP445" s="972"/>
      <c r="AQ445" s="977"/>
      <c r="AR445" s="973"/>
      <c r="AS445" s="973"/>
      <c r="AT445" s="973"/>
      <c r="AU445" s="973"/>
      <c r="AV445" s="973"/>
      <c r="AW445" s="975"/>
      <c r="AX445" s="525"/>
      <c r="AY445" s="380"/>
      <c r="AZ445" s="310"/>
      <c r="BA445" s="310"/>
      <c r="BB445" s="310"/>
      <c r="BC445" s="310"/>
      <c r="BD445" s="310"/>
      <c r="BE445" s="544"/>
      <c r="BF445" s="525"/>
      <c r="BG445" s="380"/>
      <c r="BH445" s="310"/>
      <c r="BI445" s="310"/>
      <c r="BJ445" s="310"/>
      <c r="BK445" s="310"/>
      <c r="BL445" s="310"/>
      <c r="BM445" s="544">
        <f t="shared" si="176"/>
        <v>0</v>
      </c>
      <c r="BN445" s="310"/>
      <c r="BO445" s="380"/>
      <c r="BP445" s="310"/>
      <c r="BQ445" s="310"/>
      <c r="BR445" s="310"/>
      <c r="BS445" s="310"/>
      <c r="BT445" s="310"/>
      <c r="BU445" s="544"/>
      <c r="BV445" s="556"/>
      <c r="BW445" s="663">
        <f t="shared" si="182"/>
        <v>8000</v>
      </c>
      <c r="BX445" s="1047">
        <f t="shared" si="170"/>
        <v>0.66666666666666663</v>
      </c>
      <c r="BY445" s="1047">
        <f t="shared" si="183"/>
        <v>0</v>
      </c>
      <c r="BZ445" s="1047">
        <f t="shared" si="184"/>
        <v>1</v>
      </c>
      <c r="CA445" s="1047">
        <f t="shared" si="185"/>
        <v>1</v>
      </c>
      <c r="CB445" s="1047">
        <f t="shared" si="186"/>
        <v>1</v>
      </c>
      <c r="CD445" t="str">
        <f t="shared" si="187"/>
        <v>ROB</v>
      </c>
      <c r="CE445" t="str">
        <f t="shared" si="187"/>
        <v>VE</v>
      </c>
      <c r="CF445" t="str">
        <f t="shared" si="187"/>
        <v>VE</v>
      </c>
      <c r="CG445" t="str">
        <f t="shared" si="187"/>
        <v>VE</v>
      </c>
    </row>
    <row r="446" spans="1:85" ht="57" customHeight="1" x14ac:dyDescent="0.3">
      <c r="A446" s="298" t="s">
        <v>1353</v>
      </c>
      <c r="B446" s="299" t="str">
        <f>'PLAN INDICATIVO'!B446</f>
        <v>Ambiental</v>
      </c>
      <c r="C446" s="1547"/>
      <c r="D446" s="1551"/>
      <c r="E446" s="1551"/>
      <c r="F446" s="1551"/>
      <c r="G446" s="1551"/>
      <c r="H446" s="1551"/>
      <c r="I446" s="300">
        <f>'PLAN INDICATIVO'!I446</f>
        <v>0</v>
      </c>
      <c r="J446" s="300">
        <f>'PLAN INDICATIVO'!J446</f>
        <v>0</v>
      </c>
      <c r="K446" s="1428" t="str">
        <f>'PLAN INDICATIVO'!K446</f>
        <v>A.10.1.6</v>
      </c>
      <c r="L446" s="301" t="str">
        <f>'PLAN INDICATIVO'!L446</f>
        <v>15. Vida de ecosistemas terrestres</v>
      </c>
      <c r="M446" s="301" t="str">
        <f>'PLAN INDICATIVO'!M446</f>
        <v>Unidad de Desarrollo Rural</v>
      </c>
      <c r="N446" s="1513" t="s">
        <v>5127</v>
      </c>
      <c r="O446" s="1425" t="str">
        <f>'PLAN INDICATIVO'!O446</f>
        <v>Incremento</v>
      </c>
      <c r="P446" s="16" t="str">
        <f>'PLAN INDICATIVO'!P446</f>
        <v>Realizar 40 actividades durante el cuatrienio enmarcadas en la conservación y preservación del medio ambiente, tales como; el reciclaje, la separación en la fuente y la transformación de materia orgánica en Abonos, entre otras.</v>
      </c>
      <c r="Q446" s="302" t="str">
        <f>'PLAN INDICATIVO'!Q446</f>
        <v>No. De actividades realizadas</v>
      </c>
      <c r="R446" s="303">
        <f>'PLAN INDICATIVO'!R446</f>
        <v>2015</v>
      </c>
      <c r="S446" s="304">
        <v>0</v>
      </c>
      <c r="T446" s="498">
        <v>40</v>
      </c>
      <c r="U446" s="572">
        <v>10</v>
      </c>
      <c r="V446" s="687">
        <v>8000000</v>
      </c>
      <c r="W446" s="572">
        <v>10</v>
      </c>
      <c r="X446" s="687">
        <v>9000000</v>
      </c>
      <c r="Y446" s="572">
        <v>10</v>
      </c>
      <c r="Z446" s="687">
        <v>9000000</v>
      </c>
      <c r="AA446" s="1310">
        <v>10</v>
      </c>
      <c r="AB446" s="686">
        <v>2285000</v>
      </c>
      <c r="AC446" s="665"/>
      <c r="AD446" s="665">
        <v>10</v>
      </c>
      <c r="AE446" s="665">
        <v>10</v>
      </c>
      <c r="AF446" s="665">
        <v>10</v>
      </c>
      <c r="AG446" s="1359" t="s">
        <v>5158</v>
      </c>
      <c r="AH446" s="987">
        <v>2019413960011</v>
      </c>
      <c r="AI446" s="1471" t="s">
        <v>5050</v>
      </c>
      <c r="AJ446" s="309">
        <v>43621</v>
      </c>
      <c r="AK446" s="838">
        <v>43813</v>
      </c>
      <c r="AL446" s="308"/>
      <c r="AM446" s="308"/>
      <c r="AN446" s="267" t="s">
        <v>2598</v>
      </c>
      <c r="AO446" s="507"/>
      <c r="AP446" s="972"/>
      <c r="AQ446" s="973"/>
      <c r="AR446" s="973"/>
      <c r="AS446" s="973"/>
      <c r="AT446" s="973"/>
      <c r="AU446" s="973"/>
      <c r="AV446" s="973"/>
      <c r="AW446" s="975"/>
      <c r="AX446" s="525"/>
      <c r="AY446" s="310"/>
      <c r="AZ446" s="310"/>
      <c r="BA446" s="310"/>
      <c r="BB446" s="310"/>
      <c r="BC446" s="310"/>
      <c r="BD446" s="310"/>
      <c r="BE446" s="544"/>
      <c r="BF446" s="525"/>
      <c r="BG446" s="310"/>
      <c r="BH446" s="310"/>
      <c r="BI446" s="310"/>
      <c r="BJ446" s="310"/>
      <c r="BK446" s="310"/>
      <c r="BL446" s="310"/>
      <c r="BM446" s="544">
        <f t="shared" si="176"/>
        <v>0</v>
      </c>
      <c r="BN446" s="525"/>
      <c r="BO446" s="310"/>
      <c r="BP446" s="310"/>
      <c r="BQ446" s="310"/>
      <c r="BR446" s="310"/>
      <c r="BS446" s="310"/>
      <c r="BT446" s="310"/>
      <c r="BU446" s="544"/>
      <c r="BV446" s="556"/>
      <c r="BW446" s="663">
        <f t="shared" si="182"/>
        <v>30</v>
      </c>
      <c r="BX446" s="1047">
        <f t="shared" si="170"/>
        <v>0.75</v>
      </c>
      <c r="BY446" s="1047">
        <f t="shared" si="183"/>
        <v>0</v>
      </c>
      <c r="BZ446" s="1047">
        <f t="shared" si="184"/>
        <v>1</v>
      </c>
      <c r="CA446" s="1047">
        <f t="shared" si="185"/>
        <v>1</v>
      </c>
      <c r="CB446" s="1047">
        <f t="shared" si="186"/>
        <v>1</v>
      </c>
      <c r="CD446" t="str">
        <f t="shared" si="187"/>
        <v>ROB</v>
      </c>
      <c r="CE446" t="str">
        <f t="shared" si="187"/>
        <v>VE</v>
      </c>
      <c r="CF446" t="str">
        <f t="shared" si="187"/>
        <v>VE</v>
      </c>
      <c r="CG446" t="str">
        <f t="shared" si="187"/>
        <v>VE</v>
      </c>
    </row>
    <row r="447" spans="1:85" ht="66" customHeight="1" x14ac:dyDescent="0.3">
      <c r="A447" s="298" t="s">
        <v>1353</v>
      </c>
      <c r="B447" s="299" t="str">
        <f>'PLAN INDICATIVO'!B447</f>
        <v>Ambiental</v>
      </c>
      <c r="C447" s="1547"/>
      <c r="D447" s="1551"/>
      <c r="E447" s="1551"/>
      <c r="F447" s="1551"/>
      <c r="G447" s="1551"/>
      <c r="H447" s="1551"/>
      <c r="I447" s="300">
        <f>'PLAN INDICATIVO'!I447</f>
        <v>0</v>
      </c>
      <c r="J447" s="300">
        <f>'PLAN INDICATIVO'!J447</f>
        <v>0</v>
      </c>
      <c r="K447" s="1428" t="str">
        <f>'PLAN INDICATIVO'!K447</f>
        <v>A.10.1.7</v>
      </c>
      <c r="L447" s="301" t="str">
        <f>'PLAN INDICATIVO'!L447</f>
        <v>15. Vida de ecosistemas terrestres</v>
      </c>
      <c r="M447" s="301" t="str">
        <f>'PLAN INDICATIVO'!M447</f>
        <v>Unidad de Desarrollo Rural</v>
      </c>
      <c r="N447" s="1513" t="s">
        <v>5127</v>
      </c>
      <c r="O447" s="1425" t="str">
        <f>'PLAN INDICATIVO'!O447</f>
        <v>Mantenimiento</v>
      </c>
      <c r="P447" s="16" t="str">
        <f>'PLAN INDICATIVO'!P447</f>
        <v>Realizar 4 eventos de cultura ambiental (día del árbol, día del agua, día del reciclador, día de la tierra)  cada año, durante el cuatrienio.</v>
      </c>
      <c r="Q447" s="302" t="str">
        <f>'PLAN INDICATIVO'!Q447</f>
        <v xml:space="preserve">No. De eventos de cultura ambiental realizados por año </v>
      </c>
      <c r="R447" s="303">
        <f>'PLAN INDICATIVO'!R447</f>
        <v>2015</v>
      </c>
      <c r="S447" s="304">
        <v>0</v>
      </c>
      <c r="T447" s="498">
        <v>16</v>
      </c>
      <c r="U447" s="572">
        <v>4</v>
      </c>
      <c r="V447" s="687">
        <v>5000000</v>
      </c>
      <c r="W447" s="572">
        <v>4</v>
      </c>
      <c r="X447" s="687">
        <v>5000000</v>
      </c>
      <c r="Y447" s="572">
        <v>4</v>
      </c>
      <c r="Z447" s="687">
        <v>5000000</v>
      </c>
      <c r="AA447" s="1310">
        <v>4</v>
      </c>
      <c r="AB447" s="686">
        <v>2285000</v>
      </c>
      <c r="AC447" s="665"/>
      <c r="AD447" s="665">
        <v>4</v>
      </c>
      <c r="AE447" s="665">
        <v>4</v>
      </c>
      <c r="AF447" s="665">
        <v>4</v>
      </c>
      <c r="AG447" s="1359" t="s">
        <v>5158</v>
      </c>
      <c r="AH447" s="987">
        <v>2019413960011</v>
      </c>
      <c r="AI447" s="1474" t="s">
        <v>5051</v>
      </c>
      <c r="AJ447" s="309">
        <v>43483</v>
      </c>
      <c r="AK447" s="838">
        <v>43601</v>
      </c>
      <c r="AL447" s="308"/>
      <c r="AM447" s="308"/>
      <c r="AN447" s="267" t="s">
        <v>2598</v>
      </c>
      <c r="AO447" s="507"/>
      <c r="AP447" s="972"/>
      <c r="AQ447" s="973"/>
      <c r="AR447" s="973"/>
      <c r="AS447" s="973"/>
      <c r="AT447" s="973"/>
      <c r="AU447" s="973"/>
      <c r="AV447" s="973"/>
      <c r="AW447" s="975"/>
      <c r="AX447" s="525"/>
      <c r="AY447" s="310"/>
      <c r="AZ447" s="310"/>
      <c r="BA447" s="310"/>
      <c r="BB447" s="310"/>
      <c r="BC447" s="310"/>
      <c r="BD447" s="310"/>
      <c r="BE447" s="544"/>
      <c r="BF447" s="525"/>
      <c r="BG447" s="310"/>
      <c r="BH447" s="310"/>
      <c r="BI447" s="310"/>
      <c r="BJ447" s="310"/>
      <c r="BK447" s="310"/>
      <c r="BL447" s="310"/>
      <c r="BM447" s="544">
        <f t="shared" si="176"/>
        <v>0</v>
      </c>
      <c r="BN447" s="525"/>
      <c r="BO447" s="310"/>
      <c r="BP447" s="310"/>
      <c r="BQ447" s="310"/>
      <c r="BR447" s="310"/>
      <c r="BS447" s="310"/>
      <c r="BT447" s="310"/>
      <c r="BU447" s="544"/>
      <c r="BV447" s="556"/>
      <c r="BW447" s="663">
        <f t="shared" si="182"/>
        <v>12</v>
      </c>
      <c r="BX447" s="1047">
        <f t="shared" si="170"/>
        <v>0.75</v>
      </c>
      <c r="BY447" s="1047">
        <f t="shared" si="183"/>
        <v>0</v>
      </c>
      <c r="BZ447" s="1047">
        <f t="shared" si="184"/>
        <v>1</v>
      </c>
      <c r="CA447" s="1047">
        <f t="shared" si="185"/>
        <v>1</v>
      </c>
      <c r="CB447" s="1047">
        <f t="shared" si="186"/>
        <v>1</v>
      </c>
      <c r="CD447" t="str">
        <f t="shared" si="187"/>
        <v>ROB</v>
      </c>
      <c r="CE447" t="str">
        <f t="shared" si="187"/>
        <v>VE</v>
      </c>
      <c r="CF447" t="str">
        <f t="shared" si="187"/>
        <v>VE</v>
      </c>
      <c r="CG447" t="str">
        <f t="shared" si="187"/>
        <v>VE</v>
      </c>
    </row>
    <row r="448" spans="1:85" ht="45" hidden="1" customHeight="1" x14ac:dyDescent="0.25">
      <c r="A448" s="298" t="s">
        <v>1353</v>
      </c>
      <c r="B448" s="299" t="str">
        <f>'PLAN INDICATIVO'!B448</f>
        <v>Ambiental</v>
      </c>
      <c r="C448" s="1547"/>
      <c r="D448" s="1551"/>
      <c r="E448" s="1551"/>
      <c r="F448" s="1551"/>
      <c r="G448" s="1551"/>
      <c r="H448" s="1551"/>
      <c r="I448" s="300">
        <f>'PLAN INDICATIVO'!I448</f>
        <v>0</v>
      </c>
      <c r="J448" s="300">
        <f>'PLAN INDICATIVO'!J448</f>
        <v>0</v>
      </c>
      <c r="K448" s="1428" t="str">
        <f>'PLAN INDICATIVO'!K448</f>
        <v>A.10.1.8</v>
      </c>
      <c r="L448" s="301" t="str">
        <f>'PLAN INDICATIVO'!L448</f>
        <v>15. Vida de ecosistemas terrestres</v>
      </c>
      <c r="M448" s="301" t="str">
        <f>'PLAN INDICATIVO'!M448</f>
        <v>Unidad de Desarrollo Rural</v>
      </c>
      <c r="N448" s="1513" t="s">
        <v>5127</v>
      </c>
      <c r="O448" s="1425" t="str">
        <f>'PLAN INDICATIVO'!O448</f>
        <v>Incremento</v>
      </c>
      <c r="P448" s="16" t="str">
        <f>'PLAN INDICATIVO'!P448</f>
        <v>Implementar  programas de certificación de 20 fincas en Buenas Prácticas Agrícolas y Pecuarias</v>
      </c>
      <c r="Q448" s="302" t="str">
        <f>'PLAN INDICATIVO'!Q448</f>
        <v>No. de fincas certificadas  en buenas prácticas agrícolas y pecuarias</v>
      </c>
      <c r="R448" s="303">
        <f>'PLAN INDICATIVO'!R448</f>
        <v>2015</v>
      </c>
      <c r="S448" s="304">
        <v>0</v>
      </c>
      <c r="T448" s="498">
        <v>20</v>
      </c>
      <c r="U448" s="572"/>
      <c r="V448" s="687">
        <v>0</v>
      </c>
      <c r="W448" s="572"/>
      <c r="X448" s="687"/>
      <c r="Y448" s="572">
        <v>0</v>
      </c>
      <c r="Z448" s="687">
        <v>5000000</v>
      </c>
      <c r="AA448" s="1310"/>
      <c r="AB448" s="686"/>
      <c r="AC448" s="665"/>
      <c r="AD448" s="665">
        <v>20</v>
      </c>
      <c r="AE448" s="665"/>
      <c r="AF448" s="665"/>
      <c r="AG448" s="1359" t="s">
        <v>5158</v>
      </c>
      <c r="AH448" s="987">
        <v>2019413960011</v>
      </c>
      <c r="AI448" s="308" t="s">
        <v>4863</v>
      </c>
      <c r="AJ448" s="308"/>
      <c r="AK448" s="308"/>
      <c r="AL448" s="308"/>
      <c r="AM448" s="308"/>
      <c r="AN448" s="267" t="s">
        <v>2594</v>
      </c>
      <c r="AO448" s="507"/>
      <c r="AP448" s="525"/>
      <c r="AQ448" s="310"/>
      <c r="AR448" s="310"/>
      <c r="AS448" s="310"/>
      <c r="AT448" s="310"/>
      <c r="AU448" s="310"/>
      <c r="AV448" s="310"/>
      <c r="AW448" s="544"/>
      <c r="AX448" s="525"/>
      <c r="AY448" s="310"/>
      <c r="AZ448" s="310"/>
      <c r="BA448" s="310"/>
      <c r="BB448" s="310"/>
      <c r="BC448" s="310"/>
      <c r="BD448" s="310"/>
      <c r="BE448" s="544"/>
      <c r="BF448" s="525"/>
      <c r="BG448" s="310"/>
      <c r="BH448" s="310"/>
      <c r="BI448" s="310"/>
      <c r="BJ448" s="310"/>
      <c r="BK448" s="310"/>
      <c r="BL448" s="310"/>
      <c r="BM448" s="544">
        <f t="shared" si="176"/>
        <v>0</v>
      </c>
      <c r="BN448" s="525"/>
      <c r="BO448" s="310"/>
      <c r="BP448" s="310"/>
      <c r="BQ448" s="310"/>
      <c r="BR448" s="310"/>
      <c r="BS448" s="310"/>
      <c r="BT448" s="310"/>
      <c r="BU448" s="544"/>
      <c r="BV448" s="556"/>
      <c r="BW448" s="663">
        <f t="shared" si="182"/>
        <v>20</v>
      </c>
      <c r="BX448" s="1047">
        <f t="shared" si="170"/>
        <v>1</v>
      </c>
      <c r="BY448" s="1047" t="str">
        <f t="shared" si="183"/>
        <v>No Programada</v>
      </c>
      <c r="BZ448" s="1047" t="str">
        <f t="shared" si="184"/>
        <v>No Programada</v>
      </c>
      <c r="CA448" s="1047" t="str">
        <f t="shared" si="185"/>
        <v>Aplazada</v>
      </c>
      <c r="CB448" s="1047" t="str">
        <f t="shared" si="186"/>
        <v>No Programada</v>
      </c>
      <c r="CD448" t="str">
        <f t="shared" si="187"/>
        <v>NP</v>
      </c>
      <c r="CE448" t="str">
        <f t="shared" si="187"/>
        <v>NP</v>
      </c>
      <c r="CF448" t="str">
        <f t="shared" si="187"/>
        <v>AZ</v>
      </c>
      <c r="CG448" t="str">
        <f t="shared" si="187"/>
        <v>NP</v>
      </c>
    </row>
    <row r="449" spans="1:85" ht="63.75" customHeight="1" x14ac:dyDescent="0.3">
      <c r="A449" s="298" t="s">
        <v>1353</v>
      </c>
      <c r="B449" s="299" t="str">
        <f>'PLAN INDICATIVO'!B449</f>
        <v>Ambiental</v>
      </c>
      <c r="C449" s="1547"/>
      <c r="D449" s="1551"/>
      <c r="E449" s="1551"/>
      <c r="F449" s="1551"/>
      <c r="G449" s="1551"/>
      <c r="H449" s="1551"/>
      <c r="I449" s="300">
        <f>'PLAN INDICATIVO'!I449</f>
        <v>0</v>
      </c>
      <c r="J449" s="300">
        <f>'PLAN INDICATIVO'!J449</f>
        <v>0</v>
      </c>
      <c r="K449" s="1428" t="str">
        <f>'PLAN INDICATIVO'!K449</f>
        <v>A.10.1.9</v>
      </c>
      <c r="L449" s="301" t="str">
        <f>'PLAN INDICATIVO'!L449</f>
        <v>15. Vida de ecosistemas terrestres</v>
      </c>
      <c r="M449" s="301" t="str">
        <f>'PLAN INDICATIVO'!M449</f>
        <v>Unidad de Desarrollo Rural</v>
      </c>
      <c r="N449" s="1513" t="s">
        <v>5127</v>
      </c>
      <c r="O449" s="1425" t="str">
        <f>'PLAN INDICATIVO'!O449</f>
        <v>Incremento</v>
      </c>
      <c r="P449" s="16" t="str">
        <f>'PLAN INDICATIVO'!P449</f>
        <v>Gestionar la implementación de 1 programa ambiental en el cuatrienio que permita la sensibilización, educación, concientización, y capacitación a la comunidad dedicada al reciclaje, como también programas de limpiezas de ríos, parques, quebradas, caminos.</v>
      </c>
      <c r="Q449" s="302" t="str">
        <f>'PLAN INDICATIVO'!Q449</f>
        <v>No. De Gestiones para implementar programas</v>
      </c>
      <c r="R449" s="303">
        <f>'PLAN INDICATIVO'!R449</f>
        <v>2015</v>
      </c>
      <c r="S449" s="304">
        <v>0</v>
      </c>
      <c r="T449" s="498">
        <v>1</v>
      </c>
      <c r="U449" s="572"/>
      <c r="V449" s="687">
        <v>4000000</v>
      </c>
      <c r="W449" s="572">
        <v>0.33</v>
      </c>
      <c r="X449" s="687">
        <v>2000000</v>
      </c>
      <c r="Y449" s="572"/>
      <c r="Z449" s="687">
        <v>2000000</v>
      </c>
      <c r="AA449" s="1310">
        <v>0.7</v>
      </c>
      <c r="AB449" s="686">
        <v>2285000</v>
      </c>
      <c r="AC449" s="665"/>
      <c r="AD449" s="665">
        <v>0.3</v>
      </c>
      <c r="AE449" s="665"/>
      <c r="AF449" s="665">
        <v>1</v>
      </c>
      <c r="AG449" s="1359" t="s">
        <v>5158</v>
      </c>
      <c r="AH449" s="987">
        <v>2019413960011</v>
      </c>
      <c r="AI449" s="309" t="s">
        <v>4865</v>
      </c>
      <c r="AJ449" s="309">
        <v>43483</v>
      </c>
      <c r="AK449" s="838">
        <v>43601</v>
      </c>
      <c r="AL449" s="308"/>
      <c r="AM449" s="308"/>
      <c r="AN449" s="267" t="s">
        <v>2594</v>
      </c>
      <c r="AO449" s="507"/>
      <c r="AP449" s="972"/>
      <c r="AQ449" s="973"/>
      <c r="AR449" s="973"/>
      <c r="AS449" s="973"/>
      <c r="AT449" s="973"/>
      <c r="AU449" s="973"/>
      <c r="AV449" s="973"/>
      <c r="AW449" s="975"/>
      <c r="AX449" s="525"/>
      <c r="AY449" s="310"/>
      <c r="AZ449" s="310"/>
      <c r="BA449" s="310"/>
      <c r="BB449" s="310"/>
      <c r="BC449" s="310"/>
      <c r="BD449" s="310"/>
      <c r="BE449" s="544"/>
      <c r="BF449" s="525"/>
      <c r="BG449" s="310"/>
      <c r="BH449" s="310"/>
      <c r="BI449" s="310"/>
      <c r="BJ449" s="310"/>
      <c r="BK449" s="310"/>
      <c r="BL449" s="310"/>
      <c r="BM449" s="544">
        <f t="shared" si="176"/>
        <v>0</v>
      </c>
      <c r="BN449" s="525"/>
      <c r="BO449" s="310"/>
      <c r="BP449" s="310"/>
      <c r="BQ449" s="310"/>
      <c r="BR449" s="310"/>
      <c r="BS449" s="310"/>
      <c r="BT449" s="310"/>
      <c r="BU449" s="544"/>
      <c r="BV449" s="556"/>
      <c r="BW449" s="663">
        <f t="shared" si="182"/>
        <v>1.3</v>
      </c>
      <c r="BX449" s="1047">
        <f t="shared" si="170"/>
        <v>1.3</v>
      </c>
      <c r="BY449" s="1047" t="str">
        <f t="shared" si="183"/>
        <v>No Programada</v>
      </c>
      <c r="BZ449" s="1047">
        <f t="shared" si="184"/>
        <v>0.90909090909090906</v>
      </c>
      <c r="CA449" s="1047" t="str">
        <f t="shared" si="185"/>
        <v>No Programada</v>
      </c>
      <c r="CB449" s="1047">
        <f t="shared" si="186"/>
        <v>1.4285714285714286</v>
      </c>
      <c r="CD449" t="str">
        <f t="shared" si="187"/>
        <v>NP</v>
      </c>
      <c r="CE449" t="str">
        <f t="shared" si="187"/>
        <v>VE</v>
      </c>
      <c r="CF449" t="str">
        <f t="shared" si="187"/>
        <v>NP</v>
      </c>
      <c r="CG449" t="str">
        <f t="shared" si="187"/>
        <v>VE</v>
      </c>
    </row>
    <row r="450" spans="1:85" ht="76.5" customHeight="1" x14ac:dyDescent="0.3">
      <c r="A450" s="298" t="s">
        <v>1353</v>
      </c>
      <c r="B450" s="299" t="str">
        <f>'PLAN INDICATIVO'!B450</f>
        <v>Ambiental</v>
      </c>
      <c r="C450" s="1547"/>
      <c r="D450" s="1551"/>
      <c r="E450" s="1551"/>
      <c r="F450" s="1551"/>
      <c r="G450" s="1551"/>
      <c r="H450" s="1551"/>
      <c r="I450" s="300">
        <f>'PLAN INDICATIVO'!I450</f>
        <v>0</v>
      </c>
      <c r="J450" s="300">
        <f>'PLAN INDICATIVO'!J450</f>
        <v>0</v>
      </c>
      <c r="K450" s="1428" t="str">
        <f>'PLAN INDICATIVO'!K450</f>
        <v>A.10.1.10</v>
      </c>
      <c r="L450" s="301" t="str">
        <f>'PLAN INDICATIVO'!L450</f>
        <v>15. Vida de ecosistemas terrestres</v>
      </c>
      <c r="M450" s="301" t="str">
        <f>'PLAN INDICATIVO'!M450</f>
        <v>Unidad de Desarrollo Rural</v>
      </c>
      <c r="N450" s="1513" t="s">
        <v>5127</v>
      </c>
      <c r="O450" s="1425" t="str">
        <f>'PLAN INDICATIVO'!O450</f>
        <v>Incremento</v>
      </c>
      <c r="P450" s="16" t="str">
        <f>'PLAN INDICATIVO'!P450</f>
        <v>Realizar 4 campañas durante el cuatrienio, para evitar la contaminación con heces de los animales utilizados para vehículos de tracción animal</v>
      </c>
      <c r="Q450" s="302" t="str">
        <f>'PLAN INDICATIVO'!Q450</f>
        <v>No. de campañas realizadas</v>
      </c>
      <c r="R450" s="303">
        <f>'PLAN INDICATIVO'!R450</f>
        <v>2015</v>
      </c>
      <c r="S450" s="304">
        <v>0</v>
      </c>
      <c r="T450" s="498">
        <v>4</v>
      </c>
      <c r="U450" s="572">
        <v>1</v>
      </c>
      <c r="V450" s="687">
        <v>3000000</v>
      </c>
      <c r="W450" s="572">
        <v>1</v>
      </c>
      <c r="X450" s="687">
        <v>2000000</v>
      </c>
      <c r="Y450" s="572">
        <v>1</v>
      </c>
      <c r="Z450" s="687">
        <v>2000000</v>
      </c>
      <c r="AA450" s="1310">
        <v>1</v>
      </c>
      <c r="AB450" s="686">
        <v>2285000</v>
      </c>
      <c r="AC450" s="665"/>
      <c r="AD450" s="665">
        <v>1</v>
      </c>
      <c r="AE450" s="665">
        <v>1</v>
      </c>
      <c r="AF450" s="665"/>
      <c r="AG450" s="1359" t="s">
        <v>5158</v>
      </c>
      <c r="AH450" s="987">
        <v>2019413960011</v>
      </c>
      <c r="AI450" s="309" t="s">
        <v>4863</v>
      </c>
      <c r="AJ450" s="309"/>
      <c r="AK450" s="308"/>
      <c r="AL450" s="308"/>
      <c r="AM450" s="308"/>
      <c r="AN450" s="267" t="s">
        <v>2598</v>
      </c>
      <c r="AO450" s="507"/>
      <c r="AP450" s="972"/>
      <c r="AQ450" s="973"/>
      <c r="AR450" s="973"/>
      <c r="AS450" s="973"/>
      <c r="AT450" s="973"/>
      <c r="AU450" s="973"/>
      <c r="AV450" s="973"/>
      <c r="AW450" s="975"/>
      <c r="AX450" s="525"/>
      <c r="AY450" s="310"/>
      <c r="AZ450" s="310"/>
      <c r="BA450" s="310"/>
      <c r="BB450" s="310"/>
      <c r="BC450" s="310"/>
      <c r="BD450" s="310"/>
      <c r="BE450" s="544"/>
      <c r="BF450" s="525"/>
      <c r="BG450" s="310"/>
      <c r="BH450" s="310"/>
      <c r="BI450" s="310"/>
      <c r="BJ450" s="310"/>
      <c r="BK450" s="310"/>
      <c r="BL450" s="310"/>
      <c r="BM450" s="544">
        <f t="shared" si="176"/>
        <v>0</v>
      </c>
      <c r="BN450" s="525"/>
      <c r="BO450" s="310"/>
      <c r="BP450" s="310"/>
      <c r="BQ450" s="310"/>
      <c r="BR450" s="310"/>
      <c r="BS450" s="310"/>
      <c r="BT450" s="310"/>
      <c r="BU450" s="544"/>
      <c r="BV450" s="556"/>
      <c r="BW450" s="663">
        <f t="shared" si="182"/>
        <v>2</v>
      </c>
      <c r="BX450" s="1047">
        <f t="shared" si="170"/>
        <v>0.5</v>
      </c>
      <c r="BY450" s="1047">
        <f t="shared" si="183"/>
        <v>0</v>
      </c>
      <c r="BZ450" s="1047">
        <f t="shared" si="184"/>
        <v>1</v>
      </c>
      <c r="CA450" s="1047">
        <f t="shared" si="185"/>
        <v>1</v>
      </c>
      <c r="CB450" s="1047">
        <f t="shared" si="186"/>
        <v>0</v>
      </c>
      <c r="CD450" t="str">
        <f t="shared" si="187"/>
        <v>ROB</v>
      </c>
      <c r="CE450" t="str">
        <f t="shared" si="187"/>
        <v>VE</v>
      </c>
      <c r="CF450" t="str">
        <f t="shared" si="187"/>
        <v>VE</v>
      </c>
      <c r="CG450" t="str">
        <f t="shared" si="187"/>
        <v>ROB</v>
      </c>
    </row>
    <row r="451" spans="1:85" ht="99" hidden="1" customHeight="1" x14ac:dyDescent="0.25">
      <c r="A451" s="298" t="s">
        <v>2458</v>
      </c>
      <c r="B451" s="299" t="str">
        <f>'PLAN INDICATIVO'!B451</f>
        <v>Ambiental</v>
      </c>
      <c r="C451" s="1547"/>
      <c r="D451" s="1551"/>
      <c r="E451" s="1551"/>
      <c r="F451" s="1551"/>
      <c r="G451" s="1551"/>
      <c r="H451" s="1551"/>
      <c r="I451" s="300">
        <f>'PLAN INDICATIVO'!I451</f>
        <v>0</v>
      </c>
      <c r="J451" s="300">
        <f>'PLAN INDICATIVO'!J451</f>
        <v>0</v>
      </c>
      <c r="K451" s="1428" t="str">
        <f>'PLAN INDICATIVO'!K451</f>
        <v>A.10.1.11</v>
      </c>
      <c r="L451" s="301" t="str">
        <f>'PLAN INDICATIVO'!L451</f>
        <v>15. Vida de ecosistemas terrestres</v>
      </c>
      <c r="M451" s="301" t="str">
        <f>'PLAN INDICATIVO'!M451</f>
        <v>Unidad de Desarrollo Rural</v>
      </c>
      <c r="N451" s="1513" t="s">
        <v>5127</v>
      </c>
      <c r="O451" s="1425" t="str">
        <f>'PLAN INDICATIVO'!O451</f>
        <v>Incremento</v>
      </c>
      <c r="P451" s="16" t="str">
        <f>'PLAN INDICATIVO'!P451</f>
        <v>Formular e implementar 1 estrategia para lograr la sustitución de vehículos de tracción animal.</v>
      </c>
      <c r="Q451" s="302" t="str">
        <f>'PLAN INDICATIVO'!Q451</f>
        <v>No. De Estrategia formuladas e implementada.</v>
      </c>
      <c r="R451" s="303">
        <f>'PLAN INDICATIVO'!R451</f>
        <v>2015</v>
      </c>
      <c r="S451" s="304">
        <v>0</v>
      </c>
      <c r="T451" s="498">
        <v>1</v>
      </c>
      <c r="U451" s="572"/>
      <c r="V451" s="687">
        <v>5000000</v>
      </c>
      <c r="W451" s="572">
        <v>0.33</v>
      </c>
      <c r="X451" s="687">
        <v>19000000</v>
      </c>
      <c r="Y451" s="572"/>
      <c r="Z451" s="687">
        <v>1000000</v>
      </c>
      <c r="AA451" s="1310">
        <v>1</v>
      </c>
      <c r="AB451" s="686"/>
      <c r="AC451" s="665"/>
      <c r="AD451" s="665"/>
      <c r="AE451" s="665"/>
      <c r="AF451" s="665">
        <v>0.5</v>
      </c>
      <c r="AG451" s="1359" t="s">
        <v>5158</v>
      </c>
      <c r="AH451" s="987">
        <v>2019413960011</v>
      </c>
      <c r="AI451" s="1474" t="s">
        <v>4950</v>
      </c>
      <c r="AJ451" s="309">
        <v>43483</v>
      </c>
      <c r="AK451" s="838">
        <v>43601</v>
      </c>
      <c r="AL451" s="308"/>
      <c r="AM451" s="308"/>
      <c r="AN451" s="267" t="s">
        <v>2594</v>
      </c>
      <c r="AO451" s="507"/>
      <c r="AP451" s="1229"/>
      <c r="AQ451" s="973"/>
      <c r="AR451" s="973"/>
      <c r="AS451" s="973"/>
      <c r="AT451" s="973"/>
      <c r="AU451" s="973"/>
      <c r="AV451" s="973"/>
      <c r="AW451" s="975"/>
      <c r="AX451" s="525"/>
      <c r="AY451" s="310"/>
      <c r="AZ451" s="310"/>
      <c r="BA451" s="310"/>
      <c r="BB451" s="310"/>
      <c r="BC451" s="310"/>
      <c r="BD451" s="310"/>
      <c r="BE451" s="544"/>
      <c r="BF451" s="525"/>
      <c r="BG451" s="310"/>
      <c r="BH451" s="310"/>
      <c r="BI451" s="310"/>
      <c r="BJ451" s="310"/>
      <c r="BK451" s="310"/>
      <c r="BL451" s="310"/>
      <c r="BM451" s="544">
        <f t="shared" si="176"/>
        <v>0</v>
      </c>
      <c r="BN451" s="525"/>
      <c r="BO451" s="310"/>
      <c r="BP451" s="310"/>
      <c r="BQ451" s="310"/>
      <c r="BR451" s="310"/>
      <c r="BS451" s="310"/>
      <c r="BT451" s="310"/>
      <c r="BU451" s="544"/>
      <c r="BV451" s="556"/>
      <c r="BW451" s="663">
        <f t="shared" si="182"/>
        <v>0.5</v>
      </c>
      <c r="BX451" s="1047">
        <f t="shared" si="170"/>
        <v>0.5</v>
      </c>
      <c r="BY451" s="1047" t="str">
        <f t="shared" si="183"/>
        <v>No Programada</v>
      </c>
      <c r="BZ451" s="1047">
        <f t="shared" si="184"/>
        <v>0</v>
      </c>
      <c r="CA451" s="1047" t="str">
        <f t="shared" si="185"/>
        <v>No Programada</v>
      </c>
      <c r="CB451" s="1047">
        <f t="shared" si="186"/>
        <v>0.5</v>
      </c>
      <c r="CD451" t="str">
        <f t="shared" si="187"/>
        <v>NP</v>
      </c>
      <c r="CE451" t="str">
        <f t="shared" si="187"/>
        <v>ROB</v>
      </c>
      <c r="CF451" t="str">
        <f t="shared" si="187"/>
        <v>NP</v>
      </c>
      <c r="CG451" t="str">
        <f t="shared" si="187"/>
        <v>AMB</v>
      </c>
    </row>
    <row r="452" spans="1:85" ht="83.25" hidden="1" customHeight="1" x14ac:dyDescent="0.25">
      <c r="A452" s="298" t="s">
        <v>1353</v>
      </c>
      <c r="B452" s="299" t="str">
        <f>'PLAN INDICATIVO'!B452</f>
        <v>Ambiental</v>
      </c>
      <c r="C452" s="1547"/>
      <c r="D452" s="1551"/>
      <c r="E452" s="1551"/>
      <c r="F452" s="1551"/>
      <c r="G452" s="1551"/>
      <c r="H452" s="1551"/>
      <c r="I452" s="300">
        <f>'PLAN INDICATIVO'!I452</f>
        <v>0</v>
      </c>
      <c r="J452" s="300">
        <f>'PLAN INDICATIVO'!J452</f>
        <v>0</v>
      </c>
      <c r="K452" s="1428" t="str">
        <f>'PLAN INDICATIVO'!K452</f>
        <v>A.10.1.12</v>
      </c>
      <c r="L452" s="301" t="str">
        <f>'PLAN INDICATIVO'!L452</f>
        <v>15. Vida de ecosistemas terrestres</v>
      </c>
      <c r="M452" s="301" t="str">
        <f>'PLAN INDICATIVO'!M452</f>
        <v>Unidad de Desarrollo Rural</v>
      </c>
      <c r="N452" s="1513" t="s">
        <v>5127</v>
      </c>
      <c r="O452" s="1425" t="str">
        <f>'PLAN INDICATIVO'!O452</f>
        <v>Incremento</v>
      </c>
      <c r="P452" s="16" t="str">
        <f>'PLAN INDICATIVO'!P452</f>
        <v>Garantizar 1 sitio adecuado para la disposición final de los escombros, durante el cuatrienio.</v>
      </c>
      <c r="Q452" s="302" t="str">
        <f>'PLAN INDICATIVO'!Q452</f>
        <v>No. De Gestión realizada</v>
      </c>
      <c r="R452" s="303">
        <f>'PLAN INDICATIVO'!R452</f>
        <v>2015</v>
      </c>
      <c r="S452" s="304">
        <v>0</v>
      </c>
      <c r="T452" s="498">
        <v>1</v>
      </c>
      <c r="U452" s="572"/>
      <c r="V452" s="687">
        <v>0</v>
      </c>
      <c r="W452" s="572"/>
      <c r="X452" s="687"/>
      <c r="Y452" s="572">
        <v>1</v>
      </c>
      <c r="Z452" s="687">
        <v>15000000</v>
      </c>
      <c r="AA452" s="1310">
        <v>1</v>
      </c>
      <c r="AB452" s="686"/>
      <c r="AC452" s="665"/>
      <c r="AD452" s="665"/>
      <c r="AE452" s="665"/>
      <c r="AF452" s="665"/>
      <c r="AG452" s="1359" t="s">
        <v>5158</v>
      </c>
      <c r="AH452" s="987">
        <v>2019413960011</v>
      </c>
      <c r="AI452" s="308"/>
      <c r="AJ452" s="308"/>
      <c r="AK452" s="308"/>
      <c r="AL452" s="308"/>
      <c r="AM452" s="308"/>
      <c r="AN452" s="267" t="s">
        <v>2600</v>
      </c>
      <c r="AO452" s="507"/>
      <c r="AP452" s="525"/>
      <c r="AQ452" s="310"/>
      <c r="AR452" s="310"/>
      <c r="AS452" s="310"/>
      <c r="AT452" s="310"/>
      <c r="AU452" s="310"/>
      <c r="AV452" s="310"/>
      <c r="AW452" s="544"/>
      <c r="AX452" s="525"/>
      <c r="AY452" s="310"/>
      <c r="AZ452" s="310"/>
      <c r="BA452" s="310"/>
      <c r="BB452" s="310"/>
      <c r="BC452" s="310"/>
      <c r="BD452" s="310"/>
      <c r="BE452" s="544"/>
      <c r="BF452" s="525"/>
      <c r="BG452" s="310"/>
      <c r="BH452" s="310"/>
      <c r="BI452" s="310"/>
      <c r="BJ452" s="310"/>
      <c r="BK452" s="310"/>
      <c r="BL452" s="310"/>
      <c r="BM452" s="544">
        <f t="shared" si="176"/>
        <v>0</v>
      </c>
      <c r="BN452" s="525"/>
      <c r="BO452" s="310"/>
      <c r="BP452" s="310"/>
      <c r="BQ452" s="310"/>
      <c r="BR452" s="310"/>
      <c r="BS452" s="310"/>
      <c r="BT452" s="310"/>
      <c r="BU452" s="544"/>
      <c r="BV452" s="556"/>
      <c r="BW452" s="663">
        <f t="shared" si="182"/>
        <v>0</v>
      </c>
      <c r="BX452" s="1047">
        <f t="shared" si="170"/>
        <v>0</v>
      </c>
      <c r="BY452" s="1047" t="str">
        <f t="shared" si="183"/>
        <v>No Programada</v>
      </c>
      <c r="BZ452" s="1047" t="str">
        <f t="shared" si="184"/>
        <v>No Programada</v>
      </c>
      <c r="CA452" s="1047">
        <f t="shared" si="185"/>
        <v>0</v>
      </c>
      <c r="CB452" s="1047">
        <f t="shared" si="186"/>
        <v>0</v>
      </c>
      <c r="CD452" t="str">
        <f t="shared" si="187"/>
        <v>NP</v>
      </c>
      <c r="CE452" t="str">
        <f t="shared" si="187"/>
        <v>NP</v>
      </c>
      <c r="CF452" t="str">
        <f t="shared" si="187"/>
        <v>ROB</v>
      </c>
      <c r="CG452" t="str">
        <f t="shared" si="187"/>
        <v>ROB</v>
      </c>
    </row>
    <row r="453" spans="1:85" ht="78" customHeight="1" x14ac:dyDescent="0.3">
      <c r="A453" s="298" t="s">
        <v>1353</v>
      </c>
      <c r="B453" s="299" t="str">
        <f>'PLAN INDICATIVO'!B453</f>
        <v>Ambiental</v>
      </c>
      <c r="C453" s="1547"/>
      <c r="D453" s="1551"/>
      <c r="E453" s="1551"/>
      <c r="F453" s="1551"/>
      <c r="G453" s="1551"/>
      <c r="H453" s="1551"/>
      <c r="I453" s="300">
        <f>'PLAN INDICATIVO'!I453</f>
        <v>0</v>
      </c>
      <c r="J453" s="300">
        <f>'PLAN INDICATIVO'!J453</f>
        <v>0</v>
      </c>
      <c r="K453" s="1428" t="str">
        <f>'PLAN INDICATIVO'!K453</f>
        <v>A.10.1.13</v>
      </c>
      <c r="L453" s="301" t="str">
        <f>'PLAN INDICATIVO'!L453</f>
        <v>15. Vida de ecosistemas terrestres</v>
      </c>
      <c r="M453" s="301" t="str">
        <f>'PLAN INDICATIVO'!M453</f>
        <v>Unidad de Desarrollo Rural</v>
      </c>
      <c r="N453" s="1513" t="s">
        <v>5127</v>
      </c>
      <c r="O453" s="1425" t="str">
        <f>'PLAN INDICATIVO'!O453</f>
        <v>Incremento</v>
      </c>
      <c r="P453" s="16" t="str">
        <f>'PLAN INDICATIVO'!P453</f>
        <v>Realizar 8 jornadas de capacitaciones no formales en busca de estímulos para hacer separación en la fuente, durante el cuatrienio</v>
      </c>
      <c r="Q453" s="302" t="str">
        <f>'PLAN INDICATIVO'!Q453</f>
        <v>No. De capacitaciones realizadas</v>
      </c>
      <c r="R453" s="303">
        <f>'PLAN INDICATIVO'!R453</f>
        <v>2015</v>
      </c>
      <c r="S453" s="304">
        <v>0</v>
      </c>
      <c r="T453" s="498">
        <v>8</v>
      </c>
      <c r="U453" s="572">
        <v>2</v>
      </c>
      <c r="V453" s="687">
        <v>1000000</v>
      </c>
      <c r="W453" s="572">
        <v>1</v>
      </c>
      <c r="X453" s="687">
        <v>5000000</v>
      </c>
      <c r="Y453" s="572">
        <v>1</v>
      </c>
      <c r="Z453" s="687">
        <v>5000000</v>
      </c>
      <c r="AA453" s="1310">
        <v>1</v>
      </c>
      <c r="AB453" s="686">
        <v>2285000</v>
      </c>
      <c r="AC453" s="665"/>
      <c r="AD453" s="665">
        <v>2</v>
      </c>
      <c r="AE453" s="665">
        <v>1</v>
      </c>
      <c r="AF453" s="665"/>
      <c r="AG453" s="1359" t="s">
        <v>5158</v>
      </c>
      <c r="AH453" s="987">
        <v>2019413960011</v>
      </c>
      <c r="AI453" s="309" t="s">
        <v>4863</v>
      </c>
      <c r="AJ453" s="309"/>
      <c r="AK453" s="308"/>
      <c r="AL453" s="308"/>
      <c r="AM453" s="308"/>
      <c r="AN453" s="267" t="s">
        <v>2598</v>
      </c>
      <c r="AO453" s="507"/>
      <c r="AP453" s="973"/>
      <c r="AQ453" s="973"/>
      <c r="AR453" s="973"/>
      <c r="AS453" s="973"/>
      <c r="AT453" s="973"/>
      <c r="AU453" s="973"/>
      <c r="AV453" s="973"/>
      <c r="AW453" s="975"/>
      <c r="AX453" s="525"/>
      <c r="AY453" s="310"/>
      <c r="AZ453" s="310"/>
      <c r="BA453" s="310"/>
      <c r="BB453" s="310"/>
      <c r="BC453" s="310"/>
      <c r="BD453" s="310"/>
      <c r="BE453" s="544"/>
      <c r="BF453" s="1323"/>
      <c r="BG453" s="1313"/>
      <c r="BH453" s="1313"/>
      <c r="BI453" s="1313"/>
      <c r="BJ453" s="1313"/>
      <c r="BK453" s="1313"/>
      <c r="BL453" s="310"/>
      <c r="BM453" s="544">
        <f t="shared" si="176"/>
        <v>0</v>
      </c>
      <c r="BN453" s="525"/>
      <c r="BO453" s="310"/>
      <c r="BP453" s="310"/>
      <c r="BQ453" s="310"/>
      <c r="BR453" s="310"/>
      <c r="BS453" s="310"/>
      <c r="BT453" s="310"/>
      <c r="BU453" s="544"/>
      <c r="BV453" s="556"/>
      <c r="BW453" s="663">
        <f t="shared" si="182"/>
        <v>3</v>
      </c>
      <c r="BX453" s="1047">
        <f t="shared" si="170"/>
        <v>0.375</v>
      </c>
      <c r="BY453" s="1047">
        <f t="shared" si="183"/>
        <v>0</v>
      </c>
      <c r="BZ453" s="1047">
        <f t="shared" si="184"/>
        <v>2</v>
      </c>
      <c r="CA453" s="1047">
        <f t="shared" si="185"/>
        <v>1</v>
      </c>
      <c r="CB453" s="1047">
        <f t="shared" si="186"/>
        <v>0</v>
      </c>
      <c r="CD453" t="str">
        <f t="shared" si="187"/>
        <v>ROB</v>
      </c>
      <c r="CE453" t="str">
        <f t="shared" si="187"/>
        <v>VE</v>
      </c>
      <c r="CF453" t="str">
        <f t="shared" si="187"/>
        <v>VE</v>
      </c>
      <c r="CG453" t="str">
        <f t="shared" si="187"/>
        <v>ROB</v>
      </c>
    </row>
    <row r="454" spans="1:85" ht="78" customHeight="1" x14ac:dyDescent="0.3">
      <c r="A454" s="298" t="s">
        <v>1353</v>
      </c>
      <c r="B454" s="299" t="str">
        <f>'PLAN INDICATIVO'!B454</f>
        <v>Ambiental</v>
      </c>
      <c r="C454" s="1547"/>
      <c r="D454" s="1551"/>
      <c r="E454" s="1551"/>
      <c r="F454" s="1551"/>
      <c r="G454" s="1551"/>
      <c r="H454" s="1551"/>
      <c r="I454" s="300">
        <f>'PLAN INDICATIVO'!I454</f>
        <v>0</v>
      </c>
      <c r="J454" s="300">
        <f>'PLAN INDICATIVO'!J454</f>
        <v>0</v>
      </c>
      <c r="K454" s="1428" t="str">
        <f>'PLAN INDICATIVO'!K454</f>
        <v>A.10.1.14</v>
      </c>
      <c r="L454" s="301" t="str">
        <f>'PLAN INDICATIVO'!L454</f>
        <v>15. Vida de ecosistemas terrestres</v>
      </c>
      <c r="M454" s="301" t="str">
        <f>'PLAN INDICATIVO'!M454</f>
        <v>Unidad de Desarrollo Rural</v>
      </c>
      <c r="N454" s="1513" t="s">
        <v>5127</v>
      </c>
      <c r="O454" s="1425" t="str">
        <f>'PLAN INDICATIVO'!O454</f>
        <v>Incremento</v>
      </c>
      <c r="P454" s="16" t="str">
        <f>'PLAN INDICATIVO'!P454</f>
        <v>Realizar 10 capacitaciones en el cuatrienio, en centros poblados  respecto al manejo integral de los residuos sólidos.</v>
      </c>
      <c r="Q454" s="302" t="str">
        <f>'PLAN INDICATIVO'!Q454</f>
        <v>No. De capacitaciones realizadas</v>
      </c>
      <c r="R454" s="303">
        <f>'PLAN INDICATIVO'!R454</f>
        <v>2015</v>
      </c>
      <c r="S454" s="304">
        <v>0</v>
      </c>
      <c r="T454" s="498">
        <v>10</v>
      </c>
      <c r="U454" s="572">
        <v>2</v>
      </c>
      <c r="V454" s="687">
        <v>2000000</v>
      </c>
      <c r="W454" s="572">
        <v>3</v>
      </c>
      <c r="X454" s="687">
        <v>6000000</v>
      </c>
      <c r="Y454" s="572">
        <v>1</v>
      </c>
      <c r="Z454" s="687">
        <v>6000000</v>
      </c>
      <c r="AA454" s="1310">
        <v>2</v>
      </c>
      <c r="AB454" s="686">
        <v>2285000</v>
      </c>
      <c r="AC454" s="665"/>
      <c r="AD454" s="665">
        <v>4</v>
      </c>
      <c r="AE454" s="665">
        <v>1</v>
      </c>
      <c r="AF454" s="665">
        <v>5</v>
      </c>
      <c r="AG454" s="1359" t="s">
        <v>5158</v>
      </c>
      <c r="AH454" s="987">
        <v>2019413960011</v>
      </c>
      <c r="AI454" s="1474" t="s">
        <v>5052</v>
      </c>
      <c r="AJ454" s="309">
        <v>43483</v>
      </c>
      <c r="AK454" s="838">
        <v>43601</v>
      </c>
      <c r="AL454" s="308"/>
      <c r="AM454" s="308"/>
      <c r="AN454" s="267" t="s">
        <v>2598</v>
      </c>
      <c r="AO454" s="507"/>
      <c r="AP454" s="972"/>
      <c r="AQ454" s="973"/>
      <c r="AR454" s="973"/>
      <c r="AS454" s="973"/>
      <c r="AT454" s="973"/>
      <c r="AU454" s="973"/>
      <c r="AV454" s="973"/>
      <c r="AW454" s="975"/>
      <c r="AX454" s="525"/>
      <c r="AY454" s="310"/>
      <c r="AZ454" s="310"/>
      <c r="BA454" s="310"/>
      <c r="BB454" s="310"/>
      <c r="BC454" s="310"/>
      <c r="BD454" s="310"/>
      <c r="BE454" s="544"/>
      <c r="BF454" s="525"/>
      <c r="BG454" s="310"/>
      <c r="BH454" s="310"/>
      <c r="BI454" s="310"/>
      <c r="BJ454" s="310"/>
      <c r="BK454" s="310"/>
      <c r="BL454" s="310"/>
      <c r="BM454" s="544">
        <f t="shared" si="176"/>
        <v>0</v>
      </c>
      <c r="BN454" s="525"/>
      <c r="BO454" s="310"/>
      <c r="BP454" s="310"/>
      <c r="BQ454" s="310"/>
      <c r="BR454" s="310"/>
      <c r="BS454" s="310"/>
      <c r="BT454" s="310"/>
      <c r="BU454" s="544"/>
      <c r="BV454" s="556"/>
      <c r="BW454" s="663">
        <f t="shared" si="182"/>
        <v>10</v>
      </c>
      <c r="BX454" s="1047">
        <f t="shared" si="170"/>
        <v>1</v>
      </c>
      <c r="BY454" s="1047">
        <f t="shared" si="183"/>
        <v>0</v>
      </c>
      <c r="BZ454" s="1047">
        <f t="shared" si="184"/>
        <v>1.3333333333333333</v>
      </c>
      <c r="CA454" s="1047">
        <f t="shared" si="185"/>
        <v>1</v>
      </c>
      <c r="CB454" s="1047">
        <f t="shared" si="186"/>
        <v>2.5</v>
      </c>
      <c r="CD454" t="str">
        <f t="shared" si="187"/>
        <v>ROB</v>
      </c>
      <c r="CE454" t="str">
        <f t="shared" si="187"/>
        <v>VE</v>
      </c>
      <c r="CF454" t="str">
        <f t="shared" si="187"/>
        <v>VE</v>
      </c>
      <c r="CG454" t="str">
        <f t="shared" si="187"/>
        <v>VE</v>
      </c>
    </row>
    <row r="455" spans="1:85" ht="63" customHeight="1" x14ac:dyDescent="0.3">
      <c r="A455" s="298" t="s">
        <v>1353</v>
      </c>
      <c r="B455" s="299" t="str">
        <f>'PLAN INDICATIVO'!B455</f>
        <v>Ambiental</v>
      </c>
      <c r="C455" s="1547"/>
      <c r="D455" s="1551"/>
      <c r="E455" s="1551"/>
      <c r="F455" s="1551"/>
      <c r="G455" s="1551"/>
      <c r="H455" s="1551"/>
      <c r="I455" s="300">
        <f>'PLAN INDICATIVO'!I455</f>
        <v>0</v>
      </c>
      <c r="J455" s="300">
        <f>'PLAN INDICATIVO'!J455</f>
        <v>0</v>
      </c>
      <c r="K455" s="1428" t="str">
        <f>'PLAN INDICATIVO'!K455</f>
        <v>A.10.1.15</v>
      </c>
      <c r="L455" s="301" t="str">
        <f>'PLAN INDICATIVO'!L455</f>
        <v>15. Vida de ecosistemas terrestres</v>
      </c>
      <c r="M455" s="301" t="str">
        <f>'PLAN INDICATIVO'!M455</f>
        <v>Unidad de Desarrollo Rural</v>
      </c>
      <c r="N455" s="1513" t="s">
        <v>5127</v>
      </c>
      <c r="O455" s="1425" t="str">
        <f>'PLAN INDICATIVO'!O455</f>
        <v>Incremento</v>
      </c>
      <c r="P455" s="16" t="str">
        <f>'PLAN INDICATIVO'!P455</f>
        <v>Realizar 4 jornadas de sensibilización en IE sobre cultura ambiental, en el cuatrienio</v>
      </c>
      <c r="Q455" s="302" t="str">
        <f>'PLAN INDICATIVO'!Q455</f>
        <v>No. De jornadas realizadas</v>
      </c>
      <c r="R455" s="303">
        <f>'PLAN INDICATIVO'!R455</f>
        <v>2015</v>
      </c>
      <c r="S455" s="304">
        <v>0</v>
      </c>
      <c r="T455" s="498">
        <v>4</v>
      </c>
      <c r="U455" s="572">
        <v>1</v>
      </c>
      <c r="V455" s="687">
        <v>2000000</v>
      </c>
      <c r="W455" s="572">
        <v>1</v>
      </c>
      <c r="X455" s="687">
        <v>1000000</v>
      </c>
      <c r="Y455" s="572">
        <v>1</v>
      </c>
      <c r="Z455" s="687">
        <v>1000000</v>
      </c>
      <c r="AA455" s="1310">
        <v>1</v>
      </c>
      <c r="AB455" s="686">
        <v>2285000</v>
      </c>
      <c r="AC455" s="665"/>
      <c r="AD455" s="665">
        <v>1</v>
      </c>
      <c r="AE455" s="665">
        <v>1</v>
      </c>
      <c r="AF455" s="665">
        <v>1</v>
      </c>
      <c r="AG455" s="1359" t="s">
        <v>5158</v>
      </c>
      <c r="AH455" s="987">
        <v>2019413960011</v>
      </c>
      <c r="AI455" s="1474" t="s">
        <v>4866</v>
      </c>
      <c r="AJ455" s="309">
        <v>43483</v>
      </c>
      <c r="AK455" s="838">
        <v>43601</v>
      </c>
      <c r="AL455" s="308"/>
      <c r="AM455" s="308"/>
      <c r="AN455" s="267" t="s">
        <v>2598</v>
      </c>
      <c r="AO455" s="507"/>
      <c r="AP455" s="972"/>
      <c r="AQ455" s="973"/>
      <c r="AR455" s="973"/>
      <c r="AS455" s="973"/>
      <c r="AT455" s="973"/>
      <c r="AU455" s="973"/>
      <c r="AV455" s="973"/>
      <c r="AW455" s="975"/>
      <c r="AX455" s="525"/>
      <c r="AY455" s="310"/>
      <c r="AZ455" s="310"/>
      <c r="BA455" s="310"/>
      <c r="BB455" s="310"/>
      <c r="BC455" s="310"/>
      <c r="BD455" s="310"/>
      <c r="BE455" s="544"/>
      <c r="BF455" s="525"/>
      <c r="BG455" s="310"/>
      <c r="BH455" s="310"/>
      <c r="BI455" s="310"/>
      <c r="BJ455" s="310"/>
      <c r="BK455" s="310"/>
      <c r="BL455" s="310"/>
      <c r="BM455" s="544">
        <f t="shared" si="176"/>
        <v>0</v>
      </c>
      <c r="BN455" s="525"/>
      <c r="BO455" s="310"/>
      <c r="BP455" s="310"/>
      <c r="BQ455" s="310"/>
      <c r="BR455" s="310"/>
      <c r="BS455" s="310"/>
      <c r="BT455" s="310"/>
      <c r="BU455" s="544"/>
      <c r="BV455" s="556"/>
      <c r="BW455" s="663">
        <f t="shared" si="182"/>
        <v>3</v>
      </c>
      <c r="BX455" s="1047">
        <f t="shared" si="170"/>
        <v>0.75</v>
      </c>
      <c r="BY455" s="1047">
        <f t="shared" si="183"/>
        <v>0</v>
      </c>
      <c r="BZ455" s="1047">
        <f t="shared" si="184"/>
        <v>1</v>
      </c>
      <c r="CA455" s="1047">
        <f t="shared" si="185"/>
        <v>1</v>
      </c>
      <c r="CB455" s="1047">
        <f t="shared" si="186"/>
        <v>1</v>
      </c>
      <c r="CD455" t="str">
        <f t="shared" si="187"/>
        <v>ROB</v>
      </c>
      <c r="CE455" t="str">
        <f t="shared" si="187"/>
        <v>VE</v>
      </c>
      <c r="CF455" t="str">
        <f t="shared" si="187"/>
        <v>VE</v>
      </c>
      <c r="CG455" t="str">
        <f t="shared" si="187"/>
        <v>VE</v>
      </c>
    </row>
    <row r="456" spans="1:85" ht="67.5" customHeight="1" x14ac:dyDescent="0.3">
      <c r="A456" s="298" t="s">
        <v>1353</v>
      </c>
      <c r="B456" s="299" t="str">
        <f>'PLAN INDICATIVO'!B456</f>
        <v>Ambiental</v>
      </c>
      <c r="C456" s="1547"/>
      <c r="D456" s="1551"/>
      <c r="E456" s="1551"/>
      <c r="F456" s="1551"/>
      <c r="G456" s="1551"/>
      <c r="H456" s="1551"/>
      <c r="I456" s="300">
        <f>'PLAN INDICATIVO'!I456</f>
        <v>0</v>
      </c>
      <c r="J456" s="300">
        <f>'PLAN INDICATIVO'!J456</f>
        <v>0</v>
      </c>
      <c r="K456" s="1428" t="str">
        <f>'PLAN INDICATIVO'!K456</f>
        <v>A.10.1.16</v>
      </c>
      <c r="L456" s="301" t="str">
        <f>'PLAN INDICATIVO'!L456</f>
        <v>15. Vida de ecosistemas terrestres</v>
      </c>
      <c r="M456" s="301" t="str">
        <f>'PLAN INDICATIVO'!M456</f>
        <v>Unidad de Desarrollo Rural</v>
      </c>
      <c r="N456" s="1513" t="s">
        <v>5127</v>
      </c>
      <c r="O456" s="1425" t="str">
        <f>'PLAN INDICATIVO'!O456</f>
        <v>Incremento</v>
      </c>
      <c r="P456" s="16" t="str">
        <f>'PLAN INDICATIVO'!P456</f>
        <v xml:space="preserve">Diseñar un (1) plan municipal de adaptación al cambio climático, durante el cuatrienio. </v>
      </c>
      <c r="Q456" s="302" t="str">
        <f>'PLAN INDICATIVO'!Q456</f>
        <v>No. De planes municipales diseñados</v>
      </c>
      <c r="R456" s="303">
        <f>'PLAN INDICATIVO'!R456</f>
        <v>2015</v>
      </c>
      <c r="S456" s="304">
        <v>0</v>
      </c>
      <c r="T456" s="498">
        <v>1</v>
      </c>
      <c r="U456" s="572"/>
      <c r="V456" s="687">
        <v>1000000</v>
      </c>
      <c r="W456" s="572">
        <v>0.33</v>
      </c>
      <c r="X456" s="687">
        <v>4000000</v>
      </c>
      <c r="Y456" s="572"/>
      <c r="Z456" s="687">
        <v>1000000</v>
      </c>
      <c r="AA456" s="1310">
        <v>1</v>
      </c>
      <c r="AB456" s="686">
        <v>6086027</v>
      </c>
      <c r="AC456" s="665"/>
      <c r="AD456" s="665">
        <v>0</v>
      </c>
      <c r="AE456" s="665"/>
      <c r="AF456" s="665">
        <v>1</v>
      </c>
      <c r="AG456" s="1359" t="s">
        <v>5158</v>
      </c>
      <c r="AH456" s="987">
        <v>2019413960011</v>
      </c>
      <c r="AI456" s="308" t="s">
        <v>4951</v>
      </c>
      <c r="AJ456" s="308"/>
      <c r="AK456" s="308"/>
      <c r="AL456" s="308"/>
      <c r="AM456" s="308"/>
      <c r="AN456" s="267" t="s">
        <v>2594</v>
      </c>
      <c r="AO456" s="507"/>
      <c r="AP456" s="972"/>
      <c r="AQ456" s="973"/>
      <c r="AR456" s="973"/>
      <c r="AS456" s="973"/>
      <c r="AT456" s="973"/>
      <c r="AU456" s="973"/>
      <c r="AV456" s="973"/>
      <c r="AW456" s="975"/>
      <c r="AX456" s="525"/>
      <c r="AY456" s="310"/>
      <c r="AZ456" s="310"/>
      <c r="BA456" s="310"/>
      <c r="BB456" s="310"/>
      <c r="BC456" s="310"/>
      <c r="BD456" s="310"/>
      <c r="BE456" s="544"/>
      <c r="BF456" s="525"/>
      <c r="BG456" s="310"/>
      <c r="BH456" s="310"/>
      <c r="BI456" s="310"/>
      <c r="BJ456" s="310"/>
      <c r="BK456" s="310"/>
      <c r="BL456" s="310"/>
      <c r="BM456" s="544">
        <f t="shared" si="176"/>
        <v>0</v>
      </c>
      <c r="BN456" s="525"/>
      <c r="BO456" s="310"/>
      <c r="BP456" s="310"/>
      <c r="BQ456" s="310"/>
      <c r="BR456" s="310"/>
      <c r="BS456" s="310"/>
      <c r="BT456" s="310"/>
      <c r="BU456" s="544"/>
      <c r="BV456" s="556"/>
      <c r="BW456" s="663">
        <f t="shared" si="182"/>
        <v>1</v>
      </c>
      <c r="BX456" s="1047">
        <f t="shared" si="170"/>
        <v>1</v>
      </c>
      <c r="BY456" s="1047" t="str">
        <f t="shared" si="183"/>
        <v>No Programada</v>
      </c>
      <c r="BZ456" s="1047">
        <f t="shared" si="184"/>
        <v>0</v>
      </c>
      <c r="CA456" s="1047" t="str">
        <f t="shared" si="185"/>
        <v>No Programada</v>
      </c>
      <c r="CB456" s="1047">
        <f t="shared" si="186"/>
        <v>1</v>
      </c>
      <c r="CD456" t="str">
        <f t="shared" si="187"/>
        <v>NP</v>
      </c>
      <c r="CE456" t="str">
        <f t="shared" si="187"/>
        <v>ROB</v>
      </c>
      <c r="CF456" t="str">
        <f t="shared" si="187"/>
        <v>NP</v>
      </c>
      <c r="CG456" t="str">
        <f t="shared" si="187"/>
        <v>VE</v>
      </c>
    </row>
    <row r="457" spans="1:85" ht="64.5" customHeight="1" x14ac:dyDescent="0.3">
      <c r="A457" s="298" t="s">
        <v>1353</v>
      </c>
      <c r="B457" s="299" t="str">
        <f>'PLAN INDICATIVO'!B457</f>
        <v>Ambiental</v>
      </c>
      <c r="C457" s="1547"/>
      <c r="D457" s="1551"/>
      <c r="E457" s="1551"/>
      <c r="F457" s="1551"/>
      <c r="G457" s="1551"/>
      <c r="H457" s="1551"/>
      <c r="I457" s="300">
        <f>'PLAN INDICATIVO'!I457</f>
        <v>0</v>
      </c>
      <c r="J457" s="300">
        <f>'PLAN INDICATIVO'!J457</f>
        <v>0</v>
      </c>
      <c r="K457" s="1428" t="str">
        <f>'PLAN INDICATIVO'!K457</f>
        <v>A.10.1.17</v>
      </c>
      <c r="L457" s="301" t="str">
        <f>'PLAN INDICATIVO'!L457</f>
        <v>15. Vida de ecosistemas terrestres</v>
      </c>
      <c r="M457" s="301" t="str">
        <f>'PLAN INDICATIVO'!M457</f>
        <v>Unidad de Desarrollo Rural</v>
      </c>
      <c r="N457" s="1513" t="s">
        <v>5127</v>
      </c>
      <c r="O457" s="1425" t="str">
        <f>'PLAN INDICATIVO'!O457</f>
        <v>Incremento</v>
      </c>
      <c r="P457" s="16" t="str">
        <f>'PLAN INDICATIVO'!P457</f>
        <v>Implementar un (1) programa de apoyo a los grupos asociativos, que desarrollen actividades de reciclaje, con fines comerciales y/o de protección ambiental en los centros poblados en el cuatrenio</v>
      </c>
      <c r="Q457" s="302" t="str">
        <f>'PLAN INDICATIVO'!Q457</f>
        <v xml:space="preserve">No. De planes municipales apoyados </v>
      </c>
      <c r="R457" s="303">
        <f>'PLAN INDICATIVO'!R457</f>
        <v>2015</v>
      </c>
      <c r="S457" s="304">
        <v>0</v>
      </c>
      <c r="T457" s="498">
        <v>1</v>
      </c>
      <c r="U457" s="572"/>
      <c r="V457" s="687">
        <v>4260000</v>
      </c>
      <c r="W457" s="572">
        <v>0.33</v>
      </c>
      <c r="X457" s="687">
        <v>5000000</v>
      </c>
      <c r="Y457" s="572"/>
      <c r="Z457" s="687">
        <v>1000000</v>
      </c>
      <c r="AA457" s="1310">
        <v>67</v>
      </c>
      <c r="AB457" s="686">
        <v>2285000</v>
      </c>
      <c r="AC457" s="665"/>
      <c r="AD457" s="665">
        <v>0.33</v>
      </c>
      <c r="AE457" s="665"/>
      <c r="AF457" s="665">
        <v>1</v>
      </c>
      <c r="AG457" s="1359" t="s">
        <v>5158</v>
      </c>
      <c r="AH457" s="987">
        <v>2019413960011</v>
      </c>
      <c r="AI457" s="1474" t="s">
        <v>4952</v>
      </c>
      <c r="AJ457" s="309"/>
      <c r="AK457" s="308"/>
      <c r="AL457" s="308"/>
      <c r="AM457" s="308"/>
      <c r="AN457" s="267" t="s">
        <v>2594</v>
      </c>
      <c r="AO457" s="507"/>
      <c r="AP457" s="972"/>
      <c r="AQ457" s="973"/>
      <c r="AR457" s="973"/>
      <c r="AS457" s="973"/>
      <c r="AT457" s="973"/>
      <c r="AU457" s="973"/>
      <c r="AV457" s="973"/>
      <c r="AW457" s="975"/>
      <c r="AX457" s="525"/>
      <c r="AY457" s="310"/>
      <c r="AZ457" s="310"/>
      <c r="BA457" s="310"/>
      <c r="BB457" s="310"/>
      <c r="BC457" s="310"/>
      <c r="BD457" s="310"/>
      <c r="BE457" s="544"/>
      <c r="BF457" s="525"/>
      <c r="BG457" s="310"/>
      <c r="BH457" s="310"/>
      <c r="BI457" s="310"/>
      <c r="BJ457" s="310"/>
      <c r="BK457" s="310"/>
      <c r="BL457" s="310"/>
      <c r="BM457" s="544">
        <f t="shared" si="176"/>
        <v>0</v>
      </c>
      <c r="BN457" s="525"/>
      <c r="BO457" s="310"/>
      <c r="BP457" s="310"/>
      <c r="BQ457" s="310"/>
      <c r="BR457" s="310"/>
      <c r="BS457" s="310"/>
      <c r="BT457" s="310"/>
      <c r="BU457" s="544"/>
      <c r="BV457" s="556"/>
      <c r="BW457" s="663">
        <f t="shared" si="182"/>
        <v>1.33</v>
      </c>
      <c r="BX457" s="1047">
        <f t="shared" si="170"/>
        <v>1.33</v>
      </c>
      <c r="BY457" s="1047" t="str">
        <f t="shared" si="183"/>
        <v>No Programada</v>
      </c>
      <c r="BZ457" s="1047">
        <f t="shared" si="184"/>
        <v>1</v>
      </c>
      <c r="CA457" s="1047" t="str">
        <f t="shared" si="185"/>
        <v>No Programada</v>
      </c>
      <c r="CB457" s="1047">
        <f t="shared" si="186"/>
        <v>1.4925373134328358E-2</v>
      </c>
      <c r="CD457" t="str">
        <f t="shared" si="187"/>
        <v>NP</v>
      </c>
      <c r="CE457" t="str">
        <f t="shared" si="187"/>
        <v>VE</v>
      </c>
      <c r="CF457" t="str">
        <f t="shared" si="187"/>
        <v>NP</v>
      </c>
      <c r="CG457" t="str">
        <f t="shared" si="187"/>
        <v>ROB</v>
      </c>
    </row>
    <row r="458" spans="1:85" ht="29.25" hidden="1" customHeight="1" x14ac:dyDescent="0.25">
      <c r="A458" s="298" t="s">
        <v>1353</v>
      </c>
      <c r="B458" s="299" t="str">
        <f>'PLAN INDICATIVO'!B458</f>
        <v>Ambiental</v>
      </c>
      <c r="C458" s="1547"/>
      <c r="D458" s="1551"/>
      <c r="E458" s="1551"/>
      <c r="F458" s="1551"/>
      <c r="G458" s="1551"/>
      <c r="H458" s="1551"/>
      <c r="I458" s="300">
        <f>'PLAN INDICATIVO'!I458</f>
        <v>0</v>
      </c>
      <c r="J458" s="300">
        <f>'PLAN INDICATIVO'!J458</f>
        <v>0</v>
      </c>
      <c r="K458" s="1428" t="str">
        <f>'PLAN INDICATIVO'!K458</f>
        <v>A.10.1.18</v>
      </c>
      <c r="L458" s="301" t="str">
        <f>'PLAN INDICATIVO'!L458</f>
        <v>15. Vida de ecosistemas terrestres</v>
      </c>
      <c r="M458" s="301" t="str">
        <f>'PLAN INDICATIVO'!M458</f>
        <v>Unidad de Desarrollo Rural</v>
      </c>
      <c r="N458" s="1513" t="s">
        <v>5127</v>
      </c>
      <c r="O458" s="1425" t="str">
        <f>'PLAN INDICATIVO'!O458</f>
        <v>Incremento</v>
      </c>
      <c r="P458" s="16" t="str">
        <f>'PLAN INDICATIVO'!P458</f>
        <v>Construir de 150 Hornillas ecológicas durante el cuatrienio</v>
      </c>
      <c r="Q458" s="302" t="str">
        <f>'PLAN INDICATIVO'!Q458</f>
        <v>No. de hornillas construidas</v>
      </c>
      <c r="R458" s="303">
        <f>'PLAN INDICATIVO'!R458</f>
        <v>2015</v>
      </c>
      <c r="S458" s="304">
        <v>0</v>
      </c>
      <c r="T458" s="498">
        <v>150</v>
      </c>
      <c r="U458" s="572"/>
      <c r="V458" s="687">
        <v>104000000</v>
      </c>
      <c r="W458" s="572">
        <v>40</v>
      </c>
      <c r="X458" s="687">
        <v>113000000</v>
      </c>
      <c r="Y458" s="572">
        <v>100</v>
      </c>
      <c r="Z458" s="687">
        <v>10000000</v>
      </c>
      <c r="AA458" s="1310">
        <v>7</v>
      </c>
      <c r="AB458" s="686"/>
      <c r="AC458" s="665"/>
      <c r="AD458" s="665">
        <v>40</v>
      </c>
      <c r="AE458" s="665">
        <v>103</v>
      </c>
      <c r="AF458" s="665">
        <v>25</v>
      </c>
      <c r="AG458" s="1359" t="s">
        <v>5158</v>
      </c>
      <c r="AH458" s="987">
        <v>2019413960011</v>
      </c>
      <c r="AI458" s="1475" t="s">
        <v>4867</v>
      </c>
      <c r="AJ458" s="838">
        <v>43621</v>
      </c>
      <c r="AK458" s="838">
        <v>43813</v>
      </c>
      <c r="AL458" s="308"/>
      <c r="AM458" s="308"/>
      <c r="AN458" s="267" t="s">
        <v>2598</v>
      </c>
      <c r="AO458" s="893"/>
      <c r="AP458" s="972"/>
      <c r="AQ458" s="973"/>
      <c r="AR458" s="973"/>
      <c r="AS458" s="973"/>
      <c r="AT458" s="973"/>
      <c r="AU458" s="973"/>
      <c r="AV458" s="973"/>
      <c r="AW458" s="975"/>
      <c r="AX458" s="525"/>
      <c r="AY458" s="310"/>
      <c r="AZ458" s="310"/>
      <c r="BA458" s="310"/>
      <c r="BB458" s="310"/>
      <c r="BC458" s="310"/>
      <c r="BD458" s="310"/>
      <c r="BE458" s="544"/>
      <c r="BF458" s="525"/>
      <c r="BG458" s="310"/>
      <c r="BH458" s="310"/>
      <c r="BI458" s="310"/>
      <c r="BJ458" s="310"/>
      <c r="BK458" s="310"/>
      <c r="BL458" s="310"/>
      <c r="BM458" s="544">
        <f t="shared" si="176"/>
        <v>0</v>
      </c>
      <c r="BN458" s="525"/>
      <c r="BO458" s="310"/>
      <c r="BP458" s="310"/>
      <c r="BQ458" s="310"/>
      <c r="BR458" s="310"/>
      <c r="BS458" s="310"/>
      <c r="BT458" s="310"/>
      <c r="BU458" s="544"/>
      <c r="BV458" s="556"/>
      <c r="BW458" s="663">
        <f t="shared" si="182"/>
        <v>168</v>
      </c>
      <c r="BX458" s="1047">
        <f t="shared" si="170"/>
        <v>1.1200000000000001</v>
      </c>
      <c r="BY458" s="1047" t="str">
        <f t="shared" si="183"/>
        <v>No Programada</v>
      </c>
      <c r="BZ458" s="1047">
        <f t="shared" si="184"/>
        <v>1</v>
      </c>
      <c r="CA458" s="1047">
        <f t="shared" si="185"/>
        <v>1.03</v>
      </c>
      <c r="CB458" s="1047">
        <f t="shared" si="186"/>
        <v>3.5714285714285716</v>
      </c>
      <c r="CD458" t="str">
        <f t="shared" si="187"/>
        <v>NP</v>
      </c>
      <c r="CE458" t="str">
        <f t="shared" si="187"/>
        <v>VE</v>
      </c>
      <c r="CF458" t="str">
        <f t="shared" si="187"/>
        <v>VE</v>
      </c>
      <c r="CG458" t="str">
        <f t="shared" si="187"/>
        <v>VE</v>
      </c>
    </row>
    <row r="459" spans="1:85" ht="67.5" hidden="1" customHeight="1" x14ac:dyDescent="0.25">
      <c r="A459" s="298" t="s">
        <v>1353</v>
      </c>
      <c r="B459" s="299" t="str">
        <f>'PLAN INDICATIVO'!B459</f>
        <v>Ambiental</v>
      </c>
      <c r="C459" s="1547"/>
      <c r="D459" s="1551"/>
      <c r="E459" s="1551"/>
      <c r="F459" s="1551"/>
      <c r="G459" s="1551"/>
      <c r="H459" s="1551"/>
      <c r="I459" s="300">
        <f>'PLAN INDICATIVO'!I459</f>
        <v>0</v>
      </c>
      <c r="J459" s="300">
        <f>'PLAN INDICATIVO'!J459</f>
        <v>0</v>
      </c>
      <c r="K459" s="1428" t="str">
        <f>'PLAN INDICATIVO'!K459</f>
        <v>A.10.1.19</v>
      </c>
      <c r="L459" s="301" t="str">
        <f>'PLAN INDICATIVO'!L459</f>
        <v>15. Vida de ecosistemas terrestres</v>
      </c>
      <c r="M459" s="301" t="str">
        <f>'PLAN INDICATIVO'!M459</f>
        <v>Unidad de Desarrollo Rural</v>
      </c>
      <c r="N459" s="1513" t="s">
        <v>5127</v>
      </c>
      <c r="O459" s="1425" t="str">
        <f>'PLAN INDICATIVO'!O459</f>
        <v>Incremento</v>
      </c>
      <c r="P459" s="70" t="str">
        <f>'PLAN INDICATIVO'!P459</f>
        <v>2 proyectos apoyados durante el cuatrienio que incorporen producción limpia</v>
      </c>
      <c r="Q459" s="350" t="str">
        <f>'PLAN INDICATIVO'!Q459</f>
        <v>No. De proyectos apoyados</v>
      </c>
      <c r="R459" s="303">
        <f>'PLAN INDICATIVO'!R459</f>
        <v>2015</v>
      </c>
      <c r="S459" s="304">
        <v>0</v>
      </c>
      <c r="T459" s="498">
        <v>2</v>
      </c>
      <c r="U459" s="572">
        <v>2</v>
      </c>
      <c r="V459" s="687">
        <v>4000000</v>
      </c>
      <c r="W459" s="572">
        <v>2</v>
      </c>
      <c r="X459" s="687">
        <v>2000000</v>
      </c>
      <c r="Y459" s="572"/>
      <c r="Z459" s="687">
        <v>1000000</v>
      </c>
      <c r="AA459" s="1310"/>
      <c r="AB459" s="686"/>
      <c r="AC459" s="665"/>
      <c r="AD459" s="665">
        <v>1</v>
      </c>
      <c r="AE459" s="665"/>
      <c r="AF459" s="665"/>
      <c r="AG459" s="1359" t="s">
        <v>5158</v>
      </c>
      <c r="AH459" s="987">
        <v>2019413960011</v>
      </c>
      <c r="AI459" s="309" t="s">
        <v>4863</v>
      </c>
      <c r="AJ459" s="309"/>
      <c r="AK459" s="308"/>
      <c r="AL459" s="308"/>
      <c r="AM459" s="308"/>
      <c r="AN459" s="267" t="s">
        <v>2594</v>
      </c>
      <c r="AO459" s="507"/>
      <c r="AP459" s="972"/>
      <c r="AQ459" s="973"/>
      <c r="AR459" s="973"/>
      <c r="AS459" s="973"/>
      <c r="AT459" s="973"/>
      <c r="AU459" s="973"/>
      <c r="AV459" s="973"/>
      <c r="AW459" s="975"/>
      <c r="AX459" s="525"/>
      <c r="AY459" s="310"/>
      <c r="AZ459" s="310"/>
      <c r="BA459" s="310"/>
      <c r="BB459" s="310"/>
      <c r="BC459" s="310"/>
      <c r="BD459" s="310"/>
      <c r="BE459" s="544"/>
      <c r="BF459" s="525"/>
      <c r="BG459" s="310"/>
      <c r="BH459" s="310"/>
      <c r="BI459" s="310"/>
      <c r="BJ459" s="310"/>
      <c r="BK459" s="310"/>
      <c r="BL459" s="310"/>
      <c r="BM459" s="544">
        <f t="shared" si="176"/>
        <v>0</v>
      </c>
      <c r="BN459" s="525"/>
      <c r="BO459" s="310"/>
      <c r="BP459" s="310"/>
      <c r="BQ459" s="310"/>
      <c r="BR459" s="310"/>
      <c r="BS459" s="310"/>
      <c r="BT459" s="310"/>
      <c r="BU459" s="544"/>
      <c r="BV459" s="556"/>
      <c r="BW459" s="663">
        <f t="shared" si="182"/>
        <v>1</v>
      </c>
      <c r="BX459" s="1047">
        <f t="shared" si="170"/>
        <v>0.5</v>
      </c>
      <c r="BY459" s="1047">
        <f t="shared" si="183"/>
        <v>0</v>
      </c>
      <c r="BZ459" s="1047">
        <f t="shared" si="184"/>
        <v>0.5</v>
      </c>
      <c r="CA459" s="1047" t="str">
        <f t="shared" si="185"/>
        <v>No Programada</v>
      </c>
      <c r="CB459" s="1047" t="str">
        <f t="shared" si="186"/>
        <v>No Programada</v>
      </c>
      <c r="CD459" t="str">
        <f t="shared" si="187"/>
        <v>ROB</v>
      </c>
      <c r="CE459" t="str">
        <f t="shared" si="187"/>
        <v>AMB</v>
      </c>
      <c r="CF459" t="str">
        <f t="shared" si="187"/>
        <v>NP</v>
      </c>
      <c r="CG459" t="str">
        <f t="shared" si="187"/>
        <v>NP</v>
      </c>
    </row>
    <row r="460" spans="1:85" ht="55.5" hidden="1" customHeight="1" x14ac:dyDescent="0.25">
      <c r="A460" s="298" t="s">
        <v>1353</v>
      </c>
      <c r="B460" s="299" t="str">
        <f>'PLAN INDICATIVO'!B460</f>
        <v>Ambiental</v>
      </c>
      <c r="C460" s="1547"/>
      <c r="D460" s="1551"/>
      <c r="E460" s="1551"/>
      <c r="F460" s="1551"/>
      <c r="G460" s="1551"/>
      <c r="H460" s="1551"/>
      <c r="I460" s="300">
        <f>'PLAN INDICATIVO'!I460</f>
        <v>0</v>
      </c>
      <c r="J460" s="375">
        <f>'PLAN INDICATIVO'!J460</f>
        <v>0</v>
      </c>
      <c r="K460" s="1428" t="str">
        <f>'PLAN INDICATIVO'!K460</f>
        <v>A.10.1.20</v>
      </c>
      <c r="L460" s="301" t="str">
        <f>'PLAN INDICATIVO'!L460</f>
        <v>15. Vida de ecosistemas terrestres</v>
      </c>
      <c r="M460" s="301" t="str">
        <f>'PLAN INDICATIVO'!M460</f>
        <v>Unidad de Desarrollo Rural</v>
      </c>
      <c r="N460" s="1513" t="s">
        <v>5127</v>
      </c>
      <c r="O460" s="1425" t="str">
        <f>'PLAN INDICATIVO'!O460</f>
        <v>Incremento</v>
      </c>
      <c r="P460" s="16" t="str">
        <f>'PLAN INDICATIVO'!P460</f>
        <v>Apoyar  200 instalaciones de sistemas de tratamiento residual (pozo Séptico), durante el cuatrienio</v>
      </c>
      <c r="Q460" s="302" t="str">
        <f>'PLAN INDICATIVO'!Q460</f>
        <v>No. De instalaciones apoyadas</v>
      </c>
      <c r="R460" s="351">
        <f>'PLAN INDICATIVO'!R460</f>
        <v>2015</v>
      </c>
      <c r="S460" s="304">
        <v>0</v>
      </c>
      <c r="T460" s="498">
        <v>200</v>
      </c>
      <c r="U460" s="572"/>
      <c r="V460" s="687">
        <v>1000000</v>
      </c>
      <c r="W460" s="572"/>
      <c r="X460" s="687"/>
      <c r="Y460" s="572"/>
      <c r="Z460" s="687">
        <v>19000000</v>
      </c>
      <c r="AA460" s="1310">
        <v>200</v>
      </c>
      <c r="AB460" s="686"/>
      <c r="AC460" s="665"/>
      <c r="AD460" s="665"/>
      <c r="AE460" s="665"/>
      <c r="AF460" s="665"/>
      <c r="AG460" s="1359" t="s">
        <v>5158</v>
      </c>
      <c r="AH460" s="987">
        <v>2019413960011</v>
      </c>
      <c r="AI460" s="308"/>
      <c r="AJ460" s="308"/>
      <c r="AK460" s="308"/>
      <c r="AL460" s="308"/>
      <c r="AM460" s="308"/>
      <c r="AN460" s="267" t="s">
        <v>2594</v>
      </c>
      <c r="AO460" s="507"/>
      <c r="AP460" s="525"/>
      <c r="AQ460" s="310"/>
      <c r="AR460" s="310"/>
      <c r="AS460" s="310"/>
      <c r="AT460" s="310"/>
      <c r="AU460" s="310"/>
      <c r="AV460" s="310"/>
      <c r="AW460" s="544"/>
      <c r="AX460" s="525"/>
      <c r="AY460" s="310"/>
      <c r="AZ460" s="310"/>
      <c r="BA460" s="310"/>
      <c r="BB460" s="310"/>
      <c r="BC460" s="310"/>
      <c r="BD460" s="310"/>
      <c r="BE460" s="544"/>
      <c r="BF460" s="525"/>
      <c r="BG460" s="310"/>
      <c r="BH460" s="310"/>
      <c r="BI460" s="310"/>
      <c r="BJ460" s="310"/>
      <c r="BK460" s="310"/>
      <c r="BL460" s="310"/>
      <c r="BM460" s="544">
        <f t="shared" si="176"/>
        <v>0</v>
      </c>
      <c r="BN460" s="525"/>
      <c r="BO460" s="310"/>
      <c r="BP460" s="310"/>
      <c r="BQ460" s="310"/>
      <c r="BR460" s="310"/>
      <c r="BS460" s="310"/>
      <c r="BT460" s="310"/>
      <c r="BU460" s="544"/>
      <c r="BV460" s="556"/>
      <c r="BW460" s="663">
        <f t="shared" si="182"/>
        <v>0</v>
      </c>
      <c r="BX460" s="1047">
        <f t="shared" si="170"/>
        <v>0</v>
      </c>
      <c r="BY460" s="1047" t="str">
        <f t="shared" si="183"/>
        <v>No Programada</v>
      </c>
      <c r="BZ460" s="1047" t="str">
        <f t="shared" si="184"/>
        <v>No Programada</v>
      </c>
      <c r="CA460" s="1047" t="str">
        <f t="shared" si="185"/>
        <v>No Programada</v>
      </c>
      <c r="CB460" s="1047">
        <f t="shared" si="186"/>
        <v>0</v>
      </c>
      <c r="CD460" t="str">
        <f t="shared" si="187"/>
        <v>NP</v>
      </c>
      <c r="CE460" t="str">
        <f t="shared" si="187"/>
        <v>NP</v>
      </c>
      <c r="CF460" t="str">
        <f t="shared" si="187"/>
        <v>NP</v>
      </c>
      <c r="CG460" t="str">
        <f t="shared" si="187"/>
        <v>ROB</v>
      </c>
    </row>
    <row r="461" spans="1:85" ht="66" hidden="1" customHeight="1" x14ac:dyDescent="0.25">
      <c r="A461" s="298" t="s">
        <v>1353</v>
      </c>
      <c r="B461" s="299" t="str">
        <f>'PLAN INDICATIVO'!B461</f>
        <v>Ambiental</v>
      </c>
      <c r="C461" s="1547"/>
      <c r="D461" s="1551"/>
      <c r="E461" s="1551"/>
      <c r="F461" s="1551"/>
      <c r="G461" s="1551"/>
      <c r="H461" s="1551"/>
      <c r="I461" s="300">
        <f>'PLAN INDICATIVO'!I461</f>
        <v>0</v>
      </c>
      <c r="J461" s="375">
        <f>'PLAN INDICATIVO'!J461</f>
        <v>0</v>
      </c>
      <c r="K461" s="1428" t="str">
        <f>'PLAN INDICATIVO'!K461</f>
        <v>A.10.1.21</v>
      </c>
      <c r="L461" s="301" t="str">
        <f>'PLAN INDICATIVO'!L461</f>
        <v>15. Vida de ecosistemas terrestres</v>
      </c>
      <c r="M461" s="301" t="str">
        <f>'PLAN INDICATIVO'!M461</f>
        <v>Unidad de Desarrollo Rural</v>
      </c>
      <c r="N461" s="1513" t="s">
        <v>5127</v>
      </c>
      <c r="O461" s="1425" t="str">
        <f>'PLAN INDICATIVO'!O461</f>
        <v>Incremento</v>
      </c>
      <c r="P461" s="16" t="str">
        <f>'PLAN INDICATIVO'!P461</f>
        <v>Entregar 40 sistemas de tratamiento de agua residual con su respectiva instalación, durante el cuatrienio.</v>
      </c>
      <c r="Q461" s="302" t="str">
        <f>'PLAN INDICATIVO'!Q461</f>
        <v xml:space="preserve">No. De sistemas entregados </v>
      </c>
      <c r="R461" s="351">
        <f>'PLAN INDICATIVO'!R461</f>
        <v>2015</v>
      </c>
      <c r="S461" s="304" t="s">
        <v>177</v>
      </c>
      <c r="T461" s="498">
        <v>40</v>
      </c>
      <c r="U461" s="572">
        <v>10</v>
      </c>
      <c r="V461" s="687">
        <v>1000000</v>
      </c>
      <c r="W461" s="572">
        <v>25</v>
      </c>
      <c r="X461" s="687">
        <v>27900000</v>
      </c>
      <c r="Y461" s="572"/>
      <c r="Z461" s="687">
        <v>2000000</v>
      </c>
      <c r="AA461" s="1310"/>
      <c r="AB461" s="686"/>
      <c r="AC461" s="665"/>
      <c r="AD461" s="665">
        <v>25</v>
      </c>
      <c r="AE461" s="665"/>
      <c r="AF461" s="665"/>
      <c r="AG461" s="1359" t="s">
        <v>5158</v>
      </c>
      <c r="AH461" s="987">
        <v>2019413960011</v>
      </c>
      <c r="AI461" s="309" t="s">
        <v>3109</v>
      </c>
      <c r="AJ461" s="309"/>
      <c r="AK461" s="308"/>
      <c r="AL461" s="308"/>
      <c r="AM461" s="308"/>
      <c r="AN461" s="501" t="s">
        <v>2594</v>
      </c>
      <c r="AO461" s="889"/>
      <c r="AP461" s="973"/>
      <c r="AQ461" s="973"/>
      <c r="AR461" s="973"/>
      <c r="AS461" s="973"/>
      <c r="AT461" s="973"/>
      <c r="AU461" s="973"/>
      <c r="AV461" s="973"/>
      <c r="AW461" s="975"/>
      <c r="AX461" s="525"/>
      <c r="AY461" s="310"/>
      <c r="AZ461" s="310"/>
      <c r="BA461" s="310"/>
      <c r="BB461" s="310"/>
      <c r="BC461" s="310"/>
      <c r="BD461" s="310"/>
      <c r="BE461" s="544"/>
      <c r="BF461" s="525"/>
      <c r="BG461" s="310"/>
      <c r="BH461" s="310"/>
      <c r="BI461" s="310"/>
      <c r="BJ461" s="310"/>
      <c r="BK461" s="310"/>
      <c r="BL461" s="310"/>
      <c r="BM461" s="544">
        <f t="shared" si="176"/>
        <v>0</v>
      </c>
      <c r="BN461" s="525"/>
      <c r="BO461" s="310"/>
      <c r="BP461" s="310"/>
      <c r="BQ461" s="310"/>
      <c r="BR461" s="310"/>
      <c r="BS461" s="310"/>
      <c r="BT461" s="310"/>
      <c r="BU461" s="544"/>
      <c r="BV461" s="556"/>
      <c r="BW461" s="663">
        <f t="shared" si="182"/>
        <v>25</v>
      </c>
      <c r="BX461" s="1047">
        <f t="shared" si="170"/>
        <v>0.625</v>
      </c>
      <c r="BY461" s="1047">
        <f t="shared" si="183"/>
        <v>0</v>
      </c>
      <c r="BZ461" s="1047">
        <f t="shared" si="184"/>
        <v>1</v>
      </c>
      <c r="CA461" s="1047" t="str">
        <f t="shared" si="185"/>
        <v>No Programada</v>
      </c>
      <c r="CB461" s="1047" t="str">
        <f t="shared" si="186"/>
        <v>No Programada</v>
      </c>
      <c r="CD461" t="str">
        <f t="shared" si="187"/>
        <v>ROB</v>
      </c>
      <c r="CE461" t="str">
        <f t="shared" si="187"/>
        <v>VE</v>
      </c>
      <c r="CF461" t="str">
        <f t="shared" si="187"/>
        <v>NP</v>
      </c>
      <c r="CG461" t="str">
        <f t="shared" si="187"/>
        <v>NP</v>
      </c>
    </row>
    <row r="462" spans="1:85" ht="61.5" hidden="1" customHeight="1" x14ac:dyDescent="0.25">
      <c r="A462" s="298" t="s">
        <v>1353</v>
      </c>
      <c r="B462" s="299" t="str">
        <f>'PLAN INDICATIVO'!B462</f>
        <v>Ambiental</v>
      </c>
      <c r="C462" s="1547"/>
      <c r="D462" s="1551"/>
      <c r="E462" s="1551"/>
      <c r="F462" s="1551"/>
      <c r="G462" s="1551"/>
      <c r="H462" s="1551"/>
      <c r="I462" s="300">
        <f>'PLAN INDICATIVO'!I462</f>
        <v>0</v>
      </c>
      <c r="J462" s="375">
        <f>'PLAN INDICATIVO'!J462</f>
        <v>0</v>
      </c>
      <c r="K462" s="1428" t="str">
        <f>'PLAN INDICATIVO'!K462</f>
        <v>A.10.1.22</v>
      </c>
      <c r="L462" s="301" t="str">
        <f>'PLAN INDICATIVO'!L462</f>
        <v>15. Vida de ecosistemas terrestres</v>
      </c>
      <c r="M462" s="301" t="str">
        <f>'PLAN INDICATIVO'!M462</f>
        <v>Unidad de Desarrollo Rural</v>
      </c>
      <c r="N462" s="1513" t="s">
        <v>5127</v>
      </c>
      <c r="O462" s="1425" t="str">
        <f>'PLAN INDICATIVO'!O462</f>
        <v>Incremento</v>
      </c>
      <c r="P462" s="16" t="str">
        <f>'PLAN INDICATIVO'!P462</f>
        <v>Realizar 1 actividad de apoyo para la recuperación de la ceiba del Municipio de la Plata.</v>
      </c>
      <c r="Q462" s="302" t="str">
        <f>'PLAN INDICATIVO'!Q462</f>
        <v>No. De actividades de apoyo realizadas</v>
      </c>
      <c r="R462" s="351">
        <f>'PLAN INDICATIVO'!R462</f>
        <v>2015</v>
      </c>
      <c r="S462" s="304">
        <v>0</v>
      </c>
      <c r="T462" s="498">
        <v>1</v>
      </c>
      <c r="U462" s="572"/>
      <c r="V462" s="687">
        <v>4000000</v>
      </c>
      <c r="W462" s="572">
        <v>1</v>
      </c>
      <c r="X462" s="687">
        <v>4000000</v>
      </c>
      <c r="Y462" s="572"/>
      <c r="Z462" s="687"/>
      <c r="AA462" s="1310"/>
      <c r="AB462" s="686"/>
      <c r="AC462" s="665"/>
      <c r="AD462" s="665">
        <v>1</v>
      </c>
      <c r="AE462" s="665"/>
      <c r="AF462" s="665"/>
      <c r="AG462" s="1359" t="s">
        <v>5158</v>
      </c>
      <c r="AH462" s="987">
        <v>2019413960011</v>
      </c>
      <c r="AI462" s="309" t="s">
        <v>3109</v>
      </c>
      <c r="AJ462" s="309"/>
      <c r="AK462" s="308"/>
      <c r="AL462" s="308"/>
      <c r="AM462" s="308"/>
      <c r="AN462" s="267" t="s">
        <v>2594</v>
      </c>
      <c r="AO462" s="507"/>
      <c r="AP462" s="972"/>
      <c r="AQ462" s="976"/>
      <c r="AR462" s="973"/>
      <c r="AS462" s="973"/>
      <c r="AT462" s="973"/>
      <c r="AU462" s="973"/>
      <c r="AV462" s="973"/>
      <c r="AW462" s="975"/>
      <c r="AX462" s="525"/>
      <c r="AY462" s="310"/>
      <c r="AZ462" s="310"/>
      <c r="BA462" s="310"/>
      <c r="BB462" s="310"/>
      <c r="BC462" s="310"/>
      <c r="BD462" s="310"/>
      <c r="BE462" s="544"/>
      <c r="BF462" s="525"/>
      <c r="BG462" s="310"/>
      <c r="BH462" s="310"/>
      <c r="BI462" s="310"/>
      <c r="BJ462" s="310"/>
      <c r="BK462" s="310"/>
      <c r="BL462" s="310"/>
      <c r="BM462" s="544">
        <f t="shared" si="176"/>
        <v>0</v>
      </c>
      <c r="BN462" s="525"/>
      <c r="BO462" s="310"/>
      <c r="BP462" s="310"/>
      <c r="BQ462" s="310"/>
      <c r="BR462" s="310"/>
      <c r="BS462" s="310"/>
      <c r="BT462" s="310"/>
      <c r="BU462" s="544"/>
      <c r="BV462" s="556"/>
      <c r="BW462" s="663">
        <f t="shared" si="182"/>
        <v>1</v>
      </c>
      <c r="BX462" s="1047">
        <f t="shared" si="170"/>
        <v>1</v>
      </c>
      <c r="BY462" s="1047" t="str">
        <f t="shared" si="183"/>
        <v>No Programada</v>
      </c>
      <c r="BZ462" s="1047">
        <f t="shared" si="184"/>
        <v>1</v>
      </c>
      <c r="CA462" s="1047" t="str">
        <f t="shared" si="185"/>
        <v>No Programada</v>
      </c>
      <c r="CB462" s="1047" t="str">
        <f t="shared" si="186"/>
        <v>No Programada</v>
      </c>
      <c r="CD462" t="str">
        <f t="shared" si="187"/>
        <v>NP</v>
      </c>
      <c r="CE462" t="str">
        <f t="shared" si="187"/>
        <v>VE</v>
      </c>
      <c r="CF462" t="str">
        <f t="shared" si="187"/>
        <v>NP</v>
      </c>
      <c r="CG462" t="str">
        <f t="shared" si="187"/>
        <v>NP</v>
      </c>
    </row>
    <row r="463" spans="1:85" ht="65.25" customHeight="1" x14ac:dyDescent="0.3">
      <c r="A463" s="298" t="s">
        <v>1353</v>
      </c>
      <c r="B463" s="299" t="str">
        <f>'PLAN INDICATIVO'!B463</f>
        <v>Ambiental</v>
      </c>
      <c r="C463" s="1547"/>
      <c r="D463" s="1551"/>
      <c r="E463" s="1551"/>
      <c r="F463" s="1551"/>
      <c r="G463" s="1551"/>
      <c r="H463" s="1551"/>
      <c r="I463" s="1425" t="str">
        <f>'PLAN INDICATIVO'!I463</f>
        <v>SI</v>
      </c>
      <c r="J463" s="379">
        <f>'PLAN INDICATIVO'!J463</f>
        <v>0</v>
      </c>
      <c r="K463" s="1428" t="str">
        <f>'PLAN INDICATIVO'!K463</f>
        <v>A.10.1.23</v>
      </c>
      <c r="L463" s="301" t="str">
        <f>'PLAN INDICATIVO'!L463</f>
        <v>15. Vida de ecosistemas terrestres</v>
      </c>
      <c r="M463" s="301" t="str">
        <f>'PLAN INDICATIVO'!M463</f>
        <v>Unidad de Desarrollo Rural</v>
      </c>
      <c r="N463" s="1513" t="s">
        <v>5127</v>
      </c>
      <c r="O463" s="1425" t="str">
        <f>'PLAN INDICATIVO'!O463</f>
        <v>Incremento</v>
      </c>
      <c r="P463" s="16" t="str">
        <f>'PLAN INDICATIVO'!P463</f>
        <v>Adquirir 320 hectáreas para la protección de fuentes hídricas municipales durante el cuatrienio</v>
      </c>
      <c r="Q463" s="302" t="str">
        <f>'PLAN INDICATIVO'!Q463</f>
        <v>No. De hectáreas adquiridas</v>
      </c>
      <c r="R463" s="351" t="str">
        <f>'PLAN INDICATIVO'!R463</f>
        <v>2012-2015</v>
      </c>
      <c r="S463" s="304">
        <v>260</v>
      </c>
      <c r="T463" s="498">
        <v>320</v>
      </c>
      <c r="U463" s="572">
        <v>80</v>
      </c>
      <c r="V463" s="687">
        <v>110460000</v>
      </c>
      <c r="W463" s="572">
        <v>80</v>
      </c>
      <c r="X463" s="687">
        <v>92000000</v>
      </c>
      <c r="Y463" s="572">
        <v>80</v>
      </c>
      <c r="Z463" s="687">
        <v>80000000</v>
      </c>
      <c r="AA463" s="1310">
        <v>141</v>
      </c>
      <c r="AB463" s="686">
        <v>2285000</v>
      </c>
      <c r="AC463" s="665"/>
      <c r="AD463" s="665">
        <v>64</v>
      </c>
      <c r="AE463" s="665"/>
      <c r="AF463" s="665">
        <v>234</v>
      </c>
      <c r="AG463" s="1359" t="s">
        <v>5158</v>
      </c>
      <c r="AH463" s="987">
        <v>2019413960011</v>
      </c>
      <c r="AI463" s="1474" t="s">
        <v>4953</v>
      </c>
      <c r="AJ463" s="309">
        <v>43826</v>
      </c>
      <c r="AK463" s="308"/>
      <c r="AL463" s="308"/>
      <c r="AM463" s="308"/>
      <c r="AN463" s="267" t="s">
        <v>2604</v>
      </c>
      <c r="AO463" s="507"/>
      <c r="AP463" s="972"/>
      <c r="AQ463" s="973"/>
      <c r="AR463" s="973"/>
      <c r="AS463" s="973"/>
      <c r="AT463" s="973"/>
      <c r="AU463" s="973"/>
      <c r="AV463" s="973"/>
      <c r="AW463" s="975"/>
      <c r="AX463" s="525"/>
      <c r="AY463" s="310"/>
      <c r="AZ463" s="310"/>
      <c r="BA463" s="310"/>
      <c r="BB463" s="310"/>
      <c r="BC463" s="310"/>
      <c r="BD463" s="310"/>
      <c r="BE463" s="544"/>
      <c r="BF463" s="525"/>
      <c r="BG463" s="310"/>
      <c r="BH463" s="310"/>
      <c r="BI463" s="310"/>
      <c r="BJ463" s="310"/>
      <c r="BK463" s="310"/>
      <c r="BL463" s="310"/>
      <c r="BM463" s="544">
        <f t="shared" si="176"/>
        <v>0</v>
      </c>
      <c r="BN463" s="525"/>
      <c r="BO463" s="310"/>
      <c r="BP463" s="310"/>
      <c r="BQ463" s="310"/>
      <c r="BR463" s="310"/>
      <c r="BS463" s="310"/>
      <c r="BT463" s="310"/>
      <c r="BU463" s="544"/>
      <c r="BV463" s="556"/>
      <c r="BW463" s="663">
        <f t="shared" si="182"/>
        <v>298</v>
      </c>
      <c r="BX463" s="1047">
        <f t="shared" si="170"/>
        <v>0.93125000000000002</v>
      </c>
      <c r="BY463" s="1047">
        <f t="shared" si="183"/>
        <v>0</v>
      </c>
      <c r="BZ463" s="1047">
        <f t="shared" si="184"/>
        <v>0.8</v>
      </c>
      <c r="CA463" s="1047">
        <f t="shared" si="185"/>
        <v>0</v>
      </c>
      <c r="CB463" s="1047">
        <f t="shared" si="186"/>
        <v>1.6595744680851063</v>
      </c>
      <c r="CD463" t="str">
        <f t="shared" si="187"/>
        <v>ROB</v>
      </c>
      <c r="CE463" t="str">
        <f t="shared" si="187"/>
        <v>VEB</v>
      </c>
      <c r="CF463" t="str">
        <f t="shared" si="187"/>
        <v>ROB</v>
      </c>
      <c r="CG463" t="str">
        <f t="shared" si="187"/>
        <v>VE</v>
      </c>
    </row>
    <row r="464" spans="1:85" ht="6.75" hidden="1" customHeight="1" x14ac:dyDescent="0.25">
      <c r="A464" s="1347"/>
      <c r="B464" s="1348"/>
      <c r="C464" s="1547"/>
      <c r="D464" s="1551"/>
      <c r="E464" s="1551"/>
      <c r="F464" s="1551"/>
      <c r="G464" s="1551"/>
      <c r="H464" s="1551"/>
      <c r="I464" s="1412">
        <f>'PLAN INDICATIVO'!I464</f>
        <v>0</v>
      </c>
      <c r="J464" s="1421">
        <f>'PLAN INDICATIVO'!J464</f>
        <v>0</v>
      </c>
      <c r="K464" s="1350" t="str">
        <f>'PLAN INDICATIVO'!K464</f>
        <v>A.10.1.24</v>
      </c>
      <c r="L464" s="1351" t="str">
        <f>'PLAN INDICATIVO'!L464</f>
        <v>15. Vida de ecosistemas terrestres</v>
      </c>
      <c r="M464" s="1351" t="str">
        <f>'PLAN INDICATIVO'!M464</f>
        <v>Unidad de Desarrollo Rural</v>
      </c>
      <c r="N464" s="1513" t="s">
        <v>5127</v>
      </c>
      <c r="O464" s="1463" t="str">
        <f>'PLAN INDICATIVO'!O464</f>
        <v>Incremento</v>
      </c>
      <c r="P464" s="1199" t="str">
        <f>'PLAN INDICATIVO'!P464</f>
        <v>Formular e implementar 1 POMCA durante el cuatrienio</v>
      </c>
      <c r="Q464" s="302" t="str">
        <f>'PLAN INDICATIVO'!Q464</f>
        <v>No. De POMCA formulados e implementados</v>
      </c>
      <c r="R464" s="351">
        <f>'PLAN INDICATIVO'!R464</f>
        <v>2015</v>
      </c>
      <c r="S464" s="304">
        <v>0</v>
      </c>
      <c r="T464" s="715">
        <v>1</v>
      </c>
      <c r="U464" s="572"/>
      <c r="V464" s="687">
        <v>2000000</v>
      </c>
      <c r="W464" s="572">
        <v>0.33</v>
      </c>
      <c r="X464" s="687">
        <v>24000000</v>
      </c>
      <c r="Y464" s="572"/>
      <c r="Z464" s="687">
        <v>1000000</v>
      </c>
      <c r="AA464" s="715">
        <v>1</v>
      </c>
      <c r="AB464" s="686"/>
      <c r="AC464" s="1305"/>
      <c r="AD464" s="1309">
        <v>0</v>
      </c>
      <c r="AE464" s="1305">
        <v>0</v>
      </c>
      <c r="AF464" s="1305"/>
      <c r="AG464" s="1359" t="s">
        <v>4767</v>
      </c>
      <c r="AH464" s="987">
        <v>2018413960048</v>
      </c>
      <c r="AI464" s="1262" t="s">
        <v>5053</v>
      </c>
      <c r="AJ464" s="1305"/>
      <c r="AK464" s="1305"/>
      <c r="AL464" s="1305"/>
      <c r="AM464" s="1305"/>
      <c r="AN464" s="1342" t="s">
        <v>2604</v>
      </c>
      <c r="AO464" s="507"/>
      <c r="AP464" s="1487"/>
      <c r="AQ464" s="1488"/>
      <c r="AR464" s="1488"/>
      <c r="AS464" s="1488"/>
      <c r="AT464" s="1488"/>
      <c r="AU464" s="1488"/>
      <c r="AV464" s="1488"/>
      <c r="AW464" s="1489"/>
      <c r="AX464" s="1323"/>
      <c r="AY464" s="1313"/>
      <c r="AZ464" s="1313"/>
      <c r="BA464" s="1313"/>
      <c r="BB464" s="1313"/>
      <c r="BC464" s="1313"/>
      <c r="BD464" s="1313"/>
      <c r="BE464" s="800"/>
      <c r="BF464" s="1323"/>
      <c r="BG464" s="1313"/>
      <c r="BH464" s="1313"/>
      <c r="BI464" s="1313"/>
      <c r="BJ464" s="1313"/>
      <c r="BK464" s="1313"/>
      <c r="BL464" s="1313"/>
      <c r="BM464" s="800">
        <f t="shared" si="176"/>
        <v>0</v>
      </c>
      <c r="BN464" s="525"/>
      <c r="BO464" s="310"/>
      <c r="BP464" s="310"/>
      <c r="BQ464" s="310"/>
      <c r="BR464" s="310"/>
      <c r="BS464" s="310"/>
      <c r="BT464" s="310"/>
      <c r="BU464" s="800"/>
      <c r="BV464" s="556"/>
      <c r="BW464" s="663">
        <f t="shared" si="182"/>
        <v>0</v>
      </c>
      <c r="BX464" s="1047">
        <f t="shared" si="170"/>
        <v>0</v>
      </c>
      <c r="BY464" s="1047" t="str">
        <f t="shared" si="183"/>
        <v>No Programada</v>
      </c>
      <c r="BZ464" s="1047">
        <f t="shared" si="184"/>
        <v>0</v>
      </c>
      <c r="CA464" s="1047" t="s">
        <v>4000</v>
      </c>
      <c r="CB464" s="1047" t="s">
        <v>4789</v>
      </c>
      <c r="CD464" t="str">
        <f t="shared" si="187"/>
        <v>NP</v>
      </c>
      <c r="CE464" t="str">
        <f t="shared" si="187"/>
        <v>ROB</v>
      </c>
      <c r="CF464" t="str">
        <f t="shared" si="187"/>
        <v>E</v>
      </c>
      <c r="CG464" t="str">
        <f t="shared" si="187"/>
        <v>E</v>
      </c>
    </row>
    <row r="465" spans="1:85" ht="59.25" hidden="1" customHeight="1" x14ac:dyDescent="0.25">
      <c r="A465" s="298" t="s">
        <v>1353</v>
      </c>
      <c r="B465" s="299" t="str">
        <f>'PLAN INDICATIVO'!B465</f>
        <v>Ambiental</v>
      </c>
      <c r="C465" s="1547"/>
      <c r="D465" s="1551"/>
      <c r="E465" s="1551"/>
      <c r="F465" s="1551"/>
      <c r="G465" s="1551"/>
      <c r="H465" s="1551"/>
      <c r="I465" s="300">
        <f>'PLAN INDICATIVO'!I465</f>
        <v>0</v>
      </c>
      <c r="J465" s="375">
        <f>'PLAN INDICATIVO'!J465</f>
        <v>0</v>
      </c>
      <c r="K465" s="1428" t="str">
        <f>'PLAN INDICATIVO'!K465</f>
        <v>A.10.1.25</v>
      </c>
      <c r="L465" s="301" t="str">
        <f>'PLAN INDICATIVO'!L465</f>
        <v>15. Vida de ecosistemas terrestres</v>
      </c>
      <c r="M465" s="301" t="str">
        <f>'PLAN INDICATIVO'!M465</f>
        <v>Unidad de Desarrollo Rural</v>
      </c>
      <c r="N465" s="1513" t="s">
        <v>5127</v>
      </c>
      <c r="O465" s="1425" t="str">
        <f>'PLAN INDICATIVO'!O465</f>
        <v>Incremento</v>
      </c>
      <c r="P465" s="16" t="str">
        <f>'PLAN INDICATIVO'!P465</f>
        <v>Realizar 2 campañas de vacunación y esterilización de animales domésticos en condición de calle, durante el cuatrienio</v>
      </c>
      <c r="Q465" s="302" t="str">
        <f>'PLAN INDICATIVO'!Q465</f>
        <v>No. De campañas realizadas</v>
      </c>
      <c r="R465" s="351">
        <f>'PLAN INDICATIVO'!R465</f>
        <v>2015</v>
      </c>
      <c r="S465" s="304">
        <v>0</v>
      </c>
      <c r="T465" s="498">
        <v>2</v>
      </c>
      <c r="U465" s="572">
        <v>1</v>
      </c>
      <c r="V465" s="687">
        <v>1000000</v>
      </c>
      <c r="W465" s="572">
        <v>1</v>
      </c>
      <c r="X465" s="687">
        <v>2000000</v>
      </c>
      <c r="Y465" s="572"/>
      <c r="Z465" s="687"/>
      <c r="AA465" s="1310"/>
      <c r="AB465" s="686"/>
      <c r="AC465" s="665"/>
      <c r="AD465" s="665">
        <v>1</v>
      </c>
      <c r="AE465" s="665"/>
      <c r="AF465" s="665"/>
      <c r="AG465" s="1359" t="s">
        <v>5158</v>
      </c>
      <c r="AH465" s="987">
        <v>2019413960011</v>
      </c>
      <c r="AI465" s="309" t="s">
        <v>4863</v>
      </c>
      <c r="AJ465" s="309"/>
      <c r="AK465" s="308"/>
      <c r="AL465" s="308"/>
      <c r="AM465" s="308"/>
      <c r="AN465" s="267" t="s">
        <v>2594</v>
      </c>
      <c r="AO465" s="507"/>
      <c r="AP465" s="972"/>
      <c r="AQ465" s="973"/>
      <c r="AR465" s="973"/>
      <c r="AS465" s="973"/>
      <c r="AT465" s="973"/>
      <c r="AU465" s="973"/>
      <c r="AV465" s="973"/>
      <c r="AW465" s="975"/>
      <c r="AX465" s="525"/>
      <c r="AY465" s="310"/>
      <c r="AZ465" s="310"/>
      <c r="BA465" s="310"/>
      <c r="BB465" s="310"/>
      <c r="BC465" s="310"/>
      <c r="BD465" s="310"/>
      <c r="BE465" s="544"/>
      <c r="BF465" s="525"/>
      <c r="BG465" s="310"/>
      <c r="BH465" s="310"/>
      <c r="BI465" s="310"/>
      <c r="BJ465" s="310"/>
      <c r="BK465" s="310"/>
      <c r="BL465" s="310"/>
      <c r="BM465" s="544">
        <f t="shared" ref="BM465:BM489" si="188">SUM(BF465:BL465)</f>
        <v>0</v>
      </c>
      <c r="BN465" s="525"/>
      <c r="BO465" s="310"/>
      <c r="BP465" s="310"/>
      <c r="BQ465" s="310"/>
      <c r="BR465" s="310"/>
      <c r="BS465" s="310"/>
      <c r="BT465" s="310"/>
      <c r="BU465" s="544"/>
      <c r="BV465" s="556"/>
      <c r="BW465" s="663">
        <f t="shared" si="182"/>
        <v>1</v>
      </c>
      <c r="BX465" s="1047">
        <f t="shared" si="170"/>
        <v>0.5</v>
      </c>
      <c r="BY465" s="1047">
        <f t="shared" si="183"/>
        <v>0</v>
      </c>
      <c r="BZ465" s="1047">
        <f t="shared" si="184"/>
        <v>1</v>
      </c>
      <c r="CA465" s="1047" t="str">
        <f t="shared" si="185"/>
        <v>No Programada</v>
      </c>
      <c r="CB465" s="1047" t="str">
        <f t="shared" si="186"/>
        <v>No Programada</v>
      </c>
      <c r="CD465" t="str">
        <f t="shared" si="187"/>
        <v>ROB</v>
      </c>
      <c r="CE465" t="str">
        <f t="shared" si="187"/>
        <v>VE</v>
      </c>
      <c r="CF465" t="str">
        <f t="shared" si="187"/>
        <v>NP</v>
      </c>
      <c r="CG465" t="str">
        <f t="shared" si="187"/>
        <v>NP</v>
      </c>
    </row>
    <row r="466" spans="1:85" ht="77.25" customHeight="1" x14ac:dyDescent="0.3">
      <c r="A466" s="298" t="s">
        <v>1353</v>
      </c>
      <c r="B466" s="299" t="str">
        <f>'PLAN INDICATIVO'!B466</f>
        <v>Ambiental</v>
      </c>
      <c r="C466" s="1547"/>
      <c r="D466" s="1551"/>
      <c r="E466" s="1551"/>
      <c r="F466" s="1551"/>
      <c r="G466" s="1551"/>
      <c r="H466" s="1551"/>
      <c r="I466" s="300">
        <f>'PLAN INDICATIVO'!I466</f>
        <v>0</v>
      </c>
      <c r="J466" s="375">
        <f>'PLAN INDICATIVO'!J466</f>
        <v>0</v>
      </c>
      <c r="K466" s="1428" t="str">
        <f>'PLAN INDICATIVO'!K466</f>
        <v>A.10.1.26</v>
      </c>
      <c r="L466" s="301" t="str">
        <f>'PLAN INDICATIVO'!L466</f>
        <v>15. Vida de ecosistemas terrestres</v>
      </c>
      <c r="M466" s="301" t="str">
        <f>'PLAN INDICATIVO'!M466</f>
        <v>Unidad de Desarrollo Rural</v>
      </c>
      <c r="N466" s="1513" t="s">
        <v>5127</v>
      </c>
      <c r="O466" s="1425" t="str">
        <f>'PLAN INDICATIVO'!O466</f>
        <v>Incremento</v>
      </c>
      <c r="P466" s="16" t="str">
        <f>'PLAN INDICATIVO'!P466</f>
        <v>Desarrollar 4 acciones durante el cuatrienio para control y/o apoyo  para la formalización de minería ilegal</v>
      </c>
      <c r="Q466" s="302" t="str">
        <f>'PLAN INDICATIVO'!Q466</f>
        <v>No. De acciones desarrolladas en el cuatrienio</v>
      </c>
      <c r="R466" s="351">
        <f>'PLAN INDICATIVO'!R466</f>
        <v>2015</v>
      </c>
      <c r="S466" s="304">
        <v>0</v>
      </c>
      <c r="T466" s="498">
        <v>4</v>
      </c>
      <c r="U466" s="572">
        <v>1</v>
      </c>
      <c r="V466" s="687">
        <v>1000000</v>
      </c>
      <c r="W466" s="572">
        <v>1</v>
      </c>
      <c r="X466" s="687">
        <v>5000000</v>
      </c>
      <c r="Y466" s="572">
        <v>1</v>
      </c>
      <c r="Z466" s="687">
        <v>5000000</v>
      </c>
      <c r="AA466" s="1310">
        <v>2</v>
      </c>
      <c r="AB466" s="686">
        <v>10000000</v>
      </c>
      <c r="AC466" s="665"/>
      <c r="AD466" s="665">
        <v>1</v>
      </c>
      <c r="AE466" s="665"/>
      <c r="AF466" s="665">
        <v>3</v>
      </c>
      <c r="AG466" s="1359" t="s">
        <v>5158</v>
      </c>
      <c r="AH466" s="987">
        <v>2019413960011</v>
      </c>
      <c r="AI466" s="1474" t="s">
        <v>5054</v>
      </c>
      <c r="AJ466" s="309">
        <v>43621</v>
      </c>
      <c r="AK466" s="838">
        <v>43813</v>
      </c>
      <c r="AL466" s="308"/>
      <c r="AM466" s="308"/>
      <c r="AN466" s="267" t="s">
        <v>2600</v>
      </c>
      <c r="AO466" s="507"/>
      <c r="AP466" s="972"/>
      <c r="AQ466" s="977"/>
      <c r="AR466" s="973"/>
      <c r="AS466" s="973"/>
      <c r="AT466" s="973"/>
      <c r="AU466" s="973"/>
      <c r="AV466" s="973"/>
      <c r="AW466" s="975"/>
      <c r="AX466" s="525"/>
      <c r="AY466" s="380"/>
      <c r="AZ466" s="310"/>
      <c r="BA466" s="310"/>
      <c r="BB466" s="310"/>
      <c r="BC466" s="310"/>
      <c r="BD466" s="310"/>
      <c r="BE466" s="544"/>
      <c r="BF466" s="525"/>
      <c r="BG466" s="380"/>
      <c r="BH466" s="310"/>
      <c r="BI466" s="310"/>
      <c r="BJ466" s="310"/>
      <c r="BK466" s="310"/>
      <c r="BL466" s="310"/>
      <c r="BM466" s="544">
        <f t="shared" si="188"/>
        <v>0</v>
      </c>
      <c r="BN466" s="525"/>
      <c r="BO466" s="380"/>
      <c r="BP466" s="310"/>
      <c r="BQ466" s="310"/>
      <c r="BR466" s="310"/>
      <c r="BS466" s="310"/>
      <c r="BT466" s="310"/>
      <c r="BU466" s="544"/>
      <c r="BV466" s="556"/>
      <c r="BW466" s="663">
        <f t="shared" si="182"/>
        <v>4</v>
      </c>
      <c r="BX466" s="1047">
        <f t="shared" si="170"/>
        <v>1</v>
      </c>
      <c r="BY466" s="1047">
        <f t="shared" si="183"/>
        <v>0</v>
      </c>
      <c r="BZ466" s="1047">
        <f t="shared" si="184"/>
        <v>1</v>
      </c>
      <c r="CA466" s="1047">
        <f t="shared" si="185"/>
        <v>0</v>
      </c>
      <c r="CB466" s="1047">
        <f t="shared" si="186"/>
        <v>1.5</v>
      </c>
      <c r="CD466" t="str">
        <f t="shared" si="187"/>
        <v>ROB</v>
      </c>
      <c r="CE466" t="str">
        <f t="shared" si="187"/>
        <v>VE</v>
      </c>
      <c r="CF466" t="str">
        <f t="shared" si="187"/>
        <v>ROB</v>
      </c>
      <c r="CG466" t="str">
        <f t="shared" si="187"/>
        <v>VE</v>
      </c>
    </row>
    <row r="467" spans="1:85" ht="70.5" customHeight="1" x14ac:dyDescent="0.3">
      <c r="A467" s="298" t="s">
        <v>1353</v>
      </c>
      <c r="B467" s="299" t="str">
        <f>'PLAN INDICATIVO'!B467</f>
        <v>Ambiental</v>
      </c>
      <c r="C467" s="1547"/>
      <c r="D467" s="1551"/>
      <c r="E467" s="1551"/>
      <c r="F467" s="1551"/>
      <c r="G467" s="1551"/>
      <c r="H467" s="1551"/>
      <c r="I467" s="300">
        <f>'PLAN INDICATIVO'!I467</f>
        <v>0</v>
      </c>
      <c r="J467" s="375">
        <f>'PLAN INDICATIVO'!J467</f>
        <v>0</v>
      </c>
      <c r="K467" s="1428" t="str">
        <f>'PLAN INDICATIVO'!K467</f>
        <v>A.10.1.27</v>
      </c>
      <c r="L467" s="301" t="str">
        <f>'PLAN INDICATIVO'!L467</f>
        <v>15. Vida de ecosistemas terrestres</v>
      </c>
      <c r="M467" s="301" t="str">
        <f>'PLAN INDICATIVO'!M467</f>
        <v>Unidad de Desarrollo Rural</v>
      </c>
      <c r="N467" s="1513" t="s">
        <v>5127</v>
      </c>
      <c r="O467" s="1425" t="str">
        <f>'PLAN INDICATIVO'!O467</f>
        <v>Incremento</v>
      </c>
      <c r="P467" s="16" t="str">
        <f>'PLAN INDICATIVO'!P467</f>
        <v>Aislar 12.000 metros lineales de predios de propiedad del municipio destinados a protección de fuentes hídricas durante el cuatrienio</v>
      </c>
      <c r="Q467" s="302" t="str">
        <f>'PLAN INDICATIVO'!Q467</f>
        <v>No. De metros lineales de aislamiento realizados durante el cuatrienio</v>
      </c>
      <c r="R467" s="351" t="str">
        <f>'PLAN INDICATIVO'!R467</f>
        <v>2012 - 2015</v>
      </c>
      <c r="S467" s="304">
        <v>30000</v>
      </c>
      <c r="T467" s="498">
        <v>12000</v>
      </c>
      <c r="U467" s="572"/>
      <c r="V467" s="687">
        <v>1000000</v>
      </c>
      <c r="W467" s="572">
        <v>4000</v>
      </c>
      <c r="X467" s="687">
        <v>10000000</v>
      </c>
      <c r="Y467" s="572">
        <v>4000</v>
      </c>
      <c r="Z467" s="687">
        <v>11000000</v>
      </c>
      <c r="AA467" s="1310">
        <v>4000</v>
      </c>
      <c r="AB467" s="686">
        <v>30000000</v>
      </c>
      <c r="AC467" s="665"/>
      <c r="AD467" s="665">
        <v>4000</v>
      </c>
      <c r="AE467" s="665">
        <v>4000</v>
      </c>
      <c r="AF467" s="665">
        <v>4000</v>
      </c>
      <c r="AG467" s="1359" t="s">
        <v>5158</v>
      </c>
      <c r="AH467" s="987">
        <v>2019413960011</v>
      </c>
      <c r="AI467" s="1471" t="s">
        <v>5121</v>
      </c>
      <c r="AJ467" s="309">
        <v>43553</v>
      </c>
      <c r="AK467" s="838">
        <v>43789</v>
      </c>
      <c r="AL467" s="308"/>
      <c r="AM467" s="308"/>
      <c r="AN467" s="267" t="s">
        <v>2598</v>
      </c>
      <c r="AO467" s="507"/>
      <c r="AP467" s="972"/>
      <c r="AQ467" s="977"/>
      <c r="AR467" s="973"/>
      <c r="AS467" s="973"/>
      <c r="AT467" s="973"/>
      <c r="AU467" s="973"/>
      <c r="AV467" s="973"/>
      <c r="AW467" s="975"/>
      <c r="AX467" s="525"/>
      <c r="AY467" s="380"/>
      <c r="AZ467" s="310"/>
      <c r="BA467" s="310"/>
      <c r="BB467" s="310"/>
      <c r="BC467" s="310"/>
      <c r="BD467" s="310"/>
      <c r="BE467" s="544"/>
      <c r="BF467" s="525"/>
      <c r="BG467" s="380"/>
      <c r="BH467" s="310"/>
      <c r="BI467" s="310"/>
      <c r="BJ467" s="310"/>
      <c r="BK467" s="310"/>
      <c r="BL467" s="310"/>
      <c r="BM467" s="544">
        <f t="shared" si="188"/>
        <v>0</v>
      </c>
      <c r="BN467" s="525"/>
      <c r="BO467" s="380"/>
      <c r="BP467" s="310"/>
      <c r="BQ467" s="310"/>
      <c r="BR467" s="310"/>
      <c r="BS467" s="310"/>
      <c r="BT467" s="310"/>
      <c r="BU467" s="544"/>
      <c r="BV467" s="556"/>
      <c r="BW467" s="663">
        <f t="shared" si="182"/>
        <v>12000</v>
      </c>
      <c r="BX467" s="1047">
        <f t="shared" si="170"/>
        <v>1</v>
      </c>
      <c r="BY467" s="1047" t="str">
        <f t="shared" si="183"/>
        <v>No Programada</v>
      </c>
      <c r="BZ467" s="1047">
        <f t="shared" si="184"/>
        <v>1</v>
      </c>
      <c r="CA467" s="1047">
        <f t="shared" si="185"/>
        <v>1</v>
      </c>
      <c r="CB467" s="1047">
        <f t="shared" si="186"/>
        <v>1</v>
      </c>
      <c r="CD467" t="str">
        <f t="shared" si="187"/>
        <v>NP</v>
      </c>
      <c r="CE467" t="str">
        <f t="shared" si="187"/>
        <v>VE</v>
      </c>
      <c r="CF467" t="str">
        <f t="shared" si="187"/>
        <v>VE</v>
      </c>
      <c r="CG467" t="str">
        <f t="shared" si="187"/>
        <v>VE</v>
      </c>
    </row>
    <row r="468" spans="1:85" ht="69.75" hidden="1" customHeight="1" x14ac:dyDescent="0.25">
      <c r="A468" s="298" t="s">
        <v>1353</v>
      </c>
      <c r="B468" s="299" t="str">
        <f>'PLAN INDICATIVO'!B468</f>
        <v>Ambiental</v>
      </c>
      <c r="C468" s="1547"/>
      <c r="D468" s="1551"/>
      <c r="E468" s="1551"/>
      <c r="F468" s="1551"/>
      <c r="G468" s="1551"/>
      <c r="H468" s="1551"/>
      <c r="I468" s="300">
        <f>'PLAN INDICATIVO'!I468</f>
        <v>0</v>
      </c>
      <c r="J468" s="375">
        <f>'PLAN INDICATIVO'!J468</f>
        <v>0</v>
      </c>
      <c r="K468" s="1428" t="str">
        <f>'PLAN INDICATIVO'!K468</f>
        <v>A.10.1.28</v>
      </c>
      <c r="L468" s="301" t="str">
        <f>'PLAN INDICATIVO'!L468</f>
        <v>15. Vida de ecosistemas terrestres</v>
      </c>
      <c r="M468" s="301" t="str">
        <f>'PLAN INDICATIVO'!M468</f>
        <v>Unidad de Desarrollo Rural</v>
      </c>
      <c r="N468" s="1513" t="s">
        <v>5127</v>
      </c>
      <c r="O468" s="1425" t="str">
        <f>'PLAN INDICATIVO'!O468</f>
        <v>Incremento</v>
      </c>
      <c r="P468" s="16" t="str">
        <f>'PLAN INDICATIVO'!P468</f>
        <v>Desarrollar  1 proyectos para disminuir impacto del cambio climático, durante el cuatrienio</v>
      </c>
      <c r="Q468" s="302" t="str">
        <f>'PLAN INDICATIVO'!Q468</f>
        <v>No. De proyectos desarrollados</v>
      </c>
      <c r="R468" s="351">
        <f>'PLAN INDICATIVO'!R468</f>
        <v>2015</v>
      </c>
      <c r="S468" s="304">
        <v>0</v>
      </c>
      <c r="T468" s="1299">
        <v>2</v>
      </c>
      <c r="U468" s="572">
        <v>1</v>
      </c>
      <c r="V468" s="687">
        <v>2000000</v>
      </c>
      <c r="W468" s="572">
        <v>1</v>
      </c>
      <c r="X468" s="687">
        <v>1000000</v>
      </c>
      <c r="Y468" s="572"/>
      <c r="Z468" s="687">
        <v>1000000</v>
      </c>
      <c r="AA468" s="1310"/>
      <c r="AB468" s="686"/>
      <c r="AC468" s="665"/>
      <c r="AD468" s="665">
        <v>1</v>
      </c>
      <c r="AE468" s="665"/>
      <c r="AF468" s="665">
        <v>2</v>
      </c>
      <c r="AG468" s="1359" t="s">
        <v>5158</v>
      </c>
      <c r="AH468" s="987">
        <v>2019413960011</v>
      </c>
      <c r="AI468" s="1471" t="s">
        <v>5055</v>
      </c>
      <c r="AJ468" s="309">
        <v>43483</v>
      </c>
      <c r="AK468" s="838">
        <v>43601</v>
      </c>
      <c r="AL468" s="308"/>
      <c r="AM468" s="308"/>
      <c r="AN468" s="925" t="s">
        <v>2594</v>
      </c>
      <c r="AO468" s="507"/>
      <c r="AP468" s="525"/>
      <c r="AQ468" s="977"/>
      <c r="AR468" s="973"/>
      <c r="AS468" s="973"/>
      <c r="AT468" s="973"/>
      <c r="AU468" s="973"/>
      <c r="AV468" s="973"/>
      <c r="AW468" s="975"/>
      <c r="AX468" s="525"/>
      <c r="AY468" s="380"/>
      <c r="AZ468" s="310"/>
      <c r="BA468" s="310"/>
      <c r="BB468" s="310"/>
      <c r="BC468" s="310"/>
      <c r="BD468" s="310"/>
      <c r="BE468" s="544"/>
      <c r="BF468" s="525"/>
      <c r="BG468" s="380"/>
      <c r="BH468" s="310"/>
      <c r="BI468" s="310"/>
      <c r="BJ468" s="310"/>
      <c r="BK468" s="310"/>
      <c r="BL468" s="310"/>
      <c r="BM468" s="544">
        <f t="shared" si="188"/>
        <v>0</v>
      </c>
      <c r="BN468" s="525"/>
      <c r="BO468" s="380"/>
      <c r="BP468" s="310"/>
      <c r="BQ468" s="310"/>
      <c r="BR468" s="310"/>
      <c r="BS468" s="310"/>
      <c r="BT468" s="310"/>
      <c r="BU468" s="544"/>
      <c r="BV468" s="556"/>
      <c r="BW468" s="663">
        <f t="shared" si="182"/>
        <v>3</v>
      </c>
      <c r="BX468" s="1047">
        <f t="shared" si="170"/>
        <v>1.5</v>
      </c>
      <c r="BY468" s="1047">
        <f t="shared" si="183"/>
        <v>0</v>
      </c>
      <c r="BZ468" s="1047">
        <f t="shared" si="184"/>
        <v>1</v>
      </c>
      <c r="CA468" s="1047" t="s">
        <v>4000</v>
      </c>
      <c r="CB468" s="1047" t="str">
        <f t="shared" si="186"/>
        <v>No Programada</v>
      </c>
      <c r="CD468" t="str">
        <f t="shared" si="187"/>
        <v>ROB</v>
      </c>
      <c r="CE468" t="str">
        <f t="shared" si="187"/>
        <v>VE</v>
      </c>
      <c r="CF468" t="str">
        <f t="shared" si="187"/>
        <v>E</v>
      </c>
      <c r="CG468" t="str">
        <f t="shared" si="187"/>
        <v>NP</v>
      </c>
    </row>
    <row r="469" spans="1:85" s="3" customFormat="1" ht="119.25" customHeight="1" x14ac:dyDescent="0.3">
      <c r="A469" s="298" t="s">
        <v>1353</v>
      </c>
      <c r="B469" s="299" t="str">
        <f>'PLAN INDICATIVO'!B469</f>
        <v>Ambiental</v>
      </c>
      <c r="C469" s="1547"/>
      <c r="D469" s="1551"/>
      <c r="E469" s="1551"/>
      <c r="F469" s="1551"/>
      <c r="G469" s="1551"/>
      <c r="H469" s="1551"/>
      <c r="I469" s="300">
        <f>'PLAN INDICATIVO'!I469</f>
        <v>0</v>
      </c>
      <c r="J469" s="375">
        <f>'PLAN INDICATIVO'!J469</f>
        <v>0</v>
      </c>
      <c r="K469" s="1428" t="str">
        <f>'PLAN INDICATIVO'!K469</f>
        <v>A.10.1.29</v>
      </c>
      <c r="L469" s="301" t="str">
        <f>'PLAN INDICATIVO'!L469</f>
        <v>15. Vida de ecosistemas terrestres</v>
      </c>
      <c r="M469" s="301" t="str">
        <f>'PLAN INDICATIVO'!M469</f>
        <v>Unidad de Desarrollo Rural</v>
      </c>
      <c r="N469" s="1513" t="s">
        <v>5127</v>
      </c>
      <c r="O469" s="1425" t="str">
        <f>'PLAN INDICATIVO'!O469</f>
        <v>Incremento</v>
      </c>
      <c r="P469" s="16" t="str">
        <f>'PLAN INDICATIVO'!P469</f>
        <v xml:space="preserve">Realizar 4 campañas de concientización en la comunidad que vele por la protección y conservación de los bienes ambientales, adquiridos por la administración municipal, durante el cuatrienio. </v>
      </c>
      <c r="Q469" s="302" t="str">
        <f>'PLAN INDICATIVO'!Q469</f>
        <v>No. De campañas realizadas</v>
      </c>
      <c r="R469" s="351">
        <f>'PLAN INDICATIVO'!R469</f>
        <v>2015</v>
      </c>
      <c r="S469" s="304">
        <v>0</v>
      </c>
      <c r="T469" s="498">
        <v>4</v>
      </c>
      <c r="U469" s="572">
        <v>1</v>
      </c>
      <c r="V469" s="687">
        <v>1000000</v>
      </c>
      <c r="W469" s="572">
        <v>1</v>
      </c>
      <c r="X469" s="687">
        <v>2000000</v>
      </c>
      <c r="Y469" s="572"/>
      <c r="Z469" s="687">
        <v>2000000</v>
      </c>
      <c r="AA469" s="1310">
        <v>1</v>
      </c>
      <c r="AB469" s="686">
        <v>5000000</v>
      </c>
      <c r="AC469" s="665"/>
      <c r="AD469" s="665">
        <v>1</v>
      </c>
      <c r="AE469" s="665">
        <v>3</v>
      </c>
      <c r="AF469" s="665">
        <v>1</v>
      </c>
      <c r="AG469" s="1359" t="s">
        <v>5158</v>
      </c>
      <c r="AH469" s="987">
        <v>2019413960011</v>
      </c>
      <c r="AI469" s="1474" t="s">
        <v>5056</v>
      </c>
      <c r="AJ469" s="309">
        <v>43483</v>
      </c>
      <c r="AK469" s="838">
        <v>43601</v>
      </c>
      <c r="AL469" s="310"/>
      <c r="AM469" s="310"/>
      <c r="AN469" s="267" t="s">
        <v>2598</v>
      </c>
      <c r="AO469" s="507"/>
      <c r="AP469" s="972"/>
      <c r="AQ469" s="973"/>
      <c r="AR469" s="973"/>
      <c r="AS469" s="973"/>
      <c r="AT469" s="973"/>
      <c r="AU469" s="973"/>
      <c r="AV469" s="973"/>
      <c r="AW469" s="975"/>
      <c r="AX469" s="525"/>
      <c r="AY469" s="310"/>
      <c r="AZ469" s="310"/>
      <c r="BA469" s="310"/>
      <c r="BB469" s="310"/>
      <c r="BC469" s="310"/>
      <c r="BD469" s="310"/>
      <c r="BE469" s="544"/>
      <c r="BF469" s="525"/>
      <c r="BG469" s="310"/>
      <c r="BH469" s="310"/>
      <c r="BI469" s="310"/>
      <c r="BJ469" s="310"/>
      <c r="BK469" s="310"/>
      <c r="BL469" s="310"/>
      <c r="BM469" s="544">
        <f t="shared" si="188"/>
        <v>0</v>
      </c>
      <c r="BN469" s="525"/>
      <c r="BO469" s="310"/>
      <c r="BP469" s="310"/>
      <c r="BQ469" s="310"/>
      <c r="BR469" s="310"/>
      <c r="BS469" s="310"/>
      <c r="BT469" s="310"/>
      <c r="BU469" s="544"/>
      <c r="BV469" s="648"/>
      <c r="BW469" s="663">
        <f t="shared" si="182"/>
        <v>5</v>
      </c>
      <c r="BX469" s="1047">
        <f t="shared" ref="BX469:BX489" si="189">BW469/T469</f>
        <v>1.25</v>
      </c>
      <c r="BY469" s="1047">
        <f t="shared" si="183"/>
        <v>0</v>
      </c>
      <c r="BZ469" s="1047">
        <f t="shared" si="184"/>
        <v>1</v>
      </c>
      <c r="CA469" s="1047" t="str">
        <f t="shared" si="185"/>
        <v>No Programada</v>
      </c>
      <c r="CB469" s="1047">
        <f t="shared" si="186"/>
        <v>1</v>
      </c>
      <c r="CC469" s="75"/>
      <c r="CD469" t="str">
        <f t="shared" si="187"/>
        <v>ROB</v>
      </c>
      <c r="CE469" t="str">
        <f t="shared" si="187"/>
        <v>VE</v>
      </c>
      <c r="CF469" t="str">
        <f t="shared" si="187"/>
        <v>NP</v>
      </c>
      <c r="CG469" t="str">
        <f t="shared" si="187"/>
        <v>VE</v>
      </c>
    </row>
    <row r="470" spans="1:85" ht="63" customHeight="1" x14ac:dyDescent="0.3">
      <c r="A470" s="298" t="s">
        <v>1353</v>
      </c>
      <c r="B470" s="299" t="str">
        <f>'PLAN INDICATIVO'!B470</f>
        <v>Ambiental</v>
      </c>
      <c r="C470" s="1548"/>
      <c r="D470" s="1552"/>
      <c r="E470" s="1552"/>
      <c r="F470" s="1552"/>
      <c r="G470" s="1552"/>
      <c r="H470" s="1552"/>
      <c r="I470" s="300">
        <f>'PLAN INDICATIVO'!I470</f>
        <v>0</v>
      </c>
      <c r="J470" s="375">
        <f>'PLAN INDICATIVO'!J470</f>
        <v>0</v>
      </c>
      <c r="K470" s="1428" t="str">
        <f>'PLAN INDICATIVO'!K470</f>
        <v>A.10.1.30</v>
      </c>
      <c r="L470" s="301" t="str">
        <f>'PLAN INDICATIVO'!L470</f>
        <v>15. Vida de ecosistemas terrestres</v>
      </c>
      <c r="M470" s="301" t="str">
        <f>'PLAN INDICATIVO'!M470</f>
        <v>Unidad de Desarrollo Rural</v>
      </c>
      <c r="N470" s="1513" t="s">
        <v>5127</v>
      </c>
      <c r="O470" s="1425" t="str">
        <f>'PLAN INDICATIVO'!O470</f>
        <v>Incremento</v>
      </c>
      <c r="P470" s="16" t="str">
        <f>'PLAN INDICATIVO'!P470</f>
        <v>Otorgar 4 Apoyos  para la implementación de viveros forestales en las instituciones Educativas durante el cuatrienio.</v>
      </c>
      <c r="Q470" s="302" t="str">
        <f>'PLAN INDICATIVO'!Q470</f>
        <v>No. De apoyos otorgados</v>
      </c>
      <c r="R470" s="351">
        <f>'PLAN INDICATIVO'!R470</f>
        <v>2015</v>
      </c>
      <c r="S470" s="304">
        <v>0</v>
      </c>
      <c r="T470" s="498">
        <v>4</v>
      </c>
      <c r="U470" s="572">
        <v>1</v>
      </c>
      <c r="V470" s="687">
        <v>500000</v>
      </c>
      <c r="W470" s="572">
        <v>1</v>
      </c>
      <c r="X470" s="687">
        <v>5000000</v>
      </c>
      <c r="Y470" s="572">
        <v>1</v>
      </c>
      <c r="Z470" s="687">
        <v>2000000</v>
      </c>
      <c r="AA470" s="1310">
        <v>1</v>
      </c>
      <c r="AB470" s="686">
        <v>5000000</v>
      </c>
      <c r="AC470" s="665"/>
      <c r="AD470" s="665">
        <v>1</v>
      </c>
      <c r="AE470" s="665">
        <v>1</v>
      </c>
      <c r="AF470" s="665">
        <v>1</v>
      </c>
      <c r="AG470" s="1359" t="s">
        <v>5158</v>
      </c>
      <c r="AH470" s="987">
        <v>2019413960011</v>
      </c>
      <c r="AI470" s="309" t="s">
        <v>5057</v>
      </c>
      <c r="AJ470" s="309">
        <v>43621</v>
      </c>
      <c r="AK470" s="838">
        <v>43813</v>
      </c>
      <c r="AL470" s="308"/>
      <c r="AM470" s="308"/>
      <c r="AN470" s="267" t="s">
        <v>2598</v>
      </c>
      <c r="AO470" s="507"/>
      <c r="AP470" s="972"/>
      <c r="AQ470" s="977"/>
      <c r="AR470" s="973"/>
      <c r="AS470" s="973"/>
      <c r="AT470" s="973"/>
      <c r="AU470" s="973"/>
      <c r="AV470" s="973"/>
      <c r="AW470" s="975"/>
      <c r="AX470" s="525"/>
      <c r="AY470" s="380"/>
      <c r="AZ470" s="310"/>
      <c r="BA470" s="310"/>
      <c r="BB470" s="310"/>
      <c r="BC470" s="310"/>
      <c r="BD470" s="310"/>
      <c r="BE470" s="544"/>
      <c r="BF470" s="525"/>
      <c r="BG470" s="380"/>
      <c r="BH470" s="310"/>
      <c r="BI470" s="310"/>
      <c r="BJ470" s="310"/>
      <c r="BK470" s="310"/>
      <c r="BL470" s="310"/>
      <c r="BM470" s="544">
        <f t="shared" si="188"/>
        <v>0</v>
      </c>
      <c r="BN470" s="525"/>
      <c r="BO470" s="380"/>
      <c r="BP470" s="310"/>
      <c r="BQ470" s="310"/>
      <c r="BR470" s="310"/>
      <c r="BS470" s="310"/>
      <c r="BT470" s="310"/>
      <c r="BU470" s="544"/>
      <c r="BV470" s="556"/>
      <c r="BW470" s="663">
        <f t="shared" si="182"/>
        <v>3</v>
      </c>
      <c r="BX470" s="1047">
        <f t="shared" si="189"/>
        <v>0.75</v>
      </c>
      <c r="BY470" s="1047">
        <f t="shared" si="183"/>
        <v>0</v>
      </c>
      <c r="BZ470" s="1047">
        <f t="shared" si="184"/>
        <v>1</v>
      </c>
      <c r="CA470" s="1047">
        <f t="shared" si="185"/>
        <v>1</v>
      </c>
      <c r="CB470" s="1047">
        <f t="shared" si="186"/>
        <v>1</v>
      </c>
      <c r="CD470" t="str">
        <f t="shared" si="187"/>
        <v>ROB</v>
      </c>
      <c r="CE470" t="str">
        <f t="shared" si="187"/>
        <v>VE</v>
      </c>
      <c r="CF470" t="str">
        <f t="shared" si="187"/>
        <v>VE</v>
      </c>
      <c r="CG470" t="str">
        <f t="shared" si="187"/>
        <v>VE</v>
      </c>
    </row>
    <row r="471" spans="1:85" s="3" customFormat="1" ht="78" hidden="1" customHeight="1" x14ac:dyDescent="0.25">
      <c r="A471" s="298" t="s">
        <v>1353</v>
      </c>
      <c r="B471" s="299" t="str">
        <f>'PLAN INDICATIVO'!B471</f>
        <v>Ambiental</v>
      </c>
      <c r="C471" s="1424"/>
      <c r="D471" s="1427"/>
      <c r="E471" s="1427"/>
      <c r="F471" s="1427"/>
      <c r="G471" s="1427"/>
      <c r="H471" s="1427"/>
      <c r="I471" s="300">
        <f>'PLAN INDICATIVO'!I471</f>
        <v>0</v>
      </c>
      <c r="J471" s="375">
        <f>'PLAN INDICATIVO'!J471</f>
        <v>0</v>
      </c>
      <c r="K471" s="1428" t="str">
        <f>'PLAN INDICATIVO'!K471</f>
        <v>A.10.1.31</v>
      </c>
      <c r="L471" s="301" t="str">
        <f>'PLAN INDICATIVO'!L471</f>
        <v>15. Vida de ecosistemas terrestres</v>
      </c>
      <c r="M471" s="301" t="str">
        <f>'PLAN INDICATIVO'!M471</f>
        <v>Unidad de Desarrollo Rural</v>
      </c>
      <c r="N471" s="1513" t="s">
        <v>5127</v>
      </c>
      <c r="O471" s="1425" t="str">
        <f>'PLAN INDICATIVO'!O471</f>
        <v>Incremento</v>
      </c>
      <c r="P471" s="16" t="str">
        <f>'PLAN INDICATIVO'!P471</f>
        <v>Implementar 1 programa de apoyo a los grupos asociativos que desarrollen actividades de reciclaje con fines comerciales y/o de protección ambiental en los centros poblados del municipio, durante el cuatrienio.</v>
      </c>
      <c r="Q471" s="352" t="str">
        <f>'PLAN INDICATIVO'!Q471</f>
        <v>No. De programas de apoyo implementados</v>
      </c>
      <c r="R471" s="351">
        <f>'PLAN INDICATIVO'!R471</f>
        <v>2015</v>
      </c>
      <c r="S471" s="304">
        <v>0</v>
      </c>
      <c r="T471" s="498">
        <v>1</v>
      </c>
      <c r="U471" s="572"/>
      <c r="V471" s="687">
        <v>5000000</v>
      </c>
      <c r="W471" s="572">
        <v>1</v>
      </c>
      <c r="X471" s="687">
        <v>1000000</v>
      </c>
      <c r="Y471" s="572"/>
      <c r="Z471" s="687"/>
      <c r="AA471" s="1310">
        <v>0.67</v>
      </c>
      <c r="AB471" s="686"/>
      <c r="AC471" s="665"/>
      <c r="AD471" s="665">
        <v>0.33</v>
      </c>
      <c r="AE471" s="665"/>
      <c r="AF471" s="665">
        <v>1</v>
      </c>
      <c r="AG471" s="1359" t="s">
        <v>5158</v>
      </c>
      <c r="AH471" s="987">
        <v>2019413960011</v>
      </c>
      <c r="AI471" s="309" t="s">
        <v>4954</v>
      </c>
      <c r="AJ471" s="309">
        <v>43621</v>
      </c>
      <c r="AK471" s="310">
        <v>43813</v>
      </c>
      <c r="AL471" s="310"/>
      <c r="AM471" s="310"/>
      <c r="AN471" s="267" t="s">
        <v>2594</v>
      </c>
      <c r="AO471" s="509"/>
      <c r="AP471" s="972"/>
      <c r="AQ471" s="973"/>
      <c r="AR471" s="973"/>
      <c r="AS471" s="973"/>
      <c r="AT471" s="973"/>
      <c r="AU471" s="973"/>
      <c r="AV471" s="973"/>
      <c r="AW471" s="975"/>
      <c r="AX471" s="525"/>
      <c r="AY471" s="310"/>
      <c r="AZ471" s="310"/>
      <c r="BA471" s="310"/>
      <c r="BB471" s="310"/>
      <c r="BC471" s="310"/>
      <c r="BD471" s="310"/>
      <c r="BE471" s="544"/>
      <c r="BF471" s="525"/>
      <c r="BG471" s="310"/>
      <c r="BH471" s="310"/>
      <c r="BI471" s="310"/>
      <c r="BJ471" s="310"/>
      <c r="BK471" s="310"/>
      <c r="BL471" s="310"/>
      <c r="BM471" s="544">
        <f t="shared" si="188"/>
        <v>0</v>
      </c>
      <c r="BN471" s="525"/>
      <c r="BO471" s="310"/>
      <c r="BP471" s="310"/>
      <c r="BQ471" s="310"/>
      <c r="BR471" s="310"/>
      <c r="BS471" s="310"/>
      <c r="BT471" s="310"/>
      <c r="BU471" s="544"/>
      <c r="BV471" s="648"/>
      <c r="BW471" s="663">
        <f t="shared" si="182"/>
        <v>1.33</v>
      </c>
      <c r="BX471" s="1047">
        <f t="shared" si="189"/>
        <v>1.33</v>
      </c>
      <c r="BY471" s="1047" t="str">
        <f t="shared" si="183"/>
        <v>No Programada</v>
      </c>
      <c r="BZ471" s="1047">
        <f t="shared" si="184"/>
        <v>0.33</v>
      </c>
      <c r="CA471" s="1047" t="str">
        <f t="shared" si="185"/>
        <v>No Programada</v>
      </c>
      <c r="CB471" s="1047">
        <f t="shared" si="186"/>
        <v>1.4925373134328357</v>
      </c>
      <c r="CC471" s="75"/>
      <c r="CD471" t="str">
        <f t="shared" si="187"/>
        <v>NP</v>
      </c>
      <c r="CE471" t="str">
        <f t="shared" si="187"/>
        <v>RO</v>
      </c>
      <c r="CF471" t="str">
        <f t="shared" si="187"/>
        <v>NP</v>
      </c>
      <c r="CG471" t="str">
        <f t="shared" si="187"/>
        <v>VE</v>
      </c>
    </row>
    <row r="472" spans="1:85" s="3" customFormat="1" ht="75.75" customHeight="1" thickBot="1" x14ac:dyDescent="0.35">
      <c r="A472" s="298" t="s">
        <v>1353</v>
      </c>
      <c r="B472" s="299" t="str">
        <f>'PLAN INDICATIVO'!B472</f>
        <v>Ambiental</v>
      </c>
      <c r="C472" s="1424"/>
      <c r="D472" s="1427"/>
      <c r="E472" s="1427"/>
      <c r="F472" s="1427"/>
      <c r="G472" s="1427"/>
      <c r="H472" s="1427"/>
      <c r="I472" s="300">
        <f>'PLAN INDICATIVO'!I472</f>
        <v>0</v>
      </c>
      <c r="J472" s="375">
        <f>'PLAN INDICATIVO'!J472</f>
        <v>0</v>
      </c>
      <c r="K472" s="1428" t="str">
        <f>'PLAN INDICATIVO'!K472</f>
        <v>A.10.1.32</v>
      </c>
      <c r="L472" s="301" t="str">
        <f>'PLAN INDICATIVO'!L472</f>
        <v>15. Vida de ecosistemas terrestres</v>
      </c>
      <c r="M472" s="301" t="str">
        <f>'PLAN INDICATIVO'!M472</f>
        <v>Unidad de Desarrollo Rural</v>
      </c>
      <c r="N472" s="1513" t="s">
        <v>5127</v>
      </c>
      <c r="O472" s="1425" t="str">
        <f>'PLAN INDICATIVO'!O472</f>
        <v>Incremento</v>
      </c>
      <c r="P472" s="16" t="str">
        <f>'PLAN INDICATIVO'!P472</f>
        <v>Diseñar 1 plan municipal de adaptación al cambio climático, durante el cuatrienio.</v>
      </c>
      <c r="Q472" s="352" t="str">
        <f>'PLAN INDICATIVO'!Q472</f>
        <v>No. de planes diseñados</v>
      </c>
      <c r="R472" s="351">
        <f>'PLAN INDICATIVO'!R472</f>
        <v>2015</v>
      </c>
      <c r="S472" s="304">
        <v>0</v>
      </c>
      <c r="T472" s="498">
        <v>1</v>
      </c>
      <c r="U472" s="572"/>
      <c r="V472" s="687"/>
      <c r="W472" s="572"/>
      <c r="X472" s="687"/>
      <c r="Y472" s="572"/>
      <c r="Z472" s="687">
        <v>1000000</v>
      </c>
      <c r="AA472" s="1310">
        <v>1</v>
      </c>
      <c r="AB472" s="686">
        <v>20000000</v>
      </c>
      <c r="AC472" s="665"/>
      <c r="AD472" s="665"/>
      <c r="AE472" s="665"/>
      <c r="AF472" s="665">
        <v>2</v>
      </c>
      <c r="AG472" s="1359" t="s">
        <v>5158</v>
      </c>
      <c r="AH472" s="987">
        <v>2019413960011</v>
      </c>
      <c r="AI472" s="1471" t="s">
        <v>4955</v>
      </c>
      <c r="AJ472" s="309"/>
      <c r="AK472" s="309"/>
      <c r="AL472" s="310"/>
      <c r="AM472" s="310"/>
      <c r="AN472" s="267" t="s">
        <v>2594</v>
      </c>
      <c r="AO472" s="507"/>
      <c r="AP472" s="525"/>
      <c r="AQ472" s="310"/>
      <c r="AR472" s="310"/>
      <c r="AS472" s="310"/>
      <c r="AT472" s="310"/>
      <c r="AU472" s="310"/>
      <c r="AV472" s="310"/>
      <c r="AW472" s="544"/>
      <c r="AX472" s="525"/>
      <c r="AY472" s="310"/>
      <c r="AZ472" s="310"/>
      <c r="BA472" s="310"/>
      <c r="BB472" s="310"/>
      <c r="BC472" s="310"/>
      <c r="BD472" s="310"/>
      <c r="BE472" s="544"/>
      <c r="BF472" s="525"/>
      <c r="BG472" s="310"/>
      <c r="BH472" s="310"/>
      <c r="BI472" s="310"/>
      <c r="BJ472" s="310"/>
      <c r="BK472" s="310"/>
      <c r="BL472" s="310"/>
      <c r="BM472" s="544">
        <f t="shared" si="188"/>
        <v>0</v>
      </c>
      <c r="BN472" s="525"/>
      <c r="BO472" s="310"/>
      <c r="BP472" s="310"/>
      <c r="BQ472" s="310"/>
      <c r="BR472" s="310"/>
      <c r="BS472" s="310"/>
      <c r="BT472" s="310"/>
      <c r="BU472" s="544"/>
      <c r="BV472" s="648"/>
      <c r="BW472" s="663">
        <f t="shared" si="182"/>
        <v>2</v>
      </c>
      <c r="BX472" s="1047">
        <f t="shared" si="189"/>
        <v>2</v>
      </c>
      <c r="BY472" s="1047" t="str">
        <f t="shared" si="183"/>
        <v>No Programada</v>
      </c>
      <c r="BZ472" s="1047" t="str">
        <f t="shared" si="184"/>
        <v>No Programada</v>
      </c>
      <c r="CA472" s="1047" t="str">
        <f t="shared" si="184"/>
        <v>No Programada</v>
      </c>
      <c r="CB472" s="1047">
        <f t="shared" si="186"/>
        <v>2</v>
      </c>
      <c r="CC472" s="75"/>
      <c r="CD472" t="str">
        <f t="shared" si="187"/>
        <v>NP</v>
      </c>
      <c r="CE472" t="str">
        <f t="shared" si="187"/>
        <v>NP</v>
      </c>
      <c r="CF472" t="str">
        <f t="shared" si="187"/>
        <v>NP</v>
      </c>
      <c r="CG472" t="str">
        <f t="shared" si="187"/>
        <v>VE</v>
      </c>
    </row>
    <row r="473" spans="1:85" ht="30.75" customHeight="1" thickBot="1" x14ac:dyDescent="0.35">
      <c r="A473" s="441"/>
      <c r="B473" s="442"/>
      <c r="C473" s="1590" t="s">
        <v>3086</v>
      </c>
      <c r="D473" s="1590"/>
      <c r="E473" s="1590"/>
      <c r="F473" s="1590"/>
      <c r="G473" s="1590"/>
      <c r="H473" s="1590"/>
      <c r="I473" s="1590"/>
      <c r="J473" s="1590"/>
      <c r="K473" s="1590"/>
      <c r="L473" s="1590"/>
      <c r="M473" s="1590"/>
      <c r="N473" s="1590"/>
      <c r="O473" s="1590"/>
      <c r="P473" s="1590"/>
      <c r="Q473" s="1590"/>
      <c r="R473" s="1590"/>
      <c r="S473" s="1590"/>
      <c r="T473" s="1590"/>
      <c r="U473" s="1590"/>
      <c r="V473" s="1590"/>
      <c r="W473" s="1590"/>
      <c r="X473" s="1590"/>
      <c r="Y473" s="1590"/>
      <c r="Z473" s="1590"/>
      <c r="AA473" s="1590"/>
      <c r="AB473" s="1590"/>
      <c r="AC473" s="1590"/>
      <c r="AD473" s="1590"/>
      <c r="AE473" s="1590"/>
      <c r="AF473" s="1590"/>
      <c r="AG473" s="1754"/>
      <c r="AH473" s="1754"/>
      <c r="AI473" s="1754"/>
      <c r="AJ473" s="1754"/>
      <c r="AK473" s="1590"/>
      <c r="AL473" s="1590"/>
      <c r="AM473" s="1591"/>
      <c r="AN473" s="435"/>
      <c r="AO473" s="505"/>
      <c r="AP473" s="541"/>
      <c r="AQ473" s="542"/>
      <c r="AR473" s="542"/>
      <c r="AS473" s="542"/>
      <c r="AT473" s="542"/>
      <c r="AU473" s="542"/>
      <c r="AV473" s="542"/>
      <c r="AW473" s="543"/>
      <c r="AX473" s="541"/>
      <c r="AY473" s="542"/>
      <c r="AZ473" s="542"/>
      <c r="BA473" s="542"/>
      <c r="BB473" s="542"/>
      <c r="BC473" s="542"/>
      <c r="BD473" s="542"/>
      <c r="BE473" s="543"/>
      <c r="BF473" s="541"/>
      <c r="BG473" s="542"/>
      <c r="BH473" s="542"/>
      <c r="BI473" s="542"/>
      <c r="BJ473" s="542"/>
      <c r="BK473" s="542"/>
      <c r="BL473" s="542"/>
      <c r="BM473" s="543">
        <f t="shared" si="188"/>
        <v>0</v>
      </c>
      <c r="BN473" s="541"/>
      <c r="BO473" s="542"/>
      <c r="BP473" s="542"/>
      <c r="BQ473" s="542"/>
      <c r="BR473" s="542"/>
      <c r="BS473" s="542"/>
      <c r="BT473" s="542"/>
      <c r="BU473" s="543"/>
      <c r="BV473" s="556"/>
      <c r="BW473" s="543" t="s">
        <v>2717</v>
      </c>
      <c r="BX473" s="543" t="s">
        <v>2717</v>
      </c>
      <c r="BY473" s="543" t="s">
        <v>2717</v>
      </c>
      <c r="BZ473" s="543" t="s">
        <v>2717</v>
      </c>
      <c r="CA473" s="543" t="s">
        <v>2717</v>
      </c>
      <c r="CB473" s="1047" t="s">
        <v>2717</v>
      </c>
    </row>
    <row r="474" spans="1:85" ht="35.25" customHeight="1" x14ac:dyDescent="0.3">
      <c r="A474" s="296"/>
      <c r="B474" s="331" t="str">
        <f>'PLAN INDICATIVO'!B474</f>
        <v>Prevención y atención de desastres</v>
      </c>
      <c r="C474" s="1592" t="s">
        <v>1449</v>
      </c>
      <c r="D474" s="1593"/>
      <c r="E474" s="1593"/>
      <c r="F474" s="1593"/>
      <c r="G474" s="1593"/>
      <c r="H474" s="1593"/>
      <c r="I474" s="1593"/>
      <c r="J474" s="1593"/>
      <c r="K474" s="1593"/>
      <c r="L474" s="1593"/>
      <c r="M474" s="1593"/>
      <c r="N474" s="1593"/>
      <c r="O474" s="1594"/>
      <c r="P474" s="318"/>
      <c r="Q474" s="318"/>
      <c r="R474" s="317"/>
      <c r="S474" s="319"/>
      <c r="T474" s="676"/>
      <c r="U474" s="319"/>
      <c r="V474" s="695">
        <f>SUM(V475:V481)</f>
        <v>16300000</v>
      </c>
      <c r="W474" s="319"/>
      <c r="X474" s="695">
        <f>SUM(X475:X481)</f>
        <v>26000000</v>
      </c>
      <c r="Y474" s="319"/>
      <c r="Z474" s="695">
        <f>SUM(Z475:Z481)</f>
        <v>34000000</v>
      </c>
      <c r="AA474" s="320"/>
      <c r="AB474" s="708">
        <f>SUM(AB475:AB481)</f>
        <v>62000000</v>
      </c>
      <c r="AC474" s="320"/>
      <c r="AD474" s="320"/>
      <c r="AE474" s="320"/>
      <c r="AF474" s="320"/>
      <c r="AG474" s="321"/>
      <c r="AH474" s="321"/>
      <c r="AI474" s="321"/>
      <c r="AJ474" s="320"/>
      <c r="AK474" s="320"/>
      <c r="AL474" s="320"/>
      <c r="AM474" s="320"/>
      <c r="AN474" s="262"/>
      <c r="AO474" s="612"/>
      <c r="AP474" s="616"/>
      <c r="AQ474" s="616"/>
      <c r="AR474" s="616"/>
      <c r="AS474" s="616"/>
      <c r="AT474" s="616"/>
      <c r="AU474" s="616"/>
      <c r="AV474" s="616"/>
      <c r="AW474" s="617"/>
      <c r="AX474" s="616"/>
      <c r="AY474" s="616"/>
      <c r="AZ474" s="616"/>
      <c r="BA474" s="616"/>
      <c r="BB474" s="616"/>
      <c r="BC474" s="616"/>
      <c r="BD474" s="616"/>
      <c r="BE474" s="617"/>
      <c r="BF474" s="616"/>
      <c r="BG474" s="616"/>
      <c r="BH474" s="616"/>
      <c r="BI474" s="616"/>
      <c r="BJ474" s="616"/>
      <c r="BK474" s="616"/>
      <c r="BL474" s="616"/>
      <c r="BM474" s="617">
        <f t="shared" si="188"/>
        <v>0</v>
      </c>
      <c r="BN474" s="616"/>
      <c r="BO474" s="616"/>
      <c r="BP474" s="616"/>
      <c r="BQ474" s="616"/>
      <c r="BR474" s="616"/>
      <c r="BS474" s="616"/>
      <c r="BT474" s="616"/>
      <c r="BU474" s="617"/>
      <c r="BV474" s="556"/>
      <c r="BW474" s="617" t="s">
        <v>2717</v>
      </c>
      <c r="BX474" s="617" t="s">
        <v>2717</v>
      </c>
      <c r="BY474" s="617" t="s">
        <v>2717</v>
      </c>
      <c r="BZ474" s="617" t="s">
        <v>2717</v>
      </c>
      <c r="CA474" s="617" t="s">
        <v>2717</v>
      </c>
      <c r="CB474" s="1047" t="s">
        <v>2717</v>
      </c>
    </row>
    <row r="475" spans="1:85" ht="78" hidden="1" customHeight="1" x14ac:dyDescent="0.25">
      <c r="A475" s="298" t="s">
        <v>1450</v>
      </c>
      <c r="B475" s="299" t="str">
        <f>'PLAN INDICATIVO'!B475</f>
        <v>Prevención y atención de desastres</v>
      </c>
      <c r="C475" s="1546" t="s">
        <v>1451</v>
      </c>
      <c r="D475" s="1550" t="s">
        <v>1452</v>
      </c>
      <c r="E475" s="1550" t="s">
        <v>1453</v>
      </c>
      <c r="F475" s="1550">
        <v>2015</v>
      </c>
      <c r="G475" s="1550" t="s">
        <v>177</v>
      </c>
      <c r="H475" s="1550">
        <v>20</v>
      </c>
      <c r="I475" s="300">
        <f>'PLAN INDICATIVO'!I475</f>
        <v>0</v>
      </c>
      <c r="J475" s="300">
        <f>'PLAN INDICATIVO'!J475</f>
        <v>0</v>
      </c>
      <c r="K475" s="1425" t="str">
        <f>'PLAN INDICATIVO'!K475</f>
        <v>A.12.1.1</v>
      </c>
      <c r="L475" s="301" t="str">
        <f>'PLAN INDICATIVO'!L475</f>
        <v>11. Ciudades y comunidades sostenibles</v>
      </c>
      <c r="M475" s="301" t="s">
        <v>1102</v>
      </c>
      <c r="N475" s="1425" t="s">
        <v>5123</v>
      </c>
      <c r="O475" s="1425" t="str">
        <f>'PLAN INDICATIVO'!O475</f>
        <v>Incremento</v>
      </c>
      <c r="P475" s="16" t="str">
        <f>'PLAN INDICATIVO'!P475</f>
        <v>Realizar 1 inventario de viviendas y personas que se encuentren en alto riesgo, durante el cuatrienio</v>
      </c>
      <c r="Q475" s="302" t="str">
        <f>'PLAN INDICATIVO'!Q475</f>
        <v>No. de inventarios realizados</v>
      </c>
      <c r="R475" s="351">
        <f>'PLAN INDICATIVO'!R475</f>
        <v>2015</v>
      </c>
      <c r="S475" s="304">
        <v>0</v>
      </c>
      <c r="T475" s="498">
        <v>1</v>
      </c>
      <c r="U475" s="303">
        <v>1</v>
      </c>
      <c r="V475" s="687">
        <v>4000000</v>
      </c>
      <c r="W475" s="572">
        <v>1</v>
      </c>
      <c r="X475" s="687">
        <v>1000000</v>
      </c>
      <c r="Y475" s="572"/>
      <c r="Z475" s="687"/>
      <c r="AA475" s="1310"/>
      <c r="AB475" s="687"/>
      <c r="AC475" s="665">
        <v>0</v>
      </c>
      <c r="AD475" s="665">
        <v>1</v>
      </c>
      <c r="AE475" s="665"/>
      <c r="AF475" s="665"/>
      <c r="AG475" s="306" t="s">
        <v>5160</v>
      </c>
      <c r="AH475" s="987">
        <v>2019413960025</v>
      </c>
      <c r="AI475" s="307"/>
      <c r="AJ475" s="309"/>
      <c r="AK475" s="838"/>
      <c r="AL475" s="308"/>
      <c r="AM475" s="308"/>
      <c r="AN475" s="267" t="s">
        <v>2594</v>
      </c>
      <c r="AO475" s="507"/>
      <c r="AP475" s="525"/>
      <c r="AQ475" s="310"/>
      <c r="AR475" s="310"/>
      <c r="AS475" s="310"/>
      <c r="AT475" s="310"/>
      <c r="AU475" s="310"/>
      <c r="AV475" s="310"/>
      <c r="AW475" s="544"/>
      <c r="AX475" s="525"/>
      <c r="AY475" s="310"/>
      <c r="AZ475" s="310"/>
      <c r="BA475" s="310"/>
      <c r="BB475" s="310"/>
      <c r="BC475" s="310"/>
      <c r="BD475" s="310"/>
      <c r="BE475" s="544"/>
      <c r="BF475" s="525"/>
      <c r="BG475" s="310"/>
      <c r="BH475" s="310"/>
      <c r="BI475" s="310"/>
      <c r="BJ475" s="310"/>
      <c r="BK475" s="310"/>
      <c r="BL475" s="310"/>
      <c r="BM475" s="544">
        <f t="shared" si="188"/>
        <v>0</v>
      </c>
      <c r="BN475" s="525"/>
      <c r="BO475" s="310"/>
      <c r="BP475" s="310"/>
      <c r="BQ475" s="310"/>
      <c r="BR475" s="310"/>
      <c r="BS475" s="310"/>
      <c r="BT475" s="310"/>
      <c r="BU475" s="544"/>
      <c r="BV475" s="556"/>
      <c r="BW475" s="663">
        <f t="shared" si="182"/>
        <v>1</v>
      </c>
      <c r="BX475" s="1047">
        <f t="shared" si="189"/>
        <v>1</v>
      </c>
      <c r="BY475" s="1047">
        <f t="shared" ref="BY475:BY481" si="190">IF(U475&gt;=0.1,AC475/U475,IF(ISBLANK(U475),"No Programada","Aplazada"))</f>
        <v>0</v>
      </c>
      <c r="BZ475" s="1047">
        <f t="shared" ref="BZ475:CA481" si="191">IF(W475&gt;=0.1,AD475/W475,IF(ISBLANK(W475),"No Programada","Aplazada"))</f>
        <v>1</v>
      </c>
      <c r="CA475" s="1047" t="str">
        <f t="shared" ref="CA475:CA481" si="192">IF(Y475&gt;=0.1,AE475/Y475,IF(ISBLANK(Y475),"No Programada","Aplazada"))</f>
        <v>No Programada</v>
      </c>
      <c r="CB475" s="1047" t="str">
        <f t="shared" ref="CB475:CB483" si="193">IF(AA475&gt;=0.1,AF475/AA475,IF(ISBLANK(AA475),"No Programada","Aplazada"))</f>
        <v>No Programada</v>
      </c>
      <c r="CD475" t="str">
        <f t="shared" ref="CD475:CG481" si="194">IF(BY475="PARA MODIFICAR","M",IF(BY475="PARA ELIMINAR","E",IF(BY475="aplazada","AZ",IF(BY475="no programada","NP",IF(BY475&gt;=85%,"VE",IF(BY475&gt;70%,"VEB",IF(BY475&gt;60%,"AM",IF(BY475&gt;40%,"AMB",IF(BY475&gt;20%,"RO",IF(BY475&gt;=0%,"ROB",""))))))))))</f>
        <v>ROB</v>
      </c>
      <c r="CE475" t="str">
        <f t="shared" si="194"/>
        <v>VE</v>
      </c>
      <c r="CF475" t="str">
        <f t="shared" si="194"/>
        <v>NP</v>
      </c>
      <c r="CG475" t="str">
        <f t="shared" si="194"/>
        <v>NP</v>
      </c>
    </row>
    <row r="476" spans="1:85" ht="74.25" customHeight="1" x14ac:dyDescent="0.3">
      <c r="A476" s="298" t="s">
        <v>1450</v>
      </c>
      <c r="B476" s="299" t="str">
        <f>'PLAN INDICATIVO'!B476</f>
        <v>Prevención y atención de desastres</v>
      </c>
      <c r="C476" s="1547"/>
      <c r="D476" s="1551"/>
      <c r="E476" s="1551"/>
      <c r="F476" s="1551"/>
      <c r="G476" s="1551"/>
      <c r="H476" s="1551"/>
      <c r="I476" s="1425" t="str">
        <f>'PLAN INDICATIVO'!I476</f>
        <v>SI</v>
      </c>
      <c r="J476" s="1425">
        <f>'PLAN INDICATIVO'!J476</f>
        <v>0</v>
      </c>
      <c r="K476" s="1425" t="str">
        <f>'PLAN INDICATIVO'!K476</f>
        <v>A.12.1.2</v>
      </c>
      <c r="L476" s="301" t="str">
        <f>'PLAN INDICATIVO'!L476</f>
        <v>11. Ciudades y comunidades sostenibles</v>
      </c>
      <c r="M476" s="301" t="s">
        <v>1102</v>
      </c>
      <c r="N476" s="1513" t="s">
        <v>5123</v>
      </c>
      <c r="O476" s="1425" t="str">
        <f>'PLAN INDICATIVO'!O476</f>
        <v>Incremento</v>
      </c>
      <c r="P476" s="16" t="str">
        <f>'PLAN INDICATIVO'!P476</f>
        <v xml:space="preserve">Construir 1 centro de operaciones de emergencias durante el cuatrienio garantizandole los servicios públicos </v>
      </c>
      <c r="Q476" s="302" t="str">
        <f>'PLAN INDICATIVO'!Q476</f>
        <v>No. De centros de operación construidos</v>
      </c>
      <c r="R476" s="303">
        <f>'PLAN INDICATIVO'!R476</f>
        <v>2015</v>
      </c>
      <c r="S476" s="304">
        <v>0</v>
      </c>
      <c r="T476" s="498">
        <v>1</v>
      </c>
      <c r="U476" s="303">
        <v>1</v>
      </c>
      <c r="V476" s="687">
        <v>1000000</v>
      </c>
      <c r="W476" s="572">
        <v>1</v>
      </c>
      <c r="X476" s="687">
        <v>2000000</v>
      </c>
      <c r="Y476" s="572"/>
      <c r="Z476" s="687"/>
      <c r="AA476" s="1310">
        <v>0.1</v>
      </c>
      <c r="AB476" s="687">
        <v>2000000</v>
      </c>
      <c r="AC476" s="665"/>
      <c r="AD476" s="665">
        <v>0.9</v>
      </c>
      <c r="AE476" s="665"/>
      <c r="AF476" s="665"/>
      <c r="AG476" s="306" t="s">
        <v>5160</v>
      </c>
      <c r="AH476" s="987">
        <v>2019413960025</v>
      </c>
      <c r="AI476" s="307"/>
      <c r="AJ476" s="309">
        <v>43497</v>
      </c>
      <c r="AK476" s="335">
        <v>43676</v>
      </c>
      <c r="AL476" s="308"/>
      <c r="AM476" s="308"/>
      <c r="AN476" s="267" t="s">
        <v>2594</v>
      </c>
      <c r="AO476" s="507"/>
      <c r="AP476" s="525"/>
      <c r="AQ476" s="310"/>
      <c r="AR476" s="310"/>
      <c r="AS476" s="310"/>
      <c r="AT476" s="310"/>
      <c r="AU476" s="310"/>
      <c r="AV476" s="310"/>
      <c r="AW476" s="544"/>
      <c r="AX476" s="525"/>
      <c r="AY476" s="310"/>
      <c r="AZ476" s="310"/>
      <c r="BA476" s="310"/>
      <c r="BB476" s="310"/>
      <c r="BC476" s="310"/>
      <c r="BD476" s="310"/>
      <c r="BE476" s="544"/>
      <c r="BF476" s="525"/>
      <c r="BG476" s="310"/>
      <c r="BH476" s="310"/>
      <c r="BI476" s="310"/>
      <c r="BJ476" s="310"/>
      <c r="BK476" s="310"/>
      <c r="BL476" s="310"/>
      <c r="BM476" s="544">
        <f t="shared" si="188"/>
        <v>0</v>
      </c>
      <c r="BN476" s="525"/>
      <c r="BO476" s="310"/>
      <c r="BP476" s="310"/>
      <c r="BQ476" s="310"/>
      <c r="BR476" s="310"/>
      <c r="BS476" s="310"/>
      <c r="BT476" s="310"/>
      <c r="BU476" s="544"/>
      <c r="BV476" s="556"/>
      <c r="BW476" s="663">
        <f t="shared" si="182"/>
        <v>0.9</v>
      </c>
      <c r="BX476" s="1047">
        <f t="shared" si="189"/>
        <v>0.9</v>
      </c>
      <c r="BY476" s="1047">
        <f t="shared" si="190"/>
        <v>0</v>
      </c>
      <c r="BZ476" s="1047">
        <f t="shared" si="191"/>
        <v>0.9</v>
      </c>
      <c r="CA476" s="1047" t="str">
        <f t="shared" si="192"/>
        <v>No Programada</v>
      </c>
      <c r="CB476" s="1047">
        <f t="shared" si="193"/>
        <v>0</v>
      </c>
      <c r="CD476" t="str">
        <f t="shared" si="194"/>
        <v>ROB</v>
      </c>
      <c r="CE476" t="str">
        <f t="shared" si="194"/>
        <v>VE</v>
      </c>
      <c r="CF476" t="str">
        <f t="shared" si="194"/>
        <v>NP</v>
      </c>
      <c r="CG476" t="str">
        <f t="shared" si="194"/>
        <v>ROB</v>
      </c>
    </row>
    <row r="477" spans="1:85" ht="61.5" hidden="1" customHeight="1" x14ac:dyDescent="0.25">
      <c r="A477" s="298" t="s">
        <v>1450</v>
      </c>
      <c r="B477" s="299" t="str">
        <f>'PLAN INDICATIVO'!B477</f>
        <v>Prevención y atención de desastres</v>
      </c>
      <c r="C477" s="1547"/>
      <c r="D477" s="1551"/>
      <c r="E477" s="1551"/>
      <c r="F477" s="1551"/>
      <c r="G477" s="1551"/>
      <c r="H477" s="1551"/>
      <c r="I477" s="300">
        <f>'PLAN INDICATIVO'!I477</f>
        <v>0</v>
      </c>
      <c r="J477" s="300">
        <f>'PLAN INDICATIVO'!J477</f>
        <v>0</v>
      </c>
      <c r="K477" s="1425" t="str">
        <f>'PLAN INDICATIVO'!K477</f>
        <v>A.12.1.3</v>
      </c>
      <c r="L477" s="301" t="str">
        <f>'PLAN INDICATIVO'!L477</f>
        <v>11. Ciudades y comunidades sostenibles</v>
      </c>
      <c r="M477" s="301" t="s">
        <v>1102</v>
      </c>
      <c r="N477" s="1513" t="s">
        <v>5123</v>
      </c>
      <c r="O477" s="1425" t="str">
        <f>'PLAN INDICATIVO'!O477</f>
        <v>Incremento</v>
      </c>
      <c r="P477" s="16" t="str">
        <f>'PLAN INDICATIVO'!P477</f>
        <v>Realizar 1 canalización a la Quebrada Zapatero, para mitigación de riesgos, durante el cuatrienio</v>
      </c>
      <c r="Q477" s="302" t="str">
        <f>'PLAN INDICATIVO'!Q477</f>
        <v>No. De canalizaciones realizadas</v>
      </c>
      <c r="R477" s="351">
        <f>'PLAN INDICATIVO'!R477</f>
        <v>2015</v>
      </c>
      <c r="S477" s="304">
        <v>0</v>
      </c>
      <c r="T477" s="498">
        <v>1</v>
      </c>
      <c r="U477" s="303">
        <v>0.5</v>
      </c>
      <c r="V477" s="687">
        <v>500000</v>
      </c>
      <c r="W477" s="572"/>
      <c r="X477" s="687"/>
      <c r="Y477" s="572"/>
      <c r="Z477" s="687"/>
      <c r="AA477" s="1310"/>
      <c r="AB477" s="687"/>
      <c r="AC477" s="665"/>
      <c r="AD477" s="667">
        <v>0.5</v>
      </c>
      <c r="AE477" s="665"/>
      <c r="AF477" s="665"/>
      <c r="AG477" s="306" t="s">
        <v>5160</v>
      </c>
      <c r="AH477" s="987">
        <v>2019413960025</v>
      </c>
      <c r="AI477" s="336"/>
      <c r="AJ477" s="309"/>
      <c r="AK477" s="335"/>
      <c r="AL477" s="308"/>
      <c r="AM477" s="308"/>
      <c r="AN477" s="267" t="s">
        <v>2594</v>
      </c>
      <c r="AO477" s="507"/>
      <c r="AP477" s="525"/>
      <c r="AQ477" s="310"/>
      <c r="AR477" s="310"/>
      <c r="AS477" s="310"/>
      <c r="AT477" s="310"/>
      <c r="AU477" s="310"/>
      <c r="AV477" s="310"/>
      <c r="AW477" s="544"/>
      <c r="AX477" s="525"/>
      <c r="AY477" s="310"/>
      <c r="AZ477" s="310"/>
      <c r="BA477" s="310"/>
      <c r="BB477" s="310"/>
      <c r="BC477" s="310"/>
      <c r="BD477" s="310"/>
      <c r="BE477" s="544"/>
      <c r="BF477" s="525"/>
      <c r="BG477" s="310"/>
      <c r="BH477" s="310"/>
      <c r="BI477" s="310"/>
      <c r="BJ477" s="310"/>
      <c r="BK477" s="310"/>
      <c r="BL477" s="310"/>
      <c r="BM477" s="544">
        <f t="shared" si="188"/>
        <v>0</v>
      </c>
      <c r="BN477" s="525"/>
      <c r="BO477" s="310"/>
      <c r="BP477" s="310"/>
      <c r="BQ477" s="310"/>
      <c r="BR477" s="310"/>
      <c r="BS477" s="310"/>
      <c r="BT477" s="310"/>
      <c r="BU477" s="544"/>
      <c r="BV477" s="556"/>
      <c r="BW477" s="663">
        <f t="shared" si="182"/>
        <v>0.5</v>
      </c>
      <c r="BX477" s="1047">
        <f t="shared" si="189"/>
        <v>0.5</v>
      </c>
      <c r="BY477" s="1047">
        <f t="shared" si="190"/>
        <v>0</v>
      </c>
      <c r="BZ477" s="1047" t="str">
        <f t="shared" si="191"/>
        <v>No Programada</v>
      </c>
      <c r="CA477" s="1047" t="str">
        <f t="shared" si="192"/>
        <v>No Programada</v>
      </c>
      <c r="CB477" s="1047" t="str">
        <f t="shared" si="193"/>
        <v>No Programada</v>
      </c>
      <c r="CD477" t="str">
        <f t="shared" si="194"/>
        <v>ROB</v>
      </c>
      <c r="CE477" t="str">
        <f t="shared" si="194"/>
        <v>NP</v>
      </c>
      <c r="CF477" t="str">
        <f t="shared" si="194"/>
        <v>NP</v>
      </c>
      <c r="CG477" t="str">
        <f t="shared" si="194"/>
        <v>NP</v>
      </c>
    </row>
    <row r="478" spans="1:85" ht="63" customHeight="1" x14ac:dyDescent="0.3">
      <c r="A478" s="298" t="s">
        <v>1450</v>
      </c>
      <c r="B478" s="299" t="str">
        <f>'PLAN INDICATIVO'!B478</f>
        <v>Prevención y atención de desastres</v>
      </c>
      <c r="C478" s="1547"/>
      <c r="D478" s="1551"/>
      <c r="E478" s="1551"/>
      <c r="F478" s="1551"/>
      <c r="G478" s="1551"/>
      <c r="H478" s="1551"/>
      <c r="I478" s="300">
        <f>'PLAN INDICATIVO'!I478</f>
        <v>0</v>
      </c>
      <c r="J478" s="300">
        <f>'PLAN INDICATIVO'!J478</f>
        <v>0</v>
      </c>
      <c r="K478" s="1425" t="str">
        <f>'PLAN INDICATIVO'!K478</f>
        <v>A.12.1.4</v>
      </c>
      <c r="L478" s="301" t="str">
        <f>'PLAN INDICATIVO'!L478</f>
        <v>11. Ciudades y comunidades sostenibles</v>
      </c>
      <c r="M478" s="301" t="s">
        <v>1102</v>
      </c>
      <c r="N478" s="1513" t="s">
        <v>5123</v>
      </c>
      <c r="O478" s="1425" t="str">
        <f>'PLAN INDICATIVO'!O478</f>
        <v>Mantenimiento</v>
      </c>
      <c r="P478" s="16" t="str">
        <f>'PLAN INDICATIVO'!P478</f>
        <v>Realizar 3 reuniones ordinarias del Comité Local de Emergencias  cada año</v>
      </c>
      <c r="Q478" s="302" t="str">
        <f>'PLAN INDICATIVO'!Q478</f>
        <v>No. De reuniones del comité local por año</v>
      </c>
      <c r="R478" s="351">
        <f>'PLAN INDICATIVO'!R478</f>
        <v>2015</v>
      </c>
      <c r="S478" s="304">
        <v>0</v>
      </c>
      <c r="T478" s="498">
        <v>3</v>
      </c>
      <c r="U478" s="303">
        <v>3</v>
      </c>
      <c r="V478" s="839">
        <v>3500000</v>
      </c>
      <c r="W478" s="572">
        <v>3</v>
      </c>
      <c r="X478" s="687">
        <v>1000000</v>
      </c>
      <c r="Y478" s="572">
        <v>3</v>
      </c>
      <c r="Z478" s="687">
        <v>5000000</v>
      </c>
      <c r="AA478" s="1310">
        <v>3</v>
      </c>
      <c r="AB478" s="687">
        <v>7000000</v>
      </c>
      <c r="AC478" s="665"/>
      <c r="AD478" s="665">
        <v>16</v>
      </c>
      <c r="AE478" s="665">
        <v>11</v>
      </c>
      <c r="AF478" s="665">
        <v>11</v>
      </c>
      <c r="AG478" s="306" t="s">
        <v>5160</v>
      </c>
      <c r="AH478" s="987">
        <v>2019413960025</v>
      </c>
      <c r="AI478" s="307"/>
      <c r="AJ478" s="309">
        <v>43497</v>
      </c>
      <c r="AK478" s="335">
        <v>43799</v>
      </c>
      <c r="AL478" s="308"/>
      <c r="AM478" s="308"/>
      <c r="AN478" s="267" t="s">
        <v>2598</v>
      </c>
      <c r="AO478" s="507"/>
      <c r="AP478" s="525"/>
      <c r="AQ478" s="310"/>
      <c r="AR478" s="310"/>
      <c r="AS478" s="310"/>
      <c r="AT478" s="310"/>
      <c r="AU478" s="310"/>
      <c r="AV478" s="310"/>
      <c r="AW478" s="544"/>
      <c r="AX478" s="525"/>
      <c r="AY478" s="310"/>
      <c r="AZ478" s="310"/>
      <c r="BA478" s="310"/>
      <c r="BB478" s="310"/>
      <c r="BC478" s="310"/>
      <c r="BD478" s="310"/>
      <c r="BE478" s="544"/>
      <c r="BF478" s="525"/>
      <c r="BG478" s="310"/>
      <c r="BH478" s="310"/>
      <c r="BI478" s="310"/>
      <c r="BJ478" s="310"/>
      <c r="BK478" s="310"/>
      <c r="BL478" s="310"/>
      <c r="BM478" s="544">
        <f t="shared" si="188"/>
        <v>0</v>
      </c>
      <c r="BN478" s="525"/>
      <c r="BO478" s="310"/>
      <c r="BP478" s="310"/>
      <c r="BQ478" s="310"/>
      <c r="BR478" s="310"/>
      <c r="BS478" s="310"/>
      <c r="BT478" s="310"/>
      <c r="BU478" s="544"/>
      <c r="BV478" s="556"/>
      <c r="BW478" s="663">
        <f t="shared" si="182"/>
        <v>38</v>
      </c>
      <c r="BX478" s="1047">
        <f t="shared" si="189"/>
        <v>12.666666666666666</v>
      </c>
      <c r="BY478" s="1047">
        <f t="shared" si="190"/>
        <v>0</v>
      </c>
      <c r="BZ478" s="1047">
        <f t="shared" si="191"/>
        <v>5.333333333333333</v>
      </c>
      <c r="CA478" s="1047">
        <f t="shared" si="192"/>
        <v>3.6666666666666665</v>
      </c>
      <c r="CB478" s="1047">
        <f t="shared" si="193"/>
        <v>3.6666666666666665</v>
      </c>
      <c r="CD478" t="str">
        <f t="shared" si="194"/>
        <v>ROB</v>
      </c>
      <c r="CE478" t="str">
        <f t="shared" si="194"/>
        <v>VE</v>
      </c>
      <c r="CF478" t="str">
        <f t="shared" si="194"/>
        <v>VE</v>
      </c>
      <c r="CG478" t="str">
        <f t="shared" si="194"/>
        <v>VE</v>
      </c>
    </row>
    <row r="479" spans="1:85" ht="71.25" hidden="1" customHeight="1" x14ac:dyDescent="0.25">
      <c r="A479" s="298" t="s">
        <v>1450</v>
      </c>
      <c r="B479" s="299" t="str">
        <f>'PLAN INDICATIVO'!B479</f>
        <v>Prevención y atención de desastres</v>
      </c>
      <c r="C479" s="1547"/>
      <c r="D479" s="1551"/>
      <c r="E479" s="1551"/>
      <c r="F479" s="1551"/>
      <c r="G479" s="1551"/>
      <c r="H479" s="1551"/>
      <c r="I479" s="300">
        <f>'PLAN INDICATIVO'!I479</f>
        <v>0</v>
      </c>
      <c r="J479" s="300">
        <f>'PLAN INDICATIVO'!J479</f>
        <v>0</v>
      </c>
      <c r="K479" s="1425" t="str">
        <f>'PLAN INDICATIVO'!K479</f>
        <v>A.12.1.5</v>
      </c>
      <c r="L479" s="301" t="str">
        <f>'PLAN INDICATIVO'!L479</f>
        <v>11. Ciudades y comunidades sostenibles</v>
      </c>
      <c r="M479" s="301" t="s">
        <v>1102</v>
      </c>
      <c r="N479" s="1513" t="s">
        <v>5123</v>
      </c>
      <c r="O479" s="1425" t="str">
        <f>'PLAN INDICATIVO'!O479</f>
        <v>Incremento</v>
      </c>
      <c r="P479" s="16" t="str">
        <f>'PLAN INDICATIVO'!P479</f>
        <v>Instalar 1 sistema de alarma hidrométrica durante el cuatrienio</v>
      </c>
      <c r="Q479" s="302" t="str">
        <f>'PLAN INDICATIVO'!Q479</f>
        <v xml:space="preserve">No. De sistemas instalados </v>
      </c>
      <c r="R479" s="351">
        <f>'PLAN INDICATIVO'!R479</f>
        <v>2015</v>
      </c>
      <c r="S479" s="304">
        <v>0</v>
      </c>
      <c r="T479" s="498">
        <v>1</v>
      </c>
      <c r="U479" s="303"/>
      <c r="V479" s="687">
        <v>0</v>
      </c>
      <c r="W479" s="572">
        <v>0.5</v>
      </c>
      <c r="X479" s="687"/>
      <c r="Y479" s="572"/>
      <c r="Z479" s="687">
        <v>5000000</v>
      </c>
      <c r="AA479" s="1310">
        <v>0.5</v>
      </c>
      <c r="AB479" s="687"/>
      <c r="AC479" s="665"/>
      <c r="AD479" s="665">
        <v>0.5</v>
      </c>
      <c r="AE479" s="665"/>
      <c r="AF479" s="665"/>
      <c r="AG479" s="306" t="s">
        <v>5160</v>
      </c>
      <c r="AH479" s="987">
        <v>2019413960025</v>
      </c>
      <c r="AI479" s="307"/>
      <c r="AJ479" s="309">
        <v>43497</v>
      </c>
      <c r="AK479" s="838">
        <v>43799</v>
      </c>
      <c r="AL479" s="308"/>
      <c r="AM479" s="308"/>
      <c r="AN479" s="267" t="s">
        <v>2594</v>
      </c>
      <c r="AO479" s="507"/>
      <c r="AP479" s="525"/>
      <c r="AQ479" s="310"/>
      <c r="AR479" s="310"/>
      <c r="AS479" s="310"/>
      <c r="AT479" s="310"/>
      <c r="AU479" s="310"/>
      <c r="AV479" s="310"/>
      <c r="AW479" s="544"/>
      <c r="AX479" s="525"/>
      <c r="AY479" s="310"/>
      <c r="AZ479" s="310"/>
      <c r="BA479" s="310"/>
      <c r="BB479" s="310"/>
      <c r="BC479" s="310"/>
      <c r="BD479" s="310"/>
      <c r="BE479" s="544"/>
      <c r="BF479" s="525"/>
      <c r="BG479" s="310"/>
      <c r="BH479" s="310"/>
      <c r="BI479" s="310"/>
      <c r="BJ479" s="310"/>
      <c r="BK479" s="310"/>
      <c r="BL479" s="310"/>
      <c r="BM479" s="544">
        <f t="shared" si="188"/>
        <v>0</v>
      </c>
      <c r="BN479" s="525"/>
      <c r="BO479" s="310"/>
      <c r="BP479" s="310"/>
      <c r="BQ479" s="310"/>
      <c r="BR479" s="310"/>
      <c r="BS479" s="310"/>
      <c r="BT479" s="310"/>
      <c r="BU479" s="544"/>
      <c r="BV479" s="556"/>
      <c r="BW479" s="663">
        <f t="shared" si="182"/>
        <v>0.5</v>
      </c>
      <c r="BX479" s="1047">
        <f t="shared" si="189"/>
        <v>0.5</v>
      </c>
      <c r="BY479" s="1047" t="str">
        <f t="shared" si="190"/>
        <v>No Programada</v>
      </c>
      <c r="BZ479" s="1047">
        <f t="shared" si="191"/>
        <v>1</v>
      </c>
      <c r="CA479" s="1047" t="str">
        <f t="shared" si="192"/>
        <v>No Programada</v>
      </c>
      <c r="CB479" s="1047">
        <f t="shared" si="193"/>
        <v>0</v>
      </c>
      <c r="CD479" t="str">
        <f t="shared" si="194"/>
        <v>NP</v>
      </c>
      <c r="CE479" t="str">
        <f t="shared" si="194"/>
        <v>VE</v>
      </c>
      <c r="CF479" t="str">
        <f t="shared" si="194"/>
        <v>NP</v>
      </c>
      <c r="CG479" t="str">
        <f t="shared" si="194"/>
        <v>ROB</v>
      </c>
    </row>
    <row r="480" spans="1:85" ht="75" hidden="1" customHeight="1" x14ac:dyDescent="0.25">
      <c r="A480" s="298" t="s">
        <v>1450</v>
      </c>
      <c r="B480" s="299" t="str">
        <f>'PLAN INDICATIVO'!B480</f>
        <v>Prevención y atención de desastres</v>
      </c>
      <c r="C480" s="1547"/>
      <c r="D480" s="1551"/>
      <c r="E480" s="1551"/>
      <c r="F480" s="1551"/>
      <c r="G480" s="1551"/>
      <c r="H480" s="1551"/>
      <c r="I480" s="300">
        <f>'PLAN INDICATIVO'!I480</f>
        <v>0</v>
      </c>
      <c r="J480" s="300">
        <f>'PLAN INDICATIVO'!J480</f>
        <v>0</v>
      </c>
      <c r="K480" s="1425" t="str">
        <f>'PLAN INDICATIVO'!K480</f>
        <v>A.12.1.6</v>
      </c>
      <c r="L480" s="301" t="str">
        <f>'PLAN INDICATIVO'!L480</f>
        <v>11. Ciudades y comunidades sostenibles</v>
      </c>
      <c r="M480" s="301" t="s">
        <v>1102</v>
      </c>
      <c r="N480" s="1513" t="s">
        <v>5123</v>
      </c>
      <c r="O480" s="1425" t="str">
        <f>'PLAN INDICATIVO'!O480</f>
        <v>Incremento</v>
      </c>
      <c r="P480" s="16" t="str">
        <f>'PLAN INDICATIVO'!P480</f>
        <v>Formular Un proyecto para la consecución de 1 vehículos para organismos de socorro</v>
      </c>
      <c r="Q480" s="302" t="str">
        <f>'PLAN INDICATIVO'!Q480</f>
        <v>No. De vehículos gestionados</v>
      </c>
      <c r="R480" s="351">
        <f>'PLAN INDICATIVO'!R480</f>
        <v>2015</v>
      </c>
      <c r="S480" s="304">
        <v>0</v>
      </c>
      <c r="T480" s="1299">
        <v>1</v>
      </c>
      <c r="U480" s="303">
        <v>1</v>
      </c>
      <c r="V480" s="687">
        <v>0</v>
      </c>
      <c r="W480" s="572"/>
      <c r="X480" s="687"/>
      <c r="Y480" s="572"/>
      <c r="Z480" s="687">
        <v>4000000</v>
      </c>
      <c r="AA480" s="1310">
        <v>1</v>
      </c>
      <c r="AB480" s="687"/>
      <c r="AC480" s="665"/>
      <c r="AD480" s="665"/>
      <c r="AE480" s="665"/>
      <c r="AF480" s="665"/>
      <c r="AG480" s="306" t="s">
        <v>5160</v>
      </c>
      <c r="AH480" s="987">
        <v>2019413960025</v>
      </c>
      <c r="AI480" s="307"/>
      <c r="AJ480" s="309">
        <v>43497</v>
      </c>
      <c r="AK480" s="838">
        <v>43814</v>
      </c>
      <c r="AL480" s="308"/>
      <c r="AM480" s="308"/>
      <c r="AN480" s="267" t="s">
        <v>2594</v>
      </c>
      <c r="AO480" s="507"/>
      <c r="AP480" s="525"/>
      <c r="AQ480" s="310"/>
      <c r="AR480" s="310"/>
      <c r="AS480" s="310"/>
      <c r="AT480" s="310"/>
      <c r="AU480" s="310"/>
      <c r="AV480" s="310"/>
      <c r="AW480" s="544"/>
      <c r="AX480" s="525"/>
      <c r="AY480" s="310"/>
      <c r="AZ480" s="310"/>
      <c r="BA480" s="310"/>
      <c r="BB480" s="310"/>
      <c r="BC480" s="310"/>
      <c r="BD480" s="310"/>
      <c r="BE480" s="544"/>
      <c r="BF480" s="525"/>
      <c r="BG480" s="310"/>
      <c r="BH480" s="310"/>
      <c r="BI480" s="310"/>
      <c r="BJ480" s="310"/>
      <c r="BK480" s="310"/>
      <c r="BL480" s="310"/>
      <c r="BM480" s="544">
        <f t="shared" si="188"/>
        <v>0</v>
      </c>
      <c r="BN480" s="525"/>
      <c r="BO480" s="310"/>
      <c r="BP480" s="310"/>
      <c r="BQ480" s="310"/>
      <c r="BR480" s="310"/>
      <c r="BS480" s="310"/>
      <c r="BT480" s="310"/>
      <c r="BU480" s="544"/>
      <c r="BV480" s="556"/>
      <c r="BW480" s="663">
        <f t="shared" si="182"/>
        <v>0</v>
      </c>
      <c r="BX480" s="1047">
        <f t="shared" si="189"/>
        <v>0</v>
      </c>
      <c r="BY480" s="1047">
        <f t="shared" si="190"/>
        <v>0</v>
      </c>
      <c r="BZ480" s="1047" t="str">
        <f t="shared" si="191"/>
        <v>No Programada</v>
      </c>
      <c r="CA480" s="1047" t="str">
        <f t="shared" si="191"/>
        <v>No Programada</v>
      </c>
      <c r="CB480" s="1047">
        <f t="shared" si="193"/>
        <v>0</v>
      </c>
      <c r="CD480" t="str">
        <f t="shared" si="194"/>
        <v>ROB</v>
      </c>
      <c r="CE480" t="str">
        <f t="shared" si="194"/>
        <v>NP</v>
      </c>
      <c r="CF480" t="str">
        <f t="shared" si="194"/>
        <v>NP</v>
      </c>
      <c r="CG480" t="str">
        <f t="shared" si="194"/>
        <v>ROB</v>
      </c>
    </row>
    <row r="481" spans="1:85" ht="102.75" customHeight="1" x14ac:dyDescent="0.3">
      <c r="A481" s="298" t="s">
        <v>1450</v>
      </c>
      <c r="B481" s="299" t="str">
        <f>'PLAN INDICATIVO'!B481</f>
        <v>Prevención y atención de desastres</v>
      </c>
      <c r="C481" s="1548"/>
      <c r="D481" s="1552"/>
      <c r="E481" s="1552"/>
      <c r="F481" s="1552"/>
      <c r="G481" s="1552"/>
      <c r="H481" s="1552"/>
      <c r="I481" s="300">
        <f>'PLAN INDICATIVO'!I481</f>
        <v>0</v>
      </c>
      <c r="J481" s="300">
        <f>'PLAN INDICATIVO'!J481</f>
        <v>0</v>
      </c>
      <c r="K481" s="1425" t="str">
        <f>'PLAN INDICATIVO'!K481</f>
        <v>A.12.1.7</v>
      </c>
      <c r="L481" s="301" t="str">
        <f>'PLAN INDICATIVO'!L481</f>
        <v>11. Ciudades y comunidades sostenibles</v>
      </c>
      <c r="M481" s="301" t="s">
        <v>1102</v>
      </c>
      <c r="N481" s="1513" t="s">
        <v>5123</v>
      </c>
      <c r="O481" s="1425" t="str">
        <f>'PLAN INDICATIVO'!O481</f>
        <v>Incremento</v>
      </c>
      <c r="P481" s="16" t="str">
        <f>'PLAN INDICATIVO'!P481</f>
        <v>Realizar 4 acciones de apoyo logístico, técnico, administrativo o cultural, para la prevención del riesgo y atención de emergencias y desastres, durante el cuatrienio</v>
      </c>
      <c r="Q481" s="302" t="str">
        <f>'PLAN INDICATIVO'!Q481</f>
        <v>No. De acciones realizadas</v>
      </c>
      <c r="R481" s="351">
        <f>'PLAN INDICATIVO'!R481</f>
        <v>2015</v>
      </c>
      <c r="S481" s="304">
        <v>0</v>
      </c>
      <c r="T481" s="498">
        <v>4</v>
      </c>
      <c r="U481" s="303">
        <v>1</v>
      </c>
      <c r="V481" s="687">
        <v>7300000</v>
      </c>
      <c r="W481" s="572">
        <v>1</v>
      </c>
      <c r="X481" s="687">
        <v>22000000</v>
      </c>
      <c r="Y481" s="572">
        <v>1</v>
      </c>
      <c r="Z481" s="687">
        <v>20000000</v>
      </c>
      <c r="AA481" s="1310">
        <v>1</v>
      </c>
      <c r="AB481" s="687">
        <f>28000000+25000000</f>
        <v>53000000</v>
      </c>
      <c r="AC481" s="665"/>
      <c r="AD481" s="665">
        <v>1</v>
      </c>
      <c r="AE481" s="665">
        <v>1</v>
      </c>
      <c r="AF481" s="665">
        <v>0.7</v>
      </c>
      <c r="AG481" s="306" t="s">
        <v>5160</v>
      </c>
      <c r="AH481" s="987">
        <v>2019413960025</v>
      </c>
      <c r="AI481" s="307"/>
      <c r="AJ481" s="309">
        <v>43497</v>
      </c>
      <c r="AK481" s="335">
        <v>43814</v>
      </c>
      <c r="AL481" s="308"/>
      <c r="AM481" s="308"/>
      <c r="AN481" s="267" t="s">
        <v>2598</v>
      </c>
      <c r="AO481" s="507"/>
      <c r="AP481" s="525"/>
      <c r="AQ481" s="310"/>
      <c r="AR481" s="310"/>
      <c r="AS481" s="310"/>
      <c r="AT481" s="310"/>
      <c r="AU481" s="310"/>
      <c r="AV481" s="310"/>
      <c r="AW481" s="544"/>
      <c r="AX481" s="525"/>
      <c r="AY481" s="310"/>
      <c r="AZ481" s="310"/>
      <c r="BA481" s="310"/>
      <c r="BB481" s="310"/>
      <c r="BC481" s="310"/>
      <c r="BD481" s="310"/>
      <c r="BE481" s="544"/>
      <c r="BF481" s="525">
        <v>6600000</v>
      </c>
      <c r="BG481" s="310"/>
      <c r="BH481" s="310"/>
      <c r="BI481" s="310"/>
      <c r="BJ481" s="310"/>
      <c r="BK481" s="310"/>
      <c r="BL481" s="310"/>
      <c r="BM481" s="544">
        <f t="shared" si="188"/>
        <v>6600000</v>
      </c>
      <c r="BN481" s="525"/>
      <c r="BO481" s="310"/>
      <c r="BP481" s="310"/>
      <c r="BQ481" s="310"/>
      <c r="BR481" s="310"/>
      <c r="BS481" s="310"/>
      <c r="BT481" s="310"/>
      <c r="BU481" s="544"/>
      <c r="BV481" s="556"/>
      <c r="BW481" s="663">
        <f t="shared" si="182"/>
        <v>2.7</v>
      </c>
      <c r="BX481" s="1047">
        <f t="shared" si="189"/>
        <v>0.67500000000000004</v>
      </c>
      <c r="BY481" s="1047">
        <f t="shared" si="190"/>
        <v>0</v>
      </c>
      <c r="BZ481" s="1047">
        <f t="shared" si="191"/>
        <v>1</v>
      </c>
      <c r="CA481" s="1047">
        <f t="shared" si="192"/>
        <v>1</v>
      </c>
      <c r="CB481" s="1047">
        <f t="shared" si="193"/>
        <v>0.7</v>
      </c>
      <c r="CD481" t="str">
        <f t="shared" si="194"/>
        <v>ROB</v>
      </c>
      <c r="CE481" t="str">
        <f t="shared" si="194"/>
        <v>VE</v>
      </c>
      <c r="CF481" t="str">
        <f t="shared" si="194"/>
        <v>VE</v>
      </c>
      <c r="CG481" t="str">
        <f t="shared" si="194"/>
        <v>AM</v>
      </c>
    </row>
    <row r="482" spans="1:85" ht="16.5" customHeight="1" x14ac:dyDescent="0.3">
      <c r="A482" s="295"/>
      <c r="B482" s="24" t="str">
        <f>'PLAN INDICATIVO'!B482</f>
        <v>Prevención y atención de desastres</v>
      </c>
      <c r="C482" s="1574" t="s">
        <v>1475</v>
      </c>
      <c r="D482" s="1575"/>
      <c r="E482" s="1575"/>
      <c r="F482" s="1575"/>
      <c r="G482" s="1575"/>
      <c r="H482" s="1575"/>
      <c r="I482" s="1575"/>
      <c r="J482" s="1575"/>
      <c r="K482" s="1575"/>
      <c r="L482" s="1575"/>
      <c r="M482" s="1575"/>
      <c r="N482" s="1575"/>
      <c r="O482" s="1576"/>
      <c r="P482" s="22"/>
      <c r="Q482" s="22"/>
      <c r="R482" s="1"/>
      <c r="S482" s="261"/>
      <c r="T482" s="710"/>
      <c r="U482" s="1"/>
      <c r="V482" s="689">
        <f>SUM(V483:V489)</f>
        <v>182440000</v>
      </c>
      <c r="W482" s="49"/>
      <c r="X482" s="689">
        <f>SUM(X483:X489)</f>
        <v>194000000</v>
      </c>
      <c r="Y482" s="49"/>
      <c r="Z482" s="689">
        <f>SUM(Z483:Z489)</f>
        <v>172800000</v>
      </c>
      <c r="AA482" s="49"/>
      <c r="AB482" s="690">
        <f>SUM(AB483:AB489)</f>
        <v>187552821</v>
      </c>
      <c r="AC482" s="262"/>
      <c r="AD482" s="262"/>
      <c r="AE482" s="262"/>
      <c r="AF482" s="262"/>
      <c r="AG482" s="263"/>
      <c r="AH482" s="263"/>
      <c r="AI482" s="263"/>
      <c r="AJ482" s="262"/>
      <c r="AK482" s="262"/>
      <c r="AL482" s="262"/>
      <c r="AM482" s="262"/>
      <c r="AN482" s="262"/>
      <c r="AO482" s="612"/>
      <c r="AP482" s="616"/>
      <c r="AQ482" s="616"/>
      <c r="AR482" s="616"/>
      <c r="AS482" s="616"/>
      <c r="AT482" s="616"/>
      <c r="AU482" s="616"/>
      <c r="AV482" s="616"/>
      <c r="AW482" s="617"/>
      <c r="AX482" s="616"/>
      <c r="AY482" s="616"/>
      <c r="AZ482" s="616"/>
      <c r="BA482" s="616"/>
      <c r="BB482" s="616"/>
      <c r="BC482" s="616"/>
      <c r="BD482" s="616"/>
      <c r="BE482" s="617"/>
      <c r="BF482" s="616"/>
      <c r="BG482" s="616"/>
      <c r="BH482" s="616"/>
      <c r="BI482" s="616"/>
      <c r="BJ482" s="616"/>
      <c r="BK482" s="616"/>
      <c r="BL482" s="616"/>
      <c r="BM482" s="617">
        <f t="shared" si="188"/>
        <v>0</v>
      </c>
      <c r="BN482" s="616"/>
      <c r="BO482" s="616"/>
      <c r="BP482" s="616"/>
      <c r="BQ482" s="616"/>
      <c r="BR482" s="616"/>
      <c r="BS482" s="616"/>
      <c r="BT482" s="616"/>
      <c r="BU482" s="617"/>
      <c r="BV482" s="556"/>
      <c r="BW482" s="617" t="s">
        <v>2717</v>
      </c>
      <c r="BX482" s="617" t="s">
        <v>2717</v>
      </c>
      <c r="BY482" s="617" t="s">
        <v>2717</v>
      </c>
      <c r="BZ482" s="617" t="s">
        <v>2717</v>
      </c>
      <c r="CA482" s="617" t="s">
        <v>2717</v>
      </c>
      <c r="CB482" s="1047" t="s">
        <v>2717</v>
      </c>
    </row>
    <row r="483" spans="1:85" ht="93.75" customHeight="1" x14ac:dyDescent="0.3">
      <c r="A483" s="298" t="s">
        <v>1450</v>
      </c>
      <c r="B483" s="299" t="str">
        <f>'PLAN INDICATIVO'!B483</f>
        <v>Prevención y atención de desastres</v>
      </c>
      <c r="C483" s="1546" t="s">
        <v>1476</v>
      </c>
      <c r="D483" s="1550" t="s">
        <v>1477</v>
      </c>
      <c r="E483" s="1550" t="s">
        <v>1478</v>
      </c>
      <c r="F483" s="1550">
        <v>2015</v>
      </c>
      <c r="G483" s="1550">
        <v>100</v>
      </c>
      <c r="H483" s="1550">
        <v>100</v>
      </c>
      <c r="I483" s="300">
        <f>'PLAN INDICATIVO'!I483</f>
        <v>0</v>
      </c>
      <c r="J483" s="300">
        <f>'PLAN INDICATIVO'!J483</f>
        <v>0</v>
      </c>
      <c r="K483" s="1425" t="str">
        <f>'PLAN INDICATIVO'!K483</f>
        <v>A.12.2.1</v>
      </c>
      <c r="L483" s="301" t="str">
        <f>'PLAN INDICATIVO'!L483</f>
        <v>11. Ciudades y comunidades sostenibles</v>
      </c>
      <c r="M483" s="301" t="s">
        <v>1102</v>
      </c>
      <c r="N483" s="1513" t="s">
        <v>5123</v>
      </c>
      <c r="O483" s="1425" t="str">
        <f>'PLAN INDICATIVO'!O483</f>
        <v>Incremento</v>
      </c>
      <c r="P483" s="16" t="str">
        <f>'PLAN INDICATIVO'!P483</f>
        <v>Suscribir 4 convenios con organismos de socorro para apoyo logístico, técnico y de dotación, para atención y prevención de emergencia y desastres durante el cuatrienio</v>
      </c>
      <c r="Q483" s="302" t="str">
        <f>'PLAN INDICATIVO'!Q483</f>
        <v>No. Convenios suscritos</v>
      </c>
      <c r="R483" s="303">
        <f>'PLAN INDICATIVO'!R483</f>
        <v>2015</v>
      </c>
      <c r="S483" s="304">
        <v>1</v>
      </c>
      <c r="T483" s="498">
        <v>4</v>
      </c>
      <c r="U483" s="303">
        <v>1</v>
      </c>
      <c r="V483" s="687">
        <v>149600000</v>
      </c>
      <c r="W483" s="572">
        <v>1</v>
      </c>
      <c r="X483" s="687">
        <v>140000000</v>
      </c>
      <c r="Y483" s="1232">
        <v>1</v>
      </c>
      <c r="Z483" s="1233">
        <v>146000000</v>
      </c>
      <c r="AA483" s="1310">
        <v>1</v>
      </c>
      <c r="AB483" s="687">
        <v>170000000</v>
      </c>
      <c r="AC483" s="665"/>
      <c r="AD483" s="665">
        <v>1</v>
      </c>
      <c r="AE483" s="665">
        <v>1</v>
      </c>
      <c r="AF483" s="665">
        <v>1</v>
      </c>
      <c r="AG483" s="306" t="s">
        <v>5160</v>
      </c>
      <c r="AH483" s="987">
        <v>2019413960025</v>
      </c>
      <c r="AI483" s="307" t="s">
        <v>4768</v>
      </c>
      <c r="AJ483" s="309">
        <v>43497</v>
      </c>
      <c r="AK483" s="335">
        <v>43814</v>
      </c>
      <c r="AL483" s="308"/>
      <c r="AM483" s="308"/>
      <c r="AN483" s="267" t="s">
        <v>2598</v>
      </c>
      <c r="AO483" s="507"/>
      <c r="AP483" s="525"/>
      <c r="AQ483" s="310"/>
      <c r="AR483" s="310"/>
      <c r="AS483" s="310"/>
      <c r="AT483" s="310"/>
      <c r="AU483" s="310"/>
      <c r="AV483" s="310"/>
      <c r="AW483" s="544"/>
      <c r="AX483" s="525"/>
      <c r="AY483" s="310"/>
      <c r="AZ483" s="310"/>
      <c r="BA483" s="310"/>
      <c r="BB483" s="310"/>
      <c r="BC483" s="310"/>
      <c r="BD483" s="310"/>
      <c r="BE483" s="544"/>
      <c r="BF483" s="525">
        <v>150218000</v>
      </c>
      <c r="BG483" s="310"/>
      <c r="BH483" s="310"/>
      <c r="BI483" s="310"/>
      <c r="BJ483" s="310"/>
      <c r="BK483" s="310"/>
      <c r="BL483" s="310"/>
      <c r="BM483" s="1422">
        <f t="shared" si="188"/>
        <v>150218000</v>
      </c>
      <c r="BN483" s="525"/>
      <c r="BO483" s="310"/>
      <c r="BP483" s="310"/>
      <c r="BQ483" s="310"/>
      <c r="BR483" s="310"/>
      <c r="BS483" s="310"/>
      <c r="BT483" s="310"/>
      <c r="BU483" s="544"/>
      <c r="BV483" s="556"/>
      <c r="BW483" s="663">
        <f t="shared" si="182"/>
        <v>3</v>
      </c>
      <c r="BX483" s="1047">
        <f t="shared" si="189"/>
        <v>0.75</v>
      </c>
      <c r="BY483" s="1047">
        <f t="shared" ref="BY483:BY489" si="195">IF(U483&gt;=0.1,AC483/U483,IF(ISBLANK(U483),"No Programada","Aplazada"))</f>
        <v>0</v>
      </c>
      <c r="BZ483" s="1047">
        <f t="shared" ref="BZ483:BZ489" si="196">IF(W483&gt;=0.1,AD483/W483,IF(ISBLANK(W483),"No Programada","Aplazada"))</f>
        <v>1</v>
      </c>
      <c r="CA483" s="1047">
        <f t="shared" ref="CA483:CA488" si="197">IF(Y483&gt;=0.1,AE483/Y483,IF(ISBLANK(Y483),"No Programada","Aplazada"))</f>
        <v>1</v>
      </c>
      <c r="CB483" s="1047">
        <f t="shared" si="193"/>
        <v>1</v>
      </c>
      <c r="CD483" t="str">
        <f t="shared" ref="CD483:CG489" si="198">IF(BY483="PARA MODIFICAR","M",IF(BY483="PARA ELIMINAR","E",IF(BY483="aplazada","AZ",IF(BY483="no programada","NP",IF(BY483&gt;=85%,"VE",IF(BY483&gt;70%,"VEB",IF(BY483&gt;60%,"AM",IF(BY483&gt;40%,"AMB",IF(BY483&gt;20%,"RO",IF(BY483&gt;=0%,"ROB",""))))))))))</f>
        <v>ROB</v>
      </c>
      <c r="CE483" t="str">
        <f t="shared" si="198"/>
        <v>VE</v>
      </c>
      <c r="CF483" t="str">
        <f t="shared" si="198"/>
        <v>VE</v>
      </c>
      <c r="CG483" t="str">
        <f t="shared" si="198"/>
        <v>VE</v>
      </c>
    </row>
    <row r="484" spans="1:85" ht="70.5" hidden="1" customHeight="1" x14ac:dyDescent="0.25">
      <c r="A484" s="298" t="s">
        <v>1450</v>
      </c>
      <c r="B484" s="299" t="str">
        <f>'PLAN INDICATIVO'!B484</f>
        <v>Prevención y atención de desastres</v>
      </c>
      <c r="C484" s="1547"/>
      <c r="D484" s="1551"/>
      <c r="E484" s="1551"/>
      <c r="F484" s="1551"/>
      <c r="G484" s="1551"/>
      <c r="H484" s="1551"/>
      <c r="I484" s="300">
        <f>'PLAN INDICATIVO'!I484</f>
        <v>0</v>
      </c>
      <c r="J484" s="300">
        <f>'PLAN INDICATIVO'!J484</f>
        <v>0</v>
      </c>
      <c r="K484" s="1425" t="str">
        <f>'PLAN INDICATIVO'!K484</f>
        <v>A.12.2.2</v>
      </c>
      <c r="L484" s="301" t="str">
        <f>'PLAN INDICATIVO'!L484</f>
        <v>11. Ciudades y comunidades sostenibles</v>
      </c>
      <c r="M484" s="301" t="s">
        <v>1102</v>
      </c>
      <c r="N484" s="1513" t="s">
        <v>5123</v>
      </c>
      <c r="O484" s="1425" t="str">
        <f>'PLAN INDICATIVO'!O484</f>
        <v>Mantenimiento</v>
      </c>
      <c r="P484" s="16" t="str">
        <f>'PLAN INDICATIVO'!P484</f>
        <v>Realizar 1 capacitación anual a los jóvenes  de las Instituciones educativas urbanas,  para que asuman el reto de ser voluntarios en organismos de socorro</v>
      </c>
      <c r="Q484" s="302" t="str">
        <f>'PLAN INDICATIVO'!Q484</f>
        <v>No. De capacitaciones realizadas por año</v>
      </c>
      <c r="R484" s="303">
        <f>'PLAN INDICATIVO'!R484</f>
        <v>2015</v>
      </c>
      <c r="S484" s="304">
        <v>0</v>
      </c>
      <c r="T484" s="498">
        <v>1</v>
      </c>
      <c r="U484" s="303">
        <v>1</v>
      </c>
      <c r="V484" s="687">
        <v>1000000</v>
      </c>
      <c r="W484" s="572">
        <v>1</v>
      </c>
      <c r="X484" s="687">
        <v>1000000</v>
      </c>
      <c r="Y484" s="1232">
        <v>1</v>
      </c>
      <c r="Z484" s="1233">
        <v>1000000</v>
      </c>
      <c r="AA484" s="1310">
        <v>1</v>
      </c>
      <c r="AB484" s="687"/>
      <c r="AC484" s="665"/>
      <c r="AD484" s="665">
        <v>1</v>
      </c>
      <c r="AE484" s="665">
        <v>1</v>
      </c>
      <c r="AF484" s="665">
        <v>1</v>
      </c>
      <c r="AG484" s="306" t="s">
        <v>5160</v>
      </c>
      <c r="AH484" s="987">
        <v>2019413960025</v>
      </c>
      <c r="AI484" s="307" t="s">
        <v>5010</v>
      </c>
      <c r="AJ484" s="309">
        <v>43497</v>
      </c>
      <c r="AK484" s="335">
        <v>43814</v>
      </c>
      <c r="AL484" s="308"/>
      <c r="AM484" s="308"/>
      <c r="AN484" s="267" t="s">
        <v>2598</v>
      </c>
      <c r="AO484" s="507"/>
      <c r="AP484" s="525"/>
      <c r="AQ484" s="310"/>
      <c r="AR484" s="310"/>
      <c r="AS484" s="310"/>
      <c r="AT484" s="310"/>
      <c r="AU484" s="310"/>
      <c r="AV484" s="310"/>
      <c r="AW484" s="544"/>
      <c r="AX484" s="525"/>
      <c r="AY484" s="310"/>
      <c r="AZ484" s="310"/>
      <c r="BA484" s="310"/>
      <c r="BB484" s="310"/>
      <c r="BC484" s="310"/>
      <c r="BD484" s="310"/>
      <c r="BE484" s="544"/>
      <c r="BF484" s="525"/>
      <c r="BG484" s="310"/>
      <c r="BH484" s="310"/>
      <c r="BI484" s="310"/>
      <c r="BJ484" s="310"/>
      <c r="BK484" s="310"/>
      <c r="BL484" s="310"/>
      <c r="BM484" s="544">
        <f t="shared" si="188"/>
        <v>0</v>
      </c>
      <c r="BN484" s="525"/>
      <c r="BO484" s="310"/>
      <c r="BP484" s="310"/>
      <c r="BQ484" s="310"/>
      <c r="BR484" s="310"/>
      <c r="BS484" s="310"/>
      <c r="BT484" s="310"/>
      <c r="BU484" s="544"/>
      <c r="BV484" s="556"/>
      <c r="BW484" s="663">
        <f t="shared" si="182"/>
        <v>3</v>
      </c>
      <c r="BX484" s="1047">
        <f t="shared" si="189"/>
        <v>3</v>
      </c>
      <c r="BY484" s="1047">
        <f t="shared" si="195"/>
        <v>0</v>
      </c>
      <c r="BZ484" s="1047">
        <f t="shared" si="196"/>
        <v>1</v>
      </c>
      <c r="CA484" s="1047">
        <f t="shared" si="197"/>
        <v>1</v>
      </c>
      <c r="CB484" s="1047">
        <f t="shared" ref="CB484:CB489" si="199">IF(AA484&gt;=0.1,AF484/AA484,IF(ISBLANK(AA484),"No Programada","Aplazada"))</f>
        <v>1</v>
      </c>
      <c r="CD484" t="str">
        <f t="shared" si="198"/>
        <v>ROB</v>
      </c>
      <c r="CE484" t="str">
        <f t="shared" si="198"/>
        <v>VE</v>
      </c>
      <c r="CF484" t="str">
        <f t="shared" si="198"/>
        <v>VE</v>
      </c>
      <c r="CG484" t="str">
        <f t="shared" si="198"/>
        <v>VE</v>
      </c>
    </row>
    <row r="485" spans="1:85" ht="68.25" customHeight="1" x14ac:dyDescent="0.3">
      <c r="A485" s="298" t="s">
        <v>1450</v>
      </c>
      <c r="B485" s="299" t="str">
        <f>'PLAN INDICATIVO'!B485</f>
        <v>Prevención y atención de desastres</v>
      </c>
      <c r="C485" s="1547"/>
      <c r="D485" s="1551"/>
      <c r="E485" s="1551"/>
      <c r="F485" s="1551"/>
      <c r="G485" s="1551"/>
      <c r="H485" s="1551"/>
      <c r="I485" s="300">
        <f>'PLAN INDICATIVO'!I485</f>
        <v>0</v>
      </c>
      <c r="J485" s="300">
        <f>'PLAN INDICATIVO'!J485</f>
        <v>0</v>
      </c>
      <c r="K485" s="1425" t="str">
        <f>'PLAN INDICATIVO'!K485</f>
        <v>A.12.2.3</v>
      </c>
      <c r="L485" s="301" t="str">
        <f>'PLAN INDICATIVO'!L485</f>
        <v>11. Ciudades y comunidades sostenibles</v>
      </c>
      <c r="M485" s="301" t="s">
        <v>1102</v>
      </c>
      <c r="N485" s="1513" t="s">
        <v>5123</v>
      </c>
      <c r="O485" s="1425" t="str">
        <f>'PLAN INDICATIVO'!O485</f>
        <v>Incremento</v>
      </c>
      <c r="P485" s="16" t="str">
        <f>'PLAN INDICATIVO'!P485</f>
        <v>Realizar 4 simulacros durante el cuatrienio, sobre atención de emergencias.</v>
      </c>
      <c r="Q485" s="302" t="str">
        <f>'PLAN INDICATIVO'!Q485</f>
        <v>No. simulacros realizados</v>
      </c>
      <c r="R485" s="303">
        <f>'PLAN INDICATIVO'!R485</f>
        <v>2015</v>
      </c>
      <c r="S485" s="304">
        <v>0</v>
      </c>
      <c r="T485" s="498">
        <v>4</v>
      </c>
      <c r="U485" s="303">
        <v>1</v>
      </c>
      <c r="V485" s="687">
        <v>3730000</v>
      </c>
      <c r="W485" s="572">
        <v>1</v>
      </c>
      <c r="X485" s="687">
        <v>17000000</v>
      </c>
      <c r="Y485" s="1232">
        <v>1</v>
      </c>
      <c r="Z485" s="1233">
        <v>16800000</v>
      </c>
      <c r="AA485" s="1310">
        <v>1</v>
      </c>
      <c r="AB485" s="687">
        <v>2000000</v>
      </c>
      <c r="AC485" s="665"/>
      <c r="AD485" s="665">
        <v>1</v>
      </c>
      <c r="AE485" s="665">
        <v>1</v>
      </c>
      <c r="AF485" s="665">
        <v>1</v>
      </c>
      <c r="AG485" s="306" t="s">
        <v>5160</v>
      </c>
      <c r="AH485" s="987">
        <v>2019413960025</v>
      </c>
      <c r="AI485" s="307" t="s">
        <v>4895</v>
      </c>
      <c r="AJ485" s="309">
        <v>43497</v>
      </c>
      <c r="AK485" s="335">
        <v>43814</v>
      </c>
      <c r="AL485" s="308"/>
      <c r="AM485" s="308"/>
      <c r="AN485" s="267" t="s">
        <v>2598</v>
      </c>
      <c r="AO485" s="507"/>
      <c r="AP485" s="525"/>
      <c r="AQ485" s="310"/>
      <c r="AR485" s="310"/>
      <c r="AS485" s="310"/>
      <c r="AT485" s="310"/>
      <c r="AU485" s="310"/>
      <c r="AV485" s="310"/>
      <c r="AW485" s="544"/>
      <c r="AX485" s="525"/>
      <c r="AY485" s="310"/>
      <c r="AZ485" s="310"/>
      <c r="BA485" s="310"/>
      <c r="BB485" s="310"/>
      <c r="BC485" s="310"/>
      <c r="BD485" s="310"/>
      <c r="BE485" s="544"/>
      <c r="BF485" s="525"/>
      <c r="BG485" s="310"/>
      <c r="BH485" s="310"/>
      <c r="BI485" s="310"/>
      <c r="BJ485" s="310"/>
      <c r="BK485" s="310"/>
      <c r="BL485" s="310"/>
      <c r="BM485" s="544">
        <f t="shared" si="188"/>
        <v>0</v>
      </c>
      <c r="BN485" s="525"/>
      <c r="BO485" s="310"/>
      <c r="BP485" s="310"/>
      <c r="BQ485" s="310"/>
      <c r="BR485" s="310"/>
      <c r="BS485" s="310"/>
      <c r="BT485" s="310"/>
      <c r="BU485" s="544"/>
      <c r="BV485" s="556"/>
      <c r="BW485" s="663">
        <f t="shared" si="182"/>
        <v>3</v>
      </c>
      <c r="BX485" s="1047">
        <f t="shared" si="189"/>
        <v>0.75</v>
      </c>
      <c r="BY485" s="1047">
        <f t="shared" si="195"/>
        <v>0</v>
      </c>
      <c r="BZ485" s="1047">
        <f t="shared" si="196"/>
        <v>1</v>
      </c>
      <c r="CA485" s="1047">
        <f t="shared" si="197"/>
        <v>1</v>
      </c>
      <c r="CB485" s="1047">
        <f t="shared" si="199"/>
        <v>1</v>
      </c>
      <c r="CD485" t="str">
        <f t="shared" si="198"/>
        <v>ROB</v>
      </c>
      <c r="CE485" t="str">
        <f t="shared" si="198"/>
        <v>VE</v>
      </c>
      <c r="CF485" t="str">
        <f t="shared" si="198"/>
        <v>VE</v>
      </c>
      <c r="CG485" t="str">
        <f t="shared" si="198"/>
        <v>VE</v>
      </c>
    </row>
    <row r="486" spans="1:85" ht="75" hidden="1" customHeight="1" x14ac:dyDescent="0.25">
      <c r="A486" s="298" t="s">
        <v>800</v>
      </c>
      <c r="B486" s="299" t="str">
        <f>'PLAN INDICATIVO'!B486</f>
        <v>Prevención y atención de desastres</v>
      </c>
      <c r="C486" s="1547"/>
      <c r="D486" s="1551"/>
      <c r="E486" s="1551"/>
      <c r="F486" s="1551"/>
      <c r="G486" s="1551"/>
      <c r="H486" s="1551"/>
      <c r="I486" s="300">
        <f>'PLAN INDICATIVO'!I486</f>
        <v>0</v>
      </c>
      <c r="J486" s="300">
        <f>'PLAN INDICATIVO'!J486</f>
        <v>0</v>
      </c>
      <c r="K486" s="1425" t="str">
        <f>'PLAN INDICATIVO'!K486</f>
        <v>A.12.2.4</v>
      </c>
      <c r="L486" s="301" t="str">
        <f>'PLAN INDICATIVO'!L486</f>
        <v>11. Ciudades y comunidades sostenibles</v>
      </c>
      <c r="M486" s="301" t="s">
        <v>1102</v>
      </c>
      <c r="N486" s="1513" t="s">
        <v>5123</v>
      </c>
      <c r="O486" s="1425" t="str">
        <f>'PLAN INDICATIVO'!O486</f>
        <v>Incremento</v>
      </c>
      <c r="P486" s="16" t="str">
        <f>'PLAN INDICATIVO'!P486</f>
        <v>Realizar 1 capacitaciónanual a los jóvenes de las Instituciones educativas urbanas, para que asuman el reto de ser voluntarios en organismos de socorro.</v>
      </c>
      <c r="Q486" s="302" t="str">
        <f>'PLAN INDICATIVO'!Q486</f>
        <v>No. De capacitaciones
realizadas por año</v>
      </c>
      <c r="R486" s="303">
        <f>'PLAN INDICATIVO'!R486</f>
        <v>2015</v>
      </c>
      <c r="S486" s="304">
        <v>1</v>
      </c>
      <c r="T486" s="498">
        <v>3</v>
      </c>
      <c r="U486" s="303"/>
      <c r="V486" s="687"/>
      <c r="W486" s="572">
        <v>1</v>
      </c>
      <c r="X486" s="687">
        <v>1000000</v>
      </c>
      <c r="Y486" s="1232">
        <v>1</v>
      </c>
      <c r="Z486" s="1233">
        <v>2000000</v>
      </c>
      <c r="AA486" s="1310">
        <v>1</v>
      </c>
      <c r="AB486" s="687"/>
      <c r="AC486" s="665"/>
      <c r="AD486" s="665">
        <v>1</v>
      </c>
      <c r="AE486" s="665">
        <v>1</v>
      </c>
      <c r="AF486" s="665">
        <v>1</v>
      </c>
      <c r="AG486" s="306" t="s">
        <v>5160</v>
      </c>
      <c r="AH486" s="987">
        <v>2019413960025</v>
      </c>
      <c r="AI486" s="307" t="s">
        <v>5010</v>
      </c>
      <c r="AJ486" s="309">
        <v>43497</v>
      </c>
      <c r="AK486" s="335">
        <v>43814</v>
      </c>
      <c r="AL486" s="308"/>
      <c r="AM486" s="308"/>
      <c r="AN486" s="267" t="s">
        <v>2598</v>
      </c>
      <c r="AO486" s="507"/>
      <c r="AP486" s="525"/>
      <c r="AQ486" s="310"/>
      <c r="AR486" s="310"/>
      <c r="AS486" s="310"/>
      <c r="AT486" s="310"/>
      <c r="AU486" s="310"/>
      <c r="AV486" s="310"/>
      <c r="AW486" s="544"/>
      <c r="AX486" s="525"/>
      <c r="AY486" s="310"/>
      <c r="AZ486" s="310"/>
      <c r="BA486" s="310"/>
      <c r="BB486" s="310"/>
      <c r="BC486" s="310"/>
      <c r="BD486" s="310"/>
      <c r="BE486" s="544"/>
      <c r="BF486" s="525"/>
      <c r="BG486" s="310"/>
      <c r="BH486" s="310"/>
      <c r="BI486" s="310"/>
      <c r="BJ486" s="310"/>
      <c r="BK486" s="310"/>
      <c r="BL486" s="310"/>
      <c r="BM486" s="544">
        <f t="shared" si="188"/>
        <v>0</v>
      </c>
      <c r="BN486" s="525"/>
      <c r="BO486" s="310"/>
      <c r="BP486" s="310"/>
      <c r="BQ486" s="310"/>
      <c r="BR486" s="310"/>
      <c r="BS486" s="310"/>
      <c r="BT486" s="310"/>
      <c r="BU486" s="544"/>
      <c r="BV486" s="556"/>
      <c r="BW486" s="663">
        <f t="shared" si="182"/>
        <v>3</v>
      </c>
      <c r="BX486" s="1047">
        <f t="shared" si="189"/>
        <v>1</v>
      </c>
      <c r="BY486" s="1047" t="str">
        <f t="shared" si="195"/>
        <v>No Programada</v>
      </c>
      <c r="BZ486" s="1047">
        <f t="shared" si="196"/>
        <v>1</v>
      </c>
      <c r="CA486" s="1047">
        <f t="shared" si="197"/>
        <v>1</v>
      </c>
      <c r="CB486" s="1047">
        <f t="shared" si="199"/>
        <v>1</v>
      </c>
      <c r="CD486" t="str">
        <f t="shared" si="198"/>
        <v>NP</v>
      </c>
      <c r="CE486" t="str">
        <f t="shared" si="198"/>
        <v>VE</v>
      </c>
      <c r="CF486" t="str">
        <f t="shared" si="198"/>
        <v>VE</v>
      </c>
      <c r="CG486" t="str">
        <f t="shared" si="198"/>
        <v>VE</v>
      </c>
    </row>
    <row r="487" spans="1:85" ht="75.75" customHeight="1" x14ac:dyDescent="0.3">
      <c r="A487" s="298" t="s">
        <v>1450</v>
      </c>
      <c r="B487" s="299" t="str">
        <f>'PLAN INDICATIVO'!B487</f>
        <v>Prevención y atención de desastres</v>
      </c>
      <c r="C487" s="1547"/>
      <c r="D487" s="1551"/>
      <c r="E487" s="1551"/>
      <c r="F487" s="1551"/>
      <c r="G487" s="1551"/>
      <c r="H487" s="1551"/>
      <c r="I487" s="1425" t="str">
        <f>'PLAN INDICATIVO'!I487</f>
        <v>SI</v>
      </c>
      <c r="J487" s="1425">
        <f>'PLAN INDICATIVO'!J487</f>
        <v>0</v>
      </c>
      <c r="K487" s="1425" t="str">
        <f>'PLAN INDICATIVO'!K487</f>
        <v>A.12.2.4</v>
      </c>
      <c r="L487" s="301" t="str">
        <f>'PLAN INDICATIVO'!L487</f>
        <v>11. Ciudades y comunidades sostenibles</v>
      </c>
      <c r="M487" s="301" t="s">
        <v>1102</v>
      </c>
      <c r="N487" s="1513" t="s">
        <v>5123</v>
      </c>
      <c r="O487" s="1425" t="str">
        <f>'PLAN INDICATIVO'!O487</f>
        <v>Incremento</v>
      </c>
      <c r="P487" s="16" t="str">
        <f>'PLAN INDICATIVO'!P487</f>
        <v>Construir 3 obras de mitigación de riesgos  y amenazas durante el cuatrienio</v>
      </c>
      <c r="Q487" s="302" t="str">
        <f>'PLAN INDICATIVO'!Q487</f>
        <v>No. De obras de mitigación construidas</v>
      </c>
      <c r="R487" s="303">
        <f>'PLAN INDICATIVO'!R487</f>
        <v>2015</v>
      </c>
      <c r="S487" s="304">
        <v>1</v>
      </c>
      <c r="T487" s="498">
        <v>3</v>
      </c>
      <c r="U487" s="303">
        <v>1</v>
      </c>
      <c r="V487" s="687">
        <v>15110000</v>
      </c>
      <c r="W487" s="572">
        <v>1</v>
      </c>
      <c r="X487" s="687">
        <v>28000000</v>
      </c>
      <c r="Y487" s="1232"/>
      <c r="Z487" s="1233"/>
      <c r="AA487" s="1310">
        <v>1</v>
      </c>
      <c r="AB487" s="687">
        <v>15552821</v>
      </c>
      <c r="AC487" s="665"/>
      <c r="AD487" s="665">
        <v>1</v>
      </c>
      <c r="AE487" s="665"/>
      <c r="AF487" s="665"/>
      <c r="AG487" s="306" t="s">
        <v>5160</v>
      </c>
      <c r="AH487" s="987">
        <v>2019413960025</v>
      </c>
      <c r="AI487" s="307"/>
      <c r="AJ487" s="309">
        <v>43497</v>
      </c>
      <c r="AK487" s="335">
        <v>43768</v>
      </c>
      <c r="AL487" s="308"/>
      <c r="AM487" s="308"/>
      <c r="AN487" s="267" t="s">
        <v>2594</v>
      </c>
      <c r="AO487" s="507"/>
      <c r="AP487" s="525"/>
      <c r="AQ487" s="310"/>
      <c r="AR487" s="310"/>
      <c r="AS487" s="310"/>
      <c r="AT487" s="310"/>
      <c r="AU487" s="310"/>
      <c r="AV487" s="310"/>
      <c r="AW487" s="544"/>
      <c r="AX487" s="525"/>
      <c r="AY487" s="310"/>
      <c r="AZ487" s="310"/>
      <c r="BA487" s="310"/>
      <c r="BB487" s="310"/>
      <c r="BC487" s="310"/>
      <c r="BD487" s="310"/>
      <c r="BE487" s="544"/>
      <c r="BF487" s="525"/>
      <c r="BG487" s="310"/>
      <c r="BH487" s="310"/>
      <c r="BI487" s="310"/>
      <c r="BJ487" s="310"/>
      <c r="BK487" s="310"/>
      <c r="BL487" s="310"/>
      <c r="BM487" s="544">
        <f t="shared" si="188"/>
        <v>0</v>
      </c>
      <c r="BN487" s="525"/>
      <c r="BO487" s="310"/>
      <c r="BP487" s="310"/>
      <c r="BQ487" s="310"/>
      <c r="BR487" s="310"/>
      <c r="BS487" s="310"/>
      <c r="BT487" s="310"/>
      <c r="BU487" s="544"/>
      <c r="BV487" s="556"/>
      <c r="BW487" s="663">
        <f t="shared" si="182"/>
        <v>1</v>
      </c>
      <c r="BX487" s="1047">
        <f t="shared" si="189"/>
        <v>0.33333333333333331</v>
      </c>
      <c r="BY487" s="1047">
        <f t="shared" si="195"/>
        <v>0</v>
      </c>
      <c r="BZ487" s="1047">
        <f t="shared" si="196"/>
        <v>1</v>
      </c>
      <c r="CA487" s="1047" t="str">
        <f t="shared" si="197"/>
        <v>No Programada</v>
      </c>
      <c r="CB487" s="1047">
        <f t="shared" si="199"/>
        <v>0</v>
      </c>
      <c r="CD487" t="str">
        <f t="shared" si="198"/>
        <v>ROB</v>
      </c>
      <c r="CE487" t="str">
        <f t="shared" si="198"/>
        <v>VE</v>
      </c>
      <c r="CF487" t="str">
        <f t="shared" si="198"/>
        <v>NP</v>
      </c>
      <c r="CG487" t="str">
        <f t="shared" si="198"/>
        <v>ROB</v>
      </c>
    </row>
    <row r="488" spans="1:85" ht="72.75" hidden="1" customHeight="1" x14ac:dyDescent="0.25">
      <c r="A488" s="298" t="s">
        <v>1450</v>
      </c>
      <c r="B488" s="299" t="str">
        <f>'PLAN INDICATIVO'!B488</f>
        <v>Prevención y atención de desastres</v>
      </c>
      <c r="C488" s="1547"/>
      <c r="D488" s="1551"/>
      <c r="E488" s="1551"/>
      <c r="F488" s="1551"/>
      <c r="G488" s="1551"/>
      <c r="H488" s="1551"/>
      <c r="I488" s="300">
        <f>'PLAN INDICATIVO'!I488</f>
        <v>0</v>
      </c>
      <c r="J488" s="300">
        <f>'PLAN INDICATIVO'!J488</f>
        <v>0</v>
      </c>
      <c r="K488" s="1425" t="str">
        <f>'PLAN INDICATIVO'!K488</f>
        <v>A.12.2.5</v>
      </c>
      <c r="L488" s="301" t="str">
        <f>'PLAN INDICATIVO'!L488</f>
        <v>11. Ciudades y comunidades sostenibles</v>
      </c>
      <c r="M488" s="301" t="s">
        <v>1102</v>
      </c>
      <c r="N488" s="1513" t="s">
        <v>5123</v>
      </c>
      <c r="O488" s="1425" t="str">
        <f>'PLAN INDICATIVO'!O488</f>
        <v>Incremento</v>
      </c>
      <c r="P488" s="16" t="str">
        <f>'PLAN INDICATIVO'!P488</f>
        <v>Realizar 1 reconocimiento anual a los bomberos que sobresalgan, durante el cuatrienio.</v>
      </c>
      <c r="Q488" s="302" t="str">
        <f>'PLAN INDICATIVO'!Q488</f>
        <v>No. De Reconocimientos realizados por año</v>
      </c>
      <c r="R488" s="303">
        <f>'PLAN INDICATIVO'!R488</f>
        <v>2015</v>
      </c>
      <c r="S488" s="304">
        <v>0</v>
      </c>
      <c r="T488" s="498">
        <v>1</v>
      </c>
      <c r="U488" s="303">
        <v>1</v>
      </c>
      <c r="V488" s="687">
        <v>1000000</v>
      </c>
      <c r="W488" s="572">
        <v>1</v>
      </c>
      <c r="X488" s="687">
        <v>1000000</v>
      </c>
      <c r="Y488" s="1232">
        <v>1</v>
      </c>
      <c r="Z488" s="1233">
        <v>1000000</v>
      </c>
      <c r="AA488" s="1310">
        <v>1</v>
      </c>
      <c r="AB488" s="687"/>
      <c r="AC488" s="665">
        <v>1</v>
      </c>
      <c r="AD488" s="665"/>
      <c r="AE488" s="665">
        <v>1</v>
      </c>
      <c r="AF488" s="665"/>
      <c r="AG488" s="306" t="s">
        <v>5160</v>
      </c>
      <c r="AH488" s="987">
        <v>2019413960025</v>
      </c>
      <c r="AI488" s="307"/>
      <c r="AJ488" s="309">
        <v>43497</v>
      </c>
      <c r="AK488" s="335">
        <v>43621</v>
      </c>
      <c r="AL488" s="308"/>
      <c r="AM488" s="308"/>
      <c r="AN488" s="267" t="s">
        <v>2598</v>
      </c>
      <c r="AO488" s="507"/>
      <c r="AP488" s="525"/>
      <c r="AQ488" s="310"/>
      <c r="AR488" s="310"/>
      <c r="AS488" s="310"/>
      <c r="AT488" s="310"/>
      <c r="AU488" s="310"/>
      <c r="AV488" s="310"/>
      <c r="AW488" s="544"/>
      <c r="AX488" s="525"/>
      <c r="AY488" s="310"/>
      <c r="AZ488" s="310"/>
      <c r="BA488" s="310"/>
      <c r="BB488" s="310"/>
      <c r="BC488" s="310"/>
      <c r="BD488" s="310"/>
      <c r="BE488" s="544"/>
      <c r="BF488" s="525"/>
      <c r="BG488" s="310"/>
      <c r="BH488" s="310"/>
      <c r="BI488" s="310"/>
      <c r="BJ488" s="310"/>
      <c r="BK488" s="310"/>
      <c r="BL488" s="310"/>
      <c r="BM488" s="544">
        <f t="shared" si="188"/>
        <v>0</v>
      </c>
      <c r="BN488" s="525"/>
      <c r="BO488" s="310"/>
      <c r="BP488" s="310"/>
      <c r="BQ488" s="310"/>
      <c r="BR488" s="310"/>
      <c r="BS488" s="310"/>
      <c r="BT488" s="310"/>
      <c r="BU488" s="544"/>
      <c r="BV488" s="556"/>
      <c r="BW488" s="663">
        <f t="shared" si="182"/>
        <v>2</v>
      </c>
      <c r="BX488" s="1047">
        <f t="shared" si="189"/>
        <v>2</v>
      </c>
      <c r="BY488" s="1047">
        <f t="shared" si="195"/>
        <v>1</v>
      </c>
      <c r="BZ488" s="1047">
        <f t="shared" si="196"/>
        <v>0</v>
      </c>
      <c r="CA488" s="1047">
        <f t="shared" si="197"/>
        <v>1</v>
      </c>
      <c r="CB488" s="1047">
        <f t="shared" si="199"/>
        <v>0</v>
      </c>
      <c r="CD488" t="str">
        <f t="shared" si="198"/>
        <v>VE</v>
      </c>
      <c r="CE488" t="str">
        <f t="shared" si="198"/>
        <v>ROB</v>
      </c>
      <c r="CF488" t="str">
        <f t="shared" si="198"/>
        <v>VE</v>
      </c>
      <c r="CG488" t="str">
        <f t="shared" si="198"/>
        <v>ROB</v>
      </c>
    </row>
    <row r="489" spans="1:85" ht="60" hidden="1" customHeight="1" thickBot="1" x14ac:dyDescent="0.3">
      <c r="A489" s="298" t="s">
        <v>1450</v>
      </c>
      <c r="B489" s="299" t="str">
        <f>'PLAN INDICATIVO'!B489</f>
        <v>Prevención y atención de desastres</v>
      </c>
      <c r="C489" s="1548"/>
      <c r="D489" s="1552"/>
      <c r="E489" s="1552"/>
      <c r="F489" s="1552"/>
      <c r="G489" s="1552"/>
      <c r="H489" s="1552"/>
      <c r="I489" s="300">
        <f>'PLAN INDICATIVO'!I489</f>
        <v>0</v>
      </c>
      <c r="J489" s="300">
        <f>'PLAN INDICATIVO'!J489</f>
        <v>0</v>
      </c>
      <c r="K489" s="1425" t="str">
        <f>'PLAN INDICATIVO'!K489</f>
        <v>A.12.2.6</v>
      </c>
      <c r="L489" s="301" t="str">
        <f>'PLAN INDICATIVO'!L489</f>
        <v>11. Ciudades y comunidades sostenibles</v>
      </c>
      <c r="M489" s="301" t="s">
        <v>1102</v>
      </c>
      <c r="N489" s="1513" t="s">
        <v>5123</v>
      </c>
      <c r="O489" s="1425" t="str">
        <f>'PLAN INDICATIVO'!O489</f>
        <v>Incremento</v>
      </c>
      <c r="P489" s="16" t="str">
        <f>'PLAN INDICATIVO'!P489</f>
        <v>Mantener 4 Albergues temporales con mantenimiento para su funcionamiento durante el cuatrienio</v>
      </c>
      <c r="Q489" s="302" t="str">
        <f>'PLAN INDICATIVO'!Q489</f>
        <v>No. De albergues mantenidos</v>
      </c>
      <c r="R489" s="303">
        <f>'PLAN INDICATIVO'!R489</f>
        <v>2015</v>
      </c>
      <c r="S489" s="304">
        <v>0</v>
      </c>
      <c r="T489" s="498">
        <v>4</v>
      </c>
      <c r="U489" s="303">
        <v>1</v>
      </c>
      <c r="V489" s="687">
        <v>12000000</v>
      </c>
      <c r="W489" s="572">
        <v>1</v>
      </c>
      <c r="X489" s="687">
        <v>6000000</v>
      </c>
      <c r="Y489" s="1232">
        <v>0</v>
      </c>
      <c r="Z489" s="1233">
        <v>6000000</v>
      </c>
      <c r="AA489" s="1310">
        <v>1</v>
      </c>
      <c r="AB489" s="687"/>
      <c r="AC489" s="665">
        <v>1</v>
      </c>
      <c r="AD489" s="665"/>
      <c r="AE489" s="665"/>
      <c r="AF489" s="665"/>
      <c r="AG489" s="306" t="s">
        <v>5160</v>
      </c>
      <c r="AH489" s="987">
        <v>2019413960025</v>
      </c>
      <c r="AI489" s="307"/>
      <c r="AJ489" s="309">
        <v>43497</v>
      </c>
      <c r="AK489" s="335">
        <v>43707</v>
      </c>
      <c r="AL489" s="308"/>
      <c r="AM489" s="308"/>
      <c r="AN489" s="267" t="s">
        <v>2594</v>
      </c>
      <c r="AO489" s="507"/>
      <c r="AP489" s="533"/>
      <c r="AQ489" s="534"/>
      <c r="AR489" s="534"/>
      <c r="AS489" s="534"/>
      <c r="AT489" s="534"/>
      <c r="AU489" s="534"/>
      <c r="AV489" s="534"/>
      <c r="AW489" s="546"/>
      <c r="AX489" s="533"/>
      <c r="AY489" s="534"/>
      <c r="AZ489" s="534"/>
      <c r="BA489" s="534"/>
      <c r="BB489" s="534"/>
      <c r="BC489" s="534"/>
      <c r="BD489" s="534"/>
      <c r="BE489" s="546"/>
      <c r="BF489" s="533"/>
      <c r="BG489" s="534"/>
      <c r="BH489" s="534"/>
      <c r="BI489" s="534"/>
      <c r="BJ489" s="534"/>
      <c r="BK489" s="534"/>
      <c r="BL489" s="534"/>
      <c r="BM489" s="546">
        <f t="shared" si="188"/>
        <v>0</v>
      </c>
      <c r="BN489" s="533"/>
      <c r="BO489" s="534"/>
      <c r="BP489" s="534"/>
      <c r="BQ489" s="534"/>
      <c r="BR489" s="534"/>
      <c r="BS489" s="534"/>
      <c r="BT489" s="534"/>
      <c r="BU489" s="546"/>
      <c r="BV489" s="556"/>
      <c r="BW489" s="663">
        <f t="shared" si="182"/>
        <v>1</v>
      </c>
      <c r="BX489" s="1047">
        <f t="shared" si="189"/>
        <v>0.25</v>
      </c>
      <c r="BY489" s="1047">
        <f t="shared" si="195"/>
        <v>1</v>
      </c>
      <c r="BZ489" s="1047">
        <f t="shared" si="196"/>
        <v>0</v>
      </c>
      <c r="CA489" s="1047" t="s">
        <v>4312</v>
      </c>
      <c r="CB489" s="1047">
        <f t="shared" si="199"/>
        <v>0</v>
      </c>
      <c r="CD489" t="str">
        <f t="shared" si="198"/>
        <v>VE</v>
      </c>
      <c r="CE489" t="str">
        <f t="shared" si="198"/>
        <v>ROB</v>
      </c>
      <c r="CF489" t="str">
        <f t="shared" si="198"/>
        <v>NP</v>
      </c>
      <c r="CG489" t="str">
        <f t="shared" si="198"/>
        <v>ROB</v>
      </c>
    </row>
  </sheetData>
  <autoFilter ref="A4:XFD489">
    <filterColumn colId="1">
      <customFilters>
        <customFilter operator="notEqual" val=" "/>
      </customFilters>
    </filterColumn>
  </autoFilter>
  <customSheetViews>
    <customSheetView guid="{92B8BA5A-7984-4526-9F7A-187FF856FCAE}" scale="84" fitToPage="1" filter="1" showAutoFilter="1" hiddenRows="1" hiddenColumns="1" topLeftCell="J3">
      <pane ySplit="2" topLeftCell="A128" activePane="bottomLeft" state="frozen"/>
      <selection pane="bottomLeft" activeCell="BX490" sqref="BX490"/>
      <pageMargins left="0" right="0" top="0" bottom="0" header="0" footer="0"/>
      <pageSetup paperSize="144" scale="37" fitToHeight="0" orientation="landscape" r:id="rId1"/>
      <autoFilter ref="A4:CG489">
        <filterColumn colId="1">
          <filters>
            <filter val="APSB"/>
          </filters>
        </filterColumn>
      </autoFilter>
    </customSheetView>
  </customSheetViews>
  <mergeCells count="249">
    <mergeCell ref="A1:CB1"/>
    <mergeCell ref="A2:AO2"/>
    <mergeCell ref="AC3:AF3"/>
    <mergeCell ref="AP3:AW3"/>
    <mergeCell ref="AX3:BE3"/>
    <mergeCell ref="BF3:BM3"/>
    <mergeCell ref="BN3:BU3"/>
    <mergeCell ref="BV3:CB3"/>
    <mergeCell ref="A5:AM5"/>
    <mergeCell ref="A6:AO6"/>
    <mergeCell ref="C7:O7"/>
    <mergeCell ref="C8:C22"/>
    <mergeCell ref="D8:D22"/>
    <mergeCell ref="E8:E22"/>
    <mergeCell ref="F8:F22"/>
    <mergeCell ref="G8:G22"/>
    <mergeCell ref="H8:H22"/>
    <mergeCell ref="C42:O42"/>
    <mergeCell ref="BV43:BV46"/>
    <mergeCell ref="C44:C46"/>
    <mergeCell ref="D44:D46"/>
    <mergeCell ref="E44:E46"/>
    <mergeCell ref="F44:F46"/>
    <mergeCell ref="G44:G46"/>
    <mergeCell ref="H44:H46"/>
    <mergeCell ref="BV8:BV22"/>
    <mergeCell ref="C23:O23"/>
    <mergeCell ref="C24:C39"/>
    <mergeCell ref="D24:D39"/>
    <mergeCell ref="E24:E39"/>
    <mergeCell ref="F24:F39"/>
    <mergeCell ref="G24:G39"/>
    <mergeCell ref="H24:H39"/>
    <mergeCell ref="BV24:BV41"/>
    <mergeCell ref="A47:AM47"/>
    <mergeCell ref="A49:AM49"/>
    <mergeCell ref="C50:O50"/>
    <mergeCell ref="C51:C73"/>
    <mergeCell ref="D51:D73"/>
    <mergeCell ref="E51:E73"/>
    <mergeCell ref="F51:F73"/>
    <mergeCell ref="G51:G73"/>
    <mergeCell ref="H51:H73"/>
    <mergeCell ref="A84:AM84"/>
    <mergeCell ref="C85:O85"/>
    <mergeCell ref="C86:C96"/>
    <mergeCell ref="D86:D96"/>
    <mergeCell ref="E86:E96"/>
    <mergeCell ref="F86:F96"/>
    <mergeCell ref="G86:G96"/>
    <mergeCell ref="H86:H96"/>
    <mergeCell ref="C74:O74"/>
    <mergeCell ref="C75:C83"/>
    <mergeCell ref="D75:D83"/>
    <mergeCell ref="E75:E83"/>
    <mergeCell ref="F75:F83"/>
    <mergeCell ref="G75:G83"/>
    <mergeCell ref="H75:H83"/>
    <mergeCell ref="A106:AO106"/>
    <mergeCell ref="C107:O107"/>
    <mergeCell ref="C108:C112"/>
    <mergeCell ref="D108:D112"/>
    <mergeCell ref="E108:E112"/>
    <mergeCell ref="F108:F112"/>
    <mergeCell ref="G108:G112"/>
    <mergeCell ref="H108:H112"/>
    <mergeCell ref="C97:O97"/>
    <mergeCell ref="C98:C105"/>
    <mergeCell ref="D98:D105"/>
    <mergeCell ref="E98:E105"/>
    <mergeCell ref="F98:F105"/>
    <mergeCell ref="G98:G105"/>
    <mergeCell ref="H98:H105"/>
    <mergeCell ref="A118:AM118"/>
    <mergeCell ref="C119:O119"/>
    <mergeCell ref="C120:C133"/>
    <mergeCell ref="D120:D133"/>
    <mergeCell ref="E120:E133"/>
    <mergeCell ref="F120:F133"/>
    <mergeCell ref="G120:G133"/>
    <mergeCell ref="H120:H133"/>
    <mergeCell ref="C113:O113"/>
    <mergeCell ref="C114:C117"/>
    <mergeCell ref="D114:D117"/>
    <mergeCell ref="E114:E117"/>
    <mergeCell ref="F114:F117"/>
    <mergeCell ref="G114:G117"/>
    <mergeCell ref="H114:H117"/>
    <mergeCell ref="C144:O144"/>
    <mergeCell ref="C145:C151"/>
    <mergeCell ref="D145:D151"/>
    <mergeCell ref="E145:E151"/>
    <mergeCell ref="F145:F151"/>
    <mergeCell ref="G145:G151"/>
    <mergeCell ref="H145:H151"/>
    <mergeCell ref="C134:O134"/>
    <mergeCell ref="C135:C143"/>
    <mergeCell ref="D135:D143"/>
    <mergeCell ref="E135:E143"/>
    <mergeCell ref="F135:F143"/>
    <mergeCell ref="G135:G143"/>
    <mergeCell ref="H135:H143"/>
    <mergeCell ref="F180:F189"/>
    <mergeCell ref="H180:H189"/>
    <mergeCell ref="C152:AM152"/>
    <mergeCell ref="C153:P153"/>
    <mergeCell ref="C154:C177"/>
    <mergeCell ref="F154:F177"/>
    <mergeCell ref="G154:G177"/>
    <mergeCell ref="H154:H177"/>
    <mergeCell ref="D154:D178"/>
    <mergeCell ref="E154:E178"/>
    <mergeCell ref="C180:C190"/>
    <mergeCell ref="D180:D190"/>
    <mergeCell ref="E180:E190"/>
    <mergeCell ref="G180:G190"/>
    <mergeCell ref="C200:C209"/>
    <mergeCell ref="D200:D209"/>
    <mergeCell ref="E200:E209"/>
    <mergeCell ref="F200:F209"/>
    <mergeCell ref="G200:G209"/>
    <mergeCell ref="H200:H209"/>
    <mergeCell ref="C191:O191"/>
    <mergeCell ref="C192:C198"/>
    <mergeCell ref="D192:D198"/>
    <mergeCell ref="E192:E198"/>
    <mergeCell ref="F192:F198"/>
    <mergeCell ref="G192:G198"/>
    <mergeCell ref="H192:H198"/>
    <mergeCell ref="C241:O241"/>
    <mergeCell ref="C242:C258"/>
    <mergeCell ref="D242:D258"/>
    <mergeCell ref="E242:E258"/>
    <mergeCell ref="F242:F258"/>
    <mergeCell ref="G242:G258"/>
    <mergeCell ref="H242:H258"/>
    <mergeCell ref="C210:O210"/>
    <mergeCell ref="F211:F239"/>
    <mergeCell ref="G211:G239"/>
    <mergeCell ref="H211:H239"/>
    <mergeCell ref="C211:C240"/>
    <mergeCell ref="D211:D240"/>
    <mergeCell ref="E211:E240"/>
    <mergeCell ref="A259:N259"/>
    <mergeCell ref="C260:AM260"/>
    <mergeCell ref="C261:O261"/>
    <mergeCell ref="C262:C272"/>
    <mergeCell ref="D262:D272"/>
    <mergeCell ref="E262:E272"/>
    <mergeCell ref="F262:F272"/>
    <mergeCell ref="G262:G272"/>
    <mergeCell ref="H262:H272"/>
    <mergeCell ref="C287:C290"/>
    <mergeCell ref="D287:D290"/>
    <mergeCell ref="E287:E290"/>
    <mergeCell ref="F287:F290"/>
    <mergeCell ref="G287:G290"/>
    <mergeCell ref="H287:H290"/>
    <mergeCell ref="C273:O273"/>
    <mergeCell ref="C274:C285"/>
    <mergeCell ref="D274:D285"/>
    <mergeCell ref="E274:E285"/>
    <mergeCell ref="F274:F285"/>
    <mergeCell ref="G274:G285"/>
    <mergeCell ref="H274:H285"/>
    <mergeCell ref="C326:AM326"/>
    <mergeCell ref="C327:O327"/>
    <mergeCell ref="C328:C348"/>
    <mergeCell ref="D328:D348"/>
    <mergeCell ref="E328:E348"/>
    <mergeCell ref="F328:F348"/>
    <mergeCell ref="G328:G348"/>
    <mergeCell ref="H328:H348"/>
    <mergeCell ref="C291:AM291"/>
    <mergeCell ref="C292:O292"/>
    <mergeCell ref="C293:C325"/>
    <mergeCell ref="D293:D325"/>
    <mergeCell ref="E293:E325"/>
    <mergeCell ref="F293:F325"/>
    <mergeCell ref="G293:G325"/>
    <mergeCell ref="H293:H325"/>
    <mergeCell ref="C358:C366"/>
    <mergeCell ref="D358:D366"/>
    <mergeCell ref="E358:E366"/>
    <mergeCell ref="F358:F366"/>
    <mergeCell ref="G358:G366"/>
    <mergeCell ref="H358:H366"/>
    <mergeCell ref="C349:AM349"/>
    <mergeCell ref="C350:O350"/>
    <mergeCell ref="C353:O353"/>
    <mergeCell ref="C355:AM355"/>
    <mergeCell ref="C356:AG356"/>
    <mergeCell ref="C357:O357"/>
    <mergeCell ref="C394:AM394"/>
    <mergeCell ref="C395:O395"/>
    <mergeCell ref="C396:C406"/>
    <mergeCell ref="D396:D406"/>
    <mergeCell ref="E396:E406"/>
    <mergeCell ref="F396:F406"/>
    <mergeCell ref="G396:G406"/>
    <mergeCell ref="H396:H406"/>
    <mergeCell ref="C367:AM367"/>
    <mergeCell ref="C368:O368"/>
    <mergeCell ref="C369:C393"/>
    <mergeCell ref="D369:D393"/>
    <mergeCell ref="E369:E393"/>
    <mergeCell ref="F369:F393"/>
    <mergeCell ref="G369:G393"/>
    <mergeCell ref="H369:H393"/>
    <mergeCell ref="Y391:AA391"/>
    <mergeCell ref="C424:O424"/>
    <mergeCell ref="C425:C437"/>
    <mergeCell ref="D425:D437"/>
    <mergeCell ref="E425:E437"/>
    <mergeCell ref="F425:F437"/>
    <mergeCell ref="G425:G437"/>
    <mergeCell ref="H425:H437"/>
    <mergeCell ref="C407:AM407"/>
    <mergeCell ref="C408:O408"/>
    <mergeCell ref="F409:F422"/>
    <mergeCell ref="C409:C423"/>
    <mergeCell ref="D409:D423"/>
    <mergeCell ref="E409:E423"/>
    <mergeCell ref="G409:G423"/>
    <mergeCell ref="H409:H423"/>
    <mergeCell ref="D438:AM438"/>
    <mergeCell ref="C439:AM439"/>
    <mergeCell ref="C440:O440"/>
    <mergeCell ref="C441:C470"/>
    <mergeCell ref="D441:D470"/>
    <mergeCell ref="E441:E470"/>
    <mergeCell ref="F441:F470"/>
    <mergeCell ref="G441:G470"/>
    <mergeCell ref="H441:H470"/>
    <mergeCell ref="C482:O482"/>
    <mergeCell ref="C483:C489"/>
    <mergeCell ref="D483:D489"/>
    <mergeCell ref="E483:E489"/>
    <mergeCell ref="F483:F489"/>
    <mergeCell ref="G483:G489"/>
    <mergeCell ref="H483:H489"/>
    <mergeCell ref="C473:AM473"/>
    <mergeCell ref="C474:O474"/>
    <mergeCell ref="C475:C481"/>
    <mergeCell ref="D475:D481"/>
    <mergeCell ref="E475:E481"/>
    <mergeCell ref="F475:F481"/>
    <mergeCell ref="G475:G481"/>
    <mergeCell ref="H475:H481"/>
  </mergeCells>
  <conditionalFormatting sqref="AN51:AN73 AN75:AN83 AN98:AN105 AN86:AN96 AN8:AN22 AN43:AN46 AN226:AN232 AN242:AN258 AN192:AN198 AN200:AN209 AN211:AN218 AN220:AN224 AN180:AN190 AN154:AN178 AN262:AN272 AN234:AN240 AN354 AN114:AN117 AN135:AN143 AN351:AN352 AN483:AN489 AN425:AN437 AN409:AN423 AN396:AN406 AN293:AN325 AN358:AN366 AN475:AN481 AN441:AN472 AN369:AN393 AN274:AN290 AN145:AN151 AN108:AN112 AN24:AN41 AN120:AN133 AN328:AN348">
    <cfRule type="containsText" dxfId="219" priority="161" operator="containsText" text="AZ">
      <formula>NOT(ISERROR(SEARCH("AZ",AN8)))</formula>
    </cfRule>
    <cfRule type="containsText" dxfId="218" priority="162" operator="containsText" text="RO">
      <formula>NOT(ISERROR(SEARCH("RO",AN8)))</formula>
    </cfRule>
    <cfRule type="containsText" dxfId="217" priority="163" operator="containsText" text="AM">
      <formula>NOT(ISERROR(SEARCH("AM",AN8)))</formula>
    </cfRule>
    <cfRule type="containsText" dxfId="216" priority="164" operator="containsText" text="VE">
      <formula>NOT(ISERROR(SEARCH("VE",AN8)))</formula>
    </cfRule>
  </conditionalFormatting>
  <conditionalFormatting sqref="AK143">
    <cfRule type="timePeriod" dxfId="215" priority="160" timePeriod="lastWeek">
      <formula>AND(TODAY()-ROUNDDOWN(AK143,0)&gt;=(WEEKDAY(TODAY())),TODAY()-ROUNDDOWN(AK143,0)&lt;(WEEKDAY(TODAY())+7))</formula>
    </cfRule>
  </conditionalFormatting>
  <conditionalFormatting sqref="BX351:CB352 BX369:CB393 BX396:CB406 BX425:CB437 BX42 BZ42:CB42 BX358:CB366 BX200:CB209 BX43:CB46 BX51:CB73 CB47:CB50 BX75:CB83 CB74 BX86:CB96 CB84:CB85 BX98:CB105 CB97 BX108:CB112 BX114:CB118 CB113 CB119 BX135:CB143 CB134 CB144 BX154:CB177 CB152:CB153 CB179 BX192:CB198 BX211:CB218 CB210 BX226:CB232 CB225 BX234:CB239 CB233 BX242:CB258 CB241 BX262:CB272 CB259:CB261 CB273 BX287:CB290 CB286 BX293:CB325 CB291:CB292 CB326 BX145:CB151 BX8:CB41 BX220:CB224 BX475:CB481 BX441:CB472 BX409:CB422 BX274:CB285 BX354:CB354 BX483:CB489 BX120:CB133 BX328:CB348 BX180:CB190">
    <cfRule type="cellIs" dxfId="214" priority="153" operator="between">
      <formula>0.7</formula>
      <formula>0.84</formula>
    </cfRule>
    <cfRule type="cellIs" dxfId="213" priority="154" operator="equal">
      <formula>"Aplazada"</formula>
    </cfRule>
    <cfRule type="cellIs" dxfId="212" priority="155" stopIfTrue="1" operator="between">
      <formula>0.2</formula>
      <formula>0.39</formula>
    </cfRule>
    <cfRule type="cellIs" dxfId="211" priority="156" operator="between">
      <formula>0.4</formula>
      <formula>0.59</formula>
    </cfRule>
    <cfRule type="cellIs" dxfId="210" priority="157" operator="between">
      <formula>0.6</formula>
      <formula>0.69</formula>
    </cfRule>
    <cfRule type="cellIs" dxfId="209" priority="158" operator="greaterThan">
      <formula>0.85</formula>
    </cfRule>
    <cfRule type="cellIs" dxfId="208" priority="159" operator="lessThan">
      <formula>0.19</formula>
    </cfRule>
  </conditionalFormatting>
  <conditionalFormatting sqref="BY351:CB352 BY369:CB393 BY396:CB406 BY425:CB437 BZ42:CB42 BY358:CB366 BY200:CB209 BY43:CB46 BY51:CB73 CB47:CB50 BY75:CB83 CB74 BY86:CB96 CB84:CB85 BY98:CB105 CB97 BY108:CB112 BY114:CB118 CB113 CB119 BY135:CB143 CB134 CB144 BY154:CB177 CB152:CB153 CB179 BY192:CB198 BY211:CB218 CB210 BY226:CB232 CB225 BY234:CB239 CB233 BY242:CB258 CB241 BY262:CB272 CB259:CB261 CB273 BY287:CB290 CB286 BY293:CB325 CB291:CB292 CB326 BY145:CB151 BY8:CB41 BY220:CB224 BY475:CB481 BY441:CB472 BY409:CB422 BY180:CB190 BY274:CB285 BY354:CB354 BY483:CB489 BY120:CB133 BY328:CB348">
    <cfRule type="cellIs" dxfId="207" priority="152" operator="equal">
      <formula>"No Programada"</formula>
    </cfRule>
  </conditionalFormatting>
  <conditionalFormatting sqref="CB350">
    <cfRule type="cellIs" dxfId="206" priority="145" operator="between">
      <formula>0.7</formula>
      <formula>0.84</formula>
    </cfRule>
    <cfRule type="cellIs" dxfId="205" priority="146" operator="equal">
      <formula>"Aplazada"</formula>
    </cfRule>
    <cfRule type="cellIs" dxfId="204" priority="147" stopIfTrue="1" operator="between">
      <formula>0.2</formula>
      <formula>0.39</formula>
    </cfRule>
    <cfRule type="cellIs" dxfId="203" priority="148" operator="between">
      <formula>0.4</formula>
      <formula>0.59</formula>
    </cfRule>
    <cfRule type="cellIs" dxfId="202" priority="149" operator="between">
      <formula>0.6</formula>
      <formula>0.69</formula>
    </cfRule>
    <cfRule type="cellIs" dxfId="201" priority="150" operator="greaterThan">
      <formula>0.85</formula>
    </cfRule>
    <cfRule type="cellIs" dxfId="200" priority="151" operator="lessThan">
      <formula>0.19</formula>
    </cfRule>
  </conditionalFormatting>
  <conditionalFormatting sqref="CB350">
    <cfRule type="cellIs" dxfId="199" priority="144" operator="equal">
      <formula>"No Programada"</formula>
    </cfRule>
  </conditionalFormatting>
  <conditionalFormatting sqref="CB355">
    <cfRule type="cellIs" dxfId="198" priority="137" operator="between">
      <formula>0.7</formula>
      <formula>0.84</formula>
    </cfRule>
    <cfRule type="cellIs" dxfId="197" priority="138" operator="equal">
      <formula>"Aplazada"</formula>
    </cfRule>
    <cfRule type="cellIs" dxfId="196" priority="139" stopIfTrue="1" operator="between">
      <formula>0.2</formula>
      <formula>0.39</formula>
    </cfRule>
    <cfRule type="cellIs" dxfId="195" priority="140" operator="between">
      <formula>0.4</formula>
      <formula>0.59</formula>
    </cfRule>
    <cfRule type="cellIs" dxfId="194" priority="141" operator="between">
      <formula>0.6</formula>
      <formula>0.69</formula>
    </cfRule>
    <cfRule type="cellIs" dxfId="193" priority="142" operator="greaterThan">
      <formula>0.85</formula>
    </cfRule>
    <cfRule type="cellIs" dxfId="192" priority="143" operator="lessThan">
      <formula>0.19</formula>
    </cfRule>
  </conditionalFormatting>
  <conditionalFormatting sqref="CB355">
    <cfRule type="cellIs" dxfId="191" priority="136" operator="equal">
      <formula>"No Programada"</formula>
    </cfRule>
  </conditionalFormatting>
  <conditionalFormatting sqref="CB356">
    <cfRule type="cellIs" dxfId="190" priority="129" operator="between">
      <formula>0.7</formula>
      <formula>0.84</formula>
    </cfRule>
    <cfRule type="cellIs" dxfId="189" priority="130" operator="equal">
      <formula>"Aplazada"</formula>
    </cfRule>
    <cfRule type="cellIs" dxfId="188" priority="131" stopIfTrue="1" operator="between">
      <formula>0.2</formula>
      <formula>0.39</formula>
    </cfRule>
    <cfRule type="cellIs" dxfId="187" priority="132" operator="between">
      <formula>0.4</formula>
      <formula>0.59</formula>
    </cfRule>
    <cfRule type="cellIs" dxfId="186" priority="133" operator="between">
      <formula>0.6</formula>
      <formula>0.69</formula>
    </cfRule>
    <cfRule type="cellIs" dxfId="185" priority="134" operator="greaterThan">
      <formula>0.85</formula>
    </cfRule>
    <cfRule type="cellIs" dxfId="184" priority="135" operator="lessThan">
      <formula>0.19</formula>
    </cfRule>
  </conditionalFormatting>
  <conditionalFormatting sqref="CB356">
    <cfRule type="cellIs" dxfId="183" priority="128" operator="equal">
      <formula>"No Programada"</formula>
    </cfRule>
  </conditionalFormatting>
  <conditionalFormatting sqref="CB357">
    <cfRule type="cellIs" dxfId="182" priority="121" operator="between">
      <formula>0.7</formula>
      <formula>0.84</formula>
    </cfRule>
    <cfRule type="cellIs" dxfId="181" priority="122" operator="equal">
      <formula>"Aplazada"</formula>
    </cfRule>
    <cfRule type="cellIs" dxfId="180" priority="123" stopIfTrue="1" operator="between">
      <formula>0.2</formula>
      <formula>0.39</formula>
    </cfRule>
    <cfRule type="cellIs" dxfId="179" priority="124" operator="between">
      <formula>0.4</formula>
      <formula>0.59</formula>
    </cfRule>
    <cfRule type="cellIs" dxfId="178" priority="125" operator="between">
      <formula>0.6</formula>
      <formula>0.69</formula>
    </cfRule>
    <cfRule type="cellIs" dxfId="177" priority="126" operator="greaterThan">
      <formula>0.85</formula>
    </cfRule>
    <cfRule type="cellIs" dxfId="176" priority="127" operator="lessThan">
      <formula>0.19</formula>
    </cfRule>
  </conditionalFormatting>
  <conditionalFormatting sqref="CB357">
    <cfRule type="cellIs" dxfId="175" priority="120" operator="equal">
      <formula>"No Programada"</formula>
    </cfRule>
  </conditionalFormatting>
  <conditionalFormatting sqref="CB368">
    <cfRule type="cellIs" dxfId="174" priority="113" operator="between">
      <formula>0.7</formula>
      <formula>0.84</formula>
    </cfRule>
    <cfRule type="cellIs" dxfId="173" priority="114" operator="equal">
      <formula>"Aplazada"</formula>
    </cfRule>
    <cfRule type="cellIs" dxfId="172" priority="115" stopIfTrue="1" operator="between">
      <formula>0.2</formula>
      <formula>0.39</formula>
    </cfRule>
    <cfRule type="cellIs" dxfId="171" priority="116" operator="between">
      <formula>0.4</formula>
      <formula>0.59</formula>
    </cfRule>
    <cfRule type="cellIs" dxfId="170" priority="117" operator="between">
      <formula>0.6</formula>
      <formula>0.69</formula>
    </cfRule>
    <cfRule type="cellIs" dxfId="169" priority="118" operator="greaterThan">
      <formula>0.85</formula>
    </cfRule>
    <cfRule type="cellIs" dxfId="168" priority="119" operator="lessThan">
      <formula>0.19</formula>
    </cfRule>
  </conditionalFormatting>
  <conditionalFormatting sqref="CB368">
    <cfRule type="cellIs" dxfId="167" priority="112" operator="equal">
      <formula>"No Programada"</formula>
    </cfRule>
  </conditionalFormatting>
  <conditionalFormatting sqref="CB394">
    <cfRule type="cellIs" dxfId="166" priority="105" operator="between">
      <formula>0.7</formula>
      <formula>0.84</formula>
    </cfRule>
    <cfRule type="cellIs" dxfId="165" priority="106" operator="equal">
      <formula>"Aplazada"</formula>
    </cfRule>
    <cfRule type="cellIs" dxfId="164" priority="107" stopIfTrue="1" operator="between">
      <formula>0.2</formula>
      <formula>0.39</formula>
    </cfRule>
    <cfRule type="cellIs" dxfId="163" priority="108" operator="between">
      <formula>0.4</formula>
      <formula>0.59</formula>
    </cfRule>
    <cfRule type="cellIs" dxfId="162" priority="109" operator="between">
      <formula>0.6</formula>
      <formula>0.69</formula>
    </cfRule>
    <cfRule type="cellIs" dxfId="161" priority="110" operator="greaterThan">
      <formula>0.85</formula>
    </cfRule>
    <cfRule type="cellIs" dxfId="160" priority="111" operator="lessThan">
      <formula>0.19</formula>
    </cfRule>
  </conditionalFormatting>
  <conditionalFormatting sqref="CB394">
    <cfRule type="cellIs" dxfId="159" priority="104" operator="equal">
      <formula>"No Programada"</formula>
    </cfRule>
  </conditionalFormatting>
  <conditionalFormatting sqref="CB395">
    <cfRule type="cellIs" dxfId="158" priority="97" operator="between">
      <formula>0.7</formula>
      <formula>0.84</formula>
    </cfRule>
    <cfRule type="cellIs" dxfId="157" priority="98" operator="equal">
      <formula>"Aplazada"</formula>
    </cfRule>
    <cfRule type="cellIs" dxfId="156" priority="99" stopIfTrue="1" operator="between">
      <formula>0.2</formula>
      <formula>0.39</formula>
    </cfRule>
    <cfRule type="cellIs" dxfId="155" priority="100" operator="between">
      <formula>0.4</formula>
      <formula>0.59</formula>
    </cfRule>
    <cfRule type="cellIs" dxfId="154" priority="101" operator="between">
      <formula>0.6</formula>
      <formula>0.69</formula>
    </cfRule>
    <cfRule type="cellIs" dxfId="153" priority="102" operator="greaterThan">
      <formula>0.85</formula>
    </cfRule>
    <cfRule type="cellIs" dxfId="152" priority="103" operator="lessThan">
      <formula>0.19</formula>
    </cfRule>
  </conditionalFormatting>
  <conditionalFormatting sqref="CB395">
    <cfRule type="cellIs" dxfId="151" priority="96" operator="equal">
      <formula>"No Programada"</formula>
    </cfRule>
  </conditionalFormatting>
  <conditionalFormatting sqref="CB407">
    <cfRule type="cellIs" dxfId="150" priority="89" operator="between">
      <formula>0.7</formula>
      <formula>0.84</formula>
    </cfRule>
    <cfRule type="cellIs" dxfId="149" priority="90" operator="equal">
      <formula>"Aplazada"</formula>
    </cfRule>
    <cfRule type="cellIs" dxfId="148" priority="91" stopIfTrue="1" operator="between">
      <formula>0.2</formula>
      <formula>0.39</formula>
    </cfRule>
    <cfRule type="cellIs" dxfId="147" priority="92" operator="between">
      <formula>0.4</formula>
      <formula>0.59</formula>
    </cfRule>
    <cfRule type="cellIs" dxfId="146" priority="93" operator="between">
      <formula>0.6</formula>
      <formula>0.69</formula>
    </cfRule>
    <cfRule type="cellIs" dxfId="145" priority="94" operator="greaterThan">
      <formula>0.85</formula>
    </cfRule>
    <cfRule type="cellIs" dxfId="144" priority="95" operator="lessThan">
      <formula>0.19</formula>
    </cfRule>
  </conditionalFormatting>
  <conditionalFormatting sqref="CB407">
    <cfRule type="cellIs" dxfId="143" priority="88" operator="equal">
      <formula>"No Programada"</formula>
    </cfRule>
  </conditionalFormatting>
  <conditionalFormatting sqref="CB408">
    <cfRule type="cellIs" dxfId="142" priority="81" operator="between">
      <formula>0.7</formula>
      <formula>0.84</formula>
    </cfRule>
    <cfRule type="cellIs" dxfId="141" priority="82" operator="equal">
      <formula>"Aplazada"</formula>
    </cfRule>
    <cfRule type="cellIs" dxfId="140" priority="83" stopIfTrue="1" operator="between">
      <formula>0.2</formula>
      <formula>0.39</formula>
    </cfRule>
    <cfRule type="cellIs" dxfId="139" priority="84" operator="between">
      <formula>0.4</formula>
      <formula>0.59</formula>
    </cfRule>
    <cfRule type="cellIs" dxfId="138" priority="85" operator="between">
      <formula>0.6</formula>
      <formula>0.69</formula>
    </cfRule>
    <cfRule type="cellIs" dxfId="137" priority="86" operator="greaterThan">
      <formula>0.85</formula>
    </cfRule>
    <cfRule type="cellIs" dxfId="136" priority="87" operator="lessThan">
      <formula>0.19</formula>
    </cfRule>
  </conditionalFormatting>
  <conditionalFormatting sqref="CB408">
    <cfRule type="cellIs" dxfId="135" priority="80" operator="equal">
      <formula>"No Programada"</formula>
    </cfRule>
  </conditionalFormatting>
  <conditionalFormatting sqref="CB424">
    <cfRule type="cellIs" dxfId="134" priority="73" operator="between">
      <formula>0.7</formula>
      <formula>0.84</formula>
    </cfRule>
    <cfRule type="cellIs" dxfId="133" priority="74" operator="equal">
      <formula>"Aplazada"</formula>
    </cfRule>
    <cfRule type="cellIs" dxfId="132" priority="75" stopIfTrue="1" operator="between">
      <formula>0.2</formula>
      <formula>0.39</formula>
    </cfRule>
    <cfRule type="cellIs" dxfId="131" priority="76" operator="between">
      <formula>0.4</formula>
      <formula>0.59</formula>
    </cfRule>
    <cfRule type="cellIs" dxfId="130" priority="77" operator="between">
      <formula>0.6</formula>
      <formula>0.69</formula>
    </cfRule>
    <cfRule type="cellIs" dxfId="129" priority="78" operator="greaterThan">
      <formula>0.85</formula>
    </cfRule>
    <cfRule type="cellIs" dxfId="128" priority="79" operator="lessThan">
      <formula>0.19</formula>
    </cfRule>
  </conditionalFormatting>
  <conditionalFormatting sqref="CB424">
    <cfRule type="cellIs" dxfId="127" priority="72" operator="equal">
      <formula>"No Programada"</formula>
    </cfRule>
  </conditionalFormatting>
  <conditionalFormatting sqref="CB438">
    <cfRule type="cellIs" dxfId="126" priority="65" operator="between">
      <formula>0.7</formula>
      <formula>0.84</formula>
    </cfRule>
    <cfRule type="cellIs" dxfId="125" priority="66" operator="equal">
      <formula>"Aplazada"</formula>
    </cfRule>
    <cfRule type="cellIs" dxfId="124" priority="67" stopIfTrue="1" operator="between">
      <formula>0.2</formula>
      <formula>0.39</formula>
    </cfRule>
    <cfRule type="cellIs" dxfId="123" priority="68" operator="between">
      <formula>0.4</formula>
      <formula>0.59</formula>
    </cfRule>
    <cfRule type="cellIs" dxfId="122" priority="69" operator="between">
      <formula>0.6</formula>
      <formula>0.69</formula>
    </cfRule>
    <cfRule type="cellIs" dxfId="121" priority="70" operator="greaterThan">
      <formula>0.85</formula>
    </cfRule>
    <cfRule type="cellIs" dxfId="120" priority="71" operator="lessThan">
      <formula>0.19</formula>
    </cfRule>
  </conditionalFormatting>
  <conditionalFormatting sqref="CB438">
    <cfRule type="cellIs" dxfId="119" priority="64" operator="equal">
      <formula>"No Programada"</formula>
    </cfRule>
  </conditionalFormatting>
  <conditionalFormatting sqref="CB439">
    <cfRule type="cellIs" dxfId="118" priority="57" operator="between">
      <formula>0.7</formula>
      <formula>0.84</formula>
    </cfRule>
    <cfRule type="cellIs" dxfId="117" priority="58" operator="equal">
      <formula>"Aplazada"</formula>
    </cfRule>
    <cfRule type="cellIs" dxfId="116" priority="59" stopIfTrue="1" operator="between">
      <formula>0.2</formula>
      <formula>0.39</formula>
    </cfRule>
    <cfRule type="cellIs" dxfId="115" priority="60" operator="between">
      <formula>0.4</formula>
      <formula>0.59</formula>
    </cfRule>
    <cfRule type="cellIs" dxfId="114" priority="61" operator="between">
      <formula>0.6</formula>
      <formula>0.69</formula>
    </cfRule>
    <cfRule type="cellIs" dxfId="113" priority="62" operator="greaterThan">
      <formula>0.85</formula>
    </cfRule>
    <cfRule type="cellIs" dxfId="112" priority="63" operator="lessThan">
      <formula>0.19</formula>
    </cfRule>
  </conditionalFormatting>
  <conditionalFormatting sqref="CB439">
    <cfRule type="cellIs" dxfId="111" priority="56" operator="equal">
      <formula>"No Programada"</formula>
    </cfRule>
  </conditionalFormatting>
  <conditionalFormatting sqref="CB440">
    <cfRule type="cellIs" dxfId="110" priority="49" operator="between">
      <formula>0.7</formula>
      <formula>0.84</formula>
    </cfRule>
    <cfRule type="cellIs" dxfId="109" priority="50" operator="equal">
      <formula>"Aplazada"</formula>
    </cfRule>
    <cfRule type="cellIs" dxfId="108" priority="51" stopIfTrue="1" operator="between">
      <formula>0.2</formula>
      <formula>0.39</formula>
    </cfRule>
    <cfRule type="cellIs" dxfId="107" priority="52" operator="between">
      <formula>0.4</formula>
      <formula>0.59</formula>
    </cfRule>
    <cfRule type="cellIs" dxfId="106" priority="53" operator="between">
      <formula>0.6</formula>
      <formula>0.69</formula>
    </cfRule>
    <cfRule type="cellIs" dxfId="105" priority="54" operator="greaterThan">
      <formula>0.85</formula>
    </cfRule>
    <cfRule type="cellIs" dxfId="104" priority="55" operator="lessThan">
      <formula>0.19</formula>
    </cfRule>
  </conditionalFormatting>
  <conditionalFormatting sqref="CB440">
    <cfRule type="cellIs" dxfId="103" priority="48" operator="equal">
      <formula>"No Programada"</formula>
    </cfRule>
  </conditionalFormatting>
  <conditionalFormatting sqref="CB473">
    <cfRule type="cellIs" dxfId="102" priority="41" operator="between">
      <formula>0.7</formula>
      <formula>0.84</formula>
    </cfRule>
    <cfRule type="cellIs" dxfId="101" priority="42" operator="equal">
      <formula>"Aplazada"</formula>
    </cfRule>
    <cfRule type="cellIs" dxfId="100" priority="43" stopIfTrue="1" operator="between">
      <formula>0.2</formula>
      <formula>0.39</formula>
    </cfRule>
    <cfRule type="cellIs" dxfId="99" priority="44" operator="between">
      <formula>0.4</formula>
      <formula>0.59</formula>
    </cfRule>
    <cfRule type="cellIs" dxfId="98" priority="45" operator="between">
      <formula>0.6</formula>
      <formula>0.69</formula>
    </cfRule>
    <cfRule type="cellIs" dxfId="97" priority="46" operator="greaterThan">
      <formula>0.85</formula>
    </cfRule>
    <cfRule type="cellIs" dxfId="96" priority="47" operator="lessThan">
      <formula>0.19</formula>
    </cfRule>
  </conditionalFormatting>
  <conditionalFormatting sqref="CB473">
    <cfRule type="cellIs" dxfId="95" priority="40" operator="equal">
      <formula>"No Programada"</formula>
    </cfRule>
  </conditionalFormatting>
  <conditionalFormatting sqref="CB474">
    <cfRule type="cellIs" dxfId="94" priority="33" operator="between">
      <formula>0.7</formula>
      <formula>0.84</formula>
    </cfRule>
    <cfRule type="cellIs" dxfId="93" priority="34" operator="equal">
      <formula>"Aplazada"</formula>
    </cfRule>
    <cfRule type="cellIs" dxfId="92" priority="35" stopIfTrue="1" operator="between">
      <formula>0.2</formula>
      <formula>0.39</formula>
    </cfRule>
    <cfRule type="cellIs" dxfId="91" priority="36" operator="between">
      <formula>0.4</formula>
      <formula>0.59</formula>
    </cfRule>
    <cfRule type="cellIs" dxfId="90" priority="37" operator="between">
      <formula>0.6</formula>
      <formula>0.69</formula>
    </cfRule>
    <cfRule type="cellIs" dxfId="89" priority="38" operator="greaterThan">
      <formula>0.85</formula>
    </cfRule>
    <cfRule type="cellIs" dxfId="88" priority="39" operator="lessThan">
      <formula>0.19</formula>
    </cfRule>
  </conditionalFormatting>
  <conditionalFormatting sqref="CB474">
    <cfRule type="cellIs" dxfId="87" priority="32" operator="equal">
      <formula>"No Programada"</formula>
    </cfRule>
  </conditionalFormatting>
  <conditionalFormatting sqref="CB482">
    <cfRule type="cellIs" dxfId="86" priority="25" operator="between">
      <formula>0.7</formula>
      <formula>0.84</formula>
    </cfRule>
    <cfRule type="cellIs" dxfId="85" priority="26" operator="equal">
      <formula>"Aplazada"</formula>
    </cfRule>
    <cfRule type="cellIs" dxfId="84" priority="27" stopIfTrue="1" operator="between">
      <formula>0.2</formula>
      <formula>0.39</formula>
    </cfRule>
    <cfRule type="cellIs" dxfId="83" priority="28" operator="between">
      <formula>0.4</formula>
      <formula>0.59</formula>
    </cfRule>
    <cfRule type="cellIs" dxfId="82" priority="29" operator="between">
      <formula>0.6</formula>
      <formula>0.69</formula>
    </cfRule>
    <cfRule type="cellIs" dxfId="81" priority="30" operator="greaterThan">
      <formula>0.85</formula>
    </cfRule>
    <cfRule type="cellIs" dxfId="80" priority="31" operator="lessThan">
      <formula>0.19</formula>
    </cfRule>
  </conditionalFormatting>
  <conditionalFormatting sqref="BX178:CB178">
    <cfRule type="cellIs" dxfId="79" priority="18" operator="between">
      <formula>0.7</formula>
      <formula>0.84</formula>
    </cfRule>
    <cfRule type="cellIs" dxfId="78" priority="19" operator="equal">
      <formula>"Aplazada"</formula>
    </cfRule>
    <cfRule type="cellIs" dxfId="77" priority="20" stopIfTrue="1" operator="between">
      <formula>0.2</formula>
      <formula>0.39</formula>
    </cfRule>
    <cfRule type="cellIs" dxfId="76" priority="21" operator="between">
      <formula>0.4</formula>
      <formula>0.59</formula>
    </cfRule>
    <cfRule type="cellIs" dxfId="75" priority="22" operator="between">
      <formula>0.6</formula>
      <formula>0.69</formula>
    </cfRule>
    <cfRule type="cellIs" dxfId="74" priority="23" operator="greaterThan">
      <formula>0.85</formula>
    </cfRule>
    <cfRule type="cellIs" dxfId="73" priority="24" operator="lessThan">
      <formula>0.19</formula>
    </cfRule>
  </conditionalFormatting>
  <conditionalFormatting sqref="BY178:CB178">
    <cfRule type="cellIs" dxfId="72" priority="17" operator="equal">
      <formula>"No Programada"</formula>
    </cfRule>
  </conditionalFormatting>
  <conditionalFormatting sqref="BX240:CB240">
    <cfRule type="cellIs" dxfId="71" priority="10" operator="between">
      <formula>0.7</formula>
      <formula>0.84</formula>
    </cfRule>
    <cfRule type="cellIs" dxfId="70" priority="11" operator="equal">
      <formula>"Aplazada"</formula>
    </cfRule>
    <cfRule type="cellIs" dxfId="69" priority="12" stopIfTrue="1" operator="between">
      <formula>0.2</formula>
      <formula>0.39</formula>
    </cfRule>
    <cfRule type="cellIs" dxfId="68" priority="13" operator="between">
      <formula>0.4</formula>
      <formula>0.59</formula>
    </cfRule>
    <cfRule type="cellIs" dxfId="67" priority="14" operator="between">
      <formula>0.6</formula>
      <formula>0.69</formula>
    </cfRule>
    <cfRule type="cellIs" dxfId="66" priority="15" operator="greaterThan">
      <formula>0.85</formula>
    </cfRule>
    <cfRule type="cellIs" dxfId="65" priority="16" operator="lessThan">
      <formula>0.19</formula>
    </cfRule>
  </conditionalFormatting>
  <conditionalFormatting sqref="BY240:CB240">
    <cfRule type="cellIs" dxfId="64" priority="9" operator="equal">
      <formula>"No Programada"</formula>
    </cfRule>
  </conditionalFormatting>
  <conditionalFormatting sqref="BX423:CB423">
    <cfRule type="cellIs" dxfId="63" priority="2" operator="between">
      <formula>0.7</formula>
      <formula>0.84</formula>
    </cfRule>
    <cfRule type="cellIs" dxfId="62" priority="3" operator="equal">
      <formula>"Aplazada"</formula>
    </cfRule>
    <cfRule type="cellIs" dxfId="61" priority="4" stopIfTrue="1" operator="between">
      <formula>0.2</formula>
      <formula>0.39</formula>
    </cfRule>
    <cfRule type="cellIs" dxfId="60" priority="5" operator="between">
      <formula>0.4</formula>
      <formula>0.59</formula>
    </cfRule>
    <cfRule type="cellIs" dxfId="59" priority="6" operator="between">
      <formula>0.6</formula>
      <formula>0.69</formula>
    </cfRule>
    <cfRule type="cellIs" dxfId="58" priority="7" operator="greaterThan">
      <formula>0.85</formula>
    </cfRule>
    <cfRule type="cellIs" dxfId="57" priority="8" operator="lessThan">
      <formula>0.19</formula>
    </cfRule>
  </conditionalFormatting>
  <conditionalFormatting sqref="BY423:CB423">
    <cfRule type="cellIs" dxfId="56" priority="1" operator="equal">
      <formula>"No Programada"</formula>
    </cfRule>
  </conditionalFormatting>
  <dataValidations count="5">
    <dataValidation type="list" allowBlank="1" showInputMessage="1" showErrorMessage="1" sqref="AN86:AN96 AN369:AN393 AN441:AN472 AN425:AN437 AN120:AN133 AN262:AN272 AN274:AN285 AN287:AN290 AN358:AN366 AN354 AN293:AN325 AN135:AN143 AN24:AN41 AN483:AN489 AN475:AN481 AN409:AN423 AN396:AN406 AN351:AN352 AN145:AN151 AN114:AN117 AN108:AN112 AN154:AN178 AN180:AN190 AN220:AN224 AN234:AN240 AN211:AN218 AN200:AN209 AN192:AN198 AN242:AN258 AN226:AN232 AN43:AN46 AN8:AN22 AN98:AN105 AN75:AN83 AN51:AN73 AN328:AN348">
      <formula1>COOR</formula1>
    </dataValidation>
    <dataValidation type="list" allowBlank="1" showInputMessage="1" showErrorMessage="1" sqref="O192:O198 O369:O393 O396:O406 O475:O481 O483:O489 O409:O423 O351:O352 O242:O259 O211:O218 O354 O425:O437 O358:O366 O293:O325 O234:O240 O226:O232 O220:O224 O200:O209 O274:O285 O262:O272 O287:O290 O441:O472 O328:O348">
      <formula1>TIPO</formula1>
    </dataValidation>
    <dataValidation type="list" allowBlank="1" showInputMessage="1" showErrorMessage="1" sqref="M441:M472 M483:M489 M287:M290 M328:M348 M226:M232 M220:M224 M211:M218 M200:M209 M192:M198 M293:M325 M425:M437 M396:M406 M354 M358:M366 M369:M393 M234:M240 M475:M481 M274:M285 M351:M352 M262:M272 M242:M258 M409:M423">
      <formula1>DEPENDENCIA</formula1>
    </dataValidation>
    <dataValidation type="list" allowBlank="1" showInputMessage="1" showErrorMessage="1" sqref="L475:L481 L441:L472 L328:L348 L226:L232 L220:L224 L211:L218 L200:L209 L293:L325 L351:L352 L425:L437 L192:L198 L354 L358:L366 L369:L393 L396:L406 L287:L290 L234:L240 L274:L285 L262:L272 L483:L489 L242:L258 L409:L423">
      <formula1>ODS</formula1>
    </dataValidation>
    <dataValidation type="list" allowBlank="1" showInputMessage="1" showErrorMessage="1" sqref="B48 A438:A439 B474:B489 A473 B107:B117 B85:B105 B50:B83 B8:B46 B260:B437 B119:B258 B440:B472 A8:A22">
      <formula1>SECTOR</formula1>
    </dataValidation>
  </dataValidations>
  <pageMargins left="0.7" right="0.7" top="0.75" bottom="0.75" header="0.3" footer="0.3"/>
  <pageSetup paperSize="144" scale="27" fitToHeight="0" orientation="landscape"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74"/>
  <sheetViews>
    <sheetView topLeftCell="A4" zoomScale="80" zoomScaleNormal="80" workbookViewId="0">
      <pane ySplit="5" topLeftCell="A9" activePane="bottomLeft" state="frozen"/>
      <selection activeCell="C4" sqref="C4"/>
      <selection pane="bottomLeft" activeCell="V18" sqref="V18"/>
    </sheetView>
  </sheetViews>
  <sheetFormatPr baseColWidth="10" defaultColWidth="11.44140625" defaultRowHeight="15.6" x14ac:dyDescent="0.3"/>
  <cols>
    <col min="1" max="1" width="2.44140625" style="229" customWidth="1"/>
    <col min="2" max="2" width="3.88671875" style="229" customWidth="1"/>
    <col min="3" max="3" width="33.5546875" style="229" customWidth="1"/>
    <col min="4" max="4" width="8.88671875" style="230" customWidth="1"/>
    <col min="5" max="5" width="11.88671875" style="230" customWidth="1"/>
    <col min="6" max="6" width="15.5546875" style="230" customWidth="1"/>
    <col min="7" max="7" width="14.6640625" style="230" customWidth="1"/>
    <col min="8" max="8" width="9.88671875" style="230" customWidth="1"/>
    <col min="9" max="9" width="8.6640625" style="230" customWidth="1"/>
    <col min="10" max="10" width="9.5546875" style="230" customWidth="1"/>
    <col min="11" max="11" width="13.109375" style="230" customWidth="1"/>
    <col min="12" max="12" width="10.33203125" style="230" customWidth="1"/>
    <col min="13" max="13" width="12.33203125" style="230" customWidth="1"/>
    <col min="14" max="14" width="9.6640625" style="230" customWidth="1"/>
    <col min="15" max="15" width="11.109375" style="230" customWidth="1"/>
    <col min="16" max="16" width="11.6640625" style="230" customWidth="1"/>
    <col min="17" max="17" width="11.109375" style="230" customWidth="1"/>
    <col min="18" max="18" width="13.6640625" style="283" customWidth="1"/>
    <col min="19" max="19" width="12" style="283" customWidth="1"/>
    <col min="20" max="20" width="10" style="229" customWidth="1"/>
    <col min="21" max="21" width="4.44140625" style="229" hidden="1" customWidth="1"/>
    <col min="22" max="22" width="32.109375" style="229" customWidth="1"/>
    <col min="23" max="23" width="8.6640625" style="229" customWidth="1"/>
    <col min="24" max="24" width="11.44140625" style="229"/>
    <col min="25" max="25" width="16.109375" style="229" customWidth="1"/>
    <col min="26" max="26" width="15.5546875" style="229" customWidth="1"/>
    <col min="27" max="27" width="47.88671875" style="229" customWidth="1"/>
    <col min="28" max="28" width="10.6640625" style="229" customWidth="1"/>
    <col min="29" max="29" width="10.33203125" style="229" customWidth="1"/>
    <col min="30" max="30" width="16.109375" style="229" customWidth="1"/>
    <col min="31" max="31" width="17" style="229" customWidth="1"/>
    <col min="32" max="34" width="11.44140625" style="229" customWidth="1"/>
    <col min="35" max="35" width="14.6640625" style="229" customWidth="1"/>
    <col min="36" max="36" width="11.44140625" style="229" customWidth="1"/>
    <col min="37" max="37" width="15.6640625" style="229" customWidth="1"/>
    <col min="38" max="38" width="11.44140625" style="229" customWidth="1"/>
    <col min="39" max="39" width="15.5546875" style="229" customWidth="1"/>
    <col min="40" max="41" width="11.44140625" style="229" customWidth="1"/>
    <col min="42" max="42" width="33.88671875" style="229" customWidth="1"/>
    <col min="43" max="44" width="11.44140625" style="229" customWidth="1"/>
    <col min="45" max="45" width="17.33203125" style="229" customWidth="1"/>
    <col min="46" max="46" width="15.33203125" style="229" customWidth="1"/>
    <col min="47" max="49" width="11.44140625" style="229" customWidth="1"/>
    <col min="50" max="50" width="15.109375" style="229" customWidth="1"/>
    <col min="51" max="51" width="11.44140625" style="229" customWidth="1"/>
    <col min="52" max="52" width="15.88671875" style="229" customWidth="1"/>
    <col min="53" max="53" width="11.44140625" style="229" customWidth="1"/>
    <col min="54" max="54" width="15.109375" style="229" customWidth="1"/>
    <col min="55" max="55" width="11.44140625" style="229" customWidth="1"/>
    <col min="56" max="58" width="11.44140625" style="229"/>
    <col min="59" max="59" width="42.6640625" style="229" customWidth="1"/>
    <col min="60" max="61" width="11.44140625" style="229"/>
    <col min="62" max="62" width="16.109375" style="229" customWidth="1"/>
    <col min="63" max="63" width="16.6640625" style="229" customWidth="1"/>
    <col min="64" max="66" width="11.44140625" style="229"/>
    <col min="67" max="67" width="14.33203125" style="229" customWidth="1"/>
    <col min="68" max="68" width="11.44140625" style="229"/>
    <col min="69" max="69" width="14.33203125" style="229" customWidth="1"/>
    <col min="70" max="16384" width="11.44140625" style="229"/>
  </cols>
  <sheetData>
    <row r="1" spans="1:72" ht="15.75" x14ac:dyDescent="0.25">
      <c r="AB1" s="230"/>
      <c r="AC1" s="230"/>
      <c r="AD1" s="230"/>
      <c r="AE1" s="230"/>
      <c r="AF1" s="230"/>
      <c r="AG1" s="230"/>
      <c r="AH1" s="230"/>
      <c r="AI1" s="230"/>
      <c r="AJ1" s="230"/>
      <c r="AK1" s="230"/>
      <c r="AL1" s="230"/>
      <c r="AM1" s="230"/>
      <c r="AN1" s="283"/>
      <c r="AQ1" s="230"/>
      <c r="AR1" s="230"/>
      <c r="AS1" s="230"/>
      <c r="AT1" s="230"/>
      <c r="AU1" s="230"/>
      <c r="AV1" s="230"/>
      <c r="AW1" s="230"/>
      <c r="AX1" s="230"/>
      <c r="AY1" s="230"/>
      <c r="AZ1" s="230"/>
      <c r="BA1" s="230"/>
      <c r="BB1" s="230"/>
      <c r="BC1" s="283"/>
    </row>
    <row r="2" spans="1:72" ht="23.25" x14ac:dyDescent="0.25">
      <c r="C2" s="1712" t="s">
        <v>4717</v>
      </c>
      <c r="D2" s="1713"/>
      <c r="E2" s="1713"/>
      <c r="F2" s="1713"/>
      <c r="G2" s="1713"/>
      <c r="H2" s="1713"/>
      <c r="I2" s="1713"/>
      <c r="J2" s="1713"/>
      <c r="K2" s="1713"/>
      <c r="L2" s="1713"/>
      <c r="M2" s="1713"/>
      <c r="N2" s="1713"/>
      <c r="O2" s="1713"/>
      <c r="P2" s="1713"/>
      <c r="Q2" s="1713"/>
      <c r="R2" s="1713"/>
      <c r="S2" s="1713"/>
      <c r="T2" s="1713"/>
      <c r="AA2" s="1712" t="s">
        <v>3108</v>
      </c>
      <c r="AB2" s="1713"/>
      <c r="AC2" s="1713"/>
      <c r="AD2" s="1713"/>
      <c r="AE2" s="1713"/>
      <c r="AF2" s="1713"/>
      <c r="AG2" s="1713"/>
      <c r="AH2" s="1713"/>
      <c r="AI2" s="1713"/>
      <c r="AJ2" s="1713"/>
      <c r="AK2" s="1713"/>
      <c r="AL2" s="1713"/>
      <c r="AM2" s="1713"/>
      <c r="AN2" s="1713"/>
      <c r="AP2" s="1712" t="s">
        <v>3955</v>
      </c>
      <c r="AQ2" s="1713"/>
      <c r="AR2" s="1713"/>
      <c r="AS2" s="1713"/>
      <c r="AT2" s="1713"/>
      <c r="AU2" s="1713"/>
      <c r="AV2" s="1713"/>
      <c r="AW2" s="1713"/>
      <c r="AX2" s="1713"/>
      <c r="AY2" s="1713"/>
      <c r="AZ2" s="1713"/>
      <c r="BA2" s="1713"/>
      <c r="BB2" s="1713"/>
      <c r="BC2" s="1713"/>
    </row>
    <row r="3" spans="1:72" ht="10.5" customHeight="1" x14ac:dyDescent="0.25">
      <c r="AB3" s="230"/>
      <c r="AC3" s="230"/>
      <c r="AD3" s="230"/>
      <c r="AE3" s="230"/>
      <c r="AF3" s="230"/>
      <c r="AG3" s="230"/>
      <c r="AH3" s="230"/>
      <c r="AI3" s="230"/>
      <c r="AJ3" s="230"/>
      <c r="AK3" s="230"/>
      <c r="AL3" s="230"/>
      <c r="AM3" s="230"/>
      <c r="AN3" s="283"/>
      <c r="AQ3" s="230"/>
      <c r="AR3" s="230"/>
      <c r="AS3" s="230"/>
      <c r="AT3" s="230"/>
      <c r="AU3" s="230"/>
      <c r="AV3" s="230"/>
      <c r="AW3" s="230"/>
      <c r="AX3" s="230"/>
      <c r="AY3" s="230"/>
      <c r="AZ3" s="230"/>
      <c r="BA3" s="230"/>
      <c r="BB3" s="230"/>
      <c r="BC3" s="283"/>
    </row>
    <row r="4" spans="1:72" ht="22.5" customHeight="1" x14ac:dyDescent="0.35">
      <c r="C4" s="1753" t="s">
        <v>4718</v>
      </c>
      <c r="D4" s="1753"/>
      <c r="E4" s="1753"/>
      <c r="F4" s="1753"/>
      <c r="G4" s="1753"/>
      <c r="H4" s="1753"/>
      <c r="I4" s="1753"/>
      <c r="J4" s="1753"/>
      <c r="K4" s="1753"/>
      <c r="L4" s="1753"/>
      <c r="M4" s="1753"/>
      <c r="N4" s="1753"/>
      <c r="O4" s="1753"/>
      <c r="P4" s="1753"/>
      <c r="Q4" s="1753"/>
      <c r="R4" s="1753"/>
      <c r="S4" s="1753"/>
      <c r="T4" s="1753"/>
      <c r="AB4" s="230"/>
      <c r="AC4" s="230"/>
      <c r="AD4" s="230"/>
      <c r="AE4" s="230"/>
      <c r="AF4" s="230"/>
      <c r="AG4" s="230"/>
      <c r="AH4" s="230"/>
      <c r="AI4" s="230"/>
      <c r="AJ4" s="230"/>
      <c r="AK4" s="230"/>
      <c r="AL4" s="230"/>
      <c r="AM4" s="230"/>
      <c r="AN4" s="283"/>
      <c r="AQ4" s="230"/>
      <c r="AR4" s="230"/>
      <c r="AS4" s="230"/>
      <c r="AT4" s="230"/>
      <c r="AU4" s="230"/>
      <c r="AV4" s="230"/>
      <c r="AW4" s="230"/>
      <c r="AX4" s="230"/>
      <c r="AY4" s="230"/>
      <c r="AZ4" s="230"/>
      <c r="BA4" s="230"/>
      <c r="BB4" s="230"/>
      <c r="BC4" s="283"/>
    </row>
    <row r="5" spans="1:72" ht="22.5" customHeight="1" x14ac:dyDescent="0.35">
      <c r="C5" s="1462"/>
      <c r="D5" s="1462"/>
      <c r="E5" s="1462"/>
      <c r="F5" s="1462"/>
      <c r="G5" s="1462"/>
      <c r="H5" s="1462"/>
      <c r="I5" s="1462"/>
      <c r="J5" s="1462"/>
      <c r="K5" s="1462"/>
      <c r="L5" s="1462"/>
      <c r="M5" s="1462"/>
      <c r="N5" s="1462"/>
      <c r="O5" s="1462"/>
      <c r="P5" s="1462"/>
      <c r="Q5" s="1462"/>
      <c r="R5" s="1462"/>
      <c r="S5" s="1462"/>
      <c r="T5" s="1462"/>
      <c r="AB5" s="230"/>
      <c r="AC5" s="230"/>
      <c r="AD5" s="230"/>
      <c r="AE5" s="230"/>
      <c r="AF5" s="230"/>
      <c r="AG5" s="230"/>
      <c r="AH5" s="230"/>
      <c r="AI5" s="230"/>
      <c r="AJ5" s="230"/>
      <c r="AK5" s="230"/>
      <c r="AL5" s="230"/>
      <c r="AM5" s="230"/>
      <c r="AN5" s="283"/>
      <c r="AQ5" s="230"/>
      <c r="AR5" s="230"/>
      <c r="AS5" s="230"/>
      <c r="AT5" s="230"/>
      <c r="AU5" s="230"/>
      <c r="AV5" s="230"/>
      <c r="AW5" s="230"/>
      <c r="AX5" s="230"/>
      <c r="AY5" s="230"/>
      <c r="AZ5" s="230"/>
      <c r="BA5" s="230"/>
      <c r="BB5" s="230"/>
      <c r="BC5" s="283"/>
    </row>
    <row r="6" spans="1:72" ht="10.5" customHeight="1" x14ac:dyDescent="0.25">
      <c r="AB6" s="230"/>
      <c r="AC6" s="230"/>
      <c r="AD6" s="230"/>
      <c r="AE6" s="230"/>
      <c r="AF6" s="230"/>
      <c r="AG6" s="230"/>
      <c r="AH6" s="230"/>
      <c r="AI6" s="230"/>
      <c r="AJ6" s="230"/>
      <c r="AK6" s="230"/>
      <c r="AL6" s="230"/>
      <c r="AM6" s="230"/>
      <c r="AN6" s="283"/>
      <c r="AQ6" s="230"/>
      <c r="AR6" s="230"/>
      <c r="AS6" s="230"/>
      <c r="AT6" s="230"/>
      <c r="AU6" s="230"/>
      <c r="AV6" s="230"/>
      <c r="AW6" s="230"/>
      <c r="AX6" s="230"/>
      <c r="AY6" s="230"/>
      <c r="AZ6" s="230"/>
      <c r="BA6" s="230"/>
      <c r="BB6" s="230"/>
      <c r="BC6" s="283"/>
      <c r="BH6" s="230"/>
      <c r="BI6" s="230"/>
      <c r="BJ6" s="230"/>
      <c r="BK6" s="230"/>
      <c r="BL6" s="230"/>
      <c r="BM6" s="230"/>
      <c r="BN6" s="230"/>
      <c r="BO6" s="230"/>
      <c r="BP6" s="230"/>
      <c r="BQ6" s="230"/>
      <c r="BR6" s="230"/>
      <c r="BS6" s="230"/>
      <c r="BT6" s="283"/>
    </row>
    <row r="7" spans="1:72" ht="50.25" customHeight="1" x14ac:dyDescent="0.3">
      <c r="F7" s="1267" t="s">
        <v>4719</v>
      </c>
      <c r="G7" s="1268" t="s">
        <v>4720</v>
      </c>
      <c r="H7" s="1269" t="s">
        <v>4721</v>
      </c>
      <c r="I7" s="1270" t="s">
        <v>4722</v>
      </c>
      <c r="J7" s="1271" t="s">
        <v>4723</v>
      </c>
      <c r="K7" s="1272" t="s">
        <v>4724</v>
      </c>
      <c r="L7" s="1273" t="s">
        <v>3112</v>
      </c>
      <c r="M7" s="1274" t="s">
        <v>4725</v>
      </c>
      <c r="N7" s="1275" t="s">
        <v>3647</v>
      </c>
      <c r="O7" s="1276" t="s">
        <v>4726</v>
      </c>
      <c r="P7" s="1752" t="s">
        <v>4727</v>
      </c>
      <c r="Q7" s="1752"/>
      <c r="R7" s="1752"/>
      <c r="S7" s="1752"/>
      <c r="T7" s="1752"/>
      <c r="AB7" s="230"/>
      <c r="AC7" s="230"/>
      <c r="AD7" s="804" t="s">
        <v>4719</v>
      </c>
      <c r="AE7" s="1027" t="s">
        <v>4720</v>
      </c>
      <c r="AF7" s="1028" t="s">
        <v>4721</v>
      </c>
      <c r="AG7" s="1029" t="s">
        <v>4722</v>
      </c>
      <c r="AH7" s="1030" t="s">
        <v>4723</v>
      </c>
      <c r="AI7" s="1031" t="s">
        <v>4724</v>
      </c>
      <c r="AJ7" s="1032" t="s">
        <v>3112</v>
      </c>
      <c r="AK7" s="1243" t="s">
        <v>4725</v>
      </c>
      <c r="AL7" s="1244" t="s">
        <v>3647</v>
      </c>
      <c r="AM7" s="1245" t="s">
        <v>4726</v>
      </c>
      <c r="AN7" s="1251" t="s">
        <v>4727</v>
      </c>
      <c r="AQ7" s="230"/>
      <c r="AR7" s="230"/>
      <c r="AS7" s="804" t="s">
        <v>4719</v>
      </c>
      <c r="AT7" s="1027" t="s">
        <v>4720</v>
      </c>
      <c r="AU7" s="1028" t="s">
        <v>4721</v>
      </c>
      <c r="AV7" s="1029" t="s">
        <v>4722</v>
      </c>
      <c r="AW7" s="1030" t="s">
        <v>4723</v>
      </c>
      <c r="AX7" s="1031" t="s">
        <v>4724</v>
      </c>
      <c r="AY7" s="1032" t="s">
        <v>3112</v>
      </c>
      <c r="AZ7" s="1243" t="s">
        <v>4725</v>
      </c>
      <c r="BA7" s="1244" t="s">
        <v>3647</v>
      </c>
      <c r="BB7" s="1245" t="s">
        <v>4726</v>
      </c>
      <c r="BC7" s="1251" t="s">
        <v>4727</v>
      </c>
      <c r="BH7" s="230"/>
      <c r="BI7" s="230"/>
      <c r="BJ7" s="1403" t="s">
        <v>4719</v>
      </c>
      <c r="BK7" s="1404" t="s">
        <v>4720</v>
      </c>
      <c r="BL7" s="1405" t="s">
        <v>4721</v>
      </c>
      <c r="BM7" s="1406" t="s">
        <v>4722</v>
      </c>
      <c r="BN7" s="1407" t="s">
        <v>4723</v>
      </c>
      <c r="BO7" s="1408" t="s">
        <v>4724</v>
      </c>
      <c r="BP7" s="1409" t="s">
        <v>3112</v>
      </c>
      <c r="BQ7" s="1274" t="s">
        <v>4725</v>
      </c>
      <c r="BR7" s="1275" t="s">
        <v>3647</v>
      </c>
      <c r="BS7" s="1276" t="s">
        <v>4726</v>
      </c>
      <c r="BT7" s="1762" t="s">
        <v>4734</v>
      </c>
    </row>
    <row r="8" spans="1:72" ht="45.75" customHeight="1" x14ac:dyDescent="0.3">
      <c r="C8" s="1236" t="s">
        <v>9</v>
      </c>
      <c r="D8" s="791" t="s">
        <v>3114</v>
      </c>
      <c r="E8" s="1018" t="s">
        <v>4769</v>
      </c>
      <c r="F8" s="1026" t="s">
        <v>2598</v>
      </c>
      <c r="G8" s="1025" t="s">
        <v>4729</v>
      </c>
      <c r="H8" s="1020" t="s">
        <v>2604</v>
      </c>
      <c r="I8" s="1021" t="s">
        <v>4730</v>
      </c>
      <c r="J8" s="1022" t="s">
        <v>2600</v>
      </c>
      <c r="K8" s="1023" t="s">
        <v>4731</v>
      </c>
      <c r="L8" s="1024" t="s">
        <v>2594</v>
      </c>
      <c r="M8" s="1246" t="s">
        <v>4732</v>
      </c>
      <c r="N8" s="1244" t="s">
        <v>2464</v>
      </c>
      <c r="O8" s="1245" t="s">
        <v>2458</v>
      </c>
      <c r="P8" s="1464">
        <v>2016</v>
      </c>
      <c r="Q8" s="1464" t="s">
        <v>4733</v>
      </c>
      <c r="R8" s="1464" t="s">
        <v>4734</v>
      </c>
      <c r="S8" s="1464" t="s">
        <v>4735</v>
      </c>
      <c r="T8" s="1278" t="s">
        <v>4736</v>
      </c>
      <c r="AA8" s="1236" t="s">
        <v>9</v>
      </c>
      <c r="AB8" s="791" t="s">
        <v>3114</v>
      </c>
      <c r="AC8" s="1018" t="s">
        <v>4737</v>
      </c>
      <c r="AD8" s="1026" t="s">
        <v>2598</v>
      </c>
      <c r="AE8" s="1025" t="s">
        <v>4729</v>
      </c>
      <c r="AF8" s="1020" t="s">
        <v>2604</v>
      </c>
      <c r="AG8" s="1021" t="s">
        <v>4730</v>
      </c>
      <c r="AH8" s="1022" t="s">
        <v>2600</v>
      </c>
      <c r="AI8" s="1023" t="s">
        <v>4731</v>
      </c>
      <c r="AJ8" s="1024" t="s">
        <v>2594</v>
      </c>
      <c r="AK8" s="1246" t="s">
        <v>4732</v>
      </c>
      <c r="AL8" s="1244" t="s">
        <v>2464</v>
      </c>
      <c r="AM8" s="1245" t="s">
        <v>2458</v>
      </c>
      <c r="AN8" s="1464" t="s">
        <v>4738</v>
      </c>
      <c r="AP8" s="1236" t="s">
        <v>9</v>
      </c>
      <c r="AQ8" s="791" t="s">
        <v>3114</v>
      </c>
      <c r="AR8" s="1018" t="s">
        <v>4737</v>
      </c>
      <c r="AS8" s="1026" t="s">
        <v>2598</v>
      </c>
      <c r="AT8" s="1025" t="s">
        <v>4729</v>
      </c>
      <c r="AU8" s="1020" t="s">
        <v>2604</v>
      </c>
      <c r="AV8" s="1021" t="s">
        <v>4730</v>
      </c>
      <c r="AW8" s="1022" t="s">
        <v>2600</v>
      </c>
      <c r="AX8" s="1023" t="s">
        <v>4731</v>
      </c>
      <c r="AY8" s="1024" t="s">
        <v>2594</v>
      </c>
      <c r="AZ8" s="1246" t="s">
        <v>4732</v>
      </c>
      <c r="BA8" s="1244" t="s">
        <v>2464</v>
      </c>
      <c r="BB8" s="1245" t="s">
        <v>2458</v>
      </c>
      <c r="BC8" s="1464" t="s">
        <v>4733</v>
      </c>
      <c r="BG8" s="1236" t="s">
        <v>9</v>
      </c>
      <c r="BH8" s="791" t="s">
        <v>3114</v>
      </c>
      <c r="BI8" s="1018" t="s">
        <v>4728</v>
      </c>
      <c r="BJ8" s="1067" t="s">
        <v>2598</v>
      </c>
      <c r="BK8" s="1011" t="s">
        <v>4729</v>
      </c>
      <c r="BL8" s="1410" t="s">
        <v>2604</v>
      </c>
      <c r="BM8" s="1014" t="s">
        <v>4730</v>
      </c>
      <c r="BN8" s="774" t="s">
        <v>2600</v>
      </c>
      <c r="BO8" s="1411" t="s">
        <v>4731</v>
      </c>
      <c r="BP8" s="13" t="s">
        <v>2594</v>
      </c>
      <c r="BQ8" s="1246" t="s">
        <v>4732</v>
      </c>
      <c r="BR8" s="1244" t="s">
        <v>2464</v>
      </c>
      <c r="BS8" s="1245" t="s">
        <v>2458</v>
      </c>
      <c r="BT8" s="1762"/>
    </row>
    <row r="9" spans="1:72" x14ac:dyDescent="0.3">
      <c r="A9" s="955"/>
      <c r="B9">
        <f>SUM(F9:K9)-E9</f>
        <v>0</v>
      </c>
      <c r="C9" s="1058" t="s">
        <v>39</v>
      </c>
      <c r="D9" s="782">
        <f>COUNTIFS('PLAN ACCION 2020'!$B$7:$B$1003,C9,'PLAN ACCION 2020'!$A$7:$A$1003,"*")</f>
        <v>36</v>
      </c>
      <c r="E9" s="782">
        <f>+D9-M9</f>
        <v>29</v>
      </c>
      <c r="F9" s="1012">
        <f>COUNTIFS('PLAN ACCION 2020'!$B$8:$B$504,C9,'PLAN ACCION 2020'!$CG$8:$CG$504,$F$8)</f>
        <v>24</v>
      </c>
      <c r="G9" s="1011">
        <f>COUNTIFS('PLAN ACCION 2020'!$B$8:$B$504,C9,'PLAN ACCION 2020'!$CG$8:$CG$504,$G$8)</f>
        <v>0</v>
      </c>
      <c r="H9" s="1016">
        <f>COUNTIFS('PLAN ACCION 2020'!$B$8:$B$504,C9,'PLAN ACCION 2020'!$CG$8:$CG$504,$H$8)</f>
        <v>0</v>
      </c>
      <c r="I9" s="1013">
        <f>COUNTIFS('PLAN ACCION 2020'!$B$8:$B$504,C9,'PLAN ACCION 2020'!$CG$8:$CG$504,$I$8)</f>
        <v>0</v>
      </c>
      <c r="J9" s="785">
        <f>COUNTIFS('PLAN ACCION 2020'!$B$8:$B$504,C9,'PLAN ACCION 2020'!$CG$8:$CG$504,$J$8)</f>
        <v>3</v>
      </c>
      <c r="K9" s="1015">
        <f>COUNTIFS('PLAN ACCION 2020'!$B$8:$B$504,C9,'PLAN ACCION 2020'!$CG$8:$CG$504,$K$8)</f>
        <v>2</v>
      </c>
      <c r="L9" s="1255">
        <f>COUNTIFS('PLAN ACCION 2020'!$B$8:$B$504,C9,'PLAN ACCION 2020'!$CG$8:$CG$504,$L$8)</f>
        <v>0</v>
      </c>
      <c r="M9" s="1257">
        <f>COUNTIFS('PLAN ACCION 2020'!$B$8:$B$504,C9,'PLAN ACCION 2020'!$CG$8:$CG$504,$M$8)</f>
        <v>7</v>
      </c>
      <c r="N9" s="786">
        <f>COUNTIFS('PLAN ACCION 2020'!$B$8:$B$504,C9,'PLAN ACCION 2020'!$CG$8:$CG$504,$N$8)</f>
        <v>1</v>
      </c>
      <c r="O9" s="786">
        <f>COUNTIFS('PLAN ACCION 2020'!$B$8:$B$504,C9,'PLAN ACCION 2020'!$CG$8:$CG$504,$O$8)</f>
        <v>0</v>
      </c>
      <c r="P9" s="787">
        <f t="shared" ref="P9:P26" si="0">AN9</f>
        <v>66.666666666666671</v>
      </c>
      <c r="Q9" s="787">
        <f t="shared" ref="Q9:Q26" si="1">BC9</f>
        <v>93.548387096774192</v>
      </c>
      <c r="R9" s="787">
        <f>BT9</f>
        <v>93.75</v>
      </c>
      <c r="S9" s="787">
        <f>+(((F9+G9)*1)/(F9+G9+H9+I9+J9+K9)+(H9*0.5)/(F9+G9+H9+I9+J9+K9))*100</f>
        <v>82.758620689655174</v>
      </c>
      <c r="T9" s="1252">
        <f>(P9+Q9+R9+S9)/U9</f>
        <v>84.180918613274002</v>
      </c>
      <c r="U9" s="229">
        <f>COUNTIF(P9:S9,"&gt;=0")</f>
        <v>4</v>
      </c>
      <c r="AA9" s="1058" t="s">
        <v>39</v>
      </c>
      <c r="AB9" s="782">
        <f>COUNTIFS('PLAN ACCION 2018'!$B$7:$B$1003,AA9,'PLAN ACCION 2018'!$A$7:$A$1003,"*")</f>
        <v>37</v>
      </c>
      <c r="AC9" s="782">
        <f t="shared" ref="AC9:AC24" si="2">AB9-(AJ9+AK9+AL9)</f>
        <v>24</v>
      </c>
      <c r="AD9" s="1012">
        <f>COUNTIFS('PLAN ACCION 2018'!$B$8:$B$504,AA9,'PLAN ACCION 2018'!$CD$8:$CD$504,"VE")</f>
        <v>15</v>
      </c>
      <c r="AE9" s="1011">
        <f>COUNTIFS('PLAN ACCION 2018'!$B$8:$B$504,AA9,'PLAN ACCION 2018'!$CD$8:$CD$504,"VEB")</f>
        <v>0</v>
      </c>
      <c r="AF9" s="1016">
        <f>COUNTIFS('PLAN ACCION 2018'!$B$8:$B$504,AA9,'PLAN ACCION 2018'!$CD$8:$CD$504,"AM")</f>
        <v>0</v>
      </c>
      <c r="AG9" s="1013">
        <f>COUNTIFS('PLAN ACCION 2018'!$B$8:$B$504,AA9,'PLAN ACCION 2018'!$CD$8:$CD$504,"AMB")</f>
        <v>1</v>
      </c>
      <c r="AH9" s="785">
        <f>COUNTIFS('PLAN ACCION 2018'!$B$8:$B$504,AA9,'PLAN ACCION 2018'!$CD$8:$CD$504,"RO")</f>
        <v>0</v>
      </c>
      <c r="AI9" s="1015">
        <f>COUNTIFS('PLAN ACCION 2018'!$B$8:$B$504,AA9,'PLAN ACCION 2018'!$CD$8:$CD$504,"ROB")</f>
        <v>8</v>
      </c>
      <c r="AJ9" s="786">
        <f>COUNTIFS('PLAN ACCION 2018'!$B$8:$B$504,AA9,'PLAN ACCION 2018'!$CD$8:$CD$504,"AZ")</f>
        <v>1</v>
      </c>
      <c r="AK9" s="786">
        <f>COUNTIFS('PLAN ACCION 2018'!$B$8:$B$504,AA9,'PLAN ACCION 2018'!$CD$8:$CD$504,"NP")</f>
        <v>12</v>
      </c>
      <c r="AL9" s="786">
        <f>COUNTIFS('PLAN ACCION 2018'!$B$8:$B$504,AA9,'PLAN ACCION 2018'!$CD$8:$CD$504,"E")</f>
        <v>0</v>
      </c>
      <c r="AM9" s="786">
        <f>COUNTIFS('PLAN ACCION 2018'!$B$8:$B$504,AA9,'PLAN ACCION 2018'!$CD$8:$CD$504,"M")</f>
        <v>0</v>
      </c>
      <c r="AN9" s="787">
        <v>66.666666666666671</v>
      </c>
      <c r="AP9" s="1058" t="s">
        <v>39</v>
      </c>
      <c r="AQ9" s="782">
        <f>COUNTIFS('PLAN ACCION 2018'!$B$7:$B$1003,AP9,'PLAN ACCION 2018'!$A$7:$A$1003,"*")</f>
        <v>37</v>
      </c>
      <c r="AR9" s="782">
        <f t="shared" ref="AR9:AR24" si="3">AQ9-(AY9+AZ9+BA9)</f>
        <v>30</v>
      </c>
      <c r="AS9" s="1012">
        <f>COUNTIFS('PLAN ACCION 2018'!$B$8:$B$504,AP9,'PLAN ACCION 2018'!$CE$8:$CE$504,"VE")</f>
        <v>26</v>
      </c>
      <c r="AT9" s="1011">
        <f>COUNTIFS('PLAN ACCION 2018'!$B$8:$B$504,AP9,'PLAN ACCION 2018'!$CE$8:$CE$504,"VEB")</f>
        <v>0</v>
      </c>
      <c r="AU9" s="1016">
        <f>COUNTIFS('PLAN ACCION 2018'!$B$8:$B$504,AP9,'PLAN ACCION 2018'!$CE$8:$CE$504,"AM")</f>
        <v>0</v>
      </c>
      <c r="AV9" s="1013">
        <f>COUNTIFS('PLAN ACCION 2018'!$B$8:$B$504,AP9,'PLAN ACCION 2018'!$CE$8:$CE$504,"AMB")</f>
        <v>0</v>
      </c>
      <c r="AW9" s="785">
        <f>COUNTIFS('PLAN ACCION 2018'!$B$8:$B$504,AP9,'PLAN ACCION 2018'!$CE$8:$CE$504,"RO")</f>
        <v>2</v>
      </c>
      <c r="AX9" s="1015">
        <f>COUNTIFS('PLAN ACCION 2018'!$B$8:$B$504,AP9,'PLAN ACCION 2018'!$CE$8:$CE$504,"ROB")</f>
        <v>2</v>
      </c>
      <c r="AY9" s="786">
        <f>COUNTIFS('PLAN ACCION 2018'!$B$8:$B$504,AP9,'PLAN ACCION 2018'!$CE$8:$CE$504,"AZ")</f>
        <v>2</v>
      </c>
      <c r="AZ9" s="786">
        <f>COUNTIFS('PLAN ACCION 2018'!$B$8:$B$504,AP9,'PLAN ACCION 2018'!$CE$8:$CE$504,"NP")</f>
        <v>5</v>
      </c>
      <c r="BA9" s="786">
        <f>COUNTIFS('PLAN ACCION 2018'!$B$8:$B$504,AP9,'PLAN ACCION 2018'!$CE$8:$CE$504,"E")</f>
        <v>0</v>
      </c>
      <c r="BB9" s="786">
        <f>COUNTIFS('PLAN ACCION 2018'!$B$8:$B$504,AP9,'PLAN ACCION 2018'!$CE$8:$CE$504,"M")</f>
        <v>0</v>
      </c>
      <c r="BC9" s="787">
        <v>93.548387096774192</v>
      </c>
      <c r="BF9">
        <f>SUM(BJ9:BO9)-BI9</f>
        <v>1</v>
      </c>
      <c r="BG9" s="1400" t="s">
        <v>39</v>
      </c>
      <c r="BH9" s="782">
        <v>36</v>
      </c>
      <c r="BI9" s="1402">
        <f>BH9-(BP9+BQ9+BR9)</f>
        <v>31</v>
      </c>
      <c r="BJ9" s="1067">
        <f>COUNTIFS('PLAN ACCION 2018'!$B$8:$B$504,BG9,'PLAN ACCION 2018'!$CF$8:$CF$504,$F$8)</f>
        <v>28</v>
      </c>
      <c r="BK9" s="1011">
        <f>COUNTIFS('PLAN ACCION 2018'!$B$8:$B$504,BG9,'PLAN ACCION 2018'!$CF$8:$CF$504,$G$8)</f>
        <v>2</v>
      </c>
      <c r="BL9" s="808">
        <f>COUNTIFS('PLAN ACCION 2018'!$B$8:$B$504,BG9,'PLAN ACCION 2018'!$CF$8:$CF$504,$H$8)</f>
        <v>0</v>
      </c>
      <c r="BM9" s="1014">
        <f>COUNTIFS('PLAN ACCION 2018'!$B$8:$B$504,BG9,'PLAN ACCION 2018'!$CF$8:$CF$504,$I$8)</f>
        <v>0</v>
      </c>
      <c r="BN9" s="774">
        <f>COUNTIFS('PLAN ACCION 2018'!$B$8:$B$504,BG9,'PLAN ACCION 2018'!$CF$8:$CF$504,$J$8)</f>
        <v>2</v>
      </c>
      <c r="BO9" s="809">
        <f>COUNTIFS('PLAN ACCION 2018'!$B$8:$B$504,BG9,'PLAN ACCION 2018'!$CF$8:$CF$504,$K$8)</f>
        <v>0</v>
      </c>
      <c r="BP9" s="810">
        <f>COUNTIFS('PLAN ACCION 2018'!$B$8:$B$504,BG9,'PLAN ACCION 2018'!$CF$8:$CF$504,$L$8)</f>
        <v>0</v>
      </c>
      <c r="BQ9" s="1258">
        <f>COUNTIFS('PLAN ACCION 2018'!$B$8:$B$504,BG9,'PLAN ACCION 2018'!$CF$8:$CF$504,$M$8)</f>
        <v>4</v>
      </c>
      <c r="BR9" s="779">
        <f>COUNTIFS('PLAN ACCION 2018'!$B$8:$B$504,BG9,'PLAN ACCION 2018'!$CF$8:$CF$504,$N$8)</f>
        <v>1</v>
      </c>
      <c r="BS9" s="779">
        <f>COUNTIFS('PLAN ACCION 2018'!$B$8:$B$504,BG9,'PLAN ACCION 2018'!$CF$8:$CF$504,$O$8)</f>
        <v>0</v>
      </c>
      <c r="BT9" s="772">
        <f>+(((BJ9+BK9)*1)/(BJ9+BK9+BL9+BM9+BN9+BO9)+(BL9*0.5)/(BJ9+BK9+BL9+BM9+BN9+BO9))*100</f>
        <v>93.75</v>
      </c>
    </row>
    <row r="10" spans="1:72" ht="15.75" x14ac:dyDescent="0.25">
      <c r="B10">
        <f t="shared" ref="B10:B25" si="4">SUM(F10:K10)-E10</f>
        <v>0</v>
      </c>
      <c r="C10" s="1056" t="s">
        <v>2250</v>
      </c>
      <c r="D10" s="782">
        <v>61</v>
      </c>
      <c r="E10" s="782">
        <f t="shared" ref="E10:E25" si="5">+D10-M10</f>
        <v>61</v>
      </c>
      <c r="F10" s="1012">
        <v>57</v>
      </c>
      <c r="G10" s="1011">
        <v>0</v>
      </c>
      <c r="H10" s="1016">
        <v>0</v>
      </c>
      <c r="I10" s="1013">
        <v>0</v>
      </c>
      <c r="J10" s="785">
        <v>0</v>
      </c>
      <c r="K10" s="1015">
        <v>4</v>
      </c>
      <c r="L10" s="1255"/>
      <c r="M10" s="1257"/>
      <c r="N10" s="786">
        <v>0</v>
      </c>
      <c r="O10" s="786"/>
      <c r="P10" s="787">
        <f t="shared" si="0"/>
        <v>100</v>
      </c>
      <c r="Q10" s="787">
        <v>91</v>
      </c>
      <c r="R10" s="787">
        <f t="shared" ref="R10:R26" si="6">BT10</f>
        <v>91.525423728813564</v>
      </c>
      <c r="S10" s="787">
        <f>+(((F10+G10)*1)/(F10+G10+H10+I10+J10+K10)+(H10*0.5)/(F10+G10+H10+I10+J10+K10))*100</f>
        <v>93.442622950819683</v>
      </c>
      <c r="T10" s="1252">
        <f t="shared" ref="T10:T26" si="7">(P10+Q10+R10+S10)/U10</f>
        <v>93.992011669908308</v>
      </c>
      <c r="U10" s="229">
        <f t="shared" ref="U10:U26" si="8">COUNTIF(P10:S10,"&gt;=0")</f>
        <v>4</v>
      </c>
      <c r="AA10" s="1056" t="s">
        <v>2250</v>
      </c>
      <c r="AB10" s="782">
        <f>COUNTIFS('PLAN ACCION 2018'!$B$7:$B$1003,AA10,'PLAN ACCION 2018'!$A$7:$A$1003,"*")</f>
        <v>0</v>
      </c>
      <c r="AC10" s="782">
        <f t="shared" si="2"/>
        <v>0</v>
      </c>
      <c r="AD10" s="1012">
        <f>COUNTIFS('PLAN ACCION 2018'!$B$8:$B$504,AA10,'PLAN ACCION 2018'!$CD$8:$CD$504,"VE")</f>
        <v>0</v>
      </c>
      <c r="AE10" s="1011">
        <f>COUNTIFS('PLAN ACCION 2018'!$B$8:$B$504,AA10,'PLAN ACCION 2018'!$CD$8:$CD$504,"VEB")</f>
        <v>0</v>
      </c>
      <c r="AF10" s="1016">
        <f>COUNTIFS('PLAN ACCION 2018'!$B$8:$B$504,AA10,'PLAN ACCION 2018'!$CD$8:$CD$504,"AM")</f>
        <v>0</v>
      </c>
      <c r="AG10" s="1013">
        <f>COUNTIFS('PLAN ACCION 2018'!$B$8:$B$504,AA10,'PLAN ACCION 2018'!$CD$8:$CD$504,"AMB")</f>
        <v>0</v>
      </c>
      <c r="AH10" s="785">
        <f>COUNTIFS('PLAN ACCION 2018'!$B$8:$B$504,AA10,'PLAN ACCION 2018'!$CD$8:$CD$504,"RO")</f>
        <v>0</v>
      </c>
      <c r="AI10" s="1015">
        <f>COUNTIFS('PLAN ACCION 2018'!$B$8:$B$504,AA10,'PLAN ACCION 2018'!$CD$8:$CD$504,"ROB")</f>
        <v>0</v>
      </c>
      <c r="AJ10" s="786">
        <f>COUNTIFS('PLAN ACCION 2018'!$B$8:$B$504,AA10,'PLAN ACCION 2018'!$CD$8:$CD$504,"AZ")</f>
        <v>0</v>
      </c>
      <c r="AK10" s="786">
        <f>COUNTIFS('PLAN ACCION 2018'!$B$8:$B$504,AA10,'PLAN ACCION 2018'!$CD$8:$CD$504,"NP")</f>
        <v>0</v>
      </c>
      <c r="AL10" s="786">
        <f>COUNTIFS('PLAN ACCION 2018'!$B$8:$B$504,AA10,'PLAN ACCION 2018'!$CD$8:$CD$504,"E")</f>
        <v>0</v>
      </c>
      <c r="AM10" s="786">
        <f>COUNTIFS('PLAN ACCION 2018'!$B$8:$B$504,AA10,'PLAN ACCION 2018'!$CD$8:$CD$504,"M")</f>
        <v>0</v>
      </c>
      <c r="AN10" s="787">
        <v>100</v>
      </c>
      <c r="AP10" s="1056" t="s">
        <v>2250</v>
      </c>
      <c r="AQ10" s="782">
        <f>COUNTIFS('PLAN ACCION 2018'!$B$7:$B$1003,AP10,'PLAN ACCION 2018'!$A$7:$A$1003,"*")</f>
        <v>0</v>
      </c>
      <c r="AR10" s="782">
        <f t="shared" si="3"/>
        <v>0</v>
      </c>
      <c r="AS10" s="1012">
        <f>COUNTIFS('PLAN ACCION 2018'!$B$8:$B$504,AP10,'PLAN ACCION 2018'!$CE$8:$CE$504,"VE")</f>
        <v>0</v>
      </c>
      <c r="AT10" s="1011">
        <f>COUNTIFS('PLAN ACCION 2018'!$B$8:$B$504,AP10,'PLAN ACCION 2018'!$CE$8:$CE$504,"VEB")</f>
        <v>0</v>
      </c>
      <c r="AU10" s="1016">
        <f>COUNTIFS('PLAN ACCION 2018'!$B$8:$B$504,AP10,'PLAN ACCION 2018'!$CE$8:$CE$504,"AM")</f>
        <v>0</v>
      </c>
      <c r="AV10" s="1013">
        <f>COUNTIFS('PLAN ACCION 2018'!$B$8:$B$504,AP10,'PLAN ACCION 2018'!$CE$8:$CE$504,"AMB")</f>
        <v>0</v>
      </c>
      <c r="AW10" s="785">
        <f>COUNTIFS('PLAN ACCION 2018'!$B$8:$B$504,AP10,'PLAN ACCION 2018'!$CE$8:$CE$504,"RO")</f>
        <v>0</v>
      </c>
      <c r="AX10" s="1015">
        <f>COUNTIFS('PLAN ACCION 2018'!$B$8:$B$504,AP10,'PLAN ACCION 2018'!$CE$8:$CE$504,"ROB")</f>
        <v>0</v>
      </c>
      <c r="AY10" s="786">
        <f>COUNTIFS('PLAN ACCION 2018'!$B$8:$B$504,AP10,'PLAN ACCION 2018'!$CE$8:$CE$504,"AZ")</f>
        <v>0</v>
      </c>
      <c r="AZ10" s="786">
        <f>COUNTIFS('PLAN ACCION 2018'!$B$8:$B$504,AP10,'PLAN ACCION 2018'!$CE$8:$CE$504,"NP")</f>
        <v>0</v>
      </c>
      <c r="BA10" s="786">
        <f>COUNTIFS('PLAN ACCION 2018'!$B$8:$B$504,AP10,'PLAN ACCION 2018'!$CE$8:$CE$504,"E")</f>
        <v>0</v>
      </c>
      <c r="BB10" s="786">
        <f>COUNTIFS('PLAN ACCION 2018'!$B$8:$B$504,AP10,'PLAN ACCION 2018'!$CE$8:$CE$504,"M")</f>
        <v>0</v>
      </c>
      <c r="BC10" s="787">
        <v>81.967213114754102</v>
      </c>
      <c r="BF10">
        <f t="shared" ref="BF10:BF25" si="9">SUM(BJ10:BO10)-BI10</f>
        <v>-2</v>
      </c>
      <c r="BG10" s="1253" t="s">
        <v>2250</v>
      </c>
      <c r="BH10" s="782">
        <v>61</v>
      </c>
      <c r="BI10" s="1402">
        <f t="shared" ref="BI10:BI21" si="10">BH10-(BP10+BQ10+BR10)</f>
        <v>61</v>
      </c>
      <c r="BJ10" s="1067">
        <v>48</v>
      </c>
      <c r="BK10" s="1011">
        <v>2</v>
      </c>
      <c r="BL10" s="808">
        <v>0</v>
      </c>
      <c r="BM10" s="1014">
        <v>8</v>
      </c>
      <c r="BN10" s="774">
        <v>0</v>
      </c>
      <c r="BO10" s="809">
        <v>1</v>
      </c>
      <c r="BP10" s="810">
        <v>0</v>
      </c>
      <c r="BQ10" s="1258">
        <v>0</v>
      </c>
      <c r="BR10" s="779">
        <v>0</v>
      </c>
      <c r="BS10" s="779">
        <v>0</v>
      </c>
      <c r="BT10" s="772">
        <f t="shared" ref="BT10:BT26" si="11">+(((BJ10+BK10)*1)/(BJ10+BK10+BL10+BM10+BN10+BO10)+((BL10+BM10)*0.5)/(BJ10+BK10+BL10+BM10+BN10+BO10))*100</f>
        <v>91.525423728813564</v>
      </c>
    </row>
    <row r="11" spans="1:72" ht="15.75" x14ac:dyDescent="0.25">
      <c r="A11" s="955"/>
      <c r="B11">
        <f t="shared" si="4"/>
        <v>0</v>
      </c>
      <c r="C11" s="1056" t="s">
        <v>384</v>
      </c>
      <c r="D11" s="782">
        <f>COUNTIFS('PLAN ACCION 2020'!$B$7:$B$1003,C11,'PLAN ACCION 2020'!$A$7:$A$1003,"*")</f>
        <v>30</v>
      </c>
      <c r="E11" s="782">
        <f t="shared" si="5"/>
        <v>25</v>
      </c>
      <c r="F11" s="1012">
        <f>COUNTIFS('PLAN ACCION 2020'!$B$8:$B$504,C11,'PLAN ACCION 2020'!$CG$8:$CG$504,$F$8)</f>
        <v>11</v>
      </c>
      <c r="G11" s="1011">
        <f>COUNTIFS('PLAN ACCION 2020'!$B$8:$B$504,C11,'PLAN ACCION 2020'!$CG$8:$CG$504,$G$8)</f>
        <v>2</v>
      </c>
      <c r="H11" s="1016">
        <f>COUNTIFS('PLAN ACCION 2020'!$B$8:$B$504,C11,'PLAN ACCION 2020'!$CG$8:$CG$504,$H$8)</f>
        <v>1</v>
      </c>
      <c r="I11" s="1013">
        <f>COUNTIFS('PLAN ACCION 2020'!$B$8:$B$504,C11,'PLAN ACCION 2020'!$CG$8:$CG$504,$I$8)</f>
        <v>1</v>
      </c>
      <c r="J11" s="785">
        <f>COUNTIFS('PLAN ACCION 2020'!$B$8:$B$504,C11,'PLAN ACCION 2020'!$CG$8:$CG$504,$J$8)</f>
        <v>2</v>
      </c>
      <c r="K11" s="1015">
        <f>COUNTIFS('PLAN ACCION 2020'!$B$8:$B$504,C11,'PLAN ACCION 2020'!$CG$8:$CG$504,$K$8)</f>
        <v>8</v>
      </c>
      <c r="L11" s="1255">
        <f>COUNTIFS('PLAN ACCION 2020'!$B$8:$B$504,C11,'PLAN ACCION 2020'!$CG$8:$CG$504,$L$8)</f>
        <v>0</v>
      </c>
      <c r="M11" s="1257">
        <f>COUNTIFS('PLAN ACCION 2020'!$B$8:$B$504,C11,'PLAN ACCION 2020'!$CG$8:$CG$504,$M$8)</f>
        <v>5</v>
      </c>
      <c r="N11" s="786">
        <f>COUNTIFS('PLAN ACCION 2020'!$B$8:$B$504,C11,'PLAN ACCION 2020'!$CG$8:$CG$504,$N$8)</f>
        <v>0</v>
      </c>
      <c r="O11" s="786">
        <f>COUNTIFS('PLAN ACCION 2020'!$B$8:$B$504,C11,'PLAN ACCION 2020'!$CG$8:$CG$504,$O$8)</f>
        <v>0</v>
      </c>
      <c r="P11" s="787">
        <f t="shared" si="0"/>
        <v>97.727272727272734</v>
      </c>
      <c r="Q11" s="787">
        <f t="shared" si="1"/>
        <v>89.130434782608688</v>
      </c>
      <c r="R11" s="787">
        <f t="shared" si="6"/>
        <v>90.909090909090907</v>
      </c>
      <c r="S11" s="787">
        <f t="shared" ref="S11:S26" si="12">+(((F11+G11)*1)/(F11+G11+H11+I11+J11+K11)+(H11*0.5)/(F11+G11+H11+I11+J11+K11))*100</f>
        <v>54</v>
      </c>
      <c r="T11" s="1252">
        <f t="shared" si="7"/>
        <v>82.941699604743093</v>
      </c>
      <c r="U11" s="229">
        <f t="shared" si="8"/>
        <v>4</v>
      </c>
      <c r="AA11" s="1056" t="s">
        <v>384</v>
      </c>
      <c r="AB11" s="782">
        <f>COUNTIFS('PLAN ACCION 2018'!$B$7:$B$1003,AA11,'PLAN ACCION 2018'!$A$7:$A$1003,"*")</f>
        <v>30</v>
      </c>
      <c r="AC11" s="782">
        <f t="shared" si="2"/>
        <v>24</v>
      </c>
      <c r="AD11" s="1012">
        <f>COUNTIFS('PLAN ACCION 2018'!$B$8:$B$504,AA11,'PLAN ACCION 2018'!$CD$8:$CD$504,"VE")</f>
        <v>22</v>
      </c>
      <c r="AE11" s="1011">
        <f>COUNTIFS('PLAN ACCION 2018'!$B$8:$B$504,AA11,'PLAN ACCION 2018'!$CD$8:$CD$504,"VEB")</f>
        <v>0</v>
      </c>
      <c r="AF11" s="1016">
        <f>COUNTIFS('PLAN ACCION 2018'!$B$8:$B$504,AA11,'PLAN ACCION 2018'!$CD$8:$CD$504,"AM")</f>
        <v>0</v>
      </c>
      <c r="AG11" s="1013">
        <f>COUNTIFS('PLAN ACCION 2018'!$B$8:$B$504,AA11,'PLAN ACCION 2018'!$CD$8:$CD$504,"AMB")</f>
        <v>0</v>
      </c>
      <c r="AH11" s="785">
        <f>COUNTIFS('PLAN ACCION 2018'!$B$8:$B$504,AA11,'PLAN ACCION 2018'!$CD$8:$CD$504,"RO")</f>
        <v>0</v>
      </c>
      <c r="AI11" s="1015">
        <f>COUNTIFS('PLAN ACCION 2018'!$B$8:$B$504,AA11,'PLAN ACCION 2018'!$CD$8:$CD$504,"ROB")</f>
        <v>4</v>
      </c>
      <c r="AJ11" s="786">
        <f>COUNTIFS('PLAN ACCION 2018'!$B$8:$B$504,AA11,'PLAN ACCION 2018'!$CD$8:$CD$504,"AZ")</f>
        <v>2</v>
      </c>
      <c r="AK11" s="786">
        <f>COUNTIFS('PLAN ACCION 2018'!$B$8:$B$504,AA11,'PLAN ACCION 2018'!$CD$8:$CD$504,"NP")</f>
        <v>4</v>
      </c>
      <c r="AL11" s="786">
        <f>COUNTIFS('PLAN ACCION 2018'!$B$8:$B$504,AA11,'PLAN ACCION 2018'!$CD$8:$CD$504,"E")</f>
        <v>0</v>
      </c>
      <c r="AM11" s="786">
        <f>COUNTIFS('PLAN ACCION 2018'!$B$8:$B$504,AA11,'PLAN ACCION 2018'!$CD$8:$CD$504,"M")</f>
        <v>0</v>
      </c>
      <c r="AN11" s="787">
        <v>97.727272727272734</v>
      </c>
      <c r="AP11" s="1056" t="s">
        <v>384</v>
      </c>
      <c r="AQ11" s="782">
        <f>COUNTIFS('PLAN ACCION 2018'!$B$7:$B$1003,AP11,'PLAN ACCION 2018'!$A$7:$A$1003,"*")</f>
        <v>30</v>
      </c>
      <c r="AR11" s="782">
        <f t="shared" si="3"/>
        <v>21</v>
      </c>
      <c r="AS11" s="1012">
        <f>COUNTIFS('PLAN ACCION 2018'!$B$8:$B$504,AP11,'PLAN ACCION 2018'!$CE$8:$CE$504,"VE")</f>
        <v>20</v>
      </c>
      <c r="AT11" s="1011">
        <f>COUNTIFS('PLAN ACCION 2018'!$B$8:$B$504,AP11,'PLAN ACCION 2018'!$CE$8:$CE$504,"VEB")</f>
        <v>0</v>
      </c>
      <c r="AU11" s="1016">
        <f>COUNTIFS('PLAN ACCION 2018'!$B$8:$B$504,AP11,'PLAN ACCION 2018'!$CE$8:$CE$504,"AM")</f>
        <v>0</v>
      </c>
      <c r="AV11" s="1013">
        <f>COUNTIFS('PLAN ACCION 2018'!$B$8:$B$504,AP11,'PLAN ACCION 2018'!$CE$8:$CE$504,"AMB")</f>
        <v>0</v>
      </c>
      <c r="AW11" s="785">
        <f>COUNTIFS('PLAN ACCION 2018'!$B$8:$B$504,AP11,'PLAN ACCION 2018'!$CE$8:$CE$504,"RO")</f>
        <v>0</v>
      </c>
      <c r="AX11" s="1015">
        <f>COUNTIFS('PLAN ACCION 2018'!$B$8:$B$504,AP11,'PLAN ACCION 2018'!$CE$8:$CE$504,"ROB")</f>
        <v>1</v>
      </c>
      <c r="AY11" s="786">
        <f>COUNTIFS('PLAN ACCION 2018'!$B$8:$B$504,AP11,'PLAN ACCION 2018'!$CE$8:$CE$504,"AZ")</f>
        <v>2</v>
      </c>
      <c r="AZ11" s="786">
        <f>COUNTIFS('PLAN ACCION 2018'!$B$8:$B$504,AP11,'PLAN ACCION 2018'!$CE$8:$CE$504,"NP")</f>
        <v>7</v>
      </c>
      <c r="BA11" s="786">
        <f>COUNTIFS('PLAN ACCION 2018'!$B$8:$B$504,AP11,'PLAN ACCION 2018'!$CE$8:$CE$504,"E")</f>
        <v>0</v>
      </c>
      <c r="BB11" s="786">
        <f>COUNTIFS('PLAN ACCION 2018'!$B$8:$B$504,AP11,'PLAN ACCION 2018'!$CE$8:$CE$504,"M")</f>
        <v>0</v>
      </c>
      <c r="BC11" s="787">
        <v>89.130434782608688</v>
      </c>
      <c r="BF11">
        <f t="shared" si="9"/>
        <v>0</v>
      </c>
      <c r="BG11" s="1253" t="s">
        <v>384</v>
      </c>
      <c r="BH11" s="782">
        <f>COUNTIFS('PLAN ACCION 2018'!$B$7:$B$1003,BG11,'PLAN ACCION 2018'!$A$7:$A$1003,"*")</f>
        <v>30</v>
      </c>
      <c r="BI11" s="1402">
        <f t="shared" si="10"/>
        <v>22</v>
      </c>
      <c r="BJ11" s="1067">
        <f>COUNTIFS('PLAN ACCION 2018'!$B$8:$B$504,BG11,'PLAN ACCION 2018'!$CF$8:$CF$504,$F$8)</f>
        <v>20</v>
      </c>
      <c r="BK11" s="1011">
        <f>COUNTIFS('PLAN ACCION 2018'!$B$8:$B$504,BG11,'PLAN ACCION 2018'!$CF$8:$CF$504,$G$8)</f>
        <v>0</v>
      </c>
      <c r="BL11" s="808">
        <f>COUNTIFS('PLAN ACCION 2018'!$B$8:$B$504,BG11,'PLAN ACCION 2018'!$CF$8:$CF$504,$H$8)</f>
        <v>0</v>
      </c>
      <c r="BM11" s="1014">
        <f>COUNTIFS('PLAN ACCION 2018'!$B$8:$B$504,BG11,'PLAN ACCION 2018'!$CF$8:$CF$504,$I$8)</f>
        <v>0</v>
      </c>
      <c r="BN11" s="774">
        <f>COUNTIFS('PLAN ACCION 2018'!$B$8:$B$504,BG11,'PLAN ACCION 2018'!$CF$8:$CF$504,$J$8)</f>
        <v>1</v>
      </c>
      <c r="BO11" s="809">
        <f>COUNTIFS('PLAN ACCION 2018'!$B$8:$B$504,BG11,'PLAN ACCION 2018'!$CF$8:$CF$504,$K$8)</f>
        <v>1</v>
      </c>
      <c r="BP11" s="810">
        <f>COUNTIFS('PLAN ACCION 2018'!$B$8:$B$504,BG11,'PLAN ACCION 2018'!$CF$8:$CF$504,$L$8)</f>
        <v>0</v>
      </c>
      <c r="BQ11" s="1258">
        <f>COUNTIFS('PLAN ACCION 2018'!$B$8:$B$504,BG11,'PLAN ACCION 2018'!$CF$8:$CF$504,$M$8)</f>
        <v>8</v>
      </c>
      <c r="BR11" s="779">
        <f>COUNTIFS('PLAN ACCION 2018'!$B$8:$B$504,BG11,'PLAN ACCION 2018'!$CF$8:$CF$504,$N$8)</f>
        <v>0</v>
      </c>
      <c r="BS11" s="779">
        <f>COUNTIFS('PLAN ACCION 2018'!$B$8:$B$504,BG11,'PLAN ACCION 2018'!$CF$8:$CF$504,$O$8)</f>
        <v>0</v>
      </c>
      <c r="BT11" s="772">
        <f t="shared" si="11"/>
        <v>90.909090909090907</v>
      </c>
    </row>
    <row r="12" spans="1:72" ht="13.5" customHeight="1" x14ac:dyDescent="0.3">
      <c r="A12" s="955"/>
      <c r="B12">
        <f t="shared" si="4"/>
        <v>0</v>
      </c>
      <c r="C12" s="1056" t="s">
        <v>278</v>
      </c>
      <c r="D12" s="782">
        <f>COUNTIFS('PLAN ACCION 2020'!$B$7:$B$1003,C12,'PLAN ACCION 2020'!$A$7:$A$1003,"*")</f>
        <v>17</v>
      </c>
      <c r="E12" s="782">
        <f t="shared" si="5"/>
        <v>16</v>
      </c>
      <c r="F12" s="1012">
        <f>COUNTIFS('PLAN ACCION 2020'!$B$8:$B$504,C12,'PLAN ACCION 2020'!$CG$8:$CG$504,$F$8)</f>
        <v>14</v>
      </c>
      <c r="G12" s="1011">
        <f>COUNTIFS('PLAN ACCION 2020'!$B$8:$B$504,C12,'PLAN ACCION 2020'!$CG$8:$CG$504,$G$8)</f>
        <v>0</v>
      </c>
      <c r="H12" s="1016">
        <f>COUNTIFS('PLAN ACCION 2020'!$B$8:$B$504,C12,'PLAN ACCION 2020'!$CG$8:$CG$504,$H$8)</f>
        <v>0</v>
      </c>
      <c r="I12" s="1013">
        <f>COUNTIFS('PLAN ACCION 2020'!$B$8:$B$504,C12,'PLAN ACCION 2020'!$CG$8:$CG$504,$I$8)</f>
        <v>0</v>
      </c>
      <c r="J12" s="785">
        <f>COUNTIFS('PLAN ACCION 2020'!$B$8:$B$504,C12,'PLAN ACCION 2020'!$CG$8:$CG$504,$J$8)</f>
        <v>1</v>
      </c>
      <c r="K12" s="1015">
        <f>COUNTIFS('PLAN ACCION 2020'!$B$8:$B$504,C12,'PLAN ACCION 2020'!$CG$8:$CG$504,$K$8)</f>
        <v>1</v>
      </c>
      <c r="L12" s="1255">
        <f>COUNTIFS('PLAN ACCION 2020'!$B$8:$B$504,C12,'PLAN ACCION 2020'!$CG$8:$CG$504,$L$8)</f>
        <v>0</v>
      </c>
      <c r="M12" s="1257">
        <f>COUNTIFS('PLAN ACCION 2020'!$B$8:$B$504,C12,'PLAN ACCION 2020'!$CG$8:$CG$504,$M$8)</f>
        <v>1</v>
      </c>
      <c r="N12" s="786">
        <f>COUNTIFS('PLAN ACCION 2020'!$B$8:$B$504,C12,'PLAN ACCION 2020'!$CG$8:$CG$504,$N$8)</f>
        <v>1</v>
      </c>
      <c r="O12" s="786">
        <f>COUNTIFS('PLAN ACCION 2020'!$B$8:$B$504,C12,'PLAN ACCION 2020'!$CG$8:$CG$504,$O$8)</f>
        <v>0</v>
      </c>
      <c r="P12" s="787">
        <f t="shared" si="0"/>
        <v>76.47058823529413</v>
      </c>
      <c r="Q12" s="787">
        <f t="shared" si="1"/>
        <v>84.210526315789465</v>
      </c>
      <c r="R12" s="787">
        <f t="shared" si="6"/>
        <v>93.333333333333329</v>
      </c>
      <c r="S12" s="787">
        <f t="shared" si="12"/>
        <v>87.5</v>
      </c>
      <c r="T12" s="1252">
        <f t="shared" si="7"/>
        <v>85.378611971104235</v>
      </c>
      <c r="U12" s="229">
        <f t="shared" si="8"/>
        <v>4</v>
      </c>
      <c r="AA12" s="1056" t="s">
        <v>278</v>
      </c>
      <c r="AB12" s="782">
        <f>COUNTIFS('PLAN ACCION 2018'!$B$7:$B$1003,AA12,'PLAN ACCION 2018'!$A$7:$A$1003,"*")</f>
        <v>19</v>
      </c>
      <c r="AC12" s="782">
        <f t="shared" si="2"/>
        <v>17</v>
      </c>
      <c r="AD12" s="1012">
        <f>COUNTIFS('PLAN ACCION 2018'!$B$8:$B$504,AA12,'PLAN ACCION 2018'!$CD$8:$CD$504,"VE")</f>
        <v>13</v>
      </c>
      <c r="AE12" s="1011">
        <f>COUNTIFS('PLAN ACCION 2018'!$B$8:$B$504,AA12,'PLAN ACCION 2018'!$CD$8:$CD$504,"VEB")</f>
        <v>0</v>
      </c>
      <c r="AF12" s="1016">
        <f>COUNTIFS('PLAN ACCION 2018'!$B$8:$B$504,AA12,'PLAN ACCION 2018'!$CD$8:$CD$504,"AM")</f>
        <v>0</v>
      </c>
      <c r="AG12" s="1013">
        <f>COUNTIFS('PLAN ACCION 2018'!$B$8:$B$504,AA12,'PLAN ACCION 2018'!$CD$8:$CD$504,"AMB")</f>
        <v>0</v>
      </c>
      <c r="AH12" s="785">
        <f>COUNTIFS('PLAN ACCION 2018'!$B$8:$B$504,AA12,'PLAN ACCION 2018'!$CD$8:$CD$504,"RO")</f>
        <v>1</v>
      </c>
      <c r="AI12" s="1015">
        <f>COUNTIFS('PLAN ACCION 2018'!$B$8:$B$504,AA12,'PLAN ACCION 2018'!$CD$8:$CD$504,"ROB")</f>
        <v>3</v>
      </c>
      <c r="AJ12" s="786">
        <f>COUNTIFS('PLAN ACCION 2018'!$B$8:$B$504,AA12,'PLAN ACCION 2018'!$CD$8:$CD$504,"AZ")</f>
        <v>1</v>
      </c>
      <c r="AK12" s="786">
        <f>COUNTIFS('PLAN ACCION 2018'!$B$8:$B$504,AA12,'PLAN ACCION 2018'!$CD$8:$CD$504,"NP")</f>
        <v>1</v>
      </c>
      <c r="AL12" s="786">
        <f>COUNTIFS('PLAN ACCION 2018'!$B$8:$B$504,AA12,'PLAN ACCION 2018'!$CD$8:$CD$504,"E")</f>
        <v>0</v>
      </c>
      <c r="AM12" s="786">
        <f>COUNTIFS('PLAN ACCION 2018'!$B$8:$B$504,AA12,'PLAN ACCION 2018'!$CD$8:$CD$504,"M")</f>
        <v>0</v>
      </c>
      <c r="AN12" s="787">
        <v>76.47058823529413</v>
      </c>
      <c r="AP12" s="1056" t="s">
        <v>278</v>
      </c>
      <c r="AQ12" s="782">
        <f>COUNTIFS('PLAN ACCION 2018'!$B$7:$B$1003,AP12,'PLAN ACCION 2018'!$A$7:$A$1003,"*")</f>
        <v>19</v>
      </c>
      <c r="AR12" s="782">
        <f t="shared" si="3"/>
        <v>18</v>
      </c>
      <c r="AS12" s="1012">
        <f>COUNTIFS('PLAN ACCION 2018'!$B$8:$B$504,AP12,'PLAN ACCION 2018'!$CE$8:$CE$504,"VE")</f>
        <v>13</v>
      </c>
      <c r="AT12" s="1011">
        <f>COUNTIFS('PLAN ACCION 2018'!$B$8:$B$504,AP12,'PLAN ACCION 2018'!$CE$8:$CE$504,"VEB")</f>
        <v>1</v>
      </c>
      <c r="AU12" s="1016">
        <f>COUNTIFS('PLAN ACCION 2018'!$B$8:$B$504,AP12,'PLAN ACCION 2018'!$CE$8:$CE$504,"AM")</f>
        <v>0</v>
      </c>
      <c r="AV12" s="1013">
        <f>COUNTIFS('PLAN ACCION 2018'!$B$8:$B$504,AP12,'PLAN ACCION 2018'!$CE$8:$CE$504,"AMB")</f>
        <v>0</v>
      </c>
      <c r="AW12" s="785">
        <f>COUNTIFS('PLAN ACCION 2018'!$B$8:$B$504,AP12,'PLAN ACCION 2018'!$CE$8:$CE$504,"RO")</f>
        <v>2</v>
      </c>
      <c r="AX12" s="1015">
        <f>COUNTIFS('PLAN ACCION 2018'!$B$8:$B$504,AP12,'PLAN ACCION 2018'!$CE$8:$CE$504,"ROB")</f>
        <v>2</v>
      </c>
      <c r="AY12" s="786">
        <f>COUNTIFS('PLAN ACCION 2018'!$B$8:$B$504,AP12,'PLAN ACCION 2018'!$CE$8:$CE$504,"AZ")</f>
        <v>0</v>
      </c>
      <c r="AZ12" s="786">
        <f>COUNTIFS('PLAN ACCION 2018'!$B$8:$B$504,AP12,'PLAN ACCION 2018'!$CE$8:$CE$504,"NP")</f>
        <v>1</v>
      </c>
      <c r="BA12" s="786">
        <f>COUNTIFS('PLAN ACCION 2018'!$B$8:$B$504,AP12,'PLAN ACCION 2018'!$CE$8:$CE$504,"E")</f>
        <v>0</v>
      </c>
      <c r="BB12" s="786">
        <f>COUNTIFS('PLAN ACCION 2018'!$B$8:$B$504,AP12,'PLAN ACCION 2018'!$CE$8:$CE$504,"M")</f>
        <v>0</v>
      </c>
      <c r="BC12" s="787">
        <v>84.210526315789465</v>
      </c>
      <c r="BF12">
        <f t="shared" si="9"/>
        <v>1</v>
      </c>
      <c r="BG12" s="1253" t="s">
        <v>278</v>
      </c>
      <c r="BH12" s="782">
        <v>18</v>
      </c>
      <c r="BI12" s="1402">
        <f t="shared" si="10"/>
        <v>14</v>
      </c>
      <c r="BJ12" s="1067">
        <f>COUNTIFS('PLAN ACCION 2018'!$B$8:$B$504,BG12,'PLAN ACCION 2018'!$CF$8:$CF$504,$F$8)</f>
        <v>13</v>
      </c>
      <c r="BK12" s="1011">
        <f>COUNTIFS('PLAN ACCION 2018'!$B$8:$B$504,BG12,'PLAN ACCION 2018'!$CF$8:$CF$504,$G$8)</f>
        <v>1</v>
      </c>
      <c r="BL12" s="808">
        <f>COUNTIFS('PLAN ACCION 2018'!$B$8:$B$504,BG12,'PLAN ACCION 2018'!$CF$8:$CF$504,$H$8)</f>
        <v>0</v>
      </c>
      <c r="BM12" s="1014">
        <f>COUNTIFS('PLAN ACCION 2018'!$B$8:$B$504,BG12,'PLAN ACCION 2018'!$CF$8:$CF$504,$I$8)</f>
        <v>0</v>
      </c>
      <c r="BN12" s="774">
        <f>COUNTIFS('PLAN ACCION 2018'!$B$8:$B$504,BG12,'PLAN ACCION 2018'!$CF$8:$CF$504,$J$8)</f>
        <v>0</v>
      </c>
      <c r="BO12" s="809">
        <f>COUNTIFS('PLAN ACCION 2018'!$B$8:$B$504,BG12,'PLAN ACCION 2018'!$CF$8:$CF$504,$K$8)</f>
        <v>1</v>
      </c>
      <c r="BP12" s="810">
        <f>COUNTIFS('PLAN ACCION 2018'!$B$8:$B$504,BG12,'PLAN ACCION 2018'!$CF$8:$CF$504,$L$8)</f>
        <v>0</v>
      </c>
      <c r="BQ12" s="1258">
        <f>COUNTIFS('PLAN ACCION 2018'!$B$8:$B$504,BG12,'PLAN ACCION 2018'!$CF$8:$CF$504,$M$8)</f>
        <v>4</v>
      </c>
      <c r="BR12" s="779">
        <f>COUNTIFS('PLAN ACCION 2018'!$B$8:$B$504,BG12,'PLAN ACCION 2018'!$CF$8:$CF$504,$N$8)</f>
        <v>0</v>
      </c>
      <c r="BS12" s="779">
        <f>COUNTIFS('PLAN ACCION 2018'!$B$8:$B$504,BG12,'PLAN ACCION 2018'!$CF$8:$CF$504,$O$8)</f>
        <v>0</v>
      </c>
      <c r="BT12" s="772">
        <f t="shared" si="11"/>
        <v>93.333333333333329</v>
      </c>
    </row>
    <row r="13" spans="1:72" ht="15.75" x14ac:dyDescent="0.25">
      <c r="A13" s="955"/>
      <c r="B13">
        <f t="shared" si="4"/>
        <v>0</v>
      </c>
      <c r="C13" s="1056" t="s">
        <v>169</v>
      </c>
      <c r="D13" s="782">
        <f>COUNTIFS('PLAN ACCION 2020'!$B$7:$B$1003,C13,'PLAN ACCION 2020'!$A$7:$A$1003,"*")</f>
        <v>32</v>
      </c>
      <c r="E13" s="782">
        <f t="shared" si="5"/>
        <v>25</v>
      </c>
      <c r="F13" s="1012">
        <f>COUNTIFS('PLAN ACCION 2020'!$B$8:$B$504,C13,'PLAN ACCION 2020'!$CG$8:$CG$504,$F$8)</f>
        <v>23</v>
      </c>
      <c r="G13" s="1011">
        <f>COUNTIFS('PLAN ACCION 2020'!$B$8:$B$504,C13,'PLAN ACCION 2020'!$CG$8:$CG$504,$G$8)</f>
        <v>0</v>
      </c>
      <c r="H13" s="1016">
        <f>COUNTIFS('PLAN ACCION 2020'!$B$8:$B$504,C13,'PLAN ACCION 2020'!$CG$8:$CG$504,$H$8)</f>
        <v>0</v>
      </c>
      <c r="I13" s="1013">
        <f>COUNTIFS('PLAN ACCION 2020'!$B$8:$B$504,C13,'PLAN ACCION 2020'!$CG$8:$CG$504,$I$8)</f>
        <v>1</v>
      </c>
      <c r="J13" s="785">
        <f>COUNTIFS('PLAN ACCION 2020'!$B$8:$B$504,C13,'PLAN ACCION 2020'!$CG$8:$CG$504,$J$8)</f>
        <v>0</v>
      </c>
      <c r="K13" s="1015">
        <f>COUNTIFS('PLAN ACCION 2020'!$B$8:$B$504,C13,'PLAN ACCION 2020'!$CG$8:$CG$504,$K$8)</f>
        <v>1</v>
      </c>
      <c r="L13" s="1255">
        <f>COUNTIFS('PLAN ACCION 2020'!$B$8:$B$504,C13,'PLAN ACCION 2020'!$CG$8:$CG$504,$L$8)</f>
        <v>0</v>
      </c>
      <c r="M13" s="1257">
        <f>COUNTIFS('PLAN ACCION 2020'!$B$8:$B$504,C13,'PLAN ACCION 2020'!$CG$8:$CG$504,$M$8)</f>
        <v>7</v>
      </c>
      <c r="N13" s="786">
        <f>COUNTIFS('PLAN ACCION 2020'!$B$8:$B$504,C13,'PLAN ACCION 2020'!$CG$8:$CG$504,$N$8)</f>
        <v>0</v>
      </c>
      <c r="O13" s="786">
        <f>COUNTIFS('PLAN ACCION 2020'!$B$8:$B$504,C13,'PLAN ACCION 2020'!$CG$8:$CG$504,$O$8)</f>
        <v>0</v>
      </c>
      <c r="P13" s="787">
        <f t="shared" si="0"/>
        <v>91.666666666666657</v>
      </c>
      <c r="Q13" s="787">
        <f t="shared" si="1"/>
        <v>91.935483870967744</v>
      </c>
      <c r="R13" s="787">
        <f t="shared" si="6"/>
        <v>89.285714285714292</v>
      </c>
      <c r="S13" s="787">
        <f t="shared" si="12"/>
        <v>92</v>
      </c>
      <c r="T13" s="1252">
        <f t="shared" si="7"/>
        <v>91.221966205837177</v>
      </c>
      <c r="U13" s="229">
        <f t="shared" si="8"/>
        <v>4</v>
      </c>
      <c r="AA13" s="1056" t="s">
        <v>169</v>
      </c>
      <c r="AB13" s="782">
        <f>COUNTIFS('PLAN ACCION 2018'!$B$7:$B$1003,AA13,'PLAN ACCION 2018'!$A$7:$A$1003,"*")</f>
        <v>32</v>
      </c>
      <c r="AC13" s="782">
        <f t="shared" si="2"/>
        <v>24</v>
      </c>
      <c r="AD13" s="1012">
        <f>COUNTIFS('PLAN ACCION 2018'!$B$8:$B$504,AA13,'PLAN ACCION 2018'!$CD$8:$CD$504,"VE")</f>
        <v>20</v>
      </c>
      <c r="AE13" s="1011">
        <f>COUNTIFS('PLAN ACCION 2018'!$B$8:$B$504,AA13,'PLAN ACCION 2018'!$CD$8:$CD$504,"VEB")</f>
        <v>0</v>
      </c>
      <c r="AF13" s="1016">
        <f>COUNTIFS('PLAN ACCION 2018'!$B$8:$B$504,AA13,'PLAN ACCION 2018'!$CD$8:$CD$504,"AM")</f>
        <v>0</v>
      </c>
      <c r="AG13" s="1013">
        <f>COUNTIFS('PLAN ACCION 2018'!$B$8:$B$504,AA13,'PLAN ACCION 2018'!$CD$8:$CD$504,"AMB")</f>
        <v>2</v>
      </c>
      <c r="AH13" s="785">
        <f>COUNTIFS('PLAN ACCION 2018'!$B$8:$B$504,AA13,'PLAN ACCION 2018'!$CD$8:$CD$504,"RO")</f>
        <v>0</v>
      </c>
      <c r="AI13" s="1015">
        <f>COUNTIFS('PLAN ACCION 2018'!$B$8:$B$504,AA13,'PLAN ACCION 2018'!$CD$8:$CD$504,"ROB")</f>
        <v>2</v>
      </c>
      <c r="AJ13" s="786">
        <f>COUNTIFS('PLAN ACCION 2018'!$B$8:$B$504,AA13,'PLAN ACCION 2018'!$CD$8:$CD$504,"AZ")</f>
        <v>3</v>
      </c>
      <c r="AK13" s="786">
        <f>COUNTIFS('PLAN ACCION 2018'!$B$8:$B$504,AA13,'PLAN ACCION 2018'!$CD$8:$CD$504,"NP")</f>
        <v>5</v>
      </c>
      <c r="AL13" s="786">
        <f>COUNTIFS('PLAN ACCION 2018'!$B$8:$B$504,AA13,'PLAN ACCION 2018'!$CD$8:$CD$504,"E")</f>
        <v>0</v>
      </c>
      <c r="AM13" s="786">
        <f>COUNTIFS('PLAN ACCION 2018'!$B$8:$B$504,AA13,'PLAN ACCION 2018'!$CD$8:$CD$504,"M")</f>
        <v>0</v>
      </c>
      <c r="AN13" s="787">
        <v>91.666666666666657</v>
      </c>
      <c r="AP13" s="1056" t="s">
        <v>169</v>
      </c>
      <c r="AQ13" s="782">
        <f>COUNTIFS('PLAN ACCION 2018'!$B$7:$B$1003,AP13,'PLAN ACCION 2018'!$A$7:$A$1003,"*")</f>
        <v>32</v>
      </c>
      <c r="AR13" s="782">
        <f t="shared" si="3"/>
        <v>30</v>
      </c>
      <c r="AS13" s="1012">
        <f>COUNTIFS('PLAN ACCION 2018'!$B$8:$B$504,AP13,'PLAN ACCION 2018'!$CE$8:$CE$504,"VE")</f>
        <v>27</v>
      </c>
      <c r="AT13" s="1011">
        <f>COUNTIFS('PLAN ACCION 2018'!$B$8:$B$504,AP13,'PLAN ACCION 2018'!$CE$8:$CE$504,"VEB")</f>
        <v>0</v>
      </c>
      <c r="AU13" s="1016">
        <f>COUNTIFS('PLAN ACCION 2018'!$B$8:$B$504,AP13,'PLAN ACCION 2018'!$CE$8:$CE$504,"AM")</f>
        <v>1</v>
      </c>
      <c r="AV13" s="1013">
        <f>COUNTIFS('PLAN ACCION 2018'!$B$8:$B$504,AP13,'PLAN ACCION 2018'!$CE$8:$CE$504,"AMB")</f>
        <v>0</v>
      </c>
      <c r="AW13" s="785">
        <f>COUNTIFS('PLAN ACCION 2018'!$B$8:$B$504,AP13,'PLAN ACCION 2018'!$CE$8:$CE$504,"RO")</f>
        <v>0</v>
      </c>
      <c r="AX13" s="1015">
        <f>COUNTIFS('PLAN ACCION 2018'!$B$8:$B$504,AP13,'PLAN ACCION 2018'!$CE$8:$CE$504,"ROB")</f>
        <v>2</v>
      </c>
      <c r="AY13" s="786">
        <f>COUNTIFS('PLAN ACCION 2018'!$B$8:$B$504,AP13,'PLAN ACCION 2018'!$CE$8:$CE$504,"AZ")</f>
        <v>1</v>
      </c>
      <c r="AZ13" s="786">
        <f>COUNTIFS('PLAN ACCION 2018'!$B$8:$B$504,AP13,'PLAN ACCION 2018'!$CE$8:$CE$504,"NP")</f>
        <v>1</v>
      </c>
      <c r="BA13" s="786">
        <f>COUNTIFS('PLAN ACCION 2018'!$B$8:$B$504,AP13,'PLAN ACCION 2018'!$CE$8:$CE$504,"E")</f>
        <v>0</v>
      </c>
      <c r="BB13" s="786">
        <f>COUNTIFS('PLAN ACCION 2018'!$B$8:$B$504,AP13,'PLAN ACCION 2018'!$CE$8:$CE$504,"M")</f>
        <v>0</v>
      </c>
      <c r="BC13" s="787">
        <v>91.935483870967744</v>
      </c>
      <c r="BF13">
        <f t="shared" si="9"/>
        <v>0</v>
      </c>
      <c r="BG13" s="1253" t="s">
        <v>169</v>
      </c>
      <c r="BH13" s="782">
        <f>COUNTIFS('PLAN ACCION 2018'!$B$7:$B$1003,BG13,'PLAN ACCION 2018'!$A$7:$A$1003,"*")</f>
        <v>32</v>
      </c>
      <c r="BI13" s="1402">
        <f t="shared" si="10"/>
        <v>28</v>
      </c>
      <c r="BJ13" s="1067">
        <f>COUNTIFS('PLAN ACCION 2018'!$B$8:$B$504,BG13,'PLAN ACCION 2018'!$CF$8:$CF$504,$F$8)</f>
        <v>24</v>
      </c>
      <c r="BK13" s="1011">
        <f>COUNTIFS('PLAN ACCION 2018'!$B$8:$B$504,BG13,'PLAN ACCION 2018'!$CF$8:$CF$504,$G$8)</f>
        <v>1</v>
      </c>
      <c r="BL13" s="808">
        <f>COUNTIFS('PLAN ACCION 2018'!$B$8:$B$504,BG13,'PLAN ACCION 2018'!$CF$8:$CF$504,$H$8)</f>
        <v>0</v>
      </c>
      <c r="BM13" s="1014">
        <f>COUNTIFS('PLAN ACCION 2018'!$B$8:$B$504,BG13,'PLAN ACCION 2018'!$CF$8:$CF$504,$I$8)</f>
        <v>0</v>
      </c>
      <c r="BN13" s="774">
        <f>COUNTIFS('PLAN ACCION 2018'!$B$8:$B$504,BG13,'PLAN ACCION 2018'!$CF$8:$CF$504,$J$8)</f>
        <v>0</v>
      </c>
      <c r="BO13" s="809">
        <f>COUNTIFS('PLAN ACCION 2018'!$B$8:$B$504,BG13,'PLAN ACCION 2018'!$CF$8:$CF$504,$K$8)</f>
        <v>3</v>
      </c>
      <c r="BP13" s="810">
        <f>COUNTIFS('PLAN ACCION 2018'!$B$8:$B$504,BG13,'PLAN ACCION 2018'!$CF$8:$CF$504,$L$8)</f>
        <v>0</v>
      </c>
      <c r="BQ13" s="1258">
        <f>COUNTIFS('PLAN ACCION 2018'!$B$8:$B$504,BG13,'PLAN ACCION 2018'!$CF$8:$CF$504,$M$8)</f>
        <v>4</v>
      </c>
      <c r="BR13" s="779">
        <f>COUNTIFS('PLAN ACCION 2018'!$B$8:$B$504,BG13,'PLAN ACCION 2018'!$CF$8:$CF$504,$N$8)</f>
        <v>0</v>
      </c>
      <c r="BS13" s="779">
        <f>COUNTIFS('PLAN ACCION 2018'!$B$8:$B$504,BG13,'PLAN ACCION 2018'!$CF$8:$CF$504,$O$8)</f>
        <v>0</v>
      </c>
      <c r="BT13" s="772">
        <f t="shared" si="11"/>
        <v>89.285714285714292</v>
      </c>
    </row>
    <row r="14" spans="1:72" ht="15.75" customHeight="1" x14ac:dyDescent="0.3">
      <c r="A14" s="955"/>
      <c r="B14">
        <f t="shared" si="4"/>
        <v>0</v>
      </c>
      <c r="C14" s="1056" t="s">
        <v>2527</v>
      </c>
      <c r="D14" s="782">
        <f>COUNTIFS('PLAN ACCION 2020'!$B$7:$B$1003,C14,'PLAN ACCION 2020'!$A$7:$A$1003,"*")</f>
        <v>3</v>
      </c>
      <c r="E14" s="782">
        <f t="shared" si="5"/>
        <v>3</v>
      </c>
      <c r="F14" s="1012">
        <f>COUNTIFS('PLAN ACCION 2020'!$B$8:$B$504,C14,'PLAN ACCION 2020'!$CG$8:$CG$504,$F$8)</f>
        <v>0</v>
      </c>
      <c r="G14" s="1011">
        <f>COUNTIFS('PLAN ACCION 2020'!$B$8:$B$504,C14,'PLAN ACCION 2020'!$CG$8:$CG$504,$G$8)</f>
        <v>0</v>
      </c>
      <c r="H14" s="1016">
        <f>COUNTIFS('PLAN ACCION 2020'!$B$8:$B$504,C14,'PLAN ACCION 2020'!$CG$8:$CG$504,$H$8)</f>
        <v>0</v>
      </c>
      <c r="I14" s="1013">
        <f>COUNTIFS('PLAN ACCION 2020'!$B$8:$B$504,C14,'PLAN ACCION 2020'!$CG$8:$CG$504,$I$8)</f>
        <v>0</v>
      </c>
      <c r="J14" s="785">
        <f>COUNTIFS('PLAN ACCION 2020'!$B$8:$B$504,C14,'PLAN ACCION 2020'!$CG$8:$CG$504,$J$8)</f>
        <v>1</v>
      </c>
      <c r="K14" s="1015">
        <f>COUNTIFS('PLAN ACCION 2020'!$B$8:$B$504,C14,'PLAN ACCION 2020'!$CG$8:$CG$504,$K$8)</f>
        <v>2</v>
      </c>
      <c r="L14" s="1255">
        <f>COUNTIFS('PLAN ACCION 2020'!$B$8:$B$504,C14,'PLAN ACCION 2020'!$CG$8:$CG$504,$L$8)</f>
        <v>0</v>
      </c>
      <c r="M14" s="1257">
        <f>COUNTIFS('PLAN ACCION 2020'!$B$8:$B$504,C14,'PLAN ACCION 2020'!$CG$8:$CG$504,$M$8)</f>
        <v>0</v>
      </c>
      <c r="N14" s="786">
        <f>COUNTIFS('PLAN ACCION 2020'!$B$8:$B$504,C14,'PLAN ACCION 2020'!$CG$8:$CG$504,$N$8)</f>
        <v>0</v>
      </c>
      <c r="O14" s="786">
        <f>COUNTIFS('PLAN ACCION 2020'!$B$8:$B$504,C14,'PLAN ACCION 2020'!$CG$8:$CG$504,$O$8)</f>
        <v>0</v>
      </c>
      <c r="P14" s="787">
        <f t="shared" si="0"/>
        <v>75</v>
      </c>
      <c r="Q14" s="787">
        <f t="shared" si="1"/>
        <v>66.666666666666657</v>
      </c>
      <c r="R14" s="787">
        <f t="shared" si="6"/>
        <v>66.666666666666657</v>
      </c>
      <c r="S14" s="787">
        <f t="shared" si="12"/>
        <v>0</v>
      </c>
      <c r="T14" s="1252">
        <f t="shared" si="7"/>
        <v>52.083333333333329</v>
      </c>
      <c r="U14" s="229">
        <f t="shared" si="8"/>
        <v>4</v>
      </c>
      <c r="AA14" s="1056" t="s">
        <v>2527</v>
      </c>
      <c r="AB14" s="782">
        <f>COUNTIFS('PLAN ACCION 2018'!$B$7:$B$1003,AA14,'PLAN ACCION 2018'!$A$7:$A$1003,"*")</f>
        <v>3</v>
      </c>
      <c r="AC14" s="782">
        <f t="shared" si="2"/>
        <v>3</v>
      </c>
      <c r="AD14" s="1012">
        <f>COUNTIFS('PLAN ACCION 2018'!$B$8:$B$504,AA14,'PLAN ACCION 2018'!$CD$8:$CD$504,"VE")</f>
        <v>2</v>
      </c>
      <c r="AE14" s="1011">
        <f>COUNTIFS('PLAN ACCION 2018'!$B$8:$B$504,AA14,'PLAN ACCION 2018'!$CD$8:$CD$504,"VEB")</f>
        <v>0</v>
      </c>
      <c r="AF14" s="1016">
        <f>COUNTIFS('PLAN ACCION 2018'!$B$8:$B$504,AA14,'PLAN ACCION 2018'!$CD$8:$CD$504,"AM")</f>
        <v>0</v>
      </c>
      <c r="AG14" s="1013">
        <f>COUNTIFS('PLAN ACCION 2018'!$B$8:$B$504,AA14,'PLAN ACCION 2018'!$CD$8:$CD$504,"AMB")</f>
        <v>0</v>
      </c>
      <c r="AH14" s="785">
        <f>COUNTIFS('PLAN ACCION 2018'!$B$8:$B$504,AA14,'PLAN ACCION 2018'!$CD$8:$CD$504,"RO")</f>
        <v>0</v>
      </c>
      <c r="AI14" s="1015">
        <f>COUNTIFS('PLAN ACCION 2018'!$B$8:$B$504,AA14,'PLAN ACCION 2018'!$CD$8:$CD$504,"ROB")</f>
        <v>1</v>
      </c>
      <c r="AJ14" s="786">
        <f>COUNTIFS('PLAN ACCION 2018'!$B$8:$B$504,AA14,'PLAN ACCION 2018'!$CD$8:$CD$504,"AZ")</f>
        <v>0</v>
      </c>
      <c r="AK14" s="786">
        <f>COUNTIFS('PLAN ACCION 2018'!$B$8:$B$504,AA14,'PLAN ACCION 2018'!$CD$8:$CD$504,"NP")</f>
        <v>0</v>
      </c>
      <c r="AL14" s="786">
        <f>COUNTIFS('PLAN ACCION 2018'!$B$8:$B$504,AA14,'PLAN ACCION 2018'!$CD$8:$CD$504,"E")</f>
        <v>0</v>
      </c>
      <c r="AM14" s="786">
        <f>COUNTIFS('PLAN ACCION 2018'!$B$8:$B$504,AA14,'PLAN ACCION 2018'!$CD$8:$CD$504,"M")</f>
        <v>0</v>
      </c>
      <c r="AN14" s="787">
        <v>75</v>
      </c>
      <c r="AP14" s="1056" t="s">
        <v>2527</v>
      </c>
      <c r="AQ14" s="782">
        <f>COUNTIFS('PLAN ACCION 2018'!$B$7:$B$1003,AP14,'PLAN ACCION 2018'!$A$7:$A$1003,"*")</f>
        <v>3</v>
      </c>
      <c r="AR14" s="782">
        <f t="shared" si="3"/>
        <v>3</v>
      </c>
      <c r="AS14" s="1012">
        <f>COUNTIFS('PLAN ACCION 2018'!$B$8:$B$504,AP14,'PLAN ACCION 2018'!$CE$8:$CE$504,"VE")</f>
        <v>1</v>
      </c>
      <c r="AT14" s="1011">
        <f>COUNTIFS('PLAN ACCION 2018'!$B$8:$B$504,AP14,'PLAN ACCION 2018'!$CE$8:$CE$504,"VEB")</f>
        <v>0</v>
      </c>
      <c r="AU14" s="1016">
        <f>COUNTIFS('PLAN ACCION 2018'!$B$8:$B$504,AP14,'PLAN ACCION 2018'!$CE$8:$CE$504,"AM")</f>
        <v>0</v>
      </c>
      <c r="AV14" s="1013">
        <f>COUNTIFS('PLAN ACCION 2018'!$B$8:$B$504,AP14,'PLAN ACCION 2018'!$CE$8:$CE$504,"AMB")</f>
        <v>1</v>
      </c>
      <c r="AW14" s="785">
        <f>COUNTIFS('PLAN ACCION 2018'!$B$8:$B$504,AP14,'PLAN ACCION 2018'!$CE$8:$CE$504,"RO")</f>
        <v>0</v>
      </c>
      <c r="AX14" s="1015">
        <f>COUNTIFS('PLAN ACCION 2018'!$B$8:$B$504,AP14,'PLAN ACCION 2018'!$CE$8:$CE$504,"ROB")</f>
        <v>1</v>
      </c>
      <c r="AY14" s="786">
        <f>COUNTIFS('PLAN ACCION 2018'!$B$8:$B$504,AP14,'PLAN ACCION 2018'!$CE$8:$CE$504,"AZ")</f>
        <v>0</v>
      </c>
      <c r="AZ14" s="786">
        <f>COUNTIFS('PLAN ACCION 2018'!$B$8:$B$504,AP14,'PLAN ACCION 2018'!$CE$8:$CE$504,"NP")</f>
        <v>0</v>
      </c>
      <c r="BA14" s="786">
        <f>COUNTIFS('PLAN ACCION 2018'!$B$8:$B$504,AP14,'PLAN ACCION 2018'!$CE$8:$CE$504,"E")</f>
        <v>0</v>
      </c>
      <c r="BB14" s="786">
        <f>COUNTIFS('PLAN ACCION 2018'!$B$8:$B$504,AP14,'PLAN ACCION 2018'!$CE$8:$CE$504,"M")</f>
        <v>0</v>
      </c>
      <c r="BC14" s="787">
        <v>66.666666666666657</v>
      </c>
      <c r="BF14">
        <f t="shared" si="9"/>
        <v>0</v>
      </c>
      <c r="BG14" s="1253" t="s">
        <v>2527</v>
      </c>
      <c r="BH14" s="782">
        <f>COUNTIFS('PLAN ACCION 2018'!$B$7:$B$1003,BG14,'PLAN ACCION 2018'!$A$7:$A$1003,"*")</f>
        <v>3</v>
      </c>
      <c r="BI14" s="1402">
        <f t="shared" si="10"/>
        <v>3</v>
      </c>
      <c r="BJ14" s="1067">
        <f>COUNTIFS('PLAN ACCION 2018'!$B$8:$B$504,BG14,'PLAN ACCION 2018'!$CF$8:$CF$504,$F$8)</f>
        <v>2</v>
      </c>
      <c r="BK14" s="1011">
        <f>COUNTIFS('PLAN ACCION 2018'!$B$8:$B$504,BG14,'PLAN ACCION 2018'!$CF$8:$CF$504,$G$8)</f>
        <v>0</v>
      </c>
      <c r="BL14" s="808">
        <f>COUNTIFS('PLAN ACCION 2018'!$B$8:$B$504,BG14,'PLAN ACCION 2018'!$CF$8:$CF$504,$H$8)</f>
        <v>0</v>
      </c>
      <c r="BM14" s="1014">
        <f>COUNTIFS('PLAN ACCION 2018'!$B$8:$B$504,BG14,'PLAN ACCION 2018'!$CF$8:$CF$504,$I$8)</f>
        <v>0</v>
      </c>
      <c r="BN14" s="774">
        <f>COUNTIFS('PLAN ACCION 2018'!$B$8:$B$504,BG14,'PLAN ACCION 2018'!$CF$8:$CF$504,$J$8)</f>
        <v>0</v>
      </c>
      <c r="BO14" s="809">
        <f>COUNTIFS('PLAN ACCION 2018'!$B$8:$B$504,BG14,'PLAN ACCION 2018'!$CF$8:$CF$504,$K$8)</f>
        <v>1</v>
      </c>
      <c r="BP14" s="810">
        <f>COUNTIFS('PLAN ACCION 2018'!$B$8:$B$504,BG14,'PLAN ACCION 2018'!$CF$8:$CF$504,$L$8)</f>
        <v>0</v>
      </c>
      <c r="BQ14" s="1258">
        <f>COUNTIFS('PLAN ACCION 2018'!$B$8:$B$504,BG14,'PLAN ACCION 2018'!$CF$8:$CF$504,$M$8)</f>
        <v>0</v>
      </c>
      <c r="BR14" s="779">
        <f>COUNTIFS('PLAN ACCION 2018'!$B$8:$B$504,BG14,'PLAN ACCION 2018'!$CF$8:$CF$504,$N$8)</f>
        <v>0</v>
      </c>
      <c r="BS14" s="779">
        <f>COUNTIFS('PLAN ACCION 2018'!$B$8:$B$504,BG14,'PLAN ACCION 2018'!$CF$8:$CF$504,$O$8)</f>
        <v>0</v>
      </c>
      <c r="BT14" s="772">
        <f t="shared" si="11"/>
        <v>66.666666666666657</v>
      </c>
    </row>
    <row r="15" spans="1:72" ht="16.5" customHeight="1" x14ac:dyDescent="0.25">
      <c r="A15" s="955"/>
      <c r="B15">
        <f t="shared" si="4"/>
        <v>0</v>
      </c>
      <c r="C15" s="1056" t="s">
        <v>343</v>
      </c>
      <c r="D15" s="782">
        <f>COUNTIFS('PLAN ACCION 2020'!$B$7:$B$1003,C15,'PLAN ACCION 2020'!$A$7:$A$1003,"*")</f>
        <v>9</v>
      </c>
      <c r="E15" s="782">
        <f t="shared" si="5"/>
        <v>6</v>
      </c>
      <c r="F15" s="1012">
        <f>COUNTIFS('PLAN ACCION 2020'!$B$8:$B$504,C15,'PLAN ACCION 2020'!$CG$8:$CG$504,$F$8)</f>
        <v>3</v>
      </c>
      <c r="G15" s="1011">
        <f>COUNTIFS('PLAN ACCION 2020'!$B$8:$B$504,C15,'PLAN ACCION 2020'!$CG$8:$CG$504,$G$8)</f>
        <v>1</v>
      </c>
      <c r="H15" s="1016">
        <f>COUNTIFS('PLAN ACCION 2020'!$B$8:$B$504,C15,'PLAN ACCION 2020'!$CG$8:$CG$504,$H$8)</f>
        <v>0</v>
      </c>
      <c r="I15" s="1013">
        <f>COUNTIFS('PLAN ACCION 2020'!$B$8:$B$504,C15,'PLAN ACCION 2020'!$CG$8:$CG$504,$I$8)</f>
        <v>2</v>
      </c>
      <c r="J15" s="785">
        <f>COUNTIFS('PLAN ACCION 2020'!$B$8:$B$504,C15,'PLAN ACCION 2020'!$CG$8:$CG$504,$J$8)</f>
        <v>0</v>
      </c>
      <c r="K15" s="1015">
        <f>COUNTIFS('PLAN ACCION 2020'!$B$8:$B$504,C15,'PLAN ACCION 2020'!$CG$8:$CG$504,$K$8)</f>
        <v>0</v>
      </c>
      <c r="L15" s="1255">
        <f>COUNTIFS('PLAN ACCION 2020'!$B$8:$B$504,C15,'PLAN ACCION 2020'!$CG$8:$CG$504,$L$8)</f>
        <v>0</v>
      </c>
      <c r="M15" s="1257">
        <f>COUNTIFS('PLAN ACCION 2020'!$B$8:$B$504,C15,'PLAN ACCION 2020'!$CG$8:$CG$504,$M$8)</f>
        <v>3</v>
      </c>
      <c r="N15" s="786">
        <f>COUNTIFS('PLAN ACCION 2020'!$B$8:$B$504,C15,'PLAN ACCION 2020'!$CG$8:$CG$504,$N$8)</f>
        <v>0</v>
      </c>
      <c r="O15" s="786">
        <f>COUNTIFS('PLAN ACCION 2020'!$B$8:$B$504,C15,'PLAN ACCION 2020'!$CG$8:$CG$504,$O$8)</f>
        <v>0</v>
      </c>
      <c r="P15" s="787">
        <f t="shared" si="0"/>
        <v>60.000000000000007</v>
      </c>
      <c r="Q15" s="787">
        <f t="shared" si="1"/>
        <v>91.666666666666671</v>
      </c>
      <c r="R15" s="787">
        <f t="shared" si="6"/>
        <v>42.857142857142854</v>
      </c>
      <c r="S15" s="787">
        <f t="shared" si="12"/>
        <v>66.666666666666657</v>
      </c>
      <c r="T15" s="1252">
        <f t="shared" si="7"/>
        <v>65.297619047619051</v>
      </c>
      <c r="U15" s="229">
        <f t="shared" si="8"/>
        <v>4</v>
      </c>
      <c r="AA15" s="1056" t="s">
        <v>343</v>
      </c>
      <c r="AB15" s="782">
        <f>COUNTIFS('PLAN ACCION 2018'!$B$7:$B$1003,AA15,'PLAN ACCION 2018'!$A$7:$A$1003,"*")</f>
        <v>9</v>
      </c>
      <c r="AC15" s="782">
        <f t="shared" si="2"/>
        <v>5</v>
      </c>
      <c r="AD15" s="1012">
        <f>COUNTIFS('PLAN ACCION 2018'!$B$8:$B$504,AA15,'PLAN ACCION 2018'!$CD$8:$CD$504,"VE")</f>
        <v>1</v>
      </c>
      <c r="AE15" s="1011">
        <f>COUNTIFS('PLAN ACCION 2018'!$B$8:$B$504,AA15,'PLAN ACCION 2018'!$CD$8:$CD$504,"VEB")</f>
        <v>0</v>
      </c>
      <c r="AF15" s="1016">
        <f>COUNTIFS('PLAN ACCION 2018'!$B$8:$B$504,AA15,'PLAN ACCION 2018'!$CD$8:$CD$504,"AM")</f>
        <v>0</v>
      </c>
      <c r="AG15" s="1013">
        <f>COUNTIFS('PLAN ACCION 2018'!$B$8:$B$504,AA15,'PLAN ACCION 2018'!$CD$8:$CD$504,"AMB")</f>
        <v>1</v>
      </c>
      <c r="AH15" s="785">
        <f>COUNTIFS('PLAN ACCION 2018'!$B$8:$B$504,AA15,'PLAN ACCION 2018'!$CD$8:$CD$504,"RO")</f>
        <v>0</v>
      </c>
      <c r="AI15" s="1015">
        <f>COUNTIFS('PLAN ACCION 2018'!$B$8:$B$504,AA15,'PLAN ACCION 2018'!$CD$8:$CD$504,"ROB")</f>
        <v>3</v>
      </c>
      <c r="AJ15" s="786">
        <f>COUNTIFS('PLAN ACCION 2018'!$B$8:$B$504,AA15,'PLAN ACCION 2018'!$CD$8:$CD$504,"AZ")</f>
        <v>0</v>
      </c>
      <c r="AK15" s="786">
        <f>COUNTIFS('PLAN ACCION 2018'!$B$8:$B$504,AA15,'PLAN ACCION 2018'!$CD$8:$CD$504,"NP")</f>
        <v>4</v>
      </c>
      <c r="AL15" s="786">
        <f>COUNTIFS('PLAN ACCION 2018'!$B$8:$B$504,AA15,'PLAN ACCION 2018'!$CD$8:$CD$504,"E")</f>
        <v>0</v>
      </c>
      <c r="AM15" s="786">
        <f>COUNTIFS('PLAN ACCION 2018'!$B$8:$B$504,AA15,'PLAN ACCION 2018'!$CD$8:$CD$504,"M")</f>
        <v>0</v>
      </c>
      <c r="AN15" s="787">
        <v>60.000000000000007</v>
      </c>
      <c r="AP15" s="1056" t="s">
        <v>343</v>
      </c>
      <c r="AQ15" s="782">
        <f>COUNTIFS('PLAN ACCION 2018'!$B$7:$B$1003,AP15,'PLAN ACCION 2018'!$A$7:$A$1003,"*")</f>
        <v>9</v>
      </c>
      <c r="AR15" s="782">
        <f t="shared" si="3"/>
        <v>6</v>
      </c>
      <c r="AS15" s="1012">
        <f>COUNTIFS('PLAN ACCION 2018'!$B$8:$B$504,AP15,'PLAN ACCION 2018'!$CE$8:$CE$504,"VE")</f>
        <v>5</v>
      </c>
      <c r="AT15" s="1011">
        <f>COUNTIFS('PLAN ACCION 2018'!$B$8:$B$504,AP15,'PLAN ACCION 2018'!$CE$8:$CE$504,"VEB")</f>
        <v>1</v>
      </c>
      <c r="AU15" s="1016">
        <f>COUNTIFS('PLAN ACCION 2018'!$B$8:$B$504,AP15,'PLAN ACCION 2018'!$CE$8:$CE$504,"AM")</f>
        <v>0</v>
      </c>
      <c r="AV15" s="1013">
        <f>COUNTIFS('PLAN ACCION 2018'!$B$8:$B$504,AP15,'PLAN ACCION 2018'!$CE$8:$CE$504,"AMB")</f>
        <v>0</v>
      </c>
      <c r="AW15" s="785">
        <f>COUNTIFS('PLAN ACCION 2018'!$B$8:$B$504,AP15,'PLAN ACCION 2018'!$CE$8:$CE$504,"RO")</f>
        <v>0</v>
      </c>
      <c r="AX15" s="1015">
        <f>COUNTIFS('PLAN ACCION 2018'!$B$8:$B$504,AP15,'PLAN ACCION 2018'!$CE$8:$CE$504,"ROB")</f>
        <v>0</v>
      </c>
      <c r="AY15" s="786">
        <f>COUNTIFS('PLAN ACCION 2018'!$B$8:$B$504,AP15,'PLAN ACCION 2018'!$CE$8:$CE$504,"AZ")</f>
        <v>0</v>
      </c>
      <c r="AZ15" s="786">
        <f>COUNTIFS('PLAN ACCION 2018'!$B$8:$B$504,AP15,'PLAN ACCION 2018'!$CE$8:$CE$504,"NP")</f>
        <v>3</v>
      </c>
      <c r="BA15" s="786">
        <f>COUNTIFS('PLAN ACCION 2018'!$B$8:$B$504,AP15,'PLAN ACCION 2018'!$CE$8:$CE$504,"E")</f>
        <v>0</v>
      </c>
      <c r="BB15" s="786">
        <f>COUNTIFS('PLAN ACCION 2018'!$B$8:$B$504,AP15,'PLAN ACCION 2018'!$CE$8:$CE$504,"M")</f>
        <v>0</v>
      </c>
      <c r="BC15" s="787">
        <v>91.666666666666671</v>
      </c>
      <c r="BF15">
        <f t="shared" si="9"/>
        <v>0</v>
      </c>
      <c r="BG15" s="1253" t="s">
        <v>343</v>
      </c>
      <c r="BH15" s="782">
        <f>COUNTIFS('PLAN ACCION 2018'!$B$7:$B$1003,BG15,'PLAN ACCION 2018'!$A$7:$A$1003,"*")</f>
        <v>9</v>
      </c>
      <c r="BI15" s="1402">
        <f t="shared" si="10"/>
        <v>7</v>
      </c>
      <c r="BJ15" s="1067">
        <f>COUNTIFS('PLAN ACCION 2018'!$B$8:$B$504,BG15,'PLAN ACCION 2018'!$CF$8:$CF$504,$F$8)</f>
        <v>2</v>
      </c>
      <c r="BK15" s="1011">
        <f>COUNTIFS('PLAN ACCION 2018'!$B$8:$B$504,BG15,'PLAN ACCION 2018'!$CF$8:$CF$504,$G$8)</f>
        <v>0</v>
      </c>
      <c r="BL15" s="808">
        <f>COUNTIFS('PLAN ACCION 2018'!$B$8:$B$504,BG15,'PLAN ACCION 2018'!$CF$8:$CF$504,$H$8)</f>
        <v>2</v>
      </c>
      <c r="BM15" s="1014">
        <f>COUNTIFS('PLAN ACCION 2018'!$B$8:$B$504,BG15,'PLAN ACCION 2018'!$CF$8:$CF$504,$I$8)</f>
        <v>0</v>
      </c>
      <c r="BN15" s="774">
        <f>COUNTIFS('PLAN ACCION 2018'!$B$8:$B$504,BG15,'PLAN ACCION 2018'!$CF$8:$CF$504,$J$8)</f>
        <v>0</v>
      </c>
      <c r="BO15" s="809">
        <f>COUNTIFS('PLAN ACCION 2018'!$B$8:$B$504,BG15,'PLAN ACCION 2018'!$CF$8:$CF$504,$K$8)</f>
        <v>3</v>
      </c>
      <c r="BP15" s="810">
        <f>COUNTIFS('PLAN ACCION 2018'!$B$8:$B$504,BG15,'PLAN ACCION 2018'!$CF$8:$CF$504,$L$8)</f>
        <v>0</v>
      </c>
      <c r="BQ15" s="1258">
        <f>COUNTIFS('PLAN ACCION 2018'!$B$8:$B$504,BG15,'PLAN ACCION 2018'!$CF$8:$CF$504,$M$8)</f>
        <v>2</v>
      </c>
      <c r="BR15" s="779">
        <f>COUNTIFS('PLAN ACCION 2018'!$B$8:$B$504,BG15,'PLAN ACCION 2018'!$CF$8:$CF$504,$N$8)</f>
        <v>0</v>
      </c>
      <c r="BS15" s="779">
        <f>COUNTIFS('PLAN ACCION 2018'!$B$8:$B$504,BG15,'PLAN ACCION 2018'!$CF$8:$CF$504,$O$8)</f>
        <v>0</v>
      </c>
      <c r="BT15" s="772">
        <f t="shared" si="11"/>
        <v>42.857142857142854</v>
      </c>
    </row>
    <row r="16" spans="1:72" ht="14.25" customHeight="1" x14ac:dyDescent="0.25">
      <c r="A16" s="955"/>
      <c r="B16">
        <f t="shared" si="4"/>
        <v>0</v>
      </c>
      <c r="C16" s="1056" t="s">
        <v>894</v>
      </c>
      <c r="D16" s="782">
        <f>COUNTIFS('PLAN ACCION 2020'!$B$7:$B$1003,C16,'PLAN ACCION 2020'!$A$7:$A$1003,"*")</f>
        <v>31</v>
      </c>
      <c r="E16" s="782">
        <f t="shared" si="5"/>
        <v>26</v>
      </c>
      <c r="F16" s="1012">
        <f>COUNTIFS('PLAN ACCION 2020'!$B$8:$B$504,C16,'PLAN ACCION 2020'!$CG$8:$CG$504,$F$8)</f>
        <v>16</v>
      </c>
      <c r="G16" s="1011">
        <f>COUNTIFS('PLAN ACCION 2020'!$B$8:$B$504,C16,'PLAN ACCION 2020'!$CG$8:$CG$504,$G$8)</f>
        <v>1</v>
      </c>
      <c r="H16" s="1016">
        <f>COUNTIFS('PLAN ACCION 2020'!$B$8:$B$504,C16,'PLAN ACCION 2020'!$CG$8:$CG$504,$H$8)</f>
        <v>0</v>
      </c>
      <c r="I16" s="1013">
        <f>COUNTIFS('PLAN ACCION 2020'!$B$8:$B$504,C16,'PLAN ACCION 2020'!$CG$8:$CG$504,$I$8)</f>
        <v>1</v>
      </c>
      <c r="J16" s="785">
        <f>COUNTIFS('PLAN ACCION 2020'!$B$8:$B$504,C16,'PLAN ACCION 2020'!$CG$8:$CG$504,$J$8)</f>
        <v>0</v>
      </c>
      <c r="K16" s="1015">
        <f>COUNTIFS('PLAN ACCION 2020'!$B$8:$B$504,C16,'PLAN ACCION 2020'!$CG$8:$CG$504,$K$8)</f>
        <v>8</v>
      </c>
      <c r="L16" s="1255">
        <f>COUNTIFS('PLAN ACCION 2020'!$B$8:$B$504,C16,'PLAN ACCION 2020'!$CG$8:$CG$504,$L$8)</f>
        <v>0</v>
      </c>
      <c r="M16" s="1257">
        <f>COUNTIFS('PLAN ACCION 2020'!$B$8:$B$504,C16,'PLAN ACCION 2020'!$CG$8:$CG$504,$M$8)</f>
        <v>5</v>
      </c>
      <c r="N16" s="786">
        <f>COUNTIFS('PLAN ACCION 2020'!$B$8:$B$504,C16,'PLAN ACCION 2020'!$CG$8:$CG$504,$N$8)</f>
        <v>0</v>
      </c>
      <c r="O16" s="786">
        <f>COUNTIFS('PLAN ACCION 2020'!$B$8:$B$504,C16,'PLAN ACCION 2020'!$CG$8:$CG$504,$O$8)</f>
        <v>0</v>
      </c>
      <c r="P16" s="787">
        <f t="shared" si="0"/>
        <v>94.73684210526315</v>
      </c>
      <c r="Q16" s="787">
        <f t="shared" si="1"/>
        <v>94.444444444444443</v>
      </c>
      <c r="R16" s="787">
        <f t="shared" si="6"/>
        <v>83.333333333333343</v>
      </c>
      <c r="S16" s="787">
        <f t="shared" si="12"/>
        <v>65.384615384615387</v>
      </c>
      <c r="T16" s="1252">
        <f t="shared" si="7"/>
        <v>84.474808816914077</v>
      </c>
      <c r="U16" s="229">
        <f t="shared" si="8"/>
        <v>4</v>
      </c>
      <c r="AA16" s="1056" t="s">
        <v>894</v>
      </c>
      <c r="AB16" s="782">
        <f>COUNTIFS('PLAN ACCION 2018'!$B$7:$B$1003,AA16,'PLAN ACCION 2018'!$A$7:$A$1003,"*")</f>
        <v>33</v>
      </c>
      <c r="AC16" s="782">
        <f t="shared" si="2"/>
        <v>18</v>
      </c>
      <c r="AD16" s="1012">
        <f>COUNTIFS('PLAN ACCION 2018'!$B$8:$B$504,AA16,'PLAN ACCION 2018'!$CD$8:$CD$504,"VE")</f>
        <v>16</v>
      </c>
      <c r="AE16" s="1011">
        <f>COUNTIFS('PLAN ACCION 2018'!$B$8:$B$504,AA16,'PLAN ACCION 2018'!$CD$8:$CD$504,"VEB")</f>
        <v>0</v>
      </c>
      <c r="AF16" s="1016">
        <f>COUNTIFS('PLAN ACCION 2018'!$B$8:$B$504,AA16,'PLAN ACCION 2018'!$CD$8:$CD$504,"AM")</f>
        <v>0</v>
      </c>
      <c r="AG16" s="1013">
        <f>COUNTIFS('PLAN ACCION 2018'!$B$8:$B$504,AA16,'PLAN ACCION 2018'!$CD$8:$CD$504,"AMB")</f>
        <v>0</v>
      </c>
      <c r="AH16" s="785">
        <f>COUNTIFS('PLAN ACCION 2018'!$B$8:$B$504,AA16,'PLAN ACCION 2018'!$CD$8:$CD$504,"RO")</f>
        <v>0</v>
      </c>
      <c r="AI16" s="1015">
        <f>COUNTIFS('PLAN ACCION 2018'!$B$8:$B$504,AA16,'PLAN ACCION 2018'!$CD$8:$CD$504,"ROB")</f>
        <v>2</v>
      </c>
      <c r="AJ16" s="786">
        <f>COUNTIFS('PLAN ACCION 2018'!$B$8:$B$504,AA16,'PLAN ACCION 2018'!$CD$8:$CD$504,"AZ")</f>
        <v>15</v>
      </c>
      <c r="AK16" s="786">
        <f>COUNTIFS('PLAN ACCION 2018'!$B$8:$B$504,AA16,'PLAN ACCION 2018'!$CD$8:$CD$504,"NP")</f>
        <v>0</v>
      </c>
      <c r="AL16" s="786">
        <f>COUNTIFS('PLAN ACCION 2018'!$B$8:$B$504,AA16,'PLAN ACCION 2018'!$CD$8:$CD$504,"E")</f>
        <v>0</v>
      </c>
      <c r="AM16" s="786">
        <f>COUNTIFS('PLAN ACCION 2018'!$B$8:$B$504,AA16,'PLAN ACCION 2018'!$CD$8:$CD$504,"M")</f>
        <v>0</v>
      </c>
      <c r="AN16" s="787">
        <v>94.73684210526315</v>
      </c>
      <c r="AP16" s="1056" t="s">
        <v>894</v>
      </c>
      <c r="AQ16" s="782">
        <f>COUNTIFS('PLAN ACCION 2018'!$B$7:$B$1003,AP16,'PLAN ACCION 2018'!$A$7:$A$1003,"*")</f>
        <v>33</v>
      </c>
      <c r="AR16" s="782">
        <f t="shared" si="3"/>
        <v>26</v>
      </c>
      <c r="AS16" s="1012">
        <f>COUNTIFS('PLAN ACCION 2018'!$B$8:$B$504,AP16,'PLAN ACCION 2018'!$CE$8:$CE$504,"VE")</f>
        <v>24</v>
      </c>
      <c r="AT16" s="1011">
        <f>COUNTIFS('PLAN ACCION 2018'!$B$8:$B$504,AP16,'PLAN ACCION 2018'!$CE$8:$CE$504,"VEB")</f>
        <v>0</v>
      </c>
      <c r="AU16" s="1016">
        <f>COUNTIFS('PLAN ACCION 2018'!$B$8:$B$504,AP16,'PLAN ACCION 2018'!$CE$8:$CE$504,"AM")</f>
        <v>0</v>
      </c>
      <c r="AV16" s="1013">
        <f>COUNTIFS('PLAN ACCION 2018'!$B$8:$B$504,AP16,'PLAN ACCION 2018'!$CE$8:$CE$504,"AMB")</f>
        <v>1</v>
      </c>
      <c r="AW16" s="785">
        <f>COUNTIFS('PLAN ACCION 2018'!$B$8:$B$504,AP16,'PLAN ACCION 2018'!$CE$8:$CE$504,"RO")</f>
        <v>1</v>
      </c>
      <c r="AX16" s="1015">
        <f>COUNTIFS('PLAN ACCION 2018'!$B$8:$B$504,AP16,'PLAN ACCION 2018'!$CE$8:$CE$504,"ROB")</f>
        <v>0</v>
      </c>
      <c r="AY16" s="786">
        <f>COUNTIFS('PLAN ACCION 2018'!$B$8:$B$504,AP16,'PLAN ACCION 2018'!$CE$8:$CE$504,"AZ")</f>
        <v>7</v>
      </c>
      <c r="AZ16" s="786">
        <f>COUNTIFS('PLAN ACCION 2018'!$B$8:$B$504,AP16,'PLAN ACCION 2018'!$CE$8:$CE$504,"NP")</f>
        <v>0</v>
      </c>
      <c r="BA16" s="786">
        <f>COUNTIFS('PLAN ACCION 2018'!$B$8:$B$504,AP16,'PLAN ACCION 2018'!$CE$8:$CE$504,"E")</f>
        <v>0</v>
      </c>
      <c r="BB16" s="786">
        <f>COUNTIFS('PLAN ACCION 2018'!$B$8:$B$504,AP16,'PLAN ACCION 2018'!$CE$8:$CE$504,"M")</f>
        <v>0</v>
      </c>
      <c r="BC16" s="787">
        <v>94.444444444444443</v>
      </c>
      <c r="BF16">
        <f t="shared" si="9"/>
        <v>2</v>
      </c>
      <c r="BG16" s="1253" t="s">
        <v>894</v>
      </c>
      <c r="BH16" s="782">
        <v>31</v>
      </c>
      <c r="BI16" s="1402">
        <f t="shared" si="10"/>
        <v>19</v>
      </c>
      <c r="BJ16" s="1067">
        <f>COUNTIFS('PLAN ACCION 2018'!$B$8:$B$504,BG16,'PLAN ACCION 2018'!$CF$8:$CF$504,$F$8)</f>
        <v>17</v>
      </c>
      <c r="BK16" s="1011">
        <f>COUNTIFS('PLAN ACCION 2018'!$B$8:$B$504,BG16,'PLAN ACCION 2018'!$CF$8:$CF$504,$G$8)</f>
        <v>0</v>
      </c>
      <c r="BL16" s="808">
        <f>COUNTIFS('PLAN ACCION 2018'!$B$8:$B$504,BG16,'PLAN ACCION 2018'!$CF$8:$CF$504,$H$8)</f>
        <v>0</v>
      </c>
      <c r="BM16" s="1014">
        <f>COUNTIFS('PLAN ACCION 2018'!$B$8:$B$504,BG16,'PLAN ACCION 2018'!$CF$8:$CF$504,$I$8)</f>
        <v>1</v>
      </c>
      <c r="BN16" s="774">
        <f>COUNTIFS('PLAN ACCION 2018'!$B$8:$B$504,BG16,'PLAN ACCION 2018'!$CF$8:$CF$504,$J$8)</f>
        <v>0</v>
      </c>
      <c r="BO16" s="809">
        <f>COUNTIFS('PLAN ACCION 2018'!$B$8:$B$504,BG16,'PLAN ACCION 2018'!$CF$8:$CF$504,$K$8)</f>
        <v>3</v>
      </c>
      <c r="BP16" s="810">
        <f>COUNTIFS('PLAN ACCION 2018'!$B$8:$B$504,BG16,'PLAN ACCION 2018'!$CF$8:$CF$504,$L$8)</f>
        <v>0</v>
      </c>
      <c r="BQ16" s="1258">
        <f>COUNTIFS('PLAN ACCION 2018'!$B$8:$B$504,BG16,'PLAN ACCION 2018'!$CF$8:$CF$504,$M$8)</f>
        <v>11</v>
      </c>
      <c r="BR16" s="779">
        <f>COUNTIFS('PLAN ACCION 2018'!$B$8:$B$504,BG16,'PLAN ACCION 2018'!$CF$8:$CF$504,$N$8)</f>
        <v>1</v>
      </c>
      <c r="BS16" s="779">
        <f>COUNTIFS('PLAN ACCION 2018'!$B$8:$B$504,BG16,'PLAN ACCION 2018'!$CF$8:$CF$504,$O$8)</f>
        <v>0</v>
      </c>
      <c r="BT16" s="772">
        <f t="shared" si="11"/>
        <v>83.333333333333343</v>
      </c>
    </row>
    <row r="17" spans="1:72" ht="15.75" x14ac:dyDescent="0.25">
      <c r="A17" s="955"/>
      <c r="B17">
        <f t="shared" si="4"/>
        <v>0</v>
      </c>
      <c r="C17" s="1056" t="s">
        <v>999</v>
      </c>
      <c r="D17" s="782">
        <f>COUNTIFS('PLAN ACCION 2020'!$B$7:$B$1003,C17,'PLAN ACCION 2020'!$A$7:$A$1003,"*")</f>
        <v>21</v>
      </c>
      <c r="E17" s="782">
        <f t="shared" si="5"/>
        <v>18</v>
      </c>
      <c r="F17" s="1012">
        <f>COUNTIFS('PLAN ACCION 2020'!$B$8:$B$504,C17,'PLAN ACCION 2020'!$CG$8:$CG$504,$F$8)</f>
        <v>14</v>
      </c>
      <c r="G17" s="1011">
        <f>COUNTIFS('PLAN ACCION 2020'!$B$8:$B$504,C17,'PLAN ACCION 2020'!$CG$8:$CG$504,$G$8)</f>
        <v>0</v>
      </c>
      <c r="H17" s="1016">
        <f>COUNTIFS('PLAN ACCION 2020'!$B$8:$B$504,C17,'PLAN ACCION 2020'!$CG$8:$CG$504,$H$8)</f>
        <v>0</v>
      </c>
      <c r="I17" s="1013">
        <f>COUNTIFS('PLAN ACCION 2020'!$B$8:$B$504,C17,'PLAN ACCION 2020'!$CG$8:$CG$504,$I$8)</f>
        <v>0</v>
      </c>
      <c r="J17" s="785">
        <f>COUNTIFS('PLAN ACCION 2020'!$B$8:$B$504,C17,'PLAN ACCION 2020'!$CG$8:$CG$504,$J$8)</f>
        <v>0</v>
      </c>
      <c r="K17" s="1015">
        <f>COUNTIFS('PLAN ACCION 2020'!$B$8:$B$504,C17,'PLAN ACCION 2020'!$CG$8:$CG$504,$K$8)</f>
        <v>4</v>
      </c>
      <c r="L17" s="1255">
        <f>COUNTIFS('PLAN ACCION 2020'!$B$8:$B$504,C17,'PLAN ACCION 2020'!$CG$8:$CG$504,$L$8)</f>
        <v>0</v>
      </c>
      <c r="M17" s="1257">
        <f>COUNTIFS('PLAN ACCION 2020'!$B$8:$B$504,C17,'PLAN ACCION 2020'!$CG$8:$CG$504,$M$8)</f>
        <v>3</v>
      </c>
      <c r="N17" s="786">
        <f>COUNTIFS('PLAN ACCION 2020'!$B$8:$B$504,C17,'PLAN ACCION 2020'!$CG$8:$CG$504,$N$8)</f>
        <v>0</v>
      </c>
      <c r="O17" s="786">
        <f>COUNTIFS('PLAN ACCION 2020'!$B$8:$B$504,C17,'PLAN ACCION 2020'!$CG$8:$CG$504,$O$8)</f>
        <v>0</v>
      </c>
      <c r="P17" s="787">
        <f t="shared" si="0"/>
        <v>76.470588235294116</v>
      </c>
      <c r="Q17" s="787">
        <f t="shared" si="1"/>
        <v>86.842105263157904</v>
      </c>
      <c r="R17" s="787">
        <f t="shared" si="6"/>
        <v>64.705882352941174</v>
      </c>
      <c r="S17" s="787">
        <f t="shared" si="12"/>
        <v>77.777777777777786</v>
      </c>
      <c r="T17" s="1252">
        <f t="shared" si="7"/>
        <v>76.449088407292734</v>
      </c>
      <c r="U17" s="229">
        <f t="shared" si="8"/>
        <v>4</v>
      </c>
      <c r="AA17" s="1056" t="s">
        <v>999</v>
      </c>
      <c r="AB17" s="782">
        <f>COUNTIFS('PLAN ACCION 2018'!$B$7:$B$1003,AA17,'PLAN ACCION 2018'!$A$7:$A$1003,"*")</f>
        <v>21</v>
      </c>
      <c r="AC17" s="782">
        <f t="shared" si="2"/>
        <v>20</v>
      </c>
      <c r="AD17" s="1012">
        <f>COUNTIFS('PLAN ACCION 2018'!$B$8:$B$504,AA17,'PLAN ACCION 2018'!$CD$8:$CD$504,"VE")</f>
        <v>12</v>
      </c>
      <c r="AE17" s="1011">
        <f>COUNTIFS('PLAN ACCION 2018'!$B$8:$B$504,AA17,'PLAN ACCION 2018'!$CD$8:$CD$504,"VEB")</f>
        <v>1</v>
      </c>
      <c r="AF17" s="1016">
        <f>COUNTIFS('PLAN ACCION 2018'!$B$8:$B$504,AA17,'PLAN ACCION 2018'!$CD$8:$CD$504,"AM")</f>
        <v>0</v>
      </c>
      <c r="AG17" s="1013">
        <f>COUNTIFS('PLAN ACCION 2018'!$B$8:$B$504,AA17,'PLAN ACCION 2018'!$CD$8:$CD$504,"AMB")</f>
        <v>1</v>
      </c>
      <c r="AH17" s="785">
        <f>COUNTIFS('PLAN ACCION 2018'!$B$8:$B$504,AA17,'PLAN ACCION 2018'!$CD$8:$CD$504,"RO")</f>
        <v>0</v>
      </c>
      <c r="AI17" s="1015">
        <f>COUNTIFS('PLAN ACCION 2018'!$B$8:$B$504,AA17,'PLAN ACCION 2018'!$CD$8:$CD$504,"ROB")</f>
        <v>6</v>
      </c>
      <c r="AJ17" s="786">
        <f>COUNTIFS('PLAN ACCION 2018'!$B$8:$B$504,AA17,'PLAN ACCION 2018'!$CD$8:$CD$504,"AZ")</f>
        <v>0</v>
      </c>
      <c r="AK17" s="786">
        <f>COUNTIFS('PLAN ACCION 2018'!$B$8:$B$504,AA17,'PLAN ACCION 2018'!$CD$8:$CD$504,"NP")</f>
        <v>1</v>
      </c>
      <c r="AL17" s="786">
        <f>COUNTIFS('PLAN ACCION 2018'!$B$8:$B$504,AA17,'PLAN ACCION 2018'!$CD$8:$CD$504,"E")</f>
        <v>0</v>
      </c>
      <c r="AM17" s="786">
        <f>COUNTIFS('PLAN ACCION 2018'!$B$8:$B$504,AA17,'PLAN ACCION 2018'!$CD$8:$CD$504,"M")</f>
        <v>0</v>
      </c>
      <c r="AN17" s="787">
        <v>76.470588235294116</v>
      </c>
      <c r="AP17" s="1056" t="s">
        <v>999</v>
      </c>
      <c r="AQ17" s="782">
        <f>COUNTIFS('PLAN ACCION 2018'!$B$7:$B$1003,AP17,'PLAN ACCION 2018'!$A$7:$A$1003,"*")</f>
        <v>21</v>
      </c>
      <c r="AR17" s="782">
        <f t="shared" si="3"/>
        <v>19</v>
      </c>
      <c r="AS17" s="1012">
        <f>COUNTIFS('PLAN ACCION 2018'!$B$8:$B$504,AP17,'PLAN ACCION 2018'!$CE$8:$CE$504,"VE")</f>
        <v>15</v>
      </c>
      <c r="AT17" s="1011">
        <f>COUNTIFS('PLAN ACCION 2018'!$B$8:$B$504,AP17,'PLAN ACCION 2018'!$CE$8:$CE$504,"VEB")</f>
        <v>0</v>
      </c>
      <c r="AU17" s="1016">
        <f>COUNTIFS('PLAN ACCION 2018'!$B$8:$B$504,AP17,'PLAN ACCION 2018'!$CE$8:$CE$504,"AM")</f>
        <v>1</v>
      </c>
      <c r="AV17" s="1013">
        <f>COUNTIFS('PLAN ACCION 2018'!$B$8:$B$504,AP17,'PLAN ACCION 2018'!$CE$8:$CE$504,"AMB")</f>
        <v>1</v>
      </c>
      <c r="AW17" s="785">
        <f>COUNTIFS('PLAN ACCION 2018'!$B$8:$B$504,AP17,'PLAN ACCION 2018'!$CE$8:$CE$504,"RO")</f>
        <v>1</v>
      </c>
      <c r="AX17" s="1015">
        <f>COUNTIFS('PLAN ACCION 2018'!$B$8:$B$504,AP17,'PLAN ACCION 2018'!$CE$8:$CE$504,"ROB")</f>
        <v>1</v>
      </c>
      <c r="AY17" s="786">
        <f>COUNTIFS('PLAN ACCION 2018'!$B$8:$B$504,AP17,'PLAN ACCION 2018'!$CE$8:$CE$504,"AZ")</f>
        <v>0</v>
      </c>
      <c r="AZ17" s="786">
        <f>COUNTIFS('PLAN ACCION 2018'!$B$8:$B$504,AP17,'PLAN ACCION 2018'!$CE$8:$CE$504,"NP")</f>
        <v>2</v>
      </c>
      <c r="BA17" s="786">
        <f>COUNTIFS('PLAN ACCION 2018'!$B$8:$B$504,AP17,'PLAN ACCION 2018'!$CE$8:$CE$504,"E")</f>
        <v>0</v>
      </c>
      <c r="BB17" s="786">
        <f>COUNTIFS('PLAN ACCION 2018'!$B$8:$B$504,AP17,'PLAN ACCION 2018'!$CE$8:$CE$504,"M")</f>
        <v>0</v>
      </c>
      <c r="BC17" s="787">
        <v>86.842105263157904</v>
      </c>
      <c r="BF17">
        <f t="shared" si="9"/>
        <v>0</v>
      </c>
      <c r="BG17" s="1253" t="s">
        <v>999</v>
      </c>
      <c r="BH17" s="782">
        <f>COUNTIFS('PLAN ACCION 2018'!$B$7:$B$1003,BG17,'PLAN ACCION 2018'!$A$7:$A$1003,"*")</f>
        <v>21</v>
      </c>
      <c r="BI17" s="1402">
        <f t="shared" si="10"/>
        <v>17</v>
      </c>
      <c r="BJ17" s="1067">
        <f>COUNTIFS('PLAN ACCION 2018'!$B$8:$B$504,BG17,'PLAN ACCION 2018'!$CF$8:$CF$504,$F$8)</f>
        <v>8</v>
      </c>
      <c r="BK17" s="1011">
        <f>COUNTIFS('PLAN ACCION 2018'!$B$8:$B$504,BG17,'PLAN ACCION 2018'!$CF$8:$CF$504,$G$8)</f>
        <v>2</v>
      </c>
      <c r="BL17" s="808">
        <f>COUNTIFS('PLAN ACCION 2018'!$B$8:$B$504,BG17,'PLAN ACCION 2018'!$CF$8:$CF$504,$H$8)</f>
        <v>1</v>
      </c>
      <c r="BM17" s="1014">
        <f>COUNTIFS('PLAN ACCION 2018'!$B$8:$B$504,BG17,'PLAN ACCION 2018'!$CF$8:$CF$504,$I$8)</f>
        <v>1</v>
      </c>
      <c r="BN17" s="774">
        <f>COUNTIFS('PLAN ACCION 2018'!$B$8:$B$504,BG17,'PLAN ACCION 2018'!$CF$8:$CF$504,$J$8)</f>
        <v>2</v>
      </c>
      <c r="BO17" s="809">
        <f>COUNTIFS('PLAN ACCION 2018'!$B$8:$B$504,BG17,'PLAN ACCION 2018'!$CF$8:$CF$504,$K$8)</f>
        <v>3</v>
      </c>
      <c r="BP17" s="810">
        <f>COUNTIFS('PLAN ACCION 2018'!$B$8:$B$504,BG17,'PLAN ACCION 2018'!$CF$8:$CF$504,$L$8)</f>
        <v>0</v>
      </c>
      <c r="BQ17" s="1258">
        <f>COUNTIFS('PLAN ACCION 2018'!$B$8:$B$504,BG17,'PLAN ACCION 2018'!$CF$8:$CF$504,$M$8)</f>
        <v>4</v>
      </c>
      <c r="BR17" s="779">
        <f>COUNTIFS('PLAN ACCION 2018'!$B$8:$B$504,BG17,'PLAN ACCION 2018'!$CF$8:$CF$504,$N$8)</f>
        <v>0</v>
      </c>
      <c r="BS17" s="779">
        <f>COUNTIFS('PLAN ACCION 2018'!$B$8:$B$504,BG17,'PLAN ACCION 2018'!$CF$8:$CF$504,$O$8)</f>
        <v>0</v>
      </c>
      <c r="BT17" s="772">
        <f t="shared" si="11"/>
        <v>64.705882352941174</v>
      </c>
    </row>
    <row r="18" spans="1:72" ht="15.75" x14ac:dyDescent="0.25">
      <c r="A18" s="955"/>
      <c r="B18">
        <f t="shared" si="4"/>
        <v>0</v>
      </c>
      <c r="C18" s="1056" t="s">
        <v>1351</v>
      </c>
      <c r="D18" s="782">
        <f>COUNTIFS('PLAN ACCION 2020'!$B$7:$B$1003,C18,'PLAN ACCION 2020'!$A$7:$A$1003,"*")</f>
        <v>31</v>
      </c>
      <c r="E18" s="782">
        <f t="shared" si="5"/>
        <v>24</v>
      </c>
      <c r="F18" s="1012">
        <f>COUNTIFS('PLAN ACCION 2020'!$B$8:$B$504,C18,'PLAN ACCION 2020'!$CG$8:$CG$504,$F$8)</f>
        <v>17</v>
      </c>
      <c r="G18" s="1011">
        <f>COUNTIFS('PLAN ACCION 2020'!$B$8:$B$504,C18,'PLAN ACCION 2020'!$CG$8:$CG$504,$G$8)</f>
        <v>1</v>
      </c>
      <c r="H18" s="1016">
        <f>COUNTIFS('PLAN ACCION 2020'!$B$8:$B$504,C18,'PLAN ACCION 2020'!$CG$8:$CG$504,$H$8)</f>
        <v>0</v>
      </c>
      <c r="I18" s="1013">
        <f>COUNTIFS('PLAN ACCION 2020'!$B$8:$B$504,C18,'PLAN ACCION 2020'!$CG$8:$CG$504,$I$8)</f>
        <v>1</v>
      </c>
      <c r="J18" s="785">
        <f>COUNTIFS('PLAN ACCION 2020'!$B$8:$B$504,C18,'PLAN ACCION 2020'!$CG$8:$CG$504,$J$8)</f>
        <v>0</v>
      </c>
      <c r="K18" s="1015">
        <f>COUNTIFS('PLAN ACCION 2020'!$B$8:$B$504,C18,'PLAN ACCION 2020'!$CG$8:$CG$504,$K$8)</f>
        <v>5</v>
      </c>
      <c r="L18" s="1255">
        <f>COUNTIFS('PLAN ACCION 2020'!$B$8:$B$504,C18,'PLAN ACCION 2020'!$CG$8:$CG$504,$L$8)</f>
        <v>0</v>
      </c>
      <c r="M18" s="1257">
        <f>COUNTIFS('PLAN ACCION 2020'!$B$8:$B$504,C18,'PLAN ACCION 2020'!$CG$8:$CG$504,$M$8)</f>
        <v>7</v>
      </c>
      <c r="N18" s="786">
        <f>COUNTIFS('PLAN ACCION 2020'!$B$8:$B$504,C18,'PLAN ACCION 2020'!$CG$8:$CG$504,$N$8)</f>
        <v>0</v>
      </c>
      <c r="O18" s="786">
        <f>COUNTIFS('PLAN ACCION 2020'!$B$8:$B$504,C18,'PLAN ACCION 2020'!$CG$8:$CG$504,$O$8)</f>
        <v>0</v>
      </c>
      <c r="P18" s="787">
        <f t="shared" si="0"/>
        <v>100</v>
      </c>
      <c r="Q18" s="787">
        <f t="shared" si="1"/>
        <v>89.285714285714292</v>
      </c>
      <c r="R18" s="787">
        <f t="shared" si="6"/>
        <v>76.470588235294116</v>
      </c>
      <c r="S18" s="787">
        <f t="shared" si="12"/>
        <v>75</v>
      </c>
      <c r="T18" s="1252">
        <f t="shared" si="7"/>
        <v>85.189075630252091</v>
      </c>
      <c r="U18" s="229">
        <f t="shared" si="8"/>
        <v>4</v>
      </c>
      <c r="AA18" s="1056" t="s">
        <v>1351</v>
      </c>
      <c r="AB18" s="782">
        <f>COUNTIFS('PLAN ACCION 2018'!$B$7:$B$1003,AA18,'PLAN ACCION 2018'!$A$7:$A$1003,"*")</f>
        <v>32</v>
      </c>
      <c r="AC18" s="782">
        <f t="shared" si="2"/>
        <v>17</v>
      </c>
      <c r="AD18" s="1012">
        <f>COUNTIFS('PLAN ACCION 2018'!$B$8:$B$504,AA18,'PLAN ACCION 2018'!$CD$8:$CD$504,"VE")</f>
        <v>16</v>
      </c>
      <c r="AE18" s="1011">
        <f>COUNTIFS('PLAN ACCION 2018'!$B$8:$B$504,AA18,'PLAN ACCION 2018'!$CD$8:$CD$504,"VEB")</f>
        <v>0</v>
      </c>
      <c r="AF18" s="1016">
        <f>COUNTIFS('PLAN ACCION 2018'!$B$8:$B$504,AA18,'PLAN ACCION 2018'!$CD$8:$CD$504,"AM")</f>
        <v>0</v>
      </c>
      <c r="AG18" s="1013">
        <f>COUNTIFS('PLAN ACCION 2018'!$B$8:$B$504,AA18,'PLAN ACCION 2018'!$CD$8:$CD$504,"AMB")</f>
        <v>1</v>
      </c>
      <c r="AH18" s="785">
        <f>COUNTIFS('PLAN ACCION 2018'!$B$8:$B$504,AA18,'PLAN ACCION 2018'!$CD$8:$CD$504,"RO")</f>
        <v>0</v>
      </c>
      <c r="AI18" s="1015">
        <f>COUNTIFS('PLAN ACCION 2018'!$B$8:$B$504,AA18,'PLAN ACCION 2018'!$CD$8:$CD$504,"ROB")</f>
        <v>0</v>
      </c>
      <c r="AJ18" s="786">
        <f>COUNTIFS('PLAN ACCION 2018'!$B$8:$B$504,AA18,'PLAN ACCION 2018'!$CD$8:$CD$504,"AZ")</f>
        <v>2</v>
      </c>
      <c r="AK18" s="786">
        <f>COUNTIFS('PLAN ACCION 2018'!$B$8:$B$504,AA18,'PLAN ACCION 2018'!$CD$8:$CD$504,"NP")</f>
        <v>13</v>
      </c>
      <c r="AL18" s="786">
        <f>COUNTIFS('PLAN ACCION 2018'!$B$8:$B$504,AA18,'PLAN ACCION 2018'!$CD$8:$CD$504,"E")</f>
        <v>0</v>
      </c>
      <c r="AM18" s="786">
        <f>COUNTIFS('PLAN ACCION 2018'!$B$8:$B$504,AA18,'PLAN ACCION 2018'!$CD$8:$CD$504,"M")</f>
        <v>0</v>
      </c>
      <c r="AN18" s="787">
        <v>100</v>
      </c>
      <c r="AP18" s="1056" t="s">
        <v>1351</v>
      </c>
      <c r="AQ18" s="782">
        <f>COUNTIFS('PLAN ACCION 2018'!$B$7:$B$1003,AP18,'PLAN ACCION 2018'!$A$7:$A$1003,"*")</f>
        <v>32</v>
      </c>
      <c r="AR18" s="782">
        <f t="shared" si="3"/>
        <v>27</v>
      </c>
      <c r="AS18" s="1012">
        <f>COUNTIFS('PLAN ACCION 2018'!$B$8:$B$504,AP18,'PLAN ACCION 2018'!$CE$8:$CE$504,"VE")</f>
        <v>21</v>
      </c>
      <c r="AT18" s="1011">
        <f>COUNTIFS('PLAN ACCION 2018'!$B$8:$B$504,AP18,'PLAN ACCION 2018'!$CE$8:$CE$504,"VEB")</f>
        <v>1</v>
      </c>
      <c r="AU18" s="1016">
        <f>COUNTIFS('PLAN ACCION 2018'!$B$8:$B$504,AP18,'PLAN ACCION 2018'!$CE$8:$CE$504,"AM")</f>
        <v>0</v>
      </c>
      <c r="AV18" s="1013">
        <f>COUNTIFS('PLAN ACCION 2018'!$B$8:$B$504,AP18,'PLAN ACCION 2018'!$CE$8:$CE$504,"AMB")</f>
        <v>1</v>
      </c>
      <c r="AW18" s="785">
        <f>COUNTIFS('PLAN ACCION 2018'!$B$8:$B$504,AP18,'PLAN ACCION 2018'!$CE$8:$CE$504,"RO")</f>
        <v>1</v>
      </c>
      <c r="AX18" s="1015">
        <f>COUNTIFS('PLAN ACCION 2018'!$B$8:$B$504,AP18,'PLAN ACCION 2018'!$CE$8:$CE$504,"ROB")</f>
        <v>3</v>
      </c>
      <c r="AY18" s="786">
        <f>COUNTIFS('PLAN ACCION 2018'!$B$8:$B$504,AP18,'PLAN ACCION 2018'!$CE$8:$CE$504,"AZ")</f>
        <v>1</v>
      </c>
      <c r="AZ18" s="786">
        <f>COUNTIFS('PLAN ACCION 2018'!$B$8:$B$504,AP18,'PLAN ACCION 2018'!$CE$8:$CE$504,"NP")</f>
        <v>4</v>
      </c>
      <c r="BA18" s="786">
        <f>COUNTIFS('PLAN ACCION 2018'!$B$8:$B$504,AP18,'PLAN ACCION 2018'!$CE$8:$CE$504,"E")</f>
        <v>0</v>
      </c>
      <c r="BB18" s="786">
        <f>COUNTIFS('PLAN ACCION 2018'!$B$8:$B$504,AP18,'PLAN ACCION 2018'!$CE$8:$CE$504,"M")</f>
        <v>0</v>
      </c>
      <c r="BC18" s="787">
        <v>89.285714285714292</v>
      </c>
      <c r="BF18">
        <f t="shared" si="9"/>
        <v>1</v>
      </c>
      <c r="BG18" s="1253" t="s">
        <v>1351</v>
      </c>
      <c r="BH18" s="782">
        <v>31</v>
      </c>
      <c r="BI18" s="1402">
        <f t="shared" si="10"/>
        <v>16</v>
      </c>
      <c r="BJ18" s="1067">
        <f>COUNTIFS('PLAN ACCION 2018'!$B$8:$B$504,BG18,'PLAN ACCION 2018'!$CF$8:$CF$504,$F$8)</f>
        <v>12</v>
      </c>
      <c r="BK18" s="1011">
        <f>COUNTIFS('PLAN ACCION 2018'!$B$8:$B$504,BG18,'PLAN ACCION 2018'!$CF$8:$CF$504,$G$8)</f>
        <v>1</v>
      </c>
      <c r="BL18" s="808">
        <f>COUNTIFS('PLAN ACCION 2018'!$B$8:$B$504,BG18,'PLAN ACCION 2018'!$CF$8:$CF$504,$H$8)</f>
        <v>0</v>
      </c>
      <c r="BM18" s="1014">
        <f>COUNTIFS('PLAN ACCION 2018'!$B$8:$B$504,BG18,'PLAN ACCION 2018'!$CF$8:$CF$504,$I$8)</f>
        <v>0</v>
      </c>
      <c r="BN18" s="774">
        <f>COUNTIFS('PLAN ACCION 2018'!$B$8:$B$504,BG18,'PLAN ACCION 2018'!$CF$8:$CF$504,$J$8)</f>
        <v>0</v>
      </c>
      <c r="BO18" s="809">
        <f>COUNTIFS('PLAN ACCION 2018'!$B$8:$B$504,BG18,'PLAN ACCION 2018'!$CF$8:$CF$504,$K$8)</f>
        <v>4</v>
      </c>
      <c r="BP18" s="810">
        <f>COUNTIFS('PLAN ACCION 2018'!$B$8:$B$504,BG18,'PLAN ACCION 2018'!$CF$8:$CF$504,$L$8)</f>
        <v>1</v>
      </c>
      <c r="BQ18" s="1258">
        <f>COUNTIFS('PLAN ACCION 2018'!$B$8:$B$504,BG18,'PLAN ACCION 2018'!$CF$8:$CF$504,$M$8)</f>
        <v>12</v>
      </c>
      <c r="BR18" s="779">
        <f>COUNTIFS('PLAN ACCION 2018'!$B$8:$B$504,BG18,'PLAN ACCION 2018'!$CF$8:$CF$504,$N$8)</f>
        <v>2</v>
      </c>
      <c r="BS18" s="779">
        <f>COUNTIFS('PLAN ACCION 2018'!$B$8:$B$504,BG18,'PLAN ACCION 2018'!$CF$8:$CF$504,$O$8)</f>
        <v>0</v>
      </c>
      <c r="BT18" s="772">
        <f t="shared" si="11"/>
        <v>76.470588235294116</v>
      </c>
    </row>
    <row r="19" spans="1:72" ht="27.75" customHeight="1" x14ac:dyDescent="0.3">
      <c r="A19" s="955"/>
      <c r="B19">
        <f t="shared" si="4"/>
        <v>0</v>
      </c>
      <c r="C19" s="1057" t="s">
        <v>1448</v>
      </c>
      <c r="D19" s="782">
        <f>COUNTIFS('PLAN ACCION 2020'!$B$7:$B$1003,C19,'PLAN ACCION 2020'!$A$7:$A$1003,"*")</f>
        <v>14</v>
      </c>
      <c r="E19" s="782">
        <f t="shared" si="5"/>
        <v>12</v>
      </c>
      <c r="F19" s="1012">
        <f>COUNTIFS('PLAN ACCION 2020'!$B$8:$B$504,C19,'PLAN ACCION 2020'!$CG$8:$CG$504,$F$8)</f>
        <v>5</v>
      </c>
      <c r="G19" s="1011">
        <f>COUNTIFS('PLAN ACCION 2020'!$B$8:$B$504,C19,'PLAN ACCION 2020'!$CG$8:$CG$504,$G$8)</f>
        <v>0</v>
      </c>
      <c r="H19" s="1016">
        <f>COUNTIFS('PLAN ACCION 2020'!$B$8:$B$504,C19,'PLAN ACCION 2020'!$CG$8:$CG$504,$H$8)</f>
        <v>1</v>
      </c>
      <c r="I19" s="1013">
        <f>COUNTIFS('PLAN ACCION 2020'!$B$8:$B$504,C19,'PLAN ACCION 2020'!$CG$8:$CG$504,$I$8)</f>
        <v>0</v>
      </c>
      <c r="J19" s="785">
        <f>COUNTIFS('PLAN ACCION 2020'!$B$8:$B$504,C19,'PLAN ACCION 2020'!$CG$8:$CG$504,$J$8)</f>
        <v>0</v>
      </c>
      <c r="K19" s="1015">
        <f>COUNTIFS('PLAN ACCION 2020'!$B$8:$B$504,C19,'PLAN ACCION 2020'!$CG$8:$CG$504,$K$8)</f>
        <v>6</v>
      </c>
      <c r="L19" s="1255">
        <f>COUNTIFS('PLAN ACCION 2020'!$B$8:$B$504,C19,'PLAN ACCION 2020'!$CG$8:$CG$504,$L$8)</f>
        <v>0</v>
      </c>
      <c r="M19" s="1257">
        <f>COUNTIFS('PLAN ACCION 2020'!$B$8:$B$504,C19,'PLAN ACCION 2020'!$CG$8:$CG$504,$M$8)</f>
        <v>2</v>
      </c>
      <c r="N19" s="786">
        <f>COUNTIFS('PLAN ACCION 2020'!$B$8:$B$504,C19,'PLAN ACCION 2020'!$CG$8:$CG$504,$N$8)</f>
        <v>0</v>
      </c>
      <c r="O19" s="786">
        <f>COUNTIFS('PLAN ACCION 2020'!$B$8:$B$504,C19,'PLAN ACCION 2020'!$CG$8:$CG$504,$O$8)</f>
        <v>0</v>
      </c>
      <c r="P19" s="787">
        <f t="shared" si="0"/>
        <v>100</v>
      </c>
      <c r="Q19" s="787">
        <f t="shared" si="1"/>
        <v>88.461538461538453</v>
      </c>
      <c r="R19" s="787">
        <f t="shared" si="6"/>
        <v>100</v>
      </c>
      <c r="S19" s="787">
        <f t="shared" si="12"/>
        <v>45.833333333333336</v>
      </c>
      <c r="T19" s="1252">
        <f t="shared" si="7"/>
        <v>83.573717948717942</v>
      </c>
      <c r="U19" s="229">
        <f t="shared" si="8"/>
        <v>4</v>
      </c>
      <c r="AA19" s="1253" t="s">
        <v>1448</v>
      </c>
      <c r="AB19" s="782">
        <f>COUNTIFS('PLAN ACCION 2018'!$B$7:$B$1003,AA19,'PLAN ACCION 2018'!$A$7:$A$1003,"*")</f>
        <v>14</v>
      </c>
      <c r="AC19" s="782">
        <f t="shared" si="2"/>
        <v>12</v>
      </c>
      <c r="AD19" s="1012">
        <f>COUNTIFS('PLAN ACCION 2018'!$B$8:$B$504,AA19,'PLAN ACCION 2018'!$CD$8:$CD$504,"VE")</f>
        <v>9</v>
      </c>
      <c r="AE19" s="1011">
        <f>COUNTIFS('PLAN ACCION 2018'!$B$8:$B$504,AA19,'PLAN ACCION 2018'!$CD$8:$CD$504,"VEB")</f>
        <v>0</v>
      </c>
      <c r="AF19" s="1016">
        <f>COUNTIFS('PLAN ACCION 2018'!$B$8:$B$504,AA19,'PLAN ACCION 2018'!$CD$8:$CD$504,"AM")</f>
        <v>0</v>
      </c>
      <c r="AG19" s="1013">
        <f>COUNTIFS('PLAN ACCION 2018'!$B$8:$B$504,AA19,'PLAN ACCION 2018'!$CD$8:$CD$504,"AMB")</f>
        <v>0</v>
      </c>
      <c r="AH19" s="785">
        <f>COUNTIFS('PLAN ACCION 2018'!$B$8:$B$504,AA19,'PLAN ACCION 2018'!$CD$8:$CD$504,"RO")</f>
        <v>0</v>
      </c>
      <c r="AI19" s="1015">
        <f>COUNTIFS('PLAN ACCION 2018'!$B$8:$B$504,AA19,'PLAN ACCION 2018'!$CD$8:$CD$504,"ROB")</f>
        <v>3</v>
      </c>
      <c r="AJ19" s="786">
        <f>COUNTIFS('PLAN ACCION 2018'!$B$8:$B$504,AA19,'PLAN ACCION 2018'!$CD$8:$CD$504,"AZ")</f>
        <v>0</v>
      </c>
      <c r="AK19" s="786">
        <f>COUNTIFS('PLAN ACCION 2018'!$B$8:$B$504,AA19,'PLAN ACCION 2018'!$CD$8:$CD$504,"NP")</f>
        <v>2</v>
      </c>
      <c r="AL19" s="786">
        <f>COUNTIFS('PLAN ACCION 2018'!$B$8:$B$504,AA19,'PLAN ACCION 2018'!$CD$8:$CD$504,"E")</f>
        <v>0</v>
      </c>
      <c r="AM19" s="786">
        <f>COUNTIFS('PLAN ACCION 2018'!$B$8:$B$504,AA19,'PLAN ACCION 2018'!$CD$8:$CD$504,"M")</f>
        <v>0</v>
      </c>
      <c r="AN19" s="787">
        <v>100</v>
      </c>
      <c r="AP19" s="1253" t="s">
        <v>1448</v>
      </c>
      <c r="AQ19" s="782">
        <f>COUNTIFS('PLAN ACCION 2018'!$B$7:$B$1003,AP19,'PLAN ACCION 2018'!$A$7:$A$1003,"*")</f>
        <v>14</v>
      </c>
      <c r="AR19" s="782">
        <f t="shared" si="3"/>
        <v>12</v>
      </c>
      <c r="AS19" s="1012">
        <f>COUNTIFS('PLAN ACCION 2018'!$B$8:$B$504,AP19,'PLAN ACCION 2018'!$CE$8:$CE$504,"VE")</f>
        <v>10</v>
      </c>
      <c r="AT19" s="1011">
        <f>COUNTIFS('PLAN ACCION 2018'!$B$8:$B$504,AP19,'PLAN ACCION 2018'!$CE$8:$CE$504,"VEB")</f>
        <v>0</v>
      </c>
      <c r="AU19" s="1016">
        <f>COUNTIFS('PLAN ACCION 2018'!$B$8:$B$504,AP19,'PLAN ACCION 2018'!$CE$8:$CE$504,"AM")</f>
        <v>0</v>
      </c>
      <c r="AV19" s="1013">
        <f>COUNTIFS('PLAN ACCION 2018'!$B$8:$B$504,AP19,'PLAN ACCION 2018'!$CE$8:$CE$504,"AMB")</f>
        <v>0</v>
      </c>
      <c r="AW19" s="785">
        <f>COUNTIFS('PLAN ACCION 2018'!$B$8:$B$504,AP19,'PLAN ACCION 2018'!$CE$8:$CE$504,"RO")</f>
        <v>0</v>
      </c>
      <c r="AX19" s="1015">
        <f>COUNTIFS('PLAN ACCION 2018'!$B$8:$B$504,AP19,'PLAN ACCION 2018'!$CE$8:$CE$504,"ROB")</f>
        <v>2</v>
      </c>
      <c r="AY19" s="786">
        <f>COUNTIFS('PLAN ACCION 2018'!$B$8:$B$504,AP19,'PLAN ACCION 2018'!$CE$8:$CE$504,"AZ")</f>
        <v>0</v>
      </c>
      <c r="AZ19" s="786">
        <f>COUNTIFS('PLAN ACCION 2018'!$B$8:$B$504,AP19,'PLAN ACCION 2018'!$CE$8:$CE$504,"NP")</f>
        <v>2</v>
      </c>
      <c r="BA19" s="786">
        <f>COUNTIFS('PLAN ACCION 2018'!$B$8:$B$504,AP19,'PLAN ACCION 2018'!$CE$8:$CE$504,"E")</f>
        <v>0</v>
      </c>
      <c r="BB19" s="786">
        <f>COUNTIFS('PLAN ACCION 2018'!$B$8:$B$504,AP19,'PLAN ACCION 2018'!$CE$8:$CE$504,"M")</f>
        <v>0</v>
      </c>
      <c r="BC19" s="787">
        <v>88.461538461538453</v>
      </c>
      <c r="BF19">
        <f t="shared" si="9"/>
        <v>0</v>
      </c>
      <c r="BG19" s="1253" t="s">
        <v>1448</v>
      </c>
      <c r="BH19" s="782">
        <f>COUNTIFS('PLAN ACCION 2018'!$B$7:$B$1003,BG19,'PLAN ACCION 2018'!$A$7:$A$1003,"*")</f>
        <v>14</v>
      </c>
      <c r="BI19" s="1402">
        <f t="shared" si="10"/>
        <v>7</v>
      </c>
      <c r="BJ19" s="1067">
        <f>COUNTIFS('PLAN ACCION 2018'!$B$8:$B$504,BG19,'PLAN ACCION 2018'!$CF$8:$CF$504,$F$8)</f>
        <v>7</v>
      </c>
      <c r="BK19" s="1011">
        <f>COUNTIFS('PLAN ACCION 2018'!$B$8:$B$504,BG19,'PLAN ACCION 2018'!$CF$8:$CF$504,$G$8)</f>
        <v>0</v>
      </c>
      <c r="BL19" s="808">
        <f>COUNTIFS('PLAN ACCION 2018'!$B$8:$B$504,BG19,'PLAN ACCION 2018'!$CF$8:$CF$504,$H$8)</f>
        <v>0</v>
      </c>
      <c r="BM19" s="1014">
        <f>COUNTIFS('PLAN ACCION 2018'!$B$8:$B$504,BG19,'PLAN ACCION 2018'!$CF$8:$CF$504,$I$8)</f>
        <v>0</v>
      </c>
      <c r="BN19" s="774">
        <f>COUNTIFS('PLAN ACCION 2018'!$B$8:$B$504,BG19,'PLAN ACCION 2018'!$CF$8:$CF$504,$J$8)</f>
        <v>0</v>
      </c>
      <c r="BO19" s="809">
        <f>COUNTIFS('PLAN ACCION 2018'!$B$8:$B$504,BG19,'PLAN ACCION 2018'!$CF$8:$CF$504,$K$8)</f>
        <v>0</v>
      </c>
      <c r="BP19" s="810">
        <f>COUNTIFS('PLAN ACCION 2018'!$B$8:$B$504,BG19,'PLAN ACCION 2018'!$CF$8:$CF$504,$L$8)</f>
        <v>0</v>
      </c>
      <c r="BQ19" s="1258">
        <f>COUNTIFS('PLAN ACCION 2018'!$B$8:$B$504,BG19,'PLAN ACCION 2018'!$CF$8:$CF$504,$M$8)</f>
        <v>7</v>
      </c>
      <c r="BR19" s="779">
        <f>COUNTIFS('PLAN ACCION 2018'!$B$8:$B$504,BG19,'PLAN ACCION 2018'!$CF$8:$CF$504,$N$8)</f>
        <v>0</v>
      </c>
      <c r="BS19" s="779">
        <f>COUNTIFS('PLAN ACCION 2018'!$B$8:$B$504,BG19,'PLAN ACCION 2018'!$CF$8:$CF$504,$O$8)</f>
        <v>0</v>
      </c>
      <c r="BT19" s="772">
        <f t="shared" si="11"/>
        <v>100</v>
      </c>
    </row>
    <row r="20" spans="1:72" ht="15" customHeight="1" x14ac:dyDescent="0.3">
      <c r="A20" s="955"/>
      <c r="B20">
        <f t="shared" si="4"/>
        <v>0</v>
      </c>
      <c r="C20" s="1056" t="s">
        <v>801</v>
      </c>
      <c r="D20" s="782">
        <f>COUNTIFS('PLAN ACCION 2020'!$B$7:$B$1003,C20,'PLAN ACCION 2020'!$A$7:$A$1003,"*")</f>
        <v>28</v>
      </c>
      <c r="E20" s="782">
        <f t="shared" si="5"/>
        <v>19</v>
      </c>
      <c r="F20" s="1012">
        <f>COUNTIFS('PLAN ACCION 2020'!$B$8:$B$504,C20,'PLAN ACCION 2020'!$CG$8:$CG$504,$F$8)</f>
        <v>6</v>
      </c>
      <c r="G20" s="1011">
        <f>COUNTIFS('PLAN ACCION 2020'!$B$8:$B$504,C20,'PLAN ACCION 2020'!$CG$8:$CG$504,$G$8)</f>
        <v>0</v>
      </c>
      <c r="H20" s="1016">
        <f>COUNTIFS('PLAN ACCION 2020'!$B$8:$B$504,C20,'PLAN ACCION 2020'!$CG$8:$CG$504,$H$8)</f>
        <v>0</v>
      </c>
      <c r="I20" s="1013">
        <f>COUNTIFS('PLAN ACCION 2020'!$B$8:$B$504,C20,'PLAN ACCION 2020'!$CG$8:$CG$504,$I$8)</f>
        <v>1</v>
      </c>
      <c r="J20" s="785">
        <f>COUNTIFS('PLAN ACCION 2020'!$B$8:$B$504,C20,'PLAN ACCION 2020'!$CG$8:$CG$504,$J$8)</f>
        <v>1</v>
      </c>
      <c r="K20" s="1015">
        <f>COUNTIFS('PLAN ACCION 2020'!$B$8:$B$504,C20,'PLAN ACCION 2020'!$CG$8:$CG$504,$K$8)</f>
        <v>11</v>
      </c>
      <c r="L20" s="1255">
        <f>COUNTIFS('PLAN ACCION 2020'!$B$8:$B$504,C20,'PLAN ACCION 2020'!$CG$8:$CG$504,$L$8)</f>
        <v>0</v>
      </c>
      <c r="M20" s="1257">
        <f>COUNTIFS('PLAN ACCION 2020'!$B$8:$B$504,C20,'PLAN ACCION 2020'!$CG$8:$CG$504,$M$8)</f>
        <v>9</v>
      </c>
      <c r="N20" s="786">
        <f>COUNTIFS('PLAN ACCION 2020'!$B$8:$B$504,C20,'PLAN ACCION 2020'!$CG$8:$CG$504,$N$8)</f>
        <v>0</v>
      </c>
      <c r="O20" s="786">
        <f>COUNTIFS('PLAN ACCION 2020'!$B$8:$B$504,C20,'PLAN ACCION 2020'!$CG$8:$CG$504,$O$8)</f>
        <v>0</v>
      </c>
      <c r="P20" s="787">
        <f t="shared" si="0"/>
        <v>70</v>
      </c>
      <c r="Q20" s="787">
        <f t="shared" si="1"/>
        <v>67.64705882352942</v>
      </c>
      <c r="R20" s="787">
        <f t="shared" si="6"/>
        <v>68.181818181818173</v>
      </c>
      <c r="S20" s="787">
        <f t="shared" si="12"/>
        <v>31.578947368421051</v>
      </c>
      <c r="T20" s="1252">
        <f t="shared" si="7"/>
        <v>59.351956093442155</v>
      </c>
      <c r="U20" s="229">
        <f t="shared" si="8"/>
        <v>4</v>
      </c>
      <c r="AA20" s="1056" t="s">
        <v>801</v>
      </c>
      <c r="AB20" s="782">
        <f>COUNTIFS('PLAN ACCION 2018'!$B$7:$B$1003,AA20,'PLAN ACCION 2018'!$A$7:$A$1003,"*")</f>
        <v>27</v>
      </c>
      <c r="AC20" s="782">
        <f t="shared" si="2"/>
        <v>14</v>
      </c>
      <c r="AD20" s="1012">
        <f>COUNTIFS('PLAN ACCION 2018'!$B$8:$B$504,AA20,'PLAN ACCION 2018'!$CD$8:$CD$504,"VE")</f>
        <v>4</v>
      </c>
      <c r="AE20" s="1011">
        <f>COUNTIFS('PLAN ACCION 2018'!$B$8:$B$504,AA20,'PLAN ACCION 2018'!$CD$8:$CD$504,"VEB")</f>
        <v>0</v>
      </c>
      <c r="AF20" s="1016">
        <f>COUNTIFS('PLAN ACCION 2018'!$B$8:$B$504,AA20,'PLAN ACCION 2018'!$CD$8:$CD$504,"AM")</f>
        <v>0</v>
      </c>
      <c r="AG20" s="1013">
        <f>COUNTIFS('PLAN ACCION 2018'!$B$8:$B$504,AA20,'PLAN ACCION 2018'!$CD$8:$CD$504,"AMB")</f>
        <v>0</v>
      </c>
      <c r="AH20" s="785">
        <f>COUNTIFS('PLAN ACCION 2018'!$B$8:$B$504,AA20,'PLAN ACCION 2018'!$CD$8:$CD$504,"RO")</f>
        <v>1</v>
      </c>
      <c r="AI20" s="1015">
        <f>COUNTIFS('PLAN ACCION 2018'!$B$8:$B$504,AA20,'PLAN ACCION 2018'!$CD$8:$CD$504,"ROB")</f>
        <v>9</v>
      </c>
      <c r="AJ20" s="786">
        <f>COUNTIFS('PLAN ACCION 2018'!$B$8:$B$504,AA20,'PLAN ACCION 2018'!$CD$8:$CD$504,"AZ")</f>
        <v>3</v>
      </c>
      <c r="AK20" s="786">
        <f>COUNTIFS('PLAN ACCION 2018'!$B$8:$B$504,AA20,'PLAN ACCION 2018'!$CD$8:$CD$504,"NP")</f>
        <v>10</v>
      </c>
      <c r="AL20" s="786">
        <f>COUNTIFS('PLAN ACCION 2018'!$B$8:$B$504,AA20,'PLAN ACCION 2018'!$CD$8:$CD$504,"E")</f>
        <v>0</v>
      </c>
      <c r="AM20" s="786">
        <f>COUNTIFS('PLAN ACCION 2018'!$B$8:$B$504,AA20,'PLAN ACCION 2018'!$CD$8:$CD$504,"M")</f>
        <v>0</v>
      </c>
      <c r="AN20" s="787">
        <v>70</v>
      </c>
      <c r="AP20" s="1056" t="s">
        <v>801</v>
      </c>
      <c r="AQ20" s="782">
        <f>COUNTIFS('PLAN ACCION 2018'!$B$7:$B$1003,AP20,'PLAN ACCION 2018'!$A$7:$A$1003,"*")</f>
        <v>27</v>
      </c>
      <c r="AR20" s="782">
        <f t="shared" si="3"/>
        <v>15</v>
      </c>
      <c r="AS20" s="1012">
        <f>COUNTIFS('PLAN ACCION 2018'!$B$8:$B$504,AP20,'PLAN ACCION 2018'!$CE$8:$CE$504,"VE")</f>
        <v>10</v>
      </c>
      <c r="AT20" s="1011">
        <f>COUNTIFS('PLAN ACCION 2018'!$B$8:$B$504,AP20,'PLAN ACCION 2018'!$CE$8:$CE$504,"VEB")</f>
        <v>0</v>
      </c>
      <c r="AU20" s="1016">
        <f>COUNTIFS('PLAN ACCION 2018'!$B$8:$B$504,AP20,'PLAN ACCION 2018'!$CE$8:$CE$504,"AM")</f>
        <v>2</v>
      </c>
      <c r="AV20" s="1013">
        <f>COUNTIFS('PLAN ACCION 2018'!$B$8:$B$504,AP20,'PLAN ACCION 2018'!$CE$8:$CE$504,"AMB")</f>
        <v>0</v>
      </c>
      <c r="AW20" s="785">
        <f>COUNTIFS('PLAN ACCION 2018'!$B$8:$B$504,AP20,'PLAN ACCION 2018'!$CE$8:$CE$504,"RO")</f>
        <v>0</v>
      </c>
      <c r="AX20" s="1015">
        <f>COUNTIFS('PLAN ACCION 2018'!$B$8:$B$504,AP20,'PLAN ACCION 2018'!$CE$8:$CE$504,"ROB")</f>
        <v>3</v>
      </c>
      <c r="AY20" s="786">
        <f>COUNTIFS('PLAN ACCION 2018'!$B$8:$B$504,AP20,'PLAN ACCION 2018'!$CE$8:$CE$504,"AZ")</f>
        <v>6</v>
      </c>
      <c r="AZ20" s="786">
        <f>COUNTIFS('PLAN ACCION 2018'!$B$8:$B$504,AP20,'PLAN ACCION 2018'!$CE$8:$CE$504,"NP")</f>
        <v>6</v>
      </c>
      <c r="BA20" s="786">
        <f>COUNTIFS('PLAN ACCION 2018'!$B$8:$B$504,AP20,'PLAN ACCION 2018'!$CE$8:$CE$504,"E")</f>
        <v>0</v>
      </c>
      <c r="BB20" s="786">
        <f>COUNTIFS('PLAN ACCION 2018'!$B$8:$B$504,AP20,'PLAN ACCION 2018'!$CE$8:$CE$504,"M")</f>
        <v>0</v>
      </c>
      <c r="BC20" s="787">
        <v>67.64705882352942</v>
      </c>
      <c r="BF20">
        <f t="shared" si="9"/>
        <v>2</v>
      </c>
      <c r="BG20" s="1253" t="s">
        <v>801</v>
      </c>
      <c r="BH20" s="782">
        <v>25</v>
      </c>
      <c r="BI20" s="1402">
        <f t="shared" si="10"/>
        <v>9</v>
      </c>
      <c r="BJ20" s="1067">
        <f>COUNTIFS('PLAN ACCION 2018'!$B$8:$B$504,BG20,'PLAN ACCION 2018'!$CF$8:$CF$504,$F$8)</f>
        <v>7</v>
      </c>
      <c r="BK20" s="1011">
        <f>COUNTIFS('PLAN ACCION 2018'!$B$8:$B$504,BG20,'PLAN ACCION 2018'!$CF$8:$CF$504,$G$8)</f>
        <v>0</v>
      </c>
      <c r="BL20" s="808">
        <f>COUNTIFS('PLAN ACCION 2018'!$B$8:$B$504,BG20,'PLAN ACCION 2018'!$CF$8:$CF$504,$H$8)</f>
        <v>0</v>
      </c>
      <c r="BM20" s="1014">
        <f>COUNTIFS('PLAN ACCION 2018'!$B$8:$B$504,BG20,'PLAN ACCION 2018'!$CF$8:$CF$504,$I$8)</f>
        <v>1</v>
      </c>
      <c r="BN20" s="774">
        <f>COUNTIFS('PLAN ACCION 2018'!$B$8:$B$504,BG20,'PLAN ACCION 2018'!$CF$8:$CF$504,$J$8)</f>
        <v>1</v>
      </c>
      <c r="BO20" s="809">
        <f>COUNTIFS('PLAN ACCION 2018'!$B$8:$B$504,BG20,'PLAN ACCION 2018'!$CF$8:$CF$504,$K$8)</f>
        <v>2</v>
      </c>
      <c r="BP20" s="810">
        <f>COUNTIFS('PLAN ACCION 2018'!$B$8:$B$504,BG20,'PLAN ACCION 2018'!$CF$8:$CF$504,$L$8)</f>
        <v>0</v>
      </c>
      <c r="BQ20" s="1258">
        <f>COUNTIFS('PLAN ACCION 2018'!$B$8:$B$504,BG20,'PLAN ACCION 2018'!$CF$8:$CF$504,$M$8)</f>
        <v>16</v>
      </c>
      <c r="BR20" s="779">
        <f>COUNTIFS('PLAN ACCION 2018'!$B$8:$B$504,BG20,'PLAN ACCION 2018'!$CF$8:$CF$504,$N$8)</f>
        <v>0</v>
      </c>
      <c r="BS20" s="779">
        <f>COUNTIFS('PLAN ACCION 2018'!$B$8:$B$504,BG20,'PLAN ACCION 2018'!$CF$8:$CF$504,$O$8)</f>
        <v>0</v>
      </c>
      <c r="BT20" s="772">
        <f t="shared" si="11"/>
        <v>68.181818181818173</v>
      </c>
    </row>
    <row r="21" spans="1:72" ht="15" customHeight="1" x14ac:dyDescent="0.3">
      <c r="A21" s="955"/>
      <c r="B21">
        <f t="shared" si="4"/>
        <v>-4</v>
      </c>
      <c r="C21" s="1056" t="s">
        <v>489</v>
      </c>
      <c r="D21" s="782">
        <f>COUNTIFS('PLAN ACCION 2020'!$B$7:$B$1003,C21,'PLAN ACCION 2020'!$A$7:$A$1003,"*")</f>
        <v>98</v>
      </c>
      <c r="E21" s="782">
        <f t="shared" si="5"/>
        <v>85</v>
      </c>
      <c r="F21" s="1012">
        <f>COUNTIFS('PLAN ACCION 2020'!$B$8:$B$504,C21,'PLAN ACCION 2020'!$CG$8:$CG$504,$F$8)</f>
        <v>61</v>
      </c>
      <c r="G21" s="1011">
        <f>COUNTIFS('PLAN ACCION 2020'!$B$8:$B$504,C21,'PLAN ACCION 2020'!$CG$8:$CG$504,$G$8)</f>
        <v>0</v>
      </c>
      <c r="H21" s="1016">
        <f>COUNTIFS('PLAN ACCION 2020'!$B$8:$B$504,C21,'PLAN ACCION 2020'!$CG$8:$CG$504,$H$8)</f>
        <v>1</v>
      </c>
      <c r="I21" s="1013">
        <f>COUNTIFS('PLAN ACCION 2020'!$B$8:$B$504,C21,'PLAN ACCION 2020'!$CG$8:$CG$504,$I$8)</f>
        <v>4</v>
      </c>
      <c r="J21" s="785">
        <f>COUNTIFS('PLAN ACCION 2020'!$B$8:$B$504,C21,'PLAN ACCION 2020'!$CG$8:$CG$504,$J$8)</f>
        <v>3</v>
      </c>
      <c r="K21" s="1015">
        <f>COUNTIFS('PLAN ACCION 2020'!$B$8:$B$504,C21,'PLAN ACCION 2020'!$CG$8:$CG$504,$K$8)</f>
        <v>12</v>
      </c>
      <c r="L21" s="1255">
        <f>COUNTIFS('PLAN ACCION 2020'!$B$8:$B$504,C21,'PLAN ACCION 2020'!$CG$8:$CG$504,$L$8)</f>
        <v>0</v>
      </c>
      <c r="M21" s="1257">
        <f>COUNTIFS('PLAN ACCION 2020'!$B$8:$B$504,C21,'PLAN ACCION 2020'!$CG$8:$CG$504,$M$8)</f>
        <v>13</v>
      </c>
      <c r="N21" s="786">
        <f>COUNTIFS('PLAN ACCION 2020'!$B$8:$B$504,C21,'PLAN ACCION 2020'!$CG$8:$CG$504,$N$8)</f>
        <v>1</v>
      </c>
      <c r="O21" s="786">
        <f>COUNTIFS('PLAN ACCION 2020'!$B$8:$B$504,C21,'PLAN ACCION 2020'!$CG$8:$CG$504,$O$8)</f>
        <v>0</v>
      </c>
      <c r="P21" s="787">
        <f t="shared" si="0"/>
        <v>67.910447761194021</v>
      </c>
      <c r="Q21" s="787">
        <f t="shared" si="1"/>
        <v>88.888888888888886</v>
      </c>
      <c r="R21" s="787">
        <f t="shared" si="6"/>
        <v>93.506493506493499</v>
      </c>
      <c r="S21" s="787">
        <f t="shared" si="12"/>
        <v>75.925925925925924</v>
      </c>
      <c r="T21" s="1252">
        <f t="shared" si="7"/>
        <v>81.557939020625582</v>
      </c>
      <c r="U21" s="229">
        <f t="shared" si="8"/>
        <v>4</v>
      </c>
      <c r="AA21" s="1056" t="s">
        <v>489</v>
      </c>
      <c r="AB21" s="782">
        <f>COUNTIFS('PLAN ACCION 2018'!$B$7:$B$1003,AA21,'PLAN ACCION 2018'!$A$7:$A$1003,"*")</f>
        <v>97</v>
      </c>
      <c r="AC21" s="782">
        <f t="shared" si="2"/>
        <v>84</v>
      </c>
      <c r="AD21" s="1012">
        <f>COUNTIFS('PLAN ACCION 2018'!$B$8:$B$504,AA21,'PLAN ACCION 2018'!$CD$8:$CD$504,"VE")</f>
        <v>62</v>
      </c>
      <c r="AE21" s="1011">
        <f>COUNTIFS('PLAN ACCION 2018'!$B$8:$B$504,AA21,'PLAN ACCION 2018'!$CD$8:$CD$504,"VEB")</f>
        <v>1</v>
      </c>
      <c r="AF21" s="1016">
        <f>COUNTIFS('PLAN ACCION 2018'!$B$8:$B$504,AA21,'PLAN ACCION 2018'!$CD$8:$CD$504,"AM")</f>
        <v>0</v>
      </c>
      <c r="AG21" s="1013">
        <f>COUNTIFS('PLAN ACCION 2018'!$B$8:$B$504,AA21,'PLAN ACCION 2018'!$CD$8:$CD$504,"AMB")</f>
        <v>2</v>
      </c>
      <c r="AH21" s="785">
        <f>COUNTIFS('PLAN ACCION 2018'!$B$8:$B$504,AA21,'PLAN ACCION 2018'!$CD$8:$CD$504,"RO")</f>
        <v>0</v>
      </c>
      <c r="AI21" s="1015">
        <f>COUNTIFS('PLAN ACCION 2018'!$B$8:$B$504,AA21,'PLAN ACCION 2018'!$CD$8:$CD$504,"ROB")</f>
        <v>17</v>
      </c>
      <c r="AJ21" s="786">
        <f>COUNTIFS('PLAN ACCION 2018'!$B$8:$B$504,AA21,'PLAN ACCION 2018'!$CD$8:$CD$504,"AZ")</f>
        <v>12</v>
      </c>
      <c r="AK21" s="786">
        <f>COUNTIFS('PLAN ACCION 2018'!$B$8:$B$504,AA21,'PLAN ACCION 2018'!$CD$8:$CD$504,"NP")</f>
        <v>1</v>
      </c>
      <c r="AL21" s="786">
        <f>COUNTIFS('PLAN ACCION 2018'!$B$8:$B$504,AA21,'PLAN ACCION 2018'!$CD$8:$CD$504,"E")</f>
        <v>0</v>
      </c>
      <c r="AM21" s="786">
        <f>COUNTIFS('PLAN ACCION 2018'!$B$8:$B$504,AA21,'PLAN ACCION 2018'!$CD$8:$CD$504,"M")</f>
        <v>0</v>
      </c>
      <c r="AN21" s="787">
        <v>67.910447761194021</v>
      </c>
      <c r="AP21" s="1056" t="s">
        <v>489</v>
      </c>
      <c r="AQ21" s="782">
        <f>COUNTIFS('PLAN ACCION 2018'!$B$7:$B$1003,AP21,'PLAN ACCION 2018'!$A$7:$A$1003,"*")</f>
        <v>97</v>
      </c>
      <c r="AR21" s="782">
        <f t="shared" si="3"/>
        <v>77</v>
      </c>
      <c r="AS21" s="1012">
        <f>COUNTIFS('PLAN ACCION 2018'!$B$8:$B$504,AP21,'PLAN ACCION 2018'!$CE$8:$CE$504,"VE")</f>
        <v>62</v>
      </c>
      <c r="AT21" s="1011">
        <f>COUNTIFS('PLAN ACCION 2018'!$B$8:$B$504,AP21,'PLAN ACCION 2018'!$CE$8:$CE$504,"VEB")</f>
        <v>0</v>
      </c>
      <c r="AU21" s="1016">
        <f>COUNTIFS('PLAN ACCION 2018'!$B$8:$B$504,AP21,'PLAN ACCION 2018'!$CE$8:$CE$504,"AM")</f>
        <v>0</v>
      </c>
      <c r="AV21" s="1013">
        <f>COUNTIFS('PLAN ACCION 2018'!$B$8:$B$504,AP21,'PLAN ACCION 2018'!$CE$8:$CE$504,"AMB")</f>
        <v>5</v>
      </c>
      <c r="AW21" s="785">
        <f>COUNTIFS('PLAN ACCION 2018'!$B$8:$B$504,AP21,'PLAN ACCION 2018'!$CE$8:$CE$504,"RO")</f>
        <v>1</v>
      </c>
      <c r="AX21" s="1015">
        <f>COUNTIFS('PLAN ACCION 2018'!$B$8:$B$504,AP21,'PLAN ACCION 2018'!$CE$8:$CE$504,"ROB")</f>
        <v>5</v>
      </c>
      <c r="AY21" s="786">
        <f>COUNTIFS('PLAN ACCION 2018'!$B$8:$B$504,AP21,'PLAN ACCION 2018'!$CE$8:$CE$504,"AZ")</f>
        <v>19</v>
      </c>
      <c r="AZ21" s="786">
        <f>COUNTIFS('PLAN ACCION 2018'!$B$8:$B$504,AP21,'PLAN ACCION 2018'!$CE$8:$CE$504,"NP")</f>
        <v>1</v>
      </c>
      <c r="BA21" s="786">
        <f>COUNTIFS('PLAN ACCION 2018'!$B$8:$B$504,AP21,'PLAN ACCION 2018'!$CE$8:$CE$504,"E")</f>
        <v>0</v>
      </c>
      <c r="BB21" s="786">
        <f>COUNTIFS('PLAN ACCION 2018'!$B$8:$B$504,AP21,'PLAN ACCION 2018'!$CE$8:$CE$504,"M")</f>
        <v>0</v>
      </c>
      <c r="BC21" s="787">
        <v>88.888888888888886</v>
      </c>
      <c r="BF21">
        <f t="shared" si="9"/>
        <v>-2</v>
      </c>
      <c r="BG21" s="1253" t="s">
        <v>489</v>
      </c>
      <c r="BH21" s="782">
        <v>95</v>
      </c>
      <c r="BI21" s="1402">
        <f t="shared" si="10"/>
        <v>79</v>
      </c>
      <c r="BJ21" s="1067">
        <f>COUNTIFS('PLAN ACCION 2018'!$B$8:$B$504,BG21,'PLAN ACCION 2018'!$CF$8:$CF$504,$F$8)</f>
        <v>69</v>
      </c>
      <c r="BK21" s="1011">
        <f>COUNTIFS('PLAN ACCION 2018'!$B$8:$B$504,BG21,'PLAN ACCION 2018'!$CF$8:$CF$504,$G$8)</f>
        <v>1</v>
      </c>
      <c r="BL21" s="808">
        <f>COUNTIFS('PLAN ACCION 2018'!$B$8:$B$504,BG21,'PLAN ACCION 2018'!$CF$8:$CF$504,$H$8)</f>
        <v>0</v>
      </c>
      <c r="BM21" s="1014">
        <f>COUNTIFS('PLAN ACCION 2018'!$B$8:$B$504,BG21,'PLAN ACCION 2018'!$CF$8:$CF$504,$I$8)</f>
        <v>4</v>
      </c>
      <c r="BN21" s="774">
        <f>COUNTIFS('PLAN ACCION 2018'!$B$8:$B$504,BG21,'PLAN ACCION 2018'!$CF$8:$CF$504,$J$8)</f>
        <v>0</v>
      </c>
      <c r="BO21" s="809">
        <f>COUNTIFS('PLAN ACCION 2018'!$B$8:$B$504,BG21,'PLAN ACCION 2018'!$CF$8:$CF$504,$K$8)</f>
        <v>3</v>
      </c>
      <c r="BP21" s="810">
        <f>COUNTIFS('PLAN ACCION 2018'!$B$8:$B$504,BG21,'PLAN ACCION 2018'!$CF$8:$CF$504,$L$8)</f>
        <v>0</v>
      </c>
      <c r="BQ21" s="1258">
        <f>COUNTIFS('PLAN ACCION 2018'!$B$8:$B$504,BG21,'PLAN ACCION 2018'!$CF$8:$CF$504,$M$8)</f>
        <v>16</v>
      </c>
      <c r="BR21" s="779">
        <f>COUNTIFS('PLAN ACCION 2018'!$B$8:$B$504,BG21,'PLAN ACCION 2018'!$CF$8:$CF$504,$N$8)</f>
        <v>0</v>
      </c>
      <c r="BS21" s="779">
        <f>COUNTIFS('PLAN ACCION 2018'!$B$8:$B$504,BG21,'PLAN ACCION 2018'!$CF$8:$CF$504,$O$8)</f>
        <v>0</v>
      </c>
      <c r="BT21" s="772">
        <f t="shared" si="11"/>
        <v>93.506493506493499</v>
      </c>
    </row>
    <row r="22" spans="1:72" ht="15.75" customHeight="1" x14ac:dyDescent="0.25">
      <c r="A22" s="955"/>
      <c r="B22">
        <f t="shared" si="4"/>
        <v>1</v>
      </c>
      <c r="C22" s="1056" t="s">
        <v>1095</v>
      </c>
      <c r="D22" s="782">
        <f>COUNTIFS('PLAN ACCION 2020'!$B$7:$B$1003,C22,'PLAN ACCION 2020'!$A$7:$A$1003,"*")</f>
        <v>7</v>
      </c>
      <c r="E22" s="782">
        <f t="shared" si="5"/>
        <v>3</v>
      </c>
      <c r="F22" s="1012">
        <f>COUNTIFS('PLAN ACCION 2020'!$B$8:$B$504,C22,'PLAN ACCION 2020'!$CG$8:$CG$504,$F$8)</f>
        <v>2</v>
      </c>
      <c r="G22" s="1011">
        <f>COUNTIFS('PLAN ACCION 2020'!$B$8:$B$504,C22,'PLAN ACCION 2020'!$CG$8:$CG$504,$G$8)</f>
        <v>0</v>
      </c>
      <c r="H22" s="1016">
        <f>COUNTIFS('PLAN ACCION 2020'!$B$8:$B$504,C22,'PLAN ACCION 2020'!$CG$8:$CG$504,$H$8)</f>
        <v>0</v>
      </c>
      <c r="I22" s="1013">
        <f>COUNTIFS('PLAN ACCION 2020'!$B$8:$B$504,C22,'PLAN ACCION 2020'!$CG$8:$CG$504,$I$8)</f>
        <v>1</v>
      </c>
      <c r="J22" s="785">
        <f>COUNTIFS('PLAN ACCION 2020'!$B$8:$B$504,C22,'PLAN ACCION 2020'!$CG$8:$CG$504,$J$8)</f>
        <v>0</v>
      </c>
      <c r="K22" s="1015">
        <f>COUNTIFS('PLAN ACCION 2020'!$B$8:$B$504,C22,'PLAN ACCION 2020'!$CG$8:$CG$504,$K$8)</f>
        <v>1</v>
      </c>
      <c r="L22" s="1255">
        <f>COUNTIFS('PLAN ACCION 2020'!$B$8:$B$504,C22,'PLAN ACCION 2020'!$CG$8:$CG$504,$L$8)</f>
        <v>0</v>
      </c>
      <c r="M22" s="1257">
        <f>COUNTIFS('PLAN ACCION 2020'!$B$8:$B$504,C22,'PLAN ACCION 2020'!$CG$8:$CG$504,$M$8)</f>
        <v>4</v>
      </c>
      <c r="N22" s="786">
        <f>COUNTIFS('PLAN ACCION 2020'!$B$8:$B$504,C22,'PLAN ACCION 2020'!$CG$8:$CG$504,$N$8)</f>
        <v>1</v>
      </c>
      <c r="O22" s="786">
        <f>COUNTIFS('PLAN ACCION 2020'!$B$8:$B$504,C22,'PLAN ACCION 2020'!$CG$8:$CG$504,$O$8)</f>
        <v>0</v>
      </c>
      <c r="P22" s="787">
        <f t="shared" si="0"/>
        <v>50</v>
      </c>
      <c r="Q22" s="787">
        <f t="shared" si="1"/>
        <v>60</v>
      </c>
      <c r="R22" s="787">
        <f t="shared" si="6"/>
        <v>80</v>
      </c>
      <c r="S22" s="787">
        <f t="shared" si="12"/>
        <v>50</v>
      </c>
      <c r="T22" s="1252">
        <f t="shared" si="7"/>
        <v>60</v>
      </c>
      <c r="U22" s="229">
        <f t="shared" si="8"/>
        <v>4</v>
      </c>
      <c r="AA22" s="1056" t="s">
        <v>1095</v>
      </c>
      <c r="AB22" s="782">
        <f>COUNTIFS('PLAN ACCION 2018'!$B$7:$B$1003,AA22,'PLAN ACCION 2018'!$A$7:$A$1003,"*")</f>
        <v>9</v>
      </c>
      <c r="AC22" s="782">
        <f t="shared" si="2"/>
        <v>5</v>
      </c>
      <c r="AD22" s="1012">
        <f>COUNTIFS('PLAN ACCION 2018'!$B$8:$B$504,AA22,'PLAN ACCION 2018'!$CD$8:$CD$504,"VE")</f>
        <v>1</v>
      </c>
      <c r="AE22" s="1011">
        <f>COUNTIFS('PLAN ACCION 2018'!$B$8:$B$504,AA22,'PLAN ACCION 2018'!$CD$8:$CD$504,"VEB")</f>
        <v>0</v>
      </c>
      <c r="AF22" s="1016">
        <f>COUNTIFS('PLAN ACCION 2018'!$B$8:$B$504,AA22,'PLAN ACCION 2018'!$CD$8:$CD$504,"AM")</f>
        <v>0</v>
      </c>
      <c r="AG22" s="1013">
        <f>COUNTIFS('PLAN ACCION 2018'!$B$8:$B$504,AA22,'PLAN ACCION 2018'!$CD$8:$CD$504,"AMB")</f>
        <v>0</v>
      </c>
      <c r="AH22" s="785">
        <f>COUNTIFS('PLAN ACCION 2018'!$B$8:$B$504,AA22,'PLAN ACCION 2018'!$CD$8:$CD$504,"RO")</f>
        <v>1</v>
      </c>
      <c r="AI22" s="1015">
        <f>COUNTIFS('PLAN ACCION 2018'!$B$8:$B$504,AA22,'PLAN ACCION 2018'!$CD$8:$CD$504,"ROB")</f>
        <v>3</v>
      </c>
      <c r="AJ22" s="786">
        <f>COUNTIFS('PLAN ACCION 2018'!$B$8:$B$504,AA22,'PLAN ACCION 2018'!$CD$8:$CD$504,"AZ")</f>
        <v>0</v>
      </c>
      <c r="AK22" s="786">
        <f>COUNTIFS('PLAN ACCION 2018'!$B$8:$B$504,AA22,'PLAN ACCION 2018'!$CD$8:$CD$504,"NP")</f>
        <v>4</v>
      </c>
      <c r="AL22" s="786">
        <f>COUNTIFS('PLAN ACCION 2018'!$B$8:$B$504,AA22,'PLAN ACCION 2018'!$CD$8:$CD$504,"E")</f>
        <v>0</v>
      </c>
      <c r="AM22" s="786">
        <f>COUNTIFS('PLAN ACCION 2018'!$B$8:$B$504,AA22,'PLAN ACCION 2018'!$CD$8:$CD$504,"M")</f>
        <v>0</v>
      </c>
      <c r="AN22" s="787">
        <v>50</v>
      </c>
      <c r="AP22" s="1056" t="s">
        <v>1095</v>
      </c>
      <c r="AQ22" s="782">
        <f>COUNTIFS('PLAN ACCION 2018'!$B$7:$B$1003,AP22,'PLAN ACCION 2018'!$A$7:$A$1003,"*")</f>
        <v>9</v>
      </c>
      <c r="AR22" s="782">
        <f t="shared" si="3"/>
        <v>7</v>
      </c>
      <c r="AS22" s="1012">
        <f>COUNTIFS('PLAN ACCION 2018'!$B$8:$B$504,AP22,'PLAN ACCION 2018'!$CE$8:$CE$504,"VE")</f>
        <v>3</v>
      </c>
      <c r="AT22" s="1011">
        <f>COUNTIFS('PLAN ACCION 2018'!$B$8:$B$504,AP22,'PLAN ACCION 2018'!$CE$8:$CE$504,"VEB")</f>
        <v>1</v>
      </c>
      <c r="AU22" s="1016">
        <f>COUNTIFS('PLAN ACCION 2018'!$B$8:$B$504,AP22,'PLAN ACCION 2018'!$CE$8:$CE$504,"AM")</f>
        <v>0</v>
      </c>
      <c r="AV22" s="1013">
        <f>COUNTIFS('PLAN ACCION 2018'!$B$8:$B$504,AP22,'PLAN ACCION 2018'!$CE$8:$CE$504,"AMB")</f>
        <v>0</v>
      </c>
      <c r="AW22" s="785">
        <f>COUNTIFS('PLAN ACCION 2018'!$B$8:$B$504,AP22,'PLAN ACCION 2018'!$CE$8:$CE$504,"RO")</f>
        <v>0</v>
      </c>
      <c r="AX22" s="1015">
        <f>COUNTIFS('PLAN ACCION 2018'!$B$8:$B$504,AP22,'PLAN ACCION 2018'!$CE$8:$CE$504,"ROB")</f>
        <v>3</v>
      </c>
      <c r="AY22" s="786">
        <f>COUNTIFS('PLAN ACCION 2018'!$B$8:$B$504,AP22,'PLAN ACCION 2018'!$CE$8:$CE$504,"AZ")</f>
        <v>0</v>
      </c>
      <c r="AZ22" s="786">
        <f>COUNTIFS('PLAN ACCION 2018'!$B$8:$B$504,AP22,'PLAN ACCION 2018'!$CE$8:$CE$504,"NP")</f>
        <v>2</v>
      </c>
      <c r="BA22" s="786">
        <f>COUNTIFS('PLAN ACCION 2018'!$B$8:$B$504,AP22,'PLAN ACCION 2018'!$CE$8:$CE$504,"E")</f>
        <v>0</v>
      </c>
      <c r="BB22" s="786">
        <f>COUNTIFS('PLAN ACCION 2018'!$B$8:$B$504,AP22,'PLAN ACCION 2018'!$CE$8:$CE$504,"M")</f>
        <v>0</v>
      </c>
      <c r="BC22" s="787">
        <v>60</v>
      </c>
      <c r="BF22">
        <f t="shared" si="9"/>
        <v>2</v>
      </c>
      <c r="BG22" s="1253" t="s">
        <v>1095</v>
      </c>
      <c r="BH22" s="782">
        <v>7</v>
      </c>
      <c r="BI22" s="1402">
        <v>3</v>
      </c>
      <c r="BJ22" s="1067">
        <f>COUNTIFS('PLAN ACCION 2018'!$B$8:$B$504,BG22,'PLAN ACCION 2018'!$CF$8:$CF$504,$F$8)</f>
        <v>3</v>
      </c>
      <c r="BK22" s="1011">
        <f>COUNTIFS('PLAN ACCION 2018'!$B$8:$B$504,BG22,'PLAN ACCION 2018'!$CF$8:$CF$504,$G$8)</f>
        <v>1</v>
      </c>
      <c r="BL22" s="808">
        <f>COUNTIFS('PLAN ACCION 2018'!$B$8:$B$504,BG22,'PLAN ACCION 2018'!$CF$8:$CF$504,$H$8)</f>
        <v>0</v>
      </c>
      <c r="BM22" s="1014">
        <f>COUNTIFS('PLAN ACCION 2018'!$B$8:$B$504,BG22,'PLAN ACCION 2018'!$CF$8:$CF$504,$I$8)</f>
        <v>0</v>
      </c>
      <c r="BN22" s="774">
        <f>COUNTIFS('PLAN ACCION 2018'!$B$8:$B$504,BG22,'PLAN ACCION 2018'!$CF$8:$CF$504,$J$8)</f>
        <v>0</v>
      </c>
      <c r="BO22" s="809">
        <f>COUNTIFS('PLAN ACCION 2018'!$B$8:$B$504,BG22,'PLAN ACCION 2018'!$CF$8:$CF$504,$K$8)</f>
        <v>1</v>
      </c>
      <c r="BP22" s="810">
        <f>COUNTIFS('PLAN ACCION 2018'!$B$8:$B$504,BG22,'PLAN ACCION 2018'!$CF$8:$CF$504,$L$8)</f>
        <v>0</v>
      </c>
      <c r="BQ22" s="1258">
        <f>COUNTIFS('PLAN ACCION 2018'!$B$8:$B$504,BG22,'PLAN ACCION 2018'!$CF$8:$CF$504,$M$8)</f>
        <v>4</v>
      </c>
      <c r="BR22" s="779">
        <f>COUNTIFS('PLAN ACCION 2018'!$B$8:$B$504,BG22,'PLAN ACCION 2018'!$CF$8:$CF$504,$N$8)</f>
        <v>0</v>
      </c>
      <c r="BS22" s="779">
        <f>COUNTIFS('PLAN ACCION 2018'!$B$8:$B$504,BG22,'PLAN ACCION 2018'!$CF$8:$CF$504,$O$8)</f>
        <v>0</v>
      </c>
      <c r="BT22" s="772">
        <f t="shared" si="11"/>
        <v>80</v>
      </c>
    </row>
    <row r="23" spans="1:72" ht="13.5" customHeight="1" x14ac:dyDescent="0.25">
      <c r="A23" s="955"/>
      <c r="B23">
        <f t="shared" si="4"/>
        <v>0</v>
      </c>
      <c r="C23" s="1056" t="s">
        <v>1218</v>
      </c>
      <c r="D23" s="782">
        <f>COUNTIFS('PLAN ACCION 2020'!$B$7:$B$1003,C23,'PLAN ACCION 2020'!$A$7:$A$1003,"*")</f>
        <v>9</v>
      </c>
      <c r="E23" s="782">
        <f t="shared" si="5"/>
        <v>6</v>
      </c>
      <c r="F23" s="1012">
        <f>COUNTIFS('PLAN ACCION 2020'!$B$8:$B$504,C23,'PLAN ACCION 2020'!$CG$8:$CG$504,$F$8)</f>
        <v>6</v>
      </c>
      <c r="G23" s="1011">
        <f>COUNTIFS('PLAN ACCION 2020'!$B$8:$B$504,C23,'PLAN ACCION 2020'!$CG$8:$CG$504,$G$8)</f>
        <v>0</v>
      </c>
      <c r="H23" s="1016">
        <f>COUNTIFS('PLAN ACCION 2020'!$B$8:$B$504,C23,'PLAN ACCION 2020'!$CG$8:$CG$504,$H$8)</f>
        <v>0</v>
      </c>
      <c r="I23" s="1013">
        <f>COUNTIFS('PLAN ACCION 2020'!$B$8:$B$504,C23,'PLAN ACCION 2020'!$CG$8:$CG$504,$I$8)</f>
        <v>0</v>
      </c>
      <c r="J23" s="785">
        <f>COUNTIFS('PLAN ACCION 2020'!$B$8:$B$504,C23,'PLAN ACCION 2020'!$CG$8:$CG$504,$J$8)</f>
        <v>0</v>
      </c>
      <c r="K23" s="1015">
        <f>COUNTIFS('PLAN ACCION 2020'!$B$8:$B$504,C23,'PLAN ACCION 2020'!$CG$8:$CG$504,$K$8)</f>
        <v>0</v>
      </c>
      <c r="L23" s="1255">
        <f>COUNTIFS('PLAN ACCION 2020'!$B$8:$B$504,C23,'PLAN ACCION 2020'!$CG$8:$CG$504,$L$8)</f>
        <v>0</v>
      </c>
      <c r="M23" s="1257">
        <f>COUNTIFS('PLAN ACCION 2020'!$B$8:$B$504,C23,'PLAN ACCION 2020'!$CG$8:$CG$504,$M$8)</f>
        <v>3</v>
      </c>
      <c r="N23" s="786">
        <f>COUNTIFS('PLAN ACCION 2020'!$B$8:$B$504,C23,'PLAN ACCION 2020'!$CG$8:$CG$504,$N$8)</f>
        <v>2</v>
      </c>
      <c r="O23" s="786">
        <f>COUNTIFS('PLAN ACCION 2020'!$B$8:$B$504,C23,'PLAN ACCION 2020'!$CG$8:$CG$504,$O$8)</f>
        <v>0</v>
      </c>
      <c r="P23" s="787">
        <f t="shared" si="0"/>
        <v>100</v>
      </c>
      <c r="Q23" s="787">
        <f t="shared" si="1"/>
        <v>100</v>
      </c>
      <c r="R23" s="787">
        <f t="shared" si="6"/>
        <v>100</v>
      </c>
      <c r="S23" s="787">
        <f t="shared" si="12"/>
        <v>100</v>
      </c>
      <c r="T23" s="1252">
        <f t="shared" si="7"/>
        <v>100</v>
      </c>
      <c r="U23" s="229">
        <f t="shared" si="8"/>
        <v>4</v>
      </c>
      <c r="AA23" s="1056" t="s">
        <v>1218</v>
      </c>
      <c r="AB23" s="782">
        <f>COUNTIFS('PLAN ACCION 2018'!$B$7:$B$1003,AA23,'PLAN ACCION 2018'!$A$7:$A$1003,"*")</f>
        <v>11</v>
      </c>
      <c r="AC23" s="782">
        <f t="shared" si="2"/>
        <v>9</v>
      </c>
      <c r="AD23" s="1012">
        <f>COUNTIFS('PLAN ACCION 2018'!$B$8:$B$504,AA23,'PLAN ACCION 2018'!$CD$8:$CD$504,"VE")</f>
        <v>9</v>
      </c>
      <c r="AE23" s="1011">
        <f>COUNTIFS('PLAN ACCION 2018'!$B$8:$B$504,AA23,'PLAN ACCION 2018'!$CD$8:$CD$504,"VEB")</f>
        <v>0</v>
      </c>
      <c r="AF23" s="1016">
        <f>COUNTIFS('PLAN ACCION 2018'!$B$8:$B$504,AA23,'PLAN ACCION 2018'!$CD$8:$CD$504,"AM")</f>
        <v>0</v>
      </c>
      <c r="AG23" s="1013">
        <f>COUNTIFS('PLAN ACCION 2018'!$B$8:$B$504,AA23,'PLAN ACCION 2018'!$CD$8:$CD$504,"AMB")</f>
        <v>0</v>
      </c>
      <c r="AH23" s="785">
        <f>COUNTIFS('PLAN ACCION 2018'!$B$8:$B$504,AA23,'PLAN ACCION 2018'!$CD$8:$CD$504,"RO")</f>
        <v>0</v>
      </c>
      <c r="AI23" s="1015">
        <f>COUNTIFS('PLAN ACCION 2018'!$B$8:$B$504,AA23,'PLAN ACCION 2018'!$CD$8:$CD$504,"ROB")</f>
        <v>0</v>
      </c>
      <c r="AJ23" s="786">
        <f>COUNTIFS('PLAN ACCION 2018'!$B$8:$B$504,AA23,'PLAN ACCION 2018'!$CD$8:$CD$504,"AZ")</f>
        <v>0</v>
      </c>
      <c r="AK23" s="786">
        <f>COUNTIFS('PLAN ACCION 2018'!$B$8:$B$504,AA23,'PLAN ACCION 2018'!$CD$8:$CD$504,"NP")</f>
        <v>2</v>
      </c>
      <c r="AL23" s="786">
        <f>COUNTIFS('PLAN ACCION 2018'!$B$8:$B$504,AA23,'PLAN ACCION 2018'!$CD$8:$CD$504,"E")</f>
        <v>0</v>
      </c>
      <c r="AM23" s="786">
        <f>COUNTIFS('PLAN ACCION 2018'!$B$8:$B$504,AA23,'PLAN ACCION 2018'!$CD$8:$CD$504,"M")</f>
        <v>0</v>
      </c>
      <c r="AN23" s="787">
        <v>100</v>
      </c>
      <c r="AP23" s="1056" t="s">
        <v>1218</v>
      </c>
      <c r="AQ23" s="782">
        <f>COUNTIFS('PLAN ACCION 2018'!$B$7:$B$1003,AP23,'PLAN ACCION 2018'!$A$7:$A$1003,"*")</f>
        <v>11</v>
      </c>
      <c r="AR23" s="782">
        <f t="shared" si="3"/>
        <v>11</v>
      </c>
      <c r="AS23" s="1012">
        <f>COUNTIFS('PLAN ACCION 2018'!$B$8:$B$504,AP23,'PLAN ACCION 2018'!$CE$8:$CE$504,"VE")</f>
        <v>11</v>
      </c>
      <c r="AT23" s="1011">
        <f>COUNTIFS('PLAN ACCION 2018'!$B$8:$B$504,AP23,'PLAN ACCION 2018'!$CE$8:$CE$504,"VEB")</f>
        <v>0</v>
      </c>
      <c r="AU23" s="1016">
        <f>COUNTIFS('PLAN ACCION 2018'!$B$8:$B$504,AP23,'PLAN ACCION 2018'!$CE$8:$CE$504,"AM")</f>
        <v>0</v>
      </c>
      <c r="AV23" s="1013">
        <f>COUNTIFS('PLAN ACCION 2018'!$B$8:$B$504,AP23,'PLAN ACCION 2018'!$CE$8:$CE$504,"AMB")</f>
        <v>0</v>
      </c>
      <c r="AW23" s="785">
        <f>COUNTIFS('PLAN ACCION 2018'!$B$8:$B$504,AP23,'PLAN ACCION 2018'!$CE$8:$CE$504,"RO")</f>
        <v>0</v>
      </c>
      <c r="AX23" s="1015">
        <f>COUNTIFS('PLAN ACCION 2018'!$B$8:$B$504,AP23,'PLAN ACCION 2018'!$CE$8:$CE$504,"ROB")</f>
        <v>0</v>
      </c>
      <c r="AY23" s="786">
        <f>COUNTIFS('PLAN ACCION 2018'!$B$8:$B$504,AP23,'PLAN ACCION 2018'!$CE$8:$CE$504,"AZ")</f>
        <v>0</v>
      </c>
      <c r="AZ23" s="786">
        <f>COUNTIFS('PLAN ACCION 2018'!$B$8:$B$504,AP23,'PLAN ACCION 2018'!$CE$8:$CE$504,"NP")</f>
        <v>0</v>
      </c>
      <c r="BA23" s="786">
        <f>COUNTIFS('PLAN ACCION 2018'!$B$8:$B$504,AP23,'PLAN ACCION 2018'!$CE$8:$CE$504,"E")</f>
        <v>0</v>
      </c>
      <c r="BB23" s="786">
        <f>COUNTIFS('PLAN ACCION 2018'!$B$8:$B$504,AP23,'PLAN ACCION 2018'!$CE$8:$CE$504,"M")</f>
        <v>0</v>
      </c>
      <c r="BC23" s="787">
        <v>100</v>
      </c>
      <c r="BF23">
        <f t="shared" si="9"/>
        <v>2</v>
      </c>
      <c r="BG23" s="1253" t="s">
        <v>1218</v>
      </c>
      <c r="BH23" s="782">
        <v>9</v>
      </c>
      <c r="BI23" s="1402">
        <f t="shared" ref="BI23:BI26" si="13">BH23-(BP23+BQ23+BR23)</f>
        <v>7</v>
      </c>
      <c r="BJ23" s="1067">
        <f>COUNTIFS('PLAN ACCION 2018'!$B$8:$B$504,BG23,'PLAN ACCION 2018'!$CF$8:$CF$504,$F$8)</f>
        <v>9</v>
      </c>
      <c r="BK23" s="1011">
        <f>COUNTIFS('PLAN ACCION 2018'!$B$8:$B$504,BG23,'PLAN ACCION 2018'!$CF$8:$CF$504,$G$8)</f>
        <v>0</v>
      </c>
      <c r="BL23" s="808">
        <f>COUNTIFS('PLAN ACCION 2018'!$B$8:$B$504,BG23,'PLAN ACCION 2018'!$CF$8:$CF$504,$H$8)</f>
        <v>0</v>
      </c>
      <c r="BM23" s="1014">
        <f>COUNTIFS('PLAN ACCION 2018'!$B$8:$B$504,BG23,'PLAN ACCION 2018'!$CF$8:$CF$504,$I$8)</f>
        <v>0</v>
      </c>
      <c r="BN23" s="774">
        <f>COUNTIFS('PLAN ACCION 2018'!$B$8:$B$504,BG23,'PLAN ACCION 2018'!$CF$8:$CF$504,$J$8)</f>
        <v>0</v>
      </c>
      <c r="BO23" s="809">
        <f>COUNTIFS('PLAN ACCION 2018'!$B$8:$B$504,BG23,'PLAN ACCION 2018'!$CF$8:$CF$504,$K$8)</f>
        <v>0</v>
      </c>
      <c r="BP23" s="810">
        <f>COUNTIFS('PLAN ACCION 2018'!$B$8:$B$504,BG23,'PLAN ACCION 2018'!$CF$8:$CF$504,$L$8)</f>
        <v>0</v>
      </c>
      <c r="BQ23" s="1258">
        <f>COUNTIFS('PLAN ACCION 2018'!$B$8:$B$504,BG23,'PLAN ACCION 2018'!$CF$8:$CF$504,$M$8)</f>
        <v>2</v>
      </c>
      <c r="BR23" s="779">
        <f>COUNTIFS('PLAN ACCION 2018'!$B$8:$B$504,BG23,'PLAN ACCION 2018'!$CF$8:$CF$504,$N$8)</f>
        <v>0</v>
      </c>
      <c r="BS23" s="779">
        <f>COUNTIFS('PLAN ACCION 2018'!$B$8:$B$504,BG23,'PLAN ACCION 2018'!$CF$8:$CF$504,$O$8)</f>
        <v>0</v>
      </c>
      <c r="BT23" s="772">
        <f t="shared" si="11"/>
        <v>100</v>
      </c>
    </row>
    <row r="24" spans="1:72" ht="15" customHeight="1" x14ac:dyDescent="0.25">
      <c r="A24" s="955"/>
      <c r="B24">
        <f t="shared" si="4"/>
        <v>-1</v>
      </c>
      <c r="C24" s="1056" t="s">
        <v>1132</v>
      </c>
      <c r="D24" s="782">
        <f>COUNTIFS('PLAN ACCION 2020'!$B$7:$B$1003,C24,'PLAN ACCION 2020'!$A$7:$A$1003,"*")</f>
        <v>25</v>
      </c>
      <c r="E24" s="782">
        <f t="shared" si="5"/>
        <v>19</v>
      </c>
      <c r="F24" s="1012">
        <f>COUNTIFS('PLAN ACCION 2020'!$B$8:$B$504,C24,'PLAN ACCION 2020'!$CG$8:$CG$504,$F$8)</f>
        <v>15</v>
      </c>
      <c r="G24" s="1011">
        <f>COUNTIFS('PLAN ACCION 2020'!$B$8:$B$504,C24,'PLAN ACCION 2020'!$CG$8:$CG$504,$G$8)</f>
        <v>2</v>
      </c>
      <c r="H24" s="1016">
        <f>COUNTIFS('PLAN ACCION 2020'!$B$8:$B$504,C24,'PLAN ACCION 2020'!$CG$8:$CG$504,$H$8)</f>
        <v>0</v>
      </c>
      <c r="I24" s="1013">
        <f>COUNTIFS('PLAN ACCION 2020'!$B$8:$B$504,C24,'PLAN ACCION 2020'!$CG$8:$CG$504,$I$8)</f>
        <v>0</v>
      </c>
      <c r="J24" s="785">
        <f>COUNTIFS('PLAN ACCION 2020'!$B$8:$B$504,C24,'PLAN ACCION 2020'!$CG$8:$CG$504,$J$8)</f>
        <v>1</v>
      </c>
      <c r="K24" s="1015">
        <f>COUNTIFS('PLAN ACCION 2020'!$B$8:$B$504,C24,'PLAN ACCION 2020'!$CG$8:$CG$504,$K$8)</f>
        <v>0</v>
      </c>
      <c r="L24" s="1255">
        <f>COUNTIFS('PLAN ACCION 2020'!$B$8:$B$504,C24,'PLAN ACCION 2020'!$CG$8:$CG$504,$L$8)</f>
        <v>0</v>
      </c>
      <c r="M24" s="1257">
        <f>COUNTIFS('PLAN ACCION 2020'!$B$8:$B$504,C24,'PLAN ACCION 2020'!$CG$8:$CG$504,$M$8)</f>
        <v>6</v>
      </c>
      <c r="N24" s="786">
        <f>COUNTIFS('PLAN ACCION 2020'!$B$8:$B$504,C24,'PLAN ACCION 2020'!$CG$8:$CG$504,$N$8)</f>
        <v>1</v>
      </c>
      <c r="O24" s="786">
        <f>COUNTIFS('PLAN ACCION 2020'!$B$8:$B$504,C24,'PLAN ACCION 2020'!$CG$8:$CG$504,$O$8)</f>
        <v>0</v>
      </c>
      <c r="P24" s="787">
        <f t="shared" si="0"/>
        <v>83.333333333333343</v>
      </c>
      <c r="Q24" s="787">
        <f t="shared" si="1"/>
        <v>95.454545454545453</v>
      </c>
      <c r="R24" s="787">
        <f t="shared" si="6"/>
        <v>100</v>
      </c>
      <c r="S24" s="787">
        <f t="shared" si="12"/>
        <v>94.444444444444443</v>
      </c>
      <c r="T24" s="1252">
        <f t="shared" si="7"/>
        <v>93.308080808080817</v>
      </c>
      <c r="U24" s="229">
        <f t="shared" si="8"/>
        <v>4</v>
      </c>
      <c r="AA24" s="1056" t="s">
        <v>1132</v>
      </c>
      <c r="AB24" s="782">
        <f>COUNTIFS('PLAN ACCION 2018'!$B$7:$B$1003,AA24,'PLAN ACCION 2018'!$A$7:$A$1003,"*")</f>
        <v>25</v>
      </c>
      <c r="AC24" s="782">
        <f t="shared" si="2"/>
        <v>17</v>
      </c>
      <c r="AD24" s="1012">
        <f>COUNTIFS('PLAN ACCION 2018'!$B$8:$B$504,AA24,'PLAN ACCION 2018'!$CD$8:$CD$504,"VE")</f>
        <v>13</v>
      </c>
      <c r="AE24" s="1011">
        <f>COUNTIFS('PLAN ACCION 2018'!$B$8:$B$504,AA24,'PLAN ACCION 2018'!$CD$8:$CD$504,"VEB")</f>
        <v>0</v>
      </c>
      <c r="AF24" s="1016">
        <f>COUNTIFS('PLAN ACCION 2018'!$B$8:$B$504,AA24,'PLAN ACCION 2018'!$CD$8:$CD$504,"AM")</f>
        <v>0</v>
      </c>
      <c r="AG24" s="1013">
        <f>COUNTIFS('PLAN ACCION 2018'!$B$8:$B$504,AA24,'PLAN ACCION 2018'!$CD$8:$CD$504,"AMB")</f>
        <v>1</v>
      </c>
      <c r="AH24" s="785">
        <f>COUNTIFS('PLAN ACCION 2018'!$B$8:$B$504,AA24,'PLAN ACCION 2018'!$CD$8:$CD$504,"RO")</f>
        <v>1</v>
      </c>
      <c r="AI24" s="1015">
        <f>COUNTIFS('PLAN ACCION 2018'!$B$8:$B$504,AA24,'PLAN ACCION 2018'!$CD$8:$CD$504,"ROB")</f>
        <v>2</v>
      </c>
      <c r="AJ24" s="786">
        <f>COUNTIFS('PLAN ACCION 2018'!$B$8:$B$504,AA24,'PLAN ACCION 2018'!$CD$8:$CD$504,"AZ")</f>
        <v>8</v>
      </c>
      <c r="AK24" s="786">
        <f>COUNTIFS('PLAN ACCION 2018'!$B$8:$B$504,AA24,'PLAN ACCION 2018'!$CD$8:$CD$504,"NP")</f>
        <v>0</v>
      </c>
      <c r="AL24" s="786">
        <f>COUNTIFS('PLAN ACCION 2018'!$B$8:$B$504,AA24,'PLAN ACCION 2018'!$CD$8:$CD$504,"E")</f>
        <v>0</v>
      </c>
      <c r="AM24" s="786">
        <f>COUNTIFS('PLAN ACCION 2018'!$B$8:$B$504,AA24,'PLAN ACCION 2018'!$CD$8:$CD$504,"M")</f>
        <v>0</v>
      </c>
      <c r="AN24" s="787">
        <v>83.333333333333343</v>
      </c>
      <c r="AP24" s="1056" t="s">
        <v>1132</v>
      </c>
      <c r="AQ24" s="782">
        <f>COUNTIFS('PLAN ACCION 2018'!$B$7:$B$1003,AP24,'PLAN ACCION 2018'!$A$7:$A$1003,"*")</f>
        <v>25</v>
      </c>
      <c r="AR24" s="782">
        <f t="shared" si="3"/>
        <v>21</v>
      </c>
      <c r="AS24" s="1012">
        <f>COUNTIFS('PLAN ACCION 2018'!$B$8:$B$504,AP24,'PLAN ACCION 2018'!$CE$8:$CE$504,"VE")</f>
        <v>14</v>
      </c>
      <c r="AT24" s="1011">
        <f>COUNTIFS('PLAN ACCION 2018'!$B$8:$B$504,AP24,'PLAN ACCION 2018'!$CE$8:$CE$504,"VEB")</f>
        <v>1</v>
      </c>
      <c r="AU24" s="1016">
        <f>COUNTIFS('PLAN ACCION 2018'!$B$8:$B$504,AP24,'PLAN ACCION 2018'!$CE$8:$CE$504,"AM")</f>
        <v>1</v>
      </c>
      <c r="AV24" s="1013">
        <f>COUNTIFS('PLAN ACCION 2018'!$B$8:$B$504,AP24,'PLAN ACCION 2018'!$CE$8:$CE$504,"AMB")</f>
        <v>1</v>
      </c>
      <c r="AW24" s="785">
        <f>COUNTIFS('PLAN ACCION 2018'!$B$8:$B$504,AP24,'PLAN ACCION 2018'!$CE$8:$CE$504,"RO")</f>
        <v>2</v>
      </c>
      <c r="AX24" s="1015">
        <f>COUNTIFS('PLAN ACCION 2018'!$B$8:$B$504,AP24,'PLAN ACCION 2018'!$CE$8:$CE$504,"ROB")</f>
        <v>2</v>
      </c>
      <c r="AY24" s="786">
        <f>COUNTIFS('PLAN ACCION 2018'!$B$8:$B$504,AP24,'PLAN ACCION 2018'!$CE$8:$CE$504,"AZ")</f>
        <v>3</v>
      </c>
      <c r="AZ24" s="786">
        <f>COUNTIFS('PLAN ACCION 2018'!$B$8:$B$504,AP24,'PLAN ACCION 2018'!$CE$8:$CE$504,"NP")</f>
        <v>1</v>
      </c>
      <c r="BA24" s="786">
        <f>COUNTIFS('PLAN ACCION 2018'!$B$8:$B$504,AP24,'PLAN ACCION 2018'!$CE$8:$CE$504,"E")</f>
        <v>0</v>
      </c>
      <c r="BB24" s="786">
        <f>COUNTIFS('PLAN ACCION 2018'!$B$8:$B$504,AP24,'PLAN ACCION 2018'!$CE$8:$CE$504,"M")</f>
        <v>0</v>
      </c>
      <c r="BC24" s="787">
        <v>95.454545454545453</v>
      </c>
      <c r="BF24">
        <f t="shared" si="9"/>
        <v>0</v>
      </c>
      <c r="BG24" s="1253" t="s">
        <v>1132</v>
      </c>
      <c r="BH24" s="782">
        <v>24</v>
      </c>
      <c r="BI24" s="1402">
        <f t="shared" si="13"/>
        <v>19</v>
      </c>
      <c r="BJ24" s="1067">
        <f>COUNTIFS('PLAN ACCION 2018'!$B$8:$B$504,BG24,'PLAN ACCION 2018'!$CF$8:$CF$504,$F$8)</f>
        <v>17</v>
      </c>
      <c r="BK24" s="1011">
        <f>COUNTIFS('PLAN ACCION 2018'!$B$8:$B$504,BG24,'PLAN ACCION 2018'!$CF$8:$CF$504,$G$8)</f>
        <v>2</v>
      </c>
      <c r="BL24" s="808">
        <f>COUNTIFS('PLAN ACCION 2018'!$B$8:$B$504,BG24,'PLAN ACCION 2018'!$CF$8:$CF$504,$H$8)</f>
        <v>0</v>
      </c>
      <c r="BM24" s="1014">
        <f>COUNTIFS('PLAN ACCION 2018'!$B$8:$B$504,BG24,'PLAN ACCION 2018'!$CF$8:$CF$504,$I$8)</f>
        <v>0</v>
      </c>
      <c r="BN24" s="774">
        <f>COUNTIFS('PLAN ACCION 2018'!$B$8:$B$504,BG24,'PLAN ACCION 2018'!$CF$8:$CF$504,$J$8)</f>
        <v>0</v>
      </c>
      <c r="BO24" s="809">
        <f>COUNTIFS('PLAN ACCION 2018'!$B$8:$B$504,BG24,'PLAN ACCION 2018'!$CF$8:$CF$504,$K$8)</f>
        <v>0</v>
      </c>
      <c r="BP24" s="810">
        <f>COUNTIFS('PLAN ACCION 2018'!$B$8:$B$504,BG24,'PLAN ACCION 2018'!$CF$8:$CF$504,$L$8)</f>
        <v>0</v>
      </c>
      <c r="BQ24" s="1258">
        <f>COUNTIFS('PLAN ACCION 2018'!$B$8:$B$504,BG24,'PLAN ACCION 2018'!$CF$8:$CF$504,$M$8)</f>
        <v>5</v>
      </c>
      <c r="BR24" s="779">
        <f>COUNTIFS('PLAN ACCION 2018'!$B$8:$B$504,BG24,'PLAN ACCION 2018'!$CF$8:$CF$504,$N$8)</f>
        <v>0</v>
      </c>
      <c r="BS24" s="779">
        <f>COUNTIFS('PLAN ACCION 2018'!$B$8:$B$504,BG24,'PLAN ACCION 2018'!$CF$8:$CF$504,$O$8)</f>
        <v>0</v>
      </c>
      <c r="BT24" s="772">
        <f t="shared" si="11"/>
        <v>100</v>
      </c>
    </row>
    <row r="25" spans="1:72" ht="14.25" customHeight="1" x14ac:dyDescent="0.25">
      <c r="A25" s="955"/>
      <c r="B25">
        <f t="shared" si="4"/>
        <v>0</v>
      </c>
      <c r="C25" s="1056" t="s">
        <v>1259</v>
      </c>
      <c r="D25" s="782">
        <f>COUNTIFS('PLAN ACCION 2020'!$B$7:$B$1003,C25,'PLAN ACCION 2020'!$A$7:$A$1003,"*")</f>
        <v>28</v>
      </c>
      <c r="E25" s="782">
        <f t="shared" si="5"/>
        <v>23</v>
      </c>
      <c r="F25" s="1012">
        <f>COUNTIFS('PLAN ACCION 2020'!$B$8:$B$504,C25,'PLAN ACCION 2020'!$CG$8:$CG$504,$F$8)</f>
        <v>19</v>
      </c>
      <c r="G25" s="1011">
        <f>COUNTIFS('PLAN ACCION 2020'!$B$8:$B$504,C25,'PLAN ACCION 2020'!$CG$8:$CG$504,$G$8)</f>
        <v>1</v>
      </c>
      <c r="H25" s="1016">
        <f>COUNTIFS('PLAN ACCION 2020'!$B$8:$B$504,C25,'PLAN ACCION 2020'!$CG$8:$CG$504,$H$8)</f>
        <v>0</v>
      </c>
      <c r="I25" s="1013">
        <f>COUNTIFS('PLAN ACCION 2020'!$B$8:$B$504,C25,'PLAN ACCION 2020'!$CG$8:$CG$504,$I$8)</f>
        <v>1</v>
      </c>
      <c r="J25" s="785">
        <f>COUNTIFS('PLAN ACCION 2020'!$B$8:$B$504,C25,'PLAN ACCION 2020'!$CG$8:$CG$504,$J$8)</f>
        <v>0</v>
      </c>
      <c r="K25" s="1015">
        <f>COUNTIFS('PLAN ACCION 2020'!$B$8:$B$504,C25,'PLAN ACCION 2020'!$CG$8:$CG$504,$K$8)</f>
        <v>2</v>
      </c>
      <c r="L25" s="1255">
        <f>COUNTIFS('PLAN ACCION 2020'!$B$8:$B$504,C25,'PLAN ACCION 2020'!$CG$8:$CG$504,$L$8)</f>
        <v>0</v>
      </c>
      <c r="M25" s="1257">
        <f>COUNTIFS('PLAN ACCION 2020'!$B$8:$B$504,C25,'PLAN ACCION 2020'!$CG$8:$CG$504,$M$8)</f>
        <v>5</v>
      </c>
      <c r="N25" s="786">
        <f>COUNTIFS('PLAN ACCION 2020'!$B$8:$B$504,C25,'PLAN ACCION 2020'!$CG$8:$CG$504,$N$8)</f>
        <v>0</v>
      </c>
      <c r="O25" s="786">
        <f>COUNTIFS('PLAN ACCION 2020'!$B$8:$B$504,C25,'PLAN ACCION 2020'!$CG$8:$CG$504,$O$8)</f>
        <v>0</v>
      </c>
      <c r="P25" s="787">
        <f t="shared" si="0"/>
        <v>86.956521739130437</v>
      </c>
      <c r="Q25" s="787">
        <f t="shared" si="1"/>
        <v>92</v>
      </c>
      <c r="R25" s="787">
        <f t="shared" si="6"/>
        <v>73.809523809523796</v>
      </c>
      <c r="S25" s="787">
        <f t="shared" si="12"/>
        <v>86.956521739130437</v>
      </c>
      <c r="T25" s="1252">
        <f t="shared" si="7"/>
        <v>84.930641821946168</v>
      </c>
      <c r="U25" s="229">
        <f t="shared" si="8"/>
        <v>4</v>
      </c>
      <c r="AA25" s="1056" t="s">
        <v>1259</v>
      </c>
      <c r="AB25" s="782">
        <f>COUNTIFS('PLAN ACCION 2018'!$B$7:$B$1003,AA25,'PLAN ACCION 2018'!$A$7:$A$1003,"*")</f>
        <v>28</v>
      </c>
      <c r="AC25" s="782">
        <f>AB25-(AJ25+AK25+AL25)</f>
        <v>27</v>
      </c>
      <c r="AD25" s="1012">
        <f>COUNTIFS('PLAN ACCION 2018'!$B$8:$B$504,AA25,'PLAN ACCION 2018'!$CD$8:$CD$504,"VE")</f>
        <v>17</v>
      </c>
      <c r="AE25" s="1011">
        <f>COUNTIFS('PLAN ACCION 2018'!$B$8:$B$504,AA25,'PLAN ACCION 2018'!$CD$8:$CD$504,"VEB")</f>
        <v>1</v>
      </c>
      <c r="AF25" s="1016">
        <f>COUNTIFS('PLAN ACCION 2018'!$B$8:$B$504,AA25,'PLAN ACCION 2018'!$CD$8:$CD$504,"AM")</f>
        <v>0</v>
      </c>
      <c r="AG25" s="1013">
        <f>COUNTIFS('PLAN ACCION 2018'!$B$8:$B$504,AA25,'PLAN ACCION 2018'!$CD$8:$CD$504,"AMB")</f>
        <v>1</v>
      </c>
      <c r="AH25" s="785">
        <f>COUNTIFS('PLAN ACCION 2018'!$B$8:$B$504,AA25,'PLAN ACCION 2018'!$CD$8:$CD$504,"RO")</f>
        <v>0</v>
      </c>
      <c r="AI25" s="1015">
        <f>COUNTIFS('PLAN ACCION 2018'!$B$8:$B$504,AA25,'PLAN ACCION 2018'!$CD$8:$CD$504,"ROB")</f>
        <v>7</v>
      </c>
      <c r="AJ25" s="786">
        <f>COUNTIFS('PLAN ACCION 2018'!$B$8:$B$504,AA25,'PLAN ACCION 2018'!$CD$8:$CD$504,"AZ")</f>
        <v>1</v>
      </c>
      <c r="AK25" s="786">
        <f>COUNTIFS('PLAN ACCION 2018'!$B$8:$B$504,AA25,'PLAN ACCION 2018'!$CD$8:$CD$504,"NP")</f>
        <v>0</v>
      </c>
      <c r="AL25" s="786">
        <f>COUNTIFS('PLAN ACCION 2018'!$B$8:$B$504,AA25,'PLAN ACCION 2018'!$CD$8:$CD$504,"E")</f>
        <v>0</v>
      </c>
      <c r="AM25" s="786">
        <f>COUNTIFS('PLAN ACCION 2018'!$B$8:$B$504,AA25,'PLAN ACCION 2018'!$CD$8:$CD$504,"M")</f>
        <v>0</v>
      </c>
      <c r="AN25" s="787">
        <v>86.956521739130437</v>
      </c>
      <c r="AP25" s="1056" t="s">
        <v>1259</v>
      </c>
      <c r="AQ25" s="782">
        <f>COUNTIFS('PLAN ACCION 2018'!$B$7:$B$1003,AP25,'PLAN ACCION 2018'!$A$7:$A$1003,"*")</f>
        <v>28</v>
      </c>
      <c r="AR25" s="782">
        <f>AQ25-(AY25+AZ25+BA25)</f>
        <v>26</v>
      </c>
      <c r="AS25" s="1012">
        <f>COUNTIFS('PLAN ACCION 2018'!$B$8:$B$504,AP25,'PLAN ACCION 2018'!$CE$8:$CE$504,"VE")</f>
        <v>23</v>
      </c>
      <c r="AT25" s="1011">
        <f>COUNTIFS('PLAN ACCION 2018'!$B$8:$B$504,AP25,'PLAN ACCION 2018'!$CE$8:$CE$504,"VEB")</f>
        <v>1</v>
      </c>
      <c r="AU25" s="1016">
        <f>COUNTIFS('PLAN ACCION 2018'!$B$8:$B$504,AP25,'PLAN ACCION 2018'!$CE$8:$CE$504,"AM")</f>
        <v>0</v>
      </c>
      <c r="AV25" s="1013">
        <f>COUNTIFS('PLAN ACCION 2018'!$B$8:$B$504,AP25,'PLAN ACCION 2018'!$CE$8:$CE$504,"AMB")</f>
        <v>0</v>
      </c>
      <c r="AW25" s="785">
        <f>COUNTIFS('PLAN ACCION 2018'!$B$8:$B$504,AP25,'PLAN ACCION 2018'!$CE$8:$CE$504,"RO")</f>
        <v>0</v>
      </c>
      <c r="AX25" s="1015">
        <f>COUNTIFS('PLAN ACCION 2018'!$B$8:$B$504,AP25,'PLAN ACCION 2018'!$CE$8:$CE$504,"ROB")</f>
        <v>1</v>
      </c>
      <c r="AY25" s="786">
        <f>COUNTIFS('PLAN ACCION 2018'!$B$8:$B$504,AP25,'PLAN ACCION 2018'!$CE$8:$CE$504,"AZ")</f>
        <v>2</v>
      </c>
      <c r="AZ25" s="786">
        <f>COUNTIFS('PLAN ACCION 2018'!$B$8:$B$504,AP25,'PLAN ACCION 2018'!$CE$8:$CE$504,"NP")</f>
        <v>0</v>
      </c>
      <c r="BA25" s="786">
        <f>COUNTIFS('PLAN ACCION 2018'!$B$8:$B$504,AP25,'PLAN ACCION 2018'!$CE$8:$CE$504,"E")</f>
        <v>0</v>
      </c>
      <c r="BB25" s="786">
        <f>COUNTIFS('PLAN ACCION 2018'!$B$8:$B$504,AP25,'PLAN ACCION 2018'!$CE$8:$CE$504,"M")</f>
        <v>0</v>
      </c>
      <c r="BC25" s="787">
        <v>92</v>
      </c>
      <c r="BF25">
        <f t="shared" si="9"/>
        <v>-1</v>
      </c>
      <c r="BG25" s="1253" t="s">
        <v>1259</v>
      </c>
      <c r="BH25" s="782">
        <f>COUNTIFS('PLAN ACCION 2018'!$B$7:$B$1003,BG25,'PLAN ACCION 2018'!$A$7:$A$1003,"*")</f>
        <v>28</v>
      </c>
      <c r="BI25" s="1402">
        <f t="shared" si="13"/>
        <v>22</v>
      </c>
      <c r="BJ25" s="1067">
        <f>COUNTIFS('PLAN ACCION 2018'!$B$8:$B$504,BG25,'PLAN ACCION 2018'!$CF$8:$CF$504,$F$8)</f>
        <v>13</v>
      </c>
      <c r="BK25" s="1011">
        <f>COUNTIFS('PLAN ACCION 2018'!$B$8:$B$504,BG25,'PLAN ACCION 2018'!$CF$8:$CF$504,$G$8)</f>
        <v>1</v>
      </c>
      <c r="BL25" s="808">
        <f>COUNTIFS('PLAN ACCION 2018'!$B$8:$B$504,BG25,'PLAN ACCION 2018'!$CF$8:$CF$504,$H$8)</f>
        <v>1</v>
      </c>
      <c r="BM25" s="1014">
        <f>COUNTIFS('PLAN ACCION 2018'!$B$8:$B$504,BG25,'PLAN ACCION 2018'!$CF$8:$CF$504,$I$8)</f>
        <v>2</v>
      </c>
      <c r="BN25" s="774">
        <f>COUNTIFS('PLAN ACCION 2018'!$B$8:$B$504,BG25,'PLAN ACCION 2018'!$CF$8:$CF$504,$J$8)</f>
        <v>2</v>
      </c>
      <c r="BO25" s="809">
        <f>COUNTIFS('PLAN ACCION 2018'!$B$8:$B$504,BG25,'PLAN ACCION 2018'!$CF$8:$CF$504,$K$8)</f>
        <v>2</v>
      </c>
      <c r="BP25" s="810">
        <f>COUNTIFS('PLAN ACCION 2018'!$B$8:$B$504,BG25,'PLAN ACCION 2018'!$CF$8:$CF$504,$L$8)</f>
        <v>3</v>
      </c>
      <c r="BQ25" s="1258">
        <f>COUNTIFS('PLAN ACCION 2018'!$B$8:$B$504,BG25,'PLAN ACCION 2018'!$CF$8:$CF$504,$M$8)</f>
        <v>3</v>
      </c>
      <c r="BR25" s="779">
        <f>COUNTIFS('PLAN ACCION 2018'!$B$8:$B$504,BG25,'PLAN ACCION 2018'!$CF$8:$CF$504,$N$8)</f>
        <v>0</v>
      </c>
      <c r="BS25" s="779">
        <f>COUNTIFS('PLAN ACCION 2018'!$B$8:$B$504,BG25,'PLAN ACCION 2018'!$CF$8:$CF$504,$O$8)</f>
        <v>0</v>
      </c>
      <c r="BT25" s="772">
        <f t="shared" si="11"/>
        <v>73.809523809523796</v>
      </c>
    </row>
    <row r="26" spans="1:72" ht="15.75" x14ac:dyDescent="0.25">
      <c r="C26" s="778" t="s">
        <v>32</v>
      </c>
      <c r="D26" s="777">
        <f>SUM(D9:D25)</f>
        <v>480</v>
      </c>
      <c r="E26" s="777">
        <f>SUM(E9:E25)</f>
        <v>400</v>
      </c>
      <c r="F26" s="1012">
        <f t="shared" ref="F26:O26" si="14">SUM(F9:F25)</f>
        <v>293</v>
      </c>
      <c r="G26" s="1011">
        <f t="shared" si="14"/>
        <v>8</v>
      </c>
      <c r="H26" s="1016">
        <f t="shared" si="14"/>
        <v>3</v>
      </c>
      <c r="I26" s="1013">
        <f t="shared" si="14"/>
        <v>13</v>
      </c>
      <c r="J26" s="785">
        <f t="shared" si="14"/>
        <v>12</v>
      </c>
      <c r="K26" s="1015">
        <f t="shared" si="14"/>
        <v>67</v>
      </c>
      <c r="L26" s="1255">
        <f t="shared" si="14"/>
        <v>0</v>
      </c>
      <c r="M26" s="1257">
        <f t="shared" si="14"/>
        <v>80</v>
      </c>
      <c r="N26" s="779">
        <f t="shared" si="14"/>
        <v>7</v>
      </c>
      <c r="O26" s="779">
        <f t="shared" si="14"/>
        <v>0</v>
      </c>
      <c r="P26" s="787">
        <f t="shared" si="0"/>
        <v>84.492753623188406</v>
      </c>
      <c r="Q26" s="787">
        <f t="shared" si="1"/>
        <v>88.004750593824227</v>
      </c>
      <c r="R26" s="787">
        <f t="shared" si="6"/>
        <v>87.432432432432435</v>
      </c>
      <c r="S26" s="787">
        <f t="shared" si="12"/>
        <v>76.388888888888886</v>
      </c>
      <c r="T26" s="1252">
        <f t="shared" si="7"/>
        <v>84.079706384583488</v>
      </c>
      <c r="U26" s="229">
        <f t="shared" si="8"/>
        <v>4</v>
      </c>
      <c r="AA26" s="778" t="s">
        <v>32</v>
      </c>
      <c r="AB26" s="777">
        <f>SUM(AB9:AB25)</f>
        <v>427</v>
      </c>
      <c r="AC26" s="782">
        <f>AB26-(AJ26+AK26+AL26)</f>
        <v>320</v>
      </c>
      <c r="AD26" s="1012">
        <f t="shared" ref="AD26:AM26" si="15">SUM(AD9:AD25)</f>
        <v>232</v>
      </c>
      <c r="AE26" s="1011">
        <f t="shared" si="15"/>
        <v>3</v>
      </c>
      <c r="AF26" s="808">
        <f t="shared" si="15"/>
        <v>0</v>
      </c>
      <c r="AG26" s="1014">
        <f t="shared" si="15"/>
        <v>10</v>
      </c>
      <c r="AH26" s="774">
        <f t="shared" si="15"/>
        <v>4</v>
      </c>
      <c r="AI26" s="809">
        <f t="shared" si="15"/>
        <v>70</v>
      </c>
      <c r="AJ26" s="779">
        <f t="shared" si="15"/>
        <v>48</v>
      </c>
      <c r="AK26" s="779">
        <f t="shared" si="15"/>
        <v>59</v>
      </c>
      <c r="AL26" s="779">
        <f t="shared" si="15"/>
        <v>0</v>
      </c>
      <c r="AM26" s="779">
        <f t="shared" si="15"/>
        <v>0</v>
      </c>
      <c r="AN26" s="787">
        <v>84.492753623188406</v>
      </c>
      <c r="AP26" s="778" t="s">
        <v>32</v>
      </c>
      <c r="AQ26" s="777">
        <f>SUM(AQ9:AQ25)</f>
        <v>427</v>
      </c>
      <c r="AR26" s="782">
        <f>AQ26-(AY26+AZ26+BA26)</f>
        <v>349</v>
      </c>
      <c r="AS26" s="1012">
        <f t="shared" ref="AS26:BB26" si="16">SUM(AS9:AS25)</f>
        <v>285</v>
      </c>
      <c r="AT26" s="1011">
        <f t="shared" si="16"/>
        <v>6</v>
      </c>
      <c r="AU26" s="808">
        <f t="shared" si="16"/>
        <v>5</v>
      </c>
      <c r="AV26" s="1014">
        <f t="shared" si="16"/>
        <v>10</v>
      </c>
      <c r="AW26" s="774">
        <f t="shared" si="16"/>
        <v>10</v>
      </c>
      <c r="AX26" s="809">
        <f t="shared" si="16"/>
        <v>28</v>
      </c>
      <c r="AY26" s="779">
        <f t="shared" si="16"/>
        <v>43</v>
      </c>
      <c r="AZ26" s="779">
        <f t="shared" si="16"/>
        <v>35</v>
      </c>
      <c r="BA26" s="779">
        <f t="shared" si="16"/>
        <v>0</v>
      </c>
      <c r="BB26" s="779">
        <f t="shared" si="16"/>
        <v>0</v>
      </c>
      <c r="BC26" s="787">
        <v>88.004750593824227</v>
      </c>
      <c r="BG26" s="1401" t="s">
        <v>32</v>
      </c>
      <c r="BH26" s="777">
        <f>SUM(BH9:BH25)</f>
        <v>474</v>
      </c>
      <c r="BI26" s="1402">
        <f t="shared" si="13"/>
        <v>470</v>
      </c>
      <c r="BJ26" s="1067">
        <f t="shared" ref="BJ26:BO26" si="17">SUM(BJ9:BJ25)</f>
        <v>299</v>
      </c>
      <c r="BK26" s="1011">
        <f t="shared" si="17"/>
        <v>14</v>
      </c>
      <c r="BL26" s="808">
        <f t="shared" si="17"/>
        <v>4</v>
      </c>
      <c r="BM26" s="1014">
        <f t="shared" si="17"/>
        <v>17</v>
      </c>
      <c r="BN26" s="774">
        <f t="shared" si="17"/>
        <v>8</v>
      </c>
      <c r="BO26" s="809">
        <f t="shared" si="17"/>
        <v>28</v>
      </c>
      <c r="BP26" s="810">
        <f>COUNTIFS('PLAN ACCION 2018'!$B$8:$B$504,BG26,'PLAN ACCION 2018'!$CF$8:$CF$504,$L$8)</f>
        <v>0</v>
      </c>
      <c r="BQ26" s="1258">
        <f>COUNTIFS('PLAN ACCION 2018'!$B$8:$B$504,BG26,'PLAN ACCION 2018'!$CF$8:$CF$504,$M$8)</f>
        <v>0</v>
      </c>
      <c r="BR26" s="779">
        <f t="shared" ref="BR26:BS26" si="18">SUM(BR9:BR25)</f>
        <v>4</v>
      </c>
      <c r="BS26" s="779">
        <f t="shared" si="18"/>
        <v>0</v>
      </c>
      <c r="BT26" s="772">
        <f t="shared" si="11"/>
        <v>87.432432432432435</v>
      </c>
    </row>
    <row r="27" spans="1:72" ht="18.75" customHeight="1" x14ac:dyDescent="0.25">
      <c r="D27" s="229"/>
      <c r="E27" s="229"/>
      <c r="F27" s="229"/>
      <c r="G27" s="229"/>
      <c r="H27" s="229"/>
      <c r="I27" s="229"/>
      <c r="J27" s="229"/>
      <c r="K27" s="229"/>
      <c r="L27" s="229"/>
      <c r="M27" s="229"/>
      <c r="N27" s="229"/>
      <c r="O27" s="229"/>
      <c r="P27" s="229"/>
      <c r="Q27" s="229"/>
      <c r="R27" s="944"/>
      <c r="S27" s="944"/>
      <c r="AN27" s="944"/>
      <c r="BC27" s="944"/>
    </row>
    <row r="28" spans="1:72" ht="18.75" customHeight="1" x14ac:dyDescent="0.25">
      <c r="D28" s="229"/>
      <c r="E28" s="229"/>
      <c r="F28" s="229"/>
      <c r="G28" s="229"/>
      <c r="H28" s="229"/>
      <c r="I28" s="229"/>
      <c r="J28" s="229"/>
      <c r="K28" s="229"/>
      <c r="L28" s="229"/>
      <c r="M28" s="229"/>
      <c r="N28" s="229"/>
      <c r="O28" s="229"/>
      <c r="P28" s="229"/>
      <c r="Q28" s="229"/>
      <c r="R28" s="944"/>
      <c r="S28" s="944"/>
      <c r="AN28" s="944"/>
      <c r="BC28" s="944"/>
    </row>
    <row r="29" spans="1:72" ht="18.75" customHeight="1" x14ac:dyDescent="0.25">
      <c r="D29" s="229"/>
      <c r="E29" s="229"/>
      <c r="F29" s="229"/>
      <c r="G29" s="229"/>
      <c r="H29" s="229"/>
      <c r="I29" s="229"/>
      <c r="J29" s="229"/>
      <c r="K29" s="229"/>
      <c r="L29" s="229"/>
      <c r="M29" s="229"/>
      <c r="N29" s="229"/>
      <c r="O29" s="229"/>
      <c r="P29" s="229"/>
      <c r="Q29" s="229"/>
      <c r="R29" s="944"/>
      <c r="S29" s="944"/>
      <c r="AN29" s="944"/>
      <c r="BC29" s="944"/>
    </row>
    <row r="30" spans="1:72" ht="18.75" customHeight="1" x14ac:dyDescent="0.25">
      <c r="D30" s="229"/>
      <c r="E30" s="229"/>
      <c r="F30" s="229"/>
      <c r="G30" s="229"/>
      <c r="H30" s="229"/>
      <c r="I30" s="229"/>
      <c r="J30" s="229"/>
      <c r="K30" s="229"/>
      <c r="L30" s="229"/>
      <c r="M30" s="229"/>
      <c r="N30" s="229"/>
      <c r="O30" s="229"/>
      <c r="P30" s="229"/>
      <c r="Q30" s="229"/>
      <c r="R30" s="944"/>
      <c r="S30" s="944"/>
      <c r="AN30" s="944"/>
      <c r="BC30" s="944"/>
    </row>
    <row r="31" spans="1:72" ht="18.75" customHeight="1" x14ac:dyDescent="0.25">
      <c r="D31" s="229"/>
      <c r="E31" s="229"/>
      <c r="F31" s="229"/>
      <c r="G31" s="229"/>
      <c r="H31" s="229"/>
      <c r="I31" s="229"/>
      <c r="J31" s="229"/>
      <c r="K31" s="229"/>
      <c r="L31" s="229"/>
      <c r="M31" s="229"/>
      <c r="N31" s="229"/>
      <c r="O31" s="229"/>
      <c r="P31" s="229"/>
      <c r="Q31" s="229"/>
      <c r="R31" s="944"/>
      <c r="S31" s="944"/>
      <c r="AN31" s="944"/>
      <c r="BC31" s="944"/>
    </row>
    <row r="32" spans="1:72" ht="18.75" customHeight="1" x14ac:dyDescent="0.25">
      <c r="D32" s="229"/>
      <c r="E32" s="229"/>
      <c r="F32" s="229"/>
      <c r="G32" s="229"/>
      <c r="H32" s="229"/>
      <c r="I32" s="229"/>
      <c r="J32" s="229"/>
      <c r="K32" s="229"/>
      <c r="L32" s="229"/>
      <c r="M32" s="229"/>
      <c r="N32" s="229"/>
      <c r="O32" s="229"/>
      <c r="P32" s="229"/>
      <c r="Q32" s="229"/>
      <c r="R32" s="944"/>
      <c r="S32" s="944"/>
      <c r="AN32" s="944"/>
      <c r="BC32" s="944"/>
    </row>
    <row r="33" spans="4:55" ht="18.75" customHeight="1" x14ac:dyDescent="0.25">
      <c r="D33" s="229"/>
      <c r="E33" s="229"/>
      <c r="F33" s="229"/>
      <c r="G33" s="229"/>
      <c r="H33" s="229"/>
      <c r="I33" s="229"/>
      <c r="J33" s="229"/>
      <c r="K33" s="229"/>
      <c r="L33" s="229"/>
      <c r="M33" s="229"/>
      <c r="N33" s="229"/>
      <c r="O33" s="229"/>
      <c r="P33" s="229"/>
      <c r="Q33" s="229"/>
      <c r="R33" s="944"/>
      <c r="S33" s="944"/>
      <c r="AN33" s="944"/>
      <c r="BC33" s="944"/>
    </row>
    <row r="34" spans="4:55" ht="18.75" customHeight="1" x14ac:dyDescent="0.25">
      <c r="D34" s="229"/>
      <c r="E34" s="229"/>
      <c r="F34" s="229"/>
      <c r="G34" s="229"/>
      <c r="H34" s="229"/>
      <c r="I34" s="229"/>
      <c r="J34" s="229"/>
      <c r="K34" s="229"/>
      <c r="L34" s="229"/>
      <c r="M34" s="229"/>
      <c r="N34" s="229"/>
      <c r="O34" s="229"/>
      <c r="P34" s="229"/>
      <c r="Q34" s="229"/>
      <c r="R34" s="944"/>
      <c r="S34" s="944"/>
      <c r="AN34" s="944"/>
      <c r="BC34" s="944"/>
    </row>
    <row r="35" spans="4:55" ht="18.75" customHeight="1" x14ac:dyDescent="0.25">
      <c r="D35" s="229"/>
      <c r="E35" s="229"/>
      <c r="F35" s="229"/>
      <c r="G35" s="229"/>
      <c r="H35" s="229"/>
      <c r="I35" s="229"/>
      <c r="J35" s="229"/>
      <c r="K35" s="229"/>
      <c r="L35" s="229"/>
      <c r="M35" s="229"/>
      <c r="N35" s="229"/>
      <c r="O35" s="229"/>
      <c r="P35" s="229"/>
      <c r="Q35" s="229"/>
      <c r="R35" s="944"/>
      <c r="S35" s="944"/>
      <c r="AN35" s="944"/>
      <c r="BC35" s="944"/>
    </row>
    <row r="36" spans="4:55" ht="18.75" customHeight="1" x14ac:dyDescent="0.25">
      <c r="D36" s="229"/>
      <c r="E36" s="229"/>
      <c r="F36" s="229"/>
      <c r="G36" s="229"/>
      <c r="H36" s="229"/>
      <c r="I36" s="229"/>
      <c r="J36" s="229"/>
      <c r="K36" s="229"/>
      <c r="L36" s="229"/>
      <c r="M36" s="229"/>
      <c r="N36" s="229"/>
      <c r="O36" s="229"/>
      <c r="P36" s="229"/>
      <c r="Q36" s="229"/>
      <c r="R36" s="944"/>
      <c r="S36" s="944"/>
      <c r="AN36" s="944"/>
      <c r="BC36" s="944"/>
    </row>
    <row r="37" spans="4:55" ht="18.75" customHeight="1" x14ac:dyDescent="0.25">
      <c r="D37" s="229"/>
      <c r="E37" s="229"/>
      <c r="F37" s="229"/>
      <c r="G37" s="229"/>
      <c r="H37" s="229"/>
      <c r="I37" s="229"/>
      <c r="J37" s="229"/>
      <c r="K37" s="229"/>
      <c r="L37" s="229"/>
      <c r="M37" s="229"/>
      <c r="N37" s="229"/>
      <c r="O37" s="229"/>
      <c r="P37" s="229"/>
      <c r="Q37" s="229"/>
      <c r="R37" s="944"/>
      <c r="S37" s="944"/>
      <c r="AN37" s="944"/>
      <c r="BC37" s="944"/>
    </row>
    <row r="38" spans="4:55" ht="18.75" customHeight="1" x14ac:dyDescent="0.25">
      <c r="D38" s="229"/>
      <c r="E38" s="229"/>
      <c r="F38" s="229"/>
      <c r="G38" s="229"/>
      <c r="H38" s="229"/>
      <c r="I38" s="229"/>
      <c r="J38" s="229"/>
      <c r="K38" s="229"/>
      <c r="L38" s="229"/>
      <c r="M38" s="229"/>
      <c r="N38" s="229"/>
      <c r="O38" s="229"/>
      <c r="P38" s="229"/>
      <c r="Q38" s="229"/>
      <c r="R38" s="944"/>
      <c r="S38" s="944"/>
      <c r="AN38" s="944"/>
      <c r="BC38" s="944"/>
    </row>
    <row r="39" spans="4:55" ht="18.75" customHeight="1" x14ac:dyDescent="0.25">
      <c r="D39" s="229"/>
      <c r="E39" s="229"/>
      <c r="F39" s="229"/>
      <c r="G39" s="229"/>
      <c r="H39" s="229"/>
      <c r="I39" s="229"/>
      <c r="J39" s="229"/>
      <c r="K39" s="229"/>
      <c r="L39" s="229"/>
      <c r="M39" s="229"/>
      <c r="N39" s="229"/>
      <c r="O39" s="229"/>
      <c r="P39" s="229"/>
      <c r="Q39" s="229"/>
      <c r="R39" s="944"/>
      <c r="S39" s="944"/>
      <c r="AN39" s="944"/>
      <c r="BC39" s="944"/>
    </row>
    <row r="40" spans="4:55" ht="18.75" customHeight="1" x14ac:dyDescent="0.25">
      <c r="D40" s="229"/>
      <c r="E40" s="229"/>
      <c r="F40" s="229"/>
      <c r="G40" s="229"/>
      <c r="H40" s="229"/>
      <c r="I40" s="229"/>
      <c r="J40" s="229"/>
      <c r="K40" s="229"/>
      <c r="L40" s="229"/>
      <c r="M40" s="229"/>
      <c r="N40" s="229"/>
      <c r="O40" s="229"/>
      <c r="P40" s="229"/>
      <c r="Q40" s="229"/>
      <c r="R40" s="944"/>
      <c r="S40" s="944"/>
      <c r="AN40" s="944"/>
      <c r="BC40" s="944"/>
    </row>
    <row r="41" spans="4:55" ht="18.75" customHeight="1" x14ac:dyDescent="0.25">
      <c r="D41" s="229"/>
      <c r="E41" s="229"/>
      <c r="F41" s="229"/>
      <c r="G41" s="229"/>
      <c r="H41" s="229"/>
      <c r="I41" s="229"/>
      <c r="J41" s="229"/>
      <c r="K41" s="229"/>
      <c r="L41" s="229"/>
      <c r="M41" s="229"/>
      <c r="N41" s="229"/>
      <c r="O41" s="229"/>
      <c r="P41" s="229"/>
      <c r="Q41" s="229"/>
      <c r="R41" s="944"/>
      <c r="S41" s="944"/>
      <c r="AN41" s="944"/>
      <c r="BC41" s="944"/>
    </row>
    <row r="42" spans="4:55" ht="18.75" customHeight="1" x14ac:dyDescent="0.3">
      <c r="D42" s="229"/>
      <c r="E42" s="229"/>
      <c r="F42" s="229"/>
      <c r="G42" s="229"/>
      <c r="H42" s="229"/>
      <c r="I42" s="229"/>
      <c r="J42" s="229"/>
      <c r="K42" s="229"/>
      <c r="L42" s="229"/>
      <c r="M42" s="229"/>
      <c r="N42" s="229"/>
      <c r="O42" s="229"/>
      <c r="P42" s="229"/>
      <c r="Q42" s="229"/>
      <c r="R42" s="944"/>
      <c r="S42" s="944"/>
      <c r="AN42" s="944"/>
      <c r="BC42" s="944"/>
    </row>
    <row r="43" spans="4:55" x14ac:dyDescent="0.3">
      <c r="D43" s="229"/>
      <c r="E43" s="229"/>
      <c r="F43" s="229"/>
      <c r="G43" s="229"/>
      <c r="H43" s="229"/>
      <c r="I43" s="229"/>
      <c r="J43" s="229"/>
      <c r="K43" s="229"/>
      <c r="L43" s="229"/>
      <c r="M43" s="229"/>
      <c r="N43" s="229"/>
      <c r="O43" s="229"/>
      <c r="P43" s="229"/>
      <c r="Q43" s="229"/>
      <c r="R43" s="944"/>
      <c r="S43" s="944"/>
      <c r="AN43" s="944"/>
      <c r="BC43" s="944"/>
    </row>
    <row r="44" spans="4:55" x14ac:dyDescent="0.3">
      <c r="D44" s="229"/>
      <c r="E44" s="229"/>
      <c r="F44" s="229"/>
      <c r="G44" s="229"/>
      <c r="H44" s="229"/>
      <c r="I44" s="229"/>
      <c r="J44" s="229"/>
      <c r="K44" s="229"/>
      <c r="L44" s="229"/>
      <c r="M44" s="229"/>
      <c r="N44" s="229"/>
      <c r="O44" s="229"/>
      <c r="P44" s="229"/>
      <c r="Q44" s="229"/>
      <c r="R44" s="944"/>
      <c r="S44" s="944"/>
      <c r="AN44" s="944"/>
      <c r="BC44" s="944"/>
    </row>
    <row r="45" spans="4:55" x14ac:dyDescent="0.3">
      <c r="D45" s="229"/>
      <c r="E45" s="229"/>
      <c r="F45" s="229"/>
      <c r="G45" s="229"/>
      <c r="H45" s="229"/>
      <c r="I45" s="229"/>
      <c r="J45" s="229"/>
      <c r="K45" s="229"/>
      <c r="L45" s="229"/>
      <c r="M45" s="229"/>
      <c r="N45" s="229"/>
      <c r="O45" s="229"/>
      <c r="P45" s="229"/>
      <c r="Q45" s="229"/>
      <c r="R45" s="944"/>
      <c r="S45" s="944"/>
      <c r="AN45" s="944"/>
      <c r="BC45" s="944"/>
    </row>
    <row r="46" spans="4:55" x14ac:dyDescent="0.3">
      <c r="D46" s="229"/>
      <c r="E46" s="229"/>
      <c r="F46" s="229"/>
      <c r="G46" s="229"/>
      <c r="H46" s="229"/>
      <c r="I46" s="229"/>
      <c r="J46" s="229"/>
      <c r="K46" s="229"/>
      <c r="L46" s="229"/>
      <c r="M46" s="229"/>
      <c r="N46" s="229"/>
      <c r="O46" s="229"/>
      <c r="P46" s="229"/>
      <c r="Q46" s="229"/>
      <c r="R46" s="944"/>
      <c r="S46" s="944"/>
      <c r="AN46" s="944"/>
      <c r="BC46" s="944"/>
    </row>
    <row r="47" spans="4:55" x14ac:dyDescent="0.3">
      <c r="D47" s="229"/>
      <c r="E47" s="229"/>
      <c r="F47" s="229"/>
      <c r="G47" s="229"/>
      <c r="H47" s="229"/>
      <c r="I47" s="229"/>
      <c r="J47" s="229"/>
      <c r="K47" s="229"/>
      <c r="L47" s="229"/>
      <c r="M47" s="229"/>
      <c r="N47" s="229"/>
      <c r="O47" s="229"/>
      <c r="P47" s="229"/>
      <c r="Q47" s="229"/>
      <c r="R47" s="944"/>
      <c r="S47" s="944"/>
      <c r="AN47" s="944"/>
      <c r="BC47" s="944"/>
    </row>
    <row r="48" spans="4:55" x14ac:dyDescent="0.3">
      <c r="D48" s="229"/>
      <c r="E48" s="229"/>
      <c r="F48" s="229"/>
      <c r="G48" s="229"/>
      <c r="H48" s="229"/>
      <c r="I48" s="229"/>
      <c r="J48" s="229"/>
      <c r="K48" s="229"/>
      <c r="L48" s="229"/>
      <c r="M48" s="229"/>
      <c r="N48" s="229"/>
      <c r="O48" s="229"/>
      <c r="P48" s="229"/>
      <c r="Q48" s="229"/>
      <c r="R48" s="944"/>
      <c r="S48" s="944"/>
      <c r="AN48" s="944"/>
      <c r="BC48" s="944"/>
    </row>
    <row r="49" spans="1:72" x14ac:dyDescent="0.3">
      <c r="A49" s="955"/>
      <c r="B49"/>
      <c r="D49" s="229"/>
      <c r="E49" s="229"/>
      <c r="F49" s="229"/>
      <c r="G49" s="229"/>
      <c r="H49" s="229"/>
      <c r="I49" s="229"/>
      <c r="J49" s="229"/>
      <c r="K49" s="229"/>
      <c r="L49" s="229"/>
      <c r="M49" s="229"/>
      <c r="N49" s="229"/>
      <c r="O49" s="229"/>
      <c r="P49" s="229"/>
      <c r="Q49" s="229"/>
      <c r="R49" s="229"/>
      <c r="S49" s="229"/>
    </row>
    <row r="50" spans="1:72" ht="43.5" customHeight="1" x14ac:dyDescent="0.3">
      <c r="A50" s="955"/>
      <c r="B50"/>
      <c r="C50" s="1279"/>
      <c r="D50" s="1280"/>
      <c r="E50" s="1280"/>
      <c r="F50" s="1267" t="s">
        <v>4719</v>
      </c>
      <c r="G50" s="1268" t="s">
        <v>4720</v>
      </c>
      <c r="H50" s="1269" t="s">
        <v>4721</v>
      </c>
      <c r="I50" s="1270" t="s">
        <v>4722</v>
      </c>
      <c r="J50" s="1271" t="s">
        <v>4723</v>
      </c>
      <c r="K50" s="1272" t="s">
        <v>4724</v>
      </c>
      <c r="L50" s="1281" t="s">
        <v>3112</v>
      </c>
      <c r="M50" s="1274" t="s">
        <v>4725</v>
      </c>
      <c r="N50" s="1275" t="s">
        <v>3647</v>
      </c>
      <c r="O50" s="1276" t="s">
        <v>4726</v>
      </c>
      <c r="P50" s="1752" t="s">
        <v>4727</v>
      </c>
      <c r="Q50" s="1752"/>
      <c r="R50" s="1752"/>
      <c r="S50" s="1752"/>
      <c r="T50" s="1752"/>
      <c r="AB50" s="230"/>
      <c r="AC50" s="230"/>
      <c r="AD50" s="804" t="s">
        <v>4719</v>
      </c>
      <c r="AE50" s="1027" t="s">
        <v>4720</v>
      </c>
      <c r="AF50" s="1028" t="s">
        <v>4721</v>
      </c>
      <c r="AG50" s="1029" t="s">
        <v>4722</v>
      </c>
      <c r="AH50" s="1030" t="s">
        <v>4723</v>
      </c>
      <c r="AI50" s="1031" t="s">
        <v>4724</v>
      </c>
      <c r="AJ50" s="1068" t="s">
        <v>3112</v>
      </c>
      <c r="AK50" s="1243" t="s">
        <v>4725</v>
      </c>
      <c r="AL50" s="1244" t="s">
        <v>3647</v>
      </c>
      <c r="AM50" s="1245" t="s">
        <v>4726</v>
      </c>
      <c r="AN50" s="1251" t="s">
        <v>4727</v>
      </c>
      <c r="AQ50" s="230"/>
      <c r="AR50" s="230"/>
      <c r="AS50" s="804" t="s">
        <v>4719</v>
      </c>
      <c r="AT50" s="1027" t="s">
        <v>4720</v>
      </c>
      <c r="AU50" s="1028" t="s">
        <v>4721</v>
      </c>
      <c r="AV50" s="1029" t="s">
        <v>4722</v>
      </c>
      <c r="AW50" s="1030" t="s">
        <v>4723</v>
      </c>
      <c r="AX50" s="1031" t="s">
        <v>4724</v>
      </c>
      <c r="AY50" s="1068" t="s">
        <v>3112</v>
      </c>
      <c r="AZ50" s="1243" t="s">
        <v>4725</v>
      </c>
      <c r="BA50" s="1244" t="s">
        <v>3647</v>
      </c>
      <c r="BB50" s="1245" t="s">
        <v>4726</v>
      </c>
      <c r="BC50" s="1251" t="s">
        <v>4727</v>
      </c>
      <c r="BG50" s="1279"/>
      <c r="BH50" s="1280"/>
      <c r="BI50" s="1280"/>
      <c r="BJ50" s="1267" t="s">
        <v>4719</v>
      </c>
      <c r="BK50" s="1268" t="s">
        <v>4720</v>
      </c>
      <c r="BL50" s="1269" t="s">
        <v>4721</v>
      </c>
      <c r="BM50" s="1270" t="s">
        <v>4722</v>
      </c>
      <c r="BN50" s="1271" t="s">
        <v>4723</v>
      </c>
      <c r="BO50" s="1272" t="s">
        <v>4724</v>
      </c>
      <c r="BP50" s="1281" t="s">
        <v>3112</v>
      </c>
      <c r="BQ50" s="1274" t="s">
        <v>4725</v>
      </c>
      <c r="BR50" s="1275" t="s">
        <v>3647</v>
      </c>
      <c r="BS50" s="1276" t="s">
        <v>4726</v>
      </c>
      <c r="BT50" s="1763" t="s">
        <v>4734</v>
      </c>
    </row>
    <row r="51" spans="1:72" ht="31.2" x14ac:dyDescent="0.3">
      <c r="A51" s="955"/>
      <c r="B51"/>
      <c r="C51" s="1282" t="s">
        <v>4739</v>
      </c>
      <c r="D51" s="1283" t="s">
        <v>3114</v>
      </c>
      <c r="E51" s="1284" t="s">
        <v>4728</v>
      </c>
      <c r="F51" s="1285" t="s">
        <v>2598</v>
      </c>
      <c r="G51" s="1286" t="s">
        <v>4729</v>
      </c>
      <c r="H51" s="1287" t="s">
        <v>2604</v>
      </c>
      <c r="I51" s="1288" t="s">
        <v>4730</v>
      </c>
      <c r="J51" s="1289" t="s">
        <v>2600</v>
      </c>
      <c r="K51" s="1290" t="s">
        <v>4731</v>
      </c>
      <c r="L51" s="1291" t="s">
        <v>2594</v>
      </c>
      <c r="M51" s="1292" t="s">
        <v>4732</v>
      </c>
      <c r="N51" s="1275" t="s">
        <v>2464</v>
      </c>
      <c r="O51" s="1276" t="s">
        <v>2458</v>
      </c>
      <c r="P51" s="1277">
        <v>2016</v>
      </c>
      <c r="Q51" s="1277" t="s">
        <v>4733</v>
      </c>
      <c r="R51" s="1277" t="s">
        <v>4734</v>
      </c>
      <c r="S51" s="1277" t="s">
        <v>4735</v>
      </c>
      <c r="T51" s="1277" t="s">
        <v>4736</v>
      </c>
      <c r="AA51" s="1059" t="s">
        <v>4739</v>
      </c>
      <c r="AB51" s="958" t="s">
        <v>3114</v>
      </c>
      <c r="AC51" s="1060" t="s">
        <v>4737</v>
      </c>
      <c r="AD51" s="1061" t="s">
        <v>2598</v>
      </c>
      <c r="AE51" s="1062" t="s">
        <v>4729</v>
      </c>
      <c r="AF51" s="1063" t="s">
        <v>2604</v>
      </c>
      <c r="AG51" s="1064" t="s">
        <v>4730</v>
      </c>
      <c r="AH51" s="1065" t="s">
        <v>2600</v>
      </c>
      <c r="AI51" s="1066" t="s">
        <v>4731</v>
      </c>
      <c r="AJ51" s="1069" t="s">
        <v>2594</v>
      </c>
      <c r="AK51" s="1246" t="s">
        <v>4732</v>
      </c>
      <c r="AL51" s="1244" t="s">
        <v>2464</v>
      </c>
      <c r="AM51" s="1245" t="s">
        <v>2458</v>
      </c>
      <c r="AN51" s="1464" t="s">
        <v>4738</v>
      </c>
      <c r="AP51" s="1059" t="s">
        <v>4739</v>
      </c>
      <c r="AQ51" s="958" t="s">
        <v>3114</v>
      </c>
      <c r="AR51" s="1060" t="s">
        <v>4737</v>
      </c>
      <c r="AS51" s="1061" t="s">
        <v>2598</v>
      </c>
      <c r="AT51" s="1062" t="s">
        <v>4729</v>
      </c>
      <c r="AU51" s="1063" t="s">
        <v>2604</v>
      </c>
      <c r="AV51" s="1064" t="s">
        <v>4730</v>
      </c>
      <c r="AW51" s="1065" t="s">
        <v>2600</v>
      </c>
      <c r="AX51" s="1066" t="s">
        <v>4731</v>
      </c>
      <c r="AY51" s="1069" t="s">
        <v>2594</v>
      </c>
      <c r="AZ51" s="1246" t="s">
        <v>4732</v>
      </c>
      <c r="BA51" s="1244" t="s">
        <v>2464</v>
      </c>
      <c r="BB51" s="1245" t="s">
        <v>2458</v>
      </c>
      <c r="BC51" s="1464" t="s">
        <v>4733</v>
      </c>
      <c r="BG51" s="1282" t="s">
        <v>4739</v>
      </c>
      <c r="BH51" s="1283" t="s">
        <v>3114</v>
      </c>
      <c r="BI51" s="1284" t="s">
        <v>4728</v>
      </c>
      <c r="BJ51" s="1285" t="s">
        <v>2598</v>
      </c>
      <c r="BK51" s="1286" t="s">
        <v>4729</v>
      </c>
      <c r="BL51" s="1287" t="s">
        <v>2604</v>
      </c>
      <c r="BM51" s="1288" t="s">
        <v>4730</v>
      </c>
      <c r="BN51" s="1289" t="s">
        <v>2600</v>
      </c>
      <c r="BO51" s="1290" t="s">
        <v>4731</v>
      </c>
      <c r="BP51" s="1291" t="s">
        <v>2594</v>
      </c>
      <c r="BQ51" s="1292" t="s">
        <v>4732</v>
      </c>
      <c r="BR51" s="1275" t="s">
        <v>2464</v>
      </c>
      <c r="BS51" s="1276" t="s">
        <v>2458</v>
      </c>
      <c r="BT51" s="1764"/>
    </row>
    <row r="52" spans="1:72" x14ac:dyDescent="0.3">
      <c r="A52" s="955"/>
      <c r="B52">
        <f t="shared" ref="B52:B62" si="19">SUM(F52:K52)-E52</f>
        <v>0</v>
      </c>
      <c r="C52" s="960" t="s">
        <v>3822</v>
      </c>
      <c r="D52" s="961">
        <v>61</v>
      </c>
      <c r="E52" s="782">
        <v>61</v>
      </c>
      <c r="F52" s="1067">
        <v>57</v>
      </c>
      <c r="G52" s="1011"/>
      <c r="H52" s="808"/>
      <c r="I52" s="1014"/>
      <c r="J52" s="774"/>
      <c r="K52" s="809">
        <v>4</v>
      </c>
      <c r="L52" s="1256"/>
      <c r="M52" s="1259"/>
      <c r="N52" s="1071"/>
      <c r="O52" s="1197"/>
      <c r="P52" s="787">
        <f>AN52</f>
        <v>0</v>
      </c>
      <c r="Q52" s="787">
        <f t="shared" ref="Q52:Q63" si="20">BC52</f>
        <v>0</v>
      </c>
      <c r="R52" s="787"/>
      <c r="S52" s="787"/>
      <c r="T52" s="1252">
        <f>(P52+Q52+R52+S52)/U52</f>
        <v>0</v>
      </c>
      <c r="U52" s="229">
        <f t="shared" ref="U52:U63" si="21">COUNTIF(P52:S52,"&gt;=0")</f>
        <v>2</v>
      </c>
      <c r="AA52" s="960" t="s">
        <v>3822</v>
      </c>
      <c r="AB52" s="961">
        <f>COUNTIFS('PLAN ACCION 2018'!$N$7:$N$1003,AA52,'PLAN ACCION 2018'!$A$7:$A$1003,"*")</f>
        <v>1</v>
      </c>
      <c r="AC52" s="961">
        <f>+AB52-AJ52</f>
        <v>1</v>
      </c>
      <c r="AD52" s="1067">
        <f>COUNTIFS('PLAN ACCION 2018'!$N$8:$N$504,AA52,'PLAN ACCION 2018'!$CD$8:$CD$504,"VE")</f>
        <v>0</v>
      </c>
      <c r="AE52" s="1011">
        <f>COUNTIFS('PLAN ACCION 2018'!$N$8:$N$504,AA52,'PLAN ACCION 2018'!$CD$8:$CD$504,"VEB")</f>
        <v>0</v>
      </c>
      <c r="AF52" s="808">
        <f>COUNTIFS('PLAN ACCION 2018'!$N$8:$N$504,AA52,'PLAN ACCION 2018'!$CD$8:$CD$504,"AM")</f>
        <v>0</v>
      </c>
      <c r="AG52" s="1014">
        <f>COUNTIFS('PLAN ACCION 2018'!$N$8:$N$504,AA52,'PLAN ACCION 2018'!$CD$8:$CD$504,"AMB")</f>
        <v>0</v>
      </c>
      <c r="AH52" s="774">
        <f>COUNTIFS('PLAN ACCION 2018'!$N$8:$N$504,AA52,'PLAN ACCION 2018'!$CD$8:$CD$504,"RO")</f>
        <v>0</v>
      </c>
      <c r="AI52" s="809">
        <f>COUNTIFS('PLAN ACCION 2018'!$N$8:$N$504,AA52,'PLAN ACCION 2018'!$CD$8:$CD$504,"ROB")</f>
        <v>1</v>
      </c>
      <c r="AJ52" s="1070">
        <f>COUNTIFS('PLAN ACCION 2018'!$N$8:$N$504,AA52,'PLAN ACCION 2018'!$CD$8:$CD$504,"AZ")</f>
        <v>0</v>
      </c>
      <c r="AK52" s="1070">
        <f>COUNTIFS('PLAN ACCION 2018'!$N$8:$N$504,AA52,'PLAN ACCION 2018'!$CD$8:$CD$504,"NP")</f>
        <v>0</v>
      </c>
      <c r="AL52" s="1071">
        <f>COUNTIFS('PLAN ACCION 2018'!$N$8:$N$504,AA52,'PLAN ACCION 2018'!$CD$8:$CD$504,"E")</f>
        <v>0</v>
      </c>
      <c r="AM52" s="1197">
        <f>COUNTIFS('PLAN ACCION 2018'!$N$8:$N$504,AA52,'PLAN ACCION 2018'!$CD$8:$CD$504,"M")</f>
        <v>0</v>
      </c>
      <c r="AN52" s="787">
        <f t="shared" ref="AN52:AN63" si="22">+((AD52*1)/(AD52+AE52+AF52+AG52+AH52+AI52)+(AF52*0.5)/(AD52+AE52+AF52+AG52+AH52+AI52))*100</f>
        <v>0</v>
      </c>
      <c r="AP52" s="960" t="s">
        <v>3822</v>
      </c>
      <c r="AQ52" s="961">
        <f>COUNTIFS('PLAN ACCION 2018'!$N$7:$N$1003,AP52,'PLAN ACCION 2018'!$A$7:$A$1003,"*")</f>
        <v>1</v>
      </c>
      <c r="AR52" s="961">
        <f>+AQ52-AY52</f>
        <v>1</v>
      </c>
      <c r="AS52" s="1067">
        <f>COUNTIFS('PLAN ACCION 2018'!$N$8:$N$504,AP52,'PLAN ACCION 2018'!$CE$8:$CE$504,"VE")</f>
        <v>0</v>
      </c>
      <c r="AT52" s="1011">
        <f>COUNTIFS('PLAN ACCION 2018'!$N$8:$N$504,AP52,'PLAN ACCION 2018'!$CE$8:$CE$504,"VEB")</f>
        <v>0</v>
      </c>
      <c r="AU52" s="808">
        <f>COUNTIFS('PLAN ACCION 2018'!$N$8:$N$504,AP52,'PLAN ACCION 2018'!$CE$8:$CE$504,"AM")</f>
        <v>0</v>
      </c>
      <c r="AV52" s="1014">
        <f>COUNTIFS('PLAN ACCION 2018'!$N$8:$N$504,AP52,'PLAN ACCION 2018'!$CE$8:$CE$504,"AMB")</f>
        <v>0</v>
      </c>
      <c r="AW52" s="774">
        <f>COUNTIFS('PLAN ACCION 2018'!$N$8:$N$504,AP52,'PLAN ACCION 2018'!$CE$8:$CE$504,"RO")</f>
        <v>0</v>
      </c>
      <c r="AX52" s="809">
        <f>COUNTIFS('PLAN ACCION 2018'!$N$8:$N$504,AP52,'PLAN ACCION 2018'!$CE$8:$CE$504,"ROB")</f>
        <v>1</v>
      </c>
      <c r="AY52" s="1070">
        <f>COUNTIFS('PLAN ACCION 2018'!$N$8:$N$504,AP52,'PLAN ACCION 2018'!$CE$8:$CE$504,"AZ")</f>
        <v>0</v>
      </c>
      <c r="AZ52" s="1070">
        <f>COUNTIFS('PLAN ACCION 2018'!$N$8:$N$504,AP52,'PLAN ACCION 2018'!$CE$8:$CE$504,"NP")</f>
        <v>0</v>
      </c>
      <c r="BA52" s="1071">
        <f>COUNTIFS('PLAN ACCION 2018'!$N$8:$N$504,AP52,'PLAN ACCION 2018'!$CE$8:$CE$504,"E")</f>
        <v>0</v>
      </c>
      <c r="BB52" s="1197">
        <f>COUNTIFS('PLAN ACCION 2018'!$N$8:$N$504,AP52,'PLAN ACCION 2018'!$CE$8:$CE$504,"M")</f>
        <v>0</v>
      </c>
      <c r="BC52" s="787">
        <f t="shared" ref="BC52:BC63" si="23">+((AS52*1)/(AS52+AT52+AU52+AV52+AW52+AX52)+(AU52*0.5)/(AS52+AT52+AU52+AV52+AW52+AX52))*100</f>
        <v>0</v>
      </c>
      <c r="BG52" s="960" t="s">
        <v>3822</v>
      </c>
      <c r="BH52" s="961"/>
      <c r="BI52" s="782"/>
      <c r="BJ52" s="1067"/>
      <c r="BK52" s="1011"/>
      <c r="BL52" s="808"/>
      <c r="BM52" s="1014"/>
      <c r="BN52" s="774"/>
      <c r="BO52" s="809"/>
      <c r="BP52" s="1256"/>
      <c r="BQ52" s="1259"/>
      <c r="BR52" s="1071"/>
      <c r="BS52" s="1197"/>
      <c r="BT52" s="787"/>
    </row>
    <row r="53" spans="1:72" x14ac:dyDescent="0.3">
      <c r="A53" s="955"/>
      <c r="B53">
        <f t="shared" si="19"/>
        <v>0</v>
      </c>
      <c r="C53" s="960" t="s">
        <v>2521</v>
      </c>
      <c r="D53" s="1345">
        <f>COUNTIFS('PLAN ACCION 2020'!$N$7:$N$1003,C53,'PLAN ACCION 2020'!$A$7:$A$1003,"*")</f>
        <v>0</v>
      </c>
      <c r="E53" s="782">
        <f t="shared" ref="E53:E62" si="24">D53-M53</f>
        <v>0</v>
      </c>
      <c r="F53" s="1067">
        <f>COUNTIFS('PLAN ACCION 2020'!$N$8:$N$504,C53,'PLAN ACCION 2020'!$CG$8:$CG$504,$F$51)</f>
        <v>0</v>
      </c>
      <c r="G53" s="1011">
        <f>COUNTIFS('PLAN ACCION 2020'!$N$8:$N$504,C53,'PLAN ACCION 2020'!$CG$8:$CG$504,$G$51)</f>
        <v>0</v>
      </c>
      <c r="H53" s="808">
        <f>COUNTIFS('PLAN ACCION 2020'!$N$8:$N$504,C53,'PLAN ACCION 2020'!$CG$8:$CG$504,$H$51)</f>
        <v>0</v>
      </c>
      <c r="I53" s="1014">
        <f>COUNTIFS('PLAN ACCION 2020'!$N$8:$N$504,C53,'PLAN ACCION 2020'!$CG$8:$CG$504,$I$51)</f>
        <v>0</v>
      </c>
      <c r="J53" s="774">
        <f>COUNTIFS('PLAN ACCION 2020'!$N$8:$N$504,C53,'PLAN ACCION 2020'!$CG$8:$CG$504,$J$51)</f>
        <v>0</v>
      </c>
      <c r="K53" s="809">
        <f>COUNTIFS('PLAN ACCION 2020'!$N$8:$N$504,C53,'PLAN ACCION 2020'!$CG$8:$CG$504,$K$51)</f>
        <v>0</v>
      </c>
      <c r="L53" s="1256">
        <f>COUNTIFS('PLAN ACCION 2020'!$N$8:$N$504,C53,'PLAN ACCION 2020'!$CG$8:$CG$504,$L$51)</f>
        <v>0</v>
      </c>
      <c r="M53" s="1259">
        <f>COUNTIFS('PLAN ACCION 2020'!$N$8:$N$504,C53,'PLAN ACCION 2020'!$CG$8:$CG$504,"NP")</f>
        <v>0</v>
      </c>
      <c r="N53" s="1071">
        <f>COUNTIFS('PLAN ACCION 2020'!$N$8:$N$504,C53,'PLAN ACCION 2020'!$CG$8:$CG$504,"E")</f>
        <v>0</v>
      </c>
      <c r="O53" s="1197">
        <f>COUNTIFS('PLAN ACCION 2020'!$N$8:$N$504,C53,'PLAN ACCION 2020'!$CG$8:$CG$504,"M")</f>
        <v>0</v>
      </c>
      <c r="P53" s="787">
        <f t="shared" ref="P53:P63" si="25">AN53</f>
        <v>58.333333333333336</v>
      </c>
      <c r="Q53" s="787">
        <f t="shared" si="20"/>
        <v>72.727272727272734</v>
      </c>
      <c r="R53" s="787">
        <f t="shared" ref="R53:R63" si="26">BT53</f>
        <v>70</v>
      </c>
      <c r="S53" s="787" t="e">
        <f t="shared" ref="S53:S63" si="27">+(((F53+G53)*1)/(F53+G53+H53+I53+J53+K53)+(H53*0.5)/(F53+G53+H53+I53+J53+K53))*100</f>
        <v>#DIV/0!</v>
      </c>
      <c r="T53" s="1252" t="e">
        <f t="shared" ref="T53:T63" si="28">(P53+Q53+R53+S53)/U53</f>
        <v>#DIV/0!</v>
      </c>
      <c r="U53" s="229">
        <f t="shared" si="21"/>
        <v>3</v>
      </c>
      <c r="AA53" s="960" t="s">
        <v>2521</v>
      </c>
      <c r="AB53" s="961">
        <f>COUNTIFS('PLAN ACCION 2018'!$N$7:$N$1003,AA53,'PLAN ACCION 2018'!$A$7:$A$1003,"*")</f>
        <v>13</v>
      </c>
      <c r="AC53" s="961">
        <f>+AB53-AJ53</f>
        <v>13</v>
      </c>
      <c r="AD53" s="1067">
        <f>COUNTIFS('PLAN ACCION 2018'!$N$8:$N$504,AA53,'PLAN ACCION 2018'!$CD$8:$CD$504,"VE")</f>
        <v>7</v>
      </c>
      <c r="AE53" s="1011">
        <f>COUNTIFS('PLAN ACCION 2018'!$N$8:$N$504,AA53,'PLAN ACCION 2018'!$CD$8:$CD$504,"VEB")</f>
        <v>1</v>
      </c>
      <c r="AF53" s="808">
        <f>COUNTIFS('PLAN ACCION 2018'!$N$8:$N$504,AA53,'PLAN ACCION 2018'!$CD$8:$CD$504,"AM")</f>
        <v>0</v>
      </c>
      <c r="AG53" s="1014">
        <f>COUNTIFS('PLAN ACCION 2018'!$N$8:$N$504,AA53,'PLAN ACCION 2018'!$CD$8:$CD$504,"AMB")</f>
        <v>1</v>
      </c>
      <c r="AH53" s="774">
        <f>COUNTIFS('PLAN ACCION 2018'!$N$8:$N$504,AA53,'PLAN ACCION 2018'!$CD$8:$CD$504,"RO")</f>
        <v>0</v>
      </c>
      <c r="AI53" s="809">
        <f>COUNTIFS('PLAN ACCION 2018'!$N$8:$N$504,AA53,'PLAN ACCION 2018'!$CD$8:$CD$504,"ROB")</f>
        <v>3</v>
      </c>
      <c r="AJ53" s="1070">
        <f>COUNTIFS('PLAN ACCION 2018'!$N$8:$N$504,AA53,'PLAN ACCION 2018'!$CD$8:$CD$504,"AZ")</f>
        <v>0</v>
      </c>
      <c r="AK53" s="1070">
        <f>COUNTIFS('PLAN ACCION 2018'!$N$8:$N$504,AA53,'PLAN ACCION 2018'!$CD$8:$CD$504,"NP")</f>
        <v>1</v>
      </c>
      <c r="AL53" s="1071">
        <f>COUNTIFS('PLAN ACCION 2018'!$N$8:$N$504,AA53,'PLAN ACCION 2018'!$CD$8:$CD$504,"E")</f>
        <v>0</v>
      </c>
      <c r="AM53" s="1197">
        <f>COUNTIFS('PLAN ACCION 2018'!$N$8:$N$504,AA53,'PLAN ACCION 2018'!$CD$8:$CD$504,"M")</f>
        <v>0</v>
      </c>
      <c r="AN53" s="787">
        <f t="shared" si="22"/>
        <v>58.333333333333336</v>
      </c>
      <c r="AP53" s="960" t="s">
        <v>2521</v>
      </c>
      <c r="AQ53" s="961">
        <f>COUNTIFS('PLAN ACCION 2018'!$N$7:$N$1003,AP53,'PLAN ACCION 2018'!$A$7:$A$1003,"*")</f>
        <v>13</v>
      </c>
      <c r="AR53" s="961">
        <f>+AQ53-AY53</f>
        <v>13</v>
      </c>
      <c r="AS53" s="1067">
        <f>COUNTIFS('PLAN ACCION 2018'!$N$8:$N$504,AP53,'PLAN ACCION 2018'!$CE$8:$CE$504,"VE")</f>
        <v>8</v>
      </c>
      <c r="AT53" s="1011">
        <f>COUNTIFS('PLAN ACCION 2018'!$N$8:$N$504,AP53,'PLAN ACCION 2018'!$CE$8:$CE$504,"VEB")</f>
        <v>0</v>
      </c>
      <c r="AU53" s="808">
        <f>COUNTIFS('PLAN ACCION 2018'!$N$8:$N$504,AP53,'PLAN ACCION 2018'!$CE$8:$CE$504,"AM")</f>
        <v>0</v>
      </c>
      <c r="AV53" s="1014">
        <f>COUNTIFS('PLAN ACCION 2018'!$N$8:$N$504,AP53,'PLAN ACCION 2018'!$CE$8:$CE$504,"AMB")</f>
        <v>1</v>
      </c>
      <c r="AW53" s="774">
        <f>COUNTIFS('PLAN ACCION 2018'!$N$8:$N$504,AP53,'PLAN ACCION 2018'!$CE$8:$CE$504,"RO")</f>
        <v>0</v>
      </c>
      <c r="AX53" s="809">
        <f>COUNTIFS('PLAN ACCION 2018'!$N$8:$N$504,AP53,'PLAN ACCION 2018'!$CE$8:$CE$504,"ROB")</f>
        <v>2</v>
      </c>
      <c r="AY53" s="1070">
        <f>COUNTIFS('PLAN ACCION 2018'!$N$8:$N$504,AP53,'PLAN ACCION 2018'!$CE$8:$CE$504,"AZ")</f>
        <v>0</v>
      </c>
      <c r="AZ53" s="1070">
        <f>COUNTIFS('PLAN ACCION 2018'!$N$8:$N$504,AP53,'PLAN ACCION 2018'!$CE$8:$CE$504,"NP")</f>
        <v>2</v>
      </c>
      <c r="BA53" s="1071">
        <f>COUNTIFS('PLAN ACCION 2018'!$N$8:$N$504,AP53,'PLAN ACCION 2018'!$CE$8:$CE$504,"E")</f>
        <v>0</v>
      </c>
      <c r="BB53" s="1197">
        <f>COUNTIFS('PLAN ACCION 2018'!$N$8:$N$504,AP53,'PLAN ACCION 2018'!$CE$8:$CE$504,"M")</f>
        <v>0</v>
      </c>
      <c r="BC53" s="787">
        <f t="shared" si="23"/>
        <v>72.727272727272734</v>
      </c>
      <c r="BG53" s="960" t="s">
        <v>2521</v>
      </c>
      <c r="BH53" s="1345">
        <f>COUNTIFS('PLAN ACCION 2018'!$N$7:$N$1003,BG53,'PLAN ACCION 2018'!$A$7:$A$1003,"*")</f>
        <v>13</v>
      </c>
      <c r="BI53" s="782">
        <f t="shared" ref="BI53:BI62" si="29">BH53-(BP53+BQ53+BR53)</f>
        <v>10</v>
      </c>
      <c r="BJ53" s="1067">
        <f>COUNTIFS('PLAN ACCION 2018'!$N$8:$N$504,BG53,'PLAN ACCION 2018'!$CF$8:$CF$504,$F$51)</f>
        <v>5</v>
      </c>
      <c r="BK53" s="1011">
        <f>COUNTIFS('PLAN ACCION 2018'!$N$8:$N$504,BG53,'PLAN ACCION 2018'!$CF$8:$CF$504,$G$51)</f>
        <v>1</v>
      </c>
      <c r="BL53" s="808">
        <f>COUNTIFS('PLAN ACCION 2018'!$N$8:$N$504,BG53,'PLAN ACCION 2018'!$CF$8:$CF$504,$H$51)</f>
        <v>1</v>
      </c>
      <c r="BM53" s="1014">
        <f>COUNTIFS('PLAN ACCION 2018'!$N$8:$N$504,BG53,'PLAN ACCION 2018'!$CF$8:$CF$504,$I$51)</f>
        <v>1</v>
      </c>
      <c r="BN53" s="774">
        <f>COUNTIFS('PLAN ACCION 2018'!$N$8:$N$504,BG53,'PLAN ACCION 2018'!$CF$8:$CF$504,$J$51)</f>
        <v>0</v>
      </c>
      <c r="BO53" s="809">
        <f>COUNTIFS('PLAN ACCION 2018'!$N$8:$N$504,BG53,'PLAN ACCION 2018'!$CF$8:$CF$504,$K$51)</f>
        <v>2</v>
      </c>
      <c r="BP53" s="1256">
        <f>COUNTIFS('PLAN ACCION 2018'!$N$8:$N$504,BG53,'PLAN ACCION 2018'!$CF$8:$CF$504,$L$51)</f>
        <v>0</v>
      </c>
      <c r="BQ53" s="1259">
        <f>COUNTIFS('PLAN ACCION 2018'!$N$8:$N$504,BG53,'PLAN ACCION 2018'!$CF$8:$CF$504,"NP")</f>
        <v>3</v>
      </c>
      <c r="BR53" s="1071">
        <f>COUNTIFS('PLAN ACCION 2018'!$N$8:$N$504,BG53,'PLAN ACCION 2018'!$CF$8:$CF$504,"E")</f>
        <v>0</v>
      </c>
      <c r="BS53" s="1197">
        <f>COUNTIFS('PLAN ACCION 2018'!$N$8:$N$504,BG53,'PLAN ACCION 2018'!$CF$8:$CF$504,"M")</f>
        <v>0</v>
      </c>
      <c r="BT53" s="787">
        <f t="shared" ref="BT53:BT63" si="30">+(((BJ53+BK53)*1)/(BJ53+BK53+BL53+BM53+BN53+BO53)+((BL53+BM53)*0.5)/(BJ53+BK53+BL53+BM53+BN53+BO53))*100</f>
        <v>70</v>
      </c>
    </row>
    <row r="54" spans="1:72" x14ac:dyDescent="0.3">
      <c r="A54" s="955"/>
      <c r="B54">
        <f t="shared" si="19"/>
        <v>-1</v>
      </c>
      <c r="C54" s="960" t="s">
        <v>2497</v>
      </c>
      <c r="D54" s="1345">
        <f>COUNTIFS('PLAN ACCION 2020'!$N$7:$N$1003,C54,'PLAN ACCION 2020'!$A$7:$A$1003,"*")</f>
        <v>18</v>
      </c>
      <c r="E54" s="782">
        <f t="shared" si="24"/>
        <v>10</v>
      </c>
      <c r="F54" s="1067">
        <f>COUNTIFS('PLAN ACCION 2020'!$N$8:$N$504,C54,'PLAN ACCION 2020'!$CG$8:$CG$504,$F$51)</f>
        <v>7</v>
      </c>
      <c r="G54" s="1011">
        <f>COUNTIFS('PLAN ACCION 2020'!$N$8:$N$504,C54,'PLAN ACCION 2020'!$CG$8:$CG$504,$G$51)</f>
        <v>1</v>
      </c>
      <c r="H54" s="808">
        <f>COUNTIFS('PLAN ACCION 2020'!$N$8:$N$504,C54,'PLAN ACCION 2020'!$CG$8:$CG$504,$H$51)</f>
        <v>0</v>
      </c>
      <c r="I54" s="1014">
        <f>COUNTIFS('PLAN ACCION 2020'!$N$8:$N$504,C54,'PLAN ACCION 2020'!$CG$8:$CG$504,$I$51)</f>
        <v>1</v>
      </c>
      <c r="J54" s="774">
        <f>COUNTIFS('PLAN ACCION 2020'!$N$8:$N$504,C54,'PLAN ACCION 2020'!$CG$8:$CG$504,$J$51)</f>
        <v>0</v>
      </c>
      <c r="K54" s="809">
        <f>COUNTIFS('PLAN ACCION 2020'!$N$8:$N$504,C54,'PLAN ACCION 2020'!$CG$8:$CG$504,$K$51)</f>
        <v>0</v>
      </c>
      <c r="L54" s="1256">
        <f>COUNTIFS('PLAN ACCION 2020'!$N$8:$N$504,C54,'PLAN ACCION 2020'!$CG$8:$CG$504,$L$51)</f>
        <v>0</v>
      </c>
      <c r="M54" s="1259">
        <f>COUNTIFS('PLAN ACCION 2020'!$N$8:$N$504,C54,'PLAN ACCION 2020'!$CG$8:$CG$504,"NP")</f>
        <v>8</v>
      </c>
      <c r="N54" s="1071">
        <f>COUNTIFS('PLAN ACCION 2020'!$N$8:$N$504,C54,'PLAN ACCION 2020'!$CG$8:$CG$504,"E")</f>
        <v>3</v>
      </c>
      <c r="O54" s="1197">
        <f>COUNTIFS('PLAN ACCION 2020'!$N$8:$N$504,C54,'PLAN ACCION 2020'!$CG$8:$CG$504,"M")</f>
        <v>0</v>
      </c>
      <c r="P54" s="787">
        <f t="shared" si="25"/>
        <v>65.686274509803923</v>
      </c>
      <c r="Q54" s="787">
        <f t="shared" si="20"/>
        <v>82.795698924731184</v>
      </c>
      <c r="R54" s="787">
        <f t="shared" si="26"/>
        <v>88.333333333333343</v>
      </c>
      <c r="S54" s="787">
        <f t="shared" si="27"/>
        <v>88.888888888888886</v>
      </c>
      <c r="T54" s="1252">
        <f t="shared" si="28"/>
        <v>81.426048914189337</v>
      </c>
      <c r="U54" s="229">
        <f t="shared" si="21"/>
        <v>4</v>
      </c>
      <c r="AA54" s="960" t="s">
        <v>2497</v>
      </c>
      <c r="AB54" s="961">
        <f>COUNTIFS('PLAN ACCION 2018'!$N$7:$N$1003,AA54,'PLAN ACCION 2018'!$A$7:$A$1003,"*")</f>
        <v>127</v>
      </c>
      <c r="AC54" s="961">
        <f>+AB54-AJ54</f>
        <v>107</v>
      </c>
      <c r="AD54" s="1067">
        <f>COUNTIFS('PLAN ACCION 2018'!$N$8:$N$504,AA54,'PLAN ACCION 2018'!$CD$8:$CD$504,"VE")</f>
        <v>67</v>
      </c>
      <c r="AE54" s="1011">
        <f>COUNTIFS('PLAN ACCION 2018'!$N$8:$N$504,AA54,'PLAN ACCION 2018'!$CD$8:$CD$504,"VEB")</f>
        <v>1</v>
      </c>
      <c r="AF54" s="808">
        <f>COUNTIFS('PLAN ACCION 2018'!$N$8:$N$504,AA54,'PLAN ACCION 2018'!$CD$8:$CD$504,"AM")</f>
        <v>0</v>
      </c>
      <c r="AG54" s="1014">
        <f>COUNTIFS('PLAN ACCION 2018'!$N$8:$N$504,AA54,'PLAN ACCION 2018'!$CD$8:$CD$504,"AMB")</f>
        <v>2</v>
      </c>
      <c r="AH54" s="774">
        <f>COUNTIFS('PLAN ACCION 2018'!$N$8:$N$504,AA54,'PLAN ACCION 2018'!$CD$8:$CD$504,"RO")</f>
        <v>1</v>
      </c>
      <c r="AI54" s="809">
        <f>COUNTIFS('PLAN ACCION 2018'!$N$8:$N$504,AA54,'PLAN ACCION 2018'!$CD$8:$CD$504,"ROB")</f>
        <v>31</v>
      </c>
      <c r="AJ54" s="1070">
        <f>COUNTIFS('PLAN ACCION 2018'!$N$8:$N$504,AA54,'PLAN ACCION 2018'!$CD$8:$CD$504,"AZ")</f>
        <v>20</v>
      </c>
      <c r="AK54" s="1070">
        <f>COUNTIFS('PLAN ACCION 2018'!$N$8:$N$504,AA54,'PLAN ACCION 2018'!$CD$8:$CD$504,"NP")</f>
        <v>2</v>
      </c>
      <c r="AL54" s="1071">
        <f>COUNTIFS('PLAN ACCION 2018'!$N$8:$N$504,AA54,'PLAN ACCION 2018'!$CD$8:$CD$504,"E")</f>
        <v>0</v>
      </c>
      <c r="AM54" s="1197">
        <f>COUNTIFS('PLAN ACCION 2018'!$N$8:$N$504,AA54,'PLAN ACCION 2018'!$CD$8:$CD$504,"M")</f>
        <v>0</v>
      </c>
      <c r="AN54" s="787">
        <f t="shared" si="22"/>
        <v>65.686274509803923</v>
      </c>
      <c r="AP54" s="960" t="s">
        <v>2497</v>
      </c>
      <c r="AQ54" s="961">
        <f>COUNTIFS('PLAN ACCION 2018'!$N$7:$N$1003,AP54,'PLAN ACCION 2018'!$A$7:$A$1003,"*")</f>
        <v>127</v>
      </c>
      <c r="AR54" s="961">
        <f>+AQ54-AY54</f>
        <v>97</v>
      </c>
      <c r="AS54" s="1067">
        <f>COUNTIFS('PLAN ACCION 2018'!$N$8:$N$504,AP54,'PLAN ACCION 2018'!$CE$8:$CE$504,"VE")</f>
        <v>76</v>
      </c>
      <c r="AT54" s="1011">
        <f>COUNTIFS('PLAN ACCION 2018'!$N$8:$N$504,AP54,'PLAN ACCION 2018'!$CE$8:$CE$504,"VEB")</f>
        <v>0</v>
      </c>
      <c r="AU54" s="808">
        <f>COUNTIFS('PLAN ACCION 2018'!$N$8:$N$504,AP54,'PLAN ACCION 2018'!$CE$8:$CE$504,"AM")</f>
        <v>2</v>
      </c>
      <c r="AV54" s="1014">
        <f>COUNTIFS('PLAN ACCION 2018'!$N$8:$N$504,AP54,'PLAN ACCION 2018'!$CE$8:$CE$504,"AMB")</f>
        <v>5</v>
      </c>
      <c r="AW54" s="774">
        <f>COUNTIFS('PLAN ACCION 2018'!$N$8:$N$504,AP54,'PLAN ACCION 2018'!$CE$8:$CE$504,"RO")</f>
        <v>1</v>
      </c>
      <c r="AX54" s="809">
        <f>COUNTIFS('PLAN ACCION 2018'!$N$8:$N$504,AP54,'PLAN ACCION 2018'!$CE$8:$CE$504,"ROB")</f>
        <v>9</v>
      </c>
      <c r="AY54" s="1070">
        <f>COUNTIFS('PLAN ACCION 2018'!$N$8:$N$504,AP54,'PLAN ACCION 2018'!$CE$8:$CE$504,"AZ")</f>
        <v>30</v>
      </c>
      <c r="AZ54" s="1070">
        <f>COUNTIFS('PLAN ACCION 2018'!$N$8:$N$504,AP54,'PLAN ACCION 2018'!$CE$8:$CE$504,"NP")</f>
        <v>1</v>
      </c>
      <c r="BA54" s="1071">
        <f>COUNTIFS('PLAN ACCION 2018'!$N$8:$N$504,AP54,'PLAN ACCION 2018'!$CE$8:$CE$504,"E")</f>
        <v>0</v>
      </c>
      <c r="BB54" s="1197">
        <f>COUNTIFS('PLAN ACCION 2018'!$N$8:$N$504,AP54,'PLAN ACCION 2018'!$CE$8:$CE$504,"M")</f>
        <v>0</v>
      </c>
      <c r="BC54" s="787">
        <f t="shared" si="23"/>
        <v>82.795698924731184</v>
      </c>
      <c r="BG54" s="960" t="s">
        <v>2497</v>
      </c>
      <c r="BH54" s="1345">
        <f>COUNTIFS('PLAN ACCION 2018'!$N$7:$N$1003,BG54,'PLAN ACCION 2018'!$A$7:$A$1003,"*")</f>
        <v>127</v>
      </c>
      <c r="BI54" s="782">
        <f t="shared" si="29"/>
        <v>94</v>
      </c>
      <c r="BJ54" s="1067">
        <f>COUNTIFS('PLAN ACCION 2018'!$N$8:$N$504,BG54,'PLAN ACCION 2018'!$CF$8:$CF$504,$F$51)</f>
        <v>76</v>
      </c>
      <c r="BK54" s="1011">
        <f>COUNTIFS('PLAN ACCION 2018'!$N$8:$N$504,BG54,'PLAN ACCION 2018'!$CF$8:$CF$504,$G$51)</f>
        <v>2</v>
      </c>
      <c r="BL54" s="808">
        <f>COUNTIFS('PLAN ACCION 2018'!$N$8:$N$504,BG54,'PLAN ACCION 2018'!$CF$8:$CF$504,$H$51)</f>
        <v>0</v>
      </c>
      <c r="BM54" s="1014">
        <f>COUNTIFS('PLAN ACCION 2018'!$N$8:$N$504,BG54,'PLAN ACCION 2018'!$CF$8:$CF$504,$I$51)</f>
        <v>3</v>
      </c>
      <c r="BN54" s="774">
        <f>COUNTIFS('PLAN ACCION 2018'!$N$8:$N$504,BG54,'PLAN ACCION 2018'!$CF$8:$CF$504,$J$51)</f>
        <v>3</v>
      </c>
      <c r="BO54" s="809">
        <f>COUNTIFS('PLAN ACCION 2018'!$N$8:$N$504,BG54,'PLAN ACCION 2018'!$CF$8:$CF$504,$K$51)</f>
        <v>6</v>
      </c>
      <c r="BP54" s="1256">
        <f>COUNTIFS('PLAN ACCION 2018'!$N$8:$N$504,BG54,'PLAN ACCION 2018'!$CF$8:$CF$504,$L$51)</f>
        <v>2</v>
      </c>
      <c r="BQ54" s="1259">
        <f>COUNTIFS('PLAN ACCION 2018'!$N$8:$N$504,BG54,'PLAN ACCION 2018'!$CF$8:$CF$504,"NP")</f>
        <v>31</v>
      </c>
      <c r="BR54" s="1071">
        <f>COUNTIFS('PLAN ACCION 2018'!$N$8:$N$504,BG54,'PLAN ACCION 2018'!$CF$8:$CF$504,"E")</f>
        <v>0</v>
      </c>
      <c r="BS54" s="1197">
        <f>COUNTIFS('PLAN ACCION 2018'!$N$8:$N$504,BG54,'PLAN ACCION 2018'!$CF$8:$CF$504,"M")</f>
        <v>0</v>
      </c>
      <c r="BT54" s="787">
        <f t="shared" si="30"/>
        <v>88.333333333333343</v>
      </c>
    </row>
    <row r="55" spans="1:72" x14ac:dyDescent="0.3">
      <c r="A55" s="955"/>
      <c r="B55">
        <f t="shared" si="19"/>
        <v>0</v>
      </c>
      <c r="C55" s="960" t="s">
        <v>1008</v>
      </c>
      <c r="D55" s="1345">
        <f>COUNTIFS('PLAN ACCION 2020'!$N$7:$N$1003,C55,'PLAN ACCION 2020'!$A$7:$A$1003,"*")</f>
        <v>0</v>
      </c>
      <c r="E55" s="782">
        <f t="shared" si="24"/>
        <v>0</v>
      </c>
      <c r="F55" s="1067">
        <f>COUNTIFS('PLAN ACCION 2020'!$N$8:$N$504,C55,'PLAN ACCION 2020'!$CG$8:$CG$504,$F$51)</f>
        <v>0</v>
      </c>
      <c r="G55" s="1011">
        <f>COUNTIFS('PLAN ACCION 2020'!$N$8:$N$504,C55,'PLAN ACCION 2020'!$CG$8:$CG$504,$G$51)</f>
        <v>0</v>
      </c>
      <c r="H55" s="808">
        <f>COUNTIFS('PLAN ACCION 2020'!$N$8:$N$504,C55,'PLAN ACCION 2020'!$CG$8:$CG$504,$H$51)</f>
        <v>0</v>
      </c>
      <c r="I55" s="1014">
        <f>COUNTIFS('PLAN ACCION 2020'!$N$8:$N$504,C55,'PLAN ACCION 2020'!$CG$8:$CG$504,$I$51)</f>
        <v>0</v>
      </c>
      <c r="J55" s="774">
        <f>COUNTIFS('PLAN ACCION 2020'!$N$8:$N$504,C55,'PLAN ACCION 2020'!$CG$8:$CG$504,$J$51)</f>
        <v>0</v>
      </c>
      <c r="K55" s="809">
        <f>COUNTIFS('PLAN ACCION 2020'!$N$8:$N$504,C55,'PLAN ACCION 2020'!$CG$8:$CG$504,$K$51)</f>
        <v>0</v>
      </c>
      <c r="L55" s="1256">
        <f>COUNTIFS('PLAN ACCION 2020'!$N$8:$N$504,C55,'PLAN ACCION 2020'!$CG$8:$CG$504,$L$51)</f>
        <v>0</v>
      </c>
      <c r="M55" s="1259">
        <f>COUNTIFS('PLAN ACCION 2020'!$N$8:$N$504,C55,'PLAN ACCION 2020'!$CG$8:$CG$504,"NP")</f>
        <v>0</v>
      </c>
      <c r="N55" s="1071">
        <f>COUNTIFS('PLAN ACCION 2020'!$N$8:$N$504,C55,'PLAN ACCION 2020'!$CG$8:$CG$504,"E")</f>
        <v>0</v>
      </c>
      <c r="O55" s="1197">
        <f>COUNTIFS('PLAN ACCION 2020'!$N$8:$N$504,C55,'PLAN ACCION 2020'!$CG$8:$CG$504,"M")</f>
        <v>0</v>
      </c>
      <c r="P55" s="787">
        <f t="shared" si="25"/>
        <v>63.636363636363633</v>
      </c>
      <c r="Q55" s="787">
        <f t="shared" si="20"/>
        <v>77.272727272727266</v>
      </c>
      <c r="R55" s="787">
        <f t="shared" si="26"/>
        <v>60</v>
      </c>
      <c r="S55" s="787" t="e">
        <f t="shared" si="27"/>
        <v>#DIV/0!</v>
      </c>
      <c r="T55" s="1252" t="e">
        <f t="shared" si="28"/>
        <v>#DIV/0!</v>
      </c>
      <c r="U55" s="229">
        <f t="shared" si="21"/>
        <v>3</v>
      </c>
      <c r="AA55" s="960" t="s">
        <v>1008</v>
      </c>
      <c r="AB55" s="961">
        <f>COUNTIFS('PLAN ACCION 2018'!$N$7:$N$1003,AA55,'PLAN ACCION 2018'!$A$7:$A$1003,"*")</f>
        <v>11</v>
      </c>
      <c r="AC55" s="961">
        <f>+AB55-AJ55</f>
        <v>11</v>
      </c>
      <c r="AD55" s="1067">
        <f>COUNTIFS('PLAN ACCION 2018'!$N$8:$N$504,AA55,'PLAN ACCION 2018'!$CD$8:$CD$504,"VE")</f>
        <v>7</v>
      </c>
      <c r="AE55" s="1011">
        <f>COUNTIFS('PLAN ACCION 2018'!$N$8:$N$504,AA55,'PLAN ACCION 2018'!$CD$8:$CD$504,"VEB")</f>
        <v>0</v>
      </c>
      <c r="AF55" s="808">
        <f>COUNTIFS('PLAN ACCION 2018'!$N$8:$N$504,AA55,'PLAN ACCION 2018'!$CD$8:$CD$504,"AM")</f>
        <v>0</v>
      </c>
      <c r="AG55" s="1014">
        <f>COUNTIFS('PLAN ACCION 2018'!$N$8:$N$504,AA55,'PLAN ACCION 2018'!$CD$8:$CD$504,"AMB")</f>
        <v>0</v>
      </c>
      <c r="AH55" s="774">
        <f>COUNTIFS('PLAN ACCION 2018'!$N$8:$N$504,AA55,'PLAN ACCION 2018'!$CD$8:$CD$504,"RO")</f>
        <v>0</v>
      </c>
      <c r="AI55" s="809">
        <f>COUNTIFS('PLAN ACCION 2018'!$N$8:$N$504,AA55,'PLAN ACCION 2018'!$CD$8:$CD$504,"ROB")</f>
        <v>4</v>
      </c>
      <c r="AJ55" s="1070">
        <f>COUNTIFS('PLAN ACCION 2018'!$N$8:$N$504,AA55,'PLAN ACCION 2018'!$CD$8:$CD$504,"AZ")</f>
        <v>0</v>
      </c>
      <c r="AK55" s="1070">
        <f>COUNTIFS('PLAN ACCION 2018'!$N$8:$N$504,AA55,'PLAN ACCION 2018'!$CD$8:$CD$504,"NP")</f>
        <v>0</v>
      </c>
      <c r="AL55" s="1071">
        <f>COUNTIFS('PLAN ACCION 2018'!$N$8:$N$504,AA55,'PLAN ACCION 2018'!$CD$8:$CD$504,"E")</f>
        <v>0</v>
      </c>
      <c r="AM55" s="1197">
        <f>COUNTIFS('PLAN ACCION 2018'!$N$8:$N$504,AA55,'PLAN ACCION 2018'!$CD$8:$CD$504,"M")</f>
        <v>0</v>
      </c>
      <c r="AN55" s="787">
        <f t="shared" si="22"/>
        <v>63.636363636363633</v>
      </c>
      <c r="AP55" s="960" t="s">
        <v>1008</v>
      </c>
      <c r="AQ55" s="961">
        <f>COUNTIFS('PLAN ACCION 2018'!$N$7:$N$1003,AP55,'PLAN ACCION 2018'!$A$7:$A$1003,"*")</f>
        <v>11</v>
      </c>
      <c r="AR55" s="961">
        <f>+AQ55-AY55</f>
        <v>11</v>
      </c>
      <c r="AS55" s="1067">
        <f>COUNTIFS('PLAN ACCION 2018'!$N$8:$N$504,AP55,'PLAN ACCION 2018'!$CE$8:$CE$504,"VE")</f>
        <v>8</v>
      </c>
      <c r="AT55" s="1011">
        <f>COUNTIFS('PLAN ACCION 2018'!$N$8:$N$504,AP55,'PLAN ACCION 2018'!$CE$8:$CE$504,"VEB")</f>
        <v>0</v>
      </c>
      <c r="AU55" s="808">
        <f>COUNTIFS('PLAN ACCION 2018'!$N$8:$N$504,AP55,'PLAN ACCION 2018'!$CE$8:$CE$504,"AM")</f>
        <v>1</v>
      </c>
      <c r="AV55" s="1014">
        <f>COUNTIFS('PLAN ACCION 2018'!$N$8:$N$504,AP55,'PLAN ACCION 2018'!$CE$8:$CE$504,"AMB")</f>
        <v>1</v>
      </c>
      <c r="AW55" s="774">
        <f>COUNTIFS('PLAN ACCION 2018'!$N$8:$N$504,AP55,'PLAN ACCION 2018'!$CE$8:$CE$504,"RO")</f>
        <v>1</v>
      </c>
      <c r="AX55" s="809">
        <f>COUNTIFS('PLAN ACCION 2018'!$N$8:$N$504,AP55,'PLAN ACCION 2018'!$CE$8:$CE$504,"ROB")</f>
        <v>0</v>
      </c>
      <c r="AY55" s="1070">
        <f>COUNTIFS('PLAN ACCION 2018'!$N$8:$N$504,AP55,'PLAN ACCION 2018'!$CE$8:$CE$504,"AZ")</f>
        <v>0</v>
      </c>
      <c r="AZ55" s="1070">
        <f>COUNTIFS('PLAN ACCION 2018'!$N$8:$N$504,AP55,'PLAN ACCION 2018'!$CE$8:$CE$504,"NP")</f>
        <v>0</v>
      </c>
      <c r="BA55" s="1071">
        <f>COUNTIFS('PLAN ACCION 2018'!$N$8:$N$504,AP55,'PLAN ACCION 2018'!$CE$8:$CE$504,"E")</f>
        <v>0</v>
      </c>
      <c r="BB55" s="1197">
        <f>COUNTIFS('PLAN ACCION 2018'!$N$8:$N$504,AP55,'PLAN ACCION 2018'!$CE$8:$CE$504,"M")</f>
        <v>0</v>
      </c>
      <c r="BC55" s="787">
        <f t="shared" si="23"/>
        <v>77.272727272727266</v>
      </c>
      <c r="BG55" s="960" t="s">
        <v>1008</v>
      </c>
      <c r="BH55" s="1345">
        <f>COUNTIFS('PLAN ACCION 2018'!$N$7:$N$1003,BG55,'PLAN ACCION 2018'!$A$7:$A$1003,"*")</f>
        <v>11</v>
      </c>
      <c r="BI55" s="782">
        <f t="shared" si="29"/>
        <v>10</v>
      </c>
      <c r="BJ55" s="1067">
        <f>COUNTIFS('PLAN ACCION 2018'!$N$8:$N$504,BG55,'PLAN ACCION 2018'!$CF$8:$CF$504,$F$51)</f>
        <v>5</v>
      </c>
      <c r="BK55" s="1011">
        <f>COUNTIFS('PLAN ACCION 2018'!$N$8:$N$504,BG55,'PLAN ACCION 2018'!$CF$8:$CF$504,$G$51)</f>
        <v>1</v>
      </c>
      <c r="BL55" s="808">
        <f>COUNTIFS('PLAN ACCION 2018'!$N$8:$N$504,BG55,'PLAN ACCION 2018'!$CF$8:$CF$504,$H$51)</f>
        <v>0</v>
      </c>
      <c r="BM55" s="1014">
        <f>COUNTIFS('PLAN ACCION 2018'!$N$8:$N$504,BG55,'PLAN ACCION 2018'!$CF$8:$CF$504,$I$51)</f>
        <v>0</v>
      </c>
      <c r="BN55" s="774">
        <f>COUNTIFS('PLAN ACCION 2018'!$N$8:$N$504,BG55,'PLAN ACCION 2018'!$CF$8:$CF$504,$J$51)</f>
        <v>2</v>
      </c>
      <c r="BO55" s="809">
        <f>COUNTIFS('PLAN ACCION 2018'!$N$8:$N$504,BG55,'PLAN ACCION 2018'!$CF$8:$CF$504,$K$51)</f>
        <v>2</v>
      </c>
      <c r="BP55" s="1256">
        <f>COUNTIFS('PLAN ACCION 2018'!$N$8:$N$504,BG55,'PLAN ACCION 2018'!$CF$8:$CF$504,$L$51)</f>
        <v>0</v>
      </c>
      <c r="BQ55" s="1259">
        <f>COUNTIFS('PLAN ACCION 2018'!$N$8:$N$504,BG55,'PLAN ACCION 2018'!$CF$8:$CF$504,"NP")</f>
        <v>1</v>
      </c>
      <c r="BR55" s="1071">
        <f>COUNTIFS('PLAN ACCION 2018'!$N$8:$N$504,BG55,'PLAN ACCION 2018'!$CF$8:$CF$504,"E")</f>
        <v>0</v>
      </c>
      <c r="BS55" s="1197">
        <f>COUNTIFS('PLAN ACCION 2018'!$N$8:$N$504,BG55,'PLAN ACCION 2018'!$CF$8:$CF$504,"M")</f>
        <v>0</v>
      </c>
      <c r="BT55" s="787">
        <f t="shared" si="30"/>
        <v>60</v>
      </c>
    </row>
    <row r="56" spans="1:72" x14ac:dyDescent="0.3">
      <c r="A56" s="955"/>
      <c r="B56">
        <f t="shared" si="19"/>
        <v>0</v>
      </c>
      <c r="C56" s="960" t="s">
        <v>393</v>
      </c>
      <c r="D56" s="1345">
        <f>COUNTIFS('PLAN ACCION 2020'!$N$7:$N$1003,C56,'PLAN ACCION 2020'!$A$7:$A$1003,"*")</f>
        <v>0</v>
      </c>
      <c r="E56" s="782">
        <f t="shared" si="24"/>
        <v>0</v>
      </c>
      <c r="F56" s="1067">
        <f>COUNTIFS('PLAN ACCION 2020'!$N$8:$N$504,C56,'PLAN ACCION 2020'!$CG$8:$CG$504,$F$51)</f>
        <v>0</v>
      </c>
      <c r="G56" s="1011">
        <f>COUNTIFS('PLAN ACCION 2020'!$N$8:$N$504,C56,'PLAN ACCION 2020'!$CG$8:$CG$504,$G$51)</f>
        <v>0</v>
      </c>
      <c r="H56" s="808">
        <f>COUNTIFS('PLAN ACCION 2020'!$N$8:$N$504,C56,'PLAN ACCION 2020'!$CG$8:$CG$504,$H$51)</f>
        <v>0</v>
      </c>
      <c r="I56" s="1014">
        <f>COUNTIFS('PLAN ACCION 2020'!$N$8:$N$504,C56,'PLAN ACCION 2020'!$CG$8:$CG$504,$I$51)</f>
        <v>0</v>
      </c>
      <c r="J56" s="774">
        <f>COUNTIFS('PLAN ACCION 2020'!$N$8:$N$504,C56,'PLAN ACCION 2020'!$CG$8:$CG$504,$J$51)</f>
        <v>0</v>
      </c>
      <c r="K56" s="809">
        <f>COUNTIFS('PLAN ACCION 2020'!$N$8:$N$504,C56,'PLAN ACCION 2020'!$CG$8:$CG$504,$K$51)</f>
        <v>0</v>
      </c>
      <c r="L56" s="1256">
        <f>COUNTIFS('PLAN ACCION 2020'!$N$8:$N$504,C56,'PLAN ACCION 2020'!$CG$8:$CG$504,$L$51)</f>
        <v>0</v>
      </c>
      <c r="M56" s="1259">
        <f>COUNTIFS('PLAN ACCION 2020'!$N$8:$N$504,C56,'PLAN ACCION 2020'!$CG$8:$CG$504,"NP")</f>
        <v>0</v>
      </c>
      <c r="N56" s="1071">
        <f>COUNTIFS('PLAN ACCION 2020'!$N$8:$N$504,C56,'PLAN ACCION 2020'!$CG$8:$CG$504,"E")</f>
        <v>0</v>
      </c>
      <c r="O56" s="1197">
        <f>COUNTIFS('PLAN ACCION 2020'!$N$8:$N$504,C56,'PLAN ACCION 2020'!$CG$8:$CG$504,"M")</f>
        <v>0</v>
      </c>
      <c r="P56" s="787">
        <f t="shared" si="25"/>
        <v>95</v>
      </c>
      <c r="Q56" s="787">
        <f t="shared" si="20"/>
        <v>94.444444444444443</v>
      </c>
      <c r="R56" s="787">
        <f t="shared" si="26"/>
        <v>89.473684210526315</v>
      </c>
      <c r="S56" s="787" t="e">
        <f t="shared" si="27"/>
        <v>#DIV/0!</v>
      </c>
      <c r="T56" s="1252" t="e">
        <f t="shared" si="28"/>
        <v>#DIV/0!</v>
      </c>
      <c r="U56" s="229">
        <f t="shared" si="21"/>
        <v>3</v>
      </c>
      <c r="AA56" s="960" t="s">
        <v>393</v>
      </c>
      <c r="AB56" s="961">
        <f>COUNTIFS('PLAN ACCION 2018'!$N$7:$N$1003,AA56,'PLAN ACCION 2018'!$A$7:$A$1003,"*")</f>
        <v>26</v>
      </c>
      <c r="AC56" s="961">
        <f>+AB56-AJ56</f>
        <v>24</v>
      </c>
      <c r="AD56" s="1067">
        <f>COUNTIFS('PLAN ACCION 2018'!$N$8:$N$504,AA56,'PLAN ACCION 2018'!$CD$8:$CD$504,"VE")</f>
        <v>19</v>
      </c>
      <c r="AE56" s="1011">
        <f>COUNTIFS('PLAN ACCION 2018'!$N$8:$N$504,AA56,'PLAN ACCION 2018'!$CD$8:$CD$504,"VEB")</f>
        <v>0</v>
      </c>
      <c r="AF56" s="808">
        <f>COUNTIFS('PLAN ACCION 2018'!$N$8:$N$504,AA56,'PLAN ACCION 2018'!$CD$8:$CD$504,"AM")</f>
        <v>0</v>
      </c>
      <c r="AG56" s="1014">
        <f>COUNTIFS('PLAN ACCION 2018'!$N$8:$N$504,AA56,'PLAN ACCION 2018'!$CD$8:$CD$504,"AMB")</f>
        <v>0</v>
      </c>
      <c r="AH56" s="774">
        <f>COUNTIFS('PLAN ACCION 2018'!$N$8:$N$504,AA56,'PLAN ACCION 2018'!$CD$8:$CD$504,"RO")</f>
        <v>0</v>
      </c>
      <c r="AI56" s="809">
        <f>COUNTIFS('PLAN ACCION 2018'!$N$8:$N$504,AA56,'PLAN ACCION 2018'!$CD$8:$CD$504,"ROB")</f>
        <v>1</v>
      </c>
      <c r="AJ56" s="1070">
        <f>COUNTIFS('PLAN ACCION 2018'!$N$8:$N$504,AA56,'PLAN ACCION 2018'!$CD$8:$CD$504,"AZ")</f>
        <v>2</v>
      </c>
      <c r="AK56" s="1070">
        <f>COUNTIFS('PLAN ACCION 2018'!$N$8:$N$504,AA56,'PLAN ACCION 2018'!$CD$8:$CD$504,"NP")</f>
        <v>4</v>
      </c>
      <c r="AL56" s="1071">
        <f>COUNTIFS('PLAN ACCION 2018'!$N$8:$N$504,AA56,'PLAN ACCION 2018'!$CD$8:$CD$504,"E")</f>
        <v>0</v>
      </c>
      <c r="AM56" s="1197">
        <f>COUNTIFS('PLAN ACCION 2018'!$N$8:$N$504,AA56,'PLAN ACCION 2018'!$CD$8:$CD$504,"M")</f>
        <v>0</v>
      </c>
      <c r="AN56" s="787">
        <f t="shared" si="22"/>
        <v>95</v>
      </c>
      <c r="AP56" s="960" t="s">
        <v>393</v>
      </c>
      <c r="AQ56" s="961">
        <f>COUNTIFS('PLAN ACCION 2018'!$N$7:$N$1003,AP56,'PLAN ACCION 2018'!$A$7:$A$1003,"*")</f>
        <v>26</v>
      </c>
      <c r="AR56" s="961">
        <f>+AQ56-AY56</f>
        <v>24</v>
      </c>
      <c r="AS56" s="1067">
        <f>COUNTIFS('PLAN ACCION 2018'!$N$8:$N$504,AP56,'PLAN ACCION 2018'!$CE$8:$CE$504,"VE")</f>
        <v>17</v>
      </c>
      <c r="AT56" s="1011">
        <f>COUNTIFS('PLAN ACCION 2018'!$N$8:$N$504,AP56,'PLAN ACCION 2018'!$CE$8:$CE$504,"VEB")</f>
        <v>0</v>
      </c>
      <c r="AU56" s="808">
        <f>COUNTIFS('PLAN ACCION 2018'!$N$8:$N$504,AP56,'PLAN ACCION 2018'!$CE$8:$CE$504,"AM")</f>
        <v>0</v>
      </c>
      <c r="AV56" s="1014">
        <f>COUNTIFS('PLAN ACCION 2018'!$N$8:$N$504,AP56,'PLAN ACCION 2018'!$CE$8:$CE$504,"AMB")</f>
        <v>0</v>
      </c>
      <c r="AW56" s="774">
        <f>COUNTIFS('PLAN ACCION 2018'!$N$8:$N$504,AP56,'PLAN ACCION 2018'!$CE$8:$CE$504,"RO")</f>
        <v>0</v>
      </c>
      <c r="AX56" s="809">
        <f>COUNTIFS('PLAN ACCION 2018'!$N$8:$N$504,AP56,'PLAN ACCION 2018'!$CE$8:$CE$504,"ROB")</f>
        <v>1</v>
      </c>
      <c r="AY56" s="1070">
        <f>COUNTIFS('PLAN ACCION 2018'!$N$8:$N$504,AP56,'PLAN ACCION 2018'!$CE$8:$CE$504,"AZ")</f>
        <v>2</v>
      </c>
      <c r="AZ56" s="1070">
        <f>COUNTIFS('PLAN ACCION 2018'!$N$8:$N$504,AP56,'PLAN ACCION 2018'!$CE$8:$CE$504,"NP")</f>
        <v>6</v>
      </c>
      <c r="BA56" s="1071">
        <f>COUNTIFS('PLAN ACCION 2018'!$N$8:$N$504,AP56,'PLAN ACCION 2018'!$CE$8:$CE$504,"E")</f>
        <v>0</v>
      </c>
      <c r="BB56" s="1197">
        <f>COUNTIFS('PLAN ACCION 2018'!$N$8:$N$504,AP56,'PLAN ACCION 2018'!$CE$8:$CE$504,"M")</f>
        <v>0</v>
      </c>
      <c r="BC56" s="787">
        <f t="shared" si="23"/>
        <v>94.444444444444443</v>
      </c>
      <c r="BG56" s="960" t="s">
        <v>393</v>
      </c>
      <c r="BH56" s="1345">
        <f>COUNTIFS('PLAN ACCION 2018'!$N$7:$N$1003,BG56,'PLAN ACCION 2018'!$A$7:$A$1003,"*")</f>
        <v>26</v>
      </c>
      <c r="BI56" s="782">
        <f t="shared" si="29"/>
        <v>19</v>
      </c>
      <c r="BJ56" s="1067">
        <f>COUNTIFS('PLAN ACCION 2018'!$N$8:$N$504,BG56,'PLAN ACCION 2018'!$CF$8:$CF$504,$F$51)</f>
        <v>17</v>
      </c>
      <c r="BK56" s="1011">
        <f>COUNTIFS('PLAN ACCION 2018'!$N$8:$N$504,BG56,'PLAN ACCION 2018'!$CF$8:$CF$504,$G$51)</f>
        <v>0</v>
      </c>
      <c r="BL56" s="808">
        <f>COUNTIFS('PLAN ACCION 2018'!$N$8:$N$504,BG56,'PLAN ACCION 2018'!$CF$8:$CF$504,$H$51)</f>
        <v>0</v>
      </c>
      <c r="BM56" s="1014">
        <f>COUNTIFS('PLAN ACCION 2018'!$N$8:$N$504,BG56,'PLAN ACCION 2018'!$CF$8:$CF$504,$I$51)</f>
        <v>0</v>
      </c>
      <c r="BN56" s="774">
        <f>COUNTIFS('PLAN ACCION 2018'!$N$8:$N$504,BG56,'PLAN ACCION 2018'!$CF$8:$CF$504,$J$51)</f>
        <v>1</v>
      </c>
      <c r="BO56" s="809">
        <f>COUNTIFS('PLAN ACCION 2018'!$N$8:$N$504,BG56,'PLAN ACCION 2018'!$CF$8:$CF$504,$K$51)</f>
        <v>1</v>
      </c>
      <c r="BP56" s="1256">
        <f>COUNTIFS('PLAN ACCION 2018'!$N$8:$N$504,BG56,'PLAN ACCION 2018'!$CF$8:$CF$504,$L$51)</f>
        <v>0</v>
      </c>
      <c r="BQ56" s="1259">
        <f>COUNTIFS('PLAN ACCION 2018'!$N$8:$N$504,BG56,'PLAN ACCION 2018'!$CF$8:$CF$504,"NP")</f>
        <v>7</v>
      </c>
      <c r="BR56" s="1071">
        <f>COUNTIFS('PLAN ACCION 2018'!$N$8:$N$504,BG56,'PLAN ACCION 2018'!$CF$8:$CF$504,"E")</f>
        <v>0</v>
      </c>
      <c r="BS56" s="1197">
        <f>COUNTIFS('PLAN ACCION 2018'!$N$8:$N$504,BG56,'PLAN ACCION 2018'!$CF$8:$CF$504,"M")</f>
        <v>0</v>
      </c>
      <c r="BT56" s="787">
        <f t="shared" si="30"/>
        <v>89.473684210526315</v>
      </c>
    </row>
    <row r="57" spans="1:72" x14ac:dyDescent="0.3">
      <c r="A57" s="955"/>
      <c r="B57">
        <f t="shared" si="19"/>
        <v>0</v>
      </c>
      <c r="C57" s="960" t="s">
        <v>2484</v>
      </c>
      <c r="D57" s="1345">
        <f>COUNTIFS('PLAN ACCION 2020'!$N$7:$N$1003,C57,'PLAN ACCION 2020'!$A$7:$A$1003,"*")</f>
        <v>4</v>
      </c>
      <c r="E57" s="782">
        <f t="shared" si="24"/>
        <v>1</v>
      </c>
      <c r="F57" s="1067">
        <f>COUNTIFS('PLAN ACCION 2020'!$N$8:$N$504,C57,'PLAN ACCION 2020'!$CG$8:$CG$504,$F$51)</f>
        <v>1</v>
      </c>
      <c r="G57" s="1011">
        <f>COUNTIFS('PLAN ACCION 2020'!$N$8:$N$504,C57,'PLAN ACCION 2020'!$CG$8:$CG$504,$G$51)</f>
        <v>0</v>
      </c>
      <c r="H57" s="808">
        <f>COUNTIFS('PLAN ACCION 2020'!$N$8:$N$504,C57,'PLAN ACCION 2020'!$CG$8:$CG$504,$H$51)</f>
        <v>0</v>
      </c>
      <c r="I57" s="1014">
        <f>COUNTIFS('PLAN ACCION 2020'!$N$8:$N$504,C57,'PLAN ACCION 2020'!$CG$8:$CG$504,$I$51)</f>
        <v>0</v>
      </c>
      <c r="J57" s="774">
        <f>COUNTIFS('PLAN ACCION 2020'!$N$8:$N$504,C57,'PLAN ACCION 2020'!$CG$8:$CG$504,$J$51)</f>
        <v>0</v>
      </c>
      <c r="K57" s="809">
        <f>COUNTIFS('PLAN ACCION 2020'!$N$8:$N$504,C57,'PLAN ACCION 2020'!$CG$8:$CG$504,$K$51)</f>
        <v>0</v>
      </c>
      <c r="L57" s="1256">
        <f>COUNTIFS('PLAN ACCION 2020'!$N$8:$N$504,C57,'PLAN ACCION 2020'!$CG$8:$CG$504,$L$51)</f>
        <v>0</v>
      </c>
      <c r="M57" s="1259">
        <f>COUNTIFS('PLAN ACCION 2020'!$N$8:$N$504,C57,'PLAN ACCION 2020'!$CG$8:$CG$504,"NP")</f>
        <v>3</v>
      </c>
      <c r="N57" s="1071">
        <f>COUNTIFS('PLAN ACCION 2020'!$N$8:$N$504,C57,'PLAN ACCION 2020'!$CG$8:$CG$504,"E")</f>
        <v>0</v>
      </c>
      <c r="O57" s="1197">
        <f>COUNTIFS('PLAN ACCION 2020'!$N$8:$N$504,C57,'PLAN ACCION 2020'!$CG$8:$CG$504,"M")</f>
        <v>0</v>
      </c>
      <c r="P57" s="787">
        <f t="shared" si="25"/>
        <v>53.333333333333336</v>
      </c>
      <c r="Q57" s="787">
        <f t="shared" si="20"/>
        <v>75</v>
      </c>
      <c r="R57" s="787">
        <f t="shared" si="26"/>
        <v>82.142857142857139</v>
      </c>
      <c r="S57" s="787">
        <f t="shared" si="27"/>
        <v>100</v>
      </c>
      <c r="T57" s="1252">
        <f t="shared" si="28"/>
        <v>77.61904761904762</v>
      </c>
      <c r="U57" s="229">
        <f t="shared" si="21"/>
        <v>4</v>
      </c>
      <c r="AA57" s="960" t="s">
        <v>2484</v>
      </c>
      <c r="AB57" s="961">
        <f>COUNTIFS('PLAN ACCION 2018'!$N$7:$N$1003,AA57,'PLAN ACCION 2018'!$A$7:$A$1003,"*")</f>
        <v>42</v>
      </c>
      <c r="AC57" s="961">
        <f>+AB57-AJ57-AK57</f>
        <v>30</v>
      </c>
      <c r="AD57" s="1067">
        <f>COUNTIFS('PLAN ACCION 2018'!$N$8:$N$504,AA57,'PLAN ACCION 2018'!$CD$8:$CD$504,"VE")</f>
        <v>16</v>
      </c>
      <c r="AE57" s="1011">
        <f>COUNTIFS('PLAN ACCION 2018'!$N$8:$N$504,AA57,'PLAN ACCION 2018'!$CD$8:$CD$504,"VEB")</f>
        <v>0</v>
      </c>
      <c r="AF57" s="808">
        <f>COUNTIFS('PLAN ACCION 2018'!$N$8:$N$504,AA57,'PLAN ACCION 2018'!$CD$8:$CD$504,"AM")</f>
        <v>0</v>
      </c>
      <c r="AG57" s="1014">
        <f>COUNTIFS('PLAN ACCION 2018'!$N$8:$N$504,AA57,'PLAN ACCION 2018'!$CD$8:$CD$504,"AMB")</f>
        <v>2</v>
      </c>
      <c r="AH57" s="774">
        <f>COUNTIFS('PLAN ACCION 2018'!$N$8:$N$504,AA57,'PLAN ACCION 2018'!$CD$8:$CD$504,"RO")</f>
        <v>1</v>
      </c>
      <c r="AI57" s="809">
        <f>COUNTIFS('PLAN ACCION 2018'!$N$8:$N$504,AA57,'PLAN ACCION 2018'!$CD$8:$CD$504,"ROB")</f>
        <v>11</v>
      </c>
      <c r="AJ57" s="1070">
        <f>COUNTIFS('PLAN ACCION 2018'!$N$8:$N$504,AA57,'PLAN ACCION 2018'!$CD$8:$CD$504,"AZ")</f>
        <v>2</v>
      </c>
      <c r="AK57" s="1070">
        <f>COUNTIFS('PLAN ACCION 2018'!$N$8:$N$504,AA57,'PLAN ACCION 2018'!$CD$8:$CD$504,"NP")</f>
        <v>10</v>
      </c>
      <c r="AL57" s="1071">
        <f>COUNTIFS('PLAN ACCION 2018'!$N$8:$N$504,AA57,'PLAN ACCION 2018'!$CD$8:$CD$504,"E")</f>
        <v>0</v>
      </c>
      <c r="AM57" s="1197">
        <f>COUNTIFS('PLAN ACCION 2018'!$N$8:$N$504,AA57,'PLAN ACCION 2018'!$CD$8:$CD$504,"M")</f>
        <v>0</v>
      </c>
      <c r="AN57" s="787">
        <f t="shared" si="22"/>
        <v>53.333333333333336</v>
      </c>
      <c r="AP57" s="960" t="s">
        <v>2484</v>
      </c>
      <c r="AQ57" s="961">
        <f>COUNTIFS('PLAN ACCION 2018'!$N$7:$N$1003,AP57,'PLAN ACCION 2018'!$A$7:$A$1003,"*")</f>
        <v>42</v>
      </c>
      <c r="AR57" s="961">
        <f>+AQ57-AY57-AZ57</f>
        <v>34</v>
      </c>
      <c r="AS57" s="1067">
        <f>COUNTIFS('PLAN ACCION 2018'!$N$8:$N$504,AP57,'PLAN ACCION 2018'!$CE$8:$CE$504,"VE")</f>
        <v>25</v>
      </c>
      <c r="AT57" s="1011">
        <f>COUNTIFS('PLAN ACCION 2018'!$N$8:$N$504,AP57,'PLAN ACCION 2018'!$CE$8:$CE$504,"VEB")</f>
        <v>3</v>
      </c>
      <c r="AU57" s="808">
        <f>COUNTIFS('PLAN ACCION 2018'!$N$8:$N$504,AP57,'PLAN ACCION 2018'!$CE$8:$CE$504,"AM")</f>
        <v>1</v>
      </c>
      <c r="AV57" s="1014">
        <f>COUNTIFS('PLAN ACCION 2018'!$N$8:$N$504,AP57,'PLAN ACCION 2018'!$CE$8:$CE$504,"AMB")</f>
        <v>0</v>
      </c>
      <c r="AW57" s="774">
        <f>COUNTIFS('PLAN ACCION 2018'!$N$8:$N$504,AP57,'PLAN ACCION 2018'!$CE$8:$CE$504,"RO")</f>
        <v>1</v>
      </c>
      <c r="AX57" s="809">
        <f>COUNTIFS('PLAN ACCION 2018'!$N$8:$N$504,AP57,'PLAN ACCION 2018'!$CE$8:$CE$504,"ROB")</f>
        <v>4</v>
      </c>
      <c r="AY57" s="1070">
        <f>COUNTIFS('PLAN ACCION 2018'!$N$8:$N$504,AP57,'PLAN ACCION 2018'!$CE$8:$CE$504,"AZ")</f>
        <v>0</v>
      </c>
      <c r="AZ57" s="1070">
        <f>COUNTIFS('PLAN ACCION 2018'!$N$8:$N$504,AP57,'PLAN ACCION 2018'!$CE$8:$CE$504,"NP")</f>
        <v>8</v>
      </c>
      <c r="BA57" s="1071">
        <f>COUNTIFS('PLAN ACCION 2018'!$N$8:$N$504,AP57,'PLAN ACCION 2018'!$CE$8:$CE$504,"E")</f>
        <v>0</v>
      </c>
      <c r="BB57" s="1197">
        <f>COUNTIFS('PLAN ACCION 2018'!$N$8:$N$504,AP57,'PLAN ACCION 2018'!$CE$8:$CE$504,"M")</f>
        <v>0</v>
      </c>
      <c r="BC57" s="787">
        <f t="shared" si="23"/>
        <v>75</v>
      </c>
      <c r="BG57" s="960" t="s">
        <v>2484</v>
      </c>
      <c r="BH57" s="1345">
        <f>COUNTIFS('PLAN ACCION 2018'!$N$7:$N$1003,BG57,'PLAN ACCION 2018'!$A$7:$A$1003,"*")</f>
        <v>42</v>
      </c>
      <c r="BI57" s="782">
        <f t="shared" si="29"/>
        <v>28</v>
      </c>
      <c r="BJ57" s="1067">
        <f>COUNTIFS('PLAN ACCION 2018'!$N$8:$N$504,BG57,'PLAN ACCION 2018'!$CF$8:$CF$504,$F$51)</f>
        <v>21</v>
      </c>
      <c r="BK57" s="1011">
        <f>COUNTIFS('PLAN ACCION 2018'!$N$8:$N$504,BG57,'PLAN ACCION 2018'!$CF$8:$CF$504,$G$51)</f>
        <v>1</v>
      </c>
      <c r="BL57" s="808">
        <f>COUNTIFS('PLAN ACCION 2018'!$N$8:$N$504,BG57,'PLAN ACCION 2018'!$CF$8:$CF$504,$H$51)</f>
        <v>2</v>
      </c>
      <c r="BM57" s="1014">
        <f>COUNTIFS('PLAN ACCION 2018'!$N$8:$N$504,BG57,'PLAN ACCION 2018'!$CF$8:$CF$504,$I$51)</f>
        <v>0</v>
      </c>
      <c r="BN57" s="774">
        <f>COUNTIFS('PLAN ACCION 2018'!$N$8:$N$504,BG57,'PLAN ACCION 2018'!$CF$8:$CF$504,$J$51)</f>
        <v>0</v>
      </c>
      <c r="BO57" s="809">
        <f>COUNTIFS('PLAN ACCION 2018'!$N$8:$N$504,BG57,'PLAN ACCION 2018'!$CF$8:$CF$504,$K$51)</f>
        <v>4</v>
      </c>
      <c r="BP57" s="1256">
        <f>COUNTIFS('PLAN ACCION 2018'!$N$8:$N$504,BG57,'PLAN ACCION 2018'!$CF$8:$CF$504,$L$51)</f>
        <v>0</v>
      </c>
      <c r="BQ57" s="1259">
        <f>COUNTIFS('PLAN ACCION 2018'!$N$8:$N$504,BG57,'PLAN ACCION 2018'!$CF$8:$CF$504,"NP")</f>
        <v>14</v>
      </c>
      <c r="BR57" s="1071">
        <f>COUNTIFS('PLAN ACCION 2018'!$N$8:$N$504,BG57,'PLAN ACCION 2018'!$CF$8:$CF$504,"E")</f>
        <v>0</v>
      </c>
      <c r="BS57" s="1197">
        <f>COUNTIFS('PLAN ACCION 2018'!$N$8:$N$504,BG57,'PLAN ACCION 2018'!$CF$8:$CF$504,"M")</f>
        <v>0</v>
      </c>
      <c r="BT57" s="787">
        <f t="shared" si="30"/>
        <v>82.142857142857139</v>
      </c>
    </row>
    <row r="58" spans="1:72" x14ac:dyDescent="0.3">
      <c r="A58" s="955"/>
      <c r="B58">
        <f t="shared" si="19"/>
        <v>1</v>
      </c>
      <c r="C58" s="960" t="s">
        <v>2514</v>
      </c>
      <c r="D58" s="1345">
        <f>COUNTIFS('PLAN ACCION 2020'!$N$7:$N$1003,C58,'PLAN ACCION 2020'!$A$7:$A$1003,"*")</f>
        <v>0</v>
      </c>
      <c r="E58" s="782">
        <f t="shared" si="24"/>
        <v>0</v>
      </c>
      <c r="F58" s="1067">
        <f>COUNTIFS('PLAN ACCION 2020'!$N$8:$N$504,C58,'PLAN ACCION 2020'!$CG$8:$CG$504,$F$51)</f>
        <v>0</v>
      </c>
      <c r="G58" s="1011">
        <f>COUNTIFS('PLAN ACCION 2020'!$N$8:$N$504,C58,'PLAN ACCION 2020'!$CG$8:$CG$504,$G$51)</f>
        <v>0</v>
      </c>
      <c r="H58" s="808">
        <f>COUNTIFS('PLAN ACCION 2020'!$N$8:$N$504,C58,'PLAN ACCION 2020'!$CG$8:$CG$504,$H$51)</f>
        <v>0</v>
      </c>
      <c r="I58" s="1014">
        <f>COUNTIFS('PLAN ACCION 2020'!$N$8:$N$504,C58,'PLAN ACCION 2020'!$CG$8:$CG$504,$I$51)</f>
        <v>0</v>
      </c>
      <c r="J58" s="774">
        <f>COUNTIFS('PLAN ACCION 2020'!$N$8:$N$504,C58,'PLAN ACCION 2020'!$CG$8:$CG$504,$J$51)</f>
        <v>0</v>
      </c>
      <c r="K58" s="809">
        <f>COUNTIFS('PLAN ACCION 2020'!$N$8:$N$504,C58,'PLAN ACCION 2020'!$CG$8:$CG$504,$K$51)</f>
        <v>1</v>
      </c>
      <c r="L58" s="1256">
        <f>COUNTIFS('PLAN ACCION 2020'!$N$8:$N$504,C58,'PLAN ACCION 2020'!$CG$8:$CG$504,$L$51)</f>
        <v>0</v>
      </c>
      <c r="M58" s="1259">
        <f>COUNTIFS('PLAN ACCION 2020'!$N$8:$N$504,C58,'PLAN ACCION 2020'!$CG$8:$CG$504,"NP")</f>
        <v>0</v>
      </c>
      <c r="N58" s="1071">
        <f>COUNTIFS('PLAN ACCION 2020'!$N$8:$N$504,C58,'PLAN ACCION 2020'!$CG$8:$CG$504,"E")</f>
        <v>1</v>
      </c>
      <c r="O58" s="1197">
        <f>COUNTIFS('PLAN ACCION 2020'!$N$8:$N$504,C58,'PLAN ACCION 2020'!$CG$8:$CG$504,"M")</f>
        <v>0</v>
      </c>
      <c r="P58" s="787">
        <f t="shared" si="25"/>
        <v>91.428571428571431</v>
      </c>
      <c r="Q58" s="787">
        <f t="shared" si="20"/>
        <v>84.905660377358487</v>
      </c>
      <c r="R58" s="787">
        <f t="shared" si="26"/>
        <v>80.26315789473685</v>
      </c>
      <c r="S58" s="787">
        <f t="shared" si="27"/>
        <v>0</v>
      </c>
      <c r="T58" s="1252">
        <f t="shared" si="28"/>
        <v>64.149347425166695</v>
      </c>
      <c r="U58" s="229">
        <f t="shared" si="21"/>
        <v>4</v>
      </c>
      <c r="AA58" s="960" t="s">
        <v>2514</v>
      </c>
      <c r="AB58" s="961">
        <f>COUNTIFS('PLAN ACCION 2018'!$N$7:$N$1003,AA58,'PLAN ACCION 2018'!$A$7:$A$1003,"*")</f>
        <v>65</v>
      </c>
      <c r="AC58" s="961">
        <f>+AB58-AJ58</f>
        <v>48</v>
      </c>
      <c r="AD58" s="1067">
        <f>COUNTIFS('PLAN ACCION 2018'!$N$8:$N$504,AA58,'PLAN ACCION 2018'!$CD$8:$CD$504,"VE")</f>
        <v>32</v>
      </c>
      <c r="AE58" s="1011">
        <f>COUNTIFS('PLAN ACCION 2018'!$N$8:$N$504,AA58,'PLAN ACCION 2018'!$CD$8:$CD$504,"VEB")</f>
        <v>0</v>
      </c>
      <c r="AF58" s="808">
        <f>COUNTIFS('PLAN ACCION 2018'!$N$8:$N$504,AA58,'PLAN ACCION 2018'!$CD$8:$CD$504,"AM")</f>
        <v>0</v>
      </c>
      <c r="AG58" s="1014">
        <f>COUNTIFS('PLAN ACCION 2018'!$N$8:$N$504,AA58,'PLAN ACCION 2018'!$CD$8:$CD$504,"AMB")</f>
        <v>1</v>
      </c>
      <c r="AH58" s="774">
        <f>COUNTIFS('PLAN ACCION 2018'!$N$8:$N$504,AA58,'PLAN ACCION 2018'!$CD$8:$CD$504,"RO")</f>
        <v>0</v>
      </c>
      <c r="AI58" s="809">
        <f>COUNTIFS('PLAN ACCION 2018'!$N$8:$N$504,AA58,'PLAN ACCION 2018'!$CD$8:$CD$504,"ROB")</f>
        <v>2</v>
      </c>
      <c r="AJ58" s="1070">
        <f>COUNTIFS('PLAN ACCION 2018'!$N$8:$N$504,AA58,'PLAN ACCION 2018'!$CD$8:$CD$504,"AZ")</f>
        <v>17</v>
      </c>
      <c r="AK58" s="1070">
        <f>COUNTIFS('PLAN ACCION 2018'!$N$8:$N$504,AA58,'PLAN ACCION 2018'!$CD$8:$CD$504,"NP")</f>
        <v>13</v>
      </c>
      <c r="AL58" s="1071">
        <f>COUNTIFS('PLAN ACCION 2018'!$N$8:$N$504,AA58,'PLAN ACCION 2018'!$CD$8:$CD$504,"E")</f>
        <v>0</v>
      </c>
      <c r="AM58" s="1197">
        <f>COUNTIFS('PLAN ACCION 2018'!$N$8:$N$504,AA58,'PLAN ACCION 2018'!$CD$8:$CD$504,"M")</f>
        <v>0</v>
      </c>
      <c r="AN58" s="787">
        <f t="shared" si="22"/>
        <v>91.428571428571431</v>
      </c>
      <c r="AP58" s="960" t="s">
        <v>2514</v>
      </c>
      <c r="AQ58" s="961">
        <f>COUNTIFS('PLAN ACCION 2018'!$N$7:$N$1003,AP58,'PLAN ACCION 2018'!$A$7:$A$1003,"*")</f>
        <v>65</v>
      </c>
      <c r="AR58" s="961">
        <f>+AQ58-AY58</f>
        <v>57</v>
      </c>
      <c r="AS58" s="1067">
        <f>COUNTIFS('PLAN ACCION 2018'!$N$8:$N$504,AP58,'PLAN ACCION 2018'!$CE$8:$CE$504,"VE")</f>
        <v>45</v>
      </c>
      <c r="AT58" s="1011">
        <f>COUNTIFS('PLAN ACCION 2018'!$N$8:$N$504,AP58,'PLAN ACCION 2018'!$CE$8:$CE$504,"VEB")</f>
        <v>1</v>
      </c>
      <c r="AU58" s="808">
        <f>COUNTIFS('PLAN ACCION 2018'!$N$8:$N$504,AP58,'PLAN ACCION 2018'!$CE$8:$CE$504,"AM")</f>
        <v>0</v>
      </c>
      <c r="AV58" s="1014">
        <f>COUNTIFS('PLAN ACCION 2018'!$N$8:$N$504,AP58,'PLAN ACCION 2018'!$CE$8:$CE$504,"AMB")</f>
        <v>2</v>
      </c>
      <c r="AW58" s="774">
        <f>COUNTIFS('PLAN ACCION 2018'!$N$8:$N$504,AP58,'PLAN ACCION 2018'!$CE$8:$CE$504,"RO")</f>
        <v>2</v>
      </c>
      <c r="AX58" s="809">
        <f>COUNTIFS('PLAN ACCION 2018'!$N$8:$N$504,AP58,'PLAN ACCION 2018'!$CE$8:$CE$504,"ROB")</f>
        <v>3</v>
      </c>
      <c r="AY58" s="1070">
        <f>COUNTIFS('PLAN ACCION 2018'!$N$8:$N$504,AP58,'PLAN ACCION 2018'!$CE$8:$CE$504,"AZ")</f>
        <v>8</v>
      </c>
      <c r="AZ58" s="1070">
        <f>COUNTIFS('PLAN ACCION 2018'!$N$8:$N$504,AP58,'PLAN ACCION 2018'!$CE$8:$CE$504,"NP")</f>
        <v>4</v>
      </c>
      <c r="BA58" s="1071">
        <f>COUNTIFS('PLAN ACCION 2018'!$N$8:$N$504,AP58,'PLAN ACCION 2018'!$CE$8:$CE$504,"E")</f>
        <v>0</v>
      </c>
      <c r="BB58" s="1197">
        <f>COUNTIFS('PLAN ACCION 2018'!$N$8:$N$504,AP58,'PLAN ACCION 2018'!$CE$8:$CE$504,"M")</f>
        <v>0</v>
      </c>
      <c r="BC58" s="787">
        <f t="shared" si="23"/>
        <v>84.905660377358487</v>
      </c>
      <c r="BG58" s="960" t="s">
        <v>2514</v>
      </c>
      <c r="BH58" s="1345">
        <f>COUNTIFS('PLAN ACCION 2018'!$N$7:$N$1003,BG58,'PLAN ACCION 2018'!$A$7:$A$1003,"*")</f>
        <v>65</v>
      </c>
      <c r="BI58" s="782">
        <f t="shared" si="29"/>
        <v>38</v>
      </c>
      <c r="BJ58" s="1067">
        <f>COUNTIFS('PLAN ACCION 2018'!$N$8:$N$504,BG58,'PLAN ACCION 2018'!$CF$8:$CF$504,$F$51)</f>
        <v>29</v>
      </c>
      <c r="BK58" s="1011">
        <f>COUNTIFS('PLAN ACCION 2018'!$N$8:$N$504,BG58,'PLAN ACCION 2018'!$CF$8:$CF$504,$G$51)</f>
        <v>1</v>
      </c>
      <c r="BL58" s="808">
        <f>COUNTIFS('PLAN ACCION 2018'!$N$8:$N$504,BG58,'PLAN ACCION 2018'!$CF$8:$CF$504,$H$51)</f>
        <v>0</v>
      </c>
      <c r="BM58" s="1014">
        <f>COUNTIFS('PLAN ACCION 2018'!$N$8:$N$504,BG58,'PLAN ACCION 2018'!$CF$8:$CF$504,$I$51)</f>
        <v>1</v>
      </c>
      <c r="BN58" s="774">
        <f>COUNTIFS('PLAN ACCION 2018'!$N$8:$N$504,BG58,'PLAN ACCION 2018'!$CF$8:$CF$504,$J$51)</f>
        <v>0</v>
      </c>
      <c r="BO58" s="809">
        <f>COUNTIFS('PLAN ACCION 2018'!$N$8:$N$504,BG58,'PLAN ACCION 2018'!$CF$8:$CF$504,$K$51)</f>
        <v>7</v>
      </c>
      <c r="BP58" s="1256">
        <f>COUNTIFS('PLAN ACCION 2018'!$N$8:$N$504,BG58,'PLAN ACCION 2018'!$CF$8:$CF$504,$L$51)</f>
        <v>1</v>
      </c>
      <c r="BQ58" s="1259">
        <f>COUNTIFS('PLAN ACCION 2018'!$N$8:$N$504,BG58,'PLAN ACCION 2018'!$CF$8:$CF$504,"NP")</f>
        <v>23</v>
      </c>
      <c r="BR58" s="1071">
        <f>COUNTIFS('PLAN ACCION 2018'!$N$8:$N$504,BG58,'PLAN ACCION 2018'!$CF$8:$CF$504,"E")</f>
        <v>3</v>
      </c>
      <c r="BS58" s="1197">
        <f>COUNTIFS('PLAN ACCION 2018'!$N$8:$N$504,BG58,'PLAN ACCION 2018'!$CF$8:$CF$504,"M")</f>
        <v>0</v>
      </c>
      <c r="BT58" s="787">
        <f t="shared" si="30"/>
        <v>80.26315789473685</v>
      </c>
    </row>
    <row r="59" spans="1:72" x14ac:dyDescent="0.3">
      <c r="A59" s="955"/>
      <c r="B59">
        <f t="shared" si="19"/>
        <v>0</v>
      </c>
      <c r="C59" s="960" t="s">
        <v>2736</v>
      </c>
      <c r="D59" s="1345">
        <f>COUNTIFS('PLAN ACCION 2020'!$N$7:$N$1003,C59,'PLAN ACCION 2020'!$A$7:$A$1003,"*")</f>
        <v>0</v>
      </c>
      <c r="E59" s="782">
        <f t="shared" si="24"/>
        <v>0</v>
      </c>
      <c r="F59" s="1067">
        <f>COUNTIFS('PLAN ACCION 2020'!$N$8:$N$504,C59,'PLAN ACCION 2020'!$CG$8:$CG$504,$F$51)</f>
        <v>0</v>
      </c>
      <c r="G59" s="1011">
        <f>COUNTIFS('PLAN ACCION 2020'!$N$8:$N$504,C59,'PLAN ACCION 2020'!$CG$8:$CG$504,$G$51)</f>
        <v>0</v>
      </c>
      <c r="H59" s="808">
        <f>COUNTIFS('PLAN ACCION 2020'!$N$8:$N$504,C59,'PLAN ACCION 2020'!$CG$8:$CG$504,$H$51)</f>
        <v>0</v>
      </c>
      <c r="I59" s="1014">
        <f>COUNTIFS('PLAN ACCION 2020'!$N$8:$N$504,C59,'PLAN ACCION 2020'!$CG$8:$CG$504,$I$51)</f>
        <v>0</v>
      </c>
      <c r="J59" s="774">
        <f>COUNTIFS('PLAN ACCION 2020'!$N$8:$N$504,C59,'PLAN ACCION 2020'!$CG$8:$CG$504,$J$51)</f>
        <v>0</v>
      </c>
      <c r="K59" s="809">
        <f>COUNTIFS('PLAN ACCION 2020'!$N$8:$N$504,C59,'PLAN ACCION 2020'!$CG$8:$CG$504,$K$51)</f>
        <v>0</v>
      </c>
      <c r="L59" s="1256">
        <f>COUNTIFS('PLAN ACCION 2020'!$N$8:$N$504,C59,'PLAN ACCION 2020'!$CG$8:$CG$504,$L$51)</f>
        <v>0</v>
      </c>
      <c r="M59" s="1259">
        <f>COUNTIFS('PLAN ACCION 2020'!$N$8:$N$504,C59,'PLAN ACCION 2020'!$CG$8:$CG$504,"NP")</f>
        <v>0</v>
      </c>
      <c r="N59" s="1071">
        <f>COUNTIFS('PLAN ACCION 2020'!$N$8:$N$504,C59,'PLAN ACCION 2020'!$CG$8:$CG$504,"E")</f>
        <v>0</v>
      </c>
      <c r="O59" s="1197">
        <f>COUNTIFS('PLAN ACCION 2020'!$N$8:$N$504,C59,'PLAN ACCION 2020'!$CG$8:$CG$504,"M")</f>
        <v>0</v>
      </c>
      <c r="P59" s="787">
        <f t="shared" si="25"/>
        <v>84.615384615384613</v>
      </c>
      <c r="Q59" s="787">
        <f t="shared" si="20"/>
        <v>84.615384615384613</v>
      </c>
      <c r="R59" s="787">
        <f t="shared" si="26"/>
        <v>95.833333333333329</v>
      </c>
      <c r="S59" s="787" t="e">
        <f t="shared" si="27"/>
        <v>#DIV/0!</v>
      </c>
      <c r="T59" s="1252" t="e">
        <f t="shared" si="28"/>
        <v>#DIV/0!</v>
      </c>
      <c r="U59" s="229">
        <f t="shared" si="21"/>
        <v>3</v>
      </c>
      <c r="AA59" s="960" t="s">
        <v>2736</v>
      </c>
      <c r="AB59" s="961">
        <f>COUNTIFS('PLAN ACCION 2018'!$N$7:$N$1003,AA59,'PLAN ACCION 2018'!$A$7:$A$1003,"*")</f>
        <v>27</v>
      </c>
      <c r="AC59" s="961">
        <f>+AB59-AJ59</f>
        <v>27</v>
      </c>
      <c r="AD59" s="1067">
        <f>COUNTIFS('PLAN ACCION 2018'!$N$8:$N$504,AA59,'PLAN ACCION 2018'!$CD$8:$CD$504,"VE")</f>
        <v>22</v>
      </c>
      <c r="AE59" s="1011">
        <f>COUNTIFS('PLAN ACCION 2018'!$N$8:$N$504,AA59,'PLAN ACCION 2018'!$CD$8:$CD$504,"VEB")</f>
        <v>1</v>
      </c>
      <c r="AF59" s="808">
        <f>COUNTIFS('PLAN ACCION 2018'!$N$8:$N$504,AA59,'PLAN ACCION 2018'!$CD$8:$CD$504,"AM")</f>
        <v>0</v>
      </c>
      <c r="AG59" s="1014">
        <f>COUNTIFS('PLAN ACCION 2018'!$N$8:$N$504,AA59,'PLAN ACCION 2018'!$CD$8:$CD$504,"AMB")</f>
        <v>1</v>
      </c>
      <c r="AH59" s="774">
        <f>COUNTIFS('PLAN ACCION 2018'!$N$8:$N$504,AA59,'PLAN ACCION 2018'!$CD$8:$CD$504,"RO")</f>
        <v>0</v>
      </c>
      <c r="AI59" s="809">
        <f>COUNTIFS('PLAN ACCION 2018'!$N$8:$N$504,AA59,'PLAN ACCION 2018'!$CD$8:$CD$504,"ROB")</f>
        <v>2</v>
      </c>
      <c r="AJ59" s="1070">
        <f>COUNTIFS('PLAN ACCION 2018'!$N$8:$N$504,AA59,'PLAN ACCION 2018'!$CD$8:$CD$504,"AZ")</f>
        <v>0</v>
      </c>
      <c r="AK59" s="1070">
        <f>COUNTIFS('PLAN ACCION 2018'!$N$8:$N$504,AA59,'PLAN ACCION 2018'!$CD$8:$CD$504,"NP")</f>
        <v>1</v>
      </c>
      <c r="AL59" s="1071">
        <f>COUNTIFS('PLAN ACCION 2018'!$N$8:$N$504,AA59,'PLAN ACCION 2018'!$CD$8:$CD$504,"E")</f>
        <v>0</v>
      </c>
      <c r="AM59" s="1197">
        <f>COUNTIFS('PLAN ACCION 2018'!$N$8:$N$504,AA59,'PLAN ACCION 2018'!$CD$8:$CD$504,"M")</f>
        <v>0</v>
      </c>
      <c r="AN59" s="787">
        <f t="shared" si="22"/>
        <v>84.615384615384613</v>
      </c>
      <c r="AP59" s="960" t="s">
        <v>2736</v>
      </c>
      <c r="AQ59" s="961">
        <f>COUNTIFS('PLAN ACCION 2018'!$N$7:$N$1003,AP59,'PLAN ACCION 2018'!$A$7:$A$1003,"*")</f>
        <v>27</v>
      </c>
      <c r="AR59" s="961">
        <f>+AQ59-AY59</f>
        <v>27</v>
      </c>
      <c r="AS59" s="1067">
        <f>COUNTIFS('PLAN ACCION 2018'!$N$8:$N$504,AP59,'PLAN ACCION 2018'!$CE$8:$CE$504,"VE")</f>
        <v>22</v>
      </c>
      <c r="AT59" s="1011">
        <f>COUNTIFS('PLAN ACCION 2018'!$N$8:$N$504,AP59,'PLAN ACCION 2018'!$CE$8:$CE$504,"VEB")</f>
        <v>0</v>
      </c>
      <c r="AU59" s="808">
        <f>COUNTIFS('PLAN ACCION 2018'!$N$8:$N$504,AP59,'PLAN ACCION 2018'!$CE$8:$CE$504,"AM")</f>
        <v>0</v>
      </c>
      <c r="AV59" s="1014">
        <f>COUNTIFS('PLAN ACCION 2018'!$N$8:$N$504,AP59,'PLAN ACCION 2018'!$CE$8:$CE$504,"AMB")</f>
        <v>1</v>
      </c>
      <c r="AW59" s="774">
        <f>COUNTIFS('PLAN ACCION 2018'!$N$8:$N$504,AP59,'PLAN ACCION 2018'!$CE$8:$CE$504,"RO")</f>
        <v>1</v>
      </c>
      <c r="AX59" s="809">
        <f>COUNTIFS('PLAN ACCION 2018'!$N$8:$N$504,AP59,'PLAN ACCION 2018'!$CE$8:$CE$504,"ROB")</f>
        <v>2</v>
      </c>
      <c r="AY59" s="1070">
        <f>COUNTIFS('PLAN ACCION 2018'!$N$8:$N$504,AP59,'PLAN ACCION 2018'!$CE$8:$CE$504,"AZ")</f>
        <v>0</v>
      </c>
      <c r="AZ59" s="1070">
        <f>COUNTIFS('PLAN ACCION 2018'!$N$8:$N$504,AP59,'PLAN ACCION 2018'!$CE$8:$CE$504,"NP")</f>
        <v>1</v>
      </c>
      <c r="BA59" s="1071">
        <f>COUNTIFS('PLAN ACCION 2018'!$N$8:$N$504,AP59,'PLAN ACCION 2018'!$CE$8:$CE$504,"E")</f>
        <v>0</v>
      </c>
      <c r="BB59" s="1197">
        <f>COUNTIFS('PLAN ACCION 2018'!$N$8:$N$504,AP59,'PLAN ACCION 2018'!$CE$8:$CE$504,"M")</f>
        <v>0</v>
      </c>
      <c r="BC59" s="787">
        <f t="shared" si="23"/>
        <v>84.615384615384613</v>
      </c>
      <c r="BG59" s="960" t="s">
        <v>2736</v>
      </c>
      <c r="BH59" s="1345">
        <f>COUNTIFS('PLAN ACCION 2018'!$N$7:$N$1003,BG59,'PLAN ACCION 2018'!$A$7:$A$1003,"*")</f>
        <v>27</v>
      </c>
      <c r="BI59" s="782">
        <f t="shared" si="29"/>
        <v>24</v>
      </c>
      <c r="BJ59" s="1067">
        <f>COUNTIFS('PLAN ACCION 2018'!$N$8:$N$504,BG59,'PLAN ACCION 2018'!$CF$8:$CF$504,$F$51)</f>
        <v>21</v>
      </c>
      <c r="BK59" s="1011">
        <f>COUNTIFS('PLAN ACCION 2018'!$N$8:$N$504,BG59,'PLAN ACCION 2018'!$CF$8:$CF$504,$G$51)</f>
        <v>1</v>
      </c>
      <c r="BL59" s="808">
        <f>COUNTIFS('PLAN ACCION 2018'!$N$8:$N$504,BG59,'PLAN ACCION 2018'!$CF$8:$CF$504,$H$51)</f>
        <v>0</v>
      </c>
      <c r="BM59" s="1014">
        <f>COUNTIFS('PLAN ACCION 2018'!$N$8:$N$504,BG59,'PLAN ACCION 2018'!$CF$8:$CF$504,$I$51)</f>
        <v>2</v>
      </c>
      <c r="BN59" s="774">
        <f>COUNTIFS('PLAN ACCION 2018'!$N$8:$N$504,BG59,'PLAN ACCION 2018'!$CF$8:$CF$504,$J$51)</f>
        <v>0</v>
      </c>
      <c r="BO59" s="809">
        <f>COUNTIFS('PLAN ACCION 2018'!$N$8:$N$504,BG59,'PLAN ACCION 2018'!$CF$8:$CF$504,$K$51)</f>
        <v>0</v>
      </c>
      <c r="BP59" s="1256">
        <f>COUNTIFS('PLAN ACCION 2018'!$N$8:$N$504,BG59,'PLAN ACCION 2018'!$CF$8:$CF$504,$L$51)</f>
        <v>0</v>
      </c>
      <c r="BQ59" s="1259">
        <f>COUNTIFS('PLAN ACCION 2018'!$N$8:$N$504,BG59,'PLAN ACCION 2018'!$CF$8:$CF$504,"NP")</f>
        <v>3</v>
      </c>
      <c r="BR59" s="1071">
        <f>COUNTIFS('PLAN ACCION 2018'!$N$8:$N$504,BG59,'PLAN ACCION 2018'!$CF$8:$CF$504,"E")</f>
        <v>0</v>
      </c>
      <c r="BS59" s="1197">
        <f>COUNTIFS('PLAN ACCION 2018'!$N$8:$N$504,BG59,'PLAN ACCION 2018'!$CF$8:$CF$504,"M")</f>
        <v>0</v>
      </c>
      <c r="BT59" s="787">
        <f t="shared" si="30"/>
        <v>95.833333333333329</v>
      </c>
    </row>
    <row r="60" spans="1:72" x14ac:dyDescent="0.3">
      <c r="A60" s="955"/>
      <c r="B60">
        <f t="shared" si="19"/>
        <v>0</v>
      </c>
      <c r="C60" s="960" t="s">
        <v>2530</v>
      </c>
      <c r="D60" s="1345">
        <f>COUNTIFS('PLAN ACCION 2020'!$N$7:$N$1003,C60,'PLAN ACCION 2020'!$A$7:$A$1003,"*")</f>
        <v>0</v>
      </c>
      <c r="E60" s="782">
        <f t="shared" si="24"/>
        <v>0</v>
      </c>
      <c r="F60" s="1067">
        <f>COUNTIFS('PLAN ACCION 2020'!$N$8:$N$504,C60,'PLAN ACCION 2020'!$CG$8:$CG$504,$F$51)</f>
        <v>0</v>
      </c>
      <c r="G60" s="1011">
        <f>COUNTIFS('PLAN ACCION 2020'!$N$8:$N$504,C60,'PLAN ACCION 2020'!$CG$8:$CG$504,$G$51)</f>
        <v>0</v>
      </c>
      <c r="H60" s="808">
        <f>COUNTIFS('PLAN ACCION 2020'!$N$8:$N$504,C60,'PLAN ACCION 2020'!$CG$8:$CG$504,$H$51)</f>
        <v>0</v>
      </c>
      <c r="I60" s="1014">
        <f>COUNTIFS('PLAN ACCION 2020'!$N$8:$N$504,C60,'PLAN ACCION 2020'!$CG$8:$CG$504,$I$51)</f>
        <v>0</v>
      </c>
      <c r="J60" s="774">
        <f>COUNTIFS('PLAN ACCION 2020'!$N$8:$N$504,C60,'PLAN ACCION 2020'!$CG$8:$CG$504,$J$51)</f>
        <v>0</v>
      </c>
      <c r="K60" s="809">
        <f>COUNTIFS('PLAN ACCION 2020'!$N$8:$N$504,C60,'PLAN ACCION 2020'!$CG$8:$CG$504,$K$51)</f>
        <v>0</v>
      </c>
      <c r="L60" s="1256">
        <f>COUNTIFS('PLAN ACCION 2020'!$N$8:$N$504,C60,'PLAN ACCION 2020'!$CG$8:$CG$504,$L$51)</f>
        <v>0</v>
      </c>
      <c r="M60" s="1259">
        <f>COUNTIFS('PLAN ACCION 2020'!$N$8:$N$504,C60,'PLAN ACCION 2020'!$CG$8:$CG$504,"NP")</f>
        <v>0</v>
      </c>
      <c r="N60" s="1071">
        <f>COUNTIFS('PLAN ACCION 2020'!$N$8:$N$504,C60,'PLAN ACCION 2020'!$CG$8:$CG$504,"E")</f>
        <v>0</v>
      </c>
      <c r="O60" s="1197">
        <f>COUNTIFS('PLAN ACCION 2020'!$N$8:$N$504,C60,'PLAN ACCION 2020'!$CG$8:$CG$504,"M")</f>
        <v>0</v>
      </c>
      <c r="P60" s="787">
        <f t="shared" si="25"/>
        <v>50</v>
      </c>
      <c r="Q60" s="787">
        <f t="shared" si="20"/>
        <v>100</v>
      </c>
      <c r="R60" s="787">
        <f t="shared" si="26"/>
        <v>100</v>
      </c>
      <c r="S60" s="787" t="e">
        <f t="shared" si="27"/>
        <v>#DIV/0!</v>
      </c>
      <c r="T60" s="1252" t="e">
        <f t="shared" si="28"/>
        <v>#DIV/0!</v>
      </c>
      <c r="U60" s="229">
        <f t="shared" si="21"/>
        <v>3</v>
      </c>
      <c r="AA60" s="960" t="s">
        <v>2530</v>
      </c>
      <c r="AB60" s="961">
        <f>COUNTIFS('PLAN ACCION 2018'!$N$7:$N$1003,AA60,'PLAN ACCION 2018'!$A$7:$A$1003,"*")</f>
        <v>4</v>
      </c>
      <c r="AC60" s="961">
        <f>+AB60-AJ60</f>
        <v>2</v>
      </c>
      <c r="AD60" s="1067">
        <f>COUNTIFS('PLAN ACCION 2018'!$N$8:$N$504,AA60,'PLAN ACCION 2018'!$CD$8:$CD$504,"VE")</f>
        <v>1</v>
      </c>
      <c r="AE60" s="1011">
        <f>COUNTIFS('PLAN ACCION 2018'!$N$8:$N$504,AA60,'PLAN ACCION 2018'!$CD$8:$CD$504,"VEB")</f>
        <v>0</v>
      </c>
      <c r="AF60" s="808">
        <f>COUNTIFS('PLAN ACCION 2018'!$N$8:$N$504,AA60,'PLAN ACCION 2018'!$CD$8:$CD$504,"AM")</f>
        <v>0</v>
      </c>
      <c r="AG60" s="1014">
        <f>COUNTIFS('PLAN ACCION 2018'!$N$8:$N$504,AA60,'PLAN ACCION 2018'!$CD$8:$CD$504,"AMB")</f>
        <v>0</v>
      </c>
      <c r="AH60" s="774">
        <f>COUNTIFS('PLAN ACCION 2018'!$N$8:$N$504,AA60,'PLAN ACCION 2018'!$CD$8:$CD$504,"RO")</f>
        <v>1</v>
      </c>
      <c r="AI60" s="809">
        <f>COUNTIFS('PLAN ACCION 2018'!$N$8:$N$504,AA60,'PLAN ACCION 2018'!$CD$8:$CD$504,"ROB")</f>
        <v>0</v>
      </c>
      <c r="AJ60" s="1070">
        <f>COUNTIFS('PLAN ACCION 2018'!$N$8:$N$504,AA60,'PLAN ACCION 2018'!$CD$8:$CD$504,"AZ")</f>
        <v>2</v>
      </c>
      <c r="AK60" s="1070">
        <f>COUNTIFS('PLAN ACCION 2018'!$N$8:$N$504,AA60,'PLAN ACCION 2018'!$CD$8:$CD$504,"NP")</f>
        <v>0</v>
      </c>
      <c r="AL60" s="1071">
        <f>COUNTIFS('PLAN ACCION 2018'!$N$8:$N$504,AA60,'PLAN ACCION 2018'!$CD$8:$CD$504,"E")</f>
        <v>0</v>
      </c>
      <c r="AM60" s="1197">
        <f>COUNTIFS('PLAN ACCION 2018'!$N$8:$N$504,AA60,'PLAN ACCION 2018'!$CD$8:$CD$504,"M")</f>
        <v>0</v>
      </c>
      <c r="AN60" s="787">
        <f t="shared" si="22"/>
        <v>50</v>
      </c>
      <c r="AP60" s="960" t="s">
        <v>2530</v>
      </c>
      <c r="AQ60" s="961">
        <f>COUNTIFS('PLAN ACCION 2018'!$N$7:$N$1003,AP60,'PLAN ACCION 2018'!$A$7:$A$1003,"*")</f>
        <v>4</v>
      </c>
      <c r="AR60" s="961">
        <f>+AQ60-AY60</f>
        <v>4</v>
      </c>
      <c r="AS60" s="1067">
        <f>COUNTIFS('PLAN ACCION 2018'!$N$8:$N$504,AP60,'PLAN ACCION 2018'!$CE$8:$CE$504,"VE")</f>
        <v>4</v>
      </c>
      <c r="AT60" s="1011">
        <f>COUNTIFS('PLAN ACCION 2018'!$N$8:$N$504,AP60,'PLAN ACCION 2018'!$CE$8:$CE$504,"VEB")</f>
        <v>0</v>
      </c>
      <c r="AU60" s="808">
        <f>COUNTIFS('PLAN ACCION 2018'!$N$8:$N$504,AP60,'PLAN ACCION 2018'!$CE$8:$CE$504,"AM")</f>
        <v>0</v>
      </c>
      <c r="AV60" s="1014">
        <f>COUNTIFS('PLAN ACCION 2018'!$N$8:$N$504,AP60,'PLAN ACCION 2018'!$CE$8:$CE$504,"AMB")</f>
        <v>0</v>
      </c>
      <c r="AW60" s="774">
        <f>COUNTIFS('PLAN ACCION 2018'!$N$8:$N$504,AP60,'PLAN ACCION 2018'!$CE$8:$CE$504,"RO")</f>
        <v>0</v>
      </c>
      <c r="AX60" s="809">
        <f>COUNTIFS('PLAN ACCION 2018'!$N$8:$N$504,AP60,'PLAN ACCION 2018'!$CE$8:$CE$504,"ROB")</f>
        <v>0</v>
      </c>
      <c r="AY60" s="1070">
        <f>COUNTIFS('PLAN ACCION 2018'!$N$8:$N$504,AP60,'PLAN ACCION 2018'!$CE$8:$CE$504,"AZ")</f>
        <v>0</v>
      </c>
      <c r="AZ60" s="1070">
        <f>COUNTIFS('PLAN ACCION 2018'!$N$8:$N$504,AP60,'PLAN ACCION 2018'!$CE$8:$CE$504,"NP")</f>
        <v>0</v>
      </c>
      <c r="BA60" s="1071">
        <f>COUNTIFS('PLAN ACCION 2018'!$N$8:$N$504,AP60,'PLAN ACCION 2018'!$CE$8:$CE$504,"E")</f>
        <v>0</v>
      </c>
      <c r="BB60" s="1197">
        <f>COUNTIFS('PLAN ACCION 2018'!$N$8:$N$504,AP60,'PLAN ACCION 2018'!$CE$8:$CE$504,"M")</f>
        <v>0</v>
      </c>
      <c r="BC60" s="787">
        <f t="shared" si="23"/>
        <v>100</v>
      </c>
      <c r="BG60" s="960" t="s">
        <v>2530</v>
      </c>
      <c r="BH60" s="1345">
        <f>COUNTIFS('PLAN ACCION 2018'!$N$7:$N$1003,BG60,'PLAN ACCION 2018'!$A$7:$A$1003,"*")</f>
        <v>4</v>
      </c>
      <c r="BI60" s="782">
        <f t="shared" si="29"/>
        <v>3</v>
      </c>
      <c r="BJ60" s="1067">
        <f>COUNTIFS('PLAN ACCION 2018'!$N$8:$N$504,BG60,'PLAN ACCION 2018'!$CF$8:$CF$504,$F$51)</f>
        <v>3</v>
      </c>
      <c r="BK60" s="1011">
        <f>COUNTIFS('PLAN ACCION 2018'!$N$8:$N$504,BG60,'PLAN ACCION 2018'!$CF$8:$CF$504,$G$51)</f>
        <v>0</v>
      </c>
      <c r="BL60" s="808">
        <f>COUNTIFS('PLAN ACCION 2018'!$N$8:$N$504,BG60,'PLAN ACCION 2018'!$CF$8:$CF$504,$H$51)</f>
        <v>0</v>
      </c>
      <c r="BM60" s="1014">
        <f>COUNTIFS('PLAN ACCION 2018'!$N$8:$N$504,BG60,'PLAN ACCION 2018'!$CF$8:$CF$504,$I$51)</f>
        <v>0</v>
      </c>
      <c r="BN60" s="774">
        <f>COUNTIFS('PLAN ACCION 2018'!$N$8:$N$504,BG60,'PLAN ACCION 2018'!$CF$8:$CF$504,$J$51)</f>
        <v>0</v>
      </c>
      <c r="BO60" s="809">
        <f>COUNTIFS('PLAN ACCION 2018'!$N$8:$N$504,BG60,'PLAN ACCION 2018'!$CF$8:$CF$504,$K$51)</f>
        <v>0</v>
      </c>
      <c r="BP60" s="1256">
        <f>COUNTIFS('PLAN ACCION 2018'!$N$8:$N$504,BG60,'PLAN ACCION 2018'!$CF$8:$CF$504,$L$51)</f>
        <v>0</v>
      </c>
      <c r="BQ60" s="1259">
        <f>COUNTIFS('PLAN ACCION 2018'!$N$8:$N$504,BG60,'PLAN ACCION 2018'!$CF$8:$CF$504,"NP")</f>
        <v>1</v>
      </c>
      <c r="BR60" s="1071">
        <f>COUNTIFS('PLAN ACCION 2018'!$N$8:$N$504,BG60,'PLAN ACCION 2018'!$CF$8:$CF$504,"E")</f>
        <v>0</v>
      </c>
      <c r="BS60" s="1197">
        <f>COUNTIFS('PLAN ACCION 2018'!$N$8:$N$504,BG60,'PLAN ACCION 2018'!$CF$8:$CF$504,"M")</f>
        <v>0</v>
      </c>
      <c r="BT60" s="787">
        <f t="shared" si="30"/>
        <v>100</v>
      </c>
    </row>
    <row r="61" spans="1:72" x14ac:dyDescent="0.3">
      <c r="A61" s="955"/>
      <c r="B61">
        <f t="shared" si="19"/>
        <v>0</v>
      </c>
      <c r="C61" s="960" t="s">
        <v>4360</v>
      </c>
      <c r="D61" s="1345">
        <f>COUNTIFS('PLAN ACCION 2020'!$N$7:$N$1003,C61,'PLAN ACCION 2020'!$A$7:$A$1003,"*")</f>
        <v>1</v>
      </c>
      <c r="E61" s="782">
        <f t="shared" si="24"/>
        <v>1</v>
      </c>
      <c r="F61" s="1067">
        <f>COUNTIFS('PLAN ACCION 2020'!$N$8:$N$504,C61,'PLAN ACCION 2020'!$CG$8:$CG$504,$F$51)</f>
        <v>1</v>
      </c>
      <c r="G61" s="1011">
        <f>COUNTIFS('PLAN ACCION 2020'!$N$8:$N$504,C61,'PLAN ACCION 2020'!$CG$8:$CG$504,$G$51)</f>
        <v>0</v>
      </c>
      <c r="H61" s="808">
        <f>COUNTIFS('PLAN ACCION 2020'!$N$8:$N$504,C61,'PLAN ACCION 2020'!$CG$8:$CG$504,$H$51)</f>
        <v>0</v>
      </c>
      <c r="I61" s="1014">
        <f>COUNTIFS('PLAN ACCION 2020'!$N$8:$N$504,C61,'PLAN ACCION 2020'!$CG$8:$CG$504,$I$51)</f>
        <v>0</v>
      </c>
      <c r="J61" s="774">
        <f>COUNTIFS('PLAN ACCION 2020'!$N$8:$N$504,C61,'PLAN ACCION 2020'!$CG$8:$CG$504,$J$51)</f>
        <v>0</v>
      </c>
      <c r="K61" s="809">
        <f>COUNTIFS('PLAN ACCION 2020'!$N$8:$N$504,C61,'PLAN ACCION 2020'!$CG$8:$CG$504,$K$51)</f>
        <v>0</v>
      </c>
      <c r="L61" s="1256">
        <f>COUNTIFS('PLAN ACCION 2020'!$N$8:$N$504,C61,'PLAN ACCION 2020'!$CG$8:$CG$504,$L$51)</f>
        <v>0</v>
      </c>
      <c r="M61" s="1259">
        <f>COUNTIFS('PLAN ACCION 2020'!$N$8:$N$504,C61,'PLAN ACCION 2020'!$CG$8:$CG$504,"NP")</f>
        <v>0</v>
      </c>
      <c r="N61" s="1071">
        <f>COUNTIFS('PLAN ACCION 2020'!$N$8:$N$504,C61,'PLAN ACCION 2020'!$CG$8:$CG$504,"E")</f>
        <v>0</v>
      </c>
      <c r="O61" s="1197">
        <f>COUNTIFS('PLAN ACCION 2020'!$N$8:$N$504,C61,'PLAN ACCION 2020'!$CG$8:$CG$504,"M")</f>
        <v>0</v>
      </c>
      <c r="P61" s="787">
        <f t="shared" si="25"/>
        <v>77.777777777777786</v>
      </c>
      <c r="Q61" s="787">
        <f t="shared" si="20"/>
        <v>88.888888888888886</v>
      </c>
      <c r="R61" s="787">
        <f t="shared" si="26"/>
        <v>75</v>
      </c>
      <c r="S61" s="787">
        <f t="shared" si="27"/>
        <v>100</v>
      </c>
      <c r="T61" s="1252">
        <f t="shared" si="28"/>
        <v>85.416666666666671</v>
      </c>
      <c r="U61" s="229">
        <f t="shared" si="21"/>
        <v>4</v>
      </c>
      <c r="AA61" s="960" t="s">
        <v>4360</v>
      </c>
      <c r="AB61" s="961">
        <f>COUNTIFS('PLAN ACCION 2018'!$N$7:$N$1003,AA61,'PLAN ACCION 2018'!$A$7:$A$1003,"*")</f>
        <v>9</v>
      </c>
      <c r="AC61" s="961">
        <f>+AB61-AJ61</f>
        <v>9</v>
      </c>
      <c r="AD61" s="1067">
        <f>COUNTIFS('PLAN ACCION 2018'!$N$8:$N$504,AA61,'PLAN ACCION 2018'!$CD$8:$CD$504,"VE")</f>
        <v>7</v>
      </c>
      <c r="AE61" s="1011">
        <f>COUNTIFS('PLAN ACCION 2018'!$N$8:$N$504,AA61,'PLAN ACCION 2018'!$CD$8:$CD$504,"VEB")</f>
        <v>0</v>
      </c>
      <c r="AF61" s="808">
        <f>COUNTIFS('PLAN ACCION 2018'!$N$8:$N$504,AA61,'PLAN ACCION 2018'!$CD$8:$CD$504,"AM")</f>
        <v>0</v>
      </c>
      <c r="AG61" s="1014">
        <f>COUNTIFS('PLAN ACCION 2018'!$N$8:$N$504,AA61,'PLAN ACCION 2018'!$CD$8:$CD$504,"AMB")</f>
        <v>0</v>
      </c>
      <c r="AH61" s="774">
        <f>COUNTIFS('PLAN ACCION 2018'!$N$8:$N$504,AA61,'PLAN ACCION 2018'!$CD$8:$CD$504,"RO")</f>
        <v>0</v>
      </c>
      <c r="AI61" s="809">
        <f>COUNTIFS('PLAN ACCION 2018'!$N$8:$N$504,AA61,'PLAN ACCION 2018'!$CD$8:$CD$504,"ROB")</f>
        <v>2</v>
      </c>
      <c r="AJ61" s="1070">
        <f>COUNTIFS('PLAN ACCION 2018'!$N$8:$N$504,AA61,'PLAN ACCION 2018'!$CD$8:$CD$504,"AZ")</f>
        <v>0</v>
      </c>
      <c r="AK61" s="1070">
        <f>COUNTIFS('PLAN ACCION 2018'!$N$8:$N$504,AA61,'PLAN ACCION 2018'!$CD$8:$CD$504,"NP")</f>
        <v>0</v>
      </c>
      <c r="AL61" s="1071">
        <f>COUNTIFS('PLAN ACCION 2018'!$N$8:$N$504,AA61,'PLAN ACCION 2018'!$CD$8:$CD$504,"E")</f>
        <v>0</v>
      </c>
      <c r="AM61" s="1197">
        <f>COUNTIFS('PLAN ACCION 2018'!$N$8:$N$504,AA61,'PLAN ACCION 2018'!$CD$8:$CD$504,"M")</f>
        <v>0</v>
      </c>
      <c r="AN61" s="787">
        <f t="shared" si="22"/>
        <v>77.777777777777786</v>
      </c>
      <c r="AP61" s="960" t="s">
        <v>4360</v>
      </c>
      <c r="AQ61" s="961">
        <f>COUNTIFS('PLAN ACCION 2018'!$N$7:$N$1003,AP61,'PLAN ACCION 2018'!$A$7:$A$1003,"*")</f>
        <v>9</v>
      </c>
      <c r="AR61" s="961">
        <f>+AQ61-AY61</f>
        <v>9</v>
      </c>
      <c r="AS61" s="1067">
        <f>COUNTIFS('PLAN ACCION 2018'!$N$8:$N$504,AP61,'PLAN ACCION 2018'!$CE$8:$CE$504,"VE")</f>
        <v>8</v>
      </c>
      <c r="AT61" s="1011">
        <f>COUNTIFS('PLAN ACCION 2018'!$N$8:$N$504,AP61,'PLAN ACCION 2018'!$CE$8:$CE$504,"VEB")</f>
        <v>1</v>
      </c>
      <c r="AU61" s="808">
        <f>COUNTIFS('PLAN ACCION 2018'!$N$8:$N$504,AP61,'PLAN ACCION 2018'!$CE$8:$CE$504,"AM")</f>
        <v>0</v>
      </c>
      <c r="AV61" s="1014">
        <f>COUNTIFS('PLAN ACCION 2018'!$N$8:$N$504,AP61,'PLAN ACCION 2018'!$CE$8:$CE$504,"AMB")</f>
        <v>0</v>
      </c>
      <c r="AW61" s="774">
        <f>COUNTIFS('PLAN ACCION 2018'!$N$8:$N$504,AP61,'PLAN ACCION 2018'!$CE$8:$CE$504,"RO")</f>
        <v>0</v>
      </c>
      <c r="AX61" s="809">
        <f>COUNTIFS('PLAN ACCION 2018'!$N$8:$N$504,AP61,'PLAN ACCION 2018'!$CE$8:$CE$504,"ROB")</f>
        <v>0</v>
      </c>
      <c r="AY61" s="1070">
        <f>COUNTIFS('PLAN ACCION 2018'!$N$8:$N$504,AP61,'PLAN ACCION 2018'!$CE$8:$CE$504,"AZ")</f>
        <v>0</v>
      </c>
      <c r="AZ61" s="1070">
        <f>COUNTIFS('PLAN ACCION 2018'!$N$8:$N$504,AP61,'PLAN ACCION 2018'!$CE$8:$CE$504,"NP")</f>
        <v>0</v>
      </c>
      <c r="BA61" s="1071">
        <f>COUNTIFS('PLAN ACCION 2018'!$N$8:$N$504,AP61,'PLAN ACCION 2018'!$CE$8:$CE$504,"E")</f>
        <v>0</v>
      </c>
      <c r="BB61" s="1197">
        <f>COUNTIFS('PLAN ACCION 2018'!$N$8:$N$504,AP61,'PLAN ACCION 2018'!$CE$8:$CE$504,"M")</f>
        <v>0</v>
      </c>
      <c r="BC61" s="787">
        <f t="shared" si="23"/>
        <v>88.888888888888886</v>
      </c>
      <c r="BG61" s="960" t="s">
        <v>4360</v>
      </c>
      <c r="BH61" s="1345">
        <f>COUNTIFS('PLAN ACCION 2018'!$N$7:$N$1003,BG61,'PLAN ACCION 2018'!$A$7:$A$1003,"*")</f>
        <v>9</v>
      </c>
      <c r="BI61" s="782">
        <f t="shared" si="29"/>
        <v>8</v>
      </c>
      <c r="BJ61" s="1067">
        <f>COUNTIFS('PLAN ACCION 2018'!$N$8:$N$504,BG61,'PLAN ACCION 2018'!$CF$8:$CF$504,$F$51)</f>
        <v>5</v>
      </c>
      <c r="BK61" s="1011">
        <f>COUNTIFS('PLAN ACCION 2018'!$N$8:$N$504,BG61,'PLAN ACCION 2018'!$CF$8:$CF$504,$G$51)</f>
        <v>0</v>
      </c>
      <c r="BL61" s="808">
        <f>COUNTIFS('PLAN ACCION 2018'!$N$8:$N$504,BG61,'PLAN ACCION 2018'!$CF$8:$CF$504,$H$51)</f>
        <v>1</v>
      </c>
      <c r="BM61" s="1014">
        <f>COUNTIFS('PLAN ACCION 2018'!$N$8:$N$504,BG61,'PLAN ACCION 2018'!$CF$8:$CF$504,$I$51)</f>
        <v>1</v>
      </c>
      <c r="BN61" s="774">
        <f>COUNTIFS('PLAN ACCION 2018'!$N$8:$N$504,BG61,'PLAN ACCION 2018'!$CF$8:$CF$504,$J$51)</f>
        <v>0</v>
      </c>
      <c r="BO61" s="809">
        <f>COUNTIFS('PLAN ACCION 2018'!$N$8:$N$504,BG61,'PLAN ACCION 2018'!$CF$8:$CF$504,$K$51)</f>
        <v>1</v>
      </c>
      <c r="BP61" s="1256">
        <f>COUNTIFS('PLAN ACCION 2018'!$N$8:$N$504,BG61,'PLAN ACCION 2018'!$CF$8:$CF$504,$L$51)</f>
        <v>1</v>
      </c>
      <c r="BQ61" s="1259">
        <f>COUNTIFS('PLAN ACCION 2018'!$N$8:$N$504,BG61,'PLAN ACCION 2018'!$CF$8:$CF$504,"NP")</f>
        <v>0</v>
      </c>
      <c r="BR61" s="1071">
        <f>COUNTIFS('PLAN ACCION 2018'!$N$8:$N$504,BG61,'PLAN ACCION 2018'!$CF$8:$CF$504,"E")</f>
        <v>0</v>
      </c>
      <c r="BS61" s="1197">
        <f>COUNTIFS('PLAN ACCION 2018'!$N$8:$N$504,BG61,'PLAN ACCION 2018'!$CF$8:$CF$504,"M")</f>
        <v>0</v>
      </c>
      <c r="BT61" s="787">
        <f t="shared" si="30"/>
        <v>75</v>
      </c>
    </row>
    <row r="62" spans="1:72" x14ac:dyDescent="0.3">
      <c r="A62" s="955"/>
      <c r="B62">
        <f t="shared" si="19"/>
        <v>0</v>
      </c>
      <c r="C62" s="960" t="s">
        <v>46</v>
      </c>
      <c r="D62" s="1345">
        <f>COUNTIFS('PLAN ACCION 2020'!$N$7:$N$1003,C62,'PLAN ACCION 2020'!$A$7:$A$1003,"*")</f>
        <v>1</v>
      </c>
      <c r="E62" s="782">
        <f t="shared" si="24"/>
        <v>1</v>
      </c>
      <c r="F62" s="1067">
        <f>COUNTIFS('PLAN ACCION 2020'!$N$8:$N$504,C62,'PLAN ACCION 2020'!$CG$8:$CG$504,$F$51)</f>
        <v>1</v>
      </c>
      <c r="G62" s="1011">
        <f>COUNTIFS('PLAN ACCION 2020'!$N$8:$N$504,C62,'PLAN ACCION 2020'!$CG$8:$CG$504,$G$51)</f>
        <v>0</v>
      </c>
      <c r="H62" s="808">
        <f>COUNTIFS('PLAN ACCION 2020'!$N$8:$N$504,C62,'PLAN ACCION 2020'!$CG$8:$CG$504,$H$51)</f>
        <v>0</v>
      </c>
      <c r="I62" s="1014">
        <f>COUNTIFS('PLAN ACCION 2020'!$N$8:$N$504,C62,'PLAN ACCION 2020'!$CG$8:$CG$504,$I$51)</f>
        <v>0</v>
      </c>
      <c r="J62" s="774">
        <f>COUNTIFS('PLAN ACCION 2020'!$N$8:$N$504,C62,'PLAN ACCION 2020'!$CG$8:$CG$504,$J$51)</f>
        <v>0</v>
      </c>
      <c r="K62" s="809">
        <f>COUNTIFS('PLAN ACCION 2020'!$N$8:$N$504,C62,'PLAN ACCION 2020'!$CG$8:$CG$504,$K$51)</f>
        <v>0</v>
      </c>
      <c r="L62" s="1256">
        <f>COUNTIFS('PLAN ACCION 2020'!$N$8:$N$504,C62,'PLAN ACCION 2020'!$CG$8:$CG$504,$L$51)</f>
        <v>0</v>
      </c>
      <c r="M62" s="1259">
        <f>COUNTIFS('PLAN ACCION 2020'!$N$8:$N$504,C62,'PLAN ACCION 2020'!$CG$8:$CG$504,"NP")</f>
        <v>0</v>
      </c>
      <c r="N62" s="1071">
        <f>COUNTIFS('PLAN ACCION 2020'!$N$8:$N$504,C62,'PLAN ACCION 2020'!$CG$8:$CG$504,"E")</f>
        <v>0</v>
      </c>
      <c r="O62" s="1197">
        <f>COUNTIFS('PLAN ACCION 2020'!$N$8:$N$504,C62,'PLAN ACCION 2020'!$CG$8:$CG$504,"M")</f>
        <v>0</v>
      </c>
      <c r="P62" s="787">
        <f t="shared" si="25"/>
        <v>74.626865671641795</v>
      </c>
      <c r="Q62" s="787">
        <f t="shared" si="20"/>
        <v>86.309523809523796</v>
      </c>
      <c r="R62" s="787">
        <f t="shared" si="26"/>
        <v>91.875</v>
      </c>
      <c r="S62" s="787">
        <f t="shared" si="27"/>
        <v>100</v>
      </c>
      <c r="T62" s="1252">
        <f t="shared" si="28"/>
        <v>88.202847370291394</v>
      </c>
      <c r="U62" s="229">
        <f t="shared" si="21"/>
        <v>4</v>
      </c>
      <c r="AA62" s="960" t="s">
        <v>46</v>
      </c>
      <c r="AB62" s="961">
        <f>COUNTIFS('PLAN ACCION 2018'!$N$7:$N$1003,AA62,'PLAN ACCION 2018'!$A$7:$A$1003,"*")</f>
        <v>100</v>
      </c>
      <c r="AC62" s="961">
        <f>+AB62-AJ62</f>
        <v>95</v>
      </c>
      <c r="AD62" s="1067">
        <f>COUNTIFS('PLAN ACCION 2018'!$N$8:$N$504,AA62,'PLAN ACCION 2018'!$CD$8:$CD$504,"VE")</f>
        <v>50</v>
      </c>
      <c r="AE62" s="1011">
        <f>COUNTIFS('PLAN ACCION 2018'!$N$8:$N$504,AA62,'PLAN ACCION 2018'!$CD$8:$CD$504,"VEB")</f>
        <v>0</v>
      </c>
      <c r="AF62" s="808">
        <f>COUNTIFS('PLAN ACCION 2018'!$N$8:$N$504,AA62,'PLAN ACCION 2018'!$CD$8:$CD$504,"AM")</f>
        <v>0</v>
      </c>
      <c r="AG62" s="1014">
        <f>COUNTIFS('PLAN ACCION 2018'!$N$8:$N$504,AA62,'PLAN ACCION 2018'!$CD$8:$CD$504,"AMB")</f>
        <v>3</v>
      </c>
      <c r="AH62" s="774">
        <f>COUNTIFS('PLAN ACCION 2018'!$N$8:$N$504,AA62,'PLAN ACCION 2018'!$CD$8:$CD$504,"RO")</f>
        <v>1</v>
      </c>
      <c r="AI62" s="809">
        <f>COUNTIFS('PLAN ACCION 2018'!$N$8:$N$504,AA62,'PLAN ACCION 2018'!$CD$8:$CD$504,"ROB")</f>
        <v>13</v>
      </c>
      <c r="AJ62" s="1070">
        <f>COUNTIFS('PLAN ACCION 2018'!$N$8:$N$504,AA62,'PLAN ACCION 2018'!$CD$8:$CD$504,"AZ")</f>
        <v>5</v>
      </c>
      <c r="AK62" s="1070">
        <f>COUNTIFS('PLAN ACCION 2018'!$N$8:$N$504,AA62,'PLAN ACCION 2018'!$CD$8:$CD$504,"NP")</f>
        <v>28</v>
      </c>
      <c r="AL62" s="1071">
        <f>COUNTIFS('PLAN ACCION 2018'!$N$8:$N$504,AA62,'PLAN ACCION 2018'!$CD$8:$CD$504,"E")</f>
        <v>0</v>
      </c>
      <c r="AM62" s="1197">
        <f>COUNTIFS('PLAN ACCION 2018'!$N$8:$N$504,AA62,'PLAN ACCION 2018'!$CD$8:$CD$504,"M")</f>
        <v>0</v>
      </c>
      <c r="AN62" s="787">
        <f t="shared" si="22"/>
        <v>74.626865671641795</v>
      </c>
      <c r="AP62" s="960" t="s">
        <v>46</v>
      </c>
      <c r="AQ62" s="961">
        <f>COUNTIFS('PLAN ACCION 2018'!$N$7:$N$1003,AP62,'PLAN ACCION 2018'!$A$7:$A$1003,"*")</f>
        <v>100</v>
      </c>
      <c r="AR62" s="961">
        <f>+AQ62-AY62</f>
        <v>97</v>
      </c>
      <c r="AS62" s="1067">
        <f>COUNTIFS('PLAN ACCION 2018'!$N$8:$N$504,AP62,'PLAN ACCION 2018'!$CE$8:$CE$504,"VE")</f>
        <v>72</v>
      </c>
      <c r="AT62" s="1011">
        <f>COUNTIFS('PLAN ACCION 2018'!$N$8:$N$504,AP62,'PLAN ACCION 2018'!$CE$8:$CE$504,"VEB")</f>
        <v>1</v>
      </c>
      <c r="AU62" s="808">
        <f>COUNTIFS('PLAN ACCION 2018'!$N$8:$N$504,AP62,'PLAN ACCION 2018'!$CE$8:$CE$504,"AM")</f>
        <v>1</v>
      </c>
      <c r="AV62" s="1014">
        <f>COUNTIFS('PLAN ACCION 2018'!$N$8:$N$504,AP62,'PLAN ACCION 2018'!$CE$8:$CE$504,"AMB")</f>
        <v>0</v>
      </c>
      <c r="AW62" s="774">
        <f>COUNTIFS('PLAN ACCION 2018'!$N$8:$N$504,AP62,'PLAN ACCION 2018'!$CE$8:$CE$504,"RO")</f>
        <v>4</v>
      </c>
      <c r="AX62" s="809">
        <f>COUNTIFS('PLAN ACCION 2018'!$N$8:$N$504,AP62,'PLAN ACCION 2018'!$CE$8:$CE$504,"ROB")</f>
        <v>6</v>
      </c>
      <c r="AY62" s="1070">
        <f>COUNTIFS('PLAN ACCION 2018'!$N$8:$N$504,AP62,'PLAN ACCION 2018'!$CE$8:$CE$504,"AZ")</f>
        <v>3</v>
      </c>
      <c r="AZ62" s="1070">
        <f>COUNTIFS('PLAN ACCION 2018'!$N$8:$N$504,AP62,'PLAN ACCION 2018'!$CE$8:$CE$504,"NP")</f>
        <v>13</v>
      </c>
      <c r="BA62" s="1071">
        <f>COUNTIFS('PLAN ACCION 2018'!$N$8:$N$504,AP62,'PLAN ACCION 2018'!$CE$8:$CE$504,"E")</f>
        <v>0</v>
      </c>
      <c r="BB62" s="1197">
        <f>COUNTIFS('PLAN ACCION 2018'!$N$8:$N$504,AP62,'PLAN ACCION 2018'!$CE$8:$CE$504,"M")</f>
        <v>0</v>
      </c>
      <c r="BC62" s="787">
        <f t="shared" si="23"/>
        <v>86.309523809523796</v>
      </c>
      <c r="BG62" s="960" t="s">
        <v>46</v>
      </c>
      <c r="BH62" s="1345">
        <f>COUNTIFS('PLAN ACCION 2018'!$N$7:$N$1003,BG62,'PLAN ACCION 2018'!$A$7:$A$1003,"*")</f>
        <v>100</v>
      </c>
      <c r="BI62" s="782">
        <f t="shared" si="29"/>
        <v>80</v>
      </c>
      <c r="BJ62" s="1067">
        <f>COUNTIFS('PLAN ACCION 2018'!$N$8:$N$504,BG62,'PLAN ACCION 2018'!$CF$8:$CF$504,$F$51)</f>
        <v>69</v>
      </c>
      <c r="BK62" s="1011">
        <f>COUNTIFS('PLAN ACCION 2018'!$N$8:$N$504,BG62,'PLAN ACCION 2018'!$CF$8:$CF$504,$G$51)</f>
        <v>4</v>
      </c>
      <c r="BL62" s="808">
        <f>COUNTIFS('PLAN ACCION 2018'!$N$8:$N$504,BG62,'PLAN ACCION 2018'!$CF$8:$CF$504,$H$51)</f>
        <v>0</v>
      </c>
      <c r="BM62" s="1014">
        <f>COUNTIFS('PLAN ACCION 2018'!$N$8:$N$504,BG62,'PLAN ACCION 2018'!$CF$8:$CF$504,$I$51)</f>
        <v>1</v>
      </c>
      <c r="BN62" s="774">
        <f>COUNTIFS('PLAN ACCION 2018'!$N$8:$N$504,BG62,'PLAN ACCION 2018'!$CF$8:$CF$504,$J$51)</f>
        <v>2</v>
      </c>
      <c r="BO62" s="809">
        <f>COUNTIFS('PLAN ACCION 2018'!$N$8:$N$504,BG62,'PLAN ACCION 2018'!$CF$8:$CF$504,$K$51)</f>
        <v>4</v>
      </c>
      <c r="BP62" s="1256">
        <f>COUNTIFS('PLAN ACCION 2018'!$N$8:$N$504,BG62,'PLAN ACCION 2018'!$CF$8:$CF$504,$L$51)</f>
        <v>0</v>
      </c>
      <c r="BQ62" s="1259">
        <f>COUNTIFS('PLAN ACCION 2018'!$N$8:$N$504,BG62,'PLAN ACCION 2018'!$CF$8:$CF$504,"NP")</f>
        <v>19</v>
      </c>
      <c r="BR62" s="1071">
        <f>COUNTIFS('PLAN ACCION 2018'!$N$8:$N$504,BG62,'PLAN ACCION 2018'!$CF$8:$CF$504,"E")</f>
        <v>1</v>
      </c>
      <c r="BS62" s="1197">
        <f>COUNTIFS('PLAN ACCION 2018'!$N$8:$N$504,BG62,'PLAN ACCION 2018'!$CF$8:$CF$504,"M")</f>
        <v>0</v>
      </c>
      <c r="BT62" s="787">
        <f t="shared" si="30"/>
        <v>91.875</v>
      </c>
    </row>
    <row r="63" spans="1:72" x14ac:dyDescent="0.3">
      <c r="A63" s="955"/>
      <c r="B63"/>
      <c r="C63" s="961"/>
      <c r="D63" s="961">
        <f t="shared" ref="D63:L63" si="31">SUM(D52:D62)</f>
        <v>85</v>
      </c>
      <c r="E63" s="961">
        <f t="shared" si="31"/>
        <v>74</v>
      </c>
      <c r="F63" s="1249">
        <f>SUM(F52:F62)</f>
        <v>67</v>
      </c>
      <c r="G63" s="1249">
        <f t="shared" si="31"/>
        <v>1</v>
      </c>
      <c r="H63" s="1249">
        <f t="shared" si="31"/>
        <v>0</v>
      </c>
      <c r="I63" s="1249">
        <f t="shared" si="31"/>
        <v>1</v>
      </c>
      <c r="J63" s="1249">
        <f t="shared" si="31"/>
        <v>0</v>
      </c>
      <c r="K63" s="1249">
        <f t="shared" si="31"/>
        <v>5</v>
      </c>
      <c r="L63" s="1250">
        <f t="shared" si="31"/>
        <v>0</v>
      </c>
      <c r="M63" s="1250">
        <f>SUM(M52:M62)</f>
        <v>11</v>
      </c>
      <c r="N63" s="1250">
        <f>SUM(N52:N62)</f>
        <v>4</v>
      </c>
      <c r="O63" s="1250">
        <f>SUM(O52:O62)</f>
        <v>0</v>
      </c>
      <c r="P63" s="787">
        <f t="shared" si="25"/>
        <v>72.38095238095238</v>
      </c>
      <c r="Q63" s="787">
        <f t="shared" si="20"/>
        <v>83.575581395348848</v>
      </c>
      <c r="R63" s="787">
        <f t="shared" si="26"/>
        <v>86.612903225806463</v>
      </c>
      <c r="S63" s="787">
        <f t="shared" si="27"/>
        <v>91.891891891891902</v>
      </c>
      <c r="T63" s="1252">
        <f t="shared" si="28"/>
        <v>83.615332223499905</v>
      </c>
      <c r="U63" s="229">
        <f t="shared" si="21"/>
        <v>4</v>
      </c>
      <c r="AA63" s="961"/>
      <c r="AB63" s="961">
        <f>SUM(AB52:AB62)</f>
        <v>425</v>
      </c>
      <c r="AC63" s="961">
        <f>SUM(AC52:AC62)</f>
        <v>367</v>
      </c>
      <c r="AD63" s="1249">
        <f>SUM(AD52:AD62)</f>
        <v>228</v>
      </c>
      <c r="AE63" s="1249">
        <f t="shared" ref="AE63:AJ63" si="32">SUM(AE52:AE62)</f>
        <v>3</v>
      </c>
      <c r="AF63" s="1249">
        <f t="shared" si="32"/>
        <v>0</v>
      </c>
      <c r="AG63" s="1249">
        <f t="shared" si="32"/>
        <v>10</v>
      </c>
      <c r="AH63" s="1249">
        <f t="shared" si="32"/>
        <v>4</v>
      </c>
      <c r="AI63" s="1249">
        <f t="shared" si="32"/>
        <v>70</v>
      </c>
      <c r="AJ63" s="1250">
        <f t="shared" si="32"/>
        <v>48</v>
      </c>
      <c r="AK63" s="1250">
        <f>SUM(AK52:AK62)</f>
        <v>59</v>
      </c>
      <c r="AL63" s="1250">
        <f>SUM(AL52:AL62)</f>
        <v>0</v>
      </c>
      <c r="AM63" s="1250">
        <f>SUM(AM52:AM62)</f>
        <v>0</v>
      </c>
      <c r="AN63" s="1254">
        <f t="shared" si="22"/>
        <v>72.38095238095238</v>
      </c>
      <c r="AP63" s="961"/>
      <c r="AQ63" s="961">
        <f>SUM(AQ52:AQ62)</f>
        <v>425</v>
      </c>
      <c r="AR63" s="961">
        <f>SUM(AR52:AR62)</f>
        <v>374</v>
      </c>
      <c r="AS63" s="1249">
        <f>SUM(AS52:AS62)</f>
        <v>285</v>
      </c>
      <c r="AT63" s="1249">
        <f t="shared" ref="AT63:AY63" si="33">SUM(AT52:AT62)</f>
        <v>6</v>
      </c>
      <c r="AU63" s="1249">
        <f t="shared" si="33"/>
        <v>5</v>
      </c>
      <c r="AV63" s="1249">
        <f t="shared" si="33"/>
        <v>10</v>
      </c>
      <c r="AW63" s="1249">
        <f t="shared" si="33"/>
        <v>10</v>
      </c>
      <c r="AX63" s="1249">
        <f t="shared" si="33"/>
        <v>28</v>
      </c>
      <c r="AY63" s="1250">
        <f t="shared" si="33"/>
        <v>43</v>
      </c>
      <c r="AZ63" s="1250">
        <f>SUM(AZ52:AZ62)</f>
        <v>35</v>
      </c>
      <c r="BA63" s="1250">
        <f>SUM(BA52:BA62)</f>
        <v>0</v>
      </c>
      <c r="BB63" s="1250">
        <f>SUM(BB52:BB62)</f>
        <v>0</v>
      </c>
      <c r="BC63" s="1254">
        <f t="shared" si="23"/>
        <v>83.575581395348848</v>
      </c>
      <c r="BG63" s="961"/>
      <c r="BH63" s="961">
        <f t="shared" ref="BH63:BI63" si="34">SUM(BH52:BH62)</f>
        <v>424</v>
      </c>
      <c r="BI63" s="961">
        <f t="shared" si="34"/>
        <v>314</v>
      </c>
      <c r="BJ63" s="1249">
        <f>SUM(BJ52:BJ62)</f>
        <v>251</v>
      </c>
      <c r="BK63" s="1249">
        <f t="shared" ref="BK63:BP63" si="35">SUM(BK52:BK62)</f>
        <v>11</v>
      </c>
      <c r="BL63" s="1249">
        <f t="shared" si="35"/>
        <v>4</v>
      </c>
      <c r="BM63" s="1249">
        <f t="shared" si="35"/>
        <v>9</v>
      </c>
      <c r="BN63" s="1249">
        <f t="shared" si="35"/>
        <v>8</v>
      </c>
      <c r="BO63" s="1249">
        <f t="shared" si="35"/>
        <v>27</v>
      </c>
      <c r="BP63" s="1250">
        <f t="shared" si="35"/>
        <v>4</v>
      </c>
      <c r="BQ63" s="1250">
        <f>SUM(BQ52:BQ62)</f>
        <v>102</v>
      </c>
      <c r="BR63" s="1250">
        <f>SUM(BR52:BR62)</f>
        <v>4</v>
      </c>
      <c r="BS63" s="1250">
        <f>SUM(BS52:BS62)</f>
        <v>0</v>
      </c>
      <c r="BT63" s="787">
        <f t="shared" si="30"/>
        <v>86.612903225806463</v>
      </c>
    </row>
    <row r="64" spans="1:72" x14ac:dyDescent="0.3">
      <c r="A64" s="955"/>
      <c r="B64"/>
      <c r="D64" s="229"/>
      <c r="E64" s="229"/>
      <c r="F64" s="229"/>
      <c r="G64" s="229"/>
      <c r="H64" s="229"/>
      <c r="I64" s="229"/>
      <c r="J64" s="229"/>
      <c r="K64" s="229"/>
      <c r="L64" s="229"/>
      <c r="M64" s="229"/>
      <c r="N64" s="229"/>
      <c r="O64" s="229"/>
      <c r="P64" s="229"/>
      <c r="Q64" s="229"/>
      <c r="R64" s="229"/>
      <c r="S64" s="229"/>
    </row>
    <row r="65" spans="1:19" x14ac:dyDescent="0.3">
      <c r="A65" s="955"/>
      <c r="B65"/>
      <c r="D65" s="229"/>
      <c r="E65" s="229"/>
      <c r="F65" s="229"/>
      <c r="G65" s="229"/>
      <c r="H65" s="229"/>
      <c r="I65" s="229"/>
      <c r="J65" s="229"/>
      <c r="K65" s="229"/>
      <c r="L65" s="229"/>
      <c r="M65" s="229"/>
      <c r="N65" s="229"/>
      <c r="O65" s="229"/>
      <c r="P65" s="229"/>
      <c r="Q65" s="229"/>
      <c r="R65" s="229"/>
      <c r="S65" s="229"/>
    </row>
    <row r="66" spans="1:19" x14ac:dyDescent="0.3">
      <c r="A66" s="955"/>
      <c r="B66"/>
      <c r="D66" s="229"/>
      <c r="E66" s="229"/>
      <c r="F66" s="229"/>
      <c r="G66" s="229"/>
      <c r="H66" s="229"/>
      <c r="I66" s="229"/>
      <c r="J66" s="229"/>
      <c r="K66" s="229"/>
      <c r="L66" s="229"/>
      <c r="M66" s="229"/>
      <c r="N66" s="229"/>
      <c r="O66" s="229"/>
      <c r="P66" s="229"/>
      <c r="Q66" s="229"/>
      <c r="R66" s="229"/>
      <c r="S66" s="229"/>
    </row>
    <row r="67" spans="1:19" x14ac:dyDescent="0.3">
      <c r="A67" s="955"/>
      <c r="B67"/>
      <c r="D67" s="229"/>
      <c r="E67" s="229"/>
      <c r="F67" s="229"/>
      <c r="G67" s="229"/>
      <c r="H67" s="229"/>
      <c r="I67" s="229"/>
      <c r="J67" s="229"/>
      <c r="K67" s="229"/>
      <c r="L67" s="229"/>
      <c r="M67" s="229"/>
      <c r="N67" s="229"/>
      <c r="O67" s="229"/>
      <c r="P67" s="229"/>
      <c r="Q67" s="229"/>
      <c r="R67" s="229"/>
      <c r="S67" s="229"/>
    </row>
    <row r="68" spans="1:19" x14ac:dyDescent="0.3">
      <c r="A68" s="955"/>
      <c r="B68"/>
      <c r="D68" s="229"/>
      <c r="E68" s="229"/>
      <c r="F68" s="229"/>
      <c r="G68" s="229"/>
      <c r="H68" s="229"/>
      <c r="I68" s="229"/>
      <c r="J68" s="229"/>
      <c r="K68" s="229"/>
      <c r="L68" s="229"/>
      <c r="M68" s="229"/>
      <c r="N68" s="229"/>
      <c r="O68" s="229"/>
      <c r="P68" s="229"/>
      <c r="Q68" s="229"/>
      <c r="R68" s="229"/>
      <c r="S68" s="229"/>
    </row>
    <row r="69" spans="1:19" x14ac:dyDescent="0.3">
      <c r="A69" s="955"/>
      <c r="B69"/>
      <c r="D69" s="229"/>
      <c r="E69" s="229"/>
      <c r="F69" s="229"/>
      <c r="G69" s="229"/>
      <c r="H69" s="229"/>
      <c r="I69" s="229"/>
      <c r="J69" s="229"/>
      <c r="K69" s="229"/>
      <c r="L69" s="229"/>
      <c r="M69" s="229"/>
      <c r="N69" s="229"/>
      <c r="O69" s="229"/>
      <c r="P69" s="229"/>
      <c r="Q69" s="229"/>
      <c r="R69" s="229"/>
      <c r="S69" s="229"/>
    </row>
    <row r="70" spans="1:19" x14ac:dyDescent="0.3">
      <c r="A70" s="955"/>
      <c r="B70"/>
      <c r="D70" s="229"/>
      <c r="E70" s="229"/>
      <c r="F70" s="229"/>
      <c r="G70" s="229"/>
      <c r="H70" s="229"/>
      <c r="I70" s="229"/>
      <c r="J70" s="229"/>
      <c r="K70" s="229"/>
      <c r="L70" s="229"/>
      <c r="M70" s="229"/>
      <c r="N70" s="229"/>
      <c r="O70" s="229"/>
      <c r="P70" s="229"/>
      <c r="Q70" s="229"/>
      <c r="R70" s="229"/>
      <c r="S70" s="229"/>
    </row>
    <row r="71" spans="1:19" x14ac:dyDescent="0.3">
      <c r="A71" s="955"/>
      <c r="B71"/>
      <c r="D71" s="229"/>
      <c r="E71" s="229"/>
      <c r="F71" s="229"/>
      <c r="G71" s="229"/>
      <c r="H71" s="229"/>
      <c r="I71" s="229"/>
      <c r="J71" s="229"/>
      <c r="K71" s="229"/>
      <c r="L71" s="229"/>
      <c r="M71" s="229"/>
      <c r="N71" s="229"/>
      <c r="O71" s="229"/>
      <c r="P71" s="229"/>
      <c r="Q71" s="229"/>
      <c r="R71" s="229"/>
      <c r="S71" s="229"/>
    </row>
    <row r="72" spans="1:19" x14ac:dyDescent="0.3">
      <c r="A72" s="955"/>
      <c r="B72"/>
      <c r="D72" s="229"/>
      <c r="E72" s="229"/>
      <c r="F72" s="229"/>
      <c r="G72" s="229"/>
      <c r="H72" s="229"/>
      <c r="I72" s="229"/>
      <c r="J72" s="229"/>
      <c r="K72" s="229"/>
      <c r="L72" s="229"/>
      <c r="M72" s="229"/>
      <c r="N72" s="229"/>
      <c r="O72" s="229"/>
      <c r="P72" s="229"/>
      <c r="Q72" s="229"/>
      <c r="R72" s="229"/>
      <c r="S72" s="229"/>
    </row>
    <row r="73" spans="1:19" x14ac:dyDescent="0.3">
      <c r="D73" s="229"/>
      <c r="E73" s="229"/>
      <c r="F73" s="229"/>
      <c r="G73" s="229"/>
      <c r="H73" s="229"/>
      <c r="I73" s="229"/>
      <c r="J73" s="229"/>
      <c r="K73" s="229"/>
      <c r="L73" s="229"/>
      <c r="M73" s="229"/>
      <c r="N73" s="229"/>
      <c r="O73" s="229"/>
      <c r="P73" s="229"/>
      <c r="Q73" s="229"/>
      <c r="R73" s="229"/>
      <c r="S73" s="229"/>
    </row>
    <row r="74" spans="1:19" x14ac:dyDescent="0.3">
      <c r="D74" s="229"/>
      <c r="E74" s="229"/>
      <c r="F74" s="229"/>
      <c r="G74" s="229"/>
      <c r="H74" s="229"/>
      <c r="I74" s="229"/>
      <c r="J74" s="229"/>
      <c r="K74" s="229"/>
      <c r="L74" s="229"/>
      <c r="M74" s="229"/>
      <c r="N74" s="229"/>
      <c r="O74" s="229"/>
      <c r="P74" s="229"/>
      <c r="Q74" s="229"/>
      <c r="R74" s="229"/>
      <c r="S74" s="229"/>
    </row>
  </sheetData>
  <customSheetViews>
    <customSheetView guid="{92B8BA5A-7984-4526-9F7A-187FF856FCAE}" hiddenColumns="1" topLeftCell="A4">
      <pane ySplit="5" topLeftCell="A9" activePane="bottomLeft" state="frozen"/>
      <selection pane="bottomLeft" activeCell="D17" sqref="D17"/>
      <pageMargins left="0" right="0" top="0" bottom="0" header="0" footer="0"/>
      <pageSetup scale="75" orientation="landscape" r:id="rId1"/>
    </customSheetView>
  </customSheetViews>
  <mergeCells count="8">
    <mergeCell ref="P50:T50"/>
    <mergeCell ref="BT7:BT8"/>
    <mergeCell ref="C2:T2"/>
    <mergeCell ref="AA2:AN2"/>
    <mergeCell ref="AP2:BC2"/>
    <mergeCell ref="C4:T4"/>
    <mergeCell ref="P7:T7"/>
    <mergeCell ref="BT50:BT51"/>
  </mergeCells>
  <conditionalFormatting sqref="H8 K51:L51 K8:M8">
    <cfRule type="containsText" dxfId="55" priority="289" operator="containsText" text="AZ">
      <formula>NOT(ISERROR(SEARCH("AZ",H8)))</formula>
    </cfRule>
    <cfRule type="containsText" dxfId="54" priority="290" operator="containsText" text="RO">
      <formula>NOT(ISERROR(SEARCH("RO",H8)))</formula>
    </cfRule>
    <cfRule type="containsText" dxfId="53" priority="291" operator="containsText" text="AM">
      <formula>NOT(ISERROR(SEARCH("AM",H8)))</formula>
    </cfRule>
    <cfRule type="containsText" dxfId="52" priority="292" operator="containsText" text="VE">
      <formula>NOT(ISERROR(SEARCH("VE",H8)))</formula>
    </cfRule>
  </conditionalFormatting>
  <conditionalFormatting sqref="H51">
    <cfRule type="containsText" dxfId="51" priority="285" operator="containsText" text="AZ">
      <formula>NOT(ISERROR(SEARCH("AZ",H51)))</formula>
    </cfRule>
    <cfRule type="containsText" dxfId="50" priority="286" operator="containsText" text="RO">
      <formula>NOT(ISERROR(SEARCH("RO",H51)))</formula>
    </cfRule>
    <cfRule type="containsText" dxfId="49" priority="287" operator="containsText" text="AM">
      <formula>NOT(ISERROR(SEARCH("AM",H51)))</formula>
    </cfRule>
    <cfRule type="containsText" dxfId="48" priority="288" operator="containsText" text="VE">
      <formula>NOT(ISERROR(SEARCH("VE",H51)))</formula>
    </cfRule>
  </conditionalFormatting>
  <conditionalFormatting sqref="T9:T26">
    <cfRule type="iconSet" priority="293">
      <iconSet iconSet="3Arrows">
        <cfvo type="percent" val="0"/>
        <cfvo type="num" val="40"/>
        <cfvo type="num" val="70"/>
      </iconSet>
    </cfRule>
  </conditionalFormatting>
  <conditionalFormatting sqref="P9:P26">
    <cfRule type="iconSet" priority="284">
      <iconSet iconSet="3Arrows">
        <cfvo type="percent" val="0"/>
        <cfvo type="num" val="40"/>
        <cfvo type="num" val="70"/>
      </iconSet>
    </cfRule>
  </conditionalFormatting>
  <conditionalFormatting sqref="S9:S25">
    <cfRule type="iconSet" priority="283">
      <iconSet iconSet="3Arrows">
        <cfvo type="percent" val="0"/>
        <cfvo type="num" val="40"/>
        <cfvo type="num" val="70"/>
      </iconSet>
    </cfRule>
  </conditionalFormatting>
  <conditionalFormatting sqref="P52:P63">
    <cfRule type="iconSet" priority="281">
      <iconSet iconSet="3Arrows">
        <cfvo type="percent" val="0"/>
        <cfvo type="num" val="40"/>
        <cfvo type="num" val="70"/>
      </iconSet>
    </cfRule>
  </conditionalFormatting>
  <conditionalFormatting sqref="Q52:Q63">
    <cfRule type="iconSet" priority="280">
      <iconSet iconSet="3Arrows">
        <cfvo type="percent" val="0"/>
        <cfvo type="num" val="40"/>
        <cfvo type="num" val="70"/>
      </iconSet>
    </cfRule>
  </conditionalFormatting>
  <conditionalFormatting sqref="S52">
    <cfRule type="iconSet" priority="279">
      <iconSet iconSet="3Arrows">
        <cfvo type="percent" val="0"/>
        <cfvo type="num" val="40"/>
        <cfvo type="num" val="70"/>
      </iconSet>
    </cfRule>
  </conditionalFormatting>
  <conditionalFormatting sqref="M51">
    <cfRule type="containsText" dxfId="47" priority="275" operator="containsText" text="AZ">
      <formula>NOT(ISERROR(SEARCH("AZ",M51)))</formula>
    </cfRule>
    <cfRule type="containsText" dxfId="46" priority="276" operator="containsText" text="RO">
      <formula>NOT(ISERROR(SEARCH("RO",M51)))</formula>
    </cfRule>
    <cfRule type="containsText" dxfId="45" priority="277" operator="containsText" text="AM">
      <formula>NOT(ISERROR(SEARCH("AM",M51)))</formula>
    </cfRule>
    <cfRule type="containsText" dxfId="44" priority="278" operator="containsText" text="VE">
      <formula>NOT(ISERROR(SEARCH("VE",M51)))</formula>
    </cfRule>
  </conditionalFormatting>
  <conditionalFormatting sqref="T52:T63">
    <cfRule type="iconSet" priority="274">
      <iconSet iconSet="3Arrows">
        <cfvo type="percent" val="0"/>
        <cfvo type="num" val="40"/>
        <cfvo type="num" val="70"/>
      </iconSet>
    </cfRule>
  </conditionalFormatting>
  <conditionalFormatting sqref="AF8 AI51:AJ51 AI8:AK8">
    <cfRule type="containsText" dxfId="43" priority="270" operator="containsText" text="AZ">
      <formula>NOT(ISERROR(SEARCH("AZ",AF8)))</formula>
    </cfRule>
    <cfRule type="containsText" dxfId="42" priority="271" operator="containsText" text="RO">
      <formula>NOT(ISERROR(SEARCH("RO",AF8)))</formula>
    </cfRule>
    <cfRule type="containsText" dxfId="41" priority="272" operator="containsText" text="AM">
      <formula>NOT(ISERROR(SEARCH("AM",AF8)))</formula>
    </cfRule>
    <cfRule type="containsText" dxfId="40" priority="273" operator="containsText" text="VE">
      <formula>NOT(ISERROR(SEARCH("VE",AF8)))</formula>
    </cfRule>
  </conditionalFormatting>
  <conditionalFormatting sqref="AF51">
    <cfRule type="containsText" dxfId="39" priority="266" operator="containsText" text="AZ">
      <formula>NOT(ISERROR(SEARCH("AZ",AF51)))</formula>
    </cfRule>
    <cfRule type="containsText" dxfId="38" priority="267" operator="containsText" text="RO">
      <formula>NOT(ISERROR(SEARCH("RO",AF51)))</formula>
    </cfRule>
    <cfRule type="containsText" dxfId="37" priority="268" operator="containsText" text="AM">
      <formula>NOT(ISERROR(SEARCH("AM",AF51)))</formula>
    </cfRule>
    <cfRule type="containsText" dxfId="36" priority="269" operator="containsText" text="VE">
      <formula>NOT(ISERROR(SEARCH("VE",AF51)))</formula>
    </cfRule>
  </conditionalFormatting>
  <conditionalFormatting sqref="AK51">
    <cfRule type="containsText" dxfId="35" priority="262" operator="containsText" text="AZ">
      <formula>NOT(ISERROR(SEARCH("AZ",AK51)))</formula>
    </cfRule>
    <cfRule type="containsText" dxfId="34" priority="263" operator="containsText" text="RO">
      <formula>NOT(ISERROR(SEARCH("RO",AK51)))</formula>
    </cfRule>
    <cfRule type="containsText" dxfId="33" priority="264" operator="containsText" text="AM">
      <formula>NOT(ISERROR(SEARCH("AM",AK51)))</formula>
    </cfRule>
    <cfRule type="containsText" dxfId="32" priority="265" operator="containsText" text="VE">
      <formula>NOT(ISERROR(SEARCH("VE",AK51)))</formula>
    </cfRule>
  </conditionalFormatting>
  <conditionalFormatting sqref="AN10">
    <cfRule type="iconSet" priority="261">
      <iconSet iconSet="3Arrows">
        <cfvo type="percent" val="0"/>
        <cfvo type="num" val="40"/>
        <cfvo type="num" val="70"/>
      </iconSet>
    </cfRule>
  </conditionalFormatting>
  <conditionalFormatting sqref="AN11">
    <cfRule type="iconSet" priority="260">
      <iconSet iconSet="3Arrows">
        <cfvo type="percent" val="0"/>
        <cfvo type="num" val="40"/>
        <cfvo type="num" val="70"/>
      </iconSet>
    </cfRule>
  </conditionalFormatting>
  <conditionalFormatting sqref="AN12">
    <cfRule type="iconSet" priority="259">
      <iconSet iconSet="3Arrows">
        <cfvo type="percent" val="0"/>
        <cfvo type="num" val="40"/>
        <cfvo type="num" val="70"/>
      </iconSet>
    </cfRule>
  </conditionalFormatting>
  <conditionalFormatting sqref="AN13">
    <cfRule type="iconSet" priority="258">
      <iconSet iconSet="3Arrows">
        <cfvo type="percent" val="0"/>
        <cfvo type="num" val="40"/>
        <cfvo type="num" val="70"/>
      </iconSet>
    </cfRule>
  </conditionalFormatting>
  <conditionalFormatting sqref="AN14">
    <cfRule type="iconSet" priority="257">
      <iconSet iconSet="3Arrows">
        <cfvo type="percent" val="0"/>
        <cfvo type="num" val="40"/>
        <cfvo type="num" val="70"/>
      </iconSet>
    </cfRule>
  </conditionalFormatting>
  <conditionalFormatting sqref="AN15">
    <cfRule type="iconSet" priority="256">
      <iconSet iconSet="3Arrows">
        <cfvo type="percent" val="0"/>
        <cfvo type="num" val="40"/>
        <cfvo type="num" val="70"/>
      </iconSet>
    </cfRule>
  </conditionalFormatting>
  <conditionalFormatting sqref="AN16">
    <cfRule type="iconSet" priority="255">
      <iconSet iconSet="3Arrows">
        <cfvo type="percent" val="0"/>
        <cfvo type="num" val="40"/>
        <cfvo type="num" val="70"/>
      </iconSet>
    </cfRule>
  </conditionalFormatting>
  <conditionalFormatting sqref="AN17">
    <cfRule type="iconSet" priority="254">
      <iconSet iconSet="3Arrows">
        <cfvo type="percent" val="0"/>
        <cfvo type="num" val="40"/>
        <cfvo type="num" val="70"/>
      </iconSet>
    </cfRule>
  </conditionalFormatting>
  <conditionalFormatting sqref="AN18">
    <cfRule type="iconSet" priority="253">
      <iconSet iconSet="3Arrows">
        <cfvo type="percent" val="0"/>
        <cfvo type="num" val="40"/>
        <cfvo type="num" val="70"/>
      </iconSet>
    </cfRule>
  </conditionalFormatting>
  <conditionalFormatting sqref="AN19">
    <cfRule type="iconSet" priority="252">
      <iconSet iconSet="3Arrows">
        <cfvo type="percent" val="0"/>
        <cfvo type="num" val="40"/>
        <cfvo type="num" val="70"/>
      </iconSet>
    </cfRule>
  </conditionalFormatting>
  <conditionalFormatting sqref="AN20">
    <cfRule type="iconSet" priority="251">
      <iconSet iconSet="3Arrows">
        <cfvo type="percent" val="0"/>
        <cfvo type="num" val="40"/>
        <cfvo type="num" val="70"/>
      </iconSet>
    </cfRule>
  </conditionalFormatting>
  <conditionalFormatting sqref="AN21">
    <cfRule type="iconSet" priority="250">
      <iconSet iconSet="3Arrows">
        <cfvo type="percent" val="0"/>
        <cfvo type="num" val="40"/>
        <cfvo type="num" val="70"/>
      </iconSet>
    </cfRule>
  </conditionalFormatting>
  <conditionalFormatting sqref="AN22">
    <cfRule type="iconSet" priority="249">
      <iconSet iconSet="3Arrows">
        <cfvo type="percent" val="0"/>
        <cfvo type="num" val="40"/>
        <cfvo type="num" val="70"/>
      </iconSet>
    </cfRule>
  </conditionalFormatting>
  <conditionalFormatting sqref="AN23">
    <cfRule type="iconSet" priority="248">
      <iconSet iconSet="3Arrows">
        <cfvo type="percent" val="0"/>
        <cfvo type="num" val="40"/>
        <cfvo type="num" val="70"/>
      </iconSet>
    </cfRule>
  </conditionalFormatting>
  <conditionalFormatting sqref="AN24">
    <cfRule type="iconSet" priority="247">
      <iconSet iconSet="3Arrows">
        <cfvo type="percent" val="0"/>
        <cfvo type="num" val="40"/>
        <cfvo type="num" val="70"/>
      </iconSet>
    </cfRule>
  </conditionalFormatting>
  <conditionalFormatting sqref="AN25">
    <cfRule type="iconSet" priority="246">
      <iconSet iconSet="3Arrows">
        <cfvo type="percent" val="0"/>
        <cfvo type="num" val="40"/>
        <cfvo type="num" val="70"/>
      </iconSet>
    </cfRule>
  </conditionalFormatting>
  <conditionalFormatting sqref="AN26">
    <cfRule type="iconSet" priority="245">
      <iconSet iconSet="3Arrows">
        <cfvo type="percent" val="0"/>
        <cfvo type="num" val="40"/>
        <cfvo type="num" val="70"/>
      </iconSet>
    </cfRule>
  </conditionalFormatting>
  <conditionalFormatting sqref="AN52">
    <cfRule type="iconSet" priority="244">
      <iconSet iconSet="3Arrows">
        <cfvo type="percent" val="0"/>
        <cfvo type="num" val="40"/>
        <cfvo type="num" val="70"/>
      </iconSet>
    </cfRule>
  </conditionalFormatting>
  <conditionalFormatting sqref="AN53">
    <cfRule type="iconSet" priority="243">
      <iconSet iconSet="3Arrows">
        <cfvo type="percent" val="0"/>
        <cfvo type="num" val="40"/>
        <cfvo type="num" val="70"/>
      </iconSet>
    </cfRule>
  </conditionalFormatting>
  <conditionalFormatting sqref="AN54">
    <cfRule type="iconSet" priority="242">
      <iconSet iconSet="3Arrows">
        <cfvo type="percent" val="0"/>
        <cfvo type="num" val="40"/>
        <cfvo type="num" val="70"/>
      </iconSet>
    </cfRule>
  </conditionalFormatting>
  <conditionalFormatting sqref="AN55">
    <cfRule type="iconSet" priority="241">
      <iconSet iconSet="3Arrows">
        <cfvo type="percent" val="0"/>
        <cfvo type="num" val="40"/>
        <cfvo type="num" val="70"/>
      </iconSet>
    </cfRule>
  </conditionalFormatting>
  <conditionalFormatting sqref="AN56">
    <cfRule type="iconSet" priority="240">
      <iconSet iconSet="3Arrows">
        <cfvo type="percent" val="0"/>
        <cfvo type="num" val="40"/>
        <cfvo type="num" val="70"/>
      </iconSet>
    </cfRule>
  </conditionalFormatting>
  <conditionalFormatting sqref="AN57">
    <cfRule type="iconSet" priority="239">
      <iconSet iconSet="3Arrows">
        <cfvo type="percent" val="0"/>
        <cfvo type="num" val="40"/>
        <cfvo type="num" val="70"/>
      </iconSet>
    </cfRule>
  </conditionalFormatting>
  <conditionalFormatting sqref="AN58">
    <cfRule type="iconSet" priority="238">
      <iconSet iconSet="3Arrows">
        <cfvo type="percent" val="0"/>
        <cfvo type="num" val="40"/>
        <cfvo type="num" val="70"/>
      </iconSet>
    </cfRule>
  </conditionalFormatting>
  <conditionalFormatting sqref="AN59">
    <cfRule type="iconSet" priority="237">
      <iconSet iconSet="3Arrows">
        <cfvo type="percent" val="0"/>
        <cfvo type="num" val="40"/>
        <cfvo type="num" val="70"/>
      </iconSet>
    </cfRule>
  </conditionalFormatting>
  <conditionalFormatting sqref="AN60">
    <cfRule type="iconSet" priority="236">
      <iconSet iconSet="3Arrows">
        <cfvo type="percent" val="0"/>
        <cfvo type="num" val="40"/>
        <cfvo type="num" val="70"/>
      </iconSet>
    </cfRule>
  </conditionalFormatting>
  <conditionalFormatting sqref="AN61">
    <cfRule type="iconSet" priority="235">
      <iconSet iconSet="3Arrows">
        <cfvo type="percent" val="0"/>
        <cfvo type="num" val="40"/>
        <cfvo type="num" val="70"/>
      </iconSet>
    </cfRule>
  </conditionalFormatting>
  <conditionalFormatting sqref="AN62">
    <cfRule type="iconSet" priority="234">
      <iconSet iconSet="3Arrows">
        <cfvo type="percent" val="0"/>
        <cfvo type="num" val="40"/>
        <cfvo type="num" val="70"/>
      </iconSet>
    </cfRule>
  </conditionalFormatting>
  <conditionalFormatting sqref="AN9">
    <cfRule type="iconSet" priority="294">
      <iconSet iconSet="3Arrows">
        <cfvo type="percent" val="0"/>
        <cfvo type="num" val="40"/>
        <cfvo type="num" val="70"/>
      </iconSet>
    </cfRule>
  </conditionalFormatting>
  <conditionalFormatting sqref="AN63">
    <cfRule type="iconSet" priority="233">
      <iconSet iconSet="3Arrows">
        <cfvo type="percent" val="0"/>
        <cfvo type="num" val="40"/>
        <cfvo type="num" val="70"/>
      </iconSet>
    </cfRule>
  </conditionalFormatting>
  <conditionalFormatting sqref="AU8 AX51:AY51 AX8:AZ8">
    <cfRule type="containsText" dxfId="31" priority="228" operator="containsText" text="AZ">
      <formula>NOT(ISERROR(SEARCH("AZ",AU8)))</formula>
    </cfRule>
    <cfRule type="containsText" dxfId="30" priority="229" operator="containsText" text="RO">
      <formula>NOT(ISERROR(SEARCH("RO",AU8)))</formula>
    </cfRule>
    <cfRule type="containsText" dxfId="29" priority="230" operator="containsText" text="AM">
      <formula>NOT(ISERROR(SEARCH("AM",AU8)))</formula>
    </cfRule>
    <cfRule type="containsText" dxfId="28" priority="231" operator="containsText" text="VE">
      <formula>NOT(ISERROR(SEARCH("VE",AU8)))</formula>
    </cfRule>
  </conditionalFormatting>
  <conditionalFormatting sqref="AU51">
    <cfRule type="containsText" dxfId="27" priority="224" operator="containsText" text="AZ">
      <formula>NOT(ISERROR(SEARCH("AZ",AU51)))</formula>
    </cfRule>
    <cfRule type="containsText" dxfId="26" priority="225" operator="containsText" text="RO">
      <formula>NOT(ISERROR(SEARCH("RO",AU51)))</formula>
    </cfRule>
    <cfRule type="containsText" dxfId="25" priority="226" operator="containsText" text="AM">
      <formula>NOT(ISERROR(SEARCH("AM",AU51)))</formula>
    </cfRule>
    <cfRule type="containsText" dxfId="24" priority="227" operator="containsText" text="VE">
      <formula>NOT(ISERROR(SEARCH("VE",AU51)))</formula>
    </cfRule>
  </conditionalFormatting>
  <conditionalFormatting sqref="AZ51">
    <cfRule type="containsText" dxfId="23" priority="220" operator="containsText" text="AZ">
      <formula>NOT(ISERROR(SEARCH("AZ",AZ51)))</formula>
    </cfRule>
    <cfRule type="containsText" dxfId="22" priority="221" operator="containsText" text="RO">
      <formula>NOT(ISERROR(SEARCH("RO",AZ51)))</formula>
    </cfRule>
    <cfRule type="containsText" dxfId="21" priority="222" operator="containsText" text="AM">
      <formula>NOT(ISERROR(SEARCH("AM",AZ51)))</formula>
    </cfRule>
    <cfRule type="containsText" dxfId="20" priority="223" operator="containsText" text="VE">
      <formula>NOT(ISERROR(SEARCH("VE",AZ51)))</formula>
    </cfRule>
  </conditionalFormatting>
  <conditionalFormatting sqref="BC10">
    <cfRule type="iconSet" priority="219">
      <iconSet iconSet="3Arrows">
        <cfvo type="percent" val="0"/>
        <cfvo type="num" val="40"/>
        <cfvo type="num" val="70"/>
      </iconSet>
    </cfRule>
  </conditionalFormatting>
  <conditionalFormatting sqref="BC11">
    <cfRule type="iconSet" priority="218">
      <iconSet iconSet="3Arrows">
        <cfvo type="percent" val="0"/>
        <cfvo type="num" val="40"/>
        <cfvo type="num" val="70"/>
      </iconSet>
    </cfRule>
  </conditionalFormatting>
  <conditionalFormatting sqref="BC12">
    <cfRule type="iconSet" priority="217">
      <iconSet iconSet="3Arrows">
        <cfvo type="percent" val="0"/>
        <cfvo type="num" val="40"/>
        <cfvo type="num" val="70"/>
      </iconSet>
    </cfRule>
  </conditionalFormatting>
  <conditionalFormatting sqref="BC13">
    <cfRule type="iconSet" priority="216">
      <iconSet iconSet="3Arrows">
        <cfvo type="percent" val="0"/>
        <cfvo type="num" val="40"/>
        <cfvo type="num" val="70"/>
      </iconSet>
    </cfRule>
  </conditionalFormatting>
  <conditionalFormatting sqref="BC14">
    <cfRule type="iconSet" priority="215">
      <iconSet iconSet="3Arrows">
        <cfvo type="percent" val="0"/>
        <cfvo type="num" val="40"/>
        <cfvo type="num" val="70"/>
      </iconSet>
    </cfRule>
  </conditionalFormatting>
  <conditionalFormatting sqref="BC15">
    <cfRule type="iconSet" priority="214">
      <iconSet iconSet="3Arrows">
        <cfvo type="percent" val="0"/>
        <cfvo type="num" val="40"/>
        <cfvo type="num" val="70"/>
      </iconSet>
    </cfRule>
  </conditionalFormatting>
  <conditionalFormatting sqref="BC16">
    <cfRule type="iconSet" priority="213">
      <iconSet iconSet="3Arrows">
        <cfvo type="percent" val="0"/>
        <cfvo type="num" val="40"/>
        <cfvo type="num" val="70"/>
      </iconSet>
    </cfRule>
  </conditionalFormatting>
  <conditionalFormatting sqref="BC17">
    <cfRule type="iconSet" priority="212">
      <iconSet iconSet="3Arrows">
        <cfvo type="percent" val="0"/>
        <cfvo type="num" val="40"/>
        <cfvo type="num" val="70"/>
      </iconSet>
    </cfRule>
  </conditionalFormatting>
  <conditionalFormatting sqref="BC18">
    <cfRule type="iconSet" priority="211">
      <iconSet iconSet="3Arrows">
        <cfvo type="percent" val="0"/>
        <cfvo type="num" val="40"/>
        <cfvo type="num" val="70"/>
      </iconSet>
    </cfRule>
  </conditionalFormatting>
  <conditionalFormatting sqref="BC19">
    <cfRule type="iconSet" priority="210">
      <iconSet iconSet="3Arrows">
        <cfvo type="percent" val="0"/>
        <cfvo type="num" val="40"/>
        <cfvo type="num" val="70"/>
      </iconSet>
    </cfRule>
  </conditionalFormatting>
  <conditionalFormatting sqref="BC20">
    <cfRule type="iconSet" priority="209">
      <iconSet iconSet="3Arrows">
        <cfvo type="percent" val="0"/>
        <cfvo type="num" val="40"/>
        <cfvo type="num" val="70"/>
      </iconSet>
    </cfRule>
  </conditionalFormatting>
  <conditionalFormatting sqref="BC21">
    <cfRule type="iconSet" priority="208">
      <iconSet iconSet="3Arrows">
        <cfvo type="percent" val="0"/>
        <cfvo type="num" val="40"/>
        <cfvo type="num" val="70"/>
      </iconSet>
    </cfRule>
  </conditionalFormatting>
  <conditionalFormatting sqref="BC22">
    <cfRule type="iconSet" priority="207">
      <iconSet iconSet="3Arrows">
        <cfvo type="percent" val="0"/>
        <cfvo type="num" val="40"/>
        <cfvo type="num" val="70"/>
      </iconSet>
    </cfRule>
  </conditionalFormatting>
  <conditionalFormatting sqref="BC23">
    <cfRule type="iconSet" priority="206">
      <iconSet iconSet="3Arrows">
        <cfvo type="percent" val="0"/>
        <cfvo type="num" val="40"/>
        <cfvo type="num" val="70"/>
      </iconSet>
    </cfRule>
  </conditionalFormatting>
  <conditionalFormatting sqref="BC24">
    <cfRule type="iconSet" priority="205">
      <iconSet iconSet="3Arrows">
        <cfvo type="percent" val="0"/>
        <cfvo type="num" val="40"/>
        <cfvo type="num" val="70"/>
      </iconSet>
    </cfRule>
  </conditionalFormatting>
  <conditionalFormatting sqref="BC25">
    <cfRule type="iconSet" priority="204">
      <iconSet iconSet="3Arrows">
        <cfvo type="percent" val="0"/>
        <cfvo type="num" val="40"/>
        <cfvo type="num" val="70"/>
      </iconSet>
    </cfRule>
  </conditionalFormatting>
  <conditionalFormatting sqref="BC26">
    <cfRule type="iconSet" priority="203">
      <iconSet iconSet="3Arrows">
        <cfvo type="percent" val="0"/>
        <cfvo type="num" val="40"/>
        <cfvo type="num" val="70"/>
      </iconSet>
    </cfRule>
  </conditionalFormatting>
  <conditionalFormatting sqref="BC52">
    <cfRule type="iconSet" priority="202">
      <iconSet iconSet="3Arrows">
        <cfvo type="percent" val="0"/>
        <cfvo type="num" val="40"/>
        <cfvo type="num" val="70"/>
      </iconSet>
    </cfRule>
  </conditionalFormatting>
  <conditionalFormatting sqref="BC53">
    <cfRule type="iconSet" priority="201">
      <iconSet iconSet="3Arrows">
        <cfvo type="percent" val="0"/>
        <cfvo type="num" val="40"/>
        <cfvo type="num" val="70"/>
      </iconSet>
    </cfRule>
  </conditionalFormatting>
  <conditionalFormatting sqref="BC54">
    <cfRule type="iconSet" priority="200">
      <iconSet iconSet="3Arrows">
        <cfvo type="percent" val="0"/>
        <cfvo type="num" val="40"/>
        <cfvo type="num" val="70"/>
      </iconSet>
    </cfRule>
  </conditionalFormatting>
  <conditionalFormatting sqref="BC55">
    <cfRule type="iconSet" priority="199">
      <iconSet iconSet="3Arrows">
        <cfvo type="percent" val="0"/>
        <cfvo type="num" val="40"/>
        <cfvo type="num" val="70"/>
      </iconSet>
    </cfRule>
  </conditionalFormatting>
  <conditionalFormatting sqref="BC56">
    <cfRule type="iconSet" priority="198">
      <iconSet iconSet="3Arrows">
        <cfvo type="percent" val="0"/>
        <cfvo type="num" val="40"/>
        <cfvo type="num" val="70"/>
      </iconSet>
    </cfRule>
  </conditionalFormatting>
  <conditionalFormatting sqref="BC57">
    <cfRule type="iconSet" priority="197">
      <iconSet iconSet="3Arrows">
        <cfvo type="percent" val="0"/>
        <cfvo type="num" val="40"/>
        <cfvo type="num" val="70"/>
      </iconSet>
    </cfRule>
  </conditionalFormatting>
  <conditionalFormatting sqref="BC58">
    <cfRule type="iconSet" priority="196">
      <iconSet iconSet="3Arrows">
        <cfvo type="percent" val="0"/>
        <cfvo type="num" val="40"/>
        <cfvo type="num" val="70"/>
      </iconSet>
    </cfRule>
  </conditionalFormatting>
  <conditionalFormatting sqref="BC59">
    <cfRule type="iconSet" priority="195">
      <iconSet iconSet="3Arrows">
        <cfvo type="percent" val="0"/>
        <cfvo type="num" val="40"/>
        <cfvo type="num" val="70"/>
      </iconSet>
    </cfRule>
  </conditionalFormatting>
  <conditionalFormatting sqref="BC60">
    <cfRule type="iconSet" priority="194">
      <iconSet iconSet="3Arrows">
        <cfvo type="percent" val="0"/>
        <cfvo type="num" val="40"/>
        <cfvo type="num" val="70"/>
      </iconSet>
    </cfRule>
  </conditionalFormatting>
  <conditionalFormatting sqref="BC61">
    <cfRule type="iconSet" priority="193">
      <iconSet iconSet="3Arrows">
        <cfvo type="percent" val="0"/>
        <cfvo type="num" val="40"/>
        <cfvo type="num" val="70"/>
      </iconSet>
    </cfRule>
  </conditionalFormatting>
  <conditionalFormatting sqref="BC62">
    <cfRule type="iconSet" priority="192">
      <iconSet iconSet="3Arrows">
        <cfvo type="percent" val="0"/>
        <cfvo type="num" val="40"/>
        <cfvo type="num" val="70"/>
      </iconSet>
    </cfRule>
  </conditionalFormatting>
  <conditionalFormatting sqref="BC9">
    <cfRule type="iconSet" priority="232">
      <iconSet iconSet="3Arrows">
        <cfvo type="percent" val="0"/>
        <cfvo type="num" val="40"/>
        <cfvo type="num" val="70"/>
      </iconSet>
    </cfRule>
  </conditionalFormatting>
  <conditionalFormatting sqref="BC63">
    <cfRule type="iconSet" priority="191">
      <iconSet iconSet="3Arrows">
        <cfvo type="percent" val="0"/>
        <cfvo type="num" val="40"/>
        <cfvo type="num" val="70"/>
      </iconSet>
    </cfRule>
  </conditionalFormatting>
  <conditionalFormatting sqref="Q9">
    <cfRule type="iconSet" priority="190">
      <iconSet iconSet="3Arrows">
        <cfvo type="percent" val="0"/>
        <cfvo type="num" val="40"/>
        <cfvo type="num" val="70"/>
      </iconSet>
    </cfRule>
  </conditionalFormatting>
  <conditionalFormatting sqref="Q10">
    <cfRule type="iconSet" priority="189">
      <iconSet iconSet="3Arrows">
        <cfvo type="percent" val="0"/>
        <cfvo type="num" val="40"/>
        <cfvo type="num" val="70"/>
      </iconSet>
    </cfRule>
  </conditionalFormatting>
  <conditionalFormatting sqref="Q11">
    <cfRule type="iconSet" priority="188">
      <iconSet iconSet="3Arrows">
        <cfvo type="percent" val="0"/>
        <cfvo type="num" val="40"/>
        <cfvo type="num" val="70"/>
      </iconSet>
    </cfRule>
  </conditionalFormatting>
  <conditionalFormatting sqref="Q12">
    <cfRule type="iconSet" priority="187">
      <iconSet iconSet="3Arrows">
        <cfvo type="percent" val="0"/>
        <cfvo type="num" val="40"/>
        <cfvo type="num" val="70"/>
      </iconSet>
    </cfRule>
  </conditionalFormatting>
  <conditionalFormatting sqref="Q13">
    <cfRule type="iconSet" priority="186">
      <iconSet iconSet="3Arrows">
        <cfvo type="percent" val="0"/>
        <cfvo type="num" val="40"/>
        <cfvo type="num" val="70"/>
      </iconSet>
    </cfRule>
  </conditionalFormatting>
  <conditionalFormatting sqref="Q14">
    <cfRule type="iconSet" priority="185">
      <iconSet iconSet="3Arrows">
        <cfvo type="percent" val="0"/>
        <cfvo type="num" val="40"/>
        <cfvo type="num" val="70"/>
      </iconSet>
    </cfRule>
  </conditionalFormatting>
  <conditionalFormatting sqref="Q15">
    <cfRule type="iconSet" priority="184">
      <iconSet iconSet="3Arrows">
        <cfvo type="percent" val="0"/>
        <cfvo type="num" val="40"/>
        <cfvo type="num" val="70"/>
      </iconSet>
    </cfRule>
  </conditionalFormatting>
  <conditionalFormatting sqref="Q16">
    <cfRule type="iconSet" priority="183">
      <iconSet iconSet="3Arrows">
        <cfvo type="percent" val="0"/>
        <cfvo type="num" val="40"/>
        <cfvo type="num" val="70"/>
      </iconSet>
    </cfRule>
  </conditionalFormatting>
  <conditionalFormatting sqref="Q17">
    <cfRule type="iconSet" priority="182">
      <iconSet iconSet="3Arrows">
        <cfvo type="percent" val="0"/>
        <cfvo type="num" val="40"/>
        <cfvo type="num" val="70"/>
      </iconSet>
    </cfRule>
  </conditionalFormatting>
  <conditionalFormatting sqref="Q18">
    <cfRule type="iconSet" priority="181">
      <iconSet iconSet="3Arrows">
        <cfvo type="percent" val="0"/>
        <cfvo type="num" val="40"/>
        <cfvo type="num" val="70"/>
      </iconSet>
    </cfRule>
  </conditionalFormatting>
  <conditionalFormatting sqref="Q19">
    <cfRule type="iconSet" priority="180">
      <iconSet iconSet="3Arrows">
        <cfvo type="percent" val="0"/>
        <cfvo type="num" val="40"/>
        <cfvo type="num" val="70"/>
      </iconSet>
    </cfRule>
  </conditionalFormatting>
  <conditionalFormatting sqref="Q20">
    <cfRule type="iconSet" priority="179">
      <iconSet iconSet="3Arrows">
        <cfvo type="percent" val="0"/>
        <cfvo type="num" val="40"/>
        <cfvo type="num" val="70"/>
      </iconSet>
    </cfRule>
  </conditionalFormatting>
  <conditionalFormatting sqref="Q21">
    <cfRule type="iconSet" priority="178">
      <iconSet iconSet="3Arrows">
        <cfvo type="percent" val="0"/>
        <cfvo type="num" val="40"/>
        <cfvo type="num" val="70"/>
      </iconSet>
    </cfRule>
  </conditionalFormatting>
  <conditionalFormatting sqref="Q22">
    <cfRule type="iconSet" priority="177">
      <iconSet iconSet="3Arrows">
        <cfvo type="percent" val="0"/>
        <cfvo type="num" val="40"/>
        <cfvo type="num" val="70"/>
      </iconSet>
    </cfRule>
  </conditionalFormatting>
  <conditionalFormatting sqref="Q23">
    <cfRule type="iconSet" priority="176">
      <iconSet iconSet="3Arrows">
        <cfvo type="percent" val="0"/>
        <cfvo type="num" val="40"/>
        <cfvo type="num" val="70"/>
      </iconSet>
    </cfRule>
  </conditionalFormatting>
  <conditionalFormatting sqref="Q24">
    <cfRule type="iconSet" priority="175">
      <iconSet iconSet="3Arrows">
        <cfvo type="percent" val="0"/>
        <cfvo type="num" val="40"/>
        <cfvo type="num" val="70"/>
      </iconSet>
    </cfRule>
  </conditionalFormatting>
  <conditionalFormatting sqref="Q25">
    <cfRule type="iconSet" priority="174">
      <iconSet iconSet="3Arrows">
        <cfvo type="percent" val="0"/>
        <cfvo type="num" val="40"/>
        <cfvo type="num" val="70"/>
      </iconSet>
    </cfRule>
  </conditionalFormatting>
  <conditionalFormatting sqref="Q26">
    <cfRule type="iconSet" priority="173">
      <iconSet iconSet="3Arrows">
        <cfvo type="percent" val="0"/>
        <cfvo type="num" val="40"/>
        <cfvo type="num" val="70"/>
      </iconSet>
    </cfRule>
  </conditionalFormatting>
  <conditionalFormatting sqref="R9:R25">
    <cfRule type="iconSet" priority="172">
      <iconSet iconSet="3Arrows">
        <cfvo type="percent" val="0"/>
        <cfvo type="num" val="40"/>
        <cfvo type="num" val="70"/>
      </iconSet>
    </cfRule>
  </conditionalFormatting>
  <conditionalFormatting sqref="R52">
    <cfRule type="iconSet" priority="154">
      <iconSet iconSet="3Arrows">
        <cfvo type="percent" val="0"/>
        <cfvo type="num" val="40"/>
        <cfvo type="num" val="70"/>
      </iconSet>
    </cfRule>
  </conditionalFormatting>
  <conditionalFormatting sqref="BL8 BO8:BQ8">
    <cfRule type="containsText" dxfId="19" priority="94" operator="containsText" text="AZ">
      <formula>NOT(ISERROR(SEARCH("AZ",BL8)))</formula>
    </cfRule>
    <cfRule type="containsText" dxfId="18" priority="95" operator="containsText" text="RO">
      <formula>NOT(ISERROR(SEARCH("RO",BL8)))</formula>
    </cfRule>
    <cfRule type="containsText" dxfId="17" priority="96" operator="containsText" text="AM">
      <formula>NOT(ISERROR(SEARCH("AM",BL8)))</formula>
    </cfRule>
    <cfRule type="containsText" dxfId="16" priority="97" operator="containsText" text="VE">
      <formula>NOT(ISERROR(SEARCH("VE",BL8)))</formula>
    </cfRule>
  </conditionalFormatting>
  <conditionalFormatting sqref="BT9">
    <cfRule type="iconSet" priority="72">
      <iconSet iconSet="3Arrows">
        <cfvo type="percent" val="0"/>
        <cfvo type="num" val="40"/>
        <cfvo type="num" val="70"/>
      </iconSet>
    </cfRule>
  </conditionalFormatting>
  <conditionalFormatting sqref="BT11">
    <cfRule type="iconSet" priority="71">
      <iconSet iconSet="3Arrows">
        <cfvo type="percent" val="0"/>
        <cfvo type="num" val="40"/>
        <cfvo type="num" val="70"/>
      </iconSet>
    </cfRule>
  </conditionalFormatting>
  <conditionalFormatting sqref="BT10">
    <cfRule type="iconSet" priority="70">
      <iconSet iconSet="3Arrows">
        <cfvo type="percent" val="0"/>
        <cfvo type="num" val="40"/>
        <cfvo type="num" val="70"/>
      </iconSet>
    </cfRule>
  </conditionalFormatting>
  <conditionalFormatting sqref="BT12">
    <cfRule type="iconSet" priority="69">
      <iconSet iconSet="3Arrows">
        <cfvo type="percent" val="0"/>
        <cfvo type="num" val="40"/>
        <cfvo type="num" val="70"/>
      </iconSet>
    </cfRule>
  </conditionalFormatting>
  <conditionalFormatting sqref="BT13">
    <cfRule type="iconSet" priority="68">
      <iconSet iconSet="3Arrows">
        <cfvo type="percent" val="0"/>
        <cfvo type="num" val="40"/>
        <cfvo type="num" val="70"/>
      </iconSet>
    </cfRule>
  </conditionalFormatting>
  <conditionalFormatting sqref="BT14">
    <cfRule type="iconSet" priority="67">
      <iconSet iconSet="3Arrows">
        <cfvo type="percent" val="0"/>
        <cfvo type="num" val="40"/>
        <cfvo type="num" val="70"/>
      </iconSet>
    </cfRule>
  </conditionalFormatting>
  <conditionalFormatting sqref="BT15">
    <cfRule type="iconSet" priority="66">
      <iconSet iconSet="3Arrows">
        <cfvo type="percent" val="0"/>
        <cfvo type="num" val="40"/>
        <cfvo type="num" val="70"/>
      </iconSet>
    </cfRule>
  </conditionalFormatting>
  <conditionalFormatting sqref="BT16">
    <cfRule type="iconSet" priority="65">
      <iconSet iconSet="3Arrows">
        <cfvo type="percent" val="0"/>
        <cfvo type="num" val="40"/>
        <cfvo type="num" val="70"/>
      </iconSet>
    </cfRule>
  </conditionalFormatting>
  <conditionalFormatting sqref="BT17">
    <cfRule type="iconSet" priority="64">
      <iconSet iconSet="3Arrows">
        <cfvo type="percent" val="0"/>
        <cfvo type="num" val="40"/>
        <cfvo type="num" val="70"/>
      </iconSet>
    </cfRule>
  </conditionalFormatting>
  <conditionalFormatting sqref="BT18">
    <cfRule type="iconSet" priority="63">
      <iconSet iconSet="3Arrows">
        <cfvo type="percent" val="0"/>
        <cfvo type="num" val="40"/>
        <cfvo type="num" val="70"/>
      </iconSet>
    </cfRule>
  </conditionalFormatting>
  <conditionalFormatting sqref="BT19">
    <cfRule type="iconSet" priority="62">
      <iconSet iconSet="3Arrows">
        <cfvo type="percent" val="0"/>
        <cfvo type="num" val="40"/>
        <cfvo type="num" val="70"/>
      </iconSet>
    </cfRule>
  </conditionalFormatting>
  <conditionalFormatting sqref="BT20">
    <cfRule type="iconSet" priority="61">
      <iconSet iconSet="3Arrows">
        <cfvo type="percent" val="0"/>
        <cfvo type="num" val="40"/>
        <cfvo type="num" val="70"/>
      </iconSet>
    </cfRule>
  </conditionalFormatting>
  <conditionalFormatting sqref="BT21">
    <cfRule type="iconSet" priority="60">
      <iconSet iconSet="3Arrows">
        <cfvo type="percent" val="0"/>
        <cfvo type="num" val="40"/>
        <cfvo type="num" val="70"/>
      </iconSet>
    </cfRule>
  </conditionalFormatting>
  <conditionalFormatting sqref="BT22">
    <cfRule type="iconSet" priority="59">
      <iconSet iconSet="3Arrows">
        <cfvo type="percent" val="0"/>
        <cfvo type="num" val="40"/>
        <cfvo type="num" val="70"/>
      </iconSet>
    </cfRule>
  </conditionalFormatting>
  <conditionalFormatting sqref="BT23">
    <cfRule type="iconSet" priority="58">
      <iconSet iconSet="3Arrows">
        <cfvo type="percent" val="0"/>
        <cfvo type="num" val="40"/>
        <cfvo type="num" val="70"/>
      </iconSet>
    </cfRule>
  </conditionalFormatting>
  <conditionalFormatting sqref="BT24">
    <cfRule type="iconSet" priority="57">
      <iconSet iconSet="3Arrows">
        <cfvo type="percent" val="0"/>
        <cfvo type="num" val="40"/>
        <cfvo type="num" val="70"/>
      </iconSet>
    </cfRule>
  </conditionalFormatting>
  <conditionalFormatting sqref="BT25">
    <cfRule type="iconSet" priority="56">
      <iconSet iconSet="3Arrows">
        <cfvo type="percent" val="0"/>
        <cfvo type="num" val="40"/>
        <cfvo type="num" val="70"/>
      </iconSet>
    </cfRule>
  </conditionalFormatting>
  <conditionalFormatting sqref="BT26">
    <cfRule type="iconSet" priority="55">
      <iconSet iconSet="3Arrows">
        <cfvo type="percent" val="0"/>
        <cfvo type="num" val="40"/>
        <cfvo type="num" val="70"/>
      </iconSet>
    </cfRule>
  </conditionalFormatting>
  <conditionalFormatting sqref="R26">
    <cfRule type="iconSet" priority="54">
      <iconSet iconSet="3Arrows">
        <cfvo type="percent" val="0"/>
        <cfvo type="num" val="40"/>
        <cfvo type="num" val="70"/>
      </iconSet>
    </cfRule>
  </conditionalFormatting>
  <conditionalFormatting sqref="S53">
    <cfRule type="iconSet" priority="53">
      <iconSet iconSet="3Arrows">
        <cfvo type="percent" val="0"/>
        <cfvo type="num" val="40"/>
        <cfvo type="num" val="70"/>
      </iconSet>
    </cfRule>
  </conditionalFormatting>
  <conditionalFormatting sqref="R53">
    <cfRule type="iconSet" priority="52">
      <iconSet iconSet="3Arrows">
        <cfvo type="percent" val="0"/>
        <cfvo type="num" val="40"/>
        <cfvo type="num" val="70"/>
      </iconSet>
    </cfRule>
  </conditionalFormatting>
  <conditionalFormatting sqref="BO51:BP51">
    <cfRule type="containsText" dxfId="15" priority="48" operator="containsText" text="AZ">
      <formula>NOT(ISERROR(SEARCH("AZ",BO51)))</formula>
    </cfRule>
    <cfRule type="containsText" dxfId="14" priority="49" operator="containsText" text="RO">
      <formula>NOT(ISERROR(SEARCH("RO",BO51)))</formula>
    </cfRule>
    <cfRule type="containsText" dxfId="13" priority="50" operator="containsText" text="AM">
      <formula>NOT(ISERROR(SEARCH("AM",BO51)))</formula>
    </cfRule>
    <cfRule type="containsText" dxfId="12" priority="51" operator="containsText" text="VE">
      <formula>NOT(ISERROR(SEARCH("VE",BO51)))</formula>
    </cfRule>
  </conditionalFormatting>
  <conditionalFormatting sqref="BL51">
    <cfRule type="containsText" dxfId="11" priority="44" operator="containsText" text="AZ">
      <formula>NOT(ISERROR(SEARCH("AZ",BL51)))</formula>
    </cfRule>
    <cfRule type="containsText" dxfId="10" priority="45" operator="containsText" text="RO">
      <formula>NOT(ISERROR(SEARCH("RO",BL51)))</formula>
    </cfRule>
    <cfRule type="containsText" dxfId="9" priority="46" operator="containsText" text="AM">
      <formula>NOT(ISERROR(SEARCH("AM",BL51)))</formula>
    </cfRule>
    <cfRule type="containsText" dxfId="8" priority="47" operator="containsText" text="VE">
      <formula>NOT(ISERROR(SEARCH("VE",BL51)))</formula>
    </cfRule>
  </conditionalFormatting>
  <conditionalFormatting sqref="BQ51">
    <cfRule type="containsText" dxfId="7" priority="37" operator="containsText" text="AZ">
      <formula>NOT(ISERROR(SEARCH("AZ",BQ51)))</formula>
    </cfRule>
    <cfRule type="containsText" dxfId="6" priority="38" operator="containsText" text="RO">
      <formula>NOT(ISERROR(SEARCH("RO",BQ51)))</formula>
    </cfRule>
    <cfRule type="containsText" dxfId="5" priority="39" operator="containsText" text="AM">
      <formula>NOT(ISERROR(SEARCH("AM",BQ51)))</formula>
    </cfRule>
    <cfRule type="containsText" dxfId="4" priority="40" operator="containsText" text="VE">
      <formula>NOT(ISERROR(SEARCH("VE",BQ51)))</formula>
    </cfRule>
  </conditionalFormatting>
  <conditionalFormatting sqref="BT52">
    <cfRule type="iconSet" priority="35">
      <iconSet iconSet="3Arrows">
        <cfvo type="percent" val="0"/>
        <cfvo type="num" val="40"/>
        <cfvo type="num" val="70"/>
      </iconSet>
    </cfRule>
  </conditionalFormatting>
  <conditionalFormatting sqref="BT54">
    <cfRule type="iconSet" priority="34">
      <iconSet iconSet="3Arrows">
        <cfvo type="percent" val="0"/>
        <cfvo type="num" val="40"/>
        <cfvo type="num" val="70"/>
      </iconSet>
    </cfRule>
  </conditionalFormatting>
  <conditionalFormatting sqref="BT55">
    <cfRule type="iconSet" priority="33">
      <iconSet iconSet="3Arrows">
        <cfvo type="percent" val="0"/>
        <cfvo type="num" val="40"/>
        <cfvo type="num" val="70"/>
      </iconSet>
    </cfRule>
  </conditionalFormatting>
  <conditionalFormatting sqref="BT56">
    <cfRule type="iconSet" priority="32">
      <iconSet iconSet="3Arrows">
        <cfvo type="percent" val="0"/>
        <cfvo type="num" val="40"/>
        <cfvo type="num" val="70"/>
      </iconSet>
    </cfRule>
  </conditionalFormatting>
  <conditionalFormatting sqref="BT57">
    <cfRule type="iconSet" priority="31">
      <iconSet iconSet="3Arrows">
        <cfvo type="percent" val="0"/>
        <cfvo type="num" val="40"/>
        <cfvo type="num" val="70"/>
      </iconSet>
    </cfRule>
  </conditionalFormatting>
  <conditionalFormatting sqref="BT58">
    <cfRule type="iconSet" priority="30">
      <iconSet iconSet="3Arrows">
        <cfvo type="percent" val="0"/>
        <cfvo type="num" val="40"/>
        <cfvo type="num" val="70"/>
      </iconSet>
    </cfRule>
  </conditionalFormatting>
  <conditionalFormatting sqref="BT59">
    <cfRule type="iconSet" priority="29">
      <iconSet iconSet="3Arrows">
        <cfvo type="percent" val="0"/>
        <cfvo type="num" val="40"/>
        <cfvo type="num" val="70"/>
      </iconSet>
    </cfRule>
  </conditionalFormatting>
  <conditionalFormatting sqref="BT60">
    <cfRule type="iconSet" priority="28">
      <iconSet iconSet="3Arrows">
        <cfvo type="percent" val="0"/>
        <cfvo type="num" val="40"/>
        <cfvo type="num" val="70"/>
      </iconSet>
    </cfRule>
  </conditionalFormatting>
  <conditionalFormatting sqref="BT61">
    <cfRule type="iconSet" priority="27">
      <iconSet iconSet="3Arrows">
        <cfvo type="percent" val="0"/>
        <cfvo type="num" val="40"/>
        <cfvo type="num" val="70"/>
      </iconSet>
    </cfRule>
  </conditionalFormatting>
  <conditionalFormatting sqref="BT62">
    <cfRule type="iconSet" priority="26">
      <iconSet iconSet="3Arrows">
        <cfvo type="percent" val="0"/>
        <cfvo type="num" val="40"/>
        <cfvo type="num" val="70"/>
      </iconSet>
    </cfRule>
  </conditionalFormatting>
  <conditionalFormatting sqref="BT63">
    <cfRule type="iconSet" priority="25">
      <iconSet iconSet="3Arrows">
        <cfvo type="percent" val="0"/>
        <cfvo type="num" val="40"/>
        <cfvo type="num" val="70"/>
      </iconSet>
    </cfRule>
  </conditionalFormatting>
  <conditionalFormatting sqref="BT53">
    <cfRule type="iconSet" priority="22">
      <iconSet iconSet="3Arrows">
        <cfvo type="percent" val="0"/>
        <cfvo type="num" val="40"/>
        <cfvo type="num" val="70"/>
      </iconSet>
    </cfRule>
  </conditionalFormatting>
  <conditionalFormatting sqref="R54">
    <cfRule type="iconSet" priority="21">
      <iconSet iconSet="3Arrows">
        <cfvo type="percent" val="0"/>
        <cfvo type="num" val="40"/>
        <cfvo type="num" val="70"/>
      </iconSet>
    </cfRule>
  </conditionalFormatting>
  <conditionalFormatting sqref="R55">
    <cfRule type="iconSet" priority="20">
      <iconSet iconSet="3Arrows">
        <cfvo type="percent" val="0"/>
        <cfvo type="num" val="40"/>
        <cfvo type="num" val="70"/>
      </iconSet>
    </cfRule>
  </conditionalFormatting>
  <conditionalFormatting sqref="R56">
    <cfRule type="iconSet" priority="19">
      <iconSet iconSet="3Arrows">
        <cfvo type="percent" val="0"/>
        <cfvo type="num" val="40"/>
        <cfvo type="num" val="70"/>
      </iconSet>
    </cfRule>
  </conditionalFormatting>
  <conditionalFormatting sqref="R57">
    <cfRule type="iconSet" priority="18">
      <iconSet iconSet="3Arrows">
        <cfvo type="percent" val="0"/>
        <cfvo type="num" val="40"/>
        <cfvo type="num" val="70"/>
      </iconSet>
    </cfRule>
  </conditionalFormatting>
  <conditionalFormatting sqref="R58">
    <cfRule type="iconSet" priority="17">
      <iconSet iconSet="3Arrows">
        <cfvo type="percent" val="0"/>
        <cfvo type="num" val="40"/>
        <cfvo type="num" val="70"/>
      </iconSet>
    </cfRule>
  </conditionalFormatting>
  <conditionalFormatting sqref="R59">
    <cfRule type="iconSet" priority="16">
      <iconSet iconSet="3Arrows">
        <cfvo type="percent" val="0"/>
        <cfvo type="num" val="40"/>
        <cfvo type="num" val="70"/>
      </iconSet>
    </cfRule>
  </conditionalFormatting>
  <conditionalFormatting sqref="R60">
    <cfRule type="iconSet" priority="15">
      <iconSet iconSet="3Arrows">
        <cfvo type="percent" val="0"/>
        <cfvo type="num" val="40"/>
        <cfvo type="num" val="70"/>
      </iconSet>
    </cfRule>
  </conditionalFormatting>
  <conditionalFormatting sqref="R61">
    <cfRule type="iconSet" priority="14">
      <iconSet iconSet="3Arrows">
        <cfvo type="percent" val="0"/>
        <cfvo type="num" val="40"/>
        <cfvo type="num" val="70"/>
      </iconSet>
    </cfRule>
  </conditionalFormatting>
  <conditionalFormatting sqref="R62">
    <cfRule type="iconSet" priority="13">
      <iconSet iconSet="3Arrows">
        <cfvo type="percent" val="0"/>
        <cfvo type="num" val="40"/>
        <cfvo type="num" val="70"/>
      </iconSet>
    </cfRule>
  </conditionalFormatting>
  <conditionalFormatting sqref="R63">
    <cfRule type="iconSet" priority="12">
      <iconSet iconSet="3Arrows">
        <cfvo type="percent" val="0"/>
        <cfvo type="num" val="40"/>
        <cfvo type="num" val="70"/>
      </iconSet>
    </cfRule>
  </conditionalFormatting>
  <conditionalFormatting sqref="S54">
    <cfRule type="iconSet" priority="11">
      <iconSet iconSet="3Arrows">
        <cfvo type="percent" val="0"/>
        <cfvo type="num" val="40"/>
        <cfvo type="num" val="70"/>
      </iconSet>
    </cfRule>
  </conditionalFormatting>
  <conditionalFormatting sqref="S55">
    <cfRule type="iconSet" priority="10">
      <iconSet iconSet="3Arrows">
        <cfvo type="percent" val="0"/>
        <cfvo type="num" val="40"/>
        <cfvo type="num" val="70"/>
      </iconSet>
    </cfRule>
  </conditionalFormatting>
  <conditionalFormatting sqref="S56">
    <cfRule type="iconSet" priority="9">
      <iconSet iconSet="3Arrows">
        <cfvo type="percent" val="0"/>
        <cfvo type="num" val="40"/>
        <cfvo type="num" val="70"/>
      </iconSet>
    </cfRule>
  </conditionalFormatting>
  <conditionalFormatting sqref="S57">
    <cfRule type="iconSet" priority="8">
      <iconSet iconSet="3Arrows">
        <cfvo type="percent" val="0"/>
        <cfvo type="num" val="40"/>
        <cfvo type="num" val="70"/>
      </iconSet>
    </cfRule>
  </conditionalFormatting>
  <conditionalFormatting sqref="S58">
    <cfRule type="iconSet" priority="7">
      <iconSet iconSet="3Arrows">
        <cfvo type="percent" val="0"/>
        <cfvo type="num" val="40"/>
        <cfvo type="num" val="70"/>
      </iconSet>
    </cfRule>
  </conditionalFormatting>
  <conditionalFormatting sqref="S59">
    <cfRule type="iconSet" priority="6">
      <iconSet iconSet="3Arrows">
        <cfvo type="percent" val="0"/>
        <cfvo type="num" val="40"/>
        <cfvo type="num" val="70"/>
      </iconSet>
    </cfRule>
  </conditionalFormatting>
  <conditionalFormatting sqref="S60">
    <cfRule type="iconSet" priority="5">
      <iconSet iconSet="3Arrows">
        <cfvo type="percent" val="0"/>
        <cfvo type="num" val="40"/>
        <cfvo type="num" val="70"/>
      </iconSet>
    </cfRule>
  </conditionalFormatting>
  <conditionalFormatting sqref="S61">
    <cfRule type="iconSet" priority="4">
      <iconSet iconSet="3Arrows">
        <cfvo type="percent" val="0"/>
        <cfvo type="num" val="40"/>
        <cfvo type="num" val="70"/>
      </iconSet>
    </cfRule>
  </conditionalFormatting>
  <conditionalFormatting sqref="S62">
    <cfRule type="iconSet" priority="3">
      <iconSet iconSet="3Arrows">
        <cfvo type="percent" val="0"/>
        <cfvo type="num" val="40"/>
        <cfvo type="num" val="70"/>
      </iconSet>
    </cfRule>
  </conditionalFormatting>
  <conditionalFormatting sqref="S63">
    <cfRule type="iconSet" priority="2">
      <iconSet iconSet="3Arrows">
        <cfvo type="percent" val="0"/>
        <cfvo type="num" val="40"/>
        <cfvo type="num" val="70"/>
      </iconSet>
    </cfRule>
  </conditionalFormatting>
  <conditionalFormatting sqref="S26">
    <cfRule type="iconSet" priority="1">
      <iconSet iconSet="3Arrows">
        <cfvo type="percent" val="0"/>
        <cfvo type="num" val="40"/>
        <cfvo type="num" val="70"/>
      </iconSet>
    </cfRule>
  </conditionalFormatting>
  <pageMargins left="0.23622047244094491" right="0.23622047244094491" top="0.74803149606299213" bottom="0.74803149606299213" header="0.31496062992125984" footer="0.31496062992125984"/>
  <pageSetup scale="75" orientation="landscape"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zoomScale="115" zoomScaleNormal="115" workbookViewId="0">
      <selection activeCell="C11" sqref="C11"/>
    </sheetView>
  </sheetViews>
  <sheetFormatPr baseColWidth="10" defaultColWidth="11.44140625" defaultRowHeight="15.6" x14ac:dyDescent="0.3"/>
  <cols>
    <col min="1" max="1" width="23.5546875" style="229" customWidth="1"/>
    <col min="2" max="2" width="7.6640625" style="229" hidden="1" customWidth="1"/>
    <col min="3" max="3" width="8.44140625" style="230" customWidth="1"/>
    <col min="4" max="4" width="13" style="230" customWidth="1"/>
    <col min="5" max="5" width="16.33203125" style="230" customWidth="1"/>
    <col min="6" max="6" width="15.33203125" style="230" customWidth="1"/>
    <col min="7" max="8" width="10.88671875" style="230" customWidth="1"/>
    <col min="9" max="9" width="11.88671875" style="230" customWidth="1"/>
    <col min="10" max="10" width="13.88671875" style="230" customWidth="1"/>
    <col min="11" max="11" width="10.88671875" style="230" customWidth="1"/>
    <col min="12" max="12" width="12.88671875" style="283" customWidth="1"/>
    <col min="13" max="13" width="12.88671875" style="229" customWidth="1"/>
    <col min="14" max="14" width="13.109375" style="229" customWidth="1"/>
    <col min="15" max="16384" width="11.44140625" style="229"/>
  </cols>
  <sheetData>
    <row r="1" spans="1:15" ht="33" customHeight="1" thickBot="1" x14ac:dyDescent="0.35">
      <c r="A1" s="1765" t="s">
        <v>9</v>
      </c>
      <c r="C1" s="1767" t="s">
        <v>3114</v>
      </c>
      <c r="D1" s="1769" t="s">
        <v>3112</v>
      </c>
      <c r="E1" s="1034" t="s">
        <v>4719</v>
      </c>
      <c r="F1" s="1027" t="s">
        <v>4720</v>
      </c>
      <c r="G1" s="1028" t="s">
        <v>4721</v>
      </c>
      <c r="H1" s="1029" t="s">
        <v>4722</v>
      </c>
      <c r="I1" s="1030" t="s">
        <v>4723</v>
      </c>
      <c r="J1" s="1031" t="s">
        <v>4724</v>
      </c>
      <c r="K1" s="1032" t="s">
        <v>3112</v>
      </c>
    </row>
    <row r="2" spans="1:15" ht="20.25" customHeight="1" thickBot="1" x14ac:dyDescent="0.35">
      <c r="A2" s="1766"/>
      <c r="B2" s="957" t="s">
        <v>3113</v>
      </c>
      <c r="C2" s="1768"/>
      <c r="D2" s="1770"/>
      <c r="E2" s="1035" t="s">
        <v>2598</v>
      </c>
      <c r="F2" s="1025" t="s">
        <v>2598</v>
      </c>
      <c r="G2" s="1020" t="s">
        <v>2604</v>
      </c>
      <c r="H2" s="1021" t="s">
        <v>2604</v>
      </c>
      <c r="I2" s="1022" t="s">
        <v>2600</v>
      </c>
      <c r="J2" s="1023" t="s">
        <v>2600</v>
      </c>
      <c r="K2" s="1024" t="s">
        <v>2594</v>
      </c>
      <c r="L2" s="1019" t="s">
        <v>4770</v>
      </c>
      <c r="M2" s="803" t="s">
        <v>3117</v>
      </c>
      <c r="N2" s="804" t="s">
        <v>4771</v>
      </c>
      <c r="O2" s="805" t="s">
        <v>3119</v>
      </c>
    </row>
    <row r="3" spans="1:15" ht="15.75" x14ac:dyDescent="0.25">
      <c r="A3" s="1196" t="s">
        <v>4772</v>
      </c>
      <c r="B3" s="89">
        <v>8</v>
      </c>
      <c r="C3" s="90">
        <f>COUNTIF('PLAN ACCION 2018'!$CC$1:$CC$989,A3)</f>
        <v>0</v>
      </c>
      <c r="D3" s="810">
        <f t="shared" ref="D3:D21" si="0">+C3-E3-F3-G3-H3-I3-J3-K3</f>
        <v>0</v>
      </c>
      <c r="E3" s="1037">
        <f>COUNTIFS('PLAN ACCION 2018'!$CC$1:$CC$989,A3,'PLAN ACCION 2018'!$CA$1:$CA$989,"&gt;=85%")</f>
        <v>0</v>
      </c>
      <c r="F3" s="1011">
        <f>COUNTIFS('PLAN ACCION 2018'!$CC$1:$CC$989,A3,'PLAN ACCION 2018'!$CA$1:$CA$989,"&gt;=70%",'PLAN ACCION 2018'!$CA$1:$CA$989,"&lt;=84%")</f>
        <v>0</v>
      </c>
      <c r="G3" s="1016">
        <f>COUNTIFS('PLAN ACCION 2018'!$CC$1:$CC$989,A3,'PLAN ACCION 2018'!$CA$1:$CA$989,"&gt;=60%",'PLAN ACCION 2018'!$CA$1:$CA$989,"&lt;=69%")</f>
        <v>0</v>
      </c>
      <c r="H3" s="1013">
        <f>COUNTIFS('PLAN ACCION 2018'!$CC$1:$CC$989,A3,'PLAN ACCION 2018'!$CA$1:$CA$989,"&gt;=40%",'PLAN ACCION 2018'!$CA$1:$CA$989,"&lt;=59%")</f>
        <v>0</v>
      </c>
      <c r="I3" s="785">
        <f>COUNTIFS('PLAN ACCION 2018'!$CC$1:$CC$989,A3,'PLAN ACCION 2018'!$CA$1:$CA$989,"&gt;=20%",'PLAN ACCION 2018'!$CA$1:$CA$989,"&lt;=39%")</f>
        <v>0</v>
      </c>
      <c r="J3" s="1015">
        <f>COUNTIFS('PLAN ACCION 2018'!$CC$1:$CC$989,A3,'PLAN ACCION 2018'!$CA$1:$CA$989,"&lt;=20%")</f>
        <v>0</v>
      </c>
      <c r="K3" s="786"/>
      <c r="L3" s="787" t="e">
        <f>+((E3*1)/(E3+G3+I3)+(G3*0.5)/(E3+G3+I3))*100</f>
        <v>#DIV/0!</v>
      </c>
      <c r="M3" s="787" t="e">
        <f t="shared" ref="M3:M21" si="1">+((E3*1)/(C3)+(G3*0.5)/(C3))*100</f>
        <v>#DIV/0!</v>
      </c>
      <c r="N3" s="787" t="e">
        <f>+((E3*1)/(E3+G3+I3)+(G3*0.3)/(E3+G3+I3))*100</f>
        <v>#DIV/0!</v>
      </c>
      <c r="O3" s="787" t="e">
        <f t="shared" ref="O3:O21" si="2">+((E3*1)/(C3)+(G3*0.3)/(C3))*100</f>
        <v>#DIV/0!</v>
      </c>
    </row>
    <row r="4" spans="1:15" ht="15.75" x14ac:dyDescent="0.25">
      <c r="A4" s="1196" t="s">
        <v>4773</v>
      </c>
      <c r="B4" s="89">
        <v>5</v>
      </c>
      <c r="C4" s="90">
        <f>COUNTIF('PLAN ACCION 2018'!$CC$1:$CC$989,A4)</f>
        <v>0</v>
      </c>
      <c r="D4" s="810">
        <f t="shared" si="0"/>
        <v>0</v>
      </c>
      <c r="E4" s="1037">
        <f>COUNTIFS('PLAN ACCION 2018'!$CC$1:$CC$989,A4,'PLAN ACCION 2018'!$CA$1:$CA$989,"&gt;=85%")</f>
        <v>0</v>
      </c>
      <c r="F4" s="1011">
        <f>COUNTIFS('PLAN ACCION 2018'!$CC$1:$CC$989,A4,'PLAN ACCION 2018'!$CA$1:$CA$989,"&gt;=70%",'PLAN ACCION 2018'!$CA$1:$CA$989,"&lt;=84%")</f>
        <v>0</v>
      </c>
      <c r="G4" s="1016">
        <f>COUNTIFS('PLAN ACCION 2018'!$CC$1:$CC$989,A4,'PLAN ACCION 2018'!$CA$1:$CA$989,"&gt;=60%",'PLAN ACCION 2018'!$CA$1:$CA$989,"&lt;=69%")</f>
        <v>0</v>
      </c>
      <c r="H4" s="1013">
        <f>COUNTIFS('PLAN ACCION 2018'!$CC$1:$CC$989,A4,'PLAN ACCION 2018'!$CA$1:$CA$989,"&gt;=40%",'PLAN ACCION 2018'!$CA$1:$CA$989,"&lt;=59%")</f>
        <v>0</v>
      </c>
      <c r="I4" s="785">
        <f>COUNTIFS('PLAN ACCION 2018'!$CC$1:$CC$989,A4,'PLAN ACCION 2018'!$CA$1:$CA$989,"&gt;=20%",'PLAN ACCION 2018'!$CA$1:$CA$989,"&lt;=39%")</f>
        <v>0</v>
      </c>
      <c r="J4" s="1015">
        <f>COUNTIFS('PLAN ACCION 2018'!$CC$1:$CC$989,A4,'PLAN ACCION 2018'!$CA$1:$CA$989,"&lt;=20%")</f>
        <v>0</v>
      </c>
      <c r="K4" s="779"/>
      <c r="L4" s="773" t="e">
        <f>+((E4*1)/(E4+G4+I4)+(G4*0.5)/(E4+G4+I4))*100</f>
        <v>#DIV/0!</v>
      </c>
      <c r="M4" s="787" t="e">
        <f t="shared" si="1"/>
        <v>#DIV/0!</v>
      </c>
      <c r="N4" s="787" t="e">
        <f t="shared" ref="N4:N21" si="3">+((E4*1)/(E4+G4+I4)+(G4*0.3)/(E4+G4+I4))*100</f>
        <v>#DIV/0!</v>
      </c>
      <c r="O4" s="787" t="e">
        <f t="shared" si="2"/>
        <v>#DIV/0!</v>
      </c>
    </row>
    <row r="5" spans="1:15" ht="15.75" x14ac:dyDescent="0.25">
      <c r="A5" s="960" t="s">
        <v>4774</v>
      </c>
      <c r="B5" s="89">
        <v>4</v>
      </c>
      <c r="C5" s="90">
        <f>COUNTIF('PLAN ACCION 2018'!$CC$1:$CC$989,A5)</f>
        <v>0</v>
      </c>
      <c r="D5" s="810">
        <f t="shared" si="0"/>
        <v>0</v>
      </c>
      <c r="E5" s="1037">
        <f>COUNTIFS('PLAN ACCION 2018'!$CC$1:$CC$989,A5,'PLAN ACCION 2018'!$CA$1:$CA$989,"&gt;=85%")</f>
        <v>0</v>
      </c>
      <c r="F5" s="1011">
        <f>COUNTIFS('PLAN ACCION 2018'!$CC$1:$CC$989,A5,'PLAN ACCION 2018'!$CA$1:$CA$989,"&gt;=70%",'PLAN ACCION 2018'!$CA$1:$CA$989,"&lt;=84%")</f>
        <v>0</v>
      </c>
      <c r="G5" s="1016">
        <f>COUNTIFS('PLAN ACCION 2018'!$CC$1:$CC$989,A5,'PLAN ACCION 2018'!$CA$1:$CA$989,"&gt;=60%",'PLAN ACCION 2018'!$CA$1:$CA$989,"&lt;=69%")</f>
        <v>0</v>
      </c>
      <c r="H5" s="1013">
        <f>COUNTIFS('PLAN ACCION 2018'!$CC$1:$CC$989,A5,'PLAN ACCION 2018'!$CA$1:$CA$989,"&gt;=40%",'PLAN ACCION 2018'!$CA$1:$CA$989,"&lt;=59%")</f>
        <v>0</v>
      </c>
      <c r="I5" s="785">
        <f>COUNTIFS('PLAN ACCION 2018'!$CC$1:$CC$989,A5,'PLAN ACCION 2018'!$CA$1:$CA$989,"&gt;=20%",'PLAN ACCION 2018'!$CA$1:$CA$989,"&lt;=39%")</f>
        <v>0</v>
      </c>
      <c r="J5" s="1015">
        <f>COUNTIFS('PLAN ACCION 2018'!$CC$1:$CC$989,A5,'PLAN ACCION 2018'!$CA$1:$CA$989,"&lt;=20%")</f>
        <v>0</v>
      </c>
      <c r="K5" s="779"/>
      <c r="L5" s="772" t="e">
        <f>+((E5*1)/(E5+G5+I5)+(G5*0.5)/(E5+G5+I5))*100</f>
        <v>#DIV/0!</v>
      </c>
      <c r="M5" s="787" t="e">
        <f t="shared" si="1"/>
        <v>#DIV/0!</v>
      </c>
      <c r="N5" s="787" t="e">
        <f t="shared" si="3"/>
        <v>#DIV/0!</v>
      </c>
      <c r="O5" s="787" t="e">
        <f t="shared" si="2"/>
        <v>#DIV/0!</v>
      </c>
    </row>
    <row r="6" spans="1:15" ht="15.75" x14ac:dyDescent="0.25">
      <c r="A6" s="1196" t="s">
        <v>4677</v>
      </c>
      <c r="B6" s="89">
        <v>7</v>
      </c>
      <c r="C6" s="90">
        <f>COUNTIF('PLAN ACCION 2018'!$CC$1:$CC$989,A6)</f>
        <v>0</v>
      </c>
      <c r="D6" s="810">
        <f t="shared" si="0"/>
        <v>0</v>
      </c>
      <c r="E6" s="1037">
        <f>COUNTIFS('PLAN ACCION 2018'!$CC$1:$CC$989,A6,'PLAN ACCION 2018'!$CA$1:$CA$989,"&gt;=85%")</f>
        <v>0</v>
      </c>
      <c r="F6" s="1011">
        <f>COUNTIFS('PLAN ACCION 2018'!$CC$1:$CC$989,A6,'PLAN ACCION 2018'!$CA$1:$CA$989,"&gt;=70%",'PLAN ACCION 2018'!$CA$1:$CA$989,"&lt;=84%")</f>
        <v>0</v>
      </c>
      <c r="G6" s="1016">
        <f>COUNTIFS('PLAN ACCION 2018'!$CC$1:$CC$989,A6,'PLAN ACCION 2018'!$CA$1:$CA$989,"&gt;=60%",'PLAN ACCION 2018'!$CA$1:$CA$989,"&lt;=69%")</f>
        <v>0</v>
      </c>
      <c r="H6" s="1013">
        <f>COUNTIFS('PLAN ACCION 2018'!$CC$1:$CC$989,A6,'PLAN ACCION 2018'!$CA$1:$CA$989,"&gt;=40%",'PLAN ACCION 2018'!$CA$1:$CA$989,"&lt;=59%")</f>
        <v>0</v>
      </c>
      <c r="I6" s="785">
        <f>COUNTIFS('PLAN ACCION 2018'!$CC$1:$CC$989,A6,'PLAN ACCION 2018'!$CA$1:$CA$989,"&gt;=20%",'PLAN ACCION 2018'!$CA$1:$CA$989,"&lt;=39%")</f>
        <v>0</v>
      </c>
      <c r="J6" s="1015">
        <f>COUNTIFS('PLAN ACCION 2018'!$CC$1:$CC$989,A6,'PLAN ACCION 2018'!$CA$1:$CA$989,"&lt;=20%")</f>
        <v>0</v>
      </c>
      <c r="K6" s="779"/>
      <c r="L6" s="772" t="e">
        <f t="shared" ref="L6:L21" si="4">+((E6*1)/(E6+G6+I6)+(G6*0.5)/(E6+G6+I6))*100</f>
        <v>#DIV/0!</v>
      </c>
      <c r="M6" s="787" t="e">
        <f t="shared" si="1"/>
        <v>#DIV/0!</v>
      </c>
      <c r="N6" s="787" t="e">
        <f t="shared" si="3"/>
        <v>#DIV/0!</v>
      </c>
      <c r="O6" s="787" t="e">
        <f t="shared" si="2"/>
        <v>#DIV/0!</v>
      </c>
    </row>
    <row r="7" spans="1:15" ht="15.75" x14ac:dyDescent="0.25">
      <c r="A7" s="960" t="s">
        <v>4775</v>
      </c>
      <c r="B7" s="89">
        <v>2</v>
      </c>
      <c r="C7" s="90">
        <f>COUNTIF('PLAN ACCION 2018'!$CC$1:$CC$989,A7)</f>
        <v>0</v>
      </c>
      <c r="D7" s="810">
        <f t="shared" si="0"/>
        <v>0</v>
      </c>
      <c r="E7" s="1037">
        <f>COUNTIFS('PLAN ACCION 2018'!$CC$1:$CC$989,A7,'PLAN ACCION 2018'!$CA$1:$CA$989,"&gt;=85%")</f>
        <v>0</v>
      </c>
      <c r="F7" s="1011">
        <f>COUNTIFS('PLAN ACCION 2018'!$CC$1:$CC$989,A7,'PLAN ACCION 2018'!$CA$1:$CA$989,"&gt;=70%",'PLAN ACCION 2018'!$CA$1:$CA$989,"&lt;=84%")</f>
        <v>0</v>
      </c>
      <c r="G7" s="1016">
        <f>COUNTIFS('PLAN ACCION 2018'!$CC$1:$CC$989,A7,'PLAN ACCION 2018'!$CA$1:$CA$989,"&gt;=60%",'PLAN ACCION 2018'!$CA$1:$CA$989,"&lt;=69%")</f>
        <v>0</v>
      </c>
      <c r="H7" s="1013">
        <f>COUNTIFS('PLAN ACCION 2018'!$CC$1:$CC$989,A7,'PLAN ACCION 2018'!$CA$1:$CA$989,"&gt;=40%",'PLAN ACCION 2018'!$CA$1:$CA$989,"&lt;=59%")</f>
        <v>0</v>
      </c>
      <c r="I7" s="785">
        <f>COUNTIFS('PLAN ACCION 2018'!$CC$1:$CC$989,A7,'PLAN ACCION 2018'!$CA$1:$CA$989,"&gt;=20%",'PLAN ACCION 2018'!$CA$1:$CA$989,"&lt;=39%")</f>
        <v>0</v>
      </c>
      <c r="J7" s="1015">
        <f>COUNTIFS('PLAN ACCION 2018'!$CC$1:$CC$989,A7,'PLAN ACCION 2018'!$CA$1:$CA$989,"&lt;=20%")</f>
        <v>0</v>
      </c>
      <c r="K7" s="779"/>
      <c r="L7" s="772" t="e">
        <f t="shared" si="4"/>
        <v>#DIV/0!</v>
      </c>
      <c r="M7" s="787" t="e">
        <f t="shared" si="1"/>
        <v>#DIV/0!</v>
      </c>
      <c r="N7" s="787" t="e">
        <f t="shared" si="3"/>
        <v>#DIV/0!</v>
      </c>
      <c r="O7" s="787" t="e">
        <f t="shared" si="2"/>
        <v>#DIV/0!</v>
      </c>
    </row>
    <row r="8" spans="1:15" ht="15.75" x14ac:dyDescent="0.25">
      <c r="A8" s="1196" t="s">
        <v>4776</v>
      </c>
      <c r="B8" s="89">
        <v>1</v>
      </c>
      <c r="C8" s="90">
        <f>COUNTIF('PLAN ACCION 2018'!$CC$1:$CC$989,A8)</f>
        <v>0</v>
      </c>
      <c r="D8" s="810">
        <f t="shared" si="0"/>
        <v>0</v>
      </c>
      <c r="E8" s="1037">
        <f>COUNTIFS('PLAN ACCION 2018'!$CC$1:$CC$989,A8,'PLAN ACCION 2018'!$CA$1:$CA$989,"&gt;=85%")</f>
        <v>0</v>
      </c>
      <c r="F8" s="1011">
        <f>COUNTIFS('PLAN ACCION 2018'!$CC$1:$CC$989,A8,'PLAN ACCION 2018'!$CA$1:$CA$989,"&gt;=70%",'PLAN ACCION 2018'!$CA$1:$CA$989,"&lt;=84%")</f>
        <v>0</v>
      </c>
      <c r="G8" s="1016">
        <f>COUNTIFS('PLAN ACCION 2018'!$CC$1:$CC$989,A8,'PLAN ACCION 2018'!$CA$1:$CA$989,"&gt;=60%",'PLAN ACCION 2018'!$CA$1:$CA$989,"&lt;=69%")</f>
        <v>0</v>
      </c>
      <c r="H8" s="1013">
        <f>COUNTIFS('PLAN ACCION 2018'!$CC$1:$CC$989,A8,'PLAN ACCION 2018'!$CA$1:$CA$989,"&gt;=40%",'PLAN ACCION 2018'!$CA$1:$CA$989,"&lt;=59%")</f>
        <v>0</v>
      </c>
      <c r="I8" s="785">
        <f>COUNTIFS('PLAN ACCION 2018'!$CC$1:$CC$989,A8,'PLAN ACCION 2018'!$CA$1:$CA$989,"&gt;=20%",'PLAN ACCION 2018'!$CA$1:$CA$989,"&lt;=39%")</f>
        <v>0</v>
      </c>
      <c r="J8" s="1015">
        <f>COUNTIFS('PLAN ACCION 2018'!$CC$1:$CC$989,A8,'PLAN ACCION 2018'!$CA$1:$CA$989,"&lt;=20%")</f>
        <v>0</v>
      </c>
      <c r="K8" s="779"/>
      <c r="L8" s="772" t="e">
        <f t="shared" si="4"/>
        <v>#DIV/0!</v>
      </c>
      <c r="M8" s="787" t="e">
        <f t="shared" si="1"/>
        <v>#DIV/0!</v>
      </c>
      <c r="N8" s="787" t="e">
        <f t="shared" si="3"/>
        <v>#DIV/0!</v>
      </c>
      <c r="O8" s="787" t="e">
        <f t="shared" si="2"/>
        <v>#DIV/0!</v>
      </c>
    </row>
    <row r="9" spans="1:15" ht="15.75" x14ac:dyDescent="0.25">
      <c r="A9" s="960" t="s">
        <v>4777</v>
      </c>
      <c r="B9" s="89">
        <v>1</v>
      </c>
      <c r="C9" s="90">
        <f>COUNTIF('PLAN ACCION 2018'!$CC$1:$CC$989,A9)</f>
        <v>0</v>
      </c>
      <c r="D9" s="810">
        <f t="shared" si="0"/>
        <v>0</v>
      </c>
      <c r="E9" s="1037">
        <f>COUNTIFS('PLAN ACCION 2018'!$CC$1:$CC$989,A9,'PLAN ACCION 2018'!$CA$1:$CA$989,"&gt;=85%")</f>
        <v>0</v>
      </c>
      <c r="F9" s="1011">
        <f>COUNTIFS('PLAN ACCION 2018'!$CC$1:$CC$989,A9,'PLAN ACCION 2018'!$CA$1:$CA$989,"&gt;=70%",'PLAN ACCION 2018'!$CA$1:$CA$989,"&lt;=84%")</f>
        <v>0</v>
      </c>
      <c r="G9" s="1016">
        <f>COUNTIFS('PLAN ACCION 2018'!$CC$1:$CC$989,A9,'PLAN ACCION 2018'!$CA$1:$CA$989,"&gt;=60%",'PLAN ACCION 2018'!$CA$1:$CA$989,"&lt;=69%")</f>
        <v>0</v>
      </c>
      <c r="H9" s="1013">
        <f>COUNTIFS('PLAN ACCION 2018'!$CC$1:$CC$989,A9,'PLAN ACCION 2018'!$CA$1:$CA$989,"&gt;=40%",'PLAN ACCION 2018'!$CA$1:$CA$989,"&lt;=59%")</f>
        <v>0</v>
      </c>
      <c r="I9" s="785">
        <f>COUNTIFS('PLAN ACCION 2018'!$CC$1:$CC$989,A9,'PLAN ACCION 2018'!$CA$1:$CA$989,"&gt;=20%",'PLAN ACCION 2018'!$CA$1:$CA$989,"&lt;=39%")</f>
        <v>0</v>
      </c>
      <c r="J9" s="1015">
        <f>COUNTIFS('PLAN ACCION 2018'!$CC$1:$CC$989,A9,'PLAN ACCION 2018'!$CA$1:$CA$989,"&lt;=20%")</f>
        <v>0</v>
      </c>
      <c r="K9" s="779"/>
      <c r="L9" s="772" t="e">
        <f t="shared" si="4"/>
        <v>#DIV/0!</v>
      </c>
      <c r="M9" s="787" t="e">
        <f t="shared" si="1"/>
        <v>#DIV/0!</v>
      </c>
      <c r="N9" s="787" t="e">
        <f t="shared" si="3"/>
        <v>#DIV/0!</v>
      </c>
      <c r="O9" s="787" t="e">
        <f t="shared" si="2"/>
        <v>#DIV/0!</v>
      </c>
    </row>
    <row r="10" spans="1:15" ht="15.75" x14ac:dyDescent="0.25">
      <c r="A10" s="1196" t="s">
        <v>4778</v>
      </c>
      <c r="B10" s="89">
        <v>8</v>
      </c>
      <c r="C10" s="90">
        <f>COUNTIF('PLAN ACCION 2018'!$CC$1:$CC$989,A10)</f>
        <v>0</v>
      </c>
      <c r="D10" s="810">
        <f t="shared" si="0"/>
        <v>0</v>
      </c>
      <c r="E10" s="1037">
        <f>COUNTIFS('PLAN ACCION 2018'!$CC$1:$CC$989,A10,'PLAN ACCION 2018'!$CA$1:$CA$989,"&gt;=85%")</f>
        <v>0</v>
      </c>
      <c r="F10" s="1011">
        <f>COUNTIFS('PLAN ACCION 2018'!$CC$1:$CC$989,A10,'PLAN ACCION 2018'!$CA$1:$CA$989,"&gt;=70%",'PLAN ACCION 2018'!$CA$1:$CA$989,"&lt;=84%")</f>
        <v>0</v>
      </c>
      <c r="G10" s="1016">
        <f>COUNTIFS('PLAN ACCION 2018'!$CC$1:$CC$989,A10,'PLAN ACCION 2018'!$CA$1:$CA$989,"&gt;=60%",'PLAN ACCION 2018'!$CA$1:$CA$989,"&lt;=69%")</f>
        <v>0</v>
      </c>
      <c r="H10" s="1013">
        <f>COUNTIFS('PLAN ACCION 2018'!$CC$1:$CC$989,A10,'PLAN ACCION 2018'!$CA$1:$CA$989,"&gt;=40%",'PLAN ACCION 2018'!$CA$1:$CA$989,"&lt;=59%")</f>
        <v>0</v>
      </c>
      <c r="I10" s="785">
        <f>COUNTIFS('PLAN ACCION 2018'!$CC$1:$CC$989,A10,'PLAN ACCION 2018'!$CA$1:$CA$989,"&gt;=20%",'PLAN ACCION 2018'!$CA$1:$CA$989,"&lt;=39%")</f>
        <v>0</v>
      </c>
      <c r="J10" s="1015">
        <f>COUNTIFS('PLAN ACCION 2018'!$CC$1:$CC$989,A10,'PLAN ACCION 2018'!$CA$1:$CA$989,"&lt;=20%")</f>
        <v>0</v>
      </c>
      <c r="K10" s="779"/>
      <c r="L10" s="772" t="e">
        <f t="shared" si="4"/>
        <v>#DIV/0!</v>
      </c>
      <c r="M10" s="787" t="e">
        <f t="shared" si="1"/>
        <v>#DIV/0!</v>
      </c>
      <c r="N10" s="787" t="e">
        <f t="shared" si="3"/>
        <v>#DIV/0!</v>
      </c>
      <c r="O10" s="787" t="e">
        <f t="shared" si="2"/>
        <v>#DIV/0!</v>
      </c>
    </row>
    <row r="11" spans="1:15" ht="15.75" x14ac:dyDescent="0.25">
      <c r="A11" s="1196" t="s">
        <v>4779</v>
      </c>
      <c r="B11" s="89">
        <v>11</v>
      </c>
      <c r="C11" s="90">
        <f>COUNTIF('PLAN ACCION 2018'!$CC$1:$CC$989,A11)</f>
        <v>0</v>
      </c>
      <c r="D11" s="810">
        <f t="shared" si="0"/>
        <v>0</v>
      </c>
      <c r="E11" s="1037">
        <f>COUNTIFS('PLAN ACCION 2018'!$CC$1:$CC$989,A11,'PLAN ACCION 2018'!$CA$1:$CA$989,"&gt;=85%")</f>
        <v>0</v>
      </c>
      <c r="F11" s="1011">
        <f>COUNTIFS('PLAN ACCION 2018'!$CC$1:$CC$989,A11,'PLAN ACCION 2018'!$CA$1:$CA$989,"&gt;=70%",'PLAN ACCION 2018'!$CA$1:$CA$989,"&lt;=84%")</f>
        <v>0</v>
      </c>
      <c r="G11" s="1016">
        <f>COUNTIFS('PLAN ACCION 2018'!$CC$1:$CC$989,A11,'PLAN ACCION 2018'!$CA$1:$CA$989,"&gt;=60%",'PLAN ACCION 2018'!$CA$1:$CA$989,"&lt;=69%")</f>
        <v>0</v>
      </c>
      <c r="H11" s="1013">
        <f>COUNTIFS('PLAN ACCION 2018'!$CC$1:$CC$989,A11,'PLAN ACCION 2018'!$CA$1:$CA$989,"&gt;=40%",'PLAN ACCION 2018'!$CA$1:$CA$989,"&lt;=59%")</f>
        <v>0</v>
      </c>
      <c r="I11" s="785">
        <f>COUNTIFS('PLAN ACCION 2018'!$CC$1:$CC$989,A11,'PLAN ACCION 2018'!$CA$1:$CA$989,"&gt;=20%",'PLAN ACCION 2018'!$CA$1:$CA$989,"&lt;=39%")</f>
        <v>0</v>
      </c>
      <c r="J11" s="1015">
        <f>COUNTIFS('PLAN ACCION 2018'!$CC$1:$CC$989,A11,'PLAN ACCION 2018'!$CA$1:$CA$989,"&lt;=20%")</f>
        <v>0</v>
      </c>
      <c r="K11" s="779"/>
      <c r="L11" s="772" t="e">
        <f t="shared" si="4"/>
        <v>#DIV/0!</v>
      </c>
      <c r="M11" s="787" t="e">
        <f t="shared" si="1"/>
        <v>#DIV/0!</v>
      </c>
      <c r="N11" s="787" t="e">
        <f t="shared" si="3"/>
        <v>#DIV/0!</v>
      </c>
      <c r="O11" s="787" t="e">
        <f t="shared" si="2"/>
        <v>#DIV/0!</v>
      </c>
    </row>
    <row r="12" spans="1:15" ht="15.75" x14ac:dyDescent="0.25">
      <c r="A12" s="1196" t="s">
        <v>4780</v>
      </c>
      <c r="B12" s="89">
        <v>10</v>
      </c>
      <c r="C12" s="90">
        <f>COUNTIF('PLAN ACCION 2018'!$CC$1:$CC$989,A12)</f>
        <v>0</v>
      </c>
      <c r="D12" s="810">
        <f t="shared" si="0"/>
        <v>0</v>
      </c>
      <c r="E12" s="1037">
        <f>COUNTIFS('PLAN ACCION 2018'!$CC$1:$CC$989,A12,'PLAN ACCION 2018'!$CA$1:$CA$989,"&gt;=85%")</f>
        <v>0</v>
      </c>
      <c r="F12" s="1011">
        <f>COUNTIFS('PLAN ACCION 2018'!$CC$1:$CC$989,A12,'PLAN ACCION 2018'!$CA$1:$CA$989,"&gt;=70%",'PLAN ACCION 2018'!$CA$1:$CA$989,"&lt;=84%")</f>
        <v>0</v>
      </c>
      <c r="G12" s="1016">
        <f>COUNTIFS('PLAN ACCION 2018'!$CC$1:$CC$989,A12,'PLAN ACCION 2018'!$CA$1:$CA$989,"&gt;=60%",'PLAN ACCION 2018'!$CA$1:$CA$989,"&lt;=69%")</f>
        <v>0</v>
      </c>
      <c r="H12" s="1013">
        <f>COUNTIFS('PLAN ACCION 2018'!$CC$1:$CC$989,A12,'PLAN ACCION 2018'!$CA$1:$CA$989,"&gt;=40%",'PLAN ACCION 2018'!$CA$1:$CA$989,"&lt;=59%")</f>
        <v>0</v>
      </c>
      <c r="I12" s="785">
        <f>COUNTIFS('PLAN ACCION 2018'!$CC$1:$CC$989,A12,'PLAN ACCION 2018'!$CA$1:$CA$989,"&gt;=20%",'PLAN ACCION 2018'!$CA$1:$CA$989,"&lt;=39%")</f>
        <v>0</v>
      </c>
      <c r="J12" s="1015">
        <f>COUNTIFS('PLAN ACCION 2018'!$CC$1:$CC$989,A12,'PLAN ACCION 2018'!$CA$1:$CA$989,"&lt;=20%")</f>
        <v>0</v>
      </c>
      <c r="K12" s="779"/>
      <c r="L12" s="772" t="e">
        <f t="shared" si="4"/>
        <v>#DIV/0!</v>
      </c>
      <c r="M12" s="787" t="e">
        <f t="shared" si="1"/>
        <v>#DIV/0!</v>
      </c>
      <c r="N12" s="787" t="e">
        <f t="shared" si="3"/>
        <v>#DIV/0!</v>
      </c>
      <c r="O12" s="787" t="e">
        <f t="shared" si="2"/>
        <v>#DIV/0!</v>
      </c>
    </row>
    <row r="13" spans="1:15" ht="15.75" x14ac:dyDescent="0.25">
      <c r="A13" s="1196" t="s">
        <v>689</v>
      </c>
      <c r="B13" s="89">
        <v>5</v>
      </c>
      <c r="C13" s="90">
        <f>COUNTIF('PLAN ACCION 2018'!$CC$1:$CC$989,A13)</f>
        <v>0</v>
      </c>
      <c r="D13" s="810">
        <f t="shared" si="0"/>
        <v>0</v>
      </c>
      <c r="E13" s="1037">
        <f>COUNTIFS('PLAN ACCION 2018'!$CC$1:$CC$989,A13,'PLAN ACCION 2018'!$CA$1:$CA$989,"&gt;=85%")</f>
        <v>0</v>
      </c>
      <c r="F13" s="1011">
        <f>COUNTIFS('PLAN ACCION 2018'!$CC$1:$CC$989,A13,'PLAN ACCION 2018'!$CA$1:$CA$989,"&gt;=70%",'PLAN ACCION 2018'!$CA$1:$CA$989,"&lt;=84%")</f>
        <v>0</v>
      </c>
      <c r="G13" s="1016">
        <f>COUNTIFS('PLAN ACCION 2018'!$CC$1:$CC$989,A13,'PLAN ACCION 2018'!$CA$1:$CA$989,"&gt;=60%",'PLAN ACCION 2018'!$CA$1:$CA$989,"&lt;=69%")</f>
        <v>0</v>
      </c>
      <c r="H13" s="1013">
        <f>COUNTIFS('PLAN ACCION 2018'!$CC$1:$CC$989,A13,'PLAN ACCION 2018'!$CA$1:$CA$989,"&gt;=40%",'PLAN ACCION 2018'!$CA$1:$CA$989,"&lt;=59%")</f>
        <v>0</v>
      </c>
      <c r="I13" s="785">
        <f>COUNTIFS('PLAN ACCION 2018'!$CC$1:$CC$989,A13,'PLAN ACCION 2018'!$CA$1:$CA$989,"&gt;=20%",'PLAN ACCION 2018'!$CA$1:$CA$989,"&lt;=39%")</f>
        <v>0</v>
      </c>
      <c r="J13" s="1015">
        <f>COUNTIFS('PLAN ACCION 2018'!$CC$1:$CC$989,A13,'PLAN ACCION 2018'!$CA$1:$CA$989,"&lt;=20%")</f>
        <v>0</v>
      </c>
      <c r="K13" s="779"/>
      <c r="L13" s="772" t="e">
        <f t="shared" si="4"/>
        <v>#DIV/0!</v>
      </c>
      <c r="M13" s="787" t="e">
        <f t="shared" si="1"/>
        <v>#DIV/0!</v>
      </c>
      <c r="N13" s="787" t="e">
        <f t="shared" si="3"/>
        <v>#DIV/0!</v>
      </c>
      <c r="O13" s="787" t="e">
        <f t="shared" si="2"/>
        <v>#DIV/0!</v>
      </c>
    </row>
    <row r="14" spans="1:15" ht="15.75" x14ac:dyDescent="0.25">
      <c r="A14" s="960" t="s">
        <v>4781</v>
      </c>
      <c r="B14" s="89">
        <v>1</v>
      </c>
      <c r="C14" s="90">
        <f>COUNTIF('PLAN ACCION 2018'!$CC$1:$CC$989,A14)</f>
        <v>0</v>
      </c>
      <c r="D14" s="810">
        <f t="shared" si="0"/>
        <v>0</v>
      </c>
      <c r="E14" s="1037">
        <f>COUNTIFS('PLAN ACCION 2018'!$CC$1:$CC$989,A14,'PLAN ACCION 2018'!$CA$1:$CA$989,"&gt;=85%")</f>
        <v>0</v>
      </c>
      <c r="F14" s="1011">
        <f>COUNTIFS('PLAN ACCION 2018'!$CC$1:$CC$989,A14,'PLAN ACCION 2018'!$CA$1:$CA$989,"&gt;=70%",'PLAN ACCION 2018'!$CA$1:$CA$989,"&lt;=84%")</f>
        <v>0</v>
      </c>
      <c r="G14" s="1016">
        <f>COUNTIFS('PLAN ACCION 2018'!$CC$1:$CC$989,A14,'PLAN ACCION 2018'!$CA$1:$CA$989,"&gt;=60%",'PLAN ACCION 2018'!$CA$1:$CA$989,"&lt;=69%")</f>
        <v>0</v>
      </c>
      <c r="H14" s="1013">
        <f>COUNTIFS('PLAN ACCION 2018'!$CC$1:$CC$989,A14,'PLAN ACCION 2018'!$CA$1:$CA$989,"&gt;=40%",'PLAN ACCION 2018'!$CA$1:$CA$989,"&lt;=59%")</f>
        <v>0</v>
      </c>
      <c r="I14" s="785">
        <f>COUNTIFS('PLAN ACCION 2018'!$CC$1:$CC$989,A14,'PLAN ACCION 2018'!$CA$1:$CA$989,"&gt;=20%",'PLAN ACCION 2018'!$CA$1:$CA$989,"&lt;=39%")</f>
        <v>0</v>
      </c>
      <c r="J14" s="1015">
        <f>COUNTIFS('PLAN ACCION 2018'!$CC$1:$CC$989,A14,'PLAN ACCION 2018'!$CA$1:$CA$989,"&lt;=20%")</f>
        <v>0</v>
      </c>
      <c r="K14" s="779"/>
      <c r="L14" s="772" t="e">
        <f t="shared" si="4"/>
        <v>#DIV/0!</v>
      </c>
      <c r="M14" s="787" t="e">
        <f t="shared" si="1"/>
        <v>#DIV/0!</v>
      </c>
      <c r="N14" s="787" t="e">
        <f t="shared" si="3"/>
        <v>#DIV/0!</v>
      </c>
      <c r="O14" s="787" t="e">
        <f t="shared" si="2"/>
        <v>#DIV/0!</v>
      </c>
    </row>
    <row r="15" spans="1:15" ht="15.75" x14ac:dyDescent="0.25">
      <c r="A15" s="960" t="s">
        <v>4782</v>
      </c>
      <c r="B15" s="89">
        <v>1</v>
      </c>
      <c r="C15" s="90">
        <f>COUNTIF('PLAN ACCION 2018'!$CC$1:$CC$989,A15)</f>
        <v>0</v>
      </c>
      <c r="D15" s="810">
        <f>+C15-E15-F15-G15-H15-I15-J15-K15</f>
        <v>0</v>
      </c>
      <c r="E15" s="1037">
        <f>COUNTIFS('PLAN ACCION 2018'!$CC$1:$CC$989,A15,'PLAN ACCION 2018'!$CA$1:$CA$989,"&gt;=85%")</f>
        <v>0</v>
      </c>
      <c r="F15" s="1011">
        <f>COUNTIFS('PLAN ACCION 2018'!$CC$1:$CC$989,A15,'PLAN ACCION 2018'!$CA$1:$CA$989,"&gt;=70%",'PLAN ACCION 2018'!$CA$1:$CA$989,"&lt;=84%")</f>
        <v>0</v>
      </c>
      <c r="G15" s="1016">
        <f>COUNTIFS('PLAN ACCION 2018'!$CC$1:$CC$989,A15,'PLAN ACCION 2018'!$CA$1:$CA$989,"&gt;=60%",'PLAN ACCION 2018'!$CA$1:$CA$989,"&lt;=69%")</f>
        <v>0</v>
      </c>
      <c r="H15" s="1013">
        <f>COUNTIFS('PLAN ACCION 2018'!$CC$1:$CC$989,A15,'PLAN ACCION 2018'!$CA$1:$CA$989,"&gt;=40%",'PLAN ACCION 2018'!$CA$1:$CA$989,"&lt;=59%")</f>
        <v>0</v>
      </c>
      <c r="I15" s="785">
        <f>COUNTIFS('PLAN ACCION 2018'!$CC$1:$CC$989,A15,'PLAN ACCION 2018'!$CA$1:$CA$989,"&gt;=20%",'PLAN ACCION 2018'!$CA$1:$CA$989,"&lt;=39%")</f>
        <v>0</v>
      </c>
      <c r="J15" s="1015">
        <f>COUNTIFS('PLAN ACCION 2018'!$CC$1:$CC$989,A15,'PLAN ACCION 2018'!$CA$1:$CA$989,"&lt;=20%")</f>
        <v>0</v>
      </c>
      <c r="K15" s="779"/>
      <c r="L15" s="772"/>
      <c r="M15" s="787"/>
      <c r="N15" s="787"/>
      <c r="O15" s="787"/>
    </row>
    <row r="16" spans="1:15" ht="15.75" x14ac:dyDescent="0.25">
      <c r="A16" s="1196" t="s">
        <v>4783</v>
      </c>
      <c r="B16" s="89">
        <v>7</v>
      </c>
      <c r="C16" s="90">
        <f>COUNTIF('PLAN ACCION 2018'!$CC$1:$CC$989,A16)</f>
        <v>0</v>
      </c>
      <c r="D16" s="810">
        <f t="shared" si="0"/>
        <v>0</v>
      </c>
      <c r="E16" s="1037">
        <f>COUNTIFS('PLAN ACCION 2018'!$CC$1:$CC$989,A16,'PLAN ACCION 2018'!$CA$1:$CA$989,"&gt;=85%")</f>
        <v>0</v>
      </c>
      <c r="F16" s="1011">
        <f>COUNTIFS('PLAN ACCION 2018'!$CC$1:$CC$989,A16,'PLAN ACCION 2018'!$CA$1:$CA$989,"&gt;=70%",'PLAN ACCION 2018'!$CA$1:$CA$989,"&lt;=84%")</f>
        <v>0</v>
      </c>
      <c r="G16" s="1016">
        <f>COUNTIFS('PLAN ACCION 2018'!$CC$1:$CC$989,A16,'PLAN ACCION 2018'!$CA$1:$CA$989,"&gt;=60%",'PLAN ACCION 2018'!$CA$1:$CA$989,"&lt;=69%")</f>
        <v>0</v>
      </c>
      <c r="H16" s="1013">
        <f>COUNTIFS('PLAN ACCION 2018'!$CC$1:$CC$989,A16,'PLAN ACCION 2018'!$CA$1:$CA$989,"&gt;=40%",'PLAN ACCION 2018'!$CA$1:$CA$989,"&lt;=59%")</f>
        <v>0</v>
      </c>
      <c r="I16" s="785">
        <f>COUNTIFS('PLAN ACCION 2018'!$CC$1:$CC$989,A16,'PLAN ACCION 2018'!$CA$1:$CA$989,"&gt;=20%",'PLAN ACCION 2018'!$CA$1:$CA$989,"&lt;=39%")</f>
        <v>0</v>
      </c>
      <c r="J16" s="1015">
        <f>COUNTIFS('PLAN ACCION 2018'!$CC$1:$CC$989,A16,'PLAN ACCION 2018'!$CA$1:$CA$989,"&lt;=20%")</f>
        <v>0</v>
      </c>
      <c r="K16" s="779"/>
      <c r="L16" s="772" t="e">
        <f t="shared" si="4"/>
        <v>#DIV/0!</v>
      </c>
      <c r="M16" s="787" t="e">
        <f t="shared" si="1"/>
        <v>#DIV/0!</v>
      </c>
      <c r="N16" s="787" t="e">
        <f t="shared" si="3"/>
        <v>#DIV/0!</v>
      </c>
      <c r="O16" s="787" t="e">
        <f t="shared" si="2"/>
        <v>#DIV/0!</v>
      </c>
    </row>
    <row r="17" spans="1:15" ht="15.75" x14ac:dyDescent="0.25">
      <c r="A17" s="960" t="s">
        <v>4784</v>
      </c>
      <c r="B17" s="89">
        <v>14</v>
      </c>
      <c r="C17" s="90">
        <f>COUNTIF('PLAN ACCION 2018'!$CC$1:$CC$989,A17)</f>
        <v>0</v>
      </c>
      <c r="D17" s="810">
        <f t="shared" si="0"/>
        <v>0</v>
      </c>
      <c r="E17" s="1037">
        <f>COUNTIFS('PLAN ACCION 2018'!$CC$1:$CC$989,A17,'PLAN ACCION 2018'!$CA$1:$CA$989,"&gt;=85%")</f>
        <v>0</v>
      </c>
      <c r="F17" s="1011">
        <f>COUNTIFS('PLAN ACCION 2018'!$CC$1:$CC$989,A17,'PLAN ACCION 2018'!$CA$1:$CA$989,"&gt;=70%",'PLAN ACCION 2018'!$CA$1:$CA$989,"&lt;=84%")</f>
        <v>0</v>
      </c>
      <c r="G17" s="1016">
        <f>COUNTIFS('PLAN ACCION 2018'!$CC$1:$CC$989,A17,'PLAN ACCION 2018'!$CA$1:$CA$989,"&gt;=60%",'PLAN ACCION 2018'!$CA$1:$CA$989,"&lt;=69%")</f>
        <v>0</v>
      </c>
      <c r="H17" s="1013">
        <f>COUNTIFS('PLAN ACCION 2018'!$CC$1:$CC$989,A17,'PLAN ACCION 2018'!$CA$1:$CA$989,"&gt;=40%",'PLAN ACCION 2018'!$CA$1:$CA$989,"&lt;=59%")</f>
        <v>0</v>
      </c>
      <c r="I17" s="785">
        <f>COUNTIFS('PLAN ACCION 2018'!$CC$1:$CC$989,A17,'PLAN ACCION 2018'!$CA$1:$CA$989,"&gt;=20%",'PLAN ACCION 2018'!$CA$1:$CA$989,"&lt;=39%")</f>
        <v>0</v>
      </c>
      <c r="J17" s="1015">
        <f>COUNTIFS('PLAN ACCION 2018'!$CC$1:$CC$989,A17,'PLAN ACCION 2018'!$CA$1:$CA$989,"&lt;=20%")</f>
        <v>0</v>
      </c>
      <c r="K17" s="779"/>
      <c r="L17" s="772" t="e">
        <f t="shared" si="4"/>
        <v>#DIV/0!</v>
      </c>
      <c r="M17" s="787" t="e">
        <f t="shared" si="1"/>
        <v>#DIV/0!</v>
      </c>
      <c r="N17" s="787" t="e">
        <f t="shared" si="3"/>
        <v>#DIV/0!</v>
      </c>
      <c r="O17" s="787" t="e">
        <f t="shared" si="2"/>
        <v>#DIV/0!</v>
      </c>
    </row>
    <row r="18" spans="1:15" ht="15.75" x14ac:dyDescent="0.25">
      <c r="A18" s="960" t="s">
        <v>4785</v>
      </c>
      <c r="B18" s="89">
        <v>4</v>
      </c>
      <c r="C18" s="90">
        <f>COUNTIF('PLAN ACCION 2018'!$CC$1:$CC$989,A18)</f>
        <v>0</v>
      </c>
      <c r="D18" s="810">
        <f t="shared" si="0"/>
        <v>0</v>
      </c>
      <c r="E18" s="1037">
        <f>COUNTIFS('PLAN ACCION 2018'!$CC$1:$CC$989,A18,'PLAN ACCION 2018'!$CA$1:$CA$989,"&gt;=85%")</f>
        <v>0</v>
      </c>
      <c r="F18" s="1011">
        <f>COUNTIFS('PLAN ACCION 2018'!$CC$1:$CC$989,A18,'PLAN ACCION 2018'!$CA$1:$CA$989,"&gt;=70%",'PLAN ACCION 2018'!$CA$1:$CA$989,"&lt;=84%")</f>
        <v>0</v>
      </c>
      <c r="G18" s="1016">
        <f>COUNTIFS('PLAN ACCION 2018'!$CC$1:$CC$989,A18,'PLAN ACCION 2018'!$CA$1:$CA$989,"&gt;=60%",'PLAN ACCION 2018'!$CA$1:$CA$989,"&lt;=69%")</f>
        <v>0</v>
      </c>
      <c r="H18" s="1013">
        <f>COUNTIFS('PLAN ACCION 2018'!$CC$1:$CC$989,A18,'PLAN ACCION 2018'!$CA$1:$CA$989,"&gt;=40%",'PLAN ACCION 2018'!$CA$1:$CA$989,"&lt;=59%")</f>
        <v>0</v>
      </c>
      <c r="I18" s="785">
        <f>COUNTIFS('PLAN ACCION 2018'!$CC$1:$CC$989,A18,'PLAN ACCION 2018'!$CA$1:$CA$989,"&gt;=20%",'PLAN ACCION 2018'!$CA$1:$CA$989,"&lt;=39%")</f>
        <v>0</v>
      </c>
      <c r="J18" s="1015">
        <f>COUNTIFS('PLAN ACCION 2018'!$CC$1:$CC$989,A18,'PLAN ACCION 2018'!$CA$1:$CA$989,"&lt;=20%")</f>
        <v>0</v>
      </c>
      <c r="K18" s="779"/>
      <c r="L18" s="772" t="e">
        <f t="shared" si="4"/>
        <v>#DIV/0!</v>
      </c>
      <c r="M18" s="787" t="e">
        <f t="shared" si="1"/>
        <v>#DIV/0!</v>
      </c>
      <c r="N18" s="787" t="e">
        <f t="shared" si="3"/>
        <v>#DIV/0!</v>
      </c>
      <c r="O18" s="787" t="e">
        <f t="shared" si="2"/>
        <v>#DIV/0!</v>
      </c>
    </row>
    <row r="19" spans="1:15" ht="15.75" x14ac:dyDescent="0.25">
      <c r="A19" s="960" t="s">
        <v>4786</v>
      </c>
      <c r="B19" s="89">
        <v>22</v>
      </c>
      <c r="C19" s="90">
        <f>COUNTIF('PLAN ACCION 2018'!$CC$1:$CC$989,A19)</f>
        <v>0</v>
      </c>
      <c r="D19" s="810">
        <f t="shared" si="0"/>
        <v>0</v>
      </c>
      <c r="E19" s="1037">
        <f>COUNTIFS('PLAN ACCION 2018'!$CC$1:$CC$989,A19,'PLAN ACCION 2018'!$CA$1:$CA$989,"&gt;=85%")</f>
        <v>0</v>
      </c>
      <c r="F19" s="1011">
        <f>COUNTIFS('PLAN ACCION 2018'!$CC$1:$CC$989,A19,'PLAN ACCION 2018'!$CA$1:$CA$989,"&gt;=70%",'PLAN ACCION 2018'!$CA$1:$CA$989,"&lt;=84%")</f>
        <v>0</v>
      </c>
      <c r="G19" s="1016">
        <f>COUNTIFS('PLAN ACCION 2018'!$CC$1:$CC$989,A19,'PLAN ACCION 2018'!$CA$1:$CA$989,"&gt;=60%",'PLAN ACCION 2018'!$CA$1:$CA$989,"&lt;=69%")</f>
        <v>0</v>
      </c>
      <c r="H19" s="1013">
        <f>COUNTIFS('PLAN ACCION 2018'!$CC$1:$CC$989,A19,'PLAN ACCION 2018'!$CA$1:$CA$989,"&gt;=40%",'PLAN ACCION 2018'!$CA$1:$CA$989,"&lt;=59%")</f>
        <v>0</v>
      </c>
      <c r="I19" s="785">
        <f>COUNTIFS('PLAN ACCION 2018'!$CC$1:$CC$989,A19,'PLAN ACCION 2018'!$CA$1:$CA$989,"&gt;=20%",'PLAN ACCION 2018'!$CA$1:$CA$989,"&lt;=39%")</f>
        <v>0</v>
      </c>
      <c r="J19" s="1015">
        <f>COUNTIFS('PLAN ACCION 2018'!$CC$1:$CC$989,A19,'PLAN ACCION 2018'!$CA$1:$CA$989,"&lt;=20%")</f>
        <v>0</v>
      </c>
      <c r="K19" s="779"/>
      <c r="L19" s="772" t="e">
        <f t="shared" si="4"/>
        <v>#DIV/0!</v>
      </c>
      <c r="M19" s="787" t="e">
        <f t="shared" si="1"/>
        <v>#DIV/0!</v>
      </c>
      <c r="N19" s="787" t="e">
        <f t="shared" si="3"/>
        <v>#DIV/0!</v>
      </c>
      <c r="O19" s="787" t="e">
        <f t="shared" si="2"/>
        <v>#DIV/0!</v>
      </c>
    </row>
    <row r="20" spans="1:15" ht="15.75" x14ac:dyDescent="0.25">
      <c r="A20" s="1196" t="s">
        <v>4787</v>
      </c>
      <c r="B20" s="89">
        <v>17</v>
      </c>
      <c r="C20" s="90">
        <f>COUNTIF('PLAN ACCION 2018'!$CC$1:$CC$989,A20)</f>
        <v>0</v>
      </c>
      <c r="D20" s="810">
        <f t="shared" si="0"/>
        <v>0</v>
      </c>
      <c r="E20" s="1037">
        <f>COUNTIFS('PLAN ACCION 2018'!$CC$1:$CC$989,A20,'PLAN ACCION 2018'!$CA$1:$CA$989,"&gt;=85%")</f>
        <v>0</v>
      </c>
      <c r="F20" s="1011">
        <f>COUNTIFS('PLAN ACCION 2018'!$CC$1:$CC$989,A20,'PLAN ACCION 2018'!$CA$1:$CA$989,"&gt;=70%",'PLAN ACCION 2018'!$CA$1:$CA$989,"&lt;=84%")</f>
        <v>0</v>
      </c>
      <c r="G20" s="1016">
        <f>COUNTIFS('PLAN ACCION 2018'!$CC$1:$CC$989,A20,'PLAN ACCION 2018'!$CA$1:$CA$989,"&gt;=60%",'PLAN ACCION 2018'!$CA$1:$CA$989,"&lt;=69%")</f>
        <v>0</v>
      </c>
      <c r="H20" s="1013">
        <f>COUNTIFS('PLAN ACCION 2018'!$CC$1:$CC$989,A20,'PLAN ACCION 2018'!$CA$1:$CA$989,"&gt;=40%",'PLAN ACCION 2018'!$CA$1:$CA$989,"&lt;=59%")</f>
        <v>0</v>
      </c>
      <c r="I20" s="785">
        <f>COUNTIFS('PLAN ACCION 2018'!$CC$1:$CC$989,A20,'PLAN ACCION 2018'!$CA$1:$CA$989,"&gt;=20%",'PLAN ACCION 2018'!$CA$1:$CA$989,"&lt;=39%")</f>
        <v>0</v>
      </c>
      <c r="J20" s="1015">
        <f>COUNTIFS('PLAN ACCION 2018'!$CC$1:$CC$989,A20,'PLAN ACCION 2018'!$CA$1:$CA$989,"&lt;=20%")</f>
        <v>0</v>
      </c>
      <c r="K20" s="779"/>
      <c r="L20" s="772" t="e">
        <f t="shared" si="4"/>
        <v>#DIV/0!</v>
      </c>
      <c r="M20" s="787" t="e">
        <f t="shared" si="1"/>
        <v>#DIV/0!</v>
      </c>
      <c r="N20" s="787" t="e">
        <f t="shared" si="3"/>
        <v>#DIV/0!</v>
      </c>
      <c r="O20" s="787" t="e">
        <f t="shared" si="2"/>
        <v>#DIV/0!</v>
      </c>
    </row>
    <row r="21" spans="1:15" ht="16.5" thickBot="1" x14ac:dyDescent="0.3">
      <c r="A21" s="1038" t="s">
        <v>32</v>
      </c>
      <c r="B21" s="782">
        <f t="shared" ref="B21:I21" si="5">SUM(B3:B20)</f>
        <v>128</v>
      </c>
      <c r="C21" s="782">
        <f>SUM(C3:C20)</f>
        <v>0</v>
      </c>
      <c r="D21" s="1039">
        <f t="shared" si="0"/>
        <v>0</v>
      </c>
      <c r="E21" s="1036">
        <f t="shared" si="5"/>
        <v>0</v>
      </c>
      <c r="F21" s="1011">
        <f>COUNTIFS('PLAN ACCION 2018'!$CC$1:$CC$989,A21,'PLAN ACCION 2018'!$CA$1:$CA$989,"&gt;=70%",'PLAN ACCION 2018'!$CA$1:$CA$989,"&lt;=84%")</f>
        <v>0</v>
      </c>
      <c r="G21" s="808">
        <f t="shared" si="5"/>
        <v>0</v>
      </c>
      <c r="H21" s="1014">
        <f>SUM(H3:H20)</f>
        <v>0</v>
      </c>
      <c r="I21" s="774">
        <f t="shared" si="5"/>
        <v>0</v>
      </c>
      <c r="J21" s="1017">
        <f>SUM(J3:J20)</f>
        <v>0</v>
      </c>
      <c r="K21" s="779">
        <f>SUM(K3:K20)</f>
        <v>0</v>
      </c>
      <c r="L21" s="772" t="e">
        <f t="shared" si="4"/>
        <v>#DIV/0!</v>
      </c>
      <c r="M21" s="787" t="e">
        <f t="shared" si="1"/>
        <v>#DIV/0!</v>
      </c>
      <c r="N21" s="787" t="e">
        <f t="shared" si="3"/>
        <v>#DIV/0!</v>
      </c>
      <c r="O21" s="787" t="e">
        <f t="shared" si="2"/>
        <v>#DIV/0!</v>
      </c>
    </row>
    <row r="22" spans="1:15" ht="16.5" thickBot="1" x14ac:dyDescent="0.3">
      <c r="C22" s="782" t="s">
        <v>4788</v>
      </c>
      <c r="D22" s="1040" t="e">
        <f t="shared" ref="D22:J22" si="6">+D21/$C$21</f>
        <v>#DIV/0!</v>
      </c>
      <c r="E22" s="1041" t="e">
        <f t="shared" si="6"/>
        <v>#DIV/0!</v>
      </c>
      <c r="F22" s="1042" t="e">
        <f t="shared" si="6"/>
        <v>#DIV/0!</v>
      </c>
      <c r="G22" s="1043" t="e">
        <f t="shared" si="6"/>
        <v>#DIV/0!</v>
      </c>
      <c r="H22" s="1044" t="e">
        <f t="shared" si="6"/>
        <v>#DIV/0!</v>
      </c>
      <c r="I22" s="1045" t="e">
        <f t="shared" si="6"/>
        <v>#DIV/0!</v>
      </c>
      <c r="J22" s="1046" t="e">
        <f t="shared" si="6"/>
        <v>#DIV/0!</v>
      </c>
      <c r="K22" s="229"/>
      <c r="L22" s="944"/>
    </row>
    <row r="23" spans="1:15" ht="15.75" x14ac:dyDescent="0.25">
      <c r="C23" s="229"/>
      <c r="D23" s="229"/>
      <c r="E23" s="229"/>
      <c r="F23" s="229"/>
      <c r="G23" s="229"/>
      <c r="H23" s="229"/>
      <c r="I23" s="229"/>
      <c r="J23" s="229"/>
      <c r="K23" s="229"/>
      <c r="L23" s="229"/>
    </row>
    <row r="24" spans="1:15" x14ac:dyDescent="0.3">
      <c r="C24" s="229"/>
      <c r="D24" s="229"/>
      <c r="E24" s="229"/>
      <c r="F24" s="229"/>
      <c r="G24" s="229"/>
      <c r="H24" s="229"/>
      <c r="I24" s="229"/>
      <c r="J24" s="229"/>
      <c r="K24" s="229"/>
      <c r="L24" s="229"/>
    </row>
    <row r="25" spans="1:15" x14ac:dyDescent="0.3">
      <c r="C25" s="229"/>
      <c r="D25" s="229"/>
      <c r="E25" s="229"/>
      <c r="F25" s="229"/>
      <c r="G25" s="229"/>
      <c r="H25" s="229"/>
      <c r="I25" s="229"/>
      <c r="J25" s="229"/>
      <c r="K25" s="229"/>
      <c r="L25" s="229"/>
    </row>
    <row r="26" spans="1:15" x14ac:dyDescent="0.3">
      <c r="C26" s="229"/>
      <c r="D26" s="229"/>
      <c r="E26" s="229"/>
      <c r="F26" s="229"/>
      <c r="G26" s="229"/>
      <c r="H26" s="229"/>
      <c r="I26" s="229"/>
      <c r="J26" s="229"/>
      <c r="K26" s="229"/>
      <c r="L26" s="229"/>
    </row>
  </sheetData>
  <customSheetViews>
    <customSheetView guid="{92B8BA5A-7984-4526-9F7A-187FF856FCAE}" scale="115" hiddenColumns="1" state="hidden">
      <selection activeCell="C11" sqref="C11"/>
      <pageMargins left="0" right="0" top="0" bottom="0" header="0" footer="0"/>
      <pageSetup scale="95" orientation="landscape" r:id="rId1"/>
    </customSheetView>
  </customSheetViews>
  <mergeCells count="3">
    <mergeCell ref="A1:A2"/>
    <mergeCell ref="C1:C2"/>
    <mergeCell ref="D1:D2"/>
  </mergeCells>
  <conditionalFormatting sqref="G2 J2:K2">
    <cfRule type="containsText" dxfId="3" priority="24" operator="containsText" text="AZ">
      <formula>NOT(ISERROR(SEARCH("AZ",G2)))</formula>
    </cfRule>
    <cfRule type="containsText" dxfId="2" priority="25" operator="containsText" text="RO">
      <formula>NOT(ISERROR(SEARCH("RO",G2)))</formula>
    </cfRule>
    <cfRule type="containsText" dxfId="1" priority="26" operator="containsText" text="AM">
      <formula>NOT(ISERROR(SEARCH("AM",G2)))</formula>
    </cfRule>
    <cfRule type="containsText" dxfId="0" priority="27" operator="containsText" text="VE">
      <formula>NOT(ISERROR(SEARCH("VE",G2)))</formula>
    </cfRule>
  </conditionalFormatting>
  <conditionalFormatting sqref="L3 M3:N21">
    <cfRule type="iconSet" priority="23">
      <iconSet iconSet="3Arrows">
        <cfvo type="percent" val="0"/>
        <cfvo type="num" val="40"/>
        <cfvo type="num" val="70"/>
      </iconSet>
    </cfRule>
  </conditionalFormatting>
  <conditionalFormatting sqref="L5:L21">
    <cfRule type="iconSet" priority="22">
      <iconSet iconSet="3Arrows">
        <cfvo type="percent" val="0"/>
        <cfvo type="num" val="40"/>
        <cfvo type="num" val="70"/>
      </iconSet>
    </cfRule>
  </conditionalFormatting>
  <conditionalFormatting sqref="O3:O21">
    <cfRule type="iconSet" priority="21">
      <iconSet iconSet="3Arrows">
        <cfvo type="percent" val="0"/>
        <cfvo type="num" val="40"/>
        <cfvo type="num" val="70"/>
      </iconSet>
    </cfRule>
  </conditionalFormatting>
  <dataValidations count="1">
    <dataValidation type="list" allowBlank="1" showInputMessage="1" showErrorMessage="1" sqref="E2:K2">
      <formula1>COOR</formula1>
    </dataValidation>
  </dataValidations>
  <pageMargins left="0.70866141732283472" right="0.70866141732283472" top="0.74803149606299213" bottom="0.74803149606299213" header="0.31496062992125984" footer="0.31496062992125984"/>
  <pageSetup scale="95"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500"/>
  <sheetViews>
    <sheetView topLeftCell="P1" zoomScale="70" zoomScaleNormal="70" zoomScalePageLayoutView="140" workbookViewId="0">
      <pane ySplit="4" topLeftCell="A354" activePane="bottomLeft" state="frozen"/>
      <selection pane="bottomLeft" activeCell="AL365" sqref="AL365"/>
    </sheetView>
  </sheetViews>
  <sheetFormatPr baseColWidth="10" defaultColWidth="10.88671875" defaultRowHeight="13.2" x14ac:dyDescent="0.25"/>
  <cols>
    <col min="1" max="1" width="0" style="3" hidden="1" customWidth="1"/>
    <col min="2" max="2" width="16.5546875" style="5" hidden="1" customWidth="1"/>
    <col min="3" max="3" width="11" style="5" hidden="1" customWidth="1"/>
    <col min="4" max="4" width="23.44140625" style="3" hidden="1" customWidth="1"/>
    <col min="5" max="5" width="18.33203125" style="3" hidden="1" customWidth="1"/>
    <col min="6" max="8" width="10.88671875" style="3" hidden="1" customWidth="1"/>
    <col min="9" max="9" width="4.6640625" style="4" hidden="1" customWidth="1"/>
    <col min="10" max="10" width="4.88671875" style="3" hidden="1" customWidth="1"/>
    <col min="11" max="11" width="4" style="3" customWidth="1"/>
    <col min="12" max="12" width="12.44140625" style="3" customWidth="1"/>
    <col min="13" max="13" width="15.44140625" style="252" customWidth="1"/>
    <col min="14" max="14" width="17.5546875" style="3" customWidth="1"/>
    <col min="15" max="15" width="25.33203125" style="252" customWidth="1"/>
    <col min="16" max="16" width="27.88671875" style="27" customWidth="1"/>
    <col min="17" max="17" width="2.88671875" style="28" customWidth="1"/>
    <col min="18" max="18" width="10.109375" style="4" customWidth="1"/>
    <col min="19" max="19" width="7.44140625" style="4" customWidth="1"/>
    <col min="20" max="20" width="7.88671875" style="4" customWidth="1"/>
    <col min="21" max="22" width="7.88671875" style="46" customWidth="1"/>
    <col min="23" max="23" width="6.44140625" style="46" customWidth="1"/>
    <col min="24" max="24" width="9.109375" style="46" customWidth="1"/>
    <col min="25" max="25" width="11.33203125" style="29" customWidth="1"/>
    <col min="26" max="26" width="10.5546875" style="29" customWidth="1"/>
    <col min="27" max="27" width="14.109375" style="29" customWidth="1"/>
    <col min="28" max="28" width="13.109375" style="29" customWidth="1"/>
    <col min="29" max="29" width="7.5546875" style="29" customWidth="1"/>
    <col min="30" max="30" width="9.5546875" style="29" customWidth="1"/>
    <col min="31" max="31" width="16.44140625" style="29" customWidth="1"/>
    <col min="32" max="32" width="14" style="39" customWidth="1"/>
    <col min="33" max="33" width="12.44140625" style="29" customWidth="1"/>
    <col min="34" max="34" width="12.5546875" style="29" customWidth="1"/>
    <col min="35" max="35" width="14.6640625" style="29" customWidth="1"/>
    <col min="36" max="36" width="13.88671875" style="29" customWidth="1"/>
    <col min="37" max="37" width="2.109375" style="29" customWidth="1"/>
    <col min="38" max="38" width="16.5546875" style="29" customWidth="1"/>
    <col min="39" max="39" width="16.88671875" style="29" customWidth="1"/>
    <col min="40" max="40" width="10.5546875" style="29" customWidth="1"/>
    <col min="41" max="41" width="10.33203125" style="29" customWidth="1"/>
    <col min="42" max="42" width="14.44140625" style="29" customWidth="1"/>
    <col min="43" max="43" width="13.33203125" style="29" customWidth="1"/>
    <col min="44" max="44" width="6.5546875" style="29" customWidth="1"/>
    <col min="45" max="45" width="4.44140625" style="29" customWidth="1"/>
    <col min="46" max="46" width="12.33203125" style="29" customWidth="1"/>
    <col min="47" max="47" width="12.109375" style="29" customWidth="1"/>
    <col min="48" max="48" width="16" style="29" customWidth="1"/>
    <col min="49" max="49" width="11.109375" style="29" customWidth="1"/>
    <col min="50" max="50" width="12.109375" style="29" customWidth="1"/>
    <col min="51" max="51" width="13.44140625" style="29" customWidth="1"/>
    <col min="52" max="52" width="10.44140625" style="29" customWidth="1"/>
    <col min="53" max="53" width="5.88671875" style="29" customWidth="1"/>
    <col min="54" max="54" width="15.109375" style="29" customWidth="1"/>
    <col min="55" max="55" width="14" style="29" customWidth="1"/>
    <col min="56" max="63" width="12.6640625" style="29" hidden="1" customWidth="1"/>
    <col min="64" max="64" width="10.88671875" style="40"/>
    <col min="65" max="16384" width="10.88671875" style="3"/>
  </cols>
  <sheetData>
    <row r="1" spans="1:64" ht="7.5" customHeight="1" x14ac:dyDescent="0.25">
      <c r="B1" s="15" t="s">
        <v>0</v>
      </c>
      <c r="C1" s="15"/>
      <c r="AB1" s="30"/>
      <c r="AE1" s="30"/>
      <c r="AJ1" s="30">
        <v>2200</v>
      </c>
      <c r="AQ1" s="30">
        <v>2000</v>
      </c>
      <c r="AR1" s="30"/>
      <c r="AY1" s="30">
        <v>2000</v>
      </c>
      <c r="BG1" s="30">
        <v>2000</v>
      </c>
    </row>
    <row r="2" spans="1:64" ht="20.25" customHeight="1" x14ac:dyDescent="0.25">
      <c r="A2" s="605"/>
      <c r="B2" s="1533" t="s">
        <v>1</v>
      </c>
      <c r="C2" s="1534"/>
      <c r="D2" s="1534"/>
      <c r="E2" s="1534"/>
      <c r="F2" s="1534"/>
      <c r="G2" s="1534"/>
      <c r="H2" s="1534"/>
      <c r="I2" s="1534"/>
      <c r="J2" s="1534"/>
      <c r="K2" s="1534"/>
      <c r="L2" s="1534"/>
      <c r="M2" s="1535"/>
      <c r="N2" s="606"/>
      <c r="O2" s="606"/>
      <c r="P2" s="606"/>
      <c r="Q2" s="607"/>
      <c r="R2" s="606"/>
      <c r="S2" s="606"/>
      <c r="T2" s="606"/>
      <c r="U2" s="608"/>
      <c r="V2" s="608"/>
      <c r="W2" s="608"/>
      <c r="X2" s="608"/>
      <c r="Y2" s="609">
        <f t="shared" ref="Y2:BK2" si="0">+Y5+Y261+Y361+Y445</f>
        <v>1511.24</v>
      </c>
      <c r="Z2" s="609">
        <f t="shared" si="0"/>
        <v>664.09999999999991</v>
      </c>
      <c r="AA2" s="609">
        <f t="shared" si="0"/>
        <v>20535.189999999995</v>
      </c>
      <c r="AB2" s="609">
        <f t="shared" si="0"/>
        <v>3137</v>
      </c>
      <c r="AC2" s="609">
        <f t="shared" si="0"/>
        <v>0</v>
      </c>
      <c r="AD2" s="609">
        <f t="shared" si="0"/>
        <v>3967.3799999999997</v>
      </c>
      <c r="AE2" s="609">
        <f t="shared" si="0"/>
        <v>20203</v>
      </c>
      <c r="AF2" s="610">
        <f t="shared" si="0"/>
        <v>50017.909999999996</v>
      </c>
      <c r="AG2" s="609">
        <f t="shared" si="0"/>
        <v>1374.81</v>
      </c>
      <c r="AH2" s="609">
        <f t="shared" si="0"/>
        <v>648.9</v>
      </c>
      <c r="AI2" s="609">
        <f t="shared" si="0"/>
        <v>21229.702000000001</v>
      </c>
      <c r="AJ2" s="609">
        <f t="shared" si="0"/>
        <v>1400</v>
      </c>
      <c r="AK2" s="609">
        <f t="shared" si="0"/>
        <v>0</v>
      </c>
      <c r="AL2" s="609">
        <f t="shared" si="0"/>
        <v>22620</v>
      </c>
      <c r="AM2" s="609">
        <f t="shared" si="0"/>
        <v>47273.412000000004</v>
      </c>
      <c r="AN2" s="609">
        <f t="shared" si="0"/>
        <v>1604.1799999999998</v>
      </c>
      <c r="AO2" s="609">
        <f t="shared" si="0"/>
        <v>678.2</v>
      </c>
      <c r="AP2" s="609">
        <f t="shared" si="0"/>
        <v>21850.971195000002</v>
      </c>
      <c r="AQ2" s="609">
        <f t="shared" si="0"/>
        <v>2200</v>
      </c>
      <c r="AR2" s="609">
        <f t="shared" si="0"/>
        <v>0</v>
      </c>
      <c r="AS2" s="609">
        <f t="shared" si="0"/>
        <v>0</v>
      </c>
      <c r="AT2" s="609">
        <f t="shared" si="0"/>
        <v>23738.04</v>
      </c>
      <c r="AU2" s="609">
        <f t="shared" si="0"/>
        <v>50071.391195000004</v>
      </c>
      <c r="AV2" s="609">
        <f t="shared" si="0"/>
        <v>1497.7449999999999</v>
      </c>
      <c r="AW2" s="609">
        <f t="shared" si="0"/>
        <v>662.6</v>
      </c>
      <c r="AX2" s="609">
        <f t="shared" si="0"/>
        <v>22813.261076824998</v>
      </c>
      <c r="AY2" s="609">
        <f t="shared" si="0"/>
        <v>2000</v>
      </c>
      <c r="AZ2" s="609">
        <f t="shared" si="0"/>
        <v>513</v>
      </c>
      <c r="BA2" s="609">
        <f t="shared" si="0"/>
        <v>0</v>
      </c>
      <c r="BB2" s="609">
        <f t="shared" si="0"/>
        <v>19388.161599999999</v>
      </c>
      <c r="BC2" s="609">
        <f t="shared" si="0"/>
        <v>46874.767676824995</v>
      </c>
      <c r="BD2" s="31">
        <f t="shared" si="0"/>
        <v>5986.9750000000004</v>
      </c>
      <c r="BE2" s="31">
        <f t="shared" si="0"/>
        <v>2653.8</v>
      </c>
      <c r="BF2" s="31">
        <f t="shared" si="0"/>
        <v>86418.424271825003</v>
      </c>
      <c r="BG2" s="31">
        <f t="shared" si="0"/>
        <v>8737</v>
      </c>
      <c r="BH2" s="31">
        <f t="shared" si="0"/>
        <v>513</v>
      </c>
      <c r="BI2" s="31">
        <f t="shared" si="0"/>
        <v>3967.3799999999997</v>
      </c>
      <c r="BJ2" s="31">
        <f t="shared" si="0"/>
        <v>85949.2016</v>
      </c>
      <c r="BK2" s="146">
        <f t="shared" si="0"/>
        <v>194225.780871825</v>
      </c>
    </row>
    <row r="3" spans="1:64" ht="20.25" customHeight="1" x14ac:dyDescent="0.25">
      <c r="A3" s="459"/>
      <c r="B3" s="460"/>
      <c r="C3" s="460"/>
      <c r="D3" s="459"/>
      <c r="E3" s="459"/>
      <c r="F3" s="459"/>
      <c r="G3" s="459"/>
      <c r="H3" s="459"/>
      <c r="I3" s="465"/>
      <c r="J3" s="459"/>
      <c r="K3" s="459"/>
      <c r="L3" s="459"/>
      <c r="M3" s="463"/>
      <c r="N3" s="459"/>
      <c r="O3" s="463"/>
      <c r="P3" s="611"/>
      <c r="Q3" s="464"/>
      <c r="R3" s="596"/>
      <c r="S3" s="596"/>
      <c r="T3" s="1536" t="s">
        <v>2</v>
      </c>
      <c r="U3" s="1536"/>
      <c r="V3" s="1536"/>
      <c r="W3" s="1536"/>
      <c r="X3" s="1536"/>
      <c r="Y3" s="1537" t="s">
        <v>3</v>
      </c>
      <c r="Z3" s="1537"/>
      <c r="AA3" s="1537"/>
      <c r="AB3" s="1537"/>
      <c r="AC3" s="1537"/>
      <c r="AD3" s="1537"/>
      <c r="AE3" s="1537"/>
      <c r="AF3" s="1538"/>
      <c r="AG3" s="1539" t="s">
        <v>4</v>
      </c>
      <c r="AH3" s="1539"/>
      <c r="AI3" s="1539"/>
      <c r="AJ3" s="1539"/>
      <c r="AK3" s="1539"/>
      <c r="AL3" s="1539"/>
      <c r="AM3" s="1539"/>
      <c r="AN3" s="1537" t="s">
        <v>5</v>
      </c>
      <c r="AO3" s="1537"/>
      <c r="AP3" s="1537"/>
      <c r="AQ3" s="1537"/>
      <c r="AR3" s="1537"/>
      <c r="AS3" s="1537"/>
      <c r="AT3" s="1537"/>
      <c r="AU3" s="1537"/>
      <c r="AV3" s="1539" t="s">
        <v>6</v>
      </c>
      <c r="AW3" s="1539"/>
      <c r="AX3" s="1539"/>
      <c r="AY3" s="1539"/>
      <c r="AZ3" s="1539"/>
      <c r="BA3" s="1539"/>
      <c r="BB3" s="1539"/>
      <c r="BC3" s="1539"/>
      <c r="BD3" s="1540" t="s">
        <v>7</v>
      </c>
      <c r="BE3" s="1540"/>
      <c r="BF3" s="1540"/>
      <c r="BG3" s="1540"/>
      <c r="BH3" s="1540"/>
      <c r="BI3" s="1540"/>
      <c r="BJ3" s="1540"/>
      <c r="BK3" s="1540"/>
    </row>
    <row r="4" spans="1:64" ht="92.4" x14ac:dyDescent="0.25">
      <c r="A4" s="606" t="s">
        <v>8</v>
      </c>
      <c r="B4" s="606" t="s">
        <v>9</v>
      </c>
      <c r="C4" s="606" t="s">
        <v>10</v>
      </c>
      <c r="D4" s="606" t="s">
        <v>11</v>
      </c>
      <c r="E4" s="606" t="s">
        <v>12</v>
      </c>
      <c r="F4" s="606" t="s">
        <v>13</v>
      </c>
      <c r="G4" s="606" t="s">
        <v>14</v>
      </c>
      <c r="H4" s="606" t="s">
        <v>15</v>
      </c>
      <c r="I4" s="606" t="s">
        <v>16</v>
      </c>
      <c r="J4" s="606" t="s">
        <v>17</v>
      </c>
      <c r="K4" s="606" t="s">
        <v>18</v>
      </c>
      <c r="L4" s="606" t="s">
        <v>19</v>
      </c>
      <c r="M4" s="606" t="s">
        <v>20</v>
      </c>
      <c r="N4" s="606" t="s">
        <v>21</v>
      </c>
      <c r="O4" s="606" t="s">
        <v>22</v>
      </c>
      <c r="P4" s="606" t="s">
        <v>24</v>
      </c>
      <c r="Q4" s="607" t="s">
        <v>12</v>
      </c>
      <c r="R4" s="606" t="s">
        <v>13</v>
      </c>
      <c r="S4" s="606" t="s">
        <v>14</v>
      </c>
      <c r="T4" s="606">
        <v>2016</v>
      </c>
      <c r="U4" s="608">
        <v>2017</v>
      </c>
      <c r="V4" s="608">
        <v>2018</v>
      </c>
      <c r="W4" s="608">
        <v>2019</v>
      </c>
      <c r="X4" s="608" t="s">
        <v>15</v>
      </c>
      <c r="Y4" s="609" t="s">
        <v>25</v>
      </c>
      <c r="Z4" s="609" t="s">
        <v>26</v>
      </c>
      <c r="AA4" s="609" t="s">
        <v>27</v>
      </c>
      <c r="AB4" s="609" t="s">
        <v>28</v>
      </c>
      <c r="AC4" s="609" t="s">
        <v>29</v>
      </c>
      <c r="AD4" s="609" t="s">
        <v>30</v>
      </c>
      <c r="AE4" s="609" t="s">
        <v>31</v>
      </c>
      <c r="AF4" s="610" t="s">
        <v>32</v>
      </c>
      <c r="AG4" s="609" t="s">
        <v>25</v>
      </c>
      <c r="AH4" s="609" t="s">
        <v>26</v>
      </c>
      <c r="AI4" s="609" t="s">
        <v>27</v>
      </c>
      <c r="AJ4" s="609" t="s">
        <v>28</v>
      </c>
      <c r="AK4" s="609" t="s">
        <v>29</v>
      </c>
      <c r="AL4" s="609" t="s">
        <v>31</v>
      </c>
      <c r="AM4" s="609" t="s">
        <v>32</v>
      </c>
      <c r="AN4" s="609" t="s">
        <v>25</v>
      </c>
      <c r="AO4" s="609" t="s">
        <v>26</v>
      </c>
      <c r="AP4" s="609" t="s">
        <v>27</v>
      </c>
      <c r="AQ4" s="609" t="s">
        <v>28</v>
      </c>
      <c r="AR4" s="609" t="s">
        <v>29</v>
      </c>
      <c r="AS4" s="609" t="s">
        <v>30</v>
      </c>
      <c r="AT4" s="609" t="s">
        <v>31</v>
      </c>
      <c r="AU4" s="609" t="s">
        <v>32</v>
      </c>
      <c r="AV4" s="609" t="s">
        <v>25</v>
      </c>
      <c r="AW4" s="609" t="s">
        <v>26</v>
      </c>
      <c r="AX4" s="609" t="s">
        <v>27</v>
      </c>
      <c r="AY4" s="609" t="s">
        <v>28</v>
      </c>
      <c r="AZ4" s="609" t="s">
        <v>29</v>
      </c>
      <c r="BA4" s="609" t="s">
        <v>30</v>
      </c>
      <c r="BB4" s="609" t="s">
        <v>31</v>
      </c>
      <c r="BC4" s="609" t="s">
        <v>32</v>
      </c>
      <c r="BD4" s="32" t="s">
        <v>25</v>
      </c>
      <c r="BE4" s="32" t="s">
        <v>26</v>
      </c>
      <c r="BF4" s="32" t="s">
        <v>27</v>
      </c>
      <c r="BG4" s="32" t="s">
        <v>28</v>
      </c>
      <c r="BH4" s="32" t="s">
        <v>29</v>
      </c>
      <c r="BI4" s="32" t="s">
        <v>30</v>
      </c>
      <c r="BJ4" s="32" t="s">
        <v>31</v>
      </c>
      <c r="BK4" s="32" t="s">
        <v>32</v>
      </c>
    </row>
    <row r="5" spans="1:64" s="484" customFormat="1" ht="25.5" customHeight="1" x14ac:dyDescent="0.25">
      <c r="A5" s="1541" t="s">
        <v>33</v>
      </c>
      <c r="B5" s="1541"/>
      <c r="C5" s="1541"/>
      <c r="D5" s="1541"/>
      <c r="E5" s="1541"/>
      <c r="F5" s="1541"/>
      <c r="G5" s="1541"/>
      <c r="H5" s="1541"/>
      <c r="I5" s="1541"/>
      <c r="J5" s="1541"/>
      <c r="K5" s="1541"/>
      <c r="L5" s="1541"/>
      <c r="M5" s="1542"/>
      <c r="N5" s="485"/>
      <c r="O5" s="485"/>
      <c r="P5" s="485"/>
      <c r="Q5" s="486"/>
      <c r="R5" s="485"/>
      <c r="S5" s="485"/>
      <c r="T5" s="485"/>
      <c r="U5" s="487"/>
      <c r="V5" s="487"/>
      <c r="W5" s="487"/>
      <c r="X5" s="487"/>
      <c r="Y5" s="490">
        <f t="shared" ref="Y5:AE5" si="1">+Y7+Y48+Y50+Y86+Y109+Y122+Y156</f>
        <v>451.84000000000003</v>
      </c>
      <c r="Z5" s="490">
        <f t="shared" si="1"/>
        <v>112</v>
      </c>
      <c r="AA5" s="490">
        <f t="shared" si="1"/>
        <v>19529.689999999999</v>
      </c>
      <c r="AB5" s="490">
        <f t="shared" si="1"/>
        <v>2528</v>
      </c>
      <c r="AC5" s="488">
        <f t="shared" si="1"/>
        <v>0</v>
      </c>
      <c r="AD5" s="490">
        <f t="shared" si="1"/>
        <v>2297.08</v>
      </c>
      <c r="AE5" s="490">
        <f t="shared" si="1"/>
        <v>18503</v>
      </c>
      <c r="AF5" s="488">
        <f>SUM(Y5:AE5)</f>
        <v>43421.61</v>
      </c>
      <c r="AG5" s="490">
        <f t="shared" ref="AG5:AL5" si="2">+AG7+AG48+AG50+AG86+AG109+AG122+AG156</f>
        <v>458.81</v>
      </c>
      <c r="AH5" s="490">
        <f t="shared" si="2"/>
        <v>114</v>
      </c>
      <c r="AI5" s="490">
        <f t="shared" si="2"/>
        <v>20241.502</v>
      </c>
      <c r="AJ5" s="488">
        <f t="shared" si="2"/>
        <v>1200</v>
      </c>
      <c r="AK5" s="488">
        <f t="shared" si="2"/>
        <v>0</v>
      </c>
      <c r="AL5" s="490">
        <f t="shared" si="2"/>
        <v>17644</v>
      </c>
      <c r="AM5" s="488">
        <f>SUM(AG5:AL5)</f>
        <v>39658.312000000005</v>
      </c>
      <c r="AN5" s="488">
        <f t="shared" ref="AN5:AT5" si="3">+AN7+AN48+AN50+AN86+AN109+AN122+AN156</f>
        <v>453.78</v>
      </c>
      <c r="AO5" s="488">
        <f t="shared" si="3"/>
        <v>116</v>
      </c>
      <c r="AP5" s="488">
        <f t="shared" si="3"/>
        <v>20827.171195000003</v>
      </c>
      <c r="AQ5" s="488">
        <f t="shared" si="3"/>
        <v>800</v>
      </c>
      <c r="AR5" s="488">
        <f t="shared" si="3"/>
        <v>0</v>
      </c>
      <c r="AS5" s="488">
        <f t="shared" si="3"/>
        <v>0</v>
      </c>
      <c r="AT5" s="488">
        <f t="shared" si="3"/>
        <v>23035</v>
      </c>
      <c r="AU5" s="488">
        <f>SUM(AN5:AT5)</f>
        <v>45231.951195000001</v>
      </c>
      <c r="AV5" s="488">
        <f t="shared" ref="AV5:BB5" si="4">+AV7+AV48+AV50+AV86+AV109+AV122+AV156</f>
        <v>429.54499999999996</v>
      </c>
      <c r="AW5" s="488">
        <f t="shared" si="4"/>
        <v>122</v>
      </c>
      <c r="AX5" s="488">
        <f t="shared" si="4"/>
        <v>21759.061076824997</v>
      </c>
      <c r="AY5" s="488">
        <f t="shared" si="4"/>
        <v>500</v>
      </c>
      <c r="AZ5" s="488">
        <f t="shared" si="4"/>
        <v>513</v>
      </c>
      <c r="BA5" s="488">
        <f t="shared" si="4"/>
        <v>0</v>
      </c>
      <c r="BB5" s="488">
        <f t="shared" si="4"/>
        <v>18657</v>
      </c>
      <c r="BC5" s="488">
        <f>SUM(AV5:BB5)</f>
        <v>41980.606076824995</v>
      </c>
      <c r="BD5" s="488">
        <f t="shared" ref="BD5:BJ5" si="5">+BD7+BD48+BD50+BD86+BD109+BD122+BD156</f>
        <v>1792.9750000000001</v>
      </c>
      <c r="BE5" s="488">
        <f t="shared" si="5"/>
        <v>464</v>
      </c>
      <c r="BF5" s="488">
        <f t="shared" si="5"/>
        <v>82346.724271824991</v>
      </c>
      <c r="BG5" s="488">
        <f t="shared" si="5"/>
        <v>5028</v>
      </c>
      <c r="BH5" s="488">
        <f t="shared" si="5"/>
        <v>513</v>
      </c>
      <c r="BI5" s="488">
        <f t="shared" si="5"/>
        <v>2297.08</v>
      </c>
      <c r="BJ5" s="488">
        <f t="shared" si="5"/>
        <v>77839</v>
      </c>
      <c r="BK5" s="488">
        <f>SUM(BD5:BJ5)</f>
        <v>170280.77927182498</v>
      </c>
      <c r="BL5" s="489"/>
    </row>
    <row r="6" spans="1:64" ht="2.25" customHeight="1" x14ac:dyDescent="0.25">
      <c r="A6" s="151"/>
      <c r="B6" s="7" t="s">
        <v>35</v>
      </c>
      <c r="C6" s="7"/>
      <c r="D6" s="11" t="s">
        <v>36</v>
      </c>
      <c r="E6" s="11"/>
      <c r="F6" s="11"/>
      <c r="G6" s="11"/>
      <c r="H6" s="11"/>
      <c r="I6" s="11"/>
      <c r="J6" s="11"/>
      <c r="K6" s="11"/>
      <c r="L6" s="11"/>
      <c r="M6" s="11"/>
      <c r="N6" s="11"/>
      <c r="O6" s="11"/>
      <c r="P6" s="11"/>
      <c r="Q6" s="20"/>
      <c r="R6" s="11"/>
      <c r="S6" s="11"/>
      <c r="T6" s="11"/>
      <c r="U6" s="47"/>
      <c r="V6" s="47"/>
      <c r="W6" s="47"/>
      <c r="X6" s="47"/>
      <c r="Y6" s="32"/>
      <c r="Z6" s="32"/>
      <c r="AA6" s="32">
        <f>2740.9+15.5</f>
        <v>2756.4</v>
      </c>
      <c r="AB6" s="32"/>
      <c r="AC6" s="32"/>
      <c r="AD6" s="32">
        <v>796.6</v>
      </c>
      <c r="AE6" s="32"/>
      <c r="AF6" s="32">
        <f>SUBTOTAL(9,Y6:AE6)</f>
        <v>3553</v>
      </c>
      <c r="AG6" s="32"/>
      <c r="AH6" s="32"/>
      <c r="AI6" s="32">
        <f>+AA6*1.04</f>
        <v>2866.6560000000004</v>
      </c>
      <c r="AJ6" s="32"/>
      <c r="AK6" s="32"/>
      <c r="AL6" s="32"/>
      <c r="AM6" s="32"/>
      <c r="AN6" s="32"/>
      <c r="AO6" s="32"/>
      <c r="AP6" s="32">
        <f>+AI6*1.04</f>
        <v>2981.3222400000004</v>
      </c>
      <c r="AQ6" s="32"/>
      <c r="AR6" s="32"/>
      <c r="AS6" s="32"/>
      <c r="AT6" s="32"/>
      <c r="AU6" s="32"/>
      <c r="AV6" s="32"/>
      <c r="AW6" s="32"/>
      <c r="AX6" s="32">
        <f>+AP6*1.04</f>
        <v>3100.5751296000008</v>
      </c>
      <c r="AY6" s="32"/>
      <c r="AZ6" s="32"/>
      <c r="BA6" s="32"/>
      <c r="BB6" s="32"/>
      <c r="BC6" s="32"/>
      <c r="BD6" s="32"/>
      <c r="BE6" s="32"/>
      <c r="BF6" s="32">
        <f>+AX6*1.04</f>
        <v>3224.5981347840011</v>
      </c>
      <c r="BG6" s="32"/>
      <c r="BH6" s="32"/>
      <c r="BI6" s="32"/>
      <c r="BJ6" s="32"/>
      <c r="BK6" s="32"/>
    </row>
    <row r="7" spans="1:64" ht="24.75" customHeight="1" x14ac:dyDescent="0.25">
      <c r="A7" s="420"/>
      <c r="B7" s="1543" t="s">
        <v>35</v>
      </c>
      <c r="C7" s="1544"/>
      <c r="D7" s="1544"/>
      <c r="E7" s="1544"/>
      <c r="F7" s="1544"/>
      <c r="G7" s="1544"/>
      <c r="H7" s="1544"/>
      <c r="I7" s="1544"/>
      <c r="J7" s="1544"/>
      <c r="K7" s="1544"/>
      <c r="L7" s="1544"/>
      <c r="M7" s="1545"/>
      <c r="N7" s="597"/>
      <c r="O7" s="597"/>
      <c r="P7" s="597"/>
      <c r="Q7" s="598"/>
      <c r="R7" s="597"/>
      <c r="S7" s="597"/>
      <c r="T7" s="597"/>
      <c r="U7" s="599"/>
      <c r="V7" s="599"/>
      <c r="W7" s="599"/>
      <c r="X7" s="599"/>
      <c r="Y7" s="600">
        <f t="shared" ref="Y7:AE7" si="6">+Y8+Y24+Y43</f>
        <v>25</v>
      </c>
      <c r="Z7" s="600">
        <f t="shared" si="6"/>
        <v>0</v>
      </c>
      <c r="AA7" s="600">
        <f t="shared" si="6"/>
        <v>2756.4</v>
      </c>
      <c r="AB7" s="600">
        <f t="shared" si="6"/>
        <v>500</v>
      </c>
      <c r="AC7" s="600">
        <f t="shared" si="6"/>
        <v>0</v>
      </c>
      <c r="AD7" s="600">
        <f t="shared" si="6"/>
        <v>796.6</v>
      </c>
      <c r="AE7" s="600">
        <f t="shared" si="6"/>
        <v>0</v>
      </c>
      <c r="AF7" s="600">
        <f t="shared" ref="AF7:AF46" si="7">SUM(Y7:AE7)</f>
        <v>4078</v>
      </c>
      <c r="AG7" s="600">
        <f t="shared" ref="AG7:AL7" si="8">+AG8+AG24+AG43</f>
        <v>40</v>
      </c>
      <c r="AH7" s="600">
        <f t="shared" si="8"/>
        <v>0</v>
      </c>
      <c r="AI7" s="600">
        <f t="shared" si="8"/>
        <v>2866</v>
      </c>
      <c r="AJ7" s="600">
        <f t="shared" si="8"/>
        <v>0</v>
      </c>
      <c r="AK7" s="600">
        <f t="shared" si="8"/>
        <v>0</v>
      </c>
      <c r="AL7" s="600">
        <f t="shared" si="8"/>
        <v>0</v>
      </c>
      <c r="AM7" s="600">
        <f>SUM(AG7:AL7)</f>
        <v>2906</v>
      </c>
      <c r="AN7" s="600">
        <f t="shared" ref="AN7:AT7" si="9">+AN8+AN24+AN43</f>
        <v>20</v>
      </c>
      <c r="AO7" s="600">
        <f t="shared" si="9"/>
        <v>0</v>
      </c>
      <c r="AP7" s="600">
        <f t="shared" si="9"/>
        <v>2820</v>
      </c>
      <c r="AQ7" s="600">
        <f t="shared" si="9"/>
        <v>0</v>
      </c>
      <c r="AR7" s="600">
        <f t="shared" si="9"/>
        <v>0</v>
      </c>
      <c r="AS7" s="600">
        <f t="shared" si="9"/>
        <v>0</v>
      </c>
      <c r="AT7" s="600">
        <f t="shared" si="9"/>
        <v>0</v>
      </c>
      <c r="AU7" s="600">
        <f>SUM(AN7:AT7)</f>
        <v>2840</v>
      </c>
      <c r="AV7" s="600">
        <f t="shared" ref="AV7:BB7" si="10">+AV8+AV24+AV43</f>
        <v>20</v>
      </c>
      <c r="AW7" s="600">
        <f t="shared" si="10"/>
        <v>0</v>
      </c>
      <c r="AX7" s="600">
        <f t="shared" si="10"/>
        <v>3100</v>
      </c>
      <c r="AY7" s="600">
        <f t="shared" si="10"/>
        <v>0</v>
      </c>
      <c r="AZ7" s="600">
        <f t="shared" si="10"/>
        <v>0</v>
      </c>
      <c r="BA7" s="600">
        <f t="shared" si="10"/>
        <v>0</v>
      </c>
      <c r="BB7" s="600">
        <f t="shared" si="10"/>
        <v>0</v>
      </c>
      <c r="BC7" s="600">
        <f>SUM(AV7:BB7)</f>
        <v>3120</v>
      </c>
      <c r="BD7" s="33">
        <f t="shared" ref="BD7:BI21" si="11">+AV7+AN7+AG7+Y7</f>
        <v>105</v>
      </c>
      <c r="BE7" s="33">
        <f t="shared" si="11"/>
        <v>0</v>
      </c>
      <c r="BF7" s="33">
        <f t="shared" si="11"/>
        <v>11542.4</v>
      </c>
      <c r="BG7" s="33">
        <f t="shared" si="11"/>
        <v>500</v>
      </c>
      <c r="BH7" s="33">
        <f t="shared" si="11"/>
        <v>0</v>
      </c>
      <c r="BI7" s="33">
        <f t="shared" si="11"/>
        <v>796.6</v>
      </c>
      <c r="BJ7" s="33">
        <f t="shared" ref="BJ7:BK47" si="12">+BB7+AT7+AL7+AE7</f>
        <v>0</v>
      </c>
      <c r="BK7" s="33">
        <f t="shared" si="12"/>
        <v>12944</v>
      </c>
    </row>
    <row r="8" spans="1:64" ht="18.75" customHeight="1" x14ac:dyDescent="0.25">
      <c r="A8" s="603"/>
      <c r="B8" s="6" t="s">
        <v>35</v>
      </c>
      <c r="C8" s="6"/>
      <c r="D8" s="2" t="s">
        <v>37</v>
      </c>
      <c r="E8" s="1"/>
      <c r="F8" s="1"/>
      <c r="G8" s="1"/>
      <c r="H8" s="1"/>
      <c r="I8" s="1"/>
      <c r="J8" s="1"/>
      <c r="K8" s="1"/>
      <c r="L8" s="1"/>
      <c r="M8" s="1"/>
      <c r="N8" s="1"/>
      <c r="O8" s="1"/>
      <c r="P8" s="1"/>
      <c r="Q8" s="22"/>
      <c r="R8" s="1"/>
      <c r="S8" s="1"/>
      <c r="T8" s="1"/>
      <c r="U8" s="49"/>
      <c r="V8" s="49"/>
      <c r="W8" s="49"/>
      <c r="X8" s="49"/>
      <c r="Y8" s="34">
        <f t="shared" ref="Y8:AE8" si="13">SUM(Y9:Y23)</f>
        <v>0</v>
      </c>
      <c r="Z8" s="34">
        <f t="shared" si="13"/>
        <v>0</v>
      </c>
      <c r="AA8" s="34">
        <f t="shared" si="13"/>
        <v>710.40000000000009</v>
      </c>
      <c r="AB8" s="34">
        <f t="shared" si="13"/>
        <v>500</v>
      </c>
      <c r="AC8" s="34">
        <f t="shared" si="13"/>
        <v>0</v>
      </c>
      <c r="AD8" s="34">
        <f t="shared" si="13"/>
        <v>796.43000000000006</v>
      </c>
      <c r="AE8" s="34">
        <f t="shared" si="13"/>
        <v>0</v>
      </c>
      <c r="AF8" s="34">
        <f t="shared" si="7"/>
        <v>2006.8300000000002</v>
      </c>
      <c r="AG8" s="34">
        <f t="shared" ref="AG8:AL8" si="14">SUM(AG9:AG23)</f>
        <v>15</v>
      </c>
      <c r="AH8" s="34">
        <f t="shared" si="14"/>
        <v>0</v>
      </c>
      <c r="AI8" s="34">
        <f t="shared" si="14"/>
        <v>1125</v>
      </c>
      <c r="AJ8" s="34">
        <f t="shared" si="14"/>
        <v>0</v>
      </c>
      <c r="AK8" s="34">
        <f t="shared" si="14"/>
        <v>0</v>
      </c>
      <c r="AL8" s="34">
        <f t="shared" si="14"/>
        <v>0</v>
      </c>
      <c r="AM8" s="34">
        <f>SUM(AG8:AL8)</f>
        <v>1140</v>
      </c>
      <c r="AN8" s="34">
        <f t="shared" ref="AN8:AT8" si="15">SUM(AN9:AN23)</f>
        <v>15</v>
      </c>
      <c r="AO8" s="34">
        <f t="shared" si="15"/>
        <v>0</v>
      </c>
      <c r="AP8" s="34">
        <f t="shared" si="15"/>
        <v>1035</v>
      </c>
      <c r="AQ8" s="34">
        <f t="shared" si="15"/>
        <v>0</v>
      </c>
      <c r="AR8" s="34">
        <f t="shared" si="15"/>
        <v>0</v>
      </c>
      <c r="AS8" s="34">
        <f t="shared" si="15"/>
        <v>0</v>
      </c>
      <c r="AT8" s="34">
        <f t="shared" si="15"/>
        <v>0</v>
      </c>
      <c r="AU8" s="34">
        <f>SUM(AN8:AT8)</f>
        <v>1050</v>
      </c>
      <c r="AV8" s="34">
        <f t="shared" ref="AV8:BB8" si="16">SUM(AV9:AV23)</f>
        <v>15</v>
      </c>
      <c r="AW8" s="34">
        <f t="shared" si="16"/>
        <v>0</v>
      </c>
      <c r="AX8" s="34">
        <f t="shared" si="16"/>
        <v>1265</v>
      </c>
      <c r="AY8" s="34">
        <f t="shared" si="16"/>
        <v>0</v>
      </c>
      <c r="AZ8" s="34">
        <f t="shared" si="16"/>
        <v>0</v>
      </c>
      <c r="BA8" s="34">
        <f t="shared" si="16"/>
        <v>0</v>
      </c>
      <c r="BB8" s="34">
        <f t="shared" si="16"/>
        <v>0</v>
      </c>
      <c r="BC8" s="34">
        <f>SUM(AV8:BB8)</f>
        <v>1280</v>
      </c>
      <c r="BD8" s="34">
        <f t="shared" si="11"/>
        <v>45</v>
      </c>
      <c r="BE8" s="34">
        <f t="shared" si="11"/>
        <v>0</v>
      </c>
      <c r="BF8" s="34">
        <f t="shared" si="11"/>
        <v>4135.3999999999996</v>
      </c>
      <c r="BG8" s="34">
        <f t="shared" si="11"/>
        <v>500</v>
      </c>
      <c r="BH8" s="34">
        <f t="shared" si="11"/>
        <v>0</v>
      </c>
      <c r="BI8" s="34">
        <f>+AD8+AS8+BA8</f>
        <v>796.43000000000006</v>
      </c>
      <c r="BJ8" s="34">
        <f t="shared" si="12"/>
        <v>0</v>
      </c>
      <c r="BK8" s="34">
        <f t="shared" si="12"/>
        <v>5476.83</v>
      </c>
    </row>
    <row r="9" spans="1:64" ht="30.75" customHeight="1" x14ac:dyDescent="0.25">
      <c r="A9" s="298" t="s">
        <v>38</v>
      </c>
      <c r="B9" s="299" t="s">
        <v>39</v>
      </c>
      <c r="C9" s="1546" t="s">
        <v>40</v>
      </c>
      <c r="D9" s="1549" t="s">
        <v>41</v>
      </c>
      <c r="E9" s="1549" t="s">
        <v>42</v>
      </c>
      <c r="F9" s="1549">
        <v>2014</v>
      </c>
      <c r="G9" s="1549">
        <v>37.909999999999997</v>
      </c>
      <c r="H9" s="1549">
        <v>39.5</v>
      </c>
      <c r="I9" s="301"/>
      <c r="J9" s="301"/>
      <c r="K9" s="1425" t="s">
        <v>43</v>
      </c>
      <c r="L9" s="301" t="s">
        <v>44</v>
      </c>
      <c r="M9" s="1425" t="s">
        <v>45</v>
      </c>
      <c r="N9" s="1425" t="s">
        <v>46</v>
      </c>
      <c r="O9" s="1425" t="s">
        <v>47</v>
      </c>
      <c r="P9" s="16" t="s">
        <v>48</v>
      </c>
      <c r="Q9" s="302" t="s">
        <v>49</v>
      </c>
      <c r="R9" s="303">
        <v>2015</v>
      </c>
      <c r="S9" s="303">
        <v>0</v>
      </c>
      <c r="T9" s="303">
        <v>0</v>
      </c>
      <c r="U9" s="572">
        <v>500</v>
      </c>
      <c r="V9" s="572">
        <v>1000</v>
      </c>
      <c r="W9" s="572">
        <v>1500</v>
      </c>
      <c r="X9" s="572">
        <v>1500</v>
      </c>
      <c r="Y9" s="481"/>
      <c r="Z9" s="481"/>
      <c r="AA9" s="481"/>
      <c r="AB9" s="481"/>
      <c r="AC9" s="481"/>
      <c r="AD9" s="481"/>
      <c r="AE9" s="481"/>
      <c r="AF9" s="481">
        <f>SUM(Y9:AE9)</f>
        <v>0</v>
      </c>
      <c r="AG9" s="491">
        <v>15</v>
      </c>
      <c r="AH9" s="548"/>
      <c r="AI9" s="548"/>
      <c r="AJ9" s="548"/>
      <c r="AK9" s="548"/>
      <c r="AL9" s="548"/>
      <c r="AM9" s="548">
        <f>SUM(AG9:AL9)</f>
        <v>15</v>
      </c>
      <c r="AN9" s="491">
        <v>15</v>
      </c>
      <c r="AO9" s="481"/>
      <c r="AP9" s="481"/>
      <c r="AQ9" s="481"/>
      <c r="AR9" s="481"/>
      <c r="AS9" s="481"/>
      <c r="AT9" s="481"/>
      <c r="AU9" s="481">
        <f>SUM(AN9:AT9)</f>
        <v>15</v>
      </c>
      <c r="AV9" s="491">
        <v>7</v>
      </c>
      <c r="AW9" s="548"/>
      <c r="AX9" s="548"/>
      <c r="AY9" s="548"/>
      <c r="AZ9" s="548"/>
      <c r="BA9" s="548"/>
      <c r="BB9" s="548"/>
      <c r="BC9" s="548">
        <f>SUM(AV9:BB9)</f>
        <v>7</v>
      </c>
      <c r="BD9" s="42">
        <f t="shared" si="11"/>
        <v>37</v>
      </c>
      <c r="BE9" s="42">
        <f t="shared" si="11"/>
        <v>0</v>
      </c>
      <c r="BF9" s="42">
        <f t="shared" si="11"/>
        <v>0</v>
      </c>
      <c r="BG9" s="42">
        <f t="shared" si="11"/>
        <v>0</v>
      </c>
      <c r="BH9" s="42">
        <f t="shared" si="11"/>
        <v>0</v>
      </c>
      <c r="BI9" s="42">
        <f t="shared" ref="BI9:BI76" si="17">+AD9+AS9+BA9</f>
        <v>0</v>
      </c>
      <c r="BJ9" s="42">
        <f t="shared" si="12"/>
        <v>0</v>
      </c>
      <c r="BK9" s="42">
        <f>+BC9+AU9+AM9+AF9</f>
        <v>37</v>
      </c>
    </row>
    <row r="10" spans="1:64" ht="30" customHeight="1" x14ac:dyDescent="0.25">
      <c r="A10" s="298" t="s">
        <v>38</v>
      </c>
      <c r="B10" s="299" t="s">
        <v>39</v>
      </c>
      <c r="C10" s="1547"/>
      <c r="D10" s="1550"/>
      <c r="E10" s="1550"/>
      <c r="F10" s="1549"/>
      <c r="G10" s="1549"/>
      <c r="H10" s="1549"/>
      <c r="I10" s="301"/>
      <c r="J10" s="301"/>
      <c r="K10" s="1425" t="s">
        <v>50</v>
      </c>
      <c r="L10" s="301" t="s">
        <v>44</v>
      </c>
      <c r="M10" s="1425" t="s">
        <v>45</v>
      </c>
      <c r="N10" s="1425" t="s">
        <v>46</v>
      </c>
      <c r="O10" s="1425" t="s">
        <v>47</v>
      </c>
      <c r="P10" s="16" t="s">
        <v>51</v>
      </c>
      <c r="Q10" s="302" t="s">
        <v>52</v>
      </c>
      <c r="R10" s="303">
        <v>2015</v>
      </c>
      <c r="S10" s="303">
        <v>1</v>
      </c>
      <c r="T10" s="303">
        <v>1</v>
      </c>
      <c r="U10" s="572">
        <v>2</v>
      </c>
      <c r="V10" s="572">
        <v>3</v>
      </c>
      <c r="W10" s="572">
        <v>4</v>
      </c>
      <c r="X10" s="572">
        <v>4</v>
      </c>
      <c r="Y10" s="481"/>
      <c r="Z10" s="481"/>
      <c r="AA10" s="481">
        <v>250</v>
      </c>
      <c r="AB10" s="481"/>
      <c r="AC10" s="481"/>
      <c r="AD10" s="491">
        <v>19.63</v>
      </c>
      <c r="AE10" s="481"/>
      <c r="AF10" s="481">
        <f t="shared" si="7"/>
        <v>269.63</v>
      </c>
      <c r="AG10" s="548"/>
      <c r="AH10" s="548"/>
      <c r="AI10" s="548">
        <v>260</v>
      </c>
      <c r="AJ10" s="548"/>
      <c r="AK10" s="548"/>
      <c r="AL10" s="548"/>
      <c r="AM10" s="548">
        <f>SUM(AG10:AL10)</f>
        <v>260</v>
      </c>
      <c r="AN10" s="481"/>
      <c r="AO10" s="481"/>
      <c r="AP10" s="481">
        <v>270</v>
      </c>
      <c r="AQ10" s="481"/>
      <c r="AR10" s="481"/>
      <c r="AS10" s="481"/>
      <c r="AT10" s="481"/>
      <c r="AU10" s="481">
        <f>SUM(AN10:AT10)</f>
        <v>270</v>
      </c>
      <c r="AV10" s="548"/>
      <c r="AW10" s="548"/>
      <c r="AX10" s="548">
        <v>280</v>
      </c>
      <c r="AY10" s="548"/>
      <c r="AZ10" s="548"/>
      <c r="BA10" s="548"/>
      <c r="BB10" s="548"/>
      <c r="BC10" s="548">
        <f>SUM(AV10:BB10)</f>
        <v>280</v>
      </c>
      <c r="BD10" s="42">
        <f t="shared" si="11"/>
        <v>0</v>
      </c>
      <c r="BE10" s="42">
        <f t="shared" si="11"/>
        <v>0</v>
      </c>
      <c r="BF10" s="42">
        <f t="shared" si="11"/>
        <v>1060</v>
      </c>
      <c r="BG10" s="42">
        <f t="shared" si="11"/>
        <v>0</v>
      </c>
      <c r="BH10" s="42">
        <f t="shared" si="11"/>
        <v>0</v>
      </c>
      <c r="BI10" s="42">
        <f t="shared" si="17"/>
        <v>19.63</v>
      </c>
      <c r="BJ10" s="42">
        <f t="shared" si="12"/>
        <v>0</v>
      </c>
      <c r="BK10" s="42">
        <f t="shared" si="12"/>
        <v>1079.6300000000001</v>
      </c>
    </row>
    <row r="11" spans="1:64" ht="24.75" customHeight="1" x14ac:dyDescent="0.25">
      <c r="A11" s="298" t="s">
        <v>38</v>
      </c>
      <c r="B11" s="299" t="s">
        <v>39</v>
      </c>
      <c r="C11" s="1547"/>
      <c r="D11" s="1549"/>
      <c r="E11" s="1549"/>
      <c r="F11" s="1549"/>
      <c r="G11" s="1549"/>
      <c r="H11" s="1549"/>
      <c r="I11" s="1425" t="s">
        <v>53</v>
      </c>
      <c r="J11" s="301"/>
      <c r="K11" s="1425" t="s">
        <v>54</v>
      </c>
      <c r="L11" s="301" t="s">
        <v>44</v>
      </c>
      <c r="M11" s="1425" t="s">
        <v>45</v>
      </c>
      <c r="N11" s="1425" t="s">
        <v>46</v>
      </c>
      <c r="O11" s="1425" t="s">
        <v>47</v>
      </c>
      <c r="P11" s="16" t="s">
        <v>55</v>
      </c>
      <c r="Q11" s="302" t="s">
        <v>56</v>
      </c>
      <c r="R11" s="303">
        <v>2015</v>
      </c>
      <c r="S11" s="303">
        <v>1</v>
      </c>
      <c r="T11" s="303">
        <v>0</v>
      </c>
      <c r="U11" s="572">
        <v>0</v>
      </c>
      <c r="V11" s="572">
        <v>1</v>
      </c>
      <c r="W11" s="572">
        <v>2</v>
      </c>
      <c r="X11" s="572">
        <v>2</v>
      </c>
      <c r="Y11" s="481"/>
      <c r="Z11" s="481"/>
      <c r="AA11" s="481"/>
      <c r="AB11" s="481">
        <v>0</v>
      </c>
      <c r="AC11" s="481"/>
      <c r="AD11" s="481"/>
      <c r="AE11" s="481"/>
      <c r="AF11" s="481">
        <f t="shared" si="7"/>
        <v>0</v>
      </c>
      <c r="AG11" s="548"/>
      <c r="AH11" s="548"/>
      <c r="AI11" s="548">
        <v>0</v>
      </c>
      <c r="AJ11" s="548"/>
      <c r="AK11" s="548"/>
      <c r="AL11" s="548"/>
      <c r="AM11" s="548"/>
      <c r="AN11" s="481"/>
      <c r="AO11" s="481"/>
      <c r="AP11" s="481">
        <v>120</v>
      </c>
      <c r="AQ11" s="481"/>
      <c r="AR11" s="481"/>
      <c r="AS11" s="481"/>
      <c r="AT11" s="481"/>
      <c r="AU11" s="481"/>
      <c r="AV11" s="548"/>
      <c r="AW11" s="548"/>
      <c r="AX11" s="548">
        <v>120</v>
      </c>
      <c r="AY11" s="548"/>
      <c r="AZ11" s="548"/>
      <c r="BA11" s="548"/>
      <c r="BB11" s="548"/>
      <c r="BC11" s="548"/>
      <c r="BD11" s="42">
        <f t="shared" si="11"/>
        <v>0</v>
      </c>
      <c r="BE11" s="42">
        <f t="shared" si="11"/>
        <v>0</v>
      </c>
      <c r="BF11" s="42">
        <f t="shared" si="11"/>
        <v>240</v>
      </c>
      <c r="BG11" s="42">
        <f t="shared" si="11"/>
        <v>0</v>
      </c>
      <c r="BH11" s="42">
        <f t="shared" si="11"/>
        <v>0</v>
      </c>
      <c r="BI11" s="42">
        <f t="shared" si="17"/>
        <v>0</v>
      </c>
      <c r="BJ11" s="42">
        <f t="shared" si="12"/>
        <v>0</v>
      </c>
      <c r="BK11" s="42">
        <f t="shared" si="12"/>
        <v>0</v>
      </c>
    </row>
    <row r="12" spans="1:64" ht="45" customHeight="1" x14ac:dyDescent="0.25">
      <c r="A12" s="298" t="s">
        <v>38</v>
      </c>
      <c r="B12" s="299" t="s">
        <v>39</v>
      </c>
      <c r="C12" s="1547"/>
      <c r="D12" s="1551"/>
      <c r="E12" s="1551"/>
      <c r="F12" s="1549"/>
      <c r="G12" s="1549"/>
      <c r="H12" s="1549"/>
      <c r="I12" s="301"/>
      <c r="J12" s="301"/>
      <c r="K12" s="1425" t="s">
        <v>57</v>
      </c>
      <c r="L12" s="301" t="s">
        <v>44</v>
      </c>
      <c r="M12" s="1425" t="s">
        <v>45</v>
      </c>
      <c r="N12" s="1425" t="s">
        <v>46</v>
      </c>
      <c r="O12" s="1425" t="s">
        <v>47</v>
      </c>
      <c r="P12" s="16" t="s">
        <v>58</v>
      </c>
      <c r="Q12" s="302" t="s">
        <v>59</v>
      </c>
      <c r="R12" s="303">
        <v>2015</v>
      </c>
      <c r="S12" s="303">
        <v>0</v>
      </c>
      <c r="T12" s="303">
        <v>3</v>
      </c>
      <c r="U12" s="572">
        <v>6</v>
      </c>
      <c r="V12" s="572">
        <v>9</v>
      </c>
      <c r="W12" s="572">
        <v>12</v>
      </c>
      <c r="X12" s="572">
        <v>12</v>
      </c>
      <c r="Y12" s="481"/>
      <c r="Z12" s="481"/>
      <c r="AA12" s="481">
        <v>30</v>
      </c>
      <c r="AB12" s="481"/>
      <c r="AC12" s="481"/>
      <c r="AD12" s="481">
        <v>132.80000000000001</v>
      </c>
      <c r="AE12" s="481"/>
      <c r="AF12" s="481">
        <f t="shared" si="7"/>
        <v>162.80000000000001</v>
      </c>
      <c r="AG12" s="548"/>
      <c r="AH12" s="548"/>
      <c r="AI12" s="548">
        <v>30</v>
      </c>
      <c r="AJ12" s="548"/>
      <c r="AK12" s="548"/>
      <c r="AL12" s="548"/>
      <c r="AM12" s="548">
        <f t="shared" ref="AM12:AM25" si="18">SUM(AG12:AL12)</f>
        <v>30</v>
      </c>
      <c r="AN12" s="481"/>
      <c r="AO12" s="481"/>
      <c r="AP12" s="481">
        <v>50</v>
      </c>
      <c r="AQ12" s="481"/>
      <c r="AR12" s="481"/>
      <c r="AS12" s="481"/>
      <c r="AT12" s="481"/>
      <c r="AU12" s="481">
        <f t="shared" ref="AU12:AU25" si="19">SUM(AN12:AT12)</f>
        <v>50</v>
      </c>
      <c r="AV12" s="548"/>
      <c r="AW12" s="548"/>
      <c r="AX12" s="548">
        <v>50</v>
      </c>
      <c r="AY12" s="548"/>
      <c r="AZ12" s="548"/>
      <c r="BA12" s="548"/>
      <c r="BB12" s="548"/>
      <c r="BC12" s="548">
        <f t="shared" ref="BC12:BC25" si="20">SUM(AV12:BB12)</f>
        <v>50</v>
      </c>
      <c r="BD12" s="42">
        <f t="shared" si="11"/>
        <v>0</v>
      </c>
      <c r="BE12" s="42">
        <f t="shared" si="11"/>
        <v>0</v>
      </c>
      <c r="BF12" s="42">
        <f t="shared" si="11"/>
        <v>160</v>
      </c>
      <c r="BG12" s="42">
        <f t="shared" si="11"/>
        <v>0</v>
      </c>
      <c r="BH12" s="42">
        <f t="shared" si="11"/>
        <v>0</v>
      </c>
      <c r="BI12" s="42">
        <f t="shared" si="17"/>
        <v>132.80000000000001</v>
      </c>
      <c r="BJ12" s="42">
        <f t="shared" si="12"/>
        <v>0</v>
      </c>
      <c r="BK12" s="42">
        <f t="shared" si="12"/>
        <v>292.8</v>
      </c>
    </row>
    <row r="13" spans="1:64" ht="19.5" customHeight="1" x14ac:dyDescent="0.25">
      <c r="A13" s="298" t="s">
        <v>38</v>
      </c>
      <c r="B13" s="299" t="s">
        <v>39</v>
      </c>
      <c r="C13" s="1547"/>
      <c r="D13" s="1549"/>
      <c r="E13" s="1549"/>
      <c r="F13" s="1549"/>
      <c r="G13" s="1549"/>
      <c r="H13" s="1549"/>
      <c r="I13" s="1425" t="s">
        <v>53</v>
      </c>
      <c r="J13" s="301"/>
      <c r="K13" s="1425" t="s">
        <v>60</v>
      </c>
      <c r="L13" s="301" t="s">
        <v>44</v>
      </c>
      <c r="M13" s="1425" t="s">
        <v>45</v>
      </c>
      <c r="N13" s="1425" t="s">
        <v>46</v>
      </c>
      <c r="O13" s="1425" t="s">
        <v>47</v>
      </c>
      <c r="P13" s="16" t="s">
        <v>61</v>
      </c>
      <c r="Q13" s="302" t="s">
        <v>62</v>
      </c>
      <c r="R13" s="303">
        <v>2015</v>
      </c>
      <c r="S13" s="303">
        <v>0</v>
      </c>
      <c r="T13" s="303">
        <v>13</v>
      </c>
      <c r="U13" s="572">
        <v>23</v>
      </c>
      <c r="V13" s="572">
        <v>30</v>
      </c>
      <c r="W13" s="572">
        <v>35</v>
      </c>
      <c r="X13" s="572">
        <v>35</v>
      </c>
      <c r="Y13" s="481"/>
      <c r="Z13" s="481"/>
      <c r="AA13" s="492">
        <v>224.6</v>
      </c>
      <c r="AB13" s="491">
        <v>250</v>
      </c>
      <c r="AC13" s="481"/>
      <c r="AD13" s="482"/>
      <c r="AE13" s="481"/>
      <c r="AF13" s="481">
        <f t="shared" si="7"/>
        <v>474.6</v>
      </c>
      <c r="AG13" s="548"/>
      <c r="AH13" s="548"/>
      <c r="AI13" s="548">
        <v>400</v>
      </c>
      <c r="AJ13" s="548"/>
      <c r="AK13" s="548"/>
      <c r="AL13" s="548"/>
      <c r="AM13" s="548">
        <f t="shared" si="18"/>
        <v>400</v>
      </c>
      <c r="AN13" s="481"/>
      <c r="AO13" s="481"/>
      <c r="AP13" s="42"/>
      <c r="AQ13" s="481"/>
      <c r="AR13" s="481"/>
      <c r="AS13" s="481"/>
      <c r="AT13" s="481"/>
      <c r="AU13" s="481">
        <f t="shared" si="19"/>
        <v>0</v>
      </c>
      <c r="AV13" s="548"/>
      <c r="AW13" s="548"/>
      <c r="AX13" s="42">
        <v>200</v>
      </c>
      <c r="AY13" s="548"/>
      <c r="AZ13" s="548"/>
      <c r="BA13" s="548"/>
      <c r="BB13" s="548"/>
      <c r="BC13" s="548">
        <f t="shared" si="20"/>
        <v>200</v>
      </c>
      <c r="BD13" s="42">
        <f t="shared" si="11"/>
        <v>0</v>
      </c>
      <c r="BE13" s="42">
        <f t="shared" si="11"/>
        <v>0</v>
      </c>
      <c r="BF13" s="42">
        <f t="shared" si="11"/>
        <v>824.6</v>
      </c>
      <c r="BG13" s="42">
        <f t="shared" si="11"/>
        <v>250</v>
      </c>
      <c r="BH13" s="42">
        <f t="shared" si="11"/>
        <v>0</v>
      </c>
      <c r="BI13" s="42">
        <f t="shared" si="17"/>
        <v>0</v>
      </c>
      <c r="BJ13" s="42">
        <f t="shared" si="12"/>
        <v>0</v>
      </c>
      <c r="BK13" s="42">
        <f t="shared" si="12"/>
        <v>1074.5999999999999</v>
      </c>
    </row>
    <row r="14" spans="1:64" ht="24" customHeight="1" x14ac:dyDescent="0.25">
      <c r="A14" s="298" t="s">
        <v>38</v>
      </c>
      <c r="B14" s="299" t="s">
        <v>39</v>
      </c>
      <c r="C14" s="1547"/>
      <c r="D14" s="1552"/>
      <c r="E14" s="1552"/>
      <c r="F14" s="1549"/>
      <c r="G14" s="1549"/>
      <c r="H14" s="1549"/>
      <c r="I14" s="301"/>
      <c r="J14" s="301"/>
      <c r="K14" s="1425" t="s">
        <v>63</v>
      </c>
      <c r="L14" s="301" t="s">
        <v>44</v>
      </c>
      <c r="M14" s="1425" t="s">
        <v>45</v>
      </c>
      <c r="N14" s="1425" t="s">
        <v>46</v>
      </c>
      <c r="O14" s="1425" t="s">
        <v>47</v>
      </c>
      <c r="P14" s="16" t="s">
        <v>64</v>
      </c>
      <c r="Q14" s="302" t="s">
        <v>65</v>
      </c>
      <c r="R14" s="303">
        <v>2015</v>
      </c>
      <c r="S14" s="303">
        <v>0</v>
      </c>
      <c r="T14" s="303">
        <v>0</v>
      </c>
      <c r="U14" s="572">
        <v>0</v>
      </c>
      <c r="V14" s="572">
        <v>3</v>
      </c>
      <c r="W14" s="572">
        <v>6</v>
      </c>
      <c r="X14" s="572">
        <v>6</v>
      </c>
      <c r="Y14" s="481"/>
      <c r="Z14" s="481"/>
      <c r="AA14" s="481">
        <v>0</v>
      </c>
      <c r="AB14" s="481"/>
      <c r="AC14" s="481"/>
      <c r="AD14" s="481"/>
      <c r="AE14" s="481"/>
      <c r="AF14" s="481">
        <f t="shared" si="7"/>
        <v>0</v>
      </c>
      <c r="AG14" s="548"/>
      <c r="AH14" s="548"/>
      <c r="AI14" s="548"/>
      <c r="AJ14" s="548"/>
      <c r="AK14" s="548"/>
      <c r="AL14" s="548"/>
      <c r="AM14" s="548">
        <f t="shared" si="18"/>
        <v>0</v>
      </c>
      <c r="AN14" s="481"/>
      <c r="AO14" s="481"/>
      <c r="AP14" s="491">
        <v>150</v>
      </c>
      <c r="AQ14" s="481"/>
      <c r="AR14" s="481"/>
      <c r="AS14" s="481"/>
      <c r="AT14" s="481"/>
      <c r="AU14" s="481">
        <f t="shared" si="19"/>
        <v>150</v>
      </c>
      <c r="AV14" s="548"/>
      <c r="AW14" s="548"/>
      <c r="AX14" s="42">
        <v>230</v>
      </c>
      <c r="AY14" s="548"/>
      <c r="AZ14" s="548"/>
      <c r="BA14" s="548"/>
      <c r="BB14" s="548"/>
      <c r="BC14" s="548">
        <f t="shared" si="20"/>
        <v>230</v>
      </c>
      <c r="BD14" s="42">
        <f t="shared" si="11"/>
        <v>0</v>
      </c>
      <c r="BE14" s="42">
        <f t="shared" si="11"/>
        <v>0</v>
      </c>
      <c r="BF14" s="42">
        <f t="shared" si="11"/>
        <v>380</v>
      </c>
      <c r="BG14" s="42">
        <f t="shared" si="11"/>
        <v>0</v>
      </c>
      <c r="BH14" s="42">
        <f t="shared" si="11"/>
        <v>0</v>
      </c>
      <c r="BI14" s="42">
        <f t="shared" si="17"/>
        <v>0</v>
      </c>
      <c r="BJ14" s="42">
        <f t="shared" si="12"/>
        <v>0</v>
      </c>
      <c r="BK14" s="42">
        <f t="shared" si="12"/>
        <v>380</v>
      </c>
    </row>
    <row r="15" spans="1:64" ht="29.25" customHeight="1" x14ac:dyDescent="0.25">
      <c r="A15" s="298" t="s">
        <v>38</v>
      </c>
      <c r="B15" s="299" t="s">
        <v>39</v>
      </c>
      <c r="C15" s="1547"/>
      <c r="D15" s="1549"/>
      <c r="E15" s="1549"/>
      <c r="F15" s="1549"/>
      <c r="G15" s="1549"/>
      <c r="H15" s="1549"/>
      <c r="I15" s="301"/>
      <c r="J15" s="301"/>
      <c r="K15" s="1425" t="s">
        <v>66</v>
      </c>
      <c r="L15" s="301" t="s">
        <v>44</v>
      </c>
      <c r="M15" s="1425" t="s">
        <v>45</v>
      </c>
      <c r="N15" s="1425" t="s">
        <v>46</v>
      </c>
      <c r="O15" s="1425" t="s">
        <v>47</v>
      </c>
      <c r="P15" s="16" t="s">
        <v>67</v>
      </c>
      <c r="Q15" s="302" t="s">
        <v>68</v>
      </c>
      <c r="R15" s="303">
        <v>2015</v>
      </c>
      <c r="S15" s="303">
        <v>0</v>
      </c>
      <c r="T15" s="303">
        <v>5</v>
      </c>
      <c r="U15" s="572">
        <v>20</v>
      </c>
      <c r="V15" s="572">
        <v>40</v>
      </c>
      <c r="W15" s="572">
        <v>60</v>
      </c>
      <c r="X15" s="572">
        <v>60</v>
      </c>
      <c r="Y15" s="481"/>
      <c r="Z15" s="481"/>
      <c r="AA15" s="491">
        <v>205.8</v>
      </c>
      <c r="AB15" s="491">
        <v>250</v>
      </c>
      <c r="AC15" s="481"/>
      <c r="AD15" s="481">
        <v>644</v>
      </c>
      <c r="AE15" s="481"/>
      <c r="AF15" s="481">
        <f t="shared" si="7"/>
        <v>1099.8</v>
      </c>
      <c r="AG15" s="548"/>
      <c r="AH15" s="548"/>
      <c r="AI15" s="548">
        <v>400</v>
      </c>
      <c r="AJ15" s="548"/>
      <c r="AK15" s="548"/>
      <c r="AL15" s="548"/>
      <c r="AM15" s="548">
        <f t="shared" si="18"/>
        <v>400</v>
      </c>
      <c r="AN15" s="481"/>
      <c r="AO15" s="481"/>
      <c r="AP15" s="491">
        <v>445</v>
      </c>
      <c r="AQ15" s="481"/>
      <c r="AR15" s="481"/>
      <c r="AS15" s="481"/>
      <c r="AT15" s="481"/>
      <c r="AU15" s="481">
        <f t="shared" si="19"/>
        <v>445</v>
      </c>
      <c r="AV15" s="548"/>
      <c r="AW15" s="548"/>
      <c r="AX15" s="491">
        <v>385</v>
      </c>
      <c r="AY15" s="548"/>
      <c r="AZ15" s="548"/>
      <c r="BA15" s="548"/>
      <c r="BB15" s="548"/>
      <c r="BC15" s="548">
        <f t="shared" si="20"/>
        <v>385</v>
      </c>
      <c r="BD15" s="42">
        <f t="shared" si="11"/>
        <v>0</v>
      </c>
      <c r="BE15" s="42">
        <f t="shared" si="11"/>
        <v>0</v>
      </c>
      <c r="BF15" s="42">
        <f t="shared" si="11"/>
        <v>1435.8</v>
      </c>
      <c r="BG15" s="42">
        <f t="shared" si="11"/>
        <v>250</v>
      </c>
      <c r="BH15" s="42">
        <f t="shared" si="11"/>
        <v>0</v>
      </c>
      <c r="BI15" s="42">
        <f t="shared" si="17"/>
        <v>644</v>
      </c>
      <c r="BJ15" s="42">
        <f t="shared" si="12"/>
        <v>0</v>
      </c>
      <c r="BK15" s="42">
        <f t="shared" si="12"/>
        <v>2329.8000000000002</v>
      </c>
    </row>
    <row r="16" spans="1:64" ht="19.5" customHeight="1" x14ac:dyDescent="0.25">
      <c r="A16" s="298" t="s">
        <v>38</v>
      </c>
      <c r="B16" s="299" t="s">
        <v>39</v>
      </c>
      <c r="C16" s="1547"/>
      <c r="D16" s="1549"/>
      <c r="E16" s="1549"/>
      <c r="F16" s="1549"/>
      <c r="G16" s="1549"/>
      <c r="H16" s="1549"/>
      <c r="I16" s="301"/>
      <c r="J16" s="301"/>
      <c r="K16" s="1425" t="s">
        <v>69</v>
      </c>
      <c r="L16" s="301" t="s">
        <v>44</v>
      </c>
      <c r="M16" s="1425" t="s">
        <v>45</v>
      </c>
      <c r="N16" s="1425" t="s">
        <v>46</v>
      </c>
      <c r="O16" s="1425" t="s">
        <v>47</v>
      </c>
      <c r="P16" s="16" t="s">
        <v>70</v>
      </c>
      <c r="Q16" s="302" t="s">
        <v>71</v>
      </c>
      <c r="R16" s="303">
        <v>2015</v>
      </c>
      <c r="S16" s="303">
        <v>0</v>
      </c>
      <c r="T16" s="303">
        <v>0</v>
      </c>
      <c r="U16" s="572">
        <v>1</v>
      </c>
      <c r="V16" s="572">
        <v>1</v>
      </c>
      <c r="W16" s="572">
        <v>1</v>
      </c>
      <c r="X16" s="572">
        <v>1</v>
      </c>
      <c r="Y16" s="481"/>
      <c r="Z16" s="481"/>
      <c r="AA16" s="481"/>
      <c r="AB16" s="481"/>
      <c r="AC16" s="481"/>
      <c r="AD16" s="481"/>
      <c r="AE16" s="481"/>
      <c r="AF16" s="481">
        <f t="shared" si="7"/>
        <v>0</v>
      </c>
      <c r="AG16" s="548"/>
      <c r="AH16" s="548"/>
      <c r="AI16" s="491">
        <v>15</v>
      </c>
      <c r="AJ16" s="548"/>
      <c r="AK16" s="548"/>
      <c r="AL16" s="548"/>
      <c r="AM16" s="548">
        <f t="shared" si="18"/>
        <v>15</v>
      </c>
      <c r="AN16" s="481"/>
      <c r="AO16" s="481"/>
      <c r="AP16" s="481"/>
      <c r="AQ16" s="481"/>
      <c r="AR16" s="481"/>
      <c r="AS16" s="481"/>
      <c r="AT16" s="481"/>
      <c r="AU16" s="481">
        <f t="shared" si="19"/>
        <v>0</v>
      </c>
      <c r="AV16" s="491">
        <v>1</v>
      </c>
      <c r="AW16" s="548"/>
      <c r="AX16" s="548"/>
      <c r="AY16" s="548"/>
      <c r="AZ16" s="548"/>
      <c r="BA16" s="548"/>
      <c r="BB16" s="548"/>
      <c r="BC16" s="548">
        <f>SUM(AV16:BB16)</f>
        <v>1</v>
      </c>
      <c r="BD16" s="42">
        <f t="shared" si="11"/>
        <v>1</v>
      </c>
      <c r="BE16" s="42">
        <f t="shared" si="11"/>
        <v>0</v>
      </c>
      <c r="BF16" s="42">
        <f t="shared" si="11"/>
        <v>15</v>
      </c>
      <c r="BG16" s="42">
        <f t="shared" si="11"/>
        <v>0</v>
      </c>
      <c r="BH16" s="42">
        <f t="shared" si="11"/>
        <v>0</v>
      </c>
      <c r="BI16" s="42">
        <f t="shared" si="17"/>
        <v>0</v>
      </c>
      <c r="BJ16" s="42">
        <f>+BB16+AT16+AL16+AE16</f>
        <v>0</v>
      </c>
      <c r="BK16" s="42">
        <f>+BC16+AU16+AM16+AF16</f>
        <v>16</v>
      </c>
    </row>
    <row r="17" spans="1:63" ht="21.75" customHeight="1" x14ac:dyDescent="0.25">
      <c r="A17" s="298" t="s">
        <v>38</v>
      </c>
      <c r="B17" s="299" t="s">
        <v>39</v>
      </c>
      <c r="C17" s="1547"/>
      <c r="D17" s="1549"/>
      <c r="E17" s="1549"/>
      <c r="F17" s="1549"/>
      <c r="G17" s="1549"/>
      <c r="H17" s="1549"/>
      <c r="I17" s="301"/>
      <c r="J17" s="301"/>
      <c r="K17" s="1425" t="s">
        <v>72</v>
      </c>
      <c r="L17" s="301" t="s">
        <v>44</v>
      </c>
      <c r="M17" s="1425" t="s">
        <v>45</v>
      </c>
      <c r="N17" s="1425" t="s">
        <v>46</v>
      </c>
      <c r="O17" s="1425" t="s">
        <v>73</v>
      </c>
      <c r="P17" s="16" t="s">
        <v>74</v>
      </c>
      <c r="Q17" s="302" t="s">
        <v>75</v>
      </c>
      <c r="R17" s="303">
        <v>2015</v>
      </c>
      <c r="S17" s="303">
        <v>0</v>
      </c>
      <c r="T17" s="303">
        <v>0</v>
      </c>
      <c r="U17" s="572">
        <v>1</v>
      </c>
      <c r="V17" s="572">
        <v>1</v>
      </c>
      <c r="W17" s="572">
        <v>1</v>
      </c>
      <c r="X17" s="572">
        <v>1</v>
      </c>
      <c r="Y17" s="481"/>
      <c r="Z17" s="481"/>
      <c r="AA17" s="481"/>
      <c r="AB17" s="481"/>
      <c r="AC17" s="481"/>
      <c r="AD17" s="481"/>
      <c r="AE17" s="481"/>
      <c r="AF17" s="481">
        <f t="shared" si="7"/>
        <v>0</v>
      </c>
      <c r="AG17" s="548"/>
      <c r="AH17" s="548"/>
      <c r="AI17" s="491">
        <v>3</v>
      </c>
      <c r="AJ17" s="548"/>
      <c r="AK17" s="548"/>
      <c r="AL17" s="548"/>
      <c r="AM17" s="548">
        <f t="shared" si="18"/>
        <v>3</v>
      </c>
      <c r="AN17" s="481"/>
      <c r="AO17" s="481"/>
      <c r="AP17" s="481"/>
      <c r="AQ17" s="481"/>
      <c r="AR17" s="481"/>
      <c r="AS17" s="481"/>
      <c r="AT17" s="481"/>
      <c r="AU17" s="481">
        <f t="shared" si="19"/>
        <v>0</v>
      </c>
      <c r="AV17" s="491">
        <v>1</v>
      </c>
      <c r="AW17" s="548"/>
      <c r="AX17" s="548"/>
      <c r="AY17" s="548"/>
      <c r="AZ17" s="548"/>
      <c r="BA17" s="548"/>
      <c r="BB17" s="548"/>
      <c r="BC17" s="548">
        <f>SUM(AV17:BB17)</f>
        <v>1</v>
      </c>
      <c r="BD17" s="42">
        <f t="shared" si="11"/>
        <v>1</v>
      </c>
      <c r="BE17" s="42">
        <f t="shared" si="11"/>
        <v>0</v>
      </c>
      <c r="BF17" s="42">
        <f t="shared" si="11"/>
        <v>3</v>
      </c>
      <c r="BG17" s="42">
        <f t="shared" si="11"/>
        <v>0</v>
      </c>
      <c r="BH17" s="42">
        <f t="shared" si="11"/>
        <v>0</v>
      </c>
      <c r="BI17" s="42">
        <f t="shared" si="17"/>
        <v>0</v>
      </c>
      <c r="BJ17" s="42">
        <f>+BB17+AT17+AL17+AE17</f>
        <v>0</v>
      </c>
      <c r="BK17" s="42">
        <f>+BC17+AU17+AM17+AF17</f>
        <v>4</v>
      </c>
    </row>
    <row r="18" spans="1:63" ht="10.5" customHeight="1" x14ac:dyDescent="0.25">
      <c r="A18" s="298" t="s">
        <v>38</v>
      </c>
      <c r="B18" s="299" t="s">
        <v>39</v>
      </c>
      <c r="C18" s="1547"/>
      <c r="D18" s="1549"/>
      <c r="E18" s="1549"/>
      <c r="F18" s="1549"/>
      <c r="G18" s="1549"/>
      <c r="H18" s="1549"/>
      <c r="I18" s="301"/>
      <c r="J18" s="301"/>
      <c r="K18" s="1425" t="s">
        <v>76</v>
      </c>
      <c r="L18" s="301" t="s">
        <v>44</v>
      </c>
      <c r="M18" s="1425" t="s">
        <v>45</v>
      </c>
      <c r="N18" s="1425" t="s">
        <v>46</v>
      </c>
      <c r="O18" s="1425" t="s">
        <v>47</v>
      </c>
      <c r="P18" s="16" t="s">
        <v>77</v>
      </c>
      <c r="Q18" s="302" t="s">
        <v>78</v>
      </c>
      <c r="R18" s="303">
        <v>2015</v>
      </c>
      <c r="S18" s="303">
        <v>1</v>
      </c>
      <c r="T18" s="303">
        <v>1</v>
      </c>
      <c r="U18" s="572">
        <v>2</v>
      </c>
      <c r="V18" s="572">
        <v>3</v>
      </c>
      <c r="W18" s="572">
        <v>4</v>
      </c>
      <c r="X18" s="572">
        <v>4</v>
      </c>
      <c r="Y18" s="481"/>
      <c r="Z18" s="481"/>
      <c r="AA18" s="481"/>
      <c r="AB18" s="481"/>
      <c r="AC18" s="481"/>
      <c r="AD18" s="481"/>
      <c r="AE18" s="481"/>
      <c r="AF18" s="481">
        <f t="shared" si="7"/>
        <v>0</v>
      </c>
      <c r="AG18" s="548"/>
      <c r="AH18" s="548"/>
      <c r="AI18" s="491">
        <v>1</v>
      </c>
      <c r="AJ18" s="548"/>
      <c r="AK18" s="548"/>
      <c r="AL18" s="548"/>
      <c r="AM18" s="548">
        <f t="shared" si="18"/>
        <v>1</v>
      </c>
      <c r="AN18" s="481"/>
      <c r="AO18" s="481"/>
      <c r="AP18" s="481"/>
      <c r="AQ18" s="481"/>
      <c r="AR18" s="481"/>
      <c r="AS18" s="481"/>
      <c r="AT18" s="481"/>
      <c r="AU18" s="481">
        <f t="shared" si="19"/>
        <v>0</v>
      </c>
      <c r="AV18" s="491">
        <v>1</v>
      </c>
      <c r="AW18" s="548"/>
      <c r="AX18" s="548"/>
      <c r="AY18" s="548"/>
      <c r="AZ18" s="548"/>
      <c r="BA18" s="548"/>
      <c r="BB18" s="548"/>
      <c r="BC18" s="548">
        <f t="shared" si="20"/>
        <v>1</v>
      </c>
      <c r="BD18" s="42">
        <f t="shared" si="11"/>
        <v>1</v>
      </c>
      <c r="BE18" s="42">
        <f t="shared" si="11"/>
        <v>0</v>
      </c>
      <c r="BF18" s="42">
        <f t="shared" si="11"/>
        <v>1</v>
      </c>
      <c r="BG18" s="42">
        <f t="shared" si="11"/>
        <v>0</v>
      </c>
      <c r="BH18" s="42">
        <f t="shared" si="11"/>
        <v>0</v>
      </c>
      <c r="BI18" s="42">
        <f t="shared" si="17"/>
        <v>0</v>
      </c>
      <c r="BJ18" s="42">
        <f t="shared" si="12"/>
        <v>0</v>
      </c>
      <c r="BK18" s="42">
        <f t="shared" si="12"/>
        <v>2</v>
      </c>
    </row>
    <row r="19" spans="1:63" ht="11.25" customHeight="1" x14ac:dyDescent="0.25">
      <c r="A19" s="298" t="s">
        <v>38</v>
      </c>
      <c r="B19" s="299" t="s">
        <v>39</v>
      </c>
      <c r="C19" s="1547"/>
      <c r="D19" s="1549"/>
      <c r="E19" s="1549"/>
      <c r="F19" s="1549"/>
      <c r="G19" s="1549"/>
      <c r="H19" s="1549"/>
      <c r="I19" s="301"/>
      <c r="J19" s="301"/>
      <c r="K19" s="1425" t="s">
        <v>79</v>
      </c>
      <c r="L19" s="301" t="s">
        <v>44</v>
      </c>
      <c r="M19" s="1425" t="s">
        <v>45</v>
      </c>
      <c r="N19" s="1425" t="s">
        <v>46</v>
      </c>
      <c r="O19" s="1425" t="s">
        <v>47</v>
      </c>
      <c r="P19" s="16" t="s">
        <v>80</v>
      </c>
      <c r="Q19" s="302" t="s">
        <v>81</v>
      </c>
      <c r="R19" s="303">
        <v>2015</v>
      </c>
      <c r="S19" s="303">
        <v>0</v>
      </c>
      <c r="T19" s="303">
        <v>1</v>
      </c>
      <c r="U19" s="572">
        <v>1</v>
      </c>
      <c r="V19" s="572">
        <v>1</v>
      </c>
      <c r="W19" s="572">
        <v>1</v>
      </c>
      <c r="X19" s="572">
        <v>1</v>
      </c>
      <c r="Y19" s="481"/>
      <c r="Z19" s="481"/>
      <c r="AA19" s="481"/>
      <c r="AB19" s="481"/>
      <c r="AC19" s="481"/>
      <c r="AD19" s="481"/>
      <c r="AE19" s="481"/>
      <c r="AF19" s="481">
        <f t="shared" si="7"/>
        <v>0</v>
      </c>
      <c r="AG19" s="548"/>
      <c r="AH19" s="548"/>
      <c r="AI19" s="491">
        <v>1</v>
      </c>
      <c r="AJ19" s="548"/>
      <c r="AK19" s="548"/>
      <c r="AL19" s="548"/>
      <c r="AM19" s="548">
        <f t="shared" si="18"/>
        <v>1</v>
      </c>
      <c r="AN19" s="481"/>
      <c r="AO19" s="481"/>
      <c r="AP19" s="481"/>
      <c r="AQ19" s="481"/>
      <c r="AR19" s="481"/>
      <c r="AS19" s="481"/>
      <c r="AT19" s="481"/>
      <c r="AU19" s="481">
        <f t="shared" si="19"/>
        <v>0</v>
      </c>
      <c r="AV19" s="491">
        <v>1</v>
      </c>
      <c r="AW19" s="548"/>
      <c r="AX19" s="548"/>
      <c r="AY19" s="548"/>
      <c r="AZ19" s="548"/>
      <c r="BA19" s="548"/>
      <c r="BB19" s="548"/>
      <c r="BC19" s="548">
        <f t="shared" si="20"/>
        <v>1</v>
      </c>
      <c r="BD19" s="42">
        <f t="shared" si="11"/>
        <v>1</v>
      </c>
      <c r="BE19" s="42">
        <f t="shared" si="11"/>
        <v>0</v>
      </c>
      <c r="BF19" s="42">
        <f t="shared" si="11"/>
        <v>1</v>
      </c>
      <c r="BG19" s="42">
        <f t="shared" si="11"/>
        <v>0</v>
      </c>
      <c r="BH19" s="42">
        <f t="shared" si="11"/>
        <v>0</v>
      </c>
      <c r="BI19" s="42">
        <f t="shared" si="17"/>
        <v>0</v>
      </c>
      <c r="BJ19" s="42">
        <f t="shared" si="12"/>
        <v>0</v>
      </c>
      <c r="BK19" s="42">
        <f t="shared" si="12"/>
        <v>2</v>
      </c>
    </row>
    <row r="20" spans="1:63" ht="21.75" customHeight="1" x14ac:dyDescent="0.25">
      <c r="A20" s="298" t="s">
        <v>38</v>
      </c>
      <c r="B20" s="299" t="s">
        <v>39</v>
      </c>
      <c r="C20" s="1547"/>
      <c r="D20" s="1549"/>
      <c r="E20" s="1549"/>
      <c r="F20" s="1549"/>
      <c r="G20" s="1549"/>
      <c r="H20" s="1549"/>
      <c r="I20" s="301"/>
      <c r="J20" s="301"/>
      <c r="K20" s="1425" t="s">
        <v>82</v>
      </c>
      <c r="L20" s="301" t="s">
        <v>44</v>
      </c>
      <c r="M20" s="1425" t="s">
        <v>45</v>
      </c>
      <c r="N20" s="1425" t="s">
        <v>46</v>
      </c>
      <c r="O20" s="1425" t="s">
        <v>47</v>
      </c>
      <c r="P20" s="16" t="s">
        <v>83</v>
      </c>
      <c r="Q20" s="302" t="s">
        <v>84</v>
      </c>
      <c r="R20" s="303">
        <v>2015</v>
      </c>
      <c r="S20" s="303">
        <v>0</v>
      </c>
      <c r="T20" s="303">
        <v>0</v>
      </c>
      <c r="U20" s="572">
        <v>6</v>
      </c>
      <c r="V20" s="572">
        <v>12</v>
      </c>
      <c r="W20" s="572">
        <v>20</v>
      </c>
      <c r="X20" s="572">
        <v>20</v>
      </c>
      <c r="Y20" s="481"/>
      <c r="Z20" s="481"/>
      <c r="AA20" s="481"/>
      <c r="AB20" s="481"/>
      <c r="AC20" s="481"/>
      <c r="AD20" s="481"/>
      <c r="AE20" s="481"/>
      <c r="AF20" s="481">
        <f t="shared" si="7"/>
        <v>0</v>
      </c>
      <c r="AG20" s="548"/>
      <c r="AH20" s="548"/>
      <c r="AI20" s="491">
        <v>5</v>
      </c>
      <c r="AJ20" s="548"/>
      <c r="AK20" s="548"/>
      <c r="AL20" s="548"/>
      <c r="AM20" s="548">
        <f t="shared" si="18"/>
        <v>5</v>
      </c>
      <c r="AN20" s="481"/>
      <c r="AO20" s="481"/>
      <c r="AP20" s="481"/>
      <c r="AQ20" s="481"/>
      <c r="AR20" s="481"/>
      <c r="AS20" s="481"/>
      <c r="AT20" s="481"/>
      <c r="AU20" s="481">
        <f t="shared" si="19"/>
        <v>0</v>
      </c>
      <c r="AV20" s="491">
        <v>1</v>
      </c>
      <c r="AW20" s="548"/>
      <c r="AX20" s="548"/>
      <c r="AY20" s="548"/>
      <c r="AZ20" s="548"/>
      <c r="BA20" s="548"/>
      <c r="BB20" s="548"/>
      <c r="BC20" s="548">
        <f t="shared" si="20"/>
        <v>1</v>
      </c>
      <c r="BD20" s="42">
        <f t="shared" si="11"/>
        <v>1</v>
      </c>
      <c r="BE20" s="42">
        <f t="shared" si="11"/>
        <v>0</v>
      </c>
      <c r="BF20" s="42">
        <f t="shared" si="11"/>
        <v>5</v>
      </c>
      <c r="BG20" s="42">
        <f t="shared" si="11"/>
        <v>0</v>
      </c>
      <c r="BH20" s="42">
        <f t="shared" si="11"/>
        <v>0</v>
      </c>
      <c r="BI20" s="42">
        <f t="shared" si="17"/>
        <v>0</v>
      </c>
      <c r="BJ20" s="42">
        <f t="shared" si="12"/>
        <v>0</v>
      </c>
      <c r="BK20" s="42">
        <f t="shared" si="12"/>
        <v>6</v>
      </c>
    </row>
    <row r="21" spans="1:63" ht="21" customHeight="1" x14ac:dyDescent="0.25">
      <c r="A21" s="298" t="s">
        <v>38</v>
      </c>
      <c r="B21" s="299" t="s">
        <v>39</v>
      </c>
      <c r="C21" s="1547"/>
      <c r="D21" s="1549"/>
      <c r="E21" s="1549"/>
      <c r="F21" s="1549"/>
      <c r="G21" s="1549"/>
      <c r="H21" s="1549"/>
      <c r="I21" s="301"/>
      <c r="J21" s="301"/>
      <c r="K21" s="1425" t="s">
        <v>85</v>
      </c>
      <c r="L21" s="301" t="s">
        <v>44</v>
      </c>
      <c r="M21" s="1425" t="s">
        <v>45</v>
      </c>
      <c r="N21" s="1425" t="s">
        <v>46</v>
      </c>
      <c r="O21" s="1425" t="s">
        <v>47</v>
      </c>
      <c r="P21" s="16" t="s">
        <v>86</v>
      </c>
      <c r="Q21" s="302" t="s">
        <v>87</v>
      </c>
      <c r="R21" s="303">
        <v>2015</v>
      </c>
      <c r="S21" s="303">
        <v>0</v>
      </c>
      <c r="T21" s="303">
        <v>1</v>
      </c>
      <c r="U21" s="572">
        <v>2</v>
      </c>
      <c r="V21" s="572">
        <v>3</v>
      </c>
      <c r="W21" s="572">
        <v>4</v>
      </c>
      <c r="X21" s="572">
        <v>4</v>
      </c>
      <c r="Y21" s="481"/>
      <c r="Z21" s="481"/>
      <c r="AA21" s="481"/>
      <c r="AB21" s="481"/>
      <c r="AC21" s="481"/>
      <c r="AD21" s="481"/>
      <c r="AE21" s="481"/>
      <c r="AF21" s="481">
        <f t="shared" si="7"/>
        <v>0</v>
      </c>
      <c r="AG21" s="548"/>
      <c r="AH21" s="548"/>
      <c r="AI21" s="491">
        <v>3</v>
      </c>
      <c r="AJ21" s="548"/>
      <c r="AK21" s="548"/>
      <c r="AL21" s="548"/>
      <c r="AM21" s="548">
        <f t="shared" si="18"/>
        <v>3</v>
      </c>
      <c r="AN21" s="481"/>
      <c r="AO21" s="481"/>
      <c r="AP21" s="481"/>
      <c r="AQ21" s="481"/>
      <c r="AR21" s="481"/>
      <c r="AS21" s="481"/>
      <c r="AT21" s="481"/>
      <c r="AU21" s="481">
        <f t="shared" si="19"/>
        <v>0</v>
      </c>
      <c r="AV21" s="491">
        <v>1</v>
      </c>
      <c r="AW21" s="548"/>
      <c r="AX21" s="548"/>
      <c r="AY21" s="548"/>
      <c r="AZ21" s="548"/>
      <c r="BA21" s="548"/>
      <c r="BB21" s="548"/>
      <c r="BC21" s="548">
        <f t="shared" si="20"/>
        <v>1</v>
      </c>
      <c r="BD21" s="42">
        <f t="shared" si="11"/>
        <v>1</v>
      </c>
      <c r="BE21" s="42">
        <f t="shared" si="11"/>
        <v>0</v>
      </c>
      <c r="BF21" s="42">
        <f t="shared" si="11"/>
        <v>3</v>
      </c>
      <c r="BG21" s="42">
        <f t="shared" si="11"/>
        <v>0</v>
      </c>
      <c r="BH21" s="42">
        <f t="shared" si="11"/>
        <v>0</v>
      </c>
      <c r="BI21" s="42">
        <f t="shared" si="17"/>
        <v>0</v>
      </c>
      <c r="BJ21" s="42">
        <f t="shared" si="12"/>
        <v>0</v>
      </c>
      <c r="BK21" s="42">
        <f t="shared" si="12"/>
        <v>4</v>
      </c>
    </row>
    <row r="22" spans="1:63" ht="16.5" customHeight="1" x14ac:dyDescent="0.25">
      <c r="A22" s="298" t="s">
        <v>38</v>
      </c>
      <c r="B22" s="299" t="s">
        <v>39</v>
      </c>
      <c r="C22" s="1547"/>
      <c r="D22" s="1549"/>
      <c r="E22" s="1549"/>
      <c r="F22" s="1549"/>
      <c r="G22" s="1549"/>
      <c r="H22" s="1549"/>
      <c r="I22" s="301"/>
      <c r="J22" s="301"/>
      <c r="K22" s="1425" t="s">
        <v>88</v>
      </c>
      <c r="L22" s="301" t="s">
        <v>44</v>
      </c>
      <c r="M22" s="1425" t="s">
        <v>45</v>
      </c>
      <c r="N22" s="1425" t="s">
        <v>46</v>
      </c>
      <c r="O22" s="1425" t="s">
        <v>73</v>
      </c>
      <c r="P22" s="16" t="s">
        <v>89</v>
      </c>
      <c r="Q22" s="302" t="s">
        <v>90</v>
      </c>
      <c r="R22" s="303">
        <v>2015</v>
      </c>
      <c r="S22" s="303">
        <v>0</v>
      </c>
      <c r="T22" s="303">
        <v>0</v>
      </c>
      <c r="U22" s="572">
        <v>1</v>
      </c>
      <c r="V22" s="572">
        <v>1</v>
      </c>
      <c r="W22" s="572">
        <v>1</v>
      </c>
      <c r="X22" s="572">
        <v>1</v>
      </c>
      <c r="Y22" s="481"/>
      <c r="Z22" s="481"/>
      <c r="AA22" s="481"/>
      <c r="AB22" s="481"/>
      <c r="AC22" s="481"/>
      <c r="AD22" s="481"/>
      <c r="AE22" s="481"/>
      <c r="AF22" s="481">
        <f>SUM(Y22:AE22)</f>
        <v>0</v>
      </c>
      <c r="AG22" s="548"/>
      <c r="AH22" s="548"/>
      <c r="AI22" s="491">
        <v>5</v>
      </c>
      <c r="AJ22" s="548"/>
      <c r="AK22" s="548"/>
      <c r="AL22" s="548"/>
      <c r="AM22" s="548">
        <f>SUM(AG22:AL22)</f>
        <v>5</v>
      </c>
      <c r="AN22" s="481"/>
      <c r="AO22" s="481"/>
      <c r="AP22" s="481"/>
      <c r="AQ22" s="481"/>
      <c r="AR22" s="481"/>
      <c r="AS22" s="481"/>
      <c r="AT22" s="481"/>
      <c r="AU22" s="481">
        <f>SUM(AN22:AT22)</f>
        <v>0</v>
      </c>
      <c r="AV22" s="491">
        <v>1</v>
      </c>
      <c r="AW22" s="548"/>
      <c r="AX22" s="548"/>
      <c r="AY22" s="548"/>
      <c r="AZ22" s="548"/>
      <c r="BA22" s="548"/>
      <c r="BB22" s="548"/>
      <c r="BC22" s="548">
        <f>SUM(AV22:BB22)</f>
        <v>1</v>
      </c>
      <c r="BD22" s="42">
        <f>+AV22+AN22+AG22+Y22</f>
        <v>1</v>
      </c>
      <c r="BE22" s="42">
        <f>+AW22+AO22+AH22+Z22</f>
        <v>0</v>
      </c>
      <c r="BF22" s="42">
        <f>+AX22+AP22+AI22+AA22</f>
        <v>5</v>
      </c>
      <c r="BG22" s="42">
        <f>+AY22+AQ22+AJ22+AB22</f>
        <v>0</v>
      </c>
      <c r="BH22" s="42">
        <f>+AZ22+AR22+AK22+AC22</f>
        <v>0</v>
      </c>
      <c r="BI22" s="42">
        <f t="shared" si="17"/>
        <v>0</v>
      </c>
      <c r="BJ22" s="42">
        <f>+BB22+AT22+AL22+AE22</f>
        <v>0</v>
      </c>
      <c r="BK22" s="42">
        <f>+BC22+AU22+AM22+AF22</f>
        <v>6</v>
      </c>
    </row>
    <row r="23" spans="1:63" ht="15.75" customHeight="1" x14ac:dyDescent="0.25">
      <c r="A23" s="298" t="s">
        <v>38</v>
      </c>
      <c r="B23" s="299" t="s">
        <v>39</v>
      </c>
      <c r="C23" s="1548"/>
      <c r="D23" s="1549"/>
      <c r="E23" s="1549"/>
      <c r="F23" s="1549"/>
      <c r="G23" s="1549"/>
      <c r="H23" s="1549"/>
      <c r="I23" s="301"/>
      <c r="J23" s="301"/>
      <c r="K23" s="1425" t="s">
        <v>91</v>
      </c>
      <c r="L23" s="301" t="s">
        <v>44</v>
      </c>
      <c r="M23" s="1425" t="s">
        <v>45</v>
      </c>
      <c r="N23" s="1425" t="s">
        <v>46</v>
      </c>
      <c r="O23" s="1425" t="s">
        <v>73</v>
      </c>
      <c r="P23" s="16" t="s">
        <v>92</v>
      </c>
      <c r="Q23" s="302" t="s">
        <v>93</v>
      </c>
      <c r="R23" s="303">
        <v>2015</v>
      </c>
      <c r="S23" s="303">
        <v>0</v>
      </c>
      <c r="T23" s="303">
        <v>1</v>
      </c>
      <c r="U23" s="572">
        <v>1</v>
      </c>
      <c r="V23" s="572">
        <v>1</v>
      </c>
      <c r="W23" s="572">
        <v>1</v>
      </c>
      <c r="X23" s="572">
        <v>1</v>
      </c>
      <c r="Y23" s="481"/>
      <c r="Z23" s="481"/>
      <c r="AA23" s="481"/>
      <c r="AB23" s="481"/>
      <c r="AC23" s="481"/>
      <c r="AD23" s="481"/>
      <c r="AE23" s="481"/>
      <c r="AF23" s="481">
        <f t="shared" si="7"/>
        <v>0</v>
      </c>
      <c r="AG23" s="548"/>
      <c r="AH23" s="548"/>
      <c r="AI23" s="491">
        <v>2</v>
      </c>
      <c r="AJ23" s="548"/>
      <c r="AK23" s="548"/>
      <c r="AL23" s="548"/>
      <c r="AM23" s="548">
        <f t="shared" si="18"/>
        <v>2</v>
      </c>
      <c r="AN23" s="42"/>
      <c r="AO23" s="481"/>
      <c r="AP23" s="481"/>
      <c r="AQ23" s="481"/>
      <c r="AR23" s="481"/>
      <c r="AS23" s="481"/>
      <c r="AT23" s="481"/>
      <c r="AU23" s="481">
        <f t="shared" si="19"/>
        <v>0</v>
      </c>
      <c r="AV23" s="491">
        <v>1</v>
      </c>
      <c r="AW23" s="548"/>
      <c r="AX23" s="548"/>
      <c r="AY23" s="548"/>
      <c r="AZ23" s="548"/>
      <c r="BA23" s="548"/>
      <c r="BB23" s="548"/>
      <c r="BC23" s="548">
        <f t="shared" si="20"/>
        <v>1</v>
      </c>
      <c r="BD23" s="42">
        <f t="shared" ref="BD23:BH62" si="21">+AV23+AN23+AG23+Y23</f>
        <v>1</v>
      </c>
      <c r="BE23" s="42">
        <f t="shared" si="21"/>
        <v>0</v>
      </c>
      <c r="BF23" s="42">
        <f t="shared" si="21"/>
        <v>2</v>
      </c>
      <c r="BG23" s="42">
        <f t="shared" si="21"/>
        <v>0</v>
      </c>
      <c r="BH23" s="42">
        <f t="shared" si="21"/>
        <v>0</v>
      </c>
      <c r="BI23" s="42">
        <f t="shared" si="17"/>
        <v>0</v>
      </c>
      <c r="BJ23" s="42">
        <f t="shared" si="12"/>
        <v>0</v>
      </c>
      <c r="BK23" s="42">
        <f t="shared" si="12"/>
        <v>3</v>
      </c>
    </row>
    <row r="24" spans="1:63" x14ac:dyDescent="0.25">
      <c r="A24" s="295" t="s">
        <v>38</v>
      </c>
      <c r="B24" s="24" t="s">
        <v>39</v>
      </c>
      <c r="C24" s="2"/>
      <c r="D24" s="2" t="s">
        <v>94</v>
      </c>
      <c r="E24" s="1"/>
      <c r="F24" s="1"/>
      <c r="G24" s="1"/>
      <c r="H24" s="1"/>
      <c r="I24" s="1"/>
      <c r="J24" s="1"/>
      <c r="K24" s="1"/>
      <c r="L24" s="1"/>
      <c r="M24" s="1"/>
      <c r="N24" s="1"/>
      <c r="O24" s="1"/>
      <c r="P24" s="1"/>
      <c r="Q24" s="22"/>
      <c r="R24" s="1"/>
      <c r="S24" s="1"/>
      <c r="T24" s="1"/>
      <c r="U24" s="49"/>
      <c r="V24" s="49"/>
      <c r="W24" s="49"/>
      <c r="X24" s="49"/>
      <c r="Y24" s="34">
        <f t="shared" ref="Y24:AE24" si="22">SUM(Y25:Y40)</f>
        <v>25</v>
      </c>
      <c r="Z24" s="34">
        <f t="shared" si="22"/>
        <v>0</v>
      </c>
      <c r="AA24" s="34">
        <f t="shared" si="22"/>
        <v>1095</v>
      </c>
      <c r="AB24" s="34">
        <f t="shared" si="22"/>
        <v>0</v>
      </c>
      <c r="AC24" s="34">
        <f t="shared" si="22"/>
        <v>0</v>
      </c>
      <c r="AD24" s="34">
        <f t="shared" si="22"/>
        <v>0</v>
      </c>
      <c r="AE24" s="34">
        <f t="shared" si="22"/>
        <v>0</v>
      </c>
      <c r="AF24" s="34">
        <f t="shared" si="7"/>
        <v>1120</v>
      </c>
      <c r="AG24" s="34">
        <f t="shared" ref="AG24:AL24" si="23">SUM(AG25:AG40)</f>
        <v>20</v>
      </c>
      <c r="AH24" s="34">
        <f t="shared" si="23"/>
        <v>0</v>
      </c>
      <c r="AI24" s="34">
        <f t="shared" si="23"/>
        <v>782</v>
      </c>
      <c r="AJ24" s="34">
        <f t="shared" si="23"/>
        <v>0</v>
      </c>
      <c r="AK24" s="34">
        <f t="shared" si="23"/>
        <v>0</v>
      </c>
      <c r="AL24" s="34">
        <f t="shared" si="23"/>
        <v>0</v>
      </c>
      <c r="AM24" s="34">
        <f t="shared" si="18"/>
        <v>802</v>
      </c>
      <c r="AN24" s="34">
        <f t="shared" ref="AN24:AT24" si="24">SUM(AN25:AN40)</f>
        <v>2.5</v>
      </c>
      <c r="AO24" s="34">
        <f t="shared" si="24"/>
        <v>0</v>
      </c>
      <c r="AP24" s="34">
        <f t="shared" si="24"/>
        <v>825</v>
      </c>
      <c r="AQ24" s="34">
        <f t="shared" si="24"/>
        <v>0</v>
      </c>
      <c r="AR24" s="34">
        <f t="shared" si="24"/>
        <v>0</v>
      </c>
      <c r="AS24" s="34">
        <f t="shared" si="24"/>
        <v>0</v>
      </c>
      <c r="AT24" s="34">
        <f t="shared" si="24"/>
        <v>0</v>
      </c>
      <c r="AU24" s="34">
        <f t="shared" si="19"/>
        <v>827.5</v>
      </c>
      <c r="AV24" s="34">
        <f t="shared" ref="AV24:BB24" si="25">SUM(AV25:AV40)</f>
        <v>5</v>
      </c>
      <c r="AW24" s="31">
        <f t="shared" si="25"/>
        <v>0</v>
      </c>
      <c r="AX24" s="34">
        <f t="shared" si="25"/>
        <v>864</v>
      </c>
      <c r="AY24" s="34">
        <f t="shared" si="25"/>
        <v>0</v>
      </c>
      <c r="AZ24" s="34">
        <f t="shared" si="25"/>
        <v>0</v>
      </c>
      <c r="BA24" s="34">
        <f t="shared" si="25"/>
        <v>0</v>
      </c>
      <c r="BB24" s="34">
        <f t="shared" si="25"/>
        <v>0</v>
      </c>
      <c r="BC24" s="34">
        <f t="shared" si="20"/>
        <v>869</v>
      </c>
      <c r="BD24" s="34">
        <f t="shared" si="21"/>
        <v>52.5</v>
      </c>
      <c r="BE24" s="34">
        <f t="shared" si="21"/>
        <v>0</v>
      </c>
      <c r="BF24" s="34">
        <f t="shared" si="21"/>
        <v>3566</v>
      </c>
      <c r="BG24" s="34">
        <f t="shared" si="21"/>
        <v>0</v>
      </c>
      <c r="BH24" s="34">
        <f t="shared" si="21"/>
        <v>0</v>
      </c>
      <c r="BI24" s="34">
        <f t="shared" si="17"/>
        <v>0</v>
      </c>
      <c r="BJ24" s="34">
        <f t="shared" si="12"/>
        <v>0</v>
      </c>
      <c r="BK24" s="34">
        <f t="shared" si="12"/>
        <v>3618.5</v>
      </c>
    </row>
    <row r="25" spans="1:63" ht="18.75" customHeight="1" x14ac:dyDescent="0.25">
      <c r="A25" s="298" t="s">
        <v>38</v>
      </c>
      <c r="B25" s="299" t="s">
        <v>39</v>
      </c>
      <c r="C25" s="1546" t="s">
        <v>95</v>
      </c>
      <c r="D25" s="1549" t="s">
        <v>96</v>
      </c>
      <c r="E25" s="1549" t="s">
        <v>97</v>
      </c>
      <c r="F25" s="1549">
        <v>2014</v>
      </c>
      <c r="G25" s="1549">
        <v>47.54</v>
      </c>
      <c r="H25" s="1549">
        <v>50</v>
      </c>
      <c r="I25" s="1425"/>
      <c r="J25" s="1425"/>
      <c r="K25" s="1425" t="s">
        <v>98</v>
      </c>
      <c r="L25" s="301" t="s">
        <v>44</v>
      </c>
      <c r="M25" s="1425" t="s">
        <v>45</v>
      </c>
      <c r="N25" s="1425" t="s">
        <v>46</v>
      </c>
      <c r="O25" s="1425" t="s">
        <v>47</v>
      </c>
      <c r="P25" s="16" t="s">
        <v>99</v>
      </c>
      <c r="Q25" s="302" t="s">
        <v>100</v>
      </c>
      <c r="R25" s="303">
        <v>2015</v>
      </c>
      <c r="S25" s="303">
        <v>0</v>
      </c>
      <c r="T25" s="303">
        <v>2</v>
      </c>
      <c r="U25" s="572">
        <v>4</v>
      </c>
      <c r="V25" s="572">
        <v>11</v>
      </c>
      <c r="W25" s="572">
        <v>18</v>
      </c>
      <c r="X25" s="572">
        <v>18</v>
      </c>
      <c r="Y25" s="481"/>
      <c r="Z25" s="481"/>
      <c r="AA25" s="481">
        <v>20</v>
      </c>
      <c r="AB25" s="481"/>
      <c r="AC25" s="481"/>
      <c r="AD25" s="481"/>
      <c r="AE25" s="481"/>
      <c r="AF25" s="481">
        <f t="shared" si="7"/>
        <v>20</v>
      </c>
      <c r="AG25" s="548"/>
      <c r="AH25" s="548"/>
      <c r="AI25" s="548">
        <v>20</v>
      </c>
      <c r="AJ25" s="548"/>
      <c r="AK25" s="548"/>
      <c r="AL25" s="548"/>
      <c r="AM25" s="548">
        <f t="shared" si="18"/>
        <v>20</v>
      </c>
      <c r="AN25" s="481"/>
      <c r="AO25" s="481"/>
      <c r="AP25" s="481">
        <v>100</v>
      </c>
      <c r="AQ25" s="481"/>
      <c r="AR25" s="481"/>
      <c r="AS25" s="481"/>
      <c r="AT25" s="481"/>
      <c r="AU25" s="481">
        <f t="shared" si="19"/>
        <v>100</v>
      </c>
      <c r="AV25" s="548"/>
      <c r="AW25" s="548"/>
      <c r="AX25" s="42">
        <v>100</v>
      </c>
      <c r="AY25" s="548"/>
      <c r="AZ25" s="548"/>
      <c r="BA25" s="548"/>
      <c r="BB25" s="548"/>
      <c r="BC25" s="548">
        <f t="shared" si="20"/>
        <v>100</v>
      </c>
      <c r="BD25" s="42">
        <f t="shared" si="21"/>
        <v>0</v>
      </c>
      <c r="BE25" s="42">
        <f t="shared" si="21"/>
        <v>0</v>
      </c>
      <c r="BF25" s="42">
        <f t="shared" si="21"/>
        <v>240</v>
      </c>
      <c r="BG25" s="42">
        <f t="shared" si="21"/>
        <v>0</v>
      </c>
      <c r="BH25" s="42">
        <f t="shared" si="21"/>
        <v>0</v>
      </c>
      <c r="BI25" s="42">
        <f t="shared" si="17"/>
        <v>0</v>
      </c>
      <c r="BJ25" s="42">
        <f t="shared" si="12"/>
        <v>0</v>
      </c>
      <c r="BK25" s="42">
        <f t="shared" si="12"/>
        <v>240</v>
      </c>
    </row>
    <row r="26" spans="1:63" ht="16.5" customHeight="1" x14ac:dyDescent="0.25">
      <c r="A26" s="298" t="s">
        <v>38</v>
      </c>
      <c r="B26" s="299" t="s">
        <v>39</v>
      </c>
      <c r="C26" s="1547"/>
      <c r="D26" s="1549"/>
      <c r="E26" s="1549"/>
      <c r="F26" s="1549"/>
      <c r="G26" s="1549"/>
      <c r="H26" s="1549"/>
      <c r="I26" s="1425"/>
      <c r="J26" s="1425"/>
      <c r="K26" s="1425" t="s">
        <v>101</v>
      </c>
      <c r="L26" s="301" t="s">
        <v>44</v>
      </c>
      <c r="M26" s="1425" t="s">
        <v>45</v>
      </c>
      <c r="N26" s="1425" t="s">
        <v>46</v>
      </c>
      <c r="O26" s="1425" t="s">
        <v>73</v>
      </c>
      <c r="P26" s="16" t="s">
        <v>102</v>
      </c>
      <c r="Q26" s="302" t="s">
        <v>103</v>
      </c>
      <c r="R26" s="303">
        <v>2015</v>
      </c>
      <c r="S26" s="303">
        <v>1</v>
      </c>
      <c r="T26" s="303">
        <v>18</v>
      </c>
      <c r="U26" s="303">
        <v>18</v>
      </c>
      <c r="V26" s="303">
        <v>18</v>
      </c>
      <c r="W26" s="303">
        <v>18</v>
      </c>
      <c r="X26" s="572">
        <v>18</v>
      </c>
      <c r="Y26" s="481"/>
      <c r="Z26" s="481"/>
      <c r="AA26" s="481">
        <v>1000</v>
      </c>
      <c r="AB26" s="481"/>
      <c r="AC26" s="481"/>
      <c r="AD26" s="481"/>
      <c r="AE26" s="481"/>
      <c r="AF26" s="481">
        <f t="shared" si="7"/>
        <v>1000</v>
      </c>
      <c r="AG26" s="548"/>
      <c r="AH26" s="548"/>
      <c r="AI26" s="548">
        <v>614</v>
      </c>
      <c r="AJ26" s="548"/>
      <c r="AK26" s="548"/>
      <c r="AL26" s="548"/>
      <c r="AM26" s="548"/>
      <c r="AN26" s="481"/>
      <c r="AO26" s="481"/>
      <c r="AP26" s="481">
        <v>640</v>
      </c>
      <c r="AQ26" s="481"/>
      <c r="AR26" s="481"/>
      <c r="AS26" s="481"/>
      <c r="AT26" s="481"/>
      <c r="AU26" s="481"/>
      <c r="AV26" s="548"/>
      <c r="AW26" s="548"/>
      <c r="AX26" s="548">
        <v>670</v>
      </c>
      <c r="AY26" s="548"/>
      <c r="AZ26" s="548"/>
      <c r="BA26" s="548"/>
      <c r="BB26" s="548"/>
      <c r="BC26" s="548"/>
      <c r="BD26" s="42">
        <f t="shared" si="21"/>
        <v>0</v>
      </c>
      <c r="BE26" s="42">
        <f t="shared" si="21"/>
        <v>0</v>
      </c>
      <c r="BF26" s="42">
        <f t="shared" si="21"/>
        <v>2924</v>
      </c>
      <c r="BG26" s="42">
        <f t="shared" si="21"/>
        <v>0</v>
      </c>
      <c r="BH26" s="42">
        <f t="shared" si="21"/>
        <v>0</v>
      </c>
      <c r="BI26" s="42">
        <f t="shared" si="17"/>
        <v>0</v>
      </c>
      <c r="BJ26" s="42">
        <f t="shared" si="12"/>
        <v>0</v>
      </c>
      <c r="BK26" s="42">
        <f t="shared" si="12"/>
        <v>1000</v>
      </c>
    </row>
    <row r="27" spans="1:63" ht="17.25" customHeight="1" x14ac:dyDescent="0.25">
      <c r="A27" s="298" t="s">
        <v>38</v>
      </c>
      <c r="B27" s="299" t="s">
        <v>39</v>
      </c>
      <c r="C27" s="1547"/>
      <c r="D27" s="1549"/>
      <c r="E27" s="1549"/>
      <c r="F27" s="1549"/>
      <c r="G27" s="1549"/>
      <c r="H27" s="1549"/>
      <c r="I27" s="1425"/>
      <c r="J27" s="1425"/>
      <c r="K27" s="1425" t="s">
        <v>104</v>
      </c>
      <c r="L27" s="301" t="s">
        <v>44</v>
      </c>
      <c r="M27" s="1425" t="s">
        <v>45</v>
      </c>
      <c r="N27" s="1425" t="s">
        <v>46</v>
      </c>
      <c r="O27" s="1425" t="s">
        <v>73</v>
      </c>
      <c r="P27" s="16" t="s">
        <v>105</v>
      </c>
      <c r="Q27" s="302" t="s">
        <v>106</v>
      </c>
      <c r="R27" s="303">
        <v>2015</v>
      </c>
      <c r="S27" s="303">
        <v>0</v>
      </c>
      <c r="T27" s="303">
        <v>1</v>
      </c>
      <c r="U27" s="572">
        <v>1</v>
      </c>
      <c r="V27" s="572">
        <v>1</v>
      </c>
      <c r="W27" s="572">
        <v>1</v>
      </c>
      <c r="X27" s="572">
        <v>1</v>
      </c>
      <c r="Y27" s="483">
        <v>10</v>
      </c>
      <c r="Z27" s="483"/>
      <c r="AA27" s="483">
        <v>0</v>
      </c>
      <c r="AB27" s="483"/>
      <c r="AC27" s="483"/>
      <c r="AD27" s="483"/>
      <c r="AE27" s="483"/>
      <c r="AF27" s="481">
        <f t="shared" si="7"/>
        <v>10</v>
      </c>
      <c r="AG27" s="587">
        <v>10</v>
      </c>
      <c r="AH27" s="587"/>
      <c r="AI27" s="493">
        <v>15</v>
      </c>
      <c r="AJ27" s="587"/>
      <c r="AK27" s="587"/>
      <c r="AL27" s="587"/>
      <c r="AM27" s="587">
        <f t="shared" ref="AM27:AM46" si="26">SUM(AG27:AL27)</f>
        <v>25</v>
      </c>
      <c r="AN27" s="493">
        <v>2.5</v>
      </c>
      <c r="AO27" s="44"/>
      <c r="AP27" s="483">
        <v>0</v>
      </c>
      <c r="AQ27" s="483"/>
      <c r="AR27" s="483"/>
      <c r="AS27" s="483"/>
      <c r="AT27" s="483"/>
      <c r="AU27" s="483">
        <f t="shared" ref="AU27:AU46" si="27">SUM(AN27:AT27)</f>
        <v>2.5</v>
      </c>
      <c r="AV27" s="493">
        <v>1.5</v>
      </c>
      <c r="AW27" s="587"/>
      <c r="AX27" s="587">
        <v>0</v>
      </c>
      <c r="AY27" s="587"/>
      <c r="AZ27" s="587"/>
      <c r="BA27" s="587"/>
      <c r="BB27" s="587"/>
      <c r="BC27" s="587">
        <f t="shared" ref="BC27:BC46" si="28">SUM(AV27:BB27)</f>
        <v>1.5</v>
      </c>
      <c r="BD27" s="44">
        <f t="shared" si="21"/>
        <v>24</v>
      </c>
      <c r="BE27" s="44">
        <f t="shared" si="21"/>
        <v>0</v>
      </c>
      <c r="BF27" s="44">
        <f t="shared" si="21"/>
        <v>15</v>
      </c>
      <c r="BG27" s="44">
        <f t="shared" si="21"/>
        <v>0</v>
      </c>
      <c r="BH27" s="44">
        <f t="shared" si="21"/>
        <v>0</v>
      </c>
      <c r="BI27" s="42">
        <f t="shared" si="17"/>
        <v>0</v>
      </c>
      <c r="BJ27" s="44">
        <f t="shared" si="12"/>
        <v>0</v>
      </c>
      <c r="BK27" s="44">
        <f t="shared" si="12"/>
        <v>39</v>
      </c>
    </row>
    <row r="28" spans="1:63" ht="20.25" customHeight="1" x14ac:dyDescent="0.25">
      <c r="A28" s="298" t="s">
        <v>38</v>
      </c>
      <c r="B28" s="299" t="s">
        <v>39</v>
      </c>
      <c r="C28" s="1547"/>
      <c r="D28" s="1549"/>
      <c r="E28" s="1549"/>
      <c r="F28" s="1549"/>
      <c r="G28" s="1549"/>
      <c r="H28" s="1549"/>
      <c r="I28" s="1425"/>
      <c r="J28" s="1425"/>
      <c r="K28" s="1425" t="s">
        <v>107</v>
      </c>
      <c r="L28" s="301" t="s">
        <v>44</v>
      </c>
      <c r="M28" s="1425" t="s">
        <v>45</v>
      </c>
      <c r="N28" s="1425" t="s">
        <v>46</v>
      </c>
      <c r="O28" s="1425" t="s">
        <v>73</v>
      </c>
      <c r="P28" s="16" t="s">
        <v>108</v>
      </c>
      <c r="Q28" s="302" t="s">
        <v>109</v>
      </c>
      <c r="R28" s="303">
        <v>2015</v>
      </c>
      <c r="S28" s="303">
        <v>0</v>
      </c>
      <c r="T28" s="303">
        <v>1</v>
      </c>
      <c r="U28" s="572">
        <v>1</v>
      </c>
      <c r="V28" s="572">
        <v>1</v>
      </c>
      <c r="W28" s="572">
        <v>1</v>
      </c>
      <c r="X28" s="572">
        <v>1</v>
      </c>
      <c r="Y28" s="481"/>
      <c r="Z28" s="481"/>
      <c r="AA28" s="481">
        <v>70</v>
      </c>
      <c r="AB28" s="481"/>
      <c r="AC28" s="481"/>
      <c r="AD28" s="481"/>
      <c r="AE28" s="481"/>
      <c r="AF28" s="481">
        <f t="shared" si="7"/>
        <v>70</v>
      </c>
      <c r="AG28" s="548"/>
      <c r="AH28" s="548"/>
      <c r="AI28" s="548">
        <v>70</v>
      </c>
      <c r="AJ28" s="548"/>
      <c r="AK28" s="548"/>
      <c r="AL28" s="548"/>
      <c r="AM28" s="548">
        <f t="shared" si="26"/>
        <v>70</v>
      </c>
      <c r="AN28" s="481"/>
      <c r="AO28" s="481"/>
      <c r="AP28" s="481">
        <v>70</v>
      </c>
      <c r="AQ28" s="481"/>
      <c r="AR28" s="481"/>
      <c r="AS28" s="481"/>
      <c r="AT28" s="481"/>
      <c r="AU28" s="481">
        <f t="shared" si="27"/>
        <v>70</v>
      </c>
      <c r="AV28" s="548"/>
      <c r="AW28" s="548"/>
      <c r="AX28" s="491">
        <v>79</v>
      </c>
      <c r="AY28" s="548"/>
      <c r="AZ28" s="548"/>
      <c r="BA28" s="548"/>
      <c r="BB28" s="548"/>
      <c r="BC28" s="548">
        <f t="shared" si="28"/>
        <v>79</v>
      </c>
      <c r="BD28" s="42">
        <f t="shared" si="21"/>
        <v>0</v>
      </c>
      <c r="BE28" s="42">
        <f t="shared" si="21"/>
        <v>0</v>
      </c>
      <c r="BF28" s="42">
        <f t="shared" si="21"/>
        <v>289</v>
      </c>
      <c r="BG28" s="42">
        <f t="shared" si="21"/>
        <v>0</v>
      </c>
      <c r="BH28" s="42">
        <f t="shared" si="21"/>
        <v>0</v>
      </c>
      <c r="BI28" s="42">
        <f t="shared" si="17"/>
        <v>0</v>
      </c>
      <c r="BJ28" s="42">
        <f t="shared" si="12"/>
        <v>0</v>
      </c>
      <c r="BK28" s="42">
        <f t="shared" si="12"/>
        <v>289</v>
      </c>
    </row>
    <row r="29" spans="1:63" ht="15" customHeight="1" x14ac:dyDescent="0.25">
      <c r="A29" s="298" t="s">
        <v>38</v>
      </c>
      <c r="B29" s="299" t="s">
        <v>39</v>
      </c>
      <c r="C29" s="1547"/>
      <c r="D29" s="1549"/>
      <c r="E29" s="1549"/>
      <c r="F29" s="1549"/>
      <c r="G29" s="1549"/>
      <c r="H29" s="1549"/>
      <c r="I29" s="1425"/>
      <c r="J29" s="1425"/>
      <c r="K29" s="1425" t="s">
        <v>110</v>
      </c>
      <c r="L29" s="301" t="s">
        <v>44</v>
      </c>
      <c r="M29" s="1425" t="s">
        <v>45</v>
      </c>
      <c r="N29" s="1425" t="s">
        <v>46</v>
      </c>
      <c r="O29" s="1425" t="s">
        <v>73</v>
      </c>
      <c r="P29" s="16" t="s">
        <v>111</v>
      </c>
      <c r="Q29" s="302" t="s">
        <v>112</v>
      </c>
      <c r="R29" s="303">
        <v>2015</v>
      </c>
      <c r="S29" s="303">
        <v>1</v>
      </c>
      <c r="T29" s="303">
        <v>1</v>
      </c>
      <c r="U29" s="572">
        <v>1</v>
      </c>
      <c r="V29" s="572">
        <v>1</v>
      </c>
      <c r="W29" s="572">
        <v>1</v>
      </c>
      <c r="X29" s="572">
        <v>1</v>
      </c>
      <c r="Y29" s="491">
        <v>15</v>
      </c>
      <c r="Z29" s="481"/>
      <c r="AA29" s="481"/>
      <c r="AB29" s="481"/>
      <c r="AC29" s="481"/>
      <c r="AD29" s="481"/>
      <c r="AE29" s="481"/>
      <c r="AF29" s="481">
        <f t="shared" si="7"/>
        <v>15</v>
      </c>
      <c r="AG29" s="491">
        <v>10</v>
      </c>
      <c r="AH29" s="548"/>
      <c r="AI29" s="491">
        <v>15</v>
      </c>
      <c r="AJ29" s="548"/>
      <c r="AK29" s="548"/>
      <c r="AL29" s="548"/>
      <c r="AM29" s="548">
        <f t="shared" si="26"/>
        <v>25</v>
      </c>
      <c r="AN29" s="481"/>
      <c r="AO29" s="481"/>
      <c r="AP29" s="481"/>
      <c r="AQ29" s="481"/>
      <c r="AR29" s="481"/>
      <c r="AS29" s="481"/>
      <c r="AT29" s="481"/>
      <c r="AU29" s="481">
        <f t="shared" si="27"/>
        <v>0</v>
      </c>
      <c r="AV29" s="548"/>
      <c r="AW29" s="548"/>
      <c r="AX29" s="548"/>
      <c r="AY29" s="548"/>
      <c r="AZ29" s="548"/>
      <c r="BA29" s="548"/>
      <c r="BB29" s="548"/>
      <c r="BC29" s="548">
        <f t="shared" si="28"/>
        <v>0</v>
      </c>
      <c r="BD29" s="42">
        <f t="shared" si="21"/>
        <v>25</v>
      </c>
      <c r="BE29" s="42">
        <f t="shared" si="21"/>
        <v>0</v>
      </c>
      <c r="BF29" s="42">
        <f t="shared" si="21"/>
        <v>15</v>
      </c>
      <c r="BG29" s="42">
        <f t="shared" si="21"/>
        <v>0</v>
      </c>
      <c r="BH29" s="42">
        <f t="shared" si="21"/>
        <v>0</v>
      </c>
      <c r="BI29" s="42">
        <f t="shared" si="17"/>
        <v>0</v>
      </c>
      <c r="BJ29" s="42">
        <f t="shared" si="12"/>
        <v>0</v>
      </c>
      <c r="BK29" s="42">
        <f t="shared" si="12"/>
        <v>40</v>
      </c>
    </row>
    <row r="30" spans="1:63" ht="15.75" customHeight="1" x14ac:dyDescent="0.25">
      <c r="A30" s="298" t="s">
        <v>38</v>
      </c>
      <c r="B30" s="299" t="s">
        <v>39</v>
      </c>
      <c r="C30" s="1547"/>
      <c r="D30" s="1549"/>
      <c r="E30" s="1549"/>
      <c r="F30" s="1549"/>
      <c r="G30" s="1549"/>
      <c r="H30" s="1549"/>
      <c r="I30" s="1425"/>
      <c r="J30" s="1425"/>
      <c r="K30" s="1425" t="s">
        <v>113</v>
      </c>
      <c r="L30" s="301" t="s">
        <v>44</v>
      </c>
      <c r="M30" s="1425" t="s">
        <v>45</v>
      </c>
      <c r="N30" s="1425" t="s">
        <v>46</v>
      </c>
      <c r="O30" s="1425" t="s">
        <v>47</v>
      </c>
      <c r="P30" s="16" t="s">
        <v>114</v>
      </c>
      <c r="Q30" s="302" t="s">
        <v>115</v>
      </c>
      <c r="R30" s="303">
        <v>2015</v>
      </c>
      <c r="S30" s="303">
        <v>1</v>
      </c>
      <c r="T30" s="303">
        <v>1</v>
      </c>
      <c r="U30" s="572">
        <v>2</v>
      </c>
      <c r="V30" s="572">
        <v>3</v>
      </c>
      <c r="W30" s="572">
        <v>4</v>
      </c>
      <c r="X30" s="572">
        <v>4</v>
      </c>
      <c r="Y30" s="481"/>
      <c r="Z30" s="481"/>
      <c r="AA30" s="481">
        <v>5</v>
      </c>
      <c r="AB30" s="481"/>
      <c r="AC30" s="481"/>
      <c r="AD30" s="481"/>
      <c r="AE30" s="481"/>
      <c r="AF30" s="481">
        <f t="shared" si="7"/>
        <v>5</v>
      </c>
      <c r="AG30" s="548"/>
      <c r="AH30" s="548"/>
      <c r="AI30" s="491">
        <v>5</v>
      </c>
      <c r="AJ30" s="548"/>
      <c r="AK30" s="548"/>
      <c r="AL30" s="548"/>
      <c r="AM30" s="548">
        <f t="shared" si="26"/>
        <v>5</v>
      </c>
      <c r="AN30" s="481"/>
      <c r="AO30" s="481"/>
      <c r="AP30" s="481">
        <v>5</v>
      </c>
      <c r="AQ30" s="481"/>
      <c r="AR30" s="481"/>
      <c r="AS30" s="481"/>
      <c r="AT30" s="481"/>
      <c r="AU30" s="481">
        <f t="shared" si="27"/>
        <v>5</v>
      </c>
      <c r="AV30" s="548"/>
      <c r="AW30" s="548"/>
      <c r="AX30" s="491">
        <v>4</v>
      </c>
      <c r="AY30" s="548"/>
      <c r="AZ30" s="548"/>
      <c r="BA30" s="548"/>
      <c r="BB30" s="548"/>
      <c r="BC30" s="548">
        <f t="shared" si="28"/>
        <v>4</v>
      </c>
      <c r="BD30" s="42">
        <f t="shared" si="21"/>
        <v>0</v>
      </c>
      <c r="BE30" s="42">
        <f t="shared" si="21"/>
        <v>0</v>
      </c>
      <c r="BF30" s="42">
        <f t="shared" si="21"/>
        <v>19</v>
      </c>
      <c r="BG30" s="42">
        <f t="shared" si="21"/>
        <v>0</v>
      </c>
      <c r="BH30" s="42">
        <f t="shared" si="21"/>
        <v>0</v>
      </c>
      <c r="BI30" s="42">
        <f t="shared" si="17"/>
        <v>0</v>
      </c>
      <c r="BJ30" s="42">
        <f t="shared" si="12"/>
        <v>0</v>
      </c>
      <c r="BK30" s="42">
        <f t="shared" si="12"/>
        <v>19</v>
      </c>
    </row>
    <row r="31" spans="1:63" ht="19.5" customHeight="1" x14ac:dyDescent="0.25">
      <c r="A31" s="298" t="s">
        <v>38</v>
      </c>
      <c r="B31" s="299" t="s">
        <v>39</v>
      </c>
      <c r="C31" s="1547"/>
      <c r="D31" s="1549"/>
      <c r="E31" s="1549"/>
      <c r="F31" s="1549"/>
      <c r="G31" s="1549"/>
      <c r="H31" s="1549"/>
      <c r="I31" s="1425"/>
      <c r="J31" s="1425"/>
      <c r="K31" s="1425" t="s">
        <v>116</v>
      </c>
      <c r="L31" s="301" t="s">
        <v>44</v>
      </c>
      <c r="M31" s="1425" t="s">
        <v>45</v>
      </c>
      <c r="N31" s="1425" t="s">
        <v>46</v>
      </c>
      <c r="O31" s="1425" t="s">
        <v>73</v>
      </c>
      <c r="P31" s="16" t="s">
        <v>117</v>
      </c>
      <c r="Q31" s="302" t="s">
        <v>118</v>
      </c>
      <c r="R31" s="303">
        <v>2015</v>
      </c>
      <c r="S31" s="303">
        <v>0</v>
      </c>
      <c r="T31" s="303">
        <v>1</v>
      </c>
      <c r="U31" s="572">
        <v>1</v>
      </c>
      <c r="V31" s="572">
        <v>1</v>
      </c>
      <c r="W31" s="572">
        <v>1</v>
      </c>
      <c r="X31" s="572">
        <v>1</v>
      </c>
      <c r="Y31" s="481"/>
      <c r="Z31" s="481"/>
      <c r="AA31" s="481"/>
      <c r="AB31" s="481"/>
      <c r="AC31" s="481"/>
      <c r="AD31" s="481"/>
      <c r="AE31" s="481"/>
      <c r="AF31" s="481">
        <f t="shared" si="7"/>
        <v>0</v>
      </c>
      <c r="AG31" s="548"/>
      <c r="AH31" s="548"/>
      <c r="AI31" s="491">
        <v>1</v>
      </c>
      <c r="AJ31" s="548"/>
      <c r="AK31" s="548"/>
      <c r="AL31" s="548"/>
      <c r="AM31" s="548">
        <f t="shared" si="26"/>
        <v>1</v>
      </c>
      <c r="AN31" s="481"/>
      <c r="AO31" s="481"/>
      <c r="AP31" s="481"/>
      <c r="AQ31" s="481"/>
      <c r="AR31" s="481"/>
      <c r="AS31" s="481"/>
      <c r="AT31" s="481"/>
      <c r="AU31" s="481">
        <f t="shared" si="27"/>
        <v>0</v>
      </c>
      <c r="AV31" s="548"/>
      <c r="AW31" s="548"/>
      <c r="AX31" s="491">
        <v>1</v>
      </c>
      <c r="AY31" s="548"/>
      <c r="AZ31" s="548"/>
      <c r="BA31" s="548"/>
      <c r="BB31" s="548"/>
      <c r="BC31" s="548">
        <f t="shared" si="28"/>
        <v>1</v>
      </c>
      <c r="BD31" s="42">
        <f t="shared" si="21"/>
        <v>0</v>
      </c>
      <c r="BE31" s="42">
        <f t="shared" si="21"/>
        <v>0</v>
      </c>
      <c r="BF31" s="42">
        <f t="shared" si="21"/>
        <v>2</v>
      </c>
      <c r="BG31" s="42">
        <f t="shared" si="21"/>
        <v>0</v>
      </c>
      <c r="BH31" s="42">
        <f t="shared" si="21"/>
        <v>0</v>
      </c>
      <c r="BI31" s="42">
        <f t="shared" si="17"/>
        <v>0</v>
      </c>
      <c r="BJ31" s="42">
        <f t="shared" si="12"/>
        <v>0</v>
      </c>
      <c r="BK31" s="42">
        <f t="shared" si="12"/>
        <v>2</v>
      </c>
    </row>
    <row r="32" spans="1:63" ht="15" customHeight="1" x14ac:dyDescent="0.25">
      <c r="A32" s="298" t="s">
        <v>38</v>
      </c>
      <c r="B32" s="299" t="s">
        <v>39</v>
      </c>
      <c r="C32" s="1547"/>
      <c r="D32" s="1549"/>
      <c r="E32" s="1549"/>
      <c r="F32" s="1549"/>
      <c r="G32" s="1549"/>
      <c r="H32" s="1549"/>
      <c r="I32" s="1425"/>
      <c r="J32" s="1425"/>
      <c r="K32" s="1425" t="s">
        <v>119</v>
      </c>
      <c r="L32" s="301" t="s">
        <v>44</v>
      </c>
      <c r="M32" s="1425" t="s">
        <v>45</v>
      </c>
      <c r="N32" s="1425" t="s">
        <v>46</v>
      </c>
      <c r="O32" s="1425" t="s">
        <v>47</v>
      </c>
      <c r="P32" s="16" t="s">
        <v>120</v>
      </c>
      <c r="Q32" s="302" t="s">
        <v>121</v>
      </c>
      <c r="R32" s="303">
        <v>2015</v>
      </c>
      <c r="S32" s="303">
        <v>0</v>
      </c>
      <c r="T32" s="303">
        <v>0</v>
      </c>
      <c r="U32" s="572">
        <v>1</v>
      </c>
      <c r="V32" s="572">
        <v>1</v>
      </c>
      <c r="W32" s="572">
        <v>1</v>
      </c>
      <c r="X32" s="572">
        <v>1</v>
      </c>
      <c r="Y32" s="481"/>
      <c r="Z32" s="481"/>
      <c r="AA32" s="481"/>
      <c r="AB32" s="481"/>
      <c r="AC32" s="481"/>
      <c r="AD32" s="481"/>
      <c r="AE32" s="481"/>
      <c r="AF32" s="481">
        <f t="shared" si="7"/>
        <v>0</v>
      </c>
      <c r="AG32" s="548"/>
      <c r="AH32" s="548"/>
      <c r="AI32" s="491">
        <v>1</v>
      </c>
      <c r="AJ32" s="548"/>
      <c r="AK32" s="548"/>
      <c r="AL32" s="548"/>
      <c r="AM32" s="548">
        <f t="shared" si="26"/>
        <v>1</v>
      </c>
      <c r="AN32" s="481"/>
      <c r="AO32" s="481"/>
      <c r="AP32" s="481"/>
      <c r="AQ32" s="481"/>
      <c r="AR32" s="481"/>
      <c r="AS32" s="481"/>
      <c r="AT32" s="481"/>
      <c r="AU32" s="481">
        <f t="shared" si="27"/>
        <v>0</v>
      </c>
      <c r="AV32" s="548"/>
      <c r="AW32" s="548"/>
      <c r="AX32" s="548"/>
      <c r="AY32" s="548"/>
      <c r="AZ32" s="548"/>
      <c r="BA32" s="548"/>
      <c r="BB32" s="548"/>
      <c r="BC32" s="548">
        <f t="shared" si="28"/>
        <v>0</v>
      </c>
      <c r="BD32" s="42">
        <f t="shared" si="21"/>
        <v>0</v>
      </c>
      <c r="BE32" s="42">
        <f t="shared" si="21"/>
        <v>0</v>
      </c>
      <c r="BF32" s="42">
        <f t="shared" si="21"/>
        <v>1</v>
      </c>
      <c r="BG32" s="42">
        <f t="shared" si="21"/>
        <v>0</v>
      </c>
      <c r="BH32" s="42">
        <f t="shared" si="21"/>
        <v>0</v>
      </c>
      <c r="BI32" s="42">
        <f t="shared" si="17"/>
        <v>0</v>
      </c>
      <c r="BJ32" s="42">
        <f t="shared" si="12"/>
        <v>0</v>
      </c>
      <c r="BK32" s="42">
        <f t="shared" si="12"/>
        <v>1</v>
      </c>
    </row>
    <row r="33" spans="1:64" ht="15" customHeight="1" x14ac:dyDescent="0.25">
      <c r="A33" s="298" t="s">
        <v>38</v>
      </c>
      <c r="B33" s="299" t="s">
        <v>39</v>
      </c>
      <c r="C33" s="1547"/>
      <c r="D33" s="1549"/>
      <c r="E33" s="1549"/>
      <c r="F33" s="1549"/>
      <c r="G33" s="1549"/>
      <c r="H33" s="1549"/>
      <c r="I33" s="1425"/>
      <c r="J33" s="1425"/>
      <c r="K33" s="1425" t="s">
        <v>122</v>
      </c>
      <c r="L33" s="301" t="s">
        <v>44</v>
      </c>
      <c r="M33" s="1425" t="s">
        <v>45</v>
      </c>
      <c r="N33" s="1425" t="s">
        <v>46</v>
      </c>
      <c r="O33" s="1425" t="s">
        <v>73</v>
      </c>
      <c r="P33" s="16" t="s">
        <v>123</v>
      </c>
      <c r="Q33" s="302" t="s">
        <v>124</v>
      </c>
      <c r="R33" s="303">
        <v>2015</v>
      </c>
      <c r="S33" s="303">
        <v>0</v>
      </c>
      <c r="T33" s="303">
        <v>6</v>
      </c>
      <c r="U33" s="572">
        <v>6</v>
      </c>
      <c r="V33" s="572">
        <v>6</v>
      </c>
      <c r="W33" s="572">
        <v>6</v>
      </c>
      <c r="X33" s="572">
        <v>6</v>
      </c>
      <c r="Y33" s="481"/>
      <c r="Z33" s="481"/>
      <c r="AA33" s="481"/>
      <c r="AB33" s="481"/>
      <c r="AC33" s="481"/>
      <c r="AD33" s="481"/>
      <c r="AE33" s="481"/>
      <c r="AF33" s="481">
        <f t="shared" si="7"/>
        <v>0</v>
      </c>
      <c r="AG33" s="548"/>
      <c r="AH33" s="548"/>
      <c r="AI33" s="491">
        <v>12</v>
      </c>
      <c r="AJ33" s="548"/>
      <c r="AK33" s="548"/>
      <c r="AL33" s="548"/>
      <c r="AM33" s="548">
        <f t="shared" si="26"/>
        <v>12</v>
      </c>
      <c r="AN33" s="481"/>
      <c r="AO33" s="481"/>
      <c r="AP33" s="481">
        <v>10</v>
      </c>
      <c r="AQ33" s="481"/>
      <c r="AR33" s="481"/>
      <c r="AS33" s="481"/>
      <c r="AT33" s="481"/>
      <c r="AU33" s="481">
        <f t="shared" si="27"/>
        <v>10</v>
      </c>
      <c r="AV33" s="548"/>
      <c r="AW33" s="548"/>
      <c r="AX33" s="548">
        <v>10</v>
      </c>
      <c r="AY33" s="548"/>
      <c r="AZ33" s="548"/>
      <c r="BA33" s="548"/>
      <c r="BB33" s="548"/>
      <c r="BC33" s="548">
        <f t="shared" si="28"/>
        <v>10</v>
      </c>
      <c r="BD33" s="42">
        <f t="shared" si="21"/>
        <v>0</v>
      </c>
      <c r="BE33" s="42">
        <f t="shared" si="21"/>
        <v>0</v>
      </c>
      <c r="BF33" s="42">
        <f t="shared" si="21"/>
        <v>32</v>
      </c>
      <c r="BG33" s="42">
        <f t="shared" si="21"/>
        <v>0</v>
      </c>
      <c r="BH33" s="42">
        <f t="shared" si="21"/>
        <v>0</v>
      </c>
      <c r="BI33" s="42">
        <f t="shared" si="17"/>
        <v>0</v>
      </c>
      <c r="BJ33" s="42">
        <f t="shared" si="12"/>
        <v>0</v>
      </c>
      <c r="BK33" s="42">
        <f t="shared" si="12"/>
        <v>32</v>
      </c>
    </row>
    <row r="34" spans="1:64" ht="18" customHeight="1" x14ac:dyDescent="0.25">
      <c r="A34" s="298"/>
      <c r="B34" s="299" t="s">
        <v>39</v>
      </c>
      <c r="C34" s="1547"/>
      <c r="D34" s="1549"/>
      <c r="E34" s="1549"/>
      <c r="F34" s="1549"/>
      <c r="G34" s="1549"/>
      <c r="H34" s="1549"/>
      <c r="I34" s="1425"/>
      <c r="J34" s="1425"/>
      <c r="K34" s="1425" t="s">
        <v>125</v>
      </c>
      <c r="L34" s="301" t="s">
        <v>44</v>
      </c>
      <c r="M34" s="1425" t="s">
        <v>45</v>
      </c>
      <c r="N34" s="1425" t="s">
        <v>46</v>
      </c>
      <c r="O34" s="1425" t="s">
        <v>47</v>
      </c>
      <c r="P34" s="16" t="s">
        <v>126</v>
      </c>
      <c r="Q34" s="302" t="s">
        <v>127</v>
      </c>
      <c r="R34" s="303">
        <v>2015</v>
      </c>
      <c r="S34" s="303">
        <v>0</v>
      </c>
      <c r="T34" s="303">
        <v>0</v>
      </c>
      <c r="U34" s="572">
        <v>1</v>
      </c>
      <c r="V34" s="572">
        <v>1</v>
      </c>
      <c r="W34" s="572">
        <v>1</v>
      </c>
      <c r="X34" s="572">
        <v>3</v>
      </c>
      <c r="Y34" s="481"/>
      <c r="Z34" s="481"/>
      <c r="AA34" s="481"/>
      <c r="AB34" s="481"/>
      <c r="AC34" s="481"/>
      <c r="AD34" s="481"/>
      <c r="AE34" s="481"/>
      <c r="AF34" s="481"/>
      <c r="AG34" s="548"/>
      <c r="AH34" s="548"/>
      <c r="AI34" s="491">
        <v>3</v>
      </c>
      <c r="AJ34" s="548"/>
      <c r="AK34" s="548"/>
      <c r="AL34" s="548"/>
      <c r="AM34" s="548"/>
      <c r="AN34" s="481"/>
      <c r="AO34" s="481"/>
      <c r="AP34" s="481"/>
      <c r="AQ34" s="481"/>
      <c r="AR34" s="481"/>
      <c r="AS34" s="481"/>
      <c r="AT34" s="481"/>
      <c r="AU34" s="481"/>
      <c r="AV34" s="491">
        <v>0.5</v>
      </c>
      <c r="AW34" s="548"/>
      <c r="AX34" s="548"/>
      <c r="AY34" s="548"/>
      <c r="AZ34" s="548"/>
      <c r="BA34" s="548"/>
      <c r="BB34" s="548"/>
      <c r="BC34" s="548"/>
      <c r="BD34" s="42"/>
      <c r="BE34" s="42"/>
      <c r="BF34" s="42"/>
      <c r="BG34" s="42"/>
      <c r="BH34" s="42"/>
      <c r="BI34" s="42"/>
      <c r="BJ34" s="42"/>
      <c r="BK34" s="42"/>
    </row>
    <row r="35" spans="1:64" ht="14.25" customHeight="1" x14ac:dyDescent="0.25">
      <c r="A35" s="298" t="s">
        <v>38</v>
      </c>
      <c r="B35" s="299" t="s">
        <v>39</v>
      </c>
      <c r="C35" s="1547"/>
      <c r="D35" s="1549"/>
      <c r="E35" s="1549"/>
      <c r="F35" s="1549"/>
      <c r="G35" s="1549"/>
      <c r="H35" s="1549"/>
      <c r="I35" s="1425"/>
      <c r="J35" s="1425"/>
      <c r="K35" s="1425" t="s">
        <v>128</v>
      </c>
      <c r="L35" s="301" t="s">
        <v>44</v>
      </c>
      <c r="M35" s="1425" t="s">
        <v>45</v>
      </c>
      <c r="N35" s="1425" t="s">
        <v>46</v>
      </c>
      <c r="O35" s="1425" t="s">
        <v>47</v>
      </c>
      <c r="P35" s="16" t="s">
        <v>129</v>
      </c>
      <c r="Q35" s="302" t="s">
        <v>130</v>
      </c>
      <c r="R35" s="303">
        <v>2015</v>
      </c>
      <c r="S35" s="303">
        <v>0</v>
      </c>
      <c r="T35" s="303">
        <v>0</v>
      </c>
      <c r="U35" s="572">
        <v>1</v>
      </c>
      <c r="V35" s="572">
        <v>2</v>
      </c>
      <c r="W35" s="572">
        <v>2</v>
      </c>
      <c r="X35" s="572">
        <v>2</v>
      </c>
      <c r="Y35" s="481"/>
      <c r="Z35" s="481"/>
      <c r="AA35" s="481"/>
      <c r="AB35" s="481"/>
      <c r="AC35" s="481"/>
      <c r="AD35" s="481"/>
      <c r="AE35" s="481"/>
      <c r="AF35" s="481">
        <f t="shared" si="7"/>
        <v>0</v>
      </c>
      <c r="AG35" s="548"/>
      <c r="AH35" s="548"/>
      <c r="AI35" s="491">
        <v>5</v>
      </c>
      <c r="AJ35" s="548"/>
      <c r="AK35" s="548"/>
      <c r="AL35" s="548"/>
      <c r="AM35" s="548">
        <f t="shared" si="26"/>
        <v>5</v>
      </c>
      <c r="AN35" s="481"/>
      <c r="AO35" s="481"/>
      <c r="AP35" s="481"/>
      <c r="AQ35" s="481"/>
      <c r="AR35" s="481"/>
      <c r="AS35" s="481"/>
      <c r="AT35" s="481"/>
      <c r="AU35" s="481">
        <f t="shared" si="27"/>
        <v>0</v>
      </c>
      <c r="AV35" s="491">
        <v>0.5</v>
      </c>
      <c r="AW35" s="548"/>
      <c r="AX35" s="548"/>
      <c r="AY35" s="548"/>
      <c r="AZ35" s="548"/>
      <c r="BA35" s="548"/>
      <c r="BB35" s="548"/>
      <c r="BC35" s="548">
        <f t="shared" si="28"/>
        <v>0.5</v>
      </c>
      <c r="BD35" s="42">
        <f t="shared" si="21"/>
        <v>0.5</v>
      </c>
      <c r="BE35" s="42">
        <f t="shared" si="21"/>
        <v>0</v>
      </c>
      <c r="BF35" s="42">
        <f t="shared" si="21"/>
        <v>5</v>
      </c>
      <c r="BG35" s="42">
        <f t="shared" si="21"/>
        <v>0</v>
      </c>
      <c r="BH35" s="42">
        <f t="shared" si="21"/>
        <v>0</v>
      </c>
      <c r="BI35" s="42">
        <f t="shared" si="17"/>
        <v>0</v>
      </c>
      <c r="BJ35" s="42">
        <f t="shared" si="12"/>
        <v>0</v>
      </c>
      <c r="BK35" s="42">
        <f t="shared" si="12"/>
        <v>5.5</v>
      </c>
    </row>
    <row r="36" spans="1:64" ht="13.5" customHeight="1" x14ac:dyDescent="0.25">
      <c r="A36" s="298" t="s">
        <v>38</v>
      </c>
      <c r="B36" s="299" t="s">
        <v>39</v>
      </c>
      <c r="C36" s="1547"/>
      <c r="D36" s="1549"/>
      <c r="E36" s="1549"/>
      <c r="F36" s="1549"/>
      <c r="G36" s="1549"/>
      <c r="H36" s="1549"/>
      <c r="I36" s="1425"/>
      <c r="J36" s="1425"/>
      <c r="K36" s="1425" t="s">
        <v>131</v>
      </c>
      <c r="L36" s="301" t="s">
        <v>44</v>
      </c>
      <c r="M36" s="1425" t="s">
        <v>45</v>
      </c>
      <c r="N36" s="1425" t="s">
        <v>46</v>
      </c>
      <c r="O36" s="1425" t="s">
        <v>73</v>
      </c>
      <c r="P36" s="16" t="s">
        <v>132</v>
      </c>
      <c r="Q36" s="302" t="s">
        <v>133</v>
      </c>
      <c r="R36" s="303">
        <v>2015</v>
      </c>
      <c r="S36" s="303">
        <v>0</v>
      </c>
      <c r="T36" s="303">
        <v>1</v>
      </c>
      <c r="U36" s="572">
        <v>1</v>
      </c>
      <c r="V36" s="572">
        <v>1</v>
      </c>
      <c r="W36" s="572">
        <v>1</v>
      </c>
      <c r="X36" s="572">
        <v>1</v>
      </c>
      <c r="Y36" s="481"/>
      <c r="Z36" s="481"/>
      <c r="AA36" s="481"/>
      <c r="AB36" s="481"/>
      <c r="AC36" s="481"/>
      <c r="AD36" s="481"/>
      <c r="AE36" s="481"/>
      <c r="AF36" s="481">
        <f t="shared" si="7"/>
        <v>0</v>
      </c>
      <c r="AG36" s="548"/>
      <c r="AH36" s="548"/>
      <c r="AI36" s="491">
        <v>3</v>
      </c>
      <c r="AJ36" s="548"/>
      <c r="AK36" s="548"/>
      <c r="AL36" s="548"/>
      <c r="AM36" s="548">
        <f t="shared" si="26"/>
        <v>3</v>
      </c>
      <c r="AN36" s="481"/>
      <c r="AO36" s="481"/>
      <c r="AP36" s="481"/>
      <c r="AQ36" s="481"/>
      <c r="AR36" s="481"/>
      <c r="AS36" s="481"/>
      <c r="AT36" s="481"/>
      <c r="AU36" s="481">
        <f t="shared" si="27"/>
        <v>0</v>
      </c>
      <c r="AV36" s="491">
        <v>0.5</v>
      </c>
      <c r="AW36" s="548"/>
      <c r="AX36" s="548"/>
      <c r="AY36" s="548"/>
      <c r="AZ36" s="548"/>
      <c r="BA36" s="548"/>
      <c r="BB36" s="548"/>
      <c r="BC36" s="548">
        <f t="shared" si="28"/>
        <v>0.5</v>
      </c>
      <c r="BD36" s="42">
        <f t="shared" si="21"/>
        <v>0.5</v>
      </c>
      <c r="BE36" s="42">
        <f t="shared" si="21"/>
        <v>0</v>
      </c>
      <c r="BF36" s="42">
        <f t="shared" si="21"/>
        <v>3</v>
      </c>
      <c r="BG36" s="42">
        <f t="shared" si="21"/>
        <v>0</v>
      </c>
      <c r="BH36" s="42">
        <f t="shared" si="21"/>
        <v>0</v>
      </c>
      <c r="BI36" s="42">
        <f t="shared" si="17"/>
        <v>0</v>
      </c>
      <c r="BJ36" s="42">
        <f t="shared" si="12"/>
        <v>0</v>
      </c>
      <c r="BK36" s="42">
        <f t="shared" si="12"/>
        <v>3.5</v>
      </c>
    </row>
    <row r="37" spans="1:64" ht="15" customHeight="1" x14ac:dyDescent="0.25">
      <c r="A37" s="298" t="s">
        <v>38</v>
      </c>
      <c r="B37" s="299" t="s">
        <v>39</v>
      </c>
      <c r="C37" s="1547"/>
      <c r="D37" s="1549"/>
      <c r="E37" s="1549"/>
      <c r="F37" s="1549"/>
      <c r="G37" s="1549"/>
      <c r="H37" s="1549"/>
      <c r="I37" s="1425"/>
      <c r="J37" s="1425"/>
      <c r="K37" s="1425" t="s">
        <v>134</v>
      </c>
      <c r="L37" s="301" t="s">
        <v>44</v>
      </c>
      <c r="M37" s="1425" t="s">
        <v>45</v>
      </c>
      <c r="N37" s="1425" t="s">
        <v>46</v>
      </c>
      <c r="O37" s="1425" t="s">
        <v>73</v>
      </c>
      <c r="P37" s="16" t="s">
        <v>135</v>
      </c>
      <c r="Q37" s="302" t="s">
        <v>136</v>
      </c>
      <c r="R37" s="303">
        <v>2015</v>
      </c>
      <c r="S37" s="303">
        <v>0</v>
      </c>
      <c r="T37" s="303">
        <v>1</v>
      </c>
      <c r="U37" s="572">
        <v>1</v>
      </c>
      <c r="V37" s="572">
        <v>1</v>
      </c>
      <c r="W37" s="572">
        <v>1</v>
      </c>
      <c r="X37" s="572">
        <v>1</v>
      </c>
      <c r="Y37" s="481"/>
      <c r="Z37" s="481"/>
      <c r="AA37" s="481"/>
      <c r="AB37" s="481"/>
      <c r="AC37" s="481"/>
      <c r="AD37" s="481"/>
      <c r="AE37" s="481"/>
      <c r="AF37" s="481">
        <f>SUM(Y37:AE37)</f>
        <v>0</v>
      </c>
      <c r="AG37" s="548"/>
      <c r="AH37" s="548"/>
      <c r="AI37" s="491">
        <v>3</v>
      </c>
      <c r="AJ37" s="548"/>
      <c r="AK37" s="548"/>
      <c r="AL37" s="548"/>
      <c r="AM37" s="548">
        <f>SUM(AG37:AL37)</f>
        <v>3</v>
      </c>
      <c r="AN37" s="481"/>
      <c r="AO37" s="481"/>
      <c r="AP37" s="481"/>
      <c r="AQ37" s="481"/>
      <c r="AR37" s="481"/>
      <c r="AS37" s="481"/>
      <c r="AT37" s="481"/>
      <c r="AU37" s="481">
        <f>SUM(AN37:AT37)</f>
        <v>0</v>
      </c>
      <c r="AV37" s="491">
        <v>0.5</v>
      </c>
      <c r="AW37" s="548"/>
      <c r="AX37" s="548"/>
      <c r="AY37" s="548"/>
      <c r="AZ37" s="548"/>
      <c r="BA37" s="548"/>
      <c r="BB37" s="548"/>
      <c r="BC37" s="548">
        <f>SUM(AV37:BB37)</f>
        <v>0.5</v>
      </c>
      <c r="BD37" s="42">
        <f t="shared" si="21"/>
        <v>0.5</v>
      </c>
      <c r="BE37" s="42">
        <f t="shared" si="21"/>
        <v>0</v>
      </c>
      <c r="BF37" s="42">
        <f t="shared" si="21"/>
        <v>3</v>
      </c>
      <c r="BG37" s="42">
        <f t="shared" si="21"/>
        <v>0</v>
      </c>
      <c r="BH37" s="42">
        <f t="shared" si="21"/>
        <v>0</v>
      </c>
      <c r="BI37" s="42">
        <f t="shared" si="17"/>
        <v>0</v>
      </c>
      <c r="BJ37" s="42">
        <f t="shared" si="12"/>
        <v>0</v>
      </c>
      <c r="BK37" s="42">
        <f t="shared" si="12"/>
        <v>3.5</v>
      </c>
    </row>
    <row r="38" spans="1:64" ht="15" customHeight="1" x14ac:dyDescent="0.25">
      <c r="A38" s="298" t="s">
        <v>38</v>
      </c>
      <c r="B38" s="299" t="s">
        <v>39</v>
      </c>
      <c r="C38" s="1547"/>
      <c r="D38" s="1549"/>
      <c r="E38" s="1549"/>
      <c r="F38" s="1549"/>
      <c r="G38" s="1549"/>
      <c r="H38" s="1549"/>
      <c r="I38" s="1425"/>
      <c r="J38" s="1425"/>
      <c r="K38" s="1425" t="s">
        <v>137</v>
      </c>
      <c r="L38" s="301" t="s">
        <v>44</v>
      </c>
      <c r="M38" s="1425" t="s">
        <v>45</v>
      </c>
      <c r="N38" s="1425" t="s">
        <v>46</v>
      </c>
      <c r="O38" s="1425" t="s">
        <v>47</v>
      </c>
      <c r="P38" s="16" t="s">
        <v>138</v>
      </c>
      <c r="Q38" s="302" t="s">
        <v>71</v>
      </c>
      <c r="R38" s="303">
        <v>2015</v>
      </c>
      <c r="S38" s="303">
        <v>0</v>
      </c>
      <c r="T38" s="303">
        <v>0</v>
      </c>
      <c r="U38" s="572">
        <v>1</v>
      </c>
      <c r="V38" s="572">
        <v>1</v>
      </c>
      <c r="W38" s="572">
        <v>1</v>
      </c>
      <c r="X38" s="572">
        <v>1</v>
      </c>
      <c r="Y38" s="481"/>
      <c r="Z38" s="481"/>
      <c r="AA38" s="481"/>
      <c r="AB38" s="481"/>
      <c r="AC38" s="481"/>
      <c r="AD38" s="481"/>
      <c r="AE38" s="481"/>
      <c r="AF38" s="481">
        <f>SUM(Y38:AE38)</f>
        <v>0</v>
      </c>
      <c r="AG38" s="548"/>
      <c r="AH38" s="548"/>
      <c r="AI38" s="491">
        <v>5</v>
      </c>
      <c r="AJ38" s="548"/>
      <c r="AK38" s="548"/>
      <c r="AL38" s="548"/>
      <c r="AM38" s="548">
        <f>SUM(AG38:AL38)</f>
        <v>5</v>
      </c>
      <c r="AN38" s="481"/>
      <c r="AO38" s="481"/>
      <c r="AP38" s="481"/>
      <c r="AQ38" s="481"/>
      <c r="AR38" s="481"/>
      <c r="AS38" s="481"/>
      <c r="AT38" s="481"/>
      <c r="AU38" s="481">
        <f>SUM(AN38:AT38)</f>
        <v>0</v>
      </c>
      <c r="AV38" s="491">
        <v>0.5</v>
      </c>
      <c r="AW38" s="548"/>
      <c r="AX38" s="548"/>
      <c r="AY38" s="548"/>
      <c r="AZ38" s="548"/>
      <c r="BA38" s="548"/>
      <c r="BB38" s="548"/>
      <c r="BC38" s="548">
        <f>SUM(AV38:BB38)</f>
        <v>0.5</v>
      </c>
      <c r="BD38" s="42">
        <f t="shared" si="21"/>
        <v>0.5</v>
      </c>
      <c r="BE38" s="42">
        <f t="shared" si="21"/>
        <v>0</v>
      </c>
      <c r="BF38" s="42">
        <f t="shared" si="21"/>
        <v>5</v>
      </c>
      <c r="BG38" s="42">
        <f t="shared" si="21"/>
        <v>0</v>
      </c>
      <c r="BH38" s="42">
        <f t="shared" si="21"/>
        <v>0</v>
      </c>
      <c r="BI38" s="42">
        <f t="shared" si="17"/>
        <v>0</v>
      </c>
      <c r="BJ38" s="42">
        <f t="shared" si="12"/>
        <v>0</v>
      </c>
      <c r="BK38" s="42">
        <f t="shared" si="12"/>
        <v>5.5</v>
      </c>
    </row>
    <row r="39" spans="1:64" ht="15.75" customHeight="1" x14ac:dyDescent="0.25">
      <c r="A39" s="298" t="s">
        <v>38</v>
      </c>
      <c r="B39" s="299" t="s">
        <v>39</v>
      </c>
      <c r="C39" s="1547"/>
      <c r="D39" s="1549"/>
      <c r="E39" s="1549"/>
      <c r="F39" s="1549"/>
      <c r="G39" s="1549"/>
      <c r="H39" s="1549"/>
      <c r="I39" s="1425"/>
      <c r="J39" s="1425"/>
      <c r="K39" s="1425" t="s">
        <v>139</v>
      </c>
      <c r="L39" s="301" t="s">
        <v>44</v>
      </c>
      <c r="M39" s="1425" t="s">
        <v>45</v>
      </c>
      <c r="N39" s="1425" t="s">
        <v>46</v>
      </c>
      <c r="O39" s="1425" t="s">
        <v>47</v>
      </c>
      <c r="P39" s="16" t="s">
        <v>140</v>
      </c>
      <c r="Q39" s="302" t="s">
        <v>71</v>
      </c>
      <c r="R39" s="303">
        <v>2015</v>
      </c>
      <c r="S39" s="303">
        <v>0</v>
      </c>
      <c r="T39" s="303">
        <v>0</v>
      </c>
      <c r="U39" s="572">
        <v>1</v>
      </c>
      <c r="V39" s="572">
        <v>1</v>
      </c>
      <c r="W39" s="572">
        <v>1</v>
      </c>
      <c r="X39" s="572">
        <v>1</v>
      </c>
      <c r="Y39" s="481"/>
      <c r="Z39" s="481"/>
      <c r="AA39" s="481"/>
      <c r="AB39" s="481"/>
      <c r="AC39" s="481"/>
      <c r="AD39" s="481"/>
      <c r="AE39" s="481"/>
      <c r="AF39" s="481">
        <f>SUM(Y39:AE39)</f>
        <v>0</v>
      </c>
      <c r="AG39" s="548"/>
      <c r="AH39" s="548"/>
      <c r="AI39" s="491">
        <v>5</v>
      </c>
      <c r="AJ39" s="548"/>
      <c r="AK39" s="548"/>
      <c r="AL39" s="548"/>
      <c r="AM39" s="548">
        <f>SUM(AG39:AL39)</f>
        <v>5</v>
      </c>
      <c r="AN39" s="481"/>
      <c r="AO39" s="481"/>
      <c r="AP39" s="481"/>
      <c r="AQ39" s="481"/>
      <c r="AR39" s="481"/>
      <c r="AS39" s="481"/>
      <c r="AT39" s="481"/>
      <c r="AU39" s="481">
        <f>SUM(AN39:AT39)</f>
        <v>0</v>
      </c>
      <c r="AV39" s="491">
        <v>0.5</v>
      </c>
      <c r="AW39" s="548"/>
      <c r="AX39" s="548"/>
      <c r="AY39" s="548"/>
      <c r="AZ39" s="548"/>
      <c r="BA39" s="548"/>
      <c r="BB39" s="548"/>
      <c r="BC39" s="548">
        <f>SUM(AV39:BB39)</f>
        <v>0.5</v>
      </c>
      <c r="BD39" s="42">
        <f t="shared" si="21"/>
        <v>0.5</v>
      </c>
      <c r="BE39" s="42">
        <f t="shared" si="21"/>
        <v>0</v>
      </c>
      <c r="BF39" s="42">
        <f t="shared" si="21"/>
        <v>5</v>
      </c>
      <c r="BG39" s="42">
        <f t="shared" si="21"/>
        <v>0</v>
      </c>
      <c r="BH39" s="42">
        <f t="shared" si="21"/>
        <v>0</v>
      </c>
      <c r="BI39" s="42">
        <f t="shared" si="17"/>
        <v>0</v>
      </c>
      <c r="BJ39" s="42">
        <f t="shared" si="12"/>
        <v>0</v>
      </c>
      <c r="BK39" s="42">
        <f t="shared" si="12"/>
        <v>5.5</v>
      </c>
    </row>
    <row r="40" spans="1:64" ht="14.25" customHeight="1" x14ac:dyDescent="0.25">
      <c r="A40" s="298" t="s">
        <v>38</v>
      </c>
      <c r="B40" s="299" t="s">
        <v>39</v>
      </c>
      <c r="C40" s="1548"/>
      <c r="D40" s="1549"/>
      <c r="E40" s="1549"/>
      <c r="F40" s="1549"/>
      <c r="G40" s="1549"/>
      <c r="H40" s="1549"/>
      <c r="I40" s="1425"/>
      <c r="J40" s="1425"/>
      <c r="K40" s="1425" t="s">
        <v>141</v>
      </c>
      <c r="L40" s="301" t="s">
        <v>44</v>
      </c>
      <c r="M40" s="1425" t="s">
        <v>45</v>
      </c>
      <c r="N40" s="1425" t="s">
        <v>46</v>
      </c>
      <c r="O40" s="1425" t="s">
        <v>47</v>
      </c>
      <c r="P40" s="16" t="s">
        <v>142</v>
      </c>
      <c r="Q40" s="302" t="s">
        <v>143</v>
      </c>
      <c r="R40" s="303">
        <v>2015</v>
      </c>
      <c r="S40" s="303">
        <v>0</v>
      </c>
      <c r="T40" s="303">
        <v>0</v>
      </c>
      <c r="U40" s="572">
        <v>1</v>
      </c>
      <c r="V40" s="572">
        <v>2</v>
      </c>
      <c r="W40" s="572">
        <v>2</v>
      </c>
      <c r="X40" s="572">
        <v>2</v>
      </c>
      <c r="Y40" s="481"/>
      <c r="Z40" s="481"/>
      <c r="AA40" s="481"/>
      <c r="AB40" s="481"/>
      <c r="AC40" s="481"/>
      <c r="AD40" s="481"/>
      <c r="AE40" s="481"/>
      <c r="AF40" s="481">
        <f t="shared" si="7"/>
        <v>0</v>
      </c>
      <c r="AG40" s="548"/>
      <c r="AH40" s="548"/>
      <c r="AI40" s="491">
        <v>5</v>
      </c>
      <c r="AJ40" s="548"/>
      <c r="AK40" s="548"/>
      <c r="AL40" s="548"/>
      <c r="AM40" s="548">
        <f t="shared" si="26"/>
        <v>5</v>
      </c>
      <c r="AN40" s="481"/>
      <c r="AO40" s="481"/>
      <c r="AP40" s="481"/>
      <c r="AQ40" s="481"/>
      <c r="AR40" s="481"/>
      <c r="AS40" s="481"/>
      <c r="AT40" s="481"/>
      <c r="AU40" s="481">
        <f t="shared" si="27"/>
        <v>0</v>
      </c>
      <c r="AV40" s="491">
        <v>0.5</v>
      </c>
      <c r="AW40" s="548"/>
      <c r="AX40" s="548"/>
      <c r="AY40" s="548"/>
      <c r="AZ40" s="548"/>
      <c r="BA40" s="548"/>
      <c r="BB40" s="548"/>
      <c r="BC40" s="548">
        <f t="shared" si="28"/>
        <v>0.5</v>
      </c>
      <c r="BD40" s="42">
        <f t="shared" si="21"/>
        <v>0.5</v>
      </c>
      <c r="BE40" s="42">
        <f t="shared" si="21"/>
        <v>0</v>
      </c>
      <c r="BF40" s="42">
        <f t="shared" si="21"/>
        <v>5</v>
      </c>
      <c r="BG40" s="42">
        <f t="shared" si="21"/>
        <v>0</v>
      </c>
      <c r="BH40" s="42">
        <f t="shared" si="21"/>
        <v>0</v>
      </c>
      <c r="BI40" s="42">
        <f t="shared" si="17"/>
        <v>0</v>
      </c>
      <c r="BJ40" s="42">
        <f t="shared" si="12"/>
        <v>0</v>
      </c>
      <c r="BK40" s="42">
        <f t="shared" si="12"/>
        <v>5.5</v>
      </c>
    </row>
    <row r="41" spans="1:64" ht="9" customHeight="1" x14ac:dyDescent="0.25">
      <c r="A41" s="298" t="s">
        <v>38</v>
      </c>
      <c r="B41" s="299" t="s">
        <v>39</v>
      </c>
      <c r="C41" s="1424"/>
      <c r="D41" s="1425"/>
      <c r="E41" s="1425"/>
      <c r="F41" s="1425"/>
      <c r="G41" s="1425"/>
      <c r="H41" s="1425"/>
      <c r="I41" s="1425"/>
      <c r="J41" s="1425"/>
      <c r="K41" s="1425" t="s">
        <v>144</v>
      </c>
      <c r="L41" s="301" t="s">
        <v>44</v>
      </c>
      <c r="M41" s="1425" t="s">
        <v>45</v>
      </c>
      <c r="N41" s="1425" t="s">
        <v>46</v>
      </c>
      <c r="O41" s="1425" t="s">
        <v>47</v>
      </c>
      <c r="P41" s="16" t="s">
        <v>145</v>
      </c>
      <c r="Q41" s="302" t="s">
        <v>146</v>
      </c>
      <c r="R41" s="303">
        <v>2015</v>
      </c>
      <c r="S41" s="303">
        <v>0</v>
      </c>
      <c r="T41" s="303">
        <v>0</v>
      </c>
      <c r="U41" s="572">
        <v>0</v>
      </c>
      <c r="V41" s="572">
        <v>1</v>
      </c>
      <c r="W41" s="572">
        <v>0</v>
      </c>
      <c r="X41" s="572">
        <v>1</v>
      </c>
      <c r="Y41" s="481"/>
      <c r="Z41" s="481"/>
      <c r="AA41" s="481"/>
      <c r="AB41" s="481"/>
      <c r="AC41" s="481"/>
      <c r="AD41" s="481"/>
      <c r="AE41" s="481"/>
      <c r="AF41" s="481"/>
      <c r="AG41" s="548"/>
      <c r="AH41" s="548"/>
      <c r="AI41" s="491">
        <v>2</v>
      </c>
      <c r="AJ41" s="548"/>
      <c r="AK41" s="548"/>
      <c r="AL41" s="548"/>
      <c r="AM41" s="548"/>
      <c r="AN41" s="481"/>
      <c r="AO41" s="481"/>
      <c r="AP41" s="481"/>
      <c r="AQ41" s="481"/>
      <c r="AR41" s="481"/>
      <c r="AS41" s="481"/>
      <c r="AT41" s="481"/>
      <c r="AU41" s="481"/>
      <c r="AV41" s="548"/>
      <c r="AW41" s="548"/>
      <c r="AX41" s="548"/>
      <c r="AY41" s="548"/>
      <c r="AZ41" s="548"/>
      <c r="BA41" s="548"/>
      <c r="BB41" s="548"/>
      <c r="BC41" s="548"/>
      <c r="BD41" s="42"/>
      <c r="BE41" s="42"/>
      <c r="BF41" s="42"/>
      <c r="BG41" s="42"/>
      <c r="BH41" s="42"/>
      <c r="BI41" s="42"/>
      <c r="BJ41" s="42"/>
      <c r="BK41" s="42"/>
    </row>
    <row r="42" spans="1:64" ht="9.75" customHeight="1" x14ac:dyDescent="0.25">
      <c r="A42" s="298" t="s">
        <v>38</v>
      </c>
      <c r="B42" s="299" t="s">
        <v>39</v>
      </c>
      <c r="C42" s="1424"/>
      <c r="D42" s="1425"/>
      <c r="E42" s="1425"/>
      <c r="F42" s="1425"/>
      <c r="G42" s="1425"/>
      <c r="H42" s="1425"/>
      <c r="I42" s="1425"/>
      <c r="J42" s="1425"/>
      <c r="K42" s="1425" t="s">
        <v>147</v>
      </c>
      <c r="L42" s="301" t="s">
        <v>44</v>
      </c>
      <c r="M42" s="1425" t="s">
        <v>45</v>
      </c>
      <c r="N42" s="1425" t="s">
        <v>46</v>
      </c>
      <c r="O42" s="1425" t="s">
        <v>47</v>
      </c>
      <c r="P42" s="16" t="s">
        <v>148</v>
      </c>
      <c r="Q42" s="302" t="s">
        <v>146</v>
      </c>
      <c r="R42" s="303">
        <v>2015</v>
      </c>
      <c r="S42" s="303">
        <v>0</v>
      </c>
      <c r="T42" s="303">
        <v>0</v>
      </c>
      <c r="U42" s="572">
        <v>1</v>
      </c>
      <c r="V42" s="572">
        <v>0</v>
      </c>
      <c r="W42" s="572">
        <v>0</v>
      </c>
      <c r="X42" s="572">
        <v>1</v>
      </c>
      <c r="Y42" s="481"/>
      <c r="Z42" s="481"/>
      <c r="AA42" s="481"/>
      <c r="AB42" s="481"/>
      <c r="AC42" s="481"/>
      <c r="AD42" s="481"/>
      <c r="AE42" s="481"/>
      <c r="AF42" s="481"/>
      <c r="AG42" s="548"/>
      <c r="AH42" s="548"/>
      <c r="AI42" s="491">
        <v>2</v>
      </c>
      <c r="AJ42" s="42"/>
      <c r="AK42" s="42"/>
      <c r="AL42" s="42"/>
      <c r="AM42" s="42"/>
      <c r="AN42" s="42"/>
      <c r="AO42" s="42"/>
      <c r="AP42" s="42"/>
      <c r="AQ42" s="42"/>
      <c r="AR42" s="42"/>
      <c r="AS42" s="42"/>
      <c r="AT42" s="42"/>
      <c r="AU42" s="42"/>
      <c r="AV42" s="548"/>
      <c r="AW42" s="548"/>
      <c r="AX42" s="548"/>
      <c r="AY42" s="42"/>
      <c r="AZ42" s="42"/>
      <c r="BA42" s="42"/>
      <c r="BB42" s="42"/>
      <c r="BC42" s="42"/>
      <c r="BD42" s="42"/>
      <c r="BE42" s="42"/>
      <c r="BF42" s="42"/>
      <c r="BG42" s="42"/>
      <c r="BH42" s="42"/>
      <c r="BI42" s="42"/>
      <c r="BJ42" s="42"/>
      <c r="BK42" s="42"/>
    </row>
    <row r="43" spans="1:64" x14ac:dyDescent="0.25">
      <c r="A43" s="295" t="s">
        <v>38</v>
      </c>
      <c r="B43" s="24" t="s">
        <v>39</v>
      </c>
      <c r="C43" s="2"/>
      <c r="D43" s="2" t="s">
        <v>149</v>
      </c>
      <c r="E43" s="1"/>
      <c r="F43" s="1"/>
      <c r="G43" s="1"/>
      <c r="H43" s="1"/>
      <c r="I43" s="1"/>
      <c r="J43" s="1"/>
      <c r="K43" s="1"/>
      <c r="L43" s="1"/>
      <c r="M43" s="1"/>
      <c r="N43" s="1"/>
      <c r="O43" s="1"/>
      <c r="P43" s="1"/>
      <c r="Q43" s="22"/>
      <c r="R43" s="1"/>
      <c r="S43" s="1"/>
      <c r="T43" s="1"/>
      <c r="U43" s="49"/>
      <c r="V43" s="49"/>
      <c r="W43" s="49"/>
      <c r="X43" s="49"/>
      <c r="Y43" s="34">
        <f t="shared" ref="Y43:AE43" si="29">SUM(Y44:Y47)</f>
        <v>0</v>
      </c>
      <c r="Z43" s="34">
        <f t="shared" si="29"/>
        <v>0</v>
      </c>
      <c r="AA43" s="34">
        <f t="shared" si="29"/>
        <v>951</v>
      </c>
      <c r="AB43" s="34">
        <f t="shared" si="29"/>
        <v>0</v>
      </c>
      <c r="AC43" s="34">
        <f t="shared" si="29"/>
        <v>0</v>
      </c>
      <c r="AD43" s="34">
        <f t="shared" si="29"/>
        <v>0.17</v>
      </c>
      <c r="AE43" s="34">
        <f t="shared" si="29"/>
        <v>0</v>
      </c>
      <c r="AF43" s="34">
        <f t="shared" si="7"/>
        <v>951.17</v>
      </c>
      <c r="AG43" s="34">
        <f t="shared" ref="AG43:AL43" si="30">SUM(AG44:AG47)</f>
        <v>5</v>
      </c>
      <c r="AH43" s="34">
        <f t="shared" si="30"/>
        <v>0</v>
      </c>
      <c r="AI43" s="34">
        <f t="shared" si="30"/>
        <v>959</v>
      </c>
      <c r="AJ43" s="34">
        <f t="shared" si="30"/>
        <v>0</v>
      </c>
      <c r="AK43" s="34">
        <f t="shared" si="30"/>
        <v>0</v>
      </c>
      <c r="AL43" s="34">
        <f t="shared" si="30"/>
        <v>0</v>
      </c>
      <c r="AM43" s="34">
        <f t="shared" si="26"/>
        <v>964</v>
      </c>
      <c r="AN43" s="34">
        <f t="shared" ref="AN43:AT43" si="31">SUM(AN44:AN47)</f>
        <v>2.5</v>
      </c>
      <c r="AO43" s="34">
        <f t="shared" si="31"/>
        <v>0</v>
      </c>
      <c r="AP43" s="34">
        <f t="shared" si="31"/>
        <v>960</v>
      </c>
      <c r="AQ43" s="34">
        <f t="shared" si="31"/>
        <v>0</v>
      </c>
      <c r="AR43" s="34">
        <f t="shared" si="31"/>
        <v>0</v>
      </c>
      <c r="AS43" s="34">
        <f t="shared" si="31"/>
        <v>0</v>
      </c>
      <c r="AT43" s="34">
        <f t="shared" si="31"/>
        <v>0</v>
      </c>
      <c r="AU43" s="34">
        <f t="shared" si="27"/>
        <v>962.5</v>
      </c>
      <c r="AV43" s="34">
        <f t="shared" ref="AV43:BB43" si="32">SUM(AV44:AV47)</f>
        <v>0</v>
      </c>
      <c r="AW43" s="34">
        <f t="shared" si="32"/>
        <v>0</v>
      </c>
      <c r="AX43" s="34">
        <f t="shared" si="32"/>
        <v>971</v>
      </c>
      <c r="AY43" s="34">
        <f t="shared" si="32"/>
        <v>0</v>
      </c>
      <c r="AZ43" s="34">
        <f t="shared" si="32"/>
        <v>0</v>
      </c>
      <c r="BA43" s="34">
        <f t="shared" si="32"/>
        <v>0</v>
      </c>
      <c r="BB43" s="34">
        <f t="shared" si="32"/>
        <v>0</v>
      </c>
      <c r="BC43" s="34">
        <f t="shared" si="28"/>
        <v>971</v>
      </c>
      <c r="BD43" s="34">
        <f t="shared" si="21"/>
        <v>7.5</v>
      </c>
      <c r="BE43" s="34">
        <f t="shared" si="21"/>
        <v>0</v>
      </c>
      <c r="BF43" s="34">
        <f t="shared" si="21"/>
        <v>3841</v>
      </c>
      <c r="BG43" s="34">
        <f t="shared" si="21"/>
        <v>0</v>
      </c>
      <c r="BH43" s="34">
        <f t="shared" si="21"/>
        <v>0</v>
      </c>
      <c r="BI43" s="34">
        <f t="shared" si="17"/>
        <v>0.17</v>
      </c>
      <c r="BJ43" s="34">
        <f t="shared" si="12"/>
        <v>0</v>
      </c>
      <c r="BK43" s="34">
        <f t="shared" si="12"/>
        <v>3848.67</v>
      </c>
    </row>
    <row r="44" spans="1:64" s="56" customFormat="1" ht="30.75" customHeight="1" x14ac:dyDescent="0.25">
      <c r="A44" s="298" t="s">
        <v>38</v>
      </c>
      <c r="B44" s="299" t="s">
        <v>39</v>
      </c>
      <c r="C44" s="299" t="s">
        <v>150</v>
      </c>
      <c r="D44" s="1425" t="s">
        <v>151</v>
      </c>
      <c r="E44" s="1425" t="s">
        <v>152</v>
      </c>
      <c r="F44" s="1429">
        <v>2014</v>
      </c>
      <c r="G44" s="1425">
        <v>10.6</v>
      </c>
      <c r="H44" s="1429">
        <v>8</v>
      </c>
      <c r="I44" s="1429"/>
      <c r="J44" s="1429"/>
      <c r="K44" s="1429" t="s">
        <v>153</v>
      </c>
      <c r="L44" s="301" t="s">
        <v>44</v>
      </c>
      <c r="M44" s="1425" t="s">
        <v>45</v>
      </c>
      <c r="N44" s="1425" t="s">
        <v>46</v>
      </c>
      <c r="O44" s="1425" t="s">
        <v>47</v>
      </c>
      <c r="P44" s="16" t="s">
        <v>154</v>
      </c>
      <c r="Q44" s="302" t="s">
        <v>155</v>
      </c>
      <c r="R44" s="303">
        <v>2015</v>
      </c>
      <c r="S44" s="303">
        <v>1</v>
      </c>
      <c r="T44" s="303">
        <v>1</v>
      </c>
      <c r="U44" s="572">
        <v>2</v>
      </c>
      <c r="V44" s="572">
        <v>3</v>
      </c>
      <c r="W44" s="572">
        <v>4</v>
      </c>
      <c r="X44" s="572">
        <v>4</v>
      </c>
      <c r="Y44" s="481">
        <v>0</v>
      </c>
      <c r="Z44" s="491"/>
      <c r="AA44" s="481"/>
      <c r="AB44" s="481"/>
      <c r="AC44" s="481"/>
      <c r="AD44" s="481"/>
      <c r="AE44" s="481"/>
      <c r="AF44" s="481">
        <f t="shared" si="7"/>
        <v>0</v>
      </c>
      <c r="AG44" s="491">
        <v>5</v>
      </c>
      <c r="AH44" s="548"/>
      <c r="AI44" s="548">
        <v>0</v>
      </c>
      <c r="AJ44" s="548"/>
      <c r="AK44" s="548"/>
      <c r="AL44" s="548"/>
      <c r="AM44" s="548">
        <f t="shared" si="26"/>
        <v>5</v>
      </c>
      <c r="AN44" s="491">
        <v>2.5</v>
      </c>
      <c r="AO44" s="491"/>
      <c r="AP44" s="481">
        <v>0</v>
      </c>
      <c r="AQ44" s="481"/>
      <c r="AR44" s="481"/>
      <c r="AS44" s="481"/>
      <c r="AT44" s="481"/>
      <c r="AU44" s="481">
        <f t="shared" si="27"/>
        <v>2.5</v>
      </c>
      <c r="AV44" s="548"/>
      <c r="AW44" s="491"/>
      <c r="AX44" s="491">
        <v>1</v>
      </c>
      <c r="AY44" s="548"/>
      <c r="AZ44" s="548"/>
      <c r="BA44" s="548"/>
      <c r="BB44" s="548"/>
      <c r="BC44" s="548">
        <f t="shared" si="28"/>
        <v>1</v>
      </c>
      <c r="BD44" s="42">
        <f t="shared" si="21"/>
        <v>7.5</v>
      </c>
      <c r="BE44" s="42">
        <f t="shared" si="21"/>
        <v>0</v>
      </c>
      <c r="BF44" s="42">
        <f t="shared" si="21"/>
        <v>1</v>
      </c>
      <c r="BG44" s="42">
        <f t="shared" si="21"/>
        <v>0</v>
      </c>
      <c r="BH44" s="42">
        <f t="shared" si="21"/>
        <v>0</v>
      </c>
      <c r="BI44" s="42">
        <f t="shared" si="17"/>
        <v>0</v>
      </c>
      <c r="BJ44" s="42">
        <f t="shared" si="12"/>
        <v>0</v>
      </c>
      <c r="BK44" s="42">
        <f t="shared" si="12"/>
        <v>8.5</v>
      </c>
      <c r="BL44" s="55"/>
    </row>
    <row r="45" spans="1:64" ht="51" customHeight="1" x14ac:dyDescent="0.25">
      <c r="A45" s="298" t="s">
        <v>38</v>
      </c>
      <c r="B45" s="299" t="s">
        <v>39</v>
      </c>
      <c r="C45" s="1546" t="s">
        <v>156</v>
      </c>
      <c r="D45" s="1549" t="s">
        <v>157</v>
      </c>
      <c r="E45" s="1549" t="s">
        <v>158</v>
      </c>
      <c r="F45" s="1549">
        <v>2014</v>
      </c>
      <c r="G45" s="1549">
        <v>4.29</v>
      </c>
      <c r="H45" s="1549">
        <v>4</v>
      </c>
      <c r="I45" s="1425"/>
      <c r="J45" s="1425"/>
      <c r="K45" s="1425" t="s">
        <v>159</v>
      </c>
      <c r="L45" s="301" t="s">
        <v>44</v>
      </c>
      <c r="M45" s="1425" t="s">
        <v>45</v>
      </c>
      <c r="N45" s="1425" t="s">
        <v>46</v>
      </c>
      <c r="O45" s="1425" t="s">
        <v>73</v>
      </c>
      <c r="P45" s="16" t="s">
        <v>160</v>
      </c>
      <c r="Q45" s="302" t="s">
        <v>161</v>
      </c>
      <c r="R45" s="303">
        <v>2015</v>
      </c>
      <c r="S45" s="303">
        <v>1</v>
      </c>
      <c r="T45" s="303">
        <v>1</v>
      </c>
      <c r="U45" s="572">
        <v>1</v>
      </c>
      <c r="V45" s="572">
        <v>1</v>
      </c>
      <c r="W45" s="572">
        <v>1</v>
      </c>
      <c r="X45" s="572">
        <v>1</v>
      </c>
      <c r="Y45" s="481"/>
      <c r="Z45" s="481"/>
      <c r="AA45" s="481">
        <v>331</v>
      </c>
      <c r="AB45" s="481"/>
      <c r="AC45" s="481"/>
      <c r="AD45" s="481">
        <v>0.17</v>
      </c>
      <c r="AE45" s="481"/>
      <c r="AF45" s="481">
        <f t="shared" si="7"/>
        <v>331.17</v>
      </c>
      <c r="AG45" s="548"/>
      <c r="AH45" s="548"/>
      <c r="AI45" s="548">
        <v>340</v>
      </c>
      <c r="AJ45" s="548"/>
      <c r="AK45" s="548"/>
      <c r="AL45" s="548"/>
      <c r="AM45" s="548">
        <f t="shared" si="26"/>
        <v>340</v>
      </c>
      <c r="AN45" s="481"/>
      <c r="AO45" s="481"/>
      <c r="AP45" s="481">
        <v>340</v>
      </c>
      <c r="AQ45" s="481"/>
      <c r="AR45" s="481"/>
      <c r="AS45" s="481"/>
      <c r="AT45" s="481"/>
      <c r="AU45" s="481">
        <f t="shared" si="27"/>
        <v>340</v>
      </c>
      <c r="AV45" s="548"/>
      <c r="AW45" s="548"/>
      <c r="AX45" s="548">
        <v>340</v>
      </c>
      <c r="AY45" s="548"/>
      <c r="AZ45" s="548"/>
      <c r="BA45" s="548"/>
      <c r="BB45" s="548"/>
      <c r="BC45" s="548">
        <f t="shared" si="28"/>
        <v>340</v>
      </c>
      <c r="BD45" s="42">
        <f t="shared" si="21"/>
        <v>0</v>
      </c>
      <c r="BE45" s="42">
        <f t="shared" si="21"/>
        <v>0</v>
      </c>
      <c r="BF45" s="42">
        <f t="shared" si="21"/>
        <v>1351</v>
      </c>
      <c r="BG45" s="42">
        <f t="shared" si="21"/>
        <v>0</v>
      </c>
      <c r="BH45" s="42">
        <f t="shared" si="21"/>
        <v>0</v>
      </c>
      <c r="BI45" s="42">
        <f t="shared" si="17"/>
        <v>0.17</v>
      </c>
      <c r="BJ45" s="42">
        <f t="shared" si="12"/>
        <v>0</v>
      </c>
      <c r="BK45" s="42">
        <f t="shared" si="12"/>
        <v>1351.17</v>
      </c>
    </row>
    <row r="46" spans="1:64" ht="66.75" customHeight="1" x14ac:dyDescent="0.25">
      <c r="A46" s="298" t="s">
        <v>38</v>
      </c>
      <c r="B46" s="299" t="s">
        <v>39</v>
      </c>
      <c r="C46" s="1547"/>
      <c r="D46" s="1549"/>
      <c r="E46" s="1549"/>
      <c r="F46" s="1549"/>
      <c r="G46" s="1549"/>
      <c r="H46" s="1549"/>
      <c r="I46" s="1425"/>
      <c r="J46" s="1425"/>
      <c r="K46" s="1425" t="s">
        <v>162</v>
      </c>
      <c r="L46" s="301" t="s">
        <v>44</v>
      </c>
      <c r="M46" s="1425" t="s">
        <v>45</v>
      </c>
      <c r="N46" s="1425" t="s">
        <v>46</v>
      </c>
      <c r="O46" s="1425" t="s">
        <v>47</v>
      </c>
      <c r="P46" s="16" t="s">
        <v>163</v>
      </c>
      <c r="Q46" s="302" t="s">
        <v>164</v>
      </c>
      <c r="R46" s="303">
        <v>2015</v>
      </c>
      <c r="S46" s="303">
        <v>1</v>
      </c>
      <c r="T46" s="303">
        <v>1</v>
      </c>
      <c r="U46" s="572">
        <v>2</v>
      </c>
      <c r="V46" s="572">
        <v>1</v>
      </c>
      <c r="W46" s="572">
        <v>4</v>
      </c>
      <c r="X46" s="572">
        <v>4</v>
      </c>
      <c r="Y46" s="481"/>
      <c r="Z46" s="481"/>
      <c r="AA46" s="481">
        <v>20</v>
      </c>
      <c r="AB46" s="481"/>
      <c r="AC46" s="481"/>
      <c r="AD46" s="481"/>
      <c r="AE46" s="481"/>
      <c r="AF46" s="481">
        <f t="shared" si="7"/>
        <v>20</v>
      </c>
      <c r="AG46" s="548"/>
      <c r="AH46" s="548"/>
      <c r="AI46" s="491">
        <v>19</v>
      </c>
      <c r="AJ46" s="548"/>
      <c r="AK46" s="548"/>
      <c r="AL46" s="548"/>
      <c r="AM46" s="548">
        <f t="shared" si="26"/>
        <v>19</v>
      </c>
      <c r="AN46" s="481"/>
      <c r="AO46" s="481"/>
      <c r="AP46" s="481"/>
      <c r="AQ46" s="481"/>
      <c r="AR46" s="481"/>
      <c r="AS46" s="481"/>
      <c r="AT46" s="481"/>
      <c r="AU46" s="481">
        <f t="shared" si="27"/>
        <v>0</v>
      </c>
      <c r="AV46" s="548"/>
      <c r="AW46" s="548"/>
      <c r="AX46" s="491">
        <v>10</v>
      </c>
      <c r="AY46" s="548"/>
      <c r="AZ46" s="548"/>
      <c r="BA46" s="548"/>
      <c r="BB46" s="548"/>
      <c r="BC46" s="548">
        <f t="shared" si="28"/>
        <v>10</v>
      </c>
      <c r="BD46" s="42">
        <f t="shared" si="21"/>
        <v>0</v>
      </c>
      <c r="BE46" s="42">
        <f t="shared" si="21"/>
        <v>0</v>
      </c>
      <c r="BF46" s="42">
        <f t="shared" si="21"/>
        <v>49</v>
      </c>
      <c r="BG46" s="42">
        <f t="shared" si="21"/>
        <v>0</v>
      </c>
      <c r="BH46" s="42">
        <f t="shared" si="21"/>
        <v>0</v>
      </c>
      <c r="BI46" s="42">
        <f t="shared" si="17"/>
        <v>0</v>
      </c>
      <c r="BJ46" s="42">
        <f t="shared" si="12"/>
        <v>0</v>
      </c>
      <c r="BK46" s="42">
        <f t="shared" si="12"/>
        <v>49</v>
      </c>
    </row>
    <row r="47" spans="1:64" ht="45.75" customHeight="1" x14ac:dyDescent="0.25">
      <c r="A47" s="298" t="s">
        <v>38</v>
      </c>
      <c r="B47" s="299" t="s">
        <v>39</v>
      </c>
      <c r="C47" s="1548"/>
      <c r="D47" s="1549"/>
      <c r="E47" s="1549"/>
      <c r="F47" s="1549"/>
      <c r="G47" s="1549"/>
      <c r="H47" s="1549"/>
      <c r="I47" s="1425"/>
      <c r="J47" s="1425"/>
      <c r="K47" s="1425" t="s">
        <v>165</v>
      </c>
      <c r="L47" s="301" t="s">
        <v>44</v>
      </c>
      <c r="M47" s="1425" t="s">
        <v>45</v>
      </c>
      <c r="N47" s="1425" t="s">
        <v>46</v>
      </c>
      <c r="O47" s="1425" t="s">
        <v>73</v>
      </c>
      <c r="P47" s="16" t="s">
        <v>166</v>
      </c>
      <c r="Q47" s="302" t="s">
        <v>167</v>
      </c>
      <c r="R47" s="303">
        <v>2015</v>
      </c>
      <c r="S47" s="303">
        <v>61</v>
      </c>
      <c r="T47" s="303">
        <v>65</v>
      </c>
      <c r="U47" s="572">
        <v>65</v>
      </c>
      <c r="V47" s="572">
        <v>65</v>
      </c>
      <c r="W47" s="572">
        <v>65</v>
      </c>
      <c r="X47" s="572">
        <v>65</v>
      </c>
      <c r="Y47" s="481"/>
      <c r="Z47" s="481"/>
      <c r="AA47" s="481">
        <v>600</v>
      </c>
      <c r="AB47" s="481"/>
      <c r="AC47" s="481"/>
      <c r="AD47" s="481"/>
      <c r="AE47" s="481"/>
      <c r="AF47" s="481">
        <f>SUM(Y47:AE47)</f>
        <v>600</v>
      </c>
      <c r="AG47" s="548"/>
      <c r="AH47" s="548"/>
      <c r="AI47" s="548">
        <v>600</v>
      </c>
      <c r="AJ47" s="548"/>
      <c r="AK47" s="548"/>
      <c r="AL47" s="548"/>
      <c r="AM47" s="548">
        <f>SUM(AG47:AL47)</f>
        <v>600</v>
      </c>
      <c r="AN47" s="481"/>
      <c r="AO47" s="481"/>
      <c r="AP47" s="481">
        <v>620</v>
      </c>
      <c r="AQ47" s="481"/>
      <c r="AR47" s="481"/>
      <c r="AS47" s="481"/>
      <c r="AT47" s="481"/>
      <c r="AU47" s="481">
        <f>SUM(AN47:AT47)</f>
        <v>620</v>
      </c>
      <c r="AV47" s="548"/>
      <c r="AW47" s="548"/>
      <c r="AX47" s="548">
        <v>620</v>
      </c>
      <c r="AY47" s="548"/>
      <c r="AZ47" s="548"/>
      <c r="BA47" s="548"/>
      <c r="BB47" s="548"/>
      <c r="BC47" s="548">
        <f>SUM(AV47:BB47)</f>
        <v>620</v>
      </c>
      <c r="BD47" s="42">
        <f t="shared" si="21"/>
        <v>0</v>
      </c>
      <c r="BE47" s="42">
        <f t="shared" si="21"/>
        <v>0</v>
      </c>
      <c r="BF47" s="42">
        <f t="shared" si="21"/>
        <v>2440</v>
      </c>
      <c r="BG47" s="42">
        <f t="shared" si="21"/>
        <v>0</v>
      </c>
      <c r="BH47" s="42">
        <f t="shared" si="21"/>
        <v>0</v>
      </c>
      <c r="BI47" s="42">
        <f t="shared" si="17"/>
        <v>0</v>
      </c>
      <c r="BJ47" s="42">
        <f t="shared" si="12"/>
        <v>0</v>
      </c>
      <c r="BK47" s="42">
        <f t="shared" si="12"/>
        <v>2440</v>
      </c>
    </row>
    <row r="48" spans="1:64" ht="18" x14ac:dyDescent="0.2">
      <c r="B48" s="1553" t="s">
        <v>168</v>
      </c>
      <c r="C48" s="1554"/>
      <c r="D48" s="1554"/>
      <c r="E48" s="1554"/>
      <c r="F48" s="1554"/>
      <c r="G48" s="1554"/>
      <c r="H48" s="1554"/>
      <c r="I48" s="1554"/>
      <c r="J48" s="1554"/>
      <c r="K48" s="1554"/>
      <c r="L48" s="1554"/>
      <c r="M48" s="1555"/>
      <c r="N48" s="597"/>
      <c r="O48" s="597"/>
      <c r="P48" s="10"/>
      <c r="Q48" s="21"/>
      <c r="R48" s="10"/>
      <c r="S48" s="10"/>
      <c r="T48" s="10"/>
      <c r="U48" s="48"/>
      <c r="V48" s="48"/>
      <c r="W48" s="48"/>
      <c r="X48" s="48"/>
      <c r="Y48" s="33">
        <v>219</v>
      </c>
      <c r="Z48" s="33">
        <v>0</v>
      </c>
      <c r="AA48" s="33">
        <v>13932</v>
      </c>
      <c r="AB48" s="33">
        <v>0</v>
      </c>
      <c r="AC48" s="33">
        <v>0</v>
      </c>
      <c r="AD48" s="33">
        <v>0</v>
      </c>
      <c r="AE48" s="33">
        <f>386+15290+839+1988</f>
        <v>18503</v>
      </c>
      <c r="AF48" s="33">
        <f>SUM(Y48:AE48)</f>
        <v>32654</v>
      </c>
      <c r="AG48" s="33">
        <v>229</v>
      </c>
      <c r="AH48" s="33">
        <f>+Z48*1.04</f>
        <v>0</v>
      </c>
      <c r="AI48" s="33">
        <v>14438</v>
      </c>
      <c r="AJ48" s="33">
        <f>+AB48*1.04</f>
        <v>0</v>
      </c>
      <c r="AK48" s="33">
        <f>+AC48*1.04</f>
        <v>0</v>
      </c>
      <c r="AL48" s="33">
        <f>401+15848+870+225</f>
        <v>17344</v>
      </c>
      <c r="AM48" s="33">
        <f>SUM(AG48:AL48)</f>
        <v>32011</v>
      </c>
      <c r="AN48" s="33">
        <v>235</v>
      </c>
      <c r="AO48" s="33">
        <f>+AH48*1.04</f>
        <v>0</v>
      </c>
      <c r="AP48" s="33">
        <v>14964</v>
      </c>
      <c r="AQ48" s="33">
        <f>+AJ48*1.04</f>
        <v>0</v>
      </c>
      <c r="AR48" s="33">
        <f>+AK48*1.04</f>
        <v>0</v>
      </c>
      <c r="AS48" s="33">
        <f>+AK48*1.04</f>
        <v>0</v>
      </c>
      <c r="AT48" s="33">
        <f>415+16427+901+242</f>
        <v>17985</v>
      </c>
      <c r="AU48" s="33">
        <f>SUM(AN48:AT48)</f>
        <v>33184</v>
      </c>
      <c r="AV48" s="33">
        <v>217</v>
      </c>
      <c r="AW48" s="33">
        <f>+AO48*1.04</f>
        <v>0</v>
      </c>
      <c r="AX48" s="33">
        <v>15509</v>
      </c>
      <c r="AY48" s="33">
        <f>+AQ48*1.04</f>
        <v>0</v>
      </c>
      <c r="AZ48" s="33">
        <f>+AR48*1.04</f>
        <v>0</v>
      </c>
      <c r="BA48" s="33">
        <f>+AS48*1.04</f>
        <v>0</v>
      </c>
      <c r="BB48" s="33">
        <f>430+17026+934+267</f>
        <v>18657</v>
      </c>
      <c r="BC48" s="33">
        <f>SUM(AV48:BB48)</f>
        <v>34383</v>
      </c>
      <c r="BD48" s="33">
        <f t="shared" si="21"/>
        <v>900</v>
      </c>
      <c r="BE48" s="33">
        <f t="shared" si="21"/>
        <v>0</v>
      </c>
      <c r="BF48" s="33">
        <f t="shared" si="21"/>
        <v>58843</v>
      </c>
      <c r="BG48" s="33">
        <f t="shared" si="21"/>
        <v>0</v>
      </c>
      <c r="BH48" s="33">
        <f t="shared" si="21"/>
        <v>0</v>
      </c>
      <c r="BI48" s="33">
        <f t="shared" si="17"/>
        <v>0</v>
      </c>
      <c r="BJ48" s="33">
        <f t="shared" ref="BJ48:BK63" si="33">+BB48+AT48+AL48+AE48</f>
        <v>72489</v>
      </c>
      <c r="BK48" s="33">
        <f>+BC48+AU48+AM48+AF48-6</f>
        <v>132226</v>
      </c>
    </row>
    <row r="49" spans="1:63" ht="6.75" customHeight="1" x14ac:dyDescent="0.25">
      <c r="A49" s="151"/>
      <c r="B49" s="7" t="s">
        <v>169</v>
      </c>
      <c r="C49" s="7"/>
      <c r="D49" s="1442" t="s">
        <v>170</v>
      </c>
      <c r="E49" s="1442"/>
      <c r="F49" s="1442"/>
      <c r="G49" s="1442"/>
      <c r="H49" s="1442"/>
      <c r="I49" s="1442"/>
      <c r="J49" s="1442"/>
      <c r="K49" s="1442"/>
      <c r="L49" s="1442"/>
      <c r="M49" s="1442"/>
      <c r="N49" s="1442"/>
      <c r="O49" s="1442"/>
      <c r="P49" s="1440"/>
      <c r="Q49" s="1440"/>
      <c r="R49" s="1442"/>
      <c r="S49" s="1442"/>
      <c r="T49" s="1442"/>
      <c r="U49" s="63"/>
      <c r="V49" s="63"/>
      <c r="W49" s="63"/>
      <c r="X49" s="63"/>
      <c r="Y49" s="42">
        <v>0</v>
      </c>
      <c r="Z49" s="42">
        <v>56</v>
      </c>
      <c r="AA49" s="42">
        <v>96.6</v>
      </c>
      <c r="AB49" s="42">
        <v>0</v>
      </c>
      <c r="AC49" s="42">
        <v>0</v>
      </c>
      <c r="AD49" s="42">
        <v>40.299999999999997</v>
      </c>
      <c r="AE49" s="42">
        <v>0</v>
      </c>
      <c r="AF49" s="42">
        <f>SUBTOTAL(9,Y49:AE49)</f>
        <v>192.89999999999998</v>
      </c>
      <c r="AG49" s="42"/>
      <c r="AH49" s="42">
        <f>+Z49*1.04</f>
        <v>58.24</v>
      </c>
      <c r="AI49" s="42">
        <f>+AA49*1.04</f>
        <v>100.464</v>
      </c>
      <c r="AJ49" s="42"/>
      <c r="AK49" s="42"/>
      <c r="AL49" s="42"/>
      <c r="AM49" s="33">
        <f>+AM50+AM74</f>
        <v>163</v>
      </c>
      <c r="AN49" s="42"/>
      <c r="AO49" s="42">
        <f>+AH49*1.04</f>
        <v>60.569600000000001</v>
      </c>
      <c r="AP49" s="42">
        <f>+AI49*1.04</f>
        <v>104.48256000000001</v>
      </c>
      <c r="AQ49" s="42"/>
      <c r="AR49" s="42"/>
      <c r="AS49" s="42"/>
      <c r="AT49" s="42"/>
      <c r="AU49" s="42"/>
      <c r="AV49" s="42"/>
      <c r="AW49" s="42">
        <f>+AO49*1.04</f>
        <v>62.992384000000001</v>
      </c>
      <c r="AX49" s="42">
        <f>+AP49*1.04</f>
        <v>108.6618624</v>
      </c>
      <c r="AY49" s="42"/>
      <c r="AZ49" s="42"/>
      <c r="BA49" s="42"/>
      <c r="BB49" s="42"/>
      <c r="BC49" s="42"/>
      <c r="BD49" s="42">
        <f t="shared" si="21"/>
        <v>0</v>
      </c>
      <c r="BE49" s="42">
        <f t="shared" si="21"/>
        <v>237.801984</v>
      </c>
      <c r="BF49" s="42">
        <f t="shared" si="21"/>
        <v>410.20842240000002</v>
      </c>
      <c r="BG49" s="42">
        <f t="shared" si="21"/>
        <v>0</v>
      </c>
      <c r="BH49" s="42">
        <f t="shared" si="21"/>
        <v>0</v>
      </c>
      <c r="BI49" s="42">
        <f t="shared" si="17"/>
        <v>40.299999999999997</v>
      </c>
      <c r="BJ49" s="42">
        <f t="shared" si="33"/>
        <v>0</v>
      </c>
      <c r="BK49" s="42">
        <f t="shared" si="33"/>
        <v>355.9</v>
      </c>
    </row>
    <row r="50" spans="1:63" ht="18" x14ac:dyDescent="0.2">
      <c r="A50" s="420"/>
      <c r="B50" s="1553" t="s">
        <v>171</v>
      </c>
      <c r="C50" s="1554"/>
      <c r="D50" s="1554"/>
      <c r="E50" s="1554"/>
      <c r="F50" s="1554"/>
      <c r="G50" s="1554"/>
      <c r="H50" s="1554"/>
      <c r="I50" s="1554"/>
      <c r="J50" s="1554"/>
      <c r="K50" s="1554"/>
      <c r="L50" s="1554"/>
      <c r="M50" s="1555"/>
      <c r="N50" s="597"/>
      <c r="O50" s="597"/>
      <c r="P50" s="10"/>
      <c r="Q50" s="21"/>
      <c r="R50" s="10"/>
      <c r="S50" s="10"/>
      <c r="T50" s="10"/>
      <c r="U50" s="48"/>
      <c r="V50" s="48"/>
      <c r="W50" s="48"/>
      <c r="X50" s="48"/>
      <c r="Y50" s="494">
        <f t="shared" ref="Y50:AL50" si="34">+Y51+Y75</f>
        <v>26</v>
      </c>
      <c r="Z50" s="494">
        <f t="shared" si="34"/>
        <v>56</v>
      </c>
      <c r="AA50" s="494">
        <f t="shared" si="34"/>
        <v>96.5</v>
      </c>
      <c r="AB50" s="494">
        <f t="shared" si="34"/>
        <v>250</v>
      </c>
      <c r="AC50" s="33">
        <f t="shared" si="34"/>
        <v>0</v>
      </c>
      <c r="AD50" s="494">
        <f t="shared" si="34"/>
        <v>40.1</v>
      </c>
      <c r="AE50" s="33">
        <f t="shared" si="34"/>
        <v>0</v>
      </c>
      <c r="AF50" s="494">
        <f t="shared" si="34"/>
        <v>468.6</v>
      </c>
      <c r="AG50" s="33">
        <f t="shared" si="34"/>
        <v>0</v>
      </c>
      <c r="AH50" s="33">
        <f t="shared" si="34"/>
        <v>58</v>
      </c>
      <c r="AI50" s="33">
        <f t="shared" si="34"/>
        <v>100</v>
      </c>
      <c r="AJ50" s="33">
        <f t="shared" si="34"/>
        <v>0</v>
      </c>
      <c r="AK50" s="33">
        <f t="shared" si="34"/>
        <v>0</v>
      </c>
      <c r="AL50" s="33">
        <f t="shared" si="34"/>
        <v>0</v>
      </c>
      <c r="AM50" s="33">
        <f>+AM51+AM75</f>
        <v>158</v>
      </c>
      <c r="AN50" s="33">
        <f t="shared" ref="AN50:BC50" si="35">+AN51+AN75</f>
        <v>0</v>
      </c>
      <c r="AO50" s="33">
        <f t="shared" si="35"/>
        <v>60</v>
      </c>
      <c r="AP50" s="33">
        <f t="shared" si="35"/>
        <v>104</v>
      </c>
      <c r="AQ50" s="33">
        <f t="shared" si="35"/>
        <v>0</v>
      </c>
      <c r="AR50" s="33">
        <f t="shared" si="35"/>
        <v>0</v>
      </c>
      <c r="AS50" s="33">
        <f t="shared" si="35"/>
        <v>0</v>
      </c>
      <c r="AT50" s="33">
        <f t="shared" si="35"/>
        <v>0</v>
      </c>
      <c r="AU50" s="33">
        <f t="shared" si="35"/>
        <v>164</v>
      </c>
      <c r="AV50" s="33">
        <f t="shared" si="35"/>
        <v>0</v>
      </c>
      <c r="AW50" s="33">
        <f t="shared" si="35"/>
        <v>66</v>
      </c>
      <c r="AX50" s="33">
        <f t="shared" si="35"/>
        <v>108</v>
      </c>
      <c r="AY50" s="33">
        <f t="shared" si="35"/>
        <v>0</v>
      </c>
      <c r="AZ50" s="33">
        <f t="shared" si="35"/>
        <v>513</v>
      </c>
      <c r="BA50" s="33">
        <f t="shared" si="35"/>
        <v>0</v>
      </c>
      <c r="BB50" s="33">
        <f t="shared" si="35"/>
        <v>0</v>
      </c>
      <c r="BC50" s="33">
        <f t="shared" si="35"/>
        <v>687</v>
      </c>
      <c r="BD50" s="33">
        <f t="shared" si="21"/>
        <v>26</v>
      </c>
      <c r="BE50" s="33">
        <f t="shared" si="21"/>
        <v>240</v>
      </c>
      <c r="BF50" s="33">
        <f t="shared" si="21"/>
        <v>408.5</v>
      </c>
      <c r="BG50" s="33">
        <f t="shared" si="21"/>
        <v>250</v>
      </c>
      <c r="BH50" s="33">
        <f t="shared" si="21"/>
        <v>513</v>
      </c>
      <c r="BI50" s="33">
        <f t="shared" si="17"/>
        <v>40.1</v>
      </c>
      <c r="BJ50" s="33">
        <f t="shared" si="33"/>
        <v>0</v>
      </c>
      <c r="BK50" s="33">
        <f t="shared" si="33"/>
        <v>1477.6</v>
      </c>
    </row>
    <row r="51" spans="1:63" ht="12.75" x14ac:dyDescent="0.2">
      <c r="A51" s="603"/>
      <c r="B51" s="24" t="s">
        <v>169</v>
      </c>
      <c r="C51" s="6"/>
      <c r="D51" s="2" t="s">
        <v>172</v>
      </c>
      <c r="E51" s="1"/>
      <c r="F51" s="1"/>
      <c r="G51" s="1"/>
      <c r="H51" s="1"/>
      <c r="I51" s="1"/>
      <c r="J51" s="1"/>
      <c r="K51" s="1"/>
      <c r="L51" s="1"/>
      <c r="M51" s="1"/>
      <c r="N51" s="1"/>
      <c r="O51" s="1"/>
      <c r="P51" s="1"/>
      <c r="Q51" s="22"/>
      <c r="R51" s="1"/>
      <c r="S51" s="1"/>
      <c r="T51" s="1"/>
      <c r="U51" s="49"/>
      <c r="V51" s="49"/>
      <c r="W51" s="49"/>
      <c r="X51" s="49"/>
      <c r="Y51" s="34">
        <f t="shared" ref="Y51:AF51" si="36">SUBTOTAL(9,Y52:Y74)</f>
        <v>26</v>
      </c>
      <c r="Z51" s="34">
        <f t="shared" si="36"/>
        <v>45.9</v>
      </c>
      <c r="AA51" s="34">
        <f t="shared" si="36"/>
        <v>66.599999999999994</v>
      </c>
      <c r="AB51" s="34">
        <f t="shared" si="36"/>
        <v>0</v>
      </c>
      <c r="AC51" s="34">
        <f t="shared" si="36"/>
        <v>0</v>
      </c>
      <c r="AD51" s="34">
        <f t="shared" si="36"/>
        <v>37</v>
      </c>
      <c r="AE51" s="34">
        <f t="shared" si="36"/>
        <v>0</v>
      </c>
      <c r="AF51" s="34">
        <f t="shared" si="36"/>
        <v>175.5</v>
      </c>
      <c r="AG51" s="34">
        <f t="shared" ref="AG51:AL51" si="37">SUM(AG52:AG84)</f>
        <v>0</v>
      </c>
      <c r="AH51" s="34">
        <f t="shared" si="37"/>
        <v>55</v>
      </c>
      <c r="AI51" s="34">
        <f t="shared" si="37"/>
        <v>91</v>
      </c>
      <c r="AJ51" s="34">
        <f t="shared" si="37"/>
        <v>0</v>
      </c>
      <c r="AK51" s="34">
        <f t="shared" si="37"/>
        <v>0</v>
      </c>
      <c r="AL51" s="34">
        <f t="shared" si="37"/>
        <v>0</v>
      </c>
      <c r="AM51" s="34">
        <f t="shared" ref="AM51:AM72" si="38">SUM(AG51:AL51)</f>
        <v>146</v>
      </c>
      <c r="AN51" s="34">
        <f t="shared" ref="AN51:AT51" si="39">SUM(AN52:AN84)</f>
        <v>0</v>
      </c>
      <c r="AO51" s="34">
        <f t="shared" si="39"/>
        <v>57</v>
      </c>
      <c r="AP51" s="34">
        <f t="shared" si="39"/>
        <v>95</v>
      </c>
      <c r="AQ51" s="34">
        <f t="shared" si="39"/>
        <v>0</v>
      </c>
      <c r="AR51" s="34">
        <f t="shared" si="39"/>
        <v>0</v>
      </c>
      <c r="AS51" s="34">
        <f t="shared" si="39"/>
        <v>0</v>
      </c>
      <c r="AT51" s="34">
        <f t="shared" si="39"/>
        <v>0</v>
      </c>
      <c r="AU51" s="34">
        <f t="shared" ref="AU51:AU72" si="40">SUM(AN51:AT51)</f>
        <v>152</v>
      </c>
      <c r="AV51" s="34">
        <f t="shared" ref="AV51:BB51" si="41">SUM(AV52:AV84)</f>
        <v>0</v>
      </c>
      <c r="AW51" s="34">
        <f t="shared" si="41"/>
        <v>61</v>
      </c>
      <c r="AX51" s="34">
        <f t="shared" si="41"/>
        <v>99</v>
      </c>
      <c r="AY51" s="34">
        <f t="shared" si="41"/>
        <v>0</v>
      </c>
      <c r="AZ51" s="34">
        <f t="shared" si="41"/>
        <v>513</v>
      </c>
      <c r="BA51" s="34">
        <f t="shared" si="41"/>
        <v>0</v>
      </c>
      <c r="BB51" s="34">
        <f t="shared" si="41"/>
        <v>0</v>
      </c>
      <c r="BC51" s="34">
        <f t="shared" ref="BC51:BC72" si="42">SUM(AV51:BB51)</f>
        <v>673</v>
      </c>
      <c r="BD51" s="34">
        <f t="shared" si="21"/>
        <v>26</v>
      </c>
      <c r="BE51" s="34">
        <f t="shared" si="21"/>
        <v>218.9</v>
      </c>
      <c r="BF51" s="34">
        <f t="shared" si="21"/>
        <v>351.6</v>
      </c>
      <c r="BG51" s="34">
        <f t="shared" si="21"/>
        <v>0</v>
      </c>
      <c r="BH51" s="34">
        <f t="shared" si="21"/>
        <v>513</v>
      </c>
      <c r="BI51" s="34">
        <f t="shared" si="17"/>
        <v>37</v>
      </c>
      <c r="BJ51" s="34">
        <f t="shared" si="33"/>
        <v>0</v>
      </c>
      <c r="BK51" s="34">
        <f t="shared" si="33"/>
        <v>1146.5</v>
      </c>
    </row>
    <row r="52" spans="1:63" ht="76.5" customHeight="1" x14ac:dyDescent="0.25">
      <c r="A52" s="298" t="s">
        <v>173</v>
      </c>
      <c r="B52" s="299" t="s">
        <v>169</v>
      </c>
      <c r="C52" s="1546" t="s">
        <v>174</v>
      </c>
      <c r="D52" s="1550" t="s">
        <v>175</v>
      </c>
      <c r="E52" s="1550" t="s">
        <v>176</v>
      </c>
      <c r="F52" s="1550">
        <v>2015</v>
      </c>
      <c r="G52" s="1550" t="s">
        <v>177</v>
      </c>
      <c r="H52" s="1550">
        <v>10</v>
      </c>
      <c r="I52" s="1429"/>
      <c r="J52" s="1429"/>
      <c r="K52" s="1429" t="s">
        <v>178</v>
      </c>
      <c r="L52" s="301" t="s">
        <v>179</v>
      </c>
      <c r="M52" s="1425" t="s">
        <v>45</v>
      </c>
      <c r="N52" s="1425" t="s">
        <v>46</v>
      </c>
      <c r="O52" s="1425" t="s">
        <v>47</v>
      </c>
      <c r="P52" s="16" t="s">
        <v>180</v>
      </c>
      <c r="Q52" s="302" t="s">
        <v>181</v>
      </c>
      <c r="R52" s="303" t="s">
        <v>182</v>
      </c>
      <c r="S52" s="303">
        <v>2049</v>
      </c>
      <c r="T52" s="303">
        <v>800</v>
      </c>
      <c r="U52" s="572">
        <v>1600</v>
      </c>
      <c r="V52" s="572">
        <v>2400</v>
      </c>
      <c r="W52" s="572">
        <v>3200</v>
      </c>
      <c r="X52" s="572">
        <v>3200</v>
      </c>
      <c r="Y52" s="481"/>
      <c r="Z52" s="491">
        <v>4.9000000000000004</v>
      </c>
      <c r="AA52" s="481"/>
      <c r="AB52" s="481"/>
      <c r="AC52" s="481"/>
      <c r="AD52" s="481">
        <v>10.3</v>
      </c>
      <c r="AE52" s="481"/>
      <c r="AF52" s="481">
        <f t="shared" ref="AF52:AF83" si="43">SUM(Y52:AE52)</f>
        <v>15.200000000000001</v>
      </c>
      <c r="AG52" s="548"/>
      <c r="AH52" s="548">
        <v>10</v>
      </c>
      <c r="AI52" s="548"/>
      <c r="AJ52" s="548"/>
      <c r="AK52" s="548"/>
      <c r="AL52" s="548"/>
      <c r="AM52" s="548">
        <f t="shared" si="38"/>
        <v>10</v>
      </c>
      <c r="AN52" s="481"/>
      <c r="AO52" s="481">
        <v>10</v>
      </c>
      <c r="AP52" s="481"/>
      <c r="AQ52" s="481"/>
      <c r="AR52" s="481"/>
      <c r="AS52" s="481"/>
      <c r="AT52" s="481"/>
      <c r="AU52" s="481">
        <f t="shared" si="40"/>
        <v>10</v>
      </c>
      <c r="AV52" s="548"/>
      <c r="AW52" s="548">
        <v>10</v>
      </c>
      <c r="AX52" s="548"/>
      <c r="AY52" s="548"/>
      <c r="AZ52" s="548"/>
      <c r="BA52" s="548"/>
      <c r="BB52" s="548"/>
      <c r="BC52" s="548">
        <f t="shared" si="42"/>
        <v>10</v>
      </c>
      <c r="BD52" s="42">
        <f t="shared" si="21"/>
        <v>0</v>
      </c>
      <c r="BE52" s="42">
        <f t="shared" si="21"/>
        <v>34.9</v>
      </c>
      <c r="BF52" s="42">
        <f t="shared" si="21"/>
        <v>0</v>
      </c>
      <c r="BG52" s="42">
        <f t="shared" si="21"/>
        <v>0</v>
      </c>
      <c r="BH52" s="42">
        <f t="shared" si="21"/>
        <v>0</v>
      </c>
      <c r="BI52" s="42">
        <f t="shared" si="17"/>
        <v>10.3</v>
      </c>
      <c r="BJ52" s="42">
        <f t="shared" si="33"/>
        <v>0</v>
      </c>
      <c r="BK52" s="42">
        <f t="shared" si="33"/>
        <v>45.2</v>
      </c>
    </row>
    <row r="53" spans="1:63" ht="72.75" customHeight="1" x14ac:dyDescent="0.25">
      <c r="A53" s="298" t="s">
        <v>173</v>
      </c>
      <c r="B53" s="299" t="s">
        <v>169</v>
      </c>
      <c r="C53" s="1547"/>
      <c r="D53" s="1551"/>
      <c r="E53" s="1551"/>
      <c r="F53" s="1551"/>
      <c r="G53" s="1551"/>
      <c r="H53" s="1551"/>
      <c r="I53" s="1429"/>
      <c r="J53" s="1429"/>
      <c r="K53" s="1429" t="s">
        <v>183</v>
      </c>
      <c r="L53" s="301" t="s">
        <v>179</v>
      </c>
      <c r="M53" s="1425" t="s">
        <v>45</v>
      </c>
      <c r="N53" s="1425" t="s">
        <v>46</v>
      </c>
      <c r="O53" s="1425" t="s">
        <v>47</v>
      </c>
      <c r="P53" s="16" t="s">
        <v>184</v>
      </c>
      <c r="Q53" s="302" t="s">
        <v>185</v>
      </c>
      <c r="R53" s="303">
        <v>2015</v>
      </c>
      <c r="S53" s="303">
        <v>0</v>
      </c>
      <c r="T53" s="303">
        <v>2</v>
      </c>
      <c r="U53" s="572">
        <v>4</v>
      </c>
      <c r="V53" s="572">
        <v>6</v>
      </c>
      <c r="W53" s="572">
        <v>8</v>
      </c>
      <c r="X53" s="572">
        <v>8</v>
      </c>
      <c r="Y53" s="483"/>
      <c r="Z53" s="483"/>
      <c r="AA53" s="483"/>
      <c r="AB53" s="483"/>
      <c r="AC53" s="483"/>
      <c r="AD53" s="483">
        <v>1.8</v>
      </c>
      <c r="AE53" s="483"/>
      <c r="AF53" s="483">
        <f t="shared" si="43"/>
        <v>1.8</v>
      </c>
      <c r="AG53" s="587"/>
      <c r="AH53" s="587"/>
      <c r="AI53" s="587"/>
      <c r="AJ53" s="587"/>
      <c r="AK53" s="587"/>
      <c r="AL53" s="587"/>
      <c r="AM53" s="587">
        <f t="shared" si="38"/>
        <v>0</v>
      </c>
      <c r="AN53" s="483"/>
      <c r="AO53" s="483"/>
      <c r="AP53" s="483"/>
      <c r="AQ53" s="483"/>
      <c r="AR53" s="483"/>
      <c r="AS53" s="483"/>
      <c r="AT53" s="483"/>
      <c r="AU53" s="483">
        <f t="shared" si="40"/>
        <v>0</v>
      </c>
      <c r="AV53" s="587"/>
      <c r="AW53" s="587"/>
      <c r="AX53" s="587"/>
      <c r="AY53" s="587"/>
      <c r="AZ53" s="587"/>
      <c r="BA53" s="587"/>
      <c r="BB53" s="587"/>
      <c r="BC53" s="587">
        <f t="shared" si="42"/>
        <v>0</v>
      </c>
      <c r="BD53" s="44">
        <f t="shared" si="21"/>
        <v>0</v>
      </c>
      <c r="BE53" s="44">
        <f t="shared" si="21"/>
        <v>0</v>
      </c>
      <c r="BF53" s="44">
        <f t="shared" si="21"/>
        <v>0</v>
      </c>
      <c r="BG53" s="44">
        <f t="shared" si="21"/>
        <v>0</v>
      </c>
      <c r="BH53" s="44">
        <f t="shared" si="21"/>
        <v>0</v>
      </c>
      <c r="BI53" s="42">
        <f t="shared" si="17"/>
        <v>1.8</v>
      </c>
      <c r="BJ53" s="44">
        <f t="shared" si="33"/>
        <v>0</v>
      </c>
      <c r="BK53" s="44">
        <f t="shared" si="33"/>
        <v>1.8</v>
      </c>
    </row>
    <row r="54" spans="1:63" ht="54" customHeight="1" x14ac:dyDescent="0.25">
      <c r="A54" s="298" t="s">
        <v>173</v>
      </c>
      <c r="B54" s="299" t="s">
        <v>169</v>
      </c>
      <c r="C54" s="1547"/>
      <c r="D54" s="1551"/>
      <c r="E54" s="1551"/>
      <c r="F54" s="1551"/>
      <c r="G54" s="1551"/>
      <c r="H54" s="1551"/>
      <c r="I54" s="1429"/>
      <c r="J54" s="1429" t="s">
        <v>53</v>
      </c>
      <c r="K54" s="1429" t="s">
        <v>186</v>
      </c>
      <c r="L54" s="301" t="s">
        <v>179</v>
      </c>
      <c r="M54" s="1425" t="s">
        <v>45</v>
      </c>
      <c r="N54" s="1425" t="s">
        <v>46</v>
      </c>
      <c r="O54" s="1425" t="s">
        <v>73</v>
      </c>
      <c r="P54" s="16" t="s">
        <v>187</v>
      </c>
      <c r="Q54" s="302" t="s">
        <v>188</v>
      </c>
      <c r="R54" s="303">
        <v>2015</v>
      </c>
      <c r="S54" s="303">
        <v>1</v>
      </c>
      <c r="T54" s="303">
        <v>1</v>
      </c>
      <c r="U54" s="572">
        <v>1</v>
      </c>
      <c r="V54" s="572">
        <v>1</v>
      </c>
      <c r="W54" s="572">
        <v>1</v>
      </c>
      <c r="X54" s="572">
        <v>1</v>
      </c>
      <c r="Y54" s="481"/>
      <c r="Z54" s="481">
        <v>24</v>
      </c>
      <c r="AA54" s="481">
        <v>7.3</v>
      </c>
      <c r="AB54" s="481"/>
      <c r="AC54" s="481"/>
      <c r="AD54" s="481"/>
      <c r="AE54" s="481"/>
      <c r="AF54" s="481">
        <f t="shared" si="43"/>
        <v>31.3</v>
      </c>
      <c r="AG54" s="548"/>
      <c r="AH54" s="548">
        <v>22</v>
      </c>
      <c r="AI54" s="548">
        <v>22</v>
      </c>
      <c r="AJ54" s="548"/>
      <c r="AK54" s="548"/>
      <c r="AL54" s="548"/>
      <c r="AM54" s="548">
        <f t="shared" si="38"/>
        <v>44</v>
      </c>
      <c r="AN54" s="481"/>
      <c r="AO54" s="481">
        <v>24</v>
      </c>
      <c r="AP54" s="481">
        <v>22</v>
      </c>
      <c r="AQ54" s="481"/>
      <c r="AR54" s="481"/>
      <c r="AS54" s="481"/>
      <c r="AT54" s="481"/>
      <c r="AU54" s="481">
        <f t="shared" si="40"/>
        <v>46</v>
      </c>
      <c r="AV54" s="548"/>
      <c r="AW54" s="548">
        <v>24</v>
      </c>
      <c r="AX54" s="548">
        <v>17</v>
      </c>
      <c r="AY54" s="548"/>
      <c r="AZ54" s="548"/>
      <c r="BA54" s="548"/>
      <c r="BB54" s="548"/>
      <c r="BC54" s="548">
        <f t="shared" si="42"/>
        <v>41</v>
      </c>
      <c r="BD54" s="42">
        <f t="shared" si="21"/>
        <v>0</v>
      </c>
      <c r="BE54" s="42">
        <f t="shared" si="21"/>
        <v>94</v>
      </c>
      <c r="BF54" s="42">
        <f t="shared" si="21"/>
        <v>68.3</v>
      </c>
      <c r="BG54" s="42">
        <f t="shared" si="21"/>
        <v>0</v>
      </c>
      <c r="BH54" s="42">
        <f t="shared" si="21"/>
        <v>0</v>
      </c>
      <c r="BI54" s="42">
        <f t="shared" si="17"/>
        <v>0</v>
      </c>
      <c r="BJ54" s="42">
        <f t="shared" si="33"/>
        <v>0</v>
      </c>
      <c r="BK54" s="42">
        <f t="shared" si="33"/>
        <v>162.30000000000001</v>
      </c>
    </row>
    <row r="55" spans="1:63" ht="56.25" customHeight="1" x14ac:dyDescent="0.25">
      <c r="A55" s="298" t="s">
        <v>173</v>
      </c>
      <c r="B55" s="299" t="s">
        <v>169</v>
      </c>
      <c r="C55" s="1547"/>
      <c r="D55" s="1551"/>
      <c r="E55" s="1551"/>
      <c r="F55" s="1551"/>
      <c r="G55" s="1551"/>
      <c r="H55" s="1551"/>
      <c r="I55" s="1429"/>
      <c r="J55" s="1429"/>
      <c r="K55" s="1429" t="s">
        <v>189</v>
      </c>
      <c r="L55" s="301" t="s">
        <v>179</v>
      </c>
      <c r="M55" s="1425" t="s">
        <v>45</v>
      </c>
      <c r="N55" s="1425" t="s">
        <v>46</v>
      </c>
      <c r="O55" s="1425" t="s">
        <v>47</v>
      </c>
      <c r="P55" s="16" t="s">
        <v>190</v>
      </c>
      <c r="Q55" s="302" t="s">
        <v>191</v>
      </c>
      <c r="R55" s="303">
        <v>2015</v>
      </c>
      <c r="S55" s="303">
        <v>0</v>
      </c>
      <c r="T55" s="303">
        <v>5</v>
      </c>
      <c r="U55" s="572">
        <v>15</v>
      </c>
      <c r="V55" s="572">
        <v>25</v>
      </c>
      <c r="W55" s="572">
        <v>40</v>
      </c>
      <c r="X55" s="572">
        <v>40</v>
      </c>
      <c r="Y55" s="481"/>
      <c r="Z55" s="481">
        <v>2</v>
      </c>
      <c r="AA55" s="481"/>
      <c r="AB55" s="481"/>
      <c r="AC55" s="481"/>
      <c r="AD55" s="481"/>
      <c r="AE55" s="481"/>
      <c r="AF55" s="481">
        <f t="shared" si="43"/>
        <v>2</v>
      </c>
      <c r="AG55" s="548"/>
      <c r="AH55" s="548">
        <v>2</v>
      </c>
      <c r="AI55" s="548"/>
      <c r="AJ55" s="548"/>
      <c r="AK55" s="548"/>
      <c r="AL55" s="548"/>
      <c r="AM55" s="548">
        <f t="shared" si="38"/>
        <v>2</v>
      </c>
      <c r="AN55" s="481"/>
      <c r="AO55" s="481">
        <v>2</v>
      </c>
      <c r="AP55" s="481"/>
      <c r="AQ55" s="481"/>
      <c r="AR55" s="481"/>
      <c r="AS55" s="481"/>
      <c r="AT55" s="481"/>
      <c r="AU55" s="481">
        <f t="shared" si="40"/>
        <v>2</v>
      </c>
      <c r="AV55" s="548"/>
      <c r="AW55" s="548">
        <v>2</v>
      </c>
      <c r="AX55" s="548"/>
      <c r="AY55" s="548"/>
      <c r="AZ55" s="548">
        <f>34896-34383</f>
        <v>513</v>
      </c>
      <c r="BA55" s="548"/>
      <c r="BB55" s="548"/>
      <c r="BC55" s="548">
        <f t="shared" si="42"/>
        <v>515</v>
      </c>
      <c r="BD55" s="42">
        <f t="shared" si="21"/>
        <v>0</v>
      </c>
      <c r="BE55" s="42">
        <f t="shared" si="21"/>
        <v>8</v>
      </c>
      <c r="BF55" s="42">
        <f t="shared" si="21"/>
        <v>0</v>
      </c>
      <c r="BG55" s="42">
        <f t="shared" si="21"/>
        <v>0</v>
      </c>
      <c r="BH55" s="42">
        <f t="shared" si="21"/>
        <v>513</v>
      </c>
      <c r="BI55" s="42">
        <f t="shared" si="17"/>
        <v>0</v>
      </c>
      <c r="BJ55" s="42">
        <f t="shared" si="33"/>
        <v>0</v>
      </c>
      <c r="BK55" s="42">
        <f t="shared" si="33"/>
        <v>521</v>
      </c>
    </row>
    <row r="56" spans="1:63" ht="57" customHeight="1" x14ac:dyDescent="0.25">
      <c r="A56" s="298" t="s">
        <v>173</v>
      </c>
      <c r="B56" s="299" t="s">
        <v>169</v>
      </c>
      <c r="C56" s="1547"/>
      <c r="D56" s="1551"/>
      <c r="E56" s="1551"/>
      <c r="F56" s="1551"/>
      <c r="G56" s="1551"/>
      <c r="H56" s="1551"/>
      <c r="I56" s="1429"/>
      <c r="J56" s="1429" t="s">
        <v>53</v>
      </c>
      <c r="K56" s="1429" t="s">
        <v>192</v>
      </c>
      <c r="L56" s="301" t="s">
        <v>179</v>
      </c>
      <c r="M56" s="1425" t="s">
        <v>45</v>
      </c>
      <c r="N56" s="1425" t="s">
        <v>46</v>
      </c>
      <c r="O56" s="1425" t="s">
        <v>73</v>
      </c>
      <c r="P56" s="16" t="s">
        <v>193</v>
      </c>
      <c r="Q56" s="302" t="s">
        <v>194</v>
      </c>
      <c r="R56" s="303">
        <v>2015</v>
      </c>
      <c r="S56" s="303">
        <v>0</v>
      </c>
      <c r="T56" s="303">
        <v>1</v>
      </c>
      <c r="U56" s="572">
        <v>1</v>
      </c>
      <c r="V56" s="572">
        <v>1</v>
      </c>
      <c r="W56" s="572">
        <v>1</v>
      </c>
      <c r="X56" s="572">
        <v>1</v>
      </c>
      <c r="Y56" s="483"/>
      <c r="Z56" s="483"/>
      <c r="AA56" s="483"/>
      <c r="AB56" s="483"/>
      <c r="AC56" s="483"/>
      <c r="AD56" s="493">
        <v>6.61</v>
      </c>
      <c r="AE56" s="483"/>
      <c r="AF56" s="483">
        <f t="shared" si="43"/>
        <v>6.61</v>
      </c>
      <c r="AG56" s="587"/>
      <c r="AH56" s="587"/>
      <c r="AI56" s="587"/>
      <c r="AJ56" s="587"/>
      <c r="AK56" s="587"/>
      <c r="AL56" s="587"/>
      <c r="AM56" s="587">
        <f t="shared" si="38"/>
        <v>0</v>
      </c>
      <c r="AN56" s="483"/>
      <c r="AO56" s="483"/>
      <c r="AP56" s="483"/>
      <c r="AQ56" s="483"/>
      <c r="AR56" s="483"/>
      <c r="AS56" s="483"/>
      <c r="AT56" s="483"/>
      <c r="AU56" s="483">
        <f t="shared" si="40"/>
        <v>0</v>
      </c>
      <c r="AV56" s="587"/>
      <c r="AW56" s="587"/>
      <c r="AX56" s="587"/>
      <c r="AY56" s="587"/>
      <c r="AZ56" s="587"/>
      <c r="BA56" s="587"/>
      <c r="BB56" s="587"/>
      <c r="BC56" s="587">
        <f t="shared" si="42"/>
        <v>0</v>
      </c>
      <c r="BD56" s="44">
        <f t="shared" si="21"/>
        <v>0</v>
      </c>
      <c r="BE56" s="44">
        <f t="shared" si="21"/>
        <v>0</v>
      </c>
      <c r="BF56" s="44">
        <f t="shared" si="21"/>
        <v>0</v>
      </c>
      <c r="BG56" s="44">
        <f t="shared" si="21"/>
        <v>0</v>
      </c>
      <c r="BH56" s="44">
        <f t="shared" si="21"/>
        <v>0</v>
      </c>
      <c r="BI56" s="42">
        <f t="shared" si="17"/>
        <v>6.61</v>
      </c>
      <c r="BJ56" s="44">
        <f t="shared" si="33"/>
        <v>0</v>
      </c>
      <c r="BK56" s="44">
        <f t="shared" si="33"/>
        <v>6.61</v>
      </c>
    </row>
    <row r="57" spans="1:63" ht="66" customHeight="1" x14ac:dyDescent="0.25">
      <c r="A57" s="298" t="s">
        <v>173</v>
      </c>
      <c r="B57" s="299" t="s">
        <v>169</v>
      </c>
      <c r="C57" s="1547"/>
      <c r="D57" s="1551"/>
      <c r="E57" s="1551"/>
      <c r="F57" s="1551"/>
      <c r="G57" s="1551"/>
      <c r="H57" s="1551"/>
      <c r="I57" s="1429"/>
      <c r="J57" s="1429"/>
      <c r="K57" s="1429" t="s">
        <v>195</v>
      </c>
      <c r="L57" s="301" t="s">
        <v>179</v>
      </c>
      <c r="M57" s="1425" t="s">
        <v>45</v>
      </c>
      <c r="N57" s="1425" t="s">
        <v>46</v>
      </c>
      <c r="O57" s="1425" t="s">
        <v>47</v>
      </c>
      <c r="P57" s="16" t="s">
        <v>196</v>
      </c>
      <c r="Q57" s="302" t="s">
        <v>197</v>
      </c>
      <c r="R57" s="303">
        <v>2015</v>
      </c>
      <c r="S57" s="303">
        <v>0</v>
      </c>
      <c r="T57" s="303">
        <v>4</v>
      </c>
      <c r="U57" s="572">
        <v>8</v>
      </c>
      <c r="V57" s="572">
        <v>12</v>
      </c>
      <c r="W57" s="572">
        <v>16</v>
      </c>
      <c r="X57" s="572">
        <v>16</v>
      </c>
      <c r="Y57" s="481"/>
      <c r="Z57" s="481"/>
      <c r="AA57" s="481"/>
      <c r="AB57" s="481"/>
      <c r="AC57" s="481"/>
      <c r="AD57" s="491">
        <v>5.29</v>
      </c>
      <c r="AE57" s="481"/>
      <c r="AF57" s="481">
        <f t="shared" si="43"/>
        <v>5.29</v>
      </c>
      <c r="AG57" s="548"/>
      <c r="AH57" s="548"/>
      <c r="AI57" s="548"/>
      <c r="AJ57" s="548"/>
      <c r="AK57" s="548"/>
      <c r="AL57" s="548"/>
      <c r="AM57" s="548">
        <f t="shared" si="38"/>
        <v>0</v>
      </c>
      <c r="AN57" s="481"/>
      <c r="AO57" s="481"/>
      <c r="AP57" s="481"/>
      <c r="AQ57" s="481"/>
      <c r="AR57" s="481"/>
      <c r="AS57" s="481"/>
      <c r="AT57" s="481"/>
      <c r="AU57" s="481">
        <f t="shared" si="40"/>
        <v>0</v>
      </c>
      <c r="AV57" s="548"/>
      <c r="AW57" s="548"/>
      <c r="AX57" s="548"/>
      <c r="AY57" s="548"/>
      <c r="AZ57" s="548"/>
      <c r="BA57" s="548"/>
      <c r="BB57" s="548"/>
      <c r="BC57" s="548">
        <f t="shared" si="42"/>
        <v>0</v>
      </c>
      <c r="BD57" s="42">
        <f t="shared" si="21"/>
        <v>0</v>
      </c>
      <c r="BE57" s="42">
        <f t="shared" si="21"/>
        <v>0</v>
      </c>
      <c r="BF57" s="42">
        <f t="shared" si="21"/>
        <v>0</v>
      </c>
      <c r="BG57" s="42">
        <f t="shared" si="21"/>
        <v>0</v>
      </c>
      <c r="BH57" s="42">
        <f t="shared" si="21"/>
        <v>0</v>
      </c>
      <c r="BI57" s="42">
        <f t="shared" si="17"/>
        <v>5.29</v>
      </c>
      <c r="BJ57" s="42">
        <f t="shared" si="33"/>
        <v>0</v>
      </c>
      <c r="BK57" s="42">
        <f t="shared" si="33"/>
        <v>5.29</v>
      </c>
    </row>
    <row r="58" spans="1:63" ht="69.75" customHeight="1" x14ac:dyDescent="0.25">
      <c r="A58" s="298" t="s">
        <v>173</v>
      </c>
      <c r="B58" s="299" t="s">
        <v>169</v>
      </c>
      <c r="C58" s="1547"/>
      <c r="D58" s="1551"/>
      <c r="E58" s="1551"/>
      <c r="F58" s="1551"/>
      <c r="G58" s="1551"/>
      <c r="H58" s="1551"/>
      <c r="I58" s="1429"/>
      <c r="J58" s="1429"/>
      <c r="K58" s="1429" t="s">
        <v>198</v>
      </c>
      <c r="L58" s="301" t="s">
        <v>179</v>
      </c>
      <c r="M58" s="1425" t="s">
        <v>45</v>
      </c>
      <c r="N58" s="1425" t="s">
        <v>46</v>
      </c>
      <c r="O58" s="1425" t="s">
        <v>73</v>
      </c>
      <c r="P58" s="16" t="s">
        <v>199</v>
      </c>
      <c r="Q58" s="302" t="s">
        <v>200</v>
      </c>
      <c r="R58" s="303">
        <v>2015</v>
      </c>
      <c r="S58" s="303">
        <v>3</v>
      </c>
      <c r="T58" s="303">
        <v>4</v>
      </c>
      <c r="U58" s="572">
        <v>4</v>
      </c>
      <c r="V58" s="572">
        <v>4</v>
      </c>
      <c r="W58" s="572">
        <v>4</v>
      </c>
      <c r="X58" s="572">
        <v>4</v>
      </c>
      <c r="Y58" s="481"/>
      <c r="Z58" s="481"/>
      <c r="AA58" s="481">
        <v>7</v>
      </c>
      <c r="AB58" s="481"/>
      <c r="AC58" s="481"/>
      <c r="AD58" s="481"/>
      <c r="AE58" s="481"/>
      <c r="AF58" s="481">
        <f t="shared" si="43"/>
        <v>7</v>
      </c>
      <c r="AG58" s="548"/>
      <c r="AH58" s="548"/>
      <c r="AI58" s="548"/>
      <c r="AJ58" s="548"/>
      <c r="AK58" s="548"/>
      <c r="AL58" s="548"/>
      <c r="AM58" s="548">
        <f t="shared" si="38"/>
        <v>0</v>
      </c>
      <c r="AN58" s="481"/>
      <c r="AO58" s="481"/>
      <c r="AP58" s="481"/>
      <c r="AQ58" s="481"/>
      <c r="AR58" s="481"/>
      <c r="AS58" s="481"/>
      <c r="AT58" s="481"/>
      <c r="AU58" s="481">
        <f t="shared" si="40"/>
        <v>0</v>
      </c>
      <c r="AV58" s="548"/>
      <c r="AW58" s="548"/>
      <c r="AX58" s="548"/>
      <c r="AY58" s="548"/>
      <c r="AZ58" s="548"/>
      <c r="BA58" s="548"/>
      <c r="BB58" s="548"/>
      <c r="BC58" s="548">
        <f t="shared" si="42"/>
        <v>0</v>
      </c>
      <c r="BD58" s="42">
        <f t="shared" si="21"/>
        <v>0</v>
      </c>
      <c r="BE58" s="42">
        <f t="shared" si="21"/>
        <v>0</v>
      </c>
      <c r="BF58" s="42">
        <f t="shared" si="21"/>
        <v>7</v>
      </c>
      <c r="BG58" s="42">
        <f t="shared" si="21"/>
        <v>0</v>
      </c>
      <c r="BH58" s="42">
        <f t="shared" si="21"/>
        <v>0</v>
      </c>
      <c r="BI58" s="42">
        <f t="shared" si="17"/>
        <v>0</v>
      </c>
      <c r="BJ58" s="42">
        <f t="shared" si="33"/>
        <v>0</v>
      </c>
      <c r="BK58" s="42">
        <f t="shared" si="33"/>
        <v>7</v>
      </c>
    </row>
    <row r="59" spans="1:63" ht="73.5" customHeight="1" x14ac:dyDescent="0.25">
      <c r="A59" s="298" t="s">
        <v>173</v>
      </c>
      <c r="B59" s="299" t="s">
        <v>169</v>
      </c>
      <c r="C59" s="1547"/>
      <c r="D59" s="1551"/>
      <c r="E59" s="1551"/>
      <c r="F59" s="1551"/>
      <c r="G59" s="1551"/>
      <c r="H59" s="1551"/>
      <c r="I59" s="1429"/>
      <c r="J59" s="1429"/>
      <c r="K59" s="1429" t="s">
        <v>201</v>
      </c>
      <c r="L59" s="301" t="s">
        <v>179</v>
      </c>
      <c r="M59" s="1425" t="s">
        <v>45</v>
      </c>
      <c r="N59" s="1425" t="s">
        <v>46</v>
      </c>
      <c r="O59" s="1425" t="s">
        <v>47</v>
      </c>
      <c r="P59" s="16" t="s">
        <v>202</v>
      </c>
      <c r="Q59" s="302" t="s">
        <v>203</v>
      </c>
      <c r="R59" s="303">
        <v>2015</v>
      </c>
      <c r="S59" s="303">
        <v>2</v>
      </c>
      <c r="T59" s="303">
        <v>1</v>
      </c>
      <c r="U59" s="572">
        <v>2</v>
      </c>
      <c r="V59" s="572">
        <v>4</v>
      </c>
      <c r="W59" s="572">
        <v>6</v>
      </c>
      <c r="X59" s="572">
        <v>6</v>
      </c>
      <c r="Y59" s="481"/>
      <c r="Z59" s="481"/>
      <c r="AA59" s="481">
        <v>7</v>
      </c>
      <c r="AB59" s="481"/>
      <c r="AC59" s="481"/>
      <c r="AD59" s="481"/>
      <c r="AE59" s="481"/>
      <c r="AF59" s="481">
        <f t="shared" si="43"/>
        <v>7</v>
      </c>
      <c r="AG59" s="548"/>
      <c r="AH59" s="548"/>
      <c r="AI59" s="548">
        <v>14</v>
      </c>
      <c r="AJ59" s="548"/>
      <c r="AK59" s="548"/>
      <c r="AL59" s="548"/>
      <c r="AM59" s="548">
        <f t="shared" si="38"/>
        <v>14</v>
      </c>
      <c r="AN59" s="481"/>
      <c r="AO59" s="481"/>
      <c r="AP59" s="481">
        <v>15</v>
      </c>
      <c r="AQ59" s="481"/>
      <c r="AR59" s="481"/>
      <c r="AS59" s="481"/>
      <c r="AT59" s="481"/>
      <c r="AU59" s="481">
        <f t="shared" si="40"/>
        <v>15</v>
      </c>
      <c r="AV59" s="548"/>
      <c r="AW59" s="548"/>
      <c r="AX59" s="548">
        <v>15</v>
      </c>
      <c r="AY59" s="548"/>
      <c r="AZ59" s="548"/>
      <c r="BA59" s="548"/>
      <c r="BB59" s="548"/>
      <c r="BC59" s="548">
        <f t="shared" si="42"/>
        <v>15</v>
      </c>
      <c r="BD59" s="42">
        <f t="shared" si="21"/>
        <v>0</v>
      </c>
      <c r="BE59" s="42">
        <f t="shared" si="21"/>
        <v>0</v>
      </c>
      <c r="BF59" s="42">
        <f t="shared" si="21"/>
        <v>51</v>
      </c>
      <c r="BG59" s="42">
        <f t="shared" si="21"/>
        <v>0</v>
      </c>
      <c r="BH59" s="42">
        <f t="shared" si="21"/>
        <v>0</v>
      </c>
      <c r="BI59" s="42">
        <f t="shared" si="17"/>
        <v>0</v>
      </c>
      <c r="BJ59" s="42">
        <f t="shared" si="33"/>
        <v>0</v>
      </c>
      <c r="BK59" s="42">
        <f t="shared" si="33"/>
        <v>51</v>
      </c>
    </row>
    <row r="60" spans="1:63" ht="36.75" customHeight="1" x14ac:dyDescent="0.25">
      <c r="A60" s="298" t="s">
        <v>173</v>
      </c>
      <c r="B60" s="299" t="s">
        <v>169</v>
      </c>
      <c r="C60" s="1547"/>
      <c r="D60" s="1551"/>
      <c r="E60" s="1551"/>
      <c r="F60" s="1551"/>
      <c r="G60" s="1551"/>
      <c r="H60" s="1551"/>
      <c r="I60" s="1429"/>
      <c r="J60" s="1429"/>
      <c r="K60" s="1429" t="s">
        <v>204</v>
      </c>
      <c r="L60" s="301" t="s">
        <v>179</v>
      </c>
      <c r="M60" s="1425" t="s">
        <v>45</v>
      </c>
      <c r="N60" s="1425" t="s">
        <v>46</v>
      </c>
      <c r="O60" s="1425" t="s">
        <v>47</v>
      </c>
      <c r="P60" s="16" t="s">
        <v>205</v>
      </c>
      <c r="Q60" s="302" t="s">
        <v>206</v>
      </c>
      <c r="R60" s="303">
        <v>2015</v>
      </c>
      <c r="S60" s="303">
        <v>0</v>
      </c>
      <c r="T60" s="303">
        <v>1</v>
      </c>
      <c r="U60" s="572">
        <v>2</v>
      </c>
      <c r="V60" s="572">
        <v>3</v>
      </c>
      <c r="W60" s="572">
        <v>4</v>
      </c>
      <c r="X60" s="572">
        <v>4</v>
      </c>
      <c r="Y60" s="481"/>
      <c r="Z60" s="481"/>
      <c r="AA60" s="491">
        <v>8.8000000000000007</v>
      </c>
      <c r="AB60" s="481"/>
      <c r="AC60" s="481"/>
      <c r="AD60" s="491">
        <v>1</v>
      </c>
      <c r="AE60" s="481"/>
      <c r="AF60" s="481">
        <f t="shared" si="43"/>
        <v>9.8000000000000007</v>
      </c>
      <c r="AG60" s="548"/>
      <c r="AH60" s="548"/>
      <c r="AI60" s="548"/>
      <c r="AJ60" s="548"/>
      <c r="AK60" s="548"/>
      <c r="AL60" s="548"/>
      <c r="AM60" s="548">
        <f t="shared" si="38"/>
        <v>0</v>
      </c>
      <c r="AN60" s="481"/>
      <c r="AO60" s="481"/>
      <c r="AP60" s="481"/>
      <c r="AQ60" s="481"/>
      <c r="AR60" s="481"/>
      <c r="AS60" s="481"/>
      <c r="AT60" s="481"/>
      <c r="AU60" s="481">
        <f t="shared" si="40"/>
        <v>0</v>
      </c>
      <c r="AV60" s="548"/>
      <c r="AW60" s="548"/>
      <c r="AX60" s="548"/>
      <c r="AY60" s="548"/>
      <c r="AZ60" s="548"/>
      <c r="BA60" s="548"/>
      <c r="BB60" s="548"/>
      <c r="BC60" s="548">
        <f t="shared" si="42"/>
        <v>0</v>
      </c>
      <c r="BD60" s="42"/>
      <c r="BE60" s="42"/>
      <c r="BF60" s="42"/>
      <c r="BG60" s="42"/>
      <c r="BH60" s="42"/>
      <c r="BI60" s="42">
        <f t="shared" si="17"/>
        <v>1</v>
      </c>
      <c r="BJ60" s="42"/>
      <c r="BK60" s="42"/>
    </row>
    <row r="61" spans="1:63" ht="30.75" customHeight="1" x14ac:dyDescent="0.25">
      <c r="A61" s="298" t="s">
        <v>173</v>
      </c>
      <c r="B61" s="299" t="s">
        <v>169</v>
      </c>
      <c r="C61" s="1547"/>
      <c r="D61" s="1549"/>
      <c r="E61" s="1549"/>
      <c r="F61" s="1551"/>
      <c r="G61" s="1551"/>
      <c r="H61" s="1551"/>
      <c r="I61" s="1429" t="s">
        <v>53</v>
      </c>
      <c r="J61" s="1429"/>
      <c r="K61" s="1429" t="s">
        <v>207</v>
      </c>
      <c r="L61" s="301" t="s">
        <v>179</v>
      </c>
      <c r="M61" s="1425" t="s">
        <v>45</v>
      </c>
      <c r="N61" s="1425" t="s">
        <v>46</v>
      </c>
      <c r="O61" s="1425" t="s">
        <v>47</v>
      </c>
      <c r="P61" s="16" t="s">
        <v>208</v>
      </c>
      <c r="Q61" s="302" t="s">
        <v>209</v>
      </c>
      <c r="R61" s="303">
        <v>2015</v>
      </c>
      <c r="S61" s="303">
        <v>0</v>
      </c>
      <c r="T61" s="303">
        <v>1</v>
      </c>
      <c r="U61" s="572">
        <v>1</v>
      </c>
      <c r="V61" s="572">
        <v>1</v>
      </c>
      <c r="W61" s="572">
        <v>1</v>
      </c>
      <c r="X61" s="572">
        <v>1</v>
      </c>
      <c r="Y61" s="481">
        <v>5</v>
      </c>
      <c r="Z61" s="481"/>
      <c r="AA61" s="481"/>
      <c r="AB61" s="481"/>
      <c r="AC61" s="481"/>
      <c r="AD61" s="481"/>
      <c r="AE61" s="481"/>
      <c r="AF61" s="481">
        <f t="shared" si="43"/>
        <v>5</v>
      </c>
      <c r="AG61" s="548"/>
      <c r="AH61" s="548"/>
      <c r="AI61" s="548"/>
      <c r="AJ61" s="548"/>
      <c r="AK61" s="548"/>
      <c r="AL61" s="548"/>
      <c r="AM61" s="548">
        <f t="shared" si="38"/>
        <v>0</v>
      </c>
      <c r="AN61" s="481"/>
      <c r="AO61" s="481"/>
      <c r="AP61" s="481"/>
      <c r="AQ61" s="481"/>
      <c r="AR61" s="481"/>
      <c r="AS61" s="481"/>
      <c r="AT61" s="481"/>
      <c r="AU61" s="481">
        <f t="shared" si="40"/>
        <v>0</v>
      </c>
      <c r="AV61" s="548"/>
      <c r="AW61" s="548"/>
      <c r="AX61" s="548"/>
      <c r="AY61" s="548"/>
      <c r="AZ61" s="548"/>
      <c r="BA61" s="548"/>
      <c r="BB61" s="548"/>
      <c r="BC61" s="548">
        <f t="shared" si="42"/>
        <v>0</v>
      </c>
      <c r="BD61" s="42">
        <f t="shared" si="21"/>
        <v>5</v>
      </c>
      <c r="BE61" s="42">
        <f t="shared" si="21"/>
        <v>0</v>
      </c>
      <c r="BF61" s="42">
        <f t="shared" si="21"/>
        <v>0</v>
      </c>
      <c r="BG61" s="42">
        <f t="shared" si="21"/>
        <v>0</v>
      </c>
      <c r="BH61" s="42">
        <f t="shared" si="21"/>
        <v>0</v>
      </c>
      <c r="BI61" s="42">
        <f t="shared" si="17"/>
        <v>0</v>
      </c>
      <c r="BJ61" s="42">
        <f t="shared" si="33"/>
        <v>0</v>
      </c>
      <c r="BK61" s="42">
        <f t="shared" si="33"/>
        <v>5</v>
      </c>
    </row>
    <row r="62" spans="1:63" ht="22.5" customHeight="1" x14ac:dyDescent="0.25">
      <c r="A62" s="298" t="s">
        <v>173</v>
      </c>
      <c r="B62" s="299" t="s">
        <v>169</v>
      </c>
      <c r="C62" s="1547"/>
      <c r="D62" s="1551"/>
      <c r="E62" s="1551"/>
      <c r="F62" s="1551"/>
      <c r="G62" s="1551"/>
      <c r="H62" s="1551"/>
      <c r="I62" s="1429"/>
      <c r="J62" s="1429"/>
      <c r="K62" s="1429" t="s">
        <v>210</v>
      </c>
      <c r="L62" s="301" t="s">
        <v>179</v>
      </c>
      <c r="M62" s="1425" t="s">
        <v>45</v>
      </c>
      <c r="N62" s="1425" t="s">
        <v>46</v>
      </c>
      <c r="O62" s="1425" t="s">
        <v>47</v>
      </c>
      <c r="P62" s="16" t="s">
        <v>211</v>
      </c>
      <c r="Q62" s="302" t="s">
        <v>212</v>
      </c>
      <c r="R62" s="303">
        <v>2015</v>
      </c>
      <c r="S62" s="303">
        <v>1</v>
      </c>
      <c r="T62" s="303">
        <v>1</v>
      </c>
      <c r="U62" s="572">
        <v>2</v>
      </c>
      <c r="V62" s="572">
        <v>3</v>
      </c>
      <c r="W62" s="572">
        <v>4</v>
      </c>
      <c r="X62" s="572">
        <v>4</v>
      </c>
      <c r="Y62" s="481">
        <v>21</v>
      </c>
      <c r="Z62" s="481">
        <v>7</v>
      </c>
      <c r="AA62" s="481">
        <v>5</v>
      </c>
      <c r="AB62" s="481"/>
      <c r="AC62" s="481"/>
      <c r="AD62" s="481">
        <v>12</v>
      </c>
      <c r="AE62" s="481"/>
      <c r="AF62" s="481">
        <f t="shared" si="43"/>
        <v>45</v>
      </c>
      <c r="AG62" s="548"/>
      <c r="AH62" s="548"/>
      <c r="AI62" s="548"/>
      <c r="AJ62" s="548"/>
      <c r="AK62" s="548"/>
      <c r="AL62" s="548"/>
      <c r="AM62" s="548">
        <f t="shared" si="38"/>
        <v>0</v>
      </c>
      <c r="AN62" s="481"/>
      <c r="AO62" s="481"/>
      <c r="AP62" s="481"/>
      <c r="AQ62" s="481"/>
      <c r="AR62" s="481"/>
      <c r="AS62" s="481"/>
      <c r="AT62" s="481"/>
      <c r="AU62" s="481">
        <f t="shared" si="40"/>
        <v>0</v>
      </c>
      <c r="AV62" s="548"/>
      <c r="AW62" s="548"/>
      <c r="AX62" s="548"/>
      <c r="AY62" s="548"/>
      <c r="AZ62" s="548"/>
      <c r="BA62" s="548"/>
      <c r="BB62" s="548"/>
      <c r="BC62" s="548">
        <f t="shared" si="42"/>
        <v>0</v>
      </c>
      <c r="BD62" s="42">
        <f t="shared" si="21"/>
        <v>21</v>
      </c>
      <c r="BE62" s="42">
        <f t="shared" si="21"/>
        <v>7</v>
      </c>
      <c r="BF62" s="42">
        <f t="shared" si="21"/>
        <v>5</v>
      </c>
      <c r="BG62" s="42">
        <f t="shared" si="21"/>
        <v>0</v>
      </c>
      <c r="BH62" s="42">
        <f t="shared" si="21"/>
        <v>0</v>
      </c>
      <c r="BI62" s="42">
        <f t="shared" si="17"/>
        <v>12</v>
      </c>
      <c r="BJ62" s="42">
        <f t="shared" si="33"/>
        <v>0</v>
      </c>
      <c r="BK62" s="42">
        <f t="shared" si="33"/>
        <v>45</v>
      </c>
    </row>
    <row r="63" spans="1:63" ht="23.25" customHeight="1" x14ac:dyDescent="0.25">
      <c r="A63" s="298" t="s">
        <v>173</v>
      </c>
      <c r="B63" s="299" t="s">
        <v>169</v>
      </c>
      <c r="C63" s="1547"/>
      <c r="D63" s="1551"/>
      <c r="E63" s="1551"/>
      <c r="F63" s="1551"/>
      <c r="G63" s="1551"/>
      <c r="H63" s="1551"/>
      <c r="I63" s="1429"/>
      <c r="J63" s="1429"/>
      <c r="K63" s="1429" t="s">
        <v>213</v>
      </c>
      <c r="L63" s="301" t="s">
        <v>179</v>
      </c>
      <c r="M63" s="1425" t="s">
        <v>45</v>
      </c>
      <c r="N63" s="1425" t="s">
        <v>46</v>
      </c>
      <c r="O63" s="1425" t="s">
        <v>47</v>
      </c>
      <c r="P63" s="71" t="s">
        <v>214</v>
      </c>
      <c r="Q63" s="302" t="s">
        <v>215</v>
      </c>
      <c r="R63" s="303">
        <v>2015</v>
      </c>
      <c r="S63" s="303">
        <v>0</v>
      </c>
      <c r="T63" s="303">
        <v>0</v>
      </c>
      <c r="U63" s="572">
        <v>0</v>
      </c>
      <c r="V63" s="572">
        <v>1</v>
      </c>
      <c r="W63" s="572">
        <v>1</v>
      </c>
      <c r="X63" s="572">
        <v>1</v>
      </c>
      <c r="Y63" s="483"/>
      <c r="Z63" s="483"/>
      <c r="AA63" s="483"/>
      <c r="AB63" s="483"/>
      <c r="AC63" s="483"/>
      <c r="AD63" s="483"/>
      <c r="AE63" s="483"/>
      <c r="AF63" s="483">
        <f t="shared" si="43"/>
        <v>0</v>
      </c>
      <c r="AG63" s="587"/>
      <c r="AH63" s="587"/>
      <c r="AI63" s="587"/>
      <c r="AJ63" s="587"/>
      <c r="AK63" s="587"/>
      <c r="AL63" s="587"/>
      <c r="AM63" s="587">
        <f t="shared" si="38"/>
        <v>0</v>
      </c>
      <c r="AN63" s="483"/>
      <c r="AO63" s="483"/>
      <c r="AP63" s="483"/>
      <c r="AQ63" s="483"/>
      <c r="AR63" s="483"/>
      <c r="AS63" s="483"/>
      <c r="AT63" s="483"/>
      <c r="AU63" s="483">
        <f t="shared" si="40"/>
        <v>0</v>
      </c>
      <c r="AV63" s="587"/>
      <c r="AW63" s="587"/>
      <c r="AX63" s="587"/>
      <c r="AY63" s="587"/>
      <c r="AZ63" s="587"/>
      <c r="BA63" s="587"/>
      <c r="BB63" s="587"/>
      <c r="BC63" s="587">
        <f t="shared" si="42"/>
        <v>0</v>
      </c>
      <c r="BD63" s="44">
        <f t="shared" ref="BD63:BH78" si="44">+AV63+AN63+AG63+Y63</f>
        <v>0</v>
      </c>
      <c r="BE63" s="44">
        <f t="shared" si="44"/>
        <v>0</v>
      </c>
      <c r="BF63" s="44">
        <f t="shared" si="44"/>
        <v>0</v>
      </c>
      <c r="BG63" s="44">
        <f t="shared" si="44"/>
        <v>0</v>
      </c>
      <c r="BH63" s="44">
        <f t="shared" si="44"/>
        <v>0</v>
      </c>
      <c r="BI63" s="42">
        <f t="shared" si="17"/>
        <v>0</v>
      </c>
      <c r="BJ63" s="44">
        <f t="shared" si="33"/>
        <v>0</v>
      </c>
      <c r="BK63" s="44">
        <f t="shared" si="33"/>
        <v>0</v>
      </c>
    </row>
    <row r="64" spans="1:63" ht="24.75" customHeight="1" x14ac:dyDescent="0.25">
      <c r="A64" s="298" t="s">
        <v>173</v>
      </c>
      <c r="B64" s="299" t="s">
        <v>169</v>
      </c>
      <c r="C64" s="1547"/>
      <c r="D64" s="1551"/>
      <c r="E64" s="1551"/>
      <c r="F64" s="1551"/>
      <c r="G64" s="1551"/>
      <c r="H64" s="1551"/>
      <c r="I64" s="1429"/>
      <c r="J64" s="1429"/>
      <c r="K64" s="1429" t="s">
        <v>216</v>
      </c>
      <c r="L64" s="301" t="s">
        <v>179</v>
      </c>
      <c r="M64" s="1425" t="s">
        <v>45</v>
      </c>
      <c r="N64" s="1425" t="s">
        <v>46</v>
      </c>
      <c r="O64" s="1425" t="s">
        <v>47</v>
      </c>
      <c r="P64" s="16" t="s">
        <v>217</v>
      </c>
      <c r="Q64" s="302" t="s">
        <v>218</v>
      </c>
      <c r="R64" s="303">
        <v>2015</v>
      </c>
      <c r="S64" s="303">
        <v>0</v>
      </c>
      <c r="T64" s="303">
        <v>0</v>
      </c>
      <c r="U64" s="572">
        <v>1</v>
      </c>
      <c r="V64" s="572">
        <v>1</v>
      </c>
      <c r="W64" s="572">
        <v>2</v>
      </c>
      <c r="X64" s="572">
        <v>2</v>
      </c>
      <c r="Y64" s="483"/>
      <c r="Z64" s="483"/>
      <c r="AA64" s="483"/>
      <c r="AB64" s="483"/>
      <c r="AC64" s="483"/>
      <c r="AD64" s="483"/>
      <c r="AE64" s="483"/>
      <c r="AF64" s="483">
        <f t="shared" si="43"/>
        <v>0</v>
      </c>
      <c r="AG64" s="587"/>
      <c r="AH64" s="587"/>
      <c r="AI64" s="587"/>
      <c r="AJ64" s="587"/>
      <c r="AK64" s="587"/>
      <c r="AL64" s="587"/>
      <c r="AM64" s="587">
        <f t="shared" si="38"/>
        <v>0</v>
      </c>
      <c r="AN64" s="483"/>
      <c r="AO64" s="483"/>
      <c r="AP64" s="483"/>
      <c r="AQ64" s="483"/>
      <c r="AR64" s="483"/>
      <c r="AS64" s="483"/>
      <c r="AT64" s="483"/>
      <c r="AU64" s="483">
        <f t="shared" si="40"/>
        <v>0</v>
      </c>
      <c r="AV64" s="587"/>
      <c r="AW64" s="587"/>
      <c r="AX64" s="587"/>
      <c r="AY64" s="587"/>
      <c r="AZ64" s="587"/>
      <c r="BA64" s="587"/>
      <c r="BB64" s="587"/>
      <c r="BC64" s="587">
        <f t="shared" si="42"/>
        <v>0</v>
      </c>
      <c r="BD64" s="44">
        <f t="shared" si="44"/>
        <v>0</v>
      </c>
      <c r="BE64" s="44">
        <f t="shared" si="44"/>
        <v>0</v>
      </c>
      <c r="BF64" s="44">
        <f t="shared" si="44"/>
        <v>0</v>
      </c>
      <c r="BG64" s="44">
        <f t="shared" si="44"/>
        <v>0</v>
      </c>
      <c r="BH64" s="44">
        <f t="shared" si="44"/>
        <v>0</v>
      </c>
      <c r="BI64" s="42">
        <f t="shared" si="17"/>
        <v>0</v>
      </c>
      <c r="BJ64" s="44">
        <f t="shared" ref="BJ64:BK96" si="45">+BB64+AT64+AL64+AE64</f>
        <v>0</v>
      </c>
      <c r="BK64" s="44">
        <f t="shared" si="45"/>
        <v>0</v>
      </c>
    </row>
    <row r="65" spans="1:63" ht="46.5" customHeight="1" x14ac:dyDescent="0.25">
      <c r="A65" s="298" t="s">
        <v>173</v>
      </c>
      <c r="B65" s="299" t="s">
        <v>169</v>
      </c>
      <c r="C65" s="1547"/>
      <c r="D65" s="1551"/>
      <c r="E65" s="1551"/>
      <c r="F65" s="1551"/>
      <c r="G65" s="1551"/>
      <c r="H65" s="1551"/>
      <c r="I65" s="1429"/>
      <c r="J65" s="1429" t="s">
        <v>53</v>
      </c>
      <c r="K65" s="1429" t="s">
        <v>219</v>
      </c>
      <c r="L65" s="301" t="s">
        <v>179</v>
      </c>
      <c r="M65" s="1425" t="s">
        <v>45</v>
      </c>
      <c r="N65" s="1425" t="s">
        <v>46</v>
      </c>
      <c r="O65" s="1425" t="s">
        <v>47</v>
      </c>
      <c r="P65" s="16" t="s">
        <v>220</v>
      </c>
      <c r="Q65" s="302" t="s">
        <v>221</v>
      </c>
      <c r="R65" s="303">
        <v>2015</v>
      </c>
      <c r="S65" s="303">
        <v>0</v>
      </c>
      <c r="T65" s="303">
        <v>1</v>
      </c>
      <c r="U65" s="572">
        <v>1</v>
      </c>
      <c r="V65" s="572">
        <v>1</v>
      </c>
      <c r="W65" s="572">
        <v>1</v>
      </c>
      <c r="X65" s="572">
        <v>1</v>
      </c>
      <c r="Y65" s="481"/>
      <c r="Z65" s="481"/>
      <c r="AA65" s="481"/>
      <c r="AB65" s="481"/>
      <c r="AC65" s="481"/>
      <c r="AD65" s="481"/>
      <c r="AE65" s="481"/>
      <c r="AF65" s="481">
        <f t="shared" si="43"/>
        <v>0</v>
      </c>
      <c r="AG65" s="548"/>
      <c r="AH65" s="548"/>
      <c r="AI65" s="548"/>
      <c r="AJ65" s="548"/>
      <c r="AK65" s="548"/>
      <c r="AL65" s="548"/>
      <c r="AM65" s="548">
        <f t="shared" si="38"/>
        <v>0</v>
      </c>
      <c r="AN65" s="481"/>
      <c r="AO65" s="481"/>
      <c r="AP65" s="481"/>
      <c r="AQ65" s="481"/>
      <c r="AR65" s="481"/>
      <c r="AS65" s="481"/>
      <c r="AT65" s="481"/>
      <c r="AU65" s="481">
        <f t="shared" si="40"/>
        <v>0</v>
      </c>
      <c r="AV65" s="548"/>
      <c r="AW65" s="548"/>
      <c r="AX65" s="548"/>
      <c r="AY65" s="548"/>
      <c r="AZ65" s="548"/>
      <c r="BA65" s="548"/>
      <c r="BB65" s="548"/>
      <c r="BC65" s="548">
        <f t="shared" si="42"/>
        <v>0</v>
      </c>
      <c r="BD65" s="42">
        <f t="shared" si="44"/>
        <v>0</v>
      </c>
      <c r="BE65" s="42">
        <f t="shared" si="44"/>
        <v>0</v>
      </c>
      <c r="BF65" s="42">
        <f t="shared" si="44"/>
        <v>0</v>
      </c>
      <c r="BG65" s="42">
        <f t="shared" si="44"/>
        <v>0</v>
      </c>
      <c r="BH65" s="42">
        <f t="shared" si="44"/>
        <v>0</v>
      </c>
      <c r="BI65" s="42">
        <f t="shared" si="17"/>
        <v>0</v>
      </c>
      <c r="BJ65" s="42">
        <f t="shared" si="45"/>
        <v>0</v>
      </c>
      <c r="BK65" s="42">
        <f t="shared" si="45"/>
        <v>0</v>
      </c>
    </row>
    <row r="66" spans="1:63" ht="37.5" customHeight="1" x14ac:dyDescent="0.25">
      <c r="A66" s="298" t="s">
        <v>173</v>
      </c>
      <c r="B66" s="299" t="s">
        <v>169</v>
      </c>
      <c r="C66" s="1547"/>
      <c r="D66" s="1551"/>
      <c r="E66" s="1551"/>
      <c r="F66" s="1551"/>
      <c r="G66" s="1551"/>
      <c r="H66" s="1551"/>
      <c r="I66" s="1429"/>
      <c r="J66" s="1429"/>
      <c r="K66" s="1429" t="s">
        <v>222</v>
      </c>
      <c r="L66" s="301" t="s">
        <v>179</v>
      </c>
      <c r="M66" s="1425" t="s">
        <v>45</v>
      </c>
      <c r="N66" s="1425" t="s">
        <v>46</v>
      </c>
      <c r="O66" s="1425" t="s">
        <v>47</v>
      </c>
      <c r="P66" s="16" t="s">
        <v>223</v>
      </c>
      <c r="Q66" s="302" t="s">
        <v>224</v>
      </c>
      <c r="R66" s="303">
        <v>2015</v>
      </c>
      <c r="S66" s="303">
        <v>0</v>
      </c>
      <c r="T66" s="303">
        <v>4</v>
      </c>
      <c r="U66" s="572">
        <v>8</v>
      </c>
      <c r="V66" s="572">
        <v>12</v>
      </c>
      <c r="W66" s="572">
        <v>16</v>
      </c>
      <c r="X66" s="572">
        <v>16</v>
      </c>
      <c r="Y66" s="481"/>
      <c r="Z66" s="481">
        <v>2</v>
      </c>
      <c r="AA66" s="481"/>
      <c r="AB66" s="481"/>
      <c r="AC66" s="481"/>
      <c r="AD66" s="481"/>
      <c r="AE66" s="481"/>
      <c r="AF66" s="481">
        <f t="shared" si="43"/>
        <v>2</v>
      </c>
      <c r="AG66" s="548"/>
      <c r="AH66" s="548">
        <v>5</v>
      </c>
      <c r="AI66" s="548"/>
      <c r="AJ66" s="548"/>
      <c r="AK66" s="548"/>
      <c r="AL66" s="548"/>
      <c r="AM66" s="548">
        <f t="shared" si="38"/>
        <v>5</v>
      </c>
      <c r="AN66" s="481"/>
      <c r="AO66" s="481">
        <v>5</v>
      </c>
      <c r="AP66" s="481"/>
      <c r="AQ66" s="481"/>
      <c r="AR66" s="481"/>
      <c r="AS66" s="481"/>
      <c r="AT66" s="481"/>
      <c r="AU66" s="481">
        <f t="shared" si="40"/>
        <v>5</v>
      </c>
      <c r="AV66" s="548"/>
      <c r="AW66" s="548">
        <v>5</v>
      </c>
      <c r="AX66" s="548"/>
      <c r="AY66" s="548"/>
      <c r="AZ66" s="548"/>
      <c r="BA66" s="548"/>
      <c r="BB66" s="548"/>
      <c r="BC66" s="548">
        <f t="shared" si="42"/>
        <v>5</v>
      </c>
      <c r="BD66" s="42">
        <f t="shared" si="44"/>
        <v>0</v>
      </c>
      <c r="BE66" s="42">
        <f t="shared" si="44"/>
        <v>17</v>
      </c>
      <c r="BF66" s="42">
        <f t="shared" si="44"/>
        <v>0</v>
      </c>
      <c r="BG66" s="42">
        <f t="shared" si="44"/>
        <v>0</v>
      </c>
      <c r="BH66" s="42">
        <f t="shared" si="44"/>
        <v>0</v>
      </c>
      <c r="BI66" s="42">
        <f t="shared" si="17"/>
        <v>0</v>
      </c>
      <c r="BJ66" s="42">
        <f t="shared" si="45"/>
        <v>0</v>
      </c>
      <c r="BK66" s="42">
        <f t="shared" si="45"/>
        <v>17</v>
      </c>
    </row>
    <row r="67" spans="1:63" ht="63" customHeight="1" x14ac:dyDescent="0.25">
      <c r="A67" s="298" t="s">
        <v>173</v>
      </c>
      <c r="B67" s="299" t="s">
        <v>169</v>
      </c>
      <c r="C67" s="1547"/>
      <c r="D67" s="1551"/>
      <c r="E67" s="1551"/>
      <c r="F67" s="1551"/>
      <c r="G67" s="1551"/>
      <c r="H67" s="1551"/>
      <c r="I67" s="1429"/>
      <c r="J67" s="1429"/>
      <c r="K67" s="1429" t="s">
        <v>225</v>
      </c>
      <c r="L67" s="301" t="s">
        <v>179</v>
      </c>
      <c r="M67" s="1425" t="s">
        <v>45</v>
      </c>
      <c r="N67" s="1425" t="s">
        <v>46</v>
      </c>
      <c r="O67" s="1425" t="s">
        <v>47</v>
      </c>
      <c r="P67" s="71" t="s">
        <v>226</v>
      </c>
      <c r="Q67" s="302" t="s">
        <v>227</v>
      </c>
      <c r="R67" s="303">
        <v>2015</v>
      </c>
      <c r="S67" s="303">
        <v>0</v>
      </c>
      <c r="T67" s="303">
        <v>1</v>
      </c>
      <c r="U67" s="572">
        <v>2</v>
      </c>
      <c r="V67" s="572">
        <v>2</v>
      </c>
      <c r="W67" s="572">
        <v>2</v>
      </c>
      <c r="X67" s="572">
        <v>2</v>
      </c>
      <c r="Y67" s="481"/>
      <c r="Z67" s="481"/>
      <c r="AA67" s="481">
        <v>6.5</v>
      </c>
      <c r="AB67" s="481"/>
      <c r="AC67" s="481"/>
      <c r="AD67" s="481"/>
      <c r="AE67" s="481"/>
      <c r="AF67" s="481">
        <f t="shared" si="43"/>
        <v>6.5</v>
      </c>
      <c r="AG67" s="548"/>
      <c r="AH67" s="548"/>
      <c r="AI67" s="548">
        <v>7</v>
      </c>
      <c r="AJ67" s="548"/>
      <c r="AK67" s="548"/>
      <c r="AL67" s="548"/>
      <c r="AM67" s="548">
        <f t="shared" si="38"/>
        <v>7</v>
      </c>
      <c r="AN67" s="481"/>
      <c r="AO67" s="481"/>
      <c r="AP67" s="481">
        <v>10</v>
      </c>
      <c r="AQ67" s="481"/>
      <c r="AR67" s="481"/>
      <c r="AS67" s="481"/>
      <c r="AT67" s="481"/>
      <c r="AU67" s="481">
        <f t="shared" si="40"/>
        <v>10</v>
      </c>
      <c r="AV67" s="548"/>
      <c r="AW67" s="548"/>
      <c r="AX67" s="548">
        <v>20</v>
      </c>
      <c r="AY67" s="548"/>
      <c r="AZ67" s="548"/>
      <c r="BA67" s="548"/>
      <c r="BB67" s="548"/>
      <c r="BC67" s="548">
        <f t="shared" si="42"/>
        <v>20</v>
      </c>
      <c r="BD67" s="42">
        <f t="shared" si="44"/>
        <v>0</v>
      </c>
      <c r="BE67" s="42">
        <f t="shared" si="44"/>
        <v>0</v>
      </c>
      <c r="BF67" s="42">
        <f t="shared" si="44"/>
        <v>43.5</v>
      </c>
      <c r="BG67" s="42">
        <f t="shared" si="44"/>
        <v>0</v>
      </c>
      <c r="BH67" s="42">
        <f t="shared" si="44"/>
        <v>0</v>
      </c>
      <c r="BI67" s="42">
        <f t="shared" si="17"/>
        <v>0</v>
      </c>
      <c r="BJ67" s="42">
        <f t="shared" si="45"/>
        <v>0</v>
      </c>
      <c r="BK67" s="42">
        <f t="shared" si="45"/>
        <v>43.5</v>
      </c>
    </row>
    <row r="68" spans="1:63" ht="56.25" customHeight="1" x14ac:dyDescent="0.25">
      <c r="A68" s="298" t="s">
        <v>173</v>
      </c>
      <c r="B68" s="299" t="s">
        <v>169</v>
      </c>
      <c r="C68" s="1547"/>
      <c r="D68" s="1551"/>
      <c r="E68" s="1551"/>
      <c r="F68" s="1551"/>
      <c r="G68" s="1551"/>
      <c r="H68" s="1551"/>
      <c r="I68" s="1429"/>
      <c r="J68" s="1429"/>
      <c r="K68" s="1429" t="s">
        <v>228</v>
      </c>
      <c r="L68" s="301" t="s">
        <v>179</v>
      </c>
      <c r="M68" s="1425" t="s">
        <v>45</v>
      </c>
      <c r="N68" s="1425" t="s">
        <v>46</v>
      </c>
      <c r="O68" s="1425" t="s">
        <v>47</v>
      </c>
      <c r="P68" s="16" t="s">
        <v>229</v>
      </c>
      <c r="Q68" s="302" t="s">
        <v>230</v>
      </c>
      <c r="R68" s="303">
        <v>2015</v>
      </c>
      <c r="S68" s="303">
        <v>50</v>
      </c>
      <c r="T68" s="303">
        <v>130</v>
      </c>
      <c r="U68" s="572">
        <v>210</v>
      </c>
      <c r="V68" s="572">
        <v>290</v>
      </c>
      <c r="W68" s="572">
        <v>320</v>
      </c>
      <c r="X68" s="572">
        <v>320</v>
      </c>
      <c r="Y68" s="481"/>
      <c r="Z68" s="481"/>
      <c r="AA68" s="481">
        <v>18</v>
      </c>
      <c r="AB68" s="481"/>
      <c r="AC68" s="481"/>
      <c r="AD68" s="481"/>
      <c r="AE68" s="481"/>
      <c r="AF68" s="481">
        <f t="shared" si="43"/>
        <v>18</v>
      </c>
      <c r="AG68" s="548"/>
      <c r="AH68" s="548"/>
      <c r="AI68" s="548">
        <v>18</v>
      </c>
      <c r="AJ68" s="548"/>
      <c r="AK68" s="548"/>
      <c r="AL68" s="548"/>
      <c r="AM68" s="548">
        <f t="shared" si="38"/>
        <v>18</v>
      </c>
      <c r="AN68" s="481"/>
      <c r="AO68" s="481"/>
      <c r="AP68" s="481">
        <v>18</v>
      </c>
      <c r="AQ68" s="481"/>
      <c r="AR68" s="481"/>
      <c r="AS68" s="481"/>
      <c r="AT68" s="481"/>
      <c r="AU68" s="481">
        <f t="shared" si="40"/>
        <v>18</v>
      </c>
      <c r="AV68" s="548"/>
      <c r="AW68" s="548"/>
      <c r="AX68" s="548">
        <v>15</v>
      </c>
      <c r="AY68" s="548"/>
      <c r="AZ68" s="548"/>
      <c r="BA68" s="548"/>
      <c r="BB68" s="548"/>
      <c r="BC68" s="548">
        <f t="shared" si="42"/>
        <v>15</v>
      </c>
      <c r="BD68" s="42">
        <f t="shared" si="44"/>
        <v>0</v>
      </c>
      <c r="BE68" s="42">
        <f t="shared" si="44"/>
        <v>0</v>
      </c>
      <c r="BF68" s="42">
        <f t="shared" si="44"/>
        <v>69</v>
      </c>
      <c r="BG68" s="42">
        <f t="shared" si="44"/>
        <v>0</v>
      </c>
      <c r="BH68" s="42">
        <f t="shared" si="44"/>
        <v>0</v>
      </c>
      <c r="BI68" s="42">
        <f t="shared" si="17"/>
        <v>0</v>
      </c>
      <c r="BJ68" s="42">
        <f t="shared" si="45"/>
        <v>0</v>
      </c>
      <c r="BK68" s="42">
        <f t="shared" si="45"/>
        <v>69</v>
      </c>
    </row>
    <row r="69" spans="1:63" ht="48" customHeight="1" x14ac:dyDescent="0.25">
      <c r="A69" s="298" t="s">
        <v>173</v>
      </c>
      <c r="B69" s="299" t="s">
        <v>169</v>
      </c>
      <c r="C69" s="1547"/>
      <c r="D69" s="1551"/>
      <c r="E69" s="1551"/>
      <c r="F69" s="1551"/>
      <c r="G69" s="1551"/>
      <c r="H69" s="1551"/>
      <c r="I69" s="1429"/>
      <c r="J69" s="1429"/>
      <c r="K69" s="1429" t="s">
        <v>231</v>
      </c>
      <c r="L69" s="301" t="s">
        <v>179</v>
      </c>
      <c r="M69" s="1425" t="s">
        <v>45</v>
      </c>
      <c r="N69" s="1425" t="s">
        <v>46</v>
      </c>
      <c r="O69" s="1425" t="s">
        <v>47</v>
      </c>
      <c r="P69" s="16" t="s">
        <v>232</v>
      </c>
      <c r="Q69" s="302" t="s">
        <v>233</v>
      </c>
      <c r="R69" s="303">
        <v>2015</v>
      </c>
      <c r="S69" s="303">
        <v>0</v>
      </c>
      <c r="T69" s="303">
        <v>0</v>
      </c>
      <c r="U69" s="572">
        <v>1</v>
      </c>
      <c r="V69" s="572">
        <v>1</v>
      </c>
      <c r="W69" s="572">
        <v>1</v>
      </c>
      <c r="X69" s="572">
        <v>1</v>
      </c>
      <c r="Y69" s="481"/>
      <c r="Z69" s="481"/>
      <c r="AA69" s="481"/>
      <c r="AB69" s="481"/>
      <c r="AC69" s="481"/>
      <c r="AD69" s="481"/>
      <c r="AE69" s="481"/>
      <c r="AF69" s="481">
        <f t="shared" si="43"/>
        <v>0</v>
      </c>
      <c r="AG69" s="548"/>
      <c r="AH69" s="548"/>
      <c r="AI69" s="548"/>
      <c r="AJ69" s="548"/>
      <c r="AK69" s="548"/>
      <c r="AL69" s="548"/>
      <c r="AM69" s="548">
        <f t="shared" si="38"/>
        <v>0</v>
      </c>
      <c r="AN69" s="481"/>
      <c r="AO69" s="481"/>
      <c r="AP69" s="481"/>
      <c r="AQ69" s="481"/>
      <c r="AR69" s="481"/>
      <c r="AS69" s="481"/>
      <c r="AT69" s="481"/>
      <c r="AU69" s="481">
        <f t="shared" si="40"/>
        <v>0</v>
      </c>
      <c r="AV69" s="548"/>
      <c r="AW69" s="548"/>
      <c r="AX69" s="548"/>
      <c r="AY69" s="548"/>
      <c r="AZ69" s="548"/>
      <c r="BA69" s="548"/>
      <c r="BB69" s="548"/>
      <c r="BC69" s="548">
        <f t="shared" si="42"/>
        <v>0</v>
      </c>
      <c r="BD69" s="42">
        <f t="shared" si="44"/>
        <v>0</v>
      </c>
      <c r="BE69" s="42">
        <f t="shared" si="44"/>
        <v>0</v>
      </c>
      <c r="BF69" s="42">
        <f t="shared" si="44"/>
        <v>0</v>
      </c>
      <c r="BG69" s="42">
        <f t="shared" si="44"/>
        <v>0</v>
      </c>
      <c r="BH69" s="42">
        <f t="shared" si="44"/>
        <v>0</v>
      </c>
      <c r="BI69" s="42">
        <f t="shared" si="17"/>
        <v>0</v>
      </c>
      <c r="BJ69" s="42">
        <f t="shared" si="45"/>
        <v>0</v>
      </c>
      <c r="BK69" s="42">
        <f t="shared" si="45"/>
        <v>0</v>
      </c>
    </row>
    <row r="70" spans="1:63" ht="43.5" customHeight="1" x14ac:dyDescent="0.25">
      <c r="A70" s="298" t="s">
        <v>173</v>
      </c>
      <c r="B70" s="299" t="s">
        <v>169</v>
      </c>
      <c r="C70" s="1547"/>
      <c r="D70" s="1551"/>
      <c r="E70" s="1551"/>
      <c r="F70" s="1551"/>
      <c r="G70" s="1551"/>
      <c r="H70" s="1551"/>
      <c r="I70" s="1429"/>
      <c r="J70" s="1429"/>
      <c r="K70" s="1429" t="s">
        <v>234</v>
      </c>
      <c r="L70" s="301" t="s">
        <v>179</v>
      </c>
      <c r="M70" s="1425" t="s">
        <v>45</v>
      </c>
      <c r="N70" s="1425" t="s">
        <v>46</v>
      </c>
      <c r="O70" s="1425" t="s">
        <v>47</v>
      </c>
      <c r="P70" s="16" t="s">
        <v>235</v>
      </c>
      <c r="Q70" s="302" t="s">
        <v>236</v>
      </c>
      <c r="R70" s="303">
        <v>2015</v>
      </c>
      <c r="S70" s="303">
        <v>0</v>
      </c>
      <c r="T70" s="303">
        <v>0</v>
      </c>
      <c r="U70" s="572">
        <v>3</v>
      </c>
      <c r="V70" s="572">
        <v>6</v>
      </c>
      <c r="W70" s="572">
        <v>9</v>
      </c>
      <c r="X70" s="572">
        <v>9</v>
      </c>
      <c r="Y70" s="481"/>
      <c r="Z70" s="481">
        <v>2</v>
      </c>
      <c r="AA70" s="481"/>
      <c r="AB70" s="481"/>
      <c r="AC70" s="481"/>
      <c r="AD70" s="481"/>
      <c r="AE70" s="481"/>
      <c r="AF70" s="481">
        <f t="shared" si="43"/>
        <v>2</v>
      </c>
      <c r="AG70" s="548"/>
      <c r="AH70" s="548"/>
      <c r="AI70" s="548"/>
      <c r="AJ70" s="548"/>
      <c r="AK70" s="548"/>
      <c r="AL70" s="548"/>
      <c r="AM70" s="548">
        <f t="shared" si="38"/>
        <v>0</v>
      </c>
      <c r="AN70" s="481"/>
      <c r="AO70" s="481"/>
      <c r="AP70" s="481"/>
      <c r="AQ70" s="481"/>
      <c r="AR70" s="481"/>
      <c r="AS70" s="481"/>
      <c r="AT70" s="481"/>
      <c r="AU70" s="481">
        <f t="shared" si="40"/>
        <v>0</v>
      </c>
      <c r="AV70" s="548"/>
      <c r="AW70" s="548"/>
      <c r="AX70" s="548"/>
      <c r="AY70" s="548"/>
      <c r="AZ70" s="548"/>
      <c r="BA70" s="548"/>
      <c r="BB70" s="548"/>
      <c r="BC70" s="548">
        <f t="shared" si="42"/>
        <v>0</v>
      </c>
      <c r="BD70" s="42">
        <f t="shared" si="44"/>
        <v>0</v>
      </c>
      <c r="BE70" s="42">
        <f t="shared" si="44"/>
        <v>2</v>
      </c>
      <c r="BF70" s="42">
        <f t="shared" si="44"/>
        <v>0</v>
      </c>
      <c r="BG70" s="42">
        <f t="shared" si="44"/>
        <v>0</v>
      </c>
      <c r="BH70" s="42">
        <f t="shared" si="44"/>
        <v>0</v>
      </c>
      <c r="BI70" s="42">
        <f t="shared" si="17"/>
        <v>0</v>
      </c>
      <c r="BJ70" s="42">
        <f t="shared" si="45"/>
        <v>0</v>
      </c>
      <c r="BK70" s="42">
        <f t="shared" si="45"/>
        <v>2</v>
      </c>
    </row>
    <row r="71" spans="1:63" ht="65.25" customHeight="1" x14ac:dyDescent="0.25">
      <c r="A71" s="298" t="s">
        <v>173</v>
      </c>
      <c r="B71" s="299" t="s">
        <v>169</v>
      </c>
      <c r="C71" s="1547"/>
      <c r="D71" s="1551"/>
      <c r="E71" s="1551"/>
      <c r="F71" s="1551"/>
      <c r="G71" s="1551"/>
      <c r="H71" s="1551"/>
      <c r="I71" s="1429"/>
      <c r="J71" s="1429"/>
      <c r="K71" s="1429" t="s">
        <v>237</v>
      </c>
      <c r="L71" s="301" t="s">
        <v>179</v>
      </c>
      <c r="M71" s="1425" t="s">
        <v>45</v>
      </c>
      <c r="N71" s="1425" t="s">
        <v>46</v>
      </c>
      <c r="O71" s="1425" t="s">
        <v>73</v>
      </c>
      <c r="P71" s="16" t="s">
        <v>238</v>
      </c>
      <c r="Q71" s="302" t="s">
        <v>239</v>
      </c>
      <c r="R71" s="303">
        <v>2015</v>
      </c>
      <c r="S71" s="303">
        <v>0</v>
      </c>
      <c r="T71" s="303">
        <v>1</v>
      </c>
      <c r="U71" s="572">
        <v>1</v>
      </c>
      <c r="V71" s="572">
        <v>1</v>
      </c>
      <c r="W71" s="572">
        <v>1</v>
      </c>
      <c r="X71" s="572">
        <v>1</v>
      </c>
      <c r="Y71" s="481"/>
      <c r="Z71" s="481">
        <v>2</v>
      </c>
      <c r="AA71" s="481">
        <v>5</v>
      </c>
      <c r="AB71" s="481"/>
      <c r="AC71" s="481"/>
      <c r="AD71" s="481"/>
      <c r="AE71" s="481"/>
      <c r="AF71" s="481">
        <f t="shared" si="43"/>
        <v>7</v>
      </c>
      <c r="AG71" s="548"/>
      <c r="AH71" s="548">
        <v>5</v>
      </c>
      <c r="AI71" s="548">
        <v>5</v>
      </c>
      <c r="AJ71" s="548"/>
      <c r="AK71" s="548"/>
      <c r="AL71" s="548"/>
      <c r="AM71" s="548">
        <f t="shared" si="38"/>
        <v>10</v>
      </c>
      <c r="AN71" s="481"/>
      <c r="AO71" s="481">
        <v>5</v>
      </c>
      <c r="AP71" s="481">
        <v>5</v>
      </c>
      <c r="AQ71" s="481"/>
      <c r="AR71" s="481"/>
      <c r="AS71" s="481"/>
      <c r="AT71" s="481"/>
      <c r="AU71" s="481">
        <f t="shared" si="40"/>
        <v>10</v>
      </c>
      <c r="AV71" s="548"/>
      <c r="AW71" s="548">
        <v>5</v>
      </c>
      <c r="AX71" s="548">
        <v>5</v>
      </c>
      <c r="AY71" s="548"/>
      <c r="AZ71" s="548"/>
      <c r="BA71" s="548"/>
      <c r="BB71" s="548"/>
      <c r="BC71" s="548">
        <f t="shared" si="42"/>
        <v>10</v>
      </c>
      <c r="BD71" s="42">
        <f t="shared" si="44"/>
        <v>0</v>
      </c>
      <c r="BE71" s="42">
        <f t="shared" si="44"/>
        <v>17</v>
      </c>
      <c r="BF71" s="42">
        <f t="shared" si="44"/>
        <v>20</v>
      </c>
      <c r="BG71" s="42">
        <f t="shared" si="44"/>
        <v>0</v>
      </c>
      <c r="BH71" s="42">
        <f t="shared" si="44"/>
        <v>0</v>
      </c>
      <c r="BI71" s="42">
        <f t="shared" si="17"/>
        <v>0</v>
      </c>
      <c r="BJ71" s="42">
        <f t="shared" si="45"/>
        <v>0</v>
      </c>
      <c r="BK71" s="42">
        <f t="shared" si="45"/>
        <v>37</v>
      </c>
    </row>
    <row r="72" spans="1:63" ht="57.75" customHeight="1" x14ac:dyDescent="0.25">
      <c r="A72" s="298" t="s">
        <v>173</v>
      </c>
      <c r="B72" s="299" t="s">
        <v>169</v>
      </c>
      <c r="C72" s="1547"/>
      <c r="D72" s="1551"/>
      <c r="E72" s="1551"/>
      <c r="F72" s="1551"/>
      <c r="G72" s="1551"/>
      <c r="H72" s="1551"/>
      <c r="I72" s="1423"/>
      <c r="J72" s="1423"/>
      <c r="K72" s="1429" t="s">
        <v>240</v>
      </c>
      <c r="L72" s="301" t="s">
        <v>179</v>
      </c>
      <c r="M72" s="1425" t="s">
        <v>45</v>
      </c>
      <c r="N72" s="1425" t="s">
        <v>46</v>
      </c>
      <c r="O72" s="1425" t="s">
        <v>73</v>
      </c>
      <c r="P72" s="70" t="s">
        <v>241</v>
      </c>
      <c r="Q72" s="302" t="s">
        <v>242</v>
      </c>
      <c r="R72" s="303">
        <v>2015</v>
      </c>
      <c r="S72" s="303">
        <v>1</v>
      </c>
      <c r="T72" s="303">
        <v>1</v>
      </c>
      <c r="U72" s="572">
        <v>1</v>
      </c>
      <c r="V72" s="572">
        <v>1</v>
      </c>
      <c r="W72" s="572">
        <v>1</v>
      </c>
      <c r="X72" s="572">
        <v>1</v>
      </c>
      <c r="Y72" s="481"/>
      <c r="Z72" s="481"/>
      <c r="AA72" s="481">
        <v>2</v>
      </c>
      <c r="AB72" s="481"/>
      <c r="AC72" s="481"/>
      <c r="AD72" s="481">
        <v>0</v>
      </c>
      <c r="AE72" s="481"/>
      <c r="AF72" s="481">
        <f t="shared" si="43"/>
        <v>2</v>
      </c>
      <c r="AG72" s="548"/>
      <c r="AH72" s="548"/>
      <c r="AI72" s="548">
        <v>7</v>
      </c>
      <c r="AJ72" s="548"/>
      <c r="AK72" s="548"/>
      <c r="AL72" s="548"/>
      <c r="AM72" s="548">
        <f t="shared" si="38"/>
        <v>7</v>
      </c>
      <c r="AN72" s="481"/>
      <c r="AO72" s="481"/>
      <c r="AP72" s="481">
        <v>7</v>
      </c>
      <c r="AQ72" s="481"/>
      <c r="AR72" s="481"/>
      <c r="AS72" s="481"/>
      <c r="AT72" s="481"/>
      <c r="AU72" s="481">
        <f t="shared" si="40"/>
        <v>7</v>
      </c>
      <c r="AV72" s="548"/>
      <c r="AW72" s="548"/>
      <c r="AX72" s="548">
        <v>9</v>
      </c>
      <c r="AY72" s="548"/>
      <c r="AZ72" s="548"/>
      <c r="BA72" s="548"/>
      <c r="BB72" s="548"/>
      <c r="BC72" s="548">
        <f t="shared" si="42"/>
        <v>9</v>
      </c>
      <c r="BD72" s="42">
        <f t="shared" si="44"/>
        <v>0</v>
      </c>
      <c r="BE72" s="42">
        <f t="shared" si="44"/>
        <v>0</v>
      </c>
      <c r="BF72" s="42">
        <f t="shared" si="44"/>
        <v>25</v>
      </c>
      <c r="BG72" s="42">
        <f t="shared" si="44"/>
        <v>0</v>
      </c>
      <c r="BH72" s="42">
        <f t="shared" si="44"/>
        <v>0</v>
      </c>
      <c r="BI72" s="42">
        <f t="shared" si="17"/>
        <v>0</v>
      </c>
      <c r="BJ72" s="42">
        <f t="shared" si="45"/>
        <v>0</v>
      </c>
      <c r="BK72" s="42">
        <f t="shared" si="45"/>
        <v>25</v>
      </c>
    </row>
    <row r="73" spans="1:63" ht="39.75" customHeight="1" x14ac:dyDescent="0.25">
      <c r="A73" s="298" t="s">
        <v>173</v>
      </c>
      <c r="B73" s="299" t="s">
        <v>169</v>
      </c>
      <c r="C73" s="1547"/>
      <c r="D73" s="1551"/>
      <c r="E73" s="1551"/>
      <c r="F73" s="1551"/>
      <c r="G73" s="1551"/>
      <c r="H73" s="1551"/>
      <c r="I73" s="1423"/>
      <c r="J73" s="1423"/>
      <c r="K73" s="1429" t="s">
        <v>243</v>
      </c>
      <c r="L73" s="301" t="s">
        <v>179</v>
      </c>
      <c r="M73" s="1425" t="s">
        <v>45</v>
      </c>
      <c r="N73" s="1425" t="s">
        <v>46</v>
      </c>
      <c r="O73" s="1425" t="s">
        <v>47</v>
      </c>
      <c r="P73" s="70" t="s">
        <v>244</v>
      </c>
      <c r="Q73" s="302" t="s">
        <v>245</v>
      </c>
      <c r="R73" s="303">
        <v>2015</v>
      </c>
      <c r="S73" s="303">
        <v>0</v>
      </c>
      <c r="T73" s="303">
        <v>0</v>
      </c>
      <c r="U73" s="572">
        <v>1</v>
      </c>
      <c r="V73" s="572">
        <v>1</v>
      </c>
      <c r="W73" s="572">
        <v>1</v>
      </c>
      <c r="X73" s="572">
        <v>1</v>
      </c>
      <c r="Y73" s="481"/>
      <c r="Z73" s="481"/>
      <c r="AA73" s="481"/>
      <c r="AB73" s="481"/>
      <c r="AC73" s="481"/>
      <c r="AD73" s="481"/>
      <c r="AE73" s="481"/>
      <c r="AF73" s="481">
        <f>SUM(Y73:AE73)</f>
        <v>0</v>
      </c>
      <c r="AG73" s="548"/>
      <c r="AH73" s="548"/>
      <c r="AI73" s="548"/>
      <c r="AJ73" s="548"/>
      <c r="AK73" s="548"/>
      <c r="AL73" s="548"/>
      <c r="AM73" s="548">
        <f>SUM(AG73:AL73)</f>
        <v>0</v>
      </c>
      <c r="AN73" s="481"/>
      <c r="AO73" s="481"/>
      <c r="AP73" s="481"/>
      <c r="AQ73" s="481"/>
      <c r="AR73" s="481"/>
      <c r="AS73" s="481"/>
      <c r="AT73" s="481"/>
      <c r="AU73" s="481">
        <f>SUM(AN73:AT73)</f>
        <v>0</v>
      </c>
      <c r="AV73" s="548"/>
      <c r="AW73" s="548"/>
      <c r="AX73" s="548"/>
      <c r="AY73" s="548"/>
      <c r="AZ73" s="548"/>
      <c r="BA73" s="548"/>
      <c r="BB73" s="548"/>
      <c r="BC73" s="548">
        <f>SUM(AV73:BB73)</f>
        <v>0</v>
      </c>
      <c r="BD73" s="42">
        <f>+AV73+AN73+AG73+Y73</f>
        <v>0</v>
      </c>
      <c r="BE73" s="42">
        <f>+AW73+AO73+AH73+Z73</f>
        <v>0</v>
      </c>
      <c r="BF73" s="42">
        <f>+AX73+AP73+AI73+AA73</f>
        <v>0</v>
      </c>
      <c r="BG73" s="42">
        <f>+AY73+AQ73+AJ73+AB73</f>
        <v>0</v>
      </c>
      <c r="BH73" s="42">
        <f>+AZ73+AR73+AK73+AC73</f>
        <v>0</v>
      </c>
      <c r="BI73" s="42">
        <f>+AD73+AS73+BA73</f>
        <v>0</v>
      </c>
      <c r="BJ73" s="42">
        <f>+BB73+AT73+AL73+AE73</f>
        <v>0</v>
      </c>
      <c r="BK73" s="42">
        <f>+BC73+AU73+AM73+AF73</f>
        <v>0</v>
      </c>
    </row>
    <row r="74" spans="1:63" ht="63.75" customHeight="1" x14ac:dyDescent="0.25">
      <c r="A74" s="298" t="s">
        <v>173</v>
      </c>
      <c r="B74" s="299" t="s">
        <v>169</v>
      </c>
      <c r="C74" s="1547"/>
      <c r="D74" s="1551"/>
      <c r="E74" s="1551"/>
      <c r="F74" s="1551"/>
      <c r="G74" s="1551"/>
      <c r="H74" s="1551"/>
      <c r="I74" s="1423"/>
      <c r="J74" s="1423"/>
      <c r="K74" s="1429" t="s">
        <v>246</v>
      </c>
      <c r="L74" s="301" t="s">
        <v>179</v>
      </c>
      <c r="M74" s="1425" t="s">
        <v>45</v>
      </c>
      <c r="N74" s="1425" t="s">
        <v>46</v>
      </c>
      <c r="O74" s="1425" t="s">
        <v>73</v>
      </c>
      <c r="P74" s="70" t="s">
        <v>247</v>
      </c>
      <c r="Q74" s="302" t="s">
        <v>248</v>
      </c>
      <c r="R74" s="303">
        <v>2015</v>
      </c>
      <c r="S74" s="303">
        <v>0</v>
      </c>
      <c r="T74" s="303">
        <v>1</v>
      </c>
      <c r="U74" s="572">
        <v>1</v>
      </c>
      <c r="V74" s="572">
        <v>1</v>
      </c>
      <c r="W74" s="572">
        <v>1</v>
      </c>
      <c r="X74" s="572">
        <v>1</v>
      </c>
      <c r="Y74" s="481"/>
      <c r="Z74" s="481">
        <v>2</v>
      </c>
      <c r="AA74" s="481"/>
      <c r="AB74" s="481"/>
      <c r="AC74" s="481"/>
      <c r="AD74" s="481"/>
      <c r="AE74" s="481"/>
      <c r="AF74" s="481">
        <f t="shared" si="43"/>
        <v>2</v>
      </c>
      <c r="AG74" s="548"/>
      <c r="AH74" s="548">
        <v>5</v>
      </c>
      <c r="AI74" s="548"/>
      <c r="AJ74" s="548"/>
      <c r="AK74" s="548"/>
      <c r="AL74" s="548"/>
      <c r="AM74" s="548">
        <f>SUM(AG74:AL74)</f>
        <v>5</v>
      </c>
      <c r="AN74" s="481"/>
      <c r="AO74" s="481">
        <v>5</v>
      </c>
      <c r="AP74" s="481"/>
      <c r="AQ74" s="481"/>
      <c r="AR74" s="481"/>
      <c r="AS74" s="481"/>
      <c r="AT74" s="481"/>
      <c r="AU74" s="481">
        <f>SUM(AN74:AT74)</f>
        <v>5</v>
      </c>
      <c r="AV74" s="548"/>
      <c r="AW74" s="548">
        <v>5</v>
      </c>
      <c r="AX74" s="548"/>
      <c r="AY74" s="548"/>
      <c r="AZ74" s="548"/>
      <c r="BA74" s="548"/>
      <c r="BB74" s="548"/>
      <c r="BC74" s="548">
        <f>SUM(AV74:BB74)</f>
        <v>5</v>
      </c>
      <c r="BD74" s="42">
        <f t="shared" si="44"/>
        <v>0</v>
      </c>
      <c r="BE74" s="42">
        <f t="shared" si="44"/>
        <v>17</v>
      </c>
      <c r="BF74" s="42">
        <f t="shared" si="44"/>
        <v>0</v>
      </c>
      <c r="BG74" s="42">
        <f t="shared" si="44"/>
        <v>0</v>
      </c>
      <c r="BH74" s="42">
        <f t="shared" si="44"/>
        <v>0</v>
      </c>
      <c r="BI74" s="42">
        <f t="shared" si="17"/>
        <v>0</v>
      </c>
      <c r="BJ74" s="42">
        <f t="shared" si="45"/>
        <v>0</v>
      </c>
      <c r="BK74" s="42">
        <f t="shared" si="45"/>
        <v>17</v>
      </c>
    </row>
    <row r="75" spans="1:63" ht="12.75" x14ac:dyDescent="0.2">
      <c r="A75" s="295" t="s">
        <v>173</v>
      </c>
      <c r="B75" s="24" t="s">
        <v>169</v>
      </c>
      <c r="C75" s="24"/>
      <c r="D75" s="14" t="s">
        <v>249</v>
      </c>
      <c r="E75" s="57"/>
      <c r="F75" s="12"/>
      <c r="G75" s="12"/>
      <c r="H75" s="12"/>
      <c r="I75" s="13"/>
      <c r="J75" s="13"/>
      <c r="K75" s="13"/>
      <c r="L75" s="13"/>
      <c r="M75" s="13"/>
      <c r="N75" s="1"/>
      <c r="O75" s="13"/>
      <c r="P75" s="25"/>
      <c r="Q75" s="25"/>
      <c r="R75" s="17"/>
      <c r="S75" s="17"/>
      <c r="T75" s="17"/>
      <c r="U75" s="66"/>
      <c r="V75" s="66"/>
      <c r="W75" s="66"/>
      <c r="X75" s="66"/>
      <c r="Y75" s="43">
        <f t="shared" ref="Y75:AE75" si="46">SUBTOTAL(9,Y76:Y84)</f>
        <v>0</v>
      </c>
      <c r="Z75" s="43">
        <f t="shared" si="46"/>
        <v>10.1</v>
      </c>
      <c r="AA75" s="43">
        <f t="shared" si="46"/>
        <v>29.9</v>
      </c>
      <c r="AB75" s="43">
        <f t="shared" si="46"/>
        <v>250</v>
      </c>
      <c r="AC75" s="43">
        <f t="shared" si="46"/>
        <v>0</v>
      </c>
      <c r="AD75" s="43">
        <f t="shared" si="46"/>
        <v>3.1</v>
      </c>
      <c r="AE75" s="43">
        <f t="shared" si="46"/>
        <v>0</v>
      </c>
      <c r="AF75" s="43">
        <f t="shared" si="43"/>
        <v>293.10000000000002</v>
      </c>
      <c r="AG75" s="43">
        <f t="shared" ref="AG75:BC75" si="47">SUBTOTAL(9,AG76:AG84)</f>
        <v>0</v>
      </c>
      <c r="AH75" s="43">
        <f t="shared" si="47"/>
        <v>3</v>
      </c>
      <c r="AI75" s="43">
        <f t="shared" si="47"/>
        <v>9</v>
      </c>
      <c r="AJ75" s="43">
        <f t="shared" si="47"/>
        <v>0</v>
      </c>
      <c r="AK75" s="43">
        <f t="shared" si="47"/>
        <v>0</v>
      </c>
      <c r="AL75" s="43">
        <f t="shared" si="47"/>
        <v>0</v>
      </c>
      <c r="AM75" s="43">
        <f t="shared" si="47"/>
        <v>12</v>
      </c>
      <c r="AN75" s="43">
        <f t="shared" si="47"/>
        <v>0</v>
      </c>
      <c r="AO75" s="43">
        <f t="shared" si="47"/>
        <v>3</v>
      </c>
      <c r="AP75" s="43">
        <f t="shared" si="47"/>
        <v>9</v>
      </c>
      <c r="AQ75" s="43">
        <f t="shared" si="47"/>
        <v>0</v>
      </c>
      <c r="AR75" s="43">
        <f t="shared" si="47"/>
        <v>0</v>
      </c>
      <c r="AS75" s="43">
        <f t="shared" si="47"/>
        <v>0</v>
      </c>
      <c r="AT75" s="43">
        <f t="shared" si="47"/>
        <v>0</v>
      </c>
      <c r="AU75" s="43">
        <f t="shared" si="47"/>
        <v>12</v>
      </c>
      <c r="AV75" s="43">
        <f t="shared" si="47"/>
        <v>0</v>
      </c>
      <c r="AW75" s="43">
        <f t="shared" si="47"/>
        <v>5</v>
      </c>
      <c r="AX75" s="43">
        <f t="shared" si="47"/>
        <v>9</v>
      </c>
      <c r="AY75" s="43">
        <f t="shared" si="47"/>
        <v>0</v>
      </c>
      <c r="AZ75" s="43">
        <f t="shared" si="47"/>
        <v>0</v>
      </c>
      <c r="BA75" s="43">
        <f t="shared" si="47"/>
        <v>0</v>
      </c>
      <c r="BB75" s="43">
        <f t="shared" si="47"/>
        <v>0</v>
      </c>
      <c r="BC75" s="43">
        <f t="shared" si="47"/>
        <v>14</v>
      </c>
      <c r="BD75" s="43">
        <f t="shared" si="44"/>
        <v>0</v>
      </c>
      <c r="BE75" s="43">
        <f t="shared" si="44"/>
        <v>21.1</v>
      </c>
      <c r="BF75" s="43">
        <f t="shared" si="44"/>
        <v>56.9</v>
      </c>
      <c r="BG75" s="43">
        <f t="shared" si="44"/>
        <v>250</v>
      </c>
      <c r="BH75" s="43">
        <f t="shared" si="44"/>
        <v>0</v>
      </c>
      <c r="BI75" s="43">
        <f t="shared" si="17"/>
        <v>3.1</v>
      </c>
      <c r="BJ75" s="43">
        <f t="shared" si="45"/>
        <v>0</v>
      </c>
      <c r="BK75" s="43">
        <f t="shared" si="45"/>
        <v>331.1</v>
      </c>
    </row>
    <row r="76" spans="1:63" ht="63.75" customHeight="1" x14ac:dyDescent="0.25">
      <c r="A76" s="298" t="s">
        <v>173</v>
      </c>
      <c r="B76" s="299" t="s">
        <v>169</v>
      </c>
      <c r="C76" s="1546" t="s">
        <v>250</v>
      </c>
      <c r="D76" s="1549" t="s">
        <v>251</v>
      </c>
      <c r="E76" s="1549" t="s">
        <v>252</v>
      </c>
      <c r="F76" s="1549">
        <v>2015</v>
      </c>
      <c r="G76" s="1549">
        <v>5589</v>
      </c>
      <c r="H76" s="1549">
        <v>7000</v>
      </c>
      <c r="I76" s="1429"/>
      <c r="J76" s="1429"/>
      <c r="K76" s="1429" t="s">
        <v>253</v>
      </c>
      <c r="L76" s="301" t="s">
        <v>179</v>
      </c>
      <c r="M76" s="1425" t="s">
        <v>45</v>
      </c>
      <c r="N76" s="1425" t="s">
        <v>46</v>
      </c>
      <c r="O76" s="1425" t="s">
        <v>47</v>
      </c>
      <c r="P76" s="16" t="s">
        <v>254</v>
      </c>
      <c r="Q76" s="302" t="s">
        <v>255</v>
      </c>
      <c r="R76" s="303">
        <v>2015</v>
      </c>
      <c r="S76" s="303" t="s">
        <v>177</v>
      </c>
      <c r="T76" s="303">
        <v>100</v>
      </c>
      <c r="U76" s="572">
        <v>200</v>
      </c>
      <c r="V76" s="572">
        <v>300</v>
      </c>
      <c r="W76" s="572">
        <v>400</v>
      </c>
      <c r="X76" s="572">
        <v>400</v>
      </c>
      <c r="Y76" s="481"/>
      <c r="Z76" s="481">
        <v>1</v>
      </c>
      <c r="AA76" s="481">
        <v>1</v>
      </c>
      <c r="AB76" s="481"/>
      <c r="AC76" s="481"/>
      <c r="AD76" s="481"/>
      <c r="AE76" s="481"/>
      <c r="AF76" s="481">
        <f t="shared" si="43"/>
        <v>2</v>
      </c>
      <c r="AG76" s="548"/>
      <c r="AH76" s="548"/>
      <c r="AI76" s="548"/>
      <c r="AJ76" s="548"/>
      <c r="AK76" s="548"/>
      <c r="AL76" s="548"/>
      <c r="AM76" s="548">
        <f t="shared" ref="AM76:AM83" si="48">SUM(AG76:AL76)</f>
        <v>0</v>
      </c>
      <c r="AN76" s="481"/>
      <c r="AO76" s="481"/>
      <c r="AP76" s="481"/>
      <c r="AQ76" s="481"/>
      <c r="AR76" s="481"/>
      <c r="AS76" s="481"/>
      <c r="AT76" s="481"/>
      <c r="AU76" s="481">
        <f t="shared" ref="AU76:AU82" si="49">SUM(AN76:AT76)</f>
        <v>0</v>
      </c>
      <c r="AV76" s="548"/>
      <c r="AW76" s="548"/>
      <c r="AX76" s="548"/>
      <c r="AY76" s="548"/>
      <c r="AZ76" s="548"/>
      <c r="BA76" s="548"/>
      <c r="BB76" s="548"/>
      <c r="BC76" s="548">
        <f t="shared" ref="BC76:BC82" si="50">SUM(AV76:BB76)</f>
        <v>0</v>
      </c>
      <c r="BD76" s="42">
        <f t="shared" si="44"/>
        <v>0</v>
      </c>
      <c r="BE76" s="42">
        <f t="shared" si="44"/>
        <v>1</v>
      </c>
      <c r="BF76" s="42">
        <f t="shared" si="44"/>
        <v>1</v>
      </c>
      <c r="BG76" s="42">
        <f t="shared" si="44"/>
        <v>0</v>
      </c>
      <c r="BH76" s="42">
        <f t="shared" si="44"/>
        <v>0</v>
      </c>
      <c r="BI76" s="42">
        <f t="shared" si="17"/>
        <v>0</v>
      </c>
      <c r="BJ76" s="42">
        <f t="shared" si="45"/>
        <v>0</v>
      </c>
      <c r="BK76" s="42">
        <f t="shared" si="45"/>
        <v>2</v>
      </c>
    </row>
    <row r="77" spans="1:63" ht="44.25" customHeight="1" x14ac:dyDescent="0.25">
      <c r="A77" s="298" t="s">
        <v>173</v>
      </c>
      <c r="B77" s="299" t="s">
        <v>169</v>
      </c>
      <c r="C77" s="1547"/>
      <c r="D77" s="1549"/>
      <c r="E77" s="1549"/>
      <c r="F77" s="1549"/>
      <c r="G77" s="1549"/>
      <c r="H77" s="1549"/>
      <c r="I77" s="1429"/>
      <c r="J77" s="1429"/>
      <c r="K77" s="1429" t="s">
        <v>256</v>
      </c>
      <c r="L77" s="301" t="s">
        <v>179</v>
      </c>
      <c r="M77" s="1425" t="s">
        <v>45</v>
      </c>
      <c r="N77" s="1425" t="s">
        <v>46</v>
      </c>
      <c r="O77" s="1425" t="s">
        <v>47</v>
      </c>
      <c r="P77" s="16" t="s">
        <v>257</v>
      </c>
      <c r="Q77" s="302" t="s">
        <v>258</v>
      </c>
      <c r="R77" s="303">
        <v>2015</v>
      </c>
      <c r="S77" s="303" t="s">
        <v>177</v>
      </c>
      <c r="T77" s="303">
        <v>250</v>
      </c>
      <c r="U77" s="572">
        <v>500</v>
      </c>
      <c r="V77" s="572">
        <v>750</v>
      </c>
      <c r="W77" s="572">
        <v>1000</v>
      </c>
      <c r="X77" s="572">
        <v>1000</v>
      </c>
      <c r="Y77" s="481"/>
      <c r="Z77" s="481">
        <v>1</v>
      </c>
      <c r="AA77" s="481">
        <v>1</v>
      </c>
      <c r="AB77" s="481"/>
      <c r="AC77" s="481"/>
      <c r="AD77" s="481"/>
      <c r="AE77" s="481"/>
      <c r="AF77" s="481">
        <f t="shared" si="43"/>
        <v>2</v>
      </c>
      <c r="AG77" s="548"/>
      <c r="AH77" s="548"/>
      <c r="AI77" s="548"/>
      <c r="AJ77" s="548"/>
      <c r="AK77" s="548"/>
      <c r="AL77" s="548"/>
      <c r="AM77" s="548">
        <f t="shared" si="48"/>
        <v>0</v>
      </c>
      <c r="AN77" s="481"/>
      <c r="AO77" s="481"/>
      <c r="AP77" s="481"/>
      <c r="AQ77" s="481"/>
      <c r="AR77" s="481"/>
      <c r="AS77" s="481"/>
      <c r="AT77" s="481"/>
      <c r="AU77" s="481">
        <f t="shared" si="49"/>
        <v>0</v>
      </c>
      <c r="AV77" s="548"/>
      <c r="AW77" s="548"/>
      <c r="AX77" s="548"/>
      <c r="AY77" s="548"/>
      <c r="AZ77" s="548"/>
      <c r="BA77" s="548"/>
      <c r="BB77" s="548"/>
      <c r="BC77" s="548">
        <f t="shared" si="50"/>
        <v>0</v>
      </c>
      <c r="BD77" s="42">
        <f t="shared" si="44"/>
        <v>0</v>
      </c>
      <c r="BE77" s="42">
        <f t="shared" si="44"/>
        <v>1</v>
      </c>
      <c r="BF77" s="42">
        <f t="shared" si="44"/>
        <v>1</v>
      </c>
      <c r="BG77" s="42">
        <f t="shared" si="44"/>
        <v>0</v>
      </c>
      <c r="BH77" s="42">
        <f t="shared" si="44"/>
        <v>0</v>
      </c>
      <c r="BI77" s="42">
        <f t="shared" ref="BI77:BI140" si="51">+AD77+AS77+BA77</f>
        <v>0</v>
      </c>
      <c r="BJ77" s="42">
        <f t="shared" si="45"/>
        <v>0</v>
      </c>
      <c r="BK77" s="42">
        <f t="shared" si="45"/>
        <v>2</v>
      </c>
    </row>
    <row r="78" spans="1:63" ht="58.5" customHeight="1" x14ac:dyDescent="0.25">
      <c r="A78" s="298" t="s">
        <v>173</v>
      </c>
      <c r="B78" s="299" t="s">
        <v>169</v>
      </c>
      <c r="C78" s="1547"/>
      <c r="D78" s="1549"/>
      <c r="E78" s="1549"/>
      <c r="F78" s="1549"/>
      <c r="G78" s="1549"/>
      <c r="H78" s="1549"/>
      <c r="I78" s="1429"/>
      <c r="J78" s="1429"/>
      <c r="K78" s="1429" t="s">
        <v>259</v>
      </c>
      <c r="L78" s="301" t="s">
        <v>179</v>
      </c>
      <c r="M78" s="1425" t="s">
        <v>45</v>
      </c>
      <c r="N78" s="1425" t="s">
        <v>46</v>
      </c>
      <c r="O78" s="1425" t="s">
        <v>47</v>
      </c>
      <c r="P78" s="16" t="s">
        <v>260</v>
      </c>
      <c r="Q78" s="302" t="s">
        <v>261</v>
      </c>
      <c r="R78" s="303">
        <v>2015</v>
      </c>
      <c r="S78" s="303">
        <v>4</v>
      </c>
      <c r="T78" s="303">
        <v>4</v>
      </c>
      <c r="U78" s="572">
        <v>7</v>
      </c>
      <c r="V78" s="572">
        <v>7</v>
      </c>
      <c r="W78" s="572">
        <v>7</v>
      </c>
      <c r="X78" s="572">
        <v>7</v>
      </c>
      <c r="Y78" s="481"/>
      <c r="Z78" s="481">
        <v>1</v>
      </c>
      <c r="AA78" s="481">
        <v>1</v>
      </c>
      <c r="AB78" s="481"/>
      <c r="AC78" s="481"/>
      <c r="AD78" s="481"/>
      <c r="AE78" s="481"/>
      <c r="AF78" s="481">
        <f t="shared" si="43"/>
        <v>2</v>
      </c>
      <c r="AG78" s="548"/>
      <c r="AH78" s="548"/>
      <c r="AI78" s="548"/>
      <c r="AJ78" s="548"/>
      <c r="AK78" s="548"/>
      <c r="AL78" s="548"/>
      <c r="AM78" s="548">
        <f t="shared" si="48"/>
        <v>0</v>
      </c>
      <c r="AN78" s="481"/>
      <c r="AO78" s="481"/>
      <c r="AP78" s="481"/>
      <c r="AQ78" s="481"/>
      <c r="AR78" s="481"/>
      <c r="AS78" s="481"/>
      <c r="AT78" s="481"/>
      <c r="AU78" s="481">
        <f t="shared" si="49"/>
        <v>0</v>
      </c>
      <c r="AV78" s="548"/>
      <c r="AW78" s="548"/>
      <c r="AX78" s="548"/>
      <c r="AY78" s="548"/>
      <c r="AZ78" s="548"/>
      <c r="BA78" s="548"/>
      <c r="BB78" s="548"/>
      <c r="BC78" s="548">
        <f t="shared" si="50"/>
        <v>0</v>
      </c>
      <c r="BD78" s="42">
        <f t="shared" si="44"/>
        <v>0</v>
      </c>
      <c r="BE78" s="42">
        <f t="shared" si="44"/>
        <v>1</v>
      </c>
      <c r="BF78" s="42">
        <f t="shared" si="44"/>
        <v>1</v>
      </c>
      <c r="BG78" s="42">
        <f t="shared" si="44"/>
        <v>0</v>
      </c>
      <c r="BH78" s="42">
        <f t="shared" si="44"/>
        <v>0</v>
      </c>
      <c r="BI78" s="42">
        <f t="shared" si="51"/>
        <v>0</v>
      </c>
      <c r="BJ78" s="42">
        <f t="shared" si="45"/>
        <v>0</v>
      </c>
      <c r="BK78" s="42">
        <f t="shared" si="45"/>
        <v>2</v>
      </c>
    </row>
    <row r="79" spans="1:63" ht="58.5" customHeight="1" x14ac:dyDescent="0.25">
      <c r="A79" s="298" t="s">
        <v>173</v>
      </c>
      <c r="B79" s="299" t="s">
        <v>169</v>
      </c>
      <c r="C79" s="1547"/>
      <c r="D79" s="1549"/>
      <c r="E79" s="1549"/>
      <c r="F79" s="1549"/>
      <c r="G79" s="1549"/>
      <c r="H79" s="1549"/>
      <c r="I79" s="1429"/>
      <c r="J79" s="1429"/>
      <c r="K79" s="1429" t="s">
        <v>262</v>
      </c>
      <c r="L79" s="301" t="s">
        <v>179</v>
      </c>
      <c r="M79" s="1425" t="s">
        <v>45</v>
      </c>
      <c r="N79" s="1425" t="s">
        <v>46</v>
      </c>
      <c r="O79" s="1425" t="s">
        <v>73</v>
      </c>
      <c r="P79" s="16" t="s">
        <v>263</v>
      </c>
      <c r="Q79" s="302" t="s">
        <v>264</v>
      </c>
      <c r="R79" s="303">
        <v>2015</v>
      </c>
      <c r="S79" s="303">
        <v>0</v>
      </c>
      <c r="T79" s="303">
        <v>1</v>
      </c>
      <c r="U79" s="572">
        <v>1</v>
      </c>
      <c r="V79" s="572">
        <v>1</v>
      </c>
      <c r="W79" s="572">
        <v>1</v>
      </c>
      <c r="X79" s="572">
        <v>1</v>
      </c>
      <c r="Y79" s="481"/>
      <c r="Z79" s="481">
        <v>1.1000000000000001</v>
      </c>
      <c r="AA79" s="481">
        <v>1</v>
      </c>
      <c r="AB79" s="481"/>
      <c r="AC79" s="481"/>
      <c r="AD79" s="481"/>
      <c r="AE79" s="481"/>
      <c r="AF79" s="481">
        <f t="shared" si="43"/>
        <v>2.1</v>
      </c>
      <c r="AG79" s="548"/>
      <c r="AH79" s="548"/>
      <c r="AI79" s="548"/>
      <c r="AJ79" s="548"/>
      <c r="AK79" s="548"/>
      <c r="AL79" s="548"/>
      <c r="AM79" s="548">
        <f t="shared" si="48"/>
        <v>0</v>
      </c>
      <c r="AN79" s="481"/>
      <c r="AO79" s="481"/>
      <c r="AP79" s="481"/>
      <c r="AQ79" s="481"/>
      <c r="AR79" s="481"/>
      <c r="AS79" s="481"/>
      <c r="AT79" s="481"/>
      <c r="AU79" s="481">
        <f t="shared" si="49"/>
        <v>0</v>
      </c>
      <c r="AV79" s="548"/>
      <c r="AW79" s="548"/>
      <c r="AX79" s="548"/>
      <c r="AY79" s="548"/>
      <c r="AZ79" s="548"/>
      <c r="BA79" s="548"/>
      <c r="BB79" s="548"/>
      <c r="BC79" s="548">
        <f t="shared" si="50"/>
        <v>0</v>
      </c>
      <c r="BD79" s="42">
        <f t="shared" ref="BD79:BH111" si="52">+AV79+AN79+AG79+Y79</f>
        <v>0</v>
      </c>
      <c r="BE79" s="42">
        <f t="shared" si="52"/>
        <v>1.1000000000000001</v>
      </c>
      <c r="BF79" s="42">
        <f t="shared" si="52"/>
        <v>1</v>
      </c>
      <c r="BG79" s="42">
        <f t="shared" si="52"/>
        <v>0</v>
      </c>
      <c r="BH79" s="42">
        <f t="shared" si="52"/>
        <v>0</v>
      </c>
      <c r="BI79" s="42">
        <f t="shared" si="51"/>
        <v>0</v>
      </c>
      <c r="BJ79" s="42">
        <f t="shared" si="45"/>
        <v>0</v>
      </c>
      <c r="BK79" s="42">
        <f t="shared" si="45"/>
        <v>2.1</v>
      </c>
    </row>
    <row r="80" spans="1:63" ht="72.75" customHeight="1" x14ac:dyDescent="0.25">
      <c r="A80" s="298" t="s">
        <v>173</v>
      </c>
      <c r="B80" s="299" t="s">
        <v>169</v>
      </c>
      <c r="C80" s="1547"/>
      <c r="D80" s="1549"/>
      <c r="E80" s="1549"/>
      <c r="F80" s="1549"/>
      <c r="G80" s="1549"/>
      <c r="H80" s="1549"/>
      <c r="I80" s="1429"/>
      <c r="J80" s="1429"/>
      <c r="K80" s="1429" t="s">
        <v>265</v>
      </c>
      <c r="L80" s="301" t="s">
        <v>179</v>
      </c>
      <c r="M80" s="1425" t="s">
        <v>45</v>
      </c>
      <c r="N80" s="1425" t="s">
        <v>46</v>
      </c>
      <c r="O80" s="1425" t="s">
        <v>47</v>
      </c>
      <c r="P80" s="16" t="s">
        <v>266</v>
      </c>
      <c r="Q80" s="302" t="s">
        <v>267</v>
      </c>
      <c r="R80" s="303">
        <v>2015</v>
      </c>
      <c r="S80" s="303">
        <v>0</v>
      </c>
      <c r="T80" s="303">
        <v>1</v>
      </c>
      <c r="U80" s="572">
        <v>2</v>
      </c>
      <c r="V80" s="572">
        <v>3</v>
      </c>
      <c r="W80" s="572">
        <v>4</v>
      </c>
      <c r="X80" s="572">
        <v>4</v>
      </c>
      <c r="Y80" s="481"/>
      <c r="Z80" s="481">
        <v>3</v>
      </c>
      <c r="AA80" s="481">
        <v>4</v>
      </c>
      <c r="AB80" s="481"/>
      <c r="AC80" s="481"/>
      <c r="AD80" s="481">
        <v>3.1</v>
      </c>
      <c r="AE80" s="481"/>
      <c r="AF80" s="481">
        <f t="shared" si="43"/>
        <v>10.1</v>
      </c>
      <c r="AG80" s="548"/>
      <c r="AH80" s="548">
        <v>3</v>
      </c>
      <c r="AI80" s="548">
        <v>9</v>
      </c>
      <c r="AJ80" s="548"/>
      <c r="AK80" s="548"/>
      <c r="AL80" s="548"/>
      <c r="AM80" s="548">
        <f t="shared" si="48"/>
        <v>12</v>
      </c>
      <c r="AN80" s="481"/>
      <c r="AO80" s="481">
        <v>3</v>
      </c>
      <c r="AP80" s="481">
        <v>9</v>
      </c>
      <c r="AQ80" s="481"/>
      <c r="AR80" s="481"/>
      <c r="AS80" s="481"/>
      <c r="AT80" s="481"/>
      <c r="AU80" s="481">
        <f t="shared" si="49"/>
        <v>12</v>
      </c>
      <c r="AV80" s="548"/>
      <c r="AW80" s="548">
        <v>5</v>
      </c>
      <c r="AX80" s="548">
        <v>9</v>
      </c>
      <c r="AY80" s="548"/>
      <c r="AZ80" s="548"/>
      <c r="BA80" s="548"/>
      <c r="BB80" s="548"/>
      <c r="BC80" s="548">
        <f t="shared" si="50"/>
        <v>14</v>
      </c>
      <c r="BD80" s="42">
        <f t="shared" si="52"/>
        <v>0</v>
      </c>
      <c r="BE80" s="42">
        <f t="shared" si="52"/>
        <v>14</v>
      </c>
      <c r="BF80" s="42">
        <f t="shared" si="52"/>
        <v>31</v>
      </c>
      <c r="BG80" s="42">
        <f t="shared" si="52"/>
        <v>0</v>
      </c>
      <c r="BH80" s="42">
        <f t="shared" si="52"/>
        <v>0</v>
      </c>
      <c r="BI80" s="42">
        <f t="shared" si="51"/>
        <v>3.1</v>
      </c>
      <c r="BJ80" s="42">
        <f t="shared" si="45"/>
        <v>0</v>
      </c>
      <c r="BK80" s="42">
        <f t="shared" si="45"/>
        <v>48.1</v>
      </c>
    </row>
    <row r="81" spans="1:67" ht="87" customHeight="1" x14ac:dyDescent="0.25">
      <c r="A81" s="298" t="s">
        <v>173</v>
      </c>
      <c r="B81" s="299" t="s">
        <v>169</v>
      </c>
      <c r="C81" s="1547"/>
      <c r="D81" s="1549"/>
      <c r="E81" s="1549"/>
      <c r="F81" s="1549"/>
      <c r="G81" s="1549"/>
      <c r="H81" s="1549"/>
      <c r="I81" s="1429"/>
      <c r="J81" s="1429"/>
      <c r="K81" s="1429" t="s">
        <v>268</v>
      </c>
      <c r="L81" s="301" t="s">
        <v>179</v>
      </c>
      <c r="M81" s="1425" t="s">
        <v>45</v>
      </c>
      <c r="N81" s="1425" t="s">
        <v>46</v>
      </c>
      <c r="O81" s="1425" t="s">
        <v>47</v>
      </c>
      <c r="P81" s="16" t="s">
        <v>269</v>
      </c>
      <c r="Q81" s="302" t="s">
        <v>185</v>
      </c>
      <c r="R81" s="303">
        <v>2015</v>
      </c>
      <c r="S81" s="303">
        <v>0</v>
      </c>
      <c r="T81" s="303">
        <v>1</v>
      </c>
      <c r="U81" s="572">
        <v>2</v>
      </c>
      <c r="V81" s="572">
        <v>3</v>
      </c>
      <c r="W81" s="572">
        <v>4</v>
      </c>
      <c r="X81" s="572">
        <v>4</v>
      </c>
      <c r="Y81" s="481"/>
      <c r="Z81" s="481">
        <v>1</v>
      </c>
      <c r="AA81" s="481">
        <v>1</v>
      </c>
      <c r="AB81" s="481"/>
      <c r="AC81" s="481"/>
      <c r="AD81" s="481"/>
      <c r="AE81" s="481"/>
      <c r="AF81" s="481">
        <f t="shared" si="43"/>
        <v>2</v>
      </c>
      <c r="AG81" s="548"/>
      <c r="AH81" s="548"/>
      <c r="AI81" s="548"/>
      <c r="AJ81" s="548"/>
      <c r="AK81" s="548"/>
      <c r="AL81" s="548"/>
      <c r="AM81" s="548">
        <f t="shared" si="48"/>
        <v>0</v>
      </c>
      <c r="AN81" s="481"/>
      <c r="AO81" s="481"/>
      <c r="AP81" s="481"/>
      <c r="AQ81" s="481"/>
      <c r="AR81" s="481"/>
      <c r="AS81" s="481"/>
      <c r="AT81" s="481"/>
      <c r="AU81" s="481">
        <f t="shared" si="49"/>
        <v>0</v>
      </c>
      <c r="AV81" s="548"/>
      <c r="AW81" s="548"/>
      <c r="AX81" s="548"/>
      <c r="AY81" s="548"/>
      <c r="AZ81" s="548"/>
      <c r="BA81" s="548"/>
      <c r="BB81" s="548"/>
      <c r="BC81" s="548">
        <f t="shared" si="50"/>
        <v>0</v>
      </c>
      <c r="BD81" s="42">
        <f t="shared" si="52"/>
        <v>0</v>
      </c>
      <c r="BE81" s="42">
        <f t="shared" si="52"/>
        <v>1</v>
      </c>
      <c r="BF81" s="42">
        <f t="shared" si="52"/>
        <v>1</v>
      </c>
      <c r="BG81" s="42">
        <f t="shared" si="52"/>
        <v>0</v>
      </c>
      <c r="BH81" s="42">
        <f t="shared" si="52"/>
        <v>0</v>
      </c>
      <c r="BI81" s="42">
        <f t="shared" si="51"/>
        <v>0</v>
      </c>
      <c r="BJ81" s="42">
        <f t="shared" si="45"/>
        <v>0</v>
      </c>
      <c r="BK81" s="42">
        <f t="shared" si="45"/>
        <v>2</v>
      </c>
    </row>
    <row r="82" spans="1:67" ht="33" customHeight="1" x14ac:dyDescent="0.25">
      <c r="A82" s="298" t="s">
        <v>173</v>
      </c>
      <c r="B82" s="299" t="s">
        <v>169</v>
      </c>
      <c r="C82" s="1547"/>
      <c r="D82" s="1549"/>
      <c r="E82" s="1549"/>
      <c r="F82" s="1549"/>
      <c r="G82" s="1549"/>
      <c r="H82" s="1549"/>
      <c r="I82" s="1429"/>
      <c r="J82" s="1429"/>
      <c r="K82" s="1429" t="s">
        <v>270</v>
      </c>
      <c r="L82" s="301" t="s">
        <v>179</v>
      </c>
      <c r="M82" s="1425" t="s">
        <v>45</v>
      </c>
      <c r="N82" s="1425" t="s">
        <v>46</v>
      </c>
      <c r="O82" s="1425" t="s">
        <v>47</v>
      </c>
      <c r="P82" s="16" t="s">
        <v>271</v>
      </c>
      <c r="Q82" s="302" t="s">
        <v>239</v>
      </c>
      <c r="R82" s="303">
        <v>2015</v>
      </c>
      <c r="S82" s="303">
        <v>0</v>
      </c>
      <c r="T82" s="303">
        <v>4</v>
      </c>
      <c r="U82" s="572">
        <v>8</v>
      </c>
      <c r="V82" s="572">
        <v>12</v>
      </c>
      <c r="W82" s="572">
        <v>16</v>
      </c>
      <c r="X82" s="572">
        <v>16</v>
      </c>
      <c r="Y82" s="481"/>
      <c r="Z82" s="481">
        <v>1</v>
      </c>
      <c r="AA82" s="481">
        <v>1</v>
      </c>
      <c r="AB82" s="481"/>
      <c r="AC82" s="481"/>
      <c r="AD82" s="481"/>
      <c r="AE82" s="481"/>
      <c r="AF82" s="481">
        <f t="shared" si="43"/>
        <v>2</v>
      </c>
      <c r="AG82" s="548"/>
      <c r="AH82" s="548"/>
      <c r="AI82" s="548"/>
      <c r="AJ82" s="548"/>
      <c r="AK82" s="548"/>
      <c r="AL82" s="548"/>
      <c r="AM82" s="548">
        <f t="shared" si="48"/>
        <v>0</v>
      </c>
      <c r="AN82" s="481"/>
      <c r="AO82" s="481"/>
      <c r="AP82" s="481"/>
      <c r="AQ82" s="481"/>
      <c r="AR82" s="481"/>
      <c r="AS82" s="481"/>
      <c r="AT82" s="481"/>
      <c r="AU82" s="481">
        <f t="shared" si="49"/>
        <v>0</v>
      </c>
      <c r="AV82" s="548"/>
      <c r="AW82" s="548"/>
      <c r="AX82" s="548"/>
      <c r="AY82" s="548"/>
      <c r="AZ82" s="548"/>
      <c r="BA82" s="548"/>
      <c r="BB82" s="548"/>
      <c r="BC82" s="548">
        <f t="shared" si="50"/>
        <v>0</v>
      </c>
      <c r="BD82" s="42">
        <f t="shared" si="52"/>
        <v>0</v>
      </c>
      <c r="BE82" s="42">
        <f t="shared" si="52"/>
        <v>1</v>
      </c>
      <c r="BF82" s="42">
        <f t="shared" si="52"/>
        <v>1</v>
      </c>
      <c r="BG82" s="42">
        <f t="shared" si="52"/>
        <v>0</v>
      </c>
      <c r="BH82" s="42">
        <f t="shared" si="52"/>
        <v>0</v>
      </c>
      <c r="BI82" s="42">
        <f t="shared" si="51"/>
        <v>0</v>
      </c>
      <c r="BJ82" s="42">
        <f t="shared" si="45"/>
        <v>0</v>
      </c>
      <c r="BK82" s="42">
        <f t="shared" si="45"/>
        <v>2</v>
      </c>
    </row>
    <row r="83" spans="1:67" ht="36.75" customHeight="1" x14ac:dyDescent="0.25">
      <c r="A83" s="298" t="s">
        <v>173</v>
      </c>
      <c r="B83" s="299" t="s">
        <v>169</v>
      </c>
      <c r="C83" s="1547"/>
      <c r="D83" s="1550"/>
      <c r="E83" s="1550"/>
      <c r="F83" s="1549"/>
      <c r="G83" s="1549"/>
      <c r="H83" s="1549"/>
      <c r="I83" s="1429"/>
      <c r="J83" s="1429"/>
      <c r="K83" s="1429" t="s">
        <v>272</v>
      </c>
      <c r="L83" s="301" t="s">
        <v>179</v>
      </c>
      <c r="M83" s="1425" t="s">
        <v>45</v>
      </c>
      <c r="N83" s="1425" t="s">
        <v>46</v>
      </c>
      <c r="O83" s="1425" t="s">
        <v>73</v>
      </c>
      <c r="P83" s="16" t="s">
        <v>273</v>
      </c>
      <c r="Q83" s="302" t="s">
        <v>274</v>
      </c>
      <c r="R83" s="303">
        <v>2015</v>
      </c>
      <c r="S83" s="303">
        <v>0</v>
      </c>
      <c r="T83" s="303">
        <v>1</v>
      </c>
      <c r="U83" s="572">
        <v>1</v>
      </c>
      <c r="V83" s="572">
        <v>1</v>
      </c>
      <c r="W83" s="572">
        <v>1</v>
      </c>
      <c r="X83" s="572">
        <v>1</v>
      </c>
      <c r="Y83" s="481"/>
      <c r="Z83" s="481">
        <v>1</v>
      </c>
      <c r="AA83" s="481">
        <v>1</v>
      </c>
      <c r="AB83" s="481"/>
      <c r="AC83" s="481"/>
      <c r="AD83" s="481"/>
      <c r="AE83" s="481"/>
      <c r="AF83" s="481">
        <f t="shared" si="43"/>
        <v>2</v>
      </c>
      <c r="AG83" s="548"/>
      <c r="AH83" s="548"/>
      <c r="AI83" s="548"/>
      <c r="AJ83" s="548"/>
      <c r="AK83" s="548"/>
      <c r="AL83" s="548"/>
      <c r="AM83" s="548">
        <f t="shared" si="48"/>
        <v>0</v>
      </c>
      <c r="AN83" s="481"/>
      <c r="AO83" s="481"/>
      <c r="AP83" s="481"/>
      <c r="AQ83" s="481"/>
      <c r="AR83" s="481"/>
      <c r="AS83" s="481"/>
      <c r="AT83" s="481"/>
      <c r="AU83" s="481">
        <f>SUM(AN83:AT83)</f>
        <v>0</v>
      </c>
      <c r="AV83" s="548"/>
      <c r="AW83" s="548"/>
      <c r="AX83" s="548"/>
      <c r="AY83" s="548"/>
      <c r="AZ83" s="548"/>
      <c r="BA83" s="548"/>
      <c r="BB83" s="548"/>
      <c r="BC83" s="548">
        <f>SUM(AV83:BB83)</f>
        <v>0</v>
      </c>
      <c r="BD83" s="42">
        <f>+AV83+AN83+AG83+Y83</f>
        <v>0</v>
      </c>
      <c r="BE83" s="42">
        <f>+AW83+AO83+AH83+Z83</f>
        <v>1</v>
      </c>
      <c r="BF83" s="42">
        <f>+AX83+AP83+AI83+AA83</f>
        <v>1</v>
      </c>
      <c r="BG83" s="42">
        <f>+AY83+AQ83+AJ83+AB83</f>
        <v>0</v>
      </c>
      <c r="BH83" s="42">
        <f>+AZ83+AR83+AK83+AC83</f>
        <v>0</v>
      </c>
      <c r="BI83" s="42">
        <f t="shared" si="51"/>
        <v>0</v>
      </c>
      <c r="BJ83" s="42">
        <f>+BB83+AT83+AL83+AE83</f>
        <v>0</v>
      </c>
      <c r="BK83" s="42">
        <f>+BC83+AU83+AM83+AF83</f>
        <v>2</v>
      </c>
    </row>
    <row r="84" spans="1:67" ht="25.5" customHeight="1" x14ac:dyDescent="0.25">
      <c r="A84" s="298" t="s">
        <v>173</v>
      </c>
      <c r="B84" s="299" t="s">
        <v>169</v>
      </c>
      <c r="C84" s="1548"/>
      <c r="D84" s="1549"/>
      <c r="E84" s="1549"/>
      <c r="F84" s="1549"/>
      <c r="G84" s="1549"/>
      <c r="H84" s="1549"/>
      <c r="I84" s="1429" t="s">
        <v>53</v>
      </c>
      <c r="J84" s="1429"/>
      <c r="K84" s="1429" t="s">
        <v>275</v>
      </c>
      <c r="L84" s="301" t="s">
        <v>179</v>
      </c>
      <c r="M84" s="1425" t="s">
        <v>45</v>
      </c>
      <c r="N84" s="1425" t="s">
        <v>46</v>
      </c>
      <c r="O84" s="1425" t="s">
        <v>47</v>
      </c>
      <c r="P84" s="16" t="s">
        <v>276</v>
      </c>
      <c r="Q84" s="302" t="s">
        <v>277</v>
      </c>
      <c r="R84" s="303">
        <v>2015</v>
      </c>
      <c r="S84" s="303">
        <v>0</v>
      </c>
      <c r="T84" s="303">
        <v>2</v>
      </c>
      <c r="U84" s="572">
        <v>2</v>
      </c>
      <c r="V84" s="572">
        <v>2</v>
      </c>
      <c r="W84" s="572">
        <v>2</v>
      </c>
      <c r="X84" s="572">
        <v>2</v>
      </c>
      <c r="Y84" s="481"/>
      <c r="Z84" s="481">
        <v>0</v>
      </c>
      <c r="AA84" s="481">
        <v>18.899999999999999</v>
      </c>
      <c r="AB84" s="481">
        <v>250</v>
      </c>
      <c r="AC84" s="481"/>
      <c r="AD84" s="481"/>
      <c r="AE84" s="481"/>
      <c r="AF84" s="481">
        <f t="shared" ref="AF84:AF96" si="53">SUM(Y84:AE84)</f>
        <v>268.89999999999998</v>
      </c>
      <c r="AG84" s="548"/>
      <c r="AH84" s="548"/>
      <c r="AI84" s="548"/>
      <c r="AJ84" s="548"/>
      <c r="AK84" s="548"/>
      <c r="AL84" s="548"/>
      <c r="AM84" s="548">
        <f>SUM(AG84:AL84)</f>
        <v>0</v>
      </c>
      <c r="AN84" s="481"/>
      <c r="AO84" s="481"/>
      <c r="AP84" s="481">
        <v>0</v>
      </c>
      <c r="AQ84" s="481"/>
      <c r="AR84" s="481"/>
      <c r="AS84" s="481"/>
      <c r="AT84" s="481"/>
      <c r="AU84" s="481">
        <f>SUM(AN84:AT84)</f>
        <v>0</v>
      </c>
      <c r="AV84" s="548"/>
      <c r="AW84" s="548"/>
      <c r="AX84" s="548"/>
      <c r="AY84" s="548"/>
      <c r="AZ84" s="548"/>
      <c r="BA84" s="548"/>
      <c r="BB84" s="548"/>
      <c r="BC84" s="548">
        <f>SUM(AV84:BB84)</f>
        <v>0</v>
      </c>
      <c r="BD84" s="42">
        <f t="shared" si="52"/>
        <v>0</v>
      </c>
      <c r="BE84" s="42">
        <f t="shared" si="52"/>
        <v>0</v>
      </c>
      <c r="BF84" s="42">
        <f t="shared" si="52"/>
        <v>18.899999999999999</v>
      </c>
      <c r="BG84" s="42">
        <f t="shared" si="52"/>
        <v>250</v>
      </c>
      <c r="BH84" s="42">
        <f t="shared" si="52"/>
        <v>0</v>
      </c>
      <c r="BI84" s="42">
        <f t="shared" si="51"/>
        <v>0</v>
      </c>
      <c r="BJ84" s="42">
        <f t="shared" si="45"/>
        <v>0</v>
      </c>
      <c r="BK84" s="42">
        <f t="shared" si="45"/>
        <v>268.89999999999998</v>
      </c>
    </row>
    <row r="85" spans="1:67" s="23" customFormat="1" ht="26.4" x14ac:dyDescent="0.25">
      <c r="A85" s="152"/>
      <c r="B85" s="7" t="s">
        <v>278</v>
      </c>
      <c r="C85" s="19"/>
      <c r="D85" s="1445"/>
      <c r="E85" s="1445"/>
      <c r="F85" s="1442"/>
      <c r="G85" s="1442"/>
      <c r="H85" s="1442"/>
      <c r="I85" s="251"/>
      <c r="J85" s="251"/>
      <c r="K85" s="251"/>
      <c r="L85" s="251"/>
      <c r="M85" s="251"/>
      <c r="N85" s="11"/>
      <c r="O85" s="251"/>
      <c r="P85" s="16"/>
      <c r="Q85" s="302"/>
      <c r="R85" s="303"/>
      <c r="S85" s="303"/>
      <c r="T85" s="303"/>
      <c r="U85" s="572"/>
      <c r="V85" s="572"/>
      <c r="W85" s="572"/>
      <c r="X85" s="572"/>
      <c r="Y85" s="42"/>
      <c r="Z85" s="58"/>
      <c r="AA85" s="221">
        <v>148.80000000000001</v>
      </c>
      <c r="AB85" s="43"/>
      <c r="AC85" s="42"/>
      <c r="AD85" s="42">
        <v>330.6</v>
      </c>
      <c r="AE85" s="42"/>
      <c r="AF85" s="59">
        <f t="shared" si="53"/>
        <v>479.40000000000003</v>
      </c>
      <c r="AG85" s="42"/>
      <c r="AH85" s="42"/>
      <c r="AI85" s="42">
        <f>+AA85*1.04</f>
        <v>154.75200000000001</v>
      </c>
      <c r="AJ85" s="42"/>
      <c r="AK85" s="42"/>
      <c r="AL85" s="42"/>
      <c r="AM85" s="42"/>
      <c r="AN85" s="42"/>
      <c r="AO85" s="42"/>
      <c r="AP85" s="42">
        <f>+AI85*1.04</f>
        <v>160.94208</v>
      </c>
      <c r="AQ85" s="42"/>
      <c r="AR85" s="42"/>
      <c r="AS85" s="42"/>
      <c r="AT85" s="42"/>
      <c r="AU85" s="42"/>
      <c r="AV85" s="548"/>
      <c r="AW85" s="548"/>
      <c r="AX85" s="548">
        <f>+AP85*1.04</f>
        <v>167.37976320000001</v>
      </c>
      <c r="AY85" s="548"/>
      <c r="AZ85" s="548"/>
      <c r="BA85" s="548"/>
      <c r="BB85" s="548"/>
      <c r="BC85" s="548"/>
      <c r="BD85" s="42">
        <f t="shared" si="52"/>
        <v>0</v>
      </c>
      <c r="BE85" s="42">
        <f t="shared" si="52"/>
        <v>0</v>
      </c>
      <c r="BF85" s="42">
        <f t="shared" si="52"/>
        <v>631.87384320000001</v>
      </c>
      <c r="BG85" s="42">
        <f t="shared" si="52"/>
        <v>0</v>
      </c>
      <c r="BH85" s="42">
        <f t="shared" si="52"/>
        <v>0</v>
      </c>
      <c r="BI85" s="42">
        <f t="shared" si="51"/>
        <v>330.6</v>
      </c>
      <c r="BJ85" s="42">
        <f t="shared" si="45"/>
        <v>0</v>
      </c>
      <c r="BK85" s="42">
        <f t="shared" si="45"/>
        <v>479.40000000000003</v>
      </c>
      <c r="BL85" s="40"/>
      <c r="BM85" s="3"/>
      <c r="BN85" s="3"/>
      <c r="BO85" s="3"/>
    </row>
    <row r="86" spans="1:67" ht="17.399999999999999" x14ac:dyDescent="0.25">
      <c r="A86" s="420"/>
      <c r="B86" s="1556" t="s">
        <v>278</v>
      </c>
      <c r="C86" s="1557"/>
      <c r="D86" s="1557"/>
      <c r="E86" s="1557"/>
      <c r="F86" s="1557"/>
      <c r="G86" s="1557"/>
      <c r="H86" s="1557"/>
      <c r="I86" s="1557"/>
      <c r="J86" s="1557"/>
      <c r="K86" s="1557"/>
      <c r="L86" s="1557"/>
      <c r="M86" s="1558"/>
      <c r="N86" s="597"/>
      <c r="O86" s="597"/>
      <c r="P86" s="597"/>
      <c r="Q86" s="598"/>
      <c r="R86" s="597"/>
      <c r="S86" s="597"/>
      <c r="T86" s="597"/>
      <c r="U86" s="599"/>
      <c r="V86" s="599"/>
      <c r="W86" s="599"/>
      <c r="X86" s="599"/>
      <c r="Y86" s="600">
        <f t="shared" ref="Y86:AE86" si="54">+Y87+Y99</f>
        <v>0</v>
      </c>
      <c r="Z86" s="600">
        <f t="shared" si="54"/>
        <v>0</v>
      </c>
      <c r="AA86" s="601">
        <f t="shared" si="54"/>
        <v>148.80000000000001</v>
      </c>
      <c r="AB86" s="600">
        <f t="shared" si="54"/>
        <v>1278</v>
      </c>
      <c r="AC86" s="600">
        <f t="shared" si="54"/>
        <v>0</v>
      </c>
      <c r="AD86" s="600">
        <f t="shared" si="54"/>
        <v>330.6</v>
      </c>
      <c r="AE86" s="600">
        <f t="shared" si="54"/>
        <v>0</v>
      </c>
      <c r="AF86" s="602">
        <f t="shared" si="53"/>
        <v>1757.4</v>
      </c>
      <c r="AG86" s="600">
        <f t="shared" ref="AG86:AL86" si="55">+AG87+AG99</f>
        <v>0</v>
      </c>
      <c r="AH86" s="600">
        <f t="shared" si="55"/>
        <v>0</v>
      </c>
      <c r="AI86" s="600">
        <f t="shared" si="55"/>
        <v>154</v>
      </c>
      <c r="AJ86" s="600">
        <f t="shared" si="55"/>
        <v>500</v>
      </c>
      <c r="AK86" s="600">
        <f t="shared" si="55"/>
        <v>0</v>
      </c>
      <c r="AL86" s="600">
        <f t="shared" si="55"/>
        <v>0</v>
      </c>
      <c r="AM86" s="600">
        <f t="shared" ref="AM86:AM96" si="56">SUM(AG86:AL86)</f>
        <v>654</v>
      </c>
      <c r="AN86" s="600">
        <f t="shared" ref="AN86:AT86" si="57">+AN87+AN99</f>
        <v>0</v>
      </c>
      <c r="AO86" s="600">
        <f t="shared" si="57"/>
        <v>0</v>
      </c>
      <c r="AP86" s="600">
        <f t="shared" si="57"/>
        <v>161</v>
      </c>
      <c r="AQ86" s="600">
        <f t="shared" si="57"/>
        <v>0</v>
      </c>
      <c r="AR86" s="600">
        <f t="shared" si="57"/>
        <v>0</v>
      </c>
      <c r="AS86" s="600">
        <f t="shared" si="57"/>
        <v>0</v>
      </c>
      <c r="AT86" s="600">
        <f t="shared" si="57"/>
        <v>0</v>
      </c>
      <c r="AU86" s="600">
        <f t="shared" ref="AU86:AU96" si="58">SUM(AN86:AT86)</f>
        <v>161</v>
      </c>
      <c r="AV86" s="600">
        <f t="shared" ref="AV86:BB86" si="59">+AV87+AV99</f>
        <v>0</v>
      </c>
      <c r="AW86" s="600">
        <f t="shared" si="59"/>
        <v>0</v>
      </c>
      <c r="AX86" s="600">
        <f t="shared" si="59"/>
        <v>168</v>
      </c>
      <c r="AY86" s="600">
        <f t="shared" si="59"/>
        <v>0</v>
      </c>
      <c r="AZ86" s="600">
        <f t="shared" si="59"/>
        <v>0</v>
      </c>
      <c r="BA86" s="600">
        <f t="shared" si="59"/>
        <v>0</v>
      </c>
      <c r="BB86" s="600">
        <f t="shared" si="59"/>
        <v>0</v>
      </c>
      <c r="BC86" s="600">
        <f t="shared" ref="BC86:BC96" si="60">SUM(AV86:BB86)</f>
        <v>168</v>
      </c>
      <c r="BD86" s="33">
        <f t="shared" si="52"/>
        <v>0</v>
      </c>
      <c r="BE86" s="33">
        <f t="shared" si="52"/>
        <v>0</v>
      </c>
      <c r="BF86" s="33">
        <f t="shared" si="52"/>
        <v>631.79999999999995</v>
      </c>
      <c r="BG86" s="33">
        <f t="shared" si="52"/>
        <v>1778</v>
      </c>
      <c r="BH86" s="33">
        <f t="shared" si="52"/>
        <v>0</v>
      </c>
      <c r="BI86" s="33">
        <f t="shared" si="51"/>
        <v>330.6</v>
      </c>
      <c r="BJ86" s="33">
        <f t="shared" si="45"/>
        <v>0</v>
      </c>
      <c r="BK86" s="33">
        <f t="shared" si="45"/>
        <v>2740.4</v>
      </c>
    </row>
    <row r="87" spans="1:67" ht="26.4" x14ac:dyDescent="0.25">
      <c r="A87" s="603"/>
      <c r="B87" s="154" t="s">
        <v>278</v>
      </c>
      <c r="C87" s="6"/>
      <c r="D87" s="2" t="s">
        <v>279</v>
      </c>
      <c r="E87" s="1"/>
      <c r="F87" s="1"/>
      <c r="G87" s="1"/>
      <c r="H87" s="1"/>
      <c r="I87" s="1"/>
      <c r="J87" s="1"/>
      <c r="K87" s="1"/>
      <c r="L87" s="1"/>
      <c r="M87" s="1"/>
      <c r="N87" s="1"/>
      <c r="O87" s="1"/>
      <c r="P87" s="1"/>
      <c r="Q87" s="573"/>
      <c r="R87" s="574"/>
      <c r="S87" s="574"/>
      <c r="T87" s="574"/>
      <c r="U87" s="575"/>
      <c r="V87" s="575"/>
      <c r="W87" s="575"/>
      <c r="X87" s="575"/>
      <c r="Y87" s="34">
        <f t="shared" ref="Y87:AE87" si="61">SUM(Y88:Y98)</f>
        <v>0</v>
      </c>
      <c r="Z87" s="34">
        <f t="shared" si="61"/>
        <v>0</v>
      </c>
      <c r="AA87" s="54">
        <f t="shared" si="61"/>
        <v>71.3</v>
      </c>
      <c r="AB87" s="34">
        <f t="shared" si="61"/>
        <v>1278</v>
      </c>
      <c r="AC87" s="34">
        <f t="shared" si="61"/>
        <v>0</v>
      </c>
      <c r="AD87" s="34">
        <f t="shared" si="61"/>
        <v>329.6</v>
      </c>
      <c r="AE87" s="34">
        <f t="shared" si="61"/>
        <v>0</v>
      </c>
      <c r="AF87" s="45">
        <f t="shared" si="53"/>
        <v>1678.9</v>
      </c>
      <c r="AG87" s="34">
        <f t="shared" ref="AG87:AL87" si="62">SUM(AG88:AG98)</f>
        <v>0</v>
      </c>
      <c r="AH87" s="34">
        <f t="shared" si="62"/>
        <v>0</v>
      </c>
      <c r="AI87" s="34">
        <f t="shared" si="62"/>
        <v>104</v>
      </c>
      <c r="AJ87" s="34">
        <f t="shared" si="62"/>
        <v>500</v>
      </c>
      <c r="AK87" s="34">
        <f t="shared" si="62"/>
        <v>0</v>
      </c>
      <c r="AL87" s="34">
        <f t="shared" si="62"/>
        <v>0</v>
      </c>
      <c r="AM87" s="34">
        <f t="shared" si="56"/>
        <v>604</v>
      </c>
      <c r="AN87" s="34">
        <f t="shared" ref="AN87:AT87" si="63">SUM(AN88:AN98)</f>
        <v>0</v>
      </c>
      <c r="AO87" s="34">
        <f t="shared" si="63"/>
        <v>0</v>
      </c>
      <c r="AP87" s="34">
        <f t="shared" si="63"/>
        <v>111</v>
      </c>
      <c r="AQ87" s="34">
        <f t="shared" si="63"/>
        <v>0</v>
      </c>
      <c r="AR87" s="34">
        <f t="shared" si="63"/>
        <v>0</v>
      </c>
      <c r="AS87" s="34">
        <f t="shared" si="63"/>
        <v>0</v>
      </c>
      <c r="AT87" s="34">
        <f t="shared" si="63"/>
        <v>0</v>
      </c>
      <c r="AU87" s="34">
        <f t="shared" si="58"/>
        <v>111</v>
      </c>
      <c r="AV87" s="34">
        <f t="shared" ref="AV87:BB87" si="64">SUM(AV88:AV98)</f>
        <v>0</v>
      </c>
      <c r="AW87" s="34">
        <f t="shared" si="64"/>
        <v>0</v>
      </c>
      <c r="AX87" s="34">
        <f t="shared" si="64"/>
        <v>118</v>
      </c>
      <c r="AY87" s="34">
        <f t="shared" si="64"/>
        <v>0</v>
      </c>
      <c r="AZ87" s="34">
        <f t="shared" si="64"/>
        <v>0</v>
      </c>
      <c r="BA87" s="34">
        <f t="shared" si="64"/>
        <v>0</v>
      </c>
      <c r="BB87" s="34">
        <f t="shared" si="64"/>
        <v>0</v>
      </c>
      <c r="BC87" s="34">
        <f t="shared" si="60"/>
        <v>118</v>
      </c>
      <c r="BD87" s="34">
        <f t="shared" si="52"/>
        <v>0</v>
      </c>
      <c r="BE87" s="34">
        <f t="shared" si="52"/>
        <v>0</v>
      </c>
      <c r="BF87" s="34">
        <f t="shared" si="52"/>
        <v>404.3</v>
      </c>
      <c r="BG87" s="34">
        <f t="shared" si="52"/>
        <v>1778</v>
      </c>
      <c r="BH87" s="34">
        <f t="shared" si="52"/>
        <v>0</v>
      </c>
      <c r="BI87" s="34">
        <f t="shared" si="51"/>
        <v>329.6</v>
      </c>
      <c r="BJ87" s="34">
        <f t="shared" si="45"/>
        <v>0</v>
      </c>
      <c r="BK87" s="34">
        <f t="shared" si="45"/>
        <v>2511.9</v>
      </c>
    </row>
    <row r="88" spans="1:67" ht="44.25" customHeight="1" x14ac:dyDescent="0.25">
      <c r="A88" s="298" t="s">
        <v>280</v>
      </c>
      <c r="B88" s="299" t="s">
        <v>278</v>
      </c>
      <c r="C88" s="1546" t="s">
        <v>281</v>
      </c>
      <c r="D88" s="1550" t="s">
        <v>282</v>
      </c>
      <c r="E88" s="1550" t="s">
        <v>283</v>
      </c>
      <c r="F88" s="1550">
        <v>2015</v>
      </c>
      <c r="G88" s="1550">
        <v>8</v>
      </c>
      <c r="H88" s="1550">
        <v>10</v>
      </c>
      <c r="I88" s="1425"/>
      <c r="J88" s="1425"/>
      <c r="K88" s="1425" t="s">
        <v>284</v>
      </c>
      <c r="L88" s="301"/>
      <c r="M88" s="1425" t="s">
        <v>45</v>
      </c>
      <c r="N88" s="1425" t="s">
        <v>46</v>
      </c>
      <c r="O88" s="1425" t="s">
        <v>47</v>
      </c>
      <c r="P88" s="16" t="s">
        <v>285</v>
      </c>
      <c r="Q88" s="302" t="s">
        <v>286</v>
      </c>
      <c r="R88" s="303">
        <v>2015</v>
      </c>
      <c r="S88" s="303">
        <v>0</v>
      </c>
      <c r="T88" s="303">
        <v>0</v>
      </c>
      <c r="U88" s="572">
        <v>1</v>
      </c>
      <c r="V88" s="572">
        <v>1</v>
      </c>
      <c r="W88" s="572">
        <v>1</v>
      </c>
      <c r="X88" s="572">
        <v>1</v>
      </c>
      <c r="Y88" s="483"/>
      <c r="Z88" s="483"/>
      <c r="AA88" s="577"/>
      <c r="AB88" s="483"/>
      <c r="AC88" s="483"/>
      <c r="AD88" s="483"/>
      <c r="AE88" s="483"/>
      <c r="AF88" s="578">
        <f t="shared" si="53"/>
        <v>0</v>
      </c>
      <c r="AG88" s="587"/>
      <c r="AH88" s="587"/>
      <c r="AI88" s="587"/>
      <c r="AJ88" s="587"/>
      <c r="AK88" s="587"/>
      <c r="AL88" s="587"/>
      <c r="AM88" s="587">
        <f t="shared" si="56"/>
        <v>0</v>
      </c>
      <c r="AN88" s="483"/>
      <c r="AO88" s="483"/>
      <c r="AP88" s="483"/>
      <c r="AQ88" s="483"/>
      <c r="AR88" s="483"/>
      <c r="AS88" s="483"/>
      <c r="AT88" s="483"/>
      <c r="AU88" s="483">
        <f t="shared" si="58"/>
        <v>0</v>
      </c>
      <c r="AV88" s="587"/>
      <c r="AW88" s="587"/>
      <c r="AX88" s="587"/>
      <c r="AY88" s="587"/>
      <c r="AZ88" s="587"/>
      <c r="BA88" s="587"/>
      <c r="BB88" s="587"/>
      <c r="BC88" s="587">
        <f t="shared" si="60"/>
        <v>0</v>
      </c>
      <c r="BD88" s="44">
        <f t="shared" si="52"/>
        <v>0</v>
      </c>
      <c r="BE88" s="44">
        <f t="shared" si="52"/>
        <v>0</v>
      </c>
      <c r="BF88" s="44">
        <f t="shared" si="52"/>
        <v>0</v>
      </c>
      <c r="BG88" s="44">
        <f t="shared" si="52"/>
        <v>0</v>
      </c>
      <c r="BH88" s="44">
        <f t="shared" si="52"/>
        <v>0</v>
      </c>
      <c r="BI88" s="44">
        <f t="shared" si="51"/>
        <v>0</v>
      </c>
      <c r="BJ88" s="44">
        <f t="shared" si="45"/>
        <v>0</v>
      </c>
      <c r="BK88" s="44">
        <f t="shared" si="45"/>
        <v>0</v>
      </c>
    </row>
    <row r="89" spans="1:67" ht="42" customHeight="1" x14ac:dyDescent="0.25">
      <c r="A89" s="298" t="s">
        <v>280</v>
      </c>
      <c r="B89" s="299" t="s">
        <v>278</v>
      </c>
      <c r="C89" s="1547"/>
      <c r="D89" s="1551"/>
      <c r="E89" s="1551"/>
      <c r="F89" s="1551"/>
      <c r="G89" s="1551"/>
      <c r="H89" s="1551"/>
      <c r="I89" s="1425" t="s">
        <v>53</v>
      </c>
      <c r="J89" s="1425"/>
      <c r="K89" s="1425" t="s">
        <v>287</v>
      </c>
      <c r="L89" s="301"/>
      <c r="M89" s="1425" t="s">
        <v>45</v>
      </c>
      <c r="N89" s="1425" t="s">
        <v>46</v>
      </c>
      <c r="O89" s="1425" t="s">
        <v>47</v>
      </c>
      <c r="P89" s="16" t="s">
        <v>288</v>
      </c>
      <c r="Q89" s="302" t="s">
        <v>289</v>
      </c>
      <c r="R89" s="303">
        <v>2015</v>
      </c>
      <c r="S89" s="303">
        <v>0</v>
      </c>
      <c r="T89" s="303">
        <v>1</v>
      </c>
      <c r="U89" s="572">
        <v>1</v>
      </c>
      <c r="V89" s="572">
        <v>1</v>
      </c>
      <c r="W89" s="572">
        <v>1</v>
      </c>
      <c r="X89" s="572">
        <v>1</v>
      </c>
      <c r="Y89" s="481"/>
      <c r="Z89" s="481"/>
      <c r="AA89" s="579"/>
      <c r="AB89" s="481">
        <v>900</v>
      </c>
      <c r="AC89" s="481"/>
      <c r="AD89" s="481"/>
      <c r="AE89" s="481"/>
      <c r="AF89" s="578">
        <f t="shared" si="53"/>
        <v>900</v>
      </c>
      <c r="AG89" s="548"/>
      <c r="AH89" s="548"/>
      <c r="AI89" s="548"/>
      <c r="AJ89" s="548"/>
      <c r="AK89" s="548"/>
      <c r="AL89" s="548"/>
      <c r="AM89" s="548">
        <f t="shared" si="56"/>
        <v>0</v>
      </c>
      <c r="AN89" s="481"/>
      <c r="AO89" s="481"/>
      <c r="AP89" s="481"/>
      <c r="AQ89" s="481"/>
      <c r="AR89" s="481"/>
      <c r="AS89" s="481"/>
      <c r="AT89" s="481"/>
      <c r="AU89" s="481">
        <f t="shared" si="58"/>
        <v>0</v>
      </c>
      <c r="AV89" s="548"/>
      <c r="AW89" s="548"/>
      <c r="AX89" s="548"/>
      <c r="AY89" s="548"/>
      <c r="AZ89" s="548"/>
      <c r="BA89" s="548"/>
      <c r="BB89" s="548"/>
      <c r="BC89" s="548">
        <f t="shared" si="60"/>
        <v>0</v>
      </c>
      <c r="BD89" s="42">
        <f t="shared" si="52"/>
        <v>0</v>
      </c>
      <c r="BE89" s="42">
        <f t="shared" si="52"/>
        <v>0</v>
      </c>
      <c r="BF89" s="42">
        <f t="shared" si="52"/>
        <v>0</v>
      </c>
      <c r="BG89" s="42">
        <f t="shared" si="52"/>
        <v>900</v>
      </c>
      <c r="BH89" s="42">
        <f t="shared" si="52"/>
        <v>0</v>
      </c>
      <c r="BI89" s="42">
        <f t="shared" si="51"/>
        <v>0</v>
      </c>
      <c r="BJ89" s="42">
        <f t="shared" si="45"/>
        <v>0</v>
      </c>
      <c r="BK89" s="42">
        <f t="shared" si="45"/>
        <v>900</v>
      </c>
    </row>
    <row r="90" spans="1:67" ht="40.5" customHeight="1" x14ac:dyDescent="0.25">
      <c r="A90" s="298" t="s">
        <v>280</v>
      </c>
      <c r="B90" s="299" t="s">
        <v>278</v>
      </c>
      <c r="C90" s="1547"/>
      <c r="D90" s="1551"/>
      <c r="E90" s="1551"/>
      <c r="F90" s="1551"/>
      <c r="G90" s="1551"/>
      <c r="H90" s="1551"/>
      <c r="I90" s="1425" t="s">
        <v>53</v>
      </c>
      <c r="J90" s="1425"/>
      <c r="K90" s="1425" t="s">
        <v>290</v>
      </c>
      <c r="L90" s="301"/>
      <c r="M90" s="1425" t="s">
        <v>45</v>
      </c>
      <c r="N90" s="1425" t="s">
        <v>46</v>
      </c>
      <c r="O90" s="1425" t="s">
        <v>47</v>
      </c>
      <c r="P90" s="71" t="s">
        <v>291</v>
      </c>
      <c r="Q90" s="302" t="s">
        <v>292</v>
      </c>
      <c r="R90" s="303" t="s">
        <v>182</v>
      </c>
      <c r="S90" s="303">
        <v>4</v>
      </c>
      <c r="T90" s="303">
        <v>2</v>
      </c>
      <c r="U90" s="572">
        <v>3</v>
      </c>
      <c r="V90" s="572">
        <v>4</v>
      </c>
      <c r="W90" s="572">
        <v>6</v>
      </c>
      <c r="X90" s="572">
        <v>6</v>
      </c>
      <c r="Y90" s="483"/>
      <c r="Z90" s="483"/>
      <c r="AA90" s="577">
        <v>0</v>
      </c>
      <c r="AB90" s="483">
        <v>378</v>
      </c>
      <c r="AC90" s="483"/>
      <c r="AD90" s="493">
        <v>319.54000000000002</v>
      </c>
      <c r="AE90" s="483"/>
      <c r="AF90" s="578">
        <f t="shared" si="53"/>
        <v>697.54</v>
      </c>
      <c r="AG90" s="587"/>
      <c r="AH90" s="587"/>
      <c r="AI90" s="587">
        <v>10</v>
      </c>
      <c r="AJ90" s="587"/>
      <c r="AK90" s="587"/>
      <c r="AL90" s="587"/>
      <c r="AM90" s="587">
        <f t="shared" si="56"/>
        <v>10</v>
      </c>
      <c r="AN90" s="483"/>
      <c r="AO90" s="483"/>
      <c r="AP90" s="483">
        <v>40</v>
      </c>
      <c r="AQ90" s="483"/>
      <c r="AR90" s="483"/>
      <c r="AS90" s="483"/>
      <c r="AT90" s="483"/>
      <c r="AU90" s="483">
        <f t="shared" si="58"/>
        <v>40</v>
      </c>
      <c r="AV90" s="587"/>
      <c r="AW90" s="587"/>
      <c r="AX90" s="587">
        <v>58</v>
      </c>
      <c r="AY90" s="587"/>
      <c r="AZ90" s="587"/>
      <c r="BA90" s="587"/>
      <c r="BB90" s="587"/>
      <c r="BC90" s="587">
        <f t="shared" si="60"/>
        <v>58</v>
      </c>
      <c r="BD90" s="44">
        <f t="shared" si="52"/>
        <v>0</v>
      </c>
      <c r="BE90" s="44">
        <f t="shared" si="52"/>
        <v>0</v>
      </c>
      <c r="BF90" s="44">
        <f t="shared" si="52"/>
        <v>108</v>
      </c>
      <c r="BG90" s="44">
        <f t="shared" si="52"/>
        <v>378</v>
      </c>
      <c r="BH90" s="44">
        <f t="shared" si="52"/>
        <v>0</v>
      </c>
      <c r="BI90" s="44">
        <f t="shared" si="51"/>
        <v>319.54000000000002</v>
      </c>
      <c r="BJ90" s="44">
        <f t="shared" si="45"/>
        <v>0</v>
      </c>
      <c r="BK90" s="44">
        <f t="shared" si="45"/>
        <v>805.54</v>
      </c>
    </row>
    <row r="91" spans="1:67" ht="55.5" customHeight="1" x14ac:dyDescent="0.25">
      <c r="A91" s="298" t="s">
        <v>280</v>
      </c>
      <c r="B91" s="299" t="s">
        <v>278</v>
      </c>
      <c r="C91" s="1547"/>
      <c r="D91" s="1551"/>
      <c r="E91" s="1551"/>
      <c r="F91" s="1551"/>
      <c r="G91" s="1551"/>
      <c r="H91" s="1551"/>
      <c r="I91" s="1425"/>
      <c r="J91" s="1425"/>
      <c r="K91" s="1425" t="s">
        <v>293</v>
      </c>
      <c r="L91" s="301"/>
      <c r="M91" s="1425" t="s">
        <v>45</v>
      </c>
      <c r="N91" s="1425" t="s">
        <v>46</v>
      </c>
      <c r="O91" s="1425" t="s">
        <v>47</v>
      </c>
      <c r="P91" s="71" t="s">
        <v>294</v>
      </c>
      <c r="Q91" s="302" t="s">
        <v>295</v>
      </c>
      <c r="R91" s="303">
        <v>2015</v>
      </c>
      <c r="S91" s="303">
        <v>0</v>
      </c>
      <c r="T91" s="303">
        <v>3</v>
      </c>
      <c r="U91" s="572">
        <v>6</v>
      </c>
      <c r="V91" s="572">
        <v>9</v>
      </c>
      <c r="W91" s="572">
        <v>12</v>
      </c>
      <c r="X91" s="572">
        <v>12</v>
      </c>
      <c r="Y91" s="481"/>
      <c r="Z91" s="481"/>
      <c r="AA91" s="492">
        <v>29</v>
      </c>
      <c r="AB91" s="481"/>
      <c r="AC91" s="481"/>
      <c r="AD91" s="481"/>
      <c r="AE91" s="481"/>
      <c r="AF91" s="578">
        <f t="shared" si="53"/>
        <v>29</v>
      </c>
      <c r="AG91" s="548"/>
      <c r="AH91" s="548"/>
      <c r="AI91" s="548">
        <v>34</v>
      </c>
      <c r="AJ91" s="548"/>
      <c r="AK91" s="548"/>
      <c r="AL91" s="548"/>
      <c r="AM91" s="548">
        <f t="shared" si="56"/>
        <v>34</v>
      </c>
      <c r="AN91" s="481"/>
      <c r="AO91" s="481"/>
      <c r="AP91" s="481">
        <v>11</v>
      </c>
      <c r="AQ91" s="481"/>
      <c r="AR91" s="481"/>
      <c r="AS91" s="481"/>
      <c r="AT91" s="481"/>
      <c r="AU91" s="481">
        <f t="shared" si="58"/>
        <v>11</v>
      </c>
      <c r="AV91" s="548"/>
      <c r="AW91" s="548"/>
      <c r="AX91" s="548"/>
      <c r="AY91" s="548"/>
      <c r="AZ91" s="548"/>
      <c r="BA91" s="548"/>
      <c r="BB91" s="548"/>
      <c r="BC91" s="548">
        <f t="shared" si="60"/>
        <v>0</v>
      </c>
      <c r="BD91" s="42">
        <f t="shared" si="52"/>
        <v>0</v>
      </c>
      <c r="BE91" s="42">
        <f t="shared" si="52"/>
        <v>0</v>
      </c>
      <c r="BF91" s="42">
        <f t="shared" si="52"/>
        <v>74</v>
      </c>
      <c r="BG91" s="42">
        <f t="shared" si="52"/>
        <v>0</v>
      </c>
      <c r="BH91" s="42">
        <f t="shared" si="52"/>
        <v>0</v>
      </c>
      <c r="BI91" s="42">
        <f t="shared" si="51"/>
        <v>0</v>
      </c>
      <c r="BJ91" s="42">
        <f t="shared" si="45"/>
        <v>0</v>
      </c>
      <c r="BK91" s="42">
        <f t="shared" si="45"/>
        <v>74</v>
      </c>
    </row>
    <row r="92" spans="1:67" ht="48" customHeight="1" x14ac:dyDescent="0.25">
      <c r="A92" s="298" t="s">
        <v>280</v>
      </c>
      <c r="B92" s="299" t="s">
        <v>278</v>
      </c>
      <c r="C92" s="1547"/>
      <c r="D92" s="1551"/>
      <c r="E92" s="1551"/>
      <c r="F92" s="1551"/>
      <c r="G92" s="1551"/>
      <c r="H92" s="1551"/>
      <c r="I92" s="1425" t="s">
        <v>53</v>
      </c>
      <c r="J92" s="1425"/>
      <c r="K92" s="1425" t="s">
        <v>296</v>
      </c>
      <c r="L92" s="301"/>
      <c r="M92" s="1425" t="s">
        <v>45</v>
      </c>
      <c r="N92" s="1425" t="s">
        <v>46</v>
      </c>
      <c r="O92" s="1425" t="s">
        <v>47</v>
      </c>
      <c r="P92" s="71" t="s">
        <v>297</v>
      </c>
      <c r="Q92" s="302" t="s">
        <v>298</v>
      </c>
      <c r="R92" s="303">
        <v>2015</v>
      </c>
      <c r="S92" s="303">
        <v>1</v>
      </c>
      <c r="T92" s="303">
        <v>2</v>
      </c>
      <c r="U92" s="572">
        <v>4</v>
      </c>
      <c r="V92" s="572">
        <v>6</v>
      </c>
      <c r="W92" s="572">
        <v>8</v>
      </c>
      <c r="X92" s="572">
        <v>8</v>
      </c>
      <c r="Y92" s="481"/>
      <c r="Z92" s="481"/>
      <c r="AA92" s="580">
        <v>20</v>
      </c>
      <c r="AB92" s="481"/>
      <c r="AC92" s="481"/>
      <c r="AD92" s="481"/>
      <c r="AE92" s="481"/>
      <c r="AF92" s="578">
        <f t="shared" si="53"/>
        <v>20</v>
      </c>
      <c r="AG92" s="548"/>
      <c r="AH92" s="548"/>
      <c r="AI92" s="548"/>
      <c r="AJ92" s="548"/>
      <c r="AK92" s="548"/>
      <c r="AL92" s="548"/>
      <c r="AM92" s="548">
        <f t="shared" si="56"/>
        <v>0</v>
      </c>
      <c r="AN92" s="481"/>
      <c r="AO92" s="481"/>
      <c r="AP92" s="481"/>
      <c r="AQ92" s="481"/>
      <c r="AR92" s="481"/>
      <c r="AS92" s="481"/>
      <c r="AT92" s="481"/>
      <c r="AU92" s="481">
        <f t="shared" si="58"/>
        <v>0</v>
      </c>
      <c r="AV92" s="548"/>
      <c r="AW92" s="548"/>
      <c r="AX92" s="548"/>
      <c r="AY92" s="548"/>
      <c r="AZ92" s="548"/>
      <c r="BA92" s="548"/>
      <c r="BB92" s="548"/>
      <c r="BC92" s="548">
        <f t="shared" si="60"/>
        <v>0</v>
      </c>
      <c r="BD92" s="42">
        <f t="shared" si="52"/>
        <v>0</v>
      </c>
      <c r="BE92" s="42">
        <f t="shared" si="52"/>
        <v>0</v>
      </c>
      <c r="BF92" s="42">
        <f>+AX92+AP92+AI92+AA93</f>
        <v>10.3</v>
      </c>
      <c r="BG92" s="42">
        <f t="shared" si="52"/>
        <v>0</v>
      </c>
      <c r="BH92" s="42">
        <f t="shared" si="52"/>
        <v>0</v>
      </c>
      <c r="BI92" s="42">
        <f t="shared" si="51"/>
        <v>0</v>
      </c>
      <c r="BJ92" s="42">
        <f t="shared" si="45"/>
        <v>0</v>
      </c>
      <c r="BK92" s="42">
        <f t="shared" si="45"/>
        <v>20</v>
      </c>
    </row>
    <row r="93" spans="1:67" ht="40.5" customHeight="1" x14ac:dyDescent="0.25">
      <c r="A93" s="298" t="s">
        <v>280</v>
      </c>
      <c r="B93" s="299" t="s">
        <v>278</v>
      </c>
      <c r="C93" s="1547"/>
      <c r="D93" s="1551"/>
      <c r="E93" s="1551"/>
      <c r="F93" s="1551"/>
      <c r="G93" s="1551"/>
      <c r="H93" s="1551"/>
      <c r="I93" s="1425" t="s">
        <v>53</v>
      </c>
      <c r="J93" s="1425"/>
      <c r="K93" s="1425" t="s">
        <v>299</v>
      </c>
      <c r="L93" s="301"/>
      <c r="M93" s="1425" t="s">
        <v>45</v>
      </c>
      <c r="N93" s="1425" t="s">
        <v>46</v>
      </c>
      <c r="O93" s="1425" t="s">
        <v>47</v>
      </c>
      <c r="P93" s="71" t="s">
        <v>300</v>
      </c>
      <c r="Q93" s="302" t="s">
        <v>301</v>
      </c>
      <c r="R93" s="303">
        <v>2015</v>
      </c>
      <c r="S93" s="303">
        <v>1</v>
      </c>
      <c r="T93" s="303">
        <v>2</v>
      </c>
      <c r="U93" s="572">
        <v>4</v>
      </c>
      <c r="V93" s="572">
        <v>6</v>
      </c>
      <c r="W93" s="572">
        <v>8</v>
      </c>
      <c r="X93" s="572">
        <v>8</v>
      </c>
      <c r="Y93" s="481"/>
      <c r="Z93" s="481"/>
      <c r="AA93" s="492">
        <v>10.3</v>
      </c>
      <c r="AB93" s="481"/>
      <c r="AC93" s="481"/>
      <c r="AD93" s="481"/>
      <c r="AE93" s="481"/>
      <c r="AF93" s="578">
        <f t="shared" si="53"/>
        <v>10.3</v>
      </c>
      <c r="AG93" s="548"/>
      <c r="AH93" s="548"/>
      <c r="AI93" s="548"/>
      <c r="AJ93" s="548"/>
      <c r="AK93" s="548"/>
      <c r="AL93" s="548"/>
      <c r="AM93" s="548">
        <f t="shared" si="56"/>
        <v>0</v>
      </c>
      <c r="AN93" s="481"/>
      <c r="AO93" s="481"/>
      <c r="AP93" s="481"/>
      <c r="AQ93" s="481"/>
      <c r="AR93" s="481"/>
      <c r="AS93" s="481"/>
      <c r="AT93" s="481"/>
      <c r="AU93" s="481">
        <f t="shared" si="58"/>
        <v>0</v>
      </c>
      <c r="AV93" s="548"/>
      <c r="AW93" s="548"/>
      <c r="AX93" s="548"/>
      <c r="AY93" s="548"/>
      <c r="AZ93" s="548"/>
      <c r="BA93" s="548"/>
      <c r="BB93" s="548"/>
      <c r="BC93" s="548">
        <f t="shared" si="60"/>
        <v>0</v>
      </c>
      <c r="BD93" s="42">
        <f t="shared" si="52"/>
        <v>0</v>
      </c>
      <c r="BE93" s="42">
        <f t="shared" si="52"/>
        <v>0</v>
      </c>
      <c r="BF93" s="42" t="e">
        <f>+AX93+AP93+AI93+#REF!</f>
        <v>#REF!</v>
      </c>
      <c r="BG93" s="42">
        <f t="shared" si="52"/>
        <v>0</v>
      </c>
      <c r="BH93" s="42">
        <f t="shared" si="52"/>
        <v>0</v>
      </c>
      <c r="BI93" s="42">
        <f t="shared" si="51"/>
        <v>0</v>
      </c>
      <c r="BJ93" s="42">
        <f t="shared" si="45"/>
        <v>0</v>
      </c>
      <c r="BK93" s="42">
        <f t="shared" si="45"/>
        <v>10.3</v>
      </c>
    </row>
    <row r="94" spans="1:67" ht="50.25" customHeight="1" x14ac:dyDescent="0.25">
      <c r="A94" s="298" t="s">
        <v>280</v>
      </c>
      <c r="B94" s="299" t="s">
        <v>278</v>
      </c>
      <c r="C94" s="1547"/>
      <c r="D94" s="1551"/>
      <c r="E94" s="1551"/>
      <c r="F94" s="1551"/>
      <c r="G94" s="1551"/>
      <c r="H94" s="1551"/>
      <c r="I94" s="1425"/>
      <c r="J94" s="1425"/>
      <c r="K94" s="1425" t="s">
        <v>302</v>
      </c>
      <c r="L94" s="301"/>
      <c r="M94" s="1425" t="s">
        <v>45</v>
      </c>
      <c r="N94" s="1425" t="s">
        <v>46</v>
      </c>
      <c r="O94" s="1425" t="s">
        <v>47</v>
      </c>
      <c r="P94" s="16" t="s">
        <v>303</v>
      </c>
      <c r="Q94" s="302" t="s">
        <v>304</v>
      </c>
      <c r="R94" s="303">
        <v>2015</v>
      </c>
      <c r="S94" s="303" t="s">
        <v>177</v>
      </c>
      <c r="T94" s="303">
        <v>1</v>
      </c>
      <c r="U94" s="572">
        <v>2</v>
      </c>
      <c r="V94" s="572">
        <v>3</v>
      </c>
      <c r="W94" s="572">
        <v>4</v>
      </c>
      <c r="X94" s="572">
        <v>4</v>
      </c>
      <c r="Y94" s="481"/>
      <c r="Z94" s="481"/>
      <c r="AA94" s="579"/>
      <c r="AB94" s="481"/>
      <c r="AC94" s="481"/>
      <c r="AD94" s="491">
        <v>10.06</v>
      </c>
      <c r="AE94" s="481"/>
      <c r="AF94" s="578">
        <f t="shared" si="53"/>
        <v>10.06</v>
      </c>
      <c r="AG94" s="548"/>
      <c r="AH94" s="548"/>
      <c r="AI94" s="548"/>
      <c r="AJ94" s="548"/>
      <c r="AK94" s="548"/>
      <c r="AL94" s="548"/>
      <c r="AM94" s="548">
        <f t="shared" si="56"/>
        <v>0</v>
      </c>
      <c r="AN94" s="481"/>
      <c r="AO94" s="481"/>
      <c r="AP94" s="481"/>
      <c r="AQ94" s="481"/>
      <c r="AR94" s="481"/>
      <c r="AS94" s="481"/>
      <c r="AT94" s="481"/>
      <c r="AU94" s="481">
        <f t="shared" si="58"/>
        <v>0</v>
      </c>
      <c r="AV94" s="548"/>
      <c r="AW94" s="548"/>
      <c r="AX94" s="548"/>
      <c r="AY94" s="548"/>
      <c r="AZ94" s="548"/>
      <c r="BA94" s="548"/>
      <c r="BB94" s="548"/>
      <c r="BC94" s="548">
        <f t="shared" si="60"/>
        <v>0</v>
      </c>
      <c r="BD94" s="42">
        <f t="shared" si="52"/>
        <v>0</v>
      </c>
      <c r="BE94" s="42">
        <f t="shared" si="52"/>
        <v>0</v>
      </c>
      <c r="BF94" s="42">
        <f t="shared" si="52"/>
        <v>0</v>
      </c>
      <c r="BG94" s="42">
        <f t="shared" si="52"/>
        <v>0</v>
      </c>
      <c r="BH94" s="42">
        <f t="shared" si="52"/>
        <v>0</v>
      </c>
      <c r="BI94" s="42">
        <f t="shared" si="51"/>
        <v>10.06</v>
      </c>
      <c r="BJ94" s="42">
        <f t="shared" si="45"/>
        <v>0</v>
      </c>
      <c r="BK94" s="42">
        <f t="shared" si="45"/>
        <v>10.06</v>
      </c>
    </row>
    <row r="95" spans="1:67" ht="30" customHeight="1" x14ac:dyDescent="0.25">
      <c r="A95" s="298" t="s">
        <v>280</v>
      </c>
      <c r="B95" s="299" t="s">
        <v>278</v>
      </c>
      <c r="C95" s="1547"/>
      <c r="D95" s="1551"/>
      <c r="E95" s="1551"/>
      <c r="F95" s="1551"/>
      <c r="G95" s="1551"/>
      <c r="H95" s="1551"/>
      <c r="I95" s="1425"/>
      <c r="J95" s="1425"/>
      <c r="K95" s="1425" t="s">
        <v>305</v>
      </c>
      <c r="L95" s="301"/>
      <c r="M95" s="1425" t="s">
        <v>45</v>
      </c>
      <c r="N95" s="1425" t="s">
        <v>46</v>
      </c>
      <c r="O95" s="1425" t="s">
        <v>47</v>
      </c>
      <c r="P95" s="16" t="s">
        <v>306</v>
      </c>
      <c r="Q95" s="302" t="s">
        <v>307</v>
      </c>
      <c r="R95" s="303">
        <v>2015</v>
      </c>
      <c r="S95" s="303">
        <v>0</v>
      </c>
      <c r="T95" s="303">
        <v>1</v>
      </c>
      <c r="U95" s="572">
        <v>2</v>
      </c>
      <c r="V95" s="572">
        <v>3</v>
      </c>
      <c r="W95" s="572">
        <v>4</v>
      </c>
      <c r="X95" s="572">
        <v>4</v>
      </c>
      <c r="Y95" s="481"/>
      <c r="Z95" s="481"/>
      <c r="AA95" s="579"/>
      <c r="AB95" s="481"/>
      <c r="AC95" s="481"/>
      <c r="AD95" s="481"/>
      <c r="AE95" s="481"/>
      <c r="AF95" s="578">
        <f t="shared" si="53"/>
        <v>0</v>
      </c>
      <c r="AG95" s="548"/>
      <c r="AH95" s="548"/>
      <c r="AI95" s="548"/>
      <c r="AJ95" s="548"/>
      <c r="AK95" s="548"/>
      <c r="AL95" s="548"/>
      <c r="AM95" s="548">
        <f t="shared" si="56"/>
        <v>0</v>
      </c>
      <c r="AN95" s="481"/>
      <c r="AO95" s="481"/>
      <c r="AP95" s="481"/>
      <c r="AQ95" s="481"/>
      <c r="AR95" s="481"/>
      <c r="AS95" s="481"/>
      <c r="AT95" s="481"/>
      <c r="AU95" s="481">
        <f t="shared" si="58"/>
        <v>0</v>
      </c>
      <c r="AV95" s="548"/>
      <c r="AW95" s="548"/>
      <c r="AX95" s="548"/>
      <c r="AY95" s="548"/>
      <c r="AZ95" s="548"/>
      <c r="BA95" s="548"/>
      <c r="BB95" s="548"/>
      <c r="BC95" s="548">
        <f t="shared" si="60"/>
        <v>0</v>
      </c>
      <c r="BD95" s="42">
        <f t="shared" si="52"/>
        <v>0</v>
      </c>
      <c r="BE95" s="42">
        <f t="shared" si="52"/>
        <v>0</v>
      </c>
      <c r="BF95" s="42">
        <f t="shared" si="52"/>
        <v>0</v>
      </c>
      <c r="BG95" s="42">
        <f t="shared" si="52"/>
        <v>0</v>
      </c>
      <c r="BH95" s="42">
        <f t="shared" si="52"/>
        <v>0</v>
      </c>
      <c r="BI95" s="42">
        <f t="shared" si="51"/>
        <v>0</v>
      </c>
      <c r="BJ95" s="42">
        <f t="shared" si="45"/>
        <v>0</v>
      </c>
      <c r="BK95" s="42">
        <f t="shared" si="45"/>
        <v>0</v>
      </c>
    </row>
    <row r="96" spans="1:67" ht="27.75" customHeight="1" x14ac:dyDescent="0.25">
      <c r="A96" s="298" t="s">
        <v>280</v>
      </c>
      <c r="B96" s="299" t="s">
        <v>278</v>
      </c>
      <c r="C96" s="1547"/>
      <c r="D96" s="1551"/>
      <c r="E96" s="1551"/>
      <c r="F96" s="1551"/>
      <c r="G96" s="1551"/>
      <c r="H96" s="1551"/>
      <c r="I96" s="1425" t="s">
        <v>53</v>
      </c>
      <c r="J96" s="1425"/>
      <c r="K96" s="1425" t="s">
        <v>308</v>
      </c>
      <c r="L96" s="301"/>
      <c r="M96" s="1425" t="s">
        <v>45</v>
      </c>
      <c r="N96" s="1425" t="s">
        <v>46</v>
      </c>
      <c r="O96" s="1425" t="s">
        <v>47</v>
      </c>
      <c r="P96" s="71" t="s">
        <v>309</v>
      </c>
      <c r="Q96" s="302" t="s">
        <v>310</v>
      </c>
      <c r="R96" s="303">
        <v>2015</v>
      </c>
      <c r="S96" s="303">
        <v>0</v>
      </c>
      <c r="T96" s="303">
        <v>0</v>
      </c>
      <c r="U96" s="572">
        <v>1</v>
      </c>
      <c r="V96" s="572">
        <v>1</v>
      </c>
      <c r="W96" s="572">
        <v>1</v>
      </c>
      <c r="X96" s="572">
        <v>1</v>
      </c>
      <c r="Y96" s="481"/>
      <c r="Z96" s="481"/>
      <c r="AA96" s="579"/>
      <c r="AB96" s="481"/>
      <c r="AC96" s="481"/>
      <c r="AD96" s="481"/>
      <c r="AE96" s="481"/>
      <c r="AF96" s="578">
        <f t="shared" si="53"/>
        <v>0</v>
      </c>
      <c r="AG96" s="548"/>
      <c r="AH96" s="548"/>
      <c r="AI96" s="548"/>
      <c r="AJ96" s="548">
        <v>500</v>
      </c>
      <c r="AK96" s="548"/>
      <c r="AL96" s="548"/>
      <c r="AM96" s="548">
        <f t="shared" si="56"/>
        <v>500</v>
      </c>
      <c r="AN96" s="481"/>
      <c r="AO96" s="481"/>
      <c r="AP96" s="481"/>
      <c r="AQ96" s="481"/>
      <c r="AR96" s="481"/>
      <c r="AS96" s="481"/>
      <c r="AT96" s="481"/>
      <c r="AU96" s="481">
        <f t="shared" si="58"/>
        <v>0</v>
      </c>
      <c r="AV96" s="548"/>
      <c r="AW96" s="548"/>
      <c r="AX96" s="548"/>
      <c r="AY96" s="548"/>
      <c r="AZ96" s="548"/>
      <c r="BA96" s="548"/>
      <c r="BB96" s="548"/>
      <c r="BC96" s="548">
        <f t="shared" si="60"/>
        <v>0</v>
      </c>
      <c r="BD96" s="42">
        <f t="shared" si="52"/>
        <v>0</v>
      </c>
      <c r="BE96" s="42">
        <f t="shared" si="52"/>
        <v>0</v>
      </c>
      <c r="BF96" s="42">
        <f t="shared" si="52"/>
        <v>0</v>
      </c>
      <c r="BG96" s="42">
        <f t="shared" si="52"/>
        <v>500</v>
      </c>
      <c r="BH96" s="42">
        <f t="shared" si="52"/>
        <v>0</v>
      </c>
      <c r="BI96" s="42">
        <f t="shared" si="51"/>
        <v>0</v>
      </c>
      <c r="BJ96" s="42">
        <f t="shared" si="45"/>
        <v>0</v>
      </c>
      <c r="BK96" s="42">
        <f t="shared" si="45"/>
        <v>500</v>
      </c>
    </row>
    <row r="97" spans="1:63" ht="33" customHeight="1" x14ac:dyDescent="0.25">
      <c r="A97" s="298" t="s">
        <v>280</v>
      </c>
      <c r="B97" s="299" t="s">
        <v>278</v>
      </c>
      <c r="C97" s="1547"/>
      <c r="D97" s="1551"/>
      <c r="E97" s="1551"/>
      <c r="F97" s="1551"/>
      <c r="G97" s="1551"/>
      <c r="H97" s="1551"/>
      <c r="I97" s="1425"/>
      <c r="J97" s="1425"/>
      <c r="K97" s="1425" t="s">
        <v>311</v>
      </c>
      <c r="L97" s="301"/>
      <c r="M97" s="1425" t="s">
        <v>45</v>
      </c>
      <c r="N97" s="1425" t="s">
        <v>46</v>
      </c>
      <c r="O97" s="1425" t="s">
        <v>47</v>
      </c>
      <c r="P97" s="71" t="s">
        <v>312</v>
      </c>
      <c r="Q97" s="302" t="s">
        <v>313</v>
      </c>
      <c r="R97" s="303">
        <v>2015</v>
      </c>
      <c r="S97" s="303">
        <v>1</v>
      </c>
      <c r="T97" s="303">
        <v>1</v>
      </c>
      <c r="U97" s="572">
        <v>2</v>
      </c>
      <c r="V97" s="572">
        <v>3</v>
      </c>
      <c r="W97" s="572">
        <v>4</v>
      </c>
      <c r="X97" s="572">
        <v>4</v>
      </c>
      <c r="Y97" s="481"/>
      <c r="Z97" s="481"/>
      <c r="AA97" s="579"/>
      <c r="AB97" s="481"/>
      <c r="AC97" s="481"/>
      <c r="AD97" s="481"/>
      <c r="AE97" s="481"/>
      <c r="AF97" s="578">
        <f t="shared" ref="AF97:AF120" si="65">SUM(Y97:AE97)</f>
        <v>0</v>
      </c>
      <c r="AG97" s="548"/>
      <c r="AH97" s="548"/>
      <c r="AI97" s="548"/>
      <c r="AJ97" s="548"/>
      <c r="AK97" s="548"/>
      <c r="AL97" s="548"/>
      <c r="AM97" s="548">
        <f t="shared" ref="AM97:AM107" si="66">SUM(AG97:AL97)</f>
        <v>0</v>
      </c>
      <c r="AN97" s="481"/>
      <c r="AO97" s="481"/>
      <c r="AP97" s="481"/>
      <c r="AQ97" s="481"/>
      <c r="AR97" s="481"/>
      <c r="AS97" s="481"/>
      <c r="AT97" s="481"/>
      <c r="AU97" s="481">
        <f t="shared" ref="AU97:AU107" si="67">SUM(AN97:AT97)</f>
        <v>0</v>
      </c>
      <c r="AV97" s="548"/>
      <c r="AW97" s="548"/>
      <c r="AX97" s="548"/>
      <c r="AY97" s="548"/>
      <c r="AZ97" s="548"/>
      <c r="BA97" s="548"/>
      <c r="BB97" s="548"/>
      <c r="BC97" s="548">
        <f t="shared" ref="BC97:BC107" si="68">SUM(AV97:BB97)</f>
        <v>0</v>
      </c>
      <c r="BD97" s="42">
        <f t="shared" si="52"/>
        <v>0</v>
      </c>
      <c r="BE97" s="42">
        <f t="shared" si="52"/>
        <v>0</v>
      </c>
      <c r="BF97" s="42">
        <f t="shared" si="52"/>
        <v>0</v>
      </c>
      <c r="BG97" s="42">
        <f t="shared" si="52"/>
        <v>0</v>
      </c>
      <c r="BH97" s="42">
        <f t="shared" si="52"/>
        <v>0</v>
      </c>
      <c r="BI97" s="42">
        <f t="shared" si="51"/>
        <v>0</v>
      </c>
      <c r="BJ97" s="42">
        <f t="shared" ref="BJ97:BK129" si="69">+BB97+AT97+AL97+AE97</f>
        <v>0</v>
      </c>
      <c r="BK97" s="42">
        <f t="shared" si="69"/>
        <v>0</v>
      </c>
    </row>
    <row r="98" spans="1:63" ht="63.75" customHeight="1" x14ac:dyDescent="0.25">
      <c r="A98" s="298" t="s">
        <v>280</v>
      </c>
      <c r="B98" s="299" t="s">
        <v>278</v>
      </c>
      <c r="C98" s="1548"/>
      <c r="D98" s="1552"/>
      <c r="E98" s="1552"/>
      <c r="F98" s="1552"/>
      <c r="G98" s="1552"/>
      <c r="H98" s="1552"/>
      <c r="I98" s="1425"/>
      <c r="J98" s="1425"/>
      <c r="K98" s="1425" t="s">
        <v>314</v>
      </c>
      <c r="L98" s="301"/>
      <c r="M98" s="1425" t="s">
        <v>45</v>
      </c>
      <c r="N98" s="1425" t="s">
        <v>46</v>
      </c>
      <c r="O98" s="1425" t="s">
        <v>73</v>
      </c>
      <c r="P98" s="16" t="s">
        <v>315</v>
      </c>
      <c r="Q98" s="302" t="s">
        <v>316</v>
      </c>
      <c r="R98" s="303">
        <v>2015</v>
      </c>
      <c r="S98" s="303">
        <v>1</v>
      </c>
      <c r="T98" s="303">
        <v>4</v>
      </c>
      <c r="U98" s="572">
        <v>4</v>
      </c>
      <c r="V98" s="572">
        <v>4</v>
      </c>
      <c r="W98" s="572">
        <v>4</v>
      </c>
      <c r="X98" s="572">
        <v>4</v>
      </c>
      <c r="Y98" s="481"/>
      <c r="Z98" s="481"/>
      <c r="AA98" s="492">
        <v>12</v>
      </c>
      <c r="AB98" s="481"/>
      <c r="AC98" s="481"/>
      <c r="AD98" s="481"/>
      <c r="AE98" s="491"/>
      <c r="AF98" s="578">
        <f t="shared" si="65"/>
        <v>12</v>
      </c>
      <c r="AG98" s="548"/>
      <c r="AH98" s="548"/>
      <c r="AI98" s="548">
        <v>60</v>
      </c>
      <c r="AJ98" s="548"/>
      <c r="AK98" s="548"/>
      <c r="AL98" s="548"/>
      <c r="AM98" s="548">
        <f t="shared" si="66"/>
        <v>60</v>
      </c>
      <c r="AN98" s="481"/>
      <c r="AO98" s="481"/>
      <c r="AP98" s="481">
        <v>60</v>
      </c>
      <c r="AQ98" s="481"/>
      <c r="AR98" s="481"/>
      <c r="AS98" s="481"/>
      <c r="AT98" s="481"/>
      <c r="AU98" s="481">
        <f t="shared" si="67"/>
        <v>60</v>
      </c>
      <c r="AV98" s="548"/>
      <c r="AW98" s="548"/>
      <c r="AX98" s="548">
        <v>60</v>
      </c>
      <c r="AY98" s="548"/>
      <c r="AZ98" s="548"/>
      <c r="BA98" s="548"/>
      <c r="BB98" s="548"/>
      <c r="BC98" s="548">
        <f t="shared" si="68"/>
        <v>60</v>
      </c>
      <c r="BD98" s="42">
        <f t="shared" si="52"/>
        <v>0</v>
      </c>
      <c r="BE98" s="42">
        <f t="shared" si="52"/>
        <v>0</v>
      </c>
      <c r="BF98" s="42">
        <f t="shared" si="52"/>
        <v>192</v>
      </c>
      <c r="BG98" s="42">
        <f t="shared" si="52"/>
        <v>0</v>
      </c>
      <c r="BH98" s="42">
        <f t="shared" si="52"/>
        <v>0</v>
      </c>
      <c r="BI98" s="42">
        <f t="shared" si="51"/>
        <v>0</v>
      </c>
      <c r="BJ98" s="42">
        <f t="shared" si="69"/>
        <v>0</v>
      </c>
      <c r="BK98" s="42">
        <f t="shared" si="69"/>
        <v>192</v>
      </c>
    </row>
    <row r="99" spans="1:63" ht="26.4" x14ac:dyDescent="0.25">
      <c r="A99" s="295" t="s">
        <v>280</v>
      </c>
      <c r="B99" s="6" t="s">
        <v>278</v>
      </c>
      <c r="C99" s="6"/>
      <c r="D99" s="2" t="s">
        <v>317</v>
      </c>
      <c r="E99" s="1"/>
      <c r="F99" s="1"/>
      <c r="G99" s="1"/>
      <c r="H99" s="1"/>
      <c r="I99" s="1"/>
      <c r="J99" s="1"/>
      <c r="K99" s="1"/>
      <c r="L99" s="1"/>
      <c r="M99" s="1"/>
      <c r="N99" s="1"/>
      <c r="O99" s="1"/>
      <c r="P99" s="1"/>
      <c r="Q99" s="573"/>
      <c r="R99" s="574"/>
      <c r="S99" s="574"/>
      <c r="T99" s="574"/>
      <c r="U99" s="575"/>
      <c r="V99" s="575"/>
      <c r="W99" s="575"/>
      <c r="X99" s="575"/>
      <c r="Y99" s="34">
        <f t="shared" ref="Y99:AE99" si="70">SUM(Y100:Y107)</f>
        <v>0</v>
      </c>
      <c r="Z99" s="34">
        <f t="shared" si="70"/>
        <v>0</v>
      </c>
      <c r="AA99" s="54">
        <f t="shared" si="70"/>
        <v>77.5</v>
      </c>
      <c r="AB99" s="34">
        <f t="shared" si="70"/>
        <v>0</v>
      </c>
      <c r="AC99" s="34">
        <f t="shared" si="70"/>
        <v>0</v>
      </c>
      <c r="AD99" s="34">
        <f t="shared" si="70"/>
        <v>1</v>
      </c>
      <c r="AE99" s="34">
        <f t="shared" si="70"/>
        <v>0</v>
      </c>
      <c r="AF99" s="45">
        <f t="shared" si="65"/>
        <v>78.5</v>
      </c>
      <c r="AG99" s="34">
        <f t="shared" ref="AG99:AL99" si="71">SUM(AG100:AG107)</f>
        <v>0</v>
      </c>
      <c r="AH99" s="34">
        <f t="shared" si="71"/>
        <v>0</v>
      </c>
      <c r="AI99" s="34">
        <f t="shared" si="71"/>
        <v>50</v>
      </c>
      <c r="AJ99" s="34">
        <f t="shared" si="71"/>
        <v>0</v>
      </c>
      <c r="AK99" s="34">
        <f t="shared" si="71"/>
        <v>0</v>
      </c>
      <c r="AL99" s="34">
        <f t="shared" si="71"/>
        <v>0</v>
      </c>
      <c r="AM99" s="34">
        <f t="shared" si="66"/>
        <v>50</v>
      </c>
      <c r="AN99" s="34">
        <f t="shared" ref="AN99:AT99" si="72">SUM(AN100:AN107)</f>
        <v>0</v>
      </c>
      <c r="AO99" s="34">
        <f t="shared" si="72"/>
        <v>0</v>
      </c>
      <c r="AP99" s="34">
        <f t="shared" si="72"/>
        <v>50</v>
      </c>
      <c r="AQ99" s="34">
        <f t="shared" si="72"/>
        <v>0</v>
      </c>
      <c r="AR99" s="34">
        <f t="shared" si="72"/>
        <v>0</v>
      </c>
      <c r="AS99" s="34">
        <f t="shared" si="72"/>
        <v>0</v>
      </c>
      <c r="AT99" s="34">
        <f t="shared" si="72"/>
        <v>0</v>
      </c>
      <c r="AU99" s="34">
        <f t="shared" si="67"/>
        <v>50</v>
      </c>
      <c r="AV99" s="34">
        <f t="shared" ref="AV99:BB99" si="73">SUM(AV100:AV107)</f>
        <v>0</v>
      </c>
      <c r="AW99" s="34">
        <f t="shared" si="73"/>
        <v>0</v>
      </c>
      <c r="AX99" s="34">
        <f t="shared" si="73"/>
        <v>50</v>
      </c>
      <c r="AY99" s="34">
        <f t="shared" si="73"/>
        <v>0</v>
      </c>
      <c r="AZ99" s="34">
        <f t="shared" si="73"/>
        <v>0</v>
      </c>
      <c r="BA99" s="34">
        <f t="shared" si="73"/>
        <v>0</v>
      </c>
      <c r="BB99" s="34">
        <f t="shared" si="73"/>
        <v>0</v>
      </c>
      <c r="BC99" s="34">
        <f t="shared" si="68"/>
        <v>50</v>
      </c>
      <c r="BD99" s="34">
        <f t="shared" si="52"/>
        <v>0</v>
      </c>
      <c r="BE99" s="34">
        <f t="shared" si="52"/>
        <v>0</v>
      </c>
      <c r="BF99" s="34">
        <f t="shared" si="52"/>
        <v>227.5</v>
      </c>
      <c r="BG99" s="34">
        <f t="shared" si="52"/>
        <v>0</v>
      </c>
      <c r="BH99" s="34">
        <f t="shared" si="52"/>
        <v>0</v>
      </c>
      <c r="BI99" s="34">
        <f t="shared" si="51"/>
        <v>1</v>
      </c>
      <c r="BJ99" s="34">
        <f t="shared" si="69"/>
        <v>0</v>
      </c>
      <c r="BK99" s="34">
        <f t="shared" si="69"/>
        <v>228.5</v>
      </c>
    </row>
    <row r="100" spans="1:63" ht="50.25" customHeight="1" x14ac:dyDescent="0.25">
      <c r="A100" s="298" t="s">
        <v>280</v>
      </c>
      <c r="B100" s="299" t="s">
        <v>278</v>
      </c>
      <c r="C100" s="1546" t="s">
        <v>318</v>
      </c>
      <c r="D100" s="1549" t="s">
        <v>319</v>
      </c>
      <c r="E100" s="1549" t="s">
        <v>283</v>
      </c>
      <c r="F100" s="1549">
        <v>2015</v>
      </c>
      <c r="G100" s="1549">
        <v>8</v>
      </c>
      <c r="H100" s="1549">
        <v>15</v>
      </c>
      <c r="I100" s="1425"/>
      <c r="J100" s="1425"/>
      <c r="K100" s="1425" t="s">
        <v>320</v>
      </c>
      <c r="L100" s="301"/>
      <c r="M100" s="1425" t="s">
        <v>45</v>
      </c>
      <c r="N100" s="1425" t="s">
        <v>46</v>
      </c>
      <c r="O100" s="1425" t="s">
        <v>47</v>
      </c>
      <c r="P100" s="16" t="s">
        <v>321</v>
      </c>
      <c r="Q100" s="302" t="s">
        <v>322</v>
      </c>
      <c r="R100" s="303">
        <v>2015</v>
      </c>
      <c r="S100" s="303">
        <v>0</v>
      </c>
      <c r="T100" s="303">
        <v>1</v>
      </c>
      <c r="U100" s="572">
        <v>1</v>
      </c>
      <c r="V100" s="572">
        <v>1</v>
      </c>
      <c r="W100" s="572">
        <v>1</v>
      </c>
      <c r="X100" s="572">
        <v>1</v>
      </c>
      <c r="Y100" s="481"/>
      <c r="Z100" s="481"/>
      <c r="AA100" s="579">
        <v>7</v>
      </c>
      <c r="AB100" s="481"/>
      <c r="AC100" s="481"/>
      <c r="AD100" s="481"/>
      <c r="AE100" s="481"/>
      <c r="AF100" s="578">
        <f t="shared" si="65"/>
        <v>7</v>
      </c>
      <c r="AG100" s="548"/>
      <c r="AH100" s="548"/>
      <c r="AI100" s="548"/>
      <c r="AJ100" s="548"/>
      <c r="AK100" s="548"/>
      <c r="AL100" s="548"/>
      <c r="AM100" s="548">
        <f t="shared" si="66"/>
        <v>0</v>
      </c>
      <c r="AN100" s="481"/>
      <c r="AO100" s="481"/>
      <c r="AP100" s="481"/>
      <c r="AQ100" s="481"/>
      <c r="AR100" s="481"/>
      <c r="AS100" s="481"/>
      <c r="AT100" s="481"/>
      <c r="AU100" s="481">
        <f t="shared" si="67"/>
        <v>0</v>
      </c>
      <c r="AV100" s="548"/>
      <c r="AW100" s="548"/>
      <c r="AX100" s="548"/>
      <c r="AY100" s="548"/>
      <c r="AZ100" s="548"/>
      <c r="BA100" s="548"/>
      <c r="BB100" s="548"/>
      <c r="BC100" s="548">
        <f t="shared" si="68"/>
        <v>0</v>
      </c>
      <c r="BD100" s="42">
        <f t="shared" si="52"/>
        <v>0</v>
      </c>
      <c r="BE100" s="42">
        <f t="shared" si="52"/>
        <v>0</v>
      </c>
      <c r="BF100" s="42">
        <f t="shared" si="52"/>
        <v>7</v>
      </c>
      <c r="BG100" s="42">
        <f t="shared" si="52"/>
        <v>0</v>
      </c>
      <c r="BH100" s="42">
        <f t="shared" si="52"/>
        <v>0</v>
      </c>
      <c r="BI100" s="42">
        <f t="shared" si="51"/>
        <v>0</v>
      </c>
      <c r="BJ100" s="42">
        <f t="shared" si="69"/>
        <v>0</v>
      </c>
      <c r="BK100" s="42">
        <f t="shared" si="69"/>
        <v>7</v>
      </c>
    </row>
    <row r="101" spans="1:63" ht="43.5" customHeight="1" x14ac:dyDescent="0.25">
      <c r="A101" s="298" t="s">
        <v>280</v>
      </c>
      <c r="B101" s="299" t="s">
        <v>278</v>
      </c>
      <c r="C101" s="1547"/>
      <c r="D101" s="1549"/>
      <c r="E101" s="1549"/>
      <c r="F101" s="1549"/>
      <c r="G101" s="1549"/>
      <c r="H101" s="1549"/>
      <c r="I101" s="1425"/>
      <c r="J101" s="1425"/>
      <c r="K101" s="1425" t="s">
        <v>323</v>
      </c>
      <c r="L101" s="301"/>
      <c r="M101" s="1425" t="s">
        <v>45</v>
      </c>
      <c r="N101" s="1425" t="s">
        <v>46</v>
      </c>
      <c r="O101" s="1425" t="s">
        <v>47</v>
      </c>
      <c r="P101" s="16" t="s">
        <v>324</v>
      </c>
      <c r="Q101" s="302" t="s">
        <v>325</v>
      </c>
      <c r="R101" s="303">
        <v>2015</v>
      </c>
      <c r="S101" s="303">
        <v>1</v>
      </c>
      <c r="T101" s="303">
        <v>1</v>
      </c>
      <c r="U101" s="572">
        <v>2</v>
      </c>
      <c r="V101" s="572">
        <v>3</v>
      </c>
      <c r="W101" s="572">
        <v>4</v>
      </c>
      <c r="X101" s="572">
        <v>4</v>
      </c>
      <c r="Y101" s="481"/>
      <c r="Z101" s="481"/>
      <c r="AA101" s="579">
        <v>10</v>
      </c>
      <c r="AB101" s="481"/>
      <c r="AC101" s="481"/>
      <c r="AD101" s="481"/>
      <c r="AE101" s="481"/>
      <c r="AF101" s="578">
        <f t="shared" si="65"/>
        <v>10</v>
      </c>
      <c r="AG101" s="548"/>
      <c r="AH101" s="548"/>
      <c r="AI101" s="548"/>
      <c r="AJ101" s="548"/>
      <c r="AK101" s="548"/>
      <c r="AL101" s="548"/>
      <c r="AM101" s="548">
        <f t="shared" si="66"/>
        <v>0</v>
      </c>
      <c r="AN101" s="481"/>
      <c r="AO101" s="481"/>
      <c r="AP101" s="481"/>
      <c r="AQ101" s="481"/>
      <c r="AR101" s="481"/>
      <c r="AS101" s="481"/>
      <c r="AT101" s="481"/>
      <c r="AU101" s="481">
        <f t="shared" si="67"/>
        <v>0</v>
      </c>
      <c r="AV101" s="548"/>
      <c r="AW101" s="548"/>
      <c r="AX101" s="548"/>
      <c r="AY101" s="548"/>
      <c r="AZ101" s="548"/>
      <c r="BA101" s="548"/>
      <c r="BB101" s="548"/>
      <c r="BC101" s="548">
        <f t="shared" si="68"/>
        <v>0</v>
      </c>
      <c r="BD101" s="42">
        <f t="shared" si="52"/>
        <v>0</v>
      </c>
      <c r="BE101" s="42">
        <f t="shared" si="52"/>
        <v>0</v>
      </c>
      <c r="BF101" s="42">
        <f t="shared" si="52"/>
        <v>10</v>
      </c>
      <c r="BG101" s="42">
        <f t="shared" si="52"/>
        <v>0</v>
      </c>
      <c r="BH101" s="42">
        <f t="shared" si="52"/>
        <v>0</v>
      </c>
      <c r="BI101" s="42">
        <f t="shared" si="51"/>
        <v>0</v>
      </c>
      <c r="BJ101" s="42">
        <f t="shared" si="69"/>
        <v>0</v>
      </c>
      <c r="BK101" s="42">
        <f t="shared" si="69"/>
        <v>10</v>
      </c>
    </row>
    <row r="102" spans="1:63" ht="33" customHeight="1" x14ac:dyDescent="0.25">
      <c r="A102" s="298" t="s">
        <v>280</v>
      </c>
      <c r="B102" s="299" t="s">
        <v>278</v>
      </c>
      <c r="C102" s="1547"/>
      <c r="D102" s="1549"/>
      <c r="E102" s="1549"/>
      <c r="F102" s="1549"/>
      <c r="G102" s="1549"/>
      <c r="H102" s="1549"/>
      <c r="I102" s="1425"/>
      <c r="J102" s="1425"/>
      <c r="K102" s="1425" t="s">
        <v>326</v>
      </c>
      <c r="L102" s="301"/>
      <c r="M102" s="1425" t="s">
        <v>45</v>
      </c>
      <c r="N102" s="1425" t="s">
        <v>46</v>
      </c>
      <c r="O102" s="1425" t="s">
        <v>47</v>
      </c>
      <c r="P102" s="16" t="s">
        <v>327</v>
      </c>
      <c r="Q102" s="302" t="s">
        <v>328</v>
      </c>
      <c r="R102" s="303">
        <v>2015</v>
      </c>
      <c r="S102" s="303">
        <v>1</v>
      </c>
      <c r="T102" s="303">
        <v>1</v>
      </c>
      <c r="U102" s="572">
        <v>2</v>
      </c>
      <c r="V102" s="572">
        <v>3</v>
      </c>
      <c r="W102" s="572">
        <v>4</v>
      </c>
      <c r="X102" s="572">
        <v>4</v>
      </c>
      <c r="Y102" s="481"/>
      <c r="Z102" s="481"/>
      <c r="AA102" s="579">
        <v>6</v>
      </c>
      <c r="AB102" s="481"/>
      <c r="AC102" s="481"/>
      <c r="AD102" s="481">
        <v>1</v>
      </c>
      <c r="AE102" s="481"/>
      <c r="AF102" s="578">
        <f t="shared" si="65"/>
        <v>7</v>
      </c>
      <c r="AG102" s="548"/>
      <c r="AH102" s="548"/>
      <c r="AI102" s="548"/>
      <c r="AJ102" s="548"/>
      <c r="AK102" s="548"/>
      <c r="AL102" s="548"/>
      <c r="AM102" s="548">
        <f t="shared" si="66"/>
        <v>0</v>
      </c>
      <c r="AN102" s="481"/>
      <c r="AO102" s="481"/>
      <c r="AP102" s="481"/>
      <c r="AQ102" s="481"/>
      <c r="AR102" s="481"/>
      <c r="AS102" s="481"/>
      <c r="AT102" s="481"/>
      <c r="AU102" s="481">
        <f t="shared" si="67"/>
        <v>0</v>
      </c>
      <c r="AV102" s="548"/>
      <c r="AW102" s="548"/>
      <c r="AX102" s="548"/>
      <c r="AY102" s="548"/>
      <c r="AZ102" s="548"/>
      <c r="BA102" s="548"/>
      <c r="BB102" s="548"/>
      <c r="BC102" s="548">
        <f>SUM(AV102:BB102)</f>
        <v>0</v>
      </c>
      <c r="BD102" s="42">
        <f>+AV102+AN102+AG102+Y102</f>
        <v>0</v>
      </c>
      <c r="BE102" s="42">
        <f>+AW102+AO102+AH102+Z102</f>
        <v>0</v>
      </c>
      <c r="BF102" s="42">
        <f>+AX102+AP102+AI102+AA102</f>
        <v>6</v>
      </c>
      <c r="BG102" s="42">
        <f>+AY102+AQ102+AJ102+AB102</f>
        <v>0</v>
      </c>
      <c r="BH102" s="42">
        <f>+AZ102+AR102+AK102+AC102</f>
        <v>0</v>
      </c>
      <c r="BI102" s="42">
        <f t="shared" si="51"/>
        <v>1</v>
      </c>
      <c r="BJ102" s="42">
        <f>+BB102+AT102+AL102+AE102</f>
        <v>0</v>
      </c>
      <c r="BK102" s="42">
        <f>+BC102+AU102+AM102+AF102</f>
        <v>7</v>
      </c>
    </row>
    <row r="103" spans="1:63" ht="29.25" customHeight="1" x14ac:dyDescent="0.25">
      <c r="A103" s="298" t="s">
        <v>280</v>
      </c>
      <c r="B103" s="299" t="s">
        <v>278</v>
      </c>
      <c r="C103" s="1547"/>
      <c r="D103" s="1549"/>
      <c r="E103" s="1549"/>
      <c r="F103" s="1549"/>
      <c r="G103" s="1549"/>
      <c r="H103" s="1549"/>
      <c r="I103" s="1425"/>
      <c r="J103" s="1425"/>
      <c r="K103" s="1425" t="s">
        <v>329</v>
      </c>
      <c r="L103" s="301"/>
      <c r="M103" s="1425" t="s">
        <v>45</v>
      </c>
      <c r="N103" s="1425" t="s">
        <v>46</v>
      </c>
      <c r="O103" s="1425" t="s">
        <v>73</v>
      </c>
      <c r="P103" s="16" t="s">
        <v>330</v>
      </c>
      <c r="Q103" s="302" t="s">
        <v>331</v>
      </c>
      <c r="R103" s="303">
        <v>2015</v>
      </c>
      <c r="S103" s="303">
        <v>8</v>
      </c>
      <c r="T103" s="303">
        <v>12</v>
      </c>
      <c r="U103" s="572">
        <v>12</v>
      </c>
      <c r="V103" s="572">
        <v>12</v>
      </c>
      <c r="W103" s="572">
        <v>12</v>
      </c>
      <c r="X103" s="572">
        <v>12</v>
      </c>
      <c r="Y103" s="481"/>
      <c r="Z103" s="481"/>
      <c r="AA103" s="579">
        <v>8</v>
      </c>
      <c r="AB103" s="481"/>
      <c r="AC103" s="481"/>
      <c r="AD103" s="481"/>
      <c r="AE103" s="481"/>
      <c r="AF103" s="578">
        <f t="shared" si="65"/>
        <v>8</v>
      </c>
      <c r="AG103" s="548"/>
      <c r="AH103" s="548"/>
      <c r="AI103" s="548">
        <v>20</v>
      </c>
      <c r="AJ103" s="548"/>
      <c r="AK103" s="548"/>
      <c r="AL103" s="548"/>
      <c r="AM103" s="548">
        <f t="shared" si="66"/>
        <v>20</v>
      </c>
      <c r="AN103" s="481"/>
      <c r="AO103" s="481"/>
      <c r="AP103" s="481">
        <v>20</v>
      </c>
      <c r="AQ103" s="481"/>
      <c r="AR103" s="481"/>
      <c r="AS103" s="481"/>
      <c r="AT103" s="481"/>
      <c r="AU103" s="481">
        <f t="shared" si="67"/>
        <v>20</v>
      </c>
      <c r="AV103" s="548"/>
      <c r="AW103" s="548"/>
      <c r="AX103" s="548">
        <v>20</v>
      </c>
      <c r="AY103" s="548"/>
      <c r="AZ103" s="548"/>
      <c r="BA103" s="548"/>
      <c r="BB103" s="548"/>
      <c r="BC103" s="548">
        <f t="shared" si="68"/>
        <v>20</v>
      </c>
      <c r="BD103" s="42">
        <f t="shared" si="52"/>
        <v>0</v>
      </c>
      <c r="BE103" s="42">
        <f t="shared" si="52"/>
        <v>0</v>
      </c>
      <c r="BF103" s="42">
        <f t="shared" si="52"/>
        <v>68</v>
      </c>
      <c r="BG103" s="42">
        <f t="shared" si="52"/>
        <v>0</v>
      </c>
      <c r="BH103" s="42">
        <f t="shared" si="52"/>
        <v>0</v>
      </c>
      <c r="BI103" s="42">
        <f t="shared" si="51"/>
        <v>0</v>
      </c>
      <c r="BJ103" s="42">
        <f t="shared" si="69"/>
        <v>0</v>
      </c>
      <c r="BK103" s="42">
        <f t="shared" si="69"/>
        <v>68</v>
      </c>
    </row>
    <row r="104" spans="1:63" ht="33.75" customHeight="1" x14ac:dyDescent="0.25">
      <c r="A104" s="298" t="s">
        <v>280</v>
      </c>
      <c r="B104" s="299" t="s">
        <v>278</v>
      </c>
      <c r="C104" s="1547"/>
      <c r="D104" s="1549"/>
      <c r="E104" s="1549"/>
      <c r="F104" s="1549"/>
      <c r="G104" s="1549"/>
      <c r="H104" s="1549"/>
      <c r="I104" s="1425"/>
      <c r="J104" s="1425"/>
      <c r="K104" s="1425" t="s">
        <v>332</v>
      </c>
      <c r="L104" s="301"/>
      <c r="M104" s="1425" t="s">
        <v>45</v>
      </c>
      <c r="N104" s="1425" t="s">
        <v>46</v>
      </c>
      <c r="O104" s="1425" t="s">
        <v>73</v>
      </c>
      <c r="P104" s="16" t="s">
        <v>333</v>
      </c>
      <c r="Q104" s="302" t="s">
        <v>334</v>
      </c>
      <c r="R104" s="303">
        <v>2015</v>
      </c>
      <c r="S104" s="303">
        <v>1</v>
      </c>
      <c r="T104" s="303">
        <v>1</v>
      </c>
      <c r="U104" s="572">
        <v>1</v>
      </c>
      <c r="V104" s="572">
        <v>1</v>
      </c>
      <c r="W104" s="572">
        <v>1</v>
      </c>
      <c r="X104" s="572">
        <v>1</v>
      </c>
      <c r="Y104" s="481"/>
      <c r="Z104" s="481"/>
      <c r="AA104" s="579">
        <v>6</v>
      </c>
      <c r="AB104" s="481"/>
      <c r="AC104" s="481"/>
      <c r="AD104" s="481"/>
      <c r="AE104" s="481"/>
      <c r="AF104" s="578">
        <f t="shared" si="65"/>
        <v>6</v>
      </c>
      <c r="AG104" s="548"/>
      <c r="AH104" s="548"/>
      <c r="AI104" s="548"/>
      <c r="AJ104" s="548"/>
      <c r="AK104" s="548"/>
      <c r="AL104" s="548"/>
      <c r="AM104" s="548">
        <f t="shared" si="66"/>
        <v>0</v>
      </c>
      <c r="AN104" s="481"/>
      <c r="AO104" s="481"/>
      <c r="AP104" s="481"/>
      <c r="AQ104" s="481"/>
      <c r="AR104" s="481"/>
      <c r="AS104" s="481"/>
      <c r="AT104" s="481"/>
      <c r="AU104" s="481">
        <f t="shared" si="67"/>
        <v>0</v>
      </c>
      <c r="AV104" s="548"/>
      <c r="AW104" s="548"/>
      <c r="AX104" s="548"/>
      <c r="AY104" s="548"/>
      <c r="AZ104" s="548"/>
      <c r="BA104" s="548"/>
      <c r="BB104" s="548"/>
      <c r="BC104" s="548">
        <f t="shared" si="68"/>
        <v>0</v>
      </c>
      <c r="BD104" s="42">
        <f t="shared" si="52"/>
        <v>0</v>
      </c>
      <c r="BE104" s="42">
        <f t="shared" si="52"/>
        <v>0</v>
      </c>
      <c r="BF104" s="42">
        <f t="shared" si="52"/>
        <v>6</v>
      </c>
      <c r="BG104" s="42">
        <f t="shared" si="52"/>
        <v>0</v>
      </c>
      <c r="BH104" s="42">
        <f t="shared" si="52"/>
        <v>0</v>
      </c>
      <c r="BI104" s="42">
        <f t="shared" si="51"/>
        <v>0</v>
      </c>
      <c r="BJ104" s="42">
        <f t="shared" si="69"/>
        <v>0</v>
      </c>
      <c r="BK104" s="42">
        <f t="shared" si="69"/>
        <v>6</v>
      </c>
    </row>
    <row r="105" spans="1:63" ht="29.25" customHeight="1" x14ac:dyDescent="0.25">
      <c r="A105" s="298" t="s">
        <v>280</v>
      </c>
      <c r="B105" s="299" t="s">
        <v>278</v>
      </c>
      <c r="C105" s="1547"/>
      <c r="D105" s="1549"/>
      <c r="E105" s="1549"/>
      <c r="F105" s="1549"/>
      <c r="G105" s="1549"/>
      <c r="H105" s="1549"/>
      <c r="I105" s="1425"/>
      <c r="J105" s="1425"/>
      <c r="K105" s="1425" t="s">
        <v>335</v>
      </c>
      <c r="L105" s="301"/>
      <c r="M105" s="1425" t="s">
        <v>45</v>
      </c>
      <c r="N105" s="1425" t="s">
        <v>46</v>
      </c>
      <c r="O105" s="1425" t="s">
        <v>47</v>
      </c>
      <c r="P105" s="16" t="s">
        <v>336</v>
      </c>
      <c r="Q105" s="302" t="s">
        <v>337</v>
      </c>
      <c r="R105" s="303">
        <v>2015</v>
      </c>
      <c r="S105" s="303">
        <v>1</v>
      </c>
      <c r="T105" s="303">
        <v>2</v>
      </c>
      <c r="U105" s="572">
        <v>4</v>
      </c>
      <c r="V105" s="572">
        <v>6</v>
      </c>
      <c r="W105" s="572">
        <v>8</v>
      </c>
      <c r="X105" s="572">
        <v>8</v>
      </c>
      <c r="Y105" s="481"/>
      <c r="Z105" s="481"/>
      <c r="AA105" s="579"/>
      <c r="AB105" s="481"/>
      <c r="AC105" s="481"/>
      <c r="AD105" s="481"/>
      <c r="AE105" s="481"/>
      <c r="AF105" s="578">
        <f t="shared" si="65"/>
        <v>0</v>
      </c>
      <c r="AG105" s="548"/>
      <c r="AH105" s="548"/>
      <c r="AI105" s="548">
        <v>5</v>
      </c>
      <c r="AJ105" s="548"/>
      <c r="AK105" s="548"/>
      <c r="AL105" s="548"/>
      <c r="AM105" s="548">
        <f t="shared" si="66"/>
        <v>5</v>
      </c>
      <c r="AN105" s="481"/>
      <c r="AO105" s="481"/>
      <c r="AP105" s="481">
        <v>5</v>
      </c>
      <c r="AQ105" s="481"/>
      <c r="AR105" s="481"/>
      <c r="AS105" s="481"/>
      <c r="AT105" s="481"/>
      <c r="AU105" s="481">
        <f t="shared" si="67"/>
        <v>5</v>
      </c>
      <c r="AV105" s="548"/>
      <c r="AW105" s="548"/>
      <c r="AX105" s="548">
        <v>5</v>
      </c>
      <c r="AY105" s="548"/>
      <c r="AZ105" s="548"/>
      <c r="BA105" s="548"/>
      <c r="BB105" s="548"/>
      <c r="BC105" s="548">
        <f t="shared" si="68"/>
        <v>5</v>
      </c>
      <c r="BD105" s="42">
        <f t="shared" si="52"/>
        <v>0</v>
      </c>
      <c r="BE105" s="42">
        <f t="shared" si="52"/>
        <v>0</v>
      </c>
      <c r="BF105" s="42">
        <f t="shared" si="52"/>
        <v>15</v>
      </c>
      <c r="BG105" s="42">
        <f t="shared" si="52"/>
        <v>0</v>
      </c>
      <c r="BH105" s="42">
        <f t="shared" si="52"/>
        <v>0</v>
      </c>
      <c r="BI105" s="42">
        <f t="shared" si="51"/>
        <v>0</v>
      </c>
      <c r="BJ105" s="42">
        <f t="shared" si="69"/>
        <v>0</v>
      </c>
      <c r="BK105" s="42">
        <f t="shared" si="69"/>
        <v>15</v>
      </c>
    </row>
    <row r="106" spans="1:63" ht="43.5" customHeight="1" x14ac:dyDescent="0.25">
      <c r="A106" s="298" t="s">
        <v>280</v>
      </c>
      <c r="B106" s="299" t="s">
        <v>278</v>
      </c>
      <c r="C106" s="1547"/>
      <c r="D106" s="1549"/>
      <c r="E106" s="1549"/>
      <c r="F106" s="1549"/>
      <c r="G106" s="1549"/>
      <c r="H106" s="1549"/>
      <c r="I106" s="1425"/>
      <c r="J106" s="1425"/>
      <c r="K106" s="1425" t="s">
        <v>338</v>
      </c>
      <c r="L106" s="301"/>
      <c r="M106" s="1425" t="s">
        <v>45</v>
      </c>
      <c r="N106" s="1425" t="s">
        <v>46</v>
      </c>
      <c r="O106" s="1425" t="s">
        <v>47</v>
      </c>
      <c r="P106" s="16" t="s">
        <v>339</v>
      </c>
      <c r="Q106" s="302" t="s">
        <v>340</v>
      </c>
      <c r="R106" s="303">
        <v>2015</v>
      </c>
      <c r="S106" s="303">
        <v>1600</v>
      </c>
      <c r="T106" s="303">
        <v>1600</v>
      </c>
      <c r="U106" s="572">
        <v>1600</v>
      </c>
      <c r="V106" s="572">
        <v>1600</v>
      </c>
      <c r="W106" s="572">
        <v>1600</v>
      </c>
      <c r="X106" s="572">
        <v>1600</v>
      </c>
      <c r="Y106" s="483"/>
      <c r="Z106" s="483"/>
      <c r="AA106" s="577">
        <v>15.5</v>
      </c>
      <c r="AB106" s="483"/>
      <c r="AC106" s="483"/>
      <c r="AD106" s="483"/>
      <c r="AE106" s="483"/>
      <c r="AF106" s="578">
        <f t="shared" si="65"/>
        <v>15.5</v>
      </c>
      <c r="AG106" s="587"/>
      <c r="AH106" s="587"/>
      <c r="AI106" s="587"/>
      <c r="AJ106" s="587"/>
      <c r="AK106" s="587"/>
      <c r="AL106" s="587"/>
      <c r="AM106" s="587">
        <f t="shared" si="66"/>
        <v>0</v>
      </c>
      <c r="AN106" s="483"/>
      <c r="AO106" s="483"/>
      <c r="AP106" s="483"/>
      <c r="AQ106" s="483"/>
      <c r="AR106" s="483"/>
      <c r="AS106" s="483"/>
      <c r="AT106" s="483"/>
      <c r="AU106" s="483">
        <f t="shared" si="67"/>
        <v>0</v>
      </c>
      <c r="AV106" s="587"/>
      <c r="AW106" s="587"/>
      <c r="AX106" s="587"/>
      <c r="AY106" s="587"/>
      <c r="AZ106" s="587"/>
      <c r="BA106" s="587"/>
      <c r="BB106" s="587"/>
      <c r="BC106" s="587">
        <f t="shared" si="68"/>
        <v>0</v>
      </c>
      <c r="BD106" s="44">
        <f t="shared" si="52"/>
        <v>0</v>
      </c>
      <c r="BE106" s="44">
        <f t="shared" si="52"/>
        <v>0</v>
      </c>
      <c r="BF106" s="44">
        <f t="shared" si="52"/>
        <v>15.5</v>
      </c>
      <c r="BG106" s="44">
        <f t="shared" si="52"/>
        <v>0</v>
      </c>
      <c r="BH106" s="44">
        <f t="shared" si="52"/>
        <v>0</v>
      </c>
      <c r="BI106" s="44">
        <f t="shared" si="51"/>
        <v>0</v>
      </c>
      <c r="BJ106" s="44">
        <f t="shared" si="69"/>
        <v>0</v>
      </c>
      <c r="BK106" s="44">
        <f t="shared" si="69"/>
        <v>15.5</v>
      </c>
    </row>
    <row r="107" spans="1:63" ht="58.5" customHeight="1" x14ac:dyDescent="0.25">
      <c r="A107" s="298" t="s">
        <v>280</v>
      </c>
      <c r="B107" s="299" t="s">
        <v>278</v>
      </c>
      <c r="C107" s="1548"/>
      <c r="D107" s="1549"/>
      <c r="E107" s="1549"/>
      <c r="F107" s="1549"/>
      <c r="G107" s="1549"/>
      <c r="H107" s="1549"/>
      <c r="I107" s="1425"/>
      <c r="J107" s="1425"/>
      <c r="K107" s="1425" t="s">
        <v>341</v>
      </c>
      <c r="L107" s="301"/>
      <c r="M107" s="1425" t="s">
        <v>45</v>
      </c>
      <c r="N107" s="1425" t="s">
        <v>46</v>
      </c>
      <c r="O107" s="1425" t="s">
        <v>47</v>
      </c>
      <c r="P107" s="16" t="s">
        <v>342</v>
      </c>
      <c r="Q107" s="302" t="s">
        <v>313</v>
      </c>
      <c r="R107" s="303">
        <v>2015</v>
      </c>
      <c r="S107" s="303">
        <v>0</v>
      </c>
      <c r="T107" s="303">
        <v>1</v>
      </c>
      <c r="U107" s="572">
        <v>0</v>
      </c>
      <c r="V107" s="572">
        <v>1</v>
      </c>
      <c r="W107" s="572">
        <v>0</v>
      </c>
      <c r="X107" s="572">
        <v>2</v>
      </c>
      <c r="Y107" s="481"/>
      <c r="Z107" s="481"/>
      <c r="AA107" s="579">
        <v>25</v>
      </c>
      <c r="AB107" s="481"/>
      <c r="AC107" s="481"/>
      <c r="AD107" s="481"/>
      <c r="AE107" s="481"/>
      <c r="AF107" s="578">
        <f t="shared" si="65"/>
        <v>25</v>
      </c>
      <c r="AG107" s="548"/>
      <c r="AH107" s="548"/>
      <c r="AI107" s="548">
        <v>25</v>
      </c>
      <c r="AJ107" s="548"/>
      <c r="AK107" s="548"/>
      <c r="AL107" s="548"/>
      <c r="AM107" s="548">
        <f t="shared" si="66"/>
        <v>25</v>
      </c>
      <c r="AN107" s="481"/>
      <c r="AO107" s="481"/>
      <c r="AP107" s="481">
        <v>25</v>
      </c>
      <c r="AQ107" s="481"/>
      <c r="AR107" s="481"/>
      <c r="AS107" s="481"/>
      <c r="AT107" s="481"/>
      <c r="AU107" s="481">
        <f t="shared" si="67"/>
        <v>25</v>
      </c>
      <c r="AV107" s="548"/>
      <c r="AW107" s="548"/>
      <c r="AX107" s="548">
        <v>25</v>
      </c>
      <c r="AY107" s="548"/>
      <c r="AZ107" s="548"/>
      <c r="BA107" s="548"/>
      <c r="BB107" s="548"/>
      <c r="BC107" s="548">
        <f t="shared" si="68"/>
        <v>25</v>
      </c>
      <c r="BD107" s="42">
        <f t="shared" si="52"/>
        <v>0</v>
      </c>
      <c r="BE107" s="42">
        <f t="shared" si="52"/>
        <v>0</v>
      </c>
      <c r="BF107" s="42">
        <f t="shared" si="52"/>
        <v>100</v>
      </c>
      <c r="BG107" s="42">
        <f t="shared" si="52"/>
        <v>0</v>
      </c>
      <c r="BH107" s="42">
        <f t="shared" si="52"/>
        <v>0</v>
      </c>
      <c r="BI107" s="42">
        <f t="shared" si="51"/>
        <v>0</v>
      </c>
      <c r="BJ107" s="42">
        <f t="shared" si="69"/>
        <v>0</v>
      </c>
      <c r="BK107" s="42">
        <f t="shared" si="69"/>
        <v>100</v>
      </c>
    </row>
    <row r="108" spans="1:63" ht="4.5" customHeight="1" x14ac:dyDescent="0.2">
      <c r="A108" s="151"/>
      <c r="B108" s="7" t="s">
        <v>343</v>
      </c>
      <c r="C108" s="7"/>
      <c r="D108" s="1442"/>
      <c r="E108" s="1442"/>
      <c r="F108" s="1442"/>
      <c r="G108" s="1442"/>
      <c r="H108" s="1442"/>
      <c r="I108" s="1442"/>
      <c r="J108" s="1442"/>
      <c r="K108" s="1442"/>
      <c r="L108" s="1442"/>
      <c r="M108" s="1442"/>
      <c r="N108" s="11"/>
      <c r="O108" s="1442"/>
      <c r="P108" s="1440"/>
      <c r="Q108" s="302"/>
      <c r="R108" s="303"/>
      <c r="S108" s="303"/>
      <c r="T108" s="303"/>
      <c r="U108" s="572"/>
      <c r="V108" s="572"/>
      <c r="W108" s="572"/>
      <c r="X108" s="572"/>
      <c r="Y108" s="42">
        <v>20</v>
      </c>
      <c r="Z108" s="42"/>
      <c r="AA108" s="42">
        <v>94</v>
      </c>
      <c r="AB108" s="42"/>
      <c r="AC108" s="42"/>
      <c r="AD108" s="42">
        <v>745.7</v>
      </c>
      <c r="AE108" s="42"/>
      <c r="AF108" s="42">
        <f t="shared" si="65"/>
        <v>859.7</v>
      </c>
      <c r="AG108" s="42">
        <f>+Y108*1.04</f>
        <v>20.8</v>
      </c>
      <c r="AH108" s="42"/>
      <c r="AI108" s="42">
        <f>+AA108*1.04</f>
        <v>97.76</v>
      </c>
      <c r="AJ108" s="42"/>
      <c r="AK108" s="42"/>
      <c r="AL108" s="42"/>
      <c r="AM108" s="42"/>
      <c r="AN108" s="42">
        <f>+AG108*1.04</f>
        <v>21.632000000000001</v>
      </c>
      <c r="AO108" s="42"/>
      <c r="AP108" s="42">
        <f>+AI108*1.04</f>
        <v>101.67040000000001</v>
      </c>
      <c r="AQ108" s="42"/>
      <c r="AR108" s="42"/>
      <c r="AS108" s="42"/>
      <c r="AT108" s="42"/>
      <c r="AU108" s="42"/>
      <c r="AV108" s="42">
        <f>+AN108*1.04</f>
        <v>22.497280000000003</v>
      </c>
      <c r="AW108" s="42"/>
      <c r="AX108" s="42">
        <f>+AP108*1.04</f>
        <v>105.73721600000002</v>
      </c>
      <c r="AY108" s="42"/>
      <c r="AZ108" s="42"/>
      <c r="BA108" s="42"/>
      <c r="BB108" s="42"/>
      <c r="BC108" s="42"/>
      <c r="BD108" s="42">
        <f t="shared" si="52"/>
        <v>84.929280000000006</v>
      </c>
      <c r="BE108" s="42">
        <f t="shared" si="52"/>
        <v>0</v>
      </c>
      <c r="BF108" s="42">
        <f t="shared" si="52"/>
        <v>399.16761600000001</v>
      </c>
      <c r="BG108" s="42">
        <f t="shared" si="52"/>
        <v>0</v>
      </c>
      <c r="BH108" s="42">
        <f t="shared" si="52"/>
        <v>0</v>
      </c>
      <c r="BI108" s="42">
        <f t="shared" si="51"/>
        <v>745.7</v>
      </c>
      <c r="BJ108" s="42">
        <f t="shared" si="69"/>
        <v>0</v>
      </c>
      <c r="BK108" s="42">
        <f t="shared" si="69"/>
        <v>859.7</v>
      </c>
    </row>
    <row r="109" spans="1:63" ht="18" x14ac:dyDescent="0.2">
      <c r="A109" s="420"/>
      <c r="B109" s="1553" t="s">
        <v>344</v>
      </c>
      <c r="C109" s="1554"/>
      <c r="D109" s="1554"/>
      <c r="E109" s="1554"/>
      <c r="F109" s="1554"/>
      <c r="G109" s="1554"/>
      <c r="H109" s="1554"/>
      <c r="I109" s="1554"/>
      <c r="J109" s="1554"/>
      <c r="K109" s="1554"/>
      <c r="L109" s="1554"/>
      <c r="M109" s="1555"/>
      <c r="N109" s="597"/>
      <c r="O109" s="597"/>
      <c r="P109" s="597"/>
      <c r="Q109" s="598"/>
      <c r="R109" s="597"/>
      <c r="S109" s="597"/>
      <c r="T109" s="597"/>
      <c r="U109" s="599"/>
      <c r="V109" s="599"/>
      <c r="W109" s="599"/>
      <c r="X109" s="599"/>
      <c r="Y109" s="600">
        <f>+Y110+Y116</f>
        <v>20</v>
      </c>
      <c r="Z109" s="600">
        <f t="shared" ref="Z109:AE109" si="74">+Z110+Z116</f>
        <v>0</v>
      </c>
      <c r="AA109" s="600">
        <f t="shared" si="74"/>
        <v>94</v>
      </c>
      <c r="AB109" s="600">
        <f t="shared" si="74"/>
        <v>0</v>
      </c>
      <c r="AC109" s="600">
        <f t="shared" si="74"/>
        <v>0</v>
      </c>
      <c r="AD109" s="600">
        <f t="shared" si="74"/>
        <v>745.7</v>
      </c>
      <c r="AE109" s="600">
        <f t="shared" si="74"/>
        <v>0</v>
      </c>
      <c r="AF109" s="600">
        <f t="shared" si="65"/>
        <v>859.7</v>
      </c>
      <c r="AG109" s="600">
        <f t="shared" ref="AG109:AL109" si="75">+AG110+AG116</f>
        <v>20</v>
      </c>
      <c r="AH109" s="600">
        <f t="shared" si="75"/>
        <v>0</v>
      </c>
      <c r="AI109" s="600">
        <f t="shared" si="75"/>
        <v>97</v>
      </c>
      <c r="AJ109" s="600">
        <f t="shared" si="75"/>
        <v>700</v>
      </c>
      <c r="AK109" s="600">
        <f t="shared" si="75"/>
        <v>0</v>
      </c>
      <c r="AL109" s="600">
        <f t="shared" si="75"/>
        <v>300</v>
      </c>
      <c r="AM109" s="600">
        <f t="shared" ref="AM109:AM120" si="76">SUM(AG109:AL109)</f>
        <v>1117</v>
      </c>
      <c r="AN109" s="600">
        <f t="shared" ref="AN109:AT109" si="77">+AN110+AN116</f>
        <v>21</v>
      </c>
      <c r="AO109" s="600">
        <f t="shared" si="77"/>
        <v>0</v>
      </c>
      <c r="AP109" s="600">
        <f t="shared" si="77"/>
        <v>101</v>
      </c>
      <c r="AQ109" s="600">
        <f t="shared" si="77"/>
        <v>0</v>
      </c>
      <c r="AR109" s="600">
        <f t="shared" si="77"/>
        <v>0</v>
      </c>
      <c r="AS109" s="600">
        <f t="shared" si="77"/>
        <v>0</v>
      </c>
      <c r="AT109" s="600">
        <f t="shared" si="77"/>
        <v>0</v>
      </c>
      <c r="AU109" s="600">
        <f t="shared" ref="AU109:AU120" si="78">SUM(AN109:AT109)</f>
        <v>122</v>
      </c>
      <c r="AV109" s="600">
        <f t="shared" ref="AV109:BB109" si="79">+AV110+AV116</f>
        <v>22.5</v>
      </c>
      <c r="AW109" s="600">
        <f t="shared" si="79"/>
        <v>0</v>
      </c>
      <c r="AX109" s="600">
        <f t="shared" si="79"/>
        <v>105</v>
      </c>
      <c r="AY109" s="600">
        <f t="shared" si="79"/>
        <v>0</v>
      </c>
      <c r="AZ109" s="600">
        <f t="shared" si="79"/>
        <v>0</v>
      </c>
      <c r="BA109" s="600">
        <f t="shared" si="79"/>
        <v>0</v>
      </c>
      <c r="BB109" s="600">
        <f t="shared" si="79"/>
        <v>0</v>
      </c>
      <c r="BC109" s="600">
        <f t="shared" ref="BC109:BC120" si="80">SUM(AV109:BB109)</f>
        <v>127.5</v>
      </c>
      <c r="BD109" s="33">
        <f t="shared" si="52"/>
        <v>83.5</v>
      </c>
      <c r="BE109" s="33">
        <f t="shared" si="52"/>
        <v>0</v>
      </c>
      <c r="BF109" s="33">
        <f t="shared" si="52"/>
        <v>397</v>
      </c>
      <c r="BG109" s="33">
        <f t="shared" si="52"/>
        <v>700</v>
      </c>
      <c r="BH109" s="33">
        <f t="shared" si="52"/>
        <v>0</v>
      </c>
      <c r="BI109" s="33">
        <f t="shared" si="51"/>
        <v>745.7</v>
      </c>
      <c r="BJ109" s="33">
        <f t="shared" si="69"/>
        <v>300</v>
      </c>
      <c r="BK109" s="33">
        <f t="shared" si="69"/>
        <v>2226.1999999999998</v>
      </c>
    </row>
    <row r="110" spans="1:63" ht="12.75" x14ac:dyDescent="0.2">
      <c r="A110" s="603"/>
      <c r="B110" s="154" t="s">
        <v>343</v>
      </c>
      <c r="C110" s="6"/>
      <c r="D110" s="2" t="s">
        <v>345</v>
      </c>
      <c r="E110" s="1"/>
      <c r="F110" s="1"/>
      <c r="G110" s="1"/>
      <c r="H110" s="1"/>
      <c r="I110" s="1"/>
      <c r="J110" s="1"/>
      <c r="K110" s="1"/>
      <c r="L110" s="1"/>
      <c r="M110" s="1"/>
      <c r="N110" s="1"/>
      <c r="O110" s="1"/>
      <c r="P110" s="1"/>
      <c r="Q110" s="573"/>
      <c r="R110" s="574"/>
      <c r="S110" s="574"/>
      <c r="T110" s="574"/>
      <c r="U110" s="575"/>
      <c r="V110" s="575"/>
      <c r="W110" s="575"/>
      <c r="X110" s="575"/>
      <c r="Y110" s="34">
        <f>SUM(Y111:Y115)</f>
        <v>0</v>
      </c>
      <c r="Z110" s="34">
        <f t="shared" ref="Z110:AE110" si="81">SUM(Z111:Z115)</f>
        <v>0</v>
      </c>
      <c r="AA110" s="34">
        <f t="shared" si="81"/>
        <v>0</v>
      </c>
      <c r="AB110" s="34">
        <f t="shared" si="81"/>
        <v>0</v>
      </c>
      <c r="AC110" s="34">
        <f t="shared" si="81"/>
        <v>0</v>
      </c>
      <c r="AD110" s="34">
        <f t="shared" si="81"/>
        <v>745.7</v>
      </c>
      <c r="AE110" s="34">
        <f t="shared" si="81"/>
        <v>0</v>
      </c>
      <c r="AF110" s="34">
        <f t="shared" si="65"/>
        <v>745.7</v>
      </c>
      <c r="AG110" s="34">
        <f t="shared" ref="AG110:AL110" si="82">SUM(AG111:AG115)</f>
        <v>0</v>
      </c>
      <c r="AH110" s="34">
        <f t="shared" si="82"/>
        <v>0</v>
      </c>
      <c r="AI110" s="34">
        <f t="shared" si="82"/>
        <v>97</v>
      </c>
      <c r="AJ110" s="34">
        <f t="shared" si="82"/>
        <v>500</v>
      </c>
      <c r="AK110" s="34">
        <f t="shared" si="82"/>
        <v>0</v>
      </c>
      <c r="AL110" s="34">
        <f t="shared" si="82"/>
        <v>0</v>
      </c>
      <c r="AM110" s="34">
        <f t="shared" si="76"/>
        <v>597</v>
      </c>
      <c r="AN110" s="34">
        <f t="shared" ref="AN110:AT110" si="83">SUM(AN111:AN115)</f>
        <v>0</v>
      </c>
      <c r="AO110" s="34">
        <f t="shared" si="83"/>
        <v>0</v>
      </c>
      <c r="AP110" s="34">
        <f t="shared" si="83"/>
        <v>101</v>
      </c>
      <c r="AQ110" s="34">
        <f t="shared" si="83"/>
        <v>0</v>
      </c>
      <c r="AR110" s="34">
        <f t="shared" si="83"/>
        <v>0</v>
      </c>
      <c r="AS110" s="34">
        <f t="shared" si="83"/>
        <v>0</v>
      </c>
      <c r="AT110" s="34">
        <f t="shared" si="83"/>
        <v>0</v>
      </c>
      <c r="AU110" s="34">
        <f t="shared" si="78"/>
        <v>101</v>
      </c>
      <c r="AV110" s="34">
        <f t="shared" ref="AV110:BB110" si="84">SUM(AV111:AV115)</f>
        <v>0</v>
      </c>
      <c r="AW110" s="34">
        <f t="shared" si="84"/>
        <v>0</v>
      </c>
      <c r="AX110" s="34">
        <f t="shared" si="84"/>
        <v>105</v>
      </c>
      <c r="AY110" s="34">
        <f t="shared" si="84"/>
        <v>0</v>
      </c>
      <c r="AZ110" s="34">
        <f t="shared" si="84"/>
        <v>0</v>
      </c>
      <c r="BA110" s="34">
        <f t="shared" si="84"/>
        <v>0</v>
      </c>
      <c r="BB110" s="34">
        <f t="shared" si="84"/>
        <v>0</v>
      </c>
      <c r="BC110" s="34">
        <f t="shared" si="80"/>
        <v>105</v>
      </c>
      <c r="BD110" s="34">
        <f t="shared" si="52"/>
        <v>0</v>
      </c>
      <c r="BE110" s="34">
        <f t="shared" si="52"/>
        <v>0</v>
      </c>
      <c r="BF110" s="34">
        <f t="shared" si="52"/>
        <v>303</v>
      </c>
      <c r="BG110" s="34">
        <f t="shared" si="52"/>
        <v>500</v>
      </c>
      <c r="BH110" s="34">
        <f t="shared" si="52"/>
        <v>0</v>
      </c>
      <c r="BI110" s="34">
        <f t="shared" si="51"/>
        <v>745.7</v>
      </c>
      <c r="BJ110" s="34">
        <f t="shared" si="69"/>
        <v>0</v>
      </c>
      <c r="BK110" s="34">
        <f t="shared" si="69"/>
        <v>1548.7</v>
      </c>
    </row>
    <row r="111" spans="1:63" ht="70.5" customHeight="1" x14ac:dyDescent="0.25">
      <c r="A111" s="298" t="s">
        <v>346</v>
      </c>
      <c r="B111" s="299" t="s">
        <v>343</v>
      </c>
      <c r="C111" s="1546" t="s">
        <v>347</v>
      </c>
      <c r="D111" s="1549" t="s">
        <v>348</v>
      </c>
      <c r="E111" s="1549" t="s">
        <v>349</v>
      </c>
      <c r="F111" s="1549">
        <v>2015</v>
      </c>
      <c r="G111" s="1549">
        <v>37.700000000000003</v>
      </c>
      <c r="H111" s="1549">
        <v>33</v>
      </c>
      <c r="I111" s="1425" t="s">
        <v>53</v>
      </c>
      <c r="J111" s="1425"/>
      <c r="K111" s="1425" t="s">
        <v>350</v>
      </c>
      <c r="L111" s="301" t="s">
        <v>179</v>
      </c>
      <c r="M111" s="1425" t="s">
        <v>351</v>
      </c>
      <c r="N111" s="1425" t="s">
        <v>352</v>
      </c>
      <c r="O111" s="1425" t="s">
        <v>47</v>
      </c>
      <c r="P111" s="16" t="s">
        <v>353</v>
      </c>
      <c r="Q111" s="302" t="s">
        <v>354</v>
      </c>
      <c r="R111" s="303">
        <v>2015</v>
      </c>
      <c r="S111" s="303" t="s">
        <v>177</v>
      </c>
      <c r="T111" s="303">
        <v>200</v>
      </c>
      <c r="U111" s="572">
        <v>150</v>
      </c>
      <c r="V111" s="572">
        <v>50</v>
      </c>
      <c r="W111" s="572">
        <v>50</v>
      </c>
      <c r="X111" s="572">
        <f>SUBTOTAL(9,T111:W111)</f>
        <v>450</v>
      </c>
      <c r="Y111" s="481"/>
      <c r="Z111" s="481"/>
      <c r="AA111" s="481"/>
      <c r="AB111" s="481"/>
      <c r="AC111" s="481"/>
      <c r="AD111" s="481">
        <v>745.7</v>
      </c>
      <c r="AE111" s="481"/>
      <c r="AF111" s="481">
        <f t="shared" si="65"/>
        <v>745.7</v>
      </c>
      <c r="AG111" s="548"/>
      <c r="AH111" s="548"/>
      <c r="AI111" s="548">
        <v>97</v>
      </c>
      <c r="AJ111" s="548">
        <v>500</v>
      </c>
      <c r="AK111" s="548"/>
      <c r="AL111" s="548"/>
      <c r="AM111" s="548">
        <f t="shared" si="76"/>
        <v>597</v>
      </c>
      <c r="AN111" s="481"/>
      <c r="AO111" s="481"/>
      <c r="AP111" s="481">
        <v>101</v>
      </c>
      <c r="AQ111" s="481"/>
      <c r="AR111" s="481"/>
      <c r="AS111" s="481"/>
      <c r="AT111" s="481"/>
      <c r="AU111" s="481">
        <f t="shared" si="78"/>
        <v>101</v>
      </c>
      <c r="AV111" s="548"/>
      <c r="AW111" s="548"/>
      <c r="AX111" s="548">
        <v>105</v>
      </c>
      <c r="AY111" s="548"/>
      <c r="AZ111" s="548"/>
      <c r="BA111" s="548"/>
      <c r="BB111" s="548"/>
      <c r="BC111" s="548">
        <f t="shared" si="80"/>
        <v>105</v>
      </c>
      <c r="BD111" s="42">
        <f t="shared" si="52"/>
        <v>0</v>
      </c>
      <c r="BE111" s="42">
        <f t="shared" si="52"/>
        <v>0</v>
      </c>
      <c r="BF111" s="42">
        <f t="shared" si="52"/>
        <v>303</v>
      </c>
      <c r="BG111" s="42">
        <f t="shared" si="52"/>
        <v>500</v>
      </c>
      <c r="BH111" s="42">
        <f t="shared" si="52"/>
        <v>0</v>
      </c>
      <c r="BI111" s="42">
        <f t="shared" si="51"/>
        <v>745.7</v>
      </c>
      <c r="BJ111" s="42">
        <f t="shared" si="69"/>
        <v>0</v>
      </c>
      <c r="BK111" s="42">
        <f t="shared" si="69"/>
        <v>1548.7</v>
      </c>
    </row>
    <row r="112" spans="1:63" ht="53.25" customHeight="1" x14ac:dyDescent="0.25">
      <c r="A112" s="298" t="s">
        <v>346</v>
      </c>
      <c r="B112" s="299" t="s">
        <v>343</v>
      </c>
      <c r="C112" s="1547"/>
      <c r="D112" s="1549"/>
      <c r="E112" s="1549"/>
      <c r="F112" s="1549"/>
      <c r="G112" s="1549"/>
      <c r="H112" s="1549"/>
      <c r="I112" s="1425"/>
      <c r="J112" s="1425"/>
      <c r="K112" s="1425" t="s">
        <v>355</v>
      </c>
      <c r="L112" s="301" t="s">
        <v>179</v>
      </c>
      <c r="M112" s="1425" t="s">
        <v>351</v>
      </c>
      <c r="N112" s="1425" t="s">
        <v>352</v>
      </c>
      <c r="O112" s="1425" t="s">
        <v>47</v>
      </c>
      <c r="P112" s="16" t="s">
        <v>356</v>
      </c>
      <c r="Q112" s="302" t="s">
        <v>357</v>
      </c>
      <c r="R112" s="303">
        <v>2015</v>
      </c>
      <c r="S112" s="303">
        <v>0</v>
      </c>
      <c r="T112" s="303">
        <v>0</v>
      </c>
      <c r="U112" s="572">
        <v>1</v>
      </c>
      <c r="V112" s="572">
        <v>1</v>
      </c>
      <c r="W112" s="572">
        <v>0</v>
      </c>
      <c r="X112" s="572">
        <f>SUBTOTAL(9,T112:W112)</f>
        <v>2</v>
      </c>
      <c r="Y112" s="481"/>
      <c r="Z112" s="481"/>
      <c r="AA112" s="481"/>
      <c r="AB112" s="481"/>
      <c r="AC112" s="481"/>
      <c r="AD112" s="481"/>
      <c r="AE112" s="481"/>
      <c r="AF112" s="481">
        <f t="shared" si="65"/>
        <v>0</v>
      </c>
      <c r="AG112" s="548"/>
      <c r="AH112" s="548"/>
      <c r="AI112" s="548"/>
      <c r="AJ112" s="548"/>
      <c r="AK112" s="548"/>
      <c r="AL112" s="548"/>
      <c r="AM112" s="548">
        <f t="shared" si="76"/>
        <v>0</v>
      </c>
      <c r="AN112" s="481"/>
      <c r="AO112" s="481"/>
      <c r="AP112" s="481"/>
      <c r="AQ112" s="481"/>
      <c r="AR112" s="481"/>
      <c r="AS112" s="481"/>
      <c r="AT112" s="481"/>
      <c r="AU112" s="481">
        <f t="shared" si="78"/>
        <v>0</v>
      </c>
      <c r="AV112" s="548"/>
      <c r="AW112" s="548"/>
      <c r="AX112" s="548"/>
      <c r="AY112" s="548"/>
      <c r="AZ112" s="548"/>
      <c r="BA112" s="548"/>
      <c r="BB112" s="548"/>
      <c r="BC112" s="548">
        <f t="shared" si="80"/>
        <v>0</v>
      </c>
      <c r="BD112" s="42">
        <f t="shared" ref="BD112:BH144" si="85">+AV112+AN112+AG112+Y112</f>
        <v>0</v>
      </c>
      <c r="BE112" s="42">
        <f t="shared" si="85"/>
        <v>0</v>
      </c>
      <c r="BF112" s="42">
        <f t="shared" si="85"/>
        <v>0</v>
      </c>
      <c r="BG112" s="42">
        <f t="shared" si="85"/>
        <v>0</v>
      </c>
      <c r="BH112" s="42">
        <f t="shared" si="85"/>
        <v>0</v>
      </c>
      <c r="BI112" s="42">
        <f t="shared" si="51"/>
        <v>0</v>
      </c>
      <c r="BJ112" s="42">
        <f t="shared" si="69"/>
        <v>0</v>
      </c>
      <c r="BK112" s="42">
        <f t="shared" si="69"/>
        <v>0</v>
      </c>
    </row>
    <row r="113" spans="1:63" ht="68.25" customHeight="1" x14ac:dyDescent="0.25">
      <c r="A113" s="298" t="s">
        <v>346</v>
      </c>
      <c r="B113" s="299" t="s">
        <v>343</v>
      </c>
      <c r="C113" s="1547"/>
      <c r="D113" s="1549"/>
      <c r="E113" s="1549"/>
      <c r="F113" s="1549"/>
      <c r="G113" s="1549"/>
      <c r="H113" s="1549"/>
      <c r="I113" s="1425"/>
      <c r="J113" s="1425"/>
      <c r="K113" s="1425" t="s">
        <v>358</v>
      </c>
      <c r="L113" s="301" t="s">
        <v>179</v>
      </c>
      <c r="M113" s="1425" t="s">
        <v>351</v>
      </c>
      <c r="N113" s="1425" t="s">
        <v>352</v>
      </c>
      <c r="O113" s="1425" t="s">
        <v>47</v>
      </c>
      <c r="P113" s="16" t="s">
        <v>360</v>
      </c>
      <c r="Q113" s="302" t="s">
        <v>361</v>
      </c>
      <c r="R113" s="303">
        <v>2015</v>
      </c>
      <c r="S113" s="303">
        <v>0</v>
      </c>
      <c r="T113" s="303">
        <v>2000</v>
      </c>
      <c r="U113" s="572">
        <v>3000</v>
      </c>
      <c r="V113" s="572">
        <v>4500</v>
      </c>
      <c r="W113" s="572">
        <v>5500</v>
      </c>
      <c r="X113" s="572">
        <f>SUBTOTAL(9,T113:W113)</f>
        <v>15000</v>
      </c>
      <c r="Y113" s="483"/>
      <c r="Z113" s="483"/>
      <c r="AA113" s="483"/>
      <c r="AB113" s="483"/>
      <c r="AC113" s="483"/>
      <c r="AD113" s="483"/>
      <c r="AE113" s="483"/>
      <c r="AF113" s="483">
        <f t="shared" si="65"/>
        <v>0</v>
      </c>
      <c r="AG113" s="587"/>
      <c r="AH113" s="587"/>
      <c r="AI113" s="587"/>
      <c r="AJ113" s="587"/>
      <c r="AK113" s="587"/>
      <c r="AL113" s="587"/>
      <c r="AM113" s="587">
        <f t="shared" si="76"/>
        <v>0</v>
      </c>
      <c r="AN113" s="483"/>
      <c r="AO113" s="483"/>
      <c r="AP113" s="483"/>
      <c r="AQ113" s="483"/>
      <c r="AR113" s="483"/>
      <c r="AS113" s="483"/>
      <c r="AT113" s="483"/>
      <c r="AU113" s="483">
        <f t="shared" si="78"/>
        <v>0</v>
      </c>
      <c r="AV113" s="587"/>
      <c r="AW113" s="587"/>
      <c r="AX113" s="587"/>
      <c r="AY113" s="587"/>
      <c r="AZ113" s="587"/>
      <c r="BA113" s="587"/>
      <c r="BB113" s="587"/>
      <c r="BC113" s="587">
        <f t="shared" si="80"/>
        <v>0</v>
      </c>
      <c r="BD113" s="44">
        <f t="shared" si="85"/>
        <v>0</v>
      </c>
      <c r="BE113" s="44">
        <f t="shared" si="85"/>
        <v>0</v>
      </c>
      <c r="BF113" s="44">
        <f t="shared" si="85"/>
        <v>0</v>
      </c>
      <c r="BG113" s="44">
        <f t="shared" si="85"/>
        <v>0</v>
      </c>
      <c r="BH113" s="44">
        <f t="shared" si="85"/>
        <v>0</v>
      </c>
      <c r="BI113" s="44">
        <f t="shared" si="51"/>
        <v>0</v>
      </c>
      <c r="BJ113" s="44">
        <f t="shared" si="69"/>
        <v>0</v>
      </c>
      <c r="BK113" s="44">
        <f t="shared" si="69"/>
        <v>0</v>
      </c>
    </row>
    <row r="114" spans="1:63" ht="48.75" customHeight="1" x14ac:dyDescent="0.25">
      <c r="A114" s="298" t="s">
        <v>346</v>
      </c>
      <c r="B114" s="299" t="s">
        <v>343</v>
      </c>
      <c r="C114" s="1547"/>
      <c r="D114" s="1549"/>
      <c r="E114" s="1549"/>
      <c r="F114" s="1549"/>
      <c r="G114" s="1549"/>
      <c r="H114" s="1549"/>
      <c r="I114" s="1425"/>
      <c r="J114" s="1425"/>
      <c r="K114" s="1425" t="s">
        <v>362</v>
      </c>
      <c r="L114" s="301" t="s">
        <v>179</v>
      </c>
      <c r="M114" s="1425" t="s">
        <v>351</v>
      </c>
      <c r="N114" s="1425" t="s">
        <v>352</v>
      </c>
      <c r="O114" s="1425" t="s">
        <v>47</v>
      </c>
      <c r="P114" s="16" t="s">
        <v>363</v>
      </c>
      <c r="Q114" s="302" t="s">
        <v>364</v>
      </c>
      <c r="R114" s="303">
        <v>2015</v>
      </c>
      <c r="S114" s="303">
        <v>0</v>
      </c>
      <c r="T114" s="303">
        <v>0</v>
      </c>
      <c r="U114" s="572">
        <v>1</v>
      </c>
      <c r="V114" s="572">
        <v>0</v>
      </c>
      <c r="W114" s="572">
        <v>0</v>
      </c>
      <c r="X114" s="572">
        <f>SUBTOTAL(9,T114:W114)</f>
        <v>1</v>
      </c>
      <c r="Y114" s="481"/>
      <c r="Z114" s="481"/>
      <c r="AA114" s="481"/>
      <c r="AB114" s="481"/>
      <c r="AC114" s="481"/>
      <c r="AD114" s="481"/>
      <c r="AE114" s="481"/>
      <c r="AF114" s="481">
        <f t="shared" si="65"/>
        <v>0</v>
      </c>
      <c r="AG114" s="548"/>
      <c r="AH114" s="548"/>
      <c r="AI114" s="548"/>
      <c r="AJ114" s="548"/>
      <c r="AK114" s="548"/>
      <c r="AL114" s="548"/>
      <c r="AM114" s="548">
        <f t="shared" si="76"/>
        <v>0</v>
      </c>
      <c r="AN114" s="481"/>
      <c r="AO114" s="481"/>
      <c r="AP114" s="481"/>
      <c r="AQ114" s="481"/>
      <c r="AR114" s="481"/>
      <c r="AS114" s="481"/>
      <c r="AT114" s="481"/>
      <c r="AU114" s="481">
        <f t="shared" si="78"/>
        <v>0</v>
      </c>
      <c r="AV114" s="548"/>
      <c r="AW114" s="548"/>
      <c r="AX114" s="548"/>
      <c r="AY114" s="548"/>
      <c r="AZ114" s="548"/>
      <c r="BA114" s="548"/>
      <c r="BB114" s="548"/>
      <c r="BC114" s="548">
        <f t="shared" si="80"/>
        <v>0</v>
      </c>
      <c r="BD114" s="42">
        <f t="shared" si="85"/>
        <v>0</v>
      </c>
      <c r="BE114" s="42">
        <f t="shared" si="85"/>
        <v>0</v>
      </c>
      <c r="BF114" s="42">
        <f t="shared" si="85"/>
        <v>0</v>
      </c>
      <c r="BG114" s="42">
        <f t="shared" si="85"/>
        <v>0</v>
      </c>
      <c r="BH114" s="42">
        <f t="shared" si="85"/>
        <v>0</v>
      </c>
      <c r="BI114" s="42">
        <f t="shared" si="51"/>
        <v>0</v>
      </c>
      <c r="BJ114" s="42">
        <f t="shared" si="69"/>
        <v>0</v>
      </c>
      <c r="BK114" s="42">
        <f t="shared" si="69"/>
        <v>0</v>
      </c>
    </row>
    <row r="115" spans="1:63" ht="57.75" customHeight="1" x14ac:dyDescent="0.25">
      <c r="A115" s="298" t="s">
        <v>346</v>
      </c>
      <c r="B115" s="299" t="s">
        <v>343</v>
      </c>
      <c r="C115" s="1548"/>
      <c r="D115" s="1549"/>
      <c r="E115" s="1549"/>
      <c r="F115" s="1549"/>
      <c r="G115" s="1549"/>
      <c r="H115" s="1549"/>
      <c r="I115" s="1425"/>
      <c r="J115" s="1425"/>
      <c r="K115" s="1425" t="s">
        <v>365</v>
      </c>
      <c r="L115" s="301" t="s">
        <v>179</v>
      </c>
      <c r="M115" s="1425" t="s">
        <v>351</v>
      </c>
      <c r="N115" s="1425" t="s">
        <v>352</v>
      </c>
      <c r="O115" s="1425" t="s">
        <v>47</v>
      </c>
      <c r="P115" s="16" t="s">
        <v>366</v>
      </c>
      <c r="Q115" s="302" t="s">
        <v>367</v>
      </c>
      <c r="R115" s="303">
        <v>2015</v>
      </c>
      <c r="S115" s="303">
        <v>0</v>
      </c>
      <c r="T115" s="303">
        <v>2</v>
      </c>
      <c r="U115" s="572">
        <v>2</v>
      </c>
      <c r="V115" s="572">
        <v>2</v>
      </c>
      <c r="W115" s="572">
        <v>2</v>
      </c>
      <c r="X115" s="572">
        <f>SUBTOTAL(9,T115:W115)</f>
        <v>8</v>
      </c>
      <c r="Y115" s="481"/>
      <c r="Z115" s="481"/>
      <c r="AA115" s="481"/>
      <c r="AB115" s="481"/>
      <c r="AC115" s="481"/>
      <c r="AD115" s="481"/>
      <c r="AE115" s="481"/>
      <c r="AF115" s="481">
        <f t="shared" si="65"/>
        <v>0</v>
      </c>
      <c r="AG115" s="548"/>
      <c r="AH115" s="548"/>
      <c r="AI115" s="548"/>
      <c r="AJ115" s="548"/>
      <c r="AK115" s="548"/>
      <c r="AL115" s="548"/>
      <c r="AM115" s="548">
        <f t="shared" si="76"/>
        <v>0</v>
      </c>
      <c r="AN115" s="481"/>
      <c r="AO115" s="481"/>
      <c r="AP115" s="481"/>
      <c r="AQ115" s="481"/>
      <c r="AR115" s="481"/>
      <c r="AS115" s="481"/>
      <c r="AT115" s="481"/>
      <c r="AU115" s="481">
        <f t="shared" si="78"/>
        <v>0</v>
      </c>
      <c r="AV115" s="548"/>
      <c r="AW115" s="548"/>
      <c r="AX115" s="548"/>
      <c r="AY115" s="548"/>
      <c r="AZ115" s="548"/>
      <c r="BA115" s="548"/>
      <c r="BB115" s="548"/>
      <c r="BC115" s="548">
        <f t="shared" si="80"/>
        <v>0</v>
      </c>
      <c r="BD115" s="42">
        <f t="shared" si="85"/>
        <v>0</v>
      </c>
      <c r="BE115" s="42">
        <f t="shared" si="85"/>
        <v>0</v>
      </c>
      <c r="BF115" s="42">
        <f t="shared" si="85"/>
        <v>0</v>
      </c>
      <c r="BG115" s="42">
        <f t="shared" si="85"/>
        <v>0</v>
      </c>
      <c r="BH115" s="42">
        <f t="shared" si="85"/>
        <v>0</v>
      </c>
      <c r="BI115" s="42">
        <f t="shared" si="51"/>
        <v>0</v>
      </c>
      <c r="BJ115" s="42">
        <f t="shared" si="69"/>
        <v>0</v>
      </c>
      <c r="BK115" s="42">
        <f t="shared" si="69"/>
        <v>0</v>
      </c>
    </row>
    <row r="116" spans="1:63" ht="12.75" x14ac:dyDescent="0.2">
      <c r="A116" s="295" t="s">
        <v>346</v>
      </c>
      <c r="B116" s="154" t="s">
        <v>343</v>
      </c>
      <c r="C116" s="6"/>
      <c r="D116" s="2" t="s">
        <v>368</v>
      </c>
      <c r="E116" s="1"/>
      <c r="F116" s="1"/>
      <c r="G116" s="1"/>
      <c r="H116" s="1"/>
      <c r="I116" s="1"/>
      <c r="J116" s="1"/>
      <c r="K116" s="1"/>
      <c r="L116" s="1"/>
      <c r="M116" s="1"/>
      <c r="N116" s="1"/>
      <c r="O116" s="1"/>
      <c r="P116" s="1"/>
      <c r="Q116" s="22"/>
      <c r="R116" s="1"/>
      <c r="S116" s="1"/>
      <c r="T116" s="1"/>
      <c r="U116" s="49"/>
      <c r="V116" s="49"/>
      <c r="W116" s="49"/>
      <c r="X116" s="49"/>
      <c r="Y116" s="34">
        <f>SUM(Y117:Y120)</f>
        <v>20</v>
      </c>
      <c r="Z116" s="34">
        <f t="shared" ref="Z116:AE116" si="86">SUM(Z117:Z120)</f>
        <v>0</v>
      </c>
      <c r="AA116" s="34">
        <f>SUM(AA117:AA120)</f>
        <v>94</v>
      </c>
      <c r="AB116" s="34">
        <f t="shared" si="86"/>
        <v>0</v>
      </c>
      <c r="AC116" s="34">
        <f t="shared" si="86"/>
        <v>0</v>
      </c>
      <c r="AD116" s="34">
        <f t="shared" si="86"/>
        <v>0</v>
      </c>
      <c r="AE116" s="34">
        <f t="shared" si="86"/>
        <v>0</v>
      </c>
      <c r="AF116" s="34">
        <f t="shared" si="65"/>
        <v>114</v>
      </c>
      <c r="AG116" s="34">
        <f t="shared" ref="AG116:AL116" si="87">SUM(AG117:AG120)</f>
        <v>20</v>
      </c>
      <c r="AH116" s="34">
        <f t="shared" si="87"/>
        <v>0</v>
      </c>
      <c r="AI116" s="34">
        <f t="shared" si="87"/>
        <v>0</v>
      </c>
      <c r="AJ116" s="34">
        <f t="shared" si="87"/>
        <v>200</v>
      </c>
      <c r="AK116" s="34">
        <f t="shared" si="87"/>
        <v>0</v>
      </c>
      <c r="AL116" s="34">
        <f t="shared" si="87"/>
        <v>300</v>
      </c>
      <c r="AM116" s="34">
        <f t="shared" si="76"/>
        <v>520</v>
      </c>
      <c r="AN116" s="34">
        <f t="shared" ref="AN116:AT116" si="88">SUM(AN117:AN120)</f>
        <v>21</v>
      </c>
      <c r="AO116" s="34">
        <f t="shared" si="88"/>
        <v>0</v>
      </c>
      <c r="AP116" s="34">
        <f t="shared" si="88"/>
        <v>0</v>
      </c>
      <c r="AQ116" s="34">
        <f t="shared" si="88"/>
        <v>0</v>
      </c>
      <c r="AR116" s="34">
        <f t="shared" si="88"/>
        <v>0</v>
      </c>
      <c r="AS116" s="34">
        <f t="shared" si="88"/>
        <v>0</v>
      </c>
      <c r="AT116" s="34">
        <f t="shared" si="88"/>
        <v>0</v>
      </c>
      <c r="AU116" s="34">
        <f t="shared" si="78"/>
        <v>21</v>
      </c>
      <c r="AV116" s="34">
        <f t="shared" ref="AV116:BB116" si="89">SUM(AV117:AV120)</f>
        <v>22.5</v>
      </c>
      <c r="AW116" s="34">
        <f t="shared" si="89"/>
        <v>0</v>
      </c>
      <c r="AX116" s="34">
        <f t="shared" si="89"/>
        <v>0</v>
      </c>
      <c r="AY116" s="34">
        <f t="shared" si="89"/>
        <v>0</v>
      </c>
      <c r="AZ116" s="34">
        <f t="shared" si="89"/>
        <v>0</v>
      </c>
      <c r="BA116" s="34">
        <f t="shared" si="89"/>
        <v>0</v>
      </c>
      <c r="BB116" s="34">
        <f t="shared" si="89"/>
        <v>0</v>
      </c>
      <c r="BC116" s="34">
        <f t="shared" si="80"/>
        <v>22.5</v>
      </c>
      <c r="BD116" s="34">
        <f t="shared" si="85"/>
        <v>83.5</v>
      </c>
      <c r="BE116" s="34">
        <f t="shared" si="85"/>
        <v>0</v>
      </c>
      <c r="BF116" s="34">
        <f t="shared" si="85"/>
        <v>94</v>
      </c>
      <c r="BG116" s="34">
        <f t="shared" si="85"/>
        <v>200</v>
      </c>
      <c r="BH116" s="34">
        <f t="shared" si="85"/>
        <v>0</v>
      </c>
      <c r="BI116" s="34">
        <f t="shared" si="51"/>
        <v>0</v>
      </c>
      <c r="BJ116" s="34">
        <f t="shared" si="69"/>
        <v>300</v>
      </c>
      <c r="BK116" s="34">
        <f t="shared" si="69"/>
        <v>677.5</v>
      </c>
    </row>
    <row r="117" spans="1:63" ht="43.5" customHeight="1" x14ac:dyDescent="0.25">
      <c r="A117" s="298" t="s">
        <v>346</v>
      </c>
      <c r="B117" s="299" t="s">
        <v>343</v>
      </c>
      <c r="C117" s="1546" t="s">
        <v>369</v>
      </c>
      <c r="D117" s="1549" t="s">
        <v>370</v>
      </c>
      <c r="E117" s="1549" t="s">
        <v>371</v>
      </c>
      <c r="F117" s="1549">
        <v>2015</v>
      </c>
      <c r="G117" s="1549">
        <v>18.899999999999999</v>
      </c>
      <c r="H117" s="1549">
        <v>16.399999999999999</v>
      </c>
      <c r="I117" s="1425" t="s">
        <v>53</v>
      </c>
      <c r="J117" s="1425"/>
      <c r="K117" s="1425" t="s">
        <v>372</v>
      </c>
      <c r="L117" s="301" t="s">
        <v>179</v>
      </c>
      <c r="M117" s="1425" t="s">
        <v>351</v>
      </c>
      <c r="N117" s="1425" t="s">
        <v>352</v>
      </c>
      <c r="O117" s="1425" t="s">
        <v>47</v>
      </c>
      <c r="P117" s="16" t="s">
        <v>373</v>
      </c>
      <c r="Q117" s="302" t="s">
        <v>374</v>
      </c>
      <c r="R117" s="303">
        <v>2015</v>
      </c>
      <c r="S117" s="303">
        <v>0</v>
      </c>
      <c r="T117" s="303">
        <v>185</v>
      </c>
      <c r="U117" s="572">
        <v>300</v>
      </c>
      <c r="V117" s="572">
        <v>0</v>
      </c>
      <c r="W117" s="572">
        <v>0</v>
      </c>
      <c r="X117" s="572">
        <f>SUBTOTAL(9,T117:W117)</f>
        <v>485</v>
      </c>
      <c r="Y117" s="481"/>
      <c r="Z117" s="481"/>
      <c r="AA117" s="481"/>
      <c r="AB117" s="481"/>
      <c r="AC117" s="481"/>
      <c r="AD117" s="481"/>
      <c r="AE117" s="481"/>
      <c r="AF117" s="481">
        <f t="shared" si="65"/>
        <v>0</v>
      </c>
      <c r="AG117" s="548">
        <v>20</v>
      </c>
      <c r="AH117" s="548"/>
      <c r="AI117" s="548"/>
      <c r="AJ117" s="548">
        <v>200</v>
      </c>
      <c r="AK117" s="548"/>
      <c r="AL117" s="548"/>
      <c r="AM117" s="548">
        <f t="shared" si="76"/>
        <v>220</v>
      </c>
      <c r="AN117" s="481">
        <v>21</v>
      </c>
      <c r="AO117" s="481"/>
      <c r="AP117" s="481"/>
      <c r="AQ117" s="481"/>
      <c r="AR117" s="481"/>
      <c r="AS117" s="481"/>
      <c r="AT117" s="481"/>
      <c r="AU117" s="481">
        <f t="shared" si="78"/>
        <v>21</v>
      </c>
      <c r="AV117" s="548">
        <v>22.5</v>
      </c>
      <c r="AW117" s="548"/>
      <c r="AX117" s="548"/>
      <c r="AY117" s="548"/>
      <c r="AZ117" s="548"/>
      <c r="BA117" s="548"/>
      <c r="BB117" s="548"/>
      <c r="BC117" s="548">
        <f t="shared" si="80"/>
        <v>22.5</v>
      </c>
      <c r="BD117" s="42">
        <f t="shared" si="85"/>
        <v>63.5</v>
      </c>
      <c r="BE117" s="42">
        <f t="shared" si="85"/>
        <v>0</v>
      </c>
      <c r="BF117" s="42">
        <f t="shared" si="85"/>
        <v>0</v>
      </c>
      <c r="BG117" s="42">
        <f t="shared" si="85"/>
        <v>200</v>
      </c>
      <c r="BH117" s="42">
        <f t="shared" si="85"/>
        <v>0</v>
      </c>
      <c r="BI117" s="42">
        <f t="shared" si="51"/>
        <v>0</v>
      </c>
      <c r="BJ117" s="42">
        <f t="shared" si="69"/>
        <v>0</v>
      </c>
      <c r="BK117" s="42">
        <f t="shared" si="69"/>
        <v>263.5</v>
      </c>
    </row>
    <row r="118" spans="1:63" ht="51.75" customHeight="1" x14ac:dyDescent="0.25">
      <c r="A118" s="298" t="s">
        <v>346</v>
      </c>
      <c r="B118" s="299" t="s">
        <v>343</v>
      </c>
      <c r="C118" s="1547"/>
      <c r="D118" s="1549"/>
      <c r="E118" s="1549"/>
      <c r="F118" s="1549"/>
      <c r="G118" s="1549"/>
      <c r="H118" s="1549"/>
      <c r="I118" s="1425"/>
      <c r="J118" s="1425"/>
      <c r="K118" s="1425" t="s">
        <v>375</v>
      </c>
      <c r="L118" s="301" t="s">
        <v>179</v>
      </c>
      <c r="M118" s="1425" t="s">
        <v>351</v>
      </c>
      <c r="N118" s="1425" t="s">
        <v>352</v>
      </c>
      <c r="O118" s="1425" t="s">
        <v>47</v>
      </c>
      <c r="P118" s="16" t="s">
        <v>376</v>
      </c>
      <c r="Q118" s="302" t="s">
        <v>377</v>
      </c>
      <c r="R118" s="303">
        <v>2015</v>
      </c>
      <c r="S118" s="303">
        <v>0</v>
      </c>
      <c r="T118" s="303">
        <v>1</v>
      </c>
      <c r="U118" s="572">
        <v>1</v>
      </c>
      <c r="V118" s="572">
        <v>1</v>
      </c>
      <c r="W118" s="572">
        <v>1</v>
      </c>
      <c r="X118" s="572">
        <f>SUBTOTAL(9,T118:W118)</f>
        <v>4</v>
      </c>
      <c r="Y118" s="481"/>
      <c r="Z118" s="481"/>
      <c r="AA118" s="481"/>
      <c r="AB118" s="481"/>
      <c r="AC118" s="481"/>
      <c r="AD118" s="481"/>
      <c r="AE118" s="481"/>
      <c r="AF118" s="481">
        <f t="shared" si="65"/>
        <v>0</v>
      </c>
      <c r="AG118" s="548"/>
      <c r="AH118" s="548"/>
      <c r="AI118" s="548"/>
      <c r="AJ118" s="548"/>
      <c r="AK118" s="548"/>
      <c r="AL118" s="548"/>
      <c r="AM118" s="548">
        <f t="shared" si="76"/>
        <v>0</v>
      </c>
      <c r="AN118" s="481"/>
      <c r="AO118" s="481"/>
      <c r="AP118" s="481"/>
      <c r="AQ118" s="481"/>
      <c r="AR118" s="481"/>
      <c r="AS118" s="481"/>
      <c r="AT118" s="481"/>
      <c r="AU118" s="481">
        <f t="shared" si="78"/>
        <v>0</v>
      </c>
      <c r="AV118" s="548"/>
      <c r="AW118" s="548"/>
      <c r="AX118" s="548"/>
      <c r="AY118" s="548"/>
      <c r="AZ118" s="548"/>
      <c r="BA118" s="548"/>
      <c r="BB118" s="548"/>
      <c r="BC118" s="548">
        <f t="shared" si="80"/>
        <v>0</v>
      </c>
      <c r="BD118" s="42">
        <f t="shared" si="85"/>
        <v>0</v>
      </c>
      <c r="BE118" s="42">
        <f t="shared" si="85"/>
        <v>0</v>
      </c>
      <c r="BF118" s="42">
        <f t="shared" si="85"/>
        <v>0</v>
      </c>
      <c r="BG118" s="42">
        <f t="shared" si="85"/>
        <v>0</v>
      </c>
      <c r="BH118" s="42">
        <f t="shared" si="85"/>
        <v>0</v>
      </c>
      <c r="BI118" s="42">
        <f t="shared" si="51"/>
        <v>0</v>
      </c>
      <c r="BJ118" s="42">
        <f t="shared" si="69"/>
        <v>0</v>
      </c>
      <c r="BK118" s="42">
        <f t="shared" si="69"/>
        <v>0</v>
      </c>
    </row>
    <row r="119" spans="1:63" ht="50.25" customHeight="1" x14ac:dyDescent="0.25">
      <c r="A119" s="298" t="s">
        <v>346</v>
      </c>
      <c r="B119" s="299" t="s">
        <v>343</v>
      </c>
      <c r="C119" s="1547"/>
      <c r="D119" s="1549"/>
      <c r="E119" s="1549"/>
      <c r="F119" s="1549"/>
      <c r="G119" s="1549"/>
      <c r="H119" s="1549"/>
      <c r="I119" s="1425"/>
      <c r="J119" s="1425"/>
      <c r="K119" s="1425" t="s">
        <v>378</v>
      </c>
      <c r="L119" s="301" t="s">
        <v>179</v>
      </c>
      <c r="M119" s="1425" t="s">
        <v>351</v>
      </c>
      <c r="N119" s="1425" t="s">
        <v>352</v>
      </c>
      <c r="O119" s="1425" t="s">
        <v>47</v>
      </c>
      <c r="P119" s="16" t="s">
        <v>379</v>
      </c>
      <c r="Q119" s="302" t="s">
        <v>380</v>
      </c>
      <c r="R119" s="303">
        <v>2015</v>
      </c>
      <c r="S119" s="303">
        <v>0</v>
      </c>
      <c r="T119" s="303">
        <v>50</v>
      </c>
      <c r="U119" s="572">
        <v>0</v>
      </c>
      <c r="V119" s="572">
        <v>0</v>
      </c>
      <c r="W119" s="572">
        <v>0</v>
      </c>
      <c r="X119" s="572">
        <f>SUBTOTAL(9,T119:W119)</f>
        <v>50</v>
      </c>
      <c r="Y119" s="481"/>
      <c r="Z119" s="481"/>
      <c r="AA119" s="481"/>
      <c r="AB119" s="481"/>
      <c r="AC119" s="481"/>
      <c r="AD119" s="481"/>
      <c r="AE119" s="481"/>
      <c r="AF119" s="481">
        <f t="shared" si="65"/>
        <v>0</v>
      </c>
      <c r="AG119" s="548"/>
      <c r="AH119" s="548"/>
      <c r="AI119" s="548"/>
      <c r="AJ119" s="548"/>
      <c r="AK119" s="548"/>
      <c r="AL119" s="548"/>
      <c r="AM119" s="548">
        <f t="shared" si="76"/>
        <v>0</v>
      </c>
      <c r="AN119" s="481"/>
      <c r="AO119" s="481"/>
      <c r="AP119" s="481"/>
      <c r="AQ119" s="481"/>
      <c r="AR119" s="481"/>
      <c r="AS119" s="481"/>
      <c r="AT119" s="481"/>
      <c r="AU119" s="481">
        <f t="shared" si="78"/>
        <v>0</v>
      </c>
      <c r="AV119" s="548"/>
      <c r="AW119" s="548"/>
      <c r="AX119" s="548"/>
      <c r="AY119" s="548"/>
      <c r="AZ119" s="548"/>
      <c r="BA119" s="548"/>
      <c r="BB119" s="548"/>
      <c r="BC119" s="548">
        <f t="shared" si="80"/>
        <v>0</v>
      </c>
      <c r="BD119" s="42">
        <f t="shared" si="85"/>
        <v>0</v>
      </c>
      <c r="BE119" s="42">
        <f t="shared" si="85"/>
        <v>0</v>
      </c>
      <c r="BF119" s="42">
        <f t="shared" si="85"/>
        <v>0</v>
      </c>
      <c r="BG119" s="42">
        <f t="shared" si="85"/>
        <v>0</v>
      </c>
      <c r="BH119" s="42">
        <f t="shared" si="85"/>
        <v>0</v>
      </c>
      <c r="BI119" s="42">
        <f t="shared" si="51"/>
        <v>0</v>
      </c>
      <c r="BJ119" s="42">
        <f t="shared" si="69"/>
        <v>0</v>
      </c>
      <c r="BK119" s="42">
        <f t="shared" si="69"/>
        <v>0</v>
      </c>
    </row>
    <row r="120" spans="1:63" ht="44.25" customHeight="1" x14ac:dyDescent="0.25">
      <c r="A120" s="298" t="s">
        <v>346</v>
      </c>
      <c r="B120" s="299" t="s">
        <v>343</v>
      </c>
      <c r="C120" s="1548"/>
      <c r="D120" s="1549"/>
      <c r="E120" s="1549"/>
      <c r="F120" s="1549"/>
      <c r="G120" s="1549"/>
      <c r="H120" s="1549"/>
      <c r="I120" s="1425" t="s">
        <v>53</v>
      </c>
      <c r="J120" s="1425"/>
      <c r="K120" s="1425" t="s">
        <v>381</v>
      </c>
      <c r="L120" s="301" t="s">
        <v>179</v>
      </c>
      <c r="M120" s="1425" t="s">
        <v>351</v>
      </c>
      <c r="N120" s="1425" t="s">
        <v>352</v>
      </c>
      <c r="O120" s="1425" t="s">
        <v>47</v>
      </c>
      <c r="P120" s="16" t="s">
        <v>382</v>
      </c>
      <c r="Q120" s="302" t="s">
        <v>383</v>
      </c>
      <c r="R120" s="303">
        <v>2015</v>
      </c>
      <c r="S120" s="303">
        <v>0</v>
      </c>
      <c r="T120" s="303">
        <v>1</v>
      </c>
      <c r="U120" s="572">
        <v>1</v>
      </c>
      <c r="V120" s="572">
        <v>0</v>
      </c>
      <c r="W120" s="572">
        <v>0</v>
      </c>
      <c r="X120" s="572">
        <f>SUBTOTAL(9,T120:W120)</f>
        <v>2</v>
      </c>
      <c r="Y120" s="481">
        <v>20</v>
      </c>
      <c r="Z120" s="481"/>
      <c r="AA120" s="481">
        <v>94</v>
      </c>
      <c r="AB120" s="481"/>
      <c r="AC120" s="481"/>
      <c r="AD120" s="481"/>
      <c r="AE120" s="481"/>
      <c r="AF120" s="481">
        <f t="shared" si="65"/>
        <v>114</v>
      </c>
      <c r="AG120" s="548"/>
      <c r="AH120" s="548"/>
      <c r="AI120" s="548"/>
      <c r="AJ120" s="548"/>
      <c r="AK120" s="548"/>
      <c r="AL120" s="548">
        <v>300</v>
      </c>
      <c r="AM120" s="548">
        <f t="shared" si="76"/>
        <v>300</v>
      </c>
      <c r="AN120" s="481"/>
      <c r="AO120" s="481"/>
      <c r="AP120" s="481"/>
      <c r="AQ120" s="481"/>
      <c r="AR120" s="481"/>
      <c r="AS120" s="481"/>
      <c r="AT120" s="481"/>
      <c r="AU120" s="481">
        <f t="shared" si="78"/>
        <v>0</v>
      </c>
      <c r="AV120" s="548"/>
      <c r="AW120" s="548"/>
      <c r="AX120" s="548"/>
      <c r="AY120" s="548"/>
      <c r="AZ120" s="548"/>
      <c r="BA120" s="548"/>
      <c r="BB120" s="548"/>
      <c r="BC120" s="548">
        <f t="shared" si="80"/>
        <v>0</v>
      </c>
      <c r="BD120" s="42">
        <f t="shared" si="85"/>
        <v>20</v>
      </c>
      <c r="BE120" s="42">
        <f t="shared" si="85"/>
        <v>0</v>
      </c>
      <c r="BF120" s="42">
        <f t="shared" si="85"/>
        <v>94</v>
      </c>
      <c r="BG120" s="42">
        <f t="shared" si="85"/>
        <v>0</v>
      </c>
      <c r="BH120" s="42">
        <f t="shared" si="85"/>
        <v>0</v>
      </c>
      <c r="BI120" s="42">
        <f t="shared" si="51"/>
        <v>0</v>
      </c>
      <c r="BJ120" s="42">
        <f t="shared" si="69"/>
        <v>300</v>
      </c>
      <c r="BK120" s="42">
        <f t="shared" si="69"/>
        <v>414</v>
      </c>
    </row>
    <row r="121" spans="1:63" ht="2.25" customHeight="1" x14ac:dyDescent="0.2">
      <c r="A121" s="151"/>
      <c r="B121" s="7" t="s">
        <v>384</v>
      </c>
      <c r="C121" s="7"/>
      <c r="D121" s="1442"/>
      <c r="E121" s="1442"/>
      <c r="F121" s="1442"/>
      <c r="G121" s="1442"/>
      <c r="H121" s="1442"/>
      <c r="I121" s="1442"/>
      <c r="J121" s="1442"/>
      <c r="K121" s="1442"/>
      <c r="L121" s="1442"/>
      <c r="M121" s="1442"/>
      <c r="N121" s="11"/>
      <c r="O121" s="1442"/>
      <c r="P121" s="1440"/>
      <c r="Q121" s="1440"/>
      <c r="R121" s="1442"/>
      <c r="S121" s="1442"/>
      <c r="T121" s="1442"/>
      <c r="U121" s="63"/>
      <c r="V121" s="63"/>
      <c r="W121" s="63"/>
      <c r="X121" s="63"/>
      <c r="Y121" s="42"/>
      <c r="Z121" s="42"/>
      <c r="AA121" s="42"/>
      <c r="AB121" s="42"/>
      <c r="AC121" s="42"/>
      <c r="AD121" s="42"/>
      <c r="AE121" s="42"/>
      <c r="AF121" s="42"/>
      <c r="AG121" s="42"/>
      <c r="AH121" s="42"/>
      <c r="AI121" s="42">
        <f>+AA122*1.035</f>
        <v>2473.9605000000001</v>
      </c>
      <c r="AJ121" s="42"/>
      <c r="AK121" s="42"/>
      <c r="AL121" s="42"/>
      <c r="AM121" s="42"/>
      <c r="AN121" s="42"/>
      <c r="AO121" s="42"/>
      <c r="AP121" s="42">
        <f>+AI121*1.035</f>
        <v>2560.5491174999997</v>
      </c>
      <c r="AQ121" s="42"/>
      <c r="AR121" s="42"/>
      <c r="AS121" s="42"/>
      <c r="AT121" s="42"/>
      <c r="AU121" s="42"/>
      <c r="AV121" s="42"/>
      <c r="AW121" s="42"/>
      <c r="AX121" s="42">
        <f>+AP121*1.035</f>
        <v>2650.1683366124994</v>
      </c>
      <c r="AY121" s="42"/>
      <c r="AZ121" s="42"/>
      <c r="BA121" s="42"/>
      <c r="BB121" s="42"/>
      <c r="BC121" s="42"/>
      <c r="BD121" s="42">
        <f t="shared" si="85"/>
        <v>0</v>
      </c>
      <c r="BE121" s="42">
        <f t="shared" si="85"/>
        <v>0</v>
      </c>
      <c r="BF121" s="42">
        <f t="shared" si="85"/>
        <v>7684.6779541124988</v>
      </c>
      <c r="BG121" s="42">
        <f t="shared" si="85"/>
        <v>0</v>
      </c>
      <c r="BH121" s="42">
        <f t="shared" si="85"/>
        <v>0</v>
      </c>
      <c r="BI121" s="42">
        <f t="shared" si="51"/>
        <v>0</v>
      </c>
      <c r="BJ121" s="42">
        <f t="shared" si="69"/>
        <v>0</v>
      </c>
      <c r="BK121" s="42">
        <f t="shared" si="69"/>
        <v>0</v>
      </c>
    </row>
    <row r="122" spans="1:63" ht="18" x14ac:dyDescent="0.2">
      <c r="A122" s="420"/>
      <c r="B122" s="1556" t="s">
        <v>384</v>
      </c>
      <c r="C122" s="1557"/>
      <c r="D122" s="1557"/>
      <c r="E122" s="1557"/>
      <c r="F122" s="1557"/>
      <c r="G122" s="1557"/>
      <c r="H122" s="1557"/>
      <c r="I122" s="1557"/>
      <c r="J122" s="1557"/>
      <c r="K122" s="1557"/>
      <c r="L122" s="1557"/>
      <c r="M122" s="1558"/>
      <c r="N122" s="597"/>
      <c r="O122" s="597"/>
      <c r="P122" s="597"/>
      <c r="Q122" s="598"/>
      <c r="R122" s="597"/>
      <c r="S122" s="597"/>
      <c r="T122" s="597"/>
      <c r="U122" s="599"/>
      <c r="V122" s="599"/>
      <c r="W122" s="599"/>
      <c r="X122" s="599"/>
      <c r="Y122" s="600">
        <f t="shared" ref="Y122:BK122" si="90">+Y123+Y138+Y148</f>
        <v>0</v>
      </c>
      <c r="Z122" s="600">
        <f t="shared" si="90"/>
        <v>0</v>
      </c>
      <c r="AA122" s="600">
        <f t="shared" si="90"/>
        <v>2390.3000000000002</v>
      </c>
      <c r="AB122" s="600">
        <f t="shared" si="90"/>
        <v>0</v>
      </c>
      <c r="AC122" s="600">
        <f t="shared" si="90"/>
        <v>0</v>
      </c>
      <c r="AD122" s="600">
        <f t="shared" si="90"/>
        <v>95.1</v>
      </c>
      <c r="AE122" s="600">
        <f t="shared" si="90"/>
        <v>0</v>
      </c>
      <c r="AF122" s="600">
        <f t="shared" si="90"/>
        <v>2485.4</v>
      </c>
      <c r="AG122" s="600">
        <f t="shared" si="90"/>
        <v>0</v>
      </c>
      <c r="AH122" s="600">
        <f t="shared" si="90"/>
        <v>0</v>
      </c>
      <c r="AI122" s="600">
        <f t="shared" si="90"/>
        <v>2472.5769999999998</v>
      </c>
      <c r="AJ122" s="600">
        <f t="shared" si="90"/>
        <v>0</v>
      </c>
      <c r="AK122" s="600">
        <f t="shared" si="90"/>
        <v>0</v>
      </c>
      <c r="AL122" s="600">
        <f t="shared" si="90"/>
        <v>0</v>
      </c>
      <c r="AM122" s="600">
        <f t="shared" si="90"/>
        <v>2472.5769999999998</v>
      </c>
      <c r="AN122" s="600">
        <f t="shared" si="90"/>
        <v>0</v>
      </c>
      <c r="AO122" s="600">
        <f t="shared" si="90"/>
        <v>0</v>
      </c>
      <c r="AP122" s="600">
        <f t="shared" si="90"/>
        <v>2560.8951949999996</v>
      </c>
      <c r="AQ122" s="600">
        <f t="shared" si="90"/>
        <v>800</v>
      </c>
      <c r="AR122" s="600">
        <f t="shared" si="90"/>
        <v>0</v>
      </c>
      <c r="AS122" s="600">
        <f t="shared" si="90"/>
        <v>0</v>
      </c>
      <c r="AT122" s="600">
        <f t="shared" si="90"/>
        <v>5050</v>
      </c>
      <c r="AU122" s="600">
        <f t="shared" si="90"/>
        <v>8410.8951949999991</v>
      </c>
      <c r="AV122" s="600">
        <f t="shared" si="90"/>
        <v>0</v>
      </c>
      <c r="AW122" s="600">
        <f t="shared" si="90"/>
        <v>0</v>
      </c>
      <c r="AX122" s="600">
        <f t="shared" si="90"/>
        <v>2650.3510768249994</v>
      </c>
      <c r="AY122" s="600">
        <f t="shared" si="90"/>
        <v>500</v>
      </c>
      <c r="AZ122" s="600">
        <f t="shared" si="90"/>
        <v>0</v>
      </c>
      <c r="BA122" s="600">
        <f t="shared" si="90"/>
        <v>0</v>
      </c>
      <c r="BB122" s="600">
        <f t="shared" si="90"/>
        <v>0</v>
      </c>
      <c r="BC122" s="600">
        <f t="shared" si="90"/>
        <v>3150.3510768249994</v>
      </c>
      <c r="BD122" s="33">
        <f t="shared" si="90"/>
        <v>0</v>
      </c>
      <c r="BE122" s="33">
        <f t="shared" si="90"/>
        <v>0</v>
      </c>
      <c r="BF122" s="33">
        <f t="shared" si="90"/>
        <v>10074.123271824999</v>
      </c>
      <c r="BG122" s="33">
        <f t="shared" si="90"/>
        <v>1300</v>
      </c>
      <c r="BH122" s="33">
        <f t="shared" si="90"/>
        <v>0</v>
      </c>
      <c r="BI122" s="33">
        <f t="shared" si="51"/>
        <v>95.1</v>
      </c>
      <c r="BJ122" s="33">
        <f t="shared" si="90"/>
        <v>5050</v>
      </c>
      <c r="BK122" s="33">
        <f t="shared" si="90"/>
        <v>16519.223271824998</v>
      </c>
    </row>
    <row r="123" spans="1:63" ht="12.75" x14ac:dyDescent="0.2">
      <c r="A123" s="603"/>
      <c r="B123" s="154" t="s">
        <v>384</v>
      </c>
      <c r="C123" s="6"/>
      <c r="D123" s="2" t="s">
        <v>385</v>
      </c>
      <c r="E123" s="1"/>
      <c r="F123" s="1"/>
      <c r="G123" s="1"/>
      <c r="H123" s="1"/>
      <c r="I123" s="1"/>
      <c r="J123" s="1"/>
      <c r="K123" s="1"/>
      <c r="L123" s="1"/>
      <c r="M123" s="1"/>
      <c r="N123" s="1"/>
      <c r="O123" s="1"/>
      <c r="P123" s="1"/>
      <c r="Q123" s="22"/>
      <c r="R123" s="1"/>
      <c r="S123" s="1"/>
      <c r="T123" s="1"/>
      <c r="U123" s="49"/>
      <c r="V123" s="49"/>
      <c r="W123" s="49"/>
      <c r="X123" s="49"/>
      <c r="Y123" s="34">
        <f t="shared" ref="Y123:AE123" si="91">SUM(Y124:Y137)</f>
        <v>0</v>
      </c>
      <c r="Z123" s="34">
        <f t="shared" si="91"/>
        <v>0</v>
      </c>
      <c r="AA123" s="34">
        <f t="shared" si="91"/>
        <v>796.7</v>
      </c>
      <c r="AB123" s="34">
        <f t="shared" si="91"/>
        <v>0</v>
      </c>
      <c r="AC123" s="34">
        <f t="shared" si="91"/>
        <v>0</v>
      </c>
      <c r="AD123" s="34">
        <f t="shared" si="91"/>
        <v>0</v>
      </c>
      <c r="AE123" s="34">
        <f t="shared" si="91"/>
        <v>0</v>
      </c>
      <c r="AF123" s="34">
        <f t="shared" ref="AF123:AF155" si="92">SUM(Y123:AE123)</f>
        <v>796.7</v>
      </c>
      <c r="AG123" s="34">
        <f t="shared" ref="AG123:AL123" si="93">SUM(AG124:AG137)</f>
        <v>0</v>
      </c>
      <c r="AH123" s="34">
        <f t="shared" si="93"/>
        <v>0</v>
      </c>
      <c r="AI123" s="34">
        <f t="shared" si="93"/>
        <v>1108.0995</v>
      </c>
      <c r="AJ123" s="34">
        <f t="shared" si="93"/>
        <v>0</v>
      </c>
      <c r="AK123" s="34">
        <f t="shared" si="93"/>
        <v>0</v>
      </c>
      <c r="AL123" s="34">
        <f t="shared" si="93"/>
        <v>0</v>
      </c>
      <c r="AM123" s="34">
        <f>SUM(AG123:AL123)</f>
        <v>1108.0995</v>
      </c>
      <c r="AN123" s="34">
        <f t="shared" ref="AN123:AT123" si="94">SUM(AN124:AN137)</f>
        <v>0</v>
      </c>
      <c r="AO123" s="34">
        <f t="shared" si="94"/>
        <v>0</v>
      </c>
      <c r="AP123" s="34">
        <f t="shared" si="94"/>
        <v>1282.9209824999998</v>
      </c>
      <c r="AQ123" s="34">
        <f t="shared" si="94"/>
        <v>0</v>
      </c>
      <c r="AR123" s="34">
        <f t="shared" si="94"/>
        <v>0</v>
      </c>
      <c r="AS123" s="34">
        <f t="shared" si="94"/>
        <v>0</v>
      </c>
      <c r="AT123" s="34">
        <f t="shared" si="94"/>
        <v>0</v>
      </c>
      <c r="AU123" s="34">
        <f t="shared" ref="AU123:AU128" si="95">SUM(AN123:AT123)</f>
        <v>1282.9209824999998</v>
      </c>
      <c r="AV123" s="34">
        <f t="shared" ref="AV123:BB123" si="96">SUM(AV124:AV137)</f>
        <v>0</v>
      </c>
      <c r="AW123" s="34">
        <f t="shared" si="96"/>
        <v>0</v>
      </c>
      <c r="AX123" s="34">
        <f t="shared" si="96"/>
        <v>1294.1627668874999</v>
      </c>
      <c r="AY123" s="34">
        <f>SUM(AY124:AY137)</f>
        <v>500</v>
      </c>
      <c r="AZ123" s="34">
        <f t="shared" si="96"/>
        <v>0</v>
      </c>
      <c r="BA123" s="34">
        <f t="shared" si="96"/>
        <v>0</v>
      </c>
      <c r="BB123" s="34">
        <f t="shared" si="96"/>
        <v>0</v>
      </c>
      <c r="BC123" s="34">
        <f>SUM(AV123:BB123)</f>
        <v>1794.1627668874999</v>
      </c>
      <c r="BD123" s="34">
        <f t="shared" si="85"/>
        <v>0</v>
      </c>
      <c r="BE123" s="34">
        <f t="shared" si="85"/>
        <v>0</v>
      </c>
      <c r="BF123" s="34">
        <f t="shared" si="85"/>
        <v>4481.8832493874997</v>
      </c>
      <c r="BG123" s="34">
        <f t="shared" si="85"/>
        <v>500</v>
      </c>
      <c r="BH123" s="34">
        <f t="shared" si="85"/>
        <v>0</v>
      </c>
      <c r="BI123" s="34">
        <f t="shared" si="51"/>
        <v>0</v>
      </c>
      <c r="BJ123" s="34">
        <f t="shared" si="69"/>
        <v>0</v>
      </c>
      <c r="BK123" s="34">
        <f t="shared" si="69"/>
        <v>4981.8832493874997</v>
      </c>
    </row>
    <row r="124" spans="1:63" ht="55.5" customHeight="1" x14ac:dyDescent="0.25">
      <c r="A124" s="298" t="s">
        <v>386</v>
      </c>
      <c r="B124" s="299" t="s">
        <v>384</v>
      </c>
      <c r="C124" s="1546" t="s">
        <v>387</v>
      </c>
      <c r="D124" s="1549" t="s">
        <v>388</v>
      </c>
      <c r="E124" s="1549" t="s">
        <v>389</v>
      </c>
      <c r="F124" s="1559">
        <v>2005</v>
      </c>
      <c r="G124" s="1560">
        <v>0.65100000000000002</v>
      </c>
      <c r="H124" s="1561">
        <v>0.7</v>
      </c>
      <c r="I124" s="1430" t="s">
        <v>53</v>
      </c>
      <c r="J124" s="1430"/>
      <c r="K124" s="1430" t="s">
        <v>390</v>
      </c>
      <c r="L124" s="301" t="s">
        <v>391</v>
      </c>
      <c r="M124" s="1425" t="s">
        <v>392</v>
      </c>
      <c r="N124" s="476" t="s">
        <v>393</v>
      </c>
      <c r="O124" s="1425" t="s">
        <v>47</v>
      </c>
      <c r="P124" s="71" t="s">
        <v>394</v>
      </c>
      <c r="Q124" s="302" t="s">
        <v>395</v>
      </c>
      <c r="R124" s="303">
        <v>2015</v>
      </c>
      <c r="S124" s="303">
        <v>0</v>
      </c>
      <c r="T124" s="303">
        <v>0</v>
      </c>
      <c r="U124" s="572">
        <v>0</v>
      </c>
      <c r="V124" s="572">
        <v>0</v>
      </c>
      <c r="W124" s="572">
        <v>1</v>
      </c>
      <c r="X124" s="572">
        <v>1</v>
      </c>
      <c r="Y124" s="481"/>
      <c r="Z124" s="481"/>
      <c r="AA124" s="481"/>
      <c r="AB124" s="481"/>
      <c r="AC124" s="481"/>
      <c r="AD124" s="481"/>
      <c r="AE124" s="481"/>
      <c r="AF124" s="481">
        <f t="shared" si="92"/>
        <v>0</v>
      </c>
      <c r="AG124" s="548"/>
      <c r="AH124" s="548"/>
      <c r="AI124" s="548"/>
      <c r="AJ124" s="588"/>
      <c r="AK124" s="548"/>
      <c r="AL124" s="548"/>
      <c r="AM124" s="548">
        <f>SUM(AG124:AL124)</f>
        <v>0</v>
      </c>
      <c r="AN124" s="481"/>
      <c r="AO124" s="481"/>
      <c r="AP124" s="481"/>
      <c r="AQ124" s="481"/>
      <c r="AR124" s="481"/>
      <c r="AS124" s="481"/>
      <c r="AT124" s="481"/>
      <c r="AU124" s="481">
        <f t="shared" si="95"/>
        <v>0</v>
      </c>
      <c r="AV124" s="548"/>
      <c r="AW124" s="548"/>
      <c r="AX124" s="548"/>
      <c r="AY124" s="43">
        <v>500</v>
      </c>
      <c r="AZ124" s="548"/>
      <c r="BA124" s="548"/>
      <c r="BB124" s="548"/>
      <c r="BC124" s="548">
        <f>SUM(AV124:BB124)</f>
        <v>500</v>
      </c>
      <c r="BD124" s="42">
        <f t="shared" si="85"/>
        <v>0</v>
      </c>
      <c r="BE124" s="42">
        <f t="shared" si="85"/>
        <v>0</v>
      </c>
      <c r="BF124" s="42">
        <f t="shared" si="85"/>
        <v>0</v>
      </c>
      <c r="BG124" s="43">
        <f t="shared" si="85"/>
        <v>500</v>
      </c>
      <c r="BH124" s="42">
        <f t="shared" si="85"/>
        <v>0</v>
      </c>
      <c r="BI124" s="42">
        <f t="shared" si="51"/>
        <v>0</v>
      </c>
      <c r="BJ124" s="42">
        <f t="shared" si="69"/>
        <v>0</v>
      </c>
      <c r="BK124" s="42">
        <f t="shared" si="69"/>
        <v>500</v>
      </c>
    </row>
    <row r="125" spans="1:63" ht="53.25" customHeight="1" x14ac:dyDescent="0.25">
      <c r="A125" s="298" t="s">
        <v>386</v>
      </c>
      <c r="B125" s="299" t="s">
        <v>384</v>
      </c>
      <c r="C125" s="1547"/>
      <c r="D125" s="1549"/>
      <c r="E125" s="1549"/>
      <c r="F125" s="1559"/>
      <c r="G125" s="1560"/>
      <c r="H125" s="1561"/>
      <c r="I125" s="1430"/>
      <c r="J125" s="1430"/>
      <c r="K125" s="1430" t="s">
        <v>396</v>
      </c>
      <c r="L125" s="301" t="s">
        <v>391</v>
      </c>
      <c r="M125" s="1425" t="s">
        <v>392</v>
      </c>
      <c r="N125" s="476" t="s">
        <v>393</v>
      </c>
      <c r="O125" s="1425" t="s">
        <v>73</v>
      </c>
      <c r="P125" s="16" t="s">
        <v>397</v>
      </c>
      <c r="Q125" s="302" t="s">
        <v>398</v>
      </c>
      <c r="R125" s="303">
        <v>2015</v>
      </c>
      <c r="S125" s="303">
        <v>1</v>
      </c>
      <c r="T125" s="303">
        <v>1</v>
      </c>
      <c r="U125" s="572">
        <v>1</v>
      </c>
      <c r="V125" s="572">
        <v>1</v>
      </c>
      <c r="W125" s="572">
        <v>1</v>
      </c>
      <c r="X125" s="572">
        <v>1</v>
      </c>
      <c r="Y125" s="481"/>
      <c r="Z125" s="481"/>
      <c r="AA125" s="481">
        <v>20</v>
      </c>
      <c r="AB125" s="481"/>
      <c r="AC125" s="481"/>
      <c r="AD125" s="481"/>
      <c r="AE125" s="481"/>
      <c r="AF125" s="481">
        <f t="shared" si="92"/>
        <v>20</v>
      </c>
      <c r="AG125" s="548"/>
      <c r="AH125" s="548"/>
      <c r="AI125" s="491">
        <v>19.7</v>
      </c>
      <c r="AJ125" s="548"/>
      <c r="AK125" s="548"/>
      <c r="AL125" s="548"/>
      <c r="AM125" s="548">
        <f t="shared" ref="AM125:AM137" si="97">SUM(AG125:AL125)</f>
        <v>19.7</v>
      </c>
      <c r="AN125" s="481"/>
      <c r="AO125" s="481"/>
      <c r="AP125" s="481">
        <f>+AI125*1.035</f>
        <v>20.389499999999998</v>
      </c>
      <c r="AQ125" s="481"/>
      <c r="AR125" s="481"/>
      <c r="AS125" s="481"/>
      <c r="AT125" s="481"/>
      <c r="AU125" s="481">
        <f t="shared" si="95"/>
        <v>20.389499999999998</v>
      </c>
      <c r="AV125" s="548"/>
      <c r="AW125" s="548"/>
      <c r="AX125" s="548">
        <f>+AP125*1.035</f>
        <v>21.103132499999997</v>
      </c>
      <c r="AY125" s="548"/>
      <c r="AZ125" s="548"/>
      <c r="BA125" s="548"/>
      <c r="BB125" s="548"/>
      <c r="BC125" s="548">
        <f t="shared" ref="BC125:BC137" si="98">SUM(AV125:BB125)</f>
        <v>21.103132499999997</v>
      </c>
      <c r="BD125" s="42">
        <f t="shared" si="85"/>
        <v>0</v>
      </c>
      <c r="BE125" s="42">
        <f t="shared" si="85"/>
        <v>0</v>
      </c>
      <c r="BF125" s="42">
        <f t="shared" si="85"/>
        <v>81.192632500000002</v>
      </c>
      <c r="BG125" s="42">
        <f t="shared" si="85"/>
        <v>0</v>
      </c>
      <c r="BH125" s="42">
        <f t="shared" si="85"/>
        <v>0</v>
      </c>
      <c r="BI125" s="42">
        <f t="shared" si="51"/>
        <v>0</v>
      </c>
      <c r="BJ125" s="42">
        <f t="shared" si="69"/>
        <v>0</v>
      </c>
      <c r="BK125" s="42">
        <f t="shared" si="69"/>
        <v>81.192632500000002</v>
      </c>
    </row>
    <row r="126" spans="1:63" ht="42.75" customHeight="1" x14ac:dyDescent="0.25">
      <c r="A126" s="298" t="s">
        <v>386</v>
      </c>
      <c r="B126" s="299" t="s">
        <v>384</v>
      </c>
      <c r="C126" s="1547"/>
      <c r="D126" s="1549"/>
      <c r="E126" s="1549"/>
      <c r="F126" s="1559"/>
      <c r="G126" s="1560"/>
      <c r="H126" s="1561"/>
      <c r="I126" s="1430"/>
      <c r="J126" s="1430"/>
      <c r="K126" s="1430" t="s">
        <v>399</v>
      </c>
      <c r="L126" s="301" t="s">
        <v>391</v>
      </c>
      <c r="M126" s="1425" t="s">
        <v>392</v>
      </c>
      <c r="N126" s="476" t="s">
        <v>393</v>
      </c>
      <c r="O126" s="1425" t="s">
        <v>47</v>
      </c>
      <c r="P126" s="71" t="s">
        <v>400</v>
      </c>
      <c r="Q126" s="302" t="s">
        <v>401</v>
      </c>
      <c r="R126" s="303">
        <v>2015</v>
      </c>
      <c r="S126" s="303">
        <v>0</v>
      </c>
      <c r="T126" s="303">
        <v>1</v>
      </c>
      <c r="U126" s="572">
        <v>1</v>
      </c>
      <c r="V126" s="572">
        <v>1</v>
      </c>
      <c r="W126" s="572">
        <v>1</v>
      </c>
      <c r="X126" s="572">
        <v>1</v>
      </c>
      <c r="Y126" s="481"/>
      <c r="Z126" s="481"/>
      <c r="AA126" s="481">
        <v>5</v>
      </c>
      <c r="AB126" s="481"/>
      <c r="AC126" s="481"/>
      <c r="AD126" s="481"/>
      <c r="AE126" s="481"/>
      <c r="AF126" s="481">
        <f t="shared" si="92"/>
        <v>5</v>
      </c>
      <c r="AG126" s="548"/>
      <c r="AH126" s="548"/>
      <c r="AI126" s="491">
        <v>1</v>
      </c>
      <c r="AJ126" s="548"/>
      <c r="AK126" s="548"/>
      <c r="AL126" s="548"/>
      <c r="AM126" s="548">
        <f t="shared" si="97"/>
        <v>1</v>
      </c>
      <c r="AN126" s="481"/>
      <c r="AO126" s="481"/>
      <c r="AP126" s="481"/>
      <c r="AQ126" s="481"/>
      <c r="AR126" s="481"/>
      <c r="AS126" s="481"/>
      <c r="AT126" s="481"/>
      <c r="AU126" s="481">
        <f t="shared" si="95"/>
        <v>0</v>
      </c>
      <c r="AV126" s="548"/>
      <c r="AW126" s="548"/>
      <c r="AX126" s="491">
        <v>10</v>
      </c>
      <c r="AY126" s="548"/>
      <c r="AZ126" s="548"/>
      <c r="BA126" s="548"/>
      <c r="BB126" s="548"/>
      <c r="BC126" s="548">
        <f t="shared" si="98"/>
        <v>10</v>
      </c>
      <c r="BD126" s="42">
        <f t="shared" si="85"/>
        <v>0</v>
      </c>
      <c r="BE126" s="42">
        <f t="shared" si="85"/>
        <v>0</v>
      </c>
      <c r="BF126" s="42">
        <f t="shared" si="85"/>
        <v>16</v>
      </c>
      <c r="BG126" s="42">
        <f t="shared" si="85"/>
        <v>0</v>
      </c>
      <c r="BH126" s="42">
        <f t="shared" si="85"/>
        <v>0</v>
      </c>
      <c r="BI126" s="42">
        <f t="shared" si="51"/>
        <v>0</v>
      </c>
      <c r="BJ126" s="42">
        <f t="shared" si="69"/>
        <v>0</v>
      </c>
      <c r="BK126" s="42">
        <f t="shared" si="69"/>
        <v>16</v>
      </c>
    </row>
    <row r="127" spans="1:63" ht="43.5" customHeight="1" x14ac:dyDescent="0.25">
      <c r="A127" s="298" t="s">
        <v>386</v>
      </c>
      <c r="B127" s="299" t="s">
        <v>384</v>
      </c>
      <c r="C127" s="1547"/>
      <c r="D127" s="1549"/>
      <c r="E127" s="1549"/>
      <c r="F127" s="1559"/>
      <c r="G127" s="1560"/>
      <c r="H127" s="1561"/>
      <c r="I127" s="1430" t="s">
        <v>53</v>
      </c>
      <c r="J127" s="1430"/>
      <c r="K127" s="1430" t="s">
        <v>402</v>
      </c>
      <c r="L127" s="301" t="s">
        <v>391</v>
      </c>
      <c r="M127" s="1425" t="s">
        <v>392</v>
      </c>
      <c r="N127" s="476" t="s">
        <v>393</v>
      </c>
      <c r="O127" s="1425" t="s">
        <v>47</v>
      </c>
      <c r="P127" s="71" t="s">
        <v>403</v>
      </c>
      <c r="Q127" s="302" t="s">
        <v>404</v>
      </c>
      <c r="R127" s="303">
        <v>2015</v>
      </c>
      <c r="S127" s="303">
        <v>1</v>
      </c>
      <c r="T127" s="303">
        <v>0</v>
      </c>
      <c r="U127" s="572">
        <v>0</v>
      </c>
      <c r="V127" s="572">
        <v>1</v>
      </c>
      <c r="W127" s="572">
        <v>0</v>
      </c>
      <c r="X127" s="572">
        <v>1</v>
      </c>
      <c r="Y127" s="481"/>
      <c r="Z127" s="481"/>
      <c r="AA127" s="481"/>
      <c r="AB127" s="481"/>
      <c r="AC127" s="481"/>
      <c r="AD127" s="481"/>
      <c r="AE127" s="481"/>
      <c r="AF127" s="481">
        <f t="shared" si="92"/>
        <v>0</v>
      </c>
      <c r="AG127" s="548"/>
      <c r="AH127" s="548"/>
      <c r="AI127" s="548"/>
      <c r="AJ127" s="548"/>
      <c r="AK127" s="548"/>
      <c r="AL127" s="548"/>
      <c r="AM127" s="548">
        <f t="shared" si="97"/>
        <v>0</v>
      </c>
      <c r="AN127" s="481"/>
      <c r="AO127" s="481"/>
      <c r="AP127" s="491">
        <v>99</v>
      </c>
      <c r="AQ127" s="481"/>
      <c r="AR127" s="481"/>
      <c r="AS127" s="481"/>
      <c r="AT127" s="481"/>
      <c r="AU127" s="481">
        <f t="shared" si="95"/>
        <v>99</v>
      </c>
      <c r="AV127" s="548"/>
      <c r="AW127" s="548"/>
      <c r="AX127" s="548"/>
      <c r="AY127" s="548"/>
      <c r="AZ127" s="548"/>
      <c r="BA127" s="548"/>
      <c r="BB127" s="548"/>
      <c r="BC127" s="548">
        <f t="shared" si="98"/>
        <v>0</v>
      </c>
      <c r="BD127" s="42">
        <f t="shared" si="85"/>
        <v>0</v>
      </c>
      <c r="BE127" s="42">
        <f t="shared" si="85"/>
        <v>0</v>
      </c>
      <c r="BF127" s="42">
        <f t="shared" si="85"/>
        <v>99</v>
      </c>
      <c r="BG127" s="42">
        <f t="shared" si="85"/>
        <v>0</v>
      </c>
      <c r="BH127" s="42">
        <f t="shared" si="85"/>
        <v>0</v>
      </c>
      <c r="BI127" s="42">
        <f t="shared" si="51"/>
        <v>0</v>
      </c>
      <c r="BJ127" s="42">
        <f t="shared" si="69"/>
        <v>0</v>
      </c>
      <c r="BK127" s="42">
        <f t="shared" si="69"/>
        <v>99</v>
      </c>
    </row>
    <row r="128" spans="1:63" ht="50.25" customHeight="1" x14ac:dyDescent="0.25">
      <c r="A128" s="298" t="s">
        <v>386</v>
      </c>
      <c r="B128" s="299" t="s">
        <v>384</v>
      </c>
      <c r="C128" s="1547"/>
      <c r="D128" s="1549"/>
      <c r="E128" s="1549"/>
      <c r="F128" s="1559"/>
      <c r="G128" s="1560"/>
      <c r="H128" s="1561"/>
      <c r="I128" s="1430"/>
      <c r="J128" s="1430"/>
      <c r="K128" s="1430" t="s">
        <v>405</v>
      </c>
      <c r="L128" s="301" t="s">
        <v>391</v>
      </c>
      <c r="M128" s="1425" t="s">
        <v>392</v>
      </c>
      <c r="N128" s="476" t="s">
        <v>393</v>
      </c>
      <c r="O128" s="1425" t="s">
        <v>47</v>
      </c>
      <c r="P128" s="71" t="s">
        <v>406</v>
      </c>
      <c r="Q128" s="302" t="s">
        <v>407</v>
      </c>
      <c r="R128" s="303">
        <v>2015</v>
      </c>
      <c r="S128" s="303">
        <v>250</v>
      </c>
      <c r="T128" s="303">
        <v>250</v>
      </c>
      <c r="U128" s="572">
        <v>500</v>
      </c>
      <c r="V128" s="572">
        <v>900</v>
      </c>
      <c r="W128" s="572">
        <v>1300</v>
      </c>
      <c r="X128" s="572">
        <v>1300</v>
      </c>
      <c r="Y128" s="481"/>
      <c r="Z128" s="481"/>
      <c r="AA128" s="481">
        <v>55</v>
      </c>
      <c r="AB128" s="481"/>
      <c r="AC128" s="481"/>
      <c r="AD128" s="481"/>
      <c r="AE128" s="481"/>
      <c r="AF128" s="481">
        <f t="shared" si="92"/>
        <v>55</v>
      </c>
      <c r="AG128" s="548"/>
      <c r="AH128" s="548"/>
      <c r="AI128" s="548">
        <f>+AA128*1.035</f>
        <v>56.924999999999997</v>
      </c>
      <c r="AJ128" s="548"/>
      <c r="AK128" s="548"/>
      <c r="AL128" s="548"/>
      <c r="AM128" s="548">
        <f t="shared" si="97"/>
        <v>56.924999999999997</v>
      </c>
      <c r="AN128" s="481"/>
      <c r="AO128" s="481"/>
      <c r="AP128" s="481">
        <f>+AI128*1.035</f>
        <v>58.917374999999993</v>
      </c>
      <c r="AQ128" s="481"/>
      <c r="AR128" s="481"/>
      <c r="AS128" s="481"/>
      <c r="AT128" s="481"/>
      <c r="AU128" s="481">
        <f t="shared" si="95"/>
        <v>58.917374999999993</v>
      </c>
      <c r="AV128" s="548"/>
      <c r="AW128" s="548"/>
      <c r="AX128" s="548">
        <f>+AP128*1.035</f>
        <v>60.979483124999987</v>
      </c>
      <c r="AY128" s="548"/>
      <c r="AZ128" s="548"/>
      <c r="BA128" s="548"/>
      <c r="BB128" s="548"/>
      <c r="BC128" s="548">
        <f t="shared" si="98"/>
        <v>60.979483124999987</v>
      </c>
      <c r="BD128" s="42">
        <f t="shared" si="85"/>
        <v>0</v>
      </c>
      <c r="BE128" s="42">
        <f t="shared" si="85"/>
        <v>0</v>
      </c>
      <c r="BF128" s="42">
        <f t="shared" si="85"/>
        <v>231.82185812499998</v>
      </c>
      <c r="BG128" s="42">
        <f t="shared" si="85"/>
        <v>0</v>
      </c>
      <c r="BH128" s="42">
        <f t="shared" si="85"/>
        <v>0</v>
      </c>
      <c r="BI128" s="42">
        <f t="shared" si="51"/>
        <v>0</v>
      </c>
      <c r="BJ128" s="42">
        <f t="shared" si="69"/>
        <v>0</v>
      </c>
      <c r="BK128" s="42">
        <f t="shared" si="69"/>
        <v>231.82185812499998</v>
      </c>
    </row>
    <row r="129" spans="1:64" s="38" customFormat="1" ht="60" customHeight="1" x14ac:dyDescent="0.25">
      <c r="A129" s="354" t="s">
        <v>386</v>
      </c>
      <c r="B129" s="477" t="s">
        <v>384</v>
      </c>
      <c r="C129" s="1547"/>
      <c r="D129" s="1549"/>
      <c r="E129" s="1549"/>
      <c r="F129" s="1559"/>
      <c r="G129" s="1560"/>
      <c r="H129" s="1561"/>
      <c r="I129" s="478"/>
      <c r="J129" s="478"/>
      <c r="K129" s="478" t="s">
        <v>408</v>
      </c>
      <c r="L129" s="372" t="s">
        <v>391</v>
      </c>
      <c r="M129" s="1425" t="s">
        <v>392</v>
      </c>
      <c r="N129" s="476" t="s">
        <v>393</v>
      </c>
      <c r="O129" s="1432" t="s">
        <v>73</v>
      </c>
      <c r="P129" s="71" t="s">
        <v>409</v>
      </c>
      <c r="Q129" s="345" t="s">
        <v>410</v>
      </c>
      <c r="R129" s="346">
        <v>2015</v>
      </c>
      <c r="S129" s="346">
        <v>100</v>
      </c>
      <c r="T129" s="346">
        <v>100</v>
      </c>
      <c r="U129" s="576">
        <v>100</v>
      </c>
      <c r="V129" s="576">
        <v>100</v>
      </c>
      <c r="W129" s="576">
        <v>100</v>
      </c>
      <c r="X129" s="576">
        <v>100</v>
      </c>
      <c r="Y129" s="579"/>
      <c r="Z129" s="579"/>
      <c r="AA129" s="492">
        <v>152</v>
      </c>
      <c r="AB129" s="579"/>
      <c r="AC129" s="579"/>
      <c r="AD129" s="579"/>
      <c r="AE129" s="579"/>
      <c r="AF129" s="579">
        <f t="shared" si="92"/>
        <v>152</v>
      </c>
      <c r="AG129" s="589"/>
      <c r="AH129" s="589"/>
      <c r="AI129" s="589">
        <f>+AA129*1.035</f>
        <v>157.32</v>
      </c>
      <c r="AJ129" s="589"/>
      <c r="AK129" s="589"/>
      <c r="AL129" s="589"/>
      <c r="AM129" s="589">
        <f t="shared" si="97"/>
        <v>157.32</v>
      </c>
      <c r="AN129" s="579"/>
      <c r="AO129" s="579"/>
      <c r="AP129" s="579">
        <f>+AI129*1.035</f>
        <v>162.82619999999997</v>
      </c>
      <c r="AQ129" s="579"/>
      <c r="AR129" s="579"/>
      <c r="AS129" s="579"/>
      <c r="AT129" s="579"/>
      <c r="AU129" s="579">
        <f>SUM(AN129:AT129)</f>
        <v>162.82619999999997</v>
      </c>
      <c r="AV129" s="589"/>
      <c r="AW129" s="589"/>
      <c r="AX129" s="589">
        <f>+AP129*1.035</f>
        <v>168.52511699999997</v>
      </c>
      <c r="AY129" s="589"/>
      <c r="AZ129" s="589"/>
      <c r="BA129" s="589"/>
      <c r="BB129" s="589"/>
      <c r="BC129" s="589">
        <f t="shared" si="98"/>
        <v>168.52511699999997</v>
      </c>
      <c r="BD129" s="61">
        <f t="shared" si="85"/>
        <v>0</v>
      </c>
      <c r="BE129" s="61">
        <f t="shared" si="85"/>
        <v>0</v>
      </c>
      <c r="BF129" s="61">
        <f t="shared" si="85"/>
        <v>640.67131699999993</v>
      </c>
      <c r="BG129" s="61">
        <f t="shared" si="85"/>
        <v>0</v>
      </c>
      <c r="BH129" s="61">
        <f t="shared" si="85"/>
        <v>0</v>
      </c>
      <c r="BI129" s="61">
        <f t="shared" si="51"/>
        <v>0</v>
      </c>
      <c r="BJ129" s="61">
        <f t="shared" si="69"/>
        <v>0</v>
      </c>
      <c r="BK129" s="61">
        <f t="shared" si="69"/>
        <v>640.67131699999993</v>
      </c>
      <c r="BL129" s="223"/>
    </row>
    <row r="130" spans="1:64" ht="52.5" customHeight="1" x14ac:dyDescent="0.25">
      <c r="A130" s="298" t="s">
        <v>386</v>
      </c>
      <c r="B130" s="299" t="s">
        <v>384</v>
      </c>
      <c r="C130" s="1547"/>
      <c r="D130" s="1549"/>
      <c r="E130" s="1549"/>
      <c r="F130" s="1559"/>
      <c r="G130" s="1560"/>
      <c r="H130" s="1561"/>
      <c r="I130" s="1430"/>
      <c r="J130" s="1430"/>
      <c r="K130" s="1430" t="s">
        <v>411</v>
      </c>
      <c r="L130" s="301" t="s">
        <v>391</v>
      </c>
      <c r="M130" s="1425" t="s">
        <v>392</v>
      </c>
      <c r="N130" s="476" t="s">
        <v>393</v>
      </c>
      <c r="O130" s="1425" t="s">
        <v>73</v>
      </c>
      <c r="P130" s="16" t="s">
        <v>412</v>
      </c>
      <c r="Q130" s="302" t="s">
        <v>413</v>
      </c>
      <c r="R130" s="303">
        <v>2015</v>
      </c>
      <c r="S130" s="303">
        <v>1</v>
      </c>
      <c r="T130" s="303">
        <v>2</v>
      </c>
      <c r="U130" s="572">
        <v>2</v>
      </c>
      <c r="V130" s="572">
        <v>2</v>
      </c>
      <c r="W130" s="572">
        <v>2</v>
      </c>
      <c r="X130" s="572">
        <v>8</v>
      </c>
      <c r="Y130" s="481"/>
      <c r="Z130" s="481"/>
      <c r="AA130" s="491">
        <v>10</v>
      </c>
      <c r="AB130" s="481"/>
      <c r="AC130" s="481"/>
      <c r="AD130" s="481"/>
      <c r="AE130" s="481"/>
      <c r="AF130" s="481">
        <f t="shared" si="92"/>
        <v>10</v>
      </c>
      <c r="AG130" s="548"/>
      <c r="AH130" s="548"/>
      <c r="AI130" s="548">
        <f>+AA130*1.035</f>
        <v>10.35</v>
      </c>
      <c r="AJ130" s="548"/>
      <c r="AK130" s="548"/>
      <c r="AL130" s="548"/>
      <c r="AM130" s="548">
        <f>SUM(AG130:AL130)</f>
        <v>10.35</v>
      </c>
      <c r="AN130" s="481"/>
      <c r="AO130" s="481"/>
      <c r="AP130" s="481">
        <f>+AI130*1.035</f>
        <v>10.712249999999999</v>
      </c>
      <c r="AQ130" s="481"/>
      <c r="AR130" s="481"/>
      <c r="AS130" s="481"/>
      <c r="AT130" s="481"/>
      <c r="AU130" s="481">
        <f>SUM(AN130:AT130)</f>
        <v>10.712249999999999</v>
      </c>
      <c r="AV130" s="548"/>
      <c r="AW130" s="548"/>
      <c r="AX130" s="548">
        <f>+AP130*1.035</f>
        <v>11.087178749999998</v>
      </c>
      <c r="AY130" s="548"/>
      <c r="AZ130" s="548"/>
      <c r="BA130" s="548"/>
      <c r="BB130" s="548"/>
      <c r="BC130" s="548">
        <f>SUM(AV130:BB130)</f>
        <v>11.087178749999998</v>
      </c>
      <c r="BD130" s="42">
        <f t="shared" si="85"/>
        <v>0</v>
      </c>
      <c r="BE130" s="42">
        <f t="shared" si="85"/>
        <v>0</v>
      </c>
      <c r="BF130" s="42">
        <f t="shared" si="85"/>
        <v>42.149428749999998</v>
      </c>
      <c r="BG130" s="42">
        <f t="shared" si="85"/>
        <v>0</v>
      </c>
      <c r="BH130" s="42">
        <f t="shared" si="85"/>
        <v>0</v>
      </c>
      <c r="BI130" s="42">
        <f t="shared" si="51"/>
        <v>0</v>
      </c>
      <c r="BJ130" s="42">
        <f t="shared" ref="BJ130:BK154" si="99">+BB130+AT130+AL130+AE130</f>
        <v>0</v>
      </c>
      <c r="BK130" s="42">
        <f t="shared" si="99"/>
        <v>42.149428749999998</v>
      </c>
    </row>
    <row r="131" spans="1:64" ht="30.75" customHeight="1" x14ac:dyDescent="0.25">
      <c r="A131" s="298" t="s">
        <v>386</v>
      </c>
      <c r="B131" s="299" t="s">
        <v>384</v>
      </c>
      <c r="C131" s="1547"/>
      <c r="D131" s="1549"/>
      <c r="E131" s="1549"/>
      <c r="F131" s="1559"/>
      <c r="G131" s="1560"/>
      <c r="H131" s="1561"/>
      <c r="I131" s="1430"/>
      <c r="J131" s="1430"/>
      <c r="K131" s="1430" t="s">
        <v>414</v>
      </c>
      <c r="L131" s="301" t="s">
        <v>391</v>
      </c>
      <c r="M131" s="1425" t="s">
        <v>392</v>
      </c>
      <c r="N131" s="476" t="s">
        <v>393</v>
      </c>
      <c r="O131" s="1425" t="s">
        <v>47</v>
      </c>
      <c r="P131" s="16" t="s">
        <v>415</v>
      </c>
      <c r="Q131" s="302" t="s">
        <v>416</v>
      </c>
      <c r="R131" s="303">
        <v>2015</v>
      </c>
      <c r="S131" s="303">
        <v>287</v>
      </c>
      <c r="T131" s="303">
        <v>300</v>
      </c>
      <c r="U131" s="572">
        <v>300</v>
      </c>
      <c r="V131" s="572">
        <v>300</v>
      </c>
      <c r="W131" s="572">
        <v>300</v>
      </c>
      <c r="X131" s="572">
        <v>1200</v>
      </c>
      <c r="Y131" s="481"/>
      <c r="Z131" s="481"/>
      <c r="AA131" s="491">
        <v>1</v>
      </c>
      <c r="AB131" s="481"/>
      <c r="AC131" s="481"/>
      <c r="AD131" s="481"/>
      <c r="AE131" s="481"/>
      <c r="AF131" s="481">
        <f t="shared" si="92"/>
        <v>1</v>
      </c>
      <c r="AG131" s="548"/>
      <c r="AH131" s="548"/>
      <c r="AI131" s="491">
        <v>1</v>
      </c>
      <c r="AJ131" s="548"/>
      <c r="AK131" s="548"/>
      <c r="AL131" s="548"/>
      <c r="AM131" s="548">
        <f t="shared" si="97"/>
        <v>1</v>
      </c>
      <c r="AN131" s="481"/>
      <c r="AO131" s="481"/>
      <c r="AP131" s="491">
        <v>1</v>
      </c>
      <c r="AQ131" s="481"/>
      <c r="AR131" s="481"/>
      <c r="AS131" s="481"/>
      <c r="AT131" s="481"/>
      <c r="AU131" s="481">
        <f>SUM(AN131:AT131)</f>
        <v>1</v>
      </c>
      <c r="AV131" s="548"/>
      <c r="AW131" s="548"/>
      <c r="AX131" s="491">
        <v>25</v>
      </c>
      <c r="AY131" s="548"/>
      <c r="AZ131" s="548"/>
      <c r="BA131" s="548"/>
      <c r="BB131" s="548"/>
      <c r="BC131" s="548">
        <f t="shared" si="98"/>
        <v>25</v>
      </c>
      <c r="BD131" s="42">
        <f t="shared" si="85"/>
        <v>0</v>
      </c>
      <c r="BE131" s="42">
        <f t="shared" si="85"/>
        <v>0</v>
      </c>
      <c r="BF131" s="42">
        <f t="shared" si="85"/>
        <v>28</v>
      </c>
      <c r="BG131" s="42">
        <f t="shared" si="85"/>
        <v>0</v>
      </c>
      <c r="BH131" s="42">
        <f t="shared" si="85"/>
        <v>0</v>
      </c>
      <c r="BI131" s="42">
        <f t="shared" si="51"/>
        <v>0</v>
      </c>
      <c r="BJ131" s="42">
        <f t="shared" si="99"/>
        <v>0</v>
      </c>
      <c r="BK131" s="42">
        <f t="shared" si="99"/>
        <v>28</v>
      </c>
    </row>
    <row r="132" spans="1:64" ht="38.25" customHeight="1" x14ac:dyDescent="0.25">
      <c r="A132" s="298" t="s">
        <v>386</v>
      </c>
      <c r="B132" s="299" t="s">
        <v>384</v>
      </c>
      <c r="C132" s="1547"/>
      <c r="D132" s="1549"/>
      <c r="E132" s="1549"/>
      <c r="F132" s="1559"/>
      <c r="G132" s="1560"/>
      <c r="H132" s="1561"/>
      <c r="I132" s="1430"/>
      <c r="J132" s="1430"/>
      <c r="K132" s="1430" t="s">
        <v>417</v>
      </c>
      <c r="L132" s="301" t="s">
        <v>391</v>
      </c>
      <c r="M132" s="1425" t="s">
        <v>392</v>
      </c>
      <c r="N132" s="476" t="s">
        <v>393</v>
      </c>
      <c r="O132" s="1425" t="s">
        <v>47</v>
      </c>
      <c r="P132" s="16" t="s">
        <v>418</v>
      </c>
      <c r="Q132" s="302" t="s">
        <v>419</v>
      </c>
      <c r="R132" s="303">
        <v>2015</v>
      </c>
      <c r="S132" s="303">
        <v>0</v>
      </c>
      <c r="T132" s="303">
        <v>2</v>
      </c>
      <c r="U132" s="572">
        <v>2</v>
      </c>
      <c r="V132" s="572">
        <v>2</v>
      </c>
      <c r="W132" s="572">
        <v>2</v>
      </c>
      <c r="X132" s="572">
        <v>8</v>
      </c>
      <c r="Y132" s="481"/>
      <c r="Z132" s="481"/>
      <c r="AA132" s="491">
        <v>1</v>
      </c>
      <c r="AB132" s="481"/>
      <c r="AC132" s="481"/>
      <c r="AD132" s="481"/>
      <c r="AE132" s="481"/>
      <c r="AF132" s="481">
        <f t="shared" si="92"/>
        <v>1</v>
      </c>
      <c r="AG132" s="548"/>
      <c r="AH132" s="548"/>
      <c r="AI132" s="491">
        <v>1</v>
      </c>
      <c r="AJ132" s="548"/>
      <c r="AK132" s="548"/>
      <c r="AL132" s="548"/>
      <c r="AM132" s="548">
        <f t="shared" si="97"/>
        <v>1</v>
      </c>
      <c r="AN132" s="481"/>
      <c r="AO132" s="481"/>
      <c r="AP132" s="491">
        <v>1</v>
      </c>
      <c r="AQ132" s="481"/>
      <c r="AR132" s="481"/>
      <c r="AS132" s="481"/>
      <c r="AT132" s="481"/>
      <c r="AU132" s="481">
        <f>SUM(AN132:AT132)</f>
        <v>1</v>
      </c>
      <c r="AV132" s="548"/>
      <c r="AW132" s="548"/>
      <c r="AX132" s="491">
        <v>10</v>
      </c>
      <c r="AY132" s="548"/>
      <c r="AZ132" s="548"/>
      <c r="BA132" s="548"/>
      <c r="BB132" s="548"/>
      <c r="BC132" s="548">
        <f t="shared" si="98"/>
        <v>10</v>
      </c>
      <c r="BD132" s="42">
        <f t="shared" si="85"/>
        <v>0</v>
      </c>
      <c r="BE132" s="42">
        <f t="shared" si="85"/>
        <v>0</v>
      </c>
      <c r="BF132" s="42">
        <f t="shared" si="85"/>
        <v>13</v>
      </c>
      <c r="BG132" s="42">
        <f t="shared" si="85"/>
        <v>0</v>
      </c>
      <c r="BH132" s="42">
        <f t="shared" si="85"/>
        <v>0</v>
      </c>
      <c r="BI132" s="42">
        <f t="shared" si="51"/>
        <v>0</v>
      </c>
      <c r="BJ132" s="42">
        <f t="shared" si="99"/>
        <v>0</v>
      </c>
      <c r="BK132" s="42">
        <f t="shared" si="99"/>
        <v>13</v>
      </c>
    </row>
    <row r="133" spans="1:64" ht="64.5" customHeight="1" x14ac:dyDescent="0.25">
      <c r="A133" s="298" t="s">
        <v>386</v>
      </c>
      <c r="B133" s="299" t="s">
        <v>384</v>
      </c>
      <c r="C133" s="1547"/>
      <c r="D133" s="1549"/>
      <c r="E133" s="1549"/>
      <c r="F133" s="1559"/>
      <c r="G133" s="1560"/>
      <c r="H133" s="1561"/>
      <c r="I133" s="1430" t="s">
        <v>53</v>
      </c>
      <c r="J133" s="1430"/>
      <c r="K133" s="1430" t="s">
        <v>420</v>
      </c>
      <c r="L133" s="301" t="s">
        <v>391</v>
      </c>
      <c r="M133" s="1425" t="s">
        <v>392</v>
      </c>
      <c r="N133" s="476" t="s">
        <v>393</v>
      </c>
      <c r="O133" s="1425" t="s">
        <v>47</v>
      </c>
      <c r="P133" s="72" t="s">
        <v>421</v>
      </c>
      <c r="Q133" s="302" t="s">
        <v>422</v>
      </c>
      <c r="R133" s="303">
        <v>2015</v>
      </c>
      <c r="S133" s="303">
        <v>1145</v>
      </c>
      <c r="T133" s="303">
        <v>600</v>
      </c>
      <c r="U133" s="572">
        <v>600</v>
      </c>
      <c r="V133" s="572">
        <v>600</v>
      </c>
      <c r="W133" s="572">
        <v>600</v>
      </c>
      <c r="X133" s="572">
        <v>2400</v>
      </c>
      <c r="Y133" s="481"/>
      <c r="Z133" s="481"/>
      <c r="AA133" s="491">
        <v>299</v>
      </c>
      <c r="AB133" s="481"/>
      <c r="AC133" s="481"/>
      <c r="AD133" s="481"/>
      <c r="AE133" s="481"/>
      <c r="AF133" s="481">
        <f t="shared" si="92"/>
        <v>299</v>
      </c>
      <c r="AG133" s="548"/>
      <c r="AH133" s="548"/>
      <c r="AI133" s="548">
        <f>(+AA133*1.035)+16.56</f>
        <v>326.02499999999998</v>
      </c>
      <c r="AJ133" s="548"/>
      <c r="AK133" s="548"/>
      <c r="AL133" s="548"/>
      <c r="AM133" s="548">
        <f>SUM(AG133:AL133)</f>
        <v>326.02499999999998</v>
      </c>
      <c r="AN133" s="481"/>
      <c r="AO133" s="481"/>
      <c r="AP133" s="481">
        <f>+AI133*1.035</f>
        <v>337.43587499999995</v>
      </c>
      <c r="AQ133" s="481"/>
      <c r="AR133" s="481"/>
      <c r="AS133" s="481"/>
      <c r="AT133" s="481"/>
      <c r="AU133" s="481">
        <f>SUM(AN133:AT133)</f>
        <v>337.43587499999995</v>
      </c>
      <c r="AV133" s="548"/>
      <c r="AW133" s="548"/>
      <c r="AX133" s="548">
        <f>+AP133*1.035</f>
        <v>349.24613062499992</v>
      </c>
      <c r="AY133" s="548"/>
      <c r="AZ133" s="548"/>
      <c r="BA133" s="548"/>
      <c r="BB133" s="548"/>
      <c r="BC133" s="548">
        <f>SUM(AV133:BB133)</f>
        <v>349.24613062499992</v>
      </c>
      <c r="BD133" s="42">
        <f t="shared" si="85"/>
        <v>0</v>
      </c>
      <c r="BE133" s="42">
        <f t="shared" si="85"/>
        <v>0</v>
      </c>
      <c r="BF133" s="42">
        <f t="shared" si="85"/>
        <v>1311.707005625</v>
      </c>
      <c r="BG133" s="42">
        <f t="shared" si="85"/>
        <v>0</v>
      </c>
      <c r="BH133" s="42">
        <f t="shared" si="85"/>
        <v>0</v>
      </c>
      <c r="BI133" s="42">
        <f t="shared" si="51"/>
        <v>0</v>
      </c>
      <c r="BJ133" s="42">
        <f t="shared" si="99"/>
        <v>0</v>
      </c>
      <c r="BK133" s="42">
        <f t="shared" si="99"/>
        <v>1311.707005625</v>
      </c>
    </row>
    <row r="134" spans="1:64" ht="42.75" customHeight="1" x14ac:dyDescent="0.25">
      <c r="A134" s="298" t="s">
        <v>386</v>
      </c>
      <c r="B134" s="299" t="s">
        <v>384</v>
      </c>
      <c r="C134" s="1547"/>
      <c r="D134" s="1549"/>
      <c r="E134" s="1549"/>
      <c r="F134" s="1559"/>
      <c r="G134" s="1560"/>
      <c r="H134" s="1561"/>
      <c r="I134" s="1430"/>
      <c r="J134" s="1430"/>
      <c r="K134" s="1430" t="s">
        <v>423</v>
      </c>
      <c r="L134" s="301" t="s">
        <v>391</v>
      </c>
      <c r="M134" s="1425" t="s">
        <v>392</v>
      </c>
      <c r="N134" s="476" t="s">
        <v>393</v>
      </c>
      <c r="O134" s="1425" t="s">
        <v>47</v>
      </c>
      <c r="P134" s="16" t="s">
        <v>424</v>
      </c>
      <c r="Q134" s="302" t="s">
        <v>425</v>
      </c>
      <c r="R134" s="303">
        <v>2015</v>
      </c>
      <c r="S134" s="303">
        <v>0</v>
      </c>
      <c r="T134" s="303">
        <v>0</v>
      </c>
      <c r="U134" s="572">
        <v>0</v>
      </c>
      <c r="V134" s="498">
        <v>0</v>
      </c>
      <c r="W134" s="572">
        <v>1</v>
      </c>
      <c r="X134" s="572">
        <v>1</v>
      </c>
      <c r="Y134" s="481"/>
      <c r="Z134" s="481"/>
      <c r="AA134" s="481"/>
      <c r="AB134" s="481"/>
      <c r="AC134" s="481"/>
      <c r="AD134" s="481"/>
      <c r="AE134" s="481"/>
      <c r="AF134" s="481">
        <f t="shared" si="92"/>
        <v>0</v>
      </c>
      <c r="AG134" s="548"/>
      <c r="AH134" s="548"/>
      <c r="AI134" s="548"/>
      <c r="AJ134" s="548"/>
      <c r="AK134" s="548"/>
      <c r="AL134" s="548"/>
      <c r="AM134" s="548">
        <f t="shared" si="97"/>
        <v>0</v>
      </c>
      <c r="AN134" s="481"/>
      <c r="AO134" s="481"/>
      <c r="AP134" s="481"/>
      <c r="AQ134" s="481"/>
      <c r="AR134" s="481"/>
      <c r="AS134" s="481"/>
      <c r="AT134" s="481"/>
      <c r="AU134" s="481">
        <f t="shared" ref="AU134:AU142" si="100">SUM(AN134:AT134)</f>
        <v>0</v>
      </c>
      <c r="AV134" s="548"/>
      <c r="AW134" s="548"/>
      <c r="AX134" s="491">
        <v>10.18</v>
      </c>
      <c r="AY134" s="548"/>
      <c r="AZ134" s="548"/>
      <c r="BA134" s="548"/>
      <c r="BB134" s="548"/>
      <c r="BC134" s="548">
        <f t="shared" si="98"/>
        <v>10.18</v>
      </c>
      <c r="BD134" s="42">
        <f t="shared" si="85"/>
        <v>0</v>
      </c>
      <c r="BE134" s="42">
        <f t="shared" si="85"/>
        <v>0</v>
      </c>
      <c r="BF134" s="42">
        <f t="shared" si="85"/>
        <v>10.18</v>
      </c>
      <c r="BG134" s="42">
        <f t="shared" si="85"/>
        <v>0</v>
      </c>
      <c r="BH134" s="42">
        <f t="shared" si="85"/>
        <v>0</v>
      </c>
      <c r="BI134" s="42">
        <f t="shared" si="51"/>
        <v>0</v>
      </c>
      <c r="BJ134" s="42">
        <f t="shared" si="99"/>
        <v>0</v>
      </c>
      <c r="BK134" s="42">
        <f t="shared" si="99"/>
        <v>10.18</v>
      </c>
    </row>
    <row r="135" spans="1:64" ht="52.5" customHeight="1" x14ac:dyDescent="0.25">
      <c r="A135" s="298" t="s">
        <v>386</v>
      </c>
      <c r="B135" s="299" t="s">
        <v>384</v>
      </c>
      <c r="C135" s="1547"/>
      <c r="D135" s="1549"/>
      <c r="E135" s="1549"/>
      <c r="F135" s="1559"/>
      <c r="G135" s="1560"/>
      <c r="H135" s="1561"/>
      <c r="I135" s="1430"/>
      <c r="J135" s="1430"/>
      <c r="K135" s="1430" t="s">
        <v>426</v>
      </c>
      <c r="L135" s="301" t="s">
        <v>391</v>
      </c>
      <c r="M135" s="1425" t="s">
        <v>392</v>
      </c>
      <c r="N135" s="479" t="s">
        <v>352</v>
      </c>
      <c r="O135" s="1425" t="s">
        <v>47</v>
      </c>
      <c r="P135" s="16" t="s">
        <v>427</v>
      </c>
      <c r="Q135" s="302" t="s">
        <v>428</v>
      </c>
      <c r="R135" s="303">
        <v>2015</v>
      </c>
      <c r="S135" s="303">
        <v>0</v>
      </c>
      <c r="T135" s="303">
        <v>0</v>
      </c>
      <c r="U135" s="572">
        <v>600</v>
      </c>
      <c r="V135" s="572">
        <v>900</v>
      </c>
      <c r="W135" s="572">
        <v>1200</v>
      </c>
      <c r="X135" s="572">
        <v>1200</v>
      </c>
      <c r="Y135" s="481"/>
      <c r="Z135" s="481"/>
      <c r="AA135" s="481"/>
      <c r="AB135" s="481"/>
      <c r="AC135" s="481"/>
      <c r="AD135" s="481"/>
      <c r="AE135" s="481"/>
      <c r="AF135" s="481">
        <f t="shared" si="92"/>
        <v>0</v>
      </c>
      <c r="AG135" s="548"/>
      <c r="AH135" s="548"/>
      <c r="AI135" s="491">
        <v>48</v>
      </c>
      <c r="AJ135" s="548"/>
      <c r="AK135" s="548"/>
      <c r="AL135" s="548"/>
      <c r="AM135" s="548">
        <f t="shared" si="97"/>
        <v>48</v>
      </c>
      <c r="AN135" s="481"/>
      <c r="AO135" s="481"/>
      <c r="AP135" s="491">
        <v>99.86</v>
      </c>
      <c r="AQ135" s="481"/>
      <c r="AR135" s="481"/>
      <c r="AS135" s="481"/>
      <c r="AT135" s="481"/>
      <c r="AU135" s="481">
        <f t="shared" si="100"/>
        <v>99.86</v>
      </c>
      <c r="AV135" s="548"/>
      <c r="AW135" s="548"/>
      <c r="AX135" s="548">
        <v>300</v>
      </c>
      <c r="AY135" s="548"/>
      <c r="AZ135" s="548"/>
      <c r="BA135" s="548"/>
      <c r="BB135" s="548"/>
      <c r="BC135" s="548">
        <f t="shared" si="98"/>
        <v>300</v>
      </c>
      <c r="BD135" s="42">
        <f t="shared" si="85"/>
        <v>0</v>
      </c>
      <c r="BE135" s="42">
        <f t="shared" si="85"/>
        <v>0</v>
      </c>
      <c r="BF135" s="42">
        <f t="shared" si="85"/>
        <v>447.86</v>
      </c>
      <c r="BG135" s="42">
        <f t="shared" si="85"/>
        <v>0</v>
      </c>
      <c r="BH135" s="42">
        <f t="shared" si="85"/>
        <v>0</v>
      </c>
      <c r="BI135" s="42">
        <f t="shared" si="51"/>
        <v>0</v>
      </c>
      <c r="BJ135" s="42">
        <f t="shared" si="99"/>
        <v>0</v>
      </c>
      <c r="BK135" s="42">
        <f t="shared" si="99"/>
        <v>447.86</v>
      </c>
    </row>
    <row r="136" spans="1:64" ht="33.75" customHeight="1" x14ac:dyDescent="0.25">
      <c r="A136" s="298" t="s">
        <v>386</v>
      </c>
      <c r="B136" s="299" t="s">
        <v>384</v>
      </c>
      <c r="C136" s="1547"/>
      <c r="D136" s="1549"/>
      <c r="E136" s="1549"/>
      <c r="F136" s="1559"/>
      <c r="G136" s="1560"/>
      <c r="H136" s="1561"/>
      <c r="I136" s="1430"/>
      <c r="J136" s="1430"/>
      <c r="K136" s="1430" t="s">
        <v>429</v>
      </c>
      <c r="L136" s="301" t="s">
        <v>391</v>
      </c>
      <c r="M136" s="1425" t="s">
        <v>392</v>
      </c>
      <c r="N136" s="479" t="s">
        <v>352</v>
      </c>
      <c r="O136" s="1425" t="s">
        <v>47</v>
      </c>
      <c r="P136" s="16" t="s">
        <v>430</v>
      </c>
      <c r="Q136" s="302" t="s">
        <v>428</v>
      </c>
      <c r="R136" s="303">
        <v>2015</v>
      </c>
      <c r="S136" s="303">
        <v>0</v>
      </c>
      <c r="T136" s="303">
        <v>0</v>
      </c>
      <c r="U136" s="572">
        <v>500</v>
      </c>
      <c r="V136" s="572">
        <v>250</v>
      </c>
      <c r="W136" s="572">
        <v>250</v>
      </c>
      <c r="X136" s="572">
        <v>1000</v>
      </c>
      <c r="Y136" s="481"/>
      <c r="Z136" s="481"/>
      <c r="AA136" s="481"/>
      <c r="AB136" s="481"/>
      <c r="AC136" s="481"/>
      <c r="AD136" s="481"/>
      <c r="AE136" s="481"/>
      <c r="AF136" s="481">
        <f>SUM(Y136:AE136)</f>
        <v>0</v>
      </c>
      <c r="AG136" s="548"/>
      <c r="AH136" s="548"/>
      <c r="AI136" s="491">
        <v>224.2</v>
      </c>
      <c r="AJ136" s="548"/>
      <c r="AK136" s="548"/>
      <c r="AL136" s="548"/>
      <c r="AM136" s="548">
        <f t="shared" si="97"/>
        <v>224.2</v>
      </c>
      <c r="AN136" s="481"/>
      <c r="AO136" s="481"/>
      <c r="AP136" s="491">
        <v>220.01</v>
      </c>
      <c r="AQ136" s="481"/>
      <c r="AR136" s="481"/>
      <c r="AS136" s="481"/>
      <c r="AT136" s="481"/>
      <c r="AU136" s="481">
        <f t="shared" si="100"/>
        <v>220.01</v>
      </c>
      <c r="AV136" s="548"/>
      <c r="AW136" s="548"/>
      <c r="AX136" s="491">
        <v>46.76</v>
      </c>
      <c r="AY136" s="548"/>
      <c r="AZ136" s="548"/>
      <c r="BA136" s="548"/>
      <c r="BB136" s="548"/>
      <c r="BC136" s="548">
        <f t="shared" si="98"/>
        <v>46.76</v>
      </c>
      <c r="BD136" s="42">
        <f t="shared" si="85"/>
        <v>0</v>
      </c>
      <c r="BE136" s="42">
        <f t="shared" si="85"/>
        <v>0</v>
      </c>
      <c r="BF136" s="42">
        <f t="shared" si="85"/>
        <v>490.96999999999997</v>
      </c>
      <c r="BG136" s="42">
        <f t="shared" si="85"/>
        <v>0</v>
      </c>
      <c r="BH136" s="42">
        <f t="shared" si="85"/>
        <v>0</v>
      </c>
      <c r="BI136" s="42">
        <f t="shared" si="51"/>
        <v>0</v>
      </c>
      <c r="BJ136" s="42">
        <f>+BB136+AT136+AL136+AE136</f>
        <v>0</v>
      </c>
      <c r="BK136" s="42">
        <f>+BC136+AU136+AM136+AF136</f>
        <v>490.96999999999997</v>
      </c>
    </row>
    <row r="137" spans="1:64" ht="54" customHeight="1" x14ac:dyDescent="0.25">
      <c r="A137" s="298" t="s">
        <v>386</v>
      </c>
      <c r="B137" s="299" t="s">
        <v>384</v>
      </c>
      <c r="C137" s="1548"/>
      <c r="D137" s="1549"/>
      <c r="E137" s="1549"/>
      <c r="F137" s="1559"/>
      <c r="G137" s="1560"/>
      <c r="H137" s="1561"/>
      <c r="I137" s="1430"/>
      <c r="J137" s="1430"/>
      <c r="K137" s="1430" t="s">
        <v>431</v>
      </c>
      <c r="L137" s="301" t="s">
        <v>391</v>
      </c>
      <c r="M137" s="1425" t="s">
        <v>392</v>
      </c>
      <c r="N137" s="476" t="s">
        <v>393</v>
      </c>
      <c r="O137" s="1425" t="s">
        <v>73</v>
      </c>
      <c r="P137" s="16" t="s">
        <v>432</v>
      </c>
      <c r="Q137" s="302" t="s">
        <v>433</v>
      </c>
      <c r="R137" s="303">
        <v>2015</v>
      </c>
      <c r="S137" s="303">
        <v>1</v>
      </c>
      <c r="T137" s="303">
        <v>1</v>
      </c>
      <c r="U137" s="572">
        <v>1</v>
      </c>
      <c r="V137" s="572">
        <v>1</v>
      </c>
      <c r="W137" s="572">
        <v>1</v>
      </c>
      <c r="X137" s="572">
        <v>1</v>
      </c>
      <c r="Y137" s="581"/>
      <c r="Z137" s="581"/>
      <c r="AA137" s="495">
        <v>253.7</v>
      </c>
      <c r="AB137" s="581"/>
      <c r="AC137" s="581"/>
      <c r="AD137" s="581"/>
      <c r="AE137" s="581"/>
      <c r="AF137" s="481">
        <f>SUM(Y137:AE137)</f>
        <v>253.7</v>
      </c>
      <c r="AG137" s="590"/>
      <c r="AH137" s="590"/>
      <c r="AI137" s="590">
        <f>+AA137*1.035</f>
        <v>262.5795</v>
      </c>
      <c r="AJ137" s="590"/>
      <c r="AK137" s="590"/>
      <c r="AL137" s="590"/>
      <c r="AM137" s="548">
        <f t="shared" si="97"/>
        <v>262.5795</v>
      </c>
      <c r="AN137" s="581"/>
      <c r="AO137" s="581"/>
      <c r="AP137" s="581">
        <f>+AI137*1.035</f>
        <v>271.76978249999996</v>
      </c>
      <c r="AQ137" s="581"/>
      <c r="AR137" s="581"/>
      <c r="AS137" s="581"/>
      <c r="AT137" s="581"/>
      <c r="AU137" s="481">
        <f t="shared" si="100"/>
        <v>271.76978249999996</v>
      </c>
      <c r="AV137" s="590"/>
      <c r="AW137" s="590"/>
      <c r="AX137" s="590">
        <f>+AP137*1.035</f>
        <v>281.28172488749993</v>
      </c>
      <c r="AY137" s="590"/>
      <c r="AZ137" s="590"/>
      <c r="BA137" s="590"/>
      <c r="BB137" s="590"/>
      <c r="BC137" s="548">
        <f t="shared" si="98"/>
        <v>281.28172488749993</v>
      </c>
      <c r="BD137" s="60">
        <f t="shared" si="85"/>
        <v>0</v>
      </c>
      <c r="BE137" s="60">
        <f t="shared" si="85"/>
        <v>0</v>
      </c>
      <c r="BF137" s="60">
        <f t="shared" si="85"/>
        <v>1069.3310073875</v>
      </c>
      <c r="BG137" s="60">
        <f t="shared" si="85"/>
        <v>0</v>
      </c>
      <c r="BH137" s="60">
        <f t="shared" si="85"/>
        <v>0</v>
      </c>
      <c r="BI137" s="60">
        <f t="shared" si="51"/>
        <v>0</v>
      </c>
      <c r="BJ137" s="60">
        <f>+BB137+AT137+AL137+AE137</f>
        <v>0</v>
      </c>
      <c r="BK137" s="60">
        <f>+BC137+AU137+AM137+AF137</f>
        <v>1069.3310073875</v>
      </c>
    </row>
    <row r="138" spans="1:64" ht="12.75" x14ac:dyDescent="0.2">
      <c r="A138" s="295" t="s">
        <v>386</v>
      </c>
      <c r="B138" s="154" t="s">
        <v>384</v>
      </c>
      <c r="C138" s="6"/>
      <c r="D138" s="2" t="s">
        <v>434</v>
      </c>
      <c r="E138" s="1"/>
      <c r="F138" s="1"/>
      <c r="G138" s="1"/>
      <c r="H138" s="1"/>
      <c r="I138" s="1"/>
      <c r="J138" s="1"/>
      <c r="K138" s="1"/>
      <c r="L138" s="1"/>
      <c r="M138" s="1"/>
      <c r="N138" s="1"/>
      <c r="O138" s="1"/>
      <c r="P138" s="1"/>
      <c r="Q138" s="22"/>
      <c r="R138" s="1"/>
      <c r="S138" s="1"/>
      <c r="T138" s="1"/>
      <c r="U138" s="49"/>
      <c r="V138" s="49"/>
      <c r="W138" s="49"/>
      <c r="X138" s="49"/>
      <c r="Y138" s="34">
        <f t="shared" ref="Y138:AE138" si="101">SUM(Y139:Y147)</f>
        <v>0</v>
      </c>
      <c r="Z138" s="34">
        <f t="shared" si="101"/>
        <v>0</v>
      </c>
      <c r="AA138" s="34">
        <f t="shared" si="101"/>
        <v>799</v>
      </c>
      <c r="AB138" s="34">
        <f t="shared" si="101"/>
        <v>0</v>
      </c>
      <c r="AC138" s="34">
        <f t="shared" si="101"/>
        <v>0</v>
      </c>
      <c r="AD138" s="34">
        <f t="shared" si="101"/>
        <v>0</v>
      </c>
      <c r="AE138" s="34">
        <f t="shared" si="101"/>
        <v>0</v>
      </c>
      <c r="AF138" s="34">
        <f t="shared" si="92"/>
        <v>799</v>
      </c>
      <c r="AG138" s="34">
        <f t="shared" ref="AG138:AL138" si="102">SUM(AG139:AG147)</f>
        <v>0</v>
      </c>
      <c r="AH138" s="34">
        <f t="shared" si="102"/>
        <v>0</v>
      </c>
      <c r="AI138" s="34">
        <f t="shared" si="102"/>
        <v>917.22499999999991</v>
      </c>
      <c r="AJ138" s="34">
        <f t="shared" si="102"/>
        <v>0</v>
      </c>
      <c r="AK138" s="34">
        <f t="shared" si="102"/>
        <v>0</v>
      </c>
      <c r="AL138" s="34">
        <f t="shared" si="102"/>
        <v>0</v>
      </c>
      <c r="AM138" s="34">
        <f>SUM(AG138:AL138)</f>
        <v>917.22499999999991</v>
      </c>
      <c r="AN138" s="34">
        <f t="shared" ref="AN138:AT138" si="103">SUM(AN139:AN147)</f>
        <v>0</v>
      </c>
      <c r="AO138" s="34">
        <f t="shared" si="103"/>
        <v>0</v>
      </c>
      <c r="AP138" s="34">
        <f t="shared" si="103"/>
        <v>816.45287499999984</v>
      </c>
      <c r="AQ138" s="34">
        <f t="shared" si="103"/>
        <v>800</v>
      </c>
      <c r="AR138" s="34">
        <f t="shared" si="103"/>
        <v>0</v>
      </c>
      <c r="AS138" s="34">
        <f t="shared" si="103"/>
        <v>0</v>
      </c>
      <c r="AT138" s="34">
        <f t="shared" si="103"/>
        <v>5050</v>
      </c>
      <c r="AU138" s="34">
        <f t="shared" si="100"/>
        <v>6666.4528749999999</v>
      </c>
      <c r="AV138" s="34">
        <f t="shared" ref="AV138:BB138" si="104">SUM(AV139:AV147)</f>
        <v>0</v>
      </c>
      <c r="AW138" s="34">
        <f t="shared" si="104"/>
        <v>0</v>
      </c>
      <c r="AX138" s="34">
        <f t="shared" si="104"/>
        <v>874.54872562499975</v>
      </c>
      <c r="AY138" s="34">
        <f t="shared" si="104"/>
        <v>0</v>
      </c>
      <c r="AZ138" s="34">
        <f t="shared" si="104"/>
        <v>0</v>
      </c>
      <c r="BA138" s="34">
        <f t="shared" si="104"/>
        <v>0</v>
      </c>
      <c r="BB138" s="34">
        <f t="shared" si="104"/>
        <v>0</v>
      </c>
      <c r="BC138" s="34">
        <f>SUM(AV138:BB138)</f>
        <v>874.54872562499975</v>
      </c>
      <c r="BD138" s="34">
        <f t="shared" si="85"/>
        <v>0</v>
      </c>
      <c r="BE138" s="34">
        <f t="shared" si="85"/>
        <v>0</v>
      </c>
      <c r="BF138" s="34">
        <f t="shared" si="85"/>
        <v>3407.2266006249993</v>
      </c>
      <c r="BG138" s="34">
        <f t="shared" si="85"/>
        <v>800</v>
      </c>
      <c r="BH138" s="34">
        <f t="shared" si="85"/>
        <v>0</v>
      </c>
      <c r="BI138" s="34">
        <f t="shared" si="51"/>
        <v>0</v>
      </c>
      <c r="BJ138" s="34">
        <f t="shared" si="99"/>
        <v>5050</v>
      </c>
      <c r="BK138" s="34">
        <f t="shared" si="99"/>
        <v>9257.2266006249993</v>
      </c>
    </row>
    <row r="139" spans="1:64" ht="53.25" customHeight="1" x14ac:dyDescent="0.25">
      <c r="A139" s="298" t="s">
        <v>386</v>
      </c>
      <c r="B139" s="299" t="s">
        <v>384</v>
      </c>
      <c r="C139" s="1546" t="s">
        <v>435</v>
      </c>
      <c r="D139" s="1549" t="s">
        <v>436</v>
      </c>
      <c r="E139" s="1549" t="s">
        <v>437</v>
      </c>
      <c r="F139" s="1549">
        <v>2005</v>
      </c>
      <c r="G139" s="1549">
        <v>53</v>
      </c>
      <c r="H139" s="1549">
        <v>55</v>
      </c>
      <c r="I139" s="1425"/>
      <c r="J139" s="1425"/>
      <c r="K139" s="1425" t="s">
        <v>438</v>
      </c>
      <c r="L139" s="301" t="s">
        <v>391</v>
      </c>
      <c r="M139" s="1425" t="s">
        <v>392</v>
      </c>
      <c r="N139" s="476" t="s">
        <v>393</v>
      </c>
      <c r="O139" s="1425" t="s">
        <v>47</v>
      </c>
      <c r="P139" s="16" t="s">
        <v>439</v>
      </c>
      <c r="Q139" s="302" t="s">
        <v>440</v>
      </c>
      <c r="R139" s="303">
        <v>2015</v>
      </c>
      <c r="S139" s="303">
        <v>0</v>
      </c>
      <c r="T139" s="303">
        <v>0</v>
      </c>
      <c r="U139" s="572">
        <v>1</v>
      </c>
      <c r="V139" s="498">
        <v>0</v>
      </c>
      <c r="W139" s="498">
        <v>0</v>
      </c>
      <c r="X139" s="572">
        <v>1</v>
      </c>
      <c r="Y139" s="483"/>
      <c r="Z139" s="483"/>
      <c r="AA139" s="483"/>
      <c r="AB139" s="483"/>
      <c r="AC139" s="483"/>
      <c r="AD139" s="483"/>
      <c r="AE139" s="483"/>
      <c r="AF139" s="481">
        <f t="shared" si="92"/>
        <v>0</v>
      </c>
      <c r="AG139" s="587"/>
      <c r="AH139" s="587"/>
      <c r="AI139" s="493">
        <v>100</v>
      </c>
      <c r="AJ139" s="587"/>
      <c r="AK139" s="587"/>
      <c r="AL139" s="587"/>
      <c r="AM139" s="587">
        <f>SUM(AG139:AL139)</f>
        <v>100</v>
      </c>
      <c r="AN139" s="483"/>
      <c r="AO139" s="483"/>
      <c r="AP139" s="483"/>
      <c r="AQ139" s="483"/>
      <c r="AR139" s="483"/>
      <c r="AS139" s="483"/>
      <c r="AT139" s="483"/>
      <c r="AU139" s="483">
        <f t="shared" si="100"/>
        <v>0</v>
      </c>
      <c r="AV139" s="587"/>
      <c r="AW139" s="587"/>
      <c r="AX139" s="587"/>
      <c r="AY139" s="587"/>
      <c r="AZ139" s="587"/>
      <c r="BA139" s="587"/>
      <c r="BB139" s="587"/>
      <c r="BC139" s="548">
        <f t="shared" ref="BC139:BC147" si="105">SUM(AV139:BB139)</f>
        <v>0</v>
      </c>
      <c r="BD139" s="44">
        <f t="shared" si="85"/>
        <v>0</v>
      </c>
      <c r="BE139" s="44">
        <f t="shared" si="85"/>
        <v>0</v>
      </c>
      <c r="BF139" s="44">
        <f t="shared" si="85"/>
        <v>100</v>
      </c>
      <c r="BG139" s="44">
        <f t="shared" si="85"/>
        <v>0</v>
      </c>
      <c r="BH139" s="44">
        <f t="shared" si="85"/>
        <v>0</v>
      </c>
      <c r="BI139" s="44">
        <f t="shared" si="51"/>
        <v>0</v>
      </c>
      <c r="BJ139" s="44">
        <f t="shared" si="99"/>
        <v>0</v>
      </c>
      <c r="BK139" s="44">
        <f t="shared" si="99"/>
        <v>100</v>
      </c>
    </row>
    <row r="140" spans="1:64" ht="83.25" customHeight="1" x14ac:dyDescent="0.25">
      <c r="A140" s="298" t="s">
        <v>386</v>
      </c>
      <c r="B140" s="299" t="s">
        <v>384</v>
      </c>
      <c r="C140" s="1547"/>
      <c r="D140" s="1549"/>
      <c r="E140" s="1549"/>
      <c r="F140" s="1549"/>
      <c r="G140" s="1549"/>
      <c r="H140" s="1549"/>
      <c r="I140" s="1425" t="s">
        <v>53</v>
      </c>
      <c r="J140" s="1425"/>
      <c r="K140" s="1425" t="s">
        <v>441</v>
      </c>
      <c r="L140" s="301" t="s">
        <v>391</v>
      </c>
      <c r="M140" s="1425" t="s">
        <v>392</v>
      </c>
      <c r="N140" s="476" t="s">
        <v>393</v>
      </c>
      <c r="O140" s="1425" t="s">
        <v>47</v>
      </c>
      <c r="P140" s="16" t="s">
        <v>442</v>
      </c>
      <c r="Q140" s="302" t="s">
        <v>443</v>
      </c>
      <c r="R140" s="303">
        <v>2015</v>
      </c>
      <c r="S140" s="303">
        <v>0</v>
      </c>
      <c r="T140" s="303">
        <v>0</v>
      </c>
      <c r="U140" s="572">
        <v>1</v>
      </c>
      <c r="V140" s="572">
        <v>1</v>
      </c>
      <c r="W140" s="572">
        <v>0</v>
      </c>
      <c r="X140" s="572">
        <v>1</v>
      </c>
      <c r="Y140" s="481"/>
      <c r="Z140" s="481"/>
      <c r="AA140" s="481"/>
      <c r="AB140" s="481"/>
      <c r="AC140" s="481"/>
      <c r="AD140" s="481"/>
      <c r="AE140" s="481"/>
      <c r="AF140" s="481">
        <f t="shared" si="92"/>
        <v>0</v>
      </c>
      <c r="AG140" s="548"/>
      <c r="AH140" s="548"/>
      <c r="AI140" s="491">
        <v>50</v>
      </c>
      <c r="AJ140" s="588"/>
      <c r="AK140" s="548"/>
      <c r="AL140" s="548"/>
      <c r="AM140" s="587">
        <f t="shared" ref="AM140:AM147" si="106">SUM(AG140:AL140)</f>
        <v>50</v>
      </c>
      <c r="AN140" s="481"/>
      <c r="AO140" s="481"/>
      <c r="AP140" s="481"/>
      <c r="AQ140" s="491">
        <v>700</v>
      </c>
      <c r="AR140" s="481"/>
      <c r="AS140" s="481"/>
      <c r="AT140" s="481"/>
      <c r="AU140" s="481">
        <f t="shared" si="100"/>
        <v>700</v>
      </c>
      <c r="AV140" s="548"/>
      <c r="AW140" s="548"/>
      <c r="AX140" s="548"/>
      <c r="AY140" s="548"/>
      <c r="AZ140" s="548"/>
      <c r="BA140" s="548"/>
      <c r="BB140" s="548"/>
      <c r="BC140" s="548">
        <f t="shared" si="105"/>
        <v>0</v>
      </c>
      <c r="BD140" s="42">
        <f t="shared" si="85"/>
        <v>0</v>
      </c>
      <c r="BE140" s="42">
        <f t="shared" si="85"/>
        <v>0</v>
      </c>
      <c r="BF140" s="42">
        <f t="shared" si="85"/>
        <v>50</v>
      </c>
      <c r="BG140" s="42">
        <f t="shared" si="85"/>
        <v>700</v>
      </c>
      <c r="BH140" s="42">
        <f t="shared" si="85"/>
        <v>0</v>
      </c>
      <c r="BI140" s="42">
        <f t="shared" si="51"/>
        <v>0</v>
      </c>
      <c r="BJ140" s="42">
        <f t="shared" si="99"/>
        <v>0</v>
      </c>
      <c r="BK140" s="42">
        <f t="shared" si="99"/>
        <v>750</v>
      </c>
    </row>
    <row r="141" spans="1:64" ht="48.75" customHeight="1" x14ac:dyDescent="0.25">
      <c r="A141" s="298" t="s">
        <v>386</v>
      </c>
      <c r="B141" s="299" t="s">
        <v>384</v>
      </c>
      <c r="C141" s="1547"/>
      <c r="D141" s="1549"/>
      <c r="E141" s="1549"/>
      <c r="F141" s="1549"/>
      <c r="G141" s="1549"/>
      <c r="H141" s="1549"/>
      <c r="I141" s="1425"/>
      <c r="J141" s="1425"/>
      <c r="K141" s="1425" t="s">
        <v>444</v>
      </c>
      <c r="L141" s="301" t="s">
        <v>391</v>
      </c>
      <c r="M141" s="1425" t="s">
        <v>392</v>
      </c>
      <c r="N141" s="476" t="s">
        <v>393</v>
      </c>
      <c r="O141" s="1425" t="s">
        <v>47</v>
      </c>
      <c r="P141" s="16" t="s">
        <v>445</v>
      </c>
      <c r="Q141" s="302" t="s">
        <v>446</v>
      </c>
      <c r="R141" s="303">
        <v>2015</v>
      </c>
      <c r="S141" s="303">
        <v>0</v>
      </c>
      <c r="T141" s="303">
        <v>1</v>
      </c>
      <c r="U141" s="572">
        <v>1</v>
      </c>
      <c r="V141" s="572">
        <v>1</v>
      </c>
      <c r="W141" s="572">
        <v>1</v>
      </c>
      <c r="X141" s="572">
        <v>1</v>
      </c>
      <c r="Y141" s="481"/>
      <c r="Z141" s="481"/>
      <c r="AA141" s="481">
        <v>87</v>
      </c>
      <c r="AB141" s="481"/>
      <c r="AC141" s="481"/>
      <c r="AD141" s="481"/>
      <c r="AE141" s="481"/>
      <c r="AF141" s="481">
        <f t="shared" si="92"/>
        <v>87</v>
      </c>
      <c r="AG141" s="548"/>
      <c r="AH141" s="548"/>
      <c r="AI141" s="491">
        <v>52</v>
      </c>
      <c r="AJ141" s="548"/>
      <c r="AK141" s="548"/>
      <c r="AL141" s="548"/>
      <c r="AM141" s="587">
        <f t="shared" si="106"/>
        <v>52</v>
      </c>
      <c r="AN141" s="481"/>
      <c r="AO141" s="481"/>
      <c r="AP141" s="481"/>
      <c r="AQ141" s="491">
        <v>100</v>
      </c>
      <c r="AR141" s="481"/>
      <c r="AS141" s="481"/>
      <c r="AT141" s="481"/>
      <c r="AU141" s="481">
        <f t="shared" si="100"/>
        <v>100</v>
      </c>
      <c r="AV141" s="548"/>
      <c r="AW141" s="548"/>
      <c r="AX141" s="491">
        <v>2</v>
      </c>
      <c r="AY141" s="548"/>
      <c r="AZ141" s="548"/>
      <c r="BA141" s="548"/>
      <c r="BB141" s="548"/>
      <c r="BC141" s="548">
        <f t="shared" si="105"/>
        <v>2</v>
      </c>
      <c r="BD141" s="42">
        <f t="shared" si="85"/>
        <v>0</v>
      </c>
      <c r="BE141" s="42">
        <f t="shared" si="85"/>
        <v>0</v>
      </c>
      <c r="BF141" s="42">
        <f t="shared" si="85"/>
        <v>141</v>
      </c>
      <c r="BG141" s="42">
        <f t="shared" si="85"/>
        <v>100</v>
      </c>
      <c r="BH141" s="42">
        <f t="shared" si="85"/>
        <v>0</v>
      </c>
      <c r="BI141" s="42">
        <f t="shared" ref="BI141:BI206" si="107">+AD141+AS141+BA141</f>
        <v>0</v>
      </c>
      <c r="BJ141" s="42">
        <f t="shared" si="99"/>
        <v>0</v>
      </c>
      <c r="BK141" s="42">
        <f t="shared" si="99"/>
        <v>241</v>
      </c>
    </row>
    <row r="142" spans="1:64" ht="44.25" customHeight="1" x14ac:dyDescent="0.25">
      <c r="A142" s="298" t="s">
        <v>386</v>
      </c>
      <c r="B142" s="299" t="s">
        <v>384</v>
      </c>
      <c r="C142" s="1547"/>
      <c r="D142" s="1549"/>
      <c r="E142" s="1549"/>
      <c r="F142" s="1549"/>
      <c r="G142" s="1549"/>
      <c r="H142" s="1549"/>
      <c r="I142" s="1425"/>
      <c r="J142" s="1425"/>
      <c r="K142" s="1425" t="s">
        <v>447</v>
      </c>
      <c r="L142" s="301" t="s">
        <v>391</v>
      </c>
      <c r="M142" s="1425" t="s">
        <v>392</v>
      </c>
      <c r="N142" s="476" t="s">
        <v>393</v>
      </c>
      <c r="O142" s="1425" t="s">
        <v>47</v>
      </c>
      <c r="P142" s="16" t="s">
        <v>448</v>
      </c>
      <c r="Q142" s="302" t="s">
        <v>449</v>
      </c>
      <c r="R142" s="303">
        <v>2015</v>
      </c>
      <c r="S142" s="303">
        <v>0</v>
      </c>
      <c r="T142" s="303">
        <v>1</v>
      </c>
      <c r="U142" s="699">
        <v>0</v>
      </c>
      <c r="V142" s="699">
        <v>0</v>
      </c>
      <c r="W142" s="699">
        <v>0</v>
      </c>
      <c r="X142" s="572">
        <v>1</v>
      </c>
      <c r="Y142" s="481">
        <v>0</v>
      </c>
      <c r="Z142" s="481"/>
      <c r="AA142" s="481">
        <v>17</v>
      </c>
      <c r="AB142" s="481"/>
      <c r="AC142" s="481"/>
      <c r="AD142" s="481"/>
      <c r="AE142" s="481"/>
      <c r="AF142" s="481">
        <f t="shared" si="92"/>
        <v>17</v>
      </c>
      <c r="AG142" s="548">
        <v>0</v>
      </c>
      <c r="AH142" s="548"/>
      <c r="AI142" s="548"/>
      <c r="AJ142" s="548"/>
      <c r="AK142" s="548"/>
      <c r="AL142" s="548"/>
      <c r="AM142" s="587">
        <f t="shared" si="106"/>
        <v>0</v>
      </c>
      <c r="AN142" s="481">
        <v>0</v>
      </c>
      <c r="AO142" s="481"/>
      <c r="AP142" s="481"/>
      <c r="AQ142" s="481"/>
      <c r="AR142" s="481"/>
      <c r="AS142" s="481"/>
      <c r="AT142" s="481"/>
      <c r="AU142" s="481">
        <f t="shared" si="100"/>
        <v>0</v>
      </c>
      <c r="AV142" s="548">
        <v>0</v>
      </c>
      <c r="AW142" s="548"/>
      <c r="AX142" s="548">
        <v>0</v>
      </c>
      <c r="AY142" s="548"/>
      <c r="AZ142" s="548"/>
      <c r="BA142" s="548"/>
      <c r="BB142" s="548"/>
      <c r="BC142" s="548">
        <f t="shared" si="105"/>
        <v>0</v>
      </c>
      <c r="BD142" s="42">
        <f t="shared" si="85"/>
        <v>0</v>
      </c>
      <c r="BE142" s="42">
        <f t="shared" si="85"/>
        <v>0</v>
      </c>
      <c r="BF142" s="42">
        <f t="shared" si="85"/>
        <v>17</v>
      </c>
      <c r="BG142" s="42">
        <f t="shared" si="85"/>
        <v>0</v>
      </c>
      <c r="BH142" s="42">
        <f t="shared" si="85"/>
        <v>0</v>
      </c>
      <c r="BI142" s="42">
        <f t="shared" si="107"/>
        <v>0</v>
      </c>
      <c r="BJ142" s="42">
        <f t="shared" si="99"/>
        <v>0</v>
      </c>
      <c r="BK142" s="42">
        <f t="shared" si="99"/>
        <v>17</v>
      </c>
    </row>
    <row r="143" spans="1:64" ht="59.25" customHeight="1" x14ac:dyDescent="0.25">
      <c r="A143" s="298" t="s">
        <v>386</v>
      </c>
      <c r="B143" s="299" t="s">
        <v>384</v>
      </c>
      <c r="C143" s="1547"/>
      <c r="D143" s="1549"/>
      <c r="E143" s="1549"/>
      <c r="F143" s="1549"/>
      <c r="G143" s="1549"/>
      <c r="H143" s="1549"/>
      <c r="I143" s="1425" t="s">
        <v>53</v>
      </c>
      <c r="J143" s="1425"/>
      <c r="K143" s="1425" t="s">
        <v>450</v>
      </c>
      <c r="L143" s="301" t="s">
        <v>391</v>
      </c>
      <c r="M143" s="1425" t="s">
        <v>392</v>
      </c>
      <c r="N143" s="476" t="s">
        <v>393</v>
      </c>
      <c r="O143" s="1425" t="s">
        <v>47</v>
      </c>
      <c r="P143" s="16" t="s">
        <v>451</v>
      </c>
      <c r="Q143" s="302" t="s">
        <v>452</v>
      </c>
      <c r="R143" s="303">
        <v>2015</v>
      </c>
      <c r="S143" s="303">
        <v>738</v>
      </c>
      <c r="T143" s="303">
        <v>700</v>
      </c>
      <c r="U143" s="572">
        <v>7000</v>
      </c>
      <c r="V143" s="572">
        <v>700</v>
      </c>
      <c r="W143" s="572">
        <v>700</v>
      </c>
      <c r="X143" s="572">
        <v>2800</v>
      </c>
      <c r="Y143" s="481"/>
      <c r="Z143" s="481"/>
      <c r="AA143" s="481">
        <f>498</f>
        <v>498</v>
      </c>
      <c r="AB143" s="481"/>
      <c r="AC143" s="481"/>
      <c r="AD143" s="481"/>
      <c r="AE143" s="481"/>
      <c r="AF143" s="481">
        <f t="shared" si="92"/>
        <v>498</v>
      </c>
      <c r="AG143" s="548"/>
      <c r="AH143" s="548"/>
      <c r="AI143" s="491">
        <v>509.03</v>
      </c>
      <c r="AJ143" s="548"/>
      <c r="AK143" s="548"/>
      <c r="AL143" s="548"/>
      <c r="AM143" s="587">
        <f t="shared" si="106"/>
        <v>509.03</v>
      </c>
      <c r="AN143" s="481"/>
      <c r="AO143" s="481"/>
      <c r="AP143" s="481">
        <f>+AI143*1.035</f>
        <v>526.84604999999988</v>
      </c>
      <c r="AQ143" s="481"/>
      <c r="AR143" s="481"/>
      <c r="AS143" s="481"/>
      <c r="AT143" s="481"/>
      <c r="AU143" s="481">
        <f t="shared" ref="AU143:AU155" si="108">SUM(AN143:AT143)</f>
        <v>526.84604999999988</v>
      </c>
      <c r="AV143" s="548"/>
      <c r="AW143" s="548"/>
      <c r="AX143" s="548">
        <f>(+AP143*1.035)+119</f>
        <v>664.2856617499998</v>
      </c>
      <c r="AY143" s="548"/>
      <c r="AZ143" s="548"/>
      <c r="BA143" s="548"/>
      <c r="BB143" s="548"/>
      <c r="BC143" s="548">
        <f t="shared" si="105"/>
        <v>664.2856617499998</v>
      </c>
      <c r="BD143" s="42">
        <f t="shared" si="85"/>
        <v>0</v>
      </c>
      <c r="BE143" s="42">
        <f t="shared" si="85"/>
        <v>0</v>
      </c>
      <c r="BF143" s="42">
        <f t="shared" si="85"/>
        <v>2198.16171175</v>
      </c>
      <c r="BG143" s="42">
        <f t="shared" si="85"/>
        <v>0</v>
      </c>
      <c r="BH143" s="42">
        <f t="shared" si="85"/>
        <v>0</v>
      </c>
      <c r="BI143" s="42">
        <f t="shared" si="107"/>
        <v>0</v>
      </c>
      <c r="BJ143" s="42">
        <f t="shared" si="99"/>
        <v>0</v>
      </c>
      <c r="BK143" s="42">
        <f t="shared" si="99"/>
        <v>2198.16171175</v>
      </c>
    </row>
    <row r="144" spans="1:64" ht="49.5" customHeight="1" x14ac:dyDescent="0.25">
      <c r="A144" s="298" t="s">
        <v>386</v>
      </c>
      <c r="B144" s="299" t="s">
        <v>384</v>
      </c>
      <c r="C144" s="1547"/>
      <c r="D144" s="1549"/>
      <c r="E144" s="1549"/>
      <c r="F144" s="1549"/>
      <c r="G144" s="1549"/>
      <c r="H144" s="1549"/>
      <c r="I144" s="1425"/>
      <c r="J144" s="1425"/>
      <c r="K144" s="1425" t="s">
        <v>453</v>
      </c>
      <c r="L144" s="301" t="s">
        <v>391</v>
      </c>
      <c r="M144" s="1425" t="s">
        <v>392</v>
      </c>
      <c r="N144" s="476" t="s">
        <v>393</v>
      </c>
      <c r="O144" s="1425" t="s">
        <v>47</v>
      </c>
      <c r="P144" s="16" t="s">
        <v>454</v>
      </c>
      <c r="Q144" s="302" t="s">
        <v>455</v>
      </c>
      <c r="R144" s="303">
        <v>2015</v>
      </c>
      <c r="S144" s="303">
        <v>257</v>
      </c>
      <c r="T144" s="303">
        <v>270</v>
      </c>
      <c r="U144" s="572">
        <f>270+270</f>
        <v>540</v>
      </c>
      <c r="V144" s="572">
        <f>270+540</f>
        <v>810</v>
      </c>
      <c r="W144" s="572">
        <f>270+810</f>
        <v>1080</v>
      </c>
      <c r="X144" s="572">
        <v>1080</v>
      </c>
      <c r="Y144" s="481"/>
      <c r="Z144" s="481"/>
      <c r="AA144" s="491">
        <v>3</v>
      </c>
      <c r="AB144" s="481"/>
      <c r="AC144" s="481"/>
      <c r="AD144" s="481"/>
      <c r="AE144" s="481"/>
      <c r="AF144" s="481">
        <f t="shared" si="92"/>
        <v>3</v>
      </c>
      <c r="AG144" s="548"/>
      <c r="AH144" s="548"/>
      <c r="AI144" s="491">
        <v>3</v>
      </c>
      <c r="AJ144" s="548"/>
      <c r="AK144" s="548"/>
      <c r="AL144" s="548"/>
      <c r="AM144" s="587">
        <f t="shared" si="106"/>
        <v>3</v>
      </c>
      <c r="AN144" s="481"/>
      <c r="AO144" s="481"/>
      <c r="AP144" s="491">
        <v>3</v>
      </c>
      <c r="AQ144" s="481"/>
      <c r="AR144" s="481"/>
      <c r="AS144" s="481"/>
      <c r="AT144" s="481"/>
      <c r="AU144" s="481">
        <f t="shared" si="108"/>
        <v>3</v>
      </c>
      <c r="AV144" s="548"/>
      <c r="AW144" s="548"/>
      <c r="AX144" s="491">
        <v>5</v>
      </c>
      <c r="AY144" s="548"/>
      <c r="AZ144" s="548"/>
      <c r="BA144" s="548"/>
      <c r="BB144" s="548"/>
      <c r="BC144" s="548">
        <f t="shared" si="105"/>
        <v>5</v>
      </c>
      <c r="BD144" s="42">
        <f t="shared" si="85"/>
        <v>0</v>
      </c>
      <c r="BE144" s="42">
        <f t="shared" si="85"/>
        <v>0</v>
      </c>
      <c r="BF144" s="42">
        <f t="shared" si="85"/>
        <v>14</v>
      </c>
      <c r="BG144" s="42">
        <f t="shared" si="85"/>
        <v>0</v>
      </c>
      <c r="BH144" s="42">
        <f t="shared" si="85"/>
        <v>0</v>
      </c>
      <c r="BI144" s="42">
        <f t="shared" si="107"/>
        <v>0</v>
      </c>
      <c r="BJ144" s="42">
        <f t="shared" si="99"/>
        <v>0</v>
      </c>
      <c r="BK144" s="42">
        <f t="shared" si="99"/>
        <v>14</v>
      </c>
    </row>
    <row r="145" spans="1:64" ht="68.25" customHeight="1" x14ac:dyDescent="0.25">
      <c r="A145" s="298" t="s">
        <v>386</v>
      </c>
      <c r="B145" s="299" t="s">
        <v>384</v>
      </c>
      <c r="C145" s="1547"/>
      <c r="D145" s="1549"/>
      <c r="E145" s="1549"/>
      <c r="F145" s="1549"/>
      <c r="G145" s="1549"/>
      <c r="H145" s="1549"/>
      <c r="I145" s="1425"/>
      <c r="J145" s="1425"/>
      <c r="K145" s="1425" t="s">
        <v>456</v>
      </c>
      <c r="L145" s="301" t="s">
        <v>391</v>
      </c>
      <c r="M145" s="1425" t="s">
        <v>392</v>
      </c>
      <c r="N145" s="476" t="s">
        <v>393</v>
      </c>
      <c r="O145" s="1425" t="s">
        <v>47</v>
      </c>
      <c r="P145" s="16" t="s">
        <v>457</v>
      </c>
      <c r="Q145" s="302" t="s">
        <v>458</v>
      </c>
      <c r="R145" s="303">
        <v>2015</v>
      </c>
      <c r="S145" s="303">
        <v>0</v>
      </c>
      <c r="T145" s="303">
        <v>0</v>
      </c>
      <c r="U145" s="572">
        <v>0</v>
      </c>
      <c r="V145" s="572">
        <v>0.5</v>
      </c>
      <c r="W145" s="572">
        <v>0.5</v>
      </c>
      <c r="X145" s="572">
        <v>1</v>
      </c>
      <c r="Y145" s="481"/>
      <c r="Z145" s="481"/>
      <c r="AA145" s="481"/>
      <c r="AB145" s="481"/>
      <c r="AC145" s="481"/>
      <c r="AD145" s="481"/>
      <c r="AE145" s="481"/>
      <c r="AF145" s="481">
        <f t="shared" si="92"/>
        <v>0</v>
      </c>
      <c r="AG145" s="548"/>
      <c r="AH145" s="548"/>
      <c r="AI145" s="548"/>
      <c r="AJ145" s="548"/>
      <c r="AK145" s="548"/>
      <c r="AL145" s="548"/>
      <c r="AM145" s="587">
        <f t="shared" si="106"/>
        <v>0</v>
      </c>
      <c r="AN145" s="481"/>
      <c r="AO145" s="481"/>
      <c r="AP145" s="481"/>
      <c r="AQ145" s="481"/>
      <c r="AR145" s="481"/>
      <c r="AS145" s="481"/>
      <c r="AT145" s="481">
        <v>5050</v>
      </c>
      <c r="AU145" s="481">
        <f t="shared" si="108"/>
        <v>5050</v>
      </c>
      <c r="AV145" s="548"/>
      <c r="AW145" s="548"/>
      <c r="AX145" s="491">
        <v>5</v>
      </c>
      <c r="AY145" s="548"/>
      <c r="AZ145" s="548"/>
      <c r="BA145" s="548"/>
      <c r="BB145" s="548"/>
      <c r="BC145" s="548">
        <f t="shared" si="105"/>
        <v>5</v>
      </c>
      <c r="BD145" s="42">
        <f t="shared" ref="BD145:BH154" si="109">+AV145+AN145+AG145+Y145</f>
        <v>0</v>
      </c>
      <c r="BE145" s="42">
        <f t="shared" si="109"/>
        <v>0</v>
      </c>
      <c r="BF145" s="42">
        <f t="shared" si="109"/>
        <v>5</v>
      </c>
      <c r="BG145" s="42">
        <f t="shared" si="109"/>
        <v>0</v>
      </c>
      <c r="BH145" s="42">
        <f t="shared" si="109"/>
        <v>0</v>
      </c>
      <c r="BI145" s="42">
        <f t="shared" si="107"/>
        <v>0</v>
      </c>
      <c r="BJ145" s="42">
        <f t="shared" si="99"/>
        <v>5050</v>
      </c>
      <c r="BK145" s="42">
        <f t="shared" si="99"/>
        <v>5055</v>
      </c>
    </row>
    <row r="146" spans="1:64" ht="48.75" customHeight="1" x14ac:dyDescent="0.25">
      <c r="A146" s="298" t="s">
        <v>386</v>
      </c>
      <c r="B146" s="299" t="s">
        <v>384</v>
      </c>
      <c r="C146" s="1547"/>
      <c r="D146" s="1549"/>
      <c r="E146" s="1549"/>
      <c r="F146" s="1549"/>
      <c r="G146" s="1549"/>
      <c r="H146" s="1549"/>
      <c r="I146" s="1425"/>
      <c r="J146" s="1425"/>
      <c r="K146" s="1425" t="s">
        <v>459</v>
      </c>
      <c r="L146" s="301" t="s">
        <v>391</v>
      </c>
      <c r="M146" s="1425" t="s">
        <v>392</v>
      </c>
      <c r="N146" s="476" t="s">
        <v>393</v>
      </c>
      <c r="O146" s="1425" t="s">
        <v>73</v>
      </c>
      <c r="P146" s="16" t="s">
        <v>460</v>
      </c>
      <c r="Q146" s="302" t="s">
        <v>410</v>
      </c>
      <c r="R146" s="303">
        <v>2015</v>
      </c>
      <c r="S146" s="303">
        <v>100</v>
      </c>
      <c r="T146" s="303">
        <v>100</v>
      </c>
      <c r="U146" s="572">
        <v>100</v>
      </c>
      <c r="V146" s="572">
        <v>100</v>
      </c>
      <c r="W146" s="572">
        <v>100</v>
      </c>
      <c r="X146" s="572">
        <v>100</v>
      </c>
      <c r="Y146" s="481"/>
      <c r="Z146" s="481"/>
      <c r="AA146" s="492">
        <v>177</v>
      </c>
      <c r="AB146" s="481"/>
      <c r="AC146" s="481"/>
      <c r="AD146" s="481"/>
      <c r="AE146" s="481"/>
      <c r="AF146" s="481">
        <f t="shared" si="92"/>
        <v>177</v>
      </c>
      <c r="AG146" s="548"/>
      <c r="AH146" s="548"/>
      <c r="AI146" s="548">
        <f>+AA146*1.035</f>
        <v>183.19499999999999</v>
      </c>
      <c r="AJ146" s="548"/>
      <c r="AK146" s="548"/>
      <c r="AL146" s="548"/>
      <c r="AM146" s="587">
        <f t="shared" si="106"/>
        <v>183.19499999999999</v>
      </c>
      <c r="AN146" s="481"/>
      <c r="AO146" s="481"/>
      <c r="AP146" s="481">
        <f>+AI146*1.035</f>
        <v>189.60682499999999</v>
      </c>
      <c r="AQ146" s="481"/>
      <c r="AR146" s="481"/>
      <c r="AS146" s="481"/>
      <c r="AT146" s="481"/>
      <c r="AU146" s="481">
        <f t="shared" si="108"/>
        <v>189.60682499999999</v>
      </c>
      <c r="AV146" s="548"/>
      <c r="AW146" s="548"/>
      <c r="AX146" s="42">
        <f>+AP146*1.035</f>
        <v>196.24306387499996</v>
      </c>
      <c r="AY146" s="548"/>
      <c r="AZ146" s="548"/>
      <c r="BA146" s="548"/>
      <c r="BB146" s="548"/>
      <c r="BC146" s="548">
        <f t="shared" si="105"/>
        <v>196.24306387499996</v>
      </c>
      <c r="BD146" s="42">
        <f t="shared" si="109"/>
        <v>0</v>
      </c>
      <c r="BE146" s="42">
        <f t="shared" si="109"/>
        <v>0</v>
      </c>
      <c r="BF146" s="42">
        <f t="shared" si="109"/>
        <v>746.04488887499997</v>
      </c>
      <c r="BG146" s="42">
        <f t="shared" si="109"/>
        <v>0</v>
      </c>
      <c r="BH146" s="42">
        <f t="shared" si="109"/>
        <v>0</v>
      </c>
      <c r="BI146" s="42">
        <f t="shared" si="107"/>
        <v>0</v>
      </c>
      <c r="BJ146" s="42">
        <f t="shared" si="99"/>
        <v>0</v>
      </c>
      <c r="BK146" s="42">
        <f t="shared" si="99"/>
        <v>746.04488887499997</v>
      </c>
    </row>
    <row r="147" spans="1:64" ht="50.25" customHeight="1" x14ac:dyDescent="0.25">
      <c r="A147" s="298" t="s">
        <v>386</v>
      </c>
      <c r="B147" s="299" t="s">
        <v>384</v>
      </c>
      <c r="C147" s="1548"/>
      <c r="D147" s="1549"/>
      <c r="E147" s="1549"/>
      <c r="F147" s="1549"/>
      <c r="G147" s="1549"/>
      <c r="H147" s="1549"/>
      <c r="I147" s="1425"/>
      <c r="J147" s="1425"/>
      <c r="K147" s="1425" t="s">
        <v>461</v>
      </c>
      <c r="L147" s="301" t="s">
        <v>391</v>
      </c>
      <c r="M147" s="1425" t="s">
        <v>392</v>
      </c>
      <c r="N147" s="479" t="s">
        <v>352</v>
      </c>
      <c r="O147" s="1425" t="s">
        <v>47</v>
      </c>
      <c r="P147" s="16" t="s">
        <v>462</v>
      </c>
      <c r="Q147" s="302" t="s">
        <v>463</v>
      </c>
      <c r="R147" s="303">
        <v>2015</v>
      </c>
      <c r="S147" s="303">
        <v>0</v>
      </c>
      <c r="T147" s="699">
        <v>50</v>
      </c>
      <c r="U147" s="572">
        <v>50</v>
      </c>
      <c r="V147" s="572">
        <v>100</v>
      </c>
      <c r="W147" s="572">
        <v>50</v>
      </c>
      <c r="X147" s="572">
        <v>250</v>
      </c>
      <c r="Y147" s="481"/>
      <c r="Z147" s="481"/>
      <c r="AA147" s="491">
        <v>17</v>
      </c>
      <c r="AB147" s="481"/>
      <c r="AC147" s="481"/>
      <c r="AD147" s="481"/>
      <c r="AE147" s="481"/>
      <c r="AF147" s="481">
        <f t="shared" si="92"/>
        <v>17</v>
      </c>
      <c r="AG147" s="548"/>
      <c r="AH147" s="548"/>
      <c r="AI147" s="491">
        <v>20</v>
      </c>
      <c r="AJ147" s="548"/>
      <c r="AK147" s="548"/>
      <c r="AL147" s="548"/>
      <c r="AM147" s="587">
        <f t="shared" si="106"/>
        <v>20</v>
      </c>
      <c r="AN147" s="481"/>
      <c r="AO147" s="481"/>
      <c r="AP147" s="491">
        <v>97</v>
      </c>
      <c r="AQ147" s="481"/>
      <c r="AR147" s="481"/>
      <c r="AS147" s="481"/>
      <c r="AT147" s="481"/>
      <c r="AU147" s="481">
        <f t="shared" si="108"/>
        <v>97</v>
      </c>
      <c r="AV147" s="548"/>
      <c r="AW147" s="548"/>
      <c r="AX147" s="491">
        <v>2.02</v>
      </c>
      <c r="AY147" s="548"/>
      <c r="AZ147" s="548"/>
      <c r="BA147" s="548"/>
      <c r="BB147" s="548"/>
      <c r="BC147" s="548">
        <f t="shared" si="105"/>
        <v>2.02</v>
      </c>
      <c r="BD147" s="42">
        <f t="shared" si="109"/>
        <v>0</v>
      </c>
      <c r="BE147" s="42">
        <f t="shared" si="109"/>
        <v>0</v>
      </c>
      <c r="BF147" s="42">
        <f t="shared" si="109"/>
        <v>136.01999999999998</v>
      </c>
      <c r="BG147" s="42">
        <f t="shared" si="109"/>
        <v>0</v>
      </c>
      <c r="BH147" s="42">
        <f t="shared" si="109"/>
        <v>0</v>
      </c>
      <c r="BI147" s="42">
        <f t="shared" si="107"/>
        <v>0</v>
      </c>
      <c r="BJ147" s="42">
        <f t="shared" si="99"/>
        <v>0</v>
      </c>
      <c r="BK147" s="42">
        <f t="shared" si="99"/>
        <v>136.01999999999998</v>
      </c>
    </row>
    <row r="148" spans="1:64" ht="12.75" x14ac:dyDescent="0.2">
      <c r="A148" s="295" t="s">
        <v>386</v>
      </c>
      <c r="B148" s="154" t="s">
        <v>384</v>
      </c>
      <c r="C148" s="154"/>
      <c r="D148" s="2" t="s">
        <v>464</v>
      </c>
      <c r="E148" s="1"/>
      <c r="F148" s="1"/>
      <c r="G148" s="1"/>
      <c r="H148" s="1"/>
      <c r="I148" s="1"/>
      <c r="J148" s="1"/>
      <c r="K148" s="1"/>
      <c r="L148" s="1"/>
      <c r="M148" s="1"/>
      <c r="N148" s="1"/>
      <c r="O148" s="1"/>
      <c r="P148" s="22"/>
      <c r="Q148" s="22"/>
      <c r="R148" s="1"/>
      <c r="S148" s="1"/>
      <c r="T148" s="1"/>
      <c r="U148" s="49"/>
      <c r="V148" s="49"/>
      <c r="W148" s="49"/>
      <c r="X148" s="49"/>
      <c r="Y148" s="34">
        <f t="shared" ref="Y148:AE148" si="110">SUM(Y149:Y155)</f>
        <v>0</v>
      </c>
      <c r="Z148" s="34">
        <f t="shared" si="110"/>
        <v>0</v>
      </c>
      <c r="AA148" s="34">
        <f t="shared" si="110"/>
        <v>794.6</v>
      </c>
      <c r="AB148" s="34">
        <f t="shared" si="110"/>
        <v>0</v>
      </c>
      <c r="AC148" s="34">
        <f t="shared" si="110"/>
        <v>0</v>
      </c>
      <c r="AD148" s="34">
        <f t="shared" si="110"/>
        <v>95.1</v>
      </c>
      <c r="AE148" s="34">
        <f t="shared" si="110"/>
        <v>0</v>
      </c>
      <c r="AF148" s="34">
        <f t="shared" si="92"/>
        <v>889.7</v>
      </c>
      <c r="AG148" s="34">
        <f t="shared" ref="AG148:AL148" si="111">SUM(AG149:AG155)</f>
        <v>0</v>
      </c>
      <c r="AH148" s="34">
        <f t="shared" si="111"/>
        <v>0</v>
      </c>
      <c r="AI148" s="34">
        <f t="shared" si="111"/>
        <v>447.25249999999994</v>
      </c>
      <c r="AJ148" s="34">
        <f t="shared" si="111"/>
        <v>0</v>
      </c>
      <c r="AK148" s="34">
        <f t="shared" si="111"/>
        <v>0</v>
      </c>
      <c r="AL148" s="34">
        <f t="shared" si="111"/>
        <v>0</v>
      </c>
      <c r="AM148" s="34">
        <f t="shared" ref="AM148:AM155" si="112">SUM(AG148:AL148)</f>
        <v>447.25249999999994</v>
      </c>
      <c r="AN148" s="34">
        <f t="shared" ref="AN148:AT148" si="113">SUM(AN149:AN155)</f>
        <v>0</v>
      </c>
      <c r="AO148" s="34">
        <f t="shared" si="113"/>
        <v>0</v>
      </c>
      <c r="AP148" s="34">
        <f t="shared" si="113"/>
        <v>461.52133749999996</v>
      </c>
      <c r="AQ148" s="34">
        <f t="shared" si="113"/>
        <v>0</v>
      </c>
      <c r="AR148" s="34">
        <f t="shared" si="113"/>
        <v>0</v>
      </c>
      <c r="AS148" s="34">
        <f t="shared" si="113"/>
        <v>0</v>
      </c>
      <c r="AT148" s="34">
        <f t="shared" si="113"/>
        <v>0</v>
      </c>
      <c r="AU148" s="34">
        <f t="shared" si="108"/>
        <v>461.52133749999996</v>
      </c>
      <c r="AV148" s="34">
        <f t="shared" ref="AV148:BB148" si="114">SUM(AV149:AV155)</f>
        <v>0</v>
      </c>
      <c r="AW148" s="34">
        <f t="shared" si="114"/>
        <v>0</v>
      </c>
      <c r="AX148" s="34">
        <f t="shared" si="114"/>
        <v>481.63958431249984</v>
      </c>
      <c r="AY148" s="34">
        <f t="shared" si="114"/>
        <v>0</v>
      </c>
      <c r="AZ148" s="34">
        <f t="shared" si="114"/>
        <v>0</v>
      </c>
      <c r="BA148" s="34">
        <f t="shared" si="114"/>
        <v>0</v>
      </c>
      <c r="BB148" s="34">
        <f t="shared" si="114"/>
        <v>0</v>
      </c>
      <c r="BC148" s="34">
        <f>SUM(AV148:BB148)</f>
        <v>481.63958431249984</v>
      </c>
      <c r="BD148" s="34">
        <f t="shared" si="109"/>
        <v>0</v>
      </c>
      <c r="BE148" s="34">
        <f t="shared" si="109"/>
        <v>0</v>
      </c>
      <c r="BF148" s="34">
        <f t="shared" si="109"/>
        <v>2185.0134218124995</v>
      </c>
      <c r="BG148" s="34">
        <f t="shared" si="109"/>
        <v>0</v>
      </c>
      <c r="BH148" s="34">
        <f t="shared" si="109"/>
        <v>0</v>
      </c>
      <c r="BI148" s="34">
        <f t="shared" si="107"/>
        <v>95.1</v>
      </c>
      <c r="BJ148" s="34">
        <f t="shared" si="99"/>
        <v>0</v>
      </c>
      <c r="BK148" s="34">
        <f t="shared" si="99"/>
        <v>2280.1134218124998</v>
      </c>
    </row>
    <row r="149" spans="1:64" ht="64.5" customHeight="1" x14ac:dyDescent="0.25">
      <c r="A149" s="298" t="s">
        <v>386</v>
      </c>
      <c r="B149" s="299" t="s">
        <v>384</v>
      </c>
      <c r="C149" s="1546" t="s">
        <v>465</v>
      </c>
      <c r="D149" s="1549" t="s">
        <v>466</v>
      </c>
      <c r="E149" s="1549" t="s">
        <v>467</v>
      </c>
      <c r="F149" s="1549">
        <v>2015</v>
      </c>
      <c r="G149" s="1549">
        <v>98</v>
      </c>
      <c r="H149" s="1549">
        <v>100</v>
      </c>
      <c r="I149" s="1425" t="s">
        <v>53</v>
      </c>
      <c r="J149" s="1425"/>
      <c r="K149" s="1425" t="s">
        <v>468</v>
      </c>
      <c r="L149" s="301" t="s">
        <v>391</v>
      </c>
      <c r="M149" s="1425" t="s">
        <v>392</v>
      </c>
      <c r="N149" s="476" t="s">
        <v>393</v>
      </c>
      <c r="O149" s="1425" t="s">
        <v>47</v>
      </c>
      <c r="P149" s="16" t="s">
        <v>469</v>
      </c>
      <c r="Q149" s="302" t="s">
        <v>470</v>
      </c>
      <c r="R149" s="303">
        <v>2015</v>
      </c>
      <c r="S149" s="303">
        <v>0</v>
      </c>
      <c r="T149" s="303">
        <v>1</v>
      </c>
      <c r="U149" s="498">
        <v>0</v>
      </c>
      <c r="V149" s="572">
        <v>0</v>
      </c>
      <c r="W149" s="572">
        <v>0</v>
      </c>
      <c r="X149" s="572">
        <v>1</v>
      </c>
      <c r="Y149" s="581"/>
      <c r="Z149" s="581"/>
      <c r="AA149" s="581">
        <v>356.1</v>
      </c>
      <c r="AB149" s="581"/>
      <c r="AC149" s="581"/>
      <c r="AD149" s="581">
        <v>95.1</v>
      </c>
      <c r="AE149" s="581"/>
      <c r="AF149" s="481">
        <f t="shared" si="92"/>
        <v>451.20000000000005</v>
      </c>
      <c r="AG149" s="590"/>
      <c r="AH149" s="590"/>
      <c r="AI149" s="590"/>
      <c r="AJ149" s="590"/>
      <c r="AK149" s="590"/>
      <c r="AL149" s="590"/>
      <c r="AM149" s="590">
        <f t="shared" si="112"/>
        <v>0</v>
      </c>
      <c r="AN149" s="581"/>
      <c r="AO149" s="581"/>
      <c r="AP149" s="581"/>
      <c r="AQ149" s="581"/>
      <c r="AR149" s="581"/>
      <c r="AS149" s="581"/>
      <c r="AT149" s="581"/>
      <c r="AU149" s="581">
        <f t="shared" si="108"/>
        <v>0</v>
      </c>
      <c r="AV149" s="590"/>
      <c r="AW149" s="590"/>
      <c r="AX149" s="590"/>
      <c r="AY149" s="590"/>
      <c r="AZ149" s="590"/>
      <c r="BA149" s="590"/>
      <c r="BB149" s="590"/>
      <c r="BC149" s="548">
        <f t="shared" ref="BC149:BC154" si="115">SUM(AV149:BB149)</f>
        <v>0</v>
      </c>
      <c r="BD149" s="60">
        <f t="shared" si="109"/>
        <v>0</v>
      </c>
      <c r="BE149" s="60">
        <f t="shared" si="109"/>
        <v>0</v>
      </c>
      <c r="BF149" s="60">
        <f t="shared" si="109"/>
        <v>356.1</v>
      </c>
      <c r="BG149" s="60">
        <f t="shared" si="109"/>
        <v>0</v>
      </c>
      <c r="BH149" s="60">
        <f t="shared" si="109"/>
        <v>0</v>
      </c>
      <c r="BI149" s="60">
        <f t="shared" si="107"/>
        <v>95.1</v>
      </c>
      <c r="BJ149" s="60">
        <f t="shared" si="99"/>
        <v>0</v>
      </c>
      <c r="BK149" s="60">
        <f t="shared" si="99"/>
        <v>451.20000000000005</v>
      </c>
    </row>
    <row r="150" spans="1:64" ht="43.5" customHeight="1" x14ac:dyDescent="0.25">
      <c r="A150" s="298" t="s">
        <v>386</v>
      </c>
      <c r="B150" s="299" t="s">
        <v>384</v>
      </c>
      <c r="C150" s="1547"/>
      <c r="D150" s="1549"/>
      <c r="E150" s="1549"/>
      <c r="F150" s="1549"/>
      <c r="G150" s="1549"/>
      <c r="H150" s="1549"/>
      <c r="I150" s="1425"/>
      <c r="J150" s="1425"/>
      <c r="K150" s="1425" t="s">
        <v>471</v>
      </c>
      <c r="L150" s="301" t="s">
        <v>391</v>
      </c>
      <c r="M150" s="1425" t="s">
        <v>392</v>
      </c>
      <c r="N150" s="476" t="s">
        <v>393</v>
      </c>
      <c r="O150" s="1425" t="s">
        <v>73</v>
      </c>
      <c r="P150" s="16" t="s">
        <v>472</v>
      </c>
      <c r="Q150" s="302" t="s">
        <v>473</v>
      </c>
      <c r="R150" s="303">
        <v>2015</v>
      </c>
      <c r="S150" s="303">
        <v>0</v>
      </c>
      <c r="T150" s="303">
        <v>1</v>
      </c>
      <c r="U150" s="572">
        <v>1</v>
      </c>
      <c r="V150" s="572">
        <v>1</v>
      </c>
      <c r="W150" s="572">
        <v>1</v>
      </c>
      <c r="X150" s="572">
        <v>1</v>
      </c>
      <c r="Y150" s="581"/>
      <c r="Z150" s="581"/>
      <c r="AA150" s="495">
        <v>207.5</v>
      </c>
      <c r="AB150" s="581"/>
      <c r="AC150" s="581"/>
      <c r="AD150" s="581"/>
      <c r="AE150" s="581"/>
      <c r="AF150" s="481">
        <f t="shared" si="92"/>
        <v>207.5</v>
      </c>
      <c r="AG150" s="590"/>
      <c r="AH150" s="590"/>
      <c r="AI150" s="590">
        <f>+AA150*1.035</f>
        <v>214.76249999999999</v>
      </c>
      <c r="AJ150" s="590"/>
      <c r="AK150" s="590"/>
      <c r="AL150" s="590"/>
      <c r="AM150" s="590">
        <f t="shared" si="112"/>
        <v>214.76249999999999</v>
      </c>
      <c r="AN150" s="581"/>
      <c r="AO150" s="581"/>
      <c r="AP150" s="581">
        <f>+AI150*1.035</f>
        <v>222.27918749999998</v>
      </c>
      <c r="AQ150" s="581"/>
      <c r="AR150" s="581"/>
      <c r="AS150" s="581"/>
      <c r="AT150" s="581"/>
      <c r="AU150" s="581">
        <f t="shared" si="108"/>
        <v>222.27918749999998</v>
      </c>
      <c r="AV150" s="590"/>
      <c r="AW150" s="590"/>
      <c r="AX150" s="590">
        <f>+AP150*1.035</f>
        <v>230.05895906249995</v>
      </c>
      <c r="AY150" s="590"/>
      <c r="AZ150" s="590"/>
      <c r="BA150" s="590"/>
      <c r="BB150" s="590"/>
      <c r="BC150" s="548">
        <f t="shared" si="115"/>
        <v>230.05895906249995</v>
      </c>
      <c r="BD150" s="60">
        <f t="shared" si="109"/>
        <v>0</v>
      </c>
      <c r="BE150" s="60">
        <f t="shared" si="109"/>
        <v>0</v>
      </c>
      <c r="BF150" s="60">
        <f t="shared" si="109"/>
        <v>874.60064656249983</v>
      </c>
      <c r="BG150" s="60">
        <f t="shared" si="109"/>
        <v>0</v>
      </c>
      <c r="BH150" s="60">
        <f t="shared" si="109"/>
        <v>0</v>
      </c>
      <c r="BI150" s="60">
        <f t="shared" si="107"/>
        <v>0</v>
      </c>
      <c r="BJ150" s="60">
        <f t="shared" si="99"/>
        <v>0</v>
      </c>
      <c r="BK150" s="60">
        <f t="shared" si="99"/>
        <v>874.60064656249983</v>
      </c>
    </row>
    <row r="151" spans="1:64" ht="33.75" customHeight="1" x14ac:dyDescent="0.25">
      <c r="A151" s="298" t="s">
        <v>386</v>
      </c>
      <c r="B151" s="299" t="s">
        <v>384</v>
      </c>
      <c r="C151" s="1547"/>
      <c r="D151" s="1549"/>
      <c r="E151" s="1549"/>
      <c r="F151" s="1549"/>
      <c r="G151" s="1549"/>
      <c r="H151" s="1549"/>
      <c r="I151" s="1425"/>
      <c r="J151" s="1425"/>
      <c r="K151" s="1425" t="s">
        <v>474</v>
      </c>
      <c r="L151" s="301" t="s">
        <v>391</v>
      </c>
      <c r="M151" s="1425" t="s">
        <v>392</v>
      </c>
      <c r="N151" s="480" t="s">
        <v>352</v>
      </c>
      <c r="O151" s="1425" t="s">
        <v>73</v>
      </c>
      <c r="P151" s="16" t="s">
        <v>475</v>
      </c>
      <c r="Q151" s="302" t="s">
        <v>476</v>
      </c>
      <c r="R151" s="303">
        <v>2015</v>
      </c>
      <c r="S151" s="303">
        <v>1</v>
      </c>
      <c r="T151" s="303">
        <v>1</v>
      </c>
      <c r="U151" s="572">
        <v>1</v>
      </c>
      <c r="V151" s="572">
        <v>1</v>
      </c>
      <c r="W151" s="572">
        <v>1</v>
      </c>
      <c r="X151" s="572">
        <v>1</v>
      </c>
      <c r="Y151" s="581"/>
      <c r="Z151" s="581"/>
      <c r="AA151" s="581">
        <v>50</v>
      </c>
      <c r="AB151" s="581"/>
      <c r="AC151" s="581"/>
      <c r="AD151" s="581"/>
      <c r="AE151" s="581"/>
      <c r="AF151" s="481">
        <f t="shared" si="92"/>
        <v>50</v>
      </c>
      <c r="AG151" s="590"/>
      <c r="AH151" s="590"/>
      <c r="AI151" s="590">
        <f>+AA151*1.035</f>
        <v>51.749999999999993</v>
      </c>
      <c r="AJ151" s="590"/>
      <c r="AK151" s="590"/>
      <c r="AL151" s="590"/>
      <c r="AM151" s="590">
        <f t="shared" si="112"/>
        <v>51.749999999999993</v>
      </c>
      <c r="AN151" s="581"/>
      <c r="AO151" s="581"/>
      <c r="AP151" s="581">
        <f>+AI151*1.035</f>
        <v>53.561249999999987</v>
      </c>
      <c r="AQ151" s="581"/>
      <c r="AR151" s="581"/>
      <c r="AS151" s="581"/>
      <c r="AT151" s="581"/>
      <c r="AU151" s="581">
        <f t="shared" si="108"/>
        <v>53.561249999999987</v>
      </c>
      <c r="AV151" s="590"/>
      <c r="AW151" s="590"/>
      <c r="AX151" s="590">
        <f>+AP151*1.035</f>
        <v>55.435893749999984</v>
      </c>
      <c r="AY151" s="590"/>
      <c r="AZ151" s="590"/>
      <c r="BA151" s="590"/>
      <c r="BB151" s="590"/>
      <c r="BC151" s="548">
        <f t="shared" si="115"/>
        <v>55.435893749999984</v>
      </c>
      <c r="BD151" s="60">
        <f t="shared" si="109"/>
        <v>0</v>
      </c>
      <c r="BE151" s="60">
        <f t="shared" si="109"/>
        <v>0</v>
      </c>
      <c r="BF151" s="60">
        <f t="shared" si="109"/>
        <v>210.74714374999996</v>
      </c>
      <c r="BG151" s="60">
        <f t="shared" si="109"/>
        <v>0</v>
      </c>
      <c r="BH151" s="60">
        <f t="shared" si="109"/>
        <v>0</v>
      </c>
      <c r="BI151" s="60">
        <f t="shared" si="107"/>
        <v>0</v>
      </c>
      <c r="BJ151" s="60">
        <f t="shared" si="99"/>
        <v>0</v>
      </c>
      <c r="BK151" s="60">
        <f t="shared" si="99"/>
        <v>210.74714374999996</v>
      </c>
    </row>
    <row r="152" spans="1:64" ht="50.25" customHeight="1" x14ac:dyDescent="0.25">
      <c r="A152" s="298" t="s">
        <v>386</v>
      </c>
      <c r="B152" s="299" t="s">
        <v>384</v>
      </c>
      <c r="C152" s="1547"/>
      <c r="D152" s="1549"/>
      <c r="E152" s="1549"/>
      <c r="F152" s="1549"/>
      <c r="G152" s="1549"/>
      <c r="H152" s="1549"/>
      <c r="I152" s="1425"/>
      <c r="J152" s="1425"/>
      <c r="K152" s="1425" t="s">
        <v>477</v>
      </c>
      <c r="L152" s="301" t="s">
        <v>391</v>
      </c>
      <c r="M152" s="1425" t="s">
        <v>392</v>
      </c>
      <c r="N152" s="476" t="s">
        <v>393</v>
      </c>
      <c r="O152" s="1425" t="s">
        <v>47</v>
      </c>
      <c r="P152" s="73" t="s">
        <v>478</v>
      </c>
      <c r="Q152" s="302" t="s">
        <v>479</v>
      </c>
      <c r="R152" s="303">
        <v>2015</v>
      </c>
      <c r="S152" s="303">
        <v>1</v>
      </c>
      <c r="T152" s="303">
        <v>1</v>
      </c>
      <c r="U152" s="572">
        <v>0</v>
      </c>
      <c r="V152" s="572">
        <v>0</v>
      </c>
      <c r="W152" s="572">
        <v>0</v>
      </c>
      <c r="X152" s="572">
        <v>1</v>
      </c>
      <c r="Y152" s="581"/>
      <c r="Z152" s="581"/>
      <c r="AA152" s="581">
        <v>16</v>
      </c>
      <c r="AB152" s="581"/>
      <c r="AC152" s="581"/>
      <c r="AD152" s="581"/>
      <c r="AE152" s="581"/>
      <c r="AF152" s="481">
        <f t="shared" si="92"/>
        <v>16</v>
      </c>
      <c r="AG152" s="590"/>
      <c r="AH152" s="590"/>
      <c r="AI152" s="590">
        <v>0</v>
      </c>
      <c r="AJ152" s="590"/>
      <c r="AK152" s="590"/>
      <c r="AL152" s="590"/>
      <c r="AM152" s="590">
        <f t="shared" si="112"/>
        <v>0</v>
      </c>
      <c r="AN152" s="581"/>
      <c r="AO152" s="581"/>
      <c r="AP152" s="581"/>
      <c r="AQ152" s="581"/>
      <c r="AR152" s="581"/>
      <c r="AS152" s="581"/>
      <c r="AT152" s="581"/>
      <c r="AU152" s="581">
        <f t="shared" si="108"/>
        <v>0</v>
      </c>
      <c r="AV152" s="590"/>
      <c r="AW152" s="590"/>
      <c r="AX152" s="590"/>
      <c r="AY152" s="590"/>
      <c r="AZ152" s="590"/>
      <c r="BA152" s="590"/>
      <c r="BB152" s="590"/>
      <c r="BC152" s="548">
        <f t="shared" si="115"/>
        <v>0</v>
      </c>
      <c r="BD152" s="60">
        <f t="shared" si="109"/>
        <v>0</v>
      </c>
      <c r="BE152" s="60">
        <f t="shared" si="109"/>
        <v>0</v>
      </c>
      <c r="BF152" s="60">
        <f t="shared" si="109"/>
        <v>16</v>
      </c>
      <c r="BG152" s="60">
        <f t="shared" si="109"/>
        <v>0</v>
      </c>
      <c r="BH152" s="60">
        <f t="shared" si="109"/>
        <v>0</v>
      </c>
      <c r="BI152" s="60">
        <f t="shared" si="107"/>
        <v>0</v>
      </c>
      <c r="BJ152" s="60">
        <f t="shared" si="99"/>
        <v>0</v>
      </c>
      <c r="BK152" s="60">
        <f t="shared" si="99"/>
        <v>16</v>
      </c>
    </row>
    <row r="153" spans="1:64" ht="46.5" customHeight="1" x14ac:dyDescent="0.25">
      <c r="A153" s="298" t="s">
        <v>386</v>
      </c>
      <c r="B153" s="299" t="s">
        <v>384</v>
      </c>
      <c r="C153" s="1547"/>
      <c r="D153" s="1549"/>
      <c r="E153" s="1549"/>
      <c r="F153" s="1549"/>
      <c r="G153" s="1549"/>
      <c r="H153" s="1549"/>
      <c r="I153" s="1425"/>
      <c r="J153" s="1425"/>
      <c r="K153" s="1425" t="s">
        <v>480</v>
      </c>
      <c r="L153" s="301" t="s">
        <v>391</v>
      </c>
      <c r="M153" s="1425" t="s">
        <v>392</v>
      </c>
      <c r="N153" s="476" t="s">
        <v>393</v>
      </c>
      <c r="O153" s="1425" t="s">
        <v>73</v>
      </c>
      <c r="P153" s="16" t="s">
        <v>481</v>
      </c>
      <c r="Q153" s="302" t="s">
        <v>482</v>
      </c>
      <c r="R153" s="303">
        <v>2015</v>
      </c>
      <c r="S153" s="303">
        <v>100</v>
      </c>
      <c r="T153" s="303">
        <v>100</v>
      </c>
      <c r="U153" s="572">
        <v>100</v>
      </c>
      <c r="V153" s="572">
        <v>100</v>
      </c>
      <c r="W153" s="572">
        <v>100</v>
      </c>
      <c r="X153" s="572">
        <v>100</v>
      </c>
      <c r="Y153" s="581"/>
      <c r="Z153" s="581"/>
      <c r="AA153" s="496">
        <v>164</v>
      </c>
      <c r="AB153" s="581"/>
      <c r="AC153" s="581"/>
      <c r="AD153" s="581"/>
      <c r="AE153" s="581"/>
      <c r="AF153" s="481">
        <f t="shared" si="92"/>
        <v>164</v>
      </c>
      <c r="AG153" s="590"/>
      <c r="AH153" s="590"/>
      <c r="AI153" s="590">
        <f>+AA153*1.035</f>
        <v>169.73999999999998</v>
      </c>
      <c r="AJ153" s="590"/>
      <c r="AK153" s="590"/>
      <c r="AL153" s="590"/>
      <c r="AM153" s="590">
        <f t="shared" si="112"/>
        <v>169.73999999999998</v>
      </c>
      <c r="AN153" s="581"/>
      <c r="AO153" s="581"/>
      <c r="AP153" s="581">
        <f>+AI153*1.035</f>
        <v>175.68089999999998</v>
      </c>
      <c r="AQ153" s="581"/>
      <c r="AR153" s="581"/>
      <c r="AS153" s="581"/>
      <c r="AT153" s="581"/>
      <c r="AU153" s="581">
        <f t="shared" si="108"/>
        <v>175.68089999999998</v>
      </c>
      <c r="AV153" s="590"/>
      <c r="AW153" s="590"/>
      <c r="AX153" s="590">
        <f>+AP153*1.035</f>
        <v>181.82973149999995</v>
      </c>
      <c r="AY153" s="590"/>
      <c r="AZ153" s="590"/>
      <c r="BA153" s="590"/>
      <c r="BB153" s="590"/>
      <c r="BC153" s="548">
        <f t="shared" si="115"/>
        <v>181.82973149999995</v>
      </c>
      <c r="BD153" s="60">
        <f t="shared" si="109"/>
        <v>0</v>
      </c>
      <c r="BE153" s="60">
        <f t="shared" si="109"/>
        <v>0</v>
      </c>
      <c r="BF153" s="60">
        <f t="shared" si="109"/>
        <v>691.25063149999994</v>
      </c>
      <c r="BG153" s="60">
        <f t="shared" si="109"/>
        <v>0</v>
      </c>
      <c r="BH153" s="60">
        <f t="shared" si="109"/>
        <v>0</v>
      </c>
      <c r="BI153" s="60">
        <f t="shared" si="107"/>
        <v>0</v>
      </c>
      <c r="BJ153" s="60">
        <f t="shared" si="99"/>
        <v>0</v>
      </c>
      <c r="BK153" s="60">
        <f t="shared" si="99"/>
        <v>691.25063149999994</v>
      </c>
    </row>
    <row r="154" spans="1:64" ht="72" customHeight="1" x14ac:dyDescent="0.25">
      <c r="A154" s="298" t="s">
        <v>386</v>
      </c>
      <c r="B154" s="299" t="s">
        <v>384</v>
      </c>
      <c r="C154" s="1547"/>
      <c r="D154" s="1549"/>
      <c r="E154" s="1549"/>
      <c r="F154" s="1549"/>
      <c r="G154" s="1549"/>
      <c r="H154" s="1549"/>
      <c r="I154" s="1425"/>
      <c r="J154" s="1425"/>
      <c r="K154" s="1425" t="s">
        <v>483</v>
      </c>
      <c r="L154" s="301" t="s">
        <v>391</v>
      </c>
      <c r="M154" s="1425" t="s">
        <v>392</v>
      </c>
      <c r="N154" s="476" t="s">
        <v>393</v>
      </c>
      <c r="O154" s="1425" t="s">
        <v>73</v>
      </c>
      <c r="P154" s="16" t="s">
        <v>484</v>
      </c>
      <c r="Q154" s="302" t="s">
        <v>485</v>
      </c>
      <c r="R154" s="303">
        <v>2015</v>
      </c>
      <c r="S154" s="303">
        <v>275</v>
      </c>
      <c r="T154" s="303">
        <v>275</v>
      </c>
      <c r="U154" s="572">
        <f>275+275</f>
        <v>550</v>
      </c>
      <c r="V154" s="572">
        <f>275+550</f>
        <v>825</v>
      </c>
      <c r="W154" s="572">
        <f>275+825</f>
        <v>1100</v>
      </c>
      <c r="X154" s="572">
        <v>1100</v>
      </c>
      <c r="Y154" s="581"/>
      <c r="Z154" s="581"/>
      <c r="AA154" s="495">
        <v>1</v>
      </c>
      <c r="AB154" s="581"/>
      <c r="AC154" s="581"/>
      <c r="AD154" s="581"/>
      <c r="AE154" s="581"/>
      <c r="AF154" s="481">
        <f t="shared" si="92"/>
        <v>1</v>
      </c>
      <c r="AG154" s="590"/>
      <c r="AH154" s="590"/>
      <c r="AI154" s="495">
        <v>1</v>
      </c>
      <c r="AJ154" s="590"/>
      <c r="AK154" s="590"/>
      <c r="AL154" s="590"/>
      <c r="AM154" s="590">
        <f t="shared" si="112"/>
        <v>1</v>
      </c>
      <c r="AN154" s="581"/>
      <c r="AO154" s="581"/>
      <c r="AP154" s="495">
        <v>1</v>
      </c>
      <c r="AQ154" s="581"/>
      <c r="AR154" s="581"/>
      <c r="AS154" s="581"/>
      <c r="AT154" s="581"/>
      <c r="AU154" s="581">
        <f t="shared" si="108"/>
        <v>1</v>
      </c>
      <c r="AV154" s="590"/>
      <c r="AW154" s="590"/>
      <c r="AX154" s="495">
        <v>5</v>
      </c>
      <c r="AY154" s="590"/>
      <c r="AZ154" s="590"/>
      <c r="BA154" s="590"/>
      <c r="BB154" s="590"/>
      <c r="BC154" s="548">
        <f t="shared" si="115"/>
        <v>5</v>
      </c>
      <c r="BD154" s="60">
        <f t="shared" si="109"/>
        <v>0</v>
      </c>
      <c r="BE154" s="60">
        <f t="shared" si="109"/>
        <v>0</v>
      </c>
      <c r="BF154" s="60">
        <f t="shared" si="109"/>
        <v>8</v>
      </c>
      <c r="BG154" s="60">
        <f t="shared" si="109"/>
        <v>0</v>
      </c>
      <c r="BH154" s="60">
        <f t="shared" si="109"/>
        <v>0</v>
      </c>
      <c r="BI154" s="60">
        <f t="shared" si="107"/>
        <v>0</v>
      </c>
      <c r="BJ154" s="60">
        <f t="shared" si="99"/>
        <v>0</v>
      </c>
      <c r="BK154" s="60">
        <f t="shared" si="99"/>
        <v>8</v>
      </c>
    </row>
    <row r="155" spans="1:64" ht="80.25" customHeight="1" x14ac:dyDescent="0.25">
      <c r="A155" s="298" t="s">
        <v>386</v>
      </c>
      <c r="B155" s="299" t="s">
        <v>384</v>
      </c>
      <c r="C155" s="1548"/>
      <c r="D155" s="1549"/>
      <c r="E155" s="1549"/>
      <c r="F155" s="1549"/>
      <c r="G155" s="1549"/>
      <c r="H155" s="1549"/>
      <c r="I155" s="1425"/>
      <c r="J155" s="1425"/>
      <c r="K155" s="1425" t="s">
        <v>486</v>
      </c>
      <c r="L155" s="301" t="s">
        <v>391</v>
      </c>
      <c r="M155" s="1425" t="s">
        <v>392</v>
      </c>
      <c r="N155" s="476" t="s">
        <v>393</v>
      </c>
      <c r="O155" s="1425" t="s">
        <v>47</v>
      </c>
      <c r="P155" s="71" t="s">
        <v>487</v>
      </c>
      <c r="Q155" s="302" t="s">
        <v>488</v>
      </c>
      <c r="R155" s="303">
        <v>2015</v>
      </c>
      <c r="S155" s="303">
        <v>0</v>
      </c>
      <c r="T155" s="303">
        <v>0</v>
      </c>
      <c r="U155" s="572">
        <v>1</v>
      </c>
      <c r="V155" s="572">
        <v>1</v>
      </c>
      <c r="W155" s="572">
        <v>1</v>
      </c>
      <c r="X155" s="572">
        <v>1</v>
      </c>
      <c r="Y155" s="581"/>
      <c r="Z155" s="581"/>
      <c r="AA155" s="581"/>
      <c r="AB155" s="581"/>
      <c r="AC155" s="581"/>
      <c r="AD155" s="581"/>
      <c r="AE155" s="581"/>
      <c r="AF155" s="481">
        <f t="shared" si="92"/>
        <v>0</v>
      </c>
      <c r="AG155" s="590"/>
      <c r="AH155" s="590"/>
      <c r="AI155" s="590">
        <v>10</v>
      </c>
      <c r="AJ155" s="590"/>
      <c r="AK155" s="590"/>
      <c r="AL155" s="590"/>
      <c r="AM155" s="590">
        <f t="shared" si="112"/>
        <v>10</v>
      </c>
      <c r="AN155" s="581"/>
      <c r="AO155" s="581"/>
      <c r="AP155" s="495">
        <v>9</v>
      </c>
      <c r="AQ155" s="581"/>
      <c r="AR155" s="581"/>
      <c r="AS155" s="581"/>
      <c r="AT155" s="581"/>
      <c r="AU155" s="581">
        <f t="shared" si="108"/>
        <v>9</v>
      </c>
      <c r="AV155" s="590"/>
      <c r="AW155" s="590"/>
      <c r="AX155" s="60">
        <f>+AP155*1.035</f>
        <v>9.3149999999999995</v>
      </c>
      <c r="AY155" s="590"/>
      <c r="AZ155" s="590"/>
      <c r="BA155" s="590"/>
      <c r="BB155" s="590"/>
      <c r="BC155" s="548">
        <f>SUM(AV155:BB155)</f>
        <v>9.3149999999999995</v>
      </c>
      <c r="BD155" s="60">
        <f>+AV155+AN155+AG155+Y155</f>
        <v>0</v>
      </c>
      <c r="BE155" s="60">
        <f>+AW155+AO155+AH155+Z155</f>
        <v>0</v>
      </c>
      <c r="BF155" s="60">
        <f>+AX155+AP155+AI155+AA155</f>
        <v>28.314999999999998</v>
      </c>
      <c r="BG155" s="60">
        <f>+AY155+AQ155+AJ155+AB155</f>
        <v>0</v>
      </c>
      <c r="BH155" s="60">
        <f>+AZ155+AR155+AK155+AC155</f>
        <v>0</v>
      </c>
      <c r="BI155" s="60">
        <f t="shared" si="107"/>
        <v>0</v>
      </c>
      <c r="BJ155" s="60">
        <f>+BB155+AT155+AL155+AE155</f>
        <v>0</v>
      </c>
      <c r="BK155" s="60">
        <f>+BC155+AU155+AM155+AF155</f>
        <v>28.314999999999998</v>
      </c>
    </row>
    <row r="156" spans="1:64" ht="17.399999999999999" x14ac:dyDescent="0.25">
      <c r="A156" s="290"/>
      <c r="B156" s="1556" t="s">
        <v>489</v>
      </c>
      <c r="C156" s="1557"/>
      <c r="D156" s="1557"/>
      <c r="E156" s="1557"/>
      <c r="F156" s="1557"/>
      <c r="G156" s="1557"/>
      <c r="H156" s="1557"/>
      <c r="I156" s="1557"/>
      <c r="J156" s="1557"/>
      <c r="K156" s="1557"/>
      <c r="L156" s="1557"/>
      <c r="M156" s="1558"/>
      <c r="N156" s="597"/>
      <c r="O156" s="597"/>
      <c r="P156" s="598"/>
      <c r="Q156" s="598"/>
      <c r="R156" s="597"/>
      <c r="S156" s="597"/>
      <c r="T156" s="597"/>
      <c r="U156" s="599"/>
      <c r="V156" s="599"/>
      <c r="W156" s="599"/>
      <c r="X156" s="599"/>
      <c r="Y156" s="599">
        <f t="shared" ref="Y156:BH156" si="116">+Y157+Y182+Y193+Y201+Y212+Y221+Y227+Y235+Y243</f>
        <v>161.84</v>
      </c>
      <c r="Z156" s="600">
        <f t="shared" si="116"/>
        <v>56</v>
      </c>
      <c r="AA156" s="706">
        <f t="shared" si="116"/>
        <v>111.69</v>
      </c>
      <c r="AB156" s="600">
        <f t="shared" si="116"/>
        <v>500</v>
      </c>
      <c r="AC156" s="600">
        <f t="shared" si="116"/>
        <v>0</v>
      </c>
      <c r="AD156" s="600">
        <f t="shared" si="116"/>
        <v>288.98</v>
      </c>
      <c r="AE156" s="600">
        <f t="shared" si="116"/>
        <v>0</v>
      </c>
      <c r="AF156" s="600">
        <f t="shared" si="116"/>
        <v>1118.5100000000002</v>
      </c>
      <c r="AG156" s="600">
        <f t="shared" si="116"/>
        <v>169.81</v>
      </c>
      <c r="AH156" s="600">
        <f t="shared" si="116"/>
        <v>56</v>
      </c>
      <c r="AI156" s="600">
        <f t="shared" si="116"/>
        <v>113.925</v>
      </c>
      <c r="AJ156" s="600">
        <f t="shared" si="116"/>
        <v>0</v>
      </c>
      <c r="AK156" s="600">
        <f t="shared" si="116"/>
        <v>0</v>
      </c>
      <c r="AL156" s="600">
        <f t="shared" si="116"/>
        <v>0</v>
      </c>
      <c r="AM156" s="600">
        <f t="shared" si="116"/>
        <v>339.73500000000001</v>
      </c>
      <c r="AN156" s="600">
        <f t="shared" si="116"/>
        <v>177.78</v>
      </c>
      <c r="AO156" s="600">
        <f t="shared" si="116"/>
        <v>56</v>
      </c>
      <c r="AP156" s="600">
        <f t="shared" si="116"/>
        <v>116.27600000000001</v>
      </c>
      <c r="AQ156" s="600">
        <f t="shared" si="116"/>
        <v>0</v>
      </c>
      <c r="AR156" s="600">
        <f t="shared" si="116"/>
        <v>0</v>
      </c>
      <c r="AS156" s="600">
        <f t="shared" si="116"/>
        <v>0</v>
      </c>
      <c r="AT156" s="600">
        <f t="shared" si="116"/>
        <v>0</v>
      </c>
      <c r="AU156" s="600">
        <f t="shared" si="116"/>
        <v>350.05599999999998</v>
      </c>
      <c r="AV156" s="600">
        <f t="shared" si="116"/>
        <v>170.04499999999999</v>
      </c>
      <c r="AW156" s="600">
        <f t="shared" si="116"/>
        <v>56</v>
      </c>
      <c r="AX156" s="600">
        <f t="shared" si="116"/>
        <v>118.71000000000001</v>
      </c>
      <c r="AY156" s="600">
        <f t="shared" si="116"/>
        <v>0</v>
      </c>
      <c r="AZ156" s="600">
        <f t="shared" si="116"/>
        <v>0</v>
      </c>
      <c r="BA156" s="600">
        <f t="shared" si="116"/>
        <v>0</v>
      </c>
      <c r="BB156" s="600">
        <f t="shared" si="116"/>
        <v>0</v>
      </c>
      <c r="BC156" s="600">
        <f t="shared" si="116"/>
        <v>344.755</v>
      </c>
      <c r="BD156" s="33">
        <f t="shared" si="116"/>
        <v>678.47500000000014</v>
      </c>
      <c r="BE156" s="33">
        <f t="shared" si="116"/>
        <v>224</v>
      </c>
      <c r="BF156" s="33">
        <f t="shared" si="116"/>
        <v>449.90100000000001</v>
      </c>
      <c r="BG156" s="33">
        <f t="shared" si="116"/>
        <v>500</v>
      </c>
      <c r="BH156" s="33">
        <f t="shared" si="116"/>
        <v>0</v>
      </c>
      <c r="BI156" s="33">
        <f t="shared" si="107"/>
        <v>288.98</v>
      </c>
      <c r="BJ156" s="33">
        <f>+BJ157+BJ182+BJ193+BJ201+BJ212+BJ221+BJ227+BJ235+BJ243</f>
        <v>0</v>
      </c>
      <c r="BK156" s="33">
        <f>+BK157+BK182+BK193+BK201+BK212+BK221+BK227+BK235+BK243</f>
        <v>2142.8560000000002</v>
      </c>
    </row>
    <row r="157" spans="1:64" x14ac:dyDescent="0.25">
      <c r="A157" s="296"/>
      <c r="B157" s="155" t="s">
        <v>489</v>
      </c>
      <c r="C157" s="154"/>
      <c r="D157" s="2"/>
      <c r="E157" s="1"/>
      <c r="F157" s="1"/>
      <c r="G157" s="1"/>
      <c r="H157" s="1"/>
      <c r="I157" s="1"/>
      <c r="J157" s="1"/>
      <c r="K157" s="1"/>
      <c r="L157" s="1"/>
      <c r="M157" s="1"/>
      <c r="N157" s="1"/>
      <c r="O157" s="1"/>
      <c r="P157" s="22" t="s">
        <v>490</v>
      </c>
      <c r="Q157" s="22"/>
      <c r="R157" s="1"/>
      <c r="S157" s="1"/>
      <c r="T157" s="1"/>
      <c r="U157" s="1"/>
      <c r="V157" s="1"/>
      <c r="W157" s="1"/>
      <c r="X157" s="1"/>
      <c r="Y157" s="34">
        <f t="shared" ref="Y157:BH157" si="117">SUM(Y158:Y181)</f>
        <v>49.64</v>
      </c>
      <c r="Z157" s="34">
        <f t="shared" si="117"/>
        <v>0</v>
      </c>
      <c r="AA157" s="34">
        <f t="shared" si="117"/>
        <v>43.63</v>
      </c>
      <c r="AB157" s="34">
        <f t="shared" si="117"/>
        <v>0</v>
      </c>
      <c r="AC157" s="34">
        <f t="shared" si="117"/>
        <v>0</v>
      </c>
      <c r="AD157" s="34">
        <f t="shared" si="117"/>
        <v>241.26</v>
      </c>
      <c r="AE157" s="34">
        <f t="shared" si="117"/>
        <v>0</v>
      </c>
      <c r="AF157" s="34">
        <f t="shared" si="117"/>
        <v>334.53</v>
      </c>
      <c r="AG157" s="34">
        <f t="shared" si="117"/>
        <v>58.24</v>
      </c>
      <c r="AH157" s="34">
        <f t="shared" si="117"/>
        <v>0</v>
      </c>
      <c r="AI157" s="34">
        <f t="shared" si="117"/>
        <v>37.26</v>
      </c>
      <c r="AJ157" s="34">
        <f t="shared" si="117"/>
        <v>0</v>
      </c>
      <c r="AK157" s="34">
        <f t="shared" si="117"/>
        <v>0</v>
      </c>
      <c r="AL157" s="34">
        <f t="shared" si="117"/>
        <v>0</v>
      </c>
      <c r="AM157" s="34">
        <f t="shared" si="117"/>
        <v>95.5</v>
      </c>
      <c r="AN157" s="34">
        <f t="shared" si="117"/>
        <v>60.28</v>
      </c>
      <c r="AO157" s="34">
        <f t="shared" si="117"/>
        <v>0</v>
      </c>
      <c r="AP157" s="34">
        <f t="shared" si="117"/>
        <v>38.56</v>
      </c>
      <c r="AQ157" s="34">
        <f t="shared" si="117"/>
        <v>0</v>
      </c>
      <c r="AR157" s="34">
        <f t="shared" si="117"/>
        <v>0</v>
      </c>
      <c r="AS157" s="34">
        <f t="shared" si="117"/>
        <v>0</v>
      </c>
      <c r="AT157" s="34">
        <f t="shared" si="117"/>
        <v>0</v>
      </c>
      <c r="AU157" s="34">
        <f t="shared" si="117"/>
        <v>98.84</v>
      </c>
      <c r="AV157" s="34">
        <f t="shared" si="117"/>
        <v>62.384999999999998</v>
      </c>
      <c r="AW157" s="34">
        <f t="shared" si="117"/>
        <v>0</v>
      </c>
      <c r="AX157" s="34">
        <f t="shared" si="117"/>
        <v>39.909999999999997</v>
      </c>
      <c r="AY157" s="34">
        <f t="shared" si="117"/>
        <v>0</v>
      </c>
      <c r="AZ157" s="34">
        <f t="shared" si="117"/>
        <v>0</v>
      </c>
      <c r="BA157" s="34">
        <f t="shared" si="117"/>
        <v>0</v>
      </c>
      <c r="BB157" s="34">
        <f t="shared" si="117"/>
        <v>0</v>
      </c>
      <c r="BC157" s="34">
        <f t="shared" si="117"/>
        <v>102.29499999999999</v>
      </c>
      <c r="BD157" s="34">
        <f t="shared" si="117"/>
        <v>229.54500000000002</v>
      </c>
      <c r="BE157" s="34">
        <f t="shared" si="117"/>
        <v>0</v>
      </c>
      <c r="BF157" s="34">
        <f t="shared" si="117"/>
        <v>158.86000000000001</v>
      </c>
      <c r="BG157" s="34">
        <f t="shared" si="117"/>
        <v>0</v>
      </c>
      <c r="BH157" s="34">
        <f t="shared" si="117"/>
        <v>0</v>
      </c>
      <c r="BI157" s="34">
        <f t="shared" si="107"/>
        <v>241.26</v>
      </c>
      <c r="BJ157" s="34">
        <f>SUM(BJ158:BJ181)</f>
        <v>0</v>
      </c>
      <c r="BK157" s="34">
        <f>SUM(BK158:BK181)</f>
        <v>631.16499999999996</v>
      </c>
      <c r="BL157" s="3"/>
    </row>
    <row r="158" spans="1:64" ht="60" customHeight="1" x14ac:dyDescent="0.25">
      <c r="A158" s="298" t="s">
        <v>491</v>
      </c>
      <c r="B158" s="299" t="s">
        <v>489</v>
      </c>
      <c r="C158" s="1546" t="s">
        <v>492</v>
      </c>
      <c r="D158" s="1550" t="s">
        <v>493</v>
      </c>
      <c r="E158" s="1550" t="s">
        <v>494</v>
      </c>
      <c r="F158" s="1550">
        <v>2015</v>
      </c>
      <c r="G158" s="1550" t="s">
        <v>177</v>
      </c>
      <c r="H158" s="1550">
        <v>50</v>
      </c>
      <c r="I158" s="1425"/>
      <c r="J158" s="1425"/>
      <c r="K158" s="1425" t="s">
        <v>495</v>
      </c>
      <c r="L158" s="301" t="s">
        <v>496</v>
      </c>
      <c r="M158" s="1425" t="s">
        <v>497</v>
      </c>
      <c r="N158" s="476"/>
      <c r="O158" s="1425" t="s">
        <v>73</v>
      </c>
      <c r="P158" s="16" t="s">
        <v>498</v>
      </c>
      <c r="Q158" s="302" t="s">
        <v>499</v>
      </c>
      <c r="R158" s="303">
        <v>2015</v>
      </c>
      <c r="S158" s="303">
        <v>0</v>
      </c>
      <c r="T158" s="303">
        <v>4</v>
      </c>
      <c r="U158" s="303">
        <v>4</v>
      </c>
      <c r="V158" s="303">
        <v>4</v>
      </c>
      <c r="W158" s="303">
        <v>4</v>
      </c>
      <c r="X158" s="303">
        <v>4</v>
      </c>
      <c r="Y158" s="481">
        <v>0</v>
      </c>
      <c r="Z158" s="481">
        <v>0</v>
      </c>
      <c r="AA158" s="481">
        <v>0</v>
      </c>
      <c r="AB158" s="481">
        <v>0</v>
      </c>
      <c r="AC158" s="481">
        <v>0</v>
      </c>
      <c r="AD158" s="491">
        <v>1</v>
      </c>
      <c r="AE158" s="481">
        <v>0</v>
      </c>
      <c r="AF158" s="481">
        <f t="shared" ref="AF158:AF222" si="118">SUM(Y158:AE158)</f>
        <v>1</v>
      </c>
      <c r="AG158" s="491">
        <v>1</v>
      </c>
      <c r="AH158" s="548">
        <v>0</v>
      </c>
      <c r="AI158" s="548">
        <v>0</v>
      </c>
      <c r="AJ158" s="548">
        <v>0</v>
      </c>
      <c r="AK158" s="548">
        <v>0</v>
      </c>
      <c r="AL158" s="548">
        <v>0</v>
      </c>
      <c r="AM158" s="548">
        <f t="shared" ref="AM158:AM222" si="119">SUM(AG158:AL158)</f>
        <v>1</v>
      </c>
      <c r="AN158" s="491">
        <v>1</v>
      </c>
      <c r="AO158" s="481">
        <v>0</v>
      </c>
      <c r="AP158" s="481">
        <v>0</v>
      </c>
      <c r="AQ158" s="481">
        <v>0</v>
      </c>
      <c r="AR158" s="481">
        <v>0</v>
      </c>
      <c r="AS158" s="481">
        <v>0</v>
      </c>
      <c r="AT158" s="481">
        <v>0</v>
      </c>
      <c r="AU158" s="481">
        <f t="shared" ref="AU158:AU222" si="120">SUM(AN158:AT158)</f>
        <v>1</v>
      </c>
      <c r="AV158" s="548">
        <v>1</v>
      </c>
      <c r="AW158" s="548">
        <f t="shared" ref="AW158:BB158" si="121">AO158*1.035</f>
        <v>0</v>
      </c>
      <c r="AX158" s="548">
        <f t="shared" si="121"/>
        <v>0</v>
      </c>
      <c r="AY158" s="548">
        <f t="shared" si="121"/>
        <v>0</v>
      </c>
      <c r="AZ158" s="548">
        <f t="shared" si="121"/>
        <v>0</v>
      </c>
      <c r="BA158" s="548">
        <f t="shared" si="121"/>
        <v>0</v>
      </c>
      <c r="BB158" s="548">
        <f t="shared" si="121"/>
        <v>0</v>
      </c>
      <c r="BC158" s="548">
        <f t="shared" ref="BC158:BC222" si="122">SUM(AV158:BB158)</f>
        <v>1</v>
      </c>
      <c r="BD158" s="42">
        <f>+AV158+AN158+AG158+Y158</f>
        <v>3</v>
      </c>
      <c r="BE158" s="42">
        <f>+AW158+AO158+AH158+Z158</f>
        <v>0</v>
      </c>
      <c r="BF158" s="42">
        <f>+AX158+AP158+AI158+AA158</f>
        <v>0</v>
      </c>
      <c r="BG158" s="42">
        <f>+AY158+AQ158+AJ158+AB158</f>
        <v>0</v>
      </c>
      <c r="BH158" s="42">
        <f>+AZ158+AR158+AK158+AC158</f>
        <v>0</v>
      </c>
      <c r="BI158" s="42">
        <f t="shared" si="107"/>
        <v>1</v>
      </c>
      <c r="BJ158" s="42">
        <f>+BB158+AT158+AL158+AE158</f>
        <v>0</v>
      </c>
      <c r="BK158" s="42">
        <f>+BC158+AU158+AM158+AF158</f>
        <v>4</v>
      </c>
      <c r="BL158" s="3"/>
    </row>
    <row r="159" spans="1:64" ht="45.75" customHeight="1" x14ac:dyDescent="0.25">
      <c r="A159" s="298" t="s">
        <v>491</v>
      </c>
      <c r="B159" s="299" t="s">
        <v>489</v>
      </c>
      <c r="C159" s="1547"/>
      <c r="D159" s="1551"/>
      <c r="E159" s="1551"/>
      <c r="F159" s="1551"/>
      <c r="G159" s="1551"/>
      <c r="H159" s="1551"/>
      <c r="I159" s="1425"/>
      <c r="J159" s="1425"/>
      <c r="K159" s="1425" t="s">
        <v>500</v>
      </c>
      <c r="L159" s="301" t="s">
        <v>496</v>
      </c>
      <c r="M159" s="1425" t="s">
        <v>497</v>
      </c>
      <c r="N159" s="476"/>
      <c r="O159" s="1425" t="s">
        <v>73</v>
      </c>
      <c r="P159" s="16" t="s">
        <v>501</v>
      </c>
      <c r="Q159" s="302" t="s">
        <v>502</v>
      </c>
      <c r="R159" s="303">
        <v>2015</v>
      </c>
      <c r="S159" s="303">
        <v>0</v>
      </c>
      <c r="T159" s="303">
        <v>0</v>
      </c>
      <c r="U159" s="303">
        <v>1</v>
      </c>
      <c r="V159" s="303">
        <v>1</v>
      </c>
      <c r="W159" s="303">
        <v>1</v>
      </c>
      <c r="X159" s="303">
        <v>1</v>
      </c>
      <c r="Y159" s="482"/>
      <c r="Z159" s="481">
        <v>0</v>
      </c>
      <c r="AA159" s="481">
        <v>0</v>
      </c>
      <c r="AB159" s="481">
        <v>0</v>
      </c>
      <c r="AC159" s="481">
        <v>0</v>
      </c>
      <c r="AD159" s="481"/>
      <c r="AE159" s="481">
        <v>0</v>
      </c>
      <c r="AF159" s="481">
        <f t="shared" si="118"/>
        <v>0</v>
      </c>
      <c r="AG159" s="700">
        <v>0.5</v>
      </c>
      <c r="AH159" s="548">
        <v>0</v>
      </c>
      <c r="AI159" s="548">
        <v>0</v>
      </c>
      <c r="AJ159" s="548">
        <v>0</v>
      </c>
      <c r="AK159" s="548">
        <v>0</v>
      </c>
      <c r="AL159" s="548">
        <v>0</v>
      </c>
      <c r="AM159" s="548">
        <f t="shared" si="119"/>
        <v>0.5</v>
      </c>
      <c r="AN159" s="700">
        <v>0.5</v>
      </c>
      <c r="AO159" s="481">
        <v>0</v>
      </c>
      <c r="AP159" s="481">
        <v>0</v>
      </c>
      <c r="AQ159" s="481">
        <v>0</v>
      </c>
      <c r="AR159" s="481">
        <v>0</v>
      </c>
      <c r="AS159" s="481">
        <v>0</v>
      </c>
      <c r="AT159" s="481">
        <v>0</v>
      </c>
      <c r="AU159" s="481">
        <f t="shared" si="120"/>
        <v>0.5</v>
      </c>
      <c r="AV159" s="548">
        <v>0</v>
      </c>
      <c r="AW159" s="548">
        <v>0</v>
      </c>
      <c r="AX159" s="548">
        <v>20</v>
      </c>
      <c r="AY159" s="548">
        <v>0</v>
      </c>
      <c r="AZ159" s="548">
        <v>0</v>
      </c>
      <c r="BA159" s="548"/>
      <c r="BB159" s="548">
        <v>0</v>
      </c>
      <c r="BC159" s="548">
        <f t="shared" si="122"/>
        <v>20</v>
      </c>
      <c r="BD159" s="42">
        <f t="shared" ref="BD159:BH181" si="123">+AV159+AN159+AG159+Y159</f>
        <v>1</v>
      </c>
      <c r="BE159" s="42">
        <f t="shared" si="123"/>
        <v>0</v>
      </c>
      <c r="BF159" s="42">
        <f t="shared" si="123"/>
        <v>20</v>
      </c>
      <c r="BG159" s="42">
        <f t="shared" si="123"/>
        <v>0</v>
      </c>
      <c r="BH159" s="42">
        <f t="shared" si="123"/>
        <v>0</v>
      </c>
      <c r="BI159" s="42">
        <f t="shared" si="107"/>
        <v>0</v>
      </c>
      <c r="BJ159" s="42">
        <f t="shared" ref="BJ159:BK181" si="124">+BB159+AT159+AL159+AE159</f>
        <v>0</v>
      </c>
      <c r="BK159" s="42">
        <f t="shared" si="124"/>
        <v>21</v>
      </c>
      <c r="BL159" s="3"/>
    </row>
    <row r="160" spans="1:64" ht="48.75" customHeight="1" x14ac:dyDescent="0.25">
      <c r="A160" s="298" t="s">
        <v>491</v>
      </c>
      <c r="B160" s="299" t="s">
        <v>489</v>
      </c>
      <c r="C160" s="1547"/>
      <c r="D160" s="1551"/>
      <c r="E160" s="1551"/>
      <c r="F160" s="1551"/>
      <c r="G160" s="1551"/>
      <c r="H160" s="1551"/>
      <c r="I160" s="1425"/>
      <c r="J160" s="1425"/>
      <c r="K160" s="1425" t="s">
        <v>503</v>
      </c>
      <c r="L160" s="301" t="s">
        <v>496</v>
      </c>
      <c r="M160" s="1425" t="s">
        <v>497</v>
      </c>
      <c r="N160" s="476"/>
      <c r="O160" s="1425" t="s">
        <v>73</v>
      </c>
      <c r="P160" s="16" t="s">
        <v>504</v>
      </c>
      <c r="Q160" s="302" t="s">
        <v>505</v>
      </c>
      <c r="R160" s="303">
        <v>2015</v>
      </c>
      <c r="S160" s="303">
        <v>1</v>
      </c>
      <c r="T160" s="303">
        <v>1</v>
      </c>
      <c r="U160" s="303">
        <v>1</v>
      </c>
      <c r="V160" s="303">
        <v>1</v>
      </c>
      <c r="W160" s="303">
        <v>1</v>
      </c>
      <c r="X160" s="303">
        <v>1</v>
      </c>
      <c r="Y160" s="481">
        <v>0</v>
      </c>
      <c r="Z160" s="481">
        <v>0</v>
      </c>
      <c r="AA160" s="481">
        <v>0</v>
      </c>
      <c r="AB160" s="481">
        <v>0</v>
      </c>
      <c r="AC160" s="481">
        <v>0</v>
      </c>
      <c r="AD160" s="491">
        <v>1</v>
      </c>
      <c r="AE160" s="481">
        <v>0</v>
      </c>
      <c r="AF160" s="481">
        <f t="shared" si="118"/>
        <v>1</v>
      </c>
      <c r="AG160" s="491">
        <v>0.5</v>
      </c>
      <c r="AH160" s="548">
        <v>0</v>
      </c>
      <c r="AI160" s="548">
        <v>0</v>
      </c>
      <c r="AJ160" s="548">
        <v>0</v>
      </c>
      <c r="AK160" s="548">
        <v>0</v>
      </c>
      <c r="AL160" s="548">
        <v>0</v>
      </c>
      <c r="AM160" s="548">
        <f t="shared" si="119"/>
        <v>0.5</v>
      </c>
      <c r="AN160" s="491">
        <v>0.5</v>
      </c>
      <c r="AO160" s="481">
        <v>0</v>
      </c>
      <c r="AP160" s="481">
        <v>0</v>
      </c>
      <c r="AQ160" s="481">
        <v>0</v>
      </c>
      <c r="AR160" s="481">
        <v>0</v>
      </c>
      <c r="AS160" s="481">
        <v>0</v>
      </c>
      <c r="AT160" s="481">
        <v>0</v>
      </c>
      <c r="AU160" s="481">
        <f t="shared" si="120"/>
        <v>0.5</v>
      </c>
      <c r="AV160" s="491">
        <v>0.5</v>
      </c>
      <c r="AW160" s="548">
        <v>0</v>
      </c>
      <c r="AX160" s="548">
        <v>0</v>
      </c>
      <c r="AY160" s="548">
        <v>0</v>
      </c>
      <c r="AZ160" s="548">
        <v>0</v>
      </c>
      <c r="BA160" s="548">
        <v>0</v>
      </c>
      <c r="BB160" s="548">
        <v>0</v>
      </c>
      <c r="BC160" s="548">
        <f t="shared" si="122"/>
        <v>0.5</v>
      </c>
      <c r="BD160" s="42">
        <f t="shared" si="123"/>
        <v>1.5</v>
      </c>
      <c r="BE160" s="42">
        <f t="shared" si="123"/>
        <v>0</v>
      </c>
      <c r="BF160" s="42">
        <f t="shared" si="123"/>
        <v>0</v>
      </c>
      <c r="BG160" s="42">
        <f t="shared" si="123"/>
        <v>0</v>
      </c>
      <c r="BH160" s="42">
        <f t="shared" si="123"/>
        <v>0</v>
      </c>
      <c r="BI160" s="42">
        <f t="shared" si="107"/>
        <v>1</v>
      </c>
      <c r="BJ160" s="42">
        <f t="shared" si="124"/>
        <v>0</v>
      </c>
      <c r="BK160" s="42">
        <f t="shared" si="124"/>
        <v>2.5</v>
      </c>
      <c r="BL160" s="3"/>
    </row>
    <row r="161" spans="1:64" ht="55.5" customHeight="1" x14ac:dyDescent="0.25">
      <c r="A161" s="298" t="s">
        <v>491</v>
      </c>
      <c r="B161" s="299" t="s">
        <v>489</v>
      </c>
      <c r="C161" s="1547"/>
      <c r="D161" s="1551"/>
      <c r="E161" s="1551"/>
      <c r="F161" s="1551"/>
      <c r="G161" s="1551"/>
      <c r="H161" s="1551"/>
      <c r="I161" s="1425"/>
      <c r="J161" s="1425"/>
      <c r="K161" s="1425" t="s">
        <v>506</v>
      </c>
      <c r="L161" s="301" t="s">
        <v>496</v>
      </c>
      <c r="M161" s="1425" t="s">
        <v>497</v>
      </c>
      <c r="N161" s="476"/>
      <c r="O161" s="1425" t="s">
        <v>73</v>
      </c>
      <c r="P161" s="16" t="s">
        <v>507</v>
      </c>
      <c r="Q161" s="302" t="s">
        <v>508</v>
      </c>
      <c r="R161" s="303">
        <v>2015</v>
      </c>
      <c r="S161" s="303">
        <v>1</v>
      </c>
      <c r="T161" s="303">
        <v>1</v>
      </c>
      <c r="U161" s="303">
        <v>1</v>
      </c>
      <c r="V161" s="303">
        <v>1</v>
      </c>
      <c r="W161" s="303">
        <v>1</v>
      </c>
      <c r="X161" s="303">
        <v>1</v>
      </c>
      <c r="Y161" s="481">
        <v>0</v>
      </c>
      <c r="Z161" s="481">
        <v>0</v>
      </c>
      <c r="AA161" s="481">
        <v>0</v>
      </c>
      <c r="AB161" s="481">
        <v>0</v>
      </c>
      <c r="AC161" s="481">
        <v>0</v>
      </c>
      <c r="AD161" s="491">
        <v>18</v>
      </c>
      <c r="AE161" s="481">
        <v>0</v>
      </c>
      <c r="AF161" s="481">
        <f t="shared" si="118"/>
        <v>18</v>
      </c>
      <c r="AG161" s="491">
        <v>9</v>
      </c>
      <c r="AH161" s="548">
        <v>0</v>
      </c>
      <c r="AI161" s="548">
        <v>1.26</v>
      </c>
      <c r="AJ161" s="548">
        <v>0</v>
      </c>
      <c r="AK161" s="548">
        <v>0</v>
      </c>
      <c r="AL161" s="548">
        <v>0</v>
      </c>
      <c r="AM161" s="548">
        <f t="shared" si="119"/>
        <v>10.26</v>
      </c>
      <c r="AN161" s="491">
        <v>10.24</v>
      </c>
      <c r="AO161" s="481">
        <v>0</v>
      </c>
      <c r="AP161" s="481"/>
      <c r="AQ161" s="481">
        <v>0</v>
      </c>
      <c r="AR161" s="481">
        <v>0</v>
      </c>
      <c r="AS161" s="481">
        <v>0</v>
      </c>
      <c r="AT161" s="481">
        <v>0</v>
      </c>
      <c r="AU161" s="481">
        <f t="shared" si="120"/>
        <v>10.24</v>
      </c>
      <c r="AV161" s="491">
        <v>8.5</v>
      </c>
      <c r="AW161" s="548">
        <v>0</v>
      </c>
      <c r="AX161" s="548">
        <v>0</v>
      </c>
      <c r="AY161" s="548">
        <v>0</v>
      </c>
      <c r="AZ161" s="548">
        <v>0</v>
      </c>
      <c r="BA161" s="548"/>
      <c r="BB161" s="548">
        <v>0</v>
      </c>
      <c r="BC161" s="548">
        <f t="shared" si="122"/>
        <v>8.5</v>
      </c>
      <c r="BD161" s="42">
        <f t="shared" si="123"/>
        <v>27.740000000000002</v>
      </c>
      <c r="BE161" s="42">
        <f t="shared" si="123"/>
        <v>0</v>
      </c>
      <c r="BF161" s="42">
        <f t="shared" si="123"/>
        <v>1.26</v>
      </c>
      <c r="BG161" s="42">
        <f t="shared" si="123"/>
        <v>0</v>
      </c>
      <c r="BH161" s="42">
        <f t="shared" si="123"/>
        <v>0</v>
      </c>
      <c r="BI161" s="42">
        <f t="shared" si="107"/>
        <v>18</v>
      </c>
      <c r="BJ161" s="42">
        <f t="shared" si="124"/>
        <v>0</v>
      </c>
      <c r="BK161" s="42">
        <f t="shared" si="124"/>
        <v>47</v>
      </c>
      <c r="BL161" s="3"/>
    </row>
    <row r="162" spans="1:64" ht="77.25" customHeight="1" x14ac:dyDescent="0.25">
      <c r="A162" s="298" t="s">
        <v>491</v>
      </c>
      <c r="B162" s="299" t="s">
        <v>489</v>
      </c>
      <c r="C162" s="1547"/>
      <c r="D162" s="1551"/>
      <c r="E162" s="1551"/>
      <c r="F162" s="1551"/>
      <c r="G162" s="1551"/>
      <c r="H162" s="1551"/>
      <c r="I162" s="1425"/>
      <c r="J162" s="1425"/>
      <c r="K162" s="1425" t="s">
        <v>509</v>
      </c>
      <c r="L162" s="301" t="s">
        <v>496</v>
      </c>
      <c r="M162" s="1425" t="s">
        <v>497</v>
      </c>
      <c r="N162" s="476"/>
      <c r="O162" s="1425" t="s">
        <v>73</v>
      </c>
      <c r="P162" s="16" t="s">
        <v>510</v>
      </c>
      <c r="Q162" s="302" t="s">
        <v>511</v>
      </c>
      <c r="R162" s="303">
        <v>2015</v>
      </c>
      <c r="S162" s="303">
        <v>1</v>
      </c>
      <c r="T162" s="303">
        <v>1</v>
      </c>
      <c r="U162" s="303">
        <v>1</v>
      </c>
      <c r="V162" s="303">
        <v>1</v>
      </c>
      <c r="W162" s="303">
        <v>1</v>
      </c>
      <c r="X162" s="303">
        <v>1</v>
      </c>
      <c r="Y162" s="481">
        <v>0</v>
      </c>
      <c r="Z162" s="481">
        <v>0</v>
      </c>
      <c r="AA162" s="481">
        <v>0</v>
      </c>
      <c r="AB162" s="481">
        <v>0</v>
      </c>
      <c r="AC162" s="481">
        <v>0</v>
      </c>
      <c r="AD162" s="481">
        <v>11</v>
      </c>
      <c r="AE162" s="481">
        <v>0</v>
      </c>
      <c r="AF162" s="481">
        <f t="shared" si="118"/>
        <v>11</v>
      </c>
      <c r="AG162" s="491">
        <v>1</v>
      </c>
      <c r="AH162" s="548">
        <v>0</v>
      </c>
      <c r="AI162" s="548">
        <v>0</v>
      </c>
      <c r="AJ162" s="548">
        <v>0</v>
      </c>
      <c r="AK162" s="548">
        <v>0</v>
      </c>
      <c r="AL162" s="548">
        <v>0</v>
      </c>
      <c r="AM162" s="548">
        <f t="shared" si="119"/>
        <v>1</v>
      </c>
      <c r="AN162" s="481">
        <v>2.04</v>
      </c>
      <c r="AO162" s="481">
        <v>0</v>
      </c>
      <c r="AP162" s="481">
        <v>2.56</v>
      </c>
      <c r="AQ162" s="481">
        <v>0</v>
      </c>
      <c r="AR162" s="481">
        <v>0</v>
      </c>
      <c r="AS162" s="481">
        <v>0</v>
      </c>
      <c r="AT162" s="481">
        <v>0</v>
      </c>
      <c r="AU162" s="481">
        <f t="shared" si="120"/>
        <v>4.5999999999999996</v>
      </c>
      <c r="AV162" s="548">
        <v>0</v>
      </c>
      <c r="AW162" s="548">
        <v>0</v>
      </c>
      <c r="AX162" s="491">
        <v>18.91</v>
      </c>
      <c r="AY162" s="548">
        <v>0</v>
      </c>
      <c r="AZ162" s="548">
        <v>0</v>
      </c>
      <c r="BA162" s="548"/>
      <c r="BB162" s="548">
        <v>0</v>
      </c>
      <c r="BC162" s="548">
        <f t="shared" si="122"/>
        <v>18.91</v>
      </c>
      <c r="BD162" s="42">
        <f t="shared" si="123"/>
        <v>3.04</v>
      </c>
      <c r="BE162" s="42">
        <f t="shared" si="123"/>
        <v>0</v>
      </c>
      <c r="BF162" s="42">
        <f t="shared" si="123"/>
        <v>21.47</v>
      </c>
      <c r="BG162" s="42">
        <f t="shared" si="123"/>
        <v>0</v>
      </c>
      <c r="BH162" s="42">
        <f t="shared" si="123"/>
        <v>0</v>
      </c>
      <c r="BI162" s="42">
        <f t="shared" si="107"/>
        <v>11</v>
      </c>
      <c r="BJ162" s="42">
        <f t="shared" si="124"/>
        <v>0</v>
      </c>
      <c r="BK162" s="42">
        <f t="shared" si="124"/>
        <v>35.51</v>
      </c>
      <c r="BL162" s="3"/>
    </row>
    <row r="163" spans="1:64" ht="73.5" customHeight="1" x14ac:dyDescent="0.25">
      <c r="A163" s="298"/>
      <c r="B163" s="299"/>
      <c r="C163" s="1547"/>
      <c r="D163" s="1551"/>
      <c r="E163" s="1551"/>
      <c r="F163" s="1551"/>
      <c r="G163" s="1551"/>
      <c r="H163" s="1551"/>
      <c r="I163" s="1425"/>
      <c r="J163" s="1425"/>
      <c r="K163" s="1425" t="s">
        <v>512</v>
      </c>
      <c r="L163" s="301" t="s">
        <v>496</v>
      </c>
      <c r="M163" s="1425" t="s">
        <v>497</v>
      </c>
      <c r="N163" s="476"/>
      <c r="O163" s="1425" t="s">
        <v>47</v>
      </c>
      <c r="P163" s="16" t="s">
        <v>513</v>
      </c>
      <c r="Q163" s="302" t="s">
        <v>337</v>
      </c>
      <c r="R163" s="303">
        <v>2015</v>
      </c>
      <c r="S163" s="303"/>
      <c r="T163" s="303">
        <v>3</v>
      </c>
      <c r="U163" s="303">
        <v>3</v>
      </c>
      <c r="V163" s="303">
        <v>3</v>
      </c>
      <c r="W163" s="303">
        <v>3</v>
      </c>
      <c r="X163" s="303">
        <v>12</v>
      </c>
      <c r="Y163" s="481"/>
      <c r="Z163" s="481"/>
      <c r="AA163" s="481"/>
      <c r="AB163" s="481"/>
      <c r="AC163" s="481"/>
      <c r="AD163" s="491">
        <v>1</v>
      </c>
      <c r="AE163" s="481"/>
      <c r="AF163" s="481">
        <f>SUM(Y163:AE163)</f>
        <v>1</v>
      </c>
      <c r="AG163" s="491">
        <v>0.5</v>
      </c>
      <c r="AH163" s="548"/>
      <c r="AI163" s="548"/>
      <c r="AJ163" s="548"/>
      <c r="AK163" s="548"/>
      <c r="AL163" s="548"/>
      <c r="AM163" s="548">
        <f>SUM(AG163:AL163)</f>
        <v>0.5</v>
      </c>
      <c r="AN163" s="491">
        <v>0.5</v>
      </c>
      <c r="AO163" s="481"/>
      <c r="AP163" s="481"/>
      <c r="AQ163" s="481"/>
      <c r="AR163" s="481"/>
      <c r="AS163" s="481"/>
      <c r="AT163" s="481"/>
      <c r="AU163" s="481">
        <f>SUM(AN163:AT163)</f>
        <v>0.5</v>
      </c>
      <c r="AV163" s="548"/>
      <c r="AW163" s="548"/>
      <c r="AX163" s="491">
        <v>0.5</v>
      </c>
      <c r="AY163" s="548"/>
      <c r="AZ163" s="548"/>
      <c r="BA163" s="548"/>
      <c r="BB163" s="548"/>
      <c r="BC163" s="548">
        <f>SUM(AV163:BB163)</f>
        <v>0.5</v>
      </c>
      <c r="BD163" s="42"/>
      <c r="BE163" s="42"/>
      <c r="BF163" s="42"/>
      <c r="BG163" s="42"/>
      <c r="BH163" s="42"/>
      <c r="BI163" s="42"/>
      <c r="BJ163" s="42"/>
      <c r="BK163" s="42">
        <f t="shared" si="124"/>
        <v>2.5</v>
      </c>
      <c r="BL163" s="3"/>
    </row>
    <row r="164" spans="1:64" ht="69" customHeight="1" x14ac:dyDescent="0.25">
      <c r="A164" s="298" t="s">
        <v>491</v>
      </c>
      <c r="B164" s="299" t="s">
        <v>489</v>
      </c>
      <c r="C164" s="1547"/>
      <c r="D164" s="1551"/>
      <c r="E164" s="1551"/>
      <c r="F164" s="1551"/>
      <c r="G164" s="1551"/>
      <c r="H164" s="1551"/>
      <c r="I164" s="1425"/>
      <c r="J164" s="1425"/>
      <c r="K164" s="1425" t="s">
        <v>514</v>
      </c>
      <c r="L164" s="301" t="s">
        <v>496</v>
      </c>
      <c r="M164" s="1425" t="s">
        <v>497</v>
      </c>
      <c r="N164" s="476"/>
      <c r="O164" s="1425" t="s">
        <v>47</v>
      </c>
      <c r="P164" s="16" t="s">
        <v>515</v>
      </c>
      <c r="Q164" s="302" t="s">
        <v>516</v>
      </c>
      <c r="R164" s="303">
        <v>2015</v>
      </c>
      <c r="S164" s="303">
        <v>0</v>
      </c>
      <c r="T164" s="303">
        <v>3</v>
      </c>
      <c r="U164" s="303">
        <v>3</v>
      </c>
      <c r="V164" s="303">
        <v>3</v>
      </c>
      <c r="W164" s="303">
        <v>3</v>
      </c>
      <c r="X164" s="303">
        <v>12</v>
      </c>
      <c r="Y164" s="481">
        <v>0</v>
      </c>
      <c r="Z164" s="481">
        <v>0</v>
      </c>
      <c r="AA164" s="481">
        <v>0</v>
      </c>
      <c r="AB164" s="481">
        <v>0</v>
      </c>
      <c r="AC164" s="481">
        <v>0</v>
      </c>
      <c r="AD164" s="491">
        <v>0.5</v>
      </c>
      <c r="AE164" s="481">
        <v>0</v>
      </c>
      <c r="AF164" s="481">
        <f t="shared" si="118"/>
        <v>0.5</v>
      </c>
      <c r="AG164" s="491">
        <v>0.5</v>
      </c>
      <c r="AH164" s="548">
        <v>0</v>
      </c>
      <c r="AI164" s="548">
        <v>0</v>
      </c>
      <c r="AJ164" s="548">
        <v>0</v>
      </c>
      <c r="AK164" s="548">
        <v>0</v>
      </c>
      <c r="AL164" s="548">
        <v>0</v>
      </c>
      <c r="AM164" s="548">
        <f t="shared" si="119"/>
        <v>0.5</v>
      </c>
      <c r="AN164" s="491">
        <v>0.5</v>
      </c>
      <c r="AO164" s="481">
        <v>0</v>
      </c>
      <c r="AP164" s="481">
        <v>0</v>
      </c>
      <c r="AQ164" s="481">
        <v>0</v>
      </c>
      <c r="AR164" s="481">
        <v>0</v>
      </c>
      <c r="AS164" s="481">
        <v>0</v>
      </c>
      <c r="AT164" s="481">
        <v>0</v>
      </c>
      <c r="AU164" s="481">
        <f t="shared" si="120"/>
        <v>0.5</v>
      </c>
      <c r="AV164" s="548">
        <v>0</v>
      </c>
      <c r="AW164" s="548">
        <v>0</v>
      </c>
      <c r="AX164" s="491">
        <v>0.5</v>
      </c>
      <c r="AY164" s="548">
        <v>0</v>
      </c>
      <c r="AZ164" s="548">
        <v>0</v>
      </c>
      <c r="BA164" s="548">
        <v>0</v>
      </c>
      <c r="BB164" s="548">
        <v>0</v>
      </c>
      <c r="BC164" s="548">
        <f t="shared" si="122"/>
        <v>0.5</v>
      </c>
      <c r="BD164" s="42">
        <f t="shared" si="123"/>
        <v>1</v>
      </c>
      <c r="BE164" s="42">
        <f t="shared" si="123"/>
        <v>0</v>
      </c>
      <c r="BF164" s="42">
        <f t="shared" si="123"/>
        <v>0.5</v>
      </c>
      <c r="BG164" s="42">
        <f t="shared" si="123"/>
        <v>0</v>
      </c>
      <c r="BH164" s="42">
        <f t="shared" si="123"/>
        <v>0</v>
      </c>
      <c r="BI164" s="42">
        <f t="shared" si="107"/>
        <v>0.5</v>
      </c>
      <c r="BJ164" s="42">
        <f t="shared" si="124"/>
        <v>0</v>
      </c>
      <c r="BK164" s="42">
        <f t="shared" si="124"/>
        <v>2</v>
      </c>
      <c r="BL164" s="3"/>
    </row>
    <row r="165" spans="1:64" ht="72" customHeight="1" x14ac:dyDescent="0.25">
      <c r="A165" s="298" t="s">
        <v>491</v>
      </c>
      <c r="B165" s="299" t="s">
        <v>489</v>
      </c>
      <c r="C165" s="1547"/>
      <c r="D165" s="1551"/>
      <c r="E165" s="1551"/>
      <c r="F165" s="1551"/>
      <c r="G165" s="1551"/>
      <c r="H165" s="1551"/>
      <c r="I165" s="1425"/>
      <c r="J165" s="1425"/>
      <c r="K165" s="1425" t="s">
        <v>517</v>
      </c>
      <c r="L165" s="301" t="s">
        <v>496</v>
      </c>
      <c r="M165" s="1425" t="s">
        <v>497</v>
      </c>
      <c r="N165" s="476"/>
      <c r="O165" s="1425" t="s">
        <v>47</v>
      </c>
      <c r="P165" s="16" t="s">
        <v>518</v>
      </c>
      <c r="Q165" s="302" t="s">
        <v>519</v>
      </c>
      <c r="R165" s="303">
        <v>2015</v>
      </c>
      <c r="S165" s="303">
        <v>2</v>
      </c>
      <c r="T165" s="303">
        <v>3</v>
      </c>
      <c r="U165" s="303">
        <v>3</v>
      </c>
      <c r="V165" s="303">
        <v>3</v>
      </c>
      <c r="W165" s="303">
        <v>3</v>
      </c>
      <c r="X165" s="303">
        <v>12</v>
      </c>
      <c r="Y165" s="481">
        <v>0</v>
      </c>
      <c r="Z165" s="481">
        <v>0</v>
      </c>
      <c r="AA165" s="481">
        <v>0</v>
      </c>
      <c r="AB165" s="481">
        <v>0</v>
      </c>
      <c r="AC165" s="481">
        <v>0</v>
      </c>
      <c r="AD165" s="491">
        <v>6</v>
      </c>
      <c r="AE165" s="481">
        <v>0</v>
      </c>
      <c r="AF165" s="481">
        <f t="shared" si="118"/>
        <v>6</v>
      </c>
      <c r="AG165" s="491">
        <v>4</v>
      </c>
      <c r="AH165" s="548">
        <v>0</v>
      </c>
      <c r="AI165" s="548">
        <v>0</v>
      </c>
      <c r="AJ165" s="548">
        <v>0</v>
      </c>
      <c r="AK165" s="548">
        <v>0</v>
      </c>
      <c r="AL165" s="548">
        <v>0</v>
      </c>
      <c r="AM165" s="548">
        <f t="shared" si="119"/>
        <v>4</v>
      </c>
      <c r="AN165" s="491">
        <v>4</v>
      </c>
      <c r="AO165" s="481">
        <v>0</v>
      </c>
      <c r="AP165" s="481">
        <v>0</v>
      </c>
      <c r="AQ165" s="481">
        <v>0</v>
      </c>
      <c r="AR165" s="481">
        <v>0</v>
      </c>
      <c r="AS165" s="481">
        <v>0</v>
      </c>
      <c r="AT165" s="481">
        <v>0</v>
      </c>
      <c r="AU165" s="481">
        <f t="shared" si="120"/>
        <v>4</v>
      </c>
      <c r="AV165" s="548">
        <v>4</v>
      </c>
      <c r="AW165" s="548">
        <v>0</v>
      </c>
      <c r="AX165" s="548">
        <v>0</v>
      </c>
      <c r="AY165" s="548">
        <v>0</v>
      </c>
      <c r="AZ165" s="548">
        <v>0</v>
      </c>
      <c r="BA165" s="548"/>
      <c r="BB165" s="548">
        <v>0</v>
      </c>
      <c r="BC165" s="548">
        <f t="shared" si="122"/>
        <v>4</v>
      </c>
      <c r="BD165" s="42">
        <f t="shared" si="123"/>
        <v>12</v>
      </c>
      <c r="BE165" s="42">
        <f t="shared" si="123"/>
        <v>0</v>
      </c>
      <c r="BF165" s="42">
        <f t="shared" si="123"/>
        <v>0</v>
      </c>
      <c r="BG165" s="42">
        <f t="shared" si="123"/>
        <v>0</v>
      </c>
      <c r="BH165" s="42">
        <f t="shared" si="123"/>
        <v>0</v>
      </c>
      <c r="BI165" s="42">
        <f t="shared" si="107"/>
        <v>6</v>
      </c>
      <c r="BJ165" s="42">
        <f t="shared" si="124"/>
        <v>0</v>
      </c>
      <c r="BK165" s="42">
        <f t="shared" si="124"/>
        <v>18</v>
      </c>
      <c r="BL165" s="3"/>
    </row>
    <row r="166" spans="1:64" ht="59.25" customHeight="1" x14ac:dyDescent="0.25">
      <c r="A166" s="298" t="s">
        <v>491</v>
      </c>
      <c r="B166" s="299" t="s">
        <v>489</v>
      </c>
      <c r="C166" s="1547"/>
      <c r="D166" s="1551"/>
      <c r="E166" s="1551"/>
      <c r="F166" s="1551"/>
      <c r="G166" s="1551"/>
      <c r="H166" s="1551"/>
      <c r="I166" s="1425"/>
      <c r="J166" s="1425"/>
      <c r="K166" s="1425" t="s">
        <v>520</v>
      </c>
      <c r="L166" s="301" t="s">
        <v>496</v>
      </c>
      <c r="M166" s="1425" t="s">
        <v>497</v>
      </c>
      <c r="N166" s="476"/>
      <c r="O166" s="1425" t="s">
        <v>73</v>
      </c>
      <c r="P166" s="71" t="s">
        <v>521</v>
      </c>
      <c r="Q166" s="302" t="s">
        <v>522</v>
      </c>
      <c r="R166" s="303">
        <v>2015</v>
      </c>
      <c r="S166" s="303">
        <v>0</v>
      </c>
      <c r="T166" s="303">
        <v>1</v>
      </c>
      <c r="U166" s="303">
        <v>1</v>
      </c>
      <c r="V166" s="303">
        <v>1</v>
      </c>
      <c r="W166" s="303">
        <v>1</v>
      </c>
      <c r="X166" s="303">
        <v>1</v>
      </c>
      <c r="Y166" s="481">
        <v>0</v>
      </c>
      <c r="Z166" s="481">
        <v>0</v>
      </c>
      <c r="AA166" s="481">
        <v>0</v>
      </c>
      <c r="AB166" s="481">
        <v>0</v>
      </c>
      <c r="AC166" s="481">
        <v>0</v>
      </c>
      <c r="AD166" s="481">
        <v>3</v>
      </c>
      <c r="AE166" s="481">
        <v>0</v>
      </c>
      <c r="AF166" s="481">
        <f t="shared" si="118"/>
        <v>3</v>
      </c>
      <c r="AG166" s="491">
        <v>0.5</v>
      </c>
      <c r="AH166" s="548">
        <v>0</v>
      </c>
      <c r="AI166" s="548">
        <v>0</v>
      </c>
      <c r="AJ166" s="548">
        <v>0</v>
      </c>
      <c r="AK166" s="548">
        <v>0</v>
      </c>
      <c r="AL166" s="548">
        <v>0</v>
      </c>
      <c r="AM166" s="548">
        <f t="shared" si="119"/>
        <v>0.5</v>
      </c>
      <c r="AN166" s="491">
        <v>0.5</v>
      </c>
      <c r="AO166" s="481">
        <v>0</v>
      </c>
      <c r="AP166" s="481">
        <v>0</v>
      </c>
      <c r="AQ166" s="481">
        <v>0</v>
      </c>
      <c r="AR166" s="481">
        <v>0</v>
      </c>
      <c r="AS166" s="481">
        <v>0</v>
      </c>
      <c r="AT166" s="481">
        <v>0</v>
      </c>
      <c r="AU166" s="481">
        <f t="shared" si="120"/>
        <v>0.5</v>
      </c>
      <c r="AV166" s="548">
        <f>AN166*1.035</f>
        <v>0.51749999999999996</v>
      </c>
      <c r="AW166" s="548">
        <f>AO166*1.035</f>
        <v>0</v>
      </c>
      <c r="AX166" s="548">
        <f>AP166*1.035</f>
        <v>0</v>
      </c>
      <c r="AY166" s="548">
        <f>AQ166*1.035</f>
        <v>0</v>
      </c>
      <c r="AZ166" s="548">
        <f>AR166*1.035</f>
        <v>0</v>
      </c>
      <c r="BA166" s="548"/>
      <c r="BB166" s="548">
        <v>0</v>
      </c>
      <c r="BC166" s="548">
        <f t="shared" si="122"/>
        <v>0.51749999999999996</v>
      </c>
      <c r="BD166" s="42">
        <f t="shared" si="123"/>
        <v>1.5175000000000001</v>
      </c>
      <c r="BE166" s="42">
        <f t="shared" si="123"/>
        <v>0</v>
      </c>
      <c r="BF166" s="42">
        <f t="shared" si="123"/>
        <v>0</v>
      </c>
      <c r="BG166" s="42">
        <f t="shared" si="123"/>
        <v>0</v>
      </c>
      <c r="BH166" s="42">
        <f t="shared" si="123"/>
        <v>0</v>
      </c>
      <c r="BI166" s="42">
        <f t="shared" si="107"/>
        <v>3</v>
      </c>
      <c r="BJ166" s="42">
        <f t="shared" si="124"/>
        <v>0</v>
      </c>
      <c r="BK166" s="42">
        <f t="shared" si="124"/>
        <v>4.5175000000000001</v>
      </c>
      <c r="BL166" s="3"/>
    </row>
    <row r="167" spans="1:64" ht="73.5" customHeight="1" x14ac:dyDescent="0.25">
      <c r="A167" s="298" t="s">
        <v>491</v>
      </c>
      <c r="B167" s="299" t="s">
        <v>489</v>
      </c>
      <c r="C167" s="1547"/>
      <c r="D167" s="1551"/>
      <c r="E167" s="1551"/>
      <c r="F167" s="1551"/>
      <c r="G167" s="1551"/>
      <c r="H167" s="1551"/>
      <c r="I167" s="1425"/>
      <c r="J167" s="1425"/>
      <c r="K167" s="1425" t="s">
        <v>523</v>
      </c>
      <c r="L167" s="301" t="s">
        <v>496</v>
      </c>
      <c r="M167" s="1425" t="s">
        <v>497</v>
      </c>
      <c r="N167" s="476"/>
      <c r="O167" s="1425" t="s">
        <v>47</v>
      </c>
      <c r="P167" s="71" t="s">
        <v>524</v>
      </c>
      <c r="Q167" s="302" t="s">
        <v>525</v>
      </c>
      <c r="R167" s="303">
        <v>2015</v>
      </c>
      <c r="S167" s="303">
        <v>0</v>
      </c>
      <c r="T167" s="303">
        <v>1</v>
      </c>
      <c r="U167" s="303">
        <v>0</v>
      </c>
      <c r="V167" s="303">
        <v>1</v>
      </c>
      <c r="W167" s="303">
        <v>0</v>
      </c>
      <c r="X167" s="303">
        <v>2</v>
      </c>
      <c r="Y167" s="481"/>
      <c r="Z167" s="481"/>
      <c r="AA167" s="481"/>
      <c r="AB167" s="481"/>
      <c r="AC167" s="481"/>
      <c r="AD167" s="491">
        <v>0.5</v>
      </c>
      <c r="AE167" s="481"/>
      <c r="AF167" s="481">
        <f t="shared" si="118"/>
        <v>0.5</v>
      </c>
      <c r="AG167" s="548"/>
      <c r="AH167" s="548"/>
      <c r="AI167" s="548"/>
      <c r="AJ167" s="548"/>
      <c r="AK167" s="548"/>
      <c r="AL167" s="548"/>
      <c r="AM167" s="548">
        <f t="shared" si="119"/>
        <v>0</v>
      </c>
      <c r="AN167" s="491">
        <v>0.5</v>
      </c>
      <c r="AO167" s="481"/>
      <c r="AP167" s="481"/>
      <c r="AQ167" s="481"/>
      <c r="AR167" s="481"/>
      <c r="AS167" s="481"/>
      <c r="AT167" s="481"/>
      <c r="AU167" s="481">
        <f t="shared" si="120"/>
        <v>0.5</v>
      </c>
      <c r="AV167" s="548"/>
      <c r="AW167" s="548"/>
      <c r="AX167" s="548"/>
      <c r="AY167" s="548"/>
      <c r="AZ167" s="548"/>
      <c r="BA167" s="548"/>
      <c r="BB167" s="548"/>
      <c r="BC167" s="548">
        <f t="shared" si="122"/>
        <v>0</v>
      </c>
      <c r="BD167" s="42">
        <f t="shared" si="123"/>
        <v>0.5</v>
      </c>
      <c r="BE167" s="42">
        <f t="shared" si="123"/>
        <v>0</v>
      </c>
      <c r="BF167" s="42">
        <f t="shared" si="123"/>
        <v>0</v>
      </c>
      <c r="BG167" s="42">
        <f t="shared" si="123"/>
        <v>0</v>
      </c>
      <c r="BH167" s="42">
        <f t="shared" si="123"/>
        <v>0</v>
      </c>
      <c r="BI167" s="42">
        <f t="shared" si="107"/>
        <v>0.5</v>
      </c>
      <c r="BJ167" s="42">
        <f t="shared" si="124"/>
        <v>0</v>
      </c>
      <c r="BK167" s="42">
        <f t="shared" si="124"/>
        <v>1</v>
      </c>
      <c r="BL167" s="3"/>
    </row>
    <row r="168" spans="1:64" ht="89.25" customHeight="1" x14ac:dyDescent="0.25">
      <c r="A168" s="298" t="s">
        <v>491</v>
      </c>
      <c r="B168" s="299" t="s">
        <v>489</v>
      </c>
      <c r="C168" s="1547"/>
      <c r="D168" s="1551"/>
      <c r="E168" s="1551"/>
      <c r="F168" s="1551"/>
      <c r="G168" s="1551"/>
      <c r="H168" s="1551"/>
      <c r="I168" s="1425"/>
      <c r="J168" s="1425"/>
      <c r="K168" s="1425" t="s">
        <v>526</v>
      </c>
      <c r="L168" s="301" t="s">
        <v>496</v>
      </c>
      <c r="M168" s="1425" t="s">
        <v>497</v>
      </c>
      <c r="N168" s="476"/>
      <c r="O168" s="1425" t="s">
        <v>47</v>
      </c>
      <c r="P168" s="16" t="s">
        <v>527</v>
      </c>
      <c r="Q168" s="302" t="s">
        <v>337</v>
      </c>
      <c r="R168" s="303">
        <v>2015</v>
      </c>
      <c r="S168" s="303">
        <v>0</v>
      </c>
      <c r="T168" s="303">
        <v>4</v>
      </c>
      <c r="U168" s="303">
        <v>4</v>
      </c>
      <c r="V168" s="303">
        <v>4</v>
      </c>
      <c r="W168" s="303">
        <v>4</v>
      </c>
      <c r="X168" s="303">
        <v>16</v>
      </c>
      <c r="Y168" s="483">
        <v>0</v>
      </c>
      <c r="Z168" s="483">
        <v>0</v>
      </c>
      <c r="AA168" s="483">
        <v>0</v>
      </c>
      <c r="AB168" s="483">
        <v>0</v>
      </c>
      <c r="AC168" s="483">
        <v>0</v>
      </c>
      <c r="AD168" s="483">
        <v>2</v>
      </c>
      <c r="AE168" s="483">
        <v>0</v>
      </c>
      <c r="AF168" s="481">
        <f t="shared" si="118"/>
        <v>2</v>
      </c>
      <c r="AG168" s="491">
        <v>0.5</v>
      </c>
      <c r="AH168" s="587">
        <v>0</v>
      </c>
      <c r="AI168" s="587">
        <v>0</v>
      </c>
      <c r="AJ168" s="587">
        <v>0</v>
      </c>
      <c r="AK168" s="587">
        <v>0</v>
      </c>
      <c r="AL168" s="587">
        <v>0</v>
      </c>
      <c r="AM168" s="548">
        <f t="shared" si="119"/>
        <v>0.5</v>
      </c>
      <c r="AN168" s="491">
        <v>0.5</v>
      </c>
      <c r="AO168" s="483">
        <v>0</v>
      </c>
      <c r="AP168" s="483">
        <v>0</v>
      </c>
      <c r="AQ168" s="483">
        <v>0</v>
      </c>
      <c r="AR168" s="483">
        <v>0</v>
      </c>
      <c r="AS168" s="483">
        <v>0</v>
      </c>
      <c r="AT168" s="483">
        <v>0</v>
      </c>
      <c r="AU168" s="481">
        <f t="shared" si="120"/>
        <v>0.5</v>
      </c>
      <c r="AV168" s="491">
        <v>0.5</v>
      </c>
      <c r="AW168" s="548">
        <v>0</v>
      </c>
      <c r="AX168" s="548">
        <v>0</v>
      </c>
      <c r="AY168" s="548">
        <v>0</v>
      </c>
      <c r="AZ168" s="548">
        <v>0</v>
      </c>
      <c r="BA168" s="548"/>
      <c r="BB168" s="548">
        <v>0</v>
      </c>
      <c r="BC168" s="548">
        <f t="shared" si="122"/>
        <v>0.5</v>
      </c>
      <c r="BD168" s="42">
        <f t="shared" si="123"/>
        <v>1.5</v>
      </c>
      <c r="BE168" s="42">
        <f t="shared" si="123"/>
        <v>0</v>
      </c>
      <c r="BF168" s="42">
        <f t="shared" si="123"/>
        <v>0</v>
      </c>
      <c r="BG168" s="42">
        <f t="shared" si="123"/>
        <v>0</v>
      </c>
      <c r="BH168" s="42">
        <f t="shared" si="123"/>
        <v>0</v>
      </c>
      <c r="BI168" s="42">
        <f t="shared" si="107"/>
        <v>2</v>
      </c>
      <c r="BJ168" s="42">
        <f t="shared" si="124"/>
        <v>0</v>
      </c>
      <c r="BK168" s="42">
        <f t="shared" si="124"/>
        <v>3.5</v>
      </c>
      <c r="BL168" s="3"/>
    </row>
    <row r="169" spans="1:64" ht="78.75" customHeight="1" x14ac:dyDescent="0.25">
      <c r="A169" s="298" t="s">
        <v>491</v>
      </c>
      <c r="B169" s="299" t="s">
        <v>489</v>
      </c>
      <c r="C169" s="1547"/>
      <c r="D169" s="1551"/>
      <c r="E169" s="1551"/>
      <c r="F169" s="1551"/>
      <c r="G169" s="1551"/>
      <c r="H169" s="1551"/>
      <c r="I169" s="1425"/>
      <c r="J169" s="1425"/>
      <c r="K169" s="1425" t="s">
        <v>528</v>
      </c>
      <c r="L169" s="301" t="s">
        <v>496</v>
      </c>
      <c r="M169" s="1425" t="s">
        <v>497</v>
      </c>
      <c r="N169" s="476"/>
      <c r="O169" s="1425" t="s">
        <v>73</v>
      </c>
      <c r="P169" s="71" t="s">
        <v>529</v>
      </c>
      <c r="Q169" s="302" t="s">
        <v>530</v>
      </c>
      <c r="R169" s="303">
        <v>2015</v>
      </c>
      <c r="S169" s="303">
        <v>0</v>
      </c>
      <c r="T169" s="303">
        <v>1</v>
      </c>
      <c r="U169" s="303">
        <v>1</v>
      </c>
      <c r="V169" s="303">
        <v>1</v>
      </c>
      <c r="W169" s="303">
        <v>1</v>
      </c>
      <c r="X169" s="303">
        <v>1</v>
      </c>
      <c r="Y169" s="481">
        <v>0</v>
      </c>
      <c r="Z169" s="481">
        <v>0</v>
      </c>
      <c r="AA169" s="481">
        <v>0</v>
      </c>
      <c r="AB169" s="481">
        <v>0</v>
      </c>
      <c r="AC169" s="481">
        <v>0</v>
      </c>
      <c r="AD169" s="491">
        <v>0.5</v>
      </c>
      <c r="AE169" s="481">
        <v>0</v>
      </c>
      <c r="AF169" s="481">
        <f t="shared" si="118"/>
        <v>0.5</v>
      </c>
      <c r="AG169" s="491">
        <v>0.5</v>
      </c>
      <c r="AH169" s="548">
        <v>0</v>
      </c>
      <c r="AI169" s="548">
        <v>0</v>
      </c>
      <c r="AJ169" s="548">
        <v>0</v>
      </c>
      <c r="AK169" s="548">
        <v>0</v>
      </c>
      <c r="AL169" s="548">
        <v>0</v>
      </c>
      <c r="AM169" s="548">
        <f t="shared" si="119"/>
        <v>0.5</v>
      </c>
      <c r="AN169" s="491">
        <v>0.5</v>
      </c>
      <c r="AO169" s="481">
        <v>0</v>
      </c>
      <c r="AP169" s="481">
        <v>0</v>
      </c>
      <c r="AQ169" s="481">
        <v>0</v>
      </c>
      <c r="AR169" s="481">
        <v>0</v>
      </c>
      <c r="AS169" s="481">
        <v>0</v>
      </c>
      <c r="AT169" s="481">
        <v>0</v>
      </c>
      <c r="AU169" s="481">
        <f t="shared" si="120"/>
        <v>0.5</v>
      </c>
      <c r="AV169" s="491">
        <v>0.5</v>
      </c>
      <c r="AW169" s="548">
        <v>0</v>
      </c>
      <c r="AX169" s="548">
        <v>0</v>
      </c>
      <c r="AY169" s="548">
        <v>0</v>
      </c>
      <c r="AZ169" s="548">
        <v>0</v>
      </c>
      <c r="BA169" s="548">
        <v>0</v>
      </c>
      <c r="BB169" s="548">
        <v>0</v>
      </c>
      <c r="BC169" s="548">
        <f t="shared" si="122"/>
        <v>0.5</v>
      </c>
      <c r="BD169" s="42">
        <f t="shared" si="123"/>
        <v>1.5</v>
      </c>
      <c r="BE169" s="42">
        <f t="shared" si="123"/>
        <v>0</v>
      </c>
      <c r="BF169" s="42">
        <f t="shared" si="123"/>
        <v>0</v>
      </c>
      <c r="BG169" s="42">
        <f t="shared" si="123"/>
        <v>0</v>
      </c>
      <c r="BH169" s="42">
        <f t="shared" si="123"/>
        <v>0</v>
      </c>
      <c r="BI169" s="42">
        <f t="shared" si="107"/>
        <v>0.5</v>
      </c>
      <c r="BJ169" s="42">
        <f t="shared" si="124"/>
        <v>0</v>
      </c>
      <c r="BK169" s="42">
        <f t="shared" si="124"/>
        <v>2</v>
      </c>
      <c r="BL169" s="3"/>
    </row>
    <row r="170" spans="1:64" ht="62.25" customHeight="1" x14ac:dyDescent="0.25">
      <c r="A170" s="298" t="s">
        <v>491</v>
      </c>
      <c r="B170" s="299" t="s">
        <v>489</v>
      </c>
      <c r="C170" s="1547"/>
      <c r="D170" s="1551"/>
      <c r="E170" s="1551"/>
      <c r="F170" s="1551"/>
      <c r="G170" s="1551"/>
      <c r="H170" s="1551"/>
      <c r="I170" s="1425"/>
      <c r="J170" s="1425"/>
      <c r="K170" s="1425" t="s">
        <v>531</v>
      </c>
      <c r="L170" s="301" t="s">
        <v>496</v>
      </c>
      <c r="M170" s="1425" t="s">
        <v>497</v>
      </c>
      <c r="N170" s="476"/>
      <c r="O170" s="1425" t="s">
        <v>47</v>
      </c>
      <c r="P170" s="16" t="s">
        <v>532</v>
      </c>
      <c r="Q170" s="302" t="s">
        <v>533</v>
      </c>
      <c r="R170" s="303">
        <v>2015</v>
      </c>
      <c r="S170" s="303">
        <v>0</v>
      </c>
      <c r="T170" s="303">
        <v>0</v>
      </c>
      <c r="U170" s="303">
        <v>1</v>
      </c>
      <c r="V170" s="303">
        <v>0</v>
      </c>
      <c r="W170" s="303">
        <v>1</v>
      </c>
      <c r="X170" s="303">
        <v>2</v>
      </c>
      <c r="Y170" s="481">
        <v>0</v>
      </c>
      <c r="Z170" s="481">
        <v>0</v>
      </c>
      <c r="AA170" s="481">
        <v>0</v>
      </c>
      <c r="AB170" s="481">
        <v>0</v>
      </c>
      <c r="AC170" s="481">
        <v>0</v>
      </c>
      <c r="AD170" s="481"/>
      <c r="AE170" s="481">
        <v>0</v>
      </c>
      <c r="AF170" s="481">
        <f t="shared" si="118"/>
        <v>0</v>
      </c>
      <c r="AG170" s="491">
        <v>0.5</v>
      </c>
      <c r="AH170" s="548">
        <v>0</v>
      </c>
      <c r="AI170" s="548">
        <v>0</v>
      </c>
      <c r="AJ170" s="548">
        <v>0</v>
      </c>
      <c r="AK170" s="548">
        <v>0</v>
      </c>
      <c r="AL170" s="548">
        <v>0</v>
      </c>
      <c r="AM170" s="548">
        <f t="shared" si="119"/>
        <v>0.5</v>
      </c>
      <c r="AN170" s="481">
        <v>0</v>
      </c>
      <c r="AO170" s="481">
        <v>0</v>
      </c>
      <c r="AP170" s="481">
        <v>0</v>
      </c>
      <c r="AQ170" s="481">
        <v>0</v>
      </c>
      <c r="AR170" s="481">
        <v>0</v>
      </c>
      <c r="AS170" s="481">
        <v>0</v>
      </c>
      <c r="AT170" s="481">
        <v>0</v>
      </c>
      <c r="AU170" s="481">
        <f t="shared" si="120"/>
        <v>0</v>
      </c>
      <c r="AV170" s="491">
        <v>0.5</v>
      </c>
      <c r="AW170" s="548">
        <f t="shared" ref="AV170:AZ171" si="125">AO170*1.035</f>
        <v>0</v>
      </c>
      <c r="AX170" s="548">
        <f t="shared" si="125"/>
        <v>0</v>
      </c>
      <c r="AY170" s="548">
        <f t="shared" si="125"/>
        <v>0</v>
      </c>
      <c r="AZ170" s="548">
        <f t="shared" si="125"/>
        <v>0</v>
      </c>
      <c r="BA170" s="548"/>
      <c r="BB170" s="548">
        <v>0</v>
      </c>
      <c r="BC170" s="548">
        <f t="shared" si="122"/>
        <v>0.5</v>
      </c>
      <c r="BD170" s="42">
        <f t="shared" si="123"/>
        <v>1</v>
      </c>
      <c r="BE170" s="42">
        <f t="shared" si="123"/>
        <v>0</v>
      </c>
      <c r="BF170" s="42">
        <f t="shared" si="123"/>
        <v>0</v>
      </c>
      <c r="BG170" s="42">
        <f t="shared" si="123"/>
        <v>0</v>
      </c>
      <c r="BH170" s="42">
        <f t="shared" si="123"/>
        <v>0</v>
      </c>
      <c r="BI170" s="42">
        <f t="shared" si="107"/>
        <v>0</v>
      </c>
      <c r="BJ170" s="42">
        <f t="shared" si="124"/>
        <v>0</v>
      </c>
      <c r="BK170" s="42">
        <f t="shared" si="124"/>
        <v>1</v>
      </c>
      <c r="BL170" s="3"/>
    </row>
    <row r="171" spans="1:64" ht="61.5" customHeight="1" x14ac:dyDescent="0.25">
      <c r="A171" s="298" t="s">
        <v>491</v>
      </c>
      <c r="B171" s="299" t="s">
        <v>489</v>
      </c>
      <c r="C171" s="1547"/>
      <c r="D171" s="1551"/>
      <c r="E171" s="1551"/>
      <c r="F171" s="1551"/>
      <c r="G171" s="1551"/>
      <c r="H171" s="1551"/>
      <c r="I171" s="1425"/>
      <c r="J171" s="1425"/>
      <c r="K171" s="1425" t="s">
        <v>534</v>
      </c>
      <c r="L171" s="301" t="s">
        <v>496</v>
      </c>
      <c r="M171" s="1425" t="s">
        <v>497</v>
      </c>
      <c r="N171" s="476"/>
      <c r="O171" s="1425" t="s">
        <v>47</v>
      </c>
      <c r="P171" s="16" t="s">
        <v>535</v>
      </c>
      <c r="Q171" s="302" t="s">
        <v>536</v>
      </c>
      <c r="R171" s="303">
        <v>2015</v>
      </c>
      <c r="S171" s="303">
        <v>0</v>
      </c>
      <c r="T171" s="303">
        <v>3</v>
      </c>
      <c r="U171" s="303">
        <v>4</v>
      </c>
      <c r="V171" s="303">
        <v>4</v>
      </c>
      <c r="W171" s="303">
        <v>4</v>
      </c>
      <c r="X171" s="303">
        <v>15</v>
      </c>
      <c r="Y171" s="481">
        <v>0</v>
      </c>
      <c r="Z171" s="481">
        <v>0</v>
      </c>
      <c r="AA171" s="481">
        <v>0</v>
      </c>
      <c r="AB171" s="481">
        <v>0</v>
      </c>
      <c r="AC171" s="481">
        <v>0</v>
      </c>
      <c r="AD171" s="491">
        <v>0.5</v>
      </c>
      <c r="AE171" s="481">
        <v>0</v>
      </c>
      <c r="AF171" s="481">
        <f t="shared" si="118"/>
        <v>0.5</v>
      </c>
      <c r="AG171" s="491">
        <v>0.5</v>
      </c>
      <c r="AH171" s="548">
        <v>0</v>
      </c>
      <c r="AI171" s="548">
        <v>0</v>
      </c>
      <c r="AJ171" s="548">
        <v>0</v>
      </c>
      <c r="AK171" s="548">
        <v>0</v>
      </c>
      <c r="AL171" s="548">
        <v>0</v>
      </c>
      <c r="AM171" s="548">
        <f t="shared" si="119"/>
        <v>0.5</v>
      </c>
      <c r="AN171" s="491">
        <v>0.5</v>
      </c>
      <c r="AO171" s="481">
        <v>0</v>
      </c>
      <c r="AP171" s="481">
        <v>0</v>
      </c>
      <c r="AQ171" s="481">
        <v>0</v>
      </c>
      <c r="AR171" s="481">
        <v>0</v>
      </c>
      <c r="AS171" s="481">
        <v>0</v>
      </c>
      <c r="AT171" s="481">
        <v>0</v>
      </c>
      <c r="AU171" s="481">
        <f t="shared" si="120"/>
        <v>0.5</v>
      </c>
      <c r="AV171" s="548">
        <f t="shared" si="125"/>
        <v>0.51749999999999996</v>
      </c>
      <c r="AW171" s="548">
        <f t="shared" si="125"/>
        <v>0</v>
      </c>
      <c r="AX171" s="548">
        <f t="shared" si="125"/>
        <v>0</v>
      </c>
      <c r="AY171" s="548">
        <f t="shared" si="125"/>
        <v>0</v>
      </c>
      <c r="AZ171" s="548">
        <f t="shared" si="125"/>
        <v>0</v>
      </c>
      <c r="BA171" s="548">
        <f>AS171*1.035</f>
        <v>0</v>
      </c>
      <c r="BB171" s="548">
        <f>AT171*1.035</f>
        <v>0</v>
      </c>
      <c r="BC171" s="548">
        <f t="shared" si="122"/>
        <v>0.51749999999999996</v>
      </c>
      <c r="BD171" s="42">
        <f t="shared" si="123"/>
        <v>1.5175000000000001</v>
      </c>
      <c r="BE171" s="42">
        <f t="shared" si="123"/>
        <v>0</v>
      </c>
      <c r="BF171" s="42">
        <f t="shared" si="123"/>
        <v>0</v>
      </c>
      <c r="BG171" s="42">
        <f t="shared" si="123"/>
        <v>0</v>
      </c>
      <c r="BH171" s="42">
        <f t="shared" si="123"/>
        <v>0</v>
      </c>
      <c r="BI171" s="42">
        <f t="shared" si="107"/>
        <v>0.5</v>
      </c>
      <c r="BJ171" s="42">
        <f t="shared" si="124"/>
        <v>0</v>
      </c>
      <c r="BK171" s="42">
        <f t="shared" si="124"/>
        <v>2.0175000000000001</v>
      </c>
      <c r="BL171" s="3"/>
    </row>
    <row r="172" spans="1:64" ht="63" customHeight="1" x14ac:dyDescent="0.25">
      <c r="A172" s="298" t="s">
        <v>491</v>
      </c>
      <c r="B172" s="299" t="s">
        <v>489</v>
      </c>
      <c r="C172" s="1547"/>
      <c r="D172" s="1551"/>
      <c r="E172" s="1551"/>
      <c r="F172" s="1551"/>
      <c r="G172" s="1551"/>
      <c r="H172" s="1551"/>
      <c r="I172" s="1425"/>
      <c r="J172" s="1425"/>
      <c r="K172" s="1425" t="s">
        <v>537</v>
      </c>
      <c r="L172" s="301" t="s">
        <v>496</v>
      </c>
      <c r="M172" s="1425" t="s">
        <v>497</v>
      </c>
      <c r="N172" s="476"/>
      <c r="O172" s="1425" t="s">
        <v>73</v>
      </c>
      <c r="P172" s="16" t="s">
        <v>538</v>
      </c>
      <c r="Q172" s="302" t="s">
        <v>539</v>
      </c>
      <c r="R172" s="303">
        <v>2015</v>
      </c>
      <c r="S172" s="303">
        <v>1</v>
      </c>
      <c r="T172" s="303">
        <v>1</v>
      </c>
      <c r="U172" s="303">
        <v>1</v>
      </c>
      <c r="V172" s="303">
        <v>1</v>
      </c>
      <c r="W172" s="303">
        <v>1</v>
      </c>
      <c r="X172" s="303">
        <v>1</v>
      </c>
      <c r="Y172" s="481">
        <v>0</v>
      </c>
      <c r="Z172" s="481">
        <v>0</v>
      </c>
      <c r="AA172" s="481">
        <v>0</v>
      </c>
      <c r="AB172" s="481">
        <v>0</v>
      </c>
      <c r="AC172" s="481">
        <v>0</v>
      </c>
      <c r="AD172" s="491">
        <v>18</v>
      </c>
      <c r="AE172" s="481">
        <v>0</v>
      </c>
      <c r="AF172" s="481">
        <f t="shared" si="118"/>
        <v>18</v>
      </c>
      <c r="AG172" s="491">
        <v>9</v>
      </c>
      <c r="AH172" s="548">
        <v>0</v>
      </c>
      <c r="AI172" s="548">
        <v>0</v>
      </c>
      <c r="AJ172" s="548">
        <v>0</v>
      </c>
      <c r="AK172" s="548">
        <v>0</v>
      </c>
      <c r="AL172" s="548">
        <v>0</v>
      </c>
      <c r="AM172" s="548">
        <f t="shared" si="119"/>
        <v>9</v>
      </c>
      <c r="AN172" s="491">
        <v>9</v>
      </c>
      <c r="AO172" s="481">
        <v>0</v>
      </c>
      <c r="AP172" s="481">
        <v>0</v>
      </c>
      <c r="AQ172" s="481">
        <v>0</v>
      </c>
      <c r="AR172" s="481">
        <v>0</v>
      </c>
      <c r="AS172" s="481">
        <v>0</v>
      </c>
      <c r="AT172" s="481">
        <v>0</v>
      </c>
      <c r="AU172" s="481">
        <f t="shared" si="120"/>
        <v>9</v>
      </c>
      <c r="AV172" s="491">
        <v>10</v>
      </c>
      <c r="AW172" s="548">
        <v>0</v>
      </c>
      <c r="AX172" s="548">
        <v>0</v>
      </c>
      <c r="AY172" s="548">
        <v>0</v>
      </c>
      <c r="AZ172" s="548">
        <v>0</v>
      </c>
      <c r="BA172" s="548"/>
      <c r="BB172" s="548">
        <v>0</v>
      </c>
      <c r="BC172" s="548">
        <f t="shared" si="122"/>
        <v>10</v>
      </c>
      <c r="BD172" s="42">
        <f t="shared" si="123"/>
        <v>28</v>
      </c>
      <c r="BE172" s="42">
        <f t="shared" si="123"/>
        <v>0</v>
      </c>
      <c r="BF172" s="42">
        <f t="shared" si="123"/>
        <v>0</v>
      </c>
      <c r="BG172" s="42">
        <f t="shared" si="123"/>
        <v>0</v>
      </c>
      <c r="BH172" s="42">
        <f t="shared" si="123"/>
        <v>0</v>
      </c>
      <c r="BI172" s="42">
        <f t="shared" si="107"/>
        <v>18</v>
      </c>
      <c r="BJ172" s="42">
        <f t="shared" si="124"/>
        <v>0</v>
      </c>
      <c r="BK172" s="42">
        <f t="shared" si="124"/>
        <v>46</v>
      </c>
      <c r="BL172" s="3"/>
    </row>
    <row r="173" spans="1:64" ht="68.25" customHeight="1" x14ac:dyDescent="0.25">
      <c r="A173" s="298" t="s">
        <v>491</v>
      </c>
      <c r="B173" s="299" t="s">
        <v>489</v>
      </c>
      <c r="C173" s="1547"/>
      <c r="D173" s="1551"/>
      <c r="E173" s="1551"/>
      <c r="F173" s="1551"/>
      <c r="G173" s="1551"/>
      <c r="H173" s="1551"/>
      <c r="I173" s="1425"/>
      <c r="J173" s="1425"/>
      <c r="K173" s="1425" t="s">
        <v>540</v>
      </c>
      <c r="L173" s="301" t="s">
        <v>496</v>
      </c>
      <c r="M173" s="1425" t="s">
        <v>497</v>
      </c>
      <c r="N173" s="476"/>
      <c r="O173" s="1425" t="s">
        <v>73</v>
      </c>
      <c r="P173" s="16" t="s">
        <v>541</v>
      </c>
      <c r="Q173" s="302" t="s">
        <v>542</v>
      </c>
      <c r="R173" s="303">
        <v>2015</v>
      </c>
      <c r="S173" s="303">
        <v>0</v>
      </c>
      <c r="T173" s="303">
        <v>1</v>
      </c>
      <c r="U173" s="303">
        <v>1</v>
      </c>
      <c r="V173" s="303">
        <v>1</v>
      </c>
      <c r="W173" s="303">
        <v>1</v>
      </c>
      <c r="X173" s="303">
        <v>1</v>
      </c>
      <c r="Y173" s="481"/>
      <c r="Z173" s="481"/>
      <c r="AA173" s="481"/>
      <c r="AB173" s="481"/>
      <c r="AC173" s="481"/>
      <c r="AD173" s="481">
        <v>30</v>
      </c>
      <c r="AE173" s="481"/>
      <c r="AF173" s="481">
        <f t="shared" si="118"/>
        <v>30</v>
      </c>
      <c r="AG173" s="491">
        <v>9.24</v>
      </c>
      <c r="AH173" s="548"/>
      <c r="AI173" s="548"/>
      <c r="AJ173" s="548"/>
      <c r="AK173" s="548"/>
      <c r="AL173" s="548"/>
      <c r="AM173" s="548">
        <f t="shared" si="119"/>
        <v>9.24</v>
      </c>
      <c r="AN173" s="491">
        <v>9</v>
      </c>
      <c r="AO173" s="481"/>
      <c r="AP173" s="481"/>
      <c r="AQ173" s="481"/>
      <c r="AR173" s="481"/>
      <c r="AS173" s="481">
        <v>0</v>
      </c>
      <c r="AT173" s="481"/>
      <c r="AU173" s="481">
        <f t="shared" si="120"/>
        <v>9</v>
      </c>
      <c r="AV173" s="491">
        <v>10.35</v>
      </c>
      <c r="AW173" s="548"/>
      <c r="AX173" s="548"/>
      <c r="AY173" s="548"/>
      <c r="AZ173" s="548"/>
      <c r="BA173" s="548"/>
      <c r="BB173" s="548"/>
      <c r="BC173" s="548">
        <f t="shared" si="122"/>
        <v>10.35</v>
      </c>
      <c r="BD173" s="42">
        <f t="shared" si="123"/>
        <v>28.590000000000003</v>
      </c>
      <c r="BE173" s="42">
        <f t="shared" si="123"/>
        <v>0</v>
      </c>
      <c r="BF173" s="42">
        <f t="shared" si="123"/>
        <v>0</v>
      </c>
      <c r="BG173" s="42">
        <f t="shared" si="123"/>
        <v>0</v>
      </c>
      <c r="BH173" s="42">
        <f t="shared" si="123"/>
        <v>0</v>
      </c>
      <c r="BI173" s="42">
        <f t="shared" si="107"/>
        <v>30</v>
      </c>
      <c r="BJ173" s="42">
        <f t="shared" si="124"/>
        <v>0</v>
      </c>
      <c r="BK173" s="42">
        <f t="shared" si="124"/>
        <v>58.59</v>
      </c>
      <c r="BL173" s="3"/>
    </row>
    <row r="174" spans="1:64" ht="75" customHeight="1" x14ac:dyDescent="0.25">
      <c r="A174" s="298" t="s">
        <v>491</v>
      </c>
      <c r="B174" s="299" t="s">
        <v>489</v>
      </c>
      <c r="C174" s="1547"/>
      <c r="D174" s="1551"/>
      <c r="E174" s="1551"/>
      <c r="F174" s="1551"/>
      <c r="G174" s="1551"/>
      <c r="H174" s="1551"/>
      <c r="I174" s="1425"/>
      <c r="J174" s="1425"/>
      <c r="K174" s="1425" t="s">
        <v>543</v>
      </c>
      <c r="L174" s="301" t="s">
        <v>496</v>
      </c>
      <c r="M174" s="1425" t="s">
        <v>497</v>
      </c>
      <c r="N174" s="476"/>
      <c r="O174" s="1425" t="s">
        <v>47</v>
      </c>
      <c r="P174" s="16" t="s">
        <v>544</v>
      </c>
      <c r="Q174" s="302" t="s">
        <v>545</v>
      </c>
      <c r="R174" s="303">
        <v>2015</v>
      </c>
      <c r="S174" s="303">
        <v>0</v>
      </c>
      <c r="T174" s="303">
        <v>3</v>
      </c>
      <c r="U174" s="303">
        <v>3</v>
      </c>
      <c r="V174" s="303">
        <v>3</v>
      </c>
      <c r="W174" s="303">
        <v>3</v>
      </c>
      <c r="X174" s="303">
        <v>12</v>
      </c>
      <c r="Y174" s="481">
        <v>0</v>
      </c>
      <c r="Z174" s="481">
        <v>0</v>
      </c>
      <c r="AA174" s="481">
        <v>0</v>
      </c>
      <c r="AB174" s="481">
        <v>0</v>
      </c>
      <c r="AC174" s="481">
        <v>0</v>
      </c>
      <c r="AD174" s="491">
        <v>0.5</v>
      </c>
      <c r="AE174" s="481">
        <v>0</v>
      </c>
      <c r="AF174" s="481">
        <f t="shared" si="118"/>
        <v>0.5</v>
      </c>
      <c r="AG174" s="491">
        <v>0.5</v>
      </c>
      <c r="AH174" s="548">
        <v>0</v>
      </c>
      <c r="AI174" s="548">
        <v>0</v>
      </c>
      <c r="AJ174" s="548">
        <v>0</v>
      </c>
      <c r="AK174" s="548">
        <v>0</v>
      </c>
      <c r="AL174" s="548">
        <v>0</v>
      </c>
      <c r="AM174" s="548">
        <f t="shared" si="119"/>
        <v>0.5</v>
      </c>
      <c r="AN174" s="491">
        <v>0.5</v>
      </c>
      <c r="AO174" s="481">
        <v>0</v>
      </c>
      <c r="AP174" s="481">
        <v>0</v>
      </c>
      <c r="AQ174" s="481">
        <v>0</v>
      </c>
      <c r="AR174" s="481">
        <v>0</v>
      </c>
      <c r="AS174" s="481">
        <v>0</v>
      </c>
      <c r="AT174" s="481">
        <v>0</v>
      </c>
      <c r="AU174" s="481">
        <f t="shared" si="120"/>
        <v>0.5</v>
      </c>
      <c r="AV174" s="491">
        <v>0.5</v>
      </c>
      <c r="AW174" s="548">
        <v>0</v>
      </c>
      <c r="AX174" s="548">
        <v>0</v>
      </c>
      <c r="AY174" s="548">
        <v>0</v>
      </c>
      <c r="AZ174" s="548">
        <v>0</v>
      </c>
      <c r="BA174" s="548">
        <v>0</v>
      </c>
      <c r="BB174" s="548">
        <v>0</v>
      </c>
      <c r="BC174" s="548">
        <f t="shared" si="122"/>
        <v>0.5</v>
      </c>
      <c r="BD174" s="42">
        <f t="shared" si="123"/>
        <v>1.5</v>
      </c>
      <c r="BE174" s="42">
        <f t="shared" si="123"/>
        <v>0</v>
      </c>
      <c r="BF174" s="42">
        <f t="shared" si="123"/>
        <v>0</v>
      </c>
      <c r="BG174" s="42">
        <f t="shared" si="123"/>
        <v>0</v>
      </c>
      <c r="BH174" s="42">
        <f t="shared" si="123"/>
        <v>0</v>
      </c>
      <c r="BI174" s="42">
        <f t="shared" si="107"/>
        <v>0.5</v>
      </c>
      <c r="BJ174" s="42">
        <f t="shared" si="124"/>
        <v>0</v>
      </c>
      <c r="BK174" s="42">
        <f t="shared" si="124"/>
        <v>2</v>
      </c>
      <c r="BL174" s="3"/>
    </row>
    <row r="175" spans="1:64" ht="78" customHeight="1" x14ac:dyDescent="0.25">
      <c r="A175" s="298" t="s">
        <v>491</v>
      </c>
      <c r="B175" s="299" t="s">
        <v>489</v>
      </c>
      <c r="C175" s="1547"/>
      <c r="D175" s="1551"/>
      <c r="E175" s="1551"/>
      <c r="F175" s="1551"/>
      <c r="G175" s="1551"/>
      <c r="H175" s="1551"/>
      <c r="I175" s="1425"/>
      <c r="J175" s="1425"/>
      <c r="K175" s="1425" t="s">
        <v>546</v>
      </c>
      <c r="L175" s="301" t="s">
        <v>496</v>
      </c>
      <c r="M175" s="1425" t="s">
        <v>497</v>
      </c>
      <c r="N175" s="476"/>
      <c r="O175" s="1425" t="s">
        <v>73</v>
      </c>
      <c r="P175" s="16" t="s">
        <v>547</v>
      </c>
      <c r="Q175" s="302" t="s">
        <v>548</v>
      </c>
      <c r="R175" s="303">
        <v>2015</v>
      </c>
      <c r="S175" s="303">
        <v>0</v>
      </c>
      <c r="T175" s="303">
        <v>1</v>
      </c>
      <c r="U175" s="303">
        <v>1</v>
      </c>
      <c r="V175" s="303">
        <v>1</v>
      </c>
      <c r="W175" s="303">
        <v>1</v>
      </c>
      <c r="X175" s="303">
        <v>1</v>
      </c>
      <c r="Y175" s="481">
        <v>0</v>
      </c>
      <c r="Z175" s="481">
        <v>0</v>
      </c>
      <c r="AA175" s="481">
        <v>0</v>
      </c>
      <c r="AB175" s="481">
        <v>0</v>
      </c>
      <c r="AC175" s="481">
        <v>0</v>
      </c>
      <c r="AD175" s="481">
        <v>10</v>
      </c>
      <c r="AE175" s="481">
        <v>0</v>
      </c>
      <c r="AF175" s="481">
        <f t="shared" si="118"/>
        <v>10</v>
      </c>
      <c r="AG175" s="491">
        <v>0.5</v>
      </c>
      <c r="AH175" s="548">
        <v>0</v>
      </c>
      <c r="AI175" s="548">
        <v>0</v>
      </c>
      <c r="AJ175" s="548">
        <v>0</v>
      </c>
      <c r="AK175" s="548">
        <v>0</v>
      </c>
      <c r="AL175" s="548">
        <v>0</v>
      </c>
      <c r="AM175" s="548">
        <f t="shared" si="119"/>
        <v>0.5</v>
      </c>
      <c r="AN175" s="491">
        <v>0.5</v>
      </c>
      <c r="AO175" s="481">
        <v>0</v>
      </c>
      <c r="AP175" s="481">
        <v>0</v>
      </c>
      <c r="AQ175" s="481">
        <v>0</v>
      </c>
      <c r="AR175" s="481">
        <v>0</v>
      </c>
      <c r="AS175" s="481">
        <v>0</v>
      </c>
      <c r="AT175" s="481">
        <v>0</v>
      </c>
      <c r="AU175" s="481">
        <f t="shared" si="120"/>
        <v>0.5</v>
      </c>
      <c r="AV175" s="491">
        <v>0.5</v>
      </c>
      <c r="AW175" s="548">
        <v>0</v>
      </c>
      <c r="AX175" s="548">
        <v>0</v>
      </c>
      <c r="AY175" s="548">
        <v>0</v>
      </c>
      <c r="AZ175" s="548">
        <v>0</v>
      </c>
      <c r="BA175" s="548"/>
      <c r="BB175" s="548">
        <v>0</v>
      </c>
      <c r="BC175" s="548">
        <f t="shared" si="122"/>
        <v>0.5</v>
      </c>
      <c r="BD175" s="42">
        <f t="shared" si="123"/>
        <v>1.5</v>
      </c>
      <c r="BE175" s="42">
        <f t="shared" si="123"/>
        <v>0</v>
      </c>
      <c r="BF175" s="42">
        <f t="shared" si="123"/>
        <v>0</v>
      </c>
      <c r="BG175" s="42">
        <f t="shared" si="123"/>
        <v>0</v>
      </c>
      <c r="BH175" s="42">
        <f t="shared" si="123"/>
        <v>0</v>
      </c>
      <c r="BI175" s="42">
        <f t="shared" si="107"/>
        <v>10</v>
      </c>
      <c r="BJ175" s="42">
        <f t="shared" si="124"/>
        <v>0</v>
      </c>
      <c r="BK175" s="42">
        <f t="shared" si="124"/>
        <v>11.5</v>
      </c>
      <c r="BL175" s="3"/>
    </row>
    <row r="176" spans="1:64" ht="87.75" customHeight="1" x14ac:dyDescent="0.25">
      <c r="A176" s="298" t="s">
        <v>491</v>
      </c>
      <c r="B176" s="299" t="s">
        <v>489</v>
      </c>
      <c r="C176" s="1547"/>
      <c r="D176" s="1551"/>
      <c r="E176" s="1551"/>
      <c r="F176" s="1551"/>
      <c r="G176" s="1551"/>
      <c r="H176" s="1551"/>
      <c r="I176" s="1425"/>
      <c r="J176" s="1425"/>
      <c r="K176" s="1425" t="s">
        <v>549</v>
      </c>
      <c r="L176" s="301" t="s">
        <v>496</v>
      </c>
      <c r="M176" s="1425" t="s">
        <v>497</v>
      </c>
      <c r="N176" s="476"/>
      <c r="O176" s="1425" t="s">
        <v>47</v>
      </c>
      <c r="P176" s="16" t="s">
        <v>550</v>
      </c>
      <c r="Q176" s="302" t="s">
        <v>551</v>
      </c>
      <c r="R176" s="303">
        <v>2015</v>
      </c>
      <c r="S176" s="303">
        <v>48</v>
      </c>
      <c r="T176" s="303">
        <v>24</v>
      </c>
      <c r="U176" s="303">
        <v>24</v>
      </c>
      <c r="V176" s="303">
        <v>24</v>
      </c>
      <c r="W176" s="303">
        <v>24</v>
      </c>
      <c r="X176" s="303">
        <v>96</v>
      </c>
      <c r="Y176" s="481">
        <v>0</v>
      </c>
      <c r="Z176" s="481">
        <v>0</v>
      </c>
      <c r="AA176" s="491">
        <v>7.63</v>
      </c>
      <c r="AB176" s="481">
        <v>0</v>
      </c>
      <c r="AC176" s="481">
        <v>0</v>
      </c>
      <c r="AD176" s="491">
        <v>0.5</v>
      </c>
      <c r="AE176" s="481">
        <v>0</v>
      </c>
      <c r="AF176" s="481">
        <f t="shared" si="118"/>
        <v>8.129999999999999</v>
      </c>
      <c r="AG176" s="491">
        <v>0.5</v>
      </c>
      <c r="AH176" s="548">
        <v>0</v>
      </c>
      <c r="AI176" s="548">
        <v>0</v>
      </c>
      <c r="AJ176" s="548">
        <v>0</v>
      </c>
      <c r="AK176" s="548">
        <v>0</v>
      </c>
      <c r="AL176" s="548">
        <v>0</v>
      </c>
      <c r="AM176" s="548">
        <f t="shared" si="119"/>
        <v>0.5</v>
      </c>
      <c r="AN176" s="491">
        <v>0.5</v>
      </c>
      <c r="AO176" s="481">
        <v>0</v>
      </c>
      <c r="AP176" s="481">
        <v>0</v>
      </c>
      <c r="AQ176" s="481">
        <v>0</v>
      </c>
      <c r="AR176" s="481">
        <v>0</v>
      </c>
      <c r="AS176" s="481">
        <v>0</v>
      </c>
      <c r="AT176" s="481">
        <v>0</v>
      </c>
      <c r="AU176" s="481">
        <f t="shared" si="120"/>
        <v>0.5</v>
      </c>
      <c r="AV176" s="491">
        <v>0.5</v>
      </c>
      <c r="AW176" s="548">
        <v>0</v>
      </c>
      <c r="AX176" s="548">
        <v>0</v>
      </c>
      <c r="AY176" s="548">
        <v>0</v>
      </c>
      <c r="AZ176" s="548">
        <v>0</v>
      </c>
      <c r="BA176" s="548"/>
      <c r="BB176" s="548">
        <v>0</v>
      </c>
      <c r="BC176" s="548">
        <f t="shared" si="122"/>
        <v>0.5</v>
      </c>
      <c r="BD176" s="42">
        <f t="shared" si="123"/>
        <v>1.5</v>
      </c>
      <c r="BE176" s="42">
        <f t="shared" si="123"/>
        <v>0</v>
      </c>
      <c r="BF176" s="42">
        <f t="shared" si="123"/>
        <v>7.63</v>
      </c>
      <c r="BG176" s="42">
        <f t="shared" si="123"/>
        <v>0</v>
      </c>
      <c r="BH176" s="42">
        <f t="shared" si="123"/>
        <v>0</v>
      </c>
      <c r="BI176" s="42">
        <f t="shared" si="107"/>
        <v>0.5</v>
      </c>
      <c r="BJ176" s="42">
        <f t="shared" si="124"/>
        <v>0</v>
      </c>
      <c r="BK176" s="42">
        <f t="shared" si="124"/>
        <v>9.629999999999999</v>
      </c>
      <c r="BL176" s="3"/>
    </row>
    <row r="177" spans="1:64" ht="86.25" customHeight="1" x14ac:dyDescent="0.25">
      <c r="A177" s="298" t="s">
        <v>491</v>
      </c>
      <c r="B177" s="299" t="s">
        <v>489</v>
      </c>
      <c r="C177" s="1547"/>
      <c r="D177" s="1551"/>
      <c r="E177" s="1551"/>
      <c r="F177" s="1551"/>
      <c r="G177" s="1551"/>
      <c r="H177" s="1551"/>
      <c r="I177" s="1425"/>
      <c r="J177" s="1425"/>
      <c r="K177" s="1425" t="s">
        <v>552</v>
      </c>
      <c r="L177" s="301" t="s">
        <v>496</v>
      </c>
      <c r="M177" s="1425" t="s">
        <v>497</v>
      </c>
      <c r="N177" s="476"/>
      <c r="O177" s="1425" t="s">
        <v>73</v>
      </c>
      <c r="P177" s="16" t="s">
        <v>553</v>
      </c>
      <c r="Q177" s="302" t="s">
        <v>554</v>
      </c>
      <c r="R177" s="303">
        <v>2015</v>
      </c>
      <c r="S177" s="303">
        <v>3</v>
      </c>
      <c r="T177" s="303">
        <v>3</v>
      </c>
      <c r="U177" s="303">
        <v>3</v>
      </c>
      <c r="V177" s="303">
        <v>3</v>
      </c>
      <c r="W177" s="303">
        <v>3</v>
      </c>
      <c r="X177" s="303">
        <v>3</v>
      </c>
      <c r="Y177" s="481"/>
      <c r="Z177" s="481"/>
      <c r="AA177" s="481"/>
      <c r="AB177" s="481"/>
      <c r="AC177" s="481"/>
      <c r="AD177" s="491">
        <v>0.5</v>
      </c>
      <c r="AE177" s="481"/>
      <c r="AF177" s="481">
        <f t="shared" si="118"/>
        <v>0.5</v>
      </c>
      <c r="AG177" s="491">
        <v>0.5</v>
      </c>
      <c r="AH177" s="548"/>
      <c r="AI177" s="548"/>
      <c r="AJ177" s="548"/>
      <c r="AK177" s="548"/>
      <c r="AL177" s="548"/>
      <c r="AM177" s="548">
        <f t="shared" si="119"/>
        <v>0.5</v>
      </c>
      <c r="AN177" s="491">
        <v>0.5</v>
      </c>
      <c r="AO177" s="481"/>
      <c r="AP177" s="481"/>
      <c r="AQ177" s="481"/>
      <c r="AR177" s="481"/>
      <c r="AS177" s="481"/>
      <c r="AT177" s="481"/>
      <c r="AU177" s="481">
        <f t="shared" si="120"/>
        <v>0.5</v>
      </c>
      <c r="AV177" s="491">
        <v>0.5</v>
      </c>
      <c r="AW177" s="548"/>
      <c r="AX177" s="548"/>
      <c r="AY177" s="548"/>
      <c r="AZ177" s="548"/>
      <c r="BA177" s="548"/>
      <c r="BB177" s="548"/>
      <c r="BC177" s="548">
        <f t="shared" si="122"/>
        <v>0.5</v>
      </c>
      <c r="BD177" s="42">
        <f t="shared" si="123"/>
        <v>1.5</v>
      </c>
      <c r="BE177" s="42">
        <f t="shared" si="123"/>
        <v>0</v>
      </c>
      <c r="BF177" s="42">
        <f t="shared" si="123"/>
        <v>0</v>
      </c>
      <c r="BG177" s="42">
        <f t="shared" si="123"/>
        <v>0</v>
      </c>
      <c r="BH177" s="42">
        <f t="shared" si="123"/>
        <v>0</v>
      </c>
      <c r="BI177" s="42">
        <f t="shared" si="107"/>
        <v>0.5</v>
      </c>
      <c r="BJ177" s="42">
        <f t="shared" si="124"/>
        <v>0</v>
      </c>
      <c r="BK177" s="42">
        <f t="shared" si="124"/>
        <v>2</v>
      </c>
      <c r="BL177" s="3"/>
    </row>
    <row r="178" spans="1:64" ht="37.5" customHeight="1" x14ac:dyDescent="0.25">
      <c r="A178" s="298" t="s">
        <v>491</v>
      </c>
      <c r="B178" s="299" t="s">
        <v>489</v>
      </c>
      <c r="C178" s="1547"/>
      <c r="D178" s="1551"/>
      <c r="E178" s="1551"/>
      <c r="F178" s="1551"/>
      <c r="G178" s="1551"/>
      <c r="H178" s="1551"/>
      <c r="I178" s="1425"/>
      <c r="J178" s="1425"/>
      <c r="K178" s="1425" t="s">
        <v>555</v>
      </c>
      <c r="L178" s="301" t="s">
        <v>496</v>
      </c>
      <c r="M178" s="1425" t="s">
        <v>497</v>
      </c>
      <c r="N178" s="476"/>
      <c r="O178" s="1425" t="s">
        <v>73</v>
      </c>
      <c r="P178" s="16" t="s">
        <v>556</v>
      </c>
      <c r="Q178" s="302" t="s">
        <v>557</v>
      </c>
      <c r="R178" s="303">
        <v>2015</v>
      </c>
      <c r="S178" s="303">
        <v>1</v>
      </c>
      <c r="T178" s="303">
        <v>1</v>
      </c>
      <c r="U178" s="303">
        <v>1</v>
      </c>
      <c r="V178" s="303">
        <v>1</v>
      </c>
      <c r="W178" s="303">
        <v>1</v>
      </c>
      <c r="X178" s="303">
        <v>1</v>
      </c>
      <c r="Y178" s="481">
        <v>0</v>
      </c>
      <c r="Z178" s="481">
        <v>0</v>
      </c>
      <c r="AA178" s="481">
        <v>0</v>
      </c>
      <c r="AB178" s="481">
        <v>0</v>
      </c>
      <c r="AC178" s="481">
        <v>0</v>
      </c>
      <c r="AD178" s="481">
        <v>5</v>
      </c>
      <c r="AE178" s="481">
        <v>0</v>
      </c>
      <c r="AF178" s="481">
        <f t="shared" si="118"/>
        <v>5</v>
      </c>
      <c r="AG178" s="491">
        <v>0.5</v>
      </c>
      <c r="AH178" s="548">
        <v>0</v>
      </c>
      <c r="AI178" s="548">
        <v>0</v>
      </c>
      <c r="AJ178" s="548">
        <v>0</v>
      </c>
      <c r="AK178" s="548">
        <v>0</v>
      </c>
      <c r="AL178" s="548">
        <v>0</v>
      </c>
      <c r="AM178" s="548">
        <f t="shared" si="119"/>
        <v>0.5</v>
      </c>
      <c r="AN178" s="491">
        <v>0.5</v>
      </c>
      <c r="AO178" s="481">
        <v>0</v>
      </c>
      <c r="AP178" s="481">
        <v>0</v>
      </c>
      <c r="AQ178" s="481">
        <v>0</v>
      </c>
      <c r="AR178" s="481">
        <v>0</v>
      </c>
      <c r="AS178" s="481">
        <v>0</v>
      </c>
      <c r="AT178" s="481">
        <v>0</v>
      </c>
      <c r="AU178" s="481">
        <f t="shared" si="120"/>
        <v>0.5</v>
      </c>
      <c r="AV178" s="491">
        <v>0.5</v>
      </c>
      <c r="AW178" s="548">
        <v>0</v>
      </c>
      <c r="AX178" s="548">
        <v>0</v>
      </c>
      <c r="AY178" s="548">
        <v>0</v>
      </c>
      <c r="AZ178" s="548">
        <v>0</v>
      </c>
      <c r="BA178" s="548"/>
      <c r="BB178" s="548">
        <v>0</v>
      </c>
      <c r="BC178" s="548">
        <f t="shared" si="122"/>
        <v>0.5</v>
      </c>
      <c r="BD178" s="42">
        <f t="shared" si="123"/>
        <v>1.5</v>
      </c>
      <c r="BE178" s="42">
        <f t="shared" si="123"/>
        <v>0</v>
      </c>
      <c r="BF178" s="42">
        <f t="shared" si="123"/>
        <v>0</v>
      </c>
      <c r="BG178" s="42">
        <f t="shared" si="123"/>
        <v>0</v>
      </c>
      <c r="BH178" s="42">
        <f t="shared" si="123"/>
        <v>0</v>
      </c>
      <c r="BI178" s="42">
        <f t="shared" si="107"/>
        <v>5</v>
      </c>
      <c r="BJ178" s="42">
        <f t="shared" si="124"/>
        <v>0</v>
      </c>
      <c r="BK178" s="42">
        <f t="shared" si="124"/>
        <v>6.5</v>
      </c>
      <c r="BL178" s="3"/>
    </row>
    <row r="179" spans="1:64" ht="61.5" customHeight="1" x14ac:dyDescent="0.25">
      <c r="A179" s="298" t="s">
        <v>491</v>
      </c>
      <c r="B179" s="299" t="s">
        <v>489</v>
      </c>
      <c r="C179" s="1547"/>
      <c r="D179" s="1551"/>
      <c r="E179" s="1551"/>
      <c r="F179" s="1551"/>
      <c r="G179" s="1551"/>
      <c r="H179" s="1551"/>
      <c r="I179" s="1425"/>
      <c r="J179" s="1425"/>
      <c r="K179" s="1425" t="s">
        <v>558</v>
      </c>
      <c r="L179" s="301" t="s">
        <v>496</v>
      </c>
      <c r="M179" s="1425" t="s">
        <v>497</v>
      </c>
      <c r="N179" s="476"/>
      <c r="O179" s="1425" t="s">
        <v>73</v>
      </c>
      <c r="P179" s="16" t="s">
        <v>559</v>
      </c>
      <c r="Q179" s="302" t="s">
        <v>560</v>
      </c>
      <c r="R179" s="303">
        <v>2015</v>
      </c>
      <c r="S179" s="303">
        <v>1</v>
      </c>
      <c r="T179" s="303">
        <v>1</v>
      </c>
      <c r="U179" s="303">
        <v>1</v>
      </c>
      <c r="V179" s="303">
        <v>1</v>
      </c>
      <c r="W179" s="303">
        <v>1</v>
      </c>
      <c r="X179" s="303">
        <v>1</v>
      </c>
      <c r="Y179" s="481">
        <v>4</v>
      </c>
      <c r="Z179" s="481"/>
      <c r="AA179" s="481"/>
      <c r="AB179" s="481"/>
      <c r="AC179" s="481"/>
      <c r="AD179" s="491">
        <v>0.5</v>
      </c>
      <c r="AE179" s="481"/>
      <c r="AF179" s="481">
        <f t="shared" si="118"/>
        <v>4.5</v>
      </c>
      <c r="AG179" s="548">
        <v>4</v>
      </c>
      <c r="AH179" s="548"/>
      <c r="AI179" s="548"/>
      <c r="AJ179" s="548"/>
      <c r="AK179" s="548"/>
      <c r="AL179" s="548"/>
      <c r="AM179" s="548">
        <f t="shared" si="119"/>
        <v>4</v>
      </c>
      <c r="AN179" s="481">
        <v>4</v>
      </c>
      <c r="AO179" s="481"/>
      <c r="AP179" s="481"/>
      <c r="AQ179" s="481"/>
      <c r="AR179" s="481"/>
      <c r="AS179" s="481"/>
      <c r="AT179" s="481"/>
      <c r="AU179" s="481">
        <f t="shared" si="120"/>
        <v>4</v>
      </c>
      <c r="AV179" s="548">
        <v>4</v>
      </c>
      <c r="AW179" s="548"/>
      <c r="AX179" s="548"/>
      <c r="AY179" s="548"/>
      <c r="AZ179" s="548"/>
      <c r="BA179" s="548"/>
      <c r="BB179" s="548"/>
      <c r="BC179" s="548">
        <f t="shared" si="122"/>
        <v>4</v>
      </c>
      <c r="BD179" s="42">
        <f t="shared" si="123"/>
        <v>16</v>
      </c>
      <c r="BE179" s="42">
        <f t="shared" si="123"/>
        <v>0</v>
      </c>
      <c r="BF179" s="42">
        <f t="shared" si="123"/>
        <v>0</v>
      </c>
      <c r="BG179" s="42">
        <f t="shared" si="123"/>
        <v>0</v>
      </c>
      <c r="BH179" s="42">
        <f t="shared" si="123"/>
        <v>0</v>
      </c>
      <c r="BI179" s="42">
        <f t="shared" si="107"/>
        <v>0.5</v>
      </c>
      <c r="BJ179" s="42">
        <f t="shared" si="124"/>
        <v>0</v>
      </c>
      <c r="BK179" s="42">
        <f t="shared" si="124"/>
        <v>16.5</v>
      </c>
      <c r="BL179" s="3"/>
    </row>
    <row r="180" spans="1:64" ht="141" customHeight="1" x14ac:dyDescent="0.25">
      <c r="A180" s="298" t="s">
        <v>491</v>
      </c>
      <c r="B180" s="299" t="s">
        <v>489</v>
      </c>
      <c r="C180" s="1547"/>
      <c r="D180" s="1551"/>
      <c r="E180" s="1551"/>
      <c r="F180" s="1551"/>
      <c r="G180" s="1551"/>
      <c r="H180" s="1551"/>
      <c r="I180" s="1425"/>
      <c r="J180" s="1425"/>
      <c r="K180" s="1425" t="s">
        <v>561</v>
      </c>
      <c r="L180" s="301" t="s">
        <v>496</v>
      </c>
      <c r="M180" s="1425" t="s">
        <v>497</v>
      </c>
      <c r="N180" s="476"/>
      <c r="O180" s="1425" t="s">
        <v>73</v>
      </c>
      <c r="P180" s="16" t="s">
        <v>562</v>
      </c>
      <c r="Q180" s="302" t="s">
        <v>563</v>
      </c>
      <c r="R180" s="303">
        <v>2015</v>
      </c>
      <c r="S180" s="303">
        <v>1</v>
      </c>
      <c r="T180" s="303">
        <v>1</v>
      </c>
      <c r="U180" s="303">
        <v>1</v>
      </c>
      <c r="V180" s="303">
        <v>1</v>
      </c>
      <c r="W180" s="303">
        <v>1</v>
      </c>
      <c r="X180" s="303">
        <v>1</v>
      </c>
      <c r="Y180" s="491">
        <v>29.37</v>
      </c>
      <c r="Z180" s="481"/>
      <c r="AA180" s="481">
        <v>36</v>
      </c>
      <c r="AB180" s="481"/>
      <c r="AC180" s="481"/>
      <c r="AD180" s="481">
        <v>100</v>
      </c>
      <c r="AE180" s="481"/>
      <c r="AF180" s="481">
        <f t="shared" si="118"/>
        <v>165.37</v>
      </c>
      <c r="AG180" s="491">
        <v>14</v>
      </c>
      <c r="AH180" s="548"/>
      <c r="AI180" s="548">
        <v>36</v>
      </c>
      <c r="AJ180" s="548"/>
      <c r="AK180" s="548"/>
      <c r="AL180" s="548"/>
      <c r="AM180" s="548">
        <f t="shared" si="119"/>
        <v>50</v>
      </c>
      <c r="AN180" s="491">
        <v>14</v>
      </c>
      <c r="AO180" s="481"/>
      <c r="AP180" s="481">
        <v>36</v>
      </c>
      <c r="AQ180" s="481"/>
      <c r="AR180" s="481"/>
      <c r="AS180" s="481">
        <v>0</v>
      </c>
      <c r="AT180" s="481"/>
      <c r="AU180" s="481">
        <f t="shared" si="120"/>
        <v>50</v>
      </c>
      <c r="AV180" s="491">
        <v>19</v>
      </c>
      <c r="AW180" s="548"/>
      <c r="AX180" s="548"/>
      <c r="AY180" s="548"/>
      <c r="AZ180" s="548"/>
      <c r="BA180" s="548"/>
      <c r="BB180" s="548"/>
      <c r="BC180" s="548">
        <f t="shared" si="122"/>
        <v>19</v>
      </c>
      <c r="BD180" s="42">
        <f t="shared" si="123"/>
        <v>76.37</v>
      </c>
      <c r="BE180" s="42">
        <f t="shared" si="123"/>
        <v>0</v>
      </c>
      <c r="BF180" s="42">
        <f t="shared" si="123"/>
        <v>108</v>
      </c>
      <c r="BG180" s="42">
        <f t="shared" si="123"/>
        <v>0</v>
      </c>
      <c r="BH180" s="42">
        <f t="shared" si="123"/>
        <v>0</v>
      </c>
      <c r="BI180" s="42">
        <f t="shared" si="107"/>
        <v>100</v>
      </c>
      <c r="BJ180" s="42">
        <f t="shared" si="124"/>
        <v>0</v>
      </c>
      <c r="BK180" s="42">
        <f t="shared" si="124"/>
        <v>284.37</v>
      </c>
      <c r="BL180" s="3"/>
    </row>
    <row r="181" spans="1:64" ht="60" customHeight="1" x14ac:dyDescent="0.25">
      <c r="A181" s="298" t="s">
        <v>491</v>
      </c>
      <c r="B181" s="299" t="s">
        <v>489</v>
      </c>
      <c r="C181" s="1548"/>
      <c r="D181" s="1552"/>
      <c r="E181" s="1552"/>
      <c r="F181" s="1552"/>
      <c r="G181" s="1552"/>
      <c r="H181" s="1552"/>
      <c r="I181" s="1425"/>
      <c r="J181" s="1425"/>
      <c r="K181" s="1425" t="s">
        <v>564</v>
      </c>
      <c r="L181" s="301" t="s">
        <v>496</v>
      </c>
      <c r="M181" s="1425" t="s">
        <v>497</v>
      </c>
      <c r="N181" s="476"/>
      <c r="O181" s="1425" t="s">
        <v>47</v>
      </c>
      <c r="P181" s="71" t="s">
        <v>565</v>
      </c>
      <c r="Q181" s="345" t="s">
        <v>566</v>
      </c>
      <c r="R181" s="303">
        <v>2015</v>
      </c>
      <c r="S181" s="303" t="s">
        <v>177</v>
      </c>
      <c r="T181" s="303">
        <v>2</v>
      </c>
      <c r="U181" s="303">
        <v>0</v>
      </c>
      <c r="V181" s="303">
        <v>0</v>
      </c>
      <c r="W181" s="303">
        <v>0</v>
      </c>
      <c r="X181" s="303">
        <v>2</v>
      </c>
      <c r="Y181" s="481">
        <v>16.27</v>
      </c>
      <c r="Z181" s="481"/>
      <c r="AA181" s="481"/>
      <c r="AB181" s="481"/>
      <c r="AC181" s="481"/>
      <c r="AD181" s="481">
        <v>31.26</v>
      </c>
      <c r="AE181" s="481"/>
      <c r="AF181" s="481">
        <f t="shared" si="118"/>
        <v>47.53</v>
      </c>
      <c r="AG181" s="548">
        <v>0</v>
      </c>
      <c r="AH181" s="548"/>
      <c r="AI181" s="548"/>
      <c r="AJ181" s="548"/>
      <c r="AK181" s="548"/>
      <c r="AL181" s="548"/>
      <c r="AM181" s="548">
        <f t="shared" si="119"/>
        <v>0</v>
      </c>
      <c r="AN181" s="481">
        <v>0</v>
      </c>
      <c r="AO181" s="481"/>
      <c r="AP181" s="481"/>
      <c r="AQ181" s="481"/>
      <c r="AR181" s="481"/>
      <c r="AS181" s="481"/>
      <c r="AT181" s="481"/>
      <c r="AU181" s="481">
        <f t="shared" si="120"/>
        <v>0</v>
      </c>
      <c r="AV181" s="548"/>
      <c r="AW181" s="548"/>
      <c r="AX181" s="548"/>
      <c r="AY181" s="548"/>
      <c r="AZ181" s="548"/>
      <c r="BA181" s="548"/>
      <c r="BB181" s="548"/>
      <c r="BC181" s="548">
        <f t="shared" si="122"/>
        <v>0</v>
      </c>
      <c r="BD181" s="42">
        <f t="shared" si="123"/>
        <v>16.27</v>
      </c>
      <c r="BE181" s="42">
        <f t="shared" si="123"/>
        <v>0</v>
      </c>
      <c r="BF181" s="42">
        <f t="shared" si="123"/>
        <v>0</v>
      </c>
      <c r="BG181" s="42">
        <f t="shared" si="123"/>
        <v>0</v>
      </c>
      <c r="BH181" s="42">
        <f t="shared" si="123"/>
        <v>0</v>
      </c>
      <c r="BI181" s="42">
        <f t="shared" si="107"/>
        <v>31.26</v>
      </c>
      <c r="BJ181" s="42">
        <f t="shared" si="124"/>
        <v>0</v>
      </c>
      <c r="BK181" s="42">
        <f t="shared" si="124"/>
        <v>47.53</v>
      </c>
      <c r="BL181" s="3"/>
    </row>
    <row r="182" spans="1:64" ht="39.6" x14ac:dyDescent="0.25">
      <c r="A182" s="295" t="s">
        <v>491</v>
      </c>
      <c r="B182" s="154" t="s">
        <v>489</v>
      </c>
      <c r="C182" s="154"/>
      <c r="D182" s="2" t="s">
        <v>567</v>
      </c>
      <c r="E182" s="1"/>
      <c r="F182" s="1"/>
      <c r="G182" s="1"/>
      <c r="H182" s="1"/>
      <c r="I182" s="1"/>
      <c r="J182" s="1"/>
      <c r="K182" s="1"/>
      <c r="L182" s="1"/>
      <c r="M182" s="1"/>
      <c r="N182" s="1"/>
      <c r="O182" s="1"/>
      <c r="P182" s="22" t="s">
        <v>568</v>
      </c>
      <c r="Q182" s="22"/>
      <c r="R182" s="1"/>
      <c r="S182" s="1"/>
      <c r="T182" s="1"/>
      <c r="U182" s="1"/>
      <c r="V182" s="1"/>
      <c r="W182" s="1"/>
      <c r="X182" s="1"/>
      <c r="Y182" s="34">
        <f t="shared" ref="Y182:BK182" si="126">SUM(Y183:Y192)</f>
        <v>13</v>
      </c>
      <c r="Z182" s="34">
        <f t="shared" si="126"/>
        <v>0</v>
      </c>
      <c r="AA182" s="34">
        <f t="shared" si="126"/>
        <v>3</v>
      </c>
      <c r="AB182" s="34">
        <f t="shared" si="126"/>
        <v>0</v>
      </c>
      <c r="AC182" s="34">
        <f t="shared" si="126"/>
        <v>0</v>
      </c>
      <c r="AD182" s="34">
        <f t="shared" si="126"/>
        <v>8</v>
      </c>
      <c r="AE182" s="34">
        <f t="shared" si="126"/>
        <v>0</v>
      </c>
      <c r="AF182" s="34">
        <f t="shared" si="118"/>
        <v>24</v>
      </c>
      <c r="AG182" s="34">
        <f t="shared" si="126"/>
        <v>14</v>
      </c>
      <c r="AH182" s="34">
        <f t="shared" si="126"/>
        <v>0</v>
      </c>
      <c r="AI182" s="34">
        <f t="shared" si="126"/>
        <v>3</v>
      </c>
      <c r="AJ182" s="34">
        <f t="shared" si="126"/>
        <v>0</v>
      </c>
      <c r="AK182" s="34">
        <f t="shared" si="126"/>
        <v>0</v>
      </c>
      <c r="AL182" s="34">
        <f t="shared" si="126"/>
        <v>0</v>
      </c>
      <c r="AM182" s="34">
        <f t="shared" si="119"/>
        <v>17</v>
      </c>
      <c r="AN182" s="34">
        <f t="shared" si="126"/>
        <v>14</v>
      </c>
      <c r="AO182" s="34">
        <f t="shared" si="126"/>
        <v>0</v>
      </c>
      <c r="AP182" s="34">
        <f t="shared" si="126"/>
        <v>3</v>
      </c>
      <c r="AQ182" s="34">
        <f t="shared" si="126"/>
        <v>0</v>
      </c>
      <c r="AR182" s="34">
        <f t="shared" si="126"/>
        <v>0</v>
      </c>
      <c r="AS182" s="34">
        <f t="shared" si="126"/>
        <v>0</v>
      </c>
      <c r="AT182" s="34">
        <f t="shared" si="126"/>
        <v>0</v>
      </c>
      <c r="AU182" s="34">
        <f t="shared" si="120"/>
        <v>17</v>
      </c>
      <c r="AV182" s="34">
        <f t="shared" si="126"/>
        <v>14</v>
      </c>
      <c r="AW182" s="34">
        <f t="shared" si="126"/>
        <v>0</v>
      </c>
      <c r="AX182" s="34">
        <f t="shared" si="126"/>
        <v>3</v>
      </c>
      <c r="AY182" s="34">
        <f t="shared" si="126"/>
        <v>0</v>
      </c>
      <c r="AZ182" s="34">
        <f t="shared" si="126"/>
        <v>0</v>
      </c>
      <c r="BA182" s="34">
        <f t="shared" si="126"/>
        <v>0</v>
      </c>
      <c r="BB182" s="34">
        <f t="shared" si="126"/>
        <v>0</v>
      </c>
      <c r="BC182" s="34">
        <f t="shared" si="122"/>
        <v>17</v>
      </c>
      <c r="BD182" s="34">
        <f t="shared" si="126"/>
        <v>55</v>
      </c>
      <c r="BE182" s="34">
        <f t="shared" si="126"/>
        <v>0</v>
      </c>
      <c r="BF182" s="34">
        <f t="shared" si="126"/>
        <v>12</v>
      </c>
      <c r="BG182" s="34">
        <f t="shared" si="126"/>
        <v>0</v>
      </c>
      <c r="BH182" s="34">
        <f t="shared" si="126"/>
        <v>0</v>
      </c>
      <c r="BI182" s="34">
        <f t="shared" si="107"/>
        <v>8</v>
      </c>
      <c r="BJ182" s="34">
        <f t="shared" si="126"/>
        <v>0</v>
      </c>
      <c r="BK182" s="34">
        <f t="shared" si="126"/>
        <v>75</v>
      </c>
      <c r="BL182" s="3"/>
    </row>
    <row r="183" spans="1:64" ht="68.25" customHeight="1" x14ac:dyDescent="0.25">
      <c r="A183" s="298" t="s">
        <v>491</v>
      </c>
      <c r="B183" s="299" t="s">
        <v>489</v>
      </c>
      <c r="C183" s="1546" t="s">
        <v>569</v>
      </c>
      <c r="D183" s="1550" t="s">
        <v>570</v>
      </c>
      <c r="E183" s="1550" t="s">
        <v>571</v>
      </c>
      <c r="F183" s="1550">
        <v>2015</v>
      </c>
      <c r="G183" s="1550" t="s">
        <v>177</v>
      </c>
      <c r="H183" s="1550">
        <v>10</v>
      </c>
      <c r="I183" s="1425"/>
      <c r="J183" s="1425"/>
      <c r="K183" s="1425" t="s">
        <v>572</v>
      </c>
      <c r="L183" s="301" t="s">
        <v>496</v>
      </c>
      <c r="M183" s="1425" t="s">
        <v>497</v>
      </c>
      <c r="N183" s="476"/>
      <c r="O183" s="1425" t="s">
        <v>73</v>
      </c>
      <c r="P183" s="16" t="s">
        <v>573</v>
      </c>
      <c r="Q183" s="302" t="s">
        <v>574</v>
      </c>
      <c r="R183" s="303">
        <v>2015</v>
      </c>
      <c r="S183" s="303">
        <v>0</v>
      </c>
      <c r="T183" s="303">
        <v>1</v>
      </c>
      <c r="U183" s="303">
        <v>1</v>
      </c>
      <c r="V183" s="303">
        <v>1</v>
      </c>
      <c r="W183" s="303">
        <v>1</v>
      </c>
      <c r="X183" s="303">
        <v>1</v>
      </c>
      <c r="Y183" s="491">
        <v>3</v>
      </c>
      <c r="Z183" s="481"/>
      <c r="AA183" s="481"/>
      <c r="AB183" s="481"/>
      <c r="AC183" s="481"/>
      <c r="AD183" s="481"/>
      <c r="AE183" s="481"/>
      <c r="AF183" s="481">
        <f t="shared" si="118"/>
        <v>3</v>
      </c>
      <c r="AG183" s="491">
        <v>3</v>
      </c>
      <c r="AH183" s="548"/>
      <c r="AI183" s="548"/>
      <c r="AJ183" s="548"/>
      <c r="AK183" s="548"/>
      <c r="AL183" s="548"/>
      <c r="AM183" s="548">
        <f t="shared" si="119"/>
        <v>3</v>
      </c>
      <c r="AN183" s="491">
        <v>3</v>
      </c>
      <c r="AO183" s="481"/>
      <c r="AP183" s="481"/>
      <c r="AQ183" s="481"/>
      <c r="AR183" s="481"/>
      <c r="AS183" s="481"/>
      <c r="AT183" s="481"/>
      <c r="AU183" s="481">
        <f t="shared" si="120"/>
        <v>3</v>
      </c>
      <c r="AV183" s="491">
        <v>3</v>
      </c>
      <c r="AW183" s="548"/>
      <c r="AX183" s="548"/>
      <c r="AY183" s="548"/>
      <c r="AZ183" s="548"/>
      <c r="BA183" s="548"/>
      <c r="BB183" s="548"/>
      <c r="BC183" s="548">
        <f t="shared" si="122"/>
        <v>3</v>
      </c>
      <c r="BD183" s="42">
        <f t="shared" ref="BD183:BH198" si="127">+AV183+AN183+AG183+Y183</f>
        <v>12</v>
      </c>
      <c r="BE183" s="42">
        <f t="shared" si="127"/>
        <v>0</v>
      </c>
      <c r="BF183" s="42">
        <f t="shared" si="127"/>
        <v>0</v>
      </c>
      <c r="BG183" s="42">
        <f t="shared" si="127"/>
        <v>0</v>
      </c>
      <c r="BH183" s="42">
        <f t="shared" si="127"/>
        <v>0</v>
      </c>
      <c r="BI183" s="42">
        <f t="shared" si="107"/>
        <v>0</v>
      </c>
      <c r="BJ183" s="42">
        <f t="shared" ref="BJ183:BK198" si="128">+BB183+AT183+AL183+AE183</f>
        <v>0</v>
      </c>
      <c r="BK183" s="42">
        <f t="shared" si="128"/>
        <v>12</v>
      </c>
      <c r="BL183" s="3"/>
    </row>
    <row r="184" spans="1:64" ht="84.75" customHeight="1" x14ac:dyDescent="0.25">
      <c r="A184" s="298" t="s">
        <v>491</v>
      </c>
      <c r="B184" s="299" t="s">
        <v>489</v>
      </c>
      <c r="C184" s="1547"/>
      <c r="D184" s="1551"/>
      <c r="E184" s="1551"/>
      <c r="F184" s="1551"/>
      <c r="G184" s="1551"/>
      <c r="H184" s="1551"/>
      <c r="I184" s="1425"/>
      <c r="J184" s="1425"/>
      <c r="K184" s="1425" t="s">
        <v>575</v>
      </c>
      <c r="L184" s="301" t="s">
        <v>496</v>
      </c>
      <c r="M184" s="1425" t="s">
        <v>497</v>
      </c>
      <c r="N184" s="476"/>
      <c r="O184" s="1425" t="s">
        <v>47</v>
      </c>
      <c r="P184" s="16" t="s">
        <v>576</v>
      </c>
      <c r="Q184" s="302" t="s">
        <v>577</v>
      </c>
      <c r="R184" s="303">
        <v>2015</v>
      </c>
      <c r="S184" s="303">
        <v>0</v>
      </c>
      <c r="T184" s="303">
        <v>2</v>
      </c>
      <c r="U184" s="303">
        <v>2</v>
      </c>
      <c r="V184" s="303">
        <v>2</v>
      </c>
      <c r="W184" s="303">
        <v>2</v>
      </c>
      <c r="X184" s="303">
        <v>8</v>
      </c>
      <c r="Y184" s="491">
        <v>0.5</v>
      </c>
      <c r="Z184" s="481"/>
      <c r="AA184" s="481"/>
      <c r="AB184" s="481"/>
      <c r="AC184" s="481"/>
      <c r="AD184" s="481"/>
      <c r="AE184" s="481"/>
      <c r="AF184" s="481">
        <f t="shared" si="118"/>
        <v>0.5</v>
      </c>
      <c r="AG184" s="491">
        <v>0.5</v>
      </c>
      <c r="AH184" s="548"/>
      <c r="AI184" s="548"/>
      <c r="AJ184" s="548"/>
      <c r="AK184" s="548"/>
      <c r="AL184" s="548"/>
      <c r="AM184" s="548">
        <f t="shared" si="119"/>
        <v>0.5</v>
      </c>
      <c r="AN184" s="491">
        <v>0.5</v>
      </c>
      <c r="AO184" s="481"/>
      <c r="AP184" s="481"/>
      <c r="AQ184" s="481"/>
      <c r="AR184" s="481"/>
      <c r="AS184" s="481"/>
      <c r="AT184" s="481"/>
      <c r="AU184" s="481">
        <f t="shared" si="120"/>
        <v>0.5</v>
      </c>
      <c r="AV184" s="491">
        <v>0.5</v>
      </c>
      <c r="AW184" s="548"/>
      <c r="AX184" s="548"/>
      <c r="AY184" s="548"/>
      <c r="AZ184" s="548"/>
      <c r="BA184" s="548"/>
      <c r="BB184" s="548"/>
      <c r="BC184" s="548">
        <f t="shared" si="122"/>
        <v>0.5</v>
      </c>
      <c r="BD184" s="42">
        <f t="shared" si="127"/>
        <v>2</v>
      </c>
      <c r="BE184" s="42">
        <f t="shared" si="127"/>
        <v>0</v>
      </c>
      <c r="BF184" s="42">
        <f t="shared" si="127"/>
        <v>0</v>
      </c>
      <c r="BG184" s="42">
        <f t="shared" si="127"/>
        <v>0</v>
      </c>
      <c r="BH184" s="42">
        <f t="shared" si="127"/>
        <v>0</v>
      </c>
      <c r="BI184" s="42">
        <f t="shared" si="107"/>
        <v>0</v>
      </c>
      <c r="BJ184" s="42">
        <f t="shared" si="128"/>
        <v>0</v>
      </c>
      <c r="BK184" s="42">
        <f t="shared" si="128"/>
        <v>2</v>
      </c>
      <c r="BL184" s="3"/>
    </row>
    <row r="185" spans="1:64" ht="90" customHeight="1" x14ac:dyDescent="0.25">
      <c r="A185" s="298" t="s">
        <v>491</v>
      </c>
      <c r="B185" s="299" t="s">
        <v>489</v>
      </c>
      <c r="C185" s="1547"/>
      <c r="D185" s="1551"/>
      <c r="E185" s="1551"/>
      <c r="F185" s="1551"/>
      <c r="G185" s="1551"/>
      <c r="H185" s="1551"/>
      <c r="I185" s="1425"/>
      <c r="J185" s="1425"/>
      <c r="K185" s="1425" t="s">
        <v>578</v>
      </c>
      <c r="L185" s="301" t="s">
        <v>496</v>
      </c>
      <c r="M185" s="1425" t="s">
        <v>497</v>
      </c>
      <c r="N185" s="476"/>
      <c r="O185" s="1425" t="s">
        <v>47</v>
      </c>
      <c r="P185" s="16" t="s">
        <v>579</v>
      </c>
      <c r="Q185" s="302" t="s">
        <v>580</v>
      </c>
      <c r="R185" s="303">
        <v>2015</v>
      </c>
      <c r="S185" s="303">
        <v>0</v>
      </c>
      <c r="T185" s="303">
        <v>1</v>
      </c>
      <c r="U185" s="303">
        <v>1</v>
      </c>
      <c r="V185" s="303">
        <v>1</v>
      </c>
      <c r="W185" s="303">
        <v>1</v>
      </c>
      <c r="X185" s="303">
        <v>4</v>
      </c>
      <c r="Y185" s="491">
        <v>0.5</v>
      </c>
      <c r="Z185" s="481"/>
      <c r="AA185" s="481"/>
      <c r="AB185" s="481"/>
      <c r="AC185" s="481"/>
      <c r="AD185" s="481"/>
      <c r="AE185" s="481"/>
      <c r="AF185" s="481">
        <f t="shared" si="118"/>
        <v>0.5</v>
      </c>
      <c r="AG185" s="491">
        <v>0.5</v>
      </c>
      <c r="AH185" s="548"/>
      <c r="AI185" s="548"/>
      <c r="AJ185" s="548"/>
      <c r="AK185" s="548"/>
      <c r="AL185" s="548"/>
      <c r="AM185" s="548">
        <f t="shared" si="119"/>
        <v>0.5</v>
      </c>
      <c r="AN185" s="491">
        <v>0.5</v>
      </c>
      <c r="AO185" s="481"/>
      <c r="AP185" s="481"/>
      <c r="AQ185" s="481"/>
      <c r="AR185" s="481"/>
      <c r="AS185" s="481"/>
      <c r="AT185" s="481"/>
      <c r="AU185" s="481">
        <f t="shared" si="120"/>
        <v>0.5</v>
      </c>
      <c r="AV185" s="491">
        <v>0.5</v>
      </c>
      <c r="AW185" s="548"/>
      <c r="AX185" s="548"/>
      <c r="AY185" s="548"/>
      <c r="AZ185" s="548"/>
      <c r="BA185" s="548"/>
      <c r="BB185" s="548"/>
      <c r="BC185" s="548">
        <f t="shared" si="122"/>
        <v>0.5</v>
      </c>
      <c r="BD185" s="42">
        <f t="shared" si="127"/>
        <v>2</v>
      </c>
      <c r="BE185" s="42">
        <f t="shared" si="127"/>
        <v>0</v>
      </c>
      <c r="BF185" s="42">
        <f t="shared" si="127"/>
        <v>0</v>
      </c>
      <c r="BG185" s="42">
        <f t="shared" si="127"/>
        <v>0</v>
      </c>
      <c r="BH185" s="42">
        <f t="shared" si="127"/>
        <v>0</v>
      </c>
      <c r="BI185" s="42">
        <f t="shared" si="107"/>
        <v>0</v>
      </c>
      <c r="BJ185" s="42">
        <f t="shared" si="128"/>
        <v>0</v>
      </c>
      <c r="BK185" s="42">
        <f t="shared" si="128"/>
        <v>2</v>
      </c>
      <c r="BL185" s="3"/>
    </row>
    <row r="186" spans="1:64" ht="57" customHeight="1" x14ac:dyDescent="0.25">
      <c r="A186" s="298" t="s">
        <v>491</v>
      </c>
      <c r="B186" s="299" t="s">
        <v>489</v>
      </c>
      <c r="C186" s="1547"/>
      <c r="D186" s="1551"/>
      <c r="E186" s="1551"/>
      <c r="F186" s="1551"/>
      <c r="G186" s="1551"/>
      <c r="H186" s="1551"/>
      <c r="I186" s="1425"/>
      <c r="J186" s="1425"/>
      <c r="K186" s="1425" t="s">
        <v>581</v>
      </c>
      <c r="L186" s="301" t="s">
        <v>496</v>
      </c>
      <c r="M186" s="1425" t="s">
        <v>497</v>
      </c>
      <c r="N186" s="476"/>
      <c r="O186" s="1425" t="s">
        <v>47</v>
      </c>
      <c r="P186" s="16" t="s">
        <v>582</v>
      </c>
      <c r="Q186" s="302" t="s">
        <v>583</v>
      </c>
      <c r="R186" s="303">
        <v>2015</v>
      </c>
      <c r="S186" s="303">
        <v>0</v>
      </c>
      <c r="T186" s="303">
        <v>1</v>
      </c>
      <c r="U186" s="303">
        <v>1</v>
      </c>
      <c r="V186" s="303">
        <v>1</v>
      </c>
      <c r="W186" s="303">
        <v>1</v>
      </c>
      <c r="X186" s="303">
        <v>4</v>
      </c>
      <c r="Y186" s="481">
        <v>5</v>
      </c>
      <c r="Z186" s="481"/>
      <c r="AA186" s="481"/>
      <c r="AB186" s="481"/>
      <c r="AC186" s="481"/>
      <c r="AD186" s="481"/>
      <c r="AE186" s="481"/>
      <c r="AF186" s="481">
        <f t="shared" si="118"/>
        <v>5</v>
      </c>
      <c r="AG186" s="548">
        <v>2</v>
      </c>
      <c r="AH186" s="548"/>
      <c r="AI186" s="548"/>
      <c r="AJ186" s="548"/>
      <c r="AK186" s="548"/>
      <c r="AL186" s="548"/>
      <c r="AM186" s="548">
        <f t="shared" si="119"/>
        <v>2</v>
      </c>
      <c r="AN186" s="481">
        <v>2</v>
      </c>
      <c r="AO186" s="481"/>
      <c r="AP186" s="481"/>
      <c r="AQ186" s="481"/>
      <c r="AR186" s="481"/>
      <c r="AS186" s="481"/>
      <c r="AT186" s="481"/>
      <c r="AU186" s="481">
        <f t="shared" si="120"/>
        <v>2</v>
      </c>
      <c r="AV186" s="548">
        <v>2</v>
      </c>
      <c r="AW186" s="548"/>
      <c r="AX186" s="548"/>
      <c r="AY186" s="548"/>
      <c r="AZ186" s="548"/>
      <c r="BA186" s="548"/>
      <c r="BB186" s="548"/>
      <c r="BC186" s="548">
        <f t="shared" si="122"/>
        <v>2</v>
      </c>
      <c r="BD186" s="42">
        <f t="shared" si="127"/>
        <v>11</v>
      </c>
      <c r="BE186" s="42">
        <f t="shared" si="127"/>
        <v>0</v>
      </c>
      <c r="BF186" s="42">
        <f t="shared" si="127"/>
        <v>0</v>
      </c>
      <c r="BG186" s="42">
        <f t="shared" si="127"/>
        <v>0</v>
      </c>
      <c r="BH186" s="42">
        <f t="shared" si="127"/>
        <v>0</v>
      </c>
      <c r="BI186" s="42">
        <f t="shared" si="107"/>
        <v>0</v>
      </c>
      <c r="BJ186" s="42">
        <f t="shared" si="128"/>
        <v>0</v>
      </c>
      <c r="BK186" s="42">
        <f t="shared" si="128"/>
        <v>11</v>
      </c>
      <c r="BL186" s="3"/>
    </row>
    <row r="187" spans="1:64" ht="72.75" customHeight="1" x14ac:dyDescent="0.25">
      <c r="A187" s="298" t="s">
        <v>491</v>
      </c>
      <c r="B187" s="299" t="s">
        <v>489</v>
      </c>
      <c r="C187" s="1547"/>
      <c r="D187" s="1551"/>
      <c r="E187" s="1551"/>
      <c r="F187" s="1551"/>
      <c r="G187" s="1551"/>
      <c r="H187" s="1551"/>
      <c r="I187" s="1425"/>
      <c r="J187" s="1425"/>
      <c r="K187" s="1425" t="s">
        <v>584</v>
      </c>
      <c r="L187" s="301" t="s">
        <v>496</v>
      </c>
      <c r="M187" s="1425" t="s">
        <v>497</v>
      </c>
      <c r="N187" s="476"/>
      <c r="O187" s="1425" t="s">
        <v>73</v>
      </c>
      <c r="P187" s="16" t="s">
        <v>585</v>
      </c>
      <c r="Q187" s="302" t="s">
        <v>586</v>
      </c>
      <c r="R187" s="303">
        <v>2015</v>
      </c>
      <c r="S187" s="303">
        <v>0</v>
      </c>
      <c r="T187" s="303">
        <v>0</v>
      </c>
      <c r="U187" s="303">
        <v>1</v>
      </c>
      <c r="V187" s="303">
        <v>1</v>
      </c>
      <c r="W187" s="303">
        <v>1</v>
      </c>
      <c r="X187" s="303">
        <v>1</v>
      </c>
      <c r="Y187" s="491"/>
      <c r="Z187" s="481">
        <v>0</v>
      </c>
      <c r="AA187" s="481">
        <v>0</v>
      </c>
      <c r="AB187" s="481">
        <v>0</v>
      </c>
      <c r="AC187" s="481">
        <v>0</v>
      </c>
      <c r="AD187" s="481">
        <v>0</v>
      </c>
      <c r="AE187" s="481">
        <v>0</v>
      </c>
      <c r="AF187" s="481">
        <f t="shared" si="118"/>
        <v>0</v>
      </c>
      <c r="AG187" s="491">
        <v>3.5</v>
      </c>
      <c r="AH187" s="548">
        <v>0</v>
      </c>
      <c r="AI187" s="548">
        <v>2</v>
      </c>
      <c r="AJ187" s="548">
        <v>0</v>
      </c>
      <c r="AK187" s="548">
        <v>0</v>
      </c>
      <c r="AL187" s="548">
        <v>0</v>
      </c>
      <c r="AM187" s="548">
        <f t="shared" si="119"/>
        <v>5.5</v>
      </c>
      <c r="AN187" s="491">
        <v>3.5</v>
      </c>
      <c r="AO187" s="481">
        <v>0</v>
      </c>
      <c r="AP187" s="481">
        <v>2</v>
      </c>
      <c r="AQ187" s="481">
        <v>0</v>
      </c>
      <c r="AR187" s="481">
        <v>0</v>
      </c>
      <c r="AS187" s="481">
        <v>0</v>
      </c>
      <c r="AT187" s="481">
        <v>0</v>
      </c>
      <c r="AU187" s="481">
        <f t="shared" si="120"/>
        <v>5.5</v>
      </c>
      <c r="AV187" s="491">
        <v>4</v>
      </c>
      <c r="AW187" s="548">
        <v>0</v>
      </c>
      <c r="AX187" s="548">
        <v>2</v>
      </c>
      <c r="AY187" s="548">
        <v>0</v>
      </c>
      <c r="AZ187" s="548">
        <v>0</v>
      </c>
      <c r="BA187" s="548">
        <v>0</v>
      </c>
      <c r="BB187" s="548">
        <v>0</v>
      </c>
      <c r="BC187" s="548">
        <f t="shared" si="122"/>
        <v>6</v>
      </c>
      <c r="BD187" s="42">
        <f t="shared" si="127"/>
        <v>11</v>
      </c>
      <c r="BE187" s="42">
        <f t="shared" si="127"/>
        <v>0</v>
      </c>
      <c r="BF187" s="42">
        <f t="shared" si="127"/>
        <v>6</v>
      </c>
      <c r="BG187" s="42">
        <f t="shared" si="127"/>
        <v>0</v>
      </c>
      <c r="BH187" s="42">
        <f t="shared" si="127"/>
        <v>0</v>
      </c>
      <c r="BI187" s="42">
        <f t="shared" si="107"/>
        <v>0</v>
      </c>
      <c r="BJ187" s="42">
        <f t="shared" si="128"/>
        <v>0</v>
      </c>
      <c r="BK187" s="42">
        <f t="shared" si="128"/>
        <v>17</v>
      </c>
      <c r="BL187" s="3"/>
    </row>
    <row r="188" spans="1:64" ht="84.75" customHeight="1" x14ac:dyDescent="0.25">
      <c r="A188" s="298" t="s">
        <v>491</v>
      </c>
      <c r="B188" s="299" t="s">
        <v>489</v>
      </c>
      <c r="C188" s="1547"/>
      <c r="D188" s="1551"/>
      <c r="E188" s="1551"/>
      <c r="F188" s="1551"/>
      <c r="G188" s="1551"/>
      <c r="H188" s="1551"/>
      <c r="I188" s="1425"/>
      <c r="J188" s="1425"/>
      <c r="K188" s="1425" t="s">
        <v>587</v>
      </c>
      <c r="L188" s="301" t="s">
        <v>496</v>
      </c>
      <c r="M188" s="1425" t="s">
        <v>497</v>
      </c>
      <c r="N188" s="476"/>
      <c r="O188" s="1425" t="s">
        <v>73</v>
      </c>
      <c r="P188" s="16" t="s">
        <v>588</v>
      </c>
      <c r="Q188" s="302" t="s">
        <v>589</v>
      </c>
      <c r="R188" s="303">
        <v>2015</v>
      </c>
      <c r="S188" s="303">
        <v>0</v>
      </c>
      <c r="T188" s="303">
        <v>1</v>
      </c>
      <c r="U188" s="303">
        <v>1</v>
      </c>
      <c r="V188" s="303">
        <v>1</v>
      </c>
      <c r="W188" s="303">
        <v>1</v>
      </c>
      <c r="X188" s="303">
        <v>1</v>
      </c>
      <c r="Y188" s="491">
        <v>0.5</v>
      </c>
      <c r="Z188" s="481">
        <v>0</v>
      </c>
      <c r="AA188" s="481">
        <v>0</v>
      </c>
      <c r="AB188" s="481">
        <v>0</v>
      </c>
      <c r="AC188" s="481">
        <v>0</v>
      </c>
      <c r="AD188" s="481">
        <v>8</v>
      </c>
      <c r="AE188" s="481">
        <v>0</v>
      </c>
      <c r="AF188" s="481">
        <f t="shared" si="118"/>
        <v>8.5</v>
      </c>
      <c r="AG188" s="491">
        <v>0.5</v>
      </c>
      <c r="AH188" s="548">
        <v>0</v>
      </c>
      <c r="AI188" s="548">
        <v>0</v>
      </c>
      <c r="AJ188" s="548">
        <v>0</v>
      </c>
      <c r="AK188" s="548">
        <v>0</v>
      </c>
      <c r="AL188" s="548">
        <v>0</v>
      </c>
      <c r="AM188" s="548">
        <f t="shared" si="119"/>
        <v>0.5</v>
      </c>
      <c r="AN188" s="491">
        <v>0.5</v>
      </c>
      <c r="AO188" s="481">
        <v>0</v>
      </c>
      <c r="AP188" s="481">
        <v>0</v>
      </c>
      <c r="AQ188" s="481">
        <v>0</v>
      </c>
      <c r="AR188" s="481">
        <v>0</v>
      </c>
      <c r="AS188" s="481"/>
      <c r="AT188" s="481">
        <v>0</v>
      </c>
      <c r="AU188" s="481">
        <f t="shared" si="120"/>
        <v>0.5</v>
      </c>
      <c r="AV188" s="491">
        <v>0.5</v>
      </c>
      <c r="AW188" s="548">
        <v>0</v>
      </c>
      <c r="AX188" s="548">
        <v>0</v>
      </c>
      <c r="AY188" s="548">
        <v>0</v>
      </c>
      <c r="AZ188" s="548">
        <v>0</v>
      </c>
      <c r="BA188" s="548"/>
      <c r="BB188" s="548">
        <v>0</v>
      </c>
      <c r="BC188" s="548">
        <f t="shared" si="122"/>
        <v>0.5</v>
      </c>
      <c r="BD188" s="42">
        <f t="shared" si="127"/>
        <v>2</v>
      </c>
      <c r="BE188" s="42">
        <f t="shared" si="127"/>
        <v>0</v>
      </c>
      <c r="BF188" s="42">
        <f t="shared" si="127"/>
        <v>0</v>
      </c>
      <c r="BG188" s="42">
        <f t="shared" si="127"/>
        <v>0</v>
      </c>
      <c r="BH188" s="42">
        <f t="shared" si="127"/>
        <v>0</v>
      </c>
      <c r="BI188" s="42">
        <f t="shared" si="107"/>
        <v>8</v>
      </c>
      <c r="BJ188" s="42">
        <f t="shared" si="128"/>
        <v>0</v>
      </c>
      <c r="BK188" s="42">
        <f t="shared" si="128"/>
        <v>10</v>
      </c>
      <c r="BL188" s="3"/>
    </row>
    <row r="189" spans="1:64" ht="105.6" x14ac:dyDescent="0.25">
      <c r="A189" s="298" t="s">
        <v>491</v>
      </c>
      <c r="B189" s="299" t="s">
        <v>489</v>
      </c>
      <c r="C189" s="1547"/>
      <c r="D189" s="1551"/>
      <c r="E189" s="1551"/>
      <c r="F189" s="1551"/>
      <c r="G189" s="1551"/>
      <c r="H189" s="1551"/>
      <c r="I189" s="1425"/>
      <c r="J189" s="1425"/>
      <c r="K189" s="1425" t="s">
        <v>590</v>
      </c>
      <c r="L189" s="301" t="s">
        <v>496</v>
      </c>
      <c r="M189" s="1425" t="s">
        <v>497</v>
      </c>
      <c r="N189" s="476"/>
      <c r="O189" s="1425" t="s">
        <v>47</v>
      </c>
      <c r="P189" s="16" t="s">
        <v>591</v>
      </c>
      <c r="Q189" s="302" t="s">
        <v>592</v>
      </c>
      <c r="R189" s="303">
        <v>2015</v>
      </c>
      <c r="S189" s="303">
        <v>0</v>
      </c>
      <c r="T189" s="303">
        <v>0</v>
      </c>
      <c r="U189" s="303">
        <v>1</v>
      </c>
      <c r="V189" s="303">
        <v>1</v>
      </c>
      <c r="W189" s="303">
        <v>0</v>
      </c>
      <c r="X189" s="303">
        <v>2</v>
      </c>
      <c r="Y189" s="701"/>
      <c r="Z189" s="481"/>
      <c r="AA189" s="481"/>
      <c r="AB189" s="481"/>
      <c r="AC189" s="481"/>
      <c r="AD189" s="481"/>
      <c r="AE189" s="481"/>
      <c r="AF189" s="481">
        <f t="shared" si="118"/>
        <v>0</v>
      </c>
      <c r="AG189" s="491">
        <v>0.5</v>
      </c>
      <c r="AH189" s="548"/>
      <c r="AI189" s="548"/>
      <c r="AJ189" s="548"/>
      <c r="AK189" s="548"/>
      <c r="AL189" s="548"/>
      <c r="AM189" s="548">
        <f t="shared" si="119"/>
        <v>0.5</v>
      </c>
      <c r="AN189" s="491">
        <v>0.5</v>
      </c>
      <c r="AO189" s="481"/>
      <c r="AP189" s="481"/>
      <c r="AQ189" s="481"/>
      <c r="AR189" s="481"/>
      <c r="AS189" s="481"/>
      <c r="AT189" s="481"/>
      <c r="AU189" s="481">
        <f t="shared" si="120"/>
        <v>0.5</v>
      </c>
      <c r="AV189" s="548"/>
      <c r="AW189" s="548"/>
      <c r="AX189" s="548"/>
      <c r="AY189" s="548"/>
      <c r="AZ189" s="548"/>
      <c r="BA189" s="548"/>
      <c r="BB189" s="548"/>
      <c r="BC189" s="548">
        <f t="shared" si="122"/>
        <v>0</v>
      </c>
      <c r="BD189" s="42">
        <f t="shared" si="127"/>
        <v>1</v>
      </c>
      <c r="BE189" s="42">
        <f t="shared" si="127"/>
        <v>0</v>
      </c>
      <c r="BF189" s="42">
        <f t="shared" si="127"/>
        <v>0</v>
      </c>
      <c r="BG189" s="42">
        <f t="shared" si="127"/>
        <v>0</v>
      </c>
      <c r="BH189" s="42">
        <f t="shared" si="127"/>
        <v>0</v>
      </c>
      <c r="BI189" s="42">
        <f t="shared" si="107"/>
        <v>0</v>
      </c>
      <c r="BJ189" s="42">
        <f t="shared" si="128"/>
        <v>0</v>
      </c>
      <c r="BK189" s="42">
        <f t="shared" si="128"/>
        <v>1</v>
      </c>
      <c r="BL189" s="3"/>
    </row>
    <row r="190" spans="1:64" ht="84.75" customHeight="1" x14ac:dyDescent="0.25">
      <c r="A190" s="298" t="s">
        <v>491</v>
      </c>
      <c r="B190" s="299" t="s">
        <v>489</v>
      </c>
      <c r="C190" s="1547"/>
      <c r="D190" s="1551"/>
      <c r="E190" s="1551"/>
      <c r="F190" s="1551"/>
      <c r="G190" s="1551"/>
      <c r="H190" s="1551"/>
      <c r="I190" s="1425"/>
      <c r="J190" s="1425"/>
      <c r="K190" s="1425" t="s">
        <v>593</v>
      </c>
      <c r="L190" s="301" t="s">
        <v>496</v>
      </c>
      <c r="M190" s="1425" t="s">
        <v>497</v>
      </c>
      <c r="N190" s="476"/>
      <c r="O190" s="1425" t="s">
        <v>47</v>
      </c>
      <c r="P190" s="16" t="s">
        <v>594</v>
      </c>
      <c r="Q190" s="302" t="s">
        <v>595</v>
      </c>
      <c r="R190" s="303">
        <v>2015</v>
      </c>
      <c r="S190" s="303">
        <v>0</v>
      </c>
      <c r="T190" s="303">
        <v>1</v>
      </c>
      <c r="U190" s="303">
        <v>1</v>
      </c>
      <c r="V190" s="303">
        <v>1</v>
      </c>
      <c r="W190" s="303">
        <v>1</v>
      </c>
      <c r="X190" s="303">
        <v>4</v>
      </c>
      <c r="Y190" s="481"/>
      <c r="Z190" s="481"/>
      <c r="AA190" s="481">
        <v>3</v>
      </c>
      <c r="AB190" s="481"/>
      <c r="AC190" s="481"/>
      <c r="AD190" s="481"/>
      <c r="AE190" s="481"/>
      <c r="AF190" s="481">
        <f t="shared" si="118"/>
        <v>3</v>
      </c>
      <c r="AG190" s="548"/>
      <c r="AH190" s="548"/>
      <c r="AI190" s="548">
        <v>1</v>
      </c>
      <c r="AJ190" s="548"/>
      <c r="AK190" s="548"/>
      <c r="AL190" s="548"/>
      <c r="AM190" s="548">
        <f t="shared" si="119"/>
        <v>1</v>
      </c>
      <c r="AN190" s="481"/>
      <c r="AO190" s="481"/>
      <c r="AP190" s="481">
        <v>1</v>
      </c>
      <c r="AQ190" s="481"/>
      <c r="AR190" s="481"/>
      <c r="AS190" s="481"/>
      <c r="AT190" s="481"/>
      <c r="AU190" s="481">
        <f t="shared" si="120"/>
        <v>1</v>
      </c>
      <c r="AV190" s="548"/>
      <c r="AW190" s="548"/>
      <c r="AX190" s="548">
        <v>1</v>
      </c>
      <c r="AY190" s="548"/>
      <c r="AZ190" s="548"/>
      <c r="BA190" s="548"/>
      <c r="BB190" s="548"/>
      <c r="BC190" s="548">
        <f t="shared" si="122"/>
        <v>1</v>
      </c>
      <c r="BD190" s="42">
        <f t="shared" si="127"/>
        <v>0</v>
      </c>
      <c r="BE190" s="42">
        <f t="shared" si="127"/>
        <v>0</v>
      </c>
      <c r="BF190" s="42">
        <f t="shared" si="127"/>
        <v>6</v>
      </c>
      <c r="BG190" s="42">
        <f t="shared" si="127"/>
        <v>0</v>
      </c>
      <c r="BH190" s="42">
        <f t="shared" si="127"/>
        <v>0</v>
      </c>
      <c r="BI190" s="42">
        <f t="shared" si="107"/>
        <v>0</v>
      </c>
      <c r="BJ190" s="42">
        <f t="shared" si="128"/>
        <v>0</v>
      </c>
      <c r="BK190" s="42">
        <f t="shared" si="128"/>
        <v>6</v>
      </c>
      <c r="BL190" s="3"/>
    </row>
    <row r="191" spans="1:64" ht="77.25" customHeight="1" x14ac:dyDescent="0.25">
      <c r="A191" s="298" t="s">
        <v>491</v>
      </c>
      <c r="B191" s="299" t="s">
        <v>489</v>
      </c>
      <c r="C191" s="1547"/>
      <c r="D191" s="1551"/>
      <c r="E191" s="1551"/>
      <c r="F191" s="1551"/>
      <c r="G191" s="1551"/>
      <c r="H191" s="1551"/>
      <c r="I191" s="1425"/>
      <c r="J191" s="1425"/>
      <c r="K191" s="1425" t="s">
        <v>596</v>
      </c>
      <c r="L191" s="301" t="s">
        <v>496</v>
      </c>
      <c r="M191" s="1425" t="s">
        <v>497</v>
      </c>
      <c r="N191" s="476"/>
      <c r="O191" s="1425" t="s">
        <v>47</v>
      </c>
      <c r="P191" s="16" t="s">
        <v>597</v>
      </c>
      <c r="Q191" s="302" t="s">
        <v>598</v>
      </c>
      <c r="R191" s="303">
        <v>2015</v>
      </c>
      <c r="S191" s="303">
        <v>0</v>
      </c>
      <c r="T191" s="303">
        <v>3</v>
      </c>
      <c r="U191" s="303">
        <v>4</v>
      </c>
      <c r="V191" s="303">
        <v>4</v>
      </c>
      <c r="W191" s="303">
        <v>4</v>
      </c>
      <c r="X191" s="303">
        <v>15</v>
      </c>
      <c r="Y191" s="491">
        <v>0.5</v>
      </c>
      <c r="Z191" s="481"/>
      <c r="AA191" s="481"/>
      <c r="AB191" s="481"/>
      <c r="AC191" s="481"/>
      <c r="AD191" s="481"/>
      <c r="AE191" s="481"/>
      <c r="AF191" s="481">
        <f t="shared" si="118"/>
        <v>0.5</v>
      </c>
      <c r="AG191" s="491">
        <v>0.5</v>
      </c>
      <c r="AH191" s="548"/>
      <c r="AI191" s="548"/>
      <c r="AJ191" s="548"/>
      <c r="AK191" s="548"/>
      <c r="AL191" s="548"/>
      <c r="AM191" s="548">
        <f t="shared" si="119"/>
        <v>0.5</v>
      </c>
      <c r="AN191" s="491">
        <v>0.5</v>
      </c>
      <c r="AO191" s="481"/>
      <c r="AP191" s="481"/>
      <c r="AQ191" s="481"/>
      <c r="AR191" s="481"/>
      <c r="AS191" s="481"/>
      <c r="AT191" s="481"/>
      <c r="AU191" s="481">
        <f t="shared" si="120"/>
        <v>0.5</v>
      </c>
      <c r="AV191" s="491">
        <v>0.5</v>
      </c>
      <c r="AW191" s="548"/>
      <c r="AX191" s="548"/>
      <c r="AY191" s="548"/>
      <c r="AZ191" s="548"/>
      <c r="BA191" s="548"/>
      <c r="BB191" s="548"/>
      <c r="BC191" s="548">
        <f t="shared" si="122"/>
        <v>0.5</v>
      </c>
      <c r="BD191" s="42">
        <f t="shared" si="127"/>
        <v>2</v>
      </c>
      <c r="BE191" s="42">
        <f t="shared" si="127"/>
        <v>0</v>
      </c>
      <c r="BF191" s="42">
        <f t="shared" si="127"/>
        <v>0</v>
      </c>
      <c r="BG191" s="42">
        <f t="shared" si="127"/>
        <v>0</v>
      </c>
      <c r="BH191" s="42">
        <f t="shared" si="127"/>
        <v>0</v>
      </c>
      <c r="BI191" s="42">
        <f t="shared" si="107"/>
        <v>0</v>
      </c>
      <c r="BJ191" s="42">
        <f t="shared" si="128"/>
        <v>0</v>
      </c>
      <c r="BK191" s="42">
        <f t="shared" si="128"/>
        <v>2</v>
      </c>
      <c r="BL191" s="3"/>
    </row>
    <row r="192" spans="1:64" ht="102.75" customHeight="1" x14ac:dyDescent="0.25">
      <c r="A192" s="298" t="s">
        <v>491</v>
      </c>
      <c r="B192" s="299" t="s">
        <v>489</v>
      </c>
      <c r="C192" s="1548"/>
      <c r="D192" s="1552"/>
      <c r="E192" s="1552"/>
      <c r="F192" s="1552"/>
      <c r="G192" s="1552"/>
      <c r="H192" s="1552"/>
      <c r="I192" s="1425"/>
      <c r="J192" s="1425"/>
      <c r="K192" s="1425" t="s">
        <v>599</v>
      </c>
      <c r="L192" s="301" t="s">
        <v>496</v>
      </c>
      <c r="M192" s="1425" t="s">
        <v>497</v>
      </c>
      <c r="N192" s="476"/>
      <c r="O192" s="1425" t="s">
        <v>47</v>
      </c>
      <c r="P192" s="16" t="s">
        <v>600</v>
      </c>
      <c r="Q192" s="302" t="s">
        <v>601</v>
      </c>
      <c r="R192" s="303">
        <v>2015</v>
      </c>
      <c r="S192" s="303">
        <v>0</v>
      </c>
      <c r="T192" s="303">
        <v>1</v>
      </c>
      <c r="U192" s="303">
        <v>1</v>
      </c>
      <c r="V192" s="303">
        <v>1</v>
      </c>
      <c r="W192" s="303">
        <v>1</v>
      </c>
      <c r="X192" s="303">
        <v>4</v>
      </c>
      <c r="Y192" s="481">
        <v>3</v>
      </c>
      <c r="Z192" s="481"/>
      <c r="AA192" s="481"/>
      <c r="AB192" s="481"/>
      <c r="AC192" s="481"/>
      <c r="AD192" s="481"/>
      <c r="AE192" s="481"/>
      <c r="AF192" s="481">
        <f t="shared" si="118"/>
        <v>3</v>
      </c>
      <c r="AG192" s="548">
        <v>3</v>
      </c>
      <c r="AH192" s="548"/>
      <c r="AI192" s="548"/>
      <c r="AJ192" s="548"/>
      <c r="AK192" s="548"/>
      <c r="AL192" s="548"/>
      <c r="AM192" s="548">
        <f t="shared" si="119"/>
        <v>3</v>
      </c>
      <c r="AN192" s="481">
        <v>3</v>
      </c>
      <c r="AO192" s="481"/>
      <c r="AP192" s="481"/>
      <c r="AQ192" s="481"/>
      <c r="AR192" s="481"/>
      <c r="AS192" s="481"/>
      <c r="AT192" s="481"/>
      <c r="AU192" s="481">
        <f t="shared" si="120"/>
        <v>3</v>
      </c>
      <c r="AV192" s="548">
        <v>3</v>
      </c>
      <c r="AW192" s="548"/>
      <c r="AX192" s="548"/>
      <c r="AY192" s="548"/>
      <c r="AZ192" s="548"/>
      <c r="BA192" s="548"/>
      <c r="BB192" s="548"/>
      <c r="BC192" s="548">
        <f t="shared" si="122"/>
        <v>3</v>
      </c>
      <c r="BD192" s="42">
        <f t="shared" si="127"/>
        <v>12</v>
      </c>
      <c r="BE192" s="42">
        <f t="shared" si="127"/>
        <v>0</v>
      </c>
      <c r="BF192" s="42">
        <f t="shared" si="127"/>
        <v>0</v>
      </c>
      <c r="BG192" s="42">
        <f t="shared" si="127"/>
        <v>0</v>
      </c>
      <c r="BH192" s="42">
        <f t="shared" si="127"/>
        <v>0</v>
      </c>
      <c r="BI192" s="42">
        <f t="shared" si="107"/>
        <v>0</v>
      </c>
      <c r="BJ192" s="42">
        <f t="shared" si="128"/>
        <v>0</v>
      </c>
      <c r="BK192" s="42">
        <f t="shared" si="128"/>
        <v>12</v>
      </c>
      <c r="BL192" s="3"/>
    </row>
    <row r="193" spans="1:64" s="38" customFormat="1" ht="39.6" x14ac:dyDescent="0.25">
      <c r="A193" s="295" t="s">
        <v>491</v>
      </c>
      <c r="B193" s="24" t="s">
        <v>489</v>
      </c>
      <c r="C193" s="51"/>
      <c r="D193" s="52" t="s">
        <v>602</v>
      </c>
      <c r="E193" s="53"/>
      <c r="F193" s="53"/>
      <c r="G193" s="53"/>
      <c r="H193" s="53"/>
      <c r="I193" s="53"/>
      <c r="J193" s="53"/>
      <c r="K193" s="53"/>
      <c r="L193" s="53"/>
      <c r="M193" s="53"/>
      <c r="N193" s="1"/>
      <c r="O193" s="53"/>
      <c r="P193" s="62" t="s">
        <v>603</v>
      </c>
      <c r="Q193" s="62"/>
      <c r="R193" s="53"/>
      <c r="S193" s="53"/>
      <c r="T193" s="53"/>
      <c r="U193" s="53"/>
      <c r="V193" s="53"/>
      <c r="W193" s="53"/>
      <c r="X193" s="53"/>
      <c r="Y193" s="54">
        <f t="shared" ref="Y193:BK193" si="129">SUM(Y194:Y200)</f>
        <v>4.2</v>
      </c>
      <c r="Z193" s="54">
        <f t="shared" si="129"/>
        <v>0</v>
      </c>
      <c r="AA193" s="54">
        <f t="shared" si="129"/>
        <v>5</v>
      </c>
      <c r="AB193" s="54">
        <f t="shared" si="129"/>
        <v>0</v>
      </c>
      <c r="AC193" s="54">
        <f t="shared" si="129"/>
        <v>0</v>
      </c>
      <c r="AD193" s="54">
        <f t="shared" si="129"/>
        <v>0</v>
      </c>
      <c r="AE193" s="54">
        <f t="shared" si="129"/>
        <v>0</v>
      </c>
      <c r="AF193" s="54">
        <f t="shared" si="129"/>
        <v>9.1999999999999993</v>
      </c>
      <c r="AG193" s="54">
        <f t="shared" si="129"/>
        <v>9.370000000000001</v>
      </c>
      <c r="AH193" s="54">
        <f t="shared" si="129"/>
        <v>0</v>
      </c>
      <c r="AI193" s="54">
        <f t="shared" si="129"/>
        <v>5.1749999999999998</v>
      </c>
      <c r="AJ193" s="54">
        <f t="shared" si="129"/>
        <v>0</v>
      </c>
      <c r="AK193" s="54">
        <f t="shared" si="129"/>
        <v>0</v>
      </c>
      <c r="AL193" s="54">
        <f t="shared" si="129"/>
        <v>0</v>
      </c>
      <c r="AM193" s="54">
        <f t="shared" si="129"/>
        <v>14.545</v>
      </c>
      <c r="AN193" s="54">
        <f t="shared" si="129"/>
        <v>14.5</v>
      </c>
      <c r="AO193" s="54">
        <f t="shared" si="129"/>
        <v>0</v>
      </c>
      <c r="AP193" s="54">
        <f t="shared" si="129"/>
        <v>5.3559999999999999</v>
      </c>
      <c r="AQ193" s="54">
        <f t="shared" si="129"/>
        <v>0</v>
      </c>
      <c r="AR193" s="54">
        <f t="shared" si="129"/>
        <v>0</v>
      </c>
      <c r="AS193" s="54">
        <f t="shared" si="129"/>
        <v>0</v>
      </c>
      <c r="AT193" s="54">
        <f t="shared" si="129"/>
        <v>0</v>
      </c>
      <c r="AU193" s="54">
        <f t="shared" si="129"/>
        <v>19.856000000000002</v>
      </c>
      <c r="AV193" s="54">
        <f t="shared" si="129"/>
        <v>4.66</v>
      </c>
      <c r="AW193" s="54">
        <f t="shared" si="129"/>
        <v>0</v>
      </c>
      <c r="AX193" s="54">
        <f t="shared" si="129"/>
        <v>5.54</v>
      </c>
      <c r="AY193" s="54">
        <f t="shared" si="129"/>
        <v>0</v>
      </c>
      <c r="AZ193" s="54">
        <f t="shared" si="129"/>
        <v>0</v>
      </c>
      <c r="BA193" s="54">
        <f t="shared" si="129"/>
        <v>0</v>
      </c>
      <c r="BB193" s="54">
        <f t="shared" si="129"/>
        <v>0</v>
      </c>
      <c r="BC193" s="54">
        <f t="shared" si="129"/>
        <v>10.199999999999999</v>
      </c>
      <c r="BD193" s="54">
        <f t="shared" si="129"/>
        <v>32.729999999999997</v>
      </c>
      <c r="BE193" s="54">
        <f t="shared" si="129"/>
        <v>0</v>
      </c>
      <c r="BF193" s="54">
        <f t="shared" si="129"/>
        <v>21.070999999999998</v>
      </c>
      <c r="BG193" s="54">
        <f t="shared" si="129"/>
        <v>0</v>
      </c>
      <c r="BH193" s="54">
        <f t="shared" si="129"/>
        <v>0</v>
      </c>
      <c r="BI193" s="54">
        <f t="shared" si="107"/>
        <v>0</v>
      </c>
      <c r="BJ193" s="54">
        <f t="shared" si="129"/>
        <v>0</v>
      </c>
      <c r="BK193" s="54">
        <f t="shared" si="129"/>
        <v>53.801000000000002</v>
      </c>
    </row>
    <row r="194" spans="1:64" ht="66.75" customHeight="1" x14ac:dyDescent="0.25">
      <c r="A194" s="298" t="s">
        <v>491</v>
      </c>
      <c r="B194" s="299" t="s">
        <v>489</v>
      </c>
      <c r="C194" s="1546" t="s">
        <v>604</v>
      </c>
      <c r="D194" s="1549" t="s">
        <v>605</v>
      </c>
      <c r="E194" s="1549" t="s">
        <v>606</v>
      </c>
      <c r="F194" s="1549">
        <v>2015</v>
      </c>
      <c r="G194" s="1549" t="s">
        <v>177</v>
      </c>
      <c r="H194" s="1549">
        <v>12</v>
      </c>
      <c r="I194" s="1425"/>
      <c r="J194" s="1425"/>
      <c r="K194" s="1425" t="s">
        <v>607</v>
      </c>
      <c r="L194" s="301" t="s">
        <v>608</v>
      </c>
      <c r="M194" s="1425" t="s">
        <v>497</v>
      </c>
      <c r="N194" s="476"/>
      <c r="O194" s="1425" t="s">
        <v>47</v>
      </c>
      <c r="P194" s="16" t="s">
        <v>609</v>
      </c>
      <c r="Q194" s="302" t="s">
        <v>610</v>
      </c>
      <c r="R194" s="303">
        <v>2015</v>
      </c>
      <c r="S194" s="303">
        <v>0</v>
      </c>
      <c r="T194" s="303">
        <v>0</v>
      </c>
      <c r="U194" s="303">
        <v>1</v>
      </c>
      <c r="V194" s="303">
        <v>0</v>
      </c>
      <c r="W194" s="303">
        <v>0</v>
      </c>
      <c r="X194" s="303">
        <v>1</v>
      </c>
      <c r="Y194" s="481"/>
      <c r="Z194" s="481"/>
      <c r="AA194" s="481"/>
      <c r="AB194" s="481"/>
      <c r="AC194" s="481"/>
      <c r="AD194" s="481"/>
      <c r="AE194" s="481"/>
      <c r="AF194" s="481">
        <f t="shared" si="118"/>
        <v>0</v>
      </c>
      <c r="AG194" s="491">
        <v>3</v>
      </c>
      <c r="AH194" s="548"/>
      <c r="AI194" s="548"/>
      <c r="AJ194" s="548"/>
      <c r="AK194" s="548"/>
      <c r="AL194" s="548"/>
      <c r="AM194" s="548">
        <f t="shared" si="119"/>
        <v>3</v>
      </c>
      <c r="AN194" s="481"/>
      <c r="AO194" s="481"/>
      <c r="AP194" s="481"/>
      <c r="AQ194" s="481"/>
      <c r="AR194" s="481"/>
      <c r="AS194" s="481"/>
      <c r="AT194" s="481"/>
      <c r="AU194" s="481">
        <f t="shared" si="120"/>
        <v>0</v>
      </c>
      <c r="AV194" s="548"/>
      <c r="AW194" s="548"/>
      <c r="AX194" s="548"/>
      <c r="AY194" s="548"/>
      <c r="AZ194" s="548"/>
      <c r="BA194" s="548"/>
      <c r="BB194" s="548"/>
      <c r="BC194" s="548">
        <f t="shared" si="122"/>
        <v>0</v>
      </c>
      <c r="BD194" s="42">
        <f t="shared" si="127"/>
        <v>3</v>
      </c>
      <c r="BE194" s="42">
        <f t="shared" si="127"/>
        <v>0</v>
      </c>
      <c r="BF194" s="42">
        <f t="shared" si="127"/>
        <v>0</v>
      </c>
      <c r="BG194" s="42">
        <f t="shared" si="127"/>
        <v>0</v>
      </c>
      <c r="BH194" s="42">
        <f t="shared" si="127"/>
        <v>0</v>
      </c>
      <c r="BI194" s="42">
        <f t="shared" si="107"/>
        <v>0</v>
      </c>
      <c r="BJ194" s="42">
        <f t="shared" si="128"/>
        <v>0</v>
      </c>
      <c r="BK194" s="42">
        <f t="shared" si="128"/>
        <v>3</v>
      </c>
      <c r="BL194" s="3"/>
    </row>
    <row r="195" spans="1:64" ht="63.75" customHeight="1" x14ac:dyDescent="0.25">
      <c r="A195" s="298" t="s">
        <v>491</v>
      </c>
      <c r="B195" s="299" t="s">
        <v>489</v>
      </c>
      <c r="C195" s="1547"/>
      <c r="D195" s="1549"/>
      <c r="E195" s="1549"/>
      <c r="F195" s="1549"/>
      <c r="G195" s="1549"/>
      <c r="H195" s="1549"/>
      <c r="I195" s="1425"/>
      <c r="J195" s="1425"/>
      <c r="K195" s="1425" t="s">
        <v>611</v>
      </c>
      <c r="L195" s="301" t="s">
        <v>608</v>
      </c>
      <c r="M195" s="1425" t="s">
        <v>497</v>
      </c>
      <c r="N195" s="476"/>
      <c r="O195" s="1425" t="s">
        <v>47</v>
      </c>
      <c r="P195" s="16" t="s">
        <v>612</v>
      </c>
      <c r="Q195" s="302" t="s">
        <v>613</v>
      </c>
      <c r="R195" s="303">
        <v>2015</v>
      </c>
      <c r="S195" s="303">
        <v>0</v>
      </c>
      <c r="T195" s="303">
        <v>1</v>
      </c>
      <c r="U195" s="303">
        <v>1</v>
      </c>
      <c r="V195" s="303">
        <v>1</v>
      </c>
      <c r="W195" s="303">
        <v>1</v>
      </c>
      <c r="X195" s="303">
        <v>4</v>
      </c>
      <c r="Y195" s="481">
        <v>2</v>
      </c>
      <c r="Z195" s="481"/>
      <c r="AA195" s="481">
        <v>3</v>
      </c>
      <c r="AB195" s="481"/>
      <c r="AC195" s="481"/>
      <c r="AD195" s="481"/>
      <c r="AE195" s="481"/>
      <c r="AF195" s="481">
        <f t="shared" si="118"/>
        <v>5</v>
      </c>
      <c r="AG195" s="548">
        <v>2</v>
      </c>
      <c r="AH195" s="548"/>
      <c r="AI195" s="548">
        <v>3</v>
      </c>
      <c r="AJ195" s="548"/>
      <c r="AK195" s="548"/>
      <c r="AL195" s="548"/>
      <c r="AM195" s="548">
        <f t="shared" si="119"/>
        <v>5</v>
      </c>
      <c r="AN195" s="481">
        <v>2</v>
      </c>
      <c r="AO195" s="481"/>
      <c r="AP195" s="481">
        <v>3.3559999999999999</v>
      </c>
      <c r="AQ195" s="481"/>
      <c r="AR195" s="481"/>
      <c r="AS195" s="481"/>
      <c r="AT195" s="481"/>
      <c r="AU195" s="481">
        <f t="shared" si="120"/>
        <v>5.3559999999999999</v>
      </c>
      <c r="AV195" s="491">
        <v>2.44</v>
      </c>
      <c r="AW195" s="548"/>
      <c r="AX195" s="548">
        <v>3</v>
      </c>
      <c r="AY195" s="548"/>
      <c r="AZ195" s="548"/>
      <c r="BA195" s="548"/>
      <c r="BB195" s="548"/>
      <c r="BC195" s="548">
        <f t="shared" si="122"/>
        <v>5.4399999999999995</v>
      </c>
      <c r="BD195" s="42">
        <f t="shared" si="127"/>
        <v>8.44</v>
      </c>
      <c r="BE195" s="42">
        <f t="shared" si="127"/>
        <v>0</v>
      </c>
      <c r="BF195" s="42">
        <f t="shared" si="127"/>
        <v>12.356</v>
      </c>
      <c r="BG195" s="42">
        <f t="shared" si="127"/>
        <v>0</v>
      </c>
      <c r="BH195" s="42">
        <f t="shared" si="127"/>
        <v>0</v>
      </c>
      <c r="BI195" s="42">
        <f t="shared" si="107"/>
        <v>0</v>
      </c>
      <c r="BJ195" s="42">
        <f t="shared" si="128"/>
        <v>0</v>
      </c>
      <c r="BK195" s="42">
        <f t="shared" si="128"/>
        <v>20.795999999999999</v>
      </c>
      <c r="BL195" s="3"/>
    </row>
    <row r="196" spans="1:64" ht="64.5" customHeight="1" x14ac:dyDescent="0.25">
      <c r="A196" s="298" t="s">
        <v>491</v>
      </c>
      <c r="B196" s="299" t="s">
        <v>489</v>
      </c>
      <c r="C196" s="1547"/>
      <c r="D196" s="1549"/>
      <c r="E196" s="1549"/>
      <c r="F196" s="1549"/>
      <c r="G196" s="1549"/>
      <c r="H196" s="1549"/>
      <c r="I196" s="1425"/>
      <c r="J196" s="1425"/>
      <c r="K196" s="1425" t="s">
        <v>614</v>
      </c>
      <c r="L196" s="301" t="s">
        <v>608</v>
      </c>
      <c r="M196" s="1425" t="s">
        <v>497</v>
      </c>
      <c r="N196" s="476"/>
      <c r="O196" s="1425" t="s">
        <v>47</v>
      </c>
      <c r="P196" s="16" t="s">
        <v>615</v>
      </c>
      <c r="Q196" s="302" t="s">
        <v>616</v>
      </c>
      <c r="R196" s="303">
        <v>2015</v>
      </c>
      <c r="S196" s="303">
        <v>0</v>
      </c>
      <c r="T196" s="303">
        <v>0</v>
      </c>
      <c r="U196" s="303">
        <v>0</v>
      </c>
      <c r="V196" s="303">
        <v>1</v>
      </c>
      <c r="W196" s="303">
        <v>0</v>
      </c>
      <c r="X196" s="303">
        <v>1</v>
      </c>
      <c r="Y196" s="481"/>
      <c r="Z196" s="481"/>
      <c r="AA196" s="481"/>
      <c r="AB196" s="481"/>
      <c r="AC196" s="481"/>
      <c r="AD196" s="481"/>
      <c r="AE196" s="481"/>
      <c r="AF196" s="481">
        <f t="shared" si="118"/>
        <v>0</v>
      </c>
      <c r="AG196" s="548"/>
      <c r="AH196" s="548"/>
      <c r="AI196" s="548"/>
      <c r="AJ196" s="548"/>
      <c r="AK196" s="548"/>
      <c r="AL196" s="548"/>
      <c r="AM196" s="548">
        <f t="shared" si="119"/>
        <v>0</v>
      </c>
      <c r="AN196" s="481">
        <v>10</v>
      </c>
      <c r="AO196" s="481"/>
      <c r="AP196" s="481">
        <v>0</v>
      </c>
      <c r="AQ196" s="481"/>
      <c r="AR196" s="481"/>
      <c r="AS196" s="481"/>
      <c r="AT196" s="481"/>
      <c r="AU196" s="481">
        <f t="shared" si="120"/>
        <v>10</v>
      </c>
      <c r="AV196" s="548"/>
      <c r="AW196" s="548"/>
      <c r="AX196" s="548"/>
      <c r="AY196" s="548"/>
      <c r="AZ196" s="548"/>
      <c r="BA196" s="548"/>
      <c r="BB196" s="548"/>
      <c r="BC196" s="548">
        <f t="shared" si="122"/>
        <v>0</v>
      </c>
      <c r="BD196" s="42">
        <f t="shared" si="127"/>
        <v>10</v>
      </c>
      <c r="BE196" s="42">
        <f t="shared" si="127"/>
        <v>0</v>
      </c>
      <c r="BF196" s="42">
        <f t="shared" si="127"/>
        <v>0</v>
      </c>
      <c r="BG196" s="42">
        <f t="shared" si="127"/>
        <v>0</v>
      </c>
      <c r="BH196" s="42">
        <f t="shared" si="127"/>
        <v>0</v>
      </c>
      <c r="BI196" s="42">
        <f t="shared" si="107"/>
        <v>0</v>
      </c>
      <c r="BJ196" s="42">
        <f t="shared" si="128"/>
        <v>0</v>
      </c>
      <c r="BK196" s="42">
        <f t="shared" si="128"/>
        <v>10</v>
      </c>
      <c r="BL196" s="3"/>
    </row>
    <row r="197" spans="1:64" ht="51" customHeight="1" x14ac:dyDescent="0.25">
      <c r="A197" s="298" t="s">
        <v>491</v>
      </c>
      <c r="B197" s="299" t="s">
        <v>489</v>
      </c>
      <c r="C197" s="1547"/>
      <c r="D197" s="1549"/>
      <c r="E197" s="1549"/>
      <c r="F197" s="1549"/>
      <c r="G197" s="1549"/>
      <c r="H197" s="1549"/>
      <c r="I197" s="1425"/>
      <c r="J197" s="1425"/>
      <c r="K197" s="1425" t="s">
        <v>617</v>
      </c>
      <c r="L197" s="301" t="s">
        <v>608</v>
      </c>
      <c r="M197" s="1425" t="s">
        <v>497</v>
      </c>
      <c r="N197" s="476"/>
      <c r="O197" s="1425" t="s">
        <v>47</v>
      </c>
      <c r="P197" s="16" t="s">
        <v>618</v>
      </c>
      <c r="Q197" s="302" t="s">
        <v>377</v>
      </c>
      <c r="R197" s="303">
        <v>2015</v>
      </c>
      <c r="S197" s="303">
        <v>0</v>
      </c>
      <c r="T197" s="303">
        <v>0</v>
      </c>
      <c r="U197" s="303">
        <v>1</v>
      </c>
      <c r="V197" s="303">
        <v>0</v>
      </c>
      <c r="W197" s="303">
        <v>0</v>
      </c>
      <c r="X197" s="303">
        <v>1</v>
      </c>
      <c r="Y197" s="481"/>
      <c r="Z197" s="481"/>
      <c r="AA197" s="481"/>
      <c r="AB197" s="481"/>
      <c r="AC197" s="481"/>
      <c r="AD197" s="481"/>
      <c r="AE197" s="481"/>
      <c r="AF197" s="481">
        <f t="shared" si="118"/>
        <v>0</v>
      </c>
      <c r="AG197" s="491">
        <v>1</v>
      </c>
      <c r="AH197" s="548"/>
      <c r="AI197" s="548"/>
      <c r="AJ197" s="548"/>
      <c r="AK197" s="548"/>
      <c r="AL197" s="548"/>
      <c r="AM197" s="548">
        <f t="shared" si="119"/>
        <v>1</v>
      </c>
      <c r="AN197" s="481"/>
      <c r="AO197" s="481"/>
      <c r="AP197" s="481"/>
      <c r="AQ197" s="481"/>
      <c r="AR197" s="481"/>
      <c r="AS197" s="481"/>
      <c r="AT197" s="481"/>
      <c r="AU197" s="481">
        <f t="shared" si="120"/>
        <v>0</v>
      </c>
      <c r="AV197" s="548"/>
      <c r="AW197" s="548"/>
      <c r="AX197" s="548"/>
      <c r="AY197" s="548"/>
      <c r="AZ197" s="548"/>
      <c r="BA197" s="548"/>
      <c r="BB197" s="548"/>
      <c r="BC197" s="548">
        <f>SUM(AV197:BB197)</f>
        <v>0</v>
      </c>
      <c r="BD197" s="42">
        <f t="shared" si="127"/>
        <v>1</v>
      </c>
      <c r="BE197" s="42">
        <f t="shared" si="127"/>
        <v>0</v>
      </c>
      <c r="BF197" s="42">
        <f t="shared" si="127"/>
        <v>0</v>
      </c>
      <c r="BG197" s="42">
        <f t="shared" si="127"/>
        <v>0</v>
      </c>
      <c r="BH197" s="42">
        <f t="shared" si="127"/>
        <v>0</v>
      </c>
      <c r="BI197" s="42">
        <f>+AD197+AS197+BA197</f>
        <v>0</v>
      </c>
      <c r="BJ197" s="42">
        <f t="shared" si="128"/>
        <v>0</v>
      </c>
      <c r="BK197" s="42">
        <f t="shared" si="128"/>
        <v>1</v>
      </c>
      <c r="BL197" s="3"/>
    </row>
    <row r="198" spans="1:64" ht="62.25" customHeight="1" x14ac:dyDescent="0.25">
      <c r="A198" s="298" t="s">
        <v>491</v>
      </c>
      <c r="B198" s="299" t="s">
        <v>489</v>
      </c>
      <c r="C198" s="1547"/>
      <c r="D198" s="1549"/>
      <c r="E198" s="1549"/>
      <c r="F198" s="1549"/>
      <c r="G198" s="1549"/>
      <c r="H198" s="1549"/>
      <c r="I198" s="1425"/>
      <c r="J198" s="1425"/>
      <c r="K198" s="1425" t="s">
        <v>619</v>
      </c>
      <c r="L198" s="301" t="s">
        <v>608</v>
      </c>
      <c r="M198" s="1425" t="s">
        <v>497</v>
      </c>
      <c r="N198" s="476"/>
      <c r="O198" s="1425" t="s">
        <v>47</v>
      </c>
      <c r="P198" s="16" t="s">
        <v>620</v>
      </c>
      <c r="Q198" s="302" t="s">
        <v>621</v>
      </c>
      <c r="R198" s="303">
        <v>2015</v>
      </c>
      <c r="S198" s="303">
        <v>1</v>
      </c>
      <c r="T198" s="303">
        <v>1</v>
      </c>
      <c r="U198" s="303">
        <v>1</v>
      </c>
      <c r="V198" s="303">
        <v>1</v>
      </c>
      <c r="W198" s="303">
        <v>1</v>
      </c>
      <c r="X198" s="303">
        <v>4</v>
      </c>
      <c r="Y198" s="491">
        <v>1.2</v>
      </c>
      <c r="Z198" s="481"/>
      <c r="AA198" s="481">
        <v>2</v>
      </c>
      <c r="AB198" s="481"/>
      <c r="AC198" s="481"/>
      <c r="AD198" s="481"/>
      <c r="AE198" s="481"/>
      <c r="AF198" s="481">
        <f t="shared" si="118"/>
        <v>3.2</v>
      </c>
      <c r="AG198" s="548">
        <v>2.37</v>
      </c>
      <c r="AH198" s="548"/>
      <c r="AI198" s="548">
        <v>2.1749999999999998</v>
      </c>
      <c r="AJ198" s="548"/>
      <c r="AK198" s="548"/>
      <c r="AL198" s="548"/>
      <c r="AM198" s="548">
        <f t="shared" si="119"/>
        <v>4.5449999999999999</v>
      </c>
      <c r="AN198" s="491">
        <v>1.5</v>
      </c>
      <c r="AO198" s="481"/>
      <c r="AP198" s="481">
        <v>2</v>
      </c>
      <c r="AQ198" s="481"/>
      <c r="AR198" s="481"/>
      <c r="AS198" s="481"/>
      <c r="AT198" s="481"/>
      <c r="AU198" s="481">
        <f t="shared" si="120"/>
        <v>3.5</v>
      </c>
      <c r="AV198" s="548">
        <v>1.22</v>
      </c>
      <c r="AW198" s="548"/>
      <c r="AX198" s="548">
        <v>2.54</v>
      </c>
      <c r="AY198" s="548"/>
      <c r="AZ198" s="548"/>
      <c r="BA198" s="548"/>
      <c r="BB198" s="548"/>
      <c r="BC198" s="548">
        <f t="shared" si="122"/>
        <v>3.76</v>
      </c>
      <c r="BD198" s="42">
        <f t="shared" si="127"/>
        <v>6.29</v>
      </c>
      <c r="BE198" s="42">
        <f t="shared" si="127"/>
        <v>0</v>
      </c>
      <c r="BF198" s="42">
        <f t="shared" si="127"/>
        <v>8.7149999999999999</v>
      </c>
      <c r="BG198" s="42">
        <f t="shared" si="127"/>
        <v>0</v>
      </c>
      <c r="BH198" s="42">
        <f t="shared" si="127"/>
        <v>0</v>
      </c>
      <c r="BI198" s="42">
        <f t="shared" si="107"/>
        <v>0</v>
      </c>
      <c r="BJ198" s="42">
        <f t="shared" si="128"/>
        <v>0</v>
      </c>
      <c r="BK198" s="42">
        <f t="shared" si="128"/>
        <v>15.004999999999999</v>
      </c>
      <c r="BL198" s="3"/>
    </row>
    <row r="199" spans="1:64" ht="55.5" customHeight="1" x14ac:dyDescent="0.25">
      <c r="A199" s="298" t="s">
        <v>491</v>
      </c>
      <c r="B199" s="299" t="s">
        <v>489</v>
      </c>
      <c r="C199" s="1547"/>
      <c r="D199" s="1549"/>
      <c r="E199" s="1549"/>
      <c r="F199" s="1549"/>
      <c r="G199" s="1549"/>
      <c r="H199" s="1549"/>
      <c r="I199" s="1425"/>
      <c r="J199" s="1425"/>
      <c r="K199" s="1425" t="s">
        <v>622</v>
      </c>
      <c r="L199" s="301" t="s">
        <v>608</v>
      </c>
      <c r="M199" s="1425" t="s">
        <v>497</v>
      </c>
      <c r="N199" s="476"/>
      <c r="O199" s="1425" t="s">
        <v>73</v>
      </c>
      <c r="P199" s="16" t="s">
        <v>623</v>
      </c>
      <c r="Q199" s="302" t="s">
        <v>624</v>
      </c>
      <c r="R199" s="303">
        <v>2015</v>
      </c>
      <c r="S199" s="303">
        <v>2</v>
      </c>
      <c r="T199" s="303">
        <v>2</v>
      </c>
      <c r="U199" s="303">
        <v>2</v>
      </c>
      <c r="V199" s="303">
        <v>2</v>
      </c>
      <c r="W199" s="303">
        <v>2</v>
      </c>
      <c r="X199" s="303">
        <v>2</v>
      </c>
      <c r="Y199" s="491">
        <v>0.5</v>
      </c>
      <c r="Z199" s="481"/>
      <c r="AA199" s="481"/>
      <c r="AB199" s="481"/>
      <c r="AC199" s="481"/>
      <c r="AD199" s="481"/>
      <c r="AE199" s="481"/>
      <c r="AF199" s="481">
        <f t="shared" si="118"/>
        <v>0.5</v>
      </c>
      <c r="AG199" s="491">
        <v>0.5</v>
      </c>
      <c r="AH199" s="548"/>
      <c r="AI199" s="548"/>
      <c r="AJ199" s="548"/>
      <c r="AK199" s="548"/>
      <c r="AL199" s="548"/>
      <c r="AM199" s="548">
        <f t="shared" si="119"/>
        <v>0.5</v>
      </c>
      <c r="AN199" s="491">
        <v>0.5</v>
      </c>
      <c r="AO199" s="481"/>
      <c r="AP199" s="481"/>
      <c r="AQ199" s="481"/>
      <c r="AR199" s="481"/>
      <c r="AS199" s="481"/>
      <c r="AT199" s="481"/>
      <c r="AU199" s="481">
        <f t="shared" si="120"/>
        <v>0.5</v>
      </c>
      <c r="AV199" s="491">
        <v>0.5</v>
      </c>
      <c r="AW199" s="548"/>
      <c r="AX199" s="548"/>
      <c r="AY199" s="548"/>
      <c r="AZ199" s="548"/>
      <c r="BA199" s="548"/>
      <c r="BB199" s="548"/>
      <c r="BC199" s="548">
        <f t="shared" si="122"/>
        <v>0.5</v>
      </c>
      <c r="BD199" s="42">
        <f t="shared" ref="BD199:BH233" si="130">+AV199+AN199+AG199+Y199</f>
        <v>2</v>
      </c>
      <c r="BE199" s="42">
        <f t="shared" si="130"/>
        <v>0</v>
      </c>
      <c r="BF199" s="42">
        <f t="shared" si="130"/>
        <v>0</v>
      </c>
      <c r="BG199" s="42">
        <f t="shared" si="130"/>
        <v>0</v>
      </c>
      <c r="BH199" s="42">
        <f t="shared" si="130"/>
        <v>0</v>
      </c>
      <c r="BI199" s="42">
        <f t="shared" si="107"/>
        <v>0</v>
      </c>
      <c r="BJ199" s="42">
        <f t="shared" ref="BJ199:BK233" si="131">+BB199+AT199+AL199+AE199</f>
        <v>0</v>
      </c>
      <c r="BK199" s="42">
        <f t="shared" si="131"/>
        <v>2</v>
      </c>
      <c r="BL199" s="3"/>
    </row>
    <row r="200" spans="1:64" ht="49.5" customHeight="1" x14ac:dyDescent="0.25">
      <c r="A200" s="298" t="s">
        <v>491</v>
      </c>
      <c r="B200" s="299" t="s">
        <v>489</v>
      </c>
      <c r="C200" s="1548"/>
      <c r="D200" s="1549"/>
      <c r="E200" s="1549"/>
      <c r="F200" s="1549"/>
      <c r="G200" s="1549"/>
      <c r="H200" s="1549"/>
      <c r="I200" s="1425"/>
      <c r="J200" s="1425"/>
      <c r="K200" s="1425" t="s">
        <v>625</v>
      </c>
      <c r="L200" s="301" t="s">
        <v>608</v>
      </c>
      <c r="M200" s="1425" t="s">
        <v>497</v>
      </c>
      <c r="N200" s="476"/>
      <c r="O200" s="1425" t="s">
        <v>73</v>
      </c>
      <c r="P200" s="16" t="s">
        <v>626</v>
      </c>
      <c r="Q200" s="302" t="s">
        <v>627</v>
      </c>
      <c r="R200" s="303">
        <v>2015</v>
      </c>
      <c r="S200" s="303">
        <v>0</v>
      </c>
      <c r="T200" s="303">
        <v>1</v>
      </c>
      <c r="U200" s="303">
        <v>1</v>
      </c>
      <c r="V200" s="303">
        <v>1</v>
      </c>
      <c r="W200" s="303">
        <v>1</v>
      </c>
      <c r="X200" s="303">
        <v>1</v>
      </c>
      <c r="Y200" s="491">
        <v>0.5</v>
      </c>
      <c r="Z200" s="481"/>
      <c r="AA200" s="481"/>
      <c r="AB200" s="481"/>
      <c r="AC200" s="481"/>
      <c r="AD200" s="481"/>
      <c r="AE200" s="481"/>
      <c r="AF200" s="481">
        <f t="shared" si="118"/>
        <v>0.5</v>
      </c>
      <c r="AG200" s="491">
        <v>0.5</v>
      </c>
      <c r="AH200" s="548"/>
      <c r="AI200" s="548"/>
      <c r="AJ200" s="548"/>
      <c r="AK200" s="548"/>
      <c r="AL200" s="548"/>
      <c r="AM200" s="548">
        <f t="shared" si="119"/>
        <v>0.5</v>
      </c>
      <c r="AN200" s="491">
        <v>0.5</v>
      </c>
      <c r="AO200" s="481"/>
      <c r="AP200" s="481"/>
      <c r="AQ200" s="481"/>
      <c r="AR200" s="481"/>
      <c r="AS200" s="481"/>
      <c r="AT200" s="481"/>
      <c r="AU200" s="481">
        <f t="shared" si="120"/>
        <v>0.5</v>
      </c>
      <c r="AV200" s="491">
        <v>0.5</v>
      </c>
      <c r="AW200" s="548"/>
      <c r="AX200" s="548"/>
      <c r="AY200" s="548"/>
      <c r="AZ200" s="548"/>
      <c r="BA200" s="548"/>
      <c r="BB200" s="548"/>
      <c r="BC200" s="548">
        <f t="shared" si="122"/>
        <v>0.5</v>
      </c>
      <c r="BD200" s="42">
        <f t="shared" si="130"/>
        <v>2</v>
      </c>
      <c r="BE200" s="42">
        <f t="shared" si="130"/>
        <v>0</v>
      </c>
      <c r="BF200" s="42">
        <f t="shared" si="130"/>
        <v>0</v>
      </c>
      <c r="BG200" s="42">
        <f t="shared" si="130"/>
        <v>0</v>
      </c>
      <c r="BH200" s="42">
        <f t="shared" si="130"/>
        <v>0</v>
      </c>
      <c r="BI200" s="42">
        <f t="shared" si="107"/>
        <v>0</v>
      </c>
      <c r="BJ200" s="42">
        <f t="shared" si="131"/>
        <v>0</v>
      </c>
      <c r="BK200" s="42">
        <f t="shared" si="131"/>
        <v>2</v>
      </c>
      <c r="BL200" s="3"/>
    </row>
    <row r="201" spans="1:64" ht="30.75" customHeight="1" x14ac:dyDescent="0.25">
      <c r="A201" s="295" t="s">
        <v>491</v>
      </c>
      <c r="B201" s="24" t="s">
        <v>489</v>
      </c>
      <c r="C201" s="6"/>
      <c r="D201" s="2" t="s">
        <v>628</v>
      </c>
      <c r="E201" s="1"/>
      <c r="F201" s="1"/>
      <c r="G201" s="1"/>
      <c r="H201" s="1"/>
      <c r="I201" s="1"/>
      <c r="J201" s="1"/>
      <c r="K201" s="1"/>
      <c r="L201" s="1"/>
      <c r="M201" s="1"/>
      <c r="N201" s="1"/>
      <c r="O201" s="1"/>
      <c r="P201" s="62" t="s">
        <v>629</v>
      </c>
      <c r="Q201" s="22"/>
      <c r="R201" s="1"/>
      <c r="S201" s="1"/>
      <c r="T201" s="1"/>
      <c r="U201" s="1"/>
      <c r="V201" s="1"/>
      <c r="W201" s="1"/>
      <c r="X201" s="1"/>
      <c r="Y201" s="34">
        <f t="shared" ref="Y201:BK201" si="132">SUM(Y202:Y211)</f>
        <v>0</v>
      </c>
      <c r="Z201" s="34">
        <f t="shared" si="132"/>
        <v>56</v>
      </c>
      <c r="AA201" s="34">
        <f t="shared" si="132"/>
        <v>0</v>
      </c>
      <c r="AB201" s="34">
        <f t="shared" si="132"/>
        <v>500</v>
      </c>
      <c r="AC201" s="34">
        <f t="shared" si="132"/>
        <v>0</v>
      </c>
      <c r="AD201" s="34">
        <f t="shared" si="132"/>
        <v>29.72</v>
      </c>
      <c r="AE201" s="34">
        <f t="shared" si="132"/>
        <v>0</v>
      </c>
      <c r="AF201" s="34">
        <f t="shared" si="132"/>
        <v>585.72</v>
      </c>
      <c r="AG201" s="34">
        <f t="shared" si="132"/>
        <v>0</v>
      </c>
      <c r="AH201" s="34">
        <f t="shared" si="132"/>
        <v>56</v>
      </c>
      <c r="AI201" s="34">
        <f t="shared" si="132"/>
        <v>0</v>
      </c>
      <c r="AJ201" s="34">
        <f t="shared" si="132"/>
        <v>0</v>
      </c>
      <c r="AK201" s="34">
        <f t="shared" si="132"/>
        <v>0</v>
      </c>
      <c r="AL201" s="34">
        <f t="shared" si="132"/>
        <v>0</v>
      </c>
      <c r="AM201" s="34">
        <f t="shared" si="132"/>
        <v>56</v>
      </c>
      <c r="AN201" s="34">
        <f t="shared" si="132"/>
        <v>0</v>
      </c>
      <c r="AO201" s="34">
        <f t="shared" si="132"/>
        <v>56</v>
      </c>
      <c r="AP201" s="34">
        <f t="shared" si="132"/>
        <v>0</v>
      </c>
      <c r="AQ201" s="34">
        <f t="shared" si="132"/>
        <v>0</v>
      </c>
      <c r="AR201" s="34">
        <f t="shared" si="132"/>
        <v>0</v>
      </c>
      <c r="AS201" s="34">
        <f t="shared" si="132"/>
        <v>0</v>
      </c>
      <c r="AT201" s="34">
        <f t="shared" si="132"/>
        <v>0</v>
      </c>
      <c r="AU201" s="34">
        <f t="shared" si="132"/>
        <v>56</v>
      </c>
      <c r="AV201" s="34">
        <f t="shared" si="132"/>
        <v>0</v>
      </c>
      <c r="AW201" s="34">
        <f t="shared" si="132"/>
        <v>56</v>
      </c>
      <c r="AX201" s="34">
        <f t="shared" si="132"/>
        <v>0</v>
      </c>
      <c r="AY201" s="34">
        <f t="shared" si="132"/>
        <v>0</v>
      </c>
      <c r="AZ201" s="34">
        <f t="shared" si="132"/>
        <v>0</v>
      </c>
      <c r="BA201" s="34">
        <f t="shared" si="132"/>
        <v>0</v>
      </c>
      <c r="BB201" s="34">
        <f t="shared" si="132"/>
        <v>0</v>
      </c>
      <c r="BC201" s="34">
        <f t="shared" si="132"/>
        <v>56</v>
      </c>
      <c r="BD201" s="34">
        <f t="shared" si="132"/>
        <v>0</v>
      </c>
      <c r="BE201" s="34">
        <f t="shared" si="132"/>
        <v>224</v>
      </c>
      <c r="BF201" s="34">
        <f t="shared" si="132"/>
        <v>0</v>
      </c>
      <c r="BG201" s="34">
        <f t="shared" si="132"/>
        <v>500</v>
      </c>
      <c r="BH201" s="34">
        <f t="shared" si="132"/>
        <v>0</v>
      </c>
      <c r="BI201" s="34">
        <f t="shared" si="107"/>
        <v>29.72</v>
      </c>
      <c r="BJ201" s="34">
        <f t="shared" si="132"/>
        <v>0</v>
      </c>
      <c r="BK201" s="34">
        <f t="shared" si="132"/>
        <v>753.72</v>
      </c>
      <c r="BL201" s="3"/>
    </row>
    <row r="202" spans="1:64" ht="49.5" customHeight="1" x14ac:dyDescent="0.25">
      <c r="A202" s="298" t="s">
        <v>491</v>
      </c>
      <c r="B202" s="299" t="s">
        <v>489</v>
      </c>
      <c r="C202" s="1546" t="s">
        <v>630</v>
      </c>
      <c r="D202" s="1549" t="s">
        <v>631</v>
      </c>
      <c r="E202" s="1549" t="s">
        <v>632</v>
      </c>
      <c r="F202" s="1549">
        <v>2015</v>
      </c>
      <c r="G202" s="1549" t="s">
        <v>177</v>
      </c>
      <c r="H202" s="1549">
        <v>35</v>
      </c>
      <c r="I202" s="1425"/>
      <c r="J202" s="1425"/>
      <c r="K202" s="1425" t="s">
        <v>633</v>
      </c>
      <c r="L202" s="301" t="s">
        <v>496</v>
      </c>
      <c r="M202" s="1425" t="s">
        <v>497</v>
      </c>
      <c r="N202" s="476"/>
      <c r="O202" s="1425" t="s">
        <v>47</v>
      </c>
      <c r="P202" s="16" t="s">
        <v>634</v>
      </c>
      <c r="Q202" s="302" t="s">
        <v>635</v>
      </c>
      <c r="R202" s="303">
        <v>2015</v>
      </c>
      <c r="S202" s="303">
        <v>0</v>
      </c>
      <c r="T202" s="303">
        <v>2</v>
      </c>
      <c r="U202" s="303">
        <v>2</v>
      </c>
      <c r="V202" s="303">
        <v>2</v>
      </c>
      <c r="W202" s="303">
        <v>2</v>
      </c>
      <c r="X202" s="303">
        <v>8</v>
      </c>
      <c r="Y202" s="481"/>
      <c r="Z202" s="481">
        <v>2</v>
      </c>
      <c r="AA202" s="481"/>
      <c r="AB202" s="481"/>
      <c r="AC202" s="481"/>
      <c r="AD202" s="481"/>
      <c r="AE202" s="481"/>
      <c r="AF202" s="481">
        <f t="shared" si="118"/>
        <v>2</v>
      </c>
      <c r="AG202" s="548"/>
      <c r="AH202" s="491">
        <v>3.5</v>
      </c>
      <c r="AI202" s="548"/>
      <c r="AJ202" s="548"/>
      <c r="AK202" s="548"/>
      <c r="AL202" s="548"/>
      <c r="AM202" s="548">
        <f t="shared" si="119"/>
        <v>3.5</v>
      </c>
      <c r="AN202" s="481"/>
      <c r="AO202" s="481">
        <v>2</v>
      </c>
      <c r="AP202" s="481"/>
      <c r="AQ202" s="481"/>
      <c r="AR202" s="481"/>
      <c r="AS202" s="481"/>
      <c r="AT202" s="481"/>
      <c r="AU202" s="481">
        <f t="shared" si="120"/>
        <v>2</v>
      </c>
      <c r="AV202" s="548"/>
      <c r="AW202" s="491">
        <v>3.5</v>
      </c>
      <c r="AX202" s="548"/>
      <c r="AY202" s="548"/>
      <c r="AZ202" s="548"/>
      <c r="BA202" s="548"/>
      <c r="BB202" s="548"/>
      <c r="BC202" s="548">
        <f t="shared" si="122"/>
        <v>3.5</v>
      </c>
      <c r="BD202" s="42">
        <f t="shared" si="130"/>
        <v>0</v>
      </c>
      <c r="BE202" s="42">
        <f t="shared" si="130"/>
        <v>11</v>
      </c>
      <c r="BF202" s="42">
        <f t="shared" si="130"/>
        <v>0</v>
      </c>
      <c r="BG202" s="42">
        <f t="shared" si="130"/>
        <v>0</v>
      </c>
      <c r="BH202" s="42">
        <f t="shared" si="130"/>
        <v>0</v>
      </c>
      <c r="BI202" s="42">
        <f t="shared" si="107"/>
        <v>0</v>
      </c>
      <c r="BJ202" s="42">
        <f t="shared" si="131"/>
        <v>0</v>
      </c>
      <c r="BK202" s="42">
        <f t="shared" si="131"/>
        <v>11</v>
      </c>
      <c r="BL202" s="3"/>
    </row>
    <row r="203" spans="1:64" ht="43.5" customHeight="1" x14ac:dyDescent="0.25">
      <c r="A203" s="298" t="s">
        <v>491</v>
      </c>
      <c r="B203" s="299" t="s">
        <v>489</v>
      </c>
      <c r="C203" s="1547"/>
      <c r="D203" s="1549"/>
      <c r="E203" s="1549"/>
      <c r="F203" s="1549"/>
      <c r="G203" s="1549"/>
      <c r="H203" s="1549"/>
      <c r="I203" s="1425"/>
      <c r="J203" s="1425"/>
      <c r="K203" s="1425" t="s">
        <v>636</v>
      </c>
      <c r="L203" s="301" t="s">
        <v>496</v>
      </c>
      <c r="M203" s="1425" t="s">
        <v>497</v>
      </c>
      <c r="N203" s="476"/>
      <c r="O203" s="1425" t="s">
        <v>47</v>
      </c>
      <c r="P203" s="16" t="s">
        <v>637</v>
      </c>
      <c r="Q203" s="302" t="s">
        <v>638</v>
      </c>
      <c r="R203" s="303">
        <v>2015</v>
      </c>
      <c r="S203" s="303">
        <v>0</v>
      </c>
      <c r="T203" s="303">
        <v>1</v>
      </c>
      <c r="U203" s="303">
        <v>0</v>
      </c>
      <c r="V203" s="303">
        <v>0</v>
      </c>
      <c r="W203" s="303">
        <v>0</v>
      </c>
      <c r="X203" s="303">
        <v>1</v>
      </c>
      <c r="Y203" s="481"/>
      <c r="Z203" s="481">
        <v>0</v>
      </c>
      <c r="AA203" s="481"/>
      <c r="AB203" s="481"/>
      <c r="AC203" s="481"/>
      <c r="AD203" s="481">
        <v>20</v>
      </c>
      <c r="AE203" s="481"/>
      <c r="AF203" s="481">
        <f t="shared" si="118"/>
        <v>20</v>
      </c>
      <c r="AG203" s="548"/>
      <c r="AH203" s="548">
        <v>0</v>
      </c>
      <c r="AI203" s="548"/>
      <c r="AJ203" s="548"/>
      <c r="AK203" s="548"/>
      <c r="AL203" s="548"/>
      <c r="AM203" s="548">
        <f t="shared" si="119"/>
        <v>0</v>
      </c>
      <c r="AN203" s="481"/>
      <c r="AO203" s="481">
        <v>0</v>
      </c>
      <c r="AP203" s="481"/>
      <c r="AQ203" s="481"/>
      <c r="AR203" s="481"/>
      <c r="AS203" s="481"/>
      <c r="AT203" s="481"/>
      <c r="AU203" s="481">
        <f t="shared" si="120"/>
        <v>0</v>
      </c>
      <c r="AV203" s="548"/>
      <c r="AW203" s="548">
        <v>0</v>
      </c>
      <c r="AX203" s="548"/>
      <c r="AY203" s="548"/>
      <c r="AZ203" s="548"/>
      <c r="BA203" s="548"/>
      <c r="BB203" s="548"/>
      <c r="BC203" s="548">
        <f t="shared" si="122"/>
        <v>0</v>
      </c>
      <c r="BD203" s="42">
        <f t="shared" si="130"/>
        <v>0</v>
      </c>
      <c r="BE203" s="42">
        <f t="shared" si="130"/>
        <v>0</v>
      </c>
      <c r="BF203" s="42">
        <f t="shared" si="130"/>
        <v>0</v>
      </c>
      <c r="BG203" s="42">
        <f t="shared" si="130"/>
        <v>0</v>
      </c>
      <c r="BH203" s="42">
        <f t="shared" si="130"/>
        <v>0</v>
      </c>
      <c r="BI203" s="42">
        <f t="shared" si="107"/>
        <v>20</v>
      </c>
      <c r="BJ203" s="42">
        <f t="shared" si="131"/>
        <v>0</v>
      </c>
      <c r="BK203" s="42">
        <f t="shared" si="131"/>
        <v>20</v>
      </c>
      <c r="BL203" s="3"/>
    </row>
    <row r="204" spans="1:64" ht="46.5" customHeight="1" x14ac:dyDescent="0.25">
      <c r="A204" s="298" t="s">
        <v>491</v>
      </c>
      <c r="B204" s="299" t="s">
        <v>489</v>
      </c>
      <c r="C204" s="1547"/>
      <c r="D204" s="1549"/>
      <c r="E204" s="1549"/>
      <c r="F204" s="1549"/>
      <c r="G204" s="1549"/>
      <c r="H204" s="1549"/>
      <c r="I204" s="1425"/>
      <c r="J204" s="1425"/>
      <c r="K204" s="1425" t="s">
        <v>639</v>
      </c>
      <c r="L204" s="301" t="s">
        <v>496</v>
      </c>
      <c r="M204" s="1425" t="s">
        <v>497</v>
      </c>
      <c r="N204" s="476"/>
      <c r="O204" s="1425" t="s">
        <v>47</v>
      </c>
      <c r="P204" s="16" t="s">
        <v>640</v>
      </c>
      <c r="Q204" s="302" t="s">
        <v>641</v>
      </c>
      <c r="R204" s="303">
        <v>2015</v>
      </c>
      <c r="S204" s="303">
        <v>0</v>
      </c>
      <c r="T204" s="303">
        <v>1</v>
      </c>
      <c r="U204" s="303">
        <v>0</v>
      </c>
      <c r="V204" s="303">
        <v>1</v>
      </c>
      <c r="W204" s="303">
        <v>0</v>
      </c>
      <c r="X204" s="303">
        <v>2</v>
      </c>
      <c r="Y204" s="481"/>
      <c r="Z204" s="481">
        <v>1.5</v>
      </c>
      <c r="AA204" s="481"/>
      <c r="AB204" s="481"/>
      <c r="AC204" s="481"/>
      <c r="AD204" s="481"/>
      <c r="AE204" s="481"/>
      <c r="AF204" s="481">
        <f t="shared" si="118"/>
        <v>1.5</v>
      </c>
      <c r="AG204" s="548"/>
      <c r="AH204" s="491"/>
      <c r="AI204" s="548"/>
      <c r="AJ204" s="548"/>
      <c r="AK204" s="548"/>
      <c r="AL204" s="548"/>
      <c r="AM204" s="548">
        <f t="shared" si="119"/>
        <v>0</v>
      </c>
      <c r="AN204" s="481"/>
      <c r="AO204" s="481">
        <v>1.5</v>
      </c>
      <c r="AP204" s="481"/>
      <c r="AQ204" s="481"/>
      <c r="AR204" s="481"/>
      <c r="AS204" s="481"/>
      <c r="AT204" s="481"/>
      <c r="AU204" s="481">
        <f t="shared" si="120"/>
        <v>1.5</v>
      </c>
      <c r="AV204" s="548"/>
      <c r="AW204" s="491"/>
      <c r="AX204" s="548"/>
      <c r="AY204" s="548"/>
      <c r="AZ204" s="548"/>
      <c r="BA204" s="548"/>
      <c r="BB204" s="548"/>
      <c r="BC204" s="548">
        <f t="shared" si="122"/>
        <v>0</v>
      </c>
      <c r="BD204" s="42">
        <f t="shared" si="130"/>
        <v>0</v>
      </c>
      <c r="BE204" s="42">
        <f t="shared" si="130"/>
        <v>3</v>
      </c>
      <c r="BF204" s="42">
        <f t="shared" si="130"/>
        <v>0</v>
      </c>
      <c r="BG204" s="42">
        <f t="shared" si="130"/>
        <v>0</v>
      </c>
      <c r="BH204" s="42">
        <f t="shared" si="130"/>
        <v>0</v>
      </c>
      <c r="BI204" s="42">
        <f t="shared" si="107"/>
        <v>0</v>
      </c>
      <c r="BJ204" s="42">
        <f t="shared" si="131"/>
        <v>0</v>
      </c>
      <c r="BK204" s="42">
        <f t="shared" si="131"/>
        <v>3</v>
      </c>
      <c r="BL204" s="3"/>
    </row>
    <row r="205" spans="1:64" ht="45" customHeight="1" x14ac:dyDescent="0.25">
      <c r="A205" s="298" t="s">
        <v>491</v>
      </c>
      <c r="B205" s="299" t="s">
        <v>489</v>
      </c>
      <c r="C205" s="1547"/>
      <c r="D205" s="1549"/>
      <c r="E205" s="1549"/>
      <c r="F205" s="1549"/>
      <c r="G205" s="1549"/>
      <c r="H205" s="1549"/>
      <c r="I205" s="1425"/>
      <c r="J205" s="1425"/>
      <c r="K205" s="1425" t="s">
        <v>642</v>
      </c>
      <c r="L205" s="301" t="s">
        <v>496</v>
      </c>
      <c r="M205" s="1425" t="s">
        <v>497</v>
      </c>
      <c r="N205" s="476"/>
      <c r="O205" s="1425" t="s">
        <v>47</v>
      </c>
      <c r="P205" s="16" t="s">
        <v>643</v>
      </c>
      <c r="Q205" s="302" t="s">
        <v>644</v>
      </c>
      <c r="R205" s="303">
        <v>2015</v>
      </c>
      <c r="S205" s="303">
        <v>0</v>
      </c>
      <c r="T205" s="303">
        <v>1</v>
      </c>
      <c r="U205" s="303">
        <v>1</v>
      </c>
      <c r="V205" s="303">
        <v>1</v>
      </c>
      <c r="W205" s="303">
        <v>1</v>
      </c>
      <c r="X205" s="303">
        <v>4</v>
      </c>
      <c r="Y205" s="481"/>
      <c r="Z205" s="481">
        <v>5</v>
      </c>
      <c r="AA205" s="481"/>
      <c r="AB205" s="481"/>
      <c r="AC205" s="481"/>
      <c r="AD205" s="481"/>
      <c r="AE205" s="481"/>
      <c r="AF205" s="481">
        <f t="shared" si="118"/>
        <v>5</v>
      </c>
      <c r="AG205" s="548"/>
      <c r="AH205" s="548">
        <v>5</v>
      </c>
      <c r="AI205" s="548"/>
      <c r="AJ205" s="548"/>
      <c r="AK205" s="548"/>
      <c r="AL205" s="548"/>
      <c r="AM205" s="548">
        <f t="shared" si="119"/>
        <v>5</v>
      </c>
      <c r="AN205" s="481"/>
      <c r="AO205" s="481">
        <v>5</v>
      </c>
      <c r="AP205" s="481"/>
      <c r="AQ205" s="481"/>
      <c r="AR205" s="481"/>
      <c r="AS205" s="481"/>
      <c r="AT205" s="481"/>
      <c r="AU205" s="481">
        <f t="shared" si="120"/>
        <v>5</v>
      </c>
      <c r="AV205" s="548"/>
      <c r="AW205" s="548">
        <v>5</v>
      </c>
      <c r="AX205" s="548"/>
      <c r="AY205" s="548"/>
      <c r="AZ205" s="548"/>
      <c r="BA205" s="548"/>
      <c r="BB205" s="548"/>
      <c r="BC205" s="548">
        <f t="shared" si="122"/>
        <v>5</v>
      </c>
      <c r="BD205" s="42">
        <f t="shared" si="130"/>
        <v>0</v>
      </c>
      <c r="BE205" s="42">
        <f t="shared" si="130"/>
        <v>20</v>
      </c>
      <c r="BF205" s="42">
        <f t="shared" si="130"/>
        <v>0</v>
      </c>
      <c r="BG205" s="42">
        <f t="shared" si="130"/>
        <v>0</v>
      </c>
      <c r="BH205" s="42">
        <f t="shared" si="130"/>
        <v>0</v>
      </c>
      <c r="BI205" s="42">
        <f t="shared" si="107"/>
        <v>0</v>
      </c>
      <c r="BJ205" s="42">
        <f t="shared" si="131"/>
        <v>0</v>
      </c>
      <c r="BK205" s="42">
        <f t="shared" si="131"/>
        <v>20</v>
      </c>
      <c r="BL205" s="3"/>
    </row>
    <row r="206" spans="1:64" ht="56.25" customHeight="1" x14ac:dyDescent="0.25">
      <c r="A206" s="298" t="s">
        <v>491</v>
      </c>
      <c r="B206" s="299" t="s">
        <v>489</v>
      </c>
      <c r="C206" s="1547"/>
      <c r="D206" s="1549"/>
      <c r="E206" s="1549"/>
      <c r="F206" s="1549"/>
      <c r="G206" s="1549"/>
      <c r="H206" s="1549"/>
      <c r="I206" s="1425"/>
      <c r="J206" s="1425"/>
      <c r="K206" s="1425" t="s">
        <v>645</v>
      </c>
      <c r="L206" s="301" t="s">
        <v>496</v>
      </c>
      <c r="M206" s="1425" t="s">
        <v>497</v>
      </c>
      <c r="N206" s="476"/>
      <c r="O206" s="1425" t="s">
        <v>73</v>
      </c>
      <c r="P206" s="16" t="s">
        <v>646</v>
      </c>
      <c r="Q206" s="302" t="s">
        <v>647</v>
      </c>
      <c r="R206" s="303">
        <v>2015</v>
      </c>
      <c r="S206" s="303">
        <v>0</v>
      </c>
      <c r="T206" s="303">
        <v>4</v>
      </c>
      <c r="U206" s="303">
        <v>4</v>
      </c>
      <c r="V206" s="303">
        <v>4</v>
      </c>
      <c r="W206" s="303">
        <v>4</v>
      </c>
      <c r="X206" s="303">
        <v>4</v>
      </c>
      <c r="Y206" s="481"/>
      <c r="Z206" s="481">
        <v>16</v>
      </c>
      <c r="AA206" s="481"/>
      <c r="AB206" s="481"/>
      <c r="AC206" s="481"/>
      <c r="AD206" s="481"/>
      <c r="AE206" s="481"/>
      <c r="AF206" s="481">
        <f t="shared" si="118"/>
        <v>16</v>
      </c>
      <c r="AG206" s="548"/>
      <c r="AH206" s="548">
        <v>16</v>
      </c>
      <c r="AI206" s="548"/>
      <c r="AJ206" s="548"/>
      <c r="AK206" s="548"/>
      <c r="AL206" s="548"/>
      <c r="AM206" s="548">
        <f t="shared" si="119"/>
        <v>16</v>
      </c>
      <c r="AN206" s="481"/>
      <c r="AO206" s="481">
        <v>16</v>
      </c>
      <c r="AP206" s="481"/>
      <c r="AQ206" s="481"/>
      <c r="AR206" s="481"/>
      <c r="AS206" s="481"/>
      <c r="AT206" s="481"/>
      <c r="AU206" s="481">
        <f t="shared" si="120"/>
        <v>16</v>
      </c>
      <c r="AV206" s="548"/>
      <c r="AW206" s="548">
        <v>16</v>
      </c>
      <c r="AX206" s="548"/>
      <c r="AY206" s="548"/>
      <c r="AZ206" s="548"/>
      <c r="BA206" s="548"/>
      <c r="BB206" s="548"/>
      <c r="BC206" s="548">
        <f t="shared" si="122"/>
        <v>16</v>
      </c>
      <c r="BD206" s="42">
        <f t="shared" si="130"/>
        <v>0</v>
      </c>
      <c r="BE206" s="42">
        <f t="shared" si="130"/>
        <v>64</v>
      </c>
      <c r="BF206" s="42">
        <f t="shared" si="130"/>
        <v>0</v>
      </c>
      <c r="BG206" s="42">
        <f t="shared" si="130"/>
        <v>0</v>
      </c>
      <c r="BH206" s="42">
        <f t="shared" si="130"/>
        <v>0</v>
      </c>
      <c r="BI206" s="42">
        <f t="shared" si="107"/>
        <v>0</v>
      </c>
      <c r="BJ206" s="42">
        <f t="shared" si="131"/>
        <v>0</v>
      </c>
      <c r="BK206" s="42">
        <f t="shared" si="131"/>
        <v>64</v>
      </c>
      <c r="BL206" s="3"/>
    </row>
    <row r="207" spans="1:64" ht="52.5" customHeight="1" x14ac:dyDescent="0.25">
      <c r="A207" s="298" t="s">
        <v>491</v>
      </c>
      <c r="B207" s="299" t="s">
        <v>489</v>
      </c>
      <c r="C207" s="1547"/>
      <c r="D207" s="1549"/>
      <c r="E207" s="1549"/>
      <c r="F207" s="1549"/>
      <c r="G207" s="1549"/>
      <c r="H207" s="1549"/>
      <c r="I207" s="1425" t="s">
        <v>53</v>
      </c>
      <c r="J207" s="1425"/>
      <c r="K207" s="1425" t="s">
        <v>648</v>
      </c>
      <c r="L207" s="301" t="s">
        <v>496</v>
      </c>
      <c r="M207" s="1425" t="s">
        <v>497</v>
      </c>
      <c r="N207" s="476"/>
      <c r="O207" s="1425" t="s">
        <v>47</v>
      </c>
      <c r="P207" s="16" t="s">
        <v>649</v>
      </c>
      <c r="Q207" s="302" t="s">
        <v>650</v>
      </c>
      <c r="R207" s="303">
        <v>2015</v>
      </c>
      <c r="S207" s="303">
        <v>0</v>
      </c>
      <c r="T207" s="303">
        <v>1</v>
      </c>
      <c r="U207" s="303">
        <v>0</v>
      </c>
      <c r="V207" s="303">
        <v>0</v>
      </c>
      <c r="W207" s="303">
        <v>0</v>
      </c>
      <c r="X207" s="303">
        <v>1</v>
      </c>
      <c r="Y207" s="481"/>
      <c r="Z207" s="481"/>
      <c r="AA207" s="481"/>
      <c r="AB207" s="481">
        <v>500</v>
      </c>
      <c r="AC207" s="481"/>
      <c r="AD207" s="481"/>
      <c r="AE207" s="481"/>
      <c r="AF207" s="481">
        <f t="shared" si="118"/>
        <v>500</v>
      </c>
      <c r="AG207" s="548"/>
      <c r="AH207" s="548"/>
      <c r="AI207" s="548"/>
      <c r="AJ207" s="548">
        <v>0</v>
      </c>
      <c r="AK207" s="548"/>
      <c r="AL207" s="548"/>
      <c r="AM207" s="548">
        <f t="shared" si="119"/>
        <v>0</v>
      </c>
      <c r="AN207" s="481"/>
      <c r="AO207" s="481"/>
      <c r="AP207" s="481"/>
      <c r="AQ207" s="481">
        <v>0</v>
      </c>
      <c r="AR207" s="481"/>
      <c r="AS207" s="481"/>
      <c r="AT207" s="481"/>
      <c r="AU207" s="481">
        <f t="shared" si="120"/>
        <v>0</v>
      </c>
      <c r="AV207" s="548"/>
      <c r="AW207" s="548"/>
      <c r="AX207" s="548"/>
      <c r="AY207" s="548">
        <v>0</v>
      </c>
      <c r="AZ207" s="548"/>
      <c r="BA207" s="548"/>
      <c r="BB207" s="548"/>
      <c r="BC207" s="548">
        <f t="shared" si="122"/>
        <v>0</v>
      </c>
      <c r="BD207" s="42">
        <f t="shared" si="130"/>
        <v>0</v>
      </c>
      <c r="BE207" s="42">
        <f t="shared" si="130"/>
        <v>0</v>
      </c>
      <c r="BF207" s="42">
        <f t="shared" si="130"/>
        <v>0</v>
      </c>
      <c r="BG207" s="42">
        <f t="shared" si="130"/>
        <v>500</v>
      </c>
      <c r="BH207" s="42">
        <f t="shared" si="130"/>
        <v>0</v>
      </c>
      <c r="BI207" s="42">
        <f t="shared" ref="BI207:BI270" si="133">+AD207+AS207+BA207</f>
        <v>0</v>
      </c>
      <c r="BJ207" s="42">
        <f t="shared" si="131"/>
        <v>0</v>
      </c>
      <c r="BK207" s="42">
        <f t="shared" si="131"/>
        <v>500</v>
      </c>
      <c r="BL207" s="3"/>
    </row>
    <row r="208" spans="1:64" ht="47.25" customHeight="1" x14ac:dyDescent="0.25">
      <c r="A208" s="298" t="s">
        <v>491</v>
      </c>
      <c r="B208" s="299" t="s">
        <v>489</v>
      </c>
      <c r="C208" s="1547"/>
      <c r="D208" s="1549"/>
      <c r="E208" s="1549"/>
      <c r="F208" s="1549"/>
      <c r="G208" s="1549"/>
      <c r="H208" s="1549"/>
      <c r="I208" s="1425"/>
      <c r="J208" s="1425"/>
      <c r="K208" s="1425" t="s">
        <v>651</v>
      </c>
      <c r="L208" s="301" t="s">
        <v>496</v>
      </c>
      <c r="M208" s="1425" t="s">
        <v>497</v>
      </c>
      <c r="N208" s="476"/>
      <c r="O208" s="1425" t="s">
        <v>73</v>
      </c>
      <c r="P208" s="71" t="s">
        <v>652</v>
      </c>
      <c r="Q208" s="302" t="s">
        <v>653</v>
      </c>
      <c r="R208" s="303">
        <v>2015</v>
      </c>
      <c r="S208" s="303">
        <v>0</v>
      </c>
      <c r="T208" s="303">
        <v>1</v>
      </c>
      <c r="U208" s="303">
        <v>1</v>
      </c>
      <c r="V208" s="303">
        <v>1</v>
      </c>
      <c r="W208" s="303">
        <v>1</v>
      </c>
      <c r="X208" s="303">
        <v>1</v>
      </c>
      <c r="Y208" s="481"/>
      <c r="Z208" s="481">
        <v>1</v>
      </c>
      <c r="AA208" s="481"/>
      <c r="AB208" s="481"/>
      <c r="AC208" s="481"/>
      <c r="AD208" s="481">
        <v>3.72</v>
      </c>
      <c r="AE208" s="481"/>
      <c r="AF208" s="481">
        <f t="shared" si="118"/>
        <v>4.7200000000000006</v>
      </c>
      <c r="AG208" s="548"/>
      <c r="AH208" s="548">
        <v>1</v>
      </c>
      <c r="AI208" s="548"/>
      <c r="AJ208" s="548"/>
      <c r="AK208" s="548"/>
      <c r="AL208" s="548"/>
      <c r="AM208" s="548">
        <f t="shared" si="119"/>
        <v>1</v>
      </c>
      <c r="AN208" s="481"/>
      <c r="AO208" s="481">
        <v>1</v>
      </c>
      <c r="AP208" s="481"/>
      <c r="AQ208" s="481"/>
      <c r="AR208" s="481"/>
      <c r="AS208" s="481"/>
      <c r="AT208" s="481"/>
      <c r="AU208" s="481">
        <f t="shared" si="120"/>
        <v>1</v>
      </c>
      <c r="AV208" s="548"/>
      <c r="AW208" s="548">
        <v>1</v>
      </c>
      <c r="AX208" s="548"/>
      <c r="AY208" s="548"/>
      <c r="AZ208" s="548"/>
      <c r="BA208" s="548"/>
      <c r="BB208" s="548"/>
      <c r="BC208" s="548">
        <f t="shared" si="122"/>
        <v>1</v>
      </c>
      <c r="BD208" s="42">
        <f t="shared" si="130"/>
        <v>0</v>
      </c>
      <c r="BE208" s="42">
        <f t="shared" si="130"/>
        <v>4</v>
      </c>
      <c r="BF208" s="42">
        <f t="shared" si="130"/>
        <v>0</v>
      </c>
      <c r="BG208" s="42">
        <f t="shared" si="130"/>
        <v>0</v>
      </c>
      <c r="BH208" s="42">
        <f t="shared" si="130"/>
        <v>0</v>
      </c>
      <c r="BI208" s="42">
        <f t="shared" si="133"/>
        <v>3.72</v>
      </c>
      <c r="BJ208" s="42">
        <f t="shared" si="131"/>
        <v>0</v>
      </c>
      <c r="BK208" s="42">
        <f t="shared" si="131"/>
        <v>7.7200000000000006</v>
      </c>
      <c r="BL208" s="3"/>
    </row>
    <row r="209" spans="1:64" ht="50.25" customHeight="1" x14ac:dyDescent="0.25">
      <c r="A209" s="298" t="s">
        <v>491</v>
      </c>
      <c r="B209" s="299" t="s">
        <v>489</v>
      </c>
      <c r="C209" s="1547"/>
      <c r="D209" s="1549"/>
      <c r="E209" s="1549"/>
      <c r="F209" s="1549"/>
      <c r="G209" s="1549"/>
      <c r="H209" s="1549"/>
      <c r="I209" s="1425"/>
      <c r="J209" s="1425"/>
      <c r="K209" s="1425" t="s">
        <v>654</v>
      </c>
      <c r="L209" s="301" t="s">
        <v>496</v>
      </c>
      <c r="M209" s="1425" t="s">
        <v>497</v>
      </c>
      <c r="N209" s="476"/>
      <c r="O209" s="1425" t="s">
        <v>47</v>
      </c>
      <c r="P209" s="71" t="s">
        <v>655</v>
      </c>
      <c r="Q209" s="302" t="s">
        <v>656</v>
      </c>
      <c r="R209" s="303">
        <v>2015</v>
      </c>
      <c r="S209" s="303">
        <v>0</v>
      </c>
      <c r="T209" s="303">
        <v>1</v>
      </c>
      <c r="U209" s="303">
        <v>1</v>
      </c>
      <c r="V209" s="303">
        <v>1</v>
      </c>
      <c r="W209" s="303">
        <v>1</v>
      </c>
      <c r="X209" s="303">
        <v>8</v>
      </c>
      <c r="Y209" s="481"/>
      <c r="Z209" s="481">
        <v>4</v>
      </c>
      <c r="AA209" s="481"/>
      <c r="AB209" s="481"/>
      <c r="AC209" s="481"/>
      <c r="AD209" s="481">
        <v>6</v>
      </c>
      <c r="AE209" s="481"/>
      <c r="AF209" s="481">
        <f t="shared" si="118"/>
        <v>10</v>
      </c>
      <c r="AG209" s="548"/>
      <c r="AH209" s="548">
        <v>4</v>
      </c>
      <c r="AI209" s="548"/>
      <c r="AJ209" s="548"/>
      <c r="AK209" s="548"/>
      <c r="AL209" s="548"/>
      <c r="AM209" s="548">
        <f t="shared" si="119"/>
        <v>4</v>
      </c>
      <c r="AN209" s="481"/>
      <c r="AO209" s="481">
        <v>4</v>
      </c>
      <c r="AP209" s="481"/>
      <c r="AQ209" s="481"/>
      <c r="AR209" s="481"/>
      <c r="AS209" s="481"/>
      <c r="AT209" s="481"/>
      <c r="AU209" s="481">
        <f t="shared" si="120"/>
        <v>4</v>
      </c>
      <c r="AV209" s="548"/>
      <c r="AW209" s="548">
        <v>4</v>
      </c>
      <c r="AX209" s="548"/>
      <c r="AY209" s="548"/>
      <c r="AZ209" s="548"/>
      <c r="BA209" s="548"/>
      <c r="BB209" s="548"/>
      <c r="BC209" s="548">
        <f t="shared" si="122"/>
        <v>4</v>
      </c>
      <c r="BD209" s="42">
        <f t="shared" si="130"/>
        <v>0</v>
      </c>
      <c r="BE209" s="42">
        <f t="shared" si="130"/>
        <v>16</v>
      </c>
      <c r="BF209" s="42">
        <f t="shared" si="130"/>
        <v>0</v>
      </c>
      <c r="BG209" s="42">
        <f t="shared" si="130"/>
        <v>0</v>
      </c>
      <c r="BH209" s="42">
        <f t="shared" si="130"/>
        <v>0</v>
      </c>
      <c r="BI209" s="42">
        <f t="shared" si="133"/>
        <v>6</v>
      </c>
      <c r="BJ209" s="42">
        <f t="shared" si="131"/>
        <v>0</v>
      </c>
      <c r="BK209" s="42">
        <f t="shared" si="131"/>
        <v>22</v>
      </c>
      <c r="BL209" s="3"/>
    </row>
    <row r="210" spans="1:64" ht="39.75" customHeight="1" x14ac:dyDescent="0.25">
      <c r="A210" s="298" t="s">
        <v>491</v>
      </c>
      <c r="B210" s="299" t="s">
        <v>489</v>
      </c>
      <c r="C210" s="1547"/>
      <c r="D210" s="1549"/>
      <c r="E210" s="1549"/>
      <c r="F210" s="1549"/>
      <c r="G210" s="1549"/>
      <c r="H210" s="1549"/>
      <c r="I210" s="1425"/>
      <c r="J210" s="1425"/>
      <c r="K210" s="1425" t="s">
        <v>657</v>
      </c>
      <c r="L210" s="301" t="s">
        <v>496</v>
      </c>
      <c r="M210" s="1425" t="s">
        <v>497</v>
      </c>
      <c r="N210" s="476"/>
      <c r="O210" s="1425" t="s">
        <v>73</v>
      </c>
      <c r="P210" s="71" t="s">
        <v>658</v>
      </c>
      <c r="Q210" s="302" t="s">
        <v>659</v>
      </c>
      <c r="R210" s="303">
        <v>2015</v>
      </c>
      <c r="S210" s="303">
        <v>1</v>
      </c>
      <c r="T210" s="303">
        <v>1</v>
      </c>
      <c r="U210" s="303">
        <v>1</v>
      </c>
      <c r="V210" s="303">
        <v>1</v>
      </c>
      <c r="W210" s="303">
        <v>1</v>
      </c>
      <c r="X210" s="303">
        <v>1</v>
      </c>
      <c r="Y210" s="481"/>
      <c r="Z210" s="481">
        <v>12</v>
      </c>
      <c r="AA210" s="481"/>
      <c r="AB210" s="481"/>
      <c r="AC210" s="481"/>
      <c r="AD210" s="481"/>
      <c r="AE210" s="481"/>
      <c r="AF210" s="481">
        <f t="shared" si="118"/>
        <v>12</v>
      </c>
      <c r="AG210" s="548"/>
      <c r="AH210" s="548">
        <v>12</v>
      </c>
      <c r="AI210" s="548"/>
      <c r="AJ210" s="548"/>
      <c r="AK210" s="548"/>
      <c r="AL210" s="548"/>
      <c r="AM210" s="548">
        <f t="shared" si="119"/>
        <v>12</v>
      </c>
      <c r="AN210" s="481"/>
      <c r="AO210" s="481">
        <v>12</v>
      </c>
      <c r="AP210" s="481"/>
      <c r="AQ210" s="481"/>
      <c r="AR210" s="481"/>
      <c r="AS210" s="481"/>
      <c r="AT210" s="481"/>
      <c r="AU210" s="481">
        <f t="shared" si="120"/>
        <v>12</v>
      </c>
      <c r="AV210" s="548"/>
      <c r="AW210" s="548">
        <v>12</v>
      </c>
      <c r="AX210" s="548"/>
      <c r="AY210" s="548"/>
      <c r="AZ210" s="548"/>
      <c r="BA210" s="548"/>
      <c r="BB210" s="548"/>
      <c r="BC210" s="548">
        <f t="shared" si="122"/>
        <v>12</v>
      </c>
      <c r="BD210" s="42">
        <f t="shared" si="130"/>
        <v>0</v>
      </c>
      <c r="BE210" s="42">
        <f t="shared" si="130"/>
        <v>48</v>
      </c>
      <c r="BF210" s="42">
        <f t="shared" si="130"/>
        <v>0</v>
      </c>
      <c r="BG210" s="42">
        <f t="shared" si="130"/>
        <v>0</v>
      </c>
      <c r="BH210" s="42">
        <f t="shared" si="130"/>
        <v>0</v>
      </c>
      <c r="BI210" s="42">
        <f t="shared" si="133"/>
        <v>0</v>
      </c>
      <c r="BJ210" s="42">
        <f t="shared" si="131"/>
        <v>0</v>
      </c>
      <c r="BK210" s="42">
        <f t="shared" si="131"/>
        <v>48</v>
      </c>
      <c r="BL210" s="3"/>
    </row>
    <row r="211" spans="1:64" ht="39.75" customHeight="1" x14ac:dyDescent="0.25">
      <c r="A211" s="298" t="s">
        <v>491</v>
      </c>
      <c r="B211" s="299" t="s">
        <v>489</v>
      </c>
      <c r="C211" s="1548"/>
      <c r="D211" s="1549"/>
      <c r="E211" s="1549"/>
      <c r="F211" s="1549"/>
      <c r="G211" s="1549"/>
      <c r="H211" s="1549"/>
      <c r="I211" s="1425"/>
      <c r="J211" s="1425"/>
      <c r="K211" s="1425" t="s">
        <v>660</v>
      </c>
      <c r="L211" s="301" t="s">
        <v>496</v>
      </c>
      <c r="M211" s="1425" t="s">
        <v>497</v>
      </c>
      <c r="N211" s="476"/>
      <c r="O211" s="1425" t="s">
        <v>73</v>
      </c>
      <c r="P211" s="71" t="s">
        <v>661</v>
      </c>
      <c r="Q211" s="302" t="s">
        <v>659</v>
      </c>
      <c r="R211" s="303">
        <v>2015</v>
      </c>
      <c r="S211" s="303">
        <v>1</v>
      </c>
      <c r="T211" s="303">
        <v>1</v>
      </c>
      <c r="U211" s="303">
        <v>1</v>
      </c>
      <c r="V211" s="303">
        <v>1</v>
      </c>
      <c r="W211" s="303">
        <v>1</v>
      </c>
      <c r="X211" s="303">
        <v>1</v>
      </c>
      <c r="Y211" s="481"/>
      <c r="Z211" s="481">
        <v>14.5</v>
      </c>
      <c r="AA211" s="481"/>
      <c r="AB211" s="481"/>
      <c r="AC211" s="481"/>
      <c r="AD211" s="481"/>
      <c r="AE211" s="481"/>
      <c r="AF211" s="481">
        <f t="shared" si="118"/>
        <v>14.5</v>
      </c>
      <c r="AG211" s="548"/>
      <c r="AH211" s="548">
        <v>14.5</v>
      </c>
      <c r="AI211" s="548"/>
      <c r="AJ211" s="548"/>
      <c r="AK211" s="548"/>
      <c r="AL211" s="548"/>
      <c r="AM211" s="548">
        <f t="shared" si="119"/>
        <v>14.5</v>
      </c>
      <c r="AN211" s="481"/>
      <c r="AO211" s="481">
        <v>14.5</v>
      </c>
      <c r="AP211" s="481"/>
      <c r="AQ211" s="481"/>
      <c r="AR211" s="481"/>
      <c r="AS211" s="481"/>
      <c r="AT211" s="481"/>
      <c r="AU211" s="481">
        <f t="shared" si="120"/>
        <v>14.5</v>
      </c>
      <c r="AV211" s="548"/>
      <c r="AW211" s="548">
        <v>14.5</v>
      </c>
      <c r="AX211" s="548"/>
      <c r="AY211" s="548"/>
      <c r="AZ211" s="548"/>
      <c r="BA211" s="548"/>
      <c r="BB211" s="548"/>
      <c r="BC211" s="548">
        <f t="shared" si="122"/>
        <v>14.5</v>
      </c>
      <c r="BD211" s="42">
        <f t="shared" si="130"/>
        <v>0</v>
      </c>
      <c r="BE211" s="42">
        <f t="shared" si="130"/>
        <v>58</v>
      </c>
      <c r="BF211" s="42">
        <f t="shared" si="130"/>
        <v>0</v>
      </c>
      <c r="BG211" s="42">
        <f t="shared" si="130"/>
        <v>0</v>
      </c>
      <c r="BH211" s="42">
        <f t="shared" si="130"/>
        <v>0</v>
      </c>
      <c r="BI211" s="42">
        <f t="shared" si="133"/>
        <v>0</v>
      </c>
      <c r="BJ211" s="42">
        <f t="shared" si="131"/>
        <v>0</v>
      </c>
      <c r="BK211" s="42">
        <f t="shared" si="131"/>
        <v>58</v>
      </c>
      <c r="BL211" s="3"/>
    </row>
    <row r="212" spans="1:64" ht="39.6" x14ac:dyDescent="0.25">
      <c r="A212" s="295" t="s">
        <v>491</v>
      </c>
      <c r="B212" s="24" t="s">
        <v>489</v>
      </c>
      <c r="C212" s="6"/>
      <c r="D212" s="2" t="s">
        <v>662</v>
      </c>
      <c r="E212" s="1"/>
      <c r="F212" s="1"/>
      <c r="G212" s="1"/>
      <c r="H212" s="1"/>
      <c r="I212" s="1"/>
      <c r="J212" s="1"/>
      <c r="K212" s="1"/>
      <c r="L212" s="1"/>
      <c r="M212" s="1"/>
      <c r="N212" s="1"/>
      <c r="O212" s="1"/>
      <c r="P212" s="22" t="s">
        <v>663</v>
      </c>
      <c r="Q212" s="22"/>
      <c r="R212" s="1"/>
      <c r="S212" s="1"/>
      <c r="T212" s="1"/>
      <c r="U212" s="1"/>
      <c r="V212" s="1"/>
      <c r="W212" s="1"/>
      <c r="X212" s="1"/>
      <c r="Y212" s="34">
        <f>SUM(Y213:Y220)</f>
        <v>10</v>
      </c>
      <c r="Z212" s="34">
        <f t="shared" ref="Z212:BK212" si="134">SUM(Z213:Z220)</f>
        <v>0</v>
      </c>
      <c r="AA212" s="34">
        <f t="shared" si="134"/>
        <v>2.66</v>
      </c>
      <c r="AB212" s="34">
        <f t="shared" si="134"/>
        <v>0</v>
      </c>
      <c r="AC212" s="34">
        <f t="shared" si="134"/>
        <v>0</v>
      </c>
      <c r="AD212" s="34">
        <f t="shared" si="134"/>
        <v>0</v>
      </c>
      <c r="AE212" s="34">
        <f t="shared" si="134"/>
        <v>0</v>
      </c>
      <c r="AF212" s="34">
        <f t="shared" si="134"/>
        <v>12.66</v>
      </c>
      <c r="AG212" s="34">
        <f t="shared" si="134"/>
        <v>10</v>
      </c>
      <c r="AH212" s="34">
        <f t="shared" si="134"/>
        <v>0</v>
      </c>
      <c r="AI212" s="34">
        <f t="shared" si="134"/>
        <v>2.66</v>
      </c>
      <c r="AJ212" s="34">
        <f t="shared" si="134"/>
        <v>0</v>
      </c>
      <c r="AK212" s="34">
        <f t="shared" si="134"/>
        <v>0</v>
      </c>
      <c r="AL212" s="34">
        <f t="shared" si="134"/>
        <v>0</v>
      </c>
      <c r="AM212" s="34">
        <f t="shared" si="134"/>
        <v>12.66</v>
      </c>
      <c r="AN212" s="34">
        <f t="shared" si="134"/>
        <v>10</v>
      </c>
      <c r="AO212" s="34">
        <f t="shared" si="134"/>
        <v>0</v>
      </c>
      <c r="AP212" s="34">
        <f t="shared" si="134"/>
        <v>2.66</v>
      </c>
      <c r="AQ212" s="34">
        <f t="shared" si="134"/>
        <v>0</v>
      </c>
      <c r="AR212" s="34">
        <f t="shared" si="134"/>
        <v>0</v>
      </c>
      <c r="AS212" s="34">
        <f t="shared" si="134"/>
        <v>0</v>
      </c>
      <c r="AT212" s="34">
        <f t="shared" si="134"/>
        <v>0</v>
      </c>
      <c r="AU212" s="34">
        <f t="shared" si="134"/>
        <v>12.66</v>
      </c>
      <c r="AV212" s="34">
        <f t="shared" si="134"/>
        <v>10</v>
      </c>
      <c r="AW212" s="34">
        <f t="shared" si="134"/>
        <v>0</v>
      </c>
      <c r="AX212" s="34">
        <f t="shared" si="134"/>
        <v>2.66</v>
      </c>
      <c r="AY212" s="34">
        <f t="shared" si="134"/>
        <v>0</v>
      </c>
      <c r="AZ212" s="34">
        <f t="shared" si="134"/>
        <v>0</v>
      </c>
      <c r="BA212" s="34">
        <f t="shared" si="134"/>
        <v>0</v>
      </c>
      <c r="BB212" s="34">
        <f t="shared" si="134"/>
        <v>0</v>
      </c>
      <c r="BC212" s="34">
        <f t="shared" si="134"/>
        <v>12.66</v>
      </c>
      <c r="BD212" s="34">
        <f t="shared" si="134"/>
        <v>40</v>
      </c>
      <c r="BE212" s="34">
        <f t="shared" si="134"/>
        <v>0</v>
      </c>
      <c r="BF212" s="34">
        <f t="shared" si="134"/>
        <v>10.64</v>
      </c>
      <c r="BG212" s="34">
        <f t="shared" si="134"/>
        <v>0</v>
      </c>
      <c r="BH212" s="34">
        <f t="shared" si="134"/>
        <v>0</v>
      </c>
      <c r="BI212" s="34">
        <f t="shared" si="133"/>
        <v>0</v>
      </c>
      <c r="BJ212" s="34">
        <f t="shared" si="134"/>
        <v>0</v>
      </c>
      <c r="BK212" s="34">
        <f t="shared" si="134"/>
        <v>50.64</v>
      </c>
      <c r="BL212" s="3"/>
    </row>
    <row r="213" spans="1:64" ht="61.5" customHeight="1" x14ac:dyDescent="0.25">
      <c r="A213" s="298" t="s">
        <v>491</v>
      </c>
      <c r="B213" s="299" t="s">
        <v>489</v>
      </c>
      <c r="C213" s="1546" t="s">
        <v>664</v>
      </c>
      <c r="D213" s="1549" t="s">
        <v>665</v>
      </c>
      <c r="E213" s="1549" t="s">
        <v>252</v>
      </c>
      <c r="F213" s="1549">
        <v>2015</v>
      </c>
      <c r="G213" s="1562">
        <v>11672</v>
      </c>
      <c r="H213" s="1562">
        <v>13500</v>
      </c>
      <c r="I213" s="1428"/>
      <c r="J213" s="1428"/>
      <c r="K213" s="1428" t="s">
        <v>666</v>
      </c>
      <c r="L213" s="301" t="s">
        <v>496</v>
      </c>
      <c r="M213" s="1425" t="s">
        <v>497</v>
      </c>
      <c r="N213" s="476"/>
      <c r="O213" s="1425" t="s">
        <v>73</v>
      </c>
      <c r="P213" s="16" t="s">
        <v>667</v>
      </c>
      <c r="Q213" s="302" t="s">
        <v>668</v>
      </c>
      <c r="R213" s="303">
        <v>2015</v>
      </c>
      <c r="S213" s="303">
        <v>0</v>
      </c>
      <c r="T213" s="303">
        <v>1</v>
      </c>
      <c r="U213" s="303">
        <v>1</v>
      </c>
      <c r="V213" s="303">
        <v>1</v>
      </c>
      <c r="W213" s="303">
        <v>1</v>
      </c>
      <c r="X213" s="303">
        <v>1</v>
      </c>
      <c r="Y213" s="481"/>
      <c r="Z213" s="481"/>
      <c r="AA213" s="481">
        <v>2.66</v>
      </c>
      <c r="AB213" s="481"/>
      <c r="AC213" s="481"/>
      <c r="AD213" s="481"/>
      <c r="AE213" s="481"/>
      <c r="AF213" s="481">
        <f t="shared" si="118"/>
        <v>2.66</v>
      </c>
      <c r="AG213" s="548"/>
      <c r="AH213" s="548"/>
      <c r="AI213" s="548">
        <v>2.66</v>
      </c>
      <c r="AJ213" s="548"/>
      <c r="AK213" s="548"/>
      <c r="AL213" s="548"/>
      <c r="AM213" s="548">
        <f t="shared" si="119"/>
        <v>2.66</v>
      </c>
      <c r="AN213" s="481"/>
      <c r="AO213" s="481"/>
      <c r="AP213" s="481">
        <v>2.66</v>
      </c>
      <c r="AQ213" s="481"/>
      <c r="AR213" s="481"/>
      <c r="AS213" s="481"/>
      <c r="AT213" s="481"/>
      <c r="AU213" s="481">
        <f t="shared" si="120"/>
        <v>2.66</v>
      </c>
      <c r="AV213" s="548"/>
      <c r="AW213" s="548"/>
      <c r="AX213" s="548">
        <v>2.66</v>
      </c>
      <c r="AY213" s="548"/>
      <c r="AZ213" s="548"/>
      <c r="BA213" s="548"/>
      <c r="BB213" s="548"/>
      <c r="BC213" s="548">
        <f t="shared" si="122"/>
        <v>2.66</v>
      </c>
      <c r="BD213" s="42">
        <f t="shared" si="130"/>
        <v>0</v>
      </c>
      <c r="BE213" s="42">
        <f t="shared" si="130"/>
        <v>0</v>
      </c>
      <c r="BF213" s="42">
        <f t="shared" si="130"/>
        <v>10.64</v>
      </c>
      <c r="BG213" s="42">
        <f t="shared" si="130"/>
        <v>0</v>
      </c>
      <c r="BH213" s="42">
        <f t="shared" si="130"/>
        <v>0</v>
      </c>
      <c r="BI213" s="42">
        <f t="shared" si="133"/>
        <v>0</v>
      </c>
      <c r="BJ213" s="42">
        <f t="shared" si="131"/>
        <v>0</v>
      </c>
      <c r="BK213" s="42">
        <f t="shared" si="131"/>
        <v>10.64</v>
      </c>
      <c r="BL213" s="3"/>
    </row>
    <row r="214" spans="1:64" ht="62.25" customHeight="1" x14ac:dyDescent="0.25">
      <c r="A214" s="298" t="s">
        <v>491</v>
      </c>
      <c r="B214" s="299" t="s">
        <v>489</v>
      </c>
      <c r="C214" s="1547"/>
      <c r="D214" s="1549"/>
      <c r="E214" s="1549"/>
      <c r="F214" s="1549"/>
      <c r="G214" s="1549"/>
      <c r="H214" s="1549"/>
      <c r="I214" s="1425"/>
      <c r="J214" s="1425"/>
      <c r="K214" s="1428" t="s">
        <v>669</v>
      </c>
      <c r="L214" s="301" t="s">
        <v>496</v>
      </c>
      <c r="M214" s="1425" t="s">
        <v>497</v>
      </c>
      <c r="N214" s="476"/>
      <c r="O214" s="1425" t="s">
        <v>47</v>
      </c>
      <c r="P214" s="16" t="s">
        <v>670</v>
      </c>
      <c r="Q214" s="302" t="s">
        <v>337</v>
      </c>
      <c r="R214" s="303">
        <v>2015</v>
      </c>
      <c r="S214" s="303">
        <v>0</v>
      </c>
      <c r="T214" s="303">
        <v>1</v>
      </c>
      <c r="U214" s="303">
        <v>0</v>
      </c>
      <c r="V214" s="303">
        <v>1</v>
      </c>
      <c r="W214" s="303">
        <v>0</v>
      </c>
      <c r="X214" s="303">
        <v>2</v>
      </c>
      <c r="Y214" s="491">
        <v>2</v>
      </c>
      <c r="Z214" s="481"/>
      <c r="AA214" s="481"/>
      <c r="AB214" s="481"/>
      <c r="AC214" s="481"/>
      <c r="AD214" s="481"/>
      <c r="AE214" s="481"/>
      <c r="AF214" s="481">
        <f t="shared" si="118"/>
        <v>2</v>
      </c>
      <c r="AG214" s="548"/>
      <c r="AH214" s="548"/>
      <c r="AI214" s="548"/>
      <c r="AJ214" s="548"/>
      <c r="AK214" s="548"/>
      <c r="AL214" s="548"/>
      <c r="AM214" s="548">
        <f t="shared" si="119"/>
        <v>0</v>
      </c>
      <c r="AN214" s="491">
        <v>0.5</v>
      </c>
      <c r="AO214" s="481"/>
      <c r="AP214" s="481"/>
      <c r="AQ214" s="481"/>
      <c r="AR214" s="481"/>
      <c r="AS214" s="481"/>
      <c r="AT214" s="481"/>
      <c r="AU214" s="481">
        <f t="shared" si="120"/>
        <v>0.5</v>
      </c>
      <c r="AV214" s="548"/>
      <c r="AW214" s="548"/>
      <c r="AX214" s="548"/>
      <c r="AY214" s="548"/>
      <c r="AZ214" s="548"/>
      <c r="BA214" s="548"/>
      <c r="BB214" s="548"/>
      <c r="BC214" s="548">
        <f t="shared" si="122"/>
        <v>0</v>
      </c>
      <c r="BD214" s="42">
        <f t="shared" si="130"/>
        <v>2.5</v>
      </c>
      <c r="BE214" s="42">
        <f t="shared" si="130"/>
        <v>0</v>
      </c>
      <c r="BF214" s="42">
        <f t="shared" si="130"/>
        <v>0</v>
      </c>
      <c r="BG214" s="42">
        <f t="shared" si="130"/>
        <v>0</v>
      </c>
      <c r="BH214" s="42">
        <f t="shared" si="130"/>
        <v>0</v>
      </c>
      <c r="BI214" s="42">
        <f t="shared" si="133"/>
        <v>0</v>
      </c>
      <c r="BJ214" s="42">
        <f t="shared" si="131"/>
        <v>0</v>
      </c>
      <c r="BK214" s="42">
        <f t="shared" si="131"/>
        <v>2.5</v>
      </c>
      <c r="BL214" s="3"/>
    </row>
    <row r="215" spans="1:64" ht="65.25" customHeight="1" x14ac:dyDescent="0.25">
      <c r="A215" s="298" t="s">
        <v>491</v>
      </c>
      <c r="B215" s="299" t="s">
        <v>489</v>
      </c>
      <c r="C215" s="1547"/>
      <c r="D215" s="1549"/>
      <c r="E215" s="1549"/>
      <c r="F215" s="1549"/>
      <c r="G215" s="1549"/>
      <c r="H215" s="1549"/>
      <c r="I215" s="1425"/>
      <c r="J215" s="1425"/>
      <c r="K215" s="1428" t="s">
        <v>671</v>
      </c>
      <c r="L215" s="301" t="s">
        <v>496</v>
      </c>
      <c r="M215" s="1425" t="s">
        <v>497</v>
      </c>
      <c r="N215" s="476"/>
      <c r="O215" s="1425" t="s">
        <v>47</v>
      </c>
      <c r="P215" s="16" t="s">
        <v>672</v>
      </c>
      <c r="Q215" s="302" t="s">
        <v>673</v>
      </c>
      <c r="R215" s="303">
        <v>2015</v>
      </c>
      <c r="S215" s="303">
        <v>0</v>
      </c>
      <c r="T215" s="303">
        <v>0</v>
      </c>
      <c r="U215" s="303">
        <v>1</v>
      </c>
      <c r="V215" s="303">
        <v>1</v>
      </c>
      <c r="W215" s="303">
        <v>0</v>
      </c>
      <c r="X215" s="303">
        <v>2</v>
      </c>
      <c r="Y215" s="481"/>
      <c r="Z215" s="481"/>
      <c r="AA215" s="481"/>
      <c r="AB215" s="481"/>
      <c r="AC215" s="481"/>
      <c r="AD215" s="481"/>
      <c r="AE215" s="481"/>
      <c r="AF215" s="481">
        <f t="shared" si="118"/>
        <v>0</v>
      </c>
      <c r="AG215" s="491">
        <v>1</v>
      </c>
      <c r="AH215" s="548"/>
      <c r="AI215" s="548"/>
      <c r="AJ215" s="548"/>
      <c r="AK215" s="548"/>
      <c r="AL215" s="548"/>
      <c r="AM215" s="548">
        <f t="shared" si="119"/>
        <v>1</v>
      </c>
      <c r="AN215" s="491">
        <v>0.5</v>
      </c>
      <c r="AO215" s="481"/>
      <c r="AP215" s="481"/>
      <c r="AQ215" s="481"/>
      <c r="AR215" s="481"/>
      <c r="AS215" s="481"/>
      <c r="AT215" s="481"/>
      <c r="AU215" s="481">
        <f t="shared" si="120"/>
        <v>0.5</v>
      </c>
      <c r="AV215" s="548"/>
      <c r="AW215" s="548"/>
      <c r="AX215" s="548"/>
      <c r="AY215" s="548"/>
      <c r="AZ215" s="548"/>
      <c r="BA215" s="548"/>
      <c r="BB215" s="548"/>
      <c r="BC215" s="548">
        <f t="shared" si="122"/>
        <v>0</v>
      </c>
      <c r="BD215" s="42">
        <f t="shared" si="130"/>
        <v>1.5</v>
      </c>
      <c r="BE215" s="42">
        <f t="shared" si="130"/>
        <v>0</v>
      </c>
      <c r="BF215" s="42">
        <f t="shared" si="130"/>
        <v>0</v>
      </c>
      <c r="BG215" s="42">
        <f t="shared" si="130"/>
        <v>0</v>
      </c>
      <c r="BH215" s="42">
        <f t="shared" si="130"/>
        <v>0</v>
      </c>
      <c r="BI215" s="42">
        <f t="shared" si="133"/>
        <v>0</v>
      </c>
      <c r="BJ215" s="42">
        <f t="shared" si="131"/>
        <v>0</v>
      </c>
      <c r="BK215" s="42">
        <f t="shared" si="131"/>
        <v>1.5</v>
      </c>
      <c r="BL215" s="3"/>
    </row>
    <row r="216" spans="1:64" ht="60" customHeight="1" x14ac:dyDescent="0.25">
      <c r="A216" s="298" t="s">
        <v>491</v>
      </c>
      <c r="B216" s="299" t="s">
        <v>489</v>
      </c>
      <c r="C216" s="1547"/>
      <c r="D216" s="1549"/>
      <c r="E216" s="1549"/>
      <c r="F216" s="1549"/>
      <c r="G216" s="1549"/>
      <c r="H216" s="1549"/>
      <c r="I216" s="1425"/>
      <c r="J216" s="1425"/>
      <c r="K216" s="1428" t="s">
        <v>674</v>
      </c>
      <c r="L216" s="301" t="s">
        <v>496</v>
      </c>
      <c r="M216" s="1425" t="s">
        <v>497</v>
      </c>
      <c r="N216" s="476"/>
      <c r="O216" s="1425" t="s">
        <v>47</v>
      </c>
      <c r="P216" s="16" t="s">
        <v>675</v>
      </c>
      <c r="Q216" s="302" t="s">
        <v>676</v>
      </c>
      <c r="R216" s="303">
        <v>2015</v>
      </c>
      <c r="S216" s="303">
        <v>0</v>
      </c>
      <c r="T216" s="303">
        <v>1</v>
      </c>
      <c r="U216" s="303">
        <v>0</v>
      </c>
      <c r="V216" s="303">
        <v>1</v>
      </c>
      <c r="W216" s="303">
        <v>0</v>
      </c>
      <c r="X216" s="303">
        <v>2</v>
      </c>
      <c r="Y216" s="491">
        <v>5</v>
      </c>
      <c r="Z216" s="481"/>
      <c r="AA216" s="481"/>
      <c r="AB216" s="481"/>
      <c r="AC216" s="481"/>
      <c r="AD216" s="481"/>
      <c r="AE216" s="481"/>
      <c r="AF216" s="481">
        <f t="shared" si="118"/>
        <v>5</v>
      </c>
      <c r="AG216" s="548"/>
      <c r="AH216" s="548"/>
      <c r="AI216" s="548"/>
      <c r="AJ216" s="548"/>
      <c r="AK216" s="548"/>
      <c r="AL216" s="548"/>
      <c r="AM216" s="548">
        <f t="shared" si="119"/>
        <v>0</v>
      </c>
      <c r="AN216" s="491">
        <v>0.5</v>
      </c>
      <c r="AO216" s="481"/>
      <c r="AP216" s="481"/>
      <c r="AQ216" s="481"/>
      <c r="AR216" s="481"/>
      <c r="AS216" s="481"/>
      <c r="AT216" s="481"/>
      <c r="AU216" s="481">
        <f t="shared" si="120"/>
        <v>0.5</v>
      </c>
      <c r="AV216" s="548"/>
      <c r="AW216" s="548"/>
      <c r="AX216" s="548"/>
      <c r="AY216" s="548"/>
      <c r="AZ216" s="548"/>
      <c r="BA216" s="548"/>
      <c r="BB216" s="548"/>
      <c r="BC216" s="548">
        <f t="shared" si="122"/>
        <v>0</v>
      </c>
      <c r="BD216" s="42">
        <f t="shared" si="130"/>
        <v>5.5</v>
      </c>
      <c r="BE216" s="42">
        <f t="shared" si="130"/>
        <v>0</v>
      </c>
      <c r="BF216" s="42">
        <f t="shared" si="130"/>
        <v>0</v>
      </c>
      <c r="BG216" s="42">
        <f t="shared" si="130"/>
        <v>0</v>
      </c>
      <c r="BH216" s="42">
        <f t="shared" si="130"/>
        <v>0</v>
      </c>
      <c r="BI216" s="42">
        <f t="shared" si="133"/>
        <v>0</v>
      </c>
      <c r="BJ216" s="42">
        <f t="shared" si="131"/>
        <v>0</v>
      </c>
      <c r="BK216" s="42">
        <f t="shared" si="131"/>
        <v>5.5</v>
      </c>
      <c r="BL216" s="3"/>
    </row>
    <row r="217" spans="1:64" ht="54" customHeight="1" x14ac:dyDescent="0.25">
      <c r="A217" s="298" t="s">
        <v>491</v>
      </c>
      <c r="B217" s="299" t="s">
        <v>489</v>
      </c>
      <c r="C217" s="1547"/>
      <c r="D217" s="1549"/>
      <c r="E217" s="1549"/>
      <c r="F217" s="1549"/>
      <c r="G217" s="1549"/>
      <c r="H217" s="1549"/>
      <c r="I217" s="1425"/>
      <c r="J217" s="1425"/>
      <c r="K217" s="1428" t="s">
        <v>677</v>
      </c>
      <c r="L217" s="301" t="s">
        <v>496</v>
      </c>
      <c r="M217" s="1425" t="s">
        <v>497</v>
      </c>
      <c r="N217" s="476"/>
      <c r="O217" s="1425" t="s">
        <v>47</v>
      </c>
      <c r="P217" s="16" t="s">
        <v>678</v>
      </c>
      <c r="Q217" s="302" t="s">
        <v>679</v>
      </c>
      <c r="R217" s="303">
        <v>2015</v>
      </c>
      <c r="S217" s="303">
        <v>0</v>
      </c>
      <c r="T217" s="303">
        <v>0</v>
      </c>
      <c r="U217" s="303">
        <v>1</v>
      </c>
      <c r="V217" s="303">
        <v>0</v>
      </c>
      <c r="W217" s="303">
        <v>1</v>
      </c>
      <c r="X217" s="303">
        <v>2</v>
      </c>
      <c r="Y217" s="481"/>
      <c r="Z217" s="481"/>
      <c r="AA217" s="481"/>
      <c r="AB217" s="481"/>
      <c r="AC217" s="481"/>
      <c r="AD217" s="481"/>
      <c r="AE217" s="481"/>
      <c r="AF217" s="481">
        <f t="shared" si="118"/>
        <v>0</v>
      </c>
      <c r="AG217" s="491">
        <v>1</v>
      </c>
      <c r="AH217" s="548"/>
      <c r="AI217" s="548"/>
      <c r="AJ217" s="548"/>
      <c r="AK217" s="548"/>
      <c r="AL217" s="548"/>
      <c r="AM217" s="548">
        <f t="shared" si="119"/>
        <v>1</v>
      </c>
      <c r="AN217" s="481"/>
      <c r="AO217" s="481"/>
      <c r="AP217" s="481"/>
      <c r="AQ217" s="481"/>
      <c r="AR217" s="481"/>
      <c r="AS217" s="481"/>
      <c r="AT217" s="481"/>
      <c r="AU217" s="481">
        <f t="shared" si="120"/>
        <v>0</v>
      </c>
      <c r="AV217" s="491">
        <v>8</v>
      </c>
      <c r="AW217" s="548"/>
      <c r="AX217" s="548"/>
      <c r="AY217" s="548"/>
      <c r="AZ217" s="548"/>
      <c r="BA217" s="548"/>
      <c r="BB217" s="548"/>
      <c r="BC217" s="548">
        <f t="shared" si="122"/>
        <v>8</v>
      </c>
      <c r="BD217" s="42">
        <f t="shared" si="130"/>
        <v>9</v>
      </c>
      <c r="BE217" s="42">
        <f t="shared" si="130"/>
        <v>0</v>
      </c>
      <c r="BF217" s="42">
        <f t="shared" si="130"/>
        <v>0</v>
      </c>
      <c r="BG217" s="42">
        <f t="shared" si="130"/>
        <v>0</v>
      </c>
      <c r="BH217" s="42">
        <f t="shared" si="130"/>
        <v>0</v>
      </c>
      <c r="BI217" s="42">
        <f t="shared" si="133"/>
        <v>0</v>
      </c>
      <c r="BJ217" s="42">
        <f t="shared" si="131"/>
        <v>0</v>
      </c>
      <c r="BK217" s="42">
        <f t="shared" si="131"/>
        <v>9</v>
      </c>
      <c r="BL217" s="3"/>
    </row>
    <row r="218" spans="1:64" ht="58.5" customHeight="1" x14ac:dyDescent="0.25">
      <c r="A218" s="298" t="s">
        <v>491</v>
      </c>
      <c r="B218" s="299" t="s">
        <v>489</v>
      </c>
      <c r="C218" s="1547"/>
      <c r="D218" s="1549"/>
      <c r="E218" s="1549"/>
      <c r="F218" s="1549"/>
      <c r="G218" s="1549"/>
      <c r="H218" s="1549"/>
      <c r="I218" s="1425"/>
      <c r="J218" s="1425"/>
      <c r="K218" s="1428" t="s">
        <v>680</v>
      </c>
      <c r="L218" s="301" t="s">
        <v>496</v>
      </c>
      <c r="M218" s="1425" t="s">
        <v>497</v>
      </c>
      <c r="N218" s="476"/>
      <c r="O218" s="1425" t="s">
        <v>73</v>
      </c>
      <c r="P218" s="16" t="s">
        <v>681</v>
      </c>
      <c r="Q218" s="302" t="s">
        <v>682</v>
      </c>
      <c r="R218" s="303">
        <v>2015</v>
      </c>
      <c r="S218" s="303">
        <v>0</v>
      </c>
      <c r="T218" s="303">
        <v>1</v>
      </c>
      <c r="U218" s="303">
        <v>1</v>
      </c>
      <c r="V218" s="303">
        <v>1</v>
      </c>
      <c r="W218" s="303">
        <v>1</v>
      </c>
      <c r="X218" s="303">
        <v>1</v>
      </c>
      <c r="Y218" s="481">
        <v>3</v>
      </c>
      <c r="Z218" s="481"/>
      <c r="AA218" s="481"/>
      <c r="AB218" s="481"/>
      <c r="AC218" s="481"/>
      <c r="AD218" s="481"/>
      <c r="AE218" s="481"/>
      <c r="AF218" s="481">
        <f t="shared" si="118"/>
        <v>3</v>
      </c>
      <c r="AG218" s="548">
        <v>2</v>
      </c>
      <c r="AH218" s="548"/>
      <c r="AI218" s="548"/>
      <c r="AJ218" s="548"/>
      <c r="AK218" s="548"/>
      <c r="AL218" s="548"/>
      <c r="AM218" s="548">
        <f t="shared" si="119"/>
        <v>2</v>
      </c>
      <c r="AN218" s="481">
        <v>2</v>
      </c>
      <c r="AO218" s="481"/>
      <c r="AP218" s="481"/>
      <c r="AQ218" s="481"/>
      <c r="AR218" s="481"/>
      <c r="AS218" s="481"/>
      <c r="AT218" s="481"/>
      <c r="AU218" s="481">
        <f t="shared" si="120"/>
        <v>2</v>
      </c>
      <c r="AV218" s="548">
        <v>2</v>
      </c>
      <c r="AW218" s="548"/>
      <c r="AX218" s="548"/>
      <c r="AY218" s="548"/>
      <c r="AZ218" s="548"/>
      <c r="BA218" s="548"/>
      <c r="BB218" s="548"/>
      <c r="BC218" s="548">
        <f t="shared" si="122"/>
        <v>2</v>
      </c>
      <c r="BD218" s="42">
        <f t="shared" si="130"/>
        <v>9</v>
      </c>
      <c r="BE218" s="42">
        <f t="shared" si="130"/>
        <v>0</v>
      </c>
      <c r="BF218" s="42">
        <f t="shared" si="130"/>
        <v>0</v>
      </c>
      <c r="BG218" s="42">
        <f t="shared" si="130"/>
        <v>0</v>
      </c>
      <c r="BH218" s="42">
        <f t="shared" si="130"/>
        <v>0</v>
      </c>
      <c r="BI218" s="42">
        <f t="shared" si="133"/>
        <v>0</v>
      </c>
      <c r="BJ218" s="42">
        <f t="shared" si="131"/>
        <v>0</v>
      </c>
      <c r="BK218" s="42">
        <f t="shared" si="131"/>
        <v>9</v>
      </c>
      <c r="BL218" s="3"/>
    </row>
    <row r="219" spans="1:64" s="38" customFormat="1" ht="54.75" customHeight="1" x14ac:dyDescent="0.25">
      <c r="A219" s="298" t="s">
        <v>491</v>
      </c>
      <c r="B219" s="299" t="s">
        <v>489</v>
      </c>
      <c r="C219" s="1547"/>
      <c r="D219" s="1549"/>
      <c r="E219" s="1549"/>
      <c r="F219" s="1549"/>
      <c r="G219" s="1549"/>
      <c r="H219" s="1549"/>
      <c r="I219" s="1432"/>
      <c r="J219" s="1432"/>
      <c r="K219" s="1428" t="s">
        <v>683</v>
      </c>
      <c r="L219" s="301" t="s">
        <v>496</v>
      </c>
      <c r="M219" s="1425" t="s">
        <v>497</v>
      </c>
      <c r="N219" s="476"/>
      <c r="O219" s="1425" t="s">
        <v>47</v>
      </c>
      <c r="P219" s="71" t="s">
        <v>684</v>
      </c>
      <c r="Q219" s="345" t="s">
        <v>685</v>
      </c>
      <c r="R219" s="346">
        <v>2015</v>
      </c>
      <c r="S219" s="346">
        <v>0</v>
      </c>
      <c r="T219" s="346">
        <v>0</v>
      </c>
      <c r="U219" s="346">
        <v>1</v>
      </c>
      <c r="V219" s="346">
        <v>1</v>
      </c>
      <c r="W219" s="346">
        <v>0</v>
      </c>
      <c r="X219" s="346">
        <v>2</v>
      </c>
      <c r="Y219" s="492"/>
      <c r="Z219" s="579"/>
      <c r="AA219" s="579"/>
      <c r="AB219" s="579"/>
      <c r="AC219" s="579"/>
      <c r="AD219" s="579"/>
      <c r="AE219" s="579"/>
      <c r="AF219" s="579">
        <f t="shared" si="118"/>
        <v>0</v>
      </c>
      <c r="AG219" s="492">
        <v>6</v>
      </c>
      <c r="AH219" s="589"/>
      <c r="AI219" s="589"/>
      <c r="AJ219" s="589"/>
      <c r="AK219" s="589"/>
      <c r="AL219" s="589"/>
      <c r="AM219" s="589">
        <f t="shared" si="119"/>
        <v>6</v>
      </c>
      <c r="AN219" s="492">
        <v>6</v>
      </c>
      <c r="AO219" s="579"/>
      <c r="AP219" s="579"/>
      <c r="AQ219" s="579"/>
      <c r="AR219" s="579"/>
      <c r="AS219" s="579"/>
      <c r="AT219" s="579"/>
      <c r="AU219" s="579">
        <f t="shared" si="120"/>
        <v>6</v>
      </c>
      <c r="AV219" s="492"/>
      <c r="AW219" s="589"/>
      <c r="AX219" s="589"/>
      <c r="AY219" s="589"/>
      <c r="AZ219" s="589"/>
      <c r="BA219" s="589"/>
      <c r="BB219" s="589"/>
      <c r="BC219" s="589">
        <f t="shared" si="122"/>
        <v>0</v>
      </c>
      <c r="BD219" s="61">
        <f t="shared" si="130"/>
        <v>12</v>
      </c>
      <c r="BE219" s="61">
        <f t="shared" si="130"/>
        <v>0</v>
      </c>
      <c r="BF219" s="61">
        <f t="shared" si="130"/>
        <v>0</v>
      </c>
      <c r="BG219" s="61">
        <f t="shared" si="130"/>
        <v>0</v>
      </c>
      <c r="BH219" s="61">
        <f t="shared" si="130"/>
        <v>0</v>
      </c>
      <c r="BI219" s="61">
        <f t="shared" si="133"/>
        <v>0</v>
      </c>
      <c r="BJ219" s="61">
        <f t="shared" si="131"/>
        <v>0</v>
      </c>
      <c r="BK219" s="61">
        <f t="shared" si="131"/>
        <v>12</v>
      </c>
    </row>
    <row r="220" spans="1:64" ht="51" customHeight="1" x14ac:dyDescent="0.25">
      <c r="A220" s="298" t="s">
        <v>491</v>
      </c>
      <c r="B220" s="299" t="s">
        <v>489</v>
      </c>
      <c r="C220" s="1547"/>
      <c r="D220" s="1549"/>
      <c r="E220" s="1549"/>
      <c r="F220" s="1549"/>
      <c r="G220" s="1549"/>
      <c r="H220" s="1549"/>
      <c r="I220" s="1425"/>
      <c r="J220" s="1425"/>
      <c r="K220" s="1428" t="s">
        <v>686</v>
      </c>
      <c r="L220" s="301" t="s">
        <v>496</v>
      </c>
      <c r="M220" s="1425" t="s">
        <v>497</v>
      </c>
      <c r="N220" s="476"/>
      <c r="O220" s="1425" t="s">
        <v>47</v>
      </c>
      <c r="P220" s="16" t="s">
        <v>687</v>
      </c>
      <c r="Q220" s="302" t="s">
        <v>688</v>
      </c>
      <c r="R220" s="303">
        <v>2015</v>
      </c>
      <c r="S220" s="303">
        <v>0</v>
      </c>
      <c r="T220" s="303">
        <v>0</v>
      </c>
      <c r="U220" s="303">
        <v>0</v>
      </c>
      <c r="V220" s="303">
        <v>1</v>
      </c>
      <c r="W220" s="303">
        <v>0</v>
      </c>
      <c r="X220" s="303">
        <v>1</v>
      </c>
      <c r="Y220" s="481">
        <v>0</v>
      </c>
      <c r="Z220" s="481"/>
      <c r="AA220" s="481"/>
      <c r="AB220" s="481"/>
      <c r="AC220" s="481"/>
      <c r="AD220" s="481"/>
      <c r="AE220" s="481"/>
      <c r="AF220" s="481">
        <f t="shared" si="118"/>
        <v>0</v>
      </c>
      <c r="AG220" s="548">
        <v>0</v>
      </c>
      <c r="AH220" s="548"/>
      <c r="AI220" s="548"/>
      <c r="AJ220" s="548"/>
      <c r="AK220" s="548"/>
      <c r="AL220" s="548"/>
      <c r="AM220" s="548">
        <f t="shared" si="119"/>
        <v>0</v>
      </c>
      <c r="AN220" s="491">
        <v>0.5</v>
      </c>
      <c r="AO220" s="481"/>
      <c r="AP220" s="481"/>
      <c r="AQ220" s="481"/>
      <c r="AR220" s="481"/>
      <c r="AS220" s="481"/>
      <c r="AT220" s="481"/>
      <c r="AU220" s="481">
        <f t="shared" si="120"/>
        <v>0.5</v>
      </c>
      <c r="AV220" s="548">
        <v>0</v>
      </c>
      <c r="AW220" s="548"/>
      <c r="AX220" s="548"/>
      <c r="AY220" s="548"/>
      <c r="AZ220" s="548"/>
      <c r="BA220" s="548"/>
      <c r="BB220" s="548"/>
      <c r="BC220" s="548">
        <f t="shared" si="122"/>
        <v>0</v>
      </c>
      <c r="BD220" s="42">
        <f t="shared" si="130"/>
        <v>0.5</v>
      </c>
      <c r="BE220" s="42">
        <f t="shared" si="130"/>
        <v>0</v>
      </c>
      <c r="BF220" s="42">
        <f t="shared" si="130"/>
        <v>0</v>
      </c>
      <c r="BG220" s="42">
        <f t="shared" si="130"/>
        <v>0</v>
      </c>
      <c r="BH220" s="42">
        <f t="shared" si="130"/>
        <v>0</v>
      </c>
      <c r="BI220" s="42">
        <f t="shared" si="133"/>
        <v>0</v>
      </c>
      <c r="BJ220" s="42">
        <f t="shared" si="131"/>
        <v>0</v>
      </c>
      <c r="BK220" s="42">
        <f t="shared" si="131"/>
        <v>0.5</v>
      </c>
      <c r="BL220" s="3"/>
    </row>
    <row r="221" spans="1:64" s="37" customFormat="1" ht="39.6" x14ac:dyDescent="0.25">
      <c r="A221" s="298" t="s">
        <v>491</v>
      </c>
      <c r="B221" s="299" t="s">
        <v>489</v>
      </c>
      <c r="C221" s="1547"/>
      <c r="D221" s="1549"/>
      <c r="E221" s="1549"/>
      <c r="F221" s="1549"/>
      <c r="G221" s="1549"/>
      <c r="H221" s="1549"/>
      <c r="I221" s="476"/>
      <c r="J221" s="476"/>
      <c r="K221" s="1428"/>
      <c r="L221" s="476"/>
      <c r="M221" s="476"/>
      <c r="N221" s="476"/>
      <c r="O221" s="476"/>
      <c r="P221" s="62" t="s">
        <v>689</v>
      </c>
      <c r="Q221" s="22"/>
      <c r="R221" s="1"/>
      <c r="S221" s="1"/>
      <c r="T221" s="1"/>
      <c r="U221" s="1"/>
      <c r="V221" s="1"/>
      <c r="W221" s="1"/>
      <c r="X221" s="1"/>
      <c r="Y221" s="34">
        <f>SUM(Y222:Y226)</f>
        <v>0</v>
      </c>
      <c r="Z221" s="34">
        <f t="shared" ref="Z221:BK221" si="135">SUM(Z222:Z226)</f>
        <v>0</v>
      </c>
      <c r="AA221" s="34">
        <f t="shared" si="135"/>
        <v>3</v>
      </c>
      <c r="AB221" s="34">
        <f t="shared" si="135"/>
        <v>0</v>
      </c>
      <c r="AC221" s="34">
        <f t="shared" si="135"/>
        <v>0</v>
      </c>
      <c r="AD221" s="34">
        <f t="shared" si="135"/>
        <v>0</v>
      </c>
      <c r="AE221" s="34">
        <f t="shared" si="135"/>
        <v>0</v>
      </c>
      <c r="AF221" s="34">
        <f t="shared" si="135"/>
        <v>3</v>
      </c>
      <c r="AG221" s="34">
        <f t="shared" si="135"/>
        <v>0</v>
      </c>
      <c r="AH221" s="34">
        <f t="shared" si="135"/>
        <v>0</v>
      </c>
      <c r="AI221" s="34">
        <f t="shared" si="135"/>
        <v>3</v>
      </c>
      <c r="AJ221" s="34">
        <f t="shared" si="135"/>
        <v>0</v>
      </c>
      <c r="AK221" s="34">
        <f t="shared" si="135"/>
        <v>0</v>
      </c>
      <c r="AL221" s="34">
        <f t="shared" si="135"/>
        <v>0</v>
      </c>
      <c r="AM221" s="34">
        <f t="shared" si="135"/>
        <v>3</v>
      </c>
      <c r="AN221" s="34">
        <f t="shared" si="135"/>
        <v>0</v>
      </c>
      <c r="AO221" s="34">
        <f t="shared" si="135"/>
        <v>0</v>
      </c>
      <c r="AP221" s="34">
        <f t="shared" si="135"/>
        <v>3</v>
      </c>
      <c r="AQ221" s="34">
        <f t="shared" si="135"/>
        <v>0</v>
      </c>
      <c r="AR221" s="34">
        <f t="shared" si="135"/>
        <v>0</v>
      </c>
      <c r="AS221" s="34">
        <f t="shared" si="135"/>
        <v>0</v>
      </c>
      <c r="AT221" s="34">
        <f t="shared" si="135"/>
        <v>0</v>
      </c>
      <c r="AU221" s="34">
        <f t="shared" si="135"/>
        <v>3</v>
      </c>
      <c r="AV221" s="34">
        <f t="shared" si="135"/>
        <v>0</v>
      </c>
      <c r="AW221" s="34">
        <f t="shared" si="135"/>
        <v>0</v>
      </c>
      <c r="AX221" s="34">
        <f t="shared" si="135"/>
        <v>3</v>
      </c>
      <c r="AY221" s="34">
        <f t="shared" si="135"/>
        <v>0</v>
      </c>
      <c r="AZ221" s="34">
        <f t="shared" si="135"/>
        <v>0</v>
      </c>
      <c r="BA221" s="34">
        <f t="shared" si="135"/>
        <v>0</v>
      </c>
      <c r="BB221" s="34">
        <f t="shared" si="135"/>
        <v>0</v>
      </c>
      <c r="BC221" s="34">
        <f t="shared" si="135"/>
        <v>3</v>
      </c>
      <c r="BD221" s="34">
        <f t="shared" si="135"/>
        <v>0</v>
      </c>
      <c r="BE221" s="34">
        <f t="shared" si="135"/>
        <v>0</v>
      </c>
      <c r="BF221" s="34">
        <f t="shared" si="135"/>
        <v>12</v>
      </c>
      <c r="BG221" s="34">
        <f t="shared" si="135"/>
        <v>0</v>
      </c>
      <c r="BH221" s="34">
        <f t="shared" si="135"/>
        <v>0</v>
      </c>
      <c r="BI221" s="34">
        <f t="shared" si="133"/>
        <v>0</v>
      </c>
      <c r="BJ221" s="34">
        <f t="shared" si="135"/>
        <v>0</v>
      </c>
      <c r="BK221" s="34">
        <f t="shared" si="135"/>
        <v>12</v>
      </c>
    </row>
    <row r="222" spans="1:64" ht="60" customHeight="1" x14ac:dyDescent="0.25">
      <c r="A222" s="298" t="s">
        <v>491</v>
      </c>
      <c r="B222" s="299" t="s">
        <v>489</v>
      </c>
      <c r="C222" s="1547"/>
      <c r="D222" s="1549"/>
      <c r="E222" s="1549"/>
      <c r="F222" s="1549"/>
      <c r="G222" s="1549"/>
      <c r="H222" s="1549"/>
      <c r="I222" s="1425"/>
      <c r="J222" s="1425"/>
      <c r="K222" s="1428" t="s">
        <v>690</v>
      </c>
      <c r="L222" s="301" t="s">
        <v>496</v>
      </c>
      <c r="M222" s="1425" t="s">
        <v>497</v>
      </c>
      <c r="N222" s="476"/>
      <c r="O222" s="1425" t="s">
        <v>47</v>
      </c>
      <c r="P222" s="16" t="s">
        <v>691</v>
      </c>
      <c r="Q222" s="302" t="s">
        <v>337</v>
      </c>
      <c r="R222" s="303">
        <v>2015</v>
      </c>
      <c r="S222" s="303">
        <v>0</v>
      </c>
      <c r="T222" s="303">
        <v>1</v>
      </c>
      <c r="U222" s="303">
        <v>1</v>
      </c>
      <c r="V222" s="303">
        <v>1</v>
      </c>
      <c r="W222" s="303">
        <v>1</v>
      </c>
      <c r="X222" s="303">
        <v>4</v>
      </c>
      <c r="Y222" s="481"/>
      <c r="Z222" s="481"/>
      <c r="AA222" s="491">
        <v>1</v>
      </c>
      <c r="AB222" s="481"/>
      <c r="AC222" s="481"/>
      <c r="AD222" s="481"/>
      <c r="AE222" s="481"/>
      <c r="AF222" s="481">
        <f t="shared" si="118"/>
        <v>1</v>
      </c>
      <c r="AG222" s="548"/>
      <c r="AH222" s="548"/>
      <c r="AI222" s="491">
        <v>0.6</v>
      </c>
      <c r="AJ222" s="548"/>
      <c r="AK222" s="548"/>
      <c r="AL222" s="548"/>
      <c r="AM222" s="548">
        <f t="shared" si="119"/>
        <v>0.6</v>
      </c>
      <c r="AN222" s="481"/>
      <c r="AO222" s="481"/>
      <c r="AP222" s="491">
        <v>1</v>
      </c>
      <c r="AQ222" s="481"/>
      <c r="AR222" s="481"/>
      <c r="AS222" s="481"/>
      <c r="AT222" s="481"/>
      <c r="AU222" s="481">
        <f t="shared" si="120"/>
        <v>1</v>
      </c>
      <c r="AV222" s="548"/>
      <c r="AW222" s="548"/>
      <c r="AX222" s="491">
        <v>1</v>
      </c>
      <c r="AY222" s="548"/>
      <c r="AZ222" s="548"/>
      <c r="BA222" s="548"/>
      <c r="BB222" s="548"/>
      <c r="BC222" s="548">
        <f t="shared" si="122"/>
        <v>1</v>
      </c>
      <c r="BD222" s="42">
        <f t="shared" si="130"/>
        <v>0</v>
      </c>
      <c r="BE222" s="42">
        <f t="shared" si="130"/>
        <v>0</v>
      </c>
      <c r="BF222" s="42">
        <f t="shared" si="130"/>
        <v>3.6</v>
      </c>
      <c r="BG222" s="42">
        <f t="shared" si="130"/>
        <v>0</v>
      </c>
      <c r="BH222" s="42">
        <f t="shared" si="130"/>
        <v>0</v>
      </c>
      <c r="BI222" s="42">
        <f t="shared" si="133"/>
        <v>0</v>
      </c>
      <c r="BJ222" s="42">
        <f t="shared" si="131"/>
        <v>0</v>
      </c>
      <c r="BK222" s="42">
        <f t="shared" si="131"/>
        <v>3.6</v>
      </c>
      <c r="BL222" s="3"/>
    </row>
    <row r="223" spans="1:64" ht="65.25" customHeight="1" x14ac:dyDescent="0.25">
      <c r="A223" s="298" t="s">
        <v>491</v>
      </c>
      <c r="B223" s="299" t="s">
        <v>489</v>
      </c>
      <c r="C223" s="1547"/>
      <c r="D223" s="1549"/>
      <c r="E223" s="1549"/>
      <c r="F223" s="1549"/>
      <c r="G223" s="1549"/>
      <c r="H223" s="1549"/>
      <c r="I223" s="1425"/>
      <c r="J223" s="1425"/>
      <c r="K223" s="1428" t="s">
        <v>692</v>
      </c>
      <c r="L223" s="301" t="s">
        <v>496</v>
      </c>
      <c r="M223" s="1425" t="s">
        <v>497</v>
      </c>
      <c r="N223" s="476"/>
      <c r="O223" s="1425" t="s">
        <v>47</v>
      </c>
      <c r="P223" s="16" t="s">
        <v>693</v>
      </c>
      <c r="Q223" s="302" t="s">
        <v>337</v>
      </c>
      <c r="R223" s="303">
        <v>2015</v>
      </c>
      <c r="S223" s="303">
        <v>0</v>
      </c>
      <c r="T223" s="303">
        <v>1</v>
      </c>
      <c r="U223" s="303">
        <v>1</v>
      </c>
      <c r="V223" s="303">
        <v>1</v>
      </c>
      <c r="W223" s="303">
        <v>1</v>
      </c>
      <c r="X223" s="303">
        <v>4</v>
      </c>
      <c r="Y223" s="481"/>
      <c r="Z223" s="481"/>
      <c r="AA223" s="491">
        <v>1</v>
      </c>
      <c r="AB223" s="481"/>
      <c r="AC223" s="481"/>
      <c r="AD223" s="481"/>
      <c r="AE223" s="481"/>
      <c r="AF223" s="481">
        <f t="shared" ref="AF223:AF260" si="136">SUM(Y223:AE223)</f>
        <v>1</v>
      </c>
      <c r="AG223" s="548"/>
      <c r="AH223" s="548"/>
      <c r="AI223" s="491">
        <v>0.6</v>
      </c>
      <c r="AJ223" s="548"/>
      <c r="AK223" s="548"/>
      <c r="AL223" s="548"/>
      <c r="AM223" s="548">
        <f t="shared" ref="AM223:AM260" si="137">SUM(AG223:AL223)</f>
        <v>0.6</v>
      </c>
      <c r="AN223" s="481"/>
      <c r="AO223" s="481"/>
      <c r="AP223" s="491">
        <v>1</v>
      </c>
      <c r="AQ223" s="481"/>
      <c r="AR223" s="481"/>
      <c r="AS223" s="481"/>
      <c r="AT223" s="481"/>
      <c r="AU223" s="481">
        <f t="shared" ref="AU223:AU260" si="138">SUM(AN223:AT223)</f>
        <v>1</v>
      </c>
      <c r="AV223" s="548"/>
      <c r="AW223" s="548"/>
      <c r="AX223" s="491">
        <v>1</v>
      </c>
      <c r="AY223" s="548"/>
      <c r="AZ223" s="548"/>
      <c r="BA223" s="548"/>
      <c r="BB223" s="548"/>
      <c r="BC223" s="548">
        <f t="shared" ref="BC223:BC260" si="139">SUM(AV223:BB223)</f>
        <v>1</v>
      </c>
      <c r="BD223" s="42">
        <f t="shared" si="130"/>
        <v>0</v>
      </c>
      <c r="BE223" s="42">
        <f t="shared" si="130"/>
        <v>0</v>
      </c>
      <c r="BF223" s="42">
        <f t="shared" si="130"/>
        <v>3.6</v>
      </c>
      <c r="BG223" s="42">
        <f t="shared" si="130"/>
        <v>0</v>
      </c>
      <c r="BH223" s="42">
        <f t="shared" si="130"/>
        <v>0</v>
      </c>
      <c r="BI223" s="42">
        <f t="shared" si="133"/>
        <v>0</v>
      </c>
      <c r="BJ223" s="42">
        <f t="shared" si="131"/>
        <v>0</v>
      </c>
      <c r="BK223" s="42">
        <f t="shared" si="131"/>
        <v>3.6</v>
      </c>
      <c r="BL223" s="3"/>
    </row>
    <row r="224" spans="1:64" ht="60" customHeight="1" x14ac:dyDescent="0.25">
      <c r="A224" s="298" t="s">
        <v>491</v>
      </c>
      <c r="B224" s="299" t="s">
        <v>489</v>
      </c>
      <c r="C224" s="1547"/>
      <c r="D224" s="1549"/>
      <c r="E224" s="1549"/>
      <c r="F224" s="1549"/>
      <c r="G224" s="1549"/>
      <c r="H224" s="1549"/>
      <c r="I224" s="1425"/>
      <c r="J224" s="1425"/>
      <c r="K224" s="1428" t="s">
        <v>694</v>
      </c>
      <c r="L224" s="301" t="s">
        <v>496</v>
      </c>
      <c r="M224" s="1425" t="s">
        <v>497</v>
      </c>
      <c r="N224" s="476"/>
      <c r="O224" s="1425" t="s">
        <v>47</v>
      </c>
      <c r="P224" s="16" t="s">
        <v>695</v>
      </c>
      <c r="Q224" s="302" t="s">
        <v>696</v>
      </c>
      <c r="R224" s="303">
        <v>2015</v>
      </c>
      <c r="S224" s="303">
        <v>0</v>
      </c>
      <c r="T224" s="303">
        <v>0</v>
      </c>
      <c r="U224" s="303">
        <v>1</v>
      </c>
      <c r="V224" s="303">
        <v>0</v>
      </c>
      <c r="W224" s="303">
        <v>0</v>
      </c>
      <c r="X224" s="303">
        <v>1</v>
      </c>
      <c r="Y224" s="481"/>
      <c r="Z224" s="481"/>
      <c r="AA224" s="481"/>
      <c r="AB224" s="481"/>
      <c r="AC224" s="481"/>
      <c r="AD224" s="481"/>
      <c r="AE224" s="481"/>
      <c r="AF224" s="481">
        <f t="shared" si="136"/>
        <v>0</v>
      </c>
      <c r="AG224" s="548"/>
      <c r="AH224" s="548"/>
      <c r="AI224" s="491">
        <v>0.6</v>
      </c>
      <c r="AJ224" s="548"/>
      <c r="AK224" s="548"/>
      <c r="AL224" s="548"/>
      <c r="AM224" s="548">
        <f t="shared" si="137"/>
        <v>0.6</v>
      </c>
      <c r="AN224" s="481"/>
      <c r="AO224" s="481"/>
      <c r="AP224" s="481"/>
      <c r="AQ224" s="481"/>
      <c r="AR224" s="481"/>
      <c r="AS224" s="481"/>
      <c r="AT224" s="481"/>
      <c r="AU224" s="481">
        <f t="shared" si="138"/>
        <v>0</v>
      </c>
      <c r="AV224" s="548"/>
      <c r="AW224" s="548"/>
      <c r="AX224" s="548"/>
      <c r="AY224" s="548"/>
      <c r="AZ224" s="548"/>
      <c r="BA224" s="548"/>
      <c r="BB224" s="548"/>
      <c r="BC224" s="548">
        <f t="shared" si="139"/>
        <v>0</v>
      </c>
      <c r="BD224" s="42">
        <f t="shared" si="130"/>
        <v>0</v>
      </c>
      <c r="BE224" s="42">
        <f t="shared" si="130"/>
        <v>0</v>
      </c>
      <c r="BF224" s="42">
        <f t="shared" si="130"/>
        <v>0.6</v>
      </c>
      <c r="BG224" s="42">
        <f t="shared" si="130"/>
        <v>0</v>
      </c>
      <c r="BH224" s="42">
        <f t="shared" si="130"/>
        <v>0</v>
      </c>
      <c r="BI224" s="42">
        <f t="shared" si="133"/>
        <v>0</v>
      </c>
      <c r="BJ224" s="42">
        <f t="shared" si="131"/>
        <v>0</v>
      </c>
      <c r="BK224" s="42">
        <f t="shared" si="131"/>
        <v>0.6</v>
      </c>
      <c r="BL224" s="3"/>
    </row>
    <row r="225" spans="1:64" ht="84" customHeight="1" x14ac:dyDescent="0.25">
      <c r="A225" s="298" t="s">
        <v>491</v>
      </c>
      <c r="B225" s="299" t="s">
        <v>489</v>
      </c>
      <c r="C225" s="1547"/>
      <c r="D225" s="1549"/>
      <c r="E225" s="1549"/>
      <c r="F225" s="1549"/>
      <c r="G225" s="1549"/>
      <c r="H225" s="1549"/>
      <c r="I225" s="1425"/>
      <c r="J225" s="1425"/>
      <c r="K225" s="1428" t="s">
        <v>697</v>
      </c>
      <c r="L225" s="301" t="s">
        <v>496</v>
      </c>
      <c r="M225" s="1425" t="s">
        <v>497</v>
      </c>
      <c r="N225" s="476"/>
      <c r="O225" s="1425" t="s">
        <v>47</v>
      </c>
      <c r="P225" s="16" t="s">
        <v>698</v>
      </c>
      <c r="Q225" s="302" t="s">
        <v>699</v>
      </c>
      <c r="R225" s="303">
        <v>2015</v>
      </c>
      <c r="S225" s="303">
        <v>0</v>
      </c>
      <c r="T225" s="303">
        <v>0</v>
      </c>
      <c r="U225" s="303">
        <v>1</v>
      </c>
      <c r="V225" s="303">
        <v>0</v>
      </c>
      <c r="W225" s="303">
        <v>0</v>
      </c>
      <c r="X225" s="303">
        <v>1</v>
      </c>
      <c r="Y225" s="481"/>
      <c r="Z225" s="481"/>
      <c r="AA225" s="491"/>
      <c r="AB225" s="481"/>
      <c r="AC225" s="481"/>
      <c r="AD225" s="481"/>
      <c r="AE225" s="481"/>
      <c r="AF225" s="481">
        <f t="shared" si="136"/>
        <v>0</v>
      </c>
      <c r="AG225" s="548"/>
      <c r="AH225" s="548"/>
      <c r="AI225" s="491">
        <v>0.6</v>
      </c>
      <c r="AJ225" s="548"/>
      <c r="AK225" s="548"/>
      <c r="AL225" s="548"/>
      <c r="AM225" s="548">
        <f t="shared" si="137"/>
        <v>0.6</v>
      </c>
      <c r="AN225" s="481"/>
      <c r="AO225" s="481"/>
      <c r="AP225" s="491"/>
      <c r="AQ225" s="481"/>
      <c r="AR225" s="481"/>
      <c r="AS225" s="481"/>
      <c r="AT225" s="481"/>
      <c r="AU225" s="481">
        <f t="shared" si="138"/>
        <v>0</v>
      </c>
      <c r="AV225" s="548"/>
      <c r="AW225" s="548"/>
      <c r="AX225" s="491"/>
      <c r="AY225" s="548"/>
      <c r="AZ225" s="548"/>
      <c r="BA225" s="548"/>
      <c r="BB225" s="548"/>
      <c r="BC225" s="548">
        <f t="shared" si="139"/>
        <v>0</v>
      </c>
      <c r="BD225" s="42">
        <f t="shared" si="130"/>
        <v>0</v>
      </c>
      <c r="BE225" s="42">
        <f t="shared" si="130"/>
        <v>0</v>
      </c>
      <c r="BF225" s="42">
        <f t="shared" si="130"/>
        <v>0.6</v>
      </c>
      <c r="BG225" s="42">
        <f t="shared" si="130"/>
        <v>0</v>
      </c>
      <c r="BH225" s="42">
        <f t="shared" si="130"/>
        <v>0</v>
      </c>
      <c r="BI225" s="42">
        <f t="shared" si="133"/>
        <v>0</v>
      </c>
      <c r="BJ225" s="42">
        <f t="shared" si="131"/>
        <v>0</v>
      </c>
      <c r="BK225" s="42">
        <f t="shared" si="131"/>
        <v>0.6</v>
      </c>
      <c r="BL225" s="3"/>
    </row>
    <row r="226" spans="1:64" ht="110.25" customHeight="1" x14ac:dyDescent="0.25">
      <c r="A226" s="298" t="s">
        <v>491</v>
      </c>
      <c r="B226" s="299" t="s">
        <v>489</v>
      </c>
      <c r="C226" s="1547"/>
      <c r="D226" s="1549"/>
      <c r="E226" s="1549"/>
      <c r="F226" s="1549"/>
      <c r="G226" s="1549"/>
      <c r="H226" s="1549"/>
      <c r="I226" s="1425"/>
      <c r="J226" s="1425"/>
      <c r="K226" s="1428" t="s">
        <v>700</v>
      </c>
      <c r="L226" s="301" t="s">
        <v>496</v>
      </c>
      <c r="M226" s="1425" t="s">
        <v>497</v>
      </c>
      <c r="N226" s="476"/>
      <c r="O226" s="1425" t="s">
        <v>47</v>
      </c>
      <c r="P226" s="16" t="s">
        <v>701</v>
      </c>
      <c r="Q226" s="302" t="s">
        <v>702</v>
      </c>
      <c r="R226" s="303">
        <v>2015</v>
      </c>
      <c r="S226" s="303">
        <v>0</v>
      </c>
      <c r="T226" s="303">
        <v>2</v>
      </c>
      <c r="U226" s="303">
        <v>2</v>
      </c>
      <c r="V226" s="303">
        <v>2</v>
      </c>
      <c r="W226" s="303">
        <v>2</v>
      </c>
      <c r="X226" s="303">
        <v>8</v>
      </c>
      <c r="Y226" s="481"/>
      <c r="Z226" s="481"/>
      <c r="AA226" s="491">
        <v>1</v>
      </c>
      <c r="AB226" s="481"/>
      <c r="AC226" s="481"/>
      <c r="AD226" s="481"/>
      <c r="AE226" s="481"/>
      <c r="AF226" s="481">
        <f t="shared" si="136"/>
        <v>1</v>
      </c>
      <c r="AG226" s="548"/>
      <c r="AH226" s="548"/>
      <c r="AI226" s="491">
        <v>0.6</v>
      </c>
      <c r="AJ226" s="548"/>
      <c r="AK226" s="548"/>
      <c r="AL226" s="548"/>
      <c r="AM226" s="548">
        <f t="shared" si="137"/>
        <v>0.6</v>
      </c>
      <c r="AN226" s="481"/>
      <c r="AO226" s="481"/>
      <c r="AP226" s="491">
        <v>1</v>
      </c>
      <c r="AQ226" s="481"/>
      <c r="AR226" s="481"/>
      <c r="AS226" s="481"/>
      <c r="AT226" s="481"/>
      <c r="AU226" s="481">
        <f t="shared" si="138"/>
        <v>1</v>
      </c>
      <c r="AV226" s="548"/>
      <c r="AW226" s="548"/>
      <c r="AX226" s="491">
        <v>1</v>
      </c>
      <c r="AY226" s="548"/>
      <c r="AZ226" s="548"/>
      <c r="BA226" s="548"/>
      <c r="BB226" s="548"/>
      <c r="BC226" s="548">
        <f t="shared" si="139"/>
        <v>1</v>
      </c>
      <c r="BD226" s="42">
        <f t="shared" si="130"/>
        <v>0</v>
      </c>
      <c r="BE226" s="42">
        <f t="shared" si="130"/>
        <v>0</v>
      </c>
      <c r="BF226" s="42">
        <f t="shared" si="130"/>
        <v>3.6</v>
      </c>
      <c r="BG226" s="42">
        <f t="shared" si="130"/>
        <v>0</v>
      </c>
      <c r="BH226" s="42">
        <f t="shared" si="130"/>
        <v>0</v>
      </c>
      <c r="BI226" s="42">
        <f t="shared" si="133"/>
        <v>0</v>
      </c>
      <c r="BJ226" s="42">
        <f t="shared" si="131"/>
        <v>0</v>
      </c>
      <c r="BK226" s="42">
        <f t="shared" si="131"/>
        <v>3.6</v>
      </c>
      <c r="BL226" s="3"/>
    </row>
    <row r="227" spans="1:64" ht="39.6" x14ac:dyDescent="0.25">
      <c r="A227" s="298" t="s">
        <v>491</v>
      </c>
      <c r="B227" s="299" t="s">
        <v>489</v>
      </c>
      <c r="C227" s="1547"/>
      <c r="D227" s="1549"/>
      <c r="E227" s="1549"/>
      <c r="F227" s="1549"/>
      <c r="G227" s="1549"/>
      <c r="H227" s="1549"/>
      <c r="I227" s="1425"/>
      <c r="J227" s="1425"/>
      <c r="K227" s="1428"/>
      <c r="L227" s="1425"/>
      <c r="M227" s="1425"/>
      <c r="N227" s="476"/>
      <c r="O227" s="1425"/>
      <c r="P227" s="22" t="s">
        <v>703</v>
      </c>
      <c r="Q227" s="25"/>
      <c r="R227" s="17"/>
      <c r="S227" s="17"/>
      <c r="T227" s="17"/>
      <c r="U227" s="17"/>
      <c r="V227" s="17"/>
      <c r="W227" s="17"/>
      <c r="X227" s="17"/>
      <c r="Y227" s="34">
        <f>SUM(Y228:Y234)</f>
        <v>20</v>
      </c>
      <c r="Z227" s="34">
        <f t="shared" ref="Z227:BK227" si="140">SUM(Z228:Z234)</f>
        <v>0</v>
      </c>
      <c r="AA227" s="34">
        <f t="shared" si="140"/>
        <v>20</v>
      </c>
      <c r="AB227" s="34">
        <f t="shared" si="140"/>
        <v>0</v>
      </c>
      <c r="AC227" s="34">
        <f t="shared" si="140"/>
        <v>0</v>
      </c>
      <c r="AD227" s="34">
        <f t="shared" si="140"/>
        <v>0</v>
      </c>
      <c r="AE227" s="34">
        <f t="shared" si="140"/>
        <v>0</v>
      </c>
      <c r="AF227" s="34">
        <f t="shared" si="140"/>
        <v>40</v>
      </c>
      <c r="AG227" s="34">
        <f t="shared" si="140"/>
        <v>20</v>
      </c>
      <c r="AH227" s="34">
        <f t="shared" si="140"/>
        <v>0</v>
      </c>
      <c r="AI227" s="34">
        <f t="shared" si="140"/>
        <v>20</v>
      </c>
      <c r="AJ227" s="34">
        <f t="shared" si="140"/>
        <v>0</v>
      </c>
      <c r="AK227" s="34">
        <f t="shared" si="140"/>
        <v>0</v>
      </c>
      <c r="AL227" s="34">
        <f t="shared" si="140"/>
        <v>0</v>
      </c>
      <c r="AM227" s="34">
        <f t="shared" si="140"/>
        <v>40</v>
      </c>
      <c r="AN227" s="34">
        <f t="shared" si="140"/>
        <v>20</v>
      </c>
      <c r="AO227" s="34">
        <f t="shared" si="140"/>
        <v>0</v>
      </c>
      <c r="AP227" s="34">
        <f t="shared" si="140"/>
        <v>20</v>
      </c>
      <c r="AQ227" s="34">
        <f t="shared" si="140"/>
        <v>0</v>
      </c>
      <c r="AR227" s="34">
        <f t="shared" si="140"/>
        <v>0</v>
      </c>
      <c r="AS227" s="34">
        <f t="shared" si="140"/>
        <v>0</v>
      </c>
      <c r="AT227" s="34">
        <f t="shared" si="140"/>
        <v>0</v>
      </c>
      <c r="AU227" s="34">
        <f t="shared" si="140"/>
        <v>40</v>
      </c>
      <c r="AV227" s="34">
        <f t="shared" si="140"/>
        <v>20</v>
      </c>
      <c r="AW227" s="34">
        <f t="shared" si="140"/>
        <v>0</v>
      </c>
      <c r="AX227" s="34">
        <f t="shared" si="140"/>
        <v>20</v>
      </c>
      <c r="AY227" s="34">
        <f t="shared" si="140"/>
        <v>0</v>
      </c>
      <c r="AZ227" s="34">
        <f t="shared" si="140"/>
        <v>0</v>
      </c>
      <c r="BA227" s="34">
        <f t="shared" si="140"/>
        <v>0</v>
      </c>
      <c r="BB227" s="34">
        <f t="shared" si="140"/>
        <v>0</v>
      </c>
      <c r="BC227" s="34">
        <f t="shared" si="140"/>
        <v>40</v>
      </c>
      <c r="BD227" s="34">
        <f t="shared" si="140"/>
        <v>80</v>
      </c>
      <c r="BE227" s="34">
        <f t="shared" si="140"/>
        <v>0</v>
      </c>
      <c r="BF227" s="34">
        <f t="shared" si="140"/>
        <v>80</v>
      </c>
      <c r="BG227" s="34">
        <f t="shared" si="140"/>
        <v>0</v>
      </c>
      <c r="BH227" s="34">
        <f t="shared" si="140"/>
        <v>0</v>
      </c>
      <c r="BI227" s="34">
        <f t="shared" si="133"/>
        <v>0</v>
      </c>
      <c r="BJ227" s="34">
        <f t="shared" si="140"/>
        <v>0</v>
      </c>
      <c r="BK227" s="34">
        <f t="shared" si="140"/>
        <v>160</v>
      </c>
      <c r="BL227" s="3"/>
    </row>
    <row r="228" spans="1:64" ht="60" customHeight="1" x14ac:dyDescent="0.25">
      <c r="A228" s="298" t="s">
        <v>491</v>
      </c>
      <c r="B228" s="299" t="s">
        <v>489</v>
      </c>
      <c r="C228" s="1547"/>
      <c r="D228" s="1549"/>
      <c r="E228" s="1549"/>
      <c r="F228" s="1549"/>
      <c r="G228" s="1549"/>
      <c r="H228" s="1549"/>
      <c r="I228" s="1425"/>
      <c r="J228" s="1425"/>
      <c r="K228" s="1428" t="s">
        <v>704</v>
      </c>
      <c r="L228" s="301" t="s">
        <v>496</v>
      </c>
      <c r="M228" s="1425" t="s">
        <v>497</v>
      </c>
      <c r="N228" s="476"/>
      <c r="O228" s="1425" t="s">
        <v>47</v>
      </c>
      <c r="P228" s="16" t="s">
        <v>705</v>
      </c>
      <c r="Q228" s="302" t="s">
        <v>706</v>
      </c>
      <c r="R228" s="303">
        <v>2015</v>
      </c>
      <c r="S228" s="303">
        <v>0</v>
      </c>
      <c r="T228" s="303">
        <v>1</v>
      </c>
      <c r="U228" s="303">
        <v>1</v>
      </c>
      <c r="V228" s="303">
        <v>1</v>
      </c>
      <c r="W228" s="303">
        <v>1</v>
      </c>
      <c r="X228" s="303">
        <v>4</v>
      </c>
      <c r="Y228" s="491">
        <v>20</v>
      </c>
      <c r="Z228" s="481"/>
      <c r="AA228" s="481"/>
      <c r="AB228" s="481"/>
      <c r="AC228" s="481"/>
      <c r="AD228" s="481"/>
      <c r="AE228" s="481"/>
      <c r="AF228" s="481">
        <f t="shared" si="136"/>
        <v>20</v>
      </c>
      <c r="AG228" s="491">
        <v>20</v>
      </c>
      <c r="AH228" s="548"/>
      <c r="AI228" s="548"/>
      <c r="AJ228" s="548"/>
      <c r="AK228" s="548"/>
      <c r="AL228" s="548"/>
      <c r="AM228" s="548">
        <f t="shared" si="137"/>
        <v>20</v>
      </c>
      <c r="AN228" s="491">
        <v>20</v>
      </c>
      <c r="AO228" s="481">
        <v>0</v>
      </c>
      <c r="AP228" s="481">
        <v>0</v>
      </c>
      <c r="AQ228" s="481">
        <v>0</v>
      </c>
      <c r="AR228" s="481">
        <v>0</v>
      </c>
      <c r="AS228" s="481">
        <v>0</v>
      </c>
      <c r="AT228" s="481">
        <v>0</v>
      </c>
      <c r="AU228" s="481">
        <f t="shared" si="138"/>
        <v>20</v>
      </c>
      <c r="AV228" s="491">
        <v>20</v>
      </c>
      <c r="AW228" s="548"/>
      <c r="AX228" s="548"/>
      <c r="AY228" s="548"/>
      <c r="AZ228" s="548"/>
      <c r="BA228" s="548"/>
      <c r="BB228" s="548"/>
      <c r="BC228" s="548">
        <f t="shared" si="139"/>
        <v>20</v>
      </c>
      <c r="BD228" s="42">
        <f t="shared" si="130"/>
        <v>80</v>
      </c>
      <c r="BE228" s="42">
        <f t="shared" si="130"/>
        <v>0</v>
      </c>
      <c r="BF228" s="42">
        <f t="shared" si="130"/>
        <v>0</v>
      </c>
      <c r="BG228" s="42">
        <f t="shared" si="130"/>
        <v>0</v>
      </c>
      <c r="BH228" s="42">
        <f t="shared" si="130"/>
        <v>0</v>
      </c>
      <c r="BI228" s="42">
        <f t="shared" si="133"/>
        <v>0</v>
      </c>
      <c r="BJ228" s="42">
        <f t="shared" si="131"/>
        <v>0</v>
      </c>
      <c r="BK228" s="42">
        <f t="shared" si="131"/>
        <v>80</v>
      </c>
      <c r="BL228" s="3"/>
    </row>
    <row r="229" spans="1:64" ht="76.5" customHeight="1" x14ac:dyDescent="0.25">
      <c r="A229" s="298" t="s">
        <v>491</v>
      </c>
      <c r="B229" s="299" t="s">
        <v>489</v>
      </c>
      <c r="C229" s="1547"/>
      <c r="D229" s="1549"/>
      <c r="E229" s="1549"/>
      <c r="F229" s="1549"/>
      <c r="G229" s="1549"/>
      <c r="H229" s="1549"/>
      <c r="I229" s="1425"/>
      <c r="J229" s="1425"/>
      <c r="K229" s="1428" t="s">
        <v>707</v>
      </c>
      <c r="L229" s="301" t="s">
        <v>496</v>
      </c>
      <c r="M229" s="1425" t="s">
        <v>497</v>
      </c>
      <c r="N229" s="476"/>
      <c r="O229" s="1425" t="s">
        <v>47</v>
      </c>
      <c r="P229" s="16" t="s">
        <v>708</v>
      </c>
      <c r="Q229" s="302" t="s">
        <v>709</v>
      </c>
      <c r="R229" s="303">
        <v>2015</v>
      </c>
      <c r="S229" s="303">
        <v>0</v>
      </c>
      <c r="T229" s="303">
        <v>0</v>
      </c>
      <c r="U229" s="303">
        <v>0</v>
      </c>
      <c r="V229" s="303">
        <v>0</v>
      </c>
      <c r="W229" s="303">
        <v>1</v>
      </c>
      <c r="X229" s="303">
        <v>2</v>
      </c>
      <c r="Y229" s="481"/>
      <c r="Z229" s="481"/>
      <c r="AA229" s="481"/>
      <c r="AB229" s="481"/>
      <c r="AC229" s="481"/>
      <c r="AD229" s="481"/>
      <c r="AE229" s="481"/>
      <c r="AF229" s="481">
        <f t="shared" si="136"/>
        <v>0</v>
      </c>
      <c r="AG229" s="548"/>
      <c r="AH229" s="548"/>
      <c r="AI229" s="548"/>
      <c r="AJ229" s="548"/>
      <c r="AK229" s="548"/>
      <c r="AL229" s="548"/>
      <c r="AM229" s="548">
        <f t="shared" si="137"/>
        <v>0</v>
      </c>
      <c r="AN229" s="481"/>
      <c r="AO229" s="481"/>
      <c r="AP229" s="481"/>
      <c r="AQ229" s="481"/>
      <c r="AR229" s="481"/>
      <c r="AS229" s="481"/>
      <c r="AT229" s="481"/>
      <c r="AU229" s="481">
        <f t="shared" si="138"/>
        <v>0</v>
      </c>
      <c r="AV229" s="481"/>
      <c r="AW229" s="548"/>
      <c r="AX229" s="491">
        <v>10</v>
      </c>
      <c r="AY229" s="548"/>
      <c r="AZ229" s="548"/>
      <c r="BA229" s="548"/>
      <c r="BB229" s="548"/>
      <c r="BC229" s="548">
        <f t="shared" si="139"/>
        <v>10</v>
      </c>
      <c r="BD229" s="42">
        <f t="shared" si="130"/>
        <v>0</v>
      </c>
      <c r="BE229" s="42">
        <f t="shared" si="130"/>
        <v>0</v>
      </c>
      <c r="BF229" s="42">
        <f t="shared" si="130"/>
        <v>10</v>
      </c>
      <c r="BG229" s="42">
        <f t="shared" si="130"/>
        <v>0</v>
      </c>
      <c r="BH229" s="42">
        <f t="shared" si="130"/>
        <v>0</v>
      </c>
      <c r="BI229" s="42">
        <f t="shared" si="133"/>
        <v>0</v>
      </c>
      <c r="BJ229" s="42">
        <f t="shared" si="131"/>
        <v>0</v>
      </c>
      <c r="BK229" s="42">
        <f t="shared" si="131"/>
        <v>10</v>
      </c>
      <c r="BL229" s="3"/>
    </row>
    <row r="230" spans="1:64" ht="57.75" customHeight="1" x14ac:dyDescent="0.25">
      <c r="A230" s="298" t="s">
        <v>491</v>
      </c>
      <c r="B230" s="299" t="s">
        <v>489</v>
      </c>
      <c r="C230" s="1547"/>
      <c r="D230" s="1549"/>
      <c r="E230" s="1549"/>
      <c r="F230" s="1549"/>
      <c r="G230" s="1549"/>
      <c r="H230" s="1549"/>
      <c r="I230" s="1425"/>
      <c r="J230" s="1425"/>
      <c r="K230" s="1428" t="s">
        <v>710</v>
      </c>
      <c r="L230" s="301" t="s">
        <v>496</v>
      </c>
      <c r="M230" s="1425" t="s">
        <v>497</v>
      </c>
      <c r="N230" s="476"/>
      <c r="O230" s="1425" t="s">
        <v>47</v>
      </c>
      <c r="P230" s="71" t="s">
        <v>711</v>
      </c>
      <c r="Q230" s="302" t="s">
        <v>712</v>
      </c>
      <c r="R230" s="303">
        <v>2015</v>
      </c>
      <c r="S230" s="303">
        <v>0</v>
      </c>
      <c r="T230" s="303">
        <v>0</v>
      </c>
      <c r="U230" s="303">
        <v>0</v>
      </c>
      <c r="V230" s="303">
        <v>1</v>
      </c>
      <c r="W230" s="303">
        <v>0</v>
      </c>
      <c r="X230" s="303">
        <v>1</v>
      </c>
      <c r="Y230" s="491"/>
      <c r="Z230" s="481"/>
      <c r="AA230" s="481"/>
      <c r="AB230" s="481"/>
      <c r="AC230" s="481"/>
      <c r="AD230" s="481"/>
      <c r="AE230" s="481"/>
      <c r="AF230" s="481">
        <f t="shared" si="136"/>
        <v>0</v>
      </c>
      <c r="AG230" s="491"/>
      <c r="AH230" s="548"/>
      <c r="AI230" s="491"/>
      <c r="AJ230" s="548"/>
      <c r="AK230" s="548"/>
      <c r="AL230" s="548"/>
      <c r="AM230" s="548">
        <f t="shared" si="137"/>
        <v>0</v>
      </c>
      <c r="AN230" s="491"/>
      <c r="AO230" s="481"/>
      <c r="AP230" s="481">
        <v>10</v>
      </c>
      <c r="AQ230" s="481"/>
      <c r="AR230" s="481"/>
      <c r="AS230" s="481"/>
      <c r="AT230" s="481"/>
      <c r="AU230" s="481">
        <f t="shared" si="138"/>
        <v>10</v>
      </c>
      <c r="AV230" s="491"/>
      <c r="AW230" s="548"/>
      <c r="AX230" s="491"/>
      <c r="AY230" s="548"/>
      <c r="AZ230" s="548"/>
      <c r="BA230" s="548"/>
      <c r="BB230" s="548"/>
      <c r="BC230" s="548">
        <f t="shared" si="139"/>
        <v>0</v>
      </c>
      <c r="BD230" s="42">
        <f t="shared" si="130"/>
        <v>0</v>
      </c>
      <c r="BE230" s="42">
        <f t="shared" si="130"/>
        <v>0</v>
      </c>
      <c r="BF230" s="42">
        <f t="shared" si="130"/>
        <v>10</v>
      </c>
      <c r="BG230" s="42">
        <f t="shared" si="130"/>
        <v>0</v>
      </c>
      <c r="BH230" s="42">
        <f t="shared" si="130"/>
        <v>0</v>
      </c>
      <c r="BI230" s="42">
        <f t="shared" si="133"/>
        <v>0</v>
      </c>
      <c r="BJ230" s="42">
        <f t="shared" si="131"/>
        <v>0</v>
      </c>
      <c r="BK230" s="42">
        <f t="shared" si="131"/>
        <v>10</v>
      </c>
      <c r="BL230" s="3"/>
    </row>
    <row r="231" spans="1:64" ht="45" customHeight="1" x14ac:dyDescent="0.25">
      <c r="A231" s="298" t="s">
        <v>491</v>
      </c>
      <c r="B231" s="299" t="s">
        <v>489</v>
      </c>
      <c r="C231" s="1547"/>
      <c r="D231" s="1549"/>
      <c r="E231" s="1549"/>
      <c r="F231" s="1549"/>
      <c r="G231" s="1549"/>
      <c r="H231" s="1549"/>
      <c r="I231" s="1425"/>
      <c r="J231" s="1425"/>
      <c r="K231" s="1428" t="s">
        <v>713</v>
      </c>
      <c r="L231" s="301" t="s">
        <v>496</v>
      </c>
      <c r="M231" s="1425" t="s">
        <v>497</v>
      </c>
      <c r="N231" s="476"/>
      <c r="O231" s="1425" t="s">
        <v>47</v>
      </c>
      <c r="P231" s="71" t="s">
        <v>714</v>
      </c>
      <c r="Q231" s="302" t="s">
        <v>656</v>
      </c>
      <c r="R231" s="303">
        <v>2015</v>
      </c>
      <c r="S231" s="303">
        <v>0</v>
      </c>
      <c r="T231" s="303">
        <v>1</v>
      </c>
      <c r="U231" s="303">
        <v>1</v>
      </c>
      <c r="V231" s="303">
        <v>1</v>
      </c>
      <c r="W231" s="303">
        <v>1</v>
      </c>
      <c r="X231" s="303">
        <v>4</v>
      </c>
      <c r="Y231" s="481"/>
      <c r="Z231" s="481"/>
      <c r="AA231" s="491">
        <v>20</v>
      </c>
      <c r="AB231" s="481"/>
      <c r="AC231" s="481"/>
      <c r="AD231" s="481"/>
      <c r="AE231" s="481"/>
      <c r="AF231" s="481">
        <f t="shared" si="136"/>
        <v>20</v>
      </c>
      <c r="AG231" s="548"/>
      <c r="AH231" s="548"/>
      <c r="AI231" s="491">
        <v>20</v>
      </c>
      <c r="AJ231" s="548"/>
      <c r="AK231" s="548"/>
      <c r="AL231" s="548"/>
      <c r="AM231" s="548">
        <f t="shared" si="137"/>
        <v>20</v>
      </c>
      <c r="AN231" s="481"/>
      <c r="AO231" s="481"/>
      <c r="AP231" s="481">
        <v>10</v>
      </c>
      <c r="AQ231" s="481"/>
      <c r="AR231" s="481"/>
      <c r="AS231" s="481"/>
      <c r="AT231" s="481"/>
      <c r="AU231" s="481">
        <f t="shared" si="138"/>
        <v>10</v>
      </c>
      <c r="AV231" s="548"/>
      <c r="AW231" s="548"/>
      <c r="AX231" s="548">
        <v>5</v>
      </c>
      <c r="AY231" s="548"/>
      <c r="AZ231" s="548"/>
      <c r="BA231" s="548"/>
      <c r="BB231" s="548"/>
      <c r="BC231" s="548">
        <f t="shared" si="139"/>
        <v>5</v>
      </c>
      <c r="BD231" s="42">
        <f t="shared" si="130"/>
        <v>0</v>
      </c>
      <c r="BE231" s="42">
        <f t="shared" si="130"/>
        <v>0</v>
      </c>
      <c r="BF231" s="42">
        <f t="shared" si="130"/>
        <v>55</v>
      </c>
      <c r="BG231" s="42">
        <f t="shared" si="130"/>
        <v>0</v>
      </c>
      <c r="BH231" s="42">
        <f t="shared" si="130"/>
        <v>0</v>
      </c>
      <c r="BI231" s="42">
        <f t="shared" si="133"/>
        <v>0</v>
      </c>
      <c r="BJ231" s="42">
        <f t="shared" si="131"/>
        <v>0</v>
      </c>
      <c r="BK231" s="42">
        <f t="shared" si="131"/>
        <v>55</v>
      </c>
      <c r="BL231" s="3"/>
    </row>
    <row r="232" spans="1:64" ht="47.25" customHeight="1" x14ac:dyDescent="0.25">
      <c r="A232" s="298" t="s">
        <v>491</v>
      </c>
      <c r="B232" s="299" t="s">
        <v>489</v>
      </c>
      <c r="C232" s="1547"/>
      <c r="D232" s="1549"/>
      <c r="E232" s="1549"/>
      <c r="F232" s="1549"/>
      <c r="G232" s="1549"/>
      <c r="H232" s="1549"/>
      <c r="I232" s="1425"/>
      <c r="J232" s="1425"/>
      <c r="K232" s="1428" t="s">
        <v>715</v>
      </c>
      <c r="L232" s="301" t="s">
        <v>496</v>
      </c>
      <c r="M232" s="1425" t="s">
        <v>497</v>
      </c>
      <c r="N232" s="476"/>
      <c r="O232" s="1425" t="s">
        <v>47</v>
      </c>
      <c r="P232" s="71" t="s">
        <v>716</v>
      </c>
      <c r="Q232" s="302" t="s">
        <v>717</v>
      </c>
      <c r="R232" s="303">
        <v>2015</v>
      </c>
      <c r="S232" s="303">
        <v>0</v>
      </c>
      <c r="T232" s="303">
        <v>0</v>
      </c>
      <c r="U232" s="303">
        <v>0</v>
      </c>
      <c r="V232" s="303">
        <v>0</v>
      </c>
      <c r="W232" s="303">
        <v>0</v>
      </c>
      <c r="X232" s="303">
        <v>1</v>
      </c>
      <c r="Y232" s="481"/>
      <c r="Z232" s="481"/>
      <c r="AA232" s="491"/>
      <c r="AB232" s="481"/>
      <c r="AC232" s="481"/>
      <c r="AD232" s="481"/>
      <c r="AE232" s="481"/>
      <c r="AF232" s="481">
        <f t="shared" si="136"/>
        <v>0</v>
      </c>
      <c r="AG232" s="548"/>
      <c r="AH232" s="548"/>
      <c r="AI232" s="491"/>
      <c r="AJ232" s="548"/>
      <c r="AK232" s="548"/>
      <c r="AL232" s="548"/>
      <c r="AM232" s="548">
        <f t="shared" si="137"/>
        <v>0</v>
      </c>
      <c r="AN232" s="481"/>
      <c r="AO232" s="481"/>
      <c r="AP232" s="491"/>
      <c r="AQ232" s="481"/>
      <c r="AR232" s="481"/>
      <c r="AS232" s="481"/>
      <c r="AT232" s="481"/>
      <c r="AU232" s="481">
        <f t="shared" si="138"/>
        <v>0</v>
      </c>
      <c r="AV232" s="548"/>
      <c r="AW232" s="548"/>
      <c r="AX232" s="491"/>
      <c r="AY232" s="548"/>
      <c r="AZ232" s="548"/>
      <c r="BA232" s="548"/>
      <c r="BB232" s="548"/>
      <c r="BC232" s="548">
        <f t="shared" si="139"/>
        <v>0</v>
      </c>
      <c r="BD232" s="42">
        <f t="shared" si="130"/>
        <v>0</v>
      </c>
      <c r="BE232" s="42">
        <f t="shared" si="130"/>
        <v>0</v>
      </c>
      <c r="BF232" s="42">
        <f t="shared" si="130"/>
        <v>0</v>
      </c>
      <c r="BG232" s="42">
        <f t="shared" si="130"/>
        <v>0</v>
      </c>
      <c r="BH232" s="42">
        <f t="shared" si="130"/>
        <v>0</v>
      </c>
      <c r="BI232" s="42">
        <f t="shared" si="133"/>
        <v>0</v>
      </c>
      <c r="BJ232" s="42">
        <f t="shared" si="131"/>
        <v>0</v>
      </c>
      <c r="BK232" s="42">
        <f t="shared" si="131"/>
        <v>0</v>
      </c>
      <c r="BL232" s="3"/>
    </row>
    <row r="233" spans="1:64" ht="50.25" customHeight="1" x14ac:dyDescent="0.25">
      <c r="A233" s="298" t="s">
        <v>491</v>
      </c>
      <c r="B233" s="299" t="s">
        <v>489</v>
      </c>
      <c r="C233" s="1547"/>
      <c r="D233" s="1549"/>
      <c r="E233" s="1549"/>
      <c r="F233" s="1549"/>
      <c r="G233" s="1549"/>
      <c r="H233" s="1549"/>
      <c r="I233" s="1425"/>
      <c r="J233" s="1425"/>
      <c r="K233" s="1428" t="s">
        <v>718</v>
      </c>
      <c r="L233" s="301" t="s">
        <v>496</v>
      </c>
      <c r="M233" s="1425" t="s">
        <v>497</v>
      </c>
      <c r="N233" s="476"/>
      <c r="O233" s="1425" t="s">
        <v>47</v>
      </c>
      <c r="P233" s="71" t="s">
        <v>719</v>
      </c>
      <c r="Q233" s="302" t="s">
        <v>720</v>
      </c>
      <c r="R233" s="303">
        <v>2015</v>
      </c>
      <c r="S233" s="303">
        <v>0</v>
      </c>
      <c r="T233" s="303">
        <v>0</v>
      </c>
      <c r="U233" s="303">
        <v>0</v>
      </c>
      <c r="V233" s="303">
        <v>0</v>
      </c>
      <c r="W233" s="303">
        <v>0</v>
      </c>
      <c r="X233" s="303">
        <v>1</v>
      </c>
      <c r="Y233" s="481"/>
      <c r="Z233" s="481"/>
      <c r="AA233" s="491"/>
      <c r="AB233" s="481"/>
      <c r="AC233" s="481"/>
      <c r="AD233" s="481"/>
      <c r="AE233" s="481"/>
      <c r="AF233" s="481">
        <f t="shared" si="136"/>
        <v>0</v>
      </c>
      <c r="AG233" s="548"/>
      <c r="AH233" s="548"/>
      <c r="AI233" s="548"/>
      <c r="AJ233" s="548"/>
      <c r="AK233" s="548"/>
      <c r="AL233" s="548"/>
      <c r="AM233" s="548">
        <f t="shared" si="137"/>
        <v>0</v>
      </c>
      <c r="AN233" s="481"/>
      <c r="AO233" s="481"/>
      <c r="AP233" s="481"/>
      <c r="AQ233" s="481"/>
      <c r="AR233" s="481"/>
      <c r="AS233" s="481"/>
      <c r="AT233" s="481"/>
      <c r="AU233" s="481">
        <f t="shared" si="138"/>
        <v>0</v>
      </c>
      <c r="AV233" s="548"/>
      <c r="AW233" s="548"/>
      <c r="AX233" s="548"/>
      <c r="AY233" s="548"/>
      <c r="AZ233" s="548"/>
      <c r="BA233" s="548"/>
      <c r="BB233" s="548"/>
      <c r="BC233" s="548">
        <f t="shared" si="139"/>
        <v>0</v>
      </c>
      <c r="BD233" s="42">
        <f t="shared" si="130"/>
        <v>0</v>
      </c>
      <c r="BE233" s="42">
        <f t="shared" si="130"/>
        <v>0</v>
      </c>
      <c r="BF233" s="42">
        <f t="shared" si="130"/>
        <v>0</v>
      </c>
      <c r="BG233" s="42">
        <f t="shared" si="130"/>
        <v>0</v>
      </c>
      <c r="BH233" s="42">
        <f t="shared" si="130"/>
        <v>0</v>
      </c>
      <c r="BI233" s="42">
        <f t="shared" si="133"/>
        <v>0</v>
      </c>
      <c r="BJ233" s="42">
        <f t="shared" si="131"/>
        <v>0</v>
      </c>
      <c r="BK233" s="42">
        <f t="shared" si="131"/>
        <v>0</v>
      </c>
      <c r="BL233" s="3"/>
    </row>
    <row r="234" spans="1:64" ht="71.25" customHeight="1" x14ac:dyDescent="0.25">
      <c r="A234" s="298" t="s">
        <v>491</v>
      </c>
      <c r="B234" s="299" t="s">
        <v>489</v>
      </c>
      <c r="C234" s="1547"/>
      <c r="D234" s="1549"/>
      <c r="E234" s="1549"/>
      <c r="F234" s="1549"/>
      <c r="G234" s="1549"/>
      <c r="H234" s="1549"/>
      <c r="I234" s="1425"/>
      <c r="J234" s="1425"/>
      <c r="K234" s="1428" t="s">
        <v>721</v>
      </c>
      <c r="L234" s="301" t="s">
        <v>496</v>
      </c>
      <c r="M234" s="1425" t="s">
        <v>497</v>
      </c>
      <c r="N234" s="476"/>
      <c r="O234" s="1425" t="s">
        <v>47</v>
      </c>
      <c r="P234" s="16" t="s">
        <v>722</v>
      </c>
      <c r="Q234" s="302" t="s">
        <v>699</v>
      </c>
      <c r="R234" s="303">
        <v>2015</v>
      </c>
      <c r="S234" s="303">
        <v>0</v>
      </c>
      <c r="T234" s="303">
        <v>0</v>
      </c>
      <c r="U234" s="303">
        <v>0</v>
      </c>
      <c r="V234" s="303">
        <v>0</v>
      </c>
      <c r="W234" s="303">
        <v>1</v>
      </c>
      <c r="X234" s="303">
        <v>2</v>
      </c>
      <c r="Y234" s="481"/>
      <c r="Z234" s="481"/>
      <c r="AA234" s="481"/>
      <c r="AB234" s="481"/>
      <c r="AC234" s="481"/>
      <c r="AD234" s="481"/>
      <c r="AE234" s="481"/>
      <c r="AF234" s="481">
        <f t="shared" si="136"/>
        <v>0</v>
      </c>
      <c r="AG234" s="548"/>
      <c r="AH234" s="548"/>
      <c r="AI234" s="548"/>
      <c r="AJ234" s="548"/>
      <c r="AK234" s="548"/>
      <c r="AL234" s="548"/>
      <c r="AM234" s="548">
        <f t="shared" si="137"/>
        <v>0</v>
      </c>
      <c r="AN234" s="481"/>
      <c r="AO234" s="481"/>
      <c r="AP234" s="481"/>
      <c r="AQ234" s="481"/>
      <c r="AR234" s="481"/>
      <c r="AS234" s="481"/>
      <c r="AT234" s="481"/>
      <c r="AU234" s="481">
        <f t="shared" si="138"/>
        <v>0</v>
      </c>
      <c r="AV234" s="548"/>
      <c r="AW234" s="548"/>
      <c r="AX234" s="491">
        <v>5</v>
      </c>
      <c r="AY234" s="548"/>
      <c r="AZ234" s="548"/>
      <c r="BA234" s="548"/>
      <c r="BB234" s="548"/>
      <c r="BC234" s="548">
        <f t="shared" si="139"/>
        <v>5</v>
      </c>
      <c r="BD234" s="42">
        <f t="shared" ref="BD234:BH238" si="141">+AV234+AN234+AG234+Y234</f>
        <v>0</v>
      </c>
      <c r="BE234" s="42">
        <f t="shared" si="141"/>
        <v>0</v>
      </c>
      <c r="BF234" s="42">
        <f t="shared" si="141"/>
        <v>5</v>
      </c>
      <c r="BG234" s="42">
        <f t="shared" si="141"/>
        <v>0</v>
      </c>
      <c r="BH234" s="42">
        <f t="shared" si="141"/>
        <v>0</v>
      </c>
      <c r="BI234" s="42">
        <f t="shared" si="133"/>
        <v>0</v>
      </c>
      <c r="BJ234" s="42">
        <f t="shared" ref="BJ234:BK238" si="142">+BB234+AT234+AL234+AE234</f>
        <v>0</v>
      </c>
      <c r="BK234" s="42">
        <f t="shared" si="142"/>
        <v>5</v>
      </c>
      <c r="BL234" s="3"/>
    </row>
    <row r="235" spans="1:64" ht="39.6" x14ac:dyDescent="0.25">
      <c r="A235" s="298" t="s">
        <v>491</v>
      </c>
      <c r="B235" s="299" t="s">
        <v>489</v>
      </c>
      <c r="C235" s="1547"/>
      <c r="D235" s="1549"/>
      <c r="E235" s="1549"/>
      <c r="F235" s="1549"/>
      <c r="G235" s="1549"/>
      <c r="H235" s="1549"/>
      <c r="I235" s="1425"/>
      <c r="J235" s="1425"/>
      <c r="K235" s="476"/>
      <c r="L235" s="1425"/>
      <c r="M235" s="1425"/>
      <c r="N235" s="476"/>
      <c r="O235" s="1425"/>
      <c r="P235" s="62" t="s">
        <v>723</v>
      </c>
      <c r="Q235" s="25"/>
      <c r="R235" s="17"/>
      <c r="S235" s="17"/>
      <c r="T235" s="17"/>
      <c r="U235" s="17"/>
      <c r="V235" s="17"/>
      <c r="W235" s="17"/>
      <c r="X235" s="17"/>
      <c r="Y235" s="43">
        <f>SUM(Y236:Y241)</f>
        <v>34</v>
      </c>
      <c r="Z235" s="43">
        <f t="shared" ref="Z235:BK235" si="143">SUM(Z236:Z241)</f>
        <v>0</v>
      </c>
      <c r="AA235" s="43">
        <f t="shared" si="143"/>
        <v>18</v>
      </c>
      <c r="AB235" s="43">
        <f t="shared" si="143"/>
        <v>0</v>
      </c>
      <c r="AC235" s="43">
        <f t="shared" si="143"/>
        <v>0</v>
      </c>
      <c r="AD235" s="43">
        <f t="shared" si="143"/>
        <v>10</v>
      </c>
      <c r="AE235" s="43">
        <f t="shared" si="143"/>
        <v>0</v>
      </c>
      <c r="AF235" s="43">
        <f t="shared" si="143"/>
        <v>62</v>
      </c>
      <c r="AG235" s="43">
        <f t="shared" si="143"/>
        <v>34</v>
      </c>
      <c r="AH235" s="43">
        <f t="shared" si="143"/>
        <v>0</v>
      </c>
      <c r="AI235" s="43">
        <f t="shared" si="143"/>
        <v>18</v>
      </c>
      <c r="AJ235" s="43">
        <f t="shared" si="143"/>
        <v>0</v>
      </c>
      <c r="AK235" s="43">
        <f t="shared" si="143"/>
        <v>0</v>
      </c>
      <c r="AL235" s="43">
        <f t="shared" si="143"/>
        <v>0</v>
      </c>
      <c r="AM235" s="43">
        <f t="shared" si="143"/>
        <v>52</v>
      </c>
      <c r="AN235" s="43">
        <f t="shared" si="143"/>
        <v>34</v>
      </c>
      <c r="AO235" s="43">
        <f t="shared" si="143"/>
        <v>0</v>
      </c>
      <c r="AP235" s="43">
        <f t="shared" si="143"/>
        <v>18</v>
      </c>
      <c r="AQ235" s="43">
        <f t="shared" si="143"/>
        <v>0</v>
      </c>
      <c r="AR235" s="43">
        <f t="shared" si="143"/>
        <v>0</v>
      </c>
      <c r="AS235" s="43">
        <f t="shared" si="143"/>
        <v>0</v>
      </c>
      <c r="AT235" s="43">
        <f t="shared" si="143"/>
        <v>0</v>
      </c>
      <c r="AU235" s="43">
        <f t="shared" si="143"/>
        <v>52</v>
      </c>
      <c r="AV235" s="43">
        <f t="shared" si="143"/>
        <v>34</v>
      </c>
      <c r="AW235" s="43">
        <f t="shared" si="143"/>
        <v>0</v>
      </c>
      <c r="AX235" s="43">
        <f t="shared" si="143"/>
        <v>18</v>
      </c>
      <c r="AY235" s="43">
        <f t="shared" si="143"/>
        <v>0</v>
      </c>
      <c r="AZ235" s="43">
        <f t="shared" si="143"/>
        <v>0</v>
      </c>
      <c r="BA235" s="43">
        <f t="shared" si="143"/>
        <v>0</v>
      </c>
      <c r="BB235" s="43">
        <f t="shared" si="143"/>
        <v>0</v>
      </c>
      <c r="BC235" s="43">
        <f t="shared" si="143"/>
        <v>52</v>
      </c>
      <c r="BD235" s="43">
        <f t="shared" si="143"/>
        <v>136</v>
      </c>
      <c r="BE235" s="43">
        <f t="shared" si="143"/>
        <v>0</v>
      </c>
      <c r="BF235" s="43">
        <f t="shared" si="143"/>
        <v>72</v>
      </c>
      <c r="BG235" s="43">
        <f t="shared" si="143"/>
        <v>0</v>
      </c>
      <c r="BH235" s="43">
        <f t="shared" si="143"/>
        <v>0</v>
      </c>
      <c r="BI235" s="43">
        <f t="shared" si="133"/>
        <v>10</v>
      </c>
      <c r="BJ235" s="43">
        <f t="shared" si="143"/>
        <v>0</v>
      </c>
      <c r="BK235" s="43">
        <f t="shared" si="143"/>
        <v>218</v>
      </c>
      <c r="BL235" s="3"/>
    </row>
    <row r="236" spans="1:64" ht="58.5" customHeight="1" x14ac:dyDescent="0.25">
      <c r="A236" s="298" t="s">
        <v>491</v>
      </c>
      <c r="B236" s="299" t="s">
        <v>489</v>
      </c>
      <c r="C236" s="1547"/>
      <c r="D236" s="1549"/>
      <c r="E236" s="1549"/>
      <c r="F236" s="1549"/>
      <c r="G236" s="1549"/>
      <c r="H236" s="1549"/>
      <c r="I236" s="1425"/>
      <c r="J236" s="1425"/>
      <c r="K236" s="1428" t="s">
        <v>724</v>
      </c>
      <c r="L236" s="301" t="s">
        <v>496</v>
      </c>
      <c r="M236" s="1425" t="s">
        <v>497</v>
      </c>
      <c r="N236" s="476"/>
      <c r="O236" s="1425" t="s">
        <v>47</v>
      </c>
      <c r="P236" s="16" t="s">
        <v>725</v>
      </c>
      <c r="Q236" s="302" t="s">
        <v>726</v>
      </c>
      <c r="R236" s="303">
        <v>2015</v>
      </c>
      <c r="S236" s="303">
        <v>0</v>
      </c>
      <c r="T236" s="303">
        <v>2</v>
      </c>
      <c r="U236" s="303">
        <v>2</v>
      </c>
      <c r="V236" s="303">
        <v>2</v>
      </c>
      <c r="W236" s="303">
        <v>2</v>
      </c>
      <c r="X236" s="303">
        <v>8</v>
      </c>
      <c r="Y236" s="481"/>
      <c r="Z236" s="481"/>
      <c r="AA236" s="491">
        <v>5</v>
      </c>
      <c r="AB236" s="481"/>
      <c r="AC236" s="481"/>
      <c r="AD236" s="481"/>
      <c r="AE236" s="481"/>
      <c r="AF236" s="481">
        <f t="shared" si="136"/>
        <v>5</v>
      </c>
      <c r="AG236" s="548"/>
      <c r="AH236" s="548"/>
      <c r="AI236" s="491">
        <v>5</v>
      </c>
      <c r="AJ236" s="548"/>
      <c r="AK236" s="548"/>
      <c r="AL236" s="548"/>
      <c r="AM236" s="548">
        <f t="shared" si="137"/>
        <v>5</v>
      </c>
      <c r="AN236" s="481"/>
      <c r="AO236" s="481"/>
      <c r="AP236" s="491">
        <v>5</v>
      </c>
      <c r="AQ236" s="481"/>
      <c r="AR236" s="481"/>
      <c r="AS236" s="481"/>
      <c r="AT236" s="481"/>
      <c r="AU236" s="481">
        <f t="shared" si="138"/>
        <v>5</v>
      </c>
      <c r="AV236" s="548"/>
      <c r="AW236" s="548"/>
      <c r="AX236" s="491">
        <v>10</v>
      </c>
      <c r="AY236" s="548"/>
      <c r="AZ236" s="548"/>
      <c r="BA236" s="548"/>
      <c r="BB236" s="548"/>
      <c r="BC236" s="548">
        <f t="shared" si="139"/>
        <v>10</v>
      </c>
      <c r="BD236" s="42">
        <f t="shared" si="141"/>
        <v>0</v>
      </c>
      <c r="BE236" s="42">
        <f t="shared" si="141"/>
        <v>0</v>
      </c>
      <c r="BF236" s="42">
        <f t="shared" si="141"/>
        <v>25</v>
      </c>
      <c r="BG236" s="42">
        <f t="shared" si="141"/>
        <v>0</v>
      </c>
      <c r="BH236" s="42">
        <f t="shared" si="141"/>
        <v>0</v>
      </c>
      <c r="BI236" s="42">
        <f t="shared" si="133"/>
        <v>0</v>
      </c>
      <c r="BJ236" s="42">
        <f t="shared" si="142"/>
        <v>0</v>
      </c>
      <c r="BK236" s="42">
        <f t="shared" si="142"/>
        <v>25</v>
      </c>
      <c r="BL236" s="3"/>
    </row>
    <row r="237" spans="1:64" ht="67.5" customHeight="1" x14ac:dyDescent="0.25">
      <c r="A237" s="298" t="s">
        <v>491</v>
      </c>
      <c r="B237" s="299" t="s">
        <v>489</v>
      </c>
      <c r="C237" s="1547"/>
      <c r="D237" s="1549"/>
      <c r="E237" s="1549"/>
      <c r="F237" s="1549"/>
      <c r="G237" s="1549"/>
      <c r="H237" s="1549"/>
      <c r="I237" s="1425"/>
      <c r="J237" s="1425"/>
      <c r="K237" s="1428" t="s">
        <v>727</v>
      </c>
      <c r="L237" s="301" t="s">
        <v>496</v>
      </c>
      <c r="M237" s="1425" t="s">
        <v>497</v>
      </c>
      <c r="N237" s="476"/>
      <c r="O237" s="1425" t="s">
        <v>47</v>
      </c>
      <c r="P237" s="16" t="s">
        <v>728</v>
      </c>
      <c r="Q237" s="302" t="s">
        <v>729</v>
      </c>
      <c r="R237" s="303">
        <v>2015</v>
      </c>
      <c r="S237" s="303">
        <v>0</v>
      </c>
      <c r="T237" s="303">
        <v>0</v>
      </c>
      <c r="U237" s="303">
        <v>1</v>
      </c>
      <c r="V237" s="303">
        <v>0</v>
      </c>
      <c r="W237" s="303">
        <v>0</v>
      </c>
      <c r="X237" s="303">
        <v>1</v>
      </c>
      <c r="Y237" s="481"/>
      <c r="Z237" s="481"/>
      <c r="AA237" s="491"/>
      <c r="AB237" s="481"/>
      <c r="AC237" s="481"/>
      <c r="AD237" s="481"/>
      <c r="AE237" s="481"/>
      <c r="AF237" s="481">
        <f t="shared" si="136"/>
        <v>0</v>
      </c>
      <c r="AG237" s="548"/>
      <c r="AH237" s="548"/>
      <c r="AI237" s="491">
        <v>5</v>
      </c>
      <c r="AJ237" s="548"/>
      <c r="AK237" s="548"/>
      <c r="AL237" s="548"/>
      <c r="AM237" s="548">
        <f t="shared" si="137"/>
        <v>5</v>
      </c>
      <c r="AN237" s="481"/>
      <c r="AO237" s="481"/>
      <c r="AP237" s="491"/>
      <c r="AQ237" s="481"/>
      <c r="AR237" s="481"/>
      <c r="AS237" s="481"/>
      <c r="AT237" s="481"/>
      <c r="AU237" s="481">
        <f t="shared" si="138"/>
        <v>0</v>
      </c>
      <c r="AV237" s="548"/>
      <c r="AW237" s="548"/>
      <c r="AX237" s="548"/>
      <c r="AY237" s="548"/>
      <c r="AZ237" s="548"/>
      <c r="BA237" s="548"/>
      <c r="BB237" s="548"/>
      <c r="BC237" s="548">
        <f t="shared" si="139"/>
        <v>0</v>
      </c>
      <c r="BD237" s="42">
        <f t="shared" si="141"/>
        <v>0</v>
      </c>
      <c r="BE237" s="42">
        <f t="shared" si="141"/>
        <v>0</v>
      </c>
      <c r="BF237" s="42">
        <f t="shared" si="141"/>
        <v>5</v>
      </c>
      <c r="BG237" s="42">
        <f t="shared" si="141"/>
        <v>0</v>
      </c>
      <c r="BH237" s="42">
        <f t="shared" si="141"/>
        <v>0</v>
      </c>
      <c r="BI237" s="42">
        <f t="shared" si="133"/>
        <v>0</v>
      </c>
      <c r="BJ237" s="42">
        <f t="shared" si="142"/>
        <v>0</v>
      </c>
      <c r="BK237" s="42">
        <f t="shared" si="142"/>
        <v>5</v>
      </c>
      <c r="BL237" s="3"/>
    </row>
    <row r="238" spans="1:64" ht="46.5" customHeight="1" x14ac:dyDescent="0.25">
      <c r="A238" s="298" t="s">
        <v>491</v>
      </c>
      <c r="B238" s="299" t="s">
        <v>489</v>
      </c>
      <c r="C238" s="1547"/>
      <c r="D238" s="1549"/>
      <c r="E238" s="1549"/>
      <c r="F238" s="1549"/>
      <c r="G238" s="1549"/>
      <c r="H238" s="1549"/>
      <c r="I238" s="1425"/>
      <c r="J238" s="1425"/>
      <c r="K238" s="1428" t="s">
        <v>730</v>
      </c>
      <c r="L238" s="301" t="s">
        <v>496</v>
      </c>
      <c r="M238" s="1425" t="s">
        <v>497</v>
      </c>
      <c r="N238" s="476"/>
      <c r="O238" s="1425" t="s">
        <v>47</v>
      </c>
      <c r="P238" s="16" t="s">
        <v>731</v>
      </c>
      <c r="Q238" s="302" t="s">
        <v>732</v>
      </c>
      <c r="R238" s="303">
        <v>2015</v>
      </c>
      <c r="S238" s="303">
        <v>0</v>
      </c>
      <c r="T238" s="303">
        <v>0</v>
      </c>
      <c r="U238" s="303">
        <v>0</v>
      </c>
      <c r="V238" s="303">
        <v>1</v>
      </c>
      <c r="W238" s="303">
        <v>0</v>
      </c>
      <c r="X238" s="303">
        <v>1</v>
      </c>
      <c r="Y238" s="481"/>
      <c r="Z238" s="481"/>
      <c r="AA238" s="481"/>
      <c r="AB238" s="481"/>
      <c r="AC238" s="481"/>
      <c r="AD238" s="481"/>
      <c r="AE238" s="481"/>
      <c r="AF238" s="481">
        <f t="shared" si="136"/>
        <v>0</v>
      </c>
      <c r="AG238" s="548"/>
      <c r="AH238" s="548"/>
      <c r="AI238" s="548"/>
      <c r="AJ238" s="548"/>
      <c r="AK238" s="548"/>
      <c r="AL238" s="548"/>
      <c r="AM238" s="548">
        <f t="shared" si="137"/>
        <v>0</v>
      </c>
      <c r="AN238" s="481"/>
      <c r="AO238" s="481"/>
      <c r="AP238" s="491">
        <v>5</v>
      </c>
      <c r="AQ238" s="481"/>
      <c r="AR238" s="481"/>
      <c r="AS238" s="481"/>
      <c r="AT238" s="481"/>
      <c r="AU238" s="481">
        <f t="shared" si="138"/>
        <v>5</v>
      </c>
      <c r="AV238" s="548"/>
      <c r="AW238" s="548"/>
      <c r="AX238" s="548"/>
      <c r="AY238" s="548"/>
      <c r="AZ238" s="548"/>
      <c r="BA238" s="548"/>
      <c r="BB238" s="548"/>
      <c r="BC238" s="548">
        <f t="shared" si="139"/>
        <v>0</v>
      </c>
      <c r="BD238" s="42">
        <f t="shared" si="141"/>
        <v>0</v>
      </c>
      <c r="BE238" s="42">
        <f t="shared" si="141"/>
        <v>0</v>
      </c>
      <c r="BF238" s="42">
        <f t="shared" si="141"/>
        <v>5</v>
      </c>
      <c r="BG238" s="42">
        <f t="shared" si="141"/>
        <v>0</v>
      </c>
      <c r="BH238" s="42">
        <f t="shared" si="141"/>
        <v>0</v>
      </c>
      <c r="BI238" s="42">
        <f t="shared" si="133"/>
        <v>0</v>
      </c>
      <c r="BJ238" s="42">
        <f t="shared" si="142"/>
        <v>0</v>
      </c>
      <c r="BK238" s="42">
        <f t="shared" si="142"/>
        <v>5</v>
      </c>
      <c r="BL238" s="3"/>
    </row>
    <row r="239" spans="1:64" ht="51" customHeight="1" x14ac:dyDescent="0.25">
      <c r="A239" s="298" t="s">
        <v>491</v>
      </c>
      <c r="B239" s="299" t="s">
        <v>489</v>
      </c>
      <c r="C239" s="1547"/>
      <c r="D239" s="1549"/>
      <c r="E239" s="1549"/>
      <c r="F239" s="1549"/>
      <c r="G239" s="1549"/>
      <c r="H239" s="1549"/>
      <c r="I239" s="1425"/>
      <c r="J239" s="1425"/>
      <c r="K239" s="1428" t="s">
        <v>733</v>
      </c>
      <c r="L239" s="301" t="s">
        <v>496</v>
      </c>
      <c r="M239" s="1425" t="s">
        <v>497</v>
      </c>
      <c r="N239" s="476"/>
      <c r="O239" s="1425" t="s">
        <v>47</v>
      </c>
      <c r="P239" s="16" t="s">
        <v>734</v>
      </c>
      <c r="Q239" s="302" t="s">
        <v>735</v>
      </c>
      <c r="R239" s="303">
        <v>2015</v>
      </c>
      <c r="S239" s="303">
        <v>0</v>
      </c>
      <c r="T239" s="303">
        <v>1</v>
      </c>
      <c r="U239" s="303">
        <v>0</v>
      </c>
      <c r="V239" s="303">
        <v>0</v>
      </c>
      <c r="W239" s="303">
        <v>0</v>
      </c>
      <c r="X239" s="303">
        <v>1</v>
      </c>
      <c r="Y239" s="481"/>
      <c r="Z239" s="481"/>
      <c r="AA239" s="491">
        <v>5</v>
      </c>
      <c r="AB239" s="481"/>
      <c r="AC239" s="481"/>
      <c r="AD239" s="481"/>
      <c r="AE239" s="481"/>
      <c r="AF239" s="481">
        <f t="shared" si="136"/>
        <v>5</v>
      </c>
      <c r="AG239" s="548"/>
      <c r="AH239" s="548"/>
      <c r="AI239" s="548"/>
      <c r="AJ239" s="548"/>
      <c r="AK239" s="548"/>
      <c r="AL239" s="548"/>
      <c r="AM239" s="548">
        <f t="shared" si="137"/>
        <v>0</v>
      </c>
      <c r="AN239" s="481"/>
      <c r="AO239" s="481"/>
      <c r="AP239" s="481"/>
      <c r="AQ239" s="481"/>
      <c r="AR239" s="481"/>
      <c r="AS239" s="481"/>
      <c r="AT239" s="481"/>
      <c r="AU239" s="481">
        <f t="shared" si="138"/>
        <v>0</v>
      </c>
      <c r="AV239" s="548"/>
      <c r="AW239" s="548"/>
      <c r="AX239" s="491"/>
      <c r="AY239" s="548"/>
      <c r="AZ239" s="548"/>
      <c r="BA239" s="548"/>
      <c r="BB239" s="548"/>
      <c r="BC239" s="548">
        <f t="shared" si="139"/>
        <v>0</v>
      </c>
      <c r="BD239" s="42">
        <f>+AV239+AN239+AG239+Y239</f>
        <v>0</v>
      </c>
      <c r="BE239" s="42">
        <f>+AW239+AO239+AH239+Z239</f>
        <v>0</v>
      </c>
      <c r="BF239" s="42">
        <f>+AX239+AP239+AI239+AA239</f>
        <v>5</v>
      </c>
      <c r="BG239" s="42">
        <f>+AY239+AQ239+AJ239+AB239</f>
        <v>0</v>
      </c>
      <c r="BH239" s="42">
        <f>+AZ239+AR239+AK239+AC239</f>
        <v>0</v>
      </c>
      <c r="BI239" s="42">
        <f t="shared" si="133"/>
        <v>0</v>
      </c>
      <c r="BJ239" s="42">
        <f>+BB239+AT239+AL239+AE239</f>
        <v>0</v>
      </c>
      <c r="BK239" s="42">
        <f>+BC239+AU239+AM239+AF239</f>
        <v>5</v>
      </c>
      <c r="BL239" s="3"/>
    </row>
    <row r="240" spans="1:64" ht="45" customHeight="1" x14ac:dyDescent="0.25">
      <c r="A240" s="298" t="s">
        <v>491</v>
      </c>
      <c r="B240" s="299" t="s">
        <v>489</v>
      </c>
      <c r="C240" s="1547"/>
      <c r="D240" s="1549"/>
      <c r="E240" s="1549"/>
      <c r="F240" s="1549"/>
      <c r="G240" s="1549"/>
      <c r="H240" s="1549"/>
      <c r="I240" s="1425"/>
      <c r="J240" s="1425"/>
      <c r="K240" s="1428" t="s">
        <v>736</v>
      </c>
      <c r="L240" s="301" t="s">
        <v>496</v>
      </c>
      <c r="M240" s="1425" t="s">
        <v>497</v>
      </c>
      <c r="N240" s="476"/>
      <c r="O240" s="1425" t="s">
        <v>73</v>
      </c>
      <c r="P240" s="71" t="s">
        <v>737</v>
      </c>
      <c r="Q240" s="302" t="s">
        <v>738</v>
      </c>
      <c r="R240" s="303">
        <v>2015</v>
      </c>
      <c r="S240" s="303">
        <v>1</v>
      </c>
      <c r="T240" s="303">
        <v>1</v>
      </c>
      <c r="U240" s="303">
        <v>1</v>
      </c>
      <c r="V240" s="303">
        <v>1</v>
      </c>
      <c r="W240" s="303">
        <v>1</v>
      </c>
      <c r="X240" s="303">
        <v>1</v>
      </c>
      <c r="Y240" s="481">
        <v>1</v>
      </c>
      <c r="Z240" s="481"/>
      <c r="AA240" s="481"/>
      <c r="AB240" s="481"/>
      <c r="AC240" s="481"/>
      <c r="AD240" s="481">
        <v>10</v>
      </c>
      <c r="AE240" s="481"/>
      <c r="AF240" s="481">
        <f t="shared" si="136"/>
        <v>11</v>
      </c>
      <c r="AG240" s="548">
        <v>1</v>
      </c>
      <c r="AH240" s="548"/>
      <c r="AI240" s="548"/>
      <c r="AJ240" s="548"/>
      <c r="AK240" s="548"/>
      <c r="AL240" s="548"/>
      <c r="AM240" s="548">
        <f t="shared" si="137"/>
        <v>1</v>
      </c>
      <c r="AN240" s="481">
        <v>1</v>
      </c>
      <c r="AO240" s="481"/>
      <c r="AP240" s="481"/>
      <c r="AQ240" s="481"/>
      <c r="AR240" s="481"/>
      <c r="AS240" s="481"/>
      <c r="AT240" s="481"/>
      <c r="AU240" s="481">
        <f t="shared" si="138"/>
        <v>1</v>
      </c>
      <c r="AV240" s="548">
        <v>1</v>
      </c>
      <c r="AW240" s="548"/>
      <c r="AX240" s="548"/>
      <c r="AY240" s="548"/>
      <c r="AZ240" s="548"/>
      <c r="BA240" s="548"/>
      <c r="BB240" s="548"/>
      <c r="BC240" s="548">
        <f t="shared" si="139"/>
        <v>1</v>
      </c>
      <c r="BD240" s="42">
        <f t="shared" ref="BD240:BH242" si="144">+AV240+AN240+AG240+Y240</f>
        <v>4</v>
      </c>
      <c r="BE240" s="42">
        <f t="shared" si="144"/>
        <v>0</v>
      </c>
      <c r="BF240" s="42">
        <f t="shared" si="144"/>
        <v>0</v>
      </c>
      <c r="BG240" s="42">
        <f t="shared" si="144"/>
        <v>0</v>
      </c>
      <c r="BH240" s="42">
        <f t="shared" si="144"/>
        <v>0</v>
      </c>
      <c r="BI240" s="42">
        <f t="shared" si="133"/>
        <v>10</v>
      </c>
      <c r="BJ240" s="42">
        <f t="shared" ref="BJ240:BK242" si="145">+BB240+AT240+AL240+AE240</f>
        <v>0</v>
      </c>
      <c r="BK240" s="42">
        <f t="shared" si="145"/>
        <v>14</v>
      </c>
      <c r="BL240" s="3"/>
    </row>
    <row r="241" spans="1:64" ht="35.25" customHeight="1" x14ac:dyDescent="0.25">
      <c r="A241" s="298" t="s">
        <v>491</v>
      </c>
      <c r="B241" s="299" t="s">
        <v>489</v>
      </c>
      <c r="C241" s="1548"/>
      <c r="D241" s="1549"/>
      <c r="E241" s="1549"/>
      <c r="F241" s="1549"/>
      <c r="G241" s="1549"/>
      <c r="H241" s="1549"/>
      <c r="I241" s="1425"/>
      <c r="J241" s="1425"/>
      <c r="K241" s="1428" t="s">
        <v>739</v>
      </c>
      <c r="L241" s="301" t="s">
        <v>740</v>
      </c>
      <c r="M241" s="1425" t="s">
        <v>497</v>
      </c>
      <c r="N241" s="476"/>
      <c r="O241" s="1425" t="s">
        <v>73</v>
      </c>
      <c r="P241" s="71" t="s">
        <v>741</v>
      </c>
      <c r="Q241" s="302" t="s">
        <v>742</v>
      </c>
      <c r="R241" s="303">
        <v>2015</v>
      </c>
      <c r="S241" s="303">
        <v>1</v>
      </c>
      <c r="T241" s="303">
        <v>1</v>
      </c>
      <c r="U241" s="303">
        <v>1</v>
      </c>
      <c r="V241" s="303">
        <v>1</v>
      </c>
      <c r="W241" s="303">
        <v>1</v>
      </c>
      <c r="X241" s="303">
        <v>1</v>
      </c>
      <c r="Y241" s="481">
        <v>33</v>
      </c>
      <c r="Z241" s="481"/>
      <c r="AA241" s="481">
        <v>8</v>
      </c>
      <c r="AB241" s="481"/>
      <c r="AC241" s="481"/>
      <c r="AD241" s="481"/>
      <c r="AE241" s="481"/>
      <c r="AF241" s="481">
        <f t="shared" si="136"/>
        <v>41</v>
      </c>
      <c r="AG241" s="548">
        <v>33</v>
      </c>
      <c r="AH241" s="548"/>
      <c r="AI241" s="548">
        <v>8</v>
      </c>
      <c r="AJ241" s="548"/>
      <c r="AK241" s="548"/>
      <c r="AL241" s="548"/>
      <c r="AM241" s="548">
        <f t="shared" si="137"/>
        <v>41</v>
      </c>
      <c r="AN241" s="481">
        <v>33</v>
      </c>
      <c r="AO241" s="481"/>
      <c r="AP241" s="481">
        <v>8</v>
      </c>
      <c r="AQ241" s="481"/>
      <c r="AR241" s="481"/>
      <c r="AS241" s="481"/>
      <c r="AT241" s="481"/>
      <c r="AU241" s="481">
        <f t="shared" si="138"/>
        <v>41</v>
      </c>
      <c r="AV241" s="548">
        <v>33</v>
      </c>
      <c r="AW241" s="548"/>
      <c r="AX241" s="548">
        <v>8</v>
      </c>
      <c r="AY241" s="548"/>
      <c r="AZ241" s="548"/>
      <c r="BA241" s="548"/>
      <c r="BB241" s="548"/>
      <c r="BC241" s="548">
        <f t="shared" si="139"/>
        <v>41</v>
      </c>
      <c r="BD241" s="42">
        <f t="shared" si="144"/>
        <v>132</v>
      </c>
      <c r="BE241" s="42">
        <f t="shared" si="144"/>
        <v>0</v>
      </c>
      <c r="BF241" s="42">
        <f t="shared" si="144"/>
        <v>32</v>
      </c>
      <c r="BG241" s="42">
        <f t="shared" si="144"/>
        <v>0</v>
      </c>
      <c r="BH241" s="42">
        <f t="shared" si="144"/>
        <v>0</v>
      </c>
      <c r="BI241" s="42">
        <f t="shared" si="133"/>
        <v>0</v>
      </c>
      <c r="BJ241" s="42">
        <f t="shared" si="145"/>
        <v>0</v>
      </c>
      <c r="BK241" s="42">
        <f t="shared" si="145"/>
        <v>164</v>
      </c>
      <c r="BL241" s="3"/>
    </row>
    <row r="242" spans="1:64" ht="2.25" customHeight="1" x14ac:dyDescent="0.25">
      <c r="A242" s="153" t="s">
        <v>491</v>
      </c>
      <c r="B242" s="19" t="s">
        <v>489</v>
      </c>
      <c r="C242" s="7"/>
      <c r="D242" s="1442"/>
      <c r="E242" s="1442"/>
      <c r="F242" s="1442"/>
      <c r="G242" s="1442"/>
      <c r="H242" s="1442"/>
      <c r="I242" s="1442"/>
      <c r="J242" s="1442"/>
      <c r="K242" s="1442"/>
      <c r="L242" s="1442"/>
      <c r="M242" s="1442"/>
      <c r="N242" s="11"/>
      <c r="O242" s="1442"/>
      <c r="P242" s="1440"/>
      <c r="Q242" s="1440"/>
      <c r="R242" s="1442"/>
      <c r="S242" s="1442"/>
      <c r="T242" s="1442"/>
      <c r="U242" s="1442"/>
      <c r="V242" s="1442"/>
      <c r="W242" s="1442"/>
      <c r="X242" s="1442"/>
      <c r="Y242" s="481">
        <v>22.4</v>
      </c>
      <c r="Z242" s="481"/>
      <c r="AA242" s="481">
        <v>24</v>
      </c>
      <c r="AB242" s="481"/>
      <c r="AC242" s="481"/>
      <c r="AD242" s="481"/>
      <c r="AE242" s="481"/>
      <c r="AF242" s="481">
        <f t="shared" si="136"/>
        <v>46.4</v>
      </c>
      <c r="AG242" s="42">
        <f>+Y242*1.035</f>
        <v>23.183999999999997</v>
      </c>
      <c r="AH242" s="42"/>
      <c r="AI242" s="42">
        <f>+AA242*1.035</f>
        <v>24.839999999999996</v>
      </c>
      <c r="AJ242" s="42"/>
      <c r="AK242" s="42"/>
      <c r="AL242" s="42"/>
      <c r="AM242" s="42">
        <f t="shared" si="137"/>
        <v>48.023999999999994</v>
      </c>
      <c r="AN242" s="42">
        <f>+AG242*1.035</f>
        <v>23.995439999999995</v>
      </c>
      <c r="AO242" s="42"/>
      <c r="AP242" s="42">
        <f>+AI242*1.035</f>
        <v>25.709399999999995</v>
      </c>
      <c r="AQ242" s="42"/>
      <c r="AR242" s="42"/>
      <c r="AS242" s="42"/>
      <c r="AT242" s="42"/>
      <c r="AU242" s="42">
        <f t="shared" si="138"/>
        <v>49.70483999999999</v>
      </c>
      <c r="AV242" s="42">
        <f>+AN242*1.035</f>
        <v>24.835280399999991</v>
      </c>
      <c r="AW242" s="42"/>
      <c r="AX242" s="42">
        <f>+AP242*1.035</f>
        <v>26.609228999999992</v>
      </c>
      <c r="AY242" s="42"/>
      <c r="AZ242" s="42"/>
      <c r="BA242" s="42"/>
      <c r="BB242" s="42"/>
      <c r="BC242" s="42">
        <f t="shared" si="139"/>
        <v>51.444509399999987</v>
      </c>
      <c r="BD242" s="42">
        <f t="shared" si="144"/>
        <v>94.414720399999993</v>
      </c>
      <c r="BE242" s="42">
        <f t="shared" si="144"/>
        <v>0</v>
      </c>
      <c r="BF242" s="42">
        <f t="shared" si="144"/>
        <v>101.15862899999999</v>
      </c>
      <c r="BG242" s="42">
        <f t="shared" si="144"/>
        <v>0</v>
      </c>
      <c r="BH242" s="42">
        <f t="shared" si="144"/>
        <v>0</v>
      </c>
      <c r="BI242" s="42">
        <f t="shared" si="133"/>
        <v>0</v>
      </c>
      <c r="BJ242" s="42">
        <f t="shared" si="145"/>
        <v>0</v>
      </c>
      <c r="BK242" s="42">
        <f t="shared" si="145"/>
        <v>195.57334939999998</v>
      </c>
      <c r="BL242" s="3"/>
    </row>
    <row r="243" spans="1:64" x14ac:dyDescent="0.25">
      <c r="A243" s="295" t="s">
        <v>491</v>
      </c>
      <c r="B243" s="14" t="s">
        <v>489</v>
      </c>
      <c r="C243" s="6"/>
      <c r="D243" s="2" t="s">
        <v>743</v>
      </c>
      <c r="E243" s="1"/>
      <c r="F243" s="1"/>
      <c r="G243" s="1"/>
      <c r="H243" s="1"/>
      <c r="I243" s="1"/>
      <c r="J243" s="1"/>
      <c r="K243" s="1"/>
      <c r="L243" s="1"/>
      <c r="M243" s="1"/>
      <c r="N243" s="1"/>
      <c r="O243" s="1"/>
      <c r="P243" s="22" t="s">
        <v>744</v>
      </c>
      <c r="Q243" s="22"/>
      <c r="R243" s="1"/>
      <c r="S243" s="1"/>
      <c r="T243" s="1"/>
      <c r="U243" s="1"/>
      <c r="V243" s="1"/>
      <c r="W243" s="1"/>
      <c r="X243" s="1"/>
      <c r="Y243" s="34">
        <f>SUM(Y244:Y260)</f>
        <v>31</v>
      </c>
      <c r="Z243" s="34">
        <f t="shared" ref="Z243:BK243" si="146">SUM(Z244:Z260)</f>
        <v>0</v>
      </c>
      <c r="AA243" s="34">
        <f t="shared" si="146"/>
        <v>16.399999999999999</v>
      </c>
      <c r="AB243" s="34">
        <f t="shared" si="146"/>
        <v>0</v>
      </c>
      <c r="AC243" s="34">
        <f t="shared" si="146"/>
        <v>0</v>
      </c>
      <c r="AD243" s="34">
        <f t="shared" si="146"/>
        <v>0</v>
      </c>
      <c r="AE243" s="34">
        <f t="shared" si="146"/>
        <v>0</v>
      </c>
      <c r="AF243" s="34">
        <f t="shared" si="146"/>
        <v>47.4</v>
      </c>
      <c r="AG243" s="34">
        <f t="shared" si="146"/>
        <v>24.2</v>
      </c>
      <c r="AH243" s="34">
        <f t="shared" si="146"/>
        <v>0</v>
      </c>
      <c r="AI243" s="34">
        <f t="shared" si="146"/>
        <v>24.83</v>
      </c>
      <c r="AJ243" s="34">
        <f t="shared" si="146"/>
        <v>0</v>
      </c>
      <c r="AK243" s="34">
        <f t="shared" si="146"/>
        <v>0</v>
      </c>
      <c r="AL243" s="34">
        <f t="shared" si="146"/>
        <v>0</v>
      </c>
      <c r="AM243" s="34">
        <f t="shared" si="146"/>
        <v>49.03</v>
      </c>
      <c r="AN243" s="34">
        <f t="shared" si="146"/>
        <v>25</v>
      </c>
      <c r="AO243" s="34">
        <f t="shared" si="146"/>
        <v>0</v>
      </c>
      <c r="AP243" s="34">
        <f t="shared" si="146"/>
        <v>25.7</v>
      </c>
      <c r="AQ243" s="34">
        <f t="shared" si="146"/>
        <v>0</v>
      </c>
      <c r="AR243" s="34">
        <f t="shared" si="146"/>
        <v>0</v>
      </c>
      <c r="AS243" s="34">
        <f t="shared" si="146"/>
        <v>0</v>
      </c>
      <c r="AT243" s="34">
        <f t="shared" si="146"/>
        <v>0</v>
      </c>
      <c r="AU243" s="34">
        <f t="shared" si="146"/>
        <v>50.7</v>
      </c>
      <c r="AV243" s="34">
        <f t="shared" si="146"/>
        <v>25</v>
      </c>
      <c r="AW243" s="34">
        <f t="shared" si="146"/>
        <v>0</v>
      </c>
      <c r="AX243" s="34">
        <f t="shared" si="146"/>
        <v>26.6</v>
      </c>
      <c r="AY243" s="34">
        <f t="shared" si="146"/>
        <v>0</v>
      </c>
      <c r="AZ243" s="34">
        <f t="shared" si="146"/>
        <v>0</v>
      </c>
      <c r="BA243" s="34">
        <f t="shared" si="146"/>
        <v>0</v>
      </c>
      <c r="BB243" s="34">
        <f t="shared" si="146"/>
        <v>0</v>
      </c>
      <c r="BC243" s="34">
        <f t="shared" si="146"/>
        <v>51.6</v>
      </c>
      <c r="BD243" s="34">
        <f t="shared" si="146"/>
        <v>105.2</v>
      </c>
      <c r="BE243" s="34">
        <f t="shared" si="146"/>
        <v>0</v>
      </c>
      <c r="BF243" s="34">
        <f t="shared" si="146"/>
        <v>83.33</v>
      </c>
      <c r="BG243" s="34">
        <f t="shared" si="146"/>
        <v>0</v>
      </c>
      <c r="BH243" s="34">
        <f t="shared" si="146"/>
        <v>0</v>
      </c>
      <c r="BI243" s="34">
        <f t="shared" si="133"/>
        <v>0</v>
      </c>
      <c r="BJ243" s="34">
        <f t="shared" si="146"/>
        <v>0</v>
      </c>
      <c r="BK243" s="34">
        <f t="shared" si="146"/>
        <v>188.52999999999997</v>
      </c>
      <c r="BL243" s="3"/>
    </row>
    <row r="244" spans="1:64" ht="45" customHeight="1" x14ac:dyDescent="0.25">
      <c r="A244" s="298" t="s">
        <v>491</v>
      </c>
      <c r="B244" s="299" t="s">
        <v>489</v>
      </c>
      <c r="C244" s="1546" t="s">
        <v>745</v>
      </c>
      <c r="D244" s="1550" t="s">
        <v>746</v>
      </c>
      <c r="E244" s="1550" t="s">
        <v>747</v>
      </c>
      <c r="F244" s="1550">
        <v>2015</v>
      </c>
      <c r="G244" s="1550">
        <v>1</v>
      </c>
      <c r="H244" s="1550">
        <v>1</v>
      </c>
      <c r="I244" s="1425"/>
      <c r="J244" s="1425"/>
      <c r="K244" s="1425" t="s">
        <v>748</v>
      </c>
      <c r="L244" s="301" t="s">
        <v>496</v>
      </c>
      <c r="M244" s="1425" t="s">
        <v>497</v>
      </c>
      <c r="N244" s="476"/>
      <c r="O244" s="1425" t="s">
        <v>47</v>
      </c>
      <c r="P244" s="16" t="s">
        <v>749</v>
      </c>
      <c r="Q244" s="302" t="s">
        <v>750</v>
      </c>
      <c r="R244" s="303">
        <v>2015</v>
      </c>
      <c r="S244" s="303">
        <v>4</v>
      </c>
      <c r="T244" s="303">
        <v>4</v>
      </c>
      <c r="U244" s="303">
        <v>4</v>
      </c>
      <c r="V244" s="303">
        <v>4</v>
      </c>
      <c r="W244" s="303">
        <v>4</v>
      </c>
      <c r="X244" s="303">
        <v>16</v>
      </c>
      <c r="Y244" s="579">
        <v>6.5</v>
      </c>
      <c r="Z244" s="579"/>
      <c r="AA244" s="579"/>
      <c r="AB244" s="579"/>
      <c r="AC244" s="579"/>
      <c r="AD244" s="579"/>
      <c r="AE244" s="579"/>
      <c r="AF244" s="481">
        <f t="shared" si="136"/>
        <v>6.5</v>
      </c>
      <c r="AG244" s="492">
        <v>2.5</v>
      </c>
      <c r="AH244" s="589"/>
      <c r="AI244" s="589"/>
      <c r="AJ244" s="589"/>
      <c r="AK244" s="589"/>
      <c r="AL244" s="589"/>
      <c r="AM244" s="548">
        <f t="shared" si="137"/>
        <v>2.5</v>
      </c>
      <c r="AN244" s="492">
        <v>4</v>
      </c>
      <c r="AO244" s="579"/>
      <c r="AP244" s="579"/>
      <c r="AQ244" s="579"/>
      <c r="AR244" s="579"/>
      <c r="AS244" s="579"/>
      <c r="AT244" s="579"/>
      <c r="AU244" s="481">
        <f t="shared" si="138"/>
        <v>4</v>
      </c>
      <c r="AV244" s="492">
        <v>4.5</v>
      </c>
      <c r="AW244" s="589"/>
      <c r="AX244" s="589"/>
      <c r="AY244" s="589"/>
      <c r="AZ244" s="589"/>
      <c r="BA244" s="589"/>
      <c r="BB244" s="589"/>
      <c r="BC244" s="548">
        <f t="shared" si="139"/>
        <v>4.5</v>
      </c>
      <c r="BD244" s="61">
        <f t="shared" ref="BD244:BH250" si="147">+AV244+AN244+AG244+Y244</f>
        <v>17.5</v>
      </c>
      <c r="BE244" s="61">
        <f t="shared" si="147"/>
        <v>0</v>
      </c>
      <c r="BF244" s="61">
        <f t="shared" si="147"/>
        <v>0</v>
      </c>
      <c r="BG244" s="61">
        <f t="shared" si="147"/>
        <v>0</v>
      </c>
      <c r="BH244" s="61">
        <f t="shared" si="147"/>
        <v>0</v>
      </c>
      <c r="BI244" s="61">
        <f t="shared" si="133"/>
        <v>0</v>
      </c>
      <c r="BJ244" s="61">
        <f t="shared" ref="BJ244:BK250" si="148">+BB244+AT244+AL244+AE244</f>
        <v>0</v>
      </c>
      <c r="BK244" s="42">
        <f t="shared" si="148"/>
        <v>17.5</v>
      </c>
      <c r="BL244" s="3"/>
    </row>
    <row r="245" spans="1:64" ht="43.5" customHeight="1" x14ac:dyDescent="0.25">
      <c r="A245" s="298" t="s">
        <v>491</v>
      </c>
      <c r="B245" s="299" t="s">
        <v>489</v>
      </c>
      <c r="C245" s="1547"/>
      <c r="D245" s="1551"/>
      <c r="E245" s="1551"/>
      <c r="F245" s="1551"/>
      <c r="G245" s="1551"/>
      <c r="H245" s="1551"/>
      <c r="I245" s="1425"/>
      <c r="J245" s="1425"/>
      <c r="K245" s="1425" t="s">
        <v>751</v>
      </c>
      <c r="L245" s="301" t="s">
        <v>496</v>
      </c>
      <c r="M245" s="1425" t="s">
        <v>497</v>
      </c>
      <c r="N245" s="476"/>
      <c r="O245" s="1425" t="s">
        <v>73</v>
      </c>
      <c r="P245" s="16" t="s">
        <v>752</v>
      </c>
      <c r="Q245" s="302" t="s">
        <v>753</v>
      </c>
      <c r="R245" s="303">
        <v>2015</v>
      </c>
      <c r="S245" s="303">
        <v>1</v>
      </c>
      <c r="T245" s="303">
        <v>1</v>
      </c>
      <c r="U245" s="303">
        <v>1</v>
      </c>
      <c r="V245" s="303">
        <v>1</v>
      </c>
      <c r="W245" s="303">
        <v>1</v>
      </c>
      <c r="X245" s="303">
        <v>1</v>
      </c>
      <c r="Y245" s="579"/>
      <c r="Z245" s="579"/>
      <c r="AA245" s="579">
        <v>11.6</v>
      </c>
      <c r="AB245" s="579"/>
      <c r="AC245" s="579"/>
      <c r="AD245" s="579"/>
      <c r="AE245" s="579"/>
      <c r="AF245" s="481">
        <f t="shared" si="136"/>
        <v>11.6</v>
      </c>
      <c r="AG245" s="492">
        <v>0.5</v>
      </c>
      <c r="AH245" s="589"/>
      <c r="AI245" s="589">
        <v>12</v>
      </c>
      <c r="AJ245" s="589"/>
      <c r="AK245" s="589"/>
      <c r="AL245" s="589"/>
      <c r="AM245" s="548">
        <f t="shared" si="137"/>
        <v>12.5</v>
      </c>
      <c r="AN245" s="579"/>
      <c r="AO245" s="579"/>
      <c r="AP245" s="579">
        <v>12.5</v>
      </c>
      <c r="AQ245" s="579"/>
      <c r="AR245" s="579"/>
      <c r="AS245" s="579"/>
      <c r="AT245" s="579"/>
      <c r="AU245" s="481">
        <f t="shared" si="138"/>
        <v>12.5</v>
      </c>
      <c r="AV245" s="589"/>
      <c r="AW245" s="589"/>
      <c r="AX245" s="589">
        <v>13</v>
      </c>
      <c r="AY245" s="589"/>
      <c r="AZ245" s="589"/>
      <c r="BA245" s="589"/>
      <c r="BB245" s="589"/>
      <c r="BC245" s="548">
        <f t="shared" si="139"/>
        <v>13</v>
      </c>
      <c r="BD245" s="61">
        <f t="shared" si="147"/>
        <v>0.5</v>
      </c>
      <c r="BE245" s="61">
        <f t="shared" si="147"/>
        <v>0</v>
      </c>
      <c r="BF245" s="61">
        <f t="shared" si="147"/>
        <v>49.1</v>
      </c>
      <c r="BG245" s="61">
        <f t="shared" si="147"/>
        <v>0</v>
      </c>
      <c r="BH245" s="61">
        <f t="shared" si="147"/>
        <v>0</v>
      </c>
      <c r="BI245" s="61">
        <f t="shared" si="133"/>
        <v>0</v>
      </c>
      <c r="BJ245" s="61">
        <f t="shared" si="148"/>
        <v>0</v>
      </c>
      <c r="BK245" s="42">
        <f t="shared" si="148"/>
        <v>49.6</v>
      </c>
      <c r="BL245" s="3"/>
    </row>
    <row r="246" spans="1:64" ht="29.25" customHeight="1" x14ac:dyDescent="0.25">
      <c r="A246" s="298" t="s">
        <v>491</v>
      </c>
      <c r="B246" s="299" t="s">
        <v>489</v>
      </c>
      <c r="C246" s="1547"/>
      <c r="D246" s="1551"/>
      <c r="E246" s="1551"/>
      <c r="F246" s="1551"/>
      <c r="G246" s="1551"/>
      <c r="H246" s="1551"/>
      <c r="I246" s="1425"/>
      <c r="J246" s="1425"/>
      <c r="K246" s="1425" t="s">
        <v>754</v>
      </c>
      <c r="L246" s="301" t="s">
        <v>496</v>
      </c>
      <c r="M246" s="1425" t="s">
        <v>497</v>
      </c>
      <c r="N246" s="476"/>
      <c r="O246" s="1425" t="s">
        <v>73</v>
      </c>
      <c r="P246" s="16" t="s">
        <v>755</v>
      </c>
      <c r="Q246" s="302" t="s">
        <v>756</v>
      </c>
      <c r="R246" s="303">
        <v>2015</v>
      </c>
      <c r="S246" s="303">
        <v>0</v>
      </c>
      <c r="T246" s="303">
        <v>2</v>
      </c>
      <c r="U246" s="303">
        <v>2</v>
      </c>
      <c r="V246" s="303">
        <v>2</v>
      </c>
      <c r="W246" s="303">
        <v>2</v>
      </c>
      <c r="X246" s="303">
        <v>2</v>
      </c>
      <c r="Y246" s="492">
        <v>8</v>
      </c>
      <c r="Z246" s="579"/>
      <c r="AA246" s="579"/>
      <c r="AB246" s="579"/>
      <c r="AC246" s="579"/>
      <c r="AD246" s="579"/>
      <c r="AE246" s="579"/>
      <c r="AF246" s="481">
        <f t="shared" si="136"/>
        <v>8</v>
      </c>
      <c r="AG246" s="492">
        <v>0.5</v>
      </c>
      <c r="AH246" s="589"/>
      <c r="AI246" s="589"/>
      <c r="AJ246" s="589"/>
      <c r="AK246" s="589"/>
      <c r="AL246" s="589"/>
      <c r="AM246" s="548">
        <f t="shared" si="137"/>
        <v>0.5</v>
      </c>
      <c r="AN246" s="492">
        <v>0.5</v>
      </c>
      <c r="AO246" s="579"/>
      <c r="AP246" s="579"/>
      <c r="AQ246" s="579"/>
      <c r="AR246" s="579"/>
      <c r="AS246" s="579"/>
      <c r="AT246" s="579"/>
      <c r="AU246" s="481">
        <f t="shared" si="138"/>
        <v>0.5</v>
      </c>
      <c r="AV246" s="492">
        <v>0.5</v>
      </c>
      <c r="AW246" s="589"/>
      <c r="AX246" s="589"/>
      <c r="AY246" s="589"/>
      <c r="AZ246" s="589"/>
      <c r="BA246" s="589"/>
      <c r="BB246" s="589"/>
      <c r="BC246" s="548">
        <f t="shared" si="139"/>
        <v>0.5</v>
      </c>
      <c r="BD246" s="61">
        <f t="shared" si="147"/>
        <v>9.5</v>
      </c>
      <c r="BE246" s="61">
        <f t="shared" si="147"/>
        <v>0</v>
      </c>
      <c r="BF246" s="61">
        <f t="shared" si="147"/>
        <v>0</v>
      </c>
      <c r="BG246" s="61">
        <f t="shared" si="147"/>
        <v>0</v>
      </c>
      <c r="BH246" s="61">
        <f t="shared" si="147"/>
        <v>0</v>
      </c>
      <c r="BI246" s="61">
        <f t="shared" si="133"/>
        <v>0</v>
      </c>
      <c r="BJ246" s="61">
        <f t="shared" si="148"/>
        <v>0</v>
      </c>
      <c r="BK246" s="42">
        <f t="shared" si="148"/>
        <v>9.5</v>
      </c>
      <c r="BL246" s="3"/>
    </row>
    <row r="247" spans="1:64" ht="33" customHeight="1" x14ac:dyDescent="0.25">
      <c r="A247" s="298" t="s">
        <v>491</v>
      </c>
      <c r="B247" s="299" t="s">
        <v>489</v>
      </c>
      <c r="C247" s="1547"/>
      <c r="D247" s="1551"/>
      <c r="E247" s="1551"/>
      <c r="F247" s="1551"/>
      <c r="G247" s="1551"/>
      <c r="H247" s="1551"/>
      <c r="I247" s="1425"/>
      <c r="J247" s="1425"/>
      <c r="K247" s="1425" t="s">
        <v>757</v>
      </c>
      <c r="L247" s="301" t="s">
        <v>496</v>
      </c>
      <c r="M247" s="1425" t="s">
        <v>497</v>
      </c>
      <c r="N247" s="476"/>
      <c r="O247" s="1425" t="s">
        <v>73</v>
      </c>
      <c r="P247" s="16" t="s">
        <v>758</v>
      </c>
      <c r="Q247" s="302" t="s">
        <v>759</v>
      </c>
      <c r="R247" s="303">
        <v>2015</v>
      </c>
      <c r="S247" s="303">
        <v>0</v>
      </c>
      <c r="T247" s="303">
        <v>2</v>
      </c>
      <c r="U247" s="303">
        <v>2</v>
      </c>
      <c r="V247" s="303">
        <v>2</v>
      </c>
      <c r="W247" s="303">
        <v>2</v>
      </c>
      <c r="X247" s="303">
        <v>2</v>
      </c>
      <c r="Y247" s="579"/>
      <c r="Z247" s="579"/>
      <c r="AA247" s="492">
        <v>2.8</v>
      </c>
      <c r="AB247" s="579"/>
      <c r="AC247" s="579"/>
      <c r="AD247" s="579"/>
      <c r="AE247" s="579"/>
      <c r="AF247" s="481">
        <f t="shared" si="136"/>
        <v>2.8</v>
      </c>
      <c r="AG247" s="492">
        <v>0.5</v>
      </c>
      <c r="AH247" s="589"/>
      <c r="AI247" s="589"/>
      <c r="AJ247" s="589"/>
      <c r="AK247" s="589"/>
      <c r="AL247" s="589"/>
      <c r="AM247" s="548">
        <f t="shared" si="137"/>
        <v>0.5</v>
      </c>
      <c r="AN247" s="492">
        <v>0.5</v>
      </c>
      <c r="AO247" s="579"/>
      <c r="AP247" s="579"/>
      <c r="AQ247" s="579"/>
      <c r="AR247" s="579"/>
      <c r="AS247" s="579"/>
      <c r="AT247" s="579"/>
      <c r="AU247" s="481">
        <f t="shared" si="138"/>
        <v>0.5</v>
      </c>
      <c r="AV247" s="492">
        <v>0.5</v>
      </c>
      <c r="AW247" s="589"/>
      <c r="AX247" s="589"/>
      <c r="AY247" s="589"/>
      <c r="AZ247" s="589"/>
      <c r="BA247" s="589"/>
      <c r="BB247" s="589"/>
      <c r="BC247" s="548">
        <f t="shared" si="139"/>
        <v>0.5</v>
      </c>
      <c r="BD247" s="61">
        <f t="shared" si="147"/>
        <v>1.5</v>
      </c>
      <c r="BE247" s="61">
        <f t="shared" si="147"/>
        <v>0</v>
      </c>
      <c r="BF247" s="61">
        <f t="shared" si="147"/>
        <v>2.8</v>
      </c>
      <c r="BG247" s="61">
        <f t="shared" si="147"/>
        <v>0</v>
      </c>
      <c r="BH247" s="61">
        <f t="shared" si="147"/>
        <v>0</v>
      </c>
      <c r="BI247" s="61">
        <f t="shared" si="133"/>
        <v>0</v>
      </c>
      <c r="BJ247" s="61">
        <f t="shared" si="148"/>
        <v>0</v>
      </c>
      <c r="BK247" s="42">
        <f t="shared" si="148"/>
        <v>4.3</v>
      </c>
      <c r="BL247" s="3"/>
    </row>
    <row r="248" spans="1:64" ht="27.75" customHeight="1" x14ac:dyDescent="0.25">
      <c r="A248" s="298" t="s">
        <v>491</v>
      </c>
      <c r="B248" s="299" t="s">
        <v>489</v>
      </c>
      <c r="C248" s="1547"/>
      <c r="D248" s="1551"/>
      <c r="E248" s="1551"/>
      <c r="F248" s="1551"/>
      <c r="G248" s="1551"/>
      <c r="H248" s="1551"/>
      <c r="I248" s="1425"/>
      <c r="J248" s="1425"/>
      <c r="K248" s="1425" t="s">
        <v>760</v>
      </c>
      <c r="L248" s="301" t="s">
        <v>496</v>
      </c>
      <c r="M248" s="1425" t="s">
        <v>497</v>
      </c>
      <c r="N248" s="476"/>
      <c r="O248" s="1425" t="s">
        <v>47</v>
      </c>
      <c r="P248" s="16" t="s">
        <v>761</v>
      </c>
      <c r="Q248" s="302" t="s">
        <v>762</v>
      </c>
      <c r="R248" s="303">
        <v>2015</v>
      </c>
      <c r="S248" s="303">
        <v>0</v>
      </c>
      <c r="T248" s="303">
        <v>0</v>
      </c>
      <c r="U248" s="303">
        <v>1</v>
      </c>
      <c r="V248" s="303">
        <v>1</v>
      </c>
      <c r="W248" s="303">
        <v>0</v>
      </c>
      <c r="X248" s="303">
        <v>2</v>
      </c>
      <c r="Y248" s="579"/>
      <c r="Z248" s="579"/>
      <c r="AA248" s="579"/>
      <c r="AB248" s="579"/>
      <c r="AC248" s="579"/>
      <c r="AD248" s="579"/>
      <c r="AE248" s="579"/>
      <c r="AF248" s="481">
        <f t="shared" si="136"/>
        <v>0</v>
      </c>
      <c r="AG248" s="492">
        <v>0.5</v>
      </c>
      <c r="AH248" s="589"/>
      <c r="AI248" s="589"/>
      <c r="AJ248" s="589"/>
      <c r="AK248" s="589"/>
      <c r="AL248" s="589"/>
      <c r="AM248" s="548">
        <f t="shared" si="137"/>
        <v>0.5</v>
      </c>
      <c r="AN248" s="492">
        <v>0.5</v>
      </c>
      <c r="AO248" s="579"/>
      <c r="AP248" s="579"/>
      <c r="AQ248" s="579"/>
      <c r="AR248" s="579"/>
      <c r="AS248" s="579"/>
      <c r="AT248" s="579"/>
      <c r="AU248" s="481">
        <f t="shared" si="138"/>
        <v>0.5</v>
      </c>
      <c r="AV248" s="589"/>
      <c r="AW248" s="589"/>
      <c r="AX248" s="589"/>
      <c r="AY248" s="589"/>
      <c r="AZ248" s="589"/>
      <c r="BA248" s="589"/>
      <c r="BB248" s="589"/>
      <c r="BC248" s="548">
        <f t="shared" si="139"/>
        <v>0</v>
      </c>
      <c r="BD248" s="61">
        <f t="shared" si="147"/>
        <v>1</v>
      </c>
      <c r="BE248" s="61">
        <f t="shared" si="147"/>
        <v>0</v>
      </c>
      <c r="BF248" s="61">
        <f t="shared" si="147"/>
        <v>0</v>
      </c>
      <c r="BG248" s="61">
        <f t="shared" si="147"/>
        <v>0</v>
      </c>
      <c r="BH248" s="61">
        <f t="shared" si="147"/>
        <v>0</v>
      </c>
      <c r="BI248" s="61">
        <f t="shared" si="133"/>
        <v>0</v>
      </c>
      <c r="BJ248" s="61">
        <f t="shared" si="148"/>
        <v>0</v>
      </c>
      <c r="BK248" s="42">
        <f t="shared" si="148"/>
        <v>1</v>
      </c>
      <c r="BL248" s="3"/>
    </row>
    <row r="249" spans="1:64" ht="36.75" customHeight="1" x14ac:dyDescent="0.25">
      <c r="A249" s="298" t="s">
        <v>491</v>
      </c>
      <c r="B249" s="299" t="s">
        <v>489</v>
      </c>
      <c r="C249" s="1547"/>
      <c r="D249" s="1551"/>
      <c r="E249" s="1551"/>
      <c r="F249" s="1551"/>
      <c r="G249" s="1551"/>
      <c r="H249" s="1551"/>
      <c r="I249" s="1425"/>
      <c r="J249" s="1425"/>
      <c r="K249" s="1425" t="s">
        <v>763</v>
      </c>
      <c r="L249" s="301" t="s">
        <v>496</v>
      </c>
      <c r="M249" s="1425" t="s">
        <v>497</v>
      </c>
      <c r="N249" s="476"/>
      <c r="O249" s="1425" t="s">
        <v>47</v>
      </c>
      <c r="P249" s="16" t="s">
        <v>764</v>
      </c>
      <c r="Q249" s="302" t="s">
        <v>765</v>
      </c>
      <c r="R249" s="303">
        <v>2015</v>
      </c>
      <c r="S249" s="303">
        <v>0</v>
      </c>
      <c r="T249" s="303">
        <v>0</v>
      </c>
      <c r="U249" s="303">
        <v>1</v>
      </c>
      <c r="V249" s="303">
        <v>1</v>
      </c>
      <c r="W249" s="303">
        <v>1</v>
      </c>
      <c r="X249" s="303">
        <v>3</v>
      </c>
      <c r="Y249" s="579"/>
      <c r="Z249" s="579"/>
      <c r="AA249" s="579"/>
      <c r="AB249" s="579"/>
      <c r="AC249" s="579"/>
      <c r="AD249" s="579"/>
      <c r="AE249" s="579"/>
      <c r="AF249" s="481">
        <f t="shared" si="136"/>
        <v>0</v>
      </c>
      <c r="AG249" s="492">
        <v>0.5</v>
      </c>
      <c r="AH249" s="589"/>
      <c r="AI249" s="589"/>
      <c r="AJ249" s="589"/>
      <c r="AK249" s="589"/>
      <c r="AL249" s="589"/>
      <c r="AM249" s="548">
        <f t="shared" si="137"/>
        <v>0.5</v>
      </c>
      <c r="AN249" s="492">
        <v>0.5</v>
      </c>
      <c r="AO249" s="579"/>
      <c r="AP249" s="579"/>
      <c r="AQ249" s="579"/>
      <c r="AR249" s="579"/>
      <c r="AS249" s="579"/>
      <c r="AT249" s="579"/>
      <c r="AU249" s="481">
        <f t="shared" si="138"/>
        <v>0.5</v>
      </c>
      <c r="AV249" s="492">
        <v>0.5</v>
      </c>
      <c r="AW249" s="589"/>
      <c r="AX249" s="589"/>
      <c r="AY249" s="589"/>
      <c r="AZ249" s="589"/>
      <c r="BA249" s="589"/>
      <c r="BB249" s="589"/>
      <c r="BC249" s="548">
        <f t="shared" si="139"/>
        <v>0.5</v>
      </c>
      <c r="BD249" s="61">
        <f t="shared" si="147"/>
        <v>1.5</v>
      </c>
      <c r="BE249" s="61">
        <f t="shared" si="147"/>
        <v>0</v>
      </c>
      <c r="BF249" s="61">
        <f t="shared" si="147"/>
        <v>0</v>
      </c>
      <c r="BG249" s="61">
        <f t="shared" si="147"/>
        <v>0</v>
      </c>
      <c r="BH249" s="61">
        <f t="shared" si="147"/>
        <v>0</v>
      </c>
      <c r="BI249" s="61">
        <f t="shared" si="133"/>
        <v>0</v>
      </c>
      <c r="BJ249" s="61">
        <f t="shared" si="148"/>
        <v>0</v>
      </c>
      <c r="BK249" s="42">
        <f t="shared" si="148"/>
        <v>1.5</v>
      </c>
      <c r="BL249" s="3"/>
    </row>
    <row r="250" spans="1:64" ht="39" customHeight="1" x14ac:dyDescent="0.25">
      <c r="A250" s="298" t="s">
        <v>491</v>
      </c>
      <c r="B250" s="299" t="s">
        <v>489</v>
      </c>
      <c r="C250" s="1547"/>
      <c r="D250" s="1551"/>
      <c r="E250" s="1551"/>
      <c r="F250" s="1551"/>
      <c r="G250" s="1551"/>
      <c r="H250" s="1551"/>
      <c r="I250" s="1425"/>
      <c r="J250" s="1425"/>
      <c r="K250" s="1425" t="s">
        <v>766</v>
      </c>
      <c r="L250" s="301" t="s">
        <v>496</v>
      </c>
      <c r="M250" s="1425" t="s">
        <v>497</v>
      </c>
      <c r="N250" s="476"/>
      <c r="O250" s="1425" t="s">
        <v>47</v>
      </c>
      <c r="P250" s="16" t="s">
        <v>767</v>
      </c>
      <c r="Q250" s="302" t="s">
        <v>768</v>
      </c>
      <c r="R250" s="303">
        <v>2015</v>
      </c>
      <c r="S250" s="303">
        <v>0</v>
      </c>
      <c r="T250" s="303">
        <v>0</v>
      </c>
      <c r="U250" s="303">
        <v>1</v>
      </c>
      <c r="V250" s="303">
        <v>1</v>
      </c>
      <c r="W250" s="303">
        <v>1</v>
      </c>
      <c r="X250" s="303">
        <v>3</v>
      </c>
      <c r="Y250" s="492"/>
      <c r="Z250" s="579"/>
      <c r="AA250" s="492"/>
      <c r="AB250" s="579"/>
      <c r="AC250" s="579"/>
      <c r="AD250" s="579"/>
      <c r="AE250" s="579"/>
      <c r="AF250" s="481">
        <f t="shared" si="136"/>
        <v>0</v>
      </c>
      <c r="AG250" s="589">
        <v>8.6999999999999993</v>
      </c>
      <c r="AH250" s="589"/>
      <c r="AI250" s="589">
        <v>7.63</v>
      </c>
      <c r="AJ250" s="589"/>
      <c r="AK250" s="589"/>
      <c r="AL250" s="589"/>
      <c r="AM250" s="548">
        <f t="shared" si="137"/>
        <v>16.329999999999998</v>
      </c>
      <c r="AN250" s="579">
        <v>9</v>
      </c>
      <c r="AO250" s="579"/>
      <c r="AP250" s="579">
        <v>7.7</v>
      </c>
      <c r="AQ250" s="579"/>
      <c r="AR250" s="579"/>
      <c r="AS250" s="579"/>
      <c r="AT250" s="579"/>
      <c r="AU250" s="481">
        <f t="shared" si="138"/>
        <v>16.7</v>
      </c>
      <c r="AV250" s="589">
        <v>9</v>
      </c>
      <c r="AW250" s="589"/>
      <c r="AX250" s="589">
        <v>8.1</v>
      </c>
      <c r="AY250" s="589"/>
      <c r="AZ250" s="589"/>
      <c r="BA250" s="589"/>
      <c r="BB250" s="589"/>
      <c r="BC250" s="548">
        <f t="shared" si="139"/>
        <v>17.100000000000001</v>
      </c>
      <c r="BD250" s="61">
        <f t="shared" si="147"/>
        <v>26.7</v>
      </c>
      <c r="BE250" s="61">
        <f t="shared" si="147"/>
        <v>0</v>
      </c>
      <c r="BF250" s="61">
        <f t="shared" si="147"/>
        <v>23.43</v>
      </c>
      <c r="BG250" s="61">
        <f t="shared" si="147"/>
        <v>0</v>
      </c>
      <c r="BH250" s="61">
        <f t="shared" si="147"/>
        <v>0</v>
      </c>
      <c r="BI250" s="61">
        <f t="shared" si="133"/>
        <v>0</v>
      </c>
      <c r="BJ250" s="61">
        <f t="shared" si="148"/>
        <v>0</v>
      </c>
      <c r="BK250" s="42">
        <f t="shared" si="148"/>
        <v>50.129999999999995</v>
      </c>
      <c r="BL250" s="3"/>
    </row>
    <row r="251" spans="1:64" ht="51.75" customHeight="1" x14ac:dyDescent="0.25">
      <c r="A251" s="298" t="s">
        <v>491</v>
      </c>
      <c r="B251" s="299" t="s">
        <v>489</v>
      </c>
      <c r="C251" s="1547"/>
      <c r="D251" s="1551"/>
      <c r="E251" s="1551"/>
      <c r="F251" s="1551"/>
      <c r="G251" s="1551"/>
      <c r="H251" s="1551"/>
      <c r="I251" s="1425"/>
      <c r="J251" s="1425"/>
      <c r="K251" s="1425" t="s">
        <v>769</v>
      </c>
      <c r="L251" s="301" t="s">
        <v>496</v>
      </c>
      <c r="M251" s="1425" t="s">
        <v>497</v>
      </c>
      <c r="N251" s="476"/>
      <c r="O251" s="1425" t="s">
        <v>47</v>
      </c>
      <c r="P251" s="16" t="s">
        <v>770</v>
      </c>
      <c r="Q251" s="302" t="s">
        <v>771</v>
      </c>
      <c r="R251" s="303">
        <v>2015</v>
      </c>
      <c r="S251" s="303">
        <v>0</v>
      </c>
      <c r="T251" s="303">
        <v>0</v>
      </c>
      <c r="U251" s="303">
        <v>1</v>
      </c>
      <c r="V251" s="303">
        <v>1</v>
      </c>
      <c r="W251" s="303">
        <v>1</v>
      </c>
      <c r="X251" s="303">
        <v>3</v>
      </c>
      <c r="Y251" s="579"/>
      <c r="Z251" s="579"/>
      <c r="AA251" s="579"/>
      <c r="AB251" s="579"/>
      <c r="AC251" s="579"/>
      <c r="AD251" s="579"/>
      <c r="AE251" s="579"/>
      <c r="AF251" s="481">
        <f t="shared" si="136"/>
        <v>0</v>
      </c>
      <c r="AG251" s="589"/>
      <c r="AH251" s="589"/>
      <c r="AI251" s="589">
        <v>3.2</v>
      </c>
      <c r="AJ251" s="589"/>
      <c r="AK251" s="589"/>
      <c r="AL251" s="589"/>
      <c r="AM251" s="548">
        <f t="shared" si="137"/>
        <v>3.2</v>
      </c>
      <c r="AN251" s="579"/>
      <c r="AO251" s="579"/>
      <c r="AP251" s="579">
        <v>3.5</v>
      </c>
      <c r="AQ251" s="579"/>
      <c r="AR251" s="579"/>
      <c r="AS251" s="579"/>
      <c r="AT251" s="579"/>
      <c r="AU251" s="481">
        <f t="shared" si="138"/>
        <v>3.5</v>
      </c>
      <c r="AV251" s="589"/>
      <c r="AW251" s="589"/>
      <c r="AX251" s="589">
        <v>3.5</v>
      </c>
      <c r="AY251" s="589"/>
      <c r="AZ251" s="589"/>
      <c r="BA251" s="589"/>
      <c r="BB251" s="589"/>
      <c r="BC251" s="548">
        <f t="shared" si="139"/>
        <v>3.5</v>
      </c>
      <c r="BD251" s="61"/>
      <c r="BE251" s="61"/>
      <c r="BF251" s="61"/>
      <c r="BG251" s="61"/>
      <c r="BH251" s="61"/>
      <c r="BI251" s="61">
        <f t="shared" si="133"/>
        <v>0</v>
      </c>
      <c r="BJ251" s="61"/>
      <c r="BK251" s="42"/>
      <c r="BL251" s="3"/>
    </row>
    <row r="252" spans="1:64" ht="44.25" customHeight="1" x14ac:dyDescent="0.25">
      <c r="A252" s="298" t="s">
        <v>491</v>
      </c>
      <c r="B252" s="299" t="s">
        <v>489</v>
      </c>
      <c r="C252" s="1547"/>
      <c r="D252" s="1551"/>
      <c r="E252" s="1551"/>
      <c r="F252" s="1551"/>
      <c r="G252" s="1551"/>
      <c r="H252" s="1551"/>
      <c r="I252" s="1425"/>
      <c r="J252" s="1425"/>
      <c r="K252" s="1425" t="s">
        <v>772</v>
      </c>
      <c r="L252" s="301" t="s">
        <v>496</v>
      </c>
      <c r="M252" s="1425" t="s">
        <v>497</v>
      </c>
      <c r="N252" s="476"/>
      <c r="O252" s="1425" t="s">
        <v>47</v>
      </c>
      <c r="P252" s="16" t="s">
        <v>773</v>
      </c>
      <c r="Q252" s="302" t="s">
        <v>699</v>
      </c>
      <c r="R252" s="303">
        <v>2015</v>
      </c>
      <c r="S252" s="303">
        <v>0</v>
      </c>
      <c r="T252" s="303">
        <v>0</v>
      </c>
      <c r="U252" s="303">
        <v>1</v>
      </c>
      <c r="V252" s="303">
        <v>0</v>
      </c>
      <c r="W252" s="303">
        <v>0</v>
      </c>
      <c r="X252" s="303">
        <v>1</v>
      </c>
      <c r="Y252" s="579"/>
      <c r="Z252" s="579"/>
      <c r="AA252" s="579"/>
      <c r="AB252" s="579"/>
      <c r="AC252" s="579"/>
      <c r="AD252" s="579"/>
      <c r="AE252" s="579"/>
      <c r="AF252" s="481">
        <f t="shared" si="136"/>
        <v>0</v>
      </c>
      <c r="AG252" s="492">
        <v>0.5</v>
      </c>
      <c r="AH252" s="589"/>
      <c r="AI252" s="589"/>
      <c r="AJ252" s="589"/>
      <c r="AK252" s="589"/>
      <c r="AL252" s="589"/>
      <c r="AM252" s="548">
        <f t="shared" si="137"/>
        <v>0.5</v>
      </c>
      <c r="AN252" s="579"/>
      <c r="AO252" s="579"/>
      <c r="AP252" s="579"/>
      <c r="AQ252" s="579"/>
      <c r="AR252" s="579"/>
      <c r="AS252" s="579"/>
      <c r="AT252" s="579"/>
      <c r="AU252" s="481">
        <f t="shared" si="138"/>
        <v>0</v>
      </c>
      <c r="AV252" s="589"/>
      <c r="AW252" s="589"/>
      <c r="AX252" s="589"/>
      <c r="AY252" s="589"/>
      <c r="AZ252" s="589"/>
      <c r="BA252" s="589"/>
      <c r="BB252" s="589"/>
      <c r="BC252" s="548">
        <f t="shared" si="139"/>
        <v>0</v>
      </c>
      <c r="BD252" s="61">
        <f t="shared" ref="BD252:BH277" si="149">+AV252+AN252+AG252+Y252</f>
        <v>0.5</v>
      </c>
      <c r="BE252" s="61">
        <f t="shared" si="149"/>
        <v>0</v>
      </c>
      <c r="BF252" s="61">
        <f t="shared" si="149"/>
        <v>0</v>
      </c>
      <c r="BG252" s="61">
        <f t="shared" si="149"/>
        <v>0</v>
      </c>
      <c r="BH252" s="61">
        <f t="shared" si="149"/>
        <v>0</v>
      </c>
      <c r="BI252" s="61">
        <f t="shared" si="133"/>
        <v>0</v>
      </c>
      <c r="BJ252" s="61">
        <f t="shared" ref="BJ252:BK277" si="150">+BB252+AT252+AL252+AE252</f>
        <v>0</v>
      </c>
      <c r="BK252" s="42">
        <f t="shared" si="150"/>
        <v>0.5</v>
      </c>
      <c r="BL252" s="3"/>
    </row>
    <row r="253" spans="1:64" ht="42.75" customHeight="1" x14ac:dyDescent="0.25">
      <c r="A253" s="298" t="s">
        <v>491</v>
      </c>
      <c r="B253" s="299" t="s">
        <v>489</v>
      </c>
      <c r="C253" s="1547"/>
      <c r="D253" s="1551"/>
      <c r="E253" s="1551"/>
      <c r="F253" s="1551"/>
      <c r="G253" s="1551"/>
      <c r="H253" s="1551"/>
      <c r="I253" s="1425"/>
      <c r="J253" s="1425"/>
      <c r="K253" s="1425" t="s">
        <v>774</v>
      </c>
      <c r="L253" s="301" t="s">
        <v>496</v>
      </c>
      <c r="M253" s="1425" t="s">
        <v>497</v>
      </c>
      <c r="N253" s="476"/>
      <c r="O253" s="1425" t="s">
        <v>47</v>
      </c>
      <c r="P253" s="16" t="s">
        <v>775</v>
      </c>
      <c r="Q253" s="302" t="s">
        <v>776</v>
      </c>
      <c r="R253" s="303">
        <v>2015</v>
      </c>
      <c r="S253" s="303">
        <v>1</v>
      </c>
      <c r="T253" s="303">
        <v>1</v>
      </c>
      <c r="U253" s="303">
        <v>1</v>
      </c>
      <c r="V253" s="303">
        <v>1</v>
      </c>
      <c r="W253" s="303">
        <v>1</v>
      </c>
      <c r="X253" s="303">
        <v>4</v>
      </c>
      <c r="Y253" s="579">
        <v>1.5</v>
      </c>
      <c r="Z253" s="579"/>
      <c r="AA253" s="579"/>
      <c r="AB253" s="579"/>
      <c r="AC253" s="579"/>
      <c r="AD253" s="579"/>
      <c r="AE253" s="579"/>
      <c r="AF253" s="481">
        <f t="shared" si="136"/>
        <v>1.5</v>
      </c>
      <c r="AG253" s="589">
        <v>1.5</v>
      </c>
      <c r="AH253" s="589"/>
      <c r="AI253" s="589"/>
      <c r="AJ253" s="589"/>
      <c r="AK253" s="589"/>
      <c r="AL253" s="589"/>
      <c r="AM253" s="548">
        <f t="shared" si="137"/>
        <v>1.5</v>
      </c>
      <c r="AN253" s="579">
        <v>1.5</v>
      </c>
      <c r="AO253" s="579"/>
      <c r="AP253" s="579"/>
      <c r="AQ253" s="579"/>
      <c r="AR253" s="579"/>
      <c r="AS253" s="579"/>
      <c r="AT253" s="579"/>
      <c r="AU253" s="481">
        <f t="shared" si="138"/>
        <v>1.5</v>
      </c>
      <c r="AV253" s="589">
        <v>1.5</v>
      </c>
      <c r="AW253" s="589"/>
      <c r="AX253" s="589"/>
      <c r="AY253" s="589"/>
      <c r="AZ253" s="589"/>
      <c r="BA253" s="589"/>
      <c r="BB253" s="589"/>
      <c r="BC253" s="548">
        <f t="shared" si="139"/>
        <v>1.5</v>
      </c>
      <c r="BD253" s="61">
        <f t="shared" si="149"/>
        <v>6</v>
      </c>
      <c r="BE253" s="61">
        <f t="shared" si="149"/>
        <v>0</v>
      </c>
      <c r="BF253" s="61">
        <f t="shared" si="149"/>
        <v>0</v>
      </c>
      <c r="BG253" s="61">
        <f t="shared" si="149"/>
        <v>0</v>
      </c>
      <c r="BH253" s="61">
        <f t="shared" si="149"/>
        <v>0</v>
      </c>
      <c r="BI253" s="61">
        <f t="shared" si="133"/>
        <v>0</v>
      </c>
      <c r="BJ253" s="61">
        <f t="shared" si="150"/>
        <v>0</v>
      </c>
      <c r="BK253" s="42">
        <f t="shared" si="150"/>
        <v>6</v>
      </c>
      <c r="BL253" s="3"/>
    </row>
    <row r="254" spans="1:64" ht="60.75" customHeight="1" x14ac:dyDescent="0.25">
      <c r="A254" s="298" t="s">
        <v>491</v>
      </c>
      <c r="B254" s="299" t="s">
        <v>489</v>
      </c>
      <c r="C254" s="1547"/>
      <c r="D254" s="1551"/>
      <c r="E254" s="1551"/>
      <c r="F254" s="1551"/>
      <c r="G254" s="1551"/>
      <c r="H254" s="1551"/>
      <c r="I254" s="1425"/>
      <c r="J254" s="1425"/>
      <c r="K254" s="1425" t="s">
        <v>777</v>
      </c>
      <c r="L254" s="301" t="s">
        <v>496</v>
      </c>
      <c r="M254" s="1425" t="s">
        <v>497</v>
      </c>
      <c r="N254" s="476"/>
      <c r="O254" s="1425" t="s">
        <v>73</v>
      </c>
      <c r="P254" s="16" t="s">
        <v>778</v>
      </c>
      <c r="Q254" s="302" t="s">
        <v>779</v>
      </c>
      <c r="R254" s="303">
        <v>2015</v>
      </c>
      <c r="S254" s="303">
        <v>0</v>
      </c>
      <c r="T254" s="303">
        <v>1</v>
      </c>
      <c r="U254" s="303">
        <v>1</v>
      </c>
      <c r="V254" s="303">
        <v>1</v>
      </c>
      <c r="W254" s="303">
        <v>1</v>
      </c>
      <c r="X254" s="303">
        <v>1</v>
      </c>
      <c r="Y254" s="492">
        <v>2.63</v>
      </c>
      <c r="Z254" s="579"/>
      <c r="AA254" s="579"/>
      <c r="AB254" s="579"/>
      <c r="AC254" s="579"/>
      <c r="AD254" s="579"/>
      <c r="AE254" s="579"/>
      <c r="AF254" s="481">
        <f t="shared" si="136"/>
        <v>2.63</v>
      </c>
      <c r="AG254" s="492">
        <v>0.5</v>
      </c>
      <c r="AH254" s="589"/>
      <c r="AI254" s="589"/>
      <c r="AJ254" s="589"/>
      <c r="AK254" s="589"/>
      <c r="AL254" s="589"/>
      <c r="AM254" s="548">
        <f t="shared" si="137"/>
        <v>0.5</v>
      </c>
      <c r="AN254" s="492">
        <v>0.5</v>
      </c>
      <c r="AO254" s="579"/>
      <c r="AP254" s="579"/>
      <c r="AQ254" s="579"/>
      <c r="AR254" s="579"/>
      <c r="AS254" s="579"/>
      <c r="AT254" s="579"/>
      <c r="AU254" s="481">
        <f t="shared" si="138"/>
        <v>0.5</v>
      </c>
      <c r="AV254" s="492">
        <v>0.5</v>
      </c>
      <c r="AW254" s="589"/>
      <c r="AX254" s="589"/>
      <c r="AY254" s="589"/>
      <c r="AZ254" s="589"/>
      <c r="BA254" s="589"/>
      <c r="BB254" s="589"/>
      <c r="BC254" s="548">
        <f t="shared" si="139"/>
        <v>0.5</v>
      </c>
      <c r="BD254" s="61">
        <f t="shared" si="149"/>
        <v>4.13</v>
      </c>
      <c r="BE254" s="61">
        <f t="shared" si="149"/>
        <v>0</v>
      </c>
      <c r="BF254" s="61">
        <f t="shared" si="149"/>
        <v>0</v>
      </c>
      <c r="BG254" s="61">
        <f t="shared" si="149"/>
        <v>0</v>
      </c>
      <c r="BH254" s="61">
        <f t="shared" si="149"/>
        <v>0</v>
      </c>
      <c r="BI254" s="61">
        <f t="shared" si="133"/>
        <v>0</v>
      </c>
      <c r="BJ254" s="61">
        <f t="shared" si="150"/>
        <v>0</v>
      </c>
      <c r="BK254" s="42">
        <f t="shared" si="150"/>
        <v>4.13</v>
      </c>
      <c r="BL254" s="3"/>
    </row>
    <row r="255" spans="1:64" ht="42" customHeight="1" x14ac:dyDescent="0.25">
      <c r="A255" s="298" t="s">
        <v>491</v>
      </c>
      <c r="B255" s="299" t="s">
        <v>489</v>
      </c>
      <c r="C255" s="1547"/>
      <c r="D255" s="1551"/>
      <c r="E255" s="1551"/>
      <c r="F255" s="1551"/>
      <c r="G255" s="1551"/>
      <c r="H255" s="1551"/>
      <c r="I255" s="1425"/>
      <c r="J255" s="1425"/>
      <c r="K255" s="1425" t="s">
        <v>780</v>
      </c>
      <c r="L255" s="301" t="s">
        <v>496</v>
      </c>
      <c r="M255" s="1425" t="s">
        <v>497</v>
      </c>
      <c r="N255" s="476"/>
      <c r="O255" s="1425" t="s">
        <v>73</v>
      </c>
      <c r="P255" s="16" t="s">
        <v>781</v>
      </c>
      <c r="Q255" s="302" t="s">
        <v>782</v>
      </c>
      <c r="R255" s="303">
        <v>2015</v>
      </c>
      <c r="S255" s="303">
        <v>1</v>
      </c>
      <c r="T255" s="303">
        <v>1</v>
      </c>
      <c r="U255" s="303">
        <v>1</v>
      </c>
      <c r="V255" s="303">
        <v>1</v>
      </c>
      <c r="W255" s="303">
        <v>1</v>
      </c>
      <c r="X255" s="303">
        <v>1</v>
      </c>
      <c r="Y255" s="579">
        <v>1.37</v>
      </c>
      <c r="Z255" s="579"/>
      <c r="AA255" s="579"/>
      <c r="AB255" s="579"/>
      <c r="AC255" s="579"/>
      <c r="AD255" s="579"/>
      <c r="AE255" s="579"/>
      <c r="AF255" s="481">
        <f t="shared" si="136"/>
        <v>1.37</v>
      </c>
      <c r="AG255" s="492">
        <v>1</v>
      </c>
      <c r="AH255" s="589"/>
      <c r="AI255" s="589"/>
      <c r="AJ255" s="589"/>
      <c r="AK255" s="589"/>
      <c r="AL255" s="589"/>
      <c r="AM255" s="548">
        <f t="shared" si="137"/>
        <v>1</v>
      </c>
      <c r="AN255" s="579">
        <v>1.5</v>
      </c>
      <c r="AO255" s="579"/>
      <c r="AP255" s="579"/>
      <c r="AQ255" s="579"/>
      <c r="AR255" s="579"/>
      <c r="AS255" s="579"/>
      <c r="AT255" s="579"/>
      <c r="AU255" s="481">
        <f t="shared" si="138"/>
        <v>1.5</v>
      </c>
      <c r="AV255" s="589">
        <v>1.5</v>
      </c>
      <c r="AW255" s="589"/>
      <c r="AX255" s="589"/>
      <c r="AY255" s="589"/>
      <c r="AZ255" s="589"/>
      <c r="BA255" s="589"/>
      <c r="BB255" s="589"/>
      <c r="BC255" s="548">
        <f t="shared" si="139"/>
        <v>1.5</v>
      </c>
      <c r="BD255" s="61">
        <f t="shared" si="149"/>
        <v>5.37</v>
      </c>
      <c r="BE255" s="61">
        <f t="shared" si="149"/>
        <v>0</v>
      </c>
      <c r="BF255" s="61">
        <f t="shared" si="149"/>
        <v>0</v>
      </c>
      <c r="BG255" s="61">
        <f t="shared" si="149"/>
        <v>0</v>
      </c>
      <c r="BH255" s="61">
        <f t="shared" si="149"/>
        <v>0</v>
      </c>
      <c r="BI255" s="61">
        <f t="shared" si="133"/>
        <v>0</v>
      </c>
      <c r="BJ255" s="61">
        <f t="shared" si="150"/>
        <v>0</v>
      </c>
      <c r="BK255" s="42">
        <f t="shared" si="150"/>
        <v>5.37</v>
      </c>
      <c r="BL255" s="3"/>
    </row>
    <row r="256" spans="1:64" ht="39.75" customHeight="1" x14ac:dyDescent="0.25">
      <c r="A256" s="298" t="s">
        <v>491</v>
      </c>
      <c r="B256" s="299" t="s">
        <v>489</v>
      </c>
      <c r="C256" s="1547"/>
      <c r="D256" s="1551"/>
      <c r="E256" s="1551"/>
      <c r="F256" s="1551"/>
      <c r="G256" s="1551"/>
      <c r="H256" s="1551"/>
      <c r="I256" s="1425"/>
      <c r="J256" s="1425"/>
      <c r="K256" s="1425" t="s">
        <v>783</v>
      </c>
      <c r="L256" s="301" t="s">
        <v>496</v>
      </c>
      <c r="M256" s="1425" t="s">
        <v>497</v>
      </c>
      <c r="N256" s="476"/>
      <c r="O256" s="1425" t="s">
        <v>47</v>
      </c>
      <c r="P256" s="16" t="s">
        <v>784</v>
      </c>
      <c r="Q256" s="302" t="s">
        <v>720</v>
      </c>
      <c r="R256" s="303">
        <v>2015</v>
      </c>
      <c r="S256" s="303">
        <v>0</v>
      </c>
      <c r="T256" s="303">
        <v>0</v>
      </c>
      <c r="U256" s="303">
        <v>1</v>
      </c>
      <c r="V256" s="303">
        <v>0</v>
      </c>
      <c r="W256" s="303">
        <v>0</v>
      </c>
      <c r="X256" s="303">
        <v>1</v>
      </c>
      <c r="Y256" s="579"/>
      <c r="Z256" s="579"/>
      <c r="AA256" s="492"/>
      <c r="AB256" s="579"/>
      <c r="AC256" s="579"/>
      <c r="AD256" s="579"/>
      <c r="AE256" s="579"/>
      <c r="AF256" s="481">
        <f t="shared" si="136"/>
        <v>0</v>
      </c>
      <c r="AG256" s="492">
        <v>0.5</v>
      </c>
      <c r="AH256" s="589"/>
      <c r="AI256" s="588"/>
      <c r="AJ256" s="589"/>
      <c r="AK256" s="589"/>
      <c r="AL256" s="589"/>
      <c r="AM256" s="548">
        <f t="shared" si="137"/>
        <v>0.5</v>
      </c>
      <c r="AN256" s="579"/>
      <c r="AO256" s="579"/>
      <c r="AP256" s="482"/>
      <c r="AQ256" s="579"/>
      <c r="AR256" s="579"/>
      <c r="AS256" s="579"/>
      <c r="AT256" s="579"/>
      <c r="AU256" s="481">
        <f t="shared" si="138"/>
        <v>0</v>
      </c>
      <c r="AV256" s="589"/>
      <c r="AW256" s="589"/>
      <c r="AX256" s="588"/>
      <c r="AY256" s="589"/>
      <c r="AZ256" s="589"/>
      <c r="BA256" s="589"/>
      <c r="BB256" s="589"/>
      <c r="BC256" s="548">
        <f t="shared" si="139"/>
        <v>0</v>
      </c>
      <c r="BD256" s="61">
        <f t="shared" si="149"/>
        <v>0.5</v>
      </c>
      <c r="BE256" s="61">
        <f t="shared" si="149"/>
        <v>0</v>
      </c>
      <c r="BF256" s="29">
        <f t="shared" si="149"/>
        <v>0</v>
      </c>
      <c r="BG256" s="61">
        <f t="shared" si="149"/>
        <v>0</v>
      </c>
      <c r="BH256" s="61">
        <f t="shared" si="149"/>
        <v>0</v>
      </c>
      <c r="BI256" s="61">
        <f t="shared" si="133"/>
        <v>0</v>
      </c>
      <c r="BJ256" s="61">
        <f t="shared" si="150"/>
        <v>0</v>
      </c>
      <c r="BK256" s="42">
        <f t="shared" si="150"/>
        <v>0.5</v>
      </c>
      <c r="BL256" s="3"/>
    </row>
    <row r="257" spans="1:64" ht="46.5" customHeight="1" x14ac:dyDescent="0.25">
      <c r="A257" s="298" t="s">
        <v>491</v>
      </c>
      <c r="B257" s="299" t="s">
        <v>489</v>
      </c>
      <c r="C257" s="1547"/>
      <c r="D257" s="1551"/>
      <c r="E257" s="1551"/>
      <c r="F257" s="1551"/>
      <c r="G257" s="1551"/>
      <c r="H257" s="1551"/>
      <c r="I257" s="1425"/>
      <c r="J257" s="1425"/>
      <c r="K257" s="1425" t="s">
        <v>785</v>
      </c>
      <c r="L257" s="301" t="s">
        <v>496</v>
      </c>
      <c r="M257" s="1425" t="s">
        <v>497</v>
      </c>
      <c r="N257" s="476"/>
      <c r="O257" s="1425" t="s">
        <v>73</v>
      </c>
      <c r="P257" s="16" t="s">
        <v>786</v>
      </c>
      <c r="Q257" s="302" t="s">
        <v>787</v>
      </c>
      <c r="R257" s="303">
        <v>2015</v>
      </c>
      <c r="S257" s="303">
        <v>1</v>
      </c>
      <c r="T257" s="303">
        <v>1</v>
      </c>
      <c r="U257" s="303">
        <v>1</v>
      </c>
      <c r="V257" s="303">
        <v>1</v>
      </c>
      <c r="W257" s="303">
        <v>1</v>
      </c>
      <c r="X257" s="303">
        <v>1</v>
      </c>
      <c r="Y257" s="579">
        <v>2</v>
      </c>
      <c r="Z257" s="579"/>
      <c r="AA257" s="579"/>
      <c r="AB257" s="579"/>
      <c r="AC257" s="579"/>
      <c r="AD257" s="579"/>
      <c r="AE257" s="579"/>
      <c r="AF257" s="481">
        <f t="shared" si="136"/>
        <v>2</v>
      </c>
      <c r="AG257" s="589">
        <v>2</v>
      </c>
      <c r="AH257" s="589"/>
      <c r="AI257" s="589"/>
      <c r="AJ257" s="589"/>
      <c r="AK257" s="589"/>
      <c r="AL257" s="589"/>
      <c r="AM257" s="548">
        <f t="shared" si="137"/>
        <v>2</v>
      </c>
      <c r="AN257" s="579">
        <v>2</v>
      </c>
      <c r="AO257" s="579"/>
      <c r="AP257" s="579"/>
      <c r="AQ257" s="579"/>
      <c r="AR257" s="579"/>
      <c r="AS257" s="579"/>
      <c r="AT257" s="579"/>
      <c r="AU257" s="481">
        <f t="shared" si="138"/>
        <v>2</v>
      </c>
      <c r="AV257" s="589">
        <v>2</v>
      </c>
      <c r="AW257" s="589"/>
      <c r="AX257" s="589"/>
      <c r="AY257" s="589"/>
      <c r="AZ257" s="589"/>
      <c r="BA257" s="589"/>
      <c r="BB257" s="589"/>
      <c r="BC257" s="548">
        <f t="shared" si="139"/>
        <v>2</v>
      </c>
      <c r="BD257" s="61">
        <f t="shared" si="149"/>
        <v>8</v>
      </c>
      <c r="BE257" s="61">
        <f t="shared" si="149"/>
        <v>0</v>
      </c>
      <c r="BF257" s="61">
        <f t="shared" si="149"/>
        <v>0</v>
      </c>
      <c r="BG257" s="61">
        <f t="shared" si="149"/>
        <v>0</v>
      </c>
      <c r="BH257" s="61">
        <f t="shared" si="149"/>
        <v>0</v>
      </c>
      <c r="BI257" s="61">
        <f t="shared" si="133"/>
        <v>0</v>
      </c>
      <c r="BJ257" s="61">
        <f t="shared" si="150"/>
        <v>0</v>
      </c>
      <c r="BK257" s="42">
        <f t="shared" si="150"/>
        <v>8</v>
      </c>
      <c r="BL257" s="3"/>
    </row>
    <row r="258" spans="1:64" ht="48" customHeight="1" x14ac:dyDescent="0.25">
      <c r="A258" s="298" t="s">
        <v>491</v>
      </c>
      <c r="B258" s="299" t="s">
        <v>489</v>
      </c>
      <c r="C258" s="1547"/>
      <c r="D258" s="1551"/>
      <c r="E258" s="1551"/>
      <c r="F258" s="1551"/>
      <c r="G258" s="1551"/>
      <c r="H258" s="1551"/>
      <c r="I258" s="1425"/>
      <c r="J258" s="1425"/>
      <c r="K258" s="1425" t="s">
        <v>788</v>
      </c>
      <c r="L258" s="301" t="s">
        <v>496</v>
      </c>
      <c r="M258" s="1425" t="s">
        <v>497</v>
      </c>
      <c r="N258" s="476"/>
      <c r="O258" s="1425" t="s">
        <v>73</v>
      </c>
      <c r="P258" s="16" t="s">
        <v>789</v>
      </c>
      <c r="Q258" s="302" t="s">
        <v>790</v>
      </c>
      <c r="R258" s="303">
        <v>2015</v>
      </c>
      <c r="S258" s="303">
        <v>1</v>
      </c>
      <c r="T258" s="303">
        <v>1</v>
      </c>
      <c r="U258" s="303">
        <v>1</v>
      </c>
      <c r="V258" s="303">
        <v>1</v>
      </c>
      <c r="W258" s="303">
        <v>1</v>
      </c>
      <c r="X258" s="303">
        <v>1</v>
      </c>
      <c r="Y258" s="579">
        <v>3</v>
      </c>
      <c r="Z258" s="579"/>
      <c r="AA258" s="579">
        <v>2</v>
      </c>
      <c r="AB258" s="579"/>
      <c r="AC258" s="579"/>
      <c r="AD258" s="579"/>
      <c r="AE258" s="579"/>
      <c r="AF258" s="481">
        <f t="shared" si="136"/>
        <v>5</v>
      </c>
      <c r="AG258" s="589">
        <v>3</v>
      </c>
      <c r="AH258" s="589"/>
      <c r="AI258" s="589">
        <v>2</v>
      </c>
      <c r="AJ258" s="589"/>
      <c r="AK258" s="589"/>
      <c r="AL258" s="589"/>
      <c r="AM258" s="548">
        <f t="shared" si="137"/>
        <v>5</v>
      </c>
      <c r="AN258" s="579">
        <v>3</v>
      </c>
      <c r="AO258" s="579"/>
      <c r="AP258" s="579">
        <v>2</v>
      </c>
      <c r="AQ258" s="579"/>
      <c r="AR258" s="579"/>
      <c r="AS258" s="579"/>
      <c r="AT258" s="579"/>
      <c r="AU258" s="481">
        <f t="shared" si="138"/>
        <v>5</v>
      </c>
      <c r="AV258" s="589">
        <v>3</v>
      </c>
      <c r="AW258" s="589"/>
      <c r="AX258" s="589">
        <v>2</v>
      </c>
      <c r="AY258" s="589"/>
      <c r="AZ258" s="589"/>
      <c r="BA258" s="589"/>
      <c r="BB258" s="589"/>
      <c r="BC258" s="548">
        <f t="shared" si="139"/>
        <v>5</v>
      </c>
      <c r="BD258" s="61">
        <f t="shared" si="149"/>
        <v>12</v>
      </c>
      <c r="BE258" s="61">
        <f t="shared" si="149"/>
        <v>0</v>
      </c>
      <c r="BF258" s="61">
        <f t="shared" si="149"/>
        <v>8</v>
      </c>
      <c r="BG258" s="61">
        <f t="shared" si="149"/>
        <v>0</v>
      </c>
      <c r="BH258" s="61">
        <f t="shared" si="149"/>
        <v>0</v>
      </c>
      <c r="BI258" s="61">
        <f t="shared" si="133"/>
        <v>0</v>
      </c>
      <c r="BJ258" s="61">
        <f t="shared" si="150"/>
        <v>0</v>
      </c>
      <c r="BK258" s="42">
        <f t="shared" si="150"/>
        <v>20</v>
      </c>
      <c r="BL258" s="3"/>
    </row>
    <row r="259" spans="1:64" ht="32.25" customHeight="1" x14ac:dyDescent="0.25">
      <c r="A259" s="298" t="s">
        <v>491</v>
      </c>
      <c r="B259" s="299" t="s">
        <v>489</v>
      </c>
      <c r="C259" s="1547"/>
      <c r="D259" s="1551"/>
      <c r="E259" s="1551"/>
      <c r="F259" s="1551"/>
      <c r="G259" s="1551"/>
      <c r="H259" s="1551"/>
      <c r="I259" s="1425"/>
      <c r="J259" s="1425"/>
      <c r="K259" s="1425" t="s">
        <v>791</v>
      </c>
      <c r="L259" s="301" t="s">
        <v>496</v>
      </c>
      <c r="M259" s="1425" t="s">
        <v>497</v>
      </c>
      <c r="N259" s="476"/>
      <c r="O259" s="1425" t="s">
        <v>47</v>
      </c>
      <c r="P259" s="16" t="s">
        <v>792</v>
      </c>
      <c r="Q259" s="302" t="s">
        <v>793</v>
      </c>
      <c r="R259" s="303">
        <v>2015</v>
      </c>
      <c r="S259" s="303">
        <v>1</v>
      </c>
      <c r="T259" s="303">
        <v>1</v>
      </c>
      <c r="U259" s="303">
        <v>1</v>
      </c>
      <c r="V259" s="303">
        <v>1</v>
      </c>
      <c r="W259" s="303">
        <v>1</v>
      </c>
      <c r="X259" s="303">
        <v>4</v>
      </c>
      <c r="Y259" s="492">
        <v>5</v>
      </c>
      <c r="Z259" s="579"/>
      <c r="AA259" s="579"/>
      <c r="AB259" s="579"/>
      <c r="AC259" s="579"/>
      <c r="AD259" s="579"/>
      <c r="AE259" s="579"/>
      <c r="AF259" s="481">
        <f t="shared" si="136"/>
        <v>5</v>
      </c>
      <c r="AG259" s="492">
        <v>0.5</v>
      </c>
      <c r="AH259" s="589"/>
      <c r="AI259" s="589"/>
      <c r="AJ259" s="589"/>
      <c r="AK259" s="589"/>
      <c r="AL259" s="589"/>
      <c r="AM259" s="548">
        <f t="shared" si="137"/>
        <v>0.5</v>
      </c>
      <c r="AN259" s="492">
        <v>0.5</v>
      </c>
      <c r="AO259" s="579"/>
      <c r="AP259" s="579"/>
      <c r="AQ259" s="579"/>
      <c r="AR259" s="579"/>
      <c r="AS259" s="579"/>
      <c r="AT259" s="579"/>
      <c r="AU259" s="481">
        <f t="shared" si="138"/>
        <v>0.5</v>
      </c>
      <c r="AV259" s="492">
        <v>1.5</v>
      </c>
      <c r="AW259" s="589"/>
      <c r="AX259" s="589"/>
      <c r="AY259" s="589"/>
      <c r="AZ259" s="589"/>
      <c r="BA259" s="589"/>
      <c r="BB259" s="589"/>
      <c r="BC259" s="548">
        <f t="shared" si="139"/>
        <v>1.5</v>
      </c>
      <c r="BD259" s="61">
        <f t="shared" si="149"/>
        <v>7.5</v>
      </c>
      <c r="BE259" s="61">
        <f t="shared" si="149"/>
        <v>0</v>
      </c>
      <c r="BF259" s="61">
        <f t="shared" si="149"/>
        <v>0</v>
      </c>
      <c r="BG259" s="61">
        <f t="shared" si="149"/>
        <v>0</v>
      </c>
      <c r="BH259" s="61">
        <f t="shared" si="149"/>
        <v>0</v>
      </c>
      <c r="BI259" s="61">
        <f t="shared" si="133"/>
        <v>0</v>
      </c>
      <c r="BJ259" s="61">
        <f t="shared" si="150"/>
        <v>0</v>
      </c>
      <c r="BK259" s="42">
        <f t="shared" si="150"/>
        <v>7.5</v>
      </c>
      <c r="BL259" s="3"/>
    </row>
    <row r="260" spans="1:64" ht="47.25" customHeight="1" x14ac:dyDescent="0.25">
      <c r="A260" s="298" t="s">
        <v>491</v>
      </c>
      <c r="B260" s="299" t="s">
        <v>489</v>
      </c>
      <c r="C260" s="1548"/>
      <c r="D260" s="1552"/>
      <c r="E260" s="1552"/>
      <c r="F260" s="1552"/>
      <c r="G260" s="1552"/>
      <c r="H260" s="1552"/>
      <c r="I260" s="1425"/>
      <c r="J260" s="1425"/>
      <c r="K260" s="1425" t="s">
        <v>794</v>
      </c>
      <c r="L260" s="301" t="s">
        <v>496</v>
      </c>
      <c r="M260" s="1425" t="s">
        <v>497</v>
      </c>
      <c r="N260" s="476"/>
      <c r="O260" s="1425" t="s">
        <v>47</v>
      </c>
      <c r="P260" s="16" t="s">
        <v>795</v>
      </c>
      <c r="Q260" s="302" t="s">
        <v>796</v>
      </c>
      <c r="R260" s="303">
        <v>2015</v>
      </c>
      <c r="S260" s="303">
        <v>0</v>
      </c>
      <c r="T260" s="303">
        <v>1</v>
      </c>
      <c r="U260" s="303">
        <v>0</v>
      </c>
      <c r="V260" s="303">
        <v>0</v>
      </c>
      <c r="W260" s="303">
        <v>0</v>
      </c>
      <c r="X260" s="303">
        <v>1</v>
      </c>
      <c r="Y260" s="481">
        <v>1</v>
      </c>
      <c r="Z260" s="481"/>
      <c r="AA260" s="481"/>
      <c r="AB260" s="481"/>
      <c r="AC260" s="481"/>
      <c r="AD260" s="481"/>
      <c r="AE260" s="481"/>
      <c r="AF260" s="481">
        <f t="shared" si="136"/>
        <v>1</v>
      </c>
      <c r="AG260" s="548">
        <v>1</v>
      </c>
      <c r="AH260" s="548"/>
      <c r="AI260" s="548"/>
      <c r="AJ260" s="548"/>
      <c r="AK260" s="548"/>
      <c r="AL260" s="548"/>
      <c r="AM260" s="548">
        <f t="shared" si="137"/>
        <v>1</v>
      </c>
      <c r="AN260" s="481">
        <v>1</v>
      </c>
      <c r="AO260" s="481"/>
      <c r="AP260" s="481"/>
      <c r="AQ260" s="481"/>
      <c r="AR260" s="481"/>
      <c r="AS260" s="481"/>
      <c r="AT260" s="481"/>
      <c r="AU260" s="481">
        <f t="shared" si="138"/>
        <v>1</v>
      </c>
      <c r="AV260" s="491"/>
      <c r="AW260" s="548"/>
      <c r="AX260" s="548"/>
      <c r="AY260" s="548"/>
      <c r="AZ260" s="548"/>
      <c r="BA260" s="548"/>
      <c r="BB260" s="548"/>
      <c r="BC260" s="548">
        <f t="shared" si="139"/>
        <v>0</v>
      </c>
      <c r="BD260" s="42">
        <f>+AV260+AN260+AG260+Y260</f>
        <v>3</v>
      </c>
      <c r="BE260" s="42">
        <f>+AW260+AO260+AH260+Z260</f>
        <v>0</v>
      </c>
      <c r="BF260" s="42">
        <f>+AX260+AP260+AI260+AA260</f>
        <v>0</v>
      </c>
      <c r="BG260" s="42">
        <f>+AY260+AQ260+AJ260+AB260</f>
        <v>0</v>
      </c>
      <c r="BH260" s="42">
        <f>+AZ260+AR260+AK260+AC260</f>
        <v>0</v>
      </c>
      <c r="BI260" s="42">
        <f t="shared" si="133"/>
        <v>0</v>
      </c>
      <c r="BJ260" s="42">
        <f>+BB260+AT260+AL260+AE260</f>
        <v>0</v>
      </c>
      <c r="BK260" s="42">
        <f>+BC260+AU260+AM260+AF260</f>
        <v>3</v>
      </c>
      <c r="BL260" s="3"/>
    </row>
    <row r="261" spans="1:64" ht="15" customHeight="1" x14ac:dyDescent="0.25">
      <c r="A261" s="1563" t="s">
        <v>797</v>
      </c>
      <c r="B261" s="1563"/>
      <c r="C261" s="1563"/>
      <c r="D261" s="1563"/>
      <c r="E261" s="1563"/>
      <c r="F261" s="1563"/>
      <c r="G261" s="1563"/>
      <c r="H261" s="1563"/>
      <c r="I261" s="1563"/>
      <c r="J261" s="1563"/>
      <c r="K261" s="1563"/>
      <c r="L261" s="1563"/>
      <c r="M261" s="1563"/>
      <c r="N261" s="1564"/>
      <c r="O261" s="8"/>
      <c r="P261" s="20"/>
      <c r="Q261" s="20"/>
      <c r="R261" s="8"/>
      <c r="S261" s="8"/>
      <c r="T261" s="8"/>
      <c r="U261" s="65"/>
      <c r="V261" s="65"/>
      <c r="W261" s="65"/>
      <c r="X261" s="65"/>
      <c r="Y261" s="36">
        <f t="shared" ref="Y261:AE261" si="151">+Y263+Y295+Y331+Y355</f>
        <v>472.8</v>
      </c>
      <c r="Z261" s="36">
        <f t="shared" si="151"/>
        <v>43.2</v>
      </c>
      <c r="AA261" s="36">
        <f t="shared" si="151"/>
        <v>412.6</v>
      </c>
      <c r="AB261" s="36">
        <f t="shared" si="151"/>
        <v>219</v>
      </c>
      <c r="AC261" s="36">
        <f t="shared" si="151"/>
        <v>0</v>
      </c>
      <c r="AD261" s="36">
        <f t="shared" si="151"/>
        <v>848</v>
      </c>
      <c r="AE261" s="36">
        <f t="shared" si="151"/>
        <v>850</v>
      </c>
      <c r="AF261" s="36">
        <f>SUM(Y261:AE261)</f>
        <v>2845.6</v>
      </c>
      <c r="AG261" s="36">
        <f t="shared" ref="AG261:AL261" si="152">+AG263+AG295+AG331+AG355</f>
        <v>279</v>
      </c>
      <c r="AH261" s="36">
        <f t="shared" si="152"/>
        <v>44.9</v>
      </c>
      <c r="AI261" s="36">
        <f t="shared" si="152"/>
        <v>427</v>
      </c>
      <c r="AJ261" s="36">
        <f t="shared" si="152"/>
        <v>200</v>
      </c>
      <c r="AK261" s="36">
        <f t="shared" si="152"/>
        <v>0</v>
      </c>
      <c r="AL261" s="36">
        <f t="shared" si="152"/>
        <v>3076</v>
      </c>
      <c r="AM261" s="36">
        <f>SUM(AG261:AL261)</f>
        <v>4026.9</v>
      </c>
      <c r="AN261" s="36">
        <f t="shared" ref="AN261:AT261" si="153">+AN263+AN295+AN331+AN355</f>
        <v>531</v>
      </c>
      <c r="AO261" s="36">
        <f t="shared" si="153"/>
        <v>46.7</v>
      </c>
      <c r="AP261" s="36">
        <f t="shared" si="153"/>
        <v>443</v>
      </c>
      <c r="AQ261" s="36">
        <f t="shared" si="153"/>
        <v>1400</v>
      </c>
      <c r="AR261" s="36">
        <f t="shared" si="153"/>
        <v>0</v>
      </c>
      <c r="AS261" s="36">
        <f t="shared" si="153"/>
        <v>0</v>
      </c>
      <c r="AT261" s="36">
        <f t="shared" si="153"/>
        <v>703.04000000000008</v>
      </c>
      <c r="AU261" s="36">
        <f>SUM(AN261:AT261)</f>
        <v>3123.74</v>
      </c>
      <c r="AV261" s="36">
        <f t="shared" ref="AV261:BB261" si="154">+AV263+AV295+AV331+AV355</f>
        <v>373.2</v>
      </c>
      <c r="AW261" s="36">
        <f t="shared" si="154"/>
        <v>48.6</v>
      </c>
      <c r="AX261" s="36">
        <f t="shared" si="154"/>
        <v>453.2</v>
      </c>
      <c r="AY261" s="36">
        <f t="shared" si="154"/>
        <v>1500</v>
      </c>
      <c r="AZ261" s="36">
        <f t="shared" si="154"/>
        <v>0</v>
      </c>
      <c r="BA261" s="36">
        <f t="shared" si="154"/>
        <v>0</v>
      </c>
      <c r="BB261" s="36">
        <f t="shared" si="154"/>
        <v>731.16160000000013</v>
      </c>
      <c r="BC261" s="36">
        <f>SUM(AV261:BB261)</f>
        <v>3106.1616000000004</v>
      </c>
      <c r="BD261" s="36">
        <f t="shared" si="149"/>
        <v>1656</v>
      </c>
      <c r="BE261" s="36">
        <f t="shared" si="149"/>
        <v>183.40000000000003</v>
      </c>
      <c r="BF261" s="36">
        <f t="shared" si="149"/>
        <v>1735.8000000000002</v>
      </c>
      <c r="BG261" s="36">
        <f t="shared" si="149"/>
        <v>3319</v>
      </c>
      <c r="BH261" s="36">
        <f t="shared" si="149"/>
        <v>0</v>
      </c>
      <c r="BI261" s="36">
        <f t="shared" si="133"/>
        <v>848</v>
      </c>
      <c r="BJ261" s="36">
        <f t="shared" si="150"/>
        <v>5360.2016000000003</v>
      </c>
      <c r="BK261" s="36">
        <f t="shared" si="150"/>
        <v>13102.401600000001</v>
      </c>
    </row>
    <row r="262" spans="1:64" ht="26.4" x14ac:dyDescent="0.25">
      <c r="B262" s="7" t="s">
        <v>798</v>
      </c>
      <c r="C262" s="18"/>
      <c r="D262" s="8"/>
      <c r="E262" s="8"/>
      <c r="F262" s="8"/>
      <c r="G262" s="8"/>
      <c r="H262" s="8"/>
      <c r="I262" s="8"/>
      <c r="J262" s="8"/>
      <c r="K262" s="8"/>
      <c r="L262" s="8"/>
      <c r="M262" s="8"/>
      <c r="N262" s="8"/>
      <c r="O262" s="8"/>
      <c r="P262" s="1438"/>
      <c r="Q262" s="1438"/>
      <c r="R262" s="11"/>
      <c r="S262" s="11"/>
      <c r="T262" s="11"/>
      <c r="U262" s="47"/>
      <c r="V262" s="47"/>
      <c r="W262" s="47"/>
      <c r="X262" s="47"/>
      <c r="Y262" s="32">
        <v>25</v>
      </c>
      <c r="Z262" s="32"/>
      <c r="AA262" s="32">
        <v>5</v>
      </c>
      <c r="AB262" s="32"/>
      <c r="AC262" s="32"/>
      <c r="AD262" s="32"/>
      <c r="AE262" s="32"/>
      <c r="AF262" s="32"/>
      <c r="AG262" s="32">
        <f>+Y262*1.04</f>
        <v>26</v>
      </c>
      <c r="AH262" s="32"/>
      <c r="AI262" s="32">
        <f>+AA262*1.04</f>
        <v>5.2</v>
      </c>
      <c r="AJ262" s="32"/>
      <c r="AK262" s="32"/>
      <c r="AL262" s="32"/>
      <c r="AM262" s="32"/>
      <c r="AN262" s="32">
        <f>+AG262*1.04</f>
        <v>27.04</v>
      </c>
      <c r="AO262" s="32"/>
      <c r="AP262" s="32">
        <f>+AI262*1.04</f>
        <v>5.4080000000000004</v>
      </c>
      <c r="AQ262" s="32"/>
      <c r="AR262" s="32"/>
      <c r="AS262" s="32"/>
      <c r="AT262" s="32"/>
      <c r="AU262" s="32"/>
      <c r="AV262" s="31"/>
      <c r="AW262" s="31"/>
      <c r="AX262" s="31"/>
      <c r="AY262" s="31"/>
      <c r="AZ262" s="31"/>
      <c r="BA262" s="31"/>
      <c r="BB262" s="31"/>
      <c r="BC262" s="31"/>
      <c r="BD262" s="32">
        <f t="shared" si="149"/>
        <v>78.039999999999992</v>
      </c>
      <c r="BE262" s="32">
        <f t="shared" si="149"/>
        <v>0</v>
      </c>
      <c r="BF262" s="32">
        <f t="shared" si="149"/>
        <v>15.608000000000001</v>
      </c>
      <c r="BG262" s="32">
        <f t="shared" si="149"/>
        <v>0</v>
      </c>
      <c r="BH262" s="32">
        <f t="shared" si="149"/>
        <v>0</v>
      </c>
      <c r="BI262" s="32">
        <f t="shared" si="133"/>
        <v>0</v>
      </c>
      <c r="BJ262" s="32">
        <f t="shared" si="150"/>
        <v>0</v>
      </c>
      <c r="BK262" s="32">
        <f t="shared" si="150"/>
        <v>0</v>
      </c>
    </row>
    <row r="263" spans="1:64" ht="20.399999999999999" x14ac:dyDescent="0.25">
      <c r="A263" s="290"/>
      <c r="B263" s="1565" t="s">
        <v>798</v>
      </c>
      <c r="C263" s="1566"/>
      <c r="D263" s="1566"/>
      <c r="E263" s="1566"/>
      <c r="F263" s="1566"/>
      <c r="G263" s="1566"/>
      <c r="H263" s="1566"/>
      <c r="I263" s="1566"/>
      <c r="J263" s="1566"/>
      <c r="K263" s="1566"/>
      <c r="L263" s="1566"/>
      <c r="M263" s="1567"/>
      <c r="N263" s="597"/>
      <c r="O263" s="597"/>
      <c r="P263" s="598"/>
      <c r="Q263" s="598"/>
      <c r="R263" s="597"/>
      <c r="S263" s="597"/>
      <c r="T263" s="597"/>
      <c r="U263" s="599"/>
      <c r="V263" s="599"/>
      <c r="W263" s="599"/>
      <c r="X263" s="599"/>
      <c r="Y263" s="600">
        <f t="shared" ref="Y263:AE263" si="155">+Y264+Y276</f>
        <v>25</v>
      </c>
      <c r="Z263" s="600">
        <f t="shared" si="155"/>
        <v>0</v>
      </c>
      <c r="AA263" s="600">
        <f t="shared" si="155"/>
        <v>5</v>
      </c>
      <c r="AB263" s="600">
        <f t="shared" si="155"/>
        <v>0</v>
      </c>
      <c r="AC263" s="600">
        <f t="shared" si="155"/>
        <v>0</v>
      </c>
      <c r="AD263" s="600">
        <f t="shared" si="155"/>
        <v>0</v>
      </c>
      <c r="AE263" s="600">
        <f t="shared" si="155"/>
        <v>0</v>
      </c>
      <c r="AF263" s="600">
        <f t="shared" ref="AF263:AF288" si="156">SUM(Y263:AE263)</f>
        <v>30</v>
      </c>
      <c r="AG263" s="600">
        <f t="shared" ref="AG263:AL263" si="157">+AG264+AG276</f>
        <v>65</v>
      </c>
      <c r="AH263" s="600">
        <f t="shared" si="157"/>
        <v>0</v>
      </c>
      <c r="AI263" s="600">
        <f t="shared" si="157"/>
        <v>5</v>
      </c>
      <c r="AJ263" s="600">
        <f t="shared" si="157"/>
        <v>0</v>
      </c>
      <c r="AK263" s="600">
        <f t="shared" si="157"/>
        <v>0</v>
      </c>
      <c r="AL263" s="600">
        <f t="shared" si="157"/>
        <v>0</v>
      </c>
      <c r="AM263" s="600">
        <f t="shared" ref="AM263:AM288" si="158">SUM(AG263:AL263)</f>
        <v>70</v>
      </c>
      <c r="AN263" s="600">
        <f t="shared" ref="AN263:AT263" si="159">+AN264+AN276</f>
        <v>50</v>
      </c>
      <c r="AO263" s="600">
        <f t="shared" si="159"/>
        <v>0</v>
      </c>
      <c r="AP263" s="600">
        <f t="shared" si="159"/>
        <v>5.5</v>
      </c>
      <c r="AQ263" s="600">
        <f t="shared" si="159"/>
        <v>0</v>
      </c>
      <c r="AR263" s="600">
        <f t="shared" si="159"/>
        <v>0</v>
      </c>
      <c r="AS263" s="600">
        <f t="shared" si="159"/>
        <v>0</v>
      </c>
      <c r="AT263" s="600">
        <f t="shared" si="159"/>
        <v>0</v>
      </c>
      <c r="AU263" s="600">
        <f t="shared" ref="AU263:AU288" si="160">SUM(AN263:AT263)</f>
        <v>55.5</v>
      </c>
      <c r="AV263" s="600">
        <f t="shared" ref="AV263:BB263" si="161">+AV264+AV276</f>
        <v>50</v>
      </c>
      <c r="AW263" s="600">
        <f t="shared" si="161"/>
        <v>0</v>
      </c>
      <c r="AX263" s="600">
        <f t="shared" si="161"/>
        <v>5.5</v>
      </c>
      <c r="AY263" s="600">
        <f t="shared" si="161"/>
        <v>0</v>
      </c>
      <c r="AZ263" s="600">
        <f t="shared" si="161"/>
        <v>0</v>
      </c>
      <c r="BA263" s="600">
        <f t="shared" si="161"/>
        <v>0</v>
      </c>
      <c r="BB263" s="600">
        <f t="shared" si="161"/>
        <v>0</v>
      </c>
      <c r="BC263" s="600">
        <f t="shared" ref="BC263:BC288" si="162">SUM(AV263:BB263)</f>
        <v>55.5</v>
      </c>
      <c r="BD263" s="33">
        <f t="shared" si="149"/>
        <v>190</v>
      </c>
      <c r="BE263" s="33">
        <f t="shared" si="149"/>
        <v>0</v>
      </c>
      <c r="BF263" s="33">
        <f t="shared" si="149"/>
        <v>21</v>
      </c>
      <c r="BG263" s="33">
        <f t="shared" si="149"/>
        <v>0</v>
      </c>
      <c r="BH263" s="33">
        <f t="shared" si="149"/>
        <v>0</v>
      </c>
      <c r="BI263" s="33">
        <f t="shared" si="133"/>
        <v>0</v>
      </c>
      <c r="BJ263" s="33">
        <f t="shared" si="150"/>
        <v>0</v>
      </c>
      <c r="BK263" s="33">
        <f t="shared" si="150"/>
        <v>211</v>
      </c>
    </row>
    <row r="264" spans="1:64" ht="26.4" x14ac:dyDescent="0.25">
      <c r="A264" s="296"/>
      <c r="B264" s="24" t="s">
        <v>798</v>
      </c>
      <c r="C264" s="6"/>
      <c r="D264" s="2" t="s">
        <v>799</v>
      </c>
      <c r="E264" s="1"/>
      <c r="F264" s="1"/>
      <c r="G264" s="1"/>
      <c r="H264" s="1"/>
      <c r="I264" s="1"/>
      <c r="J264" s="1"/>
      <c r="K264" s="1"/>
      <c r="L264" s="1"/>
      <c r="M264" s="1"/>
      <c r="N264" s="1"/>
      <c r="O264" s="1"/>
      <c r="P264" s="22"/>
      <c r="Q264" s="22"/>
      <c r="R264" s="1"/>
      <c r="S264" s="1"/>
      <c r="T264" s="1"/>
      <c r="U264" s="49"/>
      <c r="V264" s="49"/>
      <c r="W264" s="49"/>
      <c r="X264" s="49"/>
      <c r="Y264" s="34">
        <f t="shared" ref="Y264:AE264" si="163">SUM(Y265:Y275)</f>
        <v>20</v>
      </c>
      <c r="Z264" s="34">
        <f t="shared" si="163"/>
        <v>0</v>
      </c>
      <c r="AA264" s="34">
        <f t="shared" si="163"/>
        <v>4</v>
      </c>
      <c r="AB264" s="34">
        <f t="shared" si="163"/>
        <v>0</v>
      </c>
      <c r="AC264" s="34">
        <f t="shared" si="163"/>
        <v>0</v>
      </c>
      <c r="AD264" s="34">
        <f t="shared" si="163"/>
        <v>0</v>
      </c>
      <c r="AE264" s="34">
        <f t="shared" si="163"/>
        <v>0</v>
      </c>
      <c r="AF264" s="34">
        <f t="shared" si="156"/>
        <v>24</v>
      </c>
      <c r="AG264" s="34">
        <f t="shared" ref="AG264:AL264" si="164">SUM(AG265:AG275)</f>
        <v>55</v>
      </c>
      <c r="AH264" s="34">
        <f t="shared" si="164"/>
        <v>0</v>
      </c>
      <c r="AI264" s="34">
        <f t="shared" si="164"/>
        <v>5</v>
      </c>
      <c r="AJ264" s="34">
        <f t="shared" si="164"/>
        <v>0</v>
      </c>
      <c r="AK264" s="34">
        <f t="shared" si="164"/>
        <v>0</v>
      </c>
      <c r="AL264" s="34">
        <f t="shared" si="164"/>
        <v>0</v>
      </c>
      <c r="AM264" s="34">
        <f t="shared" si="158"/>
        <v>60</v>
      </c>
      <c r="AN264" s="34">
        <f t="shared" ref="AN264:AT264" si="165">SUM(AN265:AN275)</f>
        <v>40</v>
      </c>
      <c r="AO264" s="34">
        <f t="shared" si="165"/>
        <v>0</v>
      </c>
      <c r="AP264" s="34">
        <f t="shared" si="165"/>
        <v>0</v>
      </c>
      <c r="AQ264" s="34">
        <f t="shared" si="165"/>
        <v>0</v>
      </c>
      <c r="AR264" s="34">
        <f t="shared" si="165"/>
        <v>0</v>
      </c>
      <c r="AS264" s="34">
        <f t="shared" si="165"/>
        <v>0</v>
      </c>
      <c r="AT264" s="34">
        <f t="shared" si="165"/>
        <v>0</v>
      </c>
      <c r="AU264" s="34">
        <f t="shared" si="160"/>
        <v>40</v>
      </c>
      <c r="AV264" s="34">
        <f t="shared" ref="AV264:BB264" si="166">SUM(AV265:AV275)</f>
        <v>40</v>
      </c>
      <c r="AW264" s="34">
        <f t="shared" si="166"/>
        <v>0</v>
      </c>
      <c r="AX264" s="34">
        <f t="shared" si="166"/>
        <v>0</v>
      </c>
      <c r="AY264" s="34">
        <f t="shared" si="166"/>
        <v>0</v>
      </c>
      <c r="AZ264" s="34">
        <f t="shared" si="166"/>
        <v>0</v>
      </c>
      <c r="BA264" s="34">
        <f t="shared" si="166"/>
        <v>0</v>
      </c>
      <c r="BB264" s="34">
        <f t="shared" si="166"/>
        <v>0</v>
      </c>
      <c r="BC264" s="34">
        <f t="shared" si="162"/>
        <v>40</v>
      </c>
      <c r="BD264" s="34">
        <f t="shared" si="149"/>
        <v>155</v>
      </c>
      <c r="BE264" s="34">
        <f t="shared" si="149"/>
        <v>0</v>
      </c>
      <c r="BF264" s="34">
        <f t="shared" si="149"/>
        <v>9</v>
      </c>
      <c r="BG264" s="34">
        <f t="shared" si="149"/>
        <v>0</v>
      </c>
      <c r="BH264" s="34">
        <f t="shared" si="149"/>
        <v>0</v>
      </c>
      <c r="BI264" s="34">
        <f t="shared" si="133"/>
        <v>0</v>
      </c>
      <c r="BJ264" s="34">
        <f t="shared" si="150"/>
        <v>0</v>
      </c>
      <c r="BK264" s="34">
        <f t="shared" si="150"/>
        <v>164</v>
      </c>
    </row>
    <row r="265" spans="1:64" ht="66" customHeight="1" x14ac:dyDescent="0.25">
      <c r="A265" s="298" t="s">
        <v>800</v>
      </c>
      <c r="B265" s="299" t="s">
        <v>801</v>
      </c>
      <c r="C265" s="1546" t="s">
        <v>802</v>
      </c>
      <c r="D265" s="1549" t="s">
        <v>803</v>
      </c>
      <c r="E265" s="1549" t="s">
        <v>804</v>
      </c>
      <c r="F265" s="1549">
        <v>2015</v>
      </c>
      <c r="G265" s="1549">
        <v>696</v>
      </c>
      <c r="H265" s="1549">
        <v>800</v>
      </c>
      <c r="I265" s="1425"/>
      <c r="J265" s="1425"/>
      <c r="K265" s="1425" t="s">
        <v>805</v>
      </c>
      <c r="L265" s="301" t="s">
        <v>806</v>
      </c>
      <c r="M265" s="1425" t="s">
        <v>497</v>
      </c>
      <c r="N265" s="476"/>
      <c r="O265" s="1425" t="s">
        <v>47</v>
      </c>
      <c r="P265" s="16" t="s">
        <v>807</v>
      </c>
      <c r="Q265" s="302" t="s">
        <v>808</v>
      </c>
      <c r="R265" s="303">
        <v>2015</v>
      </c>
      <c r="S265" s="303">
        <v>0</v>
      </c>
      <c r="T265" s="303">
        <v>0</v>
      </c>
      <c r="U265" s="572">
        <v>1</v>
      </c>
      <c r="V265" s="572">
        <v>0</v>
      </c>
      <c r="W265" s="572">
        <v>0</v>
      </c>
      <c r="X265" s="572">
        <v>1</v>
      </c>
      <c r="Y265" s="481"/>
      <c r="Z265" s="481"/>
      <c r="AA265" s="481"/>
      <c r="AB265" s="481"/>
      <c r="AC265" s="481"/>
      <c r="AD265" s="481"/>
      <c r="AE265" s="481"/>
      <c r="AF265" s="481">
        <f t="shared" si="156"/>
        <v>0</v>
      </c>
      <c r="AG265" s="491">
        <v>12</v>
      </c>
      <c r="AH265" s="548"/>
      <c r="AI265" s="548">
        <v>5</v>
      </c>
      <c r="AJ265" s="548"/>
      <c r="AK265" s="548"/>
      <c r="AL265" s="548"/>
      <c r="AM265" s="548">
        <f t="shared" si="158"/>
        <v>17</v>
      </c>
      <c r="AN265" s="481"/>
      <c r="AO265" s="481"/>
      <c r="AP265" s="481"/>
      <c r="AQ265" s="481"/>
      <c r="AR265" s="481"/>
      <c r="AS265" s="481"/>
      <c r="AT265" s="481"/>
      <c r="AU265" s="481">
        <f t="shared" si="160"/>
        <v>0</v>
      </c>
      <c r="AV265" s="548"/>
      <c r="AW265" s="548"/>
      <c r="AX265" s="548"/>
      <c r="AY265" s="548"/>
      <c r="AZ265" s="548"/>
      <c r="BA265" s="548"/>
      <c r="BB265" s="548"/>
      <c r="BC265" s="548">
        <f t="shared" si="162"/>
        <v>0</v>
      </c>
      <c r="BD265" s="42">
        <f t="shared" si="149"/>
        <v>12</v>
      </c>
      <c r="BE265" s="42">
        <f t="shared" si="149"/>
        <v>0</v>
      </c>
      <c r="BF265" s="42">
        <f t="shared" si="149"/>
        <v>5</v>
      </c>
      <c r="BG265" s="42">
        <f t="shared" si="149"/>
        <v>0</v>
      </c>
      <c r="BH265" s="42">
        <f t="shared" si="149"/>
        <v>0</v>
      </c>
      <c r="BI265" s="42">
        <f t="shared" si="133"/>
        <v>0</v>
      </c>
      <c r="BJ265" s="42">
        <f t="shared" si="150"/>
        <v>0</v>
      </c>
      <c r="BK265" s="42">
        <f t="shared" si="150"/>
        <v>17</v>
      </c>
    </row>
    <row r="266" spans="1:64" ht="53.25" customHeight="1" x14ac:dyDescent="0.25">
      <c r="A266" s="298" t="s">
        <v>800</v>
      </c>
      <c r="B266" s="299" t="s">
        <v>801</v>
      </c>
      <c r="C266" s="1547"/>
      <c r="D266" s="1549"/>
      <c r="E266" s="1549"/>
      <c r="F266" s="1549"/>
      <c r="G266" s="1549"/>
      <c r="H266" s="1549"/>
      <c r="I266" s="1425"/>
      <c r="J266" s="1425"/>
      <c r="K266" s="1425" t="s">
        <v>809</v>
      </c>
      <c r="L266" s="301" t="s">
        <v>806</v>
      </c>
      <c r="M266" s="1425" t="s">
        <v>497</v>
      </c>
      <c r="N266" s="476"/>
      <c r="O266" s="1425" t="s">
        <v>47</v>
      </c>
      <c r="P266" s="16" t="s">
        <v>810</v>
      </c>
      <c r="Q266" s="302" t="s">
        <v>811</v>
      </c>
      <c r="R266" s="303">
        <v>2015</v>
      </c>
      <c r="S266" s="303">
        <v>0</v>
      </c>
      <c r="T266" s="303">
        <v>0</v>
      </c>
      <c r="U266" s="572">
        <v>1</v>
      </c>
      <c r="V266" s="572">
        <v>0</v>
      </c>
      <c r="W266" s="572">
        <v>0</v>
      </c>
      <c r="X266" s="572">
        <v>1</v>
      </c>
      <c r="Y266" s="481"/>
      <c r="Z266" s="481"/>
      <c r="AA266" s="481"/>
      <c r="AB266" s="481"/>
      <c r="AC266" s="481"/>
      <c r="AD266" s="481"/>
      <c r="AE266" s="481"/>
      <c r="AF266" s="481">
        <f t="shared" si="156"/>
        <v>0</v>
      </c>
      <c r="AG266" s="491">
        <v>0.5</v>
      </c>
      <c r="AH266" s="548"/>
      <c r="AI266" s="548"/>
      <c r="AJ266" s="548"/>
      <c r="AK266" s="548"/>
      <c r="AL266" s="548"/>
      <c r="AM266" s="548">
        <f t="shared" si="158"/>
        <v>0.5</v>
      </c>
      <c r="AN266" s="481"/>
      <c r="AO266" s="481"/>
      <c r="AP266" s="481"/>
      <c r="AQ266" s="481"/>
      <c r="AR266" s="481"/>
      <c r="AS266" s="481"/>
      <c r="AT266" s="481"/>
      <c r="AU266" s="481">
        <f t="shared" si="160"/>
        <v>0</v>
      </c>
      <c r="AV266" s="548"/>
      <c r="AW266" s="548"/>
      <c r="AX266" s="548"/>
      <c r="AY266" s="548"/>
      <c r="AZ266" s="548"/>
      <c r="BA266" s="548"/>
      <c r="BB266" s="548"/>
      <c r="BC266" s="548">
        <f t="shared" si="162"/>
        <v>0</v>
      </c>
      <c r="BD266" s="42">
        <f t="shared" si="149"/>
        <v>0.5</v>
      </c>
      <c r="BE266" s="42">
        <f t="shared" si="149"/>
        <v>0</v>
      </c>
      <c r="BF266" s="42">
        <f t="shared" si="149"/>
        <v>0</v>
      </c>
      <c r="BG266" s="42">
        <f t="shared" si="149"/>
        <v>0</v>
      </c>
      <c r="BH266" s="42">
        <f t="shared" si="149"/>
        <v>0</v>
      </c>
      <c r="BI266" s="42">
        <f t="shared" si="133"/>
        <v>0</v>
      </c>
      <c r="BJ266" s="42">
        <f t="shared" si="150"/>
        <v>0</v>
      </c>
      <c r="BK266" s="42">
        <f t="shared" si="150"/>
        <v>0.5</v>
      </c>
    </row>
    <row r="267" spans="1:64" ht="53.25" customHeight="1" x14ac:dyDescent="0.25">
      <c r="A267" s="298" t="s">
        <v>800</v>
      </c>
      <c r="B267" s="299" t="s">
        <v>801</v>
      </c>
      <c r="C267" s="1547"/>
      <c r="D267" s="1549"/>
      <c r="E267" s="1549"/>
      <c r="F267" s="1549"/>
      <c r="G267" s="1549"/>
      <c r="H267" s="1549"/>
      <c r="I267" s="1425"/>
      <c r="J267" s="1425"/>
      <c r="K267" s="1425" t="s">
        <v>812</v>
      </c>
      <c r="L267" s="301" t="s">
        <v>806</v>
      </c>
      <c r="M267" s="1425" t="s">
        <v>497</v>
      </c>
      <c r="N267" s="476"/>
      <c r="O267" s="1425" t="s">
        <v>47</v>
      </c>
      <c r="P267" s="16" t="s">
        <v>813</v>
      </c>
      <c r="Q267" s="302" t="s">
        <v>814</v>
      </c>
      <c r="R267" s="303">
        <v>2015</v>
      </c>
      <c r="S267" s="303">
        <v>0</v>
      </c>
      <c r="T267" s="303">
        <v>0</v>
      </c>
      <c r="U267" s="572">
        <v>1</v>
      </c>
      <c r="V267" s="572">
        <v>0</v>
      </c>
      <c r="W267" s="572">
        <v>0</v>
      </c>
      <c r="X267" s="572">
        <v>1</v>
      </c>
      <c r="Y267" s="481"/>
      <c r="Z267" s="481"/>
      <c r="AA267" s="481"/>
      <c r="AB267" s="481"/>
      <c r="AC267" s="481"/>
      <c r="AD267" s="481"/>
      <c r="AE267" s="481"/>
      <c r="AF267" s="481">
        <f t="shared" si="156"/>
        <v>0</v>
      </c>
      <c r="AG267" s="548">
        <v>10</v>
      </c>
      <c r="AH267" s="548"/>
      <c r="AI267" s="548"/>
      <c r="AJ267" s="548"/>
      <c r="AK267" s="548"/>
      <c r="AL267" s="548"/>
      <c r="AM267" s="548">
        <f t="shared" si="158"/>
        <v>10</v>
      </c>
      <c r="AN267" s="481"/>
      <c r="AO267" s="481"/>
      <c r="AP267" s="481"/>
      <c r="AQ267" s="481"/>
      <c r="AR267" s="481"/>
      <c r="AS267" s="481"/>
      <c r="AT267" s="481"/>
      <c r="AU267" s="481">
        <f t="shared" si="160"/>
        <v>0</v>
      </c>
      <c r="AV267" s="548"/>
      <c r="AW267" s="548"/>
      <c r="AX267" s="548"/>
      <c r="AY267" s="548"/>
      <c r="AZ267" s="548"/>
      <c r="BA267" s="548"/>
      <c r="BB267" s="548"/>
      <c r="BC267" s="548">
        <f t="shared" si="162"/>
        <v>0</v>
      </c>
      <c r="BD267" s="42">
        <f t="shared" si="149"/>
        <v>10</v>
      </c>
      <c r="BE267" s="42">
        <f t="shared" si="149"/>
        <v>0</v>
      </c>
      <c r="BF267" s="42">
        <f t="shared" si="149"/>
        <v>0</v>
      </c>
      <c r="BG267" s="42">
        <f t="shared" si="149"/>
        <v>0</v>
      </c>
      <c r="BH267" s="42">
        <f t="shared" si="149"/>
        <v>0</v>
      </c>
      <c r="BI267" s="42">
        <f t="shared" si="133"/>
        <v>0</v>
      </c>
      <c r="BJ267" s="42">
        <f t="shared" si="150"/>
        <v>0</v>
      </c>
      <c r="BK267" s="42">
        <f t="shared" si="150"/>
        <v>10</v>
      </c>
    </row>
    <row r="268" spans="1:64" ht="45.75" customHeight="1" x14ac:dyDescent="0.25">
      <c r="A268" s="298" t="s">
        <v>800</v>
      </c>
      <c r="B268" s="299" t="s">
        <v>801</v>
      </c>
      <c r="C268" s="1547"/>
      <c r="D268" s="1549"/>
      <c r="E268" s="1549"/>
      <c r="F268" s="1549"/>
      <c r="G268" s="1549"/>
      <c r="H268" s="1549"/>
      <c r="I268" s="1425"/>
      <c r="J268" s="1425"/>
      <c r="K268" s="1425" t="s">
        <v>815</v>
      </c>
      <c r="L268" s="301" t="s">
        <v>806</v>
      </c>
      <c r="M268" s="1425" t="s">
        <v>497</v>
      </c>
      <c r="N268" s="476"/>
      <c r="O268" s="1425" t="s">
        <v>47</v>
      </c>
      <c r="P268" s="16" t="s">
        <v>816</v>
      </c>
      <c r="Q268" s="302" t="s">
        <v>817</v>
      </c>
      <c r="R268" s="303">
        <v>2015</v>
      </c>
      <c r="S268" s="303">
        <v>0</v>
      </c>
      <c r="T268" s="303">
        <v>0</v>
      </c>
      <c r="U268" s="572">
        <v>1</v>
      </c>
      <c r="V268" s="572">
        <v>1</v>
      </c>
      <c r="W268" s="572">
        <v>0</v>
      </c>
      <c r="X268" s="572">
        <v>2</v>
      </c>
      <c r="Y268" s="481"/>
      <c r="Z268" s="481"/>
      <c r="AA268" s="481"/>
      <c r="AB268" s="481"/>
      <c r="AC268" s="481"/>
      <c r="AD268" s="481"/>
      <c r="AE268" s="481"/>
      <c r="AF268" s="481">
        <f t="shared" si="156"/>
        <v>0</v>
      </c>
      <c r="AG268" s="491">
        <v>0.5</v>
      </c>
      <c r="AH268" s="548"/>
      <c r="AI268" s="548"/>
      <c r="AJ268" s="548"/>
      <c r="AK268" s="548"/>
      <c r="AL268" s="548"/>
      <c r="AM268" s="548">
        <f t="shared" si="158"/>
        <v>0.5</v>
      </c>
      <c r="AN268" s="481">
        <v>5</v>
      </c>
      <c r="AO268" s="481"/>
      <c r="AP268" s="481"/>
      <c r="AQ268" s="481"/>
      <c r="AR268" s="481"/>
      <c r="AS268" s="481"/>
      <c r="AT268" s="481"/>
      <c r="AU268" s="481">
        <f t="shared" si="160"/>
        <v>5</v>
      </c>
      <c r="AV268" s="548"/>
      <c r="AW268" s="548"/>
      <c r="AX268" s="548"/>
      <c r="AY268" s="548"/>
      <c r="AZ268" s="548"/>
      <c r="BA268" s="548"/>
      <c r="BB268" s="548"/>
      <c r="BC268" s="548">
        <f t="shared" si="162"/>
        <v>0</v>
      </c>
      <c r="BD268" s="42">
        <f t="shared" si="149"/>
        <v>5.5</v>
      </c>
      <c r="BE268" s="42">
        <f t="shared" si="149"/>
        <v>0</v>
      </c>
      <c r="BF268" s="42">
        <f t="shared" si="149"/>
        <v>0</v>
      </c>
      <c r="BG268" s="42">
        <f t="shared" si="149"/>
        <v>0</v>
      </c>
      <c r="BH268" s="42">
        <f t="shared" si="149"/>
        <v>0</v>
      </c>
      <c r="BI268" s="42">
        <f t="shared" si="133"/>
        <v>0</v>
      </c>
      <c r="BJ268" s="42">
        <f t="shared" si="150"/>
        <v>0</v>
      </c>
      <c r="BK268" s="42">
        <f t="shared" si="150"/>
        <v>5.5</v>
      </c>
    </row>
    <row r="269" spans="1:64" ht="47.25" customHeight="1" x14ac:dyDescent="0.25">
      <c r="A269" s="298" t="s">
        <v>800</v>
      </c>
      <c r="B269" s="299" t="s">
        <v>801</v>
      </c>
      <c r="C269" s="1547"/>
      <c r="D269" s="1549"/>
      <c r="E269" s="1549"/>
      <c r="F269" s="1549"/>
      <c r="G269" s="1549"/>
      <c r="H269" s="1549"/>
      <c r="I269" s="1425"/>
      <c r="J269" s="1425"/>
      <c r="K269" s="1425" t="s">
        <v>818</v>
      </c>
      <c r="L269" s="301" t="s">
        <v>806</v>
      </c>
      <c r="M269" s="1425" t="s">
        <v>497</v>
      </c>
      <c r="N269" s="476"/>
      <c r="O269" s="1425" t="s">
        <v>47</v>
      </c>
      <c r="P269" s="16" t="s">
        <v>819</v>
      </c>
      <c r="Q269" s="302" t="s">
        <v>820</v>
      </c>
      <c r="R269" s="303">
        <v>2015</v>
      </c>
      <c r="S269" s="303">
        <v>0</v>
      </c>
      <c r="T269" s="303">
        <v>0</v>
      </c>
      <c r="U269" s="572">
        <v>5</v>
      </c>
      <c r="V269" s="572">
        <v>5</v>
      </c>
      <c r="W269" s="572">
        <v>10</v>
      </c>
      <c r="X269" s="572">
        <v>20</v>
      </c>
      <c r="Y269" s="481"/>
      <c r="Z269" s="481"/>
      <c r="AA269" s="481"/>
      <c r="AB269" s="481"/>
      <c r="AC269" s="481"/>
      <c r="AD269" s="481"/>
      <c r="AE269" s="481"/>
      <c r="AF269" s="481">
        <f t="shared" si="156"/>
        <v>0</v>
      </c>
      <c r="AG269" s="548">
        <v>10</v>
      </c>
      <c r="AH269" s="548"/>
      <c r="AI269" s="548"/>
      <c r="AJ269" s="548"/>
      <c r="AK269" s="548"/>
      <c r="AL269" s="548"/>
      <c r="AM269" s="548">
        <f t="shared" si="158"/>
        <v>10</v>
      </c>
      <c r="AN269" s="491">
        <v>7</v>
      </c>
      <c r="AO269" s="481"/>
      <c r="AP269" s="481"/>
      <c r="AQ269" s="481"/>
      <c r="AR269" s="481"/>
      <c r="AS269" s="481"/>
      <c r="AT269" s="481"/>
      <c r="AU269" s="481">
        <f t="shared" si="160"/>
        <v>7</v>
      </c>
      <c r="AV269" s="548">
        <v>10</v>
      </c>
      <c r="AW269" s="548"/>
      <c r="AX269" s="548"/>
      <c r="AY269" s="548"/>
      <c r="AZ269" s="548"/>
      <c r="BA269" s="548"/>
      <c r="BB269" s="548"/>
      <c r="BC269" s="548">
        <f t="shared" si="162"/>
        <v>10</v>
      </c>
      <c r="BD269" s="42">
        <f t="shared" si="149"/>
        <v>27</v>
      </c>
      <c r="BE269" s="42">
        <f t="shared" si="149"/>
        <v>0</v>
      </c>
      <c r="BF269" s="42">
        <f t="shared" si="149"/>
        <v>0</v>
      </c>
      <c r="BG269" s="42">
        <f t="shared" si="149"/>
        <v>0</v>
      </c>
      <c r="BH269" s="42">
        <f t="shared" si="149"/>
        <v>0</v>
      </c>
      <c r="BI269" s="42">
        <f t="shared" si="133"/>
        <v>0</v>
      </c>
      <c r="BJ269" s="42">
        <f t="shared" si="150"/>
        <v>0</v>
      </c>
      <c r="BK269" s="42">
        <f t="shared" si="150"/>
        <v>27</v>
      </c>
    </row>
    <row r="270" spans="1:64" ht="51" customHeight="1" x14ac:dyDescent="0.25">
      <c r="A270" s="298" t="s">
        <v>800</v>
      </c>
      <c r="B270" s="299" t="s">
        <v>801</v>
      </c>
      <c r="C270" s="1547"/>
      <c r="D270" s="1549"/>
      <c r="E270" s="1549"/>
      <c r="F270" s="1549"/>
      <c r="G270" s="1549"/>
      <c r="H270" s="1549"/>
      <c r="I270" s="1425"/>
      <c r="J270" s="1425"/>
      <c r="K270" s="1425" t="s">
        <v>821</v>
      </c>
      <c r="L270" s="301" t="s">
        <v>806</v>
      </c>
      <c r="M270" s="1425" t="s">
        <v>497</v>
      </c>
      <c r="N270" s="476"/>
      <c r="O270" s="1425" t="s">
        <v>47</v>
      </c>
      <c r="P270" s="16" t="s">
        <v>822</v>
      </c>
      <c r="Q270" s="302" t="s">
        <v>823</v>
      </c>
      <c r="R270" s="303">
        <v>2015</v>
      </c>
      <c r="S270" s="303" t="s">
        <v>177</v>
      </c>
      <c r="T270" s="303">
        <v>500</v>
      </c>
      <c r="U270" s="572">
        <v>500</v>
      </c>
      <c r="V270" s="572">
        <v>500</v>
      </c>
      <c r="W270" s="572">
        <v>500</v>
      </c>
      <c r="X270" s="572">
        <v>2000</v>
      </c>
      <c r="Y270" s="481">
        <v>10</v>
      </c>
      <c r="Z270" s="481"/>
      <c r="AA270" s="481"/>
      <c r="AB270" s="481"/>
      <c r="AC270" s="481"/>
      <c r="AD270" s="481"/>
      <c r="AE270" s="481"/>
      <c r="AF270" s="481">
        <f t="shared" si="156"/>
        <v>10</v>
      </c>
      <c r="AG270" s="548">
        <v>10</v>
      </c>
      <c r="AH270" s="548"/>
      <c r="AI270" s="548"/>
      <c r="AJ270" s="548"/>
      <c r="AK270" s="548"/>
      <c r="AL270" s="548"/>
      <c r="AM270" s="548">
        <f t="shared" si="158"/>
        <v>10</v>
      </c>
      <c r="AN270" s="481">
        <v>10</v>
      </c>
      <c r="AO270" s="481"/>
      <c r="AP270" s="481"/>
      <c r="AQ270" s="481"/>
      <c r="AR270" s="481"/>
      <c r="AS270" s="481"/>
      <c r="AT270" s="481"/>
      <c r="AU270" s="481">
        <f t="shared" si="160"/>
        <v>10</v>
      </c>
      <c r="AV270" s="548">
        <v>10</v>
      </c>
      <c r="AW270" s="548"/>
      <c r="AX270" s="548"/>
      <c r="AY270" s="548"/>
      <c r="AZ270" s="548"/>
      <c r="BA270" s="548"/>
      <c r="BB270" s="548"/>
      <c r="BC270" s="548">
        <f t="shared" si="162"/>
        <v>10</v>
      </c>
      <c r="BD270" s="42">
        <f t="shared" si="149"/>
        <v>40</v>
      </c>
      <c r="BE270" s="42">
        <f t="shared" si="149"/>
        <v>0</v>
      </c>
      <c r="BF270" s="42">
        <f t="shared" si="149"/>
        <v>0</v>
      </c>
      <c r="BG270" s="42">
        <f t="shared" si="149"/>
        <v>0</v>
      </c>
      <c r="BH270" s="42">
        <f t="shared" si="149"/>
        <v>0</v>
      </c>
      <c r="BI270" s="42">
        <f t="shared" si="133"/>
        <v>0</v>
      </c>
      <c r="BJ270" s="42">
        <f t="shared" si="150"/>
        <v>0</v>
      </c>
      <c r="BK270" s="42">
        <f t="shared" si="150"/>
        <v>40</v>
      </c>
    </row>
    <row r="271" spans="1:64" ht="49.5" customHeight="1" x14ac:dyDescent="0.25">
      <c r="A271" s="298" t="s">
        <v>800</v>
      </c>
      <c r="B271" s="299" t="s">
        <v>801</v>
      </c>
      <c r="C271" s="1547"/>
      <c r="D271" s="1549"/>
      <c r="E271" s="1549"/>
      <c r="F271" s="1549"/>
      <c r="G271" s="1549"/>
      <c r="H271" s="1549"/>
      <c r="I271" s="1425"/>
      <c r="J271" s="1425"/>
      <c r="K271" s="1425" t="s">
        <v>824</v>
      </c>
      <c r="L271" s="301" t="s">
        <v>806</v>
      </c>
      <c r="M271" s="1425" t="s">
        <v>497</v>
      </c>
      <c r="N271" s="476"/>
      <c r="O271" s="1425" t="s">
        <v>47</v>
      </c>
      <c r="P271" s="16" t="s">
        <v>825</v>
      </c>
      <c r="Q271" s="302" t="s">
        <v>826</v>
      </c>
      <c r="R271" s="303">
        <v>2015</v>
      </c>
      <c r="S271" s="303">
        <v>0</v>
      </c>
      <c r="T271" s="303">
        <v>1</v>
      </c>
      <c r="U271" s="572">
        <v>1</v>
      </c>
      <c r="V271" s="572">
        <v>1</v>
      </c>
      <c r="W271" s="572">
        <v>1</v>
      </c>
      <c r="X271" s="572">
        <v>4</v>
      </c>
      <c r="Y271" s="481"/>
      <c r="Z271" s="481"/>
      <c r="AA271" s="491">
        <v>1</v>
      </c>
      <c r="AB271" s="481"/>
      <c r="AC271" s="481"/>
      <c r="AD271" s="481"/>
      <c r="AE271" s="481"/>
      <c r="AF271" s="481">
        <f t="shared" si="156"/>
        <v>1</v>
      </c>
      <c r="AG271" s="491">
        <v>0.5</v>
      </c>
      <c r="AH271" s="548"/>
      <c r="AI271" s="548"/>
      <c r="AJ271" s="548"/>
      <c r="AK271" s="548"/>
      <c r="AL271" s="548"/>
      <c r="AM271" s="548">
        <f t="shared" si="158"/>
        <v>0.5</v>
      </c>
      <c r="AN271" s="491">
        <v>1</v>
      </c>
      <c r="AO271" s="481"/>
      <c r="AP271" s="481"/>
      <c r="AQ271" s="481"/>
      <c r="AR271" s="481"/>
      <c r="AS271" s="481"/>
      <c r="AT271" s="481"/>
      <c r="AU271" s="481">
        <f t="shared" si="160"/>
        <v>1</v>
      </c>
      <c r="AV271" s="548">
        <v>5</v>
      </c>
      <c r="AW271" s="548"/>
      <c r="AX271" s="548"/>
      <c r="AY271" s="548"/>
      <c r="AZ271" s="548"/>
      <c r="BA271" s="548"/>
      <c r="BB271" s="548"/>
      <c r="BC271" s="548">
        <f t="shared" si="162"/>
        <v>5</v>
      </c>
      <c r="BD271" s="42">
        <f t="shared" si="149"/>
        <v>6.5</v>
      </c>
      <c r="BE271" s="42">
        <f t="shared" si="149"/>
        <v>0</v>
      </c>
      <c r="BF271" s="42">
        <f t="shared" si="149"/>
        <v>1</v>
      </c>
      <c r="BG271" s="42">
        <f t="shared" si="149"/>
        <v>0</v>
      </c>
      <c r="BH271" s="42">
        <f t="shared" si="149"/>
        <v>0</v>
      </c>
      <c r="BI271" s="42">
        <f t="shared" ref="BI271:BI338" si="167">+AD271+AS271+BA271</f>
        <v>0</v>
      </c>
      <c r="BJ271" s="42">
        <f t="shared" si="150"/>
        <v>0</v>
      </c>
      <c r="BK271" s="42">
        <f t="shared" si="150"/>
        <v>7.5</v>
      </c>
    </row>
    <row r="272" spans="1:64" ht="51.75" customHeight="1" x14ac:dyDescent="0.25">
      <c r="A272" s="298" t="s">
        <v>800</v>
      </c>
      <c r="B272" s="299" t="s">
        <v>801</v>
      </c>
      <c r="C272" s="1547"/>
      <c r="D272" s="1549"/>
      <c r="E272" s="1549"/>
      <c r="F272" s="1549"/>
      <c r="G272" s="1549"/>
      <c r="H272" s="1549"/>
      <c r="I272" s="1425"/>
      <c r="J272" s="1425"/>
      <c r="K272" s="1425" t="s">
        <v>827</v>
      </c>
      <c r="L272" s="301" t="s">
        <v>806</v>
      </c>
      <c r="M272" s="1425" t="s">
        <v>497</v>
      </c>
      <c r="N272" s="476"/>
      <c r="O272" s="1425" t="s">
        <v>47</v>
      </c>
      <c r="P272" s="16" t="s">
        <v>828</v>
      </c>
      <c r="Q272" s="302" t="s">
        <v>829</v>
      </c>
      <c r="R272" s="303">
        <v>2015</v>
      </c>
      <c r="S272" s="303">
        <v>0</v>
      </c>
      <c r="T272" s="303">
        <v>1</v>
      </c>
      <c r="U272" s="572">
        <v>1</v>
      </c>
      <c r="V272" s="572">
        <v>1</v>
      </c>
      <c r="W272" s="572">
        <v>1</v>
      </c>
      <c r="X272" s="572">
        <v>4</v>
      </c>
      <c r="Y272" s="481"/>
      <c r="Z272" s="481"/>
      <c r="AA272" s="491">
        <v>1</v>
      </c>
      <c r="AB272" s="481"/>
      <c r="AC272" s="481"/>
      <c r="AD272" s="481"/>
      <c r="AE272" s="481"/>
      <c r="AF272" s="481">
        <f t="shared" si="156"/>
        <v>1</v>
      </c>
      <c r="AG272" s="491">
        <v>0.5</v>
      </c>
      <c r="AH272" s="548"/>
      <c r="AI272" s="548"/>
      <c r="AJ272" s="548"/>
      <c r="AK272" s="548"/>
      <c r="AL272" s="548"/>
      <c r="AM272" s="548">
        <f t="shared" si="158"/>
        <v>0.5</v>
      </c>
      <c r="AN272" s="491">
        <v>1</v>
      </c>
      <c r="AO272" s="481"/>
      <c r="AP272" s="481"/>
      <c r="AQ272" s="481"/>
      <c r="AR272" s="481"/>
      <c r="AS272" s="481"/>
      <c r="AT272" s="481"/>
      <c r="AU272" s="481">
        <f t="shared" si="160"/>
        <v>1</v>
      </c>
      <c r="AV272" s="491">
        <v>1</v>
      </c>
      <c r="AW272" s="548"/>
      <c r="AX272" s="548"/>
      <c r="AY272" s="548"/>
      <c r="AZ272" s="548"/>
      <c r="BA272" s="548"/>
      <c r="BB272" s="548"/>
      <c r="BC272" s="548">
        <f t="shared" si="162"/>
        <v>1</v>
      </c>
      <c r="BD272" s="42">
        <f t="shared" si="149"/>
        <v>2.5</v>
      </c>
      <c r="BE272" s="42">
        <f t="shared" si="149"/>
        <v>0</v>
      </c>
      <c r="BF272" s="42">
        <f t="shared" si="149"/>
        <v>1</v>
      </c>
      <c r="BG272" s="42">
        <f t="shared" si="149"/>
        <v>0</v>
      </c>
      <c r="BH272" s="42">
        <f t="shared" si="149"/>
        <v>0</v>
      </c>
      <c r="BI272" s="42">
        <f t="shared" si="167"/>
        <v>0</v>
      </c>
      <c r="BJ272" s="42">
        <f t="shared" si="150"/>
        <v>0</v>
      </c>
      <c r="BK272" s="42">
        <f t="shared" si="150"/>
        <v>3.5</v>
      </c>
    </row>
    <row r="273" spans="1:63" ht="53.25" customHeight="1" x14ac:dyDescent="0.25">
      <c r="A273" s="298" t="s">
        <v>800</v>
      </c>
      <c r="B273" s="299" t="s">
        <v>801</v>
      </c>
      <c r="C273" s="1547"/>
      <c r="D273" s="1549"/>
      <c r="E273" s="1549"/>
      <c r="F273" s="1549"/>
      <c r="G273" s="1549"/>
      <c r="H273" s="1549"/>
      <c r="I273" s="1425"/>
      <c r="J273" s="1425"/>
      <c r="K273" s="1425" t="s">
        <v>830</v>
      </c>
      <c r="L273" s="301" t="s">
        <v>806</v>
      </c>
      <c r="M273" s="1425" t="s">
        <v>497</v>
      </c>
      <c r="N273" s="476"/>
      <c r="O273" s="1425" t="s">
        <v>73</v>
      </c>
      <c r="P273" s="16" t="s">
        <v>831</v>
      </c>
      <c r="Q273" s="302" t="s">
        <v>832</v>
      </c>
      <c r="R273" s="303">
        <v>2015</v>
      </c>
      <c r="S273" s="303">
        <v>2</v>
      </c>
      <c r="T273" s="303">
        <v>3</v>
      </c>
      <c r="U273" s="572">
        <v>3</v>
      </c>
      <c r="V273" s="572">
        <v>3</v>
      </c>
      <c r="W273" s="572">
        <v>3</v>
      </c>
      <c r="X273" s="572">
        <v>3</v>
      </c>
      <c r="Y273" s="481">
        <v>10</v>
      </c>
      <c r="Z273" s="481"/>
      <c r="AA273" s="481"/>
      <c r="AB273" s="481"/>
      <c r="AC273" s="481"/>
      <c r="AD273" s="481"/>
      <c r="AE273" s="481"/>
      <c r="AF273" s="481">
        <f t="shared" si="156"/>
        <v>10</v>
      </c>
      <c r="AG273" s="548">
        <v>10</v>
      </c>
      <c r="AH273" s="548"/>
      <c r="AI273" s="548"/>
      <c r="AJ273" s="548"/>
      <c r="AK273" s="548"/>
      <c r="AL273" s="548"/>
      <c r="AM273" s="548">
        <f t="shared" si="158"/>
        <v>10</v>
      </c>
      <c r="AN273" s="481">
        <v>10</v>
      </c>
      <c r="AO273" s="481"/>
      <c r="AP273" s="481"/>
      <c r="AQ273" s="481"/>
      <c r="AR273" s="481"/>
      <c r="AS273" s="481"/>
      <c r="AT273" s="481"/>
      <c r="AU273" s="481">
        <f t="shared" si="160"/>
        <v>10</v>
      </c>
      <c r="AV273" s="548">
        <v>10</v>
      </c>
      <c r="AW273" s="548"/>
      <c r="AX273" s="548"/>
      <c r="AY273" s="548"/>
      <c r="AZ273" s="548"/>
      <c r="BA273" s="548"/>
      <c r="BB273" s="548"/>
      <c r="BC273" s="548">
        <f t="shared" si="162"/>
        <v>10</v>
      </c>
      <c r="BD273" s="42">
        <f t="shared" si="149"/>
        <v>40</v>
      </c>
      <c r="BE273" s="42">
        <f t="shared" si="149"/>
        <v>0</v>
      </c>
      <c r="BF273" s="42">
        <f t="shared" si="149"/>
        <v>0</v>
      </c>
      <c r="BG273" s="42">
        <f t="shared" si="149"/>
        <v>0</v>
      </c>
      <c r="BH273" s="42">
        <f t="shared" si="149"/>
        <v>0</v>
      </c>
      <c r="BI273" s="42">
        <f t="shared" si="167"/>
        <v>0</v>
      </c>
      <c r="BJ273" s="42">
        <f t="shared" si="150"/>
        <v>0</v>
      </c>
      <c r="BK273" s="42">
        <f t="shared" si="150"/>
        <v>40</v>
      </c>
    </row>
    <row r="274" spans="1:63" ht="45.75" customHeight="1" x14ac:dyDescent="0.25">
      <c r="A274" s="298" t="s">
        <v>800</v>
      </c>
      <c r="B274" s="299" t="s">
        <v>801</v>
      </c>
      <c r="C274" s="1547"/>
      <c r="D274" s="1549"/>
      <c r="E274" s="1549"/>
      <c r="F274" s="1549"/>
      <c r="G274" s="1549"/>
      <c r="H274" s="1549"/>
      <c r="I274" s="1425"/>
      <c r="J274" s="1425"/>
      <c r="K274" s="1425" t="s">
        <v>833</v>
      </c>
      <c r="L274" s="301" t="s">
        <v>806</v>
      </c>
      <c r="M274" s="1425" t="s">
        <v>497</v>
      </c>
      <c r="N274" s="476"/>
      <c r="O274" s="1425" t="s">
        <v>47</v>
      </c>
      <c r="P274" s="16" t="s">
        <v>834</v>
      </c>
      <c r="Q274" s="302" t="s">
        <v>835</v>
      </c>
      <c r="R274" s="303">
        <v>2015</v>
      </c>
      <c r="S274" s="303">
        <v>1</v>
      </c>
      <c r="T274" s="303">
        <v>1</v>
      </c>
      <c r="U274" s="572">
        <v>1</v>
      </c>
      <c r="V274" s="572">
        <v>1</v>
      </c>
      <c r="W274" s="572">
        <v>1</v>
      </c>
      <c r="X274" s="572">
        <v>4</v>
      </c>
      <c r="Y274" s="481"/>
      <c r="Z274" s="481"/>
      <c r="AA274" s="491">
        <v>1</v>
      </c>
      <c r="AB274" s="481"/>
      <c r="AC274" s="481"/>
      <c r="AD274" s="481"/>
      <c r="AE274" s="481"/>
      <c r="AF274" s="481">
        <f t="shared" si="156"/>
        <v>1</v>
      </c>
      <c r="AG274" s="491">
        <v>0.5</v>
      </c>
      <c r="AH274" s="548"/>
      <c r="AI274" s="548"/>
      <c r="AJ274" s="548"/>
      <c r="AK274" s="548"/>
      <c r="AL274" s="548"/>
      <c r="AM274" s="548">
        <f t="shared" si="158"/>
        <v>0.5</v>
      </c>
      <c r="AN274" s="491">
        <v>1</v>
      </c>
      <c r="AO274" s="481"/>
      <c r="AP274" s="481"/>
      <c r="AQ274" s="481"/>
      <c r="AR274" s="481"/>
      <c r="AS274" s="481"/>
      <c r="AT274" s="481"/>
      <c r="AU274" s="481">
        <f t="shared" si="160"/>
        <v>1</v>
      </c>
      <c r="AV274" s="491">
        <v>1</v>
      </c>
      <c r="AW274" s="548"/>
      <c r="AX274" s="548"/>
      <c r="AY274" s="548"/>
      <c r="AZ274" s="548"/>
      <c r="BA274" s="548"/>
      <c r="BB274" s="548"/>
      <c r="BC274" s="548">
        <f t="shared" si="162"/>
        <v>1</v>
      </c>
      <c r="BD274" s="42">
        <f t="shared" si="149"/>
        <v>2.5</v>
      </c>
      <c r="BE274" s="42">
        <f t="shared" si="149"/>
        <v>0</v>
      </c>
      <c r="BF274" s="42">
        <f t="shared" si="149"/>
        <v>1</v>
      </c>
      <c r="BG274" s="42">
        <f t="shared" si="149"/>
        <v>0</v>
      </c>
      <c r="BH274" s="42">
        <f t="shared" si="149"/>
        <v>0</v>
      </c>
      <c r="BI274" s="42">
        <f t="shared" si="167"/>
        <v>0</v>
      </c>
      <c r="BJ274" s="42">
        <f t="shared" si="150"/>
        <v>0</v>
      </c>
      <c r="BK274" s="42">
        <f t="shared" si="150"/>
        <v>3.5</v>
      </c>
    </row>
    <row r="275" spans="1:63" ht="47.25" customHeight="1" x14ac:dyDescent="0.25">
      <c r="A275" s="298" t="s">
        <v>800</v>
      </c>
      <c r="B275" s="299" t="s">
        <v>801</v>
      </c>
      <c r="C275" s="1548"/>
      <c r="D275" s="1549"/>
      <c r="E275" s="1549"/>
      <c r="F275" s="1549"/>
      <c r="G275" s="1549"/>
      <c r="H275" s="1549"/>
      <c r="I275" s="1425"/>
      <c r="J275" s="1425"/>
      <c r="K275" s="1425" t="s">
        <v>836</v>
      </c>
      <c r="L275" s="301" t="s">
        <v>806</v>
      </c>
      <c r="M275" s="1425" t="s">
        <v>497</v>
      </c>
      <c r="N275" s="476"/>
      <c r="O275" s="1425" t="s">
        <v>73</v>
      </c>
      <c r="P275" s="16" t="s">
        <v>837</v>
      </c>
      <c r="Q275" s="302" t="s">
        <v>838</v>
      </c>
      <c r="R275" s="303">
        <v>2015</v>
      </c>
      <c r="S275" s="303">
        <v>1</v>
      </c>
      <c r="T275" s="303">
        <v>1</v>
      </c>
      <c r="U275" s="572">
        <v>1</v>
      </c>
      <c r="V275" s="572">
        <v>1</v>
      </c>
      <c r="W275" s="572">
        <v>1</v>
      </c>
      <c r="X275" s="572">
        <v>1</v>
      </c>
      <c r="Y275" s="481"/>
      <c r="Z275" s="481"/>
      <c r="AA275" s="491">
        <v>1</v>
      </c>
      <c r="AB275" s="481"/>
      <c r="AC275" s="481"/>
      <c r="AD275" s="481"/>
      <c r="AE275" s="481"/>
      <c r="AF275" s="481">
        <f t="shared" si="156"/>
        <v>1</v>
      </c>
      <c r="AG275" s="491">
        <v>0.5</v>
      </c>
      <c r="AH275" s="548"/>
      <c r="AI275" s="548"/>
      <c r="AJ275" s="548"/>
      <c r="AK275" s="548"/>
      <c r="AL275" s="548"/>
      <c r="AM275" s="548">
        <f t="shared" si="158"/>
        <v>0.5</v>
      </c>
      <c r="AN275" s="481">
        <v>5</v>
      </c>
      <c r="AO275" s="481"/>
      <c r="AP275" s="481"/>
      <c r="AQ275" s="481"/>
      <c r="AR275" s="481"/>
      <c r="AS275" s="481"/>
      <c r="AT275" s="481"/>
      <c r="AU275" s="481">
        <f t="shared" si="160"/>
        <v>5</v>
      </c>
      <c r="AV275" s="491">
        <v>3</v>
      </c>
      <c r="AW275" s="548"/>
      <c r="AX275" s="548"/>
      <c r="AY275" s="548"/>
      <c r="AZ275" s="548"/>
      <c r="BA275" s="548"/>
      <c r="BB275" s="548"/>
      <c r="BC275" s="548">
        <f t="shared" si="162"/>
        <v>3</v>
      </c>
      <c r="BD275" s="42">
        <f t="shared" si="149"/>
        <v>8.5</v>
      </c>
      <c r="BE275" s="42">
        <f t="shared" si="149"/>
        <v>0</v>
      </c>
      <c r="BF275" s="42">
        <f t="shared" si="149"/>
        <v>1</v>
      </c>
      <c r="BG275" s="42">
        <f t="shared" si="149"/>
        <v>0</v>
      </c>
      <c r="BH275" s="42">
        <f t="shared" si="149"/>
        <v>0</v>
      </c>
      <c r="BI275" s="42">
        <f t="shared" si="167"/>
        <v>0</v>
      </c>
      <c r="BJ275" s="42">
        <f t="shared" si="150"/>
        <v>0</v>
      </c>
      <c r="BK275" s="42">
        <f t="shared" si="150"/>
        <v>9.5</v>
      </c>
    </row>
    <row r="276" spans="1:63" ht="26.4" x14ac:dyDescent="0.25">
      <c r="A276" s="295" t="s">
        <v>800</v>
      </c>
      <c r="B276" s="24" t="s">
        <v>798</v>
      </c>
      <c r="C276" s="6"/>
      <c r="D276" s="2" t="s">
        <v>839</v>
      </c>
      <c r="E276" s="1"/>
      <c r="F276" s="1"/>
      <c r="G276" s="1"/>
      <c r="H276" s="1"/>
      <c r="I276" s="1"/>
      <c r="J276" s="1"/>
      <c r="K276" s="1"/>
      <c r="L276" s="1"/>
      <c r="M276" s="1"/>
      <c r="N276" s="1"/>
      <c r="O276" s="1"/>
      <c r="P276" s="22"/>
      <c r="Q276" s="22"/>
      <c r="R276" s="1"/>
      <c r="S276" s="1"/>
      <c r="T276" s="1"/>
      <c r="U276" s="49"/>
      <c r="V276" s="49"/>
      <c r="W276" s="49"/>
      <c r="X276" s="49"/>
      <c r="Y276" s="34">
        <f t="shared" ref="Y276:AE276" si="168">SUM(Y277:Y288)</f>
        <v>5</v>
      </c>
      <c r="Z276" s="34">
        <f t="shared" si="168"/>
        <v>0</v>
      </c>
      <c r="AA276" s="34">
        <f t="shared" si="168"/>
        <v>1</v>
      </c>
      <c r="AB276" s="34">
        <f t="shared" si="168"/>
        <v>0</v>
      </c>
      <c r="AC276" s="34">
        <f t="shared" si="168"/>
        <v>0</v>
      </c>
      <c r="AD276" s="34">
        <f t="shared" si="168"/>
        <v>0</v>
      </c>
      <c r="AE276" s="34">
        <f t="shared" si="168"/>
        <v>0</v>
      </c>
      <c r="AF276" s="34">
        <f t="shared" si="156"/>
        <v>6</v>
      </c>
      <c r="AG276" s="34">
        <f t="shared" ref="AG276:AL276" si="169">SUM(AG277:AG288)</f>
        <v>10</v>
      </c>
      <c r="AH276" s="34">
        <f t="shared" si="169"/>
        <v>0</v>
      </c>
      <c r="AI276" s="34">
        <f t="shared" si="169"/>
        <v>0</v>
      </c>
      <c r="AJ276" s="34">
        <f t="shared" si="169"/>
        <v>0</v>
      </c>
      <c r="AK276" s="34">
        <f t="shared" si="169"/>
        <v>0</v>
      </c>
      <c r="AL276" s="34">
        <f t="shared" si="169"/>
        <v>0</v>
      </c>
      <c r="AM276" s="34">
        <f t="shared" si="158"/>
        <v>10</v>
      </c>
      <c r="AN276" s="34">
        <f t="shared" ref="AN276:AT276" si="170">SUM(AN277:AN288)</f>
        <v>10</v>
      </c>
      <c r="AO276" s="34">
        <f t="shared" si="170"/>
        <v>0</v>
      </c>
      <c r="AP276" s="34">
        <f t="shared" si="170"/>
        <v>5.5</v>
      </c>
      <c r="AQ276" s="34">
        <f t="shared" si="170"/>
        <v>0</v>
      </c>
      <c r="AR276" s="34">
        <f t="shared" si="170"/>
        <v>0</v>
      </c>
      <c r="AS276" s="34">
        <f t="shared" si="170"/>
        <v>0</v>
      </c>
      <c r="AT276" s="34">
        <f t="shared" si="170"/>
        <v>0</v>
      </c>
      <c r="AU276" s="34">
        <f t="shared" si="160"/>
        <v>15.5</v>
      </c>
      <c r="AV276" s="34">
        <f t="shared" ref="AV276:BB276" si="171">SUM(AV277:AV288)</f>
        <v>10</v>
      </c>
      <c r="AW276" s="34">
        <f t="shared" si="171"/>
        <v>0</v>
      </c>
      <c r="AX276" s="34">
        <f t="shared" si="171"/>
        <v>5.5</v>
      </c>
      <c r="AY276" s="34">
        <f t="shared" si="171"/>
        <v>0</v>
      </c>
      <c r="AZ276" s="34">
        <f t="shared" si="171"/>
        <v>0</v>
      </c>
      <c r="BA276" s="34">
        <f t="shared" si="171"/>
        <v>0</v>
      </c>
      <c r="BB276" s="34">
        <f t="shared" si="171"/>
        <v>0</v>
      </c>
      <c r="BC276" s="34">
        <f t="shared" si="162"/>
        <v>15.5</v>
      </c>
      <c r="BD276" s="34">
        <f t="shared" si="149"/>
        <v>35</v>
      </c>
      <c r="BE276" s="34">
        <f t="shared" si="149"/>
        <v>0</v>
      </c>
      <c r="BF276" s="34">
        <f t="shared" si="149"/>
        <v>12</v>
      </c>
      <c r="BG276" s="34">
        <f t="shared" si="149"/>
        <v>0</v>
      </c>
      <c r="BH276" s="34">
        <f t="shared" si="149"/>
        <v>0</v>
      </c>
      <c r="BI276" s="34">
        <f t="shared" si="167"/>
        <v>0</v>
      </c>
      <c r="BJ276" s="34">
        <f t="shared" si="150"/>
        <v>0</v>
      </c>
      <c r="BK276" s="34">
        <f t="shared" si="150"/>
        <v>47</v>
      </c>
    </row>
    <row r="277" spans="1:63" ht="36.75" customHeight="1" x14ac:dyDescent="0.25">
      <c r="A277" s="298" t="s">
        <v>800</v>
      </c>
      <c r="B277" s="299" t="s">
        <v>801</v>
      </c>
      <c r="C277" s="1546" t="s">
        <v>840</v>
      </c>
      <c r="D277" s="1549" t="s">
        <v>841</v>
      </c>
      <c r="E277" s="1549" t="s">
        <v>842</v>
      </c>
      <c r="F277" s="1549">
        <v>2015</v>
      </c>
      <c r="G277" s="1562">
        <v>20000</v>
      </c>
      <c r="H277" s="1562">
        <v>22000</v>
      </c>
      <c r="I277" s="1428"/>
      <c r="J277" s="1428"/>
      <c r="K277" s="1428" t="s">
        <v>843</v>
      </c>
      <c r="L277" s="301" t="s">
        <v>806</v>
      </c>
      <c r="M277" s="1425" t="s">
        <v>45</v>
      </c>
      <c r="N277" s="476" t="s">
        <v>46</v>
      </c>
      <c r="O277" s="1425" t="s">
        <v>47</v>
      </c>
      <c r="P277" s="16" t="s">
        <v>844</v>
      </c>
      <c r="Q277" s="302" t="s">
        <v>845</v>
      </c>
      <c r="R277" s="303">
        <v>2015</v>
      </c>
      <c r="S277" s="303">
        <v>0</v>
      </c>
      <c r="T277" s="303">
        <v>0</v>
      </c>
      <c r="U277" s="572">
        <v>0</v>
      </c>
      <c r="V277" s="572">
        <v>1</v>
      </c>
      <c r="W277" s="572">
        <v>1</v>
      </c>
      <c r="X277" s="572">
        <v>1</v>
      </c>
      <c r="Y277" s="481"/>
      <c r="Z277" s="481"/>
      <c r="AA277" s="481"/>
      <c r="AB277" s="481"/>
      <c r="AC277" s="481"/>
      <c r="AD277" s="481"/>
      <c r="AE277" s="481"/>
      <c r="AF277" s="481">
        <f t="shared" si="156"/>
        <v>0</v>
      </c>
      <c r="AG277" s="548"/>
      <c r="AH277" s="548"/>
      <c r="AI277" s="548"/>
      <c r="AJ277" s="548"/>
      <c r="AK277" s="548"/>
      <c r="AL277" s="548"/>
      <c r="AM277" s="548">
        <f t="shared" si="158"/>
        <v>0</v>
      </c>
      <c r="AN277" s="491">
        <v>0.5</v>
      </c>
      <c r="AO277" s="481"/>
      <c r="AP277" s="481"/>
      <c r="AQ277" s="481"/>
      <c r="AR277" s="481"/>
      <c r="AS277" s="481"/>
      <c r="AT277" s="481"/>
      <c r="AU277" s="481">
        <f t="shared" si="160"/>
        <v>0.5</v>
      </c>
      <c r="AV277" s="491">
        <v>0.5</v>
      </c>
      <c r="AW277" s="548"/>
      <c r="AX277" s="548"/>
      <c r="AY277" s="548"/>
      <c r="AZ277" s="548"/>
      <c r="BA277" s="548"/>
      <c r="BB277" s="548"/>
      <c r="BC277" s="548">
        <f t="shared" si="162"/>
        <v>0.5</v>
      </c>
      <c r="BD277" s="42">
        <f t="shared" si="149"/>
        <v>1</v>
      </c>
      <c r="BE277" s="42">
        <f t="shared" si="149"/>
        <v>0</v>
      </c>
      <c r="BF277" s="42">
        <f t="shared" si="149"/>
        <v>0</v>
      </c>
      <c r="BG277" s="42">
        <f t="shared" si="149"/>
        <v>0</v>
      </c>
      <c r="BH277" s="42">
        <f t="shared" si="149"/>
        <v>0</v>
      </c>
      <c r="BI277" s="42">
        <f t="shared" si="167"/>
        <v>0</v>
      </c>
      <c r="BJ277" s="42">
        <f t="shared" si="150"/>
        <v>0</v>
      </c>
      <c r="BK277" s="42">
        <f t="shared" si="150"/>
        <v>1</v>
      </c>
    </row>
    <row r="278" spans="1:63" ht="49.5" customHeight="1" x14ac:dyDescent="0.25">
      <c r="A278" s="298" t="s">
        <v>800</v>
      </c>
      <c r="B278" s="299" t="s">
        <v>801</v>
      </c>
      <c r="C278" s="1547"/>
      <c r="D278" s="1549"/>
      <c r="E278" s="1549"/>
      <c r="F278" s="1549"/>
      <c r="G278" s="1549"/>
      <c r="H278" s="1549"/>
      <c r="I278" s="1425"/>
      <c r="J278" s="1425"/>
      <c r="K278" s="1428" t="s">
        <v>846</v>
      </c>
      <c r="L278" s="301" t="s">
        <v>806</v>
      </c>
      <c r="M278" s="1425" t="s">
        <v>45</v>
      </c>
      <c r="N278" s="476" t="s">
        <v>46</v>
      </c>
      <c r="O278" s="1425" t="s">
        <v>47</v>
      </c>
      <c r="P278" s="16" t="s">
        <v>847</v>
      </c>
      <c r="Q278" s="302" t="s">
        <v>337</v>
      </c>
      <c r="R278" s="303">
        <v>2015</v>
      </c>
      <c r="S278" s="303">
        <v>0</v>
      </c>
      <c r="T278" s="303">
        <v>1</v>
      </c>
      <c r="U278" s="572">
        <v>3</v>
      </c>
      <c r="V278" s="572">
        <v>6</v>
      </c>
      <c r="W278" s="572">
        <v>8</v>
      </c>
      <c r="X278" s="572">
        <v>8</v>
      </c>
      <c r="Y278" s="481">
        <v>0</v>
      </c>
      <c r="Z278" s="481"/>
      <c r="AA278" s="491">
        <v>1</v>
      </c>
      <c r="AB278" s="481"/>
      <c r="AC278" s="481"/>
      <c r="AD278" s="481"/>
      <c r="AE278" s="481"/>
      <c r="AF278" s="481">
        <f t="shared" si="156"/>
        <v>1</v>
      </c>
      <c r="AG278" s="491">
        <v>5</v>
      </c>
      <c r="AH278" s="548"/>
      <c r="AI278" s="548"/>
      <c r="AJ278" s="548"/>
      <c r="AK278" s="548"/>
      <c r="AL278" s="548"/>
      <c r="AM278" s="548">
        <f t="shared" si="158"/>
        <v>5</v>
      </c>
      <c r="AN278" s="491">
        <v>5</v>
      </c>
      <c r="AO278" s="481"/>
      <c r="AP278" s="481"/>
      <c r="AQ278" s="481"/>
      <c r="AR278" s="481"/>
      <c r="AS278" s="481"/>
      <c r="AT278" s="481"/>
      <c r="AU278" s="481">
        <f t="shared" si="160"/>
        <v>5</v>
      </c>
      <c r="AV278" s="491">
        <v>5</v>
      </c>
      <c r="AW278" s="548"/>
      <c r="AX278" s="548"/>
      <c r="AY278" s="548"/>
      <c r="AZ278" s="548"/>
      <c r="BA278" s="548"/>
      <c r="BB278" s="548"/>
      <c r="BC278" s="548">
        <f t="shared" si="162"/>
        <v>5</v>
      </c>
      <c r="BD278" s="42">
        <f t="shared" ref="BD278:BH312" si="172">+AV278+AN278+AG278+Y278</f>
        <v>15</v>
      </c>
      <c r="BE278" s="42">
        <f t="shared" si="172"/>
        <v>0</v>
      </c>
      <c r="BF278" s="42">
        <f t="shared" si="172"/>
        <v>1</v>
      </c>
      <c r="BG278" s="42">
        <f t="shared" si="172"/>
        <v>0</v>
      </c>
      <c r="BH278" s="42">
        <f t="shared" si="172"/>
        <v>0</v>
      </c>
      <c r="BI278" s="42">
        <f t="shared" si="167"/>
        <v>0</v>
      </c>
      <c r="BJ278" s="42">
        <f t="shared" ref="BJ278:BK312" si="173">+BB278+AT278+AL278+AE278</f>
        <v>0</v>
      </c>
      <c r="BK278" s="42">
        <f t="shared" si="173"/>
        <v>16</v>
      </c>
    </row>
    <row r="279" spans="1:63" ht="35.25" customHeight="1" x14ac:dyDescent="0.25">
      <c r="A279" s="298" t="s">
        <v>800</v>
      </c>
      <c r="B279" s="299" t="s">
        <v>801</v>
      </c>
      <c r="C279" s="1547"/>
      <c r="D279" s="1549"/>
      <c r="E279" s="1549"/>
      <c r="F279" s="1549"/>
      <c r="G279" s="1549"/>
      <c r="H279" s="1549"/>
      <c r="I279" s="1425"/>
      <c r="J279" s="1425"/>
      <c r="K279" s="1428" t="s">
        <v>848</v>
      </c>
      <c r="L279" s="301" t="s">
        <v>806</v>
      </c>
      <c r="M279" s="1425" t="s">
        <v>45</v>
      </c>
      <c r="N279" s="476" t="s">
        <v>46</v>
      </c>
      <c r="O279" s="1425" t="s">
        <v>47</v>
      </c>
      <c r="P279" s="16" t="s">
        <v>849</v>
      </c>
      <c r="Q279" s="302" t="s">
        <v>850</v>
      </c>
      <c r="R279" s="303">
        <v>2015</v>
      </c>
      <c r="S279" s="303">
        <v>0</v>
      </c>
      <c r="T279" s="303">
        <v>0</v>
      </c>
      <c r="U279" s="572">
        <v>0</v>
      </c>
      <c r="V279" s="572">
        <v>1</v>
      </c>
      <c r="W279" s="572">
        <v>2</v>
      </c>
      <c r="X279" s="572">
        <v>2</v>
      </c>
      <c r="Y279" s="481"/>
      <c r="Z279" s="481"/>
      <c r="AA279" s="481"/>
      <c r="AB279" s="481"/>
      <c r="AC279" s="481"/>
      <c r="AD279" s="481"/>
      <c r="AE279" s="481"/>
      <c r="AF279" s="481">
        <f t="shared" si="156"/>
        <v>0</v>
      </c>
      <c r="AG279" s="548"/>
      <c r="AH279" s="548"/>
      <c r="AI279" s="548"/>
      <c r="AJ279" s="548"/>
      <c r="AK279" s="548"/>
      <c r="AL279" s="548"/>
      <c r="AM279" s="548">
        <f t="shared" si="158"/>
        <v>0</v>
      </c>
      <c r="AN279" s="491">
        <v>0.5</v>
      </c>
      <c r="AO279" s="481"/>
      <c r="AP279" s="481"/>
      <c r="AQ279" s="481"/>
      <c r="AR279" s="481"/>
      <c r="AS279" s="481"/>
      <c r="AT279" s="481"/>
      <c r="AU279" s="481">
        <f t="shared" si="160"/>
        <v>0.5</v>
      </c>
      <c r="AV279" s="491">
        <v>0.5</v>
      </c>
      <c r="AW279" s="548"/>
      <c r="AX279" s="548"/>
      <c r="AY279" s="548"/>
      <c r="AZ279" s="548"/>
      <c r="BA279" s="548"/>
      <c r="BB279" s="548"/>
      <c r="BC279" s="548">
        <f t="shared" si="162"/>
        <v>0.5</v>
      </c>
      <c r="BD279" s="42">
        <f t="shared" si="172"/>
        <v>1</v>
      </c>
      <c r="BE279" s="42">
        <f t="shared" si="172"/>
        <v>0</v>
      </c>
      <c r="BF279" s="42">
        <f t="shared" si="172"/>
        <v>0</v>
      </c>
      <c r="BG279" s="42">
        <f t="shared" si="172"/>
        <v>0</v>
      </c>
      <c r="BH279" s="42">
        <f t="shared" si="172"/>
        <v>0</v>
      </c>
      <c r="BI279" s="42">
        <f t="shared" si="167"/>
        <v>0</v>
      </c>
      <c r="BJ279" s="42">
        <f t="shared" si="173"/>
        <v>0</v>
      </c>
      <c r="BK279" s="42">
        <f t="shared" si="173"/>
        <v>1</v>
      </c>
    </row>
    <row r="280" spans="1:63" ht="24.75" customHeight="1" x14ac:dyDescent="0.25">
      <c r="A280" s="298" t="s">
        <v>800</v>
      </c>
      <c r="B280" s="299" t="s">
        <v>801</v>
      </c>
      <c r="C280" s="1547"/>
      <c r="D280" s="1549"/>
      <c r="E280" s="1549"/>
      <c r="F280" s="1549"/>
      <c r="G280" s="1549"/>
      <c r="H280" s="1549"/>
      <c r="I280" s="1425"/>
      <c r="J280" s="1425"/>
      <c r="K280" s="1428" t="s">
        <v>851</v>
      </c>
      <c r="L280" s="301" t="s">
        <v>806</v>
      </c>
      <c r="M280" s="1425" t="s">
        <v>45</v>
      </c>
      <c r="N280" s="476" t="s">
        <v>46</v>
      </c>
      <c r="O280" s="1425" t="s">
        <v>47</v>
      </c>
      <c r="P280" s="16" t="s">
        <v>852</v>
      </c>
      <c r="Q280" s="302" t="s">
        <v>853</v>
      </c>
      <c r="R280" s="303">
        <v>2015</v>
      </c>
      <c r="S280" s="303">
        <v>0</v>
      </c>
      <c r="T280" s="303">
        <v>0</v>
      </c>
      <c r="U280" s="572">
        <v>0</v>
      </c>
      <c r="V280" s="572">
        <v>2</v>
      </c>
      <c r="W280" s="572">
        <v>4</v>
      </c>
      <c r="X280" s="572">
        <v>4</v>
      </c>
      <c r="Y280" s="481"/>
      <c r="Z280" s="481"/>
      <c r="AA280" s="481"/>
      <c r="AB280" s="481"/>
      <c r="AC280" s="481"/>
      <c r="AD280" s="481"/>
      <c r="AE280" s="481"/>
      <c r="AF280" s="481">
        <f t="shared" si="156"/>
        <v>0</v>
      </c>
      <c r="AG280" s="548"/>
      <c r="AH280" s="548"/>
      <c r="AI280" s="548"/>
      <c r="AJ280" s="548"/>
      <c r="AK280" s="548"/>
      <c r="AL280" s="548"/>
      <c r="AM280" s="548">
        <f t="shared" si="158"/>
        <v>0</v>
      </c>
      <c r="AN280" s="491">
        <v>0.5</v>
      </c>
      <c r="AO280" s="481"/>
      <c r="AP280" s="481"/>
      <c r="AQ280" s="481"/>
      <c r="AR280" s="481"/>
      <c r="AS280" s="481"/>
      <c r="AT280" s="481"/>
      <c r="AU280" s="481">
        <f t="shared" si="160"/>
        <v>0.5</v>
      </c>
      <c r="AV280" s="491">
        <v>0.5</v>
      </c>
      <c r="AW280" s="548"/>
      <c r="AX280" s="548"/>
      <c r="AY280" s="548"/>
      <c r="AZ280" s="548"/>
      <c r="BA280" s="548"/>
      <c r="BB280" s="548"/>
      <c r="BC280" s="548">
        <f t="shared" si="162"/>
        <v>0.5</v>
      </c>
      <c r="BD280" s="42">
        <f t="shared" si="172"/>
        <v>1</v>
      </c>
      <c r="BE280" s="42">
        <f t="shared" si="172"/>
        <v>0</v>
      </c>
      <c r="BF280" s="42">
        <f t="shared" si="172"/>
        <v>0</v>
      </c>
      <c r="BG280" s="42">
        <f t="shared" si="172"/>
        <v>0</v>
      </c>
      <c r="BH280" s="42">
        <f t="shared" si="172"/>
        <v>0</v>
      </c>
      <c r="BI280" s="42">
        <f t="shared" si="167"/>
        <v>0</v>
      </c>
      <c r="BJ280" s="42">
        <f t="shared" si="173"/>
        <v>0</v>
      </c>
      <c r="BK280" s="42">
        <f t="shared" si="173"/>
        <v>1</v>
      </c>
    </row>
    <row r="281" spans="1:63" ht="35.25" customHeight="1" x14ac:dyDescent="0.25">
      <c r="A281" s="298" t="s">
        <v>800</v>
      </c>
      <c r="B281" s="299" t="s">
        <v>801</v>
      </c>
      <c r="C281" s="1547"/>
      <c r="D281" s="1549"/>
      <c r="E281" s="1549"/>
      <c r="F281" s="1549"/>
      <c r="G281" s="1549"/>
      <c r="H281" s="1549"/>
      <c r="I281" s="1425"/>
      <c r="J281" s="1425"/>
      <c r="K281" s="1428" t="s">
        <v>854</v>
      </c>
      <c r="L281" s="301" t="s">
        <v>806</v>
      </c>
      <c r="M281" s="1425" t="s">
        <v>45</v>
      </c>
      <c r="N281" s="476" t="s">
        <v>46</v>
      </c>
      <c r="O281" s="1425" t="s">
        <v>47</v>
      </c>
      <c r="P281" s="16" t="s">
        <v>855</v>
      </c>
      <c r="Q281" s="302" t="s">
        <v>856</v>
      </c>
      <c r="R281" s="303">
        <v>2015</v>
      </c>
      <c r="S281" s="303">
        <v>0</v>
      </c>
      <c r="T281" s="303">
        <v>1</v>
      </c>
      <c r="U281" s="572">
        <v>2</v>
      </c>
      <c r="V281" s="572">
        <v>3</v>
      </c>
      <c r="W281" s="572">
        <v>4</v>
      </c>
      <c r="X281" s="572">
        <v>4</v>
      </c>
      <c r="Y281" s="481">
        <v>2</v>
      </c>
      <c r="Z281" s="481"/>
      <c r="AA281" s="481"/>
      <c r="AB281" s="481"/>
      <c r="AC281" s="481"/>
      <c r="AD281" s="481"/>
      <c r="AE281" s="481"/>
      <c r="AF281" s="481">
        <f t="shared" si="156"/>
        <v>2</v>
      </c>
      <c r="AG281" s="491">
        <v>1</v>
      </c>
      <c r="AH281" s="548"/>
      <c r="AI281" s="548"/>
      <c r="AJ281" s="548"/>
      <c r="AK281" s="548"/>
      <c r="AL281" s="548"/>
      <c r="AM281" s="548">
        <f t="shared" si="158"/>
        <v>1</v>
      </c>
      <c r="AN281" s="491">
        <v>0.5</v>
      </c>
      <c r="AO281" s="481"/>
      <c r="AP281" s="481"/>
      <c r="AQ281" s="481"/>
      <c r="AR281" s="481"/>
      <c r="AS281" s="481"/>
      <c r="AT281" s="481"/>
      <c r="AU281" s="481">
        <f t="shared" si="160"/>
        <v>0.5</v>
      </c>
      <c r="AV281" s="491">
        <v>0.5</v>
      </c>
      <c r="AW281" s="548"/>
      <c r="AX281" s="548"/>
      <c r="AY281" s="548"/>
      <c r="AZ281" s="548"/>
      <c r="BA281" s="548"/>
      <c r="BB281" s="548"/>
      <c r="BC281" s="548">
        <f t="shared" si="162"/>
        <v>0.5</v>
      </c>
      <c r="BD281" s="42">
        <f t="shared" si="172"/>
        <v>4</v>
      </c>
      <c r="BE281" s="42">
        <f t="shared" si="172"/>
        <v>0</v>
      </c>
      <c r="BF281" s="42">
        <f t="shared" si="172"/>
        <v>0</v>
      </c>
      <c r="BG281" s="42">
        <f t="shared" si="172"/>
        <v>0</v>
      </c>
      <c r="BH281" s="42">
        <f t="shared" si="172"/>
        <v>0</v>
      </c>
      <c r="BI281" s="42">
        <f t="shared" si="167"/>
        <v>0</v>
      </c>
      <c r="BJ281" s="42">
        <f t="shared" si="173"/>
        <v>0</v>
      </c>
      <c r="BK281" s="42">
        <f t="shared" si="173"/>
        <v>4</v>
      </c>
    </row>
    <row r="282" spans="1:63" ht="33.75" customHeight="1" x14ac:dyDescent="0.25">
      <c r="A282" s="298" t="s">
        <v>800</v>
      </c>
      <c r="B282" s="299" t="s">
        <v>801</v>
      </c>
      <c r="C282" s="1547"/>
      <c r="D282" s="1549"/>
      <c r="E282" s="1549"/>
      <c r="F282" s="1549"/>
      <c r="G282" s="1549"/>
      <c r="H282" s="1549"/>
      <c r="I282" s="1425"/>
      <c r="J282" s="1425"/>
      <c r="K282" s="1428" t="s">
        <v>857</v>
      </c>
      <c r="L282" s="301" t="s">
        <v>806</v>
      </c>
      <c r="M282" s="1425" t="s">
        <v>45</v>
      </c>
      <c r="N282" s="476" t="s">
        <v>46</v>
      </c>
      <c r="O282" s="1425" t="s">
        <v>47</v>
      </c>
      <c r="P282" s="16" t="s">
        <v>858</v>
      </c>
      <c r="Q282" s="302" t="s">
        <v>859</v>
      </c>
      <c r="R282" s="303">
        <v>2015</v>
      </c>
      <c r="S282" s="303">
        <v>0</v>
      </c>
      <c r="T282" s="303">
        <v>0</v>
      </c>
      <c r="U282" s="572">
        <v>0</v>
      </c>
      <c r="V282" s="572">
        <v>1</v>
      </c>
      <c r="W282" s="572">
        <v>1</v>
      </c>
      <c r="X282" s="572">
        <v>1</v>
      </c>
      <c r="Y282" s="481"/>
      <c r="Z282" s="481"/>
      <c r="AA282" s="481"/>
      <c r="AB282" s="481"/>
      <c r="AC282" s="481"/>
      <c r="AD282" s="481"/>
      <c r="AE282" s="481"/>
      <c r="AF282" s="481">
        <f t="shared" si="156"/>
        <v>0</v>
      </c>
      <c r="AG282" s="548"/>
      <c r="AH282" s="548"/>
      <c r="AI282" s="548"/>
      <c r="AJ282" s="548"/>
      <c r="AK282" s="548"/>
      <c r="AL282" s="548"/>
      <c r="AM282" s="548">
        <f t="shared" si="158"/>
        <v>0</v>
      </c>
      <c r="AN282" s="491">
        <v>0.5</v>
      </c>
      <c r="AO282" s="481"/>
      <c r="AP282" s="481"/>
      <c r="AQ282" s="481"/>
      <c r="AR282" s="481"/>
      <c r="AS282" s="481"/>
      <c r="AT282" s="481"/>
      <c r="AU282" s="481">
        <f t="shared" si="160"/>
        <v>0.5</v>
      </c>
      <c r="AV282" s="491">
        <v>0.5</v>
      </c>
      <c r="AW282" s="548"/>
      <c r="AX282" s="548"/>
      <c r="AY282" s="548"/>
      <c r="AZ282" s="548"/>
      <c r="BA282" s="548"/>
      <c r="BB282" s="548"/>
      <c r="BC282" s="548">
        <f t="shared" si="162"/>
        <v>0.5</v>
      </c>
      <c r="BD282" s="42">
        <f t="shared" si="172"/>
        <v>1</v>
      </c>
      <c r="BE282" s="42">
        <f t="shared" si="172"/>
        <v>0</v>
      </c>
      <c r="BF282" s="42">
        <f t="shared" si="172"/>
        <v>0</v>
      </c>
      <c r="BG282" s="42">
        <f t="shared" si="172"/>
        <v>0</v>
      </c>
      <c r="BH282" s="42">
        <f t="shared" si="172"/>
        <v>0</v>
      </c>
      <c r="BI282" s="42">
        <f t="shared" si="167"/>
        <v>0</v>
      </c>
      <c r="BJ282" s="42">
        <f t="shared" si="173"/>
        <v>0</v>
      </c>
      <c r="BK282" s="42">
        <f t="shared" si="173"/>
        <v>1</v>
      </c>
    </row>
    <row r="283" spans="1:63" ht="33" customHeight="1" x14ac:dyDescent="0.25">
      <c r="A283" s="298" t="s">
        <v>800</v>
      </c>
      <c r="B283" s="299" t="s">
        <v>801</v>
      </c>
      <c r="C283" s="1547"/>
      <c r="D283" s="1549"/>
      <c r="E283" s="1549"/>
      <c r="F283" s="1549"/>
      <c r="G283" s="1549"/>
      <c r="H283" s="1549"/>
      <c r="I283" s="1425"/>
      <c r="J283" s="1425"/>
      <c r="K283" s="1428" t="s">
        <v>860</v>
      </c>
      <c r="L283" s="301" t="s">
        <v>806</v>
      </c>
      <c r="M283" s="1425" t="s">
        <v>45</v>
      </c>
      <c r="N283" s="476" t="s">
        <v>46</v>
      </c>
      <c r="O283" s="1425" t="s">
        <v>47</v>
      </c>
      <c r="P283" s="16" t="s">
        <v>861</v>
      </c>
      <c r="Q283" s="302" t="s">
        <v>862</v>
      </c>
      <c r="R283" s="303">
        <v>2015</v>
      </c>
      <c r="S283" s="303">
        <v>0</v>
      </c>
      <c r="T283" s="303">
        <v>0</v>
      </c>
      <c r="U283" s="572">
        <v>0</v>
      </c>
      <c r="V283" s="572">
        <v>1</v>
      </c>
      <c r="W283" s="572">
        <v>2</v>
      </c>
      <c r="X283" s="572">
        <v>2</v>
      </c>
      <c r="Y283" s="481"/>
      <c r="Z283" s="481"/>
      <c r="AA283" s="481"/>
      <c r="AB283" s="481"/>
      <c r="AC283" s="481"/>
      <c r="AD283" s="481"/>
      <c r="AE283" s="481"/>
      <c r="AF283" s="481">
        <f t="shared" si="156"/>
        <v>0</v>
      </c>
      <c r="AG283" s="548"/>
      <c r="AH283" s="548"/>
      <c r="AI283" s="548"/>
      <c r="AJ283" s="548"/>
      <c r="AK283" s="548"/>
      <c r="AL283" s="548"/>
      <c r="AM283" s="548">
        <f t="shared" si="158"/>
        <v>0</v>
      </c>
      <c r="AN283" s="491">
        <v>0.5</v>
      </c>
      <c r="AO283" s="481"/>
      <c r="AP283" s="481"/>
      <c r="AQ283" s="481"/>
      <c r="AR283" s="481"/>
      <c r="AS283" s="481"/>
      <c r="AT283" s="481"/>
      <c r="AU283" s="481">
        <f t="shared" si="160"/>
        <v>0.5</v>
      </c>
      <c r="AV283" s="491">
        <v>0.5</v>
      </c>
      <c r="AW283" s="548"/>
      <c r="AX283" s="548"/>
      <c r="AY283" s="548"/>
      <c r="AZ283" s="548"/>
      <c r="BA283" s="548"/>
      <c r="BB283" s="548"/>
      <c r="BC283" s="548">
        <f t="shared" si="162"/>
        <v>0.5</v>
      </c>
      <c r="BD283" s="42">
        <f t="shared" si="172"/>
        <v>1</v>
      </c>
      <c r="BE283" s="42">
        <f t="shared" si="172"/>
        <v>0</v>
      </c>
      <c r="BF283" s="42">
        <f t="shared" si="172"/>
        <v>0</v>
      </c>
      <c r="BG283" s="42">
        <f t="shared" si="172"/>
        <v>0</v>
      </c>
      <c r="BH283" s="42">
        <f t="shared" si="172"/>
        <v>0</v>
      </c>
      <c r="BI283" s="42">
        <f t="shared" si="167"/>
        <v>0</v>
      </c>
      <c r="BJ283" s="42">
        <f t="shared" si="173"/>
        <v>0</v>
      </c>
      <c r="BK283" s="42">
        <f t="shared" si="173"/>
        <v>1</v>
      </c>
    </row>
    <row r="284" spans="1:63" ht="36.75" customHeight="1" x14ac:dyDescent="0.25">
      <c r="A284" s="298" t="s">
        <v>800</v>
      </c>
      <c r="B284" s="299" t="s">
        <v>801</v>
      </c>
      <c r="C284" s="1547"/>
      <c r="D284" s="1549"/>
      <c r="E284" s="1549"/>
      <c r="F284" s="1549"/>
      <c r="G284" s="1549"/>
      <c r="H284" s="1549"/>
      <c r="I284" s="1425"/>
      <c r="J284" s="1425"/>
      <c r="K284" s="1428" t="s">
        <v>863</v>
      </c>
      <c r="L284" s="301" t="s">
        <v>806</v>
      </c>
      <c r="M284" s="1425" t="s">
        <v>45</v>
      </c>
      <c r="N284" s="476" t="s">
        <v>46</v>
      </c>
      <c r="O284" s="1425" t="s">
        <v>47</v>
      </c>
      <c r="P284" s="16" t="s">
        <v>864</v>
      </c>
      <c r="Q284" s="302" t="s">
        <v>865</v>
      </c>
      <c r="R284" s="303">
        <v>2015</v>
      </c>
      <c r="S284" s="303">
        <v>0</v>
      </c>
      <c r="T284" s="303">
        <v>0</v>
      </c>
      <c r="U284" s="572">
        <v>0</v>
      </c>
      <c r="V284" s="572">
        <v>1</v>
      </c>
      <c r="W284" s="572">
        <v>2</v>
      </c>
      <c r="X284" s="572">
        <v>2</v>
      </c>
      <c r="Y284" s="481"/>
      <c r="Z284" s="481"/>
      <c r="AA284" s="481"/>
      <c r="AB284" s="481"/>
      <c r="AC284" s="481"/>
      <c r="AD284" s="481"/>
      <c r="AE284" s="481"/>
      <c r="AF284" s="481">
        <f t="shared" si="156"/>
        <v>0</v>
      </c>
      <c r="AG284" s="548"/>
      <c r="AH284" s="548"/>
      <c r="AI284" s="548"/>
      <c r="AJ284" s="548"/>
      <c r="AK284" s="548"/>
      <c r="AL284" s="548"/>
      <c r="AM284" s="548">
        <f t="shared" si="158"/>
        <v>0</v>
      </c>
      <c r="AN284" s="491">
        <v>0.5</v>
      </c>
      <c r="AO284" s="481"/>
      <c r="AP284" s="481"/>
      <c r="AQ284" s="481"/>
      <c r="AR284" s="481"/>
      <c r="AS284" s="481"/>
      <c r="AT284" s="481"/>
      <c r="AU284" s="481">
        <f t="shared" si="160"/>
        <v>0.5</v>
      </c>
      <c r="AV284" s="491">
        <v>0.5</v>
      </c>
      <c r="AW284" s="548"/>
      <c r="AX284" s="548"/>
      <c r="AY284" s="548"/>
      <c r="AZ284" s="548"/>
      <c r="BA284" s="548"/>
      <c r="BB284" s="548"/>
      <c r="BC284" s="548">
        <f t="shared" si="162"/>
        <v>0.5</v>
      </c>
      <c r="BD284" s="42">
        <f t="shared" si="172"/>
        <v>1</v>
      </c>
      <c r="BE284" s="42">
        <f t="shared" si="172"/>
        <v>0</v>
      </c>
      <c r="BF284" s="42">
        <f t="shared" si="172"/>
        <v>0</v>
      </c>
      <c r="BG284" s="42">
        <f t="shared" si="172"/>
        <v>0</v>
      </c>
      <c r="BH284" s="42">
        <f t="shared" si="172"/>
        <v>0</v>
      </c>
      <c r="BI284" s="42">
        <f t="shared" si="167"/>
        <v>0</v>
      </c>
      <c r="BJ284" s="42">
        <f t="shared" si="173"/>
        <v>0</v>
      </c>
      <c r="BK284" s="42">
        <f t="shared" si="173"/>
        <v>1</v>
      </c>
    </row>
    <row r="285" spans="1:63" ht="35.25" customHeight="1" x14ac:dyDescent="0.25">
      <c r="A285" s="298" t="s">
        <v>800</v>
      </c>
      <c r="B285" s="299" t="s">
        <v>801</v>
      </c>
      <c r="C285" s="1547"/>
      <c r="D285" s="1549"/>
      <c r="E285" s="1549"/>
      <c r="F285" s="1549"/>
      <c r="G285" s="1549"/>
      <c r="H285" s="1549"/>
      <c r="I285" s="1425"/>
      <c r="J285" s="1425"/>
      <c r="K285" s="1428" t="s">
        <v>866</v>
      </c>
      <c r="L285" s="301" t="s">
        <v>806</v>
      </c>
      <c r="M285" s="1425" t="s">
        <v>45</v>
      </c>
      <c r="N285" s="476" t="s">
        <v>46</v>
      </c>
      <c r="O285" s="1425" t="s">
        <v>47</v>
      </c>
      <c r="P285" s="16" t="s">
        <v>867</v>
      </c>
      <c r="Q285" s="302" t="s">
        <v>868</v>
      </c>
      <c r="R285" s="303">
        <v>2015</v>
      </c>
      <c r="S285" s="303">
        <v>0</v>
      </c>
      <c r="T285" s="303">
        <v>0</v>
      </c>
      <c r="U285" s="572">
        <v>1</v>
      </c>
      <c r="V285" s="572">
        <v>1</v>
      </c>
      <c r="W285" s="572">
        <v>1</v>
      </c>
      <c r="X285" s="572">
        <v>1</v>
      </c>
      <c r="Y285" s="481"/>
      <c r="Z285" s="481"/>
      <c r="AA285" s="481"/>
      <c r="AB285" s="481"/>
      <c r="AC285" s="481"/>
      <c r="AD285" s="481"/>
      <c r="AE285" s="481"/>
      <c r="AF285" s="481">
        <f t="shared" si="156"/>
        <v>0</v>
      </c>
      <c r="AG285" s="491">
        <v>1</v>
      </c>
      <c r="AH285" s="548"/>
      <c r="AI285" s="548"/>
      <c r="AJ285" s="548"/>
      <c r="AK285" s="548"/>
      <c r="AL285" s="548"/>
      <c r="AM285" s="548">
        <f t="shared" si="158"/>
        <v>1</v>
      </c>
      <c r="AN285" s="491">
        <v>0.5</v>
      </c>
      <c r="AO285" s="481"/>
      <c r="AP285" s="481"/>
      <c r="AQ285" s="481"/>
      <c r="AR285" s="481"/>
      <c r="AS285" s="481"/>
      <c r="AT285" s="481"/>
      <c r="AU285" s="481">
        <f t="shared" si="160"/>
        <v>0.5</v>
      </c>
      <c r="AV285" s="491">
        <v>0.5</v>
      </c>
      <c r="AW285" s="548"/>
      <c r="AX285" s="548"/>
      <c r="AY285" s="548"/>
      <c r="AZ285" s="548"/>
      <c r="BA285" s="548"/>
      <c r="BB285" s="548"/>
      <c r="BC285" s="548">
        <f t="shared" si="162"/>
        <v>0.5</v>
      </c>
      <c r="BD285" s="42">
        <f t="shared" si="172"/>
        <v>2</v>
      </c>
      <c r="BE285" s="42">
        <f t="shared" si="172"/>
        <v>0</v>
      </c>
      <c r="BF285" s="42">
        <f t="shared" si="172"/>
        <v>0</v>
      </c>
      <c r="BG285" s="42">
        <f t="shared" si="172"/>
        <v>0</v>
      </c>
      <c r="BH285" s="42">
        <f t="shared" si="172"/>
        <v>0</v>
      </c>
      <c r="BI285" s="42">
        <f t="shared" si="167"/>
        <v>0</v>
      </c>
      <c r="BJ285" s="42">
        <f t="shared" si="173"/>
        <v>0</v>
      </c>
      <c r="BK285" s="42">
        <f t="shared" si="173"/>
        <v>2</v>
      </c>
    </row>
    <row r="286" spans="1:63" ht="33" customHeight="1" x14ac:dyDescent="0.25">
      <c r="A286" s="298" t="s">
        <v>800</v>
      </c>
      <c r="B286" s="299" t="s">
        <v>801</v>
      </c>
      <c r="C286" s="1547"/>
      <c r="D286" s="1549"/>
      <c r="E286" s="1549"/>
      <c r="F286" s="1549"/>
      <c r="G286" s="1549"/>
      <c r="H286" s="1549"/>
      <c r="I286" s="1425"/>
      <c r="J286" s="1425"/>
      <c r="K286" s="1428" t="s">
        <v>869</v>
      </c>
      <c r="L286" s="301" t="s">
        <v>806</v>
      </c>
      <c r="M286" s="1425" t="s">
        <v>45</v>
      </c>
      <c r="N286" s="476" t="s">
        <v>46</v>
      </c>
      <c r="O286" s="1425" t="s">
        <v>47</v>
      </c>
      <c r="P286" s="16" t="s">
        <v>870</v>
      </c>
      <c r="Q286" s="302" t="s">
        <v>871</v>
      </c>
      <c r="R286" s="303">
        <v>2015</v>
      </c>
      <c r="S286" s="303">
        <v>0</v>
      </c>
      <c r="T286" s="303">
        <v>1</v>
      </c>
      <c r="U286" s="572">
        <v>2</v>
      </c>
      <c r="V286" s="572">
        <v>3</v>
      </c>
      <c r="W286" s="572">
        <v>4</v>
      </c>
      <c r="X286" s="572">
        <v>4</v>
      </c>
      <c r="Y286" s="491">
        <v>1</v>
      </c>
      <c r="Z286" s="481"/>
      <c r="AA286" s="481"/>
      <c r="AB286" s="481"/>
      <c r="AC286" s="481"/>
      <c r="AD286" s="481"/>
      <c r="AE286" s="481"/>
      <c r="AF286" s="481">
        <f t="shared" si="156"/>
        <v>1</v>
      </c>
      <c r="AG286" s="491">
        <v>1</v>
      </c>
      <c r="AH286" s="548"/>
      <c r="AI286" s="548"/>
      <c r="AJ286" s="548"/>
      <c r="AK286" s="548"/>
      <c r="AL286" s="548"/>
      <c r="AM286" s="548">
        <f t="shared" si="158"/>
        <v>1</v>
      </c>
      <c r="AN286" s="491">
        <v>0.5</v>
      </c>
      <c r="AO286" s="481"/>
      <c r="AP286" s="481"/>
      <c r="AQ286" s="481"/>
      <c r="AR286" s="481"/>
      <c r="AS286" s="481"/>
      <c r="AT286" s="481"/>
      <c r="AU286" s="481">
        <f t="shared" si="160"/>
        <v>0.5</v>
      </c>
      <c r="AV286" s="491">
        <v>0.5</v>
      </c>
      <c r="AW286" s="548"/>
      <c r="AX286" s="548"/>
      <c r="AY286" s="548"/>
      <c r="AZ286" s="548"/>
      <c r="BA286" s="548"/>
      <c r="BB286" s="548"/>
      <c r="BC286" s="548">
        <f t="shared" si="162"/>
        <v>0.5</v>
      </c>
      <c r="BD286" s="42">
        <f t="shared" si="172"/>
        <v>3</v>
      </c>
      <c r="BE286" s="42">
        <f t="shared" si="172"/>
        <v>0</v>
      </c>
      <c r="BF286" s="42">
        <f t="shared" si="172"/>
        <v>0</v>
      </c>
      <c r="BG286" s="42">
        <f t="shared" si="172"/>
        <v>0</v>
      </c>
      <c r="BH286" s="42">
        <f t="shared" si="172"/>
        <v>0</v>
      </c>
      <c r="BI286" s="42">
        <f t="shared" si="167"/>
        <v>0</v>
      </c>
      <c r="BJ286" s="42">
        <f t="shared" si="173"/>
        <v>0</v>
      </c>
      <c r="BK286" s="42">
        <f t="shared" si="173"/>
        <v>3</v>
      </c>
    </row>
    <row r="287" spans="1:63" ht="30.75" customHeight="1" x14ac:dyDescent="0.25">
      <c r="A287" s="298" t="s">
        <v>800</v>
      </c>
      <c r="B287" s="299" t="s">
        <v>801</v>
      </c>
      <c r="C287" s="1547"/>
      <c r="D287" s="1549"/>
      <c r="E287" s="1549"/>
      <c r="F287" s="1549"/>
      <c r="G287" s="1549"/>
      <c r="H287" s="1549"/>
      <c r="I287" s="1425"/>
      <c r="J287" s="1425"/>
      <c r="K287" s="1428" t="s">
        <v>872</v>
      </c>
      <c r="L287" s="301" t="s">
        <v>806</v>
      </c>
      <c r="M287" s="1425" t="s">
        <v>45</v>
      </c>
      <c r="N287" s="476" t="s">
        <v>46</v>
      </c>
      <c r="O287" s="1425" t="s">
        <v>47</v>
      </c>
      <c r="P287" s="16" t="s">
        <v>873</v>
      </c>
      <c r="Q287" s="302" t="s">
        <v>874</v>
      </c>
      <c r="R287" s="303">
        <v>2015</v>
      </c>
      <c r="S287" s="303">
        <v>0</v>
      </c>
      <c r="T287" s="303">
        <v>15</v>
      </c>
      <c r="U287" s="572">
        <v>30</v>
      </c>
      <c r="V287" s="572">
        <v>45</v>
      </c>
      <c r="W287" s="572">
        <v>60</v>
      </c>
      <c r="X287" s="572">
        <v>60</v>
      </c>
      <c r="Y287" s="491">
        <v>1</v>
      </c>
      <c r="Z287" s="481"/>
      <c r="AA287" s="481"/>
      <c r="AB287" s="481"/>
      <c r="AC287" s="481"/>
      <c r="AD287" s="481"/>
      <c r="AE287" s="481"/>
      <c r="AF287" s="481">
        <f t="shared" si="156"/>
        <v>1</v>
      </c>
      <c r="AG287" s="491">
        <v>1</v>
      </c>
      <c r="AH287" s="548"/>
      <c r="AI287" s="548"/>
      <c r="AJ287" s="548"/>
      <c r="AK287" s="548"/>
      <c r="AL287" s="548"/>
      <c r="AM287" s="548">
        <f t="shared" si="158"/>
        <v>1</v>
      </c>
      <c r="AN287" s="481"/>
      <c r="AO287" s="481"/>
      <c r="AP287" s="481">
        <v>5.5</v>
      </c>
      <c r="AQ287" s="481"/>
      <c r="AR287" s="481"/>
      <c r="AS287" s="481"/>
      <c r="AT287" s="481"/>
      <c r="AU287" s="481">
        <f t="shared" si="160"/>
        <v>5.5</v>
      </c>
      <c r="AV287" s="481"/>
      <c r="AW287" s="548"/>
      <c r="AX287" s="548">
        <v>5.5</v>
      </c>
      <c r="AY287" s="548"/>
      <c r="AZ287" s="548"/>
      <c r="BA287" s="548"/>
      <c r="BB287" s="548"/>
      <c r="BC287" s="548">
        <f t="shared" si="162"/>
        <v>5.5</v>
      </c>
      <c r="BD287" s="42">
        <f t="shared" si="172"/>
        <v>2</v>
      </c>
      <c r="BE287" s="42">
        <f t="shared" si="172"/>
        <v>0</v>
      </c>
      <c r="BF287" s="42">
        <f t="shared" si="172"/>
        <v>11</v>
      </c>
      <c r="BG287" s="42">
        <f t="shared" si="172"/>
        <v>0</v>
      </c>
      <c r="BH287" s="42">
        <f t="shared" si="172"/>
        <v>0</v>
      </c>
      <c r="BI287" s="42">
        <f t="shared" si="167"/>
        <v>0</v>
      </c>
      <c r="BJ287" s="42">
        <f t="shared" si="173"/>
        <v>0</v>
      </c>
      <c r="BK287" s="42">
        <f t="shared" si="173"/>
        <v>13</v>
      </c>
    </row>
    <row r="288" spans="1:63" ht="39.75" customHeight="1" x14ac:dyDescent="0.25">
      <c r="A288" s="298" t="s">
        <v>800</v>
      </c>
      <c r="B288" s="299" t="s">
        <v>801</v>
      </c>
      <c r="C288" s="1548"/>
      <c r="D288" s="1549"/>
      <c r="E288" s="1549"/>
      <c r="F288" s="1549"/>
      <c r="G288" s="1549"/>
      <c r="H288" s="1549"/>
      <c r="I288" s="1425"/>
      <c r="J288" s="1425"/>
      <c r="K288" s="1428" t="s">
        <v>875</v>
      </c>
      <c r="L288" s="301" t="s">
        <v>806</v>
      </c>
      <c r="M288" s="1425" t="s">
        <v>45</v>
      </c>
      <c r="N288" s="476" t="s">
        <v>46</v>
      </c>
      <c r="O288" s="1425" t="s">
        <v>73</v>
      </c>
      <c r="P288" s="16" t="s">
        <v>876</v>
      </c>
      <c r="Q288" s="302" t="s">
        <v>877</v>
      </c>
      <c r="R288" s="303">
        <v>2015</v>
      </c>
      <c r="S288" s="303">
        <v>0</v>
      </c>
      <c r="T288" s="303">
        <v>1</v>
      </c>
      <c r="U288" s="572">
        <v>1</v>
      </c>
      <c r="V288" s="572">
        <v>1</v>
      </c>
      <c r="W288" s="572">
        <v>1</v>
      </c>
      <c r="X288" s="572">
        <v>1</v>
      </c>
      <c r="Y288" s="491">
        <v>1</v>
      </c>
      <c r="Z288" s="481"/>
      <c r="AA288" s="481"/>
      <c r="AB288" s="481"/>
      <c r="AC288" s="481"/>
      <c r="AD288" s="481"/>
      <c r="AE288" s="481"/>
      <c r="AF288" s="481">
        <f t="shared" si="156"/>
        <v>1</v>
      </c>
      <c r="AG288" s="491">
        <v>1</v>
      </c>
      <c r="AH288" s="548"/>
      <c r="AI288" s="548"/>
      <c r="AJ288" s="548"/>
      <c r="AK288" s="548"/>
      <c r="AL288" s="548"/>
      <c r="AM288" s="548">
        <f t="shared" si="158"/>
        <v>1</v>
      </c>
      <c r="AN288" s="491">
        <v>0.5</v>
      </c>
      <c r="AO288" s="481"/>
      <c r="AP288" s="481"/>
      <c r="AQ288" s="481"/>
      <c r="AR288" s="481"/>
      <c r="AS288" s="481"/>
      <c r="AT288" s="481"/>
      <c r="AU288" s="481">
        <f t="shared" si="160"/>
        <v>0.5</v>
      </c>
      <c r="AV288" s="491">
        <v>0.5</v>
      </c>
      <c r="AW288" s="548"/>
      <c r="AX288" s="548"/>
      <c r="AY288" s="548"/>
      <c r="AZ288" s="548"/>
      <c r="BA288" s="548"/>
      <c r="BB288" s="548"/>
      <c r="BC288" s="548">
        <f t="shared" si="162"/>
        <v>0.5</v>
      </c>
      <c r="BD288" s="42">
        <f t="shared" si="172"/>
        <v>3</v>
      </c>
      <c r="BE288" s="42">
        <f t="shared" si="172"/>
        <v>0</v>
      </c>
      <c r="BF288" s="42">
        <f t="shared" si="172"/>
        <v>0</v>
      </c>
      <c r="BG288" s="42">
        <f t="shared" si="172"/>
        <v>0</v>
      </c>
      <c r="BH288" s="42">
        <f t="shared" si="172"/>
        <v>0</v>
      </c>
      <c r="BI288" s="42">
        <f t="shared" si="167"/>
        <v>0</v>
      </c>
      <c r="BJ288" s="42">
        <f t="shared" si="173"/>
        <v>0</v>
      </c>
      <c r="BK288" s="42">
        <f t="shared" si="173"/>
        <v>3</v>
      </c>
    </row>
    <row r="289" spans="1:63" ht="26.4" x14ac:dyDescent="0.25">
      <c r="A289" s="295" t="s">
        <v>800</v>
      </c>
      <c r="B289" s="24" t="s">
        <v>798</v>
      </c>
      <c r="C289" s="6"/>
      <c r="D289" s="2" t="s">
        <v>878</v>
      </c>
      <c r="E289" s="1"/>
      <c r="F289" s="1"/>
      <c r="G289" s="1"/>
      <c r="H289" s="1"/>
      <c r="I289" s="1"/>
      <c r="J289" s="1"/>
      <c r="K289" s="1"/>
      <c r="L289" s="1"/>
      <c r="M289" s="1"/>
      <c r="N289" s="1"/>
      <c r="O289" s="1"/>
      <c r="P289" s="22"/>
      <c r="Q289" s="22"/>
      <c r="R289" s="1"/>
      <c r="S289" s="1"/>
      <c r="T289" s="1"/>
      <c r="U289" s="49"/>
      <c r="V289" s="49"/>
      <c r="W289" s="49"/>
      <c r="X289" s="49"/>
      <c r="Y289" s="497">
        <f t="shared" ref="Y289:AE289" si="174">SUM(Y294:Y305)</f>
        <v>190</v>
      </c>
      <c r="Z289" s="497">
        <f t="shared" si="174"/>
        <v>0</v>
      </c>
      <c r="AA289" s="497">
        <f t="shared" si="174"/>
        <v>376</v>
      </c>
      <c r="AB289" s="497">
        <f t="shared" si="174"/>
        <v>0</v>
      </c>
      <c r="AC289" s="497">
        <f t="shared" si="174"/>
        <v>0</v>
      </c>
      <c r="AD289" s="497">
        <f t="shared" si="174"/>
        <v>259.8</v>
      </c>
      <c r="AE289" s="497">
        <f t="shared" si="174"/>
        <v>400</v>
      </c>
      <c r="AF289" s="497">
        <f>SUM(Y289:AE289)</f>
        <v>1225.8</v>
      </c>
      <c r="AG289" s="34">
        <f t="shared" ref="AG289:AL289" si="175">SUM(AG294:AG305)</f>
        <v>226.2</v>
      </c>
      <c r="AH289" s="34">
        <f t="shared" si="175"/>
        <v>0</v>
      </c>
      <c r="AI289" s="34">
        <f t="shared" si="175"/>
        <v>385.44</v>
      </c>
      <c r="AJ289" s="34">
        <f t="shared" si="175"/>
        <v>200</v>
      </c>
      <c r="AK289" s="34">
        <f t="shared" si="175"/>
        <v>0</v>
      </c>
      <c r="AL289" s="34">
        <f t="shared" si="175"/>
        <v>0</v>
      </c>
      <c r="AM289" s="34">
        <f>SUM(AG289:AL289)</f>
        <v>811.64</v>
      </c>
      <c r="AN289" s="34">
        <f t="shared" ref="AN289:AT289" si="176">SUM(AN294:AN305)</f>
        <v>248.488</v>
      </c>
      <c r="AO289" s="34">
        <f t="shared" si="176"/>
        <v>0</v>
      </c>
      <c r="AP289" s="34">
        <f t="shared" si="176"/>
        <v>402.05759999999998</v>
      </c>
      <c r="AQ289" s="34">
        <f t="shared" si="176"/>
        <v>600</v>
      </c>
      <c r="AR289" s="34">
        <f t="shared" si="176"/>
        <v>0</v>
      </c>
      <c r="AS289" s="34">
        <f t="shared" si="176"/>
        <v>0</v>
      </c>
      <c r="AT289" s="34">
        <f t="shared" si="176"/>
        <v>0</v>
      </c>
      <c r="AU289" s="34">
        <f>SUM(AN289:AT289)</f>
        <v>1250.5455999999999</v>
      </c>
      <c r="AV289" s="34">
        <f t="shared" ref="AV289:BB289" si="177">SUM(AV294:AV305)</f>
        <v>333.86752000000001</v>
      </c>
      <c r="AW289" s="34">
        <f t="shared" si="177"/>
        <v>0</v>
      </c>
      <c r="AX289" s="34">
        <f t="shared" si="177"/>
        <v>416.85990400000003</v>
      </c>
      <c r="AY289" s="34">
        <f t="shared" si="177"/>
        <v>0</v>
      </c>
      <c r="AZ289" s="34">
        <f t="shared" si="177"/>
        <v>0</v>
      </c>
      <c r="BA289" s="34">
        <f t="shared" si="177"/>
        <v>0</v>
      </c>
      <c r="BB289" s="34">
        <f t="shared" si="177"/>
        <v>0</v>
      </c>
      <c r="BC289" s="34">
        <f>SUM(AV289:BB289)</f>
        <v>750.72742400000004</v>
      </c>
      <c r="BD289" s="34">
        <f t="shared" si="172"/>
        <v>998.55552000000012</v>
      </c>
      <c r="BE289" s="34">
        <f t="shared" si="172"/>
        <v>0</v>
      </c>
      <c r="BF289" s="34">
        <f t="shared" si="172"/>
        <v>1580.3575040000001</v>
      </c>
      <c r="BG289" s="34">
        <f t="shared" si="172"/>
        <v>800</v>
      </c>
      <c r="BH289" s="34">
        <f t="shared" si="172"/>
        <v>0</v>
      </c>
      <c r="BI289" s="34">
        <f t="shared" si="167"/>
        <v>259.8</v>
      </c>
      <c r="BJ289" s="34">
        <f t="shared" si="173"/>
        <v>400</v>
      </c>
      <c r="BK289" s="34">
        <f t="shared" si="173"/>
        <v>4038.7130239999997</v>
      </c>
    </row>
    <row r="290" spans="1:63" ht="51.75" customHeight="1" x14ac:dyDescent="0.25">
      <c r="A290" s="373" t="s">
        <v>800</v>
      </c>
      <c r="B290" s="299" t="s">
        <v>801</v>
      </c>
      <c r="C290" s="1546" t="s">
        <v>879</v>
      </c>
      <c r="D290" s="1550" t="s">
        <v>880</v>
      </c>
      <c r="E290" s="1550" t="s">
        <v>881</v>
      </c>
      <c r="F290" s="1550">
        <v>2015</v>
      </c>
      <c r="G290" s="1550">
        <v>0</v>
      </c>
      <c r="H290" s="1550">
        <v>1</v>
      </c>
      <c r="I290" s="476"/>
      <c r="J290" s="476"/>
      <c r="K290" s="1428" t="s">
        <v>882</v>
      </c>
      <c r="L290" s="301" t="s">
        <v>883</v>
      </c>
      <c r="M290" s="1425" t="s">
        <v>45</v>
      </c>
      <c r="N290" s="476" t="s">
        <v>46</v>
      </c>
      <c r="O290" s="1425" t="s">
        <v>47</v>
      </c>
      <c r="P290" s="16" t="s">
        <v>884</v>
      </c>
      <c r="Q290" s="302" t="s">
        <v>146</v>
      </c>
      <c r="R290" s="303">
        <v>2015</v>
      </c>
      <c r="S290" s="303">
        <v>0</v>
      </c>
      <c r="T290" s="303">
        <v>0</v>
      </c>
      <c r="U290" s="303">
        <v>0</v>
      </c>
      <c r="V290" s="303">
        <v>1</v>
      </c>
      <c r="W290" s="303">
        <v>0</v>
      </c>
      <c r="X290" s="572">
        <v>1</v>
      </c>
      <c r="Y290" s="582"/>
      <c r="Z290" s="582"/>
      <c r="AA290" s="582"/>
      <c r="AB290" s="582"/>
      <c r="AC290" s="582"/>
      <c r="AD290" s="582"/>
      <c r="AE290" s="582"/>
      <c r="AF290" s="582"/>
      <c r="AG290" s="31"/>
      <c r="AH290" s="31"/>
      <c r="AI290" s="31"/>
      <c r="AJ290" s="31"/>
      <c r="AK290" s="31"/>
      <c r="AL290" s="31"/>
      <c r="AM290" s="31"/>
      <c r="AN290" s="582"/>
      <c r="AO290" s="582"/>
      <c r="AP290" s="582"/>
      <c r="AQ290" s="582"/>
      <c r="AR290" s="582"/>
      <c r="AS290" s="582"/>
      <c r="AT290" s="582"/>
      <c r="AU290" s="582"/>
      <c r="AV290" s="31"/>
      <c r="AW290" s="31"/>
      <c r="AX290" s="31"/>
      <c r="AY290" s="31"/>
      <c r="AZ290" s="31"/>
      <c r="BA290" s="31"/>
      <c r="BB290" s="31"/>
      <c r="BC290" s="31"/>
      <c r="BD290" s="32"/>
      <c r="BE290" s="32"/>
      <c r="BF290" s="32"/>
      <c r="BG290" s="32"/>
      <c r="BH290" s="32"/>
      <c r="BI290" s="32"/>
      <c r="BJ290" s="32"/>
      <c r="BK290" s="32"/>
    </row>
    <row r="291" spans="1:63" ht="52.5" customHeight="1" x14ac:dyDescent="0.25">
      <c r="A291" s="373" t="s">
        <v>800</v>
      </c>
      <c r="B291" s="299" t="s">
        <v>801</v>
      </c>
      <c r="C291" s="1547"/>
      <c r="D291" s="1551"/>
      <c r="E291" s="1551"/>
      <c r="F291" s="1551"/>
      <c r="G291" s="1551"/>
      <c r="H291" s="1551"/>
      <c r="I291" s="476"/>
      <c r="J291" s="476"/>
      <c r="K291" s="1428" t="s">
        <v>885</v>
      </c>
      <c r="L291" s="301" t="s">
        <v>883</v>
      </c>
      <c r="M291" s="1425" t="s">
        <v>45</v>
      </c>
      <c r="N291" s="476" t="s">
        <v>46</v>
      </c>
      <c r="O291" s="1425" t="s">
        <v>47</v>
      </c>
      <c r="P291" s="16" t="s">
        <v>886</v>
      </c>
      <c r="Q291" s="302" t="s">
        <v>887</v>
      </c>
      <c r="R291" s="303">
        <v>2015</v>
      </c>
      <c r="S291" s="303">
        <v>0</v>
      </c>
      <c r="T291" s="303">
        <v>0</v>
      </c>
      <c r="U291" s="303">
        <v>1</v>
      </c>
      <c r="V291" s="303">
        <v>0</v>
      </c>
      <c r="W291" s="303">
        <v>0</v>
      </c>
      <c r="X291" s="572">
        <v>1</v>
      </c>
      <c r="Y291" s="582"/>
      <c r="Z291" s="582"/>
      <c r="AA291" s="582"/>
      <c r="AB291" s="582"/>
      <c r="AC291" s="582"/>
      <c r="AD291" s="582"/>
      <c r="AE291" s="582"/>
      <c r="AF291" s="582"/>
      <c r="AG291" s="31"/>
      <c r="AH291" s="31"/>
      <c r="AI291" s="31"/>
      <c r="AJ291" s="31"/>
      <c r="AK291" s="31"/>
      <c r="AL291" s="31"/>
      <c r="AM291" s="31"/>
      <c r="AN291" s="582"/>
      <c r="AO291" s="582"/>
      <c r="AP291" s="582"/>
      <c r="AQ291" s="582"/>
      <c r="AR291" s="582"/>
      <c r="AS291" s="582"/>
      <c r="AT291" s="582"/>
      <c r="AU291" s="582"/>
      <c r="AV291" s="31"/>
      <c r="AW291" s="31"/>
      <c r="AX291" s="31"/>
      <c r="AY291" s="31"/>
      <c r="AZ291" s="31"/>
      <c r="BA291" s="31"/>
      <c r="BB291" s="31"/>
      <c r="BC291" s="31"/>
      <c r="BD291" s="32"/>
      <c r="BE291" s="32"/>
      <c r="BF291" s="32"/>
      <c r="BG291" s="32"/>
      <c r="BH291" s="32"/>
      <c r="BI291" s="32"/>
      <c r="BJ291" s="32"/>
      <c r="BK291" s="32"/>
    </row>
    <row r="292" spans="1:63" ht="47.25" customHeight="1" x14ac:dyDescent="0.25">
      <c r="A292" s="298" t="s">
        <v>800</v>
      </c>
      <c r="B292" s="299" t="s">
        <v>801</v>
      </c>
      <c r="C292" s="1547"/>
      <c r="D292" s="1551"/>
      <c r="E292" s="1551"/>
      <c r="F292" s="1551"/>
      <c r="G292" s="1551"/>
      <c r="H292" s="1551"/>
      <c r="I292" s="1425"/>
      <c r="J292" s="1425"/>
      <c r="K292" s="1428" t="s">
        <v>888</v>
      </c>
      <c r="L292" s="301" t="s">
        <v>883</v>
      </c>
      <c r="M292" s="1425" t="s">
        <v>45</v>
      </c>
      <c r="N292" s="476" t="s">
        <v>46</v>
      </c>
      <c r="O292" s="1425" t="s">
        <v>47</v>
      </c>
      <c r="P292" s="16" t="s">
        <v>889</v>
      </c>
      <c r="Q292" s="302" t="s">
        <v>890</v>
      </c>
      <c r="R292" s="303">
        <v>2015</v>
      </c>
      <c r="S292" s="303">
        <v>0</v>
      </c>
      <c r="T292" s="303">
        <v>0</v>
      </c>
      <c r="U292" s="303">
        <v>0</v>
      </c>
      <c r="V292" s="303">
        <v>1</v>
      </c>
      <c r="W292" s="303">
        <v>0</v>
      </c>
      <c r="X292" s="572">
        <v>1</v>
      </c>
      <c r="Y292" s="481"/>
      <c r="Z292" s="481"/>
      <c r="AA292" s="481"/>
      <c r="AB292" s="481"/>
      <c r="AC292" s="481"/>
      <c r="AD292" s="481"/>
      <c r="AE292" s="481"/>
      <c r="AF292" s="481">
        <f>SUM(Y292:AE292)</f>
        <v>0</v>
      </c>
      <c r="AG292" s="548"/>
      <c r="AH292" s="548"/>
      <c r="AI292" s="548"/>
      <c r="AJ292" s="548"/>
      <c r="AK292" s="548"/>
      <c r="AL292" s="548"/>
      <c r="AM292" s="548">
        <f>SUM(AG292:AL292)</f>
        <v>0</v>
      </c>
      <c r="AN292" s="481"/>
      <c r="AO292" s="481"/>
      <c r="AP292" s="481"/>
      <c r="AQ292" s="481"/>
      <c r="AR292" s="481"/>
      <c r="AS292" s="481"/>
      <c r="AT292" s="481"/>
      <c r="AU292" s="481">
        <f>SUM(AN292:AT292)</f>
        <v>0</v>
      </c>
      <c r="AV292" s="548"/>
      <c r="AW292" s="548"/>
      <c r="AX292" s="548"/>
      <c r="AY292" s="548"/>
      <c r="AZ292" s="548"/>
      <c r="BA292" s="548"/>
      <c r="BB292" s="548"/>
      <c r="BC292" s="548">
        <f>SUM(AV292:BB292)</f>
        <v>0</v>
      </c>
      <c r="BD292" s="42">
        <f>+AV292+AN292+AG292+Y292</f>
        <v>0</v>
      </c>
      <c r="BE292" s="42">
        <f>+AW292+AO292+AH292+Z292</f>
        <v>0</v>
      </c>
      <c r="BF292" s="42">
        <f>+AX292+AP292+AI292+AA292</f>
        <v>0</v>
      </c>
      <c r="BG292" s="42">
        <f>+AY292+AQ292+AJ292+AB292</f>
        <v>0</v>
      </c>
      <c r="BH292" s="42">
        <f>+AZ292+AR292+AK292+AC292</f>
        <v>0</v>
      </c>
      <c r="BI292" s="42">
        <f>+AD292+AS292+BA292</f>
        <v>0</v>
      </c>
      <c r="BJ292" s="42">
        <f>+BB292+AT292+AL292+AE292</f>
        <v>0</v>
      </c>
      <c r="BK292" s="42">
        <f>+BC292+AU292+AM292+AF292</f>
        <v>0</v>
      </c>
    </row>
    <row r="293" spans="1:63" ht="49.5" customHeight="1" x14ac:dyDescent="0.25">
      <c r="A293" s="373" t="s">
        <v>800</v>
      </c>
      <c r="B293" s="299" t="s">
        <v>801</v>
      </c>
      <c r="C293" s="1547"/>
      <c r="D293" s="1552"/>
      <c r="E293" s="1552"/>
      <c r="F293" s="1552"/>
      <c r="G293" s="1552"/>
      <c r="H293" s="1552"/>
      <c r="I293" s="476"/>
      <c r="J293" s="476"/>
      <c r="K293" s="1428" t="s">
        <v>891</v>
      </c>
      <c r="L293" s="301" t="s">
        <v>883</v>
      </c>
      <c r="M293" s="1425" t="s">
        <v>45</v>
      </c>
      <c r="N293" s="476" t="s">
        <v>46</v>
      </c>
      <c r="O293" s="1425" t="s">
        <v>47</v>
      </c>
      <c r="P293" s="16" t="s">
        <v>892</v>
      </c>
      <c r="Q293" s="302" t="s">
        <v>893</v>
      </c>
      <c r="R293" s="303">
        <v>2015</v>
      </c>
      <c r="S293" s="303">
        <v>0</v>
      </c>
      <c r="T293" s="303">
        <v>0</v>
      </c>
      <c r="U293" s="303">
        <v>1</v>
      </c>
      <c r="V293" s="303">
        <v>1</v>
      </c>
      <c r="W293" s="303">
        <v>2</v>
      </c>
      <c r="X293" s="572">
        <v>4</v>
      </c>
      <c r="Y293" s="582"/>
      <c r="Z293" s="582"/>
      <c r="AA293" s="582"/>
      <c r="AB293" s="582"/>
      <c r="AC293" s="582"/>
      <c r="AD293" s="582"/>
      <c r="AE293" s="582"/>
      <c r="AF293" s="582"/>
      <c r="AG293" s="31"/>
      <c r="AH293" s="31"/>
      <c r="AI293" s="31"/>
      <c r="AJ293" s="31"/>
      <c r="AK293" s="31"/>
      <c r="AL293" s="31"/>
      <c r="AM293" s="31"/>
      <c r="AN293" s="582"/>
      <c r="AO293" s="582"/>
      <c r="AP293" s="582"/>
      <c r="AQ293" s="582"/>
      <c r="AR293" s="582"/>
      <c r="AS293" s="582"/>
      <c r="AT293" s="582"/>
      <c r="AU293" s="582"/>
      <c r="AV293" s="31"/>
      <c r="AW293" s="31"/>
      <c r="AX293" s="31"/>
      <c r="AY293" s="31"/>
      <c r="AZ293" s="31"/>
      <c r="BA293" s="31"/>
      <c r="BB293" s="31"/>
      <c r="BC293" s="31"/>
      <c r="BD293" s="32"/>
      <c r="BE293" s="32"/>
      <c r="BF293" s="32"/>
      <c r="BG293" s="32"/>
      <c r="BH293" s="32"/>
      <c r="BI293" s="32"/>
      <c r="BJ293" s="32"/>
      <c r="BK293" s="32"/>
    </row>
    <row r="294" spans="1:63" ht="3.75" customHeight="1" x14ac:dyDescent="0.2">
      <c r="A294" s="151"/>
      <c r="B294" s="7" t="s">
        <v>894</v>
      </c>
      <c r="C294" s="7"/>
      <c r="D294" s="1442"/>
      <c r="E294" s="1442"/>
      <c r="F294" s="1442"/>
      <c r="G294" s="1442"/>
      <c r="H294" s="1442"/>
      <c r="I294" s="1442"/>
      <c r="J294" s="1442"/>
      <c r="K294" s="1442"/>
      <c r="L294" s="1442"/>
      <c r="M294" s="1442"/>
      <c r="N294" s="11"/>
      <c r="O294" s="1442"/>
      <c r="P294" s="1440"/>
      <c r="Q294" s="1440"/>
      <c r="R294" s="1442"/>
      <c r="S294" s="1442"/>
      <c r="T294" s="1442"/>
      <c r="U294" s="63"/>
      <c r="V294" s="63"/>
      <c r="W294" s="63"/>
      <c r="X294" s="63"/>
      <c r="Y294" s="42">
        <v>55</v>
      </c>
      <c r="Z294" s="42"/>
      <c r="AA294" s="42">
        <v>111</v>
      </c>
      <c r="AB294" s="42"/>
      <c r="AC294" s="42"/>
      <c r="AD294" s="42">
        <v>79.7</v>
      </c>
      <c r="AE294" s="42"/>
      <c r="AF294" s="42"/>
      <c r="AG294" s="42">
        <f>+Y294*1.04</f>
        <v>57.2</v>
      </c>
      <c r="AH294" s="42"/>
      <c r="AI294" s="42">
        <f>+AA294*1.04</f>
        <v>115.44</v>
      </c>
      <c r="AJ294" s="42"/>
      <c r="AK294" s="42"/>
      <c r="AL294" s="42"/>
      <c r="AM294" s="42"/>
      <c r="AN294" s="42">
        <f>+AG294*1.04</f>
        <v>59.488000000000007</v>
      </c>
      <c r="AO294" s="42"/>
      <c r="AP294" s="42">
        <f>+AI294*1.04</f>
        <v>120.05760000000001</v>
      </c>
      <c r="AQ294" s="42"/>
      <c r="AR294" s="42"/>
      <c r="AS294" s="42"/>
      <c r="AT294" s="42"/>
      <c r="AU294" s="42"/>
      <c r="AV294" s="42">
        <f>+AN294*1.04</f>
        <v>61.867520000000006</v>
      </c>
      <c r="AW294" s="42"/>
      <c r="AX294" s="42">
        <f>+AP294*1.04</f>
        <v>124.85990400000001</v>
      </c>
      <c r="AY294" s="42"/>
      <c r="AZ294" s="42"/>
      <c r="BA294" s="42"/>
      <c r="BB294" s="42"/>
      <c r="BC294" s="42"/>
      <c r="BD294" s="42">
        <f t="shared" si="172"/>
        <v>233.55552</v>
      </c>
      <c r="BE294" s="42">
        <f t="shared" si="172"/>
        <v>0</v>
      </c>
      <c r="BF294" s="42">
        <f t="shared" si="172"/>
        <v>471.35750400000001</v>
      </c>
      <c r="BG294" s="42">
        <f t="shared" si="172"/>
        <v>0</v>
      </c>
      <c r="BH294" s="42">
        <f t="shared" si="172"/>
        <v>0</v>
      </c>
      <c r="BI294" s="42">
        <f t="shared" si="167"/>
        <v>79.7</v>
      </c>
      <c r="BJ294" s="42">
        <f t="shared" si="173"/>
        <v>0</v>
      </c>
      <c r="BK294" s="42">
        <f t="shared" si="173"/>
        <v>0</v>
      </c>
    </row>
    <row r="295" spans="1:63" ht="20.25" x14ac:dyDescent="0.2">
      <c r="A295" s="290"/>
      <c r="B295" s="1565" t="s">
        <v>894</v>
      </c>
      <c r="C295" s="1566"/>
      <c r="D295" s="1566"/>
      <c r="E295" s="1566"/>
      <c r="F295" s="1566"/>
      <c r="G295" s="1566"/>
      <c r="H295" s="1566"/>
      <c r="I295" s="1566"/>
      <c r="J295" s="1566"/>
      <c r="K295" s="1566"/>
      <c r="L295" s="1566"/>
      <c r="M295" s="1567"/>
      <c r="N295" s="597"/>
      <c r="O295" s="597"/>
      <c r="P295" s="598"/>
      <c r="Q295" s="598"/>
      <c r="R295" s="597"/>
      <c r="S295" s="597"/>
      <c r="T295" s="597"/>
      <c r="U295" s="599"/>
      <c r="V295" s="599"/>
      <c r="W295" s="599"/>
      <c r="X295" s="599"/>
      <c r="Y295" s="600">
        <f>+Y296</f>
        <v>50</v>
      </c>
      <c r="Z295" s="600">
        <f t="shared" ref="Z295:AE295" si="178">+Z296</f>
        <v>0</v>
      </c>
      <c r="AA295" s="600">
        <f t="shared" si="178"/>
        <v>111</v>
      </c>
      <c r="AB295" s="600">
        <f t="shared" si="178"/>
        <v>0</v>
      </c>
      <c r="AC295" s="600">
        <f t="shared" si="178"/>
        <v>0</v>
      </c>
      <c r="AD295" s="600">
        <f t="shared" si="178"/>
        <v>79.7</v>
      </c>
      <c r="AE295" s="600">
        <f t="shared" si="178"/>
        <v>200</v>
      </c>
      <c r="AF295" s="600">
        <f t="shared" ref="AF295:AF305" si="179">SUM(Y295:AE295)</f>
        <v>440.7</v>
      </c>
      <c r="AG295" s="600">
        <f t="shared" ref="AG295:AL295" si="180">+AG296</f>
        <v>70</v>
      </c>
      <c r="AH295" s="600">
        <f t="shared" si="180"/>
        <v>0</v>
      </c>
      <c r="AI295" s="600">
        <f t="shared" si="180"/>
        <v>116</v>
      </c>
      <c r="AJ295" s="600">
        <f t="shared" si="180"/>
        <v>100</v>
      </c>
      <c r="AK295" s="600">
        <f t="shared" si="180"/>
        <v>0</v>
      </c>
      <c r="AL295" s="600">
        <f t="shared" si="180"/>
        <v>0</v>
      </c>
      <c r="AM295" s="600">
        <f t="shared" ref="AM295:AM304" si="181">SUM(AG295:AL295)</f>
        <v>286</v>
      </c>
      <c r="AN295" s="600">
        <f t="shared" ref="AN295:AT295" si="182">+AN296</f>
        <v>81</v>
      </c>
      <c r="AO295" s="600">
        <f t="shared" si="182"/>
        <v>0</v>
      </c>
      <c r="AP295" s="600">
        <f t="shared" si="182"/>
        <v>120</v>
      </c>
      <c r="AQ295" s="600">
        <f t="shared" si="182"/>
        <v>200</v>
      </c>
      <c r="AR295" s="600">
        <f t="shared" si="182"/>
        <v>0</v>
      </c>
      <c r="AS295" s="600">
        <f t="shared" si="182"/>
        <v>0</v>
      </c>
      <c r="AT295" s="600">
        <f t="shared" si="182"/>
        <v>0</v>
      </c>
      <c r="AU295" s="600">
        <f t="shared" ref="AU295:AU305" si="183">SUM(AN295:AT295)</f>
        <v>401</v>
      </c>
      <c r="AV295" s="600">
        <f t="shared" ref="AV295:BB295" si="184">+AV296</f>
        <v>112</v>
      </c>
      <c r="AW295" s="600">
        <f t="shared" si="184"/>
        <v>0</v>
      </c>
      <c r="AX295" s="600">
        <f t="shared" si="184"/>
        <v>125</v>
      </c>
      <c r="AY295" s="600">
        <f t="shared" si="184"/>
        <v>0</v>
      </c>
      <c r="AZ295" s="600">
        <f t="shared" si="184"/>
        <v>0</v>
      </c>
      <c r="BA295" s="600">
        <f t="shared" si="184"/>
        <v>0</v>
      </c>
      <c r="BB295" s="600">
        <f t="shared" si="184"/>
        <v>0</v>
      </c>
      <c r="BC295" s="600">
        <f t="shared" ref="BC295:BC305" si="185">SUM(AV295:BB295)</f>
        <v>237</v>
      </c>
      <c r="BD295" s="33">
        <f t="shared" si="172"/>
        <v>313</v>
      </c>
      <c r="BE295" s="33">
        <f t="shared" si="172"/>
        <v>0</v>
      </c>
      <c r="BF295" s="33">
        <f t="shared" si="172"/>
        <v>472</v>
      </c>
      <c r="BG295" s="33">
        <f t="shared" si="172"/>
        <v>300</v>
      </c>
      <c r="BH295" s="33">
        <f t="shared" si="172"/>
        <v>0</v>
      </c>
      <c r="BI295" s="33">
        <f t="shared" si="167"/>
        <v>79.7</v>
      </c>
      <c r="BJ295" s="33">
        <f t="shared" si="173"/>
        <v>200</v>
      </c>
      <c r="BK295" s="33">
        <f t="shared" si="173"/>
        <v>1364.7</v>
      </c>
    </row>
    <row r="296" spans="1:63" ht="12.75" x14ac:dyDescent="0.2">
      <c r="A296" s="296"/>
      <c r="B296" s="154" t="s">
        <v>894</v>
      </c>
      <c r="C296" s="6"/>
      <c r="D296" s="2" t="s">
        <v>895</v>
      </c>
      <c r="E296" s="1"/>
      <c r="F296" s="1"/>
      <c r="G296" s="1"/>
      <c r="H296" s="1"/>
      <c r="I296" s="1"/>
      <c r="J296" s="1"/>
      <c r="K296" s="1"/>
      <c r="L296" s="1"/>
      <c r="M296" s="1"/>
      <c r="N296" s="1"/>
      <c r="O296" s="1"/>
      <c r="P296" s="22"/>
      <c r="Q296" s="22"/>
      <c r="R296" s="1"/>
      <c r="S296" s="1"/>
      <c r="T296" s="1"/>
      <c r="U296" s="49"/>
      <c r="V296" s="49"/>
      <c r="W296" s="49"/>
      <c r="X296" s="49"/>
      <c r="Y296" s="34">
        <f t="shared" ref="Y296:AE296" si="186">SUM(Y297:Y329)</f>
        <v>50</v>
      </c>
      <c r="Z296" s="34">
        <f t="shared" si="186"/>
        <v>0</v>
      </c>
      <c r="AA296" s="34">
        <f t="shared" si="186"/>
        <v>111</v>
      </c>
      <c r="AB296" s="34">
        <f t="shared" si="186"/>
        <v>0</v>
      </c>
      <c r="AC296" s="34">
        <f t="shared" si="186"/>
        <v>0</v>
      </c>
      <c r="AD296" s="34">
        <f t="shared" si="186"/>
        <v>79.7</v>
      </c>
      <c r="AE296" s="34">
        <f t="shared" si="186"/>
        <v>200</v>
      </c>
      <c r="AF296" s="34">
        <f t="shared" si="179"/>
        <v>440.7</v>
      </c>
      <c r="AG296" s="34">
        <f t="shared" ref="AG296:AL296" si="187">SUM(AG297:AG329)</f>
        <v>70</v>
      </c>
      <c r="AH296" s="34">
        <f t="shared" si="187"/>
        <v>0</v>
      </c>
      <c r="AI296" s="34">
        <f t="shared" si="187"/>
        <v>116</v>
      </c>
      <c r="AJ296" s="34">
        <f t="shared" si="187"/>
        <v>100</v>
      </c>
      <c r="AK296" s="34">
        <f t="shared" si="187"/>
        <v>0</v>
      </c>
      <c r="AL296" s="34">
        <f t="shared" si="187"/>
        <v>0</v>
      </c>
      <c r="AM296" s="34">
        <f t="shared" si="181"/>
        <v>286</v>
      </c>
      <c r="AN296" s="34">
        <f t="shared" ref="AN296:AT296" si="188">SUM(AN297:AN329)</f>
        <v>81</v>
      </c>
      <c r="AO296" s="34">
        <f t="shared" si="188"/>
        <v>0</v>
      </c>
      <c r="AP296" s="34">
        <f t="shared" si="188"/>
        <v>120</v>
      </c>
      <c r="AQ296" s="34">
        <f t="shared" si="188"/>
        <v>200</v>
      </c>
      <c r="AR296" s="34">
        <f t="shared" si="188"/>
        <v>0</v>
      </c>
      <c r="AS296" s="34">
        <f t="shared" si="188"/>
        <v>0</v>
      </c>
      <c r="AT296" s="34">
        <f t="shared" si="188"/>
        <v>0</v>
      </c>
      <c r="AU296" s="34">
        <f t="shared" si="183"/>
        <v>401</v>
      </c>
      <c r="AV296" s="34">
        <f t="shared" ref="AV296:BB296" si="189">SUM(AV297:AV329)</f>
        <v>112</v>
      </c>
      <c r="AW296" s="34">
        <f t="shared" si="189"/>
        <v>0</v>
      </c>
      <c r="AX296" s="34">
        <f t="shared" si="189"/>
        <v>125</v>
      </c>
      <c r="AY296" s="34">
        <f t="shared" si="189"/>
        <v>0</v>
      </c>
      <c r="AZ296" s="34">
        <f t="shared" si="189"/>
        <v>0</v>
      </c>
      <c r="BA296" s="34">
        <f t="shared" si="189"/>
        <v>0</v>
      </c>
      <c r="BB296" s="34">
        <f t="shared" si="189"/>
        <v>0</v>
      </c>
      <c r="BC296" s="34">
        <f t="shared" si="185"/>
        <v>237</v>
      </c>
      <c r="BD296" s="34">
        <f t="shared" si="172"/>
        <v>313</v>
      </c>
      <c r="BE296" s="34">
        <f t="shared" si="172"/>
        <v>0</v>
      </c>
      <c r="BF296" s="34">
        <f t="shared" si="172"/>
        <v>472</v>
      </c>
      <c r="BG296" s="34">
        <f t="shared" si="172"/>
        <v>300</v>
      </c>
      <c r="BH296" s="34">
        <f t="shared" si="172"/>
        <v>0</v>
      </c>
      <c r="BI296" s="34">
        <f t="shared" si="167"/>
        <v>79.7</v>
      </c>
      <c r="BJ296" s="34">
        <f t="shared" si="173"/>
        <v>200</v>
      </c>
      <c r="BK296" s="34">
        <f t="shared" si="173"/>
        <v>1364.7</v>
      </c>
    </row>
    <row r="297" spans="1:63" ht="28.5" customHeight="1" x14ac:dyDescent="0.25">
      <c r="A297" s="298" t="s">
        <v>896</v>
      </c>
      <c r="B297" s="299" t="s">
        <v>894</v>
      </c>
      <c r="C297" s="1546" t="s">
        <v>897</v>
      </c>
      <c r="D297" s="1549" t="s">
        <v>898</v>
      </c>
      <c r="E297" s="1549" t="s">
        <v>899</v>
      </c>
      <c r="F297" s="1549">
        <v>2015</v>
      </c>
      <c r="G297" s="1562">
        <v>3803</v>
      </c>
      <c r="H297" s="1562">
        <v>4200</v>
      </c>
      <c r="I297" s="1428" t="s">
        <v>53</v>
      </c>
      <c r="J297" s="1428"/>
      <c r="K297" s="1428" t="s">
        <v>900</v>
      </c>
      <c r="L297" s="301" t="s">
        <v>901</v>
      </c>
      <c r="M297" s="1425" t="s">
        <v>902</v>
      </c>
      <c r="N297" s="476" t="s">
        <v>903</v>
      </c>
      <c r="O297" s="1425" t="s">
        <v>73</v>
      </c>
      <c r="P297" s="16" t="s">
        <v>904</v>
      </c>
      <c r="Q297" s="302" t="s">
        <v>905</v>
      </c>
      <c r="R297" s="303">
        <v>2015</v>
      </c>
      <c r="S297" s="303">
        <v>0</v>
      </c>
      <c r="T297" s="303">
        <v>0</v>
      </c>
      <c r="U297" s="572">
        <v>0</v>
      </c>
      <c r="V297" s="572">
        <v>1</v>
      </c>
      <c r="W297" s="572">
        <v>1</v>
      </c>
      <c r="X297" s="572">
        <v>1</v>
      </c>
      <c r="Y297" s="481"/>
      <c r="Z297" s="481"/>
      <c r="AA297" s="481"/>
      <c r="AB297" s="481"/>
      <c r="AC297" s="481"/>
      <c r="AD297" s="481"/>
      <c r="AE297" s="481"/>
      <c r="AF297" s="481">
        <f t="shared" si="179"/>
        <v>0</v>
      </c>
      <c r="AG297" s="42"/>
      <c r="AH297" s="548"/>
      <c r="AI297" s="548"/>
      <c r="AJ297" s="588"/>
      <c r="AK297" s="548"/>
      <c r="AL297" s="548"/>
      <c r="AM297" s="548">
        <f t="shared" si="181"/>
        <v>0</v>
      </c>
      <c r="AN297" s="481"/>
      <c r="AO297" s="481"/>
      <c r="AP297" s="481"/>
      <c r="AQ297" s="481">
        <v>200</v>
      </c>
      <c r="AR297" s="481"/>
      <c r="AS297" s="481"/>
      <c r="AT297" s="481"/>
      <c r="AU297" s="481">
        <f t="shared" si="183"/>
        <v>200</v>
      </c>
      <c r="AV297" s="491">
        <v>3</v>
      </c>
      <c r="AW297" s="548"/>
      <c r="AX297" s="548"/>
      <c r="AY297" s="588"/>
      <c r="AZ297" s="548"/>
      <c r="BA297" s="548"/>
      <c r="BB297" s="548"/>
      <c r="BC297" s="548">
        <f t="shared" si="185"/>
        <v>3</v>
      </c>
      <c r="BD297" s="42">
        <f t="shared" si="172"/>
        <v>3</v>
      </c>
      <c r="BE297" s="42">
        <f t="shared" si="172"/>
        <v>0</v>
      </c>
      <c r="BF297" s="42">
        <f t="shared" si="172"/>
        <v>0</v>
      </c>
      <c r="BG297" s="29">
        <f t="shared" si="172"/>
        <v>200</v>
      </c>
      <c r="BH297" s="42">
        <f t="shared" si="172"/>
        <v>0</v>
      </c>
      <c r="BI297" s="42">
        <f t="shared" si="167"/>
        <v>0</v>
      </c>
      <c r="BJ297" s="42">
        <f t="shared" si="173"/>
        <v>0</v>
      </c>
      <c r="BK297" s="42">
        <f t="shared" si="173"/>
        <v>203</v>
      </c>
    </row>
    <row r="298" spans="1:63" ht="30.75" customHeight="1" x14ac:dyDescent="0.25">
      <c r="A298" s="298" t="s">
        <v>896</v>
      </c>
      <c r="B298" s="299" t="s">
        <v>894</v>
      </c>
      <c r="C298" s="1547"/>
      <c r="D298" s="1549"/>
      <c r="E298" s="1549"/>
      <c r="F298" s="1549"/>
      <c r="G298" s="1549"/>
      <c r="H298" s="1549"/>
      <c r="I298" s="1425"/>
      <c r="J298" s="1425"/>
      <c r="K298" s="1428" t="s">
        <v>906</v>
      </c>
      <c r="L298" s="301" t="s">
        <v>901</v>
      </c>
      <c r="M298" s="1425" t="s">
        <v>902</v>
      </c>
      <c r="N298" s="476" t="s">
        <v>903</v>
      </c>
      <c r="O298" s="1425" t="s">
        <v>47</v>
      </c>
      <c r="P298" s="16" t="s">
        <v>907</v>
      </c>
      <c r="Q298" s="302" t="s">
        <v>908</v>
      </c>
      <c r="R298" s="303">
        <v>2015</v>
      </c>
      <c r="S298" s="303">
        <v>0</v>
      </c>
      <c r="T298" s="303">
        <v>0</v>
      </c>
      <c r="U298" s="572">
        <v>5</v>
      </c>
      <c r="V298" s="572">
        <v>10</v>
      </c>
      <c r="W298" s="572">
        <v>14</v>
      </c>
      <c r="X298" s="572">
        <v>14</v>
      </c>
      <c r="Y298" s="481"/>
      <c r="Z298" s="481"/>
      <c r="AA298" s="481"/>
      <c r="AB298" s="481"/>
      <c r="AC298" s="481"/>
      <c r="AD298" s="481"/>
      <c r="AE298" s="481"/>
      <c r="AF298" s="481">
        <f t="shared" si="179"/>
        <v>0</v>
      </c>
      <c r="AG298" s="491">
        <v>2</v>
      </c>
      <c r="AH298" s="548"/>
      <c r="AI298" s="548"/>
      <c r="AJ298" s="548"/>
      <c r="AK298" s="548"/>
      <c r="AL298" s="548"/>
      <c r="AM298" s="548">
        <f t="shared" si="181"/>
        <v>2</v>
      </c>
      <c r="AN298" s="491">
        <v>2</v>
      </c>
      <c r="AO298" s="481"/>
      <c r="AP298" s="481"/>
      <c r="AQ298" s="481"/>
      <c r="AR298" s="481"/>
      <c r="AS298" s="481"/>
      <c r="AT298" s="481"/>
      <c r="AU298" s="481">
        <f t="shared" si="183"/>
        <v>2</v>
      </c>
      <c r="AV298" s="491">
        <v>3</v>
      </c>
      <c r="AW298" s="548"/>
      <c r="AX298" s="548"/>
      <c r="AY298" s="548"/>
      <c r="AZ298" s="548"/>
      <c r="BA298" s="548"/>
      <c r="BB298" s="548"/>
      <c r="BC298" s="548">
        <f t="shared" si="185"/>
        <v>3</v>
      </c>
      <c r="BD298" s="42">
        <f t="shared" si="172"/>
        <v>7</v>
      </c>
      <c r="BE298" s="42">
        <f t="shared" si="172"/>
        <v>0</v>
      </c>
      <c r="BF298" s="42">
        <f t="shared" si="172"/>
        <v>0</v>
      </c>
      <c r="BG298" s="42">
        <f t="shared" si="172"/>
        <v>0</v>
      </c>
      <c r="BH298" s="42">
        <f t="shared" si="172"/>
        <v>0</v>
      </c>
      <c r="BI298" s="42">
        <f t="shared" si="167"/>
        <v>0</v>
      </c>
      <c r="BJ298" s="42">
        <f t="shared" si="173"/>
        <v>0</v>
      </c>
      <c r="BK298" s="42">
        <f t="shared" si="173"/>
        <v>7</v>
      </c>
    </row>
    <row r="299" spans="1:63" ht="33.75" customHeight="1" x14ac:dyDescent="0.25">
      <c r="A299" s="298" t="s">
        <v>896</v>
      </c>
      <c r="B299" s="299" t="s">
        <v>894</v>
      </c>
      <c r="C299" s="1547"/>
      <c r="D299" s="1549"/>
      <c r="E299" s="1549"/>
      <c r="F299" s="1549"/>
      <c r="G299" s="1549"/>
      <c r="H299" s="1549"/>
      <c r="I299" s="1425"/>
      <c r="J299" s="1425"/>
      <c r="K299" s="1428" t="s">
        <v>909</v>
      </c>
      <c r="L299" s="301" t="s">
        <v>901</v>
      </c>
      <c r="M299" s="1425" t="s">
        <v>902</v>
      </c>
      <c r="N299" s="476" t="s">
        <v>903</v>
      </c>
      <c r="O299" s="1425" t="s">
        <v>47</v>
      </c>
      <c r="P299" s="16" t="s">
        <v>910</v>
      </c>
      <c r="Q299" s="302" t="s">
        <v>911</v>
      </c>
      <c r="R299" s="303">
        <v>2015</v>
      </c>
      <c r="S299" s="303">
        <v>0</v>
      </c>
      <c r="T299" s="303">
        <v>0</v>
      </c>
      <c r="U299" s="572">
        <v>1</v>
      </c>
      <c r="V299" s="572">
        <v>2</v>
      </c>
      <c r="W299" s="572">
        <v>3</v>
      </c>
      <c r="X299" s="572">
        <v>3</v>
      </c>
      <c r="Y299" s="481"/>
      <c r="Z299" s="481"/>
      <c r="AA299" s="481"/>
      <c r="AB299" s="481"/>
      <c r="AC299" s="481"/>
      <c r="AD299" s="481"/>
      <c r="AE299" s="481"/>
      <c r="AF299" s="481">
        <f t="shared" si="179"/>
        <v>0</v>
      </c>
      <c r="AG299" s="491">
        <v>2</v>
      </c>
      <c r="AH299" s="548"/>
      <c r="AI299" s="548"/>
      <c r="AJ299" s="548"/>
      <c r="AK299" s="548"/>
      <c r="AL299" s="548"/>
      <c r="AM299" s="548">
        <f t="shared" si="181"/>
        <v>2</v>
      </c>
      <c r="AN299" s="491">
        <v>2</v>
      </c>
      <c r="AO299" s="481"/>
      <c r="AP299" s="481"/>
      <c r="AQ299" s="481"/>
      <c r="AR299" s="481"/>
      <c r="AS299" s="481"/>
      <c r="AT299" s="481"/>
      <c r="AU299" s="481">
        <f t="shared" si="183"/>
        <v>2</v>
      </c>
      <c r="AV299" s="491">
        <v>3</v>
      </c>
      <c r="AW299" s="548"/>
      <c r="AX299" s="548"/>
      <c r="AY299" s="548"/>
      <c r="AZ299" s="548"/>
      <c r="BA299" s="548"/>
      <c r="BB299" s="548"/>
      <c r="BC299" s="548">
        <f t="shared" si="185"/>
        <v>3</v>
      </c>
      <c r="BD299" s="42">
        <f t="shared" si="172"/>
        <v>7</v>
      </c>
      <c r="BE299" s="42">
        <f t="shared" si="172"/>
        <v>0</v>
      </c>
      <c r="BF299" s="42">
        <f t="shared" si="172"/>
        <v>0</v>
      </c>
      <c r="BG299" s="42">
        <f t="shared" si="172"/>
        <v>0</v>
      </c>
      <c r="BH299" s="42">
        <f t="shared" si="172"/>
        <v>0</v>
      </c>
      <c r="BI299" s="42">
        <f t="shared" si="167"/>
        <v>0</v>
      </c>
      <c r="BJ299" s="42">
        <f t="shared" si="173"/>
        <v>0</v>
      </c>
      <c r="BK299" s="42">
        <f t="shared" si="173"/>
        <v>7</v>
      </c>
    </row>
    <row r="300" spans="1:63" ht="33" customHeight="1" x14ac:dyDescent="0.25">
      <c r="A300" s="298" t="s">
        <v>896</v>
      </c>
      <c r="B300" s="299" t="s">
        <v>894</v>
      </c>
      <c r="C300" s="1547"/>
      <c r="D300" s="1549"/>
      <c r="E300" s="1549"/>
      <c r="F300" s="1549"/>
      <c r="G300" s="1549"/>
      <c r="H300" s="1549"/>
      <c r="I300" s="1425"/>
      <c r="J300" s="1425"/>
      <c r="K300" s="1428" t="s">
        <v>912</v>
      </c>
      <c r="L300" s="301" t="s">
        <v>901</v>
      </c>
      <c r="M300" s="1425" t="s">
        <v>902</v>
      </c>
      <c r="N300" s="476" t="s">
        <v>903</v>
      </c>
      <c r="O300" s="1425" t="s">
        <v>47</v>
      </c>
      <c r="P300" s="16" t="s">
        <v>913</v>
      </c>
      <c r="Q300" s="302" t="s">
        <v>914</v>
      </c>
      <c r="R300" s="303">
        <v>2015</v>
      </c>
      <c r="S300" s="303">
        <v>0</v>
      </c>
      <c r="T300" s="303">
        <v>1</v>
      </c>
      <c r="U300" s="572">
        <v>2</v>
      </c>
      <c r="V300" s="572">
        <v>3</v>
      </c>
      <c r="W300" s="572">
        <v>4</v>
      </c>
      <c r="X300" s="572">
        <v>4</v>
      </c>
      <c r="Y300" s="579">
        <v>1</v>
      </c>
      <c r="Z300" s="481"/>
      <c r="AA300" s="481">
        <v>0</v>
      </c>
      <c r="AB300" s="481"/>
      <c r="AC300" s="481"/>
      <c r="AD300" s="481"/>
      <c r="AE300" s="481"/>
      <c r="AF300" s="481">
        <f t="shared" si="179"/>
        <v>1</v>
      </c>
      <c r="AG300" s="42">
        <v>1</v>
      </c>
      <c r="AH300" s="548"/>
      <c r="AI300" s="548"/>
      <c r="AJ300" s="548"/>
      <c r="AK300" s="548"/>
      <c r="AL300" s="548"/>
      <c r="AM300" s="548">
        <f t="shared" si="181"/>
        <v>1</v>
      </c>
      <c r="AN300" s="42">
        <v>1</v>
      </c>
      <c r="AO300" s="481"/>
      <c r="AP300" s="481"/>
      <c r="AQ300" s="481"/>
      <c r="AR300" s="481"/>
      <c r="AS300" s="481"/>
      <c r="AT300" s="481"/>
      <c r="AU300" s="481">
        <f t="shared" si="183"/>
        <v>1</v>
      </c>
      <c r="AV300" s="548">
        <v>1</v>
      </c>
      <c r="AW300" s="548"/>
      <c r="AX300" s="548"/>
      <c r="AY300" s="548"/>
      <c r="AZ300" s="548"/>
      <c r="BA300" s="548"/>
      <c r="BB300" s="548"/>
      <c r="BC300" s="548">
        <f t="shared" si="185"/>
        <v>1</v>
      </c>
      <c r="BD300" s="42">
        <f t="shared" si="172"/>
        <v>4</v>
      </c>
      <c r="BE300" s="42">
        <f t="shared" si="172"/>
        <v>0</v>
      </c>
      <c r="BF300" s="42">
        <f t="shared" si="172"/>
        <v>0</v>
      </c>
      <c r="BG300" s="42">
        <f t="shared" si="172"/>
        <v>0</v>
      </c>
      <c r="BH300" s="42">
        <f t="shared" si="172"/>
        <v>0</v>
      </c>
      <c r="BI300" s="42">
        <f t="shared" si="167"/>
        <v>0</v>
      </c>
      <c r="BJ300" s="42">
        <f t="shared" si="173"/>
        <v>0</v>
      </c>
      <c r="BK300" s="42">
        <f t="shared" si="173"/>
        <v>4</v>
      </c>
    </row>
    <row r="301" spans="1:63" ht="36.75" customHeight="1" x14ac:dyDescent="0.25">
      <c r="A301" s="298" t="s">
        <v>896</v>
      </c>
      <c r="B301" s="299" t="s">
        <v>894</v>
      </c>
      <c r="C301" s="1547"/>
      <c r="D301" s="1549"/>
      <c r="E301" s="1549"/>
      <c r="F301" s="1549"/>
      <c r="G301" s="1549"/>
      <c r="H301" s="1549"/>
      <c r="I301" s="1425"/>
      <c r="J301" s="1425"/>
      <c r="K301" s="1428" t="s">
        <v>915</v>
      </c>
      <c r="L301" s="301" t="s">
        <v>901</v>
      </c>
      <c r="M301" s="1425" t="s">
        <v>902</v>
      </c>
      <c r="N301" s="476" t="s">
        <v>903</v>
      </c>
      <c r="O301" s="1425" t="s">
        <v>47</v>
      </c>
      <c r="P301" s="16" t="s">
        <v>916</v>
      </c>
      <c r="Q301" s="302" t="s">
        <v>917</v>
      </c>
      <c r="R301" s="303">
        <v>2015</v>
      </c>
      <c r="S301" s="303">
        <v>0</v>
      </c>
      <c r="T301" s="303">
        <v>0</v>
      </c>
      <c r="U301" s="572">
        <v>33</v>
      </c>
      <c r="V301" s="572">
        <v>66</v>
      </c>
      <c r="W301" s="572">
        <v>100</v>
      </c>
      <c r="X301" s="572">
        <v>100</v>
      </c>
      <c r="Y301" s="481"/>
      <c r="Z301" s="481"/>
      <c r="AA301" s="481"/>
      <c r="AB301" s="481"/>
      <c r="AC301" s="481"/>
      <c r="AD301" s="481"/>
      <c r="AE301" s="481"/>
      <c r="AF301" s="481">
        <f t="shared" si="179"/>
        <v>0</v>
      </c>
      <c r="AG301" s="491">
        <v>5</v>
      </c>
      <c r="AH301" s="548"/>
      <c r="AI301" s="548"/>
      <c r="AJ301" s="548"/>
      <c r="AK301" s="548"/>
      <c r="AL301" s="548"/>
      <c r="AM301" s="548">
        <f t="shared" si="181"/>
        <v>5</v>
      </c>
      <c r="AN301" s="491">
        <v>5</v>
      </c>
      <c r="AO301" s="481"/>
      <c r="AP301" s="481"/>
      <c r="AQ301" s="481"/>
      <c r="AR301" s="481"/>
      <c r="AS301" s="481"/>
      <c r="AT301" s="481"/>
      <c r="AU301" s="481">
        <f t="shared" si="183"/>
        <v>5</v>
      </c>
      <c r="AV301" s="491">
        <v>7</v>
      </c>
      <c r="AW301" s="548"/>
      <c r="AX301" s="548"/>
      <c r="AY301" s="548"/>
      <c r="AZ301" s="548"/>
      <c r="BA301" s="548"/>
      <c r="BB301" s="548"/>
      <c r="BC301" s="548">
        <f t="shared" si="185"/>
        <v>7</v>
      </c>
      <c r="BD301" s="42">
        <f t="shared" si="172"/>
        <v>17</v>
      </c>
      <c r="BE301" s="42">
        <f t="shared" si="172"/>
        <v>0</v>
      </c>
      <c r="BF301" s="42">
        <f t="shared" si="172"/>
        <v>0</v>
      </c>
      <c r="BG301" s="42">
        <f t="shared" si="172"/>
        <v>0</v>
      </c>
      <c r="BH301" s="42">
        <f t="shared" si="172"/>
        <v>0</v>
      </c>
      <c r="BI301" s="42">
        <f t="shared" si="167"/>
        <v>0</v>
      </c>
      <c r="BJ301" s="42">
        <f t="shared" si="173"/>
        <v>0</v>
      </c>
      <c r="BK301" s="42">
        <f t="shared" si="173"/>
        <v>17</v>
      </c>
    </row>
    <row r="302" spans="1:63" ht="53.25" customHeight="1" x14ac:dyDescent="0.25">
      <c r="A302" s="298" t="s">
        <v>896</v>
      </c>
      <c r="B302" s="299" t="s">
        <v>894</v>
      </c>
      <c r="C302" s="1547"/>
      <c r="D302" s="1549"/>
      <c r="E302" s="1549"/>
      <c r="F302" s="1549"/>
      <c r="G302" s="1549"/>
      <c r="H302" s="1549"/>
      <c r="I302" s="1425"/>
      <c r="J302" s="1425"/>
      <c r="K302" s="1428" t="s">
        <v>918</v>
      </c>
      <c r="L302" s="301" t="s">
        <v>901</v>
      </c>
      <c r="M302" s="1425" t="s">
        <v>902</v>
      </c>
      <c r="N302" s="476" t="s">
        <v>903</v>
      </c>
      <c r="O302" s="1425" t="s">
        <v>73</v>
      </c>
      <c r="P302" s="16" t="s">
        <v>919</v>
      </c>
      <c r="Q302" s="302" t="s">
        <v>194</v>
      </c>
      <c r="R302" s="303">
        <v>2015</v>
      </c>
      <c r="S302" s="303">
        <v>0</v>
      </c>
      <c r="T302" s="303">
        <v>1</v>
      </c>
      <c r="U302" s="572">
        <v>1</v>
      </c>
      <c r="V302" s="572">
        <v>1</v>
      </c>
      <c r="W302" s="572">
        <v>1</v>
      </c>
      <c r="X302" s="572">
        <v>1</v>
      </c>
      <c r="Y302" s="481">
        <v>10</v>
      </c>
      <c r="Z302" s="481"/>
      <c r="AA302" s="481">
        <v>30</v>
      </c>
      <c r="AB302" s="481"/>
      <c r="AC302" s="481"/>
      <c r="AD302" s="481">
        <v>20.7</v>
      </c>
      <c r="AE302" s="481"/>
      <c r="AF302" s="481">
        <f t="shared" si="179"/>
        <v>60.7</v>
      </c>
      <c r="AG302" s="491">
        <v>5</v>
      </c>
      <c r="AH302" s="548"/>
      <c r="AI302" s="548">
        <v>30</v>
      </c>
      <c r="AJ302" s="548"/>
      <c r="AK302" s="548"/>
      <c r="AL302" s="548"/>
      <c r="AM302" s="548">
        <f t="shared" si="181"/>
        <v>35</v>
      </c>
      <c r="AN302" s="491">
        <v>5</v>
      </c>
      <c r="AO302" s="481"/>
      <c r="AP302" s="481">
        <v>30</v>
      </c>
      <c r="AQ302" s="481"/>
      <c r="AR302" s="481"/>
      <c r="AS302" s="481"/>
      <c r="AT302" s="481"/>
      <c r="AU302" s="481">
        <f t="shared" si="183"/>
        <v>35</v>
      </c>
      <c r="AV302" s="548">
        <v>10</v>
      </c>
      <c r="AW302" s="548"/>
      <c r="AX302" s="548">
        <v>30</v>
      </c>
      <c r="AY302" s="548"/>
      <c r="AZ302" s="548"/>
      <c r="BA302" s="548"/>
      <c r="BB302" s="548"/>
      <c r="BC302" s="548">
        <f t="shared" si="185"/>
        <v>40</v>
      </c>
      <c r="BD302" s="42">
        <f t="shared" si="172"/>
        <v>30</v>
      </c>
      <c r="BE302" s="42">
        <f t="shared" si="172"/>
        <v>0</v>
      </c>
      <c r="BF302" s="42">
        <f t="shared" si="172"/>
        <v>120</v>
      </c>
      <c r="BG302" s="42">
        <f t="shared" si="172"/>
        <v>0</v>
      </c>
      <c r="BH302" s="42">
        <f t="shared" si="172"/>
        <v>0</v>
      </c>
      <c r="BI302" s="42">
        <f t="shared" si="167"/>
        <v>20.7</v>
      </c>
      <c r="BJ302" s="42">
        <f t="shared" si="173"/>
        <v>0</v>
      </c>
      <c r="BK302" s="42">
        <f t="shared" si="173"/>
        <v>170.7</v>
      </c>
    </row>
    <row r="303" spans="1:63" ht="43.5" customHeight="1" x14ac:dyDescent="0.25">
      <c r="A303" s="298" t="s">
        <v>896</v>
      </c>
      <c r="B303" s="299" t="s">
        <v>894</v>
      </c>
      <c r="C303" s="1547"/>
      <c r="D303" s="1549"/>
      <c r="E303" s="1549"/>
      <c r="F303" s="1549"/>
      <c r="G303" s="1549"/>
      <c r="H303" s="1549"/>
      <c r="I303" s="1425"/>
      <c r="J303" s="1425"/>
      <c r="K303" s="1428" t="s">
        <v>920</v>
      </c>
      <c r="L303" s="301" t="s">
        <v>901</v>
      </c>
      <c r="M303" s="1425" t="s">
        <v>902</v>
      </c>
      <c r="N303" s="476" t="s">
        <v>903</v>
      </c>
      <c r="O303" s="1425" t="s">
        <v>47</v>
      </c>
      <c r="P303" s="16" t="s">
        <v>921</v>
      </c>
      <c r="Q303" s="302" t="s">
        <v>71</v>
      </c>
      <c r="R303" s="303">
        <v>2015</v>
      </c>
      <c r="S303" s="303">
        <v>0</v>
      </c>
      <c r="T303" s="303">
        <v>6</v>
      </c>
      <c r="U303" s="572">
        <v>12</v>
      </c>
      <c r="V303" s="572">
        <v>18</v>
      </c>
      <c r="W303" s="572">
        <v>25</v>
      </c>
      <c r="X303" s="572">
        <v>25</v>
      </c>
      <c r="Y303" s="481">
        <v>2</v>
      </c>
      <c r="Z303" s="481"/>
      <c r="AA303" s="481">
        <v>3</v>
      </c>
      <c r="AB303" s="481"/>
      <c r="AC303" s="481"/>
      <c r="AD303" s="481"/>
      <c r="AE303" s="481"/>
      <c r="AF303" s="481">
        <f t="shared" si="179"/>
        <v>5</v>
      </c>
      <c r="AG303" s="42">
        <v>2</v>
      </c>
      <c r="AH303" s="548"/>
      <c r="AI303" s="548">
        <v>3</v>
      </c>
      <c r="AJ303" s="548"/>
      <c r="AK303" s="548"/>
      <c r="AL303" s="548"/>
      <c r="AM303" s="548">
        <f t="shared" si="181"/>
        <v>5</v>
      </c>
      <c r="AN303" s="42">
        <v>2</v>
      </c>
      <c r="AO303" s="481"/>
      <c r="AP303" s="481">
        <v>3</v>
      </c>
      <c r="AQ303" s="481"/>
      <c r="AR303" s="481"/>
      <c r="AS303" s="481"/>
      <c r="AT303" s="481"/>
      <c r="AU303" s="481">
        <f t="shared" si="183"/>
        <v>5</v>
      </c>
      <c r="AV303" s="548">
        <v>2</v>
      </c>
      <c r="AW303" s="548"/>
      <c r="AX303" s="548">
        <v>3</v>
      </c>
      <c r="AY303" s="548"/>
      <c r="AZ303" s="548"/>
      <c r="BA303" s="548"/>
      <c r="BB303" s="548"/>
      <c r="BC303" s="548">
        <f t="shared" si="185"/>
        <v>5</v>
      </c>
      <c r="BD303" s="42">
        <f t="shared" si="172"/>
        <v>8</v>
      </c>
      <c r="BE303" s="42">
        <f t="shared" si="172"/>
        <v>0</v>
      </c>
      <c r="BF303" s="42">
        <f t="shared" si="172"/>
        <v>12</v>
      </c>
      <c r="BG303" s="42">
        <f t="shared" si="172"/>
        <v>0</v>
      </c>
      <c r="BH303" s="42">
        <f t="shared" si="172"/>
        <v>0</v>
      </c>
      <c r="BI303" s="42">
        <f t="shared" si="167"/>
        <v>0</v>
      </c>
      <c r="BJ303" s="42">
        <f t="shared" si="173"/>
        <v>0</v>
      </c>
      <c r="BK303" s="42">
        <f t="shared" si="173"/>
        <v>20</v>
      </c>
    </row>
    <row r="304" spans="1:63" ht="61.5" customHeight="1" x14ac:dyDescent="0.25">
      <c r="A304" s="298" t="s">
        <v>896</v>
      </c>
      <c r="B304" s="299" t="s">
        <v>894</v>
      </c>
      <c r="C304" s="1547"/>
      <c r="D304" s="1549"/>
      <c r="E304" s="1549"/>
      <c r="F304" s="1549"/>
      <c r="G304" s="1549"/>
      <c r="H304" s="1549"/>
      <c r="I304" s="1425"/>
      <c r="J304" s="1425"/>
      <c r="K304" s="1428" t="s">
        <v>922</v>
      </c>
      <c r="L304" s="301" t="s">
        <v>901</v>
      </c>
      <c r="M304" s="1425" t="s">
        <v>902</v>
      </c>
      <c r="N304" s="476" t="s">
        <v>903</v>
      </c>
      <c r="O304" s="1425" t="s">
        <v>47</v>
      </c>
      <c r="P304" s="16" t="s">
        <v>923</v>
      </c>
      <c r="Q304" s="302" t="s">
        <v>924</v>
      </c>
      <c r="R304" s="303">
        <v>2015</v>
      </c>
      <c r="S304" s="303">
        <v>400</v>
      </c>
      <c r="T304" s="303">
        <v>200</v>
      </c>
      <c r="U304" s="572">
        <v>400</v>
      </c>
      <c r="V304" s="572">
        <v>600</v>
      </c>
      <c r="W304" s="572">
        <v>800</v>
      </c>
      <c r="X304" s="572">
        <v>800</v>
      </c>
      <c r="Y304" s="579">
        <v>12</v>
      </c>
      <c r="Z304" s="583"/>
      <c r="AA304" s="583">
        <v>0</v>
      </c>
      <c r="AB304" s="481"/>
      <c r="AC304" s="481"/>
      <c r="AD304" s="481"/>
      <c r="AE304" s="481"/>
      <c r="AF304" s="481">
        <f t="shared" si="179"/>
        <v>12</v>
      </c>
      <c r="AG304" s="491">
        <v>5</v>
      </c>
      <c r="AH304" s="548"/>
      <c r="AI304" s="548"/>
      <c r="AJ304" s="548"/>
      <c r="AK304" s="548"/>
      <c r="AL304" s="548"/>
      <c r="AM304" s="548">
        <f t="shared" si="181"/>
        <v>5</v>
      </c>
      <c r="AN304" s="491">
        <v>5</v>
      </c>
      <c r="AO304" s="481"/>
      <c r="AP304" s="481"/>
      <c r="AQ304" s="481"/>
      <c r="AR304" s="481"/>
      <c r="AS304" s="481"/>
      <c r="AT304" s="481"/>
      <c r="AU304" s="481">
        <f t="shared" si="183"/>
        <v>5</v>
      </c>
      <c r="AV304" s="548">
        <v>12</v>
      </c>
      <c r="AW304" s="548"/>
      <c r="AX304" s="548"/>
      <c r="AY304" s="548"/>
      <c r="AZ304" s="548"/>
      <c r="BA304" s="548"/>
      <c r="BB304" s="548"/>
      <c r="BC304" s="548">
        <f t="shared" si="185"/>
        <v>12</v>
      </c>
      <c r="BD304" s="42">
        <f t="shared" si="172"/>
        <v>34</v>
      </c>
      <c r="BE304" s="42">
        <f t="shared" si="172"/>
        <v>0</v>
      </c>
      <c r="BF304" s="42">
        <f t="shared" si="172"/>
        <v>0</v>
      </c>
      <c r="BG304" s="42">
        <f t="shared" si="172"/>
        <v>0</v>
      </c>
      <c r="BH304" s="42">
        <f t="shared" si="172"/>
        <v>0</v>
      </c>
      <c r="BI304" s="42">
        <f t="shared" si="167"/>
        <v>0</v>
      </c>
      <c r="BJ304" s="42">
        <f t="shared" si="173"/>
        <v>0</v>
      </c>
      <c r="BK304" s="42">
        <f t="shared" si="173"/>
        <v>34</v>
      </c>
    </row>
    <row r="305" spans="1:63" ht="31.5" customHeight="1" x14ac:dyDescent="0.25">
      <c r="A305" s="298" t="s">
        <v>896</v>
      </c>
      <c r="B305" s="299" t="s">
        <v>894</v>
      </c>
      <c r="C305" s="1547"/>
      <c r="D305" s="1549"/>
      <c r="E305" s="1549"/>
      <c r="F305" s="1549"/>
      <c r="G305" s="1549"/>
      <c r="H305" s="1549"/>
      <c r="I305" s="1425"/>
      <c r="J305" s="1425"/>
      <c r="K305" s="1428" t="s">
        <v>925</v>
      </c>
      <c r="L305" s="301" t="s">
        <v>901</v>
      </c>
      <c r="M305" s="1425" t="s">
        <v>902</v>
      </c>
      <c r="N305" s="476" t="s">
        <v>903</v>
      </c>
      <c r="O305" s="1425" t="s">
        <v>47</v>
      </c>
      <c r="P305" s="16" t="s">
        <v>926</v>
      </c>
      <c r="Q305" s="302" t="s">
        <v>927</v>
      </c>
      <c r="R305" s="303">
        <v>2015</v>
      </c>
      <c r="S305" s="303" t="s">
        <v>177</v>
      </c>
      <c r="T305" s="303">
        <v>500</v>
      </c>
      <c r="U305" s="572">
        <v>1000</v>
      </c>
      <c r="V305" s="572">
        <v>1500</v>
      </c>
      <c r="W305" s="572">
        <v>2000</v>
      </c>
      <c r="X305" s="572">
        <v>2000</v>
      </c>
      <c r="Y305" s="481">
        <v>10</v>
      </c>
      <c r="Z305" s="481"/>
      <c r="AA305" s="481">
        <v>10</v>
      </c>
      <c r="AB305" s="481"/>
      <c r="AC305" s="481"/>
      <c r="AD305" s="481"/>
      <c r="AE305" s="481"/>
      <c r="AF305" s="481">
        <f t="shared" si="179"/>
        <v>20</v>
      </c>
      <c r="AG305" s="491">
        <v>7</v>
      </c>
      <c r="AH305" s="548"/>
      <c r="AI305" s="491">
        <v>5</v>
      </c>
      <c r="AJ305" s="548"/>
      <c r="AK305" s="548"/>
      <c r="AL305" s="548"/>
      <c r="AM305" s="548">
        <f>SUM(AG305:AL305)</f>
        <v>12</v>
      </c>
      <c r="AN305" s="491">
        <v>5</v>
      </c>
      <c r="AO305" s="481"/>
      <c r="AP305" s="491">
        <v>9</v>
      </c>
      <c r="AQ305" s="481"/>
      <c r="AR305" s="481"/>
      <c r="AS305" s="481"/>
      <c r="AT305" s="481"/>
      <c r="AU305" s="481">
        <f t="shared" si="183"/>
        <v>14</v>
      </c>
      <c r="AV305" s="491">
        <v>7</v>
      </c>
      <c r="AW305" s="548"/>
      <c r="AX305" s="491">
        <v>9</v>
      </c>
      <c r="AY305" s="548"/>
      <c r="AZ305" s="548"/>
      <c r="BA305" s="548"/>
      <c r="BB305" s="548"/>
      <c r="BC305" s="548">
        <f t="shared" si="185"/>
        <v>16</v>
      </c>
      <c r="BD305" s="42">
        <f t="shared" si="172"/>
        <v>29</v>
      </c>
      <c r="BE305" s="42">
        <f t="shared" si="172"/>
        <v>0</v>
      </c>
      <c r="BF305" s="42">
        <f t="shared" si="172"/>
        <v>33</v>
      </c>
      <c r="BG305" s="42">
        <f t="shared" si="172"/>
        <v>0</v>
      </c>
      <c r="BH305" s="42">
        <f t="shared" si="172"/>
        <v>0</v>
      </c>
      <c r="BI305" s="42">
        <f t="shared" si="167"/>
        <v>0</v>
      </c>
      <c r="BJ305" s="42">
        <f t="shared" si="173"/>
        <v>0</v>
      </c>
      <c r="BK305" s="42">
        <f t="shared" si="173"/>
        <v>62</v>
      </c>
    </row>
    <row r="306" spans="1:63" ht="39.75" customHeight="1" x14ac:dyDescent="0.25">
      <c r="A306" s="298" t="s">
        <v>896</v>
      </c>
      <c r="B306" s="299" t="s">
        <v>894</v>
      </c>
      <c r="C306" s="1547"/>
      <c r="D306" s="1549"/>
      <c r="E306" s="1549"/>
      <c r="F306" s="1549"/>
      <c r="G306" s="1549"/>
      <c r="H306" s="1549"/>
      <c r="I306" s="1425"/>
      <c r="J306" s="1425"/>
      <c r="K306" s="1428" t="s">
        <v>928</v>
      </c>
      <c r="L306" s="301" t="s">
        <v>901</v>
      </c>
      <c r="M306" s="1425" t="s">
        <v>902</v>
      </c>
      <c r="N306" s="476" t="s">
        <v>903</v>
      </c>
      <c r="O306" s="1425" t="s">
        <v>47</v>
      </c>
      <c r="P306" s="16" t="s">
        <v>929</v>
      </c>
      <c r="Q306" s="302" t="s">
        <v>930</v>
      </c>
      <c r="R306" s="303">
        <v>2015</v>
      </c>
      <c r="S306" s="303" t="s">
        <v>177</v>
      </c>
      <c r="T306" s="303">
        <v>250</v>
      </c>
      <c r="U306" s="572">
        <v>500</v>
      </c>
      <c r="V306" s="572">
        <v>750</v>
      </c>
      <c r="W306" s="572">
        <v>1000</v>
      </c>
      <c r="X306" s="572">
        <v>1000</v>
      </c>
      <c r="Y306" s="481">
        <v>5</v>
      </c>
      <c r="Z306" s="481"/>
      <c r="AA306" s="481">
        <v>10</v>
      </c>
      <c r="AB306" s="481"/>
      <c r="AC306" s="481"/>
      <c r="AD306" s="481"/>
      <c r="AE306" s="481"/>
      <c r="AF306" s="481">
        <f t="shared" ref="AF306:AF329" si="190">SUM(Y306:AE306)</f>
        <v>15</v>
      </c>
      <c r="AG306" s="491">
        <v>3</v>
      </c>
      <c r="AH306" s="548"/>
      <c r="AI306" s="491">
        <v>5</v>
      </c>
      <c r="AJ306" s="548"/>
      <c r="AK306" s="548"/>
      <c r="AL306" s="548"/>
      <c r="AM306" s="548">
        <f t="shared" ref="AM306:AM329" si="191">SUM(AG306:AL306)</f>
        <v>8</v>
      </c>
      <c r="AN306" s="42">
        <v>5</v>
      </c>
      <c r="AO306" s="481"/>
      <c r="AP306" s="491">
        <v>9</v>
      </c>
      <c r="AQ306" s="481"/>
      <c r="AR306" s="481"/>
      <c r="AS306" s="481"/>
      <c r="AT306" s="481"/>
      <c r="AU306" s="481">
        <f t="shared" ref="AU306:AU329" si="192">SUM(AN306:AT306)</f>
        <v>14</v>
      </c>
      <c r="AV306" s="548">
        <v>5</v>
      </c>
      <c r="AW306" s="548"/>
      <c r="AX306" s="548">
        <v>10</v>
      </c>
      <c r="AY306" s="548"/>
      <c r="AZ306" s="548"/>
      <c r="BA306" s="548"/>
      <c r="BB306" s="548"/>
      <c r="BC306" s="548">
        <f t="shared" ref="BC306:BC329" si="193">SUM(AV306:BB306)</f>
        <v>15</v>
      </c>
      <c r="BD306" s="42">
        <f t="shared" si="172"/>
        <v>18</v>
      </c>
      <c r="BE306" s="42">
        <f t="shared" si="172"/>
        <v>0</v>
      </c>
      <c r="BF306" s="42">
        <f t="shared" si="172"/>
        <v>34</v>
      </c>
      <c r="BG306" s="42">
        <f t="shared" si="172"/>
        <v>0</v>
      </c>
      <c r="BH306" s="42">
        <f t="shared" si="172"/>
        <v>0</v>
      </c>
      <c r="BI306" s="42">
        <f t="shared" si="167"/>
        <v>0</v>
      </c>
      <c r="BJ306" s="42">
        <f t="shared" si="173"/>
        <v>0</v>
      </c>
      <c r="BK306" s="42">
        <f t="shared" si="173"/>
        <v>52</v>
      </c>
    </row>
    <row r="307" spans="1:63" ht="36.75" customHeight="1" x14ac:dyDescent="0.25">
      <c r="A307" s="298" t="s">
        <v>896</v>
      </c>
      <c r="B307" s="299" t="s">
        <v>894</v>
      </c>
      <c r="C307" s="1547"/>
      <c r="D307" s="1549"/>
      <c r="E307" s="1549"/>
      <c r="F307" s="1549"/>
      <c r="G307" s="1549"/>
      <c r="H307" s="1549"/>
      <c r="I307" s="1425"/>
      <c r="J307" s="1425"/>
      <c r="K307" s="1428" t="s">
        <v>931</v>
      </c>
      <c r="L307" s="301" t="s">
        <v>901</v>
      </c>
      <c r="M307" s="1425" t="s">
        <v>902</v>
      </c>
      <c r="N307" s="476" t="s">
        <v>903</v>
      </c>
      <c r="O307" s="1425" t="s">
        <v>47</v>
      </c>
      <c r="P307" s="16" t="s">
        <v>932</v>
      </c>
      <c r="Q307" s="302" t="s">
        <v>933</v>
      </c>
      <c r="R307" s="303">
        <v>2015</v>
      </c>
      <c r="S307" s="303">
        <v>0</v>
      </c>
      <c r="T307" s="303">
        <v>6</v>
      </c>
      <c r="U307" s="572">
        <v>12</v>
      </c>
      <c r="V307" s="572">
        <v>18</v>
      </c>
      <c r="W307" s="572">
        <v>24</v>
      </c>
      <c r="X307" s="572">
        <v>24</v>
      </c>
      <c r="Y307" s="481">
        <v>0</v>
      </c>
      <c r="Z307" s="481"/>
      <c r="AA307" s="481">
        <v>10</v>
      </c>
      <c r="AB307" s="481"/>
      <c r="AC307" s="481"/>
      <c r="AD307" s="481">
        <v>0</v>
      </c>
      <c r="AE307" s="481"/>
      <c r="AF307" s="481">
        <f t="shared" si="190"/>
        <v>10</v>
      </c>
      <c r="AG307" s="42"/>
      <c r="AH307" s="548"/>
      <c r="AI307" s="491">
        <v>5</v>
      </c>
      <c r="AJ307" s="548"/>
      <c r="AK307" s="548"/>
      <c r="AL307" s="548"/>
      <c r="AM307" s="548">
        <f t="shared" si="191"/>
        <v>5</v>
      </c>
      <c r="AN307" s="42"/>
      <c r="AO307" s="481"/>
      <c r="AP307" s="491">
        <v>9</v>
      </c>
      <c r="AQ307" s="481"/>
      <c r="AR307" s="481"/>
      <c r="AS307" s="481"/>
      <c r="AT307" s="481"/>
      <c r="AU307" s="481">
        <f t="shared" si="192"/>
        <v>9</v>
      </c>
      <c r="AV307" s="548"/>
      <c r="AW307" s="548"/>
      <c r="AX307" s="548">
        <v>10</v>
      </c>
      <c r="AY307" s="548"/>
      <c r="AZ307" s="548"/>
      <c r="BA307" s="548"/>
      <c r="BB307" s="548"/>
      <c r="BC307" s="548">
        <f t="shared" si="193"/>
        <v>10</v>
      </c>
      <c r="BD307" s="42">
        <f t="shared" si="172"/>
        <v>0</v>
      </c>
      <c r="BE307" s="42">
        <f t="shared" si="172"/>
        <v>0</v>
      </c>
      <c r="BF307" s="42">
        <f t="shared" si="172"/>
        <v>34</v>
      </c>
      <c r="BG307" s="42">
        <f t="shared" si="172"/>
        <v>0</v>
      </c>
      <c r="BH307" s="42">
        <f t="shared" si="172"/>
        <v>0</v>
      </c>
      <c r="BI307" s="42">
        <f t="shared" si="167"/>
        <v>0</v>
      </c>
      <c r="BJ307" s="42">
        <f t="shared" si="173"/>
        <v>0</v>
      </c>
      <c r="BK307" s="42">
        <f t="shared" si="173"/>
        <v>34</v>
      </c>
    </row>
    <row r="308" spans="1:63" ht="46.5" customHeight="1" x14ac:dyDescent="0.25">
      <c r="A308" s="298" t="s">
        <v>896</v>
      </c>
      <c r="B308" s="299" t="s">
        <v>894</v>
      </c>
      <c r="C308" s="1547"/>
      <c r="D308" s="1549"/>
      <c r="E308" s="1549"/>
      <c r="F308" s="1549"/>
      <c r="G308" s="1549"/>
      <c r="H308" s="1549"/>
      <c r="I308" s="1425"/>
      <c r="J308" s="1425"/>
      <c r="K308" s="1428" t="s">
        <v>934</v>
      </c>
      <c r="L308" s="301" t="s">
        <v>901</v>
      </c>
      <c r="M308" s="1425" t="s">
        <v>902</v>
      </c>
      <c r="N308" s="476" t="s">
        <v>903</v>
      </c>
      <c r="O308" s="1425" t="s">
        <v>47</v>
      </c>
      <c r="P308" s="16" t="s">
        <v>935</v>
      </c>
      <c r="Q308" s="302" t="s">
        <v>936</v>
      </c>
      <c r="R308" s="303">
        <v>2015</v>
      </c>
      <c r="S308" s="303">
        <v>0</v>
      </c>
      <c r="T308" s="303">
        <v>10</v>
      </c>
      <c r="U308" s="572">
        <v>20</v>
      </c>
      <c r="V308" s="572">
        <v>30</v>
      </c>
      <c r="W308" s="572">
        <v>40</v>
      </c>
      <c r="X308" s="572">
        <v>40</v>
      </c>
      <c r="Y308" s="481">
        <v>0</v>
      </c>
      <c r="Z308" s="481"/>
      <c r="AA308" s="481"/>
      <c r="AB308" s="481"/>
      <c r="AC308" s="481"/>
      <c r="AD308" s="481">
        <v>4</v>
      </c>
      <c r="AE308" s="481"/>
      <c r="AF308" s="481">
        <f t="shared" si="190"/>
        <v>4</v>
      </c>
      <c r="AG308" s="491">
        <v>2</v>
      </c>
      <c r="AH308" s="548"/>
      <c r="AI308" s="42"/>
      <c r="AJ308" s="548"/>
      <c r="AK308" s="548"/>
      <c r="AL308" s="548"/>
      <c r="AM308" s="548">
        <f t="shared" si="191"/>
        <v>2</v>
      </c>
      <c r="AN308" s="42">
        <v>4</v>
      </c>
      <c r="AO308" s="481"/>
      <c r="AP308" s="42"/>
      <c r="AQ308" s="481"/>
      <c r="AR308" s="481"/>
      <c r="AS308" s="481"/>
      <c r="AT308" s="481"/>
      <c r="AU308" s="481">
        <f t="shared" si="192"/>
        <v>4</v>
      </c>
      <c r="AV308" s="548">
        <v>4</v>
      </c>
      <c r="AW308" s="548"/>
      <c r="AX308" s="548"/>
      <c r="AY308" s="548"/>
      <c r="AZ308" s="548"/>
      <c r="BA308" s="548"/>
      <c r="BB308" s="548"/>
      <c r="BC308" s="548">
        <f t="shared" si="193"/>
        <v>4</v>
      </c>
      <c r="BD308" s="42">
        <f t="shared" si="172"/>
        <v>10</v>
      </c>
      <c r="BE308" s="42">
        <f t="shared" si="172"/>
        <v>0</v>
      </c>
      <c r="BF308" s="42">
        <f t="shared" si="172"/>
        <v>0</v>
      </c>
      <c r="BG308" s="42">
        <f t="shared" si="172"/>
        <v>0</v>
      </c>
      <c r="BH308" s="42">
        <f t="shared" si="172"/>
        <v>0</v>
      </c>
      <c r="BI308" s="42">
        <f t="shared" si="167"/>
        <v>4</v>
      </c>
      <c r="BJ308" s="42">
        <f t="shared" si="173"/>
        <v>0</v>
      </c>
      <c r="BK308" s="42">
        <f t="shared" si="173"/>
        <v>14</v>
      </c>
    </row>
    <row r="309" spans="1:63" ht="22.5" customHeight="1" x14ac:dyDescent="0.25">
      <c r="A309" s="298" t="s">
        <v>896</v>
      </c>
      <c r="B309" s="299" t="s">
        <v>894</v>
      </c>
      <c r="C309" s="1547"/>
      <c r="D309" s="1549"/>
      <c r="E309" s="1549"/>
      <c r="F309" s="1549"/>
      <c r="G309" s="1549"/>
      <c r="H309" s="1549"/>
      <c r="I309" s="1425"/>
      <c r="J309" s="1425"/>
      <c r="K309" s="1428" t="s">
        <v>937</v>
      </c>
      <c r="L309" s="301" t="s">
        <v>901</v>
      </c>
      <c r="M309" s="1425" t="s">
        <v>902</v>
      </c>
      <c r="N309" s="476" t="s">
        <v>903</v>
      </c>
      <c r="O309" s="1425" t="s">
        <v>47</v>
      </c>
      <c r="P309" s="16" t="s">
        <v>938</v>
      </c>
      <c r="Q309" s="302" t="s">
        <v>939</v>
      </c>
      <c r="R309" s="303">
        <v>2015</v>
      </c>
      <c r="S309" s="303">
        <v>0</v>
      </c>
      <c r="T309" s="303">
        <v>25</v>
      </c>
      <c r="U309" s="572">
        <v>50</v>
      </c>
      <c r="V309" s="572">
        <v>75</v>
      </c>
      <c r="W309" s="572">
        <v>100</v>
      </c>
      <c r="X309" s="572">
        <v>100</v>
      </c>
      <c r="Y309" s="481">
        <v>5</v>
      </c>
      <c r="Z309" s="481"/>
      <c r="AA309" s="481">
        <v>10</v>
      </c>
      <c r="AB309" s="481"/>
      <c r="AC309" s="481"/>
      <c r="AD309" s="481"/>
      <c r="AE309" s="481"/>
      <c r="AF309" s="481">
        <f t="shared" si="190"/>
        <v>15</v>
      </c>
      <c r="AG309" s="491">
        <v>3</v>
      </c>
      <c r="AH309" s="548"/>
      <c r="AI309" s="491">
        <v>5</v>
      </c>
      <c r="AJ309" s="548"/>
      <c r="AK309" s="548"/>
      <c r="AL309" s="548"/>
      <c r="AM309" s="548">
        <f t="shared" si="191"/>
        <v>8</v>
      </c>
      <c r="AN309" s="491">
        <v>3</v>
      </c>
      <c r="AO309" s="481"/>
      <c r="AP309" s="491">
        <v>9</v>
      </c>
      <c r="AQ309" s="481"/>
      <c r="AR309" s="481"/>
      <c r="AS309" s="481"/>
      <c r="AT309" s="481"/>
      <c r="AU309" s="481">
        <f t="shared" si="192"/>
        <v>12</v>
      </c>
      <c r="AV309" s="548">
        <v>5</v>
      </c>
      <c r="AW309" s="548"/>
      <c r="AX309" s="548">
        <v>10</v>
      </c>
      <c r="AY309" s="548"/>
      <c r="AZ309" s="548"/>
      <c r="BA309" s="548"/>
      <c r="BB309" s="548"/>
      <c r="BC309" s="548">
        <f t="shared" si="193"/>
        <v>15</v>
      </c>
      <c r="BD309" s="42">
        <f t="shared" si="172"/>
        <v>16</v>
      </c>
      <c r="BE309" s="42">
        <f t="shared" si="172"/>
        <v>0</v>
      </c>
      <c r="BF309" s="42">
        <f t="shared" si="172"/>
        <v>34</v>
      </c>
      <c r="BG309" s="42">
        <f t="shared" si="172"/>
        <v>0</v>
      </c>
      <c r="BH309" s="42">
        <f t="shared" si="172"/>
        <v>0</v>
      </c>
      <c r="BI309" s="42">
        <f t="shared" si="167"/>
        <v>0</v>
      </c>
      <c r="BJ309" s="42">
        <f t="shared" si="173"/>
        <v>0</v>
      </c>
      <c r="BK309" s="42">
        <f t="shared" si="173"/>
        <v>50</v>
      </c>
    </row>
    <row r="310" spans="1:63" ht="41.25" customHeight="1" x14ac:dyDescent="0.25">
      <c r="A310" s="298" t="s">
        <v>896</v>
      </c>
      <c r="B310" s="299" t="s">
        <v>894</v>
      </c>
      <c r="C310" s="1547"/>
      <c r="D310" s="1549"/>
      <c r="E310" s="1549"/>
      <c r="F310" s="1549"/>
      <c r="G310" s="1549"/>
      <c r="H310" s="1549"/>
      <c r="I310" s="1425"/>
      <c r="J310" s="1425"/>
      <c r="K310" s="1428" t="s">
        <v>940</v>
      </c>
      <c r="L310" s="301" t="s">
        <v>901</v>
      </c>
      <c r="M310" s="1425" t="s">
        <v>902</v>
      </c>
      <c r="N310" s="476" t="s">
        <v>903</v>
      </c>
      <c r="O310" s="1425" t="s">
        <v>47</v>
      </c>
      <c r="P310" s="16" t="s">
        <v>941</v>
      </c>
      <c r="Q310" s="302" t="s">
        <v>942</v>
      </c>
      <c r="R310" s="303">
        <v>2015</v>
      </c>
      <c r="S310" s="303">
        <v>0</v>
      </c>
      <c r="T310" s="303">
        <v>50</v>
      </c>
      <c r="U310" s="572">
        <v>100</v>
      </c>
      <c r="V310" s="572">
        <v>150</v>
      </c>
      <c r="W310" s="572">
        <v>200</v>
      </c>
      <c r="X310" s="572">
        <v>200</v>
      </c>
      <c r="Y310" s="584"/>
      <c r="Z310" s="481"/>
      <c r="AA310" s="481">
        <v>10</v>
      </c>
      <c r="AB310" s="481"/>
      <c r="AC310" s="481"/>
      <c r="AD310" s="481"/>
      <c r="AE310" s="481"/>
      <c r="AF310" s="481">
        <f t="shared" si="190"/>
        <v>10</v>
      </c>
      <c r="AG310" s="548"/>
      <c r="AH310" s="548"/>
      <c r="AI310" s="491">
        <v>5</v>
      </c>
      <c r="AJ310" s="548"/>
      <c r="AK310" s="548"/>
      <c r="AL310" s="548"/>
      <c r="AM310" s="548">
        <f t="shared" si="191"/>
        <v>5</v>
      </c>
      <c r="AN310" s="42"/>
      <c r="AO310" s="481"/>
      <c r="AP310" s="491">
        <v>9</v>
      </c>
      <c r="AQ310" s="481"/>
      <c r="AR310" s="481"/>
      <c r="AS310" s="481"/>
      <c r="AT310" s="481"/>
      <c r="AU310" s="481">
        <f t="shared" si="192"/>
        <v>9</v>
      </c>
      <c r="AV310" s="548"/>
      <c r="AW310" s="548"/>
      <c r="AX310" s="548">
        <v>10</v>
      </c>
      <c r="AY310" s="548"/>
      <c r="AZ310" s="548"/>
      <c r="BA310" s="548"/>
      <c r="BB310" s="548"/>
      <c r="BC310" s="548">
        <f t="shared" si="193"/>
        <v>10</v>
      </c>
      <c r="BD310" s="42">
        <f t="shared" si="172"/>
        <v>0</v>
      </c>
      <c r="BE310" s="42">
        <f t="shared" si="172"/>
        <v>0</v>
      </c>
      <c r="BF310" s="42">
        <f t="shared" si="172"/>
        <v>34</v>
      </c>
      <c r="BG310" s="42">
        <f t="shared" si="172"/>
        <v>0</v>
      </c>
      <c r="BH310" s="42">
        <f t="shared" si="172"/>
        <v>0</v>
      </c>
      <c r="BI310" s="42">
        <f t="shared" si="167"/>
        <v>0</v>
      </c>
      <c r="BJ310" s="42">
        <f t="shared" si="173"/>
        <v>0</v>
      </c>
      <c r="BK310" s="42">
        <f t="shared" si="173"/>
        <v>34</v>
      </c>
    </row>
    <row r="311" spans="1:63" ht="46.5" customHeight="1" x14ac:dyDescent="0.25">
      <c r="A311" s="298" t="s">
        <v>896</v>
      </c>
      <c r="B311" s="299" t="s">
        <v>894</v>
      </c>
      <c r="C311" s="1547"/>
      <c r="D311" s="1549"/>
      <c r="E311" s="1549"/>
      <c r="F311" s="1549"/>
      <c r="G311" s="1549"/>
      <c r="H311" s="1549"/>
      <c r="I311" s="1425"/>
      <c r="J311" s="1425"/>
      <c r="K311" s="1428" t="s">
        <v>943</v>
      </c>
      <c r="L311" s="301" t="s">
        <v>901</v>
      </c>
      <c r="M311" s="1425" t="s">
        <v>902</v>
      </c>
      <c r="N311" s="476" t="s">
        <v>903</v>
      </c>
      <c r="O311" s="1425" t="s">
        <v>47</v>
      </c>
      <c r="P311" s="16" t="s">
        <v>944</v>
      </c>
      <c r="Q311" s="302" t="s">
        <v>945</v>
      </c>
      <c r="R311" s="303">
        <v>2015</v>
      </c>
      <c r="S311" s="303">
        <v>1</v>
      </c>
      <c r="T311" s="303">
        <v>2</v>
      </c>
      <c r="U311" s="572">
        <v>4</v>
      </c>
      <c r="V311" s="572">
        <v>6</v>
      </c>
      <c r="W311" s="572">
        <v>8</v>
      </c>
      <c r="X311" s="572">
        <v>2</v>
      </c>
      <c r="Y311" s="584"/>
      <c r="Z311" s="481"/>
      <c r="AA311" s="481">
        <v>0</v>
      </c>
      <c r="AB311" s="481"/>
      <c r="AC311" s="481"/>
      <c r="AD311" s="481">
        <v>50</v>
      </c>
      <c r="AE311" s="481"/>
      <c r="AF311" s="481">
        <f t="shared" si="190"/>
        <v>50</v>
      </c>
      <c r="AG311" s="548"/>
      <c r="AH311" s="548"/>
      <c r="AI311" s="491">
        <v>15</v>
      </c>
      <c r="AJ311" s="548"/>
      <c r="AK311" s="548"/>
      <c r="AL311" s="548"/>
      <c r="AM311" s="548">
        <f t="shared" si="191"/>
        <v>15</v>
      </c>
      <c r="AN311" s="42"/>
      <c r="AO311" s="481"/>
      <c r="AP311" s="481">
        <v>20</v>
      </c>
      <c r="AQ311" s="481"/>
      <c r="AR311" s="481"/>
      <c r="AS311" s="481"/>
      <c r="AT311" s="481"/>
      <c r="AU311" s="481">
        <f t="shared" si="192"/>
        <v>20</v>
      </c>
      <c r="AV311" s="548"/>
      <c r="AW311" s="548"/>
      <c r="AX311" s="548">
        <v>20</v>
      </c>
      <c r="AY311" s="548"/>
      <c r="AZ311" s="548"/>
      <c r="BA311" s="548"/>
      <c r="BB311" s="548"/>
      <c r="BC311" s="548">
        <f t="shared" si="193"/>
        <v>20</v>
      </c>
      <c r="BD311" s="42">
        <f t="shared" si="172"/>
        <v>0</v>
      </c>
      <c r="BE311" s="42">
        <f t="shared" si="172"/>
        <v>0</v>
      </c>
      <c r="BF311" s="42">
        <f t="shared" si="172"/>
        <v>55</v>
      </c>
      <c r="BG311" s="42">
        <f t="shared" si="172"/>
        <v>0</v>
      </c>
      <c r="BH311" s="42">
        <f t="shared" si="172"/>
        <v>0</v>
      </c>
      <c r="BI311" s="42">
        <f t="shared" si="167"/>
        <v>50</v>
      </c>
      <c r="BJ311" s="42">
        <f t="shared" si="173"/>
        <v>0</v>
      </c>
      <c r="BK311" s="42">
        <f t="shared" si="173"/>
        <v>105</v>
      </c>
    </row>
    <row r="312" spans="1:63" ht="39" customHeight="1" x14ac:dyDescent="0.25">
      <c r="A312" s="298" t="s">
        <v>896</v>
      </c>
      <c r="B312" s="299" t="s">
        <v>894</v>
      </c>
      <c r="C312" s="1547"/>
      <c r="D312" s="1549"/>
      <c r="E312" s="1549"/>
      <c r="F312" s="1549"/>
      <c r="G312" s="1549"/>
      <c r="H312" s="1549"/>
      <c r="I312" s="1425"/>
      <c r="J312" s="1425"/>
      <c r="K312" s="1428" t="s">
        <v>946</v>
      </c>
      <c r="L312" s="301" t="s">
        <v>901</v>
      </c>
      <c r="M312" s="1425" t="s">
        <v>902</v>
      </c>
      <c r="N312" s="476" t="s">
        <v>903</v>
      </c>
      <c r="O312" s="1425" t="s">
        <v>47</v>
      </c>
      <c r="P312" s="16" t="s">
        <v>947</v>
      </c>
      <c r="Q312" s="302" t="s">
        <v>948</v>
      </c>
      <c r="R312" s="303">
        <v>2015</v>
      </c>
      <c r="S312" s="303">
        <v>0</v>
      </c>
      <c r="T312" s="303">
        <v>0</v>
      </c>
      <c r="U312" s="572">
        <v>0</v>
      </c>
      <c r="V312" s="572">
        <v>1</v>
      </c>
      <c r="W312" s="572">
        <v>1</v>
      </c>
      <c r="X312" s="572">
        <v>2</v>
      </c>
      <c r="Y312" s="481"/>
      <c r="Z312" s="481"/>
      <c r="AA312" s="481"/>
      <c r="AB312" s="481"/>
      <c r="AC312" s="481"/>
      <c r="AD312" s="481"/>
      <c r="AE312" s="481"/>
      <c r="AF312" s="481">
        <f t="shared" si="190"/>
        <v>0</v>
      </c>
      <c r="AG312" s="548">
        <v>0</v>
      </c>
      <c r="AH312" s="548"/>
      <c r="AI312" s="548"/>
      <c r="AJ312" s="548"/>
      <c r="AK312" s="548"/>
      <c r="AL312" s="548"/>
      <c r="AM312" s="548">
        <f t="shared" si="191"/>
        <v>0</v>
      </c>
      <c r="AN312" s="42">
        <v>3</v>
      </c>
      <c r="AO312" s="481"/>
      <c r="AP312" s="481"/>
      <c r="AQ312" s="481"/>
      <c r="AR312" s="481"/>
      <c r="AS312" s="481"/>
      <c r="AT312" s="481"/>
      <c r="AU312" s="481">
        <f t="shared" si="192"/>
        <v>3</v>
      </c>
      <c r="AV312" s="548">
        <v>3</v>
      </c>
      <c r="AW312" s="548"/>
      <c r="AX312" s="548"/>
      <c r="AY312" s="548"/>
      <c r="AZ312" s="548"/>
      <c r="BA312" s="548"/>
      <c r="BB312" s="548"/>
      <c r="BC312" s="548">
        <f t="shared" si="193"/>
        <v>3</v>
      </c>
      <c r="BD312" s="42">
        <f t="shared" si="172"/>
        <v>6</v>
      </c>
      <c r="BE312" s="42">
        <f t="shared" si="172"/>
        <v>0</v>
      </c>
      <c r="BF312" s="42">
        <f t="shared" si="172"/>
        <v>0</v>
      </c>
      <c r="BG312" s="42">
        <f t="shared" si="172"/>
        <v>0</v>
      </c>
      <c r="BH312" s="42">
        <f t="shared" si="172"/>
        <v>0</v>
      </c>
      <c r="BI312" s="42">
        <f t="shared" si="167"/>
        <v>0</v>
      </c>
      <c r="BJ312" s="42">
        <f t="shared" si="173"/>
        <v>0</v>
      </c>
      <c r="BK312" s="42">
        <f t="shared" si="173"/>
        <v>6</v>
      </c>
    </row>
    <row r="313" spans="1:63" ht="33" customHeight="1" x14ac:dyDescent="0.25">
      <c r="A313" s="298" t="s">
        <v>896</v>
      </c>
      <c r="B313" s="299" t="s">
        <v>894</v>
      </c>
      <c r="C313" s="1547"/>
      <c r="D313" s="1549"/>
      <c r="E313" s="1549"/>
      <c r="F313" s="1549"/>
      <c r="G313" s="1549"/>
      <c r="H313" s="1549"/>
      <c r="I313" s="1425"/>
      <c r="J313" s="1425"/>
      <c r="K313" s="1428" t="s">
        <v>949</v>
      </c>
      <c r="L313" s="301" t="s">
        <v>901</v>
      </c>
      <c r="M313" s="1425" t="s">
        <v>902</v>
      </c>
      <c r="N313" s="476" t="s">
        <v>903</v>
      </c>
      <c r="O313" s="1425" t="s">
        <v>47</v>
      </c>
      <c r="P313" s="16" t="s">
        <v>950</v>
      </c>
      <c r="Q313" s="302" t="s">
        <v>951</v>
      </c>
      <c r="R313" s="303">
        <v>2015</v>
      </c>
      <c r="S313" s="303">
        <v>0</v>
      </c>
      <c r="T313" s="303">
        <v>0</v>
      </c>
      <c r="U313" s="572">
        <v>1</v>
      </c>
      <c r="V313" s="572">
        <v>1</v>
      </c>
      <c r="W313" s="572">
        <v>1</v>
      </c>
      <c r="X313" s="572">
        <v>1</v>
      </c>
      <c r="Y313" s="481"/>
      <c r="Z313" s="481"/>
      <c r="AA313" s="481"/>
      <c r="AB313" s="481"/>
      <c r="AC313" s="481"/>
      <c r="AD313" s="481"/>
      <c r="AE313" s="481"/>
      <c r="AF313" s="481">
        <f t="shared" si="190"/>
        <v>0</v>
      </c>
      <c r="AG313" s="548"/>
      <c r="AH313" s="548"/>
      <c r="AI313" s="491">
        <v>5</v>
      </c>
      <c r="AJ313" s="548"/>
      <c r="AK313" s="548"/>
      <c r="AL313" s="548"/>
      <c r="AM313" s="548">
        <f t="shared" si="191"/>
        <v>5</v>
      </c>
      <c r="AN313" s="491">
        <v>2</v>
      </c>
      <c r="AO313" s="481"/>
      <c r="AP313" s="481"/>
      <c r="AQ313" s="481"/>
      <c r="AR313" s="481"/>
      <c r="AS313" s="481"/>
      <c r="AT313" s="481"/>
      <c r="AU313" s="481">
        <f t="shared" si="192"/>
        <v>2</v>
      </c>
      <c r="AV313" s="491">
        <v>7</v>
      </c>
      <c r="AW313" s="548"/>
      <c r="AX313" s="548"/>
      <c r="AY313" s="548"/>
      <c r="AZ313" s="548"/>
      <c r="BA313" s="548"/>
      <c r="BB313" s="548"/>
      <c r="BC313" s="548">
        <f t="shared" si="193"/>
        <v>7</v>
      </c>
      <c r="BD313" s="42">
        <f t="shared" ref="BD313:BH346" si="194">+AV313+AN313+AG313+Y313</f>
        <v>9</v>
      </c>
      <c r="BE313" s="42">
        <f t="shared" si="194"/>
        <v>0</v>
      </c>
      <c r="BF313" s="42">
        <f t="shared" si="194"/>
        <v>5</v>
      </c>
      <c r="BG313" s="42">
        <f t="shared" si="194"/>
        <v>0</v>
      </c>
      <c r="BH313" s="42">
        <f t="shared" si="194"/>
        <v>0</v>
      </c>
      <c r="BI313" s="42">
        <f t="shared" si="167"/>
        <v>0</v>
      </c>
      <c r="BJ313" s="42">
        <f t="shared" ref="BJ313:BK346" si="195">+BB313+AT313+AL313+AE313</f>
        <v>0</v>
      </c>
      <c r="BK313" s="42">
        <f t="shared" si="195"/>
        <v>14</v>
      </c>
    </row>
    <row r="314" spans="1:63" ht="42" customHeight="1" x14ac:dyDescent="0.25">
      <c r="A314" s="298" t="s">
        <v>896</v>
      </c>
      <c r="B314" s="299" t="s">
        <v>894</v>
      </c>
      <c r="C314" s="1547"/>
      <c r="D314" s="1549"/>
      <c r="E314" s="1549"/>
      <c r="F314" s="1549"/>
      <c r="G314" s="1549"/>
      <c r="H314" s="1549"/>
      <c r="I314" s="1425"/>
      <c r="J314" s="1425"/>
      <c r="K314" s="1428" t="s">
        <v>952</v>
      </c>
      <c r="L314" s="301" t="s">
        <v>901</v>
      </c>
      <c r="M314" s="1425" t="s">
        <v>902</v>
      </c>
      <c r="N314" s="476" t="s">
        <v>903</v>
      </c>
      <c r="O314" s="1425" t="s">
        <v>47</v>
      </c>
      <c r="P314" s="16" t="s">
        <v>953</v>
      </c>
      <c r="Q314" s="302" t="s">
        <v>954</v>
      </c>
      <c r="R314" s="303">
        <v>2015</v>
      </c>
      <c r="S314" s="303">
        <v>0</v>
      </c>
      <c r="T314" s="303">
        <v>0</v>
      </c>
      <c r="U314" s="572">
        <v>1</v>
      </c>
      <c r="V314" s="572">
        <v>2</v>
      </c>
      <c r="W314" s="572">
        <v>3</v>
      </c>
      <c r="X314" s="572">
        <v>3</v>
      </c>
      <c r="Y314" s="481"/>
      <c r="Z314" s="481"/>
      <c r="AA314" s="481"/>
      <c r="AB314" s="481"/>
      <c r="AC314" s="481"/>
      <c r="AD314" s="481"/>
      <c r="AE314" s="481"/>
      <c r="AF314" s="481">
        <f t="shared" si="190"/>
        <v>0</v>
      </c>
      <c r="AG314" s="491">
        <v>5</v>
      </c>
      <c r="AH314" s="548"/>
      <c r="AI314" s="548"/>
      <c r="AJ314" s="548"/>
      <c r="AK314" s="548"/>
      <c r="AL314" s="548"/>
      <c r="AM314" s="548">
        <f t="shared" si="191"/>
        <v>5</v>
      </c>
      <c r="AN314" s="491">
        <v>8</v>
      </c>
      <c r="AO314" s="481"/>
      <c r="AP314" s="481"/>
      <c r="AQ314" s="481"/>
      <c r="AR314" s="481"/>
      <c r="AS314" s="481"/>
      <c r="AT314" s="481"/>
      <c r="AU314" s="481">
        <f t="shared" si="192"/>
        <v>8</v>
      </c>
      <c r="AV314" s="548">
        <v>10</v>
      </c>
      <c r="AW314" s="548"/>
      <c r="AX314" s="548"/>
      <c r="AY314" s="548"/>
      <c r="AZ314" s="548"/>
      <c r="BA314" s="548"/>
      <c r="BB314" s="548"/>
      <c r="BC314" s="548">
        <f t="shared" si="193"/>
        <v>10</v>
      </c>
      <c r="BD314" s="42">
        <f t="shared" si="194"/>
        <v>23</v>
      </c>
      <c r="BE314" s="42">
        <f t="shared" si="194"/>
        <v>0</v>
      </c>
      <c r="BF314" s="42">
        <f t="shared" si="194"/>
        <v>0</v>
      </c>
      <c r="BG314" s="42">
        <f t="shared" si="194"/>
        <v>0</v>
      </c>
      <c r="BH314" s="42">
        <f t="shared" si="194"/>
        <v>0</v>
      </c>
      <c r="BI314" s="42">
        <f t="shared" si="167"/>
        <v>0</v>
      </c>
      <c r="BJ314" s="42">
        <f t="shared" si="195"/>
        <v>0</v>
      </c>
      <c r="BK314" s="42">
        <f t="shared" si="195"/>
        <v>23</v>
      </c>
    </row>
    <row r="315" spans="1:63" ht="21" customHeight="1" x14ac:dyDescent="0.25">
      <c r="A315" s="298" t="s">
        <v>896</v>
      </c>
      <c r="B315" s="299" t="s">
        <v>894</v>
      </c>
      <c r="C315" s="1547"/>
      <c r="D315" s="1549"/>
      <c r="E315" s="1549"/>
      <c r="F315" s="1549"/>
      <c r="G315" s="1549"/>
      <c r="H315" s="1549"/>
      <c r="I315" s="1425"/>
      <c r="J315" s="1425"/>
      <c r="K315" s="1428" t="s">
        <v>955</v>
      </c>
      <c r="L315" s="301" t="s">
        <v>901</v>
      </c>
      <c r="M315" s="1425" t="s">
        <v>902</v>
      </c>
      <c r="N315" s="476" t="s">
        <v>903</v>
      </c>
      <c r="O315" s="1425" t="s">
        <v>47</v>
      </c>
      <c r="P315" s="16" t="s">
        <v>956</v>
      </c>
      <c r="Q315" s="302" t="s">
        <v>957</v>
      </c>
      <c r="R315" s="303">
        <v>2015</v>
      </c>
      <c r="S315" s="303">
        <v>0</v>
      </c>
      <c r="T315" s="303">
        <v>1</v>
      </c>
      <c r="U315" s="572">
        <v>2</v>
      </c>
      <c r="V315" s="572">
        <v>3</v>
      </c>
      <c r="W315" s="572">
        <v>4</v>
      </c>
      <c r="X315" s="572">
        <v>4</v>
      </c>
      <c r="Y315" s="481"/>
      <c r="Z315" s="481"/>
      <c r="AA315" s="481"/>
      <c r="AB315" s="481"/>
      <c r="AC315" s="481"/>
      <c r="AD315" s="481"/>
      <c r="AE315" s="481"/>
      <c r="AF315" s="481">
        <f t="shared" si="190"/>
        <v>0</v>
      </c>
      <c r="AG315" s="548"/>
      <c r="AH315" s="548"/>
      <c r="AI315" s="548"/>
      <c r="AJ315" s="548"/>
      <c r="AK315" s="548"/>
      <c r="AL315" s="548"/>
      <c r="AM315" s="548">
        <f t="shared" si="191"/>
        <v>0</v>
      </c>
      <c r="AN315" s="491">
        <v>0.5</v>
      </c>
      <c r="AO315" s="481"/>
      <c r="AP315" s="481"/>
      <c r="AQ315" s="481"/>
      <c r="AR315" s="481"/>
      <c r="AS315" s="481"/>
      <c r="AT315" s="481"/>
      <c r="AU315" s="481">
        <f t="shared" si="192"/>
        <v>0.5</v>
      </c>
      <c r="AV315" s="491">
        <v>1</v>
      </c>
      <c r="AW315" s="548"/>
      <c r="AX315" s="548"/>
      <c r="AY315" s="548"/>
      <c r="AZ315" s="548"/>
      <c r="BA315" s="548"/>
      <c r="BB315" s="548"/>
      <c r="BC315" s="548">
        <f t="shared" si="193"/>
        <v>1</v>
      </c>
      <c r="BD315" s="42">
        <f t="shared" si="194"/>
        <v>1.5</v>
      </c>
      <c r="BE315" s="42">
        <f t="shared" si="194"/>
        <v>0</v>
      </c>
      <c r="BF315" s="42">
        <f t="shared" si="194"/>
        <v>0</v>
      </c>
      <c r="BG315" s="42">
        <f t="shared" si="194"/>
        <v>0</v>
      </c>
      <c r="BH315" s="42">
        <f t="shared" si="194"/>
        <v>0</v>
      </c>
      <c r="BI315" s="42">
        <f t="shared" si="167"/>
        <v>0</v>
      </c>
      <c r="BJ315" s="42">
        <f t="shared" si="195"/>
        <v>0</v>
      </c>
      <c r="BK315" s="42">
        <f t="shared" si="195"/>
        <v>1.5</v>
      </c>
    </row>
    <row r="316" spans="1:63" ht="57" customHeight="1" x14ac:dyDescent="0.25">
      <c r="A316" s="298" t="s">
        <v>896</v>
      </c>
      <c r="B316" s="299" t="s">
        <v>894</v>
      </c>
      <c r="C316" s="1547"/>
      <c r="D316" s="1549"/>
      <c r="E316" s="1549"/>
      <c r="F316" s="1549"/>
      <c r="G316" s="1549"/>
      <c r="H316" s="1549"/>
      <c r="I316" s="1425" t="s">
        <v>53</v>
      </c>
      <c r="J316" s="1425"/>
      <c r="K316" s="1428" t="s">
        <v>958</v>
      </c>
      <c r="L316" s="301" t="s">
        <v>901</v>
      </c>
      <c r="M316" s="1425" t="s">
        <v>902</v>
      </c>
      <c r="N316" s="476" t="s">
        <v>903</v>
      </c>
      <c r="O316" s="1425" t="s">
        <v>47</v>
      </c>
      <c r="P316" s="16" t="s">
        <v>959</v>
      </c>
      <c r="Q316" s="302" t="s">
        <v>960</v>
      </c>
      <c r="R316" s="303">
        <v>2015</v>
      </c>
      <c r="S316" s="303">
        <v>0</v>
      </c>
      <c r="T316" s="303">
        <v>0</v>
      </c>
      <c r="U316" s="572">
        <v>1</v>
      </c>
      <c r="V316" s="572">
        <v>1</v>
      </c>
      <c r="W316" s="572">
        <v>1</v>
      </c>
      <c r="X316" s="572">
        <v>1</v>
      </c>
      <c r="Y316" s="481"/>
      <c r="Z316" s="481"/>
      <c r="AA316" s="481"/>
      <c r="AB316" s="481"/>
      <c r="AC316" s="481"/>
      <c r="AD316" s="481"/>
      <c r="AE316" s="481"/>
      <c r="AF316" s="481">
        <f t="shared" si="190"/>
        <v>0</v>
      </c>
      <c r="AG316" s="548"/>
      <c r="AH316" s="548"/>
      <c r="AI316" s="548"/>
      <c r="AJ316" s="548">
        <v>100</v>
      </c>
      <c r="AK316" s="548"/>
      <c r="AL316" s="548"/>
      <c r="AM316" s="548">
        <f t="shared" si="191"/>
        <v>100</v>
      </c>
      <c r="AN316" s="491">
        <v>0.5</v>
      </c>
      <c r="AO316" s="481"/>
      <c r="AP316" s="481"/>
      <c r="AQ316" s="481"/>
      <c r="AR316" s="481"/>
      <c r="AS316" s="481"/>
      <c r="AT316" s="481"/>
      <c r="AU316" s="481">
        <f t="shared" si="192"/>
        <v>0.5</v>
      </c>
      <c r="AV316" s="491">
        <v>1</v>
      </c>
      <c r="AW316" s="548"/>
      <c r="AX316" s="548"/>
      <c r="AY316" s="548"/>
      <c r="AZ316" s="548"/>
      <c r="BA316" s="548"/>
      <c r="BB316" s="548"/>
      <c r="BC316" s="548">
        <f t="shared" si="193"/>
        <v>1</v>
      </c>
      <c r="BD316" s="42">
        <f t="shared" si="194"/>
        <v>1.5</v>
      </c>
      <c r="BE316" s="42">
        <f t="shared" si="194"/>
        <v>0</v>
      </c>
      <c r="BF316" s="42">
        <f t="shared" si="194"/>
        <v>0</v>
      </c>
      <c r="BG316" s="42">
        <f t="shared" si="194"/>
        <v>100</v>
      </c>
      <c r="BH316" s="42">
        <f t="shared" si="194"/>
        <v>0</v>
      </c>
      <c r="BI316" s="42">
        <f t="shared" si="167"/>
        <v>0</v>
      </c>
      <c r="BJ316" s="42">
        <f t="shared" si="195"/>
        <v>0</v>
      </c>
      <c r="BK316" s="42">
        <f t="shared" si="195"/>
        <v>101.5</v>
      </c>
    </row>
    <row r="317" spans="1:63" ht="55.5" customHeight="1" x14ac:dyDescent="0.25">
      <c r="A317" s="298" t="s">
        <v>896</v>
      </c>
      <c r="B317" s="299" t="s">
        <v>894</v>
      </c>
      <c r="C317" s="1547"/>
      <c r="D317" s="1549"/>
      <c r="E317" s="1549"/>
      <c r="F317" s="1549"/>
      <c r="G317" s="1549"/>
      <c r="H317" s="1549"/>
      <c r="I317" s="1425" t="s">
        <v>53</v>
      </c>
      <c r="J317" s="1425"/>
      <c r="K317" s="1428" t="s">
        <v>961</v>
      </c>
      <c r="L317" s="301" t="s">
        <v>901</v>
      </c>
      <c r="M317" s="1425" t="s">
        <v>902</v>
      </c>
      <c r="N317" s="476" t="s">
        <v>903</v>
      </c>
      <c r="O317" s="1425" t="s">
        <v>47</v>
      </c>
      <c r="P317" s="16" t="s">
        <v>962</v>
      </c>
      <c r="Q317" s="302" t="s">
        <v>963</v>
      </c>
      <c r="R317" s="303">
        <v>2015</v>
      </c>
      <c r="S317" s="303">
        <v>0</v>
      </c>
      <c r="T317" s="303">
        <v>1</v>
      </c>
      <c r="U317" s="572">
        <v>1</v>
      </c>
      <c r="V317" s="572">
        <v>1</v>
      </c>
      <c r="W317" s="572">
        <v>1</v>
      </c>
      <c r="X317" s="572">
        <v>1</v>
      </c>
      <c r="Y317" s="481"/>
      <c r="Z317" s="481"/>
      <c r="AA317" s="481"/>
      <c r="AB317" s="481"/>
      <c r="AC317" s="481"/>
      <c r="AD317" s="481"/>
      <c r="AE317" s="481"/>
      <c r="AF317" s="481">
        <f t="shared" si="190"/>
        <v>0</v>
      </c>
      <c r="AG317" s="548"/>
      <c r="AH317" s="548"/>
      <c r="AI317" s="548"/>
      <c r="AJ317" s="548"/>
      <c r="AK317" s="548"/>
      <c r="AL317" s="548"/>
      <c r="AM317" s="548">
        <f t="shared" si="191"/>
        <v>0</v>
      </c>
      <c r="AN317" s="491">
        <v>0.5</v>
      </c>
      <c r="AO317" s="481"/>
      <c r="AP317" s="481"/>
      <c r="AQ317" s="481"/>
      <c r="AR317" s="481"/>
      <c r="AS317" s="481"/>
      <c r="AT317" s="481"/>
      <c r="AU317" s="481">
        <f t="shared" si="192"/>
        <v>0.5</v>
      </c>
      <c r="AV317" s="491">
        <v>1</v>
      </c>
      <c r="AW317" s="548"/>
      <c r="AX317" s="548"/>
      <c r="AY317" s="548"/>
      <c r="AZ317" s="548"/>
      <c r="BA317" s="548"/>
      <c r="BB317" s="548"/>
      <c r="BC317" s="548">
        <f t="shared" si="193"/>
        <v>1</v>
      </c>
      <c r="BD317" s="42">
        <f t="shared" si="194"/>
        <v>1.5</v>
      </c>
      <c r="BE317" s="42">
        <f t="shared" si="194"/>
        <v>0</v>
      </c>
      <c r="BF317" s="42">
        <f t="shared" si="194"/>
        <v>0</v>
      </c>
      <c r="BG317" s="42">
        <f t="shared" si="194"/>
        <v>0</v>
      </c>
      <c r="BH317" s="42">
        <f t="shared" si="194"/>
        <v>0</v>
      </c>
      <c r="BI317" s="42">
        <f t="shared" si="167"/>
        <v>0</v>
      </c>
      <c r="BJ317" s="42">
        <f t="shared" si="195"/>
        <v>0</v>
      </c>
      <c r="BK317" s="42">
        <f t="shared" si="195"/>
        <v>1.5</v>
      </c>
    </row>
    <row r="318" spans="1:63" ht="57" customHeight="1" x14ac:dyDescent="0.25">
      <c r="A318" s="298" t="s">
        <v>896</v>
      </c>
      <c r="B318" s="299" t="s">
        <v>894</v>
      </c>
      <c r="C318" s="1547"/>
      <c r="D318" s="1549"/>
      <c r="E318" s="1549"/>
      <c r="F318" s="1549"/>
      <c r="G318" s="1549"/>
      <c r="H318" s="1549"/>
      <c r="I318" s="1425"/>
      <c r="J318" s="1425"/>
      <c r="K318" s="1428" t="s">
        <v>964</v>
      </c>
      <c r="L318" s="301" t="s">
        <v>901</v>
      </c>
      <c r="M318" s="1425" t="s">
        <v>902</v>
      </c>
      <c r="N318" s="476" t="s">
        <v>903</v>
      </c>
      <c r="O318" s="1425" t="s">
        <v>47</v>
      </c>
      <c r="P318" s="16" t="s">
        <v>965</v>
      </c>
      <c r="Q318" s="302" t="s">
        <v>966</v>
      </c>
      <c r="R318" s="303">
        <v>2015</v>
      </c>
      <c r="S318" s="303">
        <v>0</v>
      </c>
      <c r="T318" s="303">
        <v>1</v>
      </c>
      <c r="U318" s="572">
        <v>2</v>
      </c>
      <c r="V318" s="572">
        <v>2</v>
      </c>
      <c r="W318" s="572">
        <v>2</v>
      </c>
      <c r="X318" s="572">
        <v>2</v>
      </c>
      <c r="Y318" s="482"/>
      <c r="Z318" s="481"/>
      <c r="AA318" s="481"/>
      <c r="AB318" s="481"/>
      <c r="AC318" s="481"/>
      <c r="AD318" s="481">
        <v>5</v>
      </c>
      <c r="AE318" s="482"/>
      <c r="AF318" s="481">
        <f t="shared" si="190"/>
        <v>5</v>
      </c>
      <c r="AG318" s="491">
        <v>3</v>
      </c>
      <c r="AH318" s="548"/>
      <c r="AI318" s="548"/>
      <c r="AJ318" s="548"/>
      <c r="AK318" s="548"/>
      <c r="AL318" s="548"/>
      <c r="AM318" s="548">
        <f t="shared" si="191"/>
        <v>3</v>
      </c>
      <c r="AN318" s="491">
        <v>0.5</v>
      </c>
      <c r="AO318" s="481"/>
      <c r="AP318" s="481"/>
      <c r="AQ318" s="481"/>
      <c r="AR318" s="481"/>
      <c r="AS318" s="481"/>
      <c r="AT318" s="481"/>
      <c r="AU318" s="481">
        <f t="shared" si="192"/>
        <v>0.5</v>
      </c>
      <c r="AV318" s="491">
        <v>1</v>
      </c>
      <c r="AW318" s="548"/>
      <c r="AX318" s="548"/>
      <c r="AY318" s="548"/>
      <c r="AZ318" s="548"/>
      <c r="BA318" s="548"/>
      <c r="BB318" s="548"/>
      <c r="BC318" s="548">
        <f t="shared" si="193"/>
        <v>1</v>
      </c>
      <c r="BD318" s="42">
        <f t="shared" si="194"/>
        <v>4.5</v>
      </c>
      <c r="BE318" s="42">
        <f t="shared" si="194"/>
        <v>0</v>
      </c>
      <c r="BF318" s="42">
        <f t="shared" si="194"/>
        <v>0</v>
      </c>
      <c r="BG318" s="42">
        <f t="shared" si="194"/>
        <v>0</v>
      </c>
      <c r="BH318" s="42">
        <f t="shared" si="194"/>
        <v>0</v>
      </c>
      <c r="BI318" s="42">
        <f t="shared" si="167"/>
        <v>5</v>
      </c>
      <c r="BJ318" s="42">
        <f t="shared" si="195"/>
        <v>0</v>
      </c>
      <c r="BK318" s="42">
        <f t="shared" si="195"/>
        <v>9.5</v>
      </c>
    </row>
    <row r="319" spans="1:63" ht="69.75" customHeight="1" x14ac:dyDescent="0.25">
      <c r="A319" s="298" t="s">
        <v>896</v>
      </c>
      <c r="B319" s="299" t="s">
        <v>894</v>
      </c>
      <c r="C319" s="1547"/>
      <c r="D319" s="1549"/>
      <c r="E319" s="1549"/>
      <c r="F319" s="1549"/>
      <c r="G319" s="1549"/>
      <c r="H319" s="1549"/>
      <c r="I319" s="1425"/>
      <c r="J319" s="379"/>
      <c r="K319" s="1428" t="s">
        <v>967</v>
      </c>
      <c r="L319" s="301" t="s">
        <v>901</v>
      </c>
      <c r="M319" s="1425" t="s">
        <v>902</v>
      </c>
      <c r="N319" s="476" t="s">
        <v>903</v>
      </c>
      <c r="O319" s="1425" t="s">
        <v>47</v>
      </c>
      <c r="P319" s="16" t="s">
        <v>968</v>
      </c>
      <c r="Q319" s="348" t="s">
        <v>966</v>
      </c>
      <c r="R319" s="303">
        <v>2015</v>
      </c>
      <c r="S319" s="303">
        <v>0</v>
      </c>
      <c r="T319" s="303">
        <v>0</v>
      </c>
      <c r="U319" s="572">
        <v>1</v>
      </c>
      <c r="V319" s="572">
        <v>1</v>
      </c>
      <c r="W319" s="572">
        <v>1</v>
      </c>
      <c r="X319" s="572">
        <v>1</v>
      </c>
      <c r="Y319" s="481"/>
      <c r="Z319" s="481"/>
      <c r="AA319" s="481">
        <v>5</v>
      </c>
      <c r="AB319" s="481"/>
      <c r="AC319" s="481"/>
      <c r="AD319" s="481"/>
      <c r="AE319" s="481"/>
      <c r="AF319" s="481">
        <f t="shared" si="190"/>
        <v>5</v>
      </c>
      <c r="AG319" s="42"/>
      <c r="AH319" s="548"/>
      <c r="AI319" s="548"/>
      <c r="AJ319" s="548"/>
      <c r="AK319" s="548"/>
      <c r="AL319" s="548"/>
      <c r="AM319" s="548">
        <f t="shared" si="191"/>
        <v>0</v>
      </c>
      <c r="AN319" s="491">
        <v>0.5</v>
      </c>
      <c r="AO319" s="481"/>
      <c r="AP319" s="481"/>
      <c r="AQ319" s="481"/>
      <c r="AR319" s="481"/>
      <c r="AS319" s="481"/>
      <c r="AT319" s="481"/>
      <c r="AU319" s="481">
        <f t="shared" si="192"/>
        <v>0.5</v>
      </c>
      <c r="AV319" s="491">
        <v>1</v>
      </c>
      <c r="AW319" s="548"/>
      <c r="AX319" s="548"/>
      <c r="AY319" s="548"/>
      <c r="AZ319" s="548"/>
      <c r="BA319" s="548"/>
      <c r="BB319" s="548"/>
      <c r="BC319" s="548">
        <f t="shared" si="193"/>
        <v>1</v>
      </c>
      <c r="BD319" s="42">
        <f t="shared" si="194"/>
        <v>1.5</v>
      </c>
      <c r="BE319" s="42">
        <f t="shared" si="194"/>
        <v>0</v>
      </c>
      <c r="BF319" s="42">
        <f t="shared" si="194"/>
        <v>5</v>
      </c>
      <c r="BG319" s="42">
        <f t="shared" si="194"/>
        <v>0</v>
      </c>
      <c r="BH319" s="42">
        <f t="shared" si="194"/>
        <v>0</v>
      </c>
      <c r="BI319" s="42">
        <f t="shared" si="167"/>
        <v>0</v>
      </c>
      <c r="BJ319" s="42">
        <f t="shared" si="195"/>
        <v>0</v>
      </c>
      <c r="BK319" s="42">
        <f t="shared" si="195"/>
        <v>6.5</v>
      </c>
    </row>
    <row r="320" spans="1:63" ht="69" customHeight="1" x14ac:dyDescent="0.25">
      <c r="A320" s="298" t="s">
        <v>896</v>
      </c>
      <c r="B320" s="299" t="s">
        <v>894</v>
      </c>
      <c r="C320" s="1547"/>
      <c r="D320" s="1549"/>
      <c r="E320" s="1549"/>
      <c r="F320" s="1549"/>
      <c r="G320" s="1549"/>
      <c r="H320" s="1549"/>
      <c r="I320" s="1425"/>
      <c r="J320" s="379"/>
      <c r="K320" s="1428" t="s">
        <v>969</v>
      </c>
      <c r="L320" s="301" t="s">
        <v>970</v>
      </c>
      <c r="M320" s="1425" t="s">
        <v>902</v>
      </c>
      <c r="N320" s="476" t="s">
        <v>903</v>
      </c>
      <c r="O320" s="1425" t="s">
        <v>47</v>
      </c>
      <c r="P320" s="71" t="s">
        <v>971</v>
      </c>
      <c r="Q320" s="348" t="s">
        <v>972</v>
      </c>
      <c r="R320" s="303" t="s">
        <v>973</v>
      </c>
      <c r="S320" s="303">
        <v>750</v>
      </c>
      <c r="T320" s="303">
        <v>600</v>
      </c>
      <c r="U320" s="303">
        <v>600</v>
      </c>
      <c r="V320" s="303">
        <v>600</v>
      </c>
      <c r="W320" s="572">
        <v>600</v>
      </c>
      <c r="X320" s="572">
        <v>600</v>
      </c>
      <c r="Y320" s="481"/>
      <c r="Z320" s="481"/>
      <c r="AA320" s="481">
        <v>0</v>
      </c>
      <c r="AB320" s="481"/>
      <c r="AC320" s="481"/>
      <c r="AD320" s="481"/>
      <c r="AE320" s="481">
        <v>200</v>
      </c>
      <c r="AF320" s="481">
        <f t="shared" si="190"/>
        <v>200</v>
      </c>
      <c r="AG320" s="491">
        <v>5</v>
      </c>
      <c r="AH320" s="548"/>
      <c r="AI320" s="548"/>
      <c r="AJ320" s="548"/>
      <c r="AK320" s="548"/>
      <c r="AL320" s="548"/>
      <c r="AM320" s="548">
        <f t="shared" si="191"/>
        <v>5</v>
      </c>
      <c r="AN320" s="491">
        <v>2</v>
      </c>
      <c r="AO320" s="481"/>
      <c r="AP320" s="481"/>
      <c r="AQ320" s="481"/>
      <c r="AR320" s="481"/>
      <c r="AS320" s="481"/>
      <c r="AT320" s="481"/>
      <c r="AU320" s="481">
        <f t="shared" si="192"/>
        <v>2</v>
      </c>
      <c r="AV320" s="491">
        <v>1</v>
      </c>
      <c r="AW320" s="548"/>
      <c r="AX320" s="548"/>
      <c r="AY320" s="548"/>
      <c r="AZ320" s="548"/>
      <c r="BA320" s="548"/>
      <c r="BB320" s="548"/>
      <c r="BC320" s="548">
        <f t="shared" si="193"/>
        <v>1</v>
      </c>
      <c r="BD320" s="42">
        <f t="shared" si="194"/>
        <v>8</v>
      </c>
      <c r="BE320" s="42">
        <f t="shared" si="194"/>
        <v>0</v>
      </c>
      <c r="BF320" s="42">
        <f t="shared" si="194"/>
        <v>0</v>
      </c>
      <c r="BG320" s="42">
        <f t="shared" si="194"/>
        <v>0</v>
      </c>
      <c r="BH320" s="42">
        <f t="shared" si="194"/>
        <v>0</v>
      </c>
      <c r="BI320" s="42">
        <f t="shared" si="167"/>
        <v>0</v>
      </c>
      <c r="BJ320" s="42">
        <f t="shared" si="195"/>
        <v>200</v>
      </c>
      <c r="BK320" s="42">
        <f t="shared" si="195"/>
        <v>208</v>
      </c>
    </row>
    <row r="321" spans="1:63" ht="64.5" customHeight="1" x14ac:dyDescent="0.25">
      <c r="A321" s="298" t="s">
        <v>896</v>
      </c>
      <c r="B321" s="299" t="s">
        <v>894</v>
      </c>
      <c r="C321" s="1547"/>
      <c r="D321" s="1549"/>
      <c r="E321" s="1549"/>
      <c r="F321" s="1549"/>
      <c r="G321" s="1549"/>
      <c r="H321" s="1549"/>
      <c r="I321" s="1425"/>
      <c r="J321" s="379"/>
      <c r="K321" s="1428" t="s">
        <v>974</v>
      </c>
      <c r="L321" s="301" t="s">
        <v>901</v>
      </c>
      <c r="M321" s="1425" t="s">
        <v>902</v>
      </c>
      <c r="N321" s="476" t="s">
        <v>903</v>
      </c>
      <c r="O321" s="1425" t="s">
        <v>47</v>
      </c>
      <c r="P321" s="16" t="s">
        <v>975</v>
      </c>
      <c r="Q321" s="348" t="s">
        <v>976</v>
      </c>
      <c r="R321" s="303" t="s">
        <v>973</v>
      </c>
      <c r="S321" s="303">
        <v>450</v>
      </c>
      <c r="T321" s="303">
        <v>0</v>
      </c>
      <c r="U321" s="572">
        <v>0</v>
      </c>
      <c r="V321" s="572">
        <v>50</v>
      </c>
      <c r="W321" s="572">
        <v>100</v>
      </c>
      <c r="X321" s="572">
        <v>100</v>
      </c>
      <c r="Y321" s="481"/>
      <c r="Z321" s="481"/>
      <c r="AA321" s="481"/>
      <c r="AB321" s="481"/>
      <c r="AC321" s="481"/>
      <c r="AD321" s="481"/>
      <c r="AE321" s="481"/>
      <c r="AF321" s="481">
        <f t="shared" si="190"/>
        <v>0</v>
      </c>
      <c r="AG321" s="548"/>
      <c r="AH321" s="548"/>
      <c r="AI321" s="548"/>
      <c r="AJ321" s="548"/>
      <c r="AK321" s="548"/>
      <c r="AL321" s="548"/>
      <c r="AM321" s="548">
        <f t="shared" si="191"/>
        <v>0</v>
      </c>
      <c r="AN321" s="491">
        <v>4</v>
      </c>
      <c r="AO321" s="481"/>
      <c r="AP321" s="481"/>
      <c r="AQ321" s="481"/>
      <c r="AR321" s="481"/>
      <c r="AS321" s="481"/>
      <c r="AT321" s="481"/>
      <c r="AU321" s="481">
        <f t="shared" si="192"/>
        <v>4</v>
      </c>
      <c r="AV321" s="548">
        <v>6</v>
      </c>
      <c r="AW321" s="548"/>
      <c r="AX321" s="548"/>
      <c r="AY321" s="548"/>
      <c r="AZ321" s="548"/>
      <c r="BA321" s="548"/>
      <c r="BB321" s="548"/>
      <c r="BC321" s="548">
        <f t="shared" si="193"/>
        <v>6</v>
      </c>
      <c r="BD321" s="42">
        <f t="shared" si="194"/>
        <v>10</v>
      </c>
      <c r="BE321" s="42">
        <f t="shared" si="194"/>
        <v>0</v>
      </c>
      <c r="BF321" s="42">
        <f t="shared" si="194"/>
        <v>0</v>
      </c>
      <c r="BG321" s="42">
        <f t="shared" si="194"/>
        <v>0</v>
      </c>
      <c r="BH321" s="42">
        <f t="shared" si="194"/>
        <v>0</v>
      </c>
      <c r="BI321" s="42">
        <f t="shared" si="167"/>
        <v>0</v>
      </c>
      <c r="BJ321" s="42">
        <f t="shared" si="195"/>
        <v>0</v>
      </c>
      <c r="BK321" s="42">
        <f t="shared" si="195"/>
        <v>10</v>
      </c>
    </row>
    <row r="322" spans="1:63" ht="39.75" customHeight="1" x14ac:dyDescent="0.25">
      <c r="A322" s="298" t="s">
        <v>896</v>
      </c>
      <c r="B322" s="299" t="s">
        <v>894</v>
      </c>
      <c r="C322" s="1547"/>
      <c r="D322" s="1549"/>
      <c r="E322" s="1549"/>
      <c r="F322" s="1549"/>
      <c r="G322" s="1549"/>
      <c r="H322" s="1549"/>
      <c r="I322" s="1425"/>
      <c r="J322" s="379"/>
      <c r="K322" s="1428" t="s">
        <v>977</v>
      </c>
      <c r="L322" s="301" t="s">
        <v>901</v>
      </c>
      <c r="M322" s="1425" t="s">
        <v>902</v>
      </c>
      <c r="N322" s="476" t="s">
        <v>903</v>
      </c>
      <c r="O322" s="1425" t="s">
        <v>47</v>
      </c>
      <c r="P322" s="16" t="s">
        <v>978</v>
      </c>
      <c r="Q322" s="348" t="s">
        <v>979</v>
      </c>
      <c r="R322" s="303">
        <v>2015</v>
      </c>
      <c r="S322" s="303">
        <v>0</v>
      </c>
      <c r="T322" s="303">
        <v>0</v>
      </c>
      <c r="U322" s="572">
        <v>5</v>
      </c>
      <c r="V322" s="572">
        <v>10</v>
      </c>
      <c r="W322" s="572">
        <v>10</v>
      </c>
      <c r="X322" s="572">
        <v>10</v>
      </c>
      <c r="Y322" s="481"/>
      <c r="Z322" s="481"/>
      <c r="AA322" s="481"/>
      <c r="AB322" s="481"/>
      <c r="AC322" s="481"/>
      <c r="AD322" s="481"/>
      <c r="AE322" s="481"/>
      <c r="AF322" s="481">
        <f t="shared" si="190"/>
        <v>0</v>
      </c>
      <c r="AG322" s="548">
        <v>5</v>
      </c>
      <c r="AH322" s="548"/>
      <c r="AI322" s="548"/>
      <c r="AJ322" s="548"/>
      <c r="AK322" s="548"/>
      <c r="AL322" s="548"/>
      <c r="AM322" s="548">
        <f t="shared" si="191"/>
        <v>5</v>
      </c>
      <c r="AN322" s="42">
        <v>5</v>
      </c>
      <c r="AO322" s="481"/>
      <c r="AP322" s="481"/>
      <c r="AQ322" s="481"/>
      <c r="AR322" s="481"/>
      <c r="AS322" s="481"/>
      <c r="AT322" s="481"/>
      <c r="AU322" s="481">
        <f t="shared" si="192"/>
        <v>5</v>
      </c>
      <c r="AV322" s="491">
        <v>1</v>
      </c>
      <c r="AW322" s="548"/>
      <c r="AX322" s="548"/>
      <c r="AY322" s="548"/>
      <c r="AZ322" s="548"/>
      <c r="BA322" s="548"/>
      <c r="BB322" s="548"/>
      <c r="BC322" s="548">
        <f t="shared" si="193"/>
        <v>1</v>
      </c>
      <c r="BD322" s="42">
        <f t="shared" si="194"/>
        <v>11</v>
      </c>
      <c r="BE322" s="42">
        <f t="shared" si="194"/>
        <v>0</v>
      </c>
      <c r="BF322" s="42">
        <f t="shared" si="194"/>
        <v>0</v>
      </c>
      <c r="BG322" s="42">
        <f t="shared" si="194"/>
        <v>0</v>
      </c>
      <c r="BH322" s="42">
        <f t="shared" si="194"/>
        <v>0</v>
      </c>
      <c r="BI322" s="42">
        <f t="shared" si="167"/>
        <v>0</v>
      </c>
      <c r="BJ322" s="42">
        <f t="shared" si="195"/>
        <v>0</v>
      </c>
      <c r="BK322" s="42">
        <f t="shared" si="195"/>
        <v>11</v>
      </c>
    </row>
    <row r="323" spans="1:63" ht="77.25" customHeight="1" x14ac:dyDescent="0.25">
      <c r="A323" s="298" t="s">
        <v>896</v>
      </c>
      <c r="B323" s="299" t="s">
        <v>894</v>
      </c>
      <c r="C323" s="1547"/>
      <c r="D323" s="1549"/>
      <c r="E323" s="1549"/>
      <c r="F323" s="1549"/>
      <c r="G323" s="1549"/>
      <c r="H323" s="1549"/>
      <c r="I323" s="1425"/>
      <c r="J323" s="379"/>
      <c r="K323" s="1428" t="s">
        <v>980</v>
      </c>
      <c r="L323" s="301" t="s">
        <v>901</v>
      </c>
      <c r="M323" s="1425" t="s">
        <v>902</v>
      </c>
      <c r="N323" s="476" t="s">
        <v>903</v>
      </c>
      <c r="O323" s="1425" t="s">
        <v>47</v>
      </c>
      <c r="P323" s="16" t="s">
        <v>981</v>
      </c>
      <c r="Q323" s="348" t="s">
        <v>982</v>
      </c>
      <c r="R323" s="303">
        <v>2015</v>
      </c>
      <c r="S323" s="303">
        <v>0</v>
      </c>
      <c r="T323" s="303">
        <v>0</v>
      </c>
      <c r="U323" s="572">
        <v>1</v>
      </c>
      <c r="V323" s="572">
        <v>1</v>
      </c>
      <c r="W323" s="572">
        <v>1</v>
      </c>
      <c r="X323" s="572">
        <v>1</v>
      </c>
      <c r="Y323" s="481">
        <v>0</v>
      </c>
      <c r="Z323" s="481"/>
      <c r="AA323" s="481"/>
      <c r="AB323" s="481"/>
      <c r="AC323" s="481"/>
      <c r="AD323" s="481"/>
      <c r="AE323" s="481"/>
      <c r="AF323" s="481">
        <f t="shared" si="190"/>
        <v>0</v>
      </c>
      <c r="AG323" s="491">
        <v>3</v>
      </c>
      <c r="AH323" s="548"/>
      <c r="AI323" s="548"/>
      <c r="AJ323" s="548"/>
      <c r="AK323" s="548"/>
      <c r="AL323" s="548"/>
      <c r="AM323" s="548">
        <f t="shared" si="191"/>
        <v>3</v>
      </c>
      <c r="AN323" s="491">
        <v>0.5</v>
      </c>
      <c r="AO323" s="481"/>
      <c r="AP323" s="481"/>
      <c r="AQ323" s="481"/>
      <c r="AR323" s="481"/>
      <c r="AS323" s="481"/>
      <c r="AT323" s="481"/>
      <c r="AU323" s="481">
        <f t="shared" si="192"/>
        <v>0.5</v>
      </c>
      <c r="AV323" s="491">
        <v>1</v>
      </c>
      <c r="AW323" s="548"/>
      <c r="AX323" s="548"/>
      <c r="AY323" s="548"/>
      <c r="AZ323" s="548"/>
      <c r="BA323" s="548"/>
      <c r="BB323" s="548"/>
      <c r="BC323" s="548">
        <f>SUM(AV323:BB323)</f>
        <v>1</v>
      </c>
      <c r="BD323" s="42">
        <f>+AV323+AN323+AG323+Y323</f>
        <v>4.5</v>
      </c>
      <c r="BE323" s="42">
        <f>+AW323+AO323+AH323+Z323</f>
        <v>0</v>
      </c>
      <c r="BF323" s="42">
        <f>+AX323+AP323+AI323+AA323</f>
        <v>0</v>
      </c>
      <c r="BG323" s="42">
        <f>+AY323+AQ323+AJ323+AB323</f>
        <v>0</v>
      </c>
      <c r="BH323" s="42">
        <f>+AZ323+AR323+AK323+AC323</f>
        <v>0</v>
      </c>
      <c r="BI323" s="42">
        <f>+AD323+AS323+BA323</f>
        <v>0</v>
      </c>
      <c r="BJ323" s="42">
        <f>+BB323+AT323+AL323+AE323</f>
        <v>0</v>
      </c>
      <c r="BK323" s="42">
        <f>+BC323+AU323+AM323+AF323</f>
        <v>4.5</v>
      </c>
    </row>
    <row r="324" spans="1:63" ht="90.75" customHeight="1" x14ac:dyDescent="0.25">
      <c r="A324" s="298" t="s">
        <v>896</v>
      </c>
      <c r="B324" s="299" t="s">
        <v>894</v>
      </c>
      <c r="C324" s="1547"/>
      <c r="D324" s="1549"/>
      <c r="E324" s="1549"/>
      <c r="F324" s="1549"/>
      <c r="G324" s="1549"/>
      <c r="H324" s="1549"/>
      <c r="I324" s="1425"/>
      <c r="J324" s="379"/>
      <c r="K324" s="1428" t="s">
        <v>983</v>
      </c>
      <c r="L324" s="301" t="s">
        <v>901</v>
      </c>
      <c r="M324" s="1425" t="s">
        <v>902</v>
      </c>
      <c r="N324" s="476" t="s">
        <v>903</v>
      </c>
      <c r="O324" s="1425" t="s">
        <v>47</v>
      </c>
      <c r="P324" s="16" t="s">
        <v>984</v>
      </c>
      <c r="Q324" s="348" t="s">
        <v>985</v>
      </c>
      <c r="R324" s="303">
        <v>2015</v>
      </c>
      <c r="S324" s="303">
        <v>1</v>
      </c>
      <c r="T324" s="303">
        <v>0</v>
      </c>
      <c r="U324" s="572">
        <v>0</v>
      </c>
      <c r="V324" s="572">
        <v>1</v>
      </c>
      <c r="W324" s="572">
        <v>0</v>
      </c>
      <c r="X324" s="572">
        <v>1</v>
      </c>
      <c r="Y324" s="481"/>
      <c r="Z324" s="481"/>
      <c r="AA324" s="481"/>
      <c r="AB324" s="481"/>
      <c r="AC324" s="481"/>
      <c r="AD324" s="481"/>
      <c r="AE324" s="481"/>
      <c r="AF324" s="481">
        <f t="shared" si="190"/>
        <v>0</v>
      </c>
      <c r="AG324" s="548"/>
      <c r="AH324" s="548"/>
      <c r="AI324" s="548"/>
      <c r="AJ324" s="548"/>
      <c r="AK324" s="548"/>
      <c r="AL324" s="548"/>
      <c r="AM324" s="548">
        <f t="shared" si="191"/>
        <v>0</v>
      </c>
      <c r="AN324" s="491">
        <v>4</v>
      </c>
      <c r="AO324" s="481"/>
      <c r="AP324" s="481"/>
      <c r="AQ324" s="481"/>
      <c r="AR324" s="481"/>
      <c r="AS324" s="481"/>
      <c r="AT324" s="481"/>
      <c r="AU324" s="481">
        <f t="shared" si="192"/>
        <v>4</v>
      </c>
      <c r="AV324" s="548"/>
      <c r="AW324" s="548"/>
      <c r="AX324" s="548"/>
      <c r="AY324" s="548"/>
      <c r="AZ324" s="548"/>
      <c r="BA324" s="548"/>
      <c r="BB324" s="548"/>
      <c r="BC324" s="548">
        <f t="shared" si="193"/>
        <v>0</v>
      </c>
      <c r="BD324" s="42">
        <f t="shared" si="194"/>
        <v>4</v>
      </c>
      <c r="BE324" s="42">
        <f t="shared" si="194"/>
        <v>0</v>
      </c>
      <c r="BF324" s="42">
        <f t="shared" si="194"/>
        <v>0</v>
      </c>
      <c r="BG324" s="42">
        <f t="shared" si="194"/>
        <v>0</v>
      </c>
      <c r="BH324" s="42">
        <f t="shared" si="194"/>
        <v>0</v>
      </c>
      <c r="BI324" s="42">
        <f t="shared" si="167"/>
        <v>0</v>
      </c>
      <c r="BJ324" s="42">
        <f t="shared" si="195"/>
        <v>0</v>
      </c>
      <c r="BK324" s="42">
        <f t="shared" si="195"/>
        <v>4</v>
      </c>
    </row>
    <row r="325" spans="1:63" ht="69" customHeight="1" x14ac:dyDescent="0.25">
      <c r="A325" s="298" t="s">
        <v>896</v>
      </c>
      <c r="B325" s="299" t="s">
        <v>894</v>
      </c>
      <c r="C325" s="1547"/>
      <c r="D325" s="1549"/>
      <c r="E325" s="1549"/>
      <c r="F325" s="1549"/>
      <c r="G325" s="1549"/>
      <c r="H325" s="1549"/>
      <c r="I325" s="1425"/>
      <c r="J325" s="379"/>
      <c r="K325" s="1428" t="s">
        <v>986</v>
      </c>
      <c r="L325" s="301" t="s">
        <v>901</v>
      </c>
      <c r="M325" s="1425" t="s">
        <v>902</v>
      </c>
      <c r="N325" s="476" t="s">
        <v>903</v>
      </c>
      <c r="O325" s="1425" t="s">
        <v>73</v>
      </c>
      <c r="P325" s="16" t="s">
        <v>987</v>
      </c>
      <c r="Q325" s="348" t="s">
        <v>539</v>
      </c>
      <c r="R325" s="303">
        <v>2015</v>
      </c>
      <c r="S325" s="303">
        <v>1</v>
      </c>
      <c r="T325" s="303">
        <v>1</v>
      </c>
      <c r="U325" s="572">
        <v>1</v>
      </c>
      <c r="V325" s="572">
        <v>1</v>
      </c>
      <c r="W325" s="572">
        <v>1</v>
      </c>
      <c r="X325" s="572">
        <v>1</v>
      </c>
      <c r="Y325" s="481">
        <v>0</v>
      </c>
      <c r="Z325" s="481"/>
      <c r="AA325" s="481"/>
      <c r="AB325" s="481"/>
      <c r="AC325" s="481"/>
      <c r="AD325" s="481">
        <v>0</v>
      </c>
      <c r="AE325" s="481"/>
      <c r="AF325" s="481">
        <f t="shared" si="190"/>
        <v>0</v>
      </c>
      <c r="AG325" s="491">
        <v>2</v>
      </c>
      <c r="AH325" s="548"/>
      <c r="AI325" s="548">
        <v>0</v>
      </c>
      <c r="AJ325" s="548"/>
      <c r="AK325" s="548"/>
      <c r="AL325" s="548"/>
      <c r="AM325" s="548">
        <f t="shared" si="191"/>
        <v>2</v>
      </c>
      <c r="AN325" s="491">
        <v>0.5</v>
      </c>
      <c r="AO325" s="481"/>
      <c r="AP325" s="481">
        <v>0</v>
      </c>
      <c r="AQ325" s="481"/>
      <c r="AR325" s="481"/>
      <c r="AS325" s="481"/>
      <c r="AT325" s="481"/>
      <c r="AU325" s="481">
        <f t="shared" si="192"/>
        <v>0.5</v>
      </c>
      <c r="AV325" s="491">
        <v>1</v>
      </c>
      <c r="AW325" s="548"/>
      <c r="AX325" s="548">
        <v>0</v>
      </c>
      <c r="AY325" s="548"/>
      <c r="AZ325" s="548"/>
      <c r="BA325" s="548"/>
      <c r="BB325" s="548"/>
      <c r="BC325" s="548">
        <f t="shared" si="193"/>
        <v>1</v>
      </c>
      <c r="BD325" s="42">
        <f t="shared" si="194"/>
        <v>3.5</v>
      </c>
      <c r="BE325" s="42">
        <f t="shared" si="194"/>
        <v>0</v>
      </c>
      <c r="BF325" s="42">
        <f t="shared" si="194"/>
        <v>0</v>
      </c>
      <c r="BG325" s="42">
        <f t="shared" si="194"/>
        <v>0</v>
      </c>
      <c r="BH325" s="42">
        <f t="shared" si="194"/>
        <v>0</v>
      </c>
      <c r="BI325" s="42">
        <f t="shared" si="167"/>
        <v>0</v>
      </c>
      <c r="BJ325" s="42">
        <f t="shared" si="195"/>
        <v>0</v>
      </c>
      <c r="BK325" s="42">
        <f t="shared" si="195"/>
        <v>3.5</v>
      </c>
    </row>
    <row r="326" spans="1:63" ht="72" customHeight="1" x14ac:dyDescent="0.25">
      <c r="A326" s="298" t="s">
        <v>896</v>
      </c>
      <c r="B326" s="299" t="s">
        <v>894</v>
      </c>
      <c r="C326" s="1547"/>
      <c r="D326" s="1549"/>
      <c r="E326" s="1549"/>
      <c r="F326" s="1549"/>
      <c r="G326" s="1549"/>
      <c r="H326" s="1549"/>
      <c r="I326" s="1425"/>
      <c r="J326" s="379"/>
      <c r="K326" s="1428" t="s">
        <v>988</v>
      </c>
      <c r="L326" s="301" t="s">
        <v>901</v>
      </c>
      <c r="M326" s="1425" t="s">
        <v>902</v>
      </c>
      <c r="N326" s="476" t="s">
        <v>903</v>
      </c>
      <c r="O326" s="1425" t="s">
        <v>47</v>
      </c>
      <c r="P326" s="16" t="s">
        <v>989</v>
      </c>
      <c r="Q326" s="348" t="s">
        <v>990</v>
      </c>
      <c r="R326" s="303">
        <v>2015</v>
      </c>
      <c r="S326" s="303">
        <v>0</v>
      </c>
      <c r="T326" s="303">
        <v>0</v>
      </c>
      <c r="U326" s="572">
        <v>1</v>
      </c>
      <c r="V326" s="572">
        <v>1</v>
      </c>
      <c r="W326" s="572">
        <v>1</v>
      </c>
      <c r="X326" s="572">
        <v>1</v>
      </c>
      <c r="Y326" s="481"/>
      <c r="Z326" s="481"/>
      <c r="AA326" s="583">
        <v>0</v>
      </c>
      <c r="AB326" s="481"/>
      <c r="AC326" s="481"/>
      <c r="AD326" s="481"/>
      <c r="AE326" s="481"/>
      <c r="AF326" s="481"/>
      <c r="AG326" s="548"/>
      <c r="AH326" s="548"/>
      <c r="AI326" s="548">
        <v>19</v>
      </c>
      <c r="AJ326" s="548"/>
      <c r="AK326" s="548"/>
      <c r="AL326" s="548"/>
      <c r="AM326" s="548"/>
      <c r="AN326" s="491">
        <v>0.5</v>
      </c>
      <c r="AO326" s="481"/>
      <c r="AP326" s="481"/>
      <c r="AQ326" s="481"/>
      <c r="AR326" s="481"/>
      <c r="AS326" s="481"/>
      <c r="AT326" s="481"/>
      <c r="AU326" s="481"/>
      <c r="AV326" s="491">
        <v>5</v>
      </c>
      <c r="AW326" s="548"/>
      <c r="AX326" s="548"/>
      <c r="AY326" s="548"/>
      <c r="AZ326" s="548"/>
      <c r="BA326" s="548"/>
      <c r="BB326" s="548"/>
      <c r="BC326" s="548"/>
      <c r="BD326" s="42"/>
      <c r="BE326" s="42"/>
      <c r="BF326" s="42"/>
      <c r="BG326" s="42"/>
      <c r="BH326" s="42"/>
      <c r="BI326" s="42"/>
      <c r="BJ326" s="42"/>
      <c r="BK326" s="42"/>
    </row>
    <row r="327" spans="1:63" ht="62.25" customHeight="1" x14ac:dyDescent="0.25">
      <c r="A327" s="298" t="s">
        <v>896</v>
      </c>
      <c r="B327" s="299" t="s">
        <v>894</v>
      </c>
      <c r="C327" s="1547"/>
      <c r="D327" s="1549"/>
      <c r="E327" s="1549"/>
      <c r="F327" s="1549"/>
      <c r="G327" s="1549"/>
      <c r="H327" s="1549"/>
      <c r="I327" s="1425"/>
      <c r="J327" s="379"/>
      <c r="K327" s="1428" t="s">
        <v>991</v>
      </c>
      <c r="L327" s="301" t="s">
        <v>901</v>
      </c>
      <c r="M327" s="1425" t="s">
        <v>902</v>
      </c>
      <c r="N327" s="476" t="s">
        <v>903</v>
      </c>
      <c r="O327" s="1425" t="s">
        <v>47</v>
      </c>
      <c r="P327" s="16" t="s">
        <v>992</v>
      </c>
      <c r="Q327" s="348" t="s">
        <v>993</v>
      </c>
      <c r="R327" s="303">
        <v>2015</v>
      </c>
      <c r="S327" s="303">
        <v>0</v>
      </c>
      <c r="T327" s="303">
        <v>5</v>
      </c>
      <c r="U327" s="572">
        <v>10</v>
      </c>
      <c r="V327" s="572">
        <v>15</v>
      </c>
      <c r="W327" s="572">
        <v>20</v>
      </c>
      <c r="X327" s="572">
        <v>20</v>
      </c>
      <c r="Y327" s="481"/>
      <c r="Z327" s="481"/>
      <c r="AA327" s="481">
        <v>3</v>
      </c>
      <c r="AB327" s="481"/>
      <c r="AC327" s="481"/>
      <c r="AD327" s="481"/>
      <c r="AE327" s="481"/>
      <c r="AF327" s="481">
        <f t="shared" si="190"/>
        <v>3</v>
      </c>
      <c r="AG327" s="548"/>
      <c r="AH327" s="548"/>
      <c r="AI327" s="548">
        <v>3</v>
      </c>
      <c r="AJ327" s="548"/>
      <c r="AK327" s="548"/>
      <c r="AL327" s="548"/>
      <c r="AM327" s="548">
        <f t="shared" si="191"/>
        <v>3</v>
      </c>
      <c r="AN327" s="481"/>
      <c r="AO327" s="481"/>
      <c r="AP327" s="481">
        <v>3</v>
      </c>
      <c r="AQ327" s="481"/>
      <c r="AR327" s="481"/>
      <c r="AS327" s="481"/>
      <c r="AT327" s="481"/>
      <c r="AU327" s="481">
        <f t="shared" si="192"/>
        <v>3</v>
      </c>
      <c r="AV327" s="548"/>
      <c r="AW327" s="548"/>
      <c r="AX327" s="548">
        <v>3</v>
      </c>
      <c r="AY327" s="548"/>
      <c r="AZ327" s="548"/>
      <c r="BA327" s="548"/>
      <c r="BB327" s="548"/>
      <c r="BC327" s="548">
        <f>SUM(AV327:BB327)</f>
        <v>3</v>
      </c>
      <c r="BD327" s="42">
        <f>+AV327+AN327+AG327+Y327</f>
        <v>0</v>
      </c>
      <c r="BE327" s="42">
        <f>+AW327+AO327+AH327+Z327</f>
        <v>0</v>
      </c>
      <c r="BF327" s="42">
        <f>+AX327+AP327+AI327+AA327</f>
        <v>12</v>
      </c>
      <c r="BG327" s="42">
        <f>+AY327+AQ327+AJ327+AB327</f>
        <v>0</v>
      </c>
      <c r="BH327" s="42">
        <f>+AZ327+AR327+AK327+AC327</f>
        <v>0</v>
      </c>
      <c r="BI327" s="42">
        <f t="shared" si="167"/>
        <v>0</v>
      </c>
      <c r="BJ327" s="42">
        <f>+BB327+AT327+AL327+AE327</f>
        <v>0</v>
      </c>
      <c r="BK327" s="42">
        <f>+BC327+AU327+AM327+AF327</f>
        <v>12</v>
      </c>
    </row>
    <row r="328" spans="1:63" ht="54.75" customHeight="1" x14ac:dyDescent="0.25">
      <c r="A328" s="298" t="s">
        <v>896</v>
      </c>
      <c r="B328" s="299" t="s">
        <v>894</v>
      </c>
      <c r="C328" s="1547"/>
      <c r="D328" s="1549"/>
      <c r="E328" s="1549"/>
      <c r="F328" s="1549"/>
      <c r="G328" s="1549"/>
      <c r="H328" s="1549"/>
      <c r="I328" s="1425"/>
      <c r="J328" s="379"/>
      <c r="K328" s="1428" t="s">
        <v>994</v>
      </c>
      <c r="L328" s="301" t="s">
        <v>901</v>
      </c>
      <c r="M328" s="1425" t="s">
        <v>902</v>
      </c>
      <c r="N328" s="476" t="s">
        <v>903</v>
      </c>
      <c r="O328" s="1425" t="s">
        <v>47</v>
      </c>
      <c r="P328" s="16" t="s">
        <v>995</v>
      </c>
      <c r="Q328" s="348" t="s">
        <v>996</v>
      </c>
      <c r="R328" s="303">
        <v>2015</v>
      </c>
      <c r="S328" s="303">
        <v>0</v>
      </c>
      <c r="T328" s="303">
        <v>0</v>
      </c>
      <c r="U328" s="572">
        <v>10</v>
      </c>
      <c r="V328" s="572">
        <v>20</v>
      </c>
      <c r="W328" s="572">
        <v>30</v>
      </c>
      <c r="X328" s="572">
        <v>30</v>
      </c>
      <c r="Y328" s="481">
        <v>5</v>
      </c>
      <c r="Z328" s="481"/>
      <c r="AA328" s="481">
        <v>10</v>
      </c>
      <c r="AB328" s="481"/>
      <c r="AC328" s="481"/>
      <c r="AD328" s="481"/>
      <c r="AE328" s="481"/>
      <c r="AF328" s="481">
        <f t="shared" si="190"/>
        <v>15</v>
      </c>
      <c r="AG328" s="548">
        <v>10</v>
      </c>
      <c r="AH328" s="548"/>
      <c r="AI328" s="491">
        <v>8</v>
      </c>
      <c r="AJ328" s="548"/>
      <c r="AK328" s="548"/>
      <c r="AL328" s="548"/>
      <c r="AM328" s="548">
        <f t="shared" si="191"/>
        <v>18</v>
      </c>
      <c r="AN328" s="481">
        <v>10</v>
      </c>
      <c r="AO328" s="481"/>
      <c r="AP328" s="491">
        <v>9</v>
      </c>
      <c r="AQ328" s="481"/>
      <c r="AR328" s="481"/>
      <c r="AS328" s="481"/>
      <c r="AT328" s="481"/>
      <c r="AU328" s="481">
        <f t="shared" si="192"/>
        <v>19</v>
      </c>
      <c r="AV328" s="548">
        <v>10</v>
      </c>
      <c r="AW328" s="548"/>
      <c r="AX328" s="548">
        <v>10</v>
      </c>
      <c r="AY328" s="548"/>
      <c r="AZ328" s="548"/>
      <c r="BA328" s="548"/>
      <c r="BB328" s="548"/>
      <c r="BC328" s="548">
        <f t="shared" si="193"/>
        <v>20</v>
      </c>
      <c r="BD328" s="42">
        <f t="shared" si="194"/>
        <v>35</v>
      </c>
      <c r="BE328" s="42">
        <f t="shared" si="194"/>
        <v>0</v>
      </c>
      <c r="BF328" s="42">
        <f t="shared" si="194"/>
        <v>37</v>
      </c>
      <c r="BG328" s="42">
        <f t="shared" si="194"/>
        <v>0</v>
      </c>
      <c r="BH328" s="42">
        <f t="shared" si="194"/>
        <v>0</v>
      </c>
      <c r="BI328" s="42">
        <f t="shared" si="167"/>
        <v>0</v>
      </c>
      <c r="BJ328" s="42">
        <f t="shared" si="195"/>
        <v>0</v>
      </c>
      <c r="BK328" s="42">
        <f t="shared" si="195"/>
        <v>72</v>
      </c>
    </row>
    <row r="329" spans="1:63" ht="34.5" customHeight="1" x14ac:dyDescent="0.25">
      <c r="A329" s="298" t="s">
        <v>896</v>
      </c>
      <c r="B329" s="299" t="s">
        <v>894</v>
      </c>
      <c r="C329" s="1548"/>
      <c r="D329" s="1549"/>
      <c r="E329" s="1549"/>
      <c r="F329" s="1549"/>
      <c r="G329" s="1549"/>
      <c r="H329" s="1549"/>
      <c r="I329" s="1425"/>
      <c r="J329" s="1425"/>
      <c r="K329" s="1428" t="s">
        <v>997</v>
      </c>
      <c r="L329" s="301" t="s">
        <v>901</v>
      </c>
      <c r="M329" s="1425" t="s">
        <v>902</v>
      </c>
      <c r="N329" s="476" t="s">
        <v>903</v>
      </c>
      <c r="O329" s="1425" t="s">
        <v>47</v>
      </c>
      <c r="P329" s="16" t="s">
        <v>998</v>
      </c>
      <c r="Q329" s="348" t="s">
        <v>996</v>
      </c>
      <c r="R329" s="303">
        <v>2015</v>
      </c>
      <c r="S329" s="303">
        <v>19</v>
      </c>
      <c r="T329" s="303">
        <v>10</v>
      </c>
      <c r="U329" s="572">
        <v>20</v>
      </c>
      <c r="V329" s="572">
        <v>30</v>
      </c>
      <c r="W329" s="572">
        <v>40</v>
      </c>
      <c r="X329" s="572">
        <v>40</v>
      </c>
      <c r="Y329" s="481"/>
      <c r="Z329" s="481"/>
      <c r="AA329" s="481">
        <v>10</v>
      </c>
      <c r="AB329" s="481"/>
      <c r="AC329" s="481"/>
      <c r="AD329" s="481"/>
      <c r="AE329" s="481"/>
      <c r="AF329" s="481">
        <f t="shared" si="190"/>
        <v>10</v>
      </c>
      <c r="AG329" s="548"/>
      <c r="AH329" s="548"/>
      <c r="AI329" s="491">
        <v>8</v>
      </c>
      <c r="AJ329" s="548"/>
      <c r="AK329" s="548"/>
      <c r="AL329" s="548"/>
      <c r="AM329" s="548">
        <f t="shared" si="191"/>
        <v>8</v>
      </c>
      <c r="AN329" s="481"/>
      <c r="AO329" s="481"/>
      <c r="AP329" s="481">
        <v>10</v>
      </c>
      <c r="AQ329" s="481"/>
      <c r="AR329" s="481"/>
      <c r="AS329" s="481"/>
      <c r="AT329" s="481"/>
      <c r="AU329" s="481">
        <f t="shared" si="192"/>
        <v>10</v>
      </c>
      <c r="AV329" s="548"/>
      <c r="AW329" s="548"/>
      <c r="AX329" s="548">
        <v>10</v>
      </c>
      <c r="AY329" s="548"/>
      <c r="AZ329" s="548"/>
      <c r="BA329" s="548"/>
      <c r="BB329" s="548"/>
      <c r="BC329" s="548">
        <f t="shared" si="193"/>
        <v>10</v>
      </c>
      <c r="BD329" s="42">
        <f t="shared" si="194"/>
        <v>0</v>
      </c>
      <c r="BE329" s="42">
        <f t="shared" si="194"/>
        <v>0</v>
      </c>
      <c r="BF329" s="42">
        <f t="shared" si="194"/>
        <v>38</v>
      </c>
      <c r="BG329" s="42">
        <f t="shared" si="194"/>
        <v>0</v>
      </c>
      <c r="BH329" s="42">
        <f t="shared" si="194"/>
        <v>0</v>
      </c>
      <c r="BI329" s="42">
        <f t="shared" si="167"/>
        <v>0</v>
      </c>
      <c r="BJ329" s="42">
        <f t="shared" si="195"/>
        <v>0</v>
      </c>
      <c r="BK329" s="42">
        <f t="shared" si="195"/>
        <v>38</v>
      </c>
    </row>
    <row r="330" spans="1:63" ht="2.25" customHeight="1" x14ac:dyDescent="0.2">
      <c r="A330" s="151"/>
      <c r="B330" s="7" t="s">
        <v>999</v>
      </c>
      <c r="C330" s="7"/>
      <c r="D330" s="1442"/>
      <c r="E330" s="1442"/>
      <c r="F330" s="1442"/>
      <c r="G330" s="1442"/>
      <c r="H330" s="1442"/>
      <c r="I330" s="1442"/>
      <c r="J330" s="1442"/>
      <c r="K330" s="147"/>
      <c r="L330" s="147"/>
      <c r="M330" s="147"/>
      <c r="N330" s="11"/>
      <c r="O330" s="147"/>
      <c r="P330" s="26"/>
      <c r="Q330" s="25"/>
      <c r="R330" s="1442"/>
      <c r="S330" s="1442"/>
      <c r="T330" s="1442"/>
      <c r="U330" s="63"/>
      <c r="V330" s="63"/>
      <c r="W330" s="63"/>
      <c r="X330" s="63"/>
      <c r="Y330" s="42">
        <v>387</v>
      </c>
      <c r="Z330" s="42"/>
      <c r="AA330" s="42">
        <v>290.60000000000002</v>
      </c>
      <c r="AB330" s="42"/>
      <c r="AC330" s="42"/>
      <c r="AD330" s="42">
        <v>648</v>
      </c>
      <c r="AE330" s="42"/>
      <c r="AF330" s="42">
        <f>SUBTOTAL(9,Y330:AE330)</f>
        <v>1325.6</v>
      </c>
      <c r="AG330" s="42"/>
      <c r="AH330" s="42"/>
      <c r="AI330" s="42">
        <f>+AA330*1.035</f>
        <v>300.77100000000002</v>
      </c>
      <c r="AJ330" s="42"/>
      <c r="AK330" s="42"/>
      <c r="AL330" s="42"/>
      <c r="AM330" s="42"/>
      <c r="AN330" s="42"/>
      <c r="AO330" s="42"/>
      <c r="AP330" s="42">
        <f>+AI330*1.035</f>
        <v>311.29798499999998</v>
      </c>
      <c r="AQ330" s="42"/>
      <c r="AR330" s="42"/>
      <c r="AS330" s="42"/>
      <c r="AT330" s="42"/>
      <c r="AU330" s="42"/>
      <c r="AV330" s="42"/>
      <c r="AW330" s="42"/>
      <c r="AX330" s="42"/>
      <c r="AY330" s="42"/>
      <c r="AZ330" s="42"/>
      <c r="BA330" s="42"/>
      <c r="BB330" s="42"/>
      <c r="BC330" s="42"/>
      <c r="BD330" s="42">
        <f t="shared" si="194"/>
        <v>387</v>
      </c>
      <c r="BE330" s="42">
        <f t="shared" si="194"/>
        <v>0</v>
      </c>
      <c r="BF330" s="42">
        <f t="shared" si="194"/>
        <v>902.66898500000002</v>
      </c>
      <c r="BG330" s="42">
        <f t="shared" si="194"/>
        <v>0</v>
      </c>
      <c r="BH330" s="42">
        <f t="shared" si="194"/>
        <v>0</v>
      </c>
      <c r="BI330" s="42">
        <f t="shared" si="167"/>
        <v>648</v>
      </c>
      <c r="BJ330" s="42">
        <f t="shared" si="195"/>
        <v>0</v>
      </c>
      <c r="BK330" s="42">
        <f t="shared" si="195"/>
        <v>1325.6</v>
      </c>
    </row>
    <row r="331" spans="1:63" ht="20.25" x14ac:dyDescent="0.2">
      <c r="A331" s="420"/>
      <c r="B331" s="1565" t="s">
        <v>1000</v>
      </c>
      <c r="C331" s="1566"/>
      <c r="D331" s="1566"/>
      <c r="E331" s="1566"/>
      <c r="F331" s="1566"/>
      <c r="G331" s="1566"/>
      <c r="H331" s="1566"/>
      <c r="I331" s="1566"/>
      <c r="J331" s="1566"/>
      <c r="K331" s="1566"/>
      <c r="L331" s="1566"/>
      <c r="M331" s="1567"/>
      <c r="N331" s="597"/>
      <c r="O331" s="597"/>
      <c r="P331" s="598"/>
      <c r="Q331" s="598"/>
      <c r="R331" s="597"/>
      <c r="S331" s="597"/>
      <c r="T331" s="597"/>
      <c r="U331" s="599"/>
      <c r="V331" s="599"/>
      <c r="W331" s="599"/>
      <c r="X331" s="599"/>
      <c r="Y331" s="600">
        <f>+Y332</f>
        <v>387.8</v>
      </c>
      <c r="Z331" s="600">
        <f t="shared" ref="Z331:BK331" si="196">+Z332</f>
        <v>0</v>
      </c>
      <c r="AA331" s="600">
        <f t="shared" si="196"/>
        <v>290.60000000000002</v>
      </c>
      <c r="AB331" s="600">
        <f t="shared" si="196"/>
        <v>0</v>
      </c>
      <c r="AC331" s="600">
        <f t="shared" si="196"/>
        <v>0</v>
      </c>
      <c r="AD331" s="600">
        <f t="shared" si="196"/>
        <v>648</v>
      </c>
      <c r="AE331" s="600">
        <f t="shared" si="196"/>
        <v>0</v>
      </c>
      <c r="AF331" s="600">
        <f t="shared" si="196"/>
        <v>1326.4</v>
      </c>
      <c r="AG331" s="600">
        <f t="shared" si="196"/>
        <v>134</v>
      </c>
      <c r="AH331" s="600">
        <f t="shared" si="196"/>
        <v>0</v>
      </c>
      <c r="AI331" s="600">
        <f t="shared" si="196"/>
        <v>300</v>
      </c>
      <c r="AJ331" s="600">
        <f t="shared" si="196"/>
        <v>100</v>
      </c>
      <c r="AK331" s="600">
        <f t="shared" si="196"/>
        <v>0</v>
      </c>
      <c r="AL331" s="600">
        <f t="shared" si="196"/>
        <v>2400</v>
      </c>
      <c r="AM331" s="600">
        <f t="shared" si="196"/>
        <v>2934</v>
      </c>
      <c r="AN331" s="600">
        <f t="shared" si="196"/>
        <v>390</v>
      </c>
      <c r="AO331" s="600">
        <f t="shared" si="196"/>
        <v>0</v>
      </c>
      <c r="AP331" s="600">
        <f t="shared" si="196"/>
        <v>311</v>
      </c>
      <c r="AQ331" s="600">
        <f t="shared" si="196"/>
        <v>1200</v>
      </c>
      <c r="AR331" s="600">
        <f t="shared" si="196"/>
        <v>0</v>
      </c>
      <c r="AS331" s="600">
        <f t="shared" si="196"/>
        <v>0</v>
      </c>
      <c r="AT331" s="600">
        <f t="shared" si="196"/>
        <v>0</v>
      </c>
      <c r="AU331" s="600">
        <f t="shared" si="196"/>
        <v>1901</v>
      </c>
      <c r="AV331" s="600">
        <f t="shared" si="196"/>
        <v>200</v>
      </c>
      <c r="AW331" s="600">
        <f t="shared" si="196"/>
        <v>0</v>
      </c>
      <c r="AX331" s="600">
        <f t="shared" si="196"/>
        <v>316</v>
      </c>
      <c r="AY331" s="600">
        <f t="shared" si="196"/>
        <v>200</v>
      </c>
      <c r="AZ331" s="600">
        <f t="shared" si="196"/>
        <v>0</v>
      </c>
      <c r="BA331" s="600">
        <f t="shared" si="196"/>
        <v>0</v>
      </c>
      <c r="BB331" s="600">
        <f t="shared" si="196"/>
        <v>0</v>
      </c>
      <c r="BC331" s="600">
        <f t="shared" si="196"/>
        <v>716</v>
      </c>
      <c r="BD331" s="33">
        <f t="shared" si="196"/>
        <v>1111.8</v>
      </c>
      <c r="BE331" s="33">
        <f t="shared" si="196"/>
        <v>0</v>
      </c>
      <c r="BF331" s="33">
        <f t="shared" si="196"/>
        <v>1217.5999999999999</v>
      </c>
      <c r="BG331" s="33">
        <f t="shared" si="196"/>
        <v>1500</v>
      </c>
      <c r="BH331" s="33">
        <f t="shared" si="196"/>
        <v>0</v>
      </c>
      <c r="BI331" s="33">
        <f t="shared" si="167"/>
        <v>648</v>
      </c>
      <c r="BJ331" s="33">
        <f t="shared" si="196"/>
        <v>2400</v>
      </c>
      <c r="BK331" s="33">
        <f t="shared" si="196"/>
        <v>6877.4</v>
      </c>
    </row>
    <row r="332" spans="1:63" ht="12.75" x14ac:dyDescent="0.2">
      <c r="A332" s="603"/>
      <c r="B332" s="154" t="s">
        <v>999</v>
      </c>
      <c r="C332" s="6"/>
      <c r="D332" s="2" t="s">
        <v>1001</v>
      </c>
      <c r="E332" s="1"/>
      <c r="F332" s="1"/>
      <c r="G332" s="1"/>
      <c r="H332" s="1"/>
      <c r="I332" s="1"/>
      <c r="J332" s="1"/>
      <c r="K332" s="1"/>
      <c r="L332" s="1"/>
      <c r="M332" s="1"/>
      <c r="N332" s="1"/>
      <c r="O332" s="1"/>
      <c r="P332" s="22"/>
      <c r="Q332" s="22"/>
      <c r="R332" s="1"/>
      <c r="S332" s="1"/>
      <c r="T332" s="1"/>
      <c r="U332" s="49"/>
      <c r="V332" s="49"/>
      <c r="W332" s="49"/>
      <c r="X332" s="49"/>
      <c r="Y332" s="34">
        <f t="shared" ref="Y332:AE332" si="197">SUM(Y333:Y353)</f>
        <v>387.8</v>
      </c>
      <c r="Z332" s="34">
        <f t="shared" si="197"/>
        <v>0</v>
      </c>
      <c r="AA332" s="34">
        <f t="shared" si="197"/>
        <v>290.60000000000002</v>
      </c>
      <c r="AB332" s="34">
        <f t="shared" si="197"/>
        <v>0</v>
      </c>
      <c r="AC332" s="34">
        <f t="shared" si="197"/>
        <v>0</v>
      </c>
      <c r="AD332" s="34">
        <f t="shared" si="197"/>
        <v>648</v>
      </c>
      <c r="AE332" s="34">
        <f t="shared" si="197"/>
        <v>0</v>
      </c>
      <c r="AF332" s="34">
        <f>SUM(Y332:AE332)</f>
        <v>1326.4</v>
      </c>
      <c r="AG332" s="34">
        <f t="shared" ref="AG332:AL332" si="198">SUM(AG333:AG353)</f>
        <v>134</v>
      </c>
      <c r="AH332" s="34">
        <f t="shared" si="198"/>
        <v>0</v>
      </c>
      <c r="AI332" s="34">
        <f t="shared" si="198"/>
        <v>300</v>
      </c>
      <c r="AJ332" s="34">
        <f t="shared" si="198"/>
        <v>100</v>
      </c>
      <c r="AK332" s="34">
        <f t="shared" si="198"/>
        <v>0</v>
      </c>
      <c r="AL332" s="34">
        <f t="shared" si="198"/>
        <v>2400</v>
      </c>
      <c r="AM332" s="34">
        <f>SUM(AG332:AL332)</f>
        <v>2934</v>
      </c>
      <c r="AN332" s="34">
        <f t="shared" ref="AN332:AT332" si="199">SUM(AN333:AN353)</f>
        <v>390</v>
      </c>
      <c r="AO332" s="34">
        <f t="shared" si="199"/>
        <v>0</v>
      </c>
      <c r="AP332" s="34">
        <f t="shared" si="199"/>
        <v>311</v>
      </c>
      <c r="AQ332" s="34">
        <f t="shared" si="199"/>
        <v>1200</v>
      </c>
      <c r="AR332" s="34">
        <f t="shared" si="199"/>
        <v>0</v>
      </c>
      <c r="AS332" s="34">
        <f t="shared" si="199"/>
        <v>0</v>
      </c>
      <c r="AT332" s="34">
        <f t="shared" si="199"/>
        <v>0</v>
      </c>
      <c r="AU332" s="34">
        <f>SUM(AN332:AT332)</f>
        <v>1901</v>
      </c>
      <c r="AV332" s="34">
        <f t="shared" ref="AV332:BB332" si="200">SUM(AV333:AV353)</f>
        <v>200</v>
      </c>
      <c r="AW332" s="34">
        <f t="shared" si="200"/>
        <v>0</v>
      </c>
      <c r="AX332" s="34">
        <f t="shared" si="200"/>
        <v>316</v>
      </c>
      <c r="AY332" s="34">
        <f t="shared" si="200"/>
        <v>200</v>
      </c>
      <c r="AZ332" s="34">
        <f t="shared" si="200"/>
        <v>0</v>
      </c>
      <c r="BA332" s="34">
        <f t="shared" si="200"/>
        <v>0</v>
      </c>
      <c r="BB332" s="34">
        <f t="shared" si="200"/>
        <v>0</v>
      </c>
      <c r="BC332" s="34">
        <f>SUM(AV332:BB332)</f>
        <v>716</v>
      </c>
      <c r="BD332" s="34">
        <f t="shared" si="194"/>
        <v>1111.8</v>
      </c>
      <c r="BE332" s="34">
        <f t="shared" si="194"/>
        <v>0</v>
      </c>
      <c r="BF332" s="34">
        <f t="shared" si="194"/>
        <v>1217.5999999999999</v>
      </c>
      <c r="BG332" s="34">
        <f t="shared" si="194"/>
        <v>1500</v>
      </c>
      <c r="BH332" s="34">
        <f t="shared" si="194"/>
        <v>0</v>
      </c>
      <c r="BI332" s="34">
        <f t="shared" si="167"/>
        <v>648</v>
      </c>
      <c r="BJ332" s="34">
        <f t="shared" si="195"/>
        <v>2400</v>
      </c>
      <c r="BK332" s="34">
        <f t="shared" si="195"/>
        <v>6877.4</v>
      </c>
    </row>
    <row r="333" spans="1:63" ht="52.5" customHeight="1" x14ac:dyDescent="0.25">
      <c r="A333" s="298" t="s">
        <v>1002</v>
      </c>
      <c r="B333" s="299" t="s">
        <v>999</v>
      </c>
      <c r="C333" s="1546" t="s">
        <v>1003</v>
      </c>
      <c r="D333" s="1550" t="s">
        <v>1004</v>
      </c>
      <c r="E333" s="1550" t="s">
        <v>1005</v>
      </c>
      <c r="F333" s="1550">
        <v>2015</v>
      </c>
      <c r="G333" s="1550">
        <v>98</v>
      </c>
      <c r="H333" s="1550">
        <v>98</v>
      </c>
      <c r="I333" s="1425"/>
      <c r="J333" s="1425"/>
      <c r="K333" s="1425" t="s">
        <v>1006</v>
      </c>
      <c r="L333" s="301" t="s">
        <v>179</v>
      </c>
      <c r="M333" s="1425" t="s">
        <v>1007</v>
      </c>
      <c r="N333" s="1425" t="s">
        <v>1008</v>
      </c>
      <c r="O333" s="1425" t="s">
        <v>73</v>
      </c>
      <c r="P333" s="16" t="s">
        <v>1009</v>
      </c>
      <c r="Q333" s="302" t="s">
        <v>1010</v>
      </c>
      <c r="R333" s="303">
        <v>2015</v>
      </c>
      <c r="S333" s="303">
        <v>0</v>
      </c>
      <c r="T333" s="303">
        <v>0</v>
      </c>
      <c r="U333" s="572">
        <v>1</v>
      </c>
      <c r="V333" s="572">
        <v>1</v>
      </c>
      <c r="W333" s="572">
        <v>1</v>
      </c>
      <c r="X333" s="572">
        <v>1</v>
      </c>
      <c r="Y333" s="481"/>
      <c r="Z333" s="481"/>
      <c r="AA333" s="481"/>
      <c r="AB333" s="481"/>
      <c r="AC333" s="481"/>
      <c r="AD333" s="481"/>
      <c r="AE333" s="481"/>
      <c r="AF333" s="481">
        <f t="shared" ref="AF333:AF353" si="201">SUBTOTAL(9,Y333:AE333)</f>
        <v>0</v>
      </c>
      <c r="AG333" s="548"/>
      <c r="AH333" s="548"/>
      <c r="AI333" s="548"/>
      <c r="AJ333" s="548"/>
      <c r="AK333" s="548"/>
      <c r="AL333" s="548"/>
      <c r="AM333" s="548">
        <v>0</v>
      </c>
      <c r="AN333" s="481"/>
      <c r="AO333" s="481"/>
      <c r="AP333" s="481"/>
      <c r="AQ333" s="481"/>
      <c r="AR333" s="481"/>
      <c r="AS333" s="481"/>
      <c r="AT333" s="481"/>
      <c r="AU333" s="481">
        <v>0</v>
      </c>
      <c r="AV333" s="548"/>
      <c r="AW333" s="548"/>
      <c r="AX333" s="548"/>
      <c r="AY333" s="548"/>
      <c r="AZ333" s="548"/>
      <c r="BA333" s="548"/>
      <c r="BB333" s="548"/>
      <c r="BC333" s="548">
        <v>0</v>
      </c>
      <c r="BD333" s="42">
        <f t="shared" si="194"/>
        <v>0</v>
      </c>
      <c r="BE333" s="42">
        <f t="shared" si="194"/>
        <v>0</v>
      </c>
      <c r="BF333" s="42">
        <f t="shared" si="194"/>
        <v>0</v>
      </c>
      <c r="BG333" s="42">
        <f t="shared" si="194"/>
        <v>0</v>
      </c>
      <c r="BH333" s="42">
        <f t="shared" si="194"/>
        <v>0</v>
      </c>
      <c r="BI333" s="42">
        <f t="shared" si="167"/>
        <v>0</v>
      </c>
      <c r="BJ333" s="42">
        <f t="shared" si="195"/>
        <v>0</v>
      </c>
      <c r="BK333" s="42">
        <f t="shared" si="195"/>
        <v>0</v>
      </c>
    </row>
    <row r="334" spans="1:63" ht="49.5" customHeight="1" x14ac:dyDescent="0.25">
      <c r="A334" s="298" t="s">
        <v>1002</v>
      </c>
      <c r="B334" s="299" t="s">
        <v>999</v>
      </c>
      <c r="C334" s="1547"/>
      <c r="D334" s="1551"/>
      <c r="E334" s="1551"/>
      <c r="F334" s="1551"/>
      <c r="G334" s="1551"/>
      <c r="H334" s="1551"/>
      <c r="I334" s="1425"/>
      <c r="J334" s="1425"/>
      <c r="K334" s="1425" t="s">
        <v>1011</v>
      </c>
      <c r="L334" s="301" t="s">
        <v>179</v>
      </c>
      <c r="M334" s="1425" t="s">
        <v>1007</v>
      </c>
      <c r="N334" s="1425" t="s">
        <v>1008</v>
      </c>
      <c r="O334" s="1425" t="s">
        <v>47</v>
      </c>
      <c r="P334" s="16" t="s">
        <v>1012</v>
      </c>
      <c r="Q334" s="302" t="s">
        <v>1013</v>
      </c>
      <c r="R334" s="303">
        <v>2015</v>
      </c>
      <c r="S334" s="303">
        <v>0</v>
      </c>
      <c r="T334" s="303">
        <v>1</v>
      </c>
      <c r="U334" s="572">
        <v>2</v>
      </c>
      <c r="V334" s="572">
        <v>3</v>
      </c>
      <c r="W334" s="572">
        <v>4</v>
      </c>
      <c r="X334" s="572">
        <v>4</v>
      </c>
      <c r="Y334" s="481"/>
      <c r="Z334" s="481"/>
      <c r="AA334" s="584"/>
      <c r="AB334" s="481"/>
      <c r="AC334" s="481"/>
      <c r="AD334" s="481"/>
      <c r="AE334" s="481"/>
      <c r="AF334" s="481">
        <f t="shared" si="201"/>
        <v>0</v>
      </c>
      <c r="AG334" s="548"/>
      <c r="AH334" s="548"/>
      <c r="AI334" s="548"/>
      <c r="AJ334" s="548"/>
      <c r="AK334" s="548"/>
      <c r="AL334" s="548"/>
      <c r="AM334" s="548">
        <v>0</v>
      </c>
      <c r="AN334" s="481"/>
      <c r="AO334" s="481"/>
      <c r="AP334" s="481"/>
      <c r="AQ334" s="481"/>
      <c r="AR334" s="481"/>
      <c r="AS334" s="481"/>
      <c r="AT334" s="481"/>
      <c r="AU334" s="481">
        <v>0</v>
      </c>
      <c r="AV334" s="548"/>
      <c r="AW334" s="548"/>
      <c r="AX334" s="548"/>
      <c r="AY334" s="548"/>
      <c r="AZ334" s="548"/>
      <c r="BA334" s="548"/>
      <c r="BB334" s="548"/>
      <c r="BC334" s="548">
        <v>0</v>
      </c>
      <c r="BD334" s="42">
        <f t="shared" si="194"/>
        <v>0</v>
      </c>
      <c r="BE334" s="42">
        <f t="shared" si="194"/>
        <v>0</v>
      </c>
      <c r="BF334" s="42">
        <f t="shared" si="194"/>
        <v>0</v>
      </c>
      <c r="BG334" s="42">
        <f t="shared" si="194"/>
        <v>0</v>
      </c>
      <c r="BH334" s="42">
        <f t="shared" si="194"/>
        <v>0</v>
      </c>
      <c r="BI334" s="42">
        <f t="shared" si="167"/>
        <v>0</v>
      </c>
      <c r="BJ334" s="42">
        <f t="shared" si="195"/>
        <v>0</v>
      </c>
      <c r="BK334" s="42">
        <f t="shared" si="195"/>
        <v>0</v>
      </c>
    </row>
    <row r="335" spans="1:63" ht="57.75" customHeight="1" x14ac:dyDescent="0.25">
      <c r="A335" s="298" t="s">
        <v>1002</v>
      </c>
      <c r="B335" s="299" t="s">
        <v>999</v>
      </c>
      <c r="C335" s="1547"/>
      <c r="D335" s="1551"/>
      <c r="E335" s="1551"/>
      <c r="F335" s="1551"/>
      <c r="G335" s="1551"/>
      <c r="H335" s="1551"/>
      <c r="I335" s="1425"/>
      <c r="J335" s="1425"/>
      <c r="K335" s="1425" t="s">
        <v>1014</v>
      </c>
      <c r="L335" s="301" t="s">
        <v>179</v>
      </c>
      <c r="M335" s="1425" t="s">
        <v>1007</v>
      </c>
      <c r="N335" s="1425" t="s">
        <v>1008</v>
      </c>
      <c r="O335" s="1425" t="s">
        <v>47</v>
      </c>
      <c r="P335" s="16" t="s">
        <v>1015</v>
      </c>
      <c r="Q335" s="302" t="s">
        <v>1016</v>
      </c>
      <c r="R335" s="303">
        <v>2015</v>
      </c>
      <c r="S335" s="303">
        <v>0</v>
      </c>
      <c r="T335" s="303">
        <v>0</v>
      </c>
      <c r="U335" s="572">
        <v>1</v>
      </c>
      <c r="V335" s="572">
        <v>0</v>
      </c>
      <c r="W335" s="572">
        <v>0</v>
      </c>
      <c r="X335" s="572">
        <v>1</v>
      </c>
      <c r="Y335" s="481"/>
      <c r="Z335" s="481"/>
      <c r="AA335" s="584"/>
      <c r="AB335" s="481"/>
      <c r="AC335" s="481"/>
      <c r="AD335" s="481"/>
      <c r="AE335" s="481"/>
      <c r="AF335" s="481">
        <f t="shared" si="201"/>
        <v>0</v>
      </c>
      <c r="AG335" s="548"/>
      <c r="AH335" s="548"/>
      <c r="AI335" s="548"/>
      <c r="AJ335" s="591"/>
      <c r="AK335" s="548"/>
      <c r="AL335" s="548"/>
      <c r="AM335" s="548">
        <v>0</v>
      </c>
      <c r="AN335" s="481"/>
      <c r="AO335" s="481"/>
      <c r="AP335" s="481"/>
      <c r="AQ335" s="481"/>
      <c r="AR335" s="481"/>
      <c r="AS335" s="481"/>
      <c r="AT335" s="481"/>
      <c r="AU335" s="481">
        <v>0</v>
      </c>
      <c r="AV335" s="548"/>
      <c r="AW335" s="548"/>
      <c r="AX335" s="548"/>
      <c r="AY335" s="548"/>
      <c r="AZ335" s="548"/>
      <c r="BA335" s="548"/>
      <c r="BB335" s="548"/>
      <c r="BC335" s="548">
        <v>0</v>
      </c>
      <c r="BD335" s="42"/>
      <c r="BE335" s="42"/>
      <c r="BF335" s="42"/>
      <c r="BG335" s="42"/>
      <c r="BH335" s="42"/>
      <c r="BI335" s="42">
        <f t="shared" si="167"/>
        <v>0</v>
      </c>
      <c r="BJ335" s="42"/>
      <c r="BK335" s="42"/>
    </row>
    <row r="336" spans="1:63" ht="41.25" customHeight="1" x14ac:dyDescent="0.25">
      <c r="A336" s="298" t="s">
        <v>1002</v>
      </c>
      <c r="B336" s="299" t="s">
        <v>999</v>
      </c>
      <c r="C336" s="1547"/>
      <c r="D336" s="1551"/>
      <c r="E336" s="1551"/>
      <c r="F336" s="1551"/>
      <c r="G336" s="1551"/>
      <c r="H336" s="1551"/>
      <c r="I336" s="1425" t="s">
        <v>53</v>
      </c>
      <c r="J336" s="1425"/>
      <c r="K336" s="1425" t="s">
        <v>1017</v>
      </c>
      <c r="L336" s="301" t="s">
        <v>179</v>
      </c>
      <c r="M336" s="1425" t="s">
        <v>1007</v>
      </c>
      <c r="N336" s="1425" t="s">
        <v>1008</v>
      </c>
      <c r="O336" s="1425" t="s">
        <v>73</v>
      </c>
      <c r="P336" s="16" t="s">
        <v>1018</v>
      </c>
      <c r="Q336" s="302" t="s">
        <v>835</v>
      </c>
      <c r="R336" s="303">
        <v>2015</v>
      </c>
      <c r="S336" s="303">
        <v>0</v>
      </c>
      <c r="T336" s="303">
        <v>1</v>
      </c>
      <c r="U336" s="572">
        <v>1</v>
      </c>
      <c r="V336" s="572">
        <v>1</v>
      </c>
      <c r="W336" s="572">
        <v>1</v>
      </c>
      <c r="X336" s="572">
        <v>1</v>
      </c>
      <c r="Y336" s="481"/>
      <c r="Z336" s="481"/>
      <c r="AA336" s="584"/>
      <c r="AB336" s="481"/>
      <c r="AC336" s="481"/>
      <c r="AD336" s="481"/>
      <c r="AE336" s="481"/>
      <c r="AF336" s="481">
        <f t="shared" si="201"/>
        <v>0</v>
      </c>
      <c r="AG336" s="548"/>
      <c r="AH336" s="548"/>
      <c r="AI336" s="548"/>
      <c r="AJ336" s="588"/>
      <c r="AK336" s="548"/>
      <c r="AL336" s="548"/>
      <c r="AM336" s="548">
        <v>0</v>
      </c>
      <c r="AN336" s="481"/>
      <c r="AO336" s="481"/>
      <c r="AP336" s="481"/>
      <c r="AQ336" s="481"/>
      <c r="AR336" s="481"/>
      <c r="AS336" s="481"/>
      <c r="AT336" s="481"/>
      <c r="AU336" s="481">
        <v>0</v>
      </c>
      <c r="AV336" s="548"/>
      <c r="AW336" s="548"/>
      <c r="AX336" s="548"/>
      <c r="AY336" s="548">
        <v>200</v>
      </c>
      <c r="AZ336" s="548"/>
      <c r="BA336" s="548"/>
      <c r="BB336" s="548"/>
      <c r="BC336" s="548">
        <v>0</v>
      </c>
      <c r="BD336" s="42">
        <f t="shared" si="194"/>
        <v>0</v>
      </c>
      <c r="BE336" s="42">
        <f t="shared" si="194"/>
        <v>0</v>
      </c>
      <c r="BF336" s="42">
        <f t="shared" si="194"/>
        <v>0</v>
      </c>
      <c r="BG336" s="42">
        <f t="shared" si="194"/>
        <v>200</v>
      </c>
      <c r="BH336" s="42">
        <f t="shared" si="194"/>
        <v>0</v>
      </c>
      <c r="BI336" s="42">
        <f t="shared" si="167"/>
        <v>0</v>
      </c>
      <c r="BJ336" s="42">
        <f t="shared" si="195"/>
        <v>0</v>
      </c>
      <c r="BK336" s="42">
        <f t="shared" si="195"/>
        <v>0</v>
      </c>
    </row>
    <row r="337" spans="1:63" ht="53.25" customHeight="1" x14ac:dyDescent="0.25">
      <c r="A337" s="298" t="s">
        <v>1002</v>
      </c>
      <c r="B337" s="299" t="s">
        <v>999</v>
      </c>
      <c r="C337" s="1547"/>
      <c r="D337" s="1551"/>
      <c r="E337" s="1551"/>
      <c r="F337" s="1551"/>
      <c r="G337" s="1551"/>
      <c r="H337" s="1551"/>
      <c r="I337" s="1425"/>
      <c r="J337" s="1425"/>
      <c r="K337" s="1425" t="s">
        <v>1019</v>
      </c>
      <c r="L337" s="301" t="s">
        <v>179</v>
      </c>
      <c r="M337" s="1425" t="s">
        <v>1007</v>
      </c>
      <c r="N337" s="1425" t="s">
        <v>1008</v>
      </c>
      <c r="O337" s="1425" t="s">
        <v>73</v>
      </c>
      <c r="P337" s="16" t="s">
        <v>1020</v>
      </c>
      <c r="Q337" s="302" t="s">
        <v>1021</v>
      </c>
      <c r="R337" s="303">
        <v>2015</v>
      </c>
      <c r="S337" s="303">
        <v>0</v>
      </c>
      <c r="T337" s="303">
        <v>3</v>
      </c>
      <c r="U337" s="572">
        <v>3</v>
      </c>
      <c r="V337" s="572">
        <v>3</v>
      </c>
      <c r="W337" s="572">
        <v>3</v>
      </c>
      <c r="X337" s="572">
        <v>3</v>
      </c>
      <c r="Y337" s="481"/>
      <c r="Z337" s="481"/>
      <c r="AA337" s="481"/>
      <c r="AB337" s="481"/>
      <c r="AC337" s="481"/>
      <c r="AD337" s="481"/>
      <c r="AE337" s="481"/>
      <c r="AF337" s="481">
        <f t="shared" si="201"/>
        <v>0</v>
      </c>
      <c r="AG337" s="548"/>
      <c r="AH337" s="548"/>
      <c r="AI337" s="548"/>
      <c r="AJ337" s="548"/>
      <c r="AK337" s="548"/>
      <c r="AL337" s="548"/>
      <c r="AM337" s="548">
        <v>0</v>
      </c>
      <c r="AN337" s="481"/>
      <c r="AO337" s="481"/>
      <c r="AP337" s="481"/>
      <c r="AQ337" s="481"/>
      <c r="AR337" s="481"/>
      <c r="AS337" s="481"/>
      <c r="AT337" s="481"/>
      <c r="AU337" s="481">
        <v>0</v>
      </c>
      <c r="AV337" s="548"/>
      <c r="AW337" s="548"/>
      <c r="AX337" s="548"/>
      <c r="AY337" s="548"/>
      <c r="AZ337" s="548"/>
      <c r="BA337" s="548"/>
      <c r="BB337" s="548"/>
      <c r="BC337" s="548">
        <v>0</v>
      </c>
      <c r="BD337" s="42">
        <f t="shared" si="194"/>
        <v>0</v>
      </c>
      <c r="BE337" s="42">
        <f t="shared" si="194"/>
        <v>0</v>
      </c>
      <c r="BF337" s="42">
        <f t="shared" si="194"/>
        <v>0</v>
      </c>
      <c r="BG337" s="42">
        <f t="shared" si="194"/>
        <v>0</v>
      </c>
      <c r="BH337" s="42">
        <f t="shared" si="194"/>
        <v>0</v>
      </c>
      <c r="BI337" s="42">
        <f t="shared" si="167"/>
        <v>0</v>
      </c>
      <c r="BJ337" s="42">
        <f t="shared" si="195"/>
        <v>0</v>
      </c>
      <c r="BK337" s="42">
        <f t="shared" si="195"/>
        <v>0</v>
      </c>
    </row>
    <row r="338" spans="1:63" ht="66" customHeight="1" x14ac:dyDescent="0.25">
      <c r="A338" s="298" t="s">
        <v>1002</v>
      </c>
      <c r="B338" s="299" t="s">
        <v>999</v>
      </c>
      <c r="C338" s="1547"/>
      <c r="D338" s="1551"/>
      <c r="E338" s="1551"/>
      <c r="F338" s="1551"/>
      <c r="G338" s="1551"/>
      <c r="H338" s="1551"/>
      <c r="I338" s="1425"/>
      <c r="J338" s="1425"/>
      <c r="K338" s="1425" t="s">
        <v>1022</v>
      </c>
      <c r="L338" s="301" t="s">
        <v>179</v>
      </c>
      <c r="M338" s="1425" t="s">
        <v>1007</v>
      </c>
      <c r="N338" s="1425" t="s">
        <v>1008</v>
      </c>
      <c r="O338" s="1425" t="s">
        <v>73</v>
      </c>
      <c r="P338" s="16" t="s">
        <v>1023</v>
      </c>
      <c r="Q338" s="302" t="s">
        <v>1024</v>
      </c>
      <c r="R338" s="303">
        <v>2015</v>
      </c>
      <c r="S338" s="303">
        <v>0</v>
      </c>
      <c r="T338" s="303">
        <v>1</v>
      </c>
      <c r="U338" s="572">
        <v>1</v>
      </c>
      <c r="V338" s="572">
        <v>1</v>
      </c>
      <c r="W338" s="572">
        <v>1</v>
      </c>
      <c r="X338" s="572">
        <v>1</v>
      </c>
      <c r="Y338" s="481"/>
      <c r="Z338" s="481"/>
      <c r="AA338" s="481"/>
      <c r="AB338" s="481"/>
      <c r="AC338" s="481"/>
      <c r="AD338" s="481"/>
      <c r="AE338" s="481"/>
      <c r="AF338" s="481">
        <f t="shared" si="201"/>
        <v>0</v>
      </c>
      <c r="AG338" s="548"/>
      <c r="AH338" s="548"/>
      <c r="AI338" s="548"/>
      <c r="AJ338" s="548"/>
      <c r="AK338" s="548"/>
      <c r="AL338" s="548"/>
      <c r="AM338" s="548">
        <v>0</v>
      </c>
      <c r="AN338" s="481"/>
      <c r="AO338" s="481"/>
      <c r="AP338" s="481"/>
      <c r="AQ338" s="481"/>
      <c r="AR338" s="481"/>
      <c r="AS338" s="481"/>
      <c r="AT338" s="481"/>
      <c r="AU338" s="481">
        <v>0</v>
      </c>
      <c r="AV338" s="548"/>
      <c r="AW338" s="548"/>
      <c r="AX338" s="548"/>
      <c r="AY338" s="548"/>
      <c r="AZ338" s="548"/>
      <c r="BA338" s="548"/>
      <c r="BB338" s="548"/>
      <c r="BC338" s="548">
        <v>0</v>
      </c>
      <c r="BD338" s="42">
        <f t="shared" si="194"/>
        <v>0</v>
      </c>
      <c r="BE338" s="42">
        <f t="shared" si="194"/>
        <v>0</v>
      </c>
      <c r="BF338" s="42">
        <f t="shared" si="194"/>
        <v>0</v>
      </c>
      <c r="BG338" s="42">
        <f t="shared" si="194"/>
        <v>0</v>
      </c>
      <c r="BH338" s="42">
        <f t="shared" si="194"/>
        <v>0</v>
      </c>
      <c r="BI338" s="42">
        <f t="shared" si="167"/>
        <v>0</v>
      </c>
      <c r="BJ338" s="42">
        <f t="shared" si="195"/>
        <v>0</v>
      </c>
      <c r="BK338" s="42">
        <f t="shared" si="195"/>
        <v>0</v>
      </c>
    </row>
    <row r="339" spans="1:63" ht="67.5" customHeight="1" x14ac:dyDescent="0.25">
      <c r="A339" s="298" t="s">
        <v>1002</v>
      </c>
      <c r="B339" s="299" t="s">
        <v>999</v>
      </c>
      <c r="C339" s="1547"/>
      <c r="D339" s="1551"/>
      <c r="E339" s="1551"/>
      <c r="F339" s="1551"/>
      <c r="G339" s="1551"/>
      <c r="H339" s="1551"/>
      <c r="I339" s="1425"/>
      <c r="J339" s="1425"/>
      <c r="K339" s="1425" t="s">
        <v>1025</v>
      </c>
      <c r="L339" s="301" t="s">
        <v>179</v>
      </c>
      <c r="M339" s="1425" t="s">
        <v>1007</v>
      </c>
      <c r="N339" s="1425" t="s">
        <v>1008</v>
      </c>
      <c r="O339" s="1425" t="s">
        <v>47</v>
      </c>
      <c r="P339" s="71" t="s">
        <v>1026</v>
      </c>
      <c r="Q339" s="302" t="s">
        <v>1027</v>
      </c>
      <c r="R339" s="303">
        <v>2015</v>
      </c>
      <c r="S339" s="303">
        <v>0</v>
      </c>
      <c r="T339" s="303">
        <v>1</v>
      </c>
      <c r="U339" s="572">
        <v>0</v>
      </c>
      <c r="V339" s="572">
        <v>0</v>
      </c>
      <c r="W339" s="572">
        <v>0</v>
      </c>
      <c r="X339" s="572">
        <v>1</v>
      </c>
      <c r="Y339" s="481">
        <v>260</v>
      </c>
      <c r="Z339" s="481"/>
      <c r="AA339" s="481"/>
      <c r="AB339" s="481"/>
      <c r="AC339" s="481"/>
      <c r="AD339" s="481"/>
      <c r="AE339" s="481"/>
      <c r="AF339" s="481">
        <f t="shared" si="201"/>
        <v>260</v>
      </c>
      <c r="AG339" s="548"/>
      <c r="AH339" s="548"/>
      <c r="AI339" s="548"/>
      <c r="AJ339" s="548"/>
      <c r="AK339" s="548"/>
      <c r="AL339" s="548"/>
      <c r="AM339" s="548">
        <v>0</v>
      </c>
      <c r="AN339" s="481"/>
      <c r="AO339" s="481"/>
      <c r="AP339" s="481"/>
      <c r="AQ339" s="481"/>
      <c r="AR339" s="481"/>
      <c r="AS339" s="481"/>
      <c r="AT339" s="481"/>
      <c r="AU339" s="481">
        <v>0</v>
      </c>
      <c r="AV339" s="548"/>
      <c r="AW339" s="548"/>
      <c r="AX339" s="548"/>
      <c r="AY339" s="548"/>
      <c r="AZ339" s="548"/>
      <c r="BA339" s="548"/>
      <c r="BB339" s="548"/>
      <c r="BC339" s="548">
        <v>0</v>
      </c>
      <c r="BD339" s="42">
        <f t="shared" si="194"/>
        <v>260</v>
      </c>
      <c r="BE339" s="42">
        <f t="shared" si="194"/>
        <v>0</v>
      </c>
      <c r="BF339" s="42">
        <f t="shared" si="194"/>
        <v>0</v>
      </c>
      <c r="BG339" s="42">
        <f t="shared" si="194"/>
        <v>0</v>
      </c>
      <c r="BH339" s="42">
        <f t="shared" si="194"/>
        <v>0</v>
      </c>
      <c r="BI339" s="42">
        <f t="shared" ref="BI339:BI403" si="202">+AD339+AS339+BA339</f>
        <v>0</v>
      </c>
      <c r="BJ339" s="42">
        <f t="shared" si="195"/>
        <v>0</v>
      </c>
      <c r="BK339" s="42">
        <f t="shared" si="195"/>
        <v>260</v>
      </c>
    </row>
    <row r="340" spans="1:63" ht="78" customHeight="1" x14ac:dyDescent="0.25">
      <c r="A340" s="298" t="s">
        <v>1002</v>
      </c>
      <c r="B340" s="299" t="s">
        <v>999</v>
      </c>
      <c r="C340" s="1547"/>
      <c r="D340" s="1551"/>
      <c r="E340" s="1551"/>
      <c r="F340" s="1551"/>
      <c r="G340" s="1551"/>
      <c r="H340" s="1551"/>
      <c r="I340" s="1425"/>
      <c r="J340" s="1425"/>
      <c r="K340" s="1425" t="s">
        <v>1028</v>
      </c>
      <c r="L340" s="301" t="s">
        <v>179</v>
      </c>
      <c r="M340" s="1425" t="s">
        <v>1007</v>
      </c>
      <c r="N340" s="1425" t="s">
        <v>1008</v>
      </c>
      <c r="O340" s="1425" t="s">
        <v>47</v>
      </c>
      <c r="P340" s="16" t="s">
        <v>1029</v>
      </c>
      <c r="Q340" s="302" t="s">
        <v>1030</v>
      </c>
      <c r="R340" s="303">
        <v>2015</v>
      </c>
      <c r="S340" s="303">
        <v>0</v>
      </c>
      <c r="T340" s="303">
        <v>0</v>
      </c>
      <c r="U340" s="572">
        <v>1</v>
      </c>
      <c r="V340" s="572">
        <v>0</v>
      </c>
      <c r="W340" s="572">
        <v>1</v>
      </c>
      <c r="X340" s="572">
        <v>2</v>
      </c>
      <c r="Y340" s="481"/>
      <c r="Z340" s="481"/>
      <c r="AA340" s="481"/>
      <c r="AB340" s="481"/>
      <c r="AC340" s="481"/>
      <c r="AD340" s="481"/>
      <c r="AE340" s="481"/>
      <c r="AF340" s="481">
        <f t="shared" si="201"/>
        <v>0</v>
      </c>
      <c r="AG340" s="548"/>
      <c r="AH340" s="548"/>
      <c r="AI340" s="548"/>
      <c r="AJ340" s="548"/>
      <c r="AK340" s="548"/>
      <c r="AL340" s="548"/>
      <c r="AM340" s="548">
        <v>0</v>
      </c>
      <c r="AN340" s="481">
        <v>260</v>
      </c>
      <c r="AO340" s="481"/>
      <c r="AP340" s="481"/>
      <c r="AQ340" s="481"/>
      <c r="AR340" s="481"/>
      <c r="AS340" s="481"/>
      <c r="AT340" s="481"/>
      <c r="AU340" s="481">
        <v>0</v>
      </c>
      <c r="AV340" s="548"/>
      <c r="AW340" s="548"/>
      <c r="AX340" s="548"/>
      <c r="AY340" s="548"/>
      <c r="AZ340" s="548"/>
      <c r="BA340" s="548"/>
      <c r="BB340" s="548"/>
      <c r="BC340" s="548">
        <v>0</v>
      </c>
      <c r="BD340" s="42">
        <f t="shared" si="194"/>
        <v>260</v>
      </c>
      <c r="BE340" s="42">
        <f t="shared" si="194"/>
        <v>0</v>
      </c>
      <c r="BF340" s="42">
        <f t="shared" si="194"/>
        <v>0</v>
      </c>
      <c r="BG340" s="42">
        <f t="shared" si="194"/>
        <v>0</v>
      </c>
      <c r="BH340" s="42">
        <f t="shared" si="194"/>
        <v>0</v>
      </c>
      <c r="BI340" s="42">
        <f t="shared" si="202"/>
        <v>0</v>
      </c>
      <c r="BJ340" s="42">
        <f t="shared" si="195"/>
        <v>0</v>
      </c>
      <c r="BK340" s="42">
        <f t="shared" si="195"/>
        <v>0</v>
      </c>
    </row>
    <row r="341" spans="1:63" ht="76.5" customHeight="1" x14ac:dyDescent="0.25">
      <c r="A341" s="298" t="s">
        <v>1002</v>
      </c>
      <c r="B341" s="299" t="s">
        <v>999</v>
      </c>
      <c r="C341" s="1547"/>
      <c r="D341" s="1551"/>
      <c r="E341" s="1551"/>
      <c r="F341" s="1551"/>
      <c r="G341" s="1551"/>
      <c r="H341" s="1551"/>
      <c r="I341" s="1425"/>
      <c r="J341" s="1425"/>
      <c r="K341" s="1425" t="s">
        <v>1031</v>
      </c>
      <c r="L341" s="301" t="s">
        <v>179</v>
      </c>
      <c r="M341" s="1425" t="s">
        <v>1007</v>
      </c>
      <c r="N341" s="1425" t="s">
        <v>1008</v>
      </c>
      <c r="O341" s="1425" t="s">
        <v>47</v>
      </c>
      <c r="P341" s="16" t="s">
        <v>1032</v>
      </c>
      <c r="Q341" s="302" t="s">
        <v>1033</v>
      </c>
      <c r="R341" s="303">
        <v>2015</v>
      </c>
      <c r="S341" s="303">
        <v>0</v>
      </c>
      <c r="T341" s="303">
        <v>100</v>
      </c>
      <c r="U341" s="572">
        <v>200</v>
      </c>
      <c r="V341" s="572">
        <v>200</v>
      </c>
      <c r="W341" s="572">
        <v>200</v>
      </c>
      <c r="X341" s="66">
        <v>700</v>
      </c>
      <c r="Y341" s="481"/>
      <c r="Z341" s="481"/>
      <c r="AA341" s="481"/>
      <c r="AB341" s="481"/>
      <c r="AC341" s="481"/>
      <c r="AD341" s="481"/>
      <c r="AE341" s="481"/>
      <c r="AF341" s="481">
        <f t="shared" si="201"/>
        <v>0</v>
      </c>
      <c r="AG341" s="548"/>
      <c r="AH341" s="548"/>
      <c r="AI341" s="548"/>
      <c r="AJ341" s="548"/>
      <c r="AK341" s="548"/>
      <c r="AL341" s="548"/>
      <c r="AM341" s="548">
        <v>0</v>
      </c>
      <c r="AN341" s="481"/>
      <c r="AO341" s="481"/>
      <c r="AP341" s="481"/>
      <c r="AQ341" s="481"/>
      <c r="AR341" s="481"/>
      <c r="AS341" s="481"/>
      <c r="AT341" s="481"/>
      <c r="AU341" s="481">
        <v>0</v>
      </c>
      <c r="AV341" s="548"/>
      <c r="AW341" s="548"/>
      <c r="AX341" s="548"/>
      <c r="AY341" s="548"/>
      <c r="AZ341" s="548"/>
      <c r="BA341" s="548"/>
      <c r="BB341" s="548"/>
      <c r="BC341" s="548">
        <v>0</v>
      </c>
      <c r="BD341" s="42">
        <f t="shared" si="194"/>
        <v>0</v>
      </c>
      <c r="BE341" s="42">
        <f t="shared" si="194"/>
        <v>0</v>
      </c>
      <c r="BF341" s="42">
        <f t="shared" si="194"/>
        <v>0</v>
      </c>
      <c r="BG341" s="42">
        <f t="shared" si="194"/>
        <v>0</v>
      </c>
      <c r="BH341" s="42">
        <f t="shared" si="194"/>
        <v>0</v>
      </c>
      <c r="BI341" s="42">
        <f t="shared" si="202"/>
        <v>0</v>
      </c>
      <c r="BJ341" s="42">
        <f t="shared" si="195"/>
        <v>0</v>
      </c>
      <c r="BK341" s="42">
        <f t="shared" si="195"/>
        <v>0</v>
      </c>
    </row>
    <row r="342" spans="1:63" ht="72" customHeight="1" x14ac:dyDescent="0.25">
      <c r="A342" s="298" t="s">
        <v>1002</v>
      </c>
      <c r="B342" s="299" t="s">
        <v>999</v>
      </c>
      <c r="C342" s="1547"/>
      <c r="D342" s="1551"/>
      <c r="E342" s="1551"/>
      <c r="F342" s="1551"/>
      <c r="G342" s="1551"/>
      <c r="H342" s="1551"/>
      <c r="I342" s="1425"/>
      <c r="J342" s="1425"/>
      <c r="K342" s="1425" t="s">
        <v>1034</v>
      </c>
      <c r="L342" s="301" t="s">
        <v>179</v>
      </c>
      <c r="M342" s="1425" t="s">
        <v>1007</v>
      </c>
      <c r="N342" s="1425" t="s">
        <v>1008</v>
      </c>
      <c r="O342" s="1425" t="s">
        <v>73</v>
      </c>
      <c r="P342" s="16" t="s">
        <v>1035</v>
      </c>
      <c r="Q342" s="302" t="s">
        <v>1036</v>
      </c>
      <c r="R342" s="303">
        <v>2015</v>
      </c>
      <c r="S342" s="303">
        <v>0</v>
      </c>
      <c r="T342" s="303">
        <v>17</v>
      </c>
      <c r="U342" s="572">
        <v>17</v>
      </c>
      <c r="V342" s="572">
        <v>17</v>
      </c>
      <c r="W342" s="572">
        <v>17</v>
      </c>
      <c r="X342" s="572">
        <v>17</v>
      </c>
      <c r="Y342" s="481"/>
      <c r="Z342" s="481"/>
      <c r="AA342" s="481"/>
      <c r="AB342" s="481"/>
      <c r="AC342" s="481"/>
      <c r="AD342" s="481"/>
      <c r="AE342" s="481"/>
      <c r="AF342" s="481">
        <f t="shared" si="201"/>
        <v>0</v>
      </c>
      <c r="AG342" s="548"/>
      <c r="AH342" s="548"/>
      <c r="AI342" s="548"/>
      <c r="AJ342" s="548"/>
      <c r="AK342" s="548"/>
      <c r="AL342" s="548"/>
      <c r="AM342" s="548">
        <v>0</v>
      </c>
      <c r="AN342" s="481"/>
      <c r="AO342" s="481"/>
      <c r="AP342" s="481"/>
      <c r="AQ342" s="481"/>
      <c r="AR342" s="481"/>
      <c r="AS342" s="481"/>
      <c r="AT342" s="481"/>
      <c r="AU342" s="481">
        <v>0</v>
      </c>
      <c r="AV342" s="548"/>
      <c r="AW342" s="548"/>
      <c r="AX342" s="548"/>
      <c r="AY342" s="548"/>
      <c r="AZ342" s="548"/>
      <c r="BA342" s="548"/>
      <c r="BB342" s="548"/>
      <c r="BC342" s="548">
        <v>0</v>
      </c>
      <c r="BD342" s="42">
        <f t="shared" si="194"/>
        <v>0</v>
      </c>
      <c r="BE342" s="42">
        <f t="shared" si="194"/>
        <v>0</v>
      </c>
      <c r="BF342" s="42">
        <f t="shared" si="194"/>
        <v>0</v>
      </c>
      <c r="BG342" s="42">
        <f t="shared" si="194"/>
        <v>0</v>
      </c>
      <c r="BH342" s="42">
        <f t="shared" si="194"/>
        <v>0</v>
      </c>
      <c r="BI342" s="42">
        <f t="shared" si="202"/>
        <v>0</v>
      </c>
      <c r="BJ342" s="42">
        <f t="shared" si="195"/>
        <v>0</v>
      </c>
      <c r="BK342" s="42">
        <f t="shared" si="195"/>
        <v>0</v>
      </c>
    </row>
    <row r="343" spans="1:63" ht="72.75" customHeight="1" x14ac:dyDescent="0.25">
      <c r="A343" s="298" t="s">
        <v>1002</v>
      </c>
      <c r="B343" s="299" t="s">
        <v>999</v>
      </c>
      <c r="C343" s="1547"/>
      <c r="D343" s="1551"/>
      <c r="E343" s="1551"/>
      <c r="F343" s="1551"/>
      <c r="G343" s="1551"/>
      <c r="H343" s="1551"/>
      <c r="I343" s="1425"/>
      <c r="J343" s="1425"/>
      <c r="K343" s="1425" t="s">
        <v>1037</v>
      </c>
      <c r="L343" s="301" t="s">
        <v>179</v>
      </c>
      <c r="M343" s="1425" t="s">
        <v>1007</v>
      </c>
      <c r="N343" s="1425" t="s">
        <v>1008</v>
      </c>
      <c r="O343" s="1425" t="s">
        <v>73</v>
      </c>
      <c r="P343" s="16" t="s">
        <v>1038</v>
      </c>
      <c r="Q343" s="302" t="s">
        <v>1039</v>
      </c>
      <c r="R343" s="303">
        <v>2015</v>
      </c>
      <c r="S343" s="303">
        <v>1</v>
      </c>
      <c r="T343" s="303">
        <v>1</v>
      </c>
      <c r="U343" s="572">
        <v>1</v>
      </c>
      <c r="V343" s="572">
        <v>1</v>
      </c>
      <c r="W343" s="572">
        <v>1</v>
      </c>
      <c r="X343" s="572">
        <v>1</v>
      </c>
      <c r="Y343" s="481"/>
      <c r="Z343" s="481"/>
      <c r="AA343" s="481"/>
      <c r="AB343" s="481"/>
      <c r="AC343" s="481"/>
      <c r="AD343" s="481"/>
      <c r="AE343" s="481"/>
      <c r="AF343" s="481">
        <f t="shared" si="201"/>
        <v>0</v>
      </c>
      <c r="AG343" s="548"/>
      <c r="AH343" s="548"/>
      <c r="AI343" s="548"/>
      <c r="AJ343" s="548"/>
      <c r="AK343" s="548"/>
      <c r="AL343" s="548"/>
      <c r="AM343" s="548">
        <v>0</v>
      </c>
      <c r="AN343" s="481"/>
      <c r="AO343" s="481"/>
      <c r="AP343" s="481"/>
      <c r="AQ343" s="481"/>
      <c r="AR343" s="481"/>
      <c r="AS343" s="481"/>
      <c r="AT343" s="481"/>
      <c r="AU343" s="481">
        <v>0</v>
      </c>
      <c r="AV343" s="548"/>
      <c r="AW343" s="548"/>
      <c r="AX343" s="548"/>
      <c r="AY343" s="548"/>
      <c r="AZ343" s="548"/>
      <c r="BA343" s="548"/>
      <c r="BB343" s="548"/>
      <c r="BC343" s="548">
        <v>0</v>
      </c>
      <c r="BD343" s="42">
        <f t="shared" si="194"/>
        <v>0</v>
      </c>
      <c r="BE343" s="42">
        <f t="shared" si="194"/>
        <v>0</v>
      </c>
      <c r="BF343" s="42">
        <f t="shared" si="194"/>
        <v>0</v>
      </c>
      <c r="BG343" s="42">
        <f t="shared" si="194"/>
        <v>0</v>
      </c>
      <c r="BH343" s="42">
        <f t="shared" si="194"/>
        <v>0</v>
      </c>
      <c r="BI343" s="42">
        <f t="shared" si="202"/>
        <v>0</v>
      </c>
      <c r="BJ343" s="42">
        <f t="shared" si="195"/>
        <v>0</v>
      </c>
      <c r="BK343" s="42">
        <f t="shared" si="195"/>
        <v>0</v>
      </c>
    </row>
    <row r="344" spans="1:63" ht="57.75" customHeight="1" x14ac:dyDescent="0.25">
      <c r="A344" s="298" t="s">
        <v>1002</v>
      </c>
      <c r="B344" s="299" t="s">
        <v>999</v>
      </c>
      <c r="C344" s="1547"/>
      <c r="D344" s="1551"/>
      <c r="E344" s="1551"/>
      <c r="F344" s="1551"/>
      <c r="G344" s="1551"/>
      <c r="H344" s="1551"/>
      <c r="I344" s="1425"/>
      <c r="J344" s="1425"/>
      <c r="K344" s="1425" t="s">
        <v>1040</v>
      </c>
      <c r="L344" s="301" t="s">
        <v>179</v>
      </c>
      <c r="M344" s="1425" t="s">
        <v>1041</v>
      </c>
      <c r="N344" s="1425" t="s">
        <v>1008</v>
      </c>
      <c r="O344" s="1425" t="s">
        <v>47</v>
      </c>
      <c r="P344" s="16" t="s">
        <v>1042</v>
      </c>
      <c r="Q344" s="302" t="s">
        <v>1043</v>
      </c>
      <c r="R344" s="303">
        <v>2015</v>
      </c>
      <c r="S344" s="303">
        <v>1</v>
      </c>
      <c r="T344" s="303">
        <v>1</v>
      </c>
      <c r="U344" s="572">
        <v>1</v>
      </c>
      <c r="V344" s="572">
        <v>1</v>
      </c>
      <c r="W344" s="572">
        <v>1</v>
      </c>
      <c r="X344" s="572">
        <v>4</v>
      </c>
      <c r="Y344" s="481"/>
      <c r="Z344" s="481"/>
      <c r="AA344" s="482"/>
      <c r="AB344" s="481"/>
      <c r="AC344" s="481"/>
      <c r="AD344" s="481"/>
      <c r="AE344" s="481"/>
      <c r="AF344" s="481">
        <f t="shared" si="201"/>
        <v>0</v>
      </c>
      <c r="AG344" s="548"/>
      <c r="AH344" s="548"/>
      <c r="AI344" s="548"/>
      <c r="AJ344" s="548"/>
      <c r="AK344" s="548"/>
      <c r="AL344" s="548"/>
      <c r="AM344" s="548">
        <v>0</v>
      </c>
      <c r="AN344" s="481"/>
      <c r="AO344" s="481"/>
      <c r="AP344" s="481"/>
      <c r="AQ344" s="481"/>
      <c r="AR344" s="481"/>
      <c r="AS344" s="481"/>
      <c r="AT344" s="481"/>
      <c r="AU344" s="481">
        <v>0</v>
      </c>
      <c r="AV344" s="548"/>
      <c r="AW344" s="548"/>
      <c r="AX344" s="548"/>
      <c r="AY344" s="548"/>
      <c r="AZ344" s="548"/>
      <c r="BA344" s="548"/>
      <c r="BB344" s="548"/>
      <c r="BC344" s="548">
        <v>0</v>
      </c>
      <c r="BD344" s="42">
        <f t="shared" si="194"/>
        <v>0</v>
      </c>
      <c r="BE344" s="42">
        <f t="shared" si="194"/>
        <v>0</v>
      </c>
      <c r="BF344" s="42">
        <f t="shared" si="194"/>
        <v>0</v>
      </c>
      <c r="BG344" s="42">
        <f t="shared" si="194"/>
        <v>0</v>
      </c>
      <c r="BH344" s="42">
        <f t="shared" si="194"/>
        <v>0</v>
      </c>
      <c r="BI344" s="42">
        <f t="shared" si="202"/>
        <v>0</v>
      </c>
      <c r="BJ344" s="42">
        <f t="shared" si="195"/>
        <v>0</v>
      </c>
      <c r="BK344" s="42">
        <f t="shared" si="195"/>
        <v>0</v>
      </c>
    </row>
    <row r="345" spans="1:63" ht="63" customHeight="1" x14ac:dyDescent="0.25">
      <c r="A345" s="298" t="s">
        <v>1002</v>
      </c>
      <c r="B345" s="299" t="s">
        <v>999</v>
      </c>
      <c r="C345" s="1547"/>
      <c r="D345" s="1551"/>
      <c r="E345" s="1551"/>
      <c r="F345" s="1551"/>
      <c r="G345" s="1551"/>
      <c r="H345" s="1551"/>
      <c r="I345" s="1425" t="s">
        <v>53</v>
      </c>
      <c r="J345" s="1425"/>
      <c r="K345" s="1425" t="s">
        <v>1044</v>
      </c>
      <c r="L345" s="301" t="s">
        <v>179</v>
      </c>
      <c r="M345" s="1425" t="s">
        <v>1041</v>
      </c>
      <c r="N345" s="1425" t="s">
        <v>1008</v>
      </c>
      <c r="O345" s="1425" t="s">
        <v>47</v>
      </c>
      <c r="P345" s="16" t="s">
        <v>1045</v>
      </c>
      <c r="Q345" s="302" t="s">
        <v>1046</v>
      </c>
      <c r="R345" s="303">
        <v>2015</v>
      </c>
      <c r="S345" s="303">
        <v>0</v>
      </c>
      <c r="T345" s="303">
        <v>0</v>
      </c>
      <c r="U345" s="572">
        <v>1</v>
      </c>
      <c r="V345" s="572">
        <v>0</v>
      </c>
      <c r="W345" s="572">
        <v>0</v>
      </c>
      <c r="X345" s="572">
        <v>1</v>
      </c>
      <c r="Y345" s="481"/>
      <c r="Z345" s="481"/>
      <c r="AA345" s="481"/>
      <c r="AB345" s="481"/>
      <c r="AC345" s="481"/>
      <c r="AD345" s="481"/>
      <c r="AE345" s="481"/>
      <c r="AF345" s="481">
        <f t="shared" si="201"/>
        <v>0</v>
      </c>
      <c r="AG345" s="548"/>
      <c r="AH345" s="548"/>
      <c r="AI345" s="548"/>
      <c r="AJ345" s="548"/>
      <c r="AK345" s="548"/>
      <c r="AL345" s="548">
        <v>1000</v>
      </c>
      <c r="AM345" s="548">
        <v>0</v>
      </c>
      <c r="AN345" s="481"/>
      <c r="AO345" s="481"/>
      <c r="AP345" s="481"/>
      <c r="AQ345" s="481"/>
      <c r="AR345" s="481"/>
      <c r="AS345" s="481"/>
      <c r="AT345" s="481"/>
      <c r="AU345" s="481">
        <v>0</v>
      </c>
      <c r="AV345" s="548"/>
      <c r="AW345" s="548"/>
      <c r="AX345" s="548"/>
      <c r="AY345" s="548"/>
      <c r="AZ345" s="548"/>
      <c r="BA345" s="548"/>
      <c r="BB345" s="548"/>
      <c r="BC345" s="548">
        <v>0</v>
      </c>
      <c r="BD345" s="42">
        <f t="shared" si="194"/>
        <v>0</v>
      </c>
      <c r="BE345" s="42">
        <f t="shared" si="194"/>
        <v>0</v>
      </c>
      <c r="BF345" s="42">
        <f t="shared" si="194"/>
        <v>0</v>
      </c>
      <c r="BG345" s="42">
        <f t="shared" si="194"/>
        <v>0</v>
      </c>
      <c r="BH345" s="42">
        <f t="shared" si="194"/>
        <v>0</v>
      </c>
      <c r="BI345" s="42">
        <f t="shared" si="202"/>
        <v>0</v>
      </c>
      <c r="BJ345" s="42">
        <f t="shared" si="195"/>
        <v>1000</v>
      </c>
      <c r="BK345" s="42">
        <f t="shared" si="195"/>
        <v>0</v>
      </c>
    </row>
    <row r="346" spans="1:63" ht="58.5" customHeight="1" x14ac:dyDescent="0.25">
      <c r="A346" s="298" t="s">
        <v>1002</v>
      </c>
      <c r="B346" s="299" t="s">
        <v>999</v>
      </c>
      <c r="C346" s="1547"/>
      <c r="D346" s="1551"/>
      <c r="E346" s="1551"/>
      <c r="F346" s="1551"/>
      <c r="G346" s="1551"/>
      <c r="H346" s="1551"/>
      <c r="I346" s="1425" t="s">
        <v>53</v>
      </c>
      <c r="J346" s="1425"/>
      <c r="K346" s="1425" t="s">
        <v>1047</v>
      </c>
      <c r="L346" s="301" t="s">
        <v>179</v>
      </c>
      <c r="M346" s="1425" t="s">
        <v>1041</v>
      </c>
      <c r="N346" s="1425" t="s">
        <v>1008</v>
      </c>
      <c r="O346" s="1425" t="s">
        <v>47</v>
      </c>
      <c r="P346" s="16" t="s">
        <v>1048</v>
      </c>
      <c r="Q346" s="302" t="s">
        <v>1049</v>
      </c>
      <c r="R346" s="303">
        <v>2015</v>
      </c>
      <c r="S346" s="303">
        <v>0</v>
      </c>
      <c r="T346" s="303">
        <v>1</v>
      </c>
      <c r="U346" s="572">
        <v>0</v>
      </c>
      <c r="V346" s="572">
        <v>0</v>
      </c>
      <c r="W346" s="572">
        <v>0</v>
      </c>
      <c r="X346" s="572">
        <v>1</v>
      </c>
      <c r="Y346" s="481"/>
      <c r="Z346" s="481"/>
      <c r="AA346" s="481"/>
      <c r="AB346" s="481"/>
      <c r="AC346" s="481"/>
      <c r="AD346" s="481"/>
      <c r="AE346" s="481"/>
      <c r="AF346" s="481">
        <f t="shared" si="201"/>
        <v>0</v>
      </c>
      <c r="AG346" s="548"/>
      <c r="AH346" s="548"/>
      <c r="AI346" s="548"/>
      <c r="AJ346" s="548"/>
      <c r="AK346" s="548"/>
      <c r="AL346" s="548">
        <v>400</v>
      </c>
      <c r="AM346" s="548">
        <v>0</v>
      </c>
      <c r="AN346" s="481"/>
      <c r="AO346" s="481"/>
      <c r="AP346" s="481"/>
      <c r="AQ346" s="481"/>
      <c r="AR346" s="481"/>
      <c r="AS346" s="481"/>
      <c r="AT346" s="481"/>
      <c r="AU346" s="481">
        <v>0</v>
      </c>
      <c r="AV346" s="548"/>
      <c r="AW346" s="548"/>
      <c r="AX346" s="548"/>
      <c r="AY346" s="548"/>
      <c r="AZ346" s="548"/>
      <c r="BA346" s="548"/>
      <c r="BB346" s="548"/>
      <c r="BC346" s="548">
        <v>0</v>
      </c>
      <c r="BD346" s="42">
        <f t="shared" si="194"/>
        <v>0</v>
      </c>
      <c r="BE346" s="42">
        <f t="shared" si="194"/>
        <v>0</v>
      </c>
      <c r="BF346" s="42">
        <f t="shared" si="194"/>
        <v>0</v>
      </c>
      <c r="BG346" s="42">
        <f t="shared" si="194"/>
        <v>0</v>
      </c>
      <c r="BH346" s="42">
        <f t="shared" si="194"/>
        <v>0</v>
      </c>
      <c r="BI346" s="42">
        <f t="shared" si="202"/>
        <v>0</v>
      </c>
      <c r="BJ346" s="42">
        <f t="shared" si="195"/>
        <v>400</v>
      </c>
      <c r="BK346" s="42">
        <f t="shared" si="195"/>
        <v>0</v>
      </c>
    </row>
    <row r="347" spans="1:63" ht="70.5" customHeight="1" x14ac:dyDescent="0.25">
      <c r="A347" s="298" t="s">
        <v>1002</v>
      </c>
      <c r="B347" s="299" t="s">
        <v>999</v>
      </c>
      <c r="C347" s="1547"/>
      <c r="D347" s="1551"/>
      <c r="E347" s="1551"/>
      <c r="F347" s="1551"/>
      <c r="G347" s="1551"/>
      <c r="H347" s="1551"/>
      <c r="I347" s="1425" t="s">
        <v>53</v>
      </c>
      <c r="J347" s="1425"/>
      <c r="K347" s="1425" t="s">
        <v>1050</v>
      </c>
      <c r="L347" s="301" t="s">
        <v>179</v>
      </c>
      <c r="M347" s="1425" t="s">
        <v>1041</v>
      </c>
      <c r="N347" s="1425" t="s">
        <v>1008</v>
      </c>
      <c r="O347" s="1425" t="s">
        <v>47</v>
      </c>
      <c r="P347" s="16" t="s">
        <v>1051</v>
      </c>
      <c r="Q347" s="302" t="s">
        <v>1052</v>
      </c>
      <c r="R347" s="303">
        <v>2015</v>
      </c>
      <c r="S347" s="303">
        <v>0</v>
      </c>
      <c r="T347" s="303">
        <v>7000</v>
      </c>
      <c r="U347" s="572">
        <v>9000</v>
      </c>
      <c r="V347" s="572">
        <v>9000</v>
      </c>
      <c r="W347" s="572">
        <v>9000</v>
      </c>
      <c r="X347" s="572">
        <v>34000</v>
      </c>
      <c r="Y347" s="481">
        <f>15+27.8+20</f>
        <v>62.8</v>
      </c>
      <c r="Z347" s="481"/>
      <c r="AA347" s="481">
        <v>80</v>
      </c>
      <c r="AB347" s="481"/>
      <c r="AC347" s="481"/>
      <c r="AD347" s="481">
        <v>648</v>
      </c>
      <c r="AE347" s="481"/>
      <c r="AF347" s="481">
        <f t="shared" si="201"/>
        <v>790.8</v>
      </c>
      <c r="AG347" s="548">
        <v>64</v>
      </c>
      <c r="AH347" s="548"/>
      <c r="AI347" s="548">
        <v>80</v>
      </c>
      <c r="AJ347" s="588"/>
      <c r="AK347" s="548"/>
      <c r="AL347" s="548">
        <v>1000</v>
      </c>
      <c r="AM347" s="548">
        <v>0</v>
      </c>
      <c r="AN347" s="481">
        <v>65</v>
      </c>
      <c r="AO347" s="481"/>
      <c r="AP347" s="481">
        <v>80</v>
      </c>
      <c r="AQ347" s="481">
        <v>1000</v>
      </c>
      <c r="AR347" s="481"/>
      <c r="AS347" s="481"/>
      <c r="AT347" s="481"/>
      <c r="AU347" s="481">
        <v>0</v>
      </c>
      <c r="AV347" s="548">
        <v>100</v>
      </c>
      <c r="AW347" s="548"/>
      <c r="AX347" s="548">
        <v>80</v>
      </c>
      <c r="AY347" s="548"/>
      <c r="AZ347" s="548"/>
      <c r="BA347" s="548"/>
      <c r="BB347" s="548"/>
      <c r="BC347" s="548">
        <v>0</v>
      </c>
      <c r="BD347" s="42">
        <f t="shared" ref="BD347:BH379" si="203">+AV347+AN347+AG347+Y347</f>
        <v>291.8</v>
      </c>
      <c r="BE347" s="42">
        <f t="shared" si="203"/>
        <v>0</v>
      </c>
      <c r="BF347" s="42">
        <f t="shared" si="203"/>
        <v>320</v>
      </c>
      <c r="BG347" s="42">
        <f t="shared" si="203"/>
        <v>1000</v>
      </c>
      <c r="BH347" s="42">
        <f t="shared" si="203"/>
        <v>0</v>
      </c>
      <c r="BI347" s="42">
        <f t="shared" si="202"/>
        <v>648</v>
      </c>
      <c r="BJ347" s="42">
        <f t="shared" ref="BJ347:BK379" si="204">+BB347+AT347+AL347+AE347</f>
        <v>1000</v>
      </c>
      <c r="BK347" s="42">
        <f t="shared" si="204"/>
        <v>790.8</v>
      </c>
    </row>
    <row r="348" spans="1:63" ht="69.75" customHeight="1" x14ac:dyDescent="0.25">
      <c r="A348" s="298" t="s">
        <v>1002</v>
      </c>
      <c r="B348" s="299" t="s">
        <v>999</v>
      </c>
      <c r="C348" s="1547"/>
      <c r="D348" s="1551"/>
      <c r="E348" s="1551"/>
      <c r="F348" s="1551"/>
      <c r="G348" s="1551"/>
      <c r="H348" s="1551"/>
      <c r="I348" s="1425" t="s">
        <v>53</v>
      </c>
      <c r="J348" s="1425"/>
      <c r="K348" s="1425" t="s">
        <v>1053</v>
      </c>
      <c r="L348" s="301" t="s">
        <v>179</v>
      </c>
      <c r="M348" s="1425" t="s">
        <v>1041</v>
      </c>
      <c r="N348" s="1425" t="s">
        <v>1008</v>
      </c>
      <c r="O348" s="1425" t="s">
        <v>47</v>
      </c>
      <c r="P348" s="16" t="s">
        <v>1054</v>
      </c>
      <c r="Q348" s="302" t="s">
        <v>1055</v>
      </c>
      <c r="R348" s="303">
        <v>2015</v>
      </c>
      <c r="S348" s="303">
        <v>0</v>
      </c>
      <c r="T348" s="303">
        <v>400</v>
      </c>
      <c r="U348" s="572">
        <v>400</v>
      </c>
      <c r="V348" s="572">
        <v>400</v>
      </c>
      <c r="W348" s="572">
        <v>0</v>
      </c>
      <c r="X348" s="572">
        <v>1200</v>
      </c>
      <c r="Y348" s="481"/>
      <c r="Z348" s="481"/>
      <c r="AA348" s="481"/>
      <c r="AB348" s="481"/>
      <c r="AC348" s="481"/>
      <c r="AD348" s="481"/>
      <c r="AE348" s="481"/>
      <c r="AF348" s="481">
        <f t="shared" si="201"/>
        <v>0</v>
      </c>
      <c r="AG348" s="548"/>
      <c r="AH348" s="548"/>
      <c r="AI348" s="548"/>
      <c r="AJ348" s="548">
        <v>75</v>
      </c>
      <c r="AK348" s="548"/>
      <c r="AL348" s="548"/>
      <c r="AM348" s="548">
        <v>0</v>
      </c>
      <c r="AN348" s="481"/>
      <c r="AO348" s="481"/>
      <c r="AP348" s="481"/>
      <c r="AQ348" s="481"/>
      <c r="AR348" s="481"/>
      <c r="AS348" s="481"/>
      <c r="AT348" s="481"/>
      <c r="AU348" s="481">
        <v>0</v>
      </c>
      <c r="AV348" s="548"/>
      <c r="AW348" s="548"/>
      <c r="AX348" s="548"/>
      <c r="AY348" s="548"/>
      <c r="AZ348" s="548"/>
      <c r="BA348" s="548"/>
      <c r="BB348" s="548"/>
      <c r="BC348" s="548">
        <v>0</v>
      </c>
      <c r="BD348" s="42">
        <f t="shared" si="203"/>
        <v>0</v>
      </c>
      <c r="BE348" s="42">
        <f t="shared" si="203"/>
        <v>0</v>
      </c>
      <c r="BF348" s="42">
        <f t="shared" si="203"/>
        <v>0</v>
      </c>
      <c r="BG348" s="42">
        <f t="shared" si="203"/>
        <v>75</v>
      </c>
      <c r="BH348" s="42">
        <f t="shared" si="203"/>
        <v>0</v>
      </c>
      <c r="BI348" s="42">
        <f t="shared" si="202"/>
        <v>0</v>
      </c>
      <c r="BJ348" s="42">
        <f t="shared" si="204"/>
        <v>0</v>
      </c>
      <c r="BK348" s="42">
        <f t="shared" si="204"/>
        <v>0</v>
      </c>
    </row>
    <row r="349" spans="1:63" ht="57" customHeight="1" x14ac:dyDescent="0.25">
      <c r="A349" s="298" t="s">
        <v>1002</v>
      </c>
      <c r="B349" s="299" t="s">
        <v>999</v>
      </c>
      <c r="C349" s="1547"/>
      <c r="D349" s="1551"/>
      <c r="E349" s="1551"/>
      <c r="F349" s="1551"/>
      <c r="G349" s="1551"/>
      <c r="H349" s="1551"/>
      <c r="I349" s="1425"/>
      <c r="J349" s="1425"/>
      <c r="K349" s="1425" t="s">
        <v>1056</v>
      </c>
      <c r="L349" s="301" t="s">
        <v>179</v>
      </c>
      <c r="M349" s="1425" t="s">
        <v>1041</v>
      </c>
      <c r="N349" s="1425" t="s">
        <v>1008</v>
      </c>
      <c r="O349" s="1425" t="s">
        <v>47</v>
      </c>
      <c r="P349" s="16" t="s">
        <v>1057</v>
      </c>
      <c r="Q349" s="302" t="s">
        <v>1058</v>
      </c>
      <c r="R349" s="303">
        <v>2015</v>
      </c>
      <c r="S349" s="303">
        <v>0</v>
      </c>
      <c r="T349" s="303">
        <v>125</v>
      </c>
      <c r="U349" s="572">
        <v>125</v>
      </c>
      <c r="V349" s="572">
        <v>125</v>
      </c>
      <c r="W349" s="572">
        <v>125</v>
      </c>
      <c r="X349" s="572">
        <v>500</v>
      </c>
      <c r="Y349" s="481">
        <v>65</v>
      </c>
      <c r="Z349" s="481"/>
      <c r="AA349" s="481">
        <v>170.6</v>
      </c>
      <c r="AB349" s="481"/>
      <c r="AC349" s="481"/>
      <c r="AD349" s="481"/>
      <c r="AE349" s="481"/>
      <c r="AF349" s="481">
        <f t="shared" si="201"/>
        <v>235.6</v>
      </c>
      <c r="AG349" s="548">
        <v>70</v>
      </c>
      <c r="AH349" s="548"/>
      <c r="AI349" s="548">
        <v>180</v>
      </c>
      <c r="AJ349" s="548"/>
      <c r="AK349" s="548"/>
      <c r="AL349" s="548"/>
      <c r="AM349" s="548">
        <v>0</v>
      </c>
      <c r="AN349" s="481">
        <v>65</v>
      </c>
      <c r="AO349" s="481"/>
      <c r="AP349" s="481">
        <v>170</v>
      </c>
      <c r="AQ349" s="481"/>
      <c r="AR349" s="481"/>
      <c r="AS349" s="481"/>
      <c r="AT349" s="481"/>
      <c r="AU349" s="481">
        <v>0</v>
      </c>
      <c r="AV349" s="548">
        <v>100</v>
      </c>
      <c r="AW349" s="548"/>
      <c r="AX349" s="548">
        <v>170</v>
      </c>
      <c r="AY349" s="548"/>
      <c r="AZ349" s="548"/>
      <c r="BA349" s="548"/>
      <c r="BB349" s="548"/>
      <c r="BC349" s="548">
        <v>0</v>
      </c>
      <c r="BD349" s="42">
        <f t="shared" si="203"/>
        <v>300</v>
      </c>
      <c r="BE349" s="42">
        <f t="shared" si="203"/>
        <v>0</v>
      </c>
      <c r="BF349" s="42">
        <f t="shared" si="203"/>
        <v>690.6</v>
      </c>
      <c r="BG349" s="42">
        <f t="shared" si="203"/>
        <v>0</v>
      </c>
      <c r="BH349" s="42">
        <f t="shared" si="203"/>
        <v>0</v>
      </c>
      <c r="BI349" s="42">
        <f t="shared" si="202"/>
        <v>0</v>
      </c>
      <c r="BJ349" s="42">
        <f t="shared" si="204"/>
        <v>0</v>
      </c>
      <c r="BK349" s="42">
        <f t="shared" si="204"/>
        <v>235.6</v>
      </c>
    </row>
    <row r="350" spans="1:63" ht="80.25" customHeight="1" x14ac:dyDescent="0.25">
      <c r="A350" s="298" t="s">
        <v>1002</v>
      </c>
      <c r="B350" s="299" t="s">
        <v>999</v>
      </c>
      <c r="C350" s="1547"/>
      <c r="D350" s="1551"/>
      <c r="E350" s="1551"/>
      <c r="F350" s="1551"/>
      <c r="G350" s="1551"/>
      <c r="H350" s="1551"/>
      <c r="I350" s="1425" t="s">
        <v>53</v>
      </c>
      <c r="J350" s="1425"/>
      <c r="K350" s="1425" t="s">
        <v>1059</v>
      </c>
      <c r="L350" s="301" t="s">
        <v>179</v>
      </c>
      <c r="M350" s="1425" t="s">
        <v>1041</v>
      </c>
      <c r="N350" s="1425" t="s">
        <v>1008</v>
      </c>
      <c r="O350" s="1425" t="s">
        <v>47</v>
      </c>
      <c r="P350" s="16" t="s">
        <v>1060</v>
      </c>
      <c r="Q350" s="302" t="s">
        <v>1061</v>
      </c>
      <c r="R350" s="303">
        <v>2015</v>
      </c>
      <c r="S350" s="303">
        <v>0</v>
      </c>
      <c r="T350" s="303">
        <v>300</v>
      </c>
      <c r="U350" s="572">
        <v>700</v>
      </c>
      <c r="V350" s="572">
        <v>1000</v>
      </c>
      <c r="W350" s="572">
        <v>1000</v>
      </c>
      <c r="X350" s="572">
        <v>3000</v>
      </c>
      <c r="Y350" s="481"/>
      <c r="Z350" s="481"/>
      <c r="AA350" s="481"/>
      <c r="AB350" s="481"/>
      <c r="AC350" s="481"/>
      <c r="AD350" s="481"/>
      <c r="AE350" s="481"/>
      <c r="AF350" s="481">
        <f t="shared" si="201"/>
        <v>0</v>
      </c>
      <c r="AG350" s="548"/>
      <c r="AH350" s="548"/>
      <c r="AI350" s="548"/>
      <c r="AJ350" s="588"/>
      <c r="AK350" s="548"/>
      <c r="AL350" s="548"/>
      <c r="AM350" s="548">
        <v>0</v>
      </c>
      <c r="AN350" s="481"/>
      <c r="AO350" s="481"/>
      <c r="AP350" s="481"/>
      <c r="AQ350" s="481">
        <v>150</v>
      </c>
      <c r="AR350" s="481"/>
      <c r="AS350" s="481"/>
      <c r="AT350" s="481"/>
      <c r="AU350" s="481">
        <v>0</v>
      </c>
      <c r="AV350" s="548"/>
      <c r="AW350" s="548"/>
      <c r="AX350" s="548"/>
      <c r="AY350" s="548"/>
      <c r="AZ350" s="548"/>
      <c r="BA350" s="548"/>
      <c r="BB350" s="548"/>
      <c r="BC350" s="548">
        <v>0</v>
      </c>
      <c r="BD350" s="42">
        <f t="shared" si="203"/>
        <v>0</v>
      </c>
      <c r="BE350" s="42">
        <f t="shared" si="203"/>
        <v>0</v>
      </c>
      <c r="BF350" s="42">
        <f t="shared" si="203"/>
        <v>0</v>
      </c>
      <c r="BG350" s="42">
        <f t="shared" si="203"/>
        <v>150</v>
      </c>
      <c r="BH350" s="42">
        <f t="shared" si="203"/>
        <v>0</v>
      </c>
      <c r="BI350" s="42">
        <f t="shared" si="202"/>
        <v>0</v>
      </c>
      <c r="BJ350" s="42">
        <f t="shared" si="204"/>
        <v>0</v>
      </c>
      <c r="BK350" s="42">
        <f t="shared" si="204"/>
        <v>0</v>
      </c>
    </row>
    <row r="351" spans="1:63" ht="64.5" customHeight="1" x14ac:dyDescent="0.25">
      <c r="A351" s="298" t="s">
        <v>1002</v>
      </c>
      <c r="B351" s="299" t="s">
        <v>999</v>
      </c>
      <c r="C351" s="1547"/>
      <c r="D351" s="1551"/>
      <c r="E351" s="1551"/>
      <c r="F351" s="1551"/>
      <c r="G351" s="1551"/>
      <c r="H351" s="1551"/>
      <c r="I351" s="1425" t="s">
        <v>53</v>
      </c>
      <c r="J351" s="1425"/>
      <c r="K351" s="1425" t="s">
        <v>1062</v>
      </c>
      <c r="L351" s="301" t="s">
        <v>179</v>
      </c>
      <c r="M351" s="1425" t="s">
        <v>1041</v>
      </c>
      <c r="N351" s="1425" t="s">
        <v>1008</v>
      </c>
      <c r="O351" s="1425" t="s">
        <v>47</v>
      </c>
      <c r="P351" s="16" t="s">
        <v>1063</v>
      </c>
      <c r="Q351" s="302" t="s">
        <v>1064</v>
      </c>
      <c r="R351" s="303">
        <v>2015</v>
      </c>
      <c r="S351" s="303">
        <v>0</v>
      </c>
      <c r="T351" s="303">
        <v>20</v>
      </c>
      <c r="U351" s="572">
        <v>20</v>
      </c>
      <c r="V351" s="572">
        <v>40</v>
      </c>
      <c r="W351" s="572">
        <v>40</v>
      </c>
      <c r="X351" s="572">
        <v>120</v>
      </c>
      <c r="Y351" s="481"/>
      <c r="Z351" s="481"/>
      <c r="AA351" s="481"/>
      <c r="AB351" s="481"/>
      <c r="AC351" s="481"/>
      <c r="AD351" s="481"/>
      <c r="AE351" s="481"/>
      <c r="AF351" s="481">
        <f t="shared" si="201"/>
        <v>0</v>
      </c>
      <c r="AG351" s="548"/>
      <c r="AH351" s="548"/>
      <c r="AI351" s="548"/>
      <c r="AJ351" s="548"/>
      <c r="AK351" s="548"/>
      <c r="AL351" s="548"/>
      <c r="AM351" s="548">
        <v>0</v>
      </c>
      <c r="AN351" s="481"/>
      <c r="AO351" s="481"/>
      <c r="AP351" s="481">
        <v>21</v>
      </c>
      <c r="AQ351" s="481"/>
      <c r="AR351" s="481"/>
      <c r="AS351" s="481"/>
      <c r="AT351" s="481"/>
      <c r="AU351" s="481">
        <v>0</v>
      </c>
      <c r="AV351" s="548"/>
      <c r="AW351" s="548"/>
      <c r="AX351" s="548">
        <v>21</v>
      </c>
      <c r="AY351" s="548"/>
      <c r="AZ351" s="548"/>
      <c r="BA351" s="548"/>
      <c r="BB351" s="548"/>
      <c r="BC351" s="548">
        <v>0</v>
      </c>
      <c r="BD351" s="42">
        <f t="shared" si="203"/>
        <v>0</v>
      </c>
      <c r="BE351" s="42">
        <f t="shared" si="203"/>
        <v>0</v>
      </c>
      <c r="BF351" s="42">
        <f t="shared" si="203"/>
        <v>42</v>
      </c>
      <c r="BG351" s="42">
        <f t="shared" si="203"/>
        <v>0</v>
      </c>
      <c r="BH351" s="42">
        <f t="shared" si="203"/>
        <v>0</v>
      </c>
      <c r="BI351" s="42">
        <f t="shared" si="202"/>
        <v>0</v>
      </c>
      <c r="BJ351" s="42">
        <f t="shared" si="204"/>
        <v>0</v>
      </c>
      <c r="BK351" s="42">
        <f t="shared" si="204"/>
        <v>0</v>
      </c>
    </row>
    <row r="352" spans="1:63" ht="76.5" customHeight="1" x14ac:dyDescent="0.25">
      <c r="A352" s="298" t="s">
        <v>1002</v>
      </c>
      <c r="B352" s="299" t="s">
        <v>999</v>
      </c>
      <c r="C352" s="1547"/>
      <c r="D352" s="1551"/>
      <c r="E352" s="1551"/>
      <c r="F352" s="1551"/>
      <c r="G352" s="1551"/>
      <c r="H352" s="1551"/>
      <c r="I352" s="1425" t="s">
        <v>53</v>
      </c>
      <c r="J352" s="1425"/>
      <c r="K352" s="1425" t="s">
        <v>1065</v>
      </c>
      <c r="L352" s="301" t="s">
        <v>179</v>
      </c>
      <c r="M352" s="1425" t="s">
        <v>1041</v>
      </c>
      <c r="N352" s="1425" t="s">
        <v>1008</v>
      </c>
      <c r="O352" s="1425" t="s">
        <v>47</v>
      </c>
      <c r="P352" s="16" t="s">
        <v>1066</v>
      </c>
      <c r="Q352" s="302" t="s">
        <v>1067</v>
      </c>
      <c r="R352" s="303">
        <v>2015</v>
      </c>
      <c r="S352" s="303">
        <v>0</v>
      </c>
      <c r="T352" s="303">
        <v>1</v>
      </c>
      <c r="U352" s="572">
        <v>1</v>
      </c>
      <c r="V352" s="572">
        <v>1</v>
      </c>
      <c r="W352" s="572">
        <v>1</v>
      </c>
      <c r="X352" s="572">
        <v>4</v>
      </c>
      <c r="Y352" s="481"/>
      <c r="Z352" s="481"/>
      <c r="AA352" s="481">
        <v>40</v>
      </c>
      <c r="AB352" s="481"/>
      <c r="AC352" s="481"/>
      <c r="AD352" s="481"/>
      <c r="AE352" s="481"/>
      <c r="AF352" s="481">
        <f t="shared" si="201"/>
        <v>40</v>
      </c>
      <c r="AG352" s="548"/>
      <c r="AH352" s="548"/>
      <c r="AI352" s="548">
        <v>40</v>
      </c>
      <c r="AJ352" s="548">
        <v>25</v>
      </c>
      <c r="AK352" s="548"/>
      <c r="AL352" s="548"/>
      <c r="AM352" s="548">
        <v>0</v>
      </c>
      <c r="AN352" s="481"/>
      <c r="AO352" s="481"/>
      <c r="AP352" s="481">
        <v>40</v>
      </c>
      <c r="AQ352" s="481">
        <v>50</v>
      </c>
      <c r="AR352" s="481"/>
      <c r="AS352" s="481"/>
      <c r="AT352" s="481"/>
      <c r="AU352" s="481">
        <v>0</v>
      </c>
      <c r="AV352" s="548"/>
      <c r="AW352" s="548"/>
      <c r="AX352" s="548">
        <v>45</v>
      </c>
      <c r="AY352" s="548"/>
      <c r="AZ352" s="548"/>
      <c r="BA352" s="548"/>
      <c r="BB352" s="548"/>
      <c r="BC352" s="548">
        <v>0</v>
      </c>
      <c r="BD352" s="42">
        <f t="shared" si="203"/>
        <v>0</v>
      </c>
      <c r="BE352" s="42">
        <f t="shared" si="203"/>
        <v>0</v>
      </c>
      <c r="BF352" s="42">
        <f t="shared" si="203"/>
        <v>165</v>
      </c>
      <c r="BG352" s="42">
        <f t="shared" si="203"/>
        <v>75</v>
      </c>
      <c r="BH352" s="42">
        <f t="shared" si="203"/>
        <v>0</v>
      </c>
      <c r="BI352" s="42">
        <f t="shared" si="202"/>
        <v>0</v>
      </c>
      <c r="BJ352" s="42">
        <f t="shared" si="204"/>
        <v>0</v>
      </c>
      <c r="BK352" s="42">
        <f t="shared" si="204"/>
        <v>40</v>
      </c>
    </row>
    <row r="353" spans="1:63" ht="83.25" customHeight="1" x14ac:dyDescent="0.25">
      <c r="A353" s="298" t="s">
        <v>1002</v>
      </c>
      <c r="B353" s="299" t="s">
        <v>999</v>
      </c>
      <c r="C353" s="1548"/>
      <c r="D353" s="1552"/>
      <c r="E353" s="1552"/>
      <c r="F353" s="1552"/>
      <c r="G353" s="1552"/>
      <c r="H353" s="1552"/>
      <c r="I353" s="1425" t="s">
        <v>53</v>
      </c>
      <c r="J353" s="1425"/>
      <c r="K353" s="1425" t="s">
        <v>1068</v>
      </c>
      <c r="L353" s="301" t="s">
        <v>179</v>
      </c>
      <c r="M353" s="1425" t="s">
        <v>1041</v>
      </c>
      <c r="N353" s="1425" t="s">
        <v>1008</v>
      </c>
      <c r="O353" s="1425" t="s">
        <v>47</v>
      </c>
      <c r="P353" s="16" t="s">
        <v>1069</v>
      </c>
      <c r="Q353" s="302" t="s">
        <v>1070</v>
      </c>
      <c r="R353" s="303">
        <v>2015</v>
      </c>
      <c r="S353" s="303">
        <v>0</v>
      </c>
      <c r="T353" s="303">
        <v>250</v>
      </c>
      <c r="U353" s="572">
        <v>250</v>
      </c>
      <c r="V353" s="572">
        <v>250</v>
      </c>
      <c r="W353" s="572">
        <v>250</v>
      </c>
      <c r="X353" s="572">
        <v>1000</v>
      </c>
      <c r="Y353" s="481"/>
      <c r="Z353" s="481"/>
      <c r="AA353" s="481"/>
      <c r="AB353" s="481"/>
      <c r="AC353" s="481"/>
      <c r="AD353" s="481"/>
      <c r="AE353" s="481"/>
      <c r="AF353" s="481">
        <f t="shared" si="201"/>
        <v>0</v>
      </c>
      <c r="AG353" s="548"/>
      <c r="AH353" s="548"/>
      <c r="AI353" s="548"/>
      <c r="AJ353" s="548"/>
      <c r="AK353" s="548"/>
      <c r="AL353" s="548"/>
      <c r="AM353" s="548">
        <v>0</v>
      </c>
      <c r="AN353" s="481"/>
      <c r="AO353" s="481"/>
      <c r="AP353" s="481"/>
      <c r="AQ353" s="481"/>
      <c r="AR353" s="481"/>
      <c r="AS353" s="481"/>
      <c r="AT353" s="481"/>
      <c r="AU353" s="481">
        <v>0</v>
      </c>
      <c r="AV353" s="548"/>
      <c r="AW353" s="548"/>
      <c r="AX353" s="548"/>
      <c r="AY353" s="548"/>
      <c r="AZ353" s="548"/>
      <c r="BA353" s="548"/>
      <c r="BB353" s="548"/>
      <c r="BC353" s="548">
        <v>0</v>
      </c>
      <c r="BD353" s="42">
        <f t="shared" si="203"/>
        <v>0</v>
      </c>
      <c r="BE353" s="42">
        <f t="shared" si="203"/>
        <v>0</v>
      </c>
      <c r="BF353" s="42">
        <f t="shared" si="203"/>
        <v>0</v>
      </c>
      <c r="BG353" s="42">
        <f t="shared" si="203"/>
        <v>0</v>
      </c>
      <c r="BH353" s="42">
        <f t="shared" si="203"/>
        <v>0</v>
      </c>
      <c r="BI353" s="42">
        <f t="shared" si="202"/>
        <v>0</v>
      </c>
      <c r="BJ353" s="42">
        <f t="shared" si="204"/>
        <v>0</v>
      </c>
      <c r="BK353" s="42">
        <f t="shared" si="204"/>
        <v>0</v>
      </c>
    </row>
    <row r="354" spans="1:63" ht="2.25" customHeight="1" x14ac:dyDescent="0.25">
      <c r="A354" s="151"/>
      <c r="B354" s="7" t="s">
        <v>1071</v>
      </c>
      <c r="C354" s="149"/>
      <c r="D354" s="1445"/>
      <c r="E354" s="1445"/>
      <c r="F354" s="1445"/>
      <c r="G354" s="1445"/>
      <c r="H354" s="1445"/>
      <c r="I354" s="1442"/>
      <c r="J354" s="1442"/>
      <c r="K354" s="1442"/>
      <c r="L354" s="1442"/>
      <c r="M354" s="1442"/>
      <c r="N354" s="11"/>
      <c r="O354" s="1442"/>
      <c r="P354" s="1440"/>
      <c r="Q354" s="1440"/>
      <c r="R354" s="1442"/>
      <c r="S354" s="1442"/>
      <c r="T354" s="67"/>
      <c r="U354" s="68"/>
      <c r="V354" s="68"/>
      <c r="W354" s="68"/>
      <c r="X354" s="63"/>
      <c r="Y354" s="42">
        <v>10</v>
      </c>
      <c r="Z354" s="42">
        <v>43.2</v>
      </c>
      <c r="AA354" s="42">
        <v>6</v>
      </c>
      <c r="AB354" s="42">
        <v>219</v>
      </c>
      <c r="AC354" s="42"/>
      <c r="AD354" s="42">
        <v>52</v>
      </c>
      <c r="AE354" s="42"/>
      <c r="AF354" s="42"/>
      <c r="AG354" s="42">
        <f>+Y354*1.04</f>
        <v>10.4</v>
      </c>
      <c r="AH354" s="42">
        <f>+Z354*1.04</f>
        <v>44.928000000000004</v>
      </c>
      <c r="AI354" s="42">
        <f>+AA354*1.04</f>
        <v>6.24</v>
      </c>
      <c r="AJ354" s="42"/>
      <c r="AK354" s="42"/>
      <c r="AL354" s="42">
        <v>676</v>
      </c>
      <c r="AM354" s="42"/>
      <c r="AN354" s="42">
        <f>+AG354*1.04</f>
        <v>10.816000000000001</v>
      </c>
      <c r="AO354" s="42">
        <f>+AH354*1.04</f>
        <v>46.725120000000004</v>
      </c>
      <c r="AP354" s="42">
        <f>+AI354*1.04</f>
        <v>6.4896000000000003</v>
      </c>
      <c r="AQ354" s="42"/>
      <c r="AR354" s="42"/>
      <c r="AS354" s="42"/>
      <c r="AT354" s="42"/>
      <c r="AU354" s="42"/>
      <c r="AV354" s="42">
        <f>+AN354*1.04</f>
        <v>11.248640000000002</v>
      </c>
      <c r="AW354" s="42">
        <f>+AO354*1.04</f>
        <v>48.594124800000003</v>
      </c>
      <c r="AX354" s="42">
        <f>+AP354*1.04</f>
        <v>6.7491840000000005</v>
      </c>
      <c r="AY354" s="42"/>
      <c r="AZ354" s="42"/>
      <c r="BA354" s="42"/>
      <c r="BB354" s="42"/>
      <c r="BC354" s="42"/>
      <c r="BD354" s="42">
        <f t="shared" si="203"/>
        <v>42.464640000000003</v>
      </c>
      <c r="BE354" s="42">
        <f t="shared" si="203"/>
        <v>183.44724480000002</v>
      </c>
      <c r="BF354" s="42">
        <f t="shared" si="203"/>
        <v>25.478784000000001</v>
      </c>
      <c r="BG354" s="42">
        <f t="shared" si="203"/>
        <v>219</v>
      </c>
      <c r="BH354" s="42">
        <f t="shared" si="203"/>
        <v>0</v>
      </c>
      <c r="BI354" s="42">
        <f t="shared" si="202"/>
        <v>52</v>
      </c>
      <c r="BJ354" s="42">
        <f t="shared" si="204"/>
        <v>676</v>
      </c>
      <c r="BK354" s="42">
        <f t="shared" si="204"/>
        <v>0</v>
      </c>
    </row>
    <row r="355" spans="1:63" ht="20.399999999999999" x14ac:dyDescent="0.25">
      <c r="A355" s="420"/>
      <c r="B355" s="1565" t="s">
        <v>1071</v>
      </c>
      <c r="C355" s="1566"/>
      <c r="D355" s="1566"/>
      <c r="E355" s="1566"/>
      <c r="F355" s="1566"/>
      <c r="G355" s="1566"/>
      <c r="H355" s="1566"/>
      <c r="I355" s="1566"/>
      <c r="J355" s="1566"/>
      <c r="K355" s="1566"/>
      <c r="L355" s="1566"/>
      <c r="M355" s="1567"/>
      <c r="N355" s="597"/>
      <c r="O355" s="597"/>
      <c r="P355" s="598"/>
      <c r="Q355" s="598"/>
      <c r="R355" s="597"/>
      <c r="S355" s="597"/>
      <c r="T355" s="597"/>
      <c r="U355" s="599"/>
      <c r="V355" s="599"/>
      <c r="W355" s="599"/>
      <c r="X355" s="599"/>
      <c r="Y355" s="600">
        <f t="shared" ref="Y355:AE355" si="205">+Y356+Y359</f>
        <v>10</v>
      </c>
      <c r="Z355" s="600">
        <f t="shared" si="205"/>
        <v>43.2</v>
      </c>
      <c r="AA355" s="600">
        <f t="shared" si="205"/>
        <v>6</v>
      </c>
      <c r="AB355" s="600">
        <f t="shared" si="205"/>
        <v>219</v>
      </c>
      <c r="AC355" s="600">
        <f t="shared" si="205"/>
        <v>0</v>
      </c>
      <c r="AD355" s="600">
        <f t="shared" si="205"/>
        <v>120.3</v>
      </c>
      <c r="AE355" s="600">
        <f t="shared" si="205"/>
        <v>650</v>
      </c>
      <c r="AF355" s="600">
        <f t="shared" ref="AF355:AF361" si="206">SUM(Y355:AE355)</f>
        <v>1048.5</v>
      </c>
      <c r="AG355" s="600">
        <f t="shared" ref="AG355:AL355" si="207">+AG356+AG359</f>
        <v>10</v>
      </c>
      <c r="AH355" s="600">
        <f t="shared" si="207"/>
        <v>44.9</v>
      </c>
      <c r="AI355" s="600">
        <f t="shared" si="207"/>
        <v>6</v>
      </c>
      <c r="AJ355" s="600">
        <f t="shared" si="207"/>
        <v>0</v>
      </c>
      <c r="AK355" s="600">
        <f t="shared" si="207"/>
        <v>0</v>
      </c>
      <c r="AL355" s="600">
        <f t="shared" si="207"/>
        <v>676</v>
      </c>
      <c r="AM355" s="600">
        <f t="shared" ref="AM355:AM361" si="208">SUM(AG355:AL355)</f>
        <v>736.9</v>
      </c>
      <c r="AN355" s="600">
        <f t="shared" ref="AN355:AT355" si="209">+AN356+AN359</f>
        <v>10</v>
      </c>
      <c r="AO355" s="600">
        <f t="shared" si="209"/>
        <v>46.7</v>
      </c>
      <c r="AP355" s="600">
        <f t="shared" si="209"/>
        <v>6.5</v>
      </c>
      <c r="AQ355" s="600">
        <f t="shared" si="209"/>
        <v>0</v>
      </c>
      <c r="AR355" s="600">
        <f t="shared" si="209"/>
        <v>0</v>
      </c>
      <c r="AS355" s="600">
        <f t="shared" si="209"/>
        <v>0</v>
      </c>
      <c r="AT355" s="600">
        <f t="shared" si="209"/>
        <v>703.04000000000008</v>
      </c>
      <c r="AU355" s="600">
        <f t="shared" ref="AU355:AU361" si="210">SUM(AN355:AT355)</f>
        <v>766.24000000000012</v>
      </c>
      <c r="AV355" s="600">
        <f t="shared" ref="AV355:BB355" si="211">+AV356+AV359</f>
        <v>11.2</v>
      </c>
      <c r="AW355" s="600">
        <f t="shared" si="211"/>
        <v>48.6</v>
      </c>
      <c r="AX355" s="600">
        <f t="shared" si="211"/>
        <v>6.7</v>
      </c>
      <c r="AY355" s="600">
        <f t="shared" si="211"/>
        <v>1300</v>
      </c>
      <c r="AZ355" s="600">
        <f t="shared" si="211"/>
        <v>0</v>
      </c>
      <c r="BA355" s="600">
        <f t="shared" si="211"/>
        <v>0</v>
      </c>
      <c r="BB355" s="600">
        <f t="shared" si="211"/>
        <v>731.16160000000013</v>
      </c>
      <c r="BC355" s="600">
        <f t="shared" ref="BC355:BC361" si="212">SUM(AV355:BB355)</f>
        <v>2097.6616000000004</v>
      </c>
      <c r="BD355" s="33">
        <f t="shared" si="203"/>
        <v>41.2</v>
      </c>
      <c r="BE355" s="33">
        <f t="shared" si="203"/>
        <v>183.40000000000003</v>
      </c>
      <c r="BF355" s="33">
        <f t="shared" si="203"/>
        <v>25.2</v>
      </c>
      <c r="BG355" s="33">
        <f t="shared" si="203"/>
        <v>1519</v>
      </c>
      <c r="BH355" s="33">
        <f t="shared" si="203"/>
        <v>0</v>
      </c>
      <c r="BI355" s="33">
        <f t="shared" si="202"/>
        <v>120.3</v>
      </c>
      <c r="BJ355" s="33">
        <f t="shared" si="204"/>
        <v>2760.2016000000003</v>
      </c>
      <c r="BK355" s="33">
        <f t="shared" si="204"/>
        <v>4649.3016000000007</v>
      </c>
    </row>
    <row r="356" spans="1:63" x14ac:dyDescent="0.25">
      <c r="A356" s="603"/>
      <c r="B356" s="24" t="s">
        <v>1071</v>
      </c>
      <c r="C356" s="2"/>
      <c r="D356" s="2" t="s">
        <v>1072</v>
      </c>
      <c r="E356" s="1"/>
      <c r="F356" s="1"/>
      <c r="G356" s="1"/>
      <c r="H356" s="1"/>
      <c r="I356" s="1"/>
      <c r="J356" s="1"/>
      <c r="K356" s="1"/>
      <c r="L356" s="1"/>
      <c r="M356" s="1"/>
      <c r="N356" s="1"/>
      <c r="O356" s="1"/>
      <c r="P356" s="22"/>
      <c r="Q356" s="22"/>
      <c r="R356" s="1"/>
      <c r="S356" s="1"/>
      <c r="T356" s="1"/>
      <c r="U356" s="49"/>
      <c r="V356" s="49"/>
      <c r="W356" s="49"/>
      <c r="X356" s="49"/>
      <c r="Y356" s="34">
        <f t="shared" ref="Y356:AE356" si="213">SUM(Y357:Y358)</f>
        <v>10</v>
      </c>
      <c r="Z356" s="34">
        <f t="shared" si="213"/>
        <v>43.2</v>
      </c>
      <c r="AA356" s="34">
        <f t="shared" si="213"/>
        <v>6</v>
      </c>
      <c r="AB356" s="34">
        <f t="shared" si="213"/>
        <v>219</v>
      </c>
      <c r="AC356" s="34">
        <f t="shared" si="213"/>
        <v>0</v>
      </c>
      <c r="AD356" s="34">
        <f t="shared" si="213"/>
        <v>120.3</v>
      </c>
      <c r="AE356" s="34">
        <f t="shared" si="213"/>
        <v>650</v>
      </c>
      <c r="AF356" s="34">
        <f t="shared" si="206"/>
        <v>1048.5</v>
      </c>
      <c r="AG356" s="34">
        <f t="shared" ref="AG356:AL356" si="214">SUM(AG357:AG358)</f>
        <v>10</v>
      </c>
      <c r="AH356" s="34">
        <f t="shared" si="214"/>
        <v>44.9</v>
      </c>
      <c r="AI356" s="34">
        <f t="shared" si="214"/>
        <v>6</v>
      </c>
      <c r="AJ356" s="34">
        <f t="shared" si="214"/>
        <v>0</v>
      </c>
      <c r="AK356" s="34">
        <f t="shared" si="214"/>
        <v>0</v>
      </c>
      <c r="AL356" s="34">
        <f t="shared" si="214"/>
        <v>676</v>
      </c>
      <c r="AM356" s="34">
        <f t="shared" si="208"/>
        <v>736.9</v>
      </c>
      <c r="AN356" s="34">
        <f t="shared" ref="AN356:AT356" si="215">SUM(AN357:AN358)</f>
        <v>10</v>
      </c>
      <c r="AO356" s="34">
        <f t="shared" si="215"/>
        <v>46.7</v>
      </c>
      <c r="AP356" s="34">
        <f t="shared" si="215"/>
        <v>6.5</v>
      </c>
      <c r="AQ356" s="34">
        <f t="shared" si="215"/>
        <v>0</v>
      </c>
      <c r="AR356" s="34">
        <f t="shared" si="215"/>
        <v>0</v>
      </c>
      <c r="AS356" s="34">
        <f t="shared" si="215"/>
        <v>0</v>
      </c>
      <c r="AT356" s="34">
        <f t="shared" si="215"/>
        <v>703.04000000000008</v>
      </c>
      <c r="AU356" s="34">
        <f t="shared" si="210"/>
        <v>766.24000000000012</v>
      </c>
      <c r="AV356" s="34">
        <f t="shared" ref="AV356:BB356" si="216">SUM(AV357:AV358)</f>
        <v>11.2</v>
      </c>
      <c r="AW356" s="34">
        <f t="shared" si="216"/>
        <v>48.6</v>
      </c>
      <c r="AX356" s="34">
        <f t="shared" si="216"/>
        <v>6.7</v>
      </c>
      <c r="AY356" s="34">
        <f t="shared" si="216"/>
        <v>500</v>
      </c>
      <c r="AZ356" s="34">
        <f t="shared" si="216"/>
        <v>0</v>
      </c>
      <c r="BA356" s="34">
        <f t="shared" si="216"/>
        <v>0</v>
      </c>
      <c r="BB356" s="34">
        <f t="shared" si="216"/>
        <v>731.16160000000013</v>
      </c>
      <c r="BC356" s="34">
        <f t="shared" si="212"/>
        <v>1297.6616000000001</v>
      </c>
      <c r="BD356" s="34">
        <f t="shared" si="203"/>
        <v>41.2</v>
      </c>
      <c r="BE356" s="34">
        <f t="shared" si="203"/>
        <v>183.40000000000003</v>
      </c>
      <c r="BF356" s="34">
        <f t="shared" si="203"/>
        <v>25.2</v>
      </c>
      <c r="BG356" s="34">
        <f t="shared" si="203"/>
        <v>719</v>
      </c>
      <c r="BH356" s="34">
        <f t="shared" si="203"/>
        <v>0</v>
      </c>
      <c r="BI356" s="34">
        <f t="shared" si="202"/>
        <v>120.3</v>
      </c>
      <c r="BJ356" s="34">
        <f t="shared" si="204"/>
        <v>2760.2016000000003</v>
      </c>
      <c r="BK356" s="34">
        <f t="shared" si="204"/>
        <v>3849.3016000000002</v>
      </c>
    </row>
    <row r="357" spans="1:63" ht="39.75" customHeight="1" x14ac:dyDescent="0.25">
      <c r="A357" s="298" t="s">
        <v>1073</v>
      </c>
      <c r="B357" s="299" t="s">
        <v>1071</v>
      </c>
      <c r="C357" s="1429" t="s">
        <v>1074</v>
      </c>
      <c r="D357" s="1425" t="s">
        <v>1075</v>
      </c>
      <c r="E357" s="1425" t="s">
        <v>1076</v>
      </c>
      <c r="F357" s="1425">
        <v>2005</v>
      </c>
      <c r="G357" s="1425">
        <v>92.6</v>
      </c>
      <c r="H357" s="1425">
        <v>94</v>
      </c>
      <c r="I357" s="1425" t="s">
        <v>53</v>
      </c>
      <c r="J357" s="1425"/>
      <c r="K357" s="1425" t="s">
        <v>1077</v>
      </c>
      <c r="L357" s="301" t="s">
        <v>1078</v>
      </c>
      <c r="M357" s="1425" t="s">
        <v>1041</v>
      </c>
      <c r="N357" s="1425" t="s">
        <v>1008</v>
      </c>
      <c r="O357" s="1425" t="s">
        <v>47</v>
      </c>
      <c r="P357" s="16" t="s">
        <v>1079</v>
      </c>
      <c r="Q357" s="302" t="s">
        <v>1080</v>
      </c>
      <c r="R357" s="303">
        <v>2015</v>
      </c>
      <c r="S357" s="303">
        <v>0</v>
      </c>
      <c r="T357" s="303">
        <v>100</v>
      </c>
      <c r="U357" s="572">
        <v>50</v>
      </c>
      <c r="V357" s="572">
        <v>50</v>
      </c>
      <c r="W357" s="572">
        <v>100</v>
      </c>
      <c r="X357" s="572">
        <v>300</v>
      </c>
      <c r="Y357" s="481">
        <v>10</v>
      </c>
      <c r="Z357" s="481">
        <v>43.2</v>
      </c>
      <c r="AA357" s="481">
        <v>6</v>
      </c>
      <c r="AB357" s="481">
        <v>219</v>
      </c>
      <c r="AC357" s="481"/>
      <c r="AD357" s="481">
        <f>52+68.3</f>
        <v>120.3</v>
      </c>
      <c r="AE357" s="481"/>
      <c r="AF357" s="481">
        <f t="shared" si="206"/>
        <v>398.5</v>
      </c>
      <c r="AG357" s="548">
        <v>10</v>
      </c>
      <c r="AH357" s="548">
        <v>44.9</v>
      </c>
      <c r="AI357" s="548">
        <v>6</v>
      </c>
      <c r="AJ357" s="592"/>
      <c r="AK357" s="548"/>
      <c r="AL357" s="548"/>
      <c r="AM357" s="548">
        <f t="shared" si="208"/>
        <v>60.9</v>
      </c>
      <c r="AN357" s="481">
        <v>10</v>
      </c>
      <c r="AO357" s="481">
        <v>46.7</v>
      </c>
      <c r="AP357" s="481">
        <v>6.5</v>
      </c>
      <c r="AQ357" s="481"/>
      <c r="AR357" s="481"/>
      <c r="AS357" s="481"/>
      <c r="AT357" s="481"/>
      <c r="AU357" s="481">
        <f t="shared" si="210"/>
        <v>63.2</v>
      </c>
      <c r="AV357" s="548">
        <v>11.2</v>
      </c>
      <c r="AW357" s="548">
        <v>48.6</v>
      </c>
      <c r="AX357" s="548">
        <v>6.7</v>
      </c>
      <c r="AY357" s="548">
        <v>500</v>
      </c>
      <c r="AZ357" s="548"/>
      <c r="BA357" s="548"/>
      <c r="BB357" s="548"/>
      <c r="BC357" s="548">
        <f t="shared" si="212"/>
        <v>566.5</v>
      </c>
      <c r="BD357" s="42">
        <f t="shared" si="203"/>
        <v>41.2</v>
      </c>
      <c r="BE357" s="42">
        <f t="shared" si="203"/>
        <v>183.40000000000003</v>
      </c>
      <c r="BF357" s="42">
        <f t="shared" si="203"/>
        <v>25.2</v>
      </c>
      <c r="BG357" s="42">
        <f t="shared" si="203"/>
        <v>719</v>
      </c>
      <c r="BH357" s="42">
        <f t="shared" si="203"/>
        <v>0</v>
      </c>
      <c r="BI357" s="42">
        <f t="shared" si="202"/>
        <v>120.3</v>
      </c>
      <c r="BJ357" s="42">
        <f t="shared" si="204"/>
        <v>0</v>
      </c>
      <c r="BK357" s="42">
        <f t="shared" si="204"/>
        <v>1089.0999999999999</v>
      </c>
    </row>
    <row r="358" spans="1:63" ht="54.75" customHeight="1" x14ac:dyDescent="0.25">
      <c r="A358" s="298" t="s">
        <v>1073</v>
      </c>
      <c r="B358" s="299" t="s">
        <v>1071</v>
      </c>
      <c r="C358" s="1429" t="s">
        <v>1081</v>
      </c>
      <c r="D358" s="1425" t="s">
        <v>1082</v>
      </c>
      <c r="E358" s="1425" t="s">
        <v>1083</v>
      </c>
      <c r="F358" s="1425">
        <v>2005</v>
      </c>
      <c r="G358" s="1425">
        <v>95</v>
      </c>
      <c r="H358" s="1425">
        <v>95</v>
      </c>
      <c r="I358" s="1425"/>
      <c r="J358" s="1425"/>
      <c r="K358" s="1425" t="s">
        <v>1084</v>
      </c>
      <c r="L358" s="301" t="s">
        <v>1078</v>
      </c>
      <c r="M358" s="1425" t="s">
        <v>1041</v>
      </c>
      <c r="N358" s="1425" t="s">
        <v>1008</v>
      </c>
      <c r="O358" s="1425" t="s">
        <v>73</v>
      </c>
      <c r="P358" s="16" t="s">
        <v>1085</v>
      </c>
      <c r="Q358" s="302" t="s">
        <v>1086</v>
      </c>
      <c r="R358" s="303">
        <v>2015</v>
      </c>
      <c r="S358" s="303">
        <v>0</v>
      </c>
      <c r="T358" s="303">
        <v>1</v>
      </c>
      <c r="U358" s="572">
        <v>1</v>
      </c>
      <c r="V358" s="572">
        <v>1</v>
      </c>
      <c r="W358" s="572">
        <v>1</v>
      </c>
      <c r="X358" s="572">
        <v>1</v>
      </c>
      <c r="Y358" s="481"/>
      <c r="Z358" s="481"/>
      <c r="AA358" s="481"/>
      <c r="AB358" s="481"/>
      <c r="AC358" s="481"/>
      <c r="AD358" s="481"/>
      <c r="AE358" s="481">
        <v>650</v>
      </c>
      <c r="AF358" s="481">
        <f t="shared" si="206"/>
        <v>650</v>
      </c>
      <c r="AG358" s="548"/>
      <c r="AH358" s="548"/>
      <c r="AI358" s="548"/>
      <c r="AJ358" s="548"/>
      <c r="AK358" s="548"/>
      <c r="AL358" s="548">
        <f>+AE358*1.04</f>
        <v>676</v>
      </c>
      <c r="AM358" s="548">
        <f t="shared" si="208"/>
        <v>676</v>
      </c>
      <c r="AN358" s="481"/>
      <c r="AO358" s="481"/>
      <c r="AP358" s="481"/>
      <c r="AQ358" s="481"/>
      <c r="AR358" s="481"/>
      <c r="AS358" s="481"/>
      <c r="AT358" s="481">
        <f>+AL358*1.04</f>
        <v>703.04000000000008</v>
      </c>
      <c r="AU358" s="481">
        <f t="shared" si="210"/>
        <v>703.04000000000008</v>
      </c>
      <c r="AV358" s="548"/>
      <c r="AW358" s="548"/>
      <c r="AX358" s="548"/>
      <c r="AY358" s="548"/>
      <c r="AZ358" s="548"/>
      <c r="BA358" s="548"/>
      <c r="BB358" s="548">
        <f>+AT358*1.04</f>
        <v>731.16160000000013</v>
      </c>
      <c r="BC358" s="548">
        <f t="shared" si="212"/>
        <v>731.16160000000013</v>
      </c>
      <c r="BD358" s="42">
        <f t="shared" si="203"/>
        <v>0</v>
      </c>
      <c r="BE358" s="42">
        <f t="shared" si="203"/>
        <v>0</v>
      </c>
      <c r="BF358" s="42">
        <f t="shared" si="203"/>
        <v>0</v>
      </c>
      <c r="BG358" s="42">
        <f t="shared" si="203"/>
        <v>0</v>
      </c>
      <c r="BH358" s="42">
        <f t="shared" si="203"/>
        <v>0</v>
      </c>
      <c r="BI358" s="42">
        <f t="shared" si="202"/>
        <v>0</v>
      </c>
      <c r="BJ358" s="42">
        <f t="shared" si="204"/>
        <v>2760.2016000000003</v>
      </c>
      <c r="BK358" s="42">
        <f t="shared" si="204"/>
        <v>2760.2016000000003</v>
      </c>
    </row>
    <row r="359" spans="1:63" x14ac:dyDescent="0.25">
      <c r="A359" s="295" t="s">
        <v>1073</v>
      </c>
      <c r="B359" s="24" t="s">
        <v>1071</v>
      </c>
      <c r="C359" s="2"/>
      <c r="D359" s="2" t="s">
        <v>1087</v>
      </c>
      <c r="E359" s="1"/>
      <c r="F359" s="1"/>
      <c r="G359" s="1"/>
      <c r="H359" s="1"/>
      <c r="I359" s="1"/>
      <c r="J359" s="1"/>
      <c r="K359" s="1"/>
      <c r="L359" s="1"/>
      <c r="M359" s="1"/>
      <c r="N359" s="1"/>
      <c r="O359" s="1"/>
      <c r="P359" s="22"/>
      <c r="Q359" s="22"/>
      <c r="R359" s="1"/>
      <c r="S359" s="1"/>
      <c r="T359" s="1"/>
      <c r="U359" s="49"/>
      <c r="V359" s="49"/>
      <c r="W359" s="49"/>
      <c r="X359" s="49"/>
      <c r="Y359" s="34">
        <f>SUM(Y360)</f>
        <v>0</v>
      </c>
      <c r="Z359" s="34">
        <f t="shared" ref="Z359:AE359" si="217">SUM(Z360)</f>
        <v>0</v>
      </c>
      <c r="AA359" s="34">
        <f t="shared" si="217"/>
        <v>0</v>
      </c>
      <c r="AB359" s="34">
        <f t="shared" si="217"/>
        <v>0</v>
      </c>
      <c r="AC359" s="34">
        <f t="shared" si="217"/>
        <v>0</v>
      </c>
      <c r="AD359" s="34">
        <f t="shared" si="217"/>
        <v>0</v>
      </c>
      <c r="AE359" s="34">
        <f t="shared" si="217"/>
        <v>0</v>
      </c>
      <c r="AF359" s="34">
        <f t="shared" si="206"/>
        <v>0</v>
      </c>
      <c r="AG359" s="34">
        <f t="shared" ref="AG359:AL359" si="218">SUM(AG360)</f>
        <v>0</v>
      </c>
      <c r="AH359" s="34">
        <f t="shared" si="218"/>
        <v>0</v>
      </c>
      <c r="AI359" s="34">
        <f t="shared" si="218"/>
        <v>0</v>
      </c>
      <c r="AJ359" s="34">
        <f t="shared" si="218"/>
        <v>0</v>
      </c>
      <c r="AK359" s="34">
        <f t="shared" si="218"/>
        <v>0</v>
      </c>
      <c r="AL359" s="34">
        <f t="shared" si="218"/>
        <v>0</v>
      </c>
      <c r="AM359" s="34">
        <f t="shared" si="208"/>
        <v>0</v>
      </c>
      <c r="AN359" s="34">
        <f t="shared" ref="AN359:AT359" si="219">SUM(AN360)</f>
        <v>0</v>
      </c>
      <c r="AO359" s="34">
        <f t="shared" si="219"/>
        <v>0</v>
      </c>
      <c r="AP359" s="34">
        <f t="shared" si="219"/>
        <v>0</v>
      </c>
      <c r="AQ359" s="34">
        <f t="shared" si="219"/>
        <v>0</v>
      </c>
      <c r="AR359" s="34">
        <f t="shared" si="219"/>
        <v>0</v>
      </c>
      <c r="AS359" s="34">
        <f t="shared" si="219"/>
        <v>0</v>
      </c>
      <c r="AT359" s="34">
        <f t="shared" si="219"/>
        <v>0</v>
      </c>
      <c r="AU359" s="34">
        <f t="shared" si="210"/>
        <v>0</v>
      </c>
      <c r="AV359" s="34">
        <f t="shared" ref="AV359:BB359" si="220">SUM(AV360)</f>
        <v>0</v>
      </c>
      <c r="AW359" s="34">
        <f t="shared" si="220"/>
        <v>0</v>
      </c>
      <c r="AX359" s="34">
        <f t="shared" si="220"/>
        <v>0</v>
      </c>
      <c r="AY359" s="34">
        <f t="shared" si="220"/>
        <v>800</v>
      </c>
      <c r="AZ359" s="34">
        <f t="shared" si="220"/>
        <v>0</v>
      </c>
      <c r="BA359" s="34">
        <f t="shared" si="220"/>
        <v>0</v>
      </c>
      <c r="BB359" s="34">
        <f t="shared" si="220"/>
        <v>0</v>
      </c>
      <c r="BC359" s="34">
        <f t="shared" si="212"/>
        <v>800</v>
      </c>
      <c r="BD359" s="34">
        <f t="shared" si="203"/>
        <v>0</v>
      </c>
      <c r="BE359" s="34">
        <f t="shared" si="203"/>
        <v>0</v>
      </c>
      <c r="BF359" s="34">
        <f t="shared" si="203"/>
        <v>0</v>
      </c>
      <c r="BG359" s="34">
        <f t="shared" si="203"/>
        <v>800</v>
      </c>
      <c r="BH359" s="34">
        <f t="shared" si="203"/>
        <v>0</v>
      </c>
      <c r="BI359" s="34">
        <f t="shared" si="202"/>
        <v>0</v>
      </c>
      <c r="BJ359" s="34">
        <f t="shared" si="204"/>
        <v>0</v>
      </c>
      <c r="BK359" s="34">
        <f t="shared" si="204"/>
        <v>800</v>
      </c>
    </row>
    <row r="360" spans="1:63" ht="49.5" customHeight="1" x14ac:dyDescent="0.25">
      <c r="A360" s="298" t="s">
        <v>1073</v>
      </c>
      <c r="B360" s="299" t="s">
        <v>1071</v>
      </c>
      <c r="C360" s="1429" t="s">
        <v>1088</v>
      </c>
      <c r="D360" s="1425" t="s">
        <v>1089</v>
      </c>
      <c r="E360" s="1425" t="s">
        <v>1090</v>
      </c>
      <c r="F360" s="1425">
        <v>2005</v>
      </c>
      <c r="G360" s="1425">
        <v>87.9</v>
      </c>
      <c r="H360" s="1425">
        <v>90</v>
      </c>
      <c r="I360" s="1425" t="s">
        <v>53</v>
      </c>
      <c r="J360" s="1425"/>
      <c r="K360" s="1425" t="s">
        <v>1091</v>
      </c>
      <c r="L360" s="301" t="s">
        <v>1078</v>
      </c>
      <c r="M360" s="1425" t="s">
        <v>1041</v>
      </c>
      <c r="N360" s="1425" t="s">
        <v>1008</v>
      </c>
      <c r="O360" s="1425" t="s">
        <v>47</v>
      </c>
      <c r="P360" s="16" t="s">
        <v>1092</v>
      </c>
      <c r="Q360" s="302" t="s">
        <v>1093</v>
      </c>
      <c r="R360" s="303">
        <v>2015</v>
      </c>
      <c r="S360" s="303">
        <v>0</v>
      </c>
      <c r="T360" s="303">
        <v>0</v>
      </c>
      <c r="U360" s="572">
        <v>100</v>
      </c>
      <c r="V360" s="572">
        <v>200</v>
      </c>
      <c r="W360" s="572">
        <v>200</v>
      </c>
      <c r="X360" s="572">
        <v>500</v>
      </c>
      <c r="Y360" s="481"/>
      <c r="Z360" s="481"/>
      <c r="AA360" s="481"/>
      <c r="AB360" s="481"/>
      <c r="AC360" s="481"/>
      <c r="AD360" s="481"/>
      <c r="AE360" s="481"/>
      <c r="AF360" s="481">
        <f t="shared" si="206"/>
        <v>0</v>
      </c>
      <c r="AG360" s="548"/>
      <c r="AH360" s="548"/>
      <c r="AI360" s="548"/>
      <c r="AJ360" s="592"/>
      <c r="AK360" s="548"/>
      <c r="AL360" s="548"/>
      <c r="AM360" s="548">
        <f t="shared" si="208"/>
        <v>0</v>
      </c>
      <c r="AN360" s="481"/>
      <c r="AO360" s="481"/>
      <c r="AP360" s="481"/>
      <c r="AQ360" s="481"/>
      <c r="AR360" s="481"/>
      <c r="AS360" s="481"/>
      <c r="AT360" s="481"/>
      <c r="AU360" s="481">
        <f t="shared" si="210"/>
        <v>0</v>
      </c>
      <c r="AV360" s="548"/>
      <c r="AW360" s="548"/>
      <c r="AX360" s="548"/>
      <c r="AY360" s="548">
        <v>800</v>
      </c>
      <c r="AZ360" s="548"/>
      <c r="BA360" s="548"/>
      <c r="BB360" s="548"/>
      <c r="BC360" s="548">
        <f t="shared" si="212"/>
        <v>800</v>
      </c>
      <c r="BD360" s="42">
        <f t="shared" si="203"/>
        <v>0</v>
      </c>
      <c r="BE360" s="42">
        <f t="shared" si="203"/>
        <v>0</v>
      </c>
      <c r="BF360" s="42">
        <f t="shared" si="203"/>
        <v>0</v>
      </c>
      <c r="BG360" s="42">
        <f t="shared" si="203"/>
        <v>800</v>
      </c>
      <c r="BH360" s="42">
        <f t="shared" si="203"/>
        <v>0</v>
      </c>
      <c r="BI360" s="42">
        <f t="shared" si="202"/>
        <v>0</v>
      </c>
      <c r="BJ360" s="42">
        <f t="shared" si="204"/>
        <v>0</v>
      </c>
      <c r="BK360" s="42">
        <f t="shared" si="204"/>
        <v>800</v>
      </c>
    </row>
    <row r="361" spans="1:63" ht="22.8" x14ac:dyDescent="0.25">
      <c r="A361" s="604"/>
      <c r="B361" s="1571" t="s">
        <v>1094</v>
      </c>
      <c r="C361" s="1572"/>
      <c r="D361" s="1572"/>
      <c r="E361" s="1572"/>
      <c r="F361" s="1572"/>
      <c r="G361" s="1572"/>
      <c r="H361" s="1572"/>
      <c r="I361" s="1572"/>
      <c r="J361" s="1572"/>
      <c r="K361" s="1572"/>
      <c r="L361" s="1572"/>
      <c r="M361" s="1572"/>
      <c r="N361" s="1573"/>
      <c r="O361" s="8"/>
      <c r="P361" s="20"/>
      <c r="Q361" s="20"/>
      <c r="R361" s="8"/>
      <c r="S361" s="8"/>
      <c r="T361" s="8"/>
      <c r="U361" s="65"/>
      <c r="V361" s="65"/>
      <c r="W361" s="65"/>
      <c r="X361" s="65"/>
      <c r="Y361" s="36">
        <f t="shared" ref="Y361:AE361" si="221">+Y363+Y375+Y402+Y415</f>
        <v>337.4</v>
      </c>
      <c r="Z361" s="36">
        <f t="shared" si="221"/>
        <v>400.9</v>
      </c>
      <c r="AA361" s="36">
        <f t="shared" si="221"/>
        <v>565.6</v>
      </c>
      <c r="AB361" s="497">
        <f t="shared" si="221"/>
        <v>390</v>
      </c>
      <c r="AC361" s="36">
        <f t="shared" si="221"/>
        <v>0</v>
      </c>
      <c r="AD361" s="36">
        <f t="shared" si="221"/>
        <v>752.7</v>
      </c>
      <c r="AE361" s="36">
        <f t="shared" si="221"/>
        <v>850</v>
      </c>
      <c r="AF361" s="36">
        <f t="shared" si="206"/>
        <v>3296.6000000000004</v>
      </c>
      <c r="AG361" s="36">
        <f t="shared" ref="AG361:AL361" si="222">+AG363+AG375+AG402+AG415</f>
        <v>335</v>
      </c>
      <c r="AH361" s="36">
        <f t="shared" si="222"/>
        <v>378</v>
      </c>
      <c r="AI361" s="36">
        <f t="shared" si="222"/>
        <v>533</v>
      </c>
      <c r="AJ361" s="36">
        <f t="shared" si="222"/>
        <v>0</v>
      </c>
      <c r="AK361" s="36">
        <f t="shared" si="222"/>
        <v>0</v>
      </c>
      <c r="AL361" s="36">
        <f t="shared" si="222"/>
        <v>1800</v>
      </c>
      <c r="AM361" s="36">
        <f t="shared" si="208"/>
        <v>3046</v>
      </c>
      <c r="AN361" s="36">
        <f t="shared" ref="AN361:AT361" si="223">+AN363+AN375+AN402+AN415</f>
        <v>332.4</v>
      </c>
      <c r="AO361" s="36">
        <f t="shared" si="223"/>
        <v>399.5</v>
      </c>
      <c r="AP361" s="36">
        <f t="shared" si="223"/>
        <v>552</v>
      </c>
      <c r="AQ361" s="36">
        <f t="shared" si="223"/>
        <v>0</v>
      </c>
      <c r="AR361" s="36">
        <f t="shared" si="223"/>
        <v>0</v>
      </c>
      <c r="AS361" s="36">
        <f t="shared" si="223"/>
        <v>0</v>
      </c>
      <c r="AT361" s="36">
        <f t="shared" si="223"/>
        <v>0</v>
      </c>
      <c r="AU361" s="36">
        <f t="shared" si="210"/>
        <v>1283.9000000000001</v>
      </c>
      <c r="AV361" s="36">
        <f t="shared" ref="AV361:BB361" si="224">+AV363+AV375+AV402+AV415</f>
        <v>348</v>
      </c>
      <c r="AW361" s="36">
        <f t="shared" si="224"/>
        <v>392</v>
      </c>
      <c r="AX361" s="36">
        <f t="shared" si="224"/>
        <v>572</v>
      </c>
      <c r="AY361" s="36">
        <f t="shared" si="224"/>
        <v>0</v>
      </c>
      <c r="AZ361" s="36">
        <f t="shared" si="224"/>
        <v>0</v>
      </c>
      <c r="BA361" s="36">
        <f t="shared" si="224"/>
        <v>0</v>
      </c>
      <c r="BB361" s="36">
        <f t="shared" si="224"/>
        <v>0</v>
      </c>
      <c r="BC361" s="36">
        <f t="shared" si="212"/>
        <v>1312</v>
      </c>
      <c r="BD361" s="36">
        <f t="shared" si="203"/>
        <v>1352.8</v>
      </c>
      <c r="BE361" s="36">
        <f t="shared" si="203"/>
        <v>1570.4</v>
      </c>
      <c r="BF361" s="36">
        <f t="shared" si="203"/>
        <v>2222.6</v>
      </c>
      <c r="BG361" s="36">
        <f t="shared" si="203"/>
        <v>390</v>
      </c>
      <c r="BH361" s="36">
        <f t="shared" si="203"/>
        <v>0</v>
      </c>
      <c r="BI361" s="36">
        <f t="shared" si="202"/>
        <v>752.7</v>
      </c>
      <c r="BJ361" s="36">
        <f t="shared" si="204"/>
        <v>2650</v>
      </c>
      <c r="BK361" s="36">
        <f t="shared" si="204"/>
        <v>8938.5</v>
      </c>
    </row>
    <row r="362" spans="1:63" ht="2.25" customHeight="1" x14ac:dyDescent="0.2">
      <c r="A362" s="151"/>
      <c r="B362" s="7" t="s">
        <v>1095</v>
      </c>
      <c r="C362" s="18"/>
      <c r="D362" s="8"/>
      <c r="E362" s="8"/>
      <c r="F362" s="8"/>
      <c r="G362" s="8"/>
      <c r="H362" s="8"/>
      <c r="I362" s="11"/>
      <c r="J362" s="11"/>
      <c r="K362" s="11"/>
      <c r="L362" s="11"/>
      <c r="M362" s="11"/>
      <c r="N362" s="11"/>
      <c r="O362" s="11"/>
      <c r="P362" s="1438"/>
      <c r="Q362" s="1438"/>
      <c r="R362" s="11"/>
      <c r="S362" s="11"/>
      <c r="T362" s="11"/>
      <c r="U362" s="47"/>
      <c r="V362" s="47"/>
      <c r="W362" s="47"/>
      <c r="X362" s="47"/>
      <c r="Y362" s="32">
        <v>20</v>
      </c>
      <c r="Z362" s="32">
        <v>50.9</v>
      </c>
      <c r="AA362" s="32">
        <v>29</v>
      </c>
      <c r="AB362" s="32"/>
      <c r="AC362" s="32"/>
      <c r="AD362" s="32">
        <v>126</v>
      </c>
      <c r="AE362" s="32"/>
      <c r="AF362" s="32">
        <f>SUBTOTAL(9,Y362:AE362)</f>
        <v>225.9</v>
      </c>
      <c r="AG362" s="32">
        <f>+Y362*1.035</f>
        <v>20.7</v>
      </c>
      <c r="AH362" s="32">
        <f>+Z362*1.035</f>
        <v>52.681499999999993</v>
      </c>
      <c r="AI362" s="32">
        <f>+AA362*1.035</f>
        <v>30.014999999999997</v>
      </c>
      <c r="AJ362" s="32"/>
      <c r="AK362" s="32"/>
      <c r="AL362" s="32"/>
      <c r="AM362" s="32">
        <f>SUBTOTAL(9,AG362:AL362)</f>
        <v>103.39649999999999</v>
      </c>
      <c r="AN362" s="32">
        <f>+AG362*1.035</f>
        <v>21.424499999999998</v>
      </c>
      <c r="AO362" s="32">
        <f>+AH362*1.035</f>
        <v>54.52535249999999</v>
      </c>
      <c r="AP362" s="32">
        <f>+AI362*1.035</f>
        <v>31.065524999999994</v>
      </c>
      <c r="AQ362" s="32"/>
      <c r="AR362" s="32"/>
      <c r="AS362" s="32"/>
      <c r="AT362" s="32"/>
      <c r="AU362" s="32"/>
      <c r="AV362" s="32">
        <f>+AN362*1.035</f>
        <v>22.174357499999996</v>
      </c>
      <c r="AW362" s="32">
        <f>+AO362*1.035</f>
        <v>56.433739837499985</v>
      </c>
      <c r="AX362" s="32">
        <f>+AP362*1.035</f>
        <v>32.152818374999988</v>
      </c>
      <c r="AY362" s="32"/>
      <c r="AZ362" s="32"/>
      <c r="BA362" s="32"/>
      <c r="BB362" s="32"/>
      <c r="BC362" s="32"/>
      <c r="BD362" s="32">
        <f t="shared" si="203"/>
        <v>84.298857499999997</v>
      </c>
      <c r="BE362" s="32">
        <f t="shared" si="203"/>
        <v>214.54059233749999</v>
      </c>
      <c r="BF362" s="32">
        <f t="shared" si="203"/>
        <v>122.23334337499998</v>
      </c>
      <c r="BG362" s="32">
        <f t="shared" si="203"/>
        <v>0</v>
      </c>
      <c r="BH362" s="32">
        <f t="shared" si="203"/>
        <v>0</v>
      </c>
      <c r="BI362" s="32">
        <f t="shared" si="202"/>
        <v>126</v>
      </c>
      <c r="BJ362" s="32">
        <f t="shared" si="204"/>
        <v>0</v>
      </c>
      <c r="BK362" s="32">
        <f t="shared" si="204"/>
        <v>329.29649999999998</v>
      </c>
    </row>
    <row r="363" spans="1:63" ht="20.25" x14ac:dyDescent="0.2">
      <c r="A363" s="420"/>
      <c r="B363" s="1565" t="s">
        <v>1095</v>
      </c>
      <c r="C363" s="1566"/>
      <c r="D363" s="1566"/>
      <c r="E363" s="1566"/>
      <c r="F363" s="1566"/>
      <c r="G363" s="1566"/>
      <c r="H363" s="1566"/>
      <c r="I363" s="1566"/>
      <c r="J363" s="1566"/>
      <c r="K363" s="1566"/>
      <c r="L363" s="1566"/>
      <c r="M363" s="1567"/>
      <c r="N363" s="597"/>
      <c r="O363" s="597"/>
      <c r="P363" s="598"/>
      <c r="Q363" s="598"/>
      <c r="R363" s="597"/>
      <c r="S363" s="597"/>
      <c r="T363" s="597"/>
      <c r="U363" s="599"/>
      <c r="V363" s="599"/>
      <c r="W363" s="599"/>
      <c r="X363" s="599"/>
      <c r="Y363" s="600">
        <f>+Y364</f>
        <v>20</v>
      </c>
      <c r="Z363" s="600">
        <f t="shared" ref="Z363:AE363" si="225">+Z364</f>
        <v>50.9</v>
      </c>
      <c r="AA363" s="600">
        <f t="shared" si="225"/>
        <v>29</v>
      </c>
      <c r="AB363" s="600">
        <f t="shared" si="225"/>
        <v>0</v>
      </c>
      <c r="AC363" s="600">
        <f t="shared" si="225"/>
        <v>0</v>
      </c>
      <c r="AD363" s="600">
        <f t="shared" si="225"/>
        <v>126</v>
      </c>
      <c r="AE363" s="600">
        <f t="shared" si="225"/>
        <v>850</v>
      </c>
      <c r="AF363" s="600">
        <f t="shared" ref="AF363:AF371" si="226">SUM(Y363:AE363)</f>
        <v>1075.9000000000001</v>
      </c>
      <c r="AG363" s="600">
        <f t="shared" ref="AG363:AL363" si="227">+AG364</f>
        <v>20</v>
      </c>
      <c r="AH363" s="600">
        <f t="shared" si="227"/>
        <v>53</v>
      </c>
      <c r="AI363" s="600">
        <f t="shared" si="227"/>
        <v>30</v>
      </c>
      <c r="AJ363" s="600">
        <f t="shared" si="227"/>
        <v>0</v>
      </c>
      <c r="AK363" s="600">
        <f t="shared" si="227"/>
        <v>0</v>
      </c>
      <c r="AL363" s="600">
        <f t="shared" si="227"/>
        <v>1500</v>
      </c>
      <c r="AM363" s="600">
        <f>SUM(AG363:AL363)</f>
        <v>1603</v>
      </c>
      <c r="AN363" s="600">
        <f t="shared" ref="AN363:AT363" si="228">+AN364</f>
        <v>21.4</v>
      </c>
      <c r="AO363" s="600">
        <f t="shared" si="228"/>
        <v>54.5</v>
      </c>
      <c r="AP363" s="600">
        <f t="shared" si="228"/>
        <v>31</v>
      </c>
      <c r="AQ363" s="600">
        <f t="shared" si="228"/>
        <v>0</v>
      </c>
      <c r="AR363" s="600">
        <f t="shared" si="228"/>
        <v>0</v>
      </c>
      <c r="AS363" s="600">
        <f t="shared" si="228"/>
        <v>0</v>
      </c>
      <c r="AT363" s="600">
        <f t="shared" si="228"/>
        <v>0</v>
      </c>
      <c r="AU363" s="600">
        <f>SUM(AN363:AT363)</f>
        <v>106.9</v>
      </c>
      <c r="AV363" s="600">
        <f t="shared" ref="AV363:BB363" si="229">+AV364</f>
        <v>22</v>
      </c>
      <c r="AW363" s="600">
        <f t="shared" si="229"/>
        <v>57</v>
      </c>
      <c r="AX363" s="600">
        <f t="shared" si="229"/>
        <v>32</v>
      </c>
      <c r="AY363" s="600">
        <f t="shared" si="229"/>
        <v>0</v>
      </c>
      <c r="AZ363" s="600">
        <f t="shared" si="229"/>
        <v>0</v>
      </c>
      <c r="BA363" s="600">
        <f t="shared" si="229"/>
        <v>0</v>
      </c>
      <c r="BB363" s="600">
        <f t="shared" si="229"/>
        <v>0</v>
      </c>
      <c r="BC363" s="600">
        <f>SUM(AV363:BB363)</f>
        <v>111</v>
      </c>
      <c r="BD363" s="33">
        <f t="shared" si="203"/>
        <v>83.4</v>
      </c>
      <c r="BE363" s="33">
        <f t="shared" si="203"/>
        <v>215.4</v>
      </c>
      <c r="BF363" s="33">
        <f t="shared" si="203"/>
        <v>122</v>
      </c>
      <c r="BG363" s="33">
        <f t="shared" si="203"/>
        <v>0</v>
      </c>
      <c r="BH363" s="33">
        <f t="shared" si="203"/>
        <v>0</v>
      </c>
      <c r="BI363" s="33">
        <f t="shared" si="202"/>
        <v>126</v>
      </c>
      <c r="BJ363" s="33">
        <f t="shared" si="204"/>
        <v>2350</v>
      </c>
      <c r="BK363" s="33">
        <f t="shared" si="204"/>
        <v>2896.8</v>
      </c>
    </row>
    <row r="364" spans="1:63" ht="12.75" x14ac:dyDescent="0.2">
      <c r="A364" s="603"/>
      <c r="B364" s="24" t="s">
        <v>1095</v>
      </c>
      <c r="C364" s="6"/>
      <c r="D364" s="2" t="s">
        <v>1096</v>
      </c>
      <c r="E364" s="1"/>
      <c r="F364" s="1"/>
      <c r="G364" s="1"/>
      <c r="H364" s="1"/>
      <c r="I364" s="1"/>
      <c r="J364" s="1"/>
      <c r="K364" s="1"/>
      <c r="L364" s="1"/>
      <c r="M364" s="1"/>
      <c r="N364" s="1"/>
      <c r="O364" s="1"/>
      <c r="P364" s="22"/>
      <c r="Q364" s="22"/>
      <c r="R364" s="1"/>
      <c r="S364" s="1"/>
      <c r="T364" s="1"/>
      <c r="U364" s="49"/>
      <c r="V364" s="49"/>
      <c r="W364" s="49"/>
      <c r="X364" s="49"/>
      <c r="Y364" s="34">
        <f t="shared" ref="Y364:AE364" si="230">SUM(Y365:Y372)</f>
        <v>20</v>
      </c>
      <c r="Z364" s="34">
        <f t="shared" si="230"/>
        <v>50.9</v>
      </c>
      <c r="AA364" s="34">
        <f t="shared" si="230"/>
        <v>29</v>
      </c>
      <c r="AB364" s="34">
        <f t="shared" si="230"/>
        <v>0</v>
      </c>
      <c r="AC364" s="34">
        <f t="shared" si="230"/>
        <v>0</v>
      </c>
      <c r="AD364" s="34">
        <f t="shared" si="230"/>
        <v>126</v>
      </c>
      <c r="AE364" s="34">
        <f t="shared" si="230"/>
        <v>850</v>
      </c>
      <c r="AF364" s="34">
        <f t="shared" si="226"/>
        <v>1075.9000000000001</v>
      </c>
      <c r="AG364" s="34">
        <f t="shared" ref="AG364:AL364" si="231">SUM(AG365:AG372)</f>
        <v>20</v>
      </c>
      <c r="AH364" s="34">
        <f t="shared" si="231"/>
        <v>53</v>
      </c>
      <c r="AI364" s="34">
        <f t="shared" si="231"/>
        <v>30</v>
      </c>
      <c r="AJ364" s="34">
        <f t="shared" si="231"/>
        <v>0</v>
      </c>
      <c r="AK364" s="34">
        <f t="shared" si="231"/>
        <v>0</v>
      </c>
      <c r="AL364" s="34">
        <f t="shared" si="231"/>
        <v>1500</v>
      </c>
      <c r="AM364" s="34">
        <f>SUM(AG364:AL364)</f>
        <v>1603</v>
      </c>
      <c r="AN364" s="34">
        <f t="shared" ref="AN364:AT364" si="232">SUM(AN365:AN372)</f>
        <v>21.4</v>
      </c>
      <c r="AO364" s="34">
        <f t="shared" si="232"/>
        <v>54.5</v>
      </c>
      <c r="AP364" s="34">
        <f t="shared" si="232"/>
        <v>31</v>
      </c>
      <c r="AQ364" s="34">
        <f t="shared" si="232"/>
        <v>0</v>
      </c>
      <c r="AR364" s="34">
        <f t="shared" si="232"/>
        <v>0</v>
      </c>
      <c r="AS364" s="34">
        <f t="shared" si="232"/>
        <v>0</v>
      </c>
      <c r="AT364" s="34">
        <f t="shared" si="232"/>
        <v>0</v>
      </c>
      <c r="AU364" s="34">
        <f>SUM(AN364:AT364)</f>
        <v>106.9</v>
      </c>
      <c r="AV364" s="34">
        <f t="shared" ref="AV364:BB364" si="233">SUM(AV365:AV372)</f>
        <v>22</v>
      </c>
      <c r="AW364" s="34">
        <f t="shared" si="233"/>
        <v>57</v>
      </c>
      <c r="AX364" s="34">
        <f t="shared" si="233"/>
        <v>32</v>
      </c>
      <c r="AY364" s="34">
        <f t="shared" si="233"/>
        <v>0</v>
      </c>
      <c r="AZ364" s="34">
        <f t="shared" si="233"/>
        <v>0</v>
      </c>
      <c r="BA364" s="34">
        <f t="shared" si="233"/>
        <v>0</v>
      </c>
      <c r="BB364" s="34">
        <f t="shared" si="233"/>
        <v>0</v>
      </c>
      <c r="BC364" s="34">
        <f>SUM(AV364:BB364)</f>
        <v>111</v>
      </c>
      <c r="BD364" s="34">
        <f t="shared" si="203"/>
        <v>83.4</v>
      </c>
      <c r="BE364" s="34">
        <f t="shared" si="203"/>
        <v>215.4</v>
      </c>
      <c r="BF364" s="34">
        <f t="shared" si="203"/>
        <v>122</v>
      </c>
      <c r="BG364" s="34">
        <f t="shared" si="203"/>
        <v>0</v>
      </c>
      <c r="BH364" s="34">
        <f t="shared" si="203"/>
        <v>0</v>
      </c>
      <c r="BI364" s="34">
        <f t="shared" si="202"/>
        <v>126</v>
      </c>
      <c r="BJ364" s="34">
        <f t="shared" si="204"/>
        <v>2350</v>
      </c>
      <c r="BK364" s="34">
        <f t="shared" si="204"/>
        <v>2896.8</v>
      </c>
    </row>
    <row r="365" spans="1:63" ht="66.75" customHeight="1" x14ac:dyDescent="0.25">
      <c r="A365" s="298" t="s">
        <v>1097</v>
      </c>
      <c r="B365" s="299" t="s">
        <v>1095</v>
      </c>
      <c r="C365" s="1546" t="s">
        <v>1098</v>
      </c>
      <c r="D365" s="1549" t="s">
        <v>1099</v>
      </c>
      <c r="E365" s="1549" t="s">
        <v>1100</v>
      </c>
      <c r="F365" s="1549">
        <v>2015</v>
      </c>
      <c r="G365" s="1549" t="s">
        <v>177</v>
      </c>
      <c r="H365" s="1549">
        <v>80</v>
      </c>
      <c r="I365" s="1425" t="s">
        <v>53</v>
      </c>
      <c r="J365" s="1425"/>
      <c r="K365" s="1425" t="s">
        <v>1101</v>
      </c>
      <c r="L365" s="301" t="s">
        <v>179</v>
      </c>
      <c r="M365" s="1425" t="s">
        <v>1102</v>
      </c>
      <c r="N365" s="476"/>
      <c r="O365" s="1425" t="s">
        <v>47</v>
      </c>
      <c r="P365" s="16" t="s">
        <v>1104</v>
      </c>
      <c r="Q365" s="302" t="s">
        <v>1105</v>
      </c>
      <c r="R365" s="303">
        <v>2015</v>
      </c>
      <c r="S365" s="303">
        <v>0</v>
      </c>
      <c r="T365" s="303">
        <v>1</v>
      </c>
      <c r="U365" s="572">
        <v>1</v>
      </c>
      <c r="V365" s="572">
        <v>1</v>
      </c>
      <c r="W365" s="572">
        <v>1</v>
      </c>
      <c r="X365" s="572">
        <f t="shared" ref="X365:X370" si="234">SUBTOTAL(9,T365:W365)</f>
        <v>4</v>
      </c>
      <c r="Y365" s="481"/>
      <c r="Z365" s="481"/>
      <c r="AA365" s="481"/>
      <c r="AB365" s="481"/>
      <c r="AC365" s="481"/>
      <c r="AD365" s="481">
        <v>22.1</v>
      </c>
      <c r="AE365" s="481"/>
      <c r="AF365" s="481">
        <f t="shared" si="226"/>
        <v>22.1</v>
      </c>
      <c r="AG365" s="548"/>
      <c r="AH365" s="548"/>
      <c r="AI365" s="548"/>
      <c r="AJ365" s="548"/>
      <c r="AK365" s="548"/>
      <c r="AL365" s="548">
        <v>1000</v>
      </c>
      <c r="AM365" s="548">
        <f>SUM(AG365:AL365)</f>
        <v>1000</v>
      </c>
      <c r="AN365" s="481">
        <v>21.4</v>
      </c>
      <c r="AO365" s="481"/>
      <c r="AP365" s="481">
        <v>31</v>
      </c>
      <c r="AQ365" s="481"/>
      <c r="AR365" s="481"/>
      <c r="AS365" s="481"/>
      <c r="AT365" s="481"/>
      <c r="AU365" s="481">
        <f>SUM(AN365:AT365)</f>
        <v>52.4</v>
      </c>
      <c r="AV365" s="548">
        <v>22</v>
      </c>
      <c r="AW365" s="548">
        <v>57</v>
      </c>
      <c r="AX365" s="548">
        <v>32</v>
      </c>
      <c r="AY365" s="548"/>
      <c r="AZ365" s="548"/>
      <c r="BA365" s="548"/>
      <c r="BB365" s="548"/>
      <c r="BC365" s="548">
        <f>SUM(AV365:BB365)</f>
        <v>111</v>
      </c>
      <c r="BD365" s="42">
        <f t="shared" si="203"/>
        <v>43.4</v>
      </c>
      <c r="BE365" s="42">
        <f t="shared" si="203"/>
        <v>57</v>
      </c>
      <c r="BF365" s="42">
        <f t="shared" si="203"/>
        <v>63</v>
      </c>
      <c r="BG365" s="42">
        <f t="shared" si="203"/>
        <v>0</v>
      </c>
      <c r="BH365" s="42">
        <f t="shared" si="203"/>
        <v>0</v>
      </c>
      <c r="BI365" s="42">
        <f t="shared" si="202"/>
        <v>22.1</v>
      </c>
      <c r="BJ365" s="42">
        <f t="shared" si="204"/>
        <v>1000</v>
      </c>
      <c r="BK365" s="42">
        <f t="shared" si="204"/>
        <v>1185.5</v>
      </c>
    </row>
    <row r="366" spans="1:63" ht="64.5" customHeight="1" x14ac:dyDescent="0.25">
      <c r="A366" s="298" t="s">
        <v>1097</v>
      </c>
      <c r="B366" s="299" t="s">
        <v>1095</v>
      </c>
      <c r="C366" s="1547"/>
      <c r="D366" s="1549"/>
      <c r="E366" s="1549"/>
      <c r="F366" s="1549"/>
      <c r="G366" s="1549"/>
      <c r="H366" s="1549"/>
      <c r="I366" s="1425" t="s">
        <v>1106</v>
      </c>
      <c r="J366" s="1425"/>
      <c r="K366" s="1425" t="s">
        <v>1107</v>
      </c>
      <c r="L366" s="301" t="s">
        <v>179</v>
      </c>
      <c r="M366" s="1425" t="s">
        <v>1102</v>
      </c>
      <c r="N366" s="476"/>
      <c r="O366" s="1425" t="s">
        <v>47</v>
      </c>
      <c r="P366" s="16" t="s">
        <v>1108</v>
      </c>
      <c r="Q366" s="302" t="s">
        <v>1109</v>
      </c>
      <c r="R366" s="303">
        <v>2015</v>
      </c>
      <c r="S366" s="303">
        <v>1</v>
      </c>
      <c r="T366" s="303">
        <v>1</v>
      </c>
      <c r="U366" s="572">
        <v>1</v>
      </c>
      <c r="V366" s="572">
        <v>1</v>
      </c>
      <c r="W366" s="572">
        <v>0</v>
      </c>
      <c r="X366" s="572">
        <f t="shared" si="234"/>
        <v>3</v>
      </c>
      <c r="Y366" s="481"/>
      <c r="Z366" s="481">
        <v>50.9</v>
      </c>
      <c r="AA366" s="481"/>
      <c r="AB366" s="481"/>
      <c r="AC366" s="481"/>
      <c r="AD366" s="481">
        <f>17.8+81.1</f>
        <v>98.899999999999991</v>
      </c>
      <c r="AE366" s="481"/>
      <c r="AF366" s="481">
        <f t="shared" si="226"/>
        <v>149.79999999999998</v>
      </c>
      <c r="AG366" s="548"/>
      <c r="AH366" s="548">
        <v>53</v>
      </c>
      <c r="AI366" s="548"/>
      <c r="AJ366" s="548"/>
      <c r="AK366" s="548"/>
      <c r="AL366" s="548"/>
      <c r="AM366" s="548">
        <f t="shared" ref="AM366:AM371" si="235">SUM(AG366:AL366)</f>
        <v>53</v>
      </c>
      <c r="AN366" s="481"/>
      <c r="AO366" s="481">
        <v>54.5</v>
      </c>
      <c r="AP366" s="481"/>
      <c r="AQ366" s="481"/>
      <c r="AR366" s="481"/>
      <c r="AS366" s="481"/>
      <c r="AT366" s="481"/>
      <c r="AU366" s="481">
        <f t="shared" ref="AU366:AU371" si="236">SUM(AN366:AT366)</f>
        <v>54.5</v>
      </c>
      <c r="AV366" s="548"/>
      <c r="AW366" s="548"/>
      <c r="AX366" s="548"/>
      <c r="AY366" s="548"/>
      <c r="AZ366" s="548"/>
      <c r="BA366" s="548"/>
      <c r="BB366" s="548"/>
      <c r="BC366" s="548">
        <f t="shared" ref="BC366:BC371" si="237">SUM(AV366:BB366)</f>
        <v>0</v>
      </c>
      <c r="BD366" s="42">
        <f t="shared" si="203"/>
        <v>0</v>
      </c>
      <c r="BE366" s="42">
        <f t="shared" si="203"/>
        <v>158.4</v>
      </c>
      <c r="BF366" s="42">
        <f t="shared" si="203"/>
        <v>0</v>
      </c>
      <c r="BG366" s="42">
        <f t="shared" si="203"/>
        <v>0</v>
      </c>
      <c r="BH366" s="42">
        <f t="shared" si="203"/>
        <v>0</v>
      </c>
      <c r="BI366" s="42">
        <f t="shared" si="202"/>
        <v>98.899999999999991</v>
      </c>
      <c r="BJ366" s="42">
        <f t="shared" si="204"/>
        <v>0</v>
      </c>
      <c r="BK366" s="42">
        <f t="shared" si="204"/>
        <v>257.29999999999995</v>
      </c>
    </row>
    <row r="367" spans="1:63" ht="54" customHeight="1" x14ac:dyDescent="0.25">
      <c r="A367" s="298" t="s">
        <v>1097</v>
      </c>
      <c r="B367" s="299" t="s">
        <v>1095</v>
      </c>
      <c r="C367" s="1547"/>
      <c r="D367" s="1549"/>
      <c r="E367" s="1549"/>
      <c r="F367" s="1549"/>
      <c r="G367" s="1549"/>
      <c r="H367" s="1549"/>
      <c r="I367" s="1425" t="s">
        <v>53</v>
      </c>
      <c r="J367" s="1425"/>
      <c r="K367" s="1425" t="s">
        <v>1110</v>
      </c>
      <c r="L367" s="301" t="s">
        <v>179</v>
      </c>
      <c r="M367" s="1425" t="s">
        <v>1102</v>
      </c>
      <c r="N367" s="476"/>
      <c r="O367" s="1425" t="s">
        <v>47</v>
      </c>
      <c r="P367" s="16" t="s">
        <v>1111</v>
      </c>
      <c r="Q367" s="302" t="s">
        <v>1112</v>
      </c>
      <c r="R367" s="303">
        <v>2015</v>
      </c>
      <c r="S367" s="303">
        <v>0</v>
      </c>
      <c r="T367" s="303">
        <v>0</v>
      </c>
      <c r="U367" s="572">
        <v>1</v>
      </c>
      <c r="V367" s="572">
        <v>0</v>
      </c>
      <c r="W367" s="572">
        <v>0</v>
      </c>
      <c r="X367" s="572">
        <f t="shared" si="234"/>
        <v>1</v>
      </c>
      <c r="Y367" s="481"/>
      <c r="Z367" s="481"/>
      <c r="AA367" s="481"/>
      <c r="AB367" s="481"/>
      <c r="AC367" s="481"/>
      <c r="AD367" s="481"/>
      <c r="AE367" s="481"/>
      <c r="AF367" s="481">
        <f t="shared" si="226"/>
        <v>0</v>
      </c>
      <c r="AG367" s="548"/>
      <c r="AH367" s="548"/>
      <c r="AI367" s="548"/>
      <c r="AJ367" s="548"/>
      <c r="AK367" s="548"/>
      <c r="AL367" s="548"/>
      <c r="AM367" s="548">
        <f t="shared" si="235"/>
        <v>0</v>
      </c>
      <c r="AN367" s="481"/>
      <c r="AO367" s="481"/>
      <c r="AP367" s="481"/>
      <c r="AQ367" s="481"/>
      <c r="AR367" s="481"/>
      <c r="AS367" s="481"/>
      <c r="AT367" s="481"/>
      <c r="AU367" s="481">
        <f t="shared" si="236"/>
        <v>0</v>
      </c>
      <c r="AV367" s="548"/>
      <c r="AW367" s="548"/>
      <c r="AX367" s="548"/>
      <c r="AY367" s="548"/>
      <c r="AZ367" s="548"/>
      <c r="BA367" s="548"/>
      <c r="BB367" s="548"/>
      <c r="BC367" s="548">
        <f t="shared" si="237"/>
        <v>0</v>
      </c>
      <c r="BD367" s="42">
        <f t="shared" si="203"/>
        <v>0</v>
      </c>
      <c r="BE367" s="42">
        <f t="shared" si="203"/>
        <v>0</v>
      </c>
      <c r="BF367" s="42">
        <f t="shared" si="203"/>
        <v>0</v>
      </c>
      <c r="BG367" s="42">
        <f t="shared" si="203"/>
        <v>0</v>
      </c>
      <c r="BH367" s="42">
        <f t="shared" si="203"/>
        <v>0</v>
      </c>
      <c r="BI367" s="42">
        <f t="shared" si="202"/>
        <v>0</v>
      </c>
      <c r="BJ367" s="42">
        <f t="shared" si="204"/>
        <v>0</v>
      </c>
      <c r="BK367" s="42">
        <f t="shared" si="204"/>
        <v>0</v>
      </c>
    </row>
    <row r="368" spans="1:63" ht="54.75" customHeight="1" x14ac:dyDescent="0.25">
      <c r="A368" s="298" t="s">
        <v>1097</v>
      </c>
      <c r="B368" s="299" t="s">
        <v>1095</v>
      </c>
      <c r="C368" s="1547"/>
      <c r="D368" s="1549"/>
      <c r="E368" s="1549"/>
      <c r="F368" s="1549"/>
      <c r="G368" s="1549"/>
      <c r="H368" s="1549"/>
      <c r="I368" s="1425" t="s">
        <v>53</v>
      </c>
      <c r="J368" s="1425"/>
      <c r="K368" s="1425" t="s">
        <v>1113</v>
      </c>
      <c r="L368" s="301" t="s">
        <v>179</v>
      </c>
      <c r="M368" s="1425" t="s">
        <v>1102</v>
      </c>
      <c r="N368" s="476"/>
      <c r="O368" s="1425" t="s">
        <v>47</v>
      </c>
      <c r="P368" s="16" t="s">
        <v>1114</v>
      </c>
      <c r="Q368" s="302" t="s">
        <v>1115</v>
      </c>
      <c r="R368" s="303">
        <v>2015</v>
      </c>
      <c r="S368" s="303">
        <v>0</v>
      </c>
      <c r="T368" s="303">
        <v>1</v>
      </c>
      <c r="U368" s="572">
        <v>0</v>
      </c>
      <c r="V368" s="572">
        <v>0</v>
      </c>
      <c r="W368" s="572">
        <v>0</v>
      </c>
      <c r="X368" s="572">
        <f t="shared" si="234"/>
        <v>1</v>
      </c>
      <c r="Y368" s="481">
        <v>20</v>
      </c>
      <c r="Z368" s="481"/>
      <c r="AA368" s="481"/>
      <c r="AB368" s="481"/>
      <c r="AC368" s="481"/>
      <c r="AD368" s="481">
        <v>5</v>
      </c>
      <c r="AE368" s="481"/>
      <c r="AF368" s="481">
        <f t="shared" si="226"/>
        <v>25</v>
      </c>
      <c r="AG368" s="548"/>
      <c r="AH368" s="548"/>
      <c r="AI368" s="548"/>
      <c r="AJ368" s="548"/>
      <c r="AK368" s="548"/>
      <c r="AL368" s="548"/>
      <c r="AM368" s="548">
        <f t="shared" si="235"/>
        <v>0</v>
      </c>
      <c r="AN368" s="481"/>
      <c r="AO368" s="481"/>
      <c r="AP368" s="481"/>
      <c r="AQ368" s="481"/>
      <c r="AR368" s="481"/>
      <c r="AS368" s="481"/>
      <c r="AT368" s="481"/>
      <c r="AU368" s="481">
        <f t="shared" si="236"/>
        <v>0</v>
      </c>
      <c r="AV368" s="548"/>
      <c r="AW368" s="548"/>
      <c r="AX368" s="548"/>
      <c r="AY368" s="548"/>
      <c r="AZ368" s="548"/>
      <c r="BA368" s="548"/>
      <c r="BB368" s="548"/>
      <c r="BC368" s="548">
        <f t="shared" si="237"/>
        <v>0</v>
      </c>
      <c r="BD368" s="42">
        <f t="shared" si="203"/>
        <v>20</v>
      </c>
      <c r="BE368" s="42">
        <f t="shared" si="203"/>
        <v>0</v>
      </c>
      <c r="BF368" s="42">
        <f t="shared" si="203"/>
        <v>0</v>
      </c>
      <c r="BG368" s="42">
        <f t="shared" si="203"/>
        <v>0</v>
      </c>
      <c r="BH368" s="42">
        <f t="shared" si="203"/>
        <v>0</v>
      </c>
      <c r="BI368" s="42">
        <f t="shared" si="202"/>
        <v>5</v>
      </c>
      <c r="BJ368" s="42">
        <f t="shared" si="204"/>
        <v>0</v>
      </c>
      <c r="BK368" s="42">
        <f t="shared" si="204"/>
        <v>25</v>
      </c>
    </row>
    <row r="369" spans="1:63" ht="80.25" customHeight="1" x14ac:dyDescent="0.25">
      <c r="A369" s="298" t="s">
        <v>1097</v>
      </c>
      <c r="B369" s="299" t="s">
        <v>1095</v>
      </c>
      <c r="C369" s="1547"/>
      <c r="D369" s="1549"/>
      <c r="E369" s="1549"/>
      <c r="F369" s="1549"/>
      <c r="G369" s="1549"/>
      <c r="H369" s="1549"/>
      <c r="I369" s="1425" t="s">
        <v>53</v>
      </c>
      <c r="J369" s="1425"/>
      <c r="K369" s="1425" t="s">
        <v>1116</v>
      </c>
      <c r="L369" s="301" t="s">
        <v>179</v>
      </c>
      <c r="M369" s="1425" t="s">
        <v>1102</v>
      </c>
      <c r="N369" s="476"/>
      <c r="O369" s="1425" t="s">
        <v>47</v>
      </c>
      <c r="P369" s="16" t="s">
        <v>1117</v>
      </c>
      <c r="Q369" s="302" t="s">
        <v>1118</v>
      </c>
      <c r="R369" s="303">
        <v>2015</v>
      </c>
      <c r="S369" s="303">
        <v>0</v>
      </c>
      <c r="T369" s="303">
        <v>0</v>
      </c>
      <c r="U369" s="572">
        <v>1</v>
      </c>
      <c r="V369" s="572">
        <v>0</v>
      </c>
      <c r="W369" s="572">
        <v>0</v>
      </c>
      <c r="X369" s="572">
        <f t="shared" si="234"/>
        <v>1</v>
      </c>
      <c r="Y369" s="481"/>
      <c r="Z369" s="481"/>
      <c r="AA369" s="481"/>
      <c r="AB369" s="481"/>
      <c r="AC369" s="481"/>
      <c r="AD369" s="481"/>
      <c r="AE369" s="481"/>
      <c r="AF369" s="481">
        <f t="shared" si="226"/>
        <v>0</v>
      </c>
      <c r="AG369" s="548">
        <v>20</v>
      </c>
      <c r="AH369" s="548"/>
      <c r="AI369" s="548"/>
      <c r="AJ369" s="548"/>
      <c r="AK369" s="548"/>
      <c r="AL369" s="548">
        <v>500</v>
      </c>
      <c r="AM369" s="548">
        <f t="shared" si="235"/>
        <v>520</v>
      </c>
      <c r="AN369" s="481"/>
      <c r="AO369" s="481"/>
      <c r="AP369" s="481"/>
      <c r="AQ369" s="481"/>
      <c r="AR369" s="481"/>
      <c r="AS369" s="481"/>
      <c r="AT369" s="481"/>
      <c r="AU369" s="481">
        <f t="shared" si="236"/>
        <v>0</v>
      </c>
      <c r="AV369" s="548"/>
      <c r="AW369" s="548"/>
      <c r="AX369" s="548"/>
      <c r="AY369" s="548"/>
      <c r="AZ369" s="548"/>
      <c r="BA369" s="548"/>
      <c r="BB369" s="548"/>
      <c r="BC369" s="548">
        <f t="shared" si="237"/>
        <v>0</v>
      </c>
      <c r="BD369" s="42">
        <f t="shared" si="203"/>
        <v>20</v>
      </c>
      <c r="BE369" s="42">
        <f t="shared" si="203"/>
        <v>0</v>
      </c>
      <c r="BF369" s="42">
        <f t="shared" si="203"/>
        <v>0</v>
      </c>
      <c r="BG369" s="42">
        <f t="shared" si="203"/>
        <v>0</v>
      </c>
      <c r="BH369" s="42">
        <f t="shared" si="203"/>
        <v>0</v>
      </c>
      <c r="BI369" s="42">
        <f t="shared" si="202"/>
        <v>0</v>
      </c>
      <c r="BJ369" s="42">
        <f t="shared" si="204"/>
        <v>500</v>
      </c>
      <c r="BK369" s="42">
        <f t="shared" si="204"/>
        <v>520</v>
      </c>
    </row>
    <row r="370" spans="1:63" ht="91.5" customHeight="1" x14ac:dyDescent="0.25">
      <c r="A370" s="298" t="s">
        <v>1097</v>
      </c>
      <c r="B370" s="299" t="s">
        <v>1095</v>
      </c>
      <c r="C370" s="1547"/>
      <c r="D370" s="1549"/>
      <c r="E370" s="1549"/>
      <c r="F370" s="1549"/>
      <c r="G370" s="1549"/>
      <c r="H370" s="1549"/>
      <c r="I370" s="1425"/>
      <c r="J370" s="1425"/>
      <c r="K370" s="1425" t="s">
        <v>1119</v>
      </c>
      <c r="L370" s="301" t="s">
        <v>179</v>
      </c>
      <c r="M370" s="1425" t="s">
        <v>1102</v>
      </c>
      <c r="N370" s="476"/>
      <c r="O370" s="1425" t="s">
        <v>47</v>
      </c>
      <c r="P370" s="16" t="s">
        <v>1120</v>
      </c>
      <c r="Q370" s="302" t="s">
        <v>1121</v>
      </c>
      <c r="R370" s="303">
        <v>2015</v>
      </c>
      <c r="S370" s="303">
        <v>0</v>
      </c>
      <c r="T370" s="303">
        <v>1</v>
      </c>
      <c r="U370" s="572">
        <v>0</v>
      </c>
      <c r="V370" s="572">
        <v>0</v>
      </c>
      <c r="W370" s="572">
        <v>0</v>
      </c>
      <c r="X370" s="572">
        <f t="shared" si="234"/>
        <v>1</v>
      </c>
      <c r="Y370" s="481"/>
      <c r="Z370" s="481"/>
      <c r="AA370" s="481">
        <v>29</v>
      </c>
      <c r="AB370" s="481"/>
      <c r="AC370" s="481"/>
      <c r="AD370" s="481"/>
      <c r="AE370" s="481">
        <v>850</v>
      </c>
      <c r="AF370" s="481">
        <f t="shared" si="226"/>
        <v>879</v>
      </c>
      <c r="AG370" s="548"/>
      <c r="AH370" s="548"/>
      <c r="AI370" s="548"/>
      <c r="AJ370" s="548"/>
      <c r="AK370" s="548"/>
      <c r="AL370" s="548"/>
      <c r="AM370" s="548">
        <f t="shared" si="235"/>
        <v>0</v>
      </c>
      <c r="AN370" s="481"/>
      <c r="AO370" s="481"/>
      <c r="AP370" s="481"/>
      <c r="AQ370" s="481"/>
      <c r="AR370" s="481"/>
      <c r="AS370" s="481"/>
      <c r="AT370" s="481"/>
      <c r="AU370" s="481">
        <f t="shared" si="236"/>
        <v>0</v>
      </c>
      <c r="AV370" s="548"/>
      <c r="AW370" s="548"/>
      <c r="AX370" s="548"/>
      <c r="AY370" s="548"/>
      <c r="AZ370" s="548"/>
      <c r="BA370" s="548"/>
      <c r="BB370" s="548"/>
      <c r="BC370" s="548">
        <f t="shared" si="237"/>
        <v>0</v>
      </c>
      <c r="BD370" s="42">
        <f t="shared" si="203"/>
        <v>0</v>
      </c>
      <c r="BE370" s="42">
        <f t="shared" si="203"/>
        <v>0</v>
      </c>
      <c r="BF370" s="42">
        <f t="shared" si="203"/>
        <v>29</v>
      </c>
      <c r="BG370" s="42">
        <f t="shared" si="203"/>
        <v>0</v>
      </c>
      <c r="BH370" s="42">
        <f t="shared" si="203"/>
        <v>0</v>
      </c>
      <c r="BI370" s="42">
        <f t="shared" si="202"/>
        <v>0</v>
      </c>
      <c r="BJ370" s="42">
        <f t="shared" si="204"/>
        <v>850</v>
      </c>
      <c r="BK370" s="42">
        <f t="shared" si="204"/>
        <v>879</v>
      </c>
    </row>
    <row r="371" spans="1:63" ht="83.25" customHeight="1" x14ac:dyDescent="0.25">
      <c r="A371" s="298" t="s">
        <v>1097</v>
      </c>
      <c r="B371" s="299" t="s">
        <v>1095</v>
      </c>
      <c r="C371" s="1547"/>
      <c r="D371" s="1549"/>
      <c r="E371" s="1549"/>
      <c r="F371" s="1549"/>
      <c r="G371" s="1549"/>
      <c r="H371" s="1549"/>
      <c r="I371" s="1425"/>
      <c r="J371" s="1425"/>
      <c r="K371" s="1425" t="s">
        <v>1122</v>
      </c>
      <c r="L371" s="301" t="s">
        <v>179</v>
      </c>
      <c r="M371" s="1425" t="s">
        <v>1102</v>
      </c>
      <c r="N371" s="476"/>
      <c r="O371" s="1425" t="s">
        <v>47</v>
      </c>
      <c r="P371" s="16" t="s">
        <v>1123</v>
      </c>
      <c r="Q371" s="302" t="s">
        <v>1124</v>
      </c>
      <c r="R371" s="303">
        <v>2015</v>
      </c>
      <c r="S371" s="303">
        <v>0</v>
      </c>
      <c r="T371" s="303">
        <v>0</v>
      </c>
      <c r="U371" s="572">
        <v>2</v>
      </c>
      <c r="V371" s="572">
        <v>2</v>
      </c>
      <c r="W371" s="572">
        <v>2</v>
      </c>
      <c r="X371" s="572">
        <v>6</v>
      </c>
      <c r="Y371" s="481"/>
      <c r="Z371" s="481"/>
      <c r="AA371" s="481"/>
      <c r="AB371" s="481"/>
      <c r="AC371" s="481"/>
      <c r="AD371" s="481"/>
      <c r="AE371" s="481"/>
      <c r="AF371" s="481">
        <f t="shared" si="226"/>
        <v>0</v>
      </c>
      <c r="AG371" s="548"/>
      <c r="AH371" s="548"/>
      <c r="AI371" s="548"/>
      <c r="AJ371" s="548"/>
      <c r="AK371" s="548"/>
      <c r="AL371" s="548"/>
      <c r="AM371" s="548">
        <f t="shared" si="235"/>
        <v>0</v>
      </c>
      <c r="AN371" s="481"/>
      <c r="AO371" s="481"/>
      <c r="AP371" s="481"/>
      <c r="AQ371" s="481"/>
      <c r="AR371" s="481"/>
      <c r="AS371" s="481"/>
      <c r="AT371" s="481"/>
      <c r="AU371" s="481">
        <f t="shared" si="236"/>
        <v>0</v>
      </c>
      <c r="AV371" s="548"/>
      <c r="AW371" s="548"/>
      <c r="AX371" s="548"/>
      <c r="AY371" s="548"/>
      <c r="AZ371" s="548"/>
      <c r="BA371" s="548"/>
      <c r="BB371" s="548"/>
      <c r="BC371" s="548">
        <f t="shared" si="237"/>
        <v>0</v>
      </c>
      <c r="BD371" s="42">
        <f>+AV371+AN371+AG371+Y371</f>
        <v>0</v>
      </c>
      <c r="BE371" s="42">
        <f>+AW371+AO371+AH371+Z371</f>
        <v>0</v>
      </c>
      <c r="BF371" s="42">
        <f>+AX371+AP371+AI371+AA371</f>
        <v>0</v>
      </c>
      <c r="BG371" s="42">
        <f>+AY371+AQ371+AJ371+AB371</f>
        <v>0</v>
      </c>
      <c r="BH371" s="42">
        <f>+AZ371+AR371+AK371+AC371</f>
        <v>0</v>
      </c>
      <c r="BI371" s="42">
        <f>+AD371+AS371+BA371</f>
        <v>0</v>
      </c>
      <c r="BJ371" s="42">
        <f t="shared" si="204"/>
        <v>0</v>
      </c>
      <c r="BK371" s="42">
        <f t="shared" si="204"/>
        <v>0</v>
      </c>
    </row>
    <row r="372" spans="1:63" ht="41.25" customHeight="1" x14ac:dyDescent="0.25">
      <c r="A372" s="298" t="s">
        <v>1097</v>
      </c>
      <c r="B372" s="299" t="s">
        <v>1095</v>
      </c>
      <c r="C372" s="1547"/>
      <c r="D372" s="1549"/>
      <c r="E372" s="1549"/>
      <c r="F372" s="1549"/>
      <c r="G372" s="1549"/>
      <c r="H372" s="1549"/>
      <c r="I372" s="1425"/>
      <c r="J372" s="1425"/>
      <c r="K372" s="1425" t="s">
        <v>1125</v>
      </c>
      <c r="L372" s="301" t="s">
        <v>179</v>
      </c>
      <c r="M372" s="1425" t="s">
        <v>1102</v>
      </c>
      <c r="N372" s="476"/>
      <c r="O372" s="1425" t="s">
        <v>47</v>
      </c>
      <c r="P372" s="16" t="s">
        <v>1127</v>
      </c>
      <c r="Q372" s="302" t="s">
        <v>1128</v>
      </c>
      <c r="R372" s="303">
        <v>2015</v>
      </c>
      <c r="S372" s="303">
        <v>0</v>
      </c>
      <c r="T372" s="303">
        <v>0</v>
      </c>
      <c r="U372" s="572">
        <v>1</v>
      </c>
      <c r="V372" s="572">
        <v>0</v>
      </c>
      <c r="W372" s="572">
        <v>0</v>
      </c>
      <c r="X372" s="572">
        <f>SUBTOTAL(9,T372:W372)</f>
        <v>1</v>
      </c>
      <c r="Y372" s="481"/>
      <c r="Z372" s="481"/>
      <c r="AA372" s="481"/>
      <c r="AB372" s="481"/>
      <c r="AC372" s="481"/>
      <c r="AD372" s="481"/>
      <c r="AE372" s="481"/>
      <c r="AF372" s="481">
        <f>SUM(Y372:AE372)</f>
        <v>0</v>
      </c>
      <c r="AG372" s="548"/>
      <c r="AH372" s="548"/>
      <c r="AI372" s="548">
        <v>30</v>
      </c>
      <c r="AJ372" s="548"/>
      <c r="AK372" s="548"/>
      <c r="AL372" s="548"/>
      <c r="AM372" s="548">
        <f>SUM(AG372:AL372)</f>
        <v>30</v>
      </c>
      <c r="AN372" s="481"/>
      <c r="AO372" s="481"/>
      <c r="AP372" s="481"/>
      <c r="AQ372" s="481"/>
      <c r="AR372" s="481"/>
      <c r="AS372" s="481"/>
      <c r="AT372" s="481"/>
      <c r="AU372" s="481">
        <f>SUM(AN372:AT372)</f>
        <v>0</v>
      </c>
      <c r="AV372" s="548"/>
      <c r="AW372" s="548"/>
      <c r="AX372" s="548"/>
      <c r="AY372" s="548"/>
      <c r="AZ372" s="548"/>
      <c r="BA372" s="548"/>
      <c r="BB372" s="548"/>
      <c r="BC372" s="548">
        <f>SUM(AV372:BB372)</f>
        <v>0</v>
      </c>
      <c r="BD372" s="42">
        <f t="shared" ref="BD372:BH373" si="238">+AV372+AN372+AG372+Y372</f>
        <v>0</v>
      </c>
      <c r="BE372" s="42">
        <f t="shared" si="238"/>
        <v>0</v>
      </c>
      <c r="BF372" s="42">
        <f t="shared" si="238"/>
        <v>30</v>
      </c>
      <c r="BG372" s="42">
        <f t="shared" si="238"/>
        <v>0</v>
      </c>
      <c r="BH372" s="42">
        <f t="shared" si="238"/>
        <v>0</v>
      </c>
      <c r="BI372" s="42">
        <f>+AD372+AS372+BA372</f>
        <v>0</v>
      </c>
      <c r="BJ372" s="42">
        <f t="shared" si="204"/>
        <v>0</v>
      </c>
      <c r="BK372" s="42">
        <f t="shared" si="204"/>
        <v>30</v>
      </c>
    </row>
    <row r="373" spans="1:63" ht="51" customHeight="1" x14ac:dyDescent="0.25">
      <c r="A373" s="298" t="s">
        <v>1097</v>
      </c>
      <c r="B373" s="299" t="s">
        <v>1095</v>
      </c>
      <c r="C373" s="1548"/>
      <c r="D373" s="1549"/>
      <c r="E373" s="1549"/>
      <c r="F373" s="1549"/>
      <c r="G373" s="1549"/>
      <c r="H373" s="1549"/>
      <c r="I373" s="1425"/>
      <c r="J373" s="1425"/>
      <c r="K373" s="1425" t="s">
        <v>1129</v>
      </c>
      <c r="L373" s="301" t="s">
        <v>179</v>
      </c>
      <c r="M373" s="1425" t="s">
        <v>1102</v>
      </c>
      <c r="N373" s="476"/>
      <c r="O373" s="1425" t="s">
        <v>47</v>
      </c>
      <c r="P373" s="16" t="s">
        <v>1130</v>
      </c>
      <c r="Q373" s="302" t="s">
        <v>1131</v>
      </c>
      <c r="R373" s="303">
        <v>2015</v>
      </c>
      <c r="S373" s="303">
        <v>0</v>
      </c>
      <c r="T373" s="303">
        <v>0</v>
      </c>
      <c r="U373" s="572">
        <v>1</v>
      </c>
      <c r="V373" s="572">
        <v>0</v>
      </c>
      <c r="W373" s="572">
        <v>0</v>
      </c>
      <c r="X373" s="572">
        <v>1</v>
      </c>
      <c r="Y373" s="481"/>
      <c r="Z373" s="481"/>
      <c r="AA373" s="481"/>
      <c r="AB373" s="481"/>
      <c r="AC373" s="481"/>
      <c r="AD373" s="481"/>
      <c r="AE373" s="481"/>
      <c r="AF373" s="481">
        <f>SUM(Y373:AE373)</f>
        <v>0</v>
      </c>
      <c r="AG373" s="548"/>
      <c r="AH373" s="548"/>
      <c r="AI373" s="548"/>
      <c r="AJ373" s="548"/>
      <c r="AK373" s="548"/>
      <c r="AL373" s="548"/>
      <c r="AM373" s="548">
        <f>SUM(AG373:AL373)</f>
        <v>0</v>
      </c>
      <c r="AN373" s="481"/>
      <c r="AO373" s="481"/>
      <c r="AP373" s="481"/>
      <c r="AQ373" s="481"/>
      <c r="AR373" s="481"/>
      <c r="AS373" s="481"/>
      <c r="AT373" s="481"/>
      <c r="AU373" s="481">
        <f>SUM(AN373:AT373)</f>
        <v>0</v>
      </c>
      <c r="AV373" s="548"/>
      <c r="AW373" s="548"/>
      <c r="AX373" s="548"/>
      <c r="AY373" s="548"/>
      <c r="AZ373" s="548"/>
      <c r="BA373" s="548"/>
      <c r="BB373" s="548"/>
      <c r="BC373" s="548">
        <f>SUM(AV373:BB373)</f>
        <v>0</v>
      </c>
      <c r="BD373" s="42">
        <f t="shared" si="238"/>
        <v>0</v>
      </c>
      <c r="BE373" s="42">
        <f t="shared" si="238"/>
        <v>0</v>
      </c>
      <c r="BF373" s="42">
        <f t="shared" si="238"/>
        <v>0</v>
      </c>
      <c r="BG373" s="42">
        <f t="shared" si="238"/>
        <v>0</v>
      </c>
      <c r="BH373" s="42">
        <f t="shared" si="238"/>
        <v>0</v>
      </c>
      <c r="BI373" s="42">
        <f>+AD373+AS373+BA373</f>
        <v>0</v>
      </c>
      <c r="BJ373" s="42">
        <f t="shared" si="204"/>
        <v>0</v>
      </c>
      <c r="BK373" s="42">
        <f t="shared" si="204"/>
        <v>0</v>
      </c>
    </row>
    <row r="374" spans="1:63" ht="3" customHeight="1" x14ac:dyDescent="0.25">
      <c r="A374" s="151"/>
      <c r="B374" s="19" t="s">
        <v>1132</v>
      </c>
      <c r="C374" s="19"/>
      <c r="D374" s="1442"/>
      <c r="E374" s="1442"/>
      <c r="F374" s="1442"/>
      <c r="G374" s="1442"/>
      <c r="H374" s="1442"/>
      <c r="I374" s="1442"/>
      <c r="J374" s="1442"/>
      <c r="K374" s="1442"/>
      <c r="L374" s="1442"/>
      <c r="M374" s="1442"/>
      <c r="N374" s="11"/>
      <c r="O374" s="1442"/>
      <c r="P374" s="1440"/>
      <c r="Q374" s="1440"/>
      <c r="R374" s="1442"/>
      <c r="S374" s="1442"/>
      <c r="T374" s="1442"/>
      <c r="U374" s="63"/>
      <c r="V374" s="63"/>
      <c r="W374" s="63"/>
      <c r="X374" s="63"/>
      <c r="Y374" s="42">
        <v>259.5</v>
      </c>
      <c r="Z374" s="42"/>
      <c r="AA374" s="42">
        <v>439</v>
      </c>
      <c r="AB374" s="42"/>
      <c r="AC374" s="42"/>
      <c r="AD374" s="42">
        <v>23.7</v>
      </c>
      <c r="AE374" s="42"/>
      <c r="AF374" s="42">
        <f>SUBTOTAL(9,Y374:AE374)</f>
        <v>722.2</v>
      </c>
      <c r="AG374" s="42">
        <f>+Y374*1.04</f>
        <v>269.88</v>
      </c>
      <c r="AH374" s="42"/>
      <c r="AI374" s="42">
        <f>+AA374*1.04</f>
        <v>456.56</v>
      </c>
      <c r="AJ374" s="42"/>
      <c r="AK374" s="42"/>
      <c r="AL374" s="42"/>
      <c r="AM374" s="42"/>
      <c r="AN374" s="42">
        <f>+AG374*1.04</f>
        <v>280.67520000000002</v>
      </c>
      <c r="AO374" s="42"/>
      <c r="AP374" s="42">
        <f>+AI374*1.04</f>
        <v>474.82240000000002</v>
      </c>
      <c r="AQ374" s="42"/>
      <c r="AR374" s="42"/>
      <c r="AS374" s="42"/>
      <c r="AT374" s="42"/>
      <c r="AU374" s="42"/>
      <c r="AV374" s="42">
        <f>+AN374*1.04</f>
        <v>291.90220800000003</v>
      </c>
      <c r="AW374" s="42"/>
      <c r="AX374" s="42">
        <f>+AP374*1.04</f>
        <v>493.81529600000005</v>
      </c>
      <c r="AY374" s="42"/>
      <c r="AZ374" s="42"/>
      <c r="BA374" s="42"/>
      <c r="BB374" s="42"/>
      <c r="BC374" s="42"/>
      <c r="BD374" s="42">
        <f t="shared" si="203"/>
        <v>1101.9574080000002</v>
      </c>
      <c r="BE374" s="42">
        <f t="shared" si="203"/>
        <v>0</v>
      </c>
      <c r="BF374" s="42">
        <f t="shared" si="203"/>
        <v>1864.197696</v>
      </c>
      <c r="BG374" s="42">
        <f t="shared" si="203"/>
        <v>0</v>
      </c>
      <c r="BH374" s="42">
        <f t="shared" si="203"/>
        <v>0</v>
      </c>
      <c r="BI374" s="42">
        <f t="shared" si="202"/>
        <v>23.7</v>
      </c>
      <c r="BJ374" s="42">
        <f t="shared" si="204"/>
        <v>0</v>
      </c>
      <c r="BK374" s="42">
        <f t="shared" si="204"/>
        <v>722.2</v>
      </c>
    </row>
    <row r="375" spans="1:63" ht="22.8" x14ac:dyDescent="0.25">
      <c r="A375" s="420"/>
      <c r="B375" s="1568" t="s">
        <v>1133</v>
      </c>
      <c r="C375" s="1569"/>
      <c r="D375" s="1569"/>
      <c r="E375" s="1569"/>
      <c r="F375" s="1569"/>
      <c r="G375" s="1569"/>
      <c r="H375" s="1569"/>
      <c r="I375" s="1569"/>
      <c r="J375" s="1569"/>
      <c r="K375" s="1569"/>
      <c r="L375" s="1569"/>
      <c r="M375" s="1570"/>
      <c r="N375" s="597"/>
      <c r="O375" s="597"/>
      <c r="P375" s="598"/>
      <c r="Q375" s="598"/>
      <c r="R375" s="597"/>
      <c r="S375" s="597"/>
      <c r="T375" s="597"/>
      <c r="U375" s="599"/>
      <c r="V375" s="599"/>
      <c r="W375" s="599"/>
      <c r="X375" s="599"/>
      <c r="Y375" s="600">
        <f>+Y376</f>
        <v>259.5</v>
      </c>
      <c r="Z375" s="600">
        <f t="shared" ref="Z375:BK375" si="239">+Z376</f>
        <v>0</v>
      </c>
      <c r="AA375" s="600">
        <f t="shared" si="239"/>
        <v>439.6</v>
      </c>
      <c r="AB375" s="600">
        <f t="shared" si="239"/>
        <v>0</v>
      </c>
      <c r="AC375" s="600">
        <f t="shared" si="239"/>
        <v>0</v>
      </c>
      <c r="AD375" s="600">
        <f t="shared" si="239"/>
        <v>23.7</v>
      </c>
      <c r="AE375" s="600">
        <f t="shared" si="239"/>
        <v>0</v>
      </c>
      <c r="AF375" s="600">
        <f t="shared" si="239"/>
        <v>722.80000000000007</v>
      </c>
      <c r="AG375" s="600">
        <f t="shared" si="239"/>
        <v>269</v>
      </c>
      <c r="AH375" s="600">
        <f t="shared" si="239"/>
        <v>0</v>
      </c>
      <c r="AI375" s="600">
        <f t="shared" si="239"/>
        <v>456</v>
      </c>
      <c r="AJ375" s="600">
        <f t="shared" si="239"/>
        <v>0</v>
      </c>
      <c r="AK375" s="600">
        <f t="shared" si="239"/>
        <v>0</v>
      </c>
      <c r="AL375" s="600">
        <f t="shared" si="239"/>
        <v>300</v>
      </c>
      <c r="AM375" s="600">
        <f t="shared" si="239"/>
        <v>1025</v>
      </c>
      <c r="AN375" s="600">
        <f t="shared" si="239"/>
        <v>280</v>
      </c>
      <c r="AO375" s="600">
        <f t="shared" si="239"/>
        <v>0</v>
      </c>
      <c r="AP375" s="600">
        <f t="shared" si="239"/>
        <v>474</v>
      </c>
      <c r="AQ375" s="600">
        <f t="shared" si="239"/>
        <v>0</v>
      </c>
      <c r="AR375" s="600">
        <f t="shared" si="239"/>
        <v>0</v>
      </c>
      <c r="AS375" s="600">
        <f t="shared" si="239"/>
        <v>0</v>
      </c>
      <c r="AT375" s="600">
        <f t="shared" si="239"/>
        <v>0</v>
      </c>
      <c r="AU375" s="600">
        <f t="shared" si="239"/>
        <v>754</v>
      </c>
      <c r="AV375" s="600">
        <f t="shared" si="239"/>
        <v>280</v>
      </c>
      <c r="AW375" s="600">
        <f t="shared" si="239"/>
        <v>0</v>
      </c>
      <c r="AX375" s="600">
        <f t="shared" si="239"/>
        <v>493</v>
      </c>
      <c r="AY375" s="600">
        <f t="shared" si="239"/>
        <v>0</v>
      </c>
      <c r="AZ375" s="600">
        <f t="shared" si="239"/>
        <v>0</v>
      </c>
      <c r="BA375" s="600">
        <f t="shared" si="239"/>
        <v>0</v>
      </c>
      <c r="BB375" s="600">
        <f t="shared" si="239"/>
        <v>0</v>
      </c>
      <c r="BC375" s="600">
        <f t="shared" si="239"/>
        <v>773</v>
      </c>
      <c r="BD375" s="33">
        <f t="shared" si="239"/>
        <v>1088.5</v>
      </c>
      <c r="BE375" s="33">
        <f t="shared" si="239"/>
        <v>0</v>
      </c>
      <c r="BF375" s="33">
        <f t="shared" si="239"/>
        <v>1862.6</v>
      </c>
      <c r="BG375" s="33">
        <f t="shared" si="239"/>
        <v>0</v>
      </c>
      <c r="BH375" s="33">
        <f t="shared" si="239"/>
        <v>0</v>
      </c>
      <c r="BI375" s="33">
        <f t="shared" si="202"/>
        <v>23.7</v>
      </c>
      <c r="BJ375" s="33">
        <f t="shared" si="239"/>
        <v>300</v>
      </c>
      <c r="BK375" s="33">
        <f t="shared" si="239"/>
        <v>3274.8</v>
      </c>
    </row>
    <row r="376" spans="1:63" x14ac:dyDescent="0.25">
      <c r="A376" s="603"/>
      <c r="B376" s="155" t="s">
        <v>1132</v>
      </c>
      <c r="C376" s="155"/>
      <c r="D376" s="2" t="s">
        <v>1134</v>
      </c>
      <c r="E376" s="1"/>
      <c r="F376" s="1"/>
      <c r="G376" s="1"/>
      <c r="H376" s="1"/>
      <c r="I376" s="1"/>
      <c r="J376" s="1"/>
      <c r="K376" s="1"/>
      <c r="L376" s="1"/>
      <c r="M376" s="1"/>
      <c r="N376" s="1"/>
      <c r="O376" s="1"/>
      <c r="P376" s="22"/>
      <c r="Q376" s="22"/>
      <c r="R376" s="1"/>
      <c r="S376" s="1"/>
      <c r="T376" s="1"/>
      <c r="U376" s="49"/>
      <c r="V376" s="49"/>
      <c r="W376" s="49"/>
      <c r="X376" s="49"/>
      <c r="Y376" s="34">
        <f t="shared" ref="Y376:AE376" si="240">SUM(Y377:Y401)</f>
        <v>259.5</v>
      </c>
      <c r="Z376" s="34">
        <f t="shared" si="240"/>
        <v>0</v>
      </c>
      <c r="AA376" s="34">
        <f t="shared" si="240"/>
        <v>439.6</v>
      </c>
      <c r="AB376" s="34">
        <f t="shared" si="240"/>
        <v>0</v>
      </c>
      <c r="AC376" s="34">
        <f t="shared" si="240"/>
        <v>0</v>
      </c>
      <c r="AD376" s="34">
        <f t="shared" si="240"/>
        <v>23.7</v>
      </c>
      <c r="AE376" s="34">
        <f t="shared" si="240"/>
        <v>0</v>
      </c>
      <c r="AF376" s="34">
        <f t="shared" ref="AF376:AF382" si="241">SUM(Y376:AE376)</f>
        <v>722.80000000000007</v>
      </c>
      <c r="AG376" s="34">
        <f t="shared" ref="AG376:AL376" si="242">SUM(AG377:AG401)</f>
        <v>269</v>
      </c>
      <c r="AH376" s="34">
        <f t="shared" si="242"/>
        <v>0</v>
      </c>
      <c r="AI376" s="34">
        <f t="shared" si="242"/>
        <v>456</v>
      </c>
      <c r="AJ376" s="34">
        <f t="shared" si="242"/>
        <v>0</v>
      </c>
      <c r="AK376" s="34">
        <f t="shared" si="242"/>
        <v>0</v>
      </c>
      <c r="AL376" s="34">
        <f t="shared" si="242"/>
        <v>300</v>
      </c>
      <c r="AM376" s="34">
        <f t="shared" ref="AM376:AM382" si="243">SUM(AG376:AL376)</f>
        <v>1025</v>
      </c>
      <c r="AN376" s="34">
        <f t="shared" ref="AN376:AT376" si="244">SUM(AN377:AN401)</f>
        <v>280</v>
      </c>
      <c r="AO376" s="34">
        <f t="shared" si="244"/>
        <v>0</v>
      </c>
      <c r="AP376" s="34">
        <f t="shared" si="244"/>
        <v>474</v>
      </c>
      <c r="AQ376" s="34">
        <f t="shared" si="244"/>
        <v>0</v>
      </c>
      <c r="AR376" s="34">
        <f t="shared" si="244"/>
        <v>0</v>
      </c>
      <c r="AS376" s="34">
        <f t="shared" si="244"/>
        <v>0</v>
      </c>
      <c r="AT376" s="34">
        <f t="shared" si="244"/>
        <v>0</v>
      </c>
      <c r="AU376" s="34">
        <f t="shared" ref="AU376:AU382" si="245">SUM(AN376:AT376)</f>
        <v>754</v>
      </c>
      <c r="AV376" s="34">
        <f t="shared" ref="AV376:BB376" si="246">SUM(AV377:AV401)</f>
        <v>280</v>
      </c>
      <c r="AW376" s="34">
        <f t="shared" si="246"/>
        <v>0</v>
      </c>
      <c r="AX376" s="34">
        <f t="shared" si="246"/>
        <v>493</v>
      </c>
      <c r="AY376" s="34">
        <f t="shared" si="246"/>
        <v>0</v>
      </c>
      <c r="AZ376" s="34">
        <f t="shared" si="246"/>
        <v>0</v>
      </c>
      <c r="BA376" s="34">
        <f t="shared" si="246"/>
        <v>0</v>
      </c>
      <c r="BB376" s="34">
        <f t="shared" si="246"/>
        <v>0</v>
      </c>
      <c r="BC376" s="34">
        <f t="shared" ref="BC376:BC382" si="247">SUM(AV376:BB376)</f>
        <v>773</v>
      </c>
      <c r="BD376" s="34">
        <f>+Y376+AG376+AN376+AV376</f>
        <v>1088.5</v>
      </c>
      <c r="BE376" s="34">
        <f t="shared" si="203"/>
        <v>0</v>
      </c>
      <c r="BF376" s="34">
        <f t="shared" si="203"/>
        <v>1862.6</v>
      </c>
      <c r="BG376" s="34">
        <f t="shared" si="203"/>
        <v>0</v>
      </c>
      <c r="BH376" s="34">
        <f t="shared" si="203"/>
        <v>0</v>
      </c>
      <c r="BI376" s="34">
        <f t="shared" si="202"/>
        <v>23.7</v>
      </c>
      <c r="BJ376" s="34">
        <f t="shared" si="204"/>
        <v>300</v>
      </c>
      <c r="BK376" s="34">
        <f t="shared" si="204"/>
        <v>3274.8</v>
      </c>
    </row>
    <row r="377" spans="1:63" ht="87.75" customHeight="1" x14ac:dyDescent="0.25">
      <c r="A377" s="298" t="s">
        <v>1135</v>
      </c>
      <c r="B377" s="299" t="s">
        <v>1132</v>
      </c>
      <c r="C377" s="1546" t="s">
        <v>1136</v>
      </c>
      <c r="D377" s="1549" t="s">
        <v>1137</v>
      </c>
      <c r="E377" s="1549" t="s">
        <v>1138</v>
      </c>
      <c r="F377" s="1549">
        <v>2015</v>
      </c>
      <c r="G377" s="1549">
        <v>75.61</v>
      </c>
      <c r="H377" s="1549">
        <v>78</v>
      </c>
      <c r="I377" s="1425"/>
      <c r="J377" s="1425"/>
      <c r="K377" s="1425" t="s">
        <v>1139</v>
      </c>
      <c r="L377" s="301" t="s">
        <v>1140</v>
      </c>
      <c r="M377" s="1425" t="s">
        <v>1141</v>
      </c>
      <c r="N377" s="476"/>
      <c r="O377" s="1425" t="s">
        <v>47</v>
      </c>
      <c r="P377" s="16" t="s">
        <v>1142</v>
      </c>
      <c r="Q377" s="302" t="s">
        <v>522</v>
      </c>
      <c r="R377" s="303">
        <v>2015</v>
      </c>
      <c r="S377" s="303">
        <v>2</v>
      </c>
      <c r="T377" s="303">
        <v>2</v>
      </c>
      <c r="U377" s="572">
        <v>2</v>
      </c>
      <c r="V377" s="572">
        <v>2</v>
      </c>
      <c r="W377" s="572">
        <v>2</v>
      </c>
      <c r="X377" s="572">
        <f>SUBTOTAL(9,T377:W377)</f>
        <v>8</v>
      </c>
      <c r="Y377" s="481">
        <f>259.5-217.2</f>
        <v>42.300000000000011</v>
      </c>
      <c r="Z377" s="481"/>
      <c r="AA377" s="481"/>
      <c r="AB377" s="481"/>
      <c r="AC377" s="481"/>
      <c r="AD377" s="481"/>
      <c r="AE377" s="481"/>
      <c r="AF377" s="481">
        <f t="shared" si="241"/>
        <v>42.300000000000011</v>
      </c>
      <c r="AG377" s="548">
        <v>49</v>
      </c>
      <c r="AH377" s="548"/>
      <c r="AI377" s="548"/>
      <c r="AJ377" s="548"/>
      <c r="AK377" s="548"/>
      <c r="AL377" s="548"/>
      <c r="AM377" s="548">
        <f t="shared" si="243"/>
        <v>49</v>
      </c>
      <c r="AN377" s="481">
        <v>50</v>
      </c>
      <c r="AO377" s="481"/>
      <c r="AP377" s="481"/>
      <c r="AQ377" s="481"/>
      <c r="AR377" s="481"/>
      <c r="AS377" s="481"/>
      <c r="AT377" s="481"/>
      <c r="AU377" s="481">
        <f t="shared" si="245"/>
        <v>50</v>
      </c>
      <c r="AV377" s="548">
        <v>50</v>
      </c>
      <c r="AW377" s="548"/>
      <c r="AX377" s="548"/>
      <c r="AY377" s="548"/>
      <c r="AZ377" s="548"/>
      <c r="BA377" s="548"/>
      <c r="BB377" s="548"/>
      <c r="BC377" s="548">
        <f t="shared" si="247"/>
        <v>50</v>
      </c>
      <c r="BD377" s="42">
        <f t="shared" si="203"/>
        <v>191.3</v>
      </c>
      <c r="BE377" s="42">
        <f t="shared" si="203"/>
        <v>0</v>
      </c>
      <c r="BF377" s="42">
        <f t="shared" si="203"/>
        <v>0</v>
      </c>
      <c r="BG377" s="42">
        <f t="shared" si="203"/>
        <v>0</v>
      </c>
      <c r="BH377" s="42">
        <f t="shared" si="203"/>
        <v>0</v>
      </c>
      <c r="BI377" s="42">
        <f t="shared" si="202"/>
        <v>0</v>
      </c>
      <c r="BJ377" s="42">
        <f t="shared" si="204"/>
        <v>0</v>
      </c>
      <c r="BK377" s="42">
        <f t="shared" si="204"/>
        <v>191.3</v>
      </c>
    </row>
    <row r="378" spans="1:63" ht="57" customHeight="1" x14ac:dyDescent="0.25">
      <c r="A378" s="298" t="s">
        <v>1135</v>
      </c>
      <c r="B378" s="299" t="s">
        <v>1132</v>
      </c>
      <c r="C378" s="1547"/>
      <c r="D378" s="1549"/>
      <c r="E378" s="1549"/>
      <c r="F378" s="1549"/>
      <c r="G378" s="1549"/>
      <c r="H378" s="1549"/>
      <c r="I378" s="1425"/>
      <c r="J378" s="1425"/>
      <c r="K378" s="1425" t="s">
        <v>1143</v>
      </c>
      <c r="L378" s="301" t="s">
        <v>1140</v>
      </c>
      <c r="M378" s="1425" t="s">
        <v>1141</v>
      </c>
      <c r="N378" s="476"/>
      <c r="O378" s="1425" t="s">
        <v>47</v>
      </c>
      <c r="P378" s="16" t="s">
        <v>1144</v>
      </c>
      <c r="Q378" s="302" t="s">
        <v>1145</v>
      </c>
      <c r="R378" s="303">
        <v>2015</v>
      </c>
      <c r="S378" s="303">
        <v>2</v>
      </c>
      <c r="T378" s="303">
        <v>1</v>
      </c>
      <c r="U378" s="572">
        <v>0</v>
      </c>
      <c r="V378" s="572">
        <v>1</v>
      </c>
      <c r="W378" s="572">
        <v>0</v>
      </c>
      <c r="X378" s="572">
        <f t="shared" ref="X378:X401" si="248">SUBTOTAL(9,T378:W378)</f>
        <v>2</v>
      </c>
      <c r="Y378" s="481"/>
      <c r="Z378" s="481"/>
      <c r="AA378" s="481"/>
      <c r="AB378" s="481"/>
      <c r="AC378" s="481"/>
      <c r="AD378" s="481"/>
      <c r="AE378" s="481"/>
      <c r="AF378" s="481">
        <f t="shared" si="241"/>
        <v>0</v>
      </c>
      <c r="AG378" s="548"/>
      <c r="AH378" s="548"/>
      <c r="AI378" s="548"/>
      <c r="AJ378" s="548"/>
      <c r="AK378" s="548"/>
      <c r="AL378" s="548"/>
      <c r="AM378" s="548">
        <f t="shared" si="243"/>
        <v>0</v>
      </c>
      <c r="AN378" s="481"/>
      <c r="AO378" s="481"/>
      <c r="AP378" s="481"/>
      <c r="AQ378" s="481"/>
      <c r="AR378" s="481"/>
      <c r="AS378" s="481"/>
      <c r="AT378" s="481"/>
      <c r="AU378" s="481">
        <f t="shared" si="245"/>
        <v>0</v>
      </c>
      <c r="AV378" s="548"/>
      <c r="AW378" s="548"/>
      <c r="AX378" s="548"/>
      <c r="AY378" s="548"/>
      <c r="AZ378" s="548"/>
      <c r="BA378" s="548"/>
      <c r="BB378" s="548"/>
      <c r="BC378" s="548">
        <f t="shared" si="247"/>
        <v>0</v>
      </c>
      <c r="BD378" s="42">
        <f t="shared" si="203"/>
        <v>0</v>
      </c>
      <c r="BE378" s="42">
        <f t="shared" si="203"/>
        <v>0</v>
      </c>
      <c r="BF378" s="42">
        <f t="shared" si="203"/>
        <v>0</v>
      </c>
      <c r="BG378" s="42">
        <f t="shared" si="203"/>
        <v>0</v>
      </c>
      <c r="BH378" s="42">
        <f t="shared" si="203"/>
        <v>0</v>
      </c>
      <c r="BI378" s="42">
        <f t="shared" si="202"/>
        <v>0</v>
      </c>
      <c r="BJ378" s="42">
        <f t="shared" si="204"/>
        <v>0</v>
      </c>
      <c r="BK378" s="42">
        <f t="shared" si="204"/>
        <v>0</v>
      </c>
    </row>
    <row r="379" spans="1:63" ht="65.25" customHeight="1" x14ac:dyDescent="0.25">
      <c r="A379" s="298" t="s">
        <v>1135</v>
      </c>
      <c r="B379" s="299" t="s">
        <v>1132</v>
      </c>
      <c r="C379" s="1547"/>
      <c r="D379" s="1549"/>
      <c r="E379" s="1549"/>
      <c r="F379" s="1549"/>
      <c r="G379" s="1549"/>
      <c r="H379" s="1549"/>
      <c r="I379" s="1425"/>
      <c r="J379" s="1425"/>
      <c r="K379" s="1425" t="s">
        <v>1146</v>
      </c>
      <c r="L379" s="301" t="s">
        <v>1140</v>
      </c>
      <c r="M379" s="1425" t="s">
        <v>1141</v>
      </c>
      <c r="N379" s="476"/>
      <c r="O379" s="1425" t="s">
        <v>47</v>
      </c>
      <c r="P379" s="16" t="s">
        <v>1147</v>
      </c>
      <c r="Q379" s="302" t="s">
        <v>367</v>
      </c>
      <c r="R379" s="303">
        <v>2015</v>
      </c>
      <c r="S379" s="303">
        <v>0</v>
      </c>
      <c r="T379" s="303">
        <v>1</v>
      </c>
      <c r="U379" s="572">
        <v>0</v>
      </c>
      <c r="V379" s="572">
        <v>1</v>
      </c>
      <c r="W379" s="572">
        <v>0</v>
      </c>
      <c r="X379" s="572">
        <f t="shared" si="248"/>
        <v>2</v>
      </c>
      <c r="Y379" s="481"/>
      <c r="Z379" s="481"/>
      <c r="AA379" s="481"/>
      <c r="AB379" s="481"/>
      <c r="AC379" s="481"/>
      <c r="AD379" s="481"/>
      <c r="AE379" s="481"/>
      <c r="AF379" s="481">
        <f t="shared" si="241"/>
        <v>0</v>
      </c>
      <c r="AG379" s="548"/>
      <c r="AH379" s="548"/>
      <c r="AI379" s="548"/>
      <c r="AJ379" s="548"/>
      <c r="AK379" s="548"/>
      <c r="AL379" s="548"/>
      <c r="AM379" s="548">
        <f t="shared" si="243"/>
        <v>0</v>
      </c>
      <c r="AN379" s="481"/>
      <c r="AO379" s="481"/>
      <c r="AP379" s="481"/>
      <c r="AQ379" s="481"/>
      <c r="AR379" s="481"/>
      <c r="AS379" s="481"/>
      <c r="AT379" s="481"/>
      <c r="AU379" s="481">
        <f t="shared" si="245"/>
        <v>0</v>
      </c>
      <c r="AV379" s="548"/>
      <c r="AW379" s="548"/>
      <c r="AX379" s="548"/>
      <c r="AY379" s="548"/>
      <c r="AZ379" s="548"/>
      <c r="BA379" s="548"/>
      <c r="BB379" s="548"/>
      <c r="BC379" s="548">
        <f t="shared" si="247"/>
        <v>0</v>
      </c>
      <c r="BD379" s="42">
        <f t="shared" si="203"/>
        <v>0</v>
      </c>
      <c r="BE379" s="42">
        <f t="shared" si="203"/>
        <v>0</v>
      </c>
      <c r="BF379" s="42">
        <f t="shared" si="203"/>
        <v>0</v>
      </c>
      <c r="BG379" s="42">
        <f t="shared" si="203"/>
        <v>0</v>
      </c>
      <c r="BH379" s="42">
        <f t="shared" si="203"/>
        <v>0</v>
      </c>
      <c r="BI379" s="42">
        <f t="shared" si="202"/>
        <v>0</v>
      </c>
      <c r="BJ379" s="42">
        <f t="shared" si="204"/>
        <v>0</v>
      </c>
      <c r="BK379" s="42">
        <f t="shared" si="204"/>
        <v>0</v>
      </c>
    </row>
    <row r="380" spans="1:63" ht="66" customHeight="1" x14ac:dyDescent="0.25">
      <c r="A380" s="298" t="s">
        <v>1135</v>
      </c>
      <c r="B380" s="299" t="s">
        <v>1132</v>
      </c>
      <c r="C380" s="1547"/>
      <c r="D380" s="1549"/>
      <c r="E380" s="1549"/>
      <c r="F380" s="1549"/>
      <c r="G380" s="1549"/>
      <c r="H380" s="1549"/>
      <c r="I380" s="1425"/>
      <c r="J380" s="1425"/>
      <c r="K380" s="1425" t="s">
        <v>1148</v>
      </c>
      <c r="L380" s="301" t="s">
        <v>1140</v>
      </c>
      <c r="M380" s="1425" t="s">
        <v>1141</v>
      </c>
      <c r="N380" s="476"/>
      <c r="O380" s="1425" t="s">
        <v>73</v>
      </c>
      <c r="P380" s="16" t="s">
        <v>1149</v>
      </c>
      <c r="Q380" s="302" t="s">
        <v>1150</v>
      </c>
      <c r="R380" s="303">
        <v>2015</v>
      </c>
      <c r="S380" s="303">
        <v>2</v>
      </c>
      <c r="T380" s="303">
        <v>3</v>
      </c>
      <c r="U380" s="572">
        <v>3</v>
      </c>
      <c r="V380" s="572">
        <v>3</v>
      </c>
      <c r="W380" s="572">
        <v>3</v>
      </c>
      <c r="X380" s="572">
        <v>3</v>
      </c>
      <c r="Y380" s="481"/>
      <c r="Z380" s="481"/>
      <c r="AA380" s="481"/>
      <c r="AB380" s="481"/>
      <c r="AC380" s="481"/>
      <c r="AD380" s="481"/>
      <c r="AE380" s="481"/>
      <c r="AF380" s="481">
        <f t="shared" si="241"/>
        <v>0</v>
      </c>
      <c r="AG380" s="548"/>
      <c r="AH380" s="548"/>
      <c r="AI380" s="548"/>
      <c r="AJ380" s="548"/>
      <c r="AK380" s="548"/>
      <c r="AL380" s="548"/>
      <c r="AM380" s="548">
        <f t="shared" si="243"/>
        <v>0</v>
      </c>
      <c r="AN380" s="481"/>
      <c r="AO380" s="481"/>
      <c r="AP380" s="481"/>
      <c r="AQ380" s="481"/>
      <c r="AR380" s="481"/>
      <c r="AS380" s="481"/>
      <c r="AT380" s="481"/>
      <c r="AU380" s="481">
        <f t="shared" si="245"/>
        <v>0</v>
      </c>
      <c r="AV380" s="548"/>
      <c r="AW380" s="548"/>
      <c r="AX380" s="548"/>
      <c r="AY380" s="548"/>
      <c r="AZ380" s="548"/>
      <c r="BA380" s="548"/>
      <c r="BB380" s="548"/>
      <c r="BC380" s="548">
        <f t="shared" si="247"/>
        <v>0</v>
      </c>
      <c r="BD380" s="42">
        <f t="shared" ref="BD380:BH397" si="249">+AV380+AN380+AG380+Y380</f>
        <v>0</v>
      </c>
      <c r="BE380" s="42">
        <f t="shared" si="249"/>
        <v>0</v>
      </c>
      <c r="BF380" s="42">
        <f t="shared" si="249"/>
        <v>0</v>
      </c>
      <c r="BG380" s="42">
        <f t="shared" si="249"/>
        <v>0</v>
      </c>
      <c r="BH380" s="42">
        <f t="shared" si="249"/>
        <v>0</v>
      </c>
      <c r="BI380" s="42">
        <f t="shared" si="202"/>
        <v>0</v>
      </c>
      <c r="BJ380" s="42">
        <f t="shared" ref="BJ380:BK397" si="250">+BB380+AT380+AL380+AE380</f>
        <v>0</v>
      </c>
      <c r="BK380" s="42">
        <f t="shared" si="250"/>
        <v>0</v>
      </c>
    </row>
    <row r="381" spans="1:63" ht="83.25" customHeight="1" x14ac:dyDescent="0.25">
      <c r="A381" s="298" t="s">
        <v>1135</v>
      </c>
      <c r="B381" s="299" t="s">
        <v>1132</v>
      </c>
      <c r="C381" s="1547"/>
      <c r="D381" s="1549"/>
      <c r="E381" s="1549"/>
      <c r="F381" s="1549"/>
      <c r="G381" s="1549"/>
      <c r="H381" s="1549"/>
      <c r="I381" s="1425" t="s">
        <v>1106</v>
      </c>
      <c r="J381" s="1425"/>
      <c r="K381" s="1425" t="s">
        <v>1151</v>
      </c>
      <c r="L381" s="301" t="s">
        <v>1140</v>
      </c>
      <c r="M381" s="1425" t="s">
        <v>1102</v>
      </c>
      <c r="N381" s="476"/>
      <c r="O381" s="1425" t="s">
        <v>47</v>
      </c>
      <c r="P381" s="16" t="s">
        <v>1152</v>
      </c>
      <c r="Q381" s="302" t="s">
        <v>1153</v>
      </c>
      <c r="R381" s="303">
        <v>2015</v>
      </c>
      <c r="S381" s="303">
        <v>0</v>
      </c>
      <c r="T381" s="303">
        <v>0</v>
      </c>
      <c r="U381" s="572">
        <v>1</v>
      </c>
      <c r="V381" s="572">
        <v>0</v>
      </c>
      <c r="W381" s="572">
        <v>0</v>
      </c>
      <c r="X381" s="572">
        <f t="shared" si="248"/>
        <v>1</v>
      </c>
      <c r="Y381" s="481">
        <v>50</v>
      </c>
      <c r="Z381" s="481"/>
      <c r="AA381" s="481"/>
      <c r="AB381" s="481"/>
      <c r="AC381" s="481"/>
      <c r="AD381" s="481"/>
      <c r="AE381" s="481"/>
      <c r="AF381" s="481">
        <f t="shared" si="241"/>
        <v>50</v>
      </c>
      <c r="AG381" s="548"/>
      <c r="AH381" s="548"/>
      <c r="AI381" s="548"/>
      <c r="AJ381" s="548"/>
      <c r="AK381" s="548"/>
      <c r="AL381" s="548">
        <v>300</v>
      </c>
      <c r="AM381" s="548">
        <f t="shared" si="243"/>
        <v>300</v>
      </c>
      <c r="AN381" s="481"/>
      <c r="AO381" s="481"/>
      <c r="AP381" s="481"/>
      <c r="AQ381" s="481"/>
      <c r="AR381" s="481"/>
      <c r="AS381" s="481"/>
      <c r="AT381" s="481"/>
      <c r="AU381" s="481">
        <f t="shared" si="245"/>
        <v>0</v>
      </c>
      <c r="AV381" s="548"/>
      <c r="AW381" s="548"/>
      <c r="AX381" s="548"/>
      <c r="AY381" s="548"/>
      <c r="AZ381" s="548"/>
      <c r="BA381" s="548"/>
      <c r="BB381" s="548"/>
      <c r="BC381" s="548">
        <f t="shared" si="247"/>
        <v>0</v>
      </c>
      <c r="BD381" s="42">
        <f t="shared" si="249"/>
        <v>50</v>
      </c>
      <c r="BE381" s="42">
        <f t="shared" si="249"/>
        <v>0</v>
      </c>
      <c r="BF381" s="42">
        <f t="shared" si="249"/>
        <v>0</v>
      </c>
      <c r="BG381" s="42">
        <f t="shared" si="249"/>
        <v>0</v>
      </c>
      <c r="BH381" s="42">
        <f t="shared" si="249"/>
        <v>0</v>
      </c>
      <c r="BI381" s="42">
        <f t="shared" si="202"/>
        <v>0</v>
      </c>
      <c r="BJ381" s="42">
        <f t="shared" si="250"/>
        <v>300</v>
      </c>
      <c r="BK381" s="42">
        <f t="shared" si="250"/>
        <v>350</v>
      </c>
    </row>
    <row r="382" spans="1:63" ht="96.75" customHeight="1" x14ac:dyDescent="0.25">
      <c r="A382" s="298" t="s">
        <v>1135</v>
      </c>
      <c r="B382" s="299" t="s">
        <v>1132</v>
      </c>
      <c r="C382" s="1547"/>
      <c r="D382" s="1549"/>
      <c r="E382" s="1549"/>
      <c r="F382" s="1549"/>
      <c r="G382" s="1549"/>
      <c r="H382" s="1549"/>
      <c r="I382" s="1425"/>
      <c r="J382" s="1425"/>
      <c r="K382" s="1425" t="s">
        <v>1154</v>
      </c>
      <c r="L382" s="301" t="s">
        <v>1140</v>
      </c>
      <c r="M382" s="1425" t="s">
        <v>497</v>
      </c>
      <c r="N382" s="476"/>
      <c r="O382" s="1425" t="s">
        <v>47</v>
      </c>
      <c r="P382" s="16" t="s">
        <v>1155</v>
      </c>
      <c r="Q382" s="302" t="s">
        <v>1156</v>
      </c>
      <c r="R382" s="303">
        <v>2015</v>
      </c>
      <c r="S382" s="303">
        <v>0</v>
      </c>
      <c r="T382" s="303">
        <v>1</v>
      </c>
      <c r="U382" s="572">
        <v>0</v>
      </c>
      <c r="V382" s="572">
        <v>0</v>
      </c>
      <c r="W382" s="572">
        <v>0</v>
      </c>
      <c r="X382" s="572">
        <f t="shared" si="248"/>
        <v>1</v>
      </c>
      <c r="Y382" s="481"/>
      <c r="Z382" s="481"/>
      <c r="AA382" s="481">
        <v>50</v>
      </c>
      <c r="AB382" s="481"/>
      <c r="AC382" s="481"/>
      <c r="AD382" s="481"/>
      <c r="AE382" s="481"/>
      <c r="AF382" s="481">
        <f t="shared" si="241"/>
        <v>50</v>
      </c>
      <c r="AG382" s="548"/>
      <c r="AH382" s="548"/>
      <c r="AI382" s="548"/>
      <c r="AJ382" s="548"/>
      <c r="AK382" s="548"/>
      <c r="AL382" s="548"/>
      <c r="AM382" s="548">
        <f t="shared" si="243"/>
        <v>0</v>
      </c>
      <c r="AN382" s="481"/>
      <c r="AO382" s="481"/>
      <c r="AP382" s="481"/>
      <c r="AQ382" s="481"/>
      <c r="AR382" s="481"/>
      <c r="AS382" s="481"/>
      <c r="AT382" s="481"/>
      <c r="AU382" s="481">
        <f t="shared" si="245"/>
        <v>0</v>
      </c>
      <c r="AV382" s="548"/>
      <c r="AW382" s="548"/>
      <c r="AX382" s="548"/>
      <c r="AY382" s="548"/>
      <c r="AZ382" s="548"/>
      <c r="BA382" s="548"/>
      <c r="BB382" s="548"/>
      <c r="BC382" s="548">
        <f t="shared" si="247"/>
        <v>0</v>
      </c>
      <c r="BD382" s="42">
        <f t="shared" si="249"/>
        <v>0</v>
      </c>
      <c r="BE382" s="42">
        <f t="shared" si="249"/>
        <v>0</v>
      </c>
      <c r="BF382" s="42">
        <f t="shared" si="249"/>
        <v>50</v>
      </c>
      <c r="BG382" s="42">
        <f t="shared" si="249"/>
        <v>0</v>
      </c>
      <c r="BH382" s="42">
        <f t="shared" si="249"/>
        <v>0</v>
      </c>
      <c r="BI382" s="42">
        <f t="shared" si="202"/>
        <v>0</v>
      </c>
      <c r="BJ382" s="42">
        <f t="shared" si="250"/>
        <v>0</v>
      </c>
      <c r="BK382" s="42">
        <f t="shared" si="250"/>
        <v>50</v>
      </c>
    </row>
    <row r="383" spans="1:63" ht="36.75" customHeight="1" x14ac:dyDescent="0.25">
      <c r="A383" s="298" t="s">
        <v>1135</v>
      </c>
      <c r="B383" s="299" t="s">
        <v>1132</v>
      </c>
      <c r="C383" s="1547"/>
      <c r="D383" s="1549"/>
      <c r="E383" s="1549"/>
      <c r="F383" s="1549"/>
      <c r="G383" s="1549"/>
      <c r="H383" s="1549"/>
      <c r="I383" s="1425"/>
      <c r="J383" s="1425"/>
      <c r="K383" s="1425" t="s">
        <v>1157</v>
      </c>
      <c r="L383" s="301" t="s">
        <v>1140</v>
      </c>
      <c r="M383" s="1425" t="s">
        <v>497</v>
      </c>
      <c r="N383" s="476"/>
      <c r="O383" s="1425" t="s">
        <v>73</v>
      </c>
      <c r="P383" s="16" t="s">
        <v>1159</v>
      </c>
      <c r="Q383" s="302" t="s">
        <v>1160</v>
      </c>
      <c r="R383" s="303">
        <v>2015</v>
      </c>
      <c r="S383" s="303">
        <v>1</v>
      </c>
      <c r="T383" s="303">
        <v>1</v>
      </c>
      <c r="U383" s="572">
        <v>1</v>
      </c>
      <c r="V383" s="572">
        <v>1</v>
      </c>
      <c r="W383" s="572">
        <v>1</v>
      </c>
      <c r="X383" s="572">
        <v>1</v>
      </c>
      <c r="Y383" s="491">
        <v>19</v>
      </c>
      <c r="Z383" s="481"/>
      <c r="AA383" s="481">
        <f>80+5+59+35.6</f>
        <v>179.6</v>
      </c>
      <c r="AB383" s="481"/>
      <c r="AC383" s="481"/>
      <c r="AD383" s="481">
        <v>23.7</v>
      </c>
      <c r="AE383" s="481"/>
      <c r="AF383" s="481"/>
      <c r="AG383" s="548">
        <v>70</v>
      </c>
      <c r="AH383" s="548"/>
      <c r="AI383" s="548">
        <v>200</v>
      </c>
      <c r="AJ383" s="548"/>
      <c r="AK383" s="548"/>
      <c r="AL383" s="548"/>
      <c r="AM383" s="548"/>
      <c r="AN383" s="481">
        <v>80</v>
      </c>
      <c r="AO383" s="481"/>
      <c r="AP383" s="481">
        <v>200</v>
      </c>
      <c r="AQ383" s="481"/>
      <c r="AR383" s="481"/>
      <c r="AS383" s="481"/>
      <c r="AT383" s="481"/>
      <c r="AU383" s="481"/>
      <c r="AV383" s="548">
        <v>80</v>
      </c>
      <c r="AW383" s="548"/>
      <c r="AX383" s="548">
        <v>210</v>
      </c>
      <c r="AY383" s="548"/>
      <c r="AZ383" s="548"/>
      <c r="BA383" s="548"/>
      <c r="BB383" s="548"/>
      <c r="BC383" s="548"/>
      <c r="BD383" s="42">
        <f t="shared" si="249"/>
        <v>249</v>
      </c>
      <c r="BE383" s="42">
        <f t="shared" si="249"/>
        <v>0</v>
      </c>
      <c r="BF383" s="42">
        <f t="shared" si="249"/>
        <v>789.6</v>
      </c>
      <c r="BG383" s="42">
        <f t="shared" si="249"/>
        <v>0</v>
      </c>
      <c r="BH383" s="42">
        <f t="shared" si="249"/>
        <v>0</v>
      </c>
      <c r="BI383" s="42">
        <f t="shared" si="202"/>
        <v>23.7</v>
      </c>
      <c r="BJ383" s="42">
        <f t="shared" si="250"/>
        <v>0</v>
      </c>
      <c r="BK383" s="42">
        <f t="shared" si="250"/>
        <v>0</v>
      </c>
    </row>
    <row r="384" spans="1:63" ht="69.75" customHeight="1" x14ac:dyDescent="0.25">
      <c r="A384" s="298" t="s">
        <v>1135</v>
      </c>
      <c r="B384" s="299" t="s">
        <v>1132</v>
      </c>
      <c r="C384" s="1547"/>
      <c r="D384" s="1549"/>
      <c r="E384" s="1549"/>
      <c r="F384" s="1549"/>
      <c r="G384" s="1549"/>
      <c r="H384" s="1549"/>
      <c r="I384" s="1425"/>
      <c r="J384" s="1425"/>
      <c r="K384" s="1425" t="s">
        <v>1161</v>
      </c>
      <c r="L384" s="301" t="s">
        <v>1140</v>
      </c>
      <c r="M384" s="1425" t="s">
        <v>497</v>
      </c>
      <c r="N384" s="476"/>
      <c r="O384" s="1425" t="s">
        <v>47</v>
      </c>
      <c r="P384" s="16" t="s">
        <v>1162</v>
      </c>
      <c r="Q384" s="302" t="s">
        <v>1163</v>
      </c>
      <c r="R384" s="303">
        <v>2015</v>
      </c>
      <c r="S384" s="303">
        <v>4</v>
      </c>
      <c r="T384" s="303">
        <v>1</v>
      </c>
      <c r="U384" s="572">
        <v>1</v>
      </c>
      <c r="V384" s="572">
        <v>1</v>
      </c>
      <c r="W384" s="572">
        <v>1</v>
      </c>
      <c r="X384" s="572">
        <f t="shared" si="248"/>
        <v>4</v>
      </c>
      <c r="Y384" s="481"/>
      <c r="Z384" s="481"/>
      <c r="AA384" s="481"/>
      <c r="AB384" s="481"/>
      <c r="AC384" s="481"/>
      <c r="AD384" s="481"/>
      <c r="AE384" s="481"/>
      <c r="AF384" s="481">
        <f>SUM(Y384:AE384)</f>
        <v>0</v>
      </c>
      <c r="AG384" s="548"/>
      <c r="AH384" s="548"/>
      <c r="AI384" s="548"/>
      <c r="AJ384" s="548"/>
      <c r="AK384" s="548"/>
      <c r="AL384" s="548"/>
      <c r="AM384" s="548">
        <f>SUM(AG384:AL384)</f>
        <v>0</v>
      </c>
      <c r="AN384" s="481"/>
      <c r="AO384" s="481"/>
      <c r="AP384" s="481"/>
      <c r="AQ384" s="481"/>
      <c r="AR384" s="481"/>
      <c r="AS384" s="481"/>
      <c r="AT384" s="481"/>
      <c r="AU384" s="481">
        <f>SUM(AN384:AT384)</f>
        <v>0</v>
      </c>
      <c r="AV384" s="548"/>
      <c r="AW384" s="548"/>
      <c r="AX384" s="548"/>
      <c r="AY384" s="548"/>
      <c r="AZ384" s="548"/>
      <c r="BA384" s="548"/>
      <c r="BB384" s="548"/>
      <c r="BC384" s="548">
        <f>SUM(AV384:BB384)</f>
        <v>0</v>
      </c>
      <c r="BD384" s="42">
        <f t="shared" si="249"/>
        <v>0</v>
      </c>
      <c r="BE384" s="42">
        <f t="shared" si="249"/>
        <v>0</v>
      </c>
      <c r="BF384" s="42">
        <f t="shared" si="249"/>
        <v>0</v>
      </c>
      <c r="BG384" s="42">
        <f t="shared" si="249"/>
        <v>0</v>
      </c>
      <c r="BH384" s="42">
        <f t="shared" si="249"/>
        <v>0</v>
      </c>
      <c r="BI384" s="42">
        <f t="shared" si="202"/>
        <v>0</v>
      </c>
      <c r="BJ384" s="42">
        <f t="shared" si="250"/>
        <v>0</v>
      </c>
      <c r="BK384" s="42">
        <f t="shared" si="250"/>
        <v>0</v>
      </c>
    </row>
    <row r="385" spans="1:63" ht="90.75" customHeight="1" x14ac:dyDescent="0.25">
      <c r="A385" s="298" t="s">
        <v>1135</v>
      </c>
      <c r="B385" s="299" t="s">
        <v>1132</v>
      </c>
      <c r="C385" s="1547"/>
      <c r="D385" s="1549"/>
      <c r="E385" s="1549"/>
      <c r="F385" s="1549"/>
      <c r="G385" s="1549"/>
      <c r="H385" s="1549"/>
      <c r="I385" s="1425"/>
      <c r="J385" s="1425"/>
      <c r="K385" s="1425" t="s">
        <v>1164</v>
      </c>
      <c r="L385" s="301" t="s">
        <v>1140</v>
      </c>
      <c r="M385" s="1425" t="s">
        <v>497</v>
      </c>
      <c r="N385" s="476"/>
      <c r="O385" s="1425" t="s">
        <v>73</v>
      </c>
      <c r="P385" s="16" t="s">
        <v>1165</v>
      </c>
      <c r="Q385" s="302" t="s">
        <v>1166</v>
      </c>
      <c r="R385" s="303">
        <v>2015</v>
      </c>
      <c r="S385" s="303" t="s">
        <v>177</v>
      </c>
      <c r="T385" s="303">
        <v>100</v>
      </c>
      <c r="U385" s="572">
        <v>100</v>
      </c>
      <c r="V385" s="572">
        <v>100</v>
      </c>
      <c r="W385" s="572">
        <v>100</v>
      </c>
      <c r="X385" s="572">
        <v>100</v>
      </c>
      <c r="Y385" s="491">
        <v>1</v>
      </c>
      <c r="Z385" s="481"/>
      <c r="AA385" s="481"/>
      <c r="AB385" s="481"/>
      <c r="AC385" s="481"/>
      <c r="AD385" s="481"/>
      <c r="AE385" s="481"/>
      <c r="AF385" s="481">
        <f>SUM(Y385:AE385)</f>
        <v>1</v>
      </c>
      <c r="AG385" s="548"/>
      <c r="AH385" s="548"/>
      <c r="AI385" s="548"/>
      <c r="AJ385" s="548"/>
      <c r="AK385" s="548"/>
      <c r="AL385" s="548"/>
      <c r="AM385" s="548">
        <f>SUM(AG385:AL385)</f>
        <v>0</v>
      </c>
      <c r="AN385" s="481"/>
      <c r="AO385" s="481"/>
      <c r="AP385" s="481"/>
      <c r="AQ385" s="481"/>
      <c r="AR385" s="481"/>
      <c r="AS385" s="481"/>
      <c r="AT385" s="481"/>
      <c r="AU385" s="481">
        <f>SUM(AN385:AT385)</f>
        <v>0</v>
      </c>
      <c r="AV385" s="548"/>
      <c r="AW385" s="548"/>
      <c r="AX385" s="548"/>
      <c r="AY385" s="548"/>
      <c r="AZ385" s="548"/>
      <c r="BA385" s="548"/>
      <c r="BB385" s="548"/>
      <c r="BC385" s="548">
        <f>SUM(AV385:BB385)</f>
        <v>0</v>
      </c>
      <c r="BD385" s="42">
        <f t="shared" si="249"/>
        <v>1</v>
      </c>
      <c r="BE385" s="42">
        <f t="shared" si="249"/>
        <v>0</v>
      </c>
      <c r="BF385" s="42">
        <f t="shared" si="249"/>
        <v>0</v>
      </c>
      <c r="BG385" s="42">
        <f t="shared" si="249"/>
        <v>0</v>
      </c>
      <c r="BH385" s="42">
        <f t="shared" si="249"/>
        <v>0</v>
      </c>
      <c r="BI385" s="42">
        <f t="shared" si="202"/>
        <v>0</v>
      </c>
      <c r="BJ385" s="42">
        <f t="shared" si="250"/>
        <v>0</v>
      </c>
      <c r="BK385" s="42">
        <f t="shared" si="250"/>
        <v>1</v>
      </c>
    </row>
    <row r="386" spans="1:63" ht="369.6" x14ac:dyDescent="0.25">
      <c r="A386" s="298" t="s">
        <v>1135</v>
      </c>
      <c r="B386" s="299" t="s">
        <v>1132</v>
      </c>
      <c r="C386" s="1547"/>
      <c r="D386" s="1549"/>
      <c r="E386" s="1549"/>
      <c r="F386" s="1549"/>
      <c r="G386" s="1549"/>
      <c r="H386" s="1549"/>
      <c r="I386" s="1425"/>
      <c r="J386" s="1425"/>
      <c r="K386" s="1425" t="s">
        <v>1167</v>
      </c>
      <c r="L386" s="301" t="s">
        <v>1140</v>
      </c>
      <c r="M386" s="1425" t="s">
        <v>497</v>
      </c>
      <c r="N386" s="476"/>
      <c r="O386" s="1425" t="s">
        <v>73</v>
      </c>
      <c r="P386" s="16" t="s">
        <v>1169</v>
      </c>
      <c r="Q386" s="302" t="s">
        <v>1170</v>
      </c>
      <c r="R386" s="303">
        <v>2015</v>
      </c>
      <c r="S386" s="303">
        <v>1</v>
      </c>
      <c r="T386" s="303">
        <v>1</v>
      </c>
      <c r="U386" s="572">
        <v>1</v>
      </c>
      <c r="V386" s="572">
        <v>1</v>
      </c>
      <c r="W386" s="572">
        <v>1</v>
      </c>
      <c r="X386" s="572">
        <v>1</v>
      </c>
      <c r="Y386" s="481"/>
      <c r="Z386" s="481"/>
      <c r="AA386" s="481">
        <v>20</v>
      </c>
      <c r="AB386" s="481"/>
      <c r="AC386" s="481"/>
      <c r="AD386" s="481"/>
      <c r="AE386" s="481"/>
      <c r="AF386" s="481">
        <f>SUM(Y386:AE386)</f>
        <v>20</v>
      </c>
      <c r="AG386" s="548"/>
      <c r="AH386" s="548"/>
      <c r="AI386" s="548">
        <v>40</v>
      </c>
      <c r="AJ386" s="548"/>
      <c r="AK386" s="548"/>
      <c r="AL386" s="548"/>
      <c r="AM386" s="548">
        <f>SUM(AG386:AL386)</f>
        <v>40</v>
      </c>
      <c r="AN386" s="481"/>
      <c r="AO386" s="481"/>
      <c r="AP386" s="481">
        <v>40</v>
      </c>
      <c r="AQ386" s="481"/>
      <c r="AR386" s="481"/>
      <c r="AS386" s="481"/>
      <c r="AT386" s="481"/>
      <c r="AU386" s="481">
        <f>SUM(AN386:AT386)</f>
        <v>40</v>
      </c>
      <c r="AV386" s="548"/>
      <c r="AW386" s="548"/>
      <c r="AX386" s="548">
        <v>40</v>
      </c>
      <c r="AY386" s="548"/>
      <c r="AZ386" s="548"/>
      <c r="BA386" s="548"/>
      <c r="BB386" s="548"/>
      <c r="BC386" s="548">
        <f>SUM(AV386:BB386)</f>
        <v>40</v>
      </c>
      <c r="BD386" s="42">
        <f t="shared" si="249"/>
        <v>0</v>
      </c>
      <c r="BE386" s="42">
        <f t="shared" si="249"/>
        <v>0</v>
      </c>
      <c r="BF386" s="42">
        <f t="shared" si="249"/>
        <v>140</v>
      </c>
      <c r="BG386" s="42">
        <f t="shared" si="249"/>
        <v>0</v>
      </c>
      <c r="BH386" s="42">
        <f t="shared" si="249"/>
        <v>0</v>
      </c>
      <c r="BI386" s="42">
        <f t="shared" si="202"/>
        <v>0</v>
      </c>
      <c r="BJ386" s="42">
        <f t="shared" si="250"/>
        <v>0</v>
      </c>
      <c r="BK386" s="42">
        <f t="shared" si="250"/>
        <v>140</v>
      </c>
    </row>
    <row r="387" spans="1:63" ht="409.6" x14ac:dyDescent="0.25">
      <c r="A387" s="298" t="s">
        <v>1135</v>
      </c>
      <c r="B387" s="299" t="s">
        <v>1132</v>
      </c>
      <c r="C387" s="1547"/>
      <c r="D387" s="1549"/>
      <c r="E387" s="1549"/>
      <c r="F387" s="1549"/>
      <c r="G387" s="1549"/>
      <c r="H387" s="1549"/>
      <c r="I387" s="1425" t="s">
        <v>53</v>
      </c>
      <c r="J387" s="1425"/>
      <c r="K387" s="1425" t="s">
        <v>1171</v>
      </c>
      <c r="L387" s="301" t="s">
        <v>1140</v>
      </c>
      <c r="M387" s="1425" t="s">
        <v>1102</v>
      </c>
      <c r="N387" s="476"/>
      <c r="O387" s="1425" t="s">
        <v>47</v>
      </c>
      <c r="P387" s="16" t="s">
        <v>1173</v>
      </c>
      <c r="Q387" s="302" t="s">
        <v>1174</v>
      </c>
      <c r="R387" s="303">
        <v>2015</v>
      </c>
      <c r="S387" s="303">
        <v>0</v>
      </c>
      <c r="T387" s="303">
        <v>0</v>
      </c>
      <c r="U387" s="572">
        <v>1</v>
      </c>
      <c r="V387" s="572">
        <v>0</v>
      </c>
      <c r="W387" s="572">
        <v>0</v>
      </c>
      <c r="X387" s="572">
        <f t="shared" si="248"/>
        <v>1</v>
      </c>
      <c r="Y387" s="481"/>
      <c r="Z387" s="481"/>
      <c r="AA387" s="491"/>
      <c r="AB387" s="481"/>
      <c r="AC387" s="481"/>
      <c r="AD387" s="481"/>
      <c r="AE387" s="481"/>
      <c r="AF387" s="481"/>
      <c r="AG387" s="548"/>
      <c r="AH387" s="548"/>
      <c r="AI387" s="548">
        <v>96</v>
      </c>
      <c r="AJ387" s="548"/>
      <c r="AK387" s="548"/>
      <c r="AL387" s="548"/>
      <c r="AM387" s="548"/>
      <c r="AN387" s="481"/>
      <c r="AO387" s="481"/>
      <c r="AP387" s="481"/>
      <c r="AQ387" s="481"/>
      <c r="AR387" s="481"/>
      <c r="AS387" s="481"/>
      <c r="AT387" s="481"/>
      <c r="AU387" s="481"/>
      <c r="AV387" s="548"/>
      <c r="AW387" s="548"/>
      <c r="AX387" s="548"/>
      <c r="AY387" s="548"/>
      <c r="AZ387" s="548"/>
      <c r="BA387" s="548"/>
      <c r="BB387" s="548"/>
      <c r="BC387" s="548"/>
      <c r="BD387" s="42">
        <f t="shared" si="249"/>
        <v>0</v>
      </c>
      <c r="BE387" s="42">
        <f t="shared" si="249"/>
        <v>0</v>
      </c>
      <c r="BF387" s="42">
        <f t="shared" si="249"/>
        <v>96</v>
      </c>
      <c r="BG387" s="42">
        <f t="shared" si="249"/>
        <v>0</v>
      </c>
      <c r="BH387" s="42">
        <f t="shared" si="249"/>
        <v>0</v>
      </c>
      <c r="BI387" s="42">
        <f t="shared" si="202"/>
        <v>0</v>
      </c>
      <c r="BJ387" s="42">
        <f t="shared" si="250"/>
        <v>0</v>
      </c>
      <c r="BK387" s="42">
        <f t="shared" si="250"/>
        <v>0</v>
      </c>
    </row>
    <row r="388" spans="1:63" ht="409.6" x14ac:dyDescent="0.25">
      <c r="A388" s="298" t="s">
        <v>1135</v>
      </c>
      <c r="B388" s="299" t="s">
        <v>1132</v>
      </c>
      <c r="C388" s="1547"/>
      <c r="D388" s="1549"/>
      <c r="E388" s="1549"/>
      <c r="F388" s="1549"/>
      <c r="G388" s="1549"/>
      <c r="H388" s="1549"/>
      <c r="I388" s="1425"/>
      <c r="J388" s="1425"/>
      <c r="K388" s="1425" t="s">
        <v>1175</v>
      </c>
      <c r="L388" s="301" t="s">
        <v>1140</v>
      </c>
      <c r="M388" s="1425" t="s">
        <v>1102</v>
      </c>
      <c r="N388" s="476"/>
      <c r="O388" s="1425" t="s">
        <v>73</v>
      </c>
      <c r="P388" s="16" t="s">
        <v>1176</v>
      </c>
      <c r="Q388" s="302" t="s">
        <v>1177</v>
      </c>
      <c r="R388" s="303">
        <v>2015</v>
      </c>
      <c r="S388" s="303">
        <v>0</v>
      </c>
      <c r="T388" s="303">
        <v>2</v>
      </c>
      <c r="U388" s="572">
        <v>2</v>
      </c>
      <c r="V388" s="572">
        <v>2</v>
      </c>
      <c r="W388" s="572">
        <v>2</v>
      </c>
      <c r="X388" s="572">
        <v>2</v>
      </c>
      <c r="Y388" s="481">
        <v>70</v>
      </c>
      <c r="Z388" s="481"/>
      <c r="AA388" s="481"/>
      <c r="AB388" s="481"/>
      <c r="AC388" s="481"/>
      <c r="AD388" s="481"/>
      <c r="AE388" s="481"/>
      <c r="AF388" s="481">
        <f t="shared" ref="AF388:AF402" si="251">SUM(Y388:AE388)</f>
        <v>70</v>
      </c>
      <c r="AG388" s="548">
        <v>40</v>
      </c>
      <c r="AH388" s="548"/>
      <c r="AI388" s="548"/>
      <c r="AJ388" s="548"/>
      <c r="AK388" s="548"/>
      <c r="AL388" s="548"/>
      <c r="AM388" s="548">
        <f t="shared" ref="AM388:AM397" si="252">SUM(AG388:AL388)</f>
        <v>40</v>
      </c>
      <c r="AN388" s="481">
        <v>40</v>
      </c>
      <c r="AO388" s="481"/>
      <c r="AP388" s="481"/>
      <c r="AQ388" s="481"/>
      <c r="AR388" s="481"/>
      <c r="AS388" s="481"/>
      <c r="AT388" s="481"/>
      <c r="AU388" s="481">
        <f t="shared" ref="AU388:AU402" si="253">SUM(AN388:AT388)</f>
        <v>40</v>
      </c>
      <c r="AV388" s="548">
        <v>40</v>
      </c>
      <c r="AW388" s="548"/>
      <c r="AX388" s="548"/>
      <c r="AY388" s="548"/>
      <c r="AZ388" s="548"/>
      <c r="BA388" s="548"/>
      <c r="BB388" s="548"/>
      <c r="BC388" s="548">
        <f t="shared" ref="BC388:BC402" si="254">SUM(AV388:BB388)</f>
        <v>40</v>
      </c>
      <c r="BD388" s="42">
        <f t="shared" si="249"/>
        <v>190</v>
      </c>
      <c r="BE388" s="42">
        <f t="shared" si="249"/>
        <v>0</v>
      </c>
      <c r="BF388" s="42">
        <f t="shared" si="249"/>
        <v>0</v>
      </c>
      <c r="BG388" s="42">
        <f t="shared" si="249"/>
        <v>0</v>
      </c>
      <c r="BH388" s="42">
        <f t="shared" si="249"/>
        <v>0</v>
      </c>
      <c r="BI388" s="42">
        <f t="shared" si="202"/>
        <v>0</v>
      </c>
      <c r="BJ388" s="42">
        <f t="shared" si="250"/>
        <v>0</v>
      </c>
      <c r="BK388" s="42">
        <f t="shared" si="250"/>
        <v>190</v>
      </c>
    </row>
    <row r="389" spans="1:63" ht="369.6" x14ac:dyDescent="0.25">
      <c r="A389" s="298" t="s">
        <v>1135</v>
      </c>
      <c r="B389" s="299" t="s">
        <v>1132</v>
      </c>
      <c r="C389" s="1547"/>
      <c r="D389" s="1549"/>
      <c r="E389" s="1549"/>
      <c r="F389" s="1549"/>
      <c r="G389" s="1549"/>
      <c r="H389" s="1549"/>
      <c r="I389" s="1425"/>
      <c r="J389" s="1425"/>
      <c r="K389" s="1425" t="s">
        <v>1178</v>
      </c>
      <c r="L389" s="301" t="s">
        <v>1140</v>
      </c>
      <c r="M389" s="1425" t="s">
        <v>497</v>
      </c>
      <c r="N389" s="476"/>
      <c r="O389" s="1425" t="s">
        <v>47</v>
      </c>
      <c r="P389" s="16" t="s">
        <v>1179</v>
      </c>
      <c r="Q389" s="302" t="s">
        <v>1180</v>
      </c>
      <c r="R389" s="303">
        <v>2015</v>
      </c>
      <c r="S389" s="303">
        <v>64</v>
      </c>
      <c r="T389" s="303">
        <v>65</v>
      </c>
      <c r="U389" s="572">
        <v>67</v>
      </c>
      <c r="V389" s="572">
        <v>70</v>
      </c>
      <c r="W389" s="572">
        <v>70</v>
      </c>
      <c r="X389" s="572">
        <v>70</v>
      </c>
      <c r="Y389" s="481"/>
      <c r="Z389" s="481"/>
      <c r="AA389" s="491">
        <v>20</v>
      </c>
      <c r="AB389" s="481"/>
      <c r="AC389" s="481"/>
      <c r="AD389" s="481"/>
      <c r="AE389" s="481"/>
      <c r="AF389" s="481">
        <f t="shared" si="251"/>
        <v>20</v>
      </c>
      <c r="AG389" s="548"/>
      <c r="AH389" s="548"/>
      <c r="AI389" s="548"/>
      <c r="AJ389" s="548"/>
      <c r="AK389" s="548"/>
      <c r="AL389" s="548"/>
      <c r="AM389" s="548">
        <f t="shared" si="252"/>
        <v>0</v>
      </c>
      <c r="AN389" s="481"/>
      <c r="AO389" s="481"/>
      <c r="AP389" s="481">
        <v>74</v>
      </c>
      <c r="AQ389" s="481"/>
      <c r="AR389" s="481"/>
      <c r="AS389" s="481"/>
      <c r="AT389" s="481"/>
      <c r="AU389" s="481">
        <f t="shared" si="253"/>
        <v>74</v>
      </c>
      <c r="AV389" s="548"/>
      <c r="AW389" s="548"/>
      <c r="AX389" s="548"/>
      <c r="AY389" s="548"/>
      <c r="AZ389" s="548"/>
      <c r="BA389" s="548"/>
      <c r="BB389" s="548"/>
      <c r="BC389" s="548">
        <f t="shared" si="254"/>
        <v>0</v>
      </c>
      <c r="BD389" s="42">
        <f t="shared" si="249"/>
        <v>0</v>
      </c>
      <c r="BE389" s="42">
        <f t="shared" si="249"/>
        <v>0</v>
      </c>
      <c r="BF389" s="42">
        <f t="shared" si="249"/>
        <v>94</v>
      </c>
      <c r="BG389" s="42">
        <f t="shared" si="249"/>
        <v>0</v>
      </c>
      <c r="BH389" s="42">
        <f t="shared" si="249"/>
        <v>0</v>
      </c>
      <c r="BI389" s="42">
        <f t="shared" si="202"/>
        <v>0</v>
      </c>
      <c r="BJ389" s="42">
        <f t="shared" si="250"/>
        <v>0</v>
      </c>
      <c r="BK389" s="42">
        <f t="shared" si="250"/>
        <v>94</v>
      </c>
    </row>
    <row r="390" spans="1:63" ht="224.4" x14ac:dyDescent="0.25">
      <c r="A390" s="298" t="s">
        <v>1135</v>
      </c>
      <c r="B390" s="299" t="s">
        <v>1132</v>
      </c>
      <c r="C390" s="1547"/>
      <c r="D390" s="1549"/>
      <c r="E390" s="1549"/>
      <c r="F390" s="1549"/>
      <c r="G390" s="1549"/>
      <c r="H390" s="1549"/>
      <c r="I390" s="1425"/>
      <c r="J390" s="1425"/>
      <c r="K390" s="1425" t="s">
        <v>1181</v>
      </c>
      <c r="L390" s="301" t="s">
        <v>1140</v>
      </c>
      <c r="M390" s="1425" t="s">
        <v>497</v>
      </c>
      <c r="N390" s="476"/>
      <c r="O390" s="1425" t="s">
        <v>47</v>
      </c>
      <c r="P390" s="16" t="s">
        <v>1184</v>
      </c>
      <c r="Q390" s="302" t="s">
        <v>1185</v>
      </c>
      <c r="R390" s="303">
        <v>2015</v>
      </c>
      <c r="S390" s="303">
        <v>1</v>
      </c>
      <c r="T390" s="303">
        <v>1</v>
      </c>
      <c r="U390" s="572">
        <v>1</v>
      </c>
      <c r="V390" s="572">
        <v>1</v>
      </c>
      <c r="W390" s="572">
        <v>1</v>
      </c>
      <c r="X390" s="572">
        <f t="shared" si="248"/>
        <v>4</v>
      </c>
      <c r="Y390" s="481">
        <f>20.2+57</f>
        <v>77.2</v>
      </c>
      <c r="Z390" s="481"/>
      <c r="AA390" s="491">
        <v>20</v>
      </c>
      <c r="AB390" s="481"/>
      <c r="AC390" s="481"/>
      <c r="AD390" s="481"/>
      <c r="AE390" s="481"/>
      <c r="AF390" s="481">
        <f t="shared" si="251"/>
        <v>97.2</v>
      </c>
      <c r="AG390" s="548">
        <v>100</v>
      </c>
      <c r="AH390" s="548"/>
      <c r="AI390" s="548">
        <v>100</v>
      </c>
      <c r="AJ390" s="548"/>
      <c r="AK390" s="548"/>
      <c r="AL390" s="548"/>
      <c r="AM390" s="548">
        <f t="shared" si="252"/>
        <v>200</v>
      </c>
      <c r="AN390" s="481">
        <v>100</v>
      </c>
      <c r="AO390" s="481"/>
      <c r="AP390" s="481">
        <v>120</v>
      </c>
      <c r="AQ390" s="481"/>
      <c r="AR390" s="481"/>
      <c r="AS390" s="481"/>
      <c r="AT390" s="481"/>
      <c r="AU390" s="481">
        <f t="shared" si="253"/>
        <v>220</v>
      </c>
      <c r="AV390" s="548">
        <v>100</v>
      </c>
      <c r="AW390" s="548"/>
      <c r="AX390" s="548">
        <v>120</v>
      </c>
      <c r="AY390" s="548"/>
      <c r="AZ390" s="548"/>
      <c r="BA390" s="548"/>
      <c r="BB390" s="548"/>
      <c r="BC390" s="548">
        <f t="shared" si="254"/>
        <v>220</v>
      </c>
      <c r="BD390" s="42">
        <f t="shared" si="249"/>
        <v>377.2</v>
      </c>
      <c r="BE390" s="42">
        <f t="shared" si="249"/>
        <v>0</v>
      </c>
      <c r="BF390" s="42">
        <f t="shared" si="249"/>
        <v>360</v>
      </c>
      <c r="BG390" s="42">
        <f t="shared" si="249"/>
        <v>0</v>
      </c>
      <c r="BH390" s="42">
        <f t="shared" si="249"/>
        <v>0</v>
      </c>
      <c r="BI390" s="42">
        <f t="shared" si="202"/>
        <v>0</v>
      </c>
      <c r="BJ390" s="42">
        <f t="shared" si="250"/>
        <v>0</v>
      </c>
      <c r="BK390" s="42">
        <f t="shared" si="250"/>
        <v>737.2</v>
      </c>
    </row>
    <row r="391" spans="1:63" ht="224.4" x14ac:dyDescent="0.25">
      <c r="A391" s="298" t="s">
        <v>1135</v>
      </c>
      <c r="B391" s="299" t="s">
        <v>1132</v>
      </c>
      <c r="C391" s="1547"/>
      <c r="D391" s="1549"/>
      <c r="E391" s="1549"/>
      <c r="F391" s="1549"/>
      <c r="G391" s="1549"/>
      <c r="H391" s="1549"/>
      <c r="I391" s="1425"/>
      <c r="J391" s="1425"/>
      <c r="K391" s="1425" t="s">
        <v>1186</v>
      </c>
      <c r="L391" s="301" t="s">
        <v>1140</v>
      </c>
      <c r="M391" s="1425" t="s">
        <v>497</v>
      </c>
      <c r="N391" s="476"/>
      <c r="O391" s="1425" t="s">
        <v>73</v>
      </c>
      <c r="P391" s="16" t="s">
        <v>1187</v>
      </c>
      <c r="Q391" s="302" t="s">
        <v>1188</v>
      </c>
      <c r="R391" s="303">
        <v>2015</v>
      </c>
      <c r="S391" s="303">
        <v>97.65</v>
      </c>
      <c r="T391" s="303">
        <v>90</v>
      </c>
      <c r="U391" s="572">
        <v>90</v>
      </c>
      <c r="V391" s="572">
        <v>90</v>
      </c>
      <c r="W391" s="572">
        <v>90</v>
      </c>
      <c r="X391" s="572">
        <v>90</v>
      </c>
      <c r="Y391" s="481"/>
      <c r="Z391" s="481"/>
      <c r="AA391" s="491">
        <v>130</v>
      </c>
      <c r="AB391" s="481"/>
      <c r="AC391" s="481"/>
      <c r="AD391" s="481"/>
      <c r="AE391" s="481"/>
      <c r="AF391" s="481">
        <f t="shared" si="251"/>
        <v>130</v>
      </c>
      <c r="AG391" s="548"/>
      <c r="AH391" s="548"/>
      <c r="AI391" s="548">
        <v>20</v>
      </c>
      <c r="AJ391" s="548"/>
      <c r="AK391" s="548"/>
      <c r="AL391" s="548"/>
      <c r="AM391" s="548">
        <f t="shared" si="252"/>
        <v>20</v>
      </c>
      <c r="AN391" s="481"/>
      <c r="AO391" s="481"/>
      <c r="AP391" s="481">
        <v>20</v>
      </c>
      <c r="AQ391" s="481"/>
      <c r="AR391" s="481"/>
      <c r="AS391" s="481"/>
      <c r="AT391" s="481"/>
      <c r="AU391" s="481">
        <f t="shared" si="253"/>
        <v>20</v>
      </c>
      <c r="AV391" s="548"/>
      <c r="AW391" s="548"/>
      <c r="AX391" s="548">
        <v>50</v>
      </c>
      <c r="AY391" s="548"/>
      <c r="AZ391" s="548"/>
      <c r="BA391" s="548"/>
      <c r="BB391" s="548"/>
      <c r="BC391" s="548">
        <f t="shared" si="254"/>
        <v>50</v>
      </c>
      <c r="BD391" s="42">
        <f t="shared" si="249"/>
        <v>0</v>
      </c>
      <c r="BE391" s="42">
        <f t="shared" si="249"/>
        <v>0</v>
      </c>
      <c r="BF391" s="42">
        <f t="shared" si="249"/>
        <v>220</v>
      </c>
      <c r="BG391" s="42">
        <f t="shared" si="249"/>
        <v>0</v>
      </c>
      <c r="BH391" s="42">
        <f t="shared" si="249"/>
        <v>0</v>
      </c>
      <c r="BI391" s="42">
        <f t="shared" si="202"/>
        <v>0</v>
      </c>
      <c r="BJ391" s="42">
        <f t="shared" si="250"/>
        <v>0</v>
      </c>
      <c r="BK391" s="42">
        <f t="shared" si="250"/>
        <v>220</v>
      </c>
    </row>
    <row r="392" spans="1:63" ht="250.8" x14ac:dyDescent="0.25">
      <c r="A392" s="298" t="s">
        <v>1135</v>
      </c>
      <c r="B392" s="299" t="s">
        <v>1132</v>
      </c>
      <c r="C392" s="1547"/>
      <c r="D392" s="1549"/>
      <c r="E392" s="1549"/>
      <c r="F392" s="1549"/>
      <c r="G392" s="1549"/>
      <c r="H392" s="1549"/>
      <c r="I392" s="1425"/>
      <c r="J392" s="1425"/>
      <c r="K392" s="1425" t="s">
        <v>1189</v>
      </c>
      <c r="L392" s="301" t="s">
        <v>1140</v>
      </c>
      <c r="M392" s="1425" t="s">
        <v>497</v>
      </c>
      <c r="N392" s="476"/>
      <c r="O392" s="1425" t="s">
        <v>73</v>
      </c>
      <c r="P392" s="16" t="s">
        <v>1190</v>
      </c>
      <c r="Q392" s="302" t="s">
        <v>1191</v>
      </c>
      <c r="R392" s="303">
        <v>2015</v>
      </c>
      <c r="S392" s="303">
        <v>0</v>
      </c>
      <c r="T392" s="303">
        <v>1</v>
      </c>
      <c r="U392" s="572">
        <v>1</v>
      </c>
      <c r="V392" s="572">
        <v>1</v>
      </c>
      <c r="W392" s="572">
        <v>1</v>
      </c>
      <c r="X392" s="572">
        <v>1</v>
      </c>
      <c r="Y392" s="481"/>
      <c r="Z392" s="481"/>
      <c r="AA392" s="491">
        <v>6</v>
      </c>
      <c r="AB392" s="481"/>
      <c r="AC392" s="481"/>
      <c r="AD392" s="481"/>
      <c r="AE392" s="481"/>
      <c r="AF392" s="481">
        <f t="shared" si="251"/>
        <v>6</v>
      </c>
      <c r="AG392" s="548"/>
      <c r="AH392" s="548"/>
      <c r="AI392" s="548"/>
      <c r="AJ392" s="548"/>
      <c r="AK392" s="548"/>
      <c r="AL392" s="548"/>
      <c r="AM392" s="548">
        <f t="shared" si="252"/>
        <v>0</v>
      </c>
      <c r="AN392" s="481"/>
      <c r="AO392" s="481"/>
      <c r="AP392" s="481"/>
      <c r="AQ392" s="481"/>
      <c r="AR392" s="481"/>
      <c r="AS392" s="481"/>
      <c r="AT392" s="481"/>
      <c r="AU392" s="481">
        <f t="shared" si="253"/>
        <v>0</v>
      </c>
      <c r="AV392" s="548"/>
      <c r="AW392" s="548"/>
      <c r="AX392" s="548">
        <v>53</v>
      </c>
      <c r="AY392" s="548"/>
      <c r="AZ392" s="548"/>
      <c r="BA392" s="548"/>
      <c r="BB392" s="548"/>
      <c r="BC392" s="548">
        <f t="shared" si="254"/>
        <v>53</v>
      </c>
      <c r="BD392" s="42">
        <f t="shared" si="249"/>
        <v>0</v>
      </c>
      <c r="BE392" s="42">
        <f t="shared" si="249"/>
        <v>0</v>
      </c>
      <c r="BF392" s="42">
        <f t="shared" si="249"/>
        <v>59</v>
      </c>
      <c r="BG392" s="42">
        <f t="shared" si="249"/>
        <v>0</v>
      </c>
      <c r="BH392" s="42">
        <f t="shared" si="249"/>
        <v>0</v>
      </c>
      <c r="BI392" s="42">
        <f t="shared" si="202"/>
        <v>0</v>
      </c>
      <c r="BJ392" s="42">
        <f t="shared" si="250"/>
        <v>0</v>
      </c>
      <c r="BK392" s="42">
        <f t="shared" si="250"/>
        <v>59</v>
      </c>
    </row>
    <row r="393" spans="1:63" ht="224.4" x14ac:dyDescent="0.25">
      <c r="A393" s="298" t="s">
        <v>1135</v>
      </c>
      <c r="B393" s="299" t="s">
        <v>1132</v>
      </c>
      <c r="C393" s="1547"/>
      <c r="D393" s="1549"/>
      <c r="E393" s="1549"/>
      <c r="F393" s="1549"/>
      <c r="G393" s="1549"/>
      <c r="H393" s="1549"/>
      <c r="I393" s="1425"/>
      <c r="J393" s="1425"/>
      <c r="K393" s="1425" t="s">
        <v>1192</v>
      </c>
      <c r="L393" s="301" t="s">
        <v>1140</v>
      </c>
      <c r="M393" s="1425" t="s">
        <v>497</v>
      </c>
      <c r="N393" s="476"/>
      <c r="O393" s="1425" t="s">
        <v>47</v>
      </c>
      <c r="P393" s="16" t="s">
        <v>1193</v>
      </c>
      <c r="Q393" s="302" t="s">
        <v>966</v>
      </c>
      <c r="R393" s="303">
        <v>2015</v>
      </c>
      <c r="S393" s="303">
        <v>0</v>
      </c>
      <c r="T393" s="303">
        <v>0</v>
      </c>
      <c r="U393" s="572">
        <v>0</v>
      </c>
      <c r="V393" s="572">
        <v>1</v>
      </c>
      <c r="W393" s="572">
        <v>1</v>
      </c>
      <c r="X393" s="572">
        <f t="shared" si="248"/>
        <v>2</v>
      </c>
      <c r="Y393" s="481"/>
      <c r="Z393" s="481"/>
      <c r="AA393" s="481"/>
      <c r="AB393" s="481"/>
      <c r="AC393" s="481"/>
      <c r="AD393" s="481"/>
      <c r="AE393" s="481"/>
      <c r="AF393" s="481">
        <f t="shared" si="251"/>
        <v>0</v>
      </c>
      <c r="AG393" s="548"/>
      <c r="AH393" s="548"/>
      <c r="AI393" s="548"/>
      <c r="AJ393" s="548"/>
      <c r="AK393" s="548"/>
      <c r="AL393" s="548"/>
      <c r="AM393" s="548">
        <f t="shared" si="252"/>
        <v>0</v>
      </c>
      <c r="AN393" s="481"/>
      <c r="AO393" s="481"/>
      <c r="AP393" s="481"/>
      <c r="AQ393" s="481"/>
      <c r="AR393" s="481"/>
      <c r="AS393" s="481"/>
      <c r="AT393" s="481"/>
      <c r="AU393" s="481">
        <f t="shared" si="253"/>
        <v>0</v>
      </c>
      <c r="AV393" s="548"/>
      <c r="AW393" s="548"/>
      <c r="AX393" s="548"/>
      <c r="AY393" s="548"/>
      <c r="AZ393" s="548"/>
      <c r="BA393" s="548"/>
      <c r="BB393" s="548"/>
      <c r="BC393" s="548">
        <f t="shared" si="254"/>
        <v>0</v>
      </c>
      <c r="BD393" s="42">
        <f t="shared" si="249"/>
        <v>0</v>
      </c>
      <c r="BE393" s="42">
        <f t="shared" si="249"/>
        <v>0</v>
      </c>
      <c r="BF393" s="42">
        <f t="shared" si="249"/>
        <v>0</v>
      </c>
      <c r="BG393" s="42">
        <f t="shared" si="249"/>
        <v>0</v>
      </c>
      <c r="BH393" s="42">
        <f t="shared" si="249"/>
        <v>0</v>
      </c>
      <c r="BI393" s="42">
        <f t="shared" si="202"/>
        <v>0</v>
      </c>
      <c r="BJ393" s="42">
        <f t="shared" si="250"/>
        <v>0</v>
      </c>
      <c r="BK393" s="42">
        <f t="shared" si="250"/>
        <v>0</v>
      </c>
    </row>
    <row r="394" spans="1:63" ht="264" x14ac:dyDescent="0.25">
      <c r="A394" s="298" t="s">
        <v>1135</v>
      </c>
      <c r="B394" s="299" t="s">
        <v>1132</v>
      </c>
      <c r="C394" s="1547"/>
      <c r="D394" s="1549"/>
      <c r="E394" s="1549"/>
      <c r="F394" s="1549"/>
      <c r="G394" s="1549"/>
      <c r="H394" s="1549"/>
      <c r="I394" s="1425"/>
      <c r="J394" s="1425"/>
      <c r="K394" s="1425" t="s">
        <v>1194</v>
      </c>
      <c r="L394" s="301" t="s">
        <v>1140</v>
      </c>
      <c r="M394" s="1425" t="s">
        <v>497</v>
      </c>
      <c r="N394" s="476"/>
      <c r="O394" s="1425" t="s">
        <v>47</v>
      </c>
      <c r="P394" s="16" t="s">
        <v>1195</v>
      </c>
      <c r="Q394" s="302" t="s">
        <v>1196</v>
      </c>
      <c r="R394" s="303">
        <v>2015</v>
      </c>
      <c r="S394" s="303">
        <v>0</v>
      </c>
      <c r="T394" s="303">
        <v>1</v>
      </c>
      <c r="U394" s="572">
        <v>0</v>
      </c>
      <c r="V394" s="572">
        <v>1</v>
      </c>
      <c r="W394" s="572">
        <v>0</v>
      </c>
      <c r="X394" s="572">
        <f t="shared" si="248"/>
        <v>2</v>
      </c>
      <c r="Y394" s="481"/>
      <c r="Z394" s="481"/>
      <c r="AA394" s="491">
        <v>0.5</v>
      </c>
      <c r="AB394" s="481"/>
      <c r="AC394" s="481"/>
      <c r="AD394" s="481"/>
      <c r="AE394" s="481"/>
      <c r="AF394" s="481">
        <f t="shared" si="251"/>
        <v>0.5</v>
      </c>
      <c r="AG394" s="548"/>
      <c r="AH394" s="548"/>
      <c r="AI394" s="548"/>
      <c r="AJ394" s="548"/>
      <c r="AK394" s="548"/>
      <c r="AL394" s="548"/>
      <c r="AM394" s="548">
        <f t="shared" si="252"/>
        <v>0</v>
      </c>
      <c r="AN394" s="481"/>
      <c r="AO394" s="481"/>
      <c r="AP394" s="481"/>
      <c r="AQ394" s="481"/>
      <c r="AR394" s="481"/>
      <c r="AS394" s="481"/>
      <c r="AT394" s="481"/>
      <c r="AU394" s="481">
        <f t="shared" si="253"/>
        <v>0</v>
      </c>
      <c r="AV394" s="548"/>
      <c r="AW394" s="548"/>
      <c r="AX394" s="548"/>
      <c r="AY394" s="548"/>
      <c r="AZ394" s="548"/>
      <c r="BA394" s="548"/>
      <c r="BB394" s="548"/>
      <c r="BC394" s="548">
        <f t="shared" si="254"/>
        <v>0</v>
      </c>
      <c r="BD394" s="42">
        <f t="shared" si="249"/>
        <v>0</v>
      </c>
      <c r="BE394" s="42">
        <f t="shared" si="249"/>
        <v>0</v>
      </c>
      <c r="BF394" s="42">
        <f t="shared" si="249"/>
        <v>0.5</v>
      </c>
      <c r="BG394" s="42">
        <f t="shared" si="249"/>
        <v>0</v>
      </c>
      <c r="BH394" s="42">
        <f t="shared" si="249"/>
        <v>0</v>
      </c>
      <c r="BI394" s="42">
        <f t="shared" si="202"/>
        <v>0</v>
      </c>
      <c r="BJ394" s="42">
        <f t="shared" si="250"/>
        <v>0</v>
      </c>
      <c r="BK394" s="42">
        <f t="shared" si="250"/>
        <v>0.5</v>
      </c>
    </row>
    <row r="395" spans="1:63" ht="290.39999999999998" x14ac:dyDescent="0.25">
      <c r="A395" s="298" t="s">
        <v>1135</v>
      </c>
      <c r="B395" s="299" t="s">
        <v>1132</v>
      </c>
      <c r="C395" s="1547"/>
      <c r="D395" s="1549"/>
      <c r="E395" s="1549"/>
      <c r="F395" s="1549"/>
      <c r="G395" s="1549"/>
      <c r="H395" s="1549"/>
      <c r="I395" s="1425"/>
      <c r="J395" s="1425"/>
      <c r="K395" s="1425" t="s">
        <v>1197</v>
      </c>
      <c r="L395" s="301" t="s">
        <v>1140</v>
      </c>
      <c r="M395" s="1425" t="s">
        <v>1102</v>
      </c>
      <c r="N395" s="476"/>
      <c r="O395" s="1425" t="s">
        <v>47</v>
      </c>
      <c r="P395" s="16" t="s">
        <v>1198</v>
      </c>
      <c r="Q395" s="302" t="s">
        <v>1199</v>
      </c>
      <c r="R395" s="303">
        <v>2015</v>
      </c>
      <c r="S395" s="303">
        <v>1</v>
      </c>
      <c r="T395" s="303">
        <v>1</v>
      </c>
      <c r="U395" s="572">
        <v>1</v>
      </c>
      <c r="V395" s="572">
        <v>1</v>
      </c>
      <c r="W395" s="572">
        <v>1</v>
      </c>
      <c r="X395" s="572">
        <f t="shared" si="248"/>
        <v>4</v>
      </c>
      <c r="Y395" s="481"/>
      <c r="Z395" s="481"/>
      <c r="AA395" s="481">
        <v>10</v>
      </c>
      <c r="AB395" s="481"/>
      <c r="AC395" s="481"/>
      <c r="AD395" s="481"/>
      <c r="AE395" s="481"/>
      <c r="AF395" s="481">
        <f t="shared" si="251"/>
        <v>10</v>
      </c>
      <c r="AG395" s="548">
        <v>10</v>
      </c>
      <c r="AH395" s="548"/>
      <c r="AI395" s="548"/>
      <c r="AJ395" s="548"/>
      <c r="AK395" s="548"/>
      <c r="AL395" s="548"/>
      <c r="AM395" s="548">
        <f t="shared" si="252"/>
        <v>10</v>
      </c>
      <c r="AN395" s="481">
        <v>10</v>
      </c>
      <c r="AO395" s="481"/>
      <c r="AP395" s="481">
        <v>10</v>
      </c>
      <c r="AQ395" s="481"/>
      <c r="AR395" s="481"/>
      <c r="AS395" s="481"/>
      <c r="AT395" s="481"/>
      <c r="AU395" s="481">
        <f t="shared" si="253"/>
        <v>20</v>
      </c>
      <c r="AV395" s="548">
        <v>10</v>
      </c>
      <c r="AW395" s="548"/>
      <c r="AX395" s="548">
        <v>10</v>
      </c>
      <c r="AY395" s="548"/>
      <c r="AZ395" s="548"/>
      <c r="BA395" s="548"/>
      <c r="BB395" s="548"/>
      <c r="BC395" s="548">
        <f t="shared" si="254"/>
        <v>20</v>
      </c>
      <c r="BD395" s="42">
        <f t="shared" si="249"/>
        <v>30</v>
      </c>
      <c r="BE395" s="42">
        <f t="shared" si="249"/>
        <v>0</v>
      </c>
      <c r="BF395" s="42">
        <f t="shared" si="249"/>
        <v>30</v>
      </c>
      <c r="BG395" s="42">
        <f t="shared" si="249"/>
        <v>0</v>
      </c>
      <c r="BH395" s="42">
        <f t="shared" si="249"/>
        <v>0</v>
      </c>
      <c r="BI395" s="42">
        <f t="shared" si="202"/>
        <v>0</v>
      </c>
      <c r="BJ395" s="42">
        <f t="shared" si="250"/>
        <v>0</v>
      </c>
      <c r="BK395" s="42">
        <f t="shared" si="250"/>
        <v>60</v>
      </c>
    </row>
    <row r="396" spans="1:63" ht="343.2" x14ac:dyDescent="0.25">
      <c r="A396" s="298" t="s">
        <v>1135</v>
      </c>
      <c r="B396" s="299" t="s">
        <v>1132</v>
      </c>
      <c r="C396" s="1547"/>
      <c r="D396" s="1549"/>
      <c r="E396" s="1549"/>
      <c r="F396" s="1549"/>
      <c r="G396" s="1549"/>
      <c r="H396" s="1549"/>
      <c r="I396" s="1425"/>
      <c r="J396" s="1425"/>
      <c r="K396" s="1425" t="s">
        <v>1200</v>
      </c>
      <c r="L396" s="301" t="s">
        <v>1140</v>
      </c>
      <c r="M396" s="1425" t="s">
        <v>497</v>
      </c>
      <c r="N396" s="476"/>
      <c r="O396" s="1425" t="s">
        <v>47</v>
      </c>
      <c r="P396" s="16" t="s">
        <v>1201</v>
      </c>
      <c r="Q396" s="302" t="s">
        <v>1202</v>
      </c>
      <c r="R396" s="303">
        <v>2015</v>
      </c>
      <c r="S396" s="303">
        <v>0</v>
      </c>
      <c r="T396" s="303">
        <v>0</v>
      </c>
      <c r="U396" s="572">
        <v>1</v>
      </c>
      <c r="V396" s="572">
        <v>1</v>
      </c>
      <c r="W396" s="572">
        <v>0</v>
      </c>
      <c r="X396" s="572">
        <f t="shared" si="248"/>
        <v>2</v>
      </c>
      <c r="Y396" s="481"/>
      <c r="Z396" s="481"/>
      <c r="AA396" s="481">
        <v>0</v>
      </c>
      <c r="AB396" s="481"/>
      <c r="AC396" s="481"/>
      <c r="AD396" s="481"/>
      <c r="AE396" s="481"/>
      <c r="AF396" s="481">
        <f t="shared" si="251"/>
        <v>0</v>
      </c>
      <c r="AG396" s="548"/>
      <c r="AH396" s="548"/>
      <c r="AI396" s="548"/>
      <c r="AJ396" s="548"/>
      <c r="AK396" s="548"/>
      <c r="AL396" s="548"/>
      <c r="AM396" s="548">
        <f t="shared" si="252"/>
        <v>0</v>
      </c>
      <c r="AN396" s="481"/>
      <c r="AO396" s="481"/>
      <c r="AP396" s="481">
        <v>10</v>
      </c>
      <c r="AQ396" s="481"/>
      <c r="AR396" s="481"/>
      <c r="AS396" s="481"/>
      <c r="AT396" s="481"/>
      <c r="AU396" s="481">
        <f t="shared" si="253"/>
        <v>10</v>
      </c>
      <c r="AV396" s="548"/>
      <c r="AW396" s="548"/>
      <c r="AX396" s="548">
        <v>10</v>
      </c>
      <c r="AY396" s="548"/>
      <c r="AZ396" s="548"/>
      <c r="BA396" s="548"/>
      <c r="BB396" s="548"/>
      <c r="BC396" s="548">
        <f t="shared" si="254"/>
        <v>10</v>
      </c>
      <c r="BD396" s="42">
        <f t="shared" si="249"/>
        <v>0</v>
      </c>
      <c r="BE396" s="42">
        <f t="shared" si="249"/>
        <v>0</v>
      </c>
      <c r="BF396" s="42">
        <f t="shared" si="249"/>
        <v>20</v>
      </c>
      <c r="BG396" s="42">
        <f t="shared" si="249"/>
        <v>0</v>
      </c>
      <c r="BH396" s="42">
        <f t="shared" si="249"/>
        <v>0</v>
      </c>
      <c r="BI396" s="42">
        <f t="shared" si="202"/>
        <v>0</v>
      </c>
      <c r="BJ396" s="42">
        <f t="shared" si="250"/>
        <v>0</v>
      </c>
      <c r="BK396" s="42">
        <f t="shared" si="250"/>
        <v>20</v>
      </c>
    </row>
    <row r="397" spans="1:63" ht="277.2" x14ac:dyDescent="0.25">
      <c r="A397" s="298" t="s">
        <v>1135</v>
      </c>
      <c r="B397" s="299" t="s">
        <v>1132</v>
      </c>
      <c r="C397" s="1547"/>
      <c r="D397" s="1549"/>
      <c r="E397" s="1549"/>
      <c r="F397" s="1549"/>
      <c r="G397" s="1549"/>
      <c r="H397" s="1549"/>
      <c r="I397" s="1425"/>
      <c r="J397" s="1425"/>
      <c r="K397" s="1425" t="s">
        <v>1203</v>
      </c>
      <c r="L397" s="301" t="s">
        <v>1140</v>
      </c>
      <c r="M397" s="1425" t="s">
        <v>497</v>
      </c>
      <c r="N397" s="476"/>
      <c r="O397" s="1425" t="s">
        <v>47</v>
      </c>
      <c r="P397" s="16" t="s">
        <v>1204</v>
      </c>
      <c r="Q397" s="302" t="s">
        <v>1205</v>
      </c>
      <c r="R397" s="303">
        <v>2015</v>
      </c>
      <c r="S397" s="303">
        <v>0</v>
      </c>
      <c r="T397" s="303">
        <v>1</v>
      </c>
      <c r="U397" s="572">
        <v>1</v>
      </c>
      <c r="V397" s="572">
        <v>1</v>
      </c>
      <c r="W397" s="572">
        <v>1</v>
      </c>
      <c r="X397" s="572">
        <f t="shared" si="248"/>
        <v>4</v>
      </c>
      <c r="Y397" s="481"/>
      <c r="Z397" s="481"/>
      <c r="AA397" s="491">
        <v>1.5</v>
      </c>
      <c r="AB397" s="481"/>
      <c r="AC397" s="481"/>
      <c r="AD397" s="481"/>
      <c r="AE397" s="481"/>
      <c r="AF397" s="481">
        <f t="shared" si="251"/>
        <v>1.5</v>
      </c>
      <c r="AG397" s="548"/>
      <c r="AH397" s="548"/>
      <c r="AI397" s="548"/>
      <c r="AJ397" s="548"/>
      <c r="AK397" s="548"/>
      <c r="AL397" s="548"/>
      <c r="AM397" s="548">
        <f t="shared" si="252"/>
        <v>0</v>
      </c>
      <c r="AN397" s="481"/>
      <c r="AO397" s="481"/>
      <c r="AP397" s="481"/>
      <c r="AQ397" s="481"/>
      <c r="AR397" s="481"/>
      <c r="AS397" s="481"/>
      <c r="AT397" s="481"/>
      <c r="AU397" s="481">
        <f t="shared" si="253"/>
        <v>0</v>
      </c>
      <c r="AV397" s="548"/>
      <c r="AW397" s="548"/>
      <c r="AX397" s="548"/>
      <c r="AY397" s="548"/>
      <c r="AZ397" s="548"/>
      <c r="BA397" s="548"/>
      <c r="BB397" s="548"/>
      <c r="BC397" s="548">
        <f t="shared" si="254"/>
        <v>0</v>
      </c>
      <c r="BD397" s="42">
        <f t="shared" si="249"/>
        <v>0</v>
      </c>
      <c r="BE397" s="42">
        <f t="shared" si="249"/>
        <v>0</v>
      </c>
      <c r="BF397" s="42">
        <f t="shared" si="249"/>
        <v>1.5</v>
      </c>
      <c r="BG397" s="42">
        <f t="shared" si="249"/>
        <v>0</v>
      </c>
      <c r="BH397" s="42">
        <f t="shared" si="249"/>
        <v>0</v>
      </c>
      <c r="BI397" s="42">
        <f t="shared" si="202"/>
        <v>0</v>
      </c>
      <c r="BJ397" s="42">
        <f t="shared" si="250"/>
        <v>0</v>
      </c>
      <c r="BK397" s="42">
        <f t="shared" si="250"/>
        <v>1.5</v>
      </c>
    </row>
    <row r="398" spans="1:63" ht="330" x14ac:dyDescent="0.25">
      <c r="A398" s="298" t="s">
        <v>1135</v>
      </c>
      <c r="B398" s="299" t="s">
        <v>1132</v>
      </c>
      <c r="C398" s="1547"/>
      <c r="D398" s="1549"/>
      <c r="E398" s="1549"/>
      <c r="F398" s="1549"/>
      <c r="G398" s="1549"/>
      <c r="H398" s="1549"/>
      <c r="I398" s="1425"/>
      <c r="J398" s="1425"/>
      <c r="K398" s="1425" t="s">
        <v>1206</v>
      </c>
      <c r="L398" s="301" t="s">
        <v>1140</v>
      </c>
      <c r="M398" s="1425" t="s">
        <v>497</v>
      </c>
      <c r="N398" s="476"/>
      <c r="O398" s="1425" t="s">
        <v>47</v>
      </c>
      <c r="P398" s="16" t="s">
        <v>1207</v>
      </c>
      <c r="Q398" s="302" t="s">
        <v>1208</v>
      </c>
      <c r="R398" s="303">
        <v>2015</v>
      </c>
      <c r="S398" s="303">
        <v>0</v>
      </c>
      <c r="T398" s="303">
        <v>0</v>
      </c>
      <c r="U398" s="572">
        <v>1</v>
      </c>
      <c r="V398" s="572">
        <v>0</v>
      </c>
      <c r="W398" s="572">
        <v>1</v>
      </c>
      <c r="X398" s="572">
        <v>2</v>
      </c>
      <c r="Y398" s="481"/>
      <c r="Z398" s="481"/>
      <c r="AA398" s="481"/>
      <c r="AB398" s="481"/>
      <c r="AC398" s="481"/>
      <c r="AD398" s="481"/>
      <c r="AE398" s="481"/>
      <c r="AF398" s="481"/>
      <c r="AG398" s="548"/>
      <c r="AH398" s="548"/>
      <c r="AI398" s="548"/>
      <c r="AJ398" s="548"/>
      <c r="AK398" s="548"/>
      <c r="AL398" s="548"/>
      <c r="AM398" s="548"/>
      <c r="AN398" s="481"/>
      <c r="AO398" s="481"/>
      <c r="AP398" s="481"/>
      <c r="AQ398" s="481"/>
      <c r="AR398" s="481"/>
      <c r="AS398" s="481"/>
      <c r="AT398" s="481"/>
      <c r="AU398" s="481"/>
      <c r="AV398" s="548"/>
      <c r="AW398" s="548"/>
      <c r="AX398" s="548"/>
      <c r="AY398" s="548"/>
      <c r="AZ398" s="548"/>
      <c r="BA398" s="548"/>
      <c r="BB398" s="548"/>
      <c r="BC398" s="548"/>
      <c r="BD398" s="42"/>
      <c r="BE398" s="42"/>
      <c r="BF398" s="42"/>
      <c r="BG398" s="42"/>
      <c r="BH398" s="42"/>
      <c r="BI398" s="42">
        <f t="shared" si="202"/>
        <v>0</v>
      </c>
      <c r="BJ398" s="42"/>
      <c r="BK398" s="42"/>
    </row>
    <row r="399" spans="1:63" ht="224.4" x14ac:dyDescent="0.25">
      <c r="A399" s="298" t="s">
        <v>1135</v>
      </c>
      <c r="B399" s="299" t="s">
        <v>1132</v>
      </c>
      <c r="C399" s="1547"/>
      <c r="D399" s="1549"/>
      <c r="E399" s="1549"/>
      <c r="F399" s="1549"/>
      <c r="G399" s="1549"/>
      <c r="H399" s="1549"/>
      <c r="I399" s="1425"/>
      <c r="J399" s="1425"/>
      <c r="K399" s="1425" t="s">
        <v>1209</v>
      </c>
      <c r="L399" s="301" t="s">
        <v>1140</v>
      </c>
      <c r="M399" s="1425" t="s">
        <v>497</v>
      </c>
      <c r="N399" s="476"/>
      <c r="O399" s="1425" t="s">
        <v>47</v>
      </c>
      <c r="P399" s="16" t="s">
        <v>1210</v>
      </c>
      <c r="Q399" s="302" t="s">
        <v>1211</v>
      </c>
      <c r="R399" s="303">
        <v>2015</v>
      </c>
      <c r="S399" s="303">
        <v>0</v>
      </c>
      <c r="T399" s="303">
        <v>1</v>
      </c>
      <c r="U399" s="572">
        <v>1</v>
      </c>
      <c r="V399" s="572">
        <v>0</v>
      </c>
      <c r="W399" s="572">
        <v>0</v>
      </c>
      <c r="X399" s="572">
        <f t="shared" si="248"/>
        <v>2</v>
      </c>
      <c r="Y399" s="481"/>
      <c r="Z399" s="481"/>
      <c r="AA399" s="491">
        <v>1</v>
      </c>
      <c r="AB399" s="481"/>
      <c r="AC399" s="481"/>
      <c r="AD399" s="481"/>
      <c r="AE399" s="481"/>
      <c r="AF399" s="481">
        <f t="shared" si="251"/>
        <v>1</v>
      </c>
      <c r="AG399" s="548"/>
      <c r="AH399" s="548"/>
      <c r="AI399" s="548"/>
      <c r="AJ399" s="548"/>
      <c r="AK399" s="548"/>
      <c r="AL399" s="548"/>
      <c r="AM399" s="548">
        <f>SUM(AG399:AL399)</f>
        <v>0</v>
      </c>
      <c r="AN399" s="481"/>
      <c r="AO399" s="481"/>
      <c r="AP399" s="481"/>
      <c r="AQ399" s="481"/>
      <c r="AR399" s="481"/>
      <c r="AS399" s="481"/>
      <c r="AT399" s="481"/>
      <c r="AU399" s="481">
        <f t="shared" si="253"/>
        <v>0</v>
      </c>
      <c r="AV399" s="548"/>
      <c r="AW399" s="548"/>
      <c r="AX399" s="548"/>
      <c r="AY399" s="548"/>
      <c r="AZ399" s="548"/>
      <c r="BA399" s="548"/>
      <c r="BB399" s="548"/>
      <c r="BC399" s="548">
        <f t="shared" si="254"/>
        <v>0</v>
      </c>
      <c r="BD399" s="42">
        <f t="shared" ref="BD399:BH431" si="255">+AV399+AN399+AG399+Y399</f>
        <v>0</v>
      </c>
      <c r="BE399" s="42">
        <f t="shared" si="255"/>
        <v>0</v>
      </c>
      <c r="BF399" s="42">
        <f t="shared" si="255"/>
        <v>1</v>
      </c>
      <c r="BG399" s="42">
        <f t="shared" si="255"/>
        <v>0</v>
      </c>
      <c r="BH399" s="42">
        <f t="shared" si="255"/>
        <v>0</v>
      </c>
      <c r="BI399" s="42">
        <f t="shared" si="202"/>
        <v>0</v>
      </c>
      <c r="BJ399" s="42">
        <f t="shared" ref="BJ399:BK431" si="256">+BB399+AT399+AL399+AE399</f>
        <v>0</v>
      </c>
      <c r="BK399" s="42">
        <f t="shared" si="256"/>
        <v>1</v>
      </c>
    </row>
    <row r="400" spans="1:63" ht="250.8" x14ac:dyDescent="0.25">
      <c r="A400" s="298" t="s">
        <v>1135</v>
      </c>
      <c r="B400" s="299" t="s">
        <v>1132</v>
      </c>
      <c r="C400" s="1547"/>
      <c r="D400" s="1549"/>
      <c r="E400" s="1549"/>
      <c r="F400" s="1549"/>
      <c r="G400" s="1549"/>
      <c r="H400" s="1549"/>
      <c r="I400" s="1425"/>
      <c r="J400" s="1425"/>
      <c r="K400" s="1425" t="s">
        <v>1212</v>
      </c>
      <c r="L400" s="301" t="s">
        <v>1140</v>
      </c>
      <c r="M400" s="1425" t="s">
        <v>497</v>
      </c>
      <c r="N400" s="476"/>
      <c r="O400" s="1425" t="s">
        <v>47</v>
      </c>
      <c r="P400" s="16" t="s">
        <v>1213</v>
      </c>
      <c r="Q400" s="302" t="s">
        <v>1016</v>
      </c>
      <c r="R400" s="303">
        <v>2015</v>
      </c>
      <c r="S400" s="303">
        <v>0</v>
      </c>
      <c r="T400" s="303">
        <v>1</v>
      </c>
      <c r="U400" s="572">
        <v>1</v>
      </c>
      <c r="V400" s="572">
        <v>0</v>
      </c>
      <c r="W400" s="572">
        <v>0</v>
      </c>
      <c r="X400" s="572">
        <f>SUBTOTAL(9,T400:W400)</f>
        <v>2</v>
      </c>
      <c r="Y400" s="481"/>
      <c r="Z400" s="481"/>
      <c r="AA400" s="491">
        <v>1</v>
      </c>
      <c r="AB400" s="481"/>
      <c r="AC400" s="481"/>
      <c r="AD400" s="481"/>
      <c r="AE400" s="481"/>
      <c r="AF400" s="481">
        <f>SUM(Y400:AE400)</f>
        <v>1</v>
      </c>
      <c r="AG400" s="548"/>
      <c r="AH400" s="548"/>
      <c r="AI400" s="548"/>
      <c r="AJ400" s="548"/>
      <c r="AK400" s="548"/>
      <c r="AL400" s="548"/>
      <c r="AM400" s="548">
        <f>SUM(AG400:AL400)</f>
        <v>0</v>
      </c>
      <c r="AN400" s="481"/>
      <c r="AO400" s="481"/>
      <c r="AP400" s="481"/>
      <c r="AQ400" s="481"/>
      <c r="AR400" s="481"/>
      <c r="AS400" s="481"/>
      <c r="AT400" s="481"/>
      <c r="AU400" s="481">
        <f>SUM(AN400:AT400)</f>
        <v>0</v>
      </c>
      <c r="AV400" s="548"/>
      <c r="AW400" s="548"/>
      <c r="AX400" s="548"/>
      <c r="AY400" s="548"/>
      <c r="AZ400" s="548"/>
      <c r="BA400" s="548"/>
      <c r="BB400" s="548"/>
      <c r="BC400" s="548">
        <f>SUM(AV400:BB400)</f>
        <v>0</v>
      </c>
      <c r="BD400" s="42">
        <f>+AV400+AN400+AG400+Y400</f>
        <v>0</v>
      </c>
      <c r="BE400" s="42">
        <f>+AW400+AO400+AH400+Z400</f>
        <v>0</v>
      </c>
      <c r="BF400" s="42">
        <f>+AX400+AP400+AI400+AA400</f>
        <v>1</v>
      </c>
      <c r="BG400" s="42">
        <f>+AY400+AQ400+AJ400+AB400</f>
        <v>0</v>
      </c>
      <c r="BH400" s="42">
        <f>+AZ400+AR400+AK400+AC400</f>
        <v>0</v>
      </c>
      <c r="BI400" s="42">
        <f t="shared" si="202"/>
        <v>0</v>
      </c>
      <c r="BJ400" s="42">
        <f>+BB400+AT400+AL400+AE400</f>
        <v>0</v>
      </c>
      <c r="BK400" s="42">
        <f>+BC400+AU400+AM400+AF400</f>
        <v>1</v>
      </c>
    </row>
    <row r="401" spans="1:64" ht="250.8" x14ac:dyDescent="0.25">
      <c r="A401" s="298" t="s">
        <v>1135</v>
      </c>
      <c r="B401" s="299" t="s">
        <v>1132</v>
      </c>
      <c r="C401" s="1548"/>
      <c r="D401" s="1549"/>
      <c r="E401" s="1549"/>
      <c r="F401" s="1549"/>
      <c r="G401" s="1549"/>
      <c r="H401" s="1549"/>
      <c r="I401" s="1425"/>
      <c r="J401" s="1425"/>
      <c r="K401" s="1425" t="s">
        <v>1214</v>
      </c>
      <c r="L401" s="301" t="s">
        <v>1140</v>
      </c>
      <c r="M401" s="1425" t="s">
        <v>497</v>
      </c>
      <c r="N401" s="476"/>
      <c r="O401" s="1425" t="s">
        <v>47</v>
      </c>
      <c r="P401" s="16" t="s">
        <v>1215</v>
      </c>
      <c r="Q401" s="302" t="s">
        <v>1216</v>
      </c>
      <c r="R401" s="303">
        <v>2015</v>
      </c>
      <c r="S401" s="303">
        <v>0</v>
      </c>
      <c r="T401" s="303">
        <v>0</v>
      </c>
      <c r="U401" s="572">
        <v>1</v>
      </c>
      <c r="V401" s="572">
        <v>1</v>
      </c>
      <c r="W401" s="572">
        <v>0</v>
      </c>
      <c r="X401" s="572">
        <f t="shared" si="248"/>
        <v>2</v>
      </c>
      <c r="Y401" s="481"/>
      <c r="Z401" s="481"/>
      <c r="AA401" s="481"/>
      <c r="AB401" s="481"/>
      <c r="AC401" s="481"/>
      <c r="AD401" s="481"/>
      <c r="AE401" s="481"/>
      <c r="AF401" s="481">
        <f t="shared" si="251"/>
        <v>0</v>
      </c>
      <c r="AG401" s="548"/>
      <c r="AH401" s="548"/>
      <c r="AI401" s="548"/>
      <c r="AJ401" s="548"/>
      <c r="AK401" s="548"/>
      <c r="AL401" s="548"/>
      <c r="AM401" s="548">
        <f>SUM(AG401:AL401)</f>
        <v>0</v>
      </c>
      <c r="AN401" s="481"/>
      <c r="AO401" s="481"/>
      <c r="AP401" s="481"/>
      <c r="AQ401" s="481"/>
      <c r="AR401" s="481"/>
      <c r="AS401" s="481"/>
      <c r="AT401" s="481"/>
      <c r="AU401" s="481">
        <f t="shared" si="253"/>
        <v>0</v>
      </c>
      <c r="AV401" s="548"/>
      <c r="AW401" s="548"/>
      <c r="AX401" s="548"/>
      <c r="AY401" s="548"/>
      <c r="AZ401" s="548"/>
      <c r="BA401" s="548"/>
      <c r="BB401" s="548"/>
      <c r="BC401" s="548">
        <f t="shared" si="254"/>
        <v>0</v>
      </c>
      <c r="BD401" s="42">
        <f t="shared" si="255"/>
        <v>0</v>
      </c>
      <c r="BE401" s="42">
        <f t="shared" si="255"/>
        <v>0</v>
      </c>
      <c r="BF401" s="42">
        <f t="shared" si="255"/>
        <v>0</v>
      </c>
      <c r="BG401" s="42">
        <f t="shared" si="255"/>
        <v>0</v>
      </c>
      <c r="BH401" s="42">
        <f t="shared" si="255"/>
        <v>0</v>
      </c>
      <c r="BI401" s="42">
        <f t="shared" si="202"/>
        <v>0</v>
      </c>
      <c r="BJ401" s="42">
        <f t="shared" si="256"/>
        <v>0</v>
      </c>
      <c r="BK401" s="42">
        <f t="shared" si="256"/>
        <v>0</v>
      </c>
    </row>
    <row r="402" spans="1:64" ht="20.399999999999999" x14ac:dyDescent="0.25">
      <c r="A402" s="420"/>
      <c r="B402" s="1565" t="s">
        <v>1217</v>
      </c>
      <c r="C402" s="1566"/>
      <c r="D402" s="1566"/>
      <c r="E402" s="1566"/>
      <c r="F402" s="1566"/>
      <c r="G402" s="1566"/>
      <c r="H402" s="1566"/>
      <c r="I402" s="1566"/>
      <c r="J402" s="1566"/>
      <c r="K402" s="1566"/>
      <c r="L402" s="1566"/>
      <c r="M402" s="1567"/>
      <c r="N402" s="597"/>
      <c r="O402" s="597"/>
      <c r="P402" s="598"/>
      <c r="Q402" s="598"/>
      <c r="R402" s="597"/>
      <c r="S402" s="597"/>
      <c r="T402" s="597"/>
      <c r="U402" s="599"/>
      <c r="V402" s="599"/>
      <c r="W402" s="599"/>
      <c r="X402" s="599"/>
      <c r="Y402" s="600">
        <f>+Y403</f>
        <v>3</v>
      </c>
      <c r="Z402" s="600">
        <f t="shared" ref="Z402:AE402" si="257">+Z403</f>
        <v>0</v>
      </c>
      <c r="AA402" s="600">
        <f t="shared" si="257"/>
        <v>47</v>
      </c>
      <c r="AB402" s="600">
        <f t="shared" si="257"/>
        <v>0</v>
      </c>
      <c r="AC402" s="600">
        <f t="shared" si="257"/>
        <v>0</v>
      </c>
      <c r="AD402" s="600">
        <f t="shared" si="257"/>
        <v>0</v>
      </c>
      <c r="AE402" s="600">
        <f t="shared" si="257"/>
        <v>0</v>
      </c>
      <c r="AF402" s="600">
        <f t="shared" si="251"/>
        <v>50</v>
      </c>
      <c r="AG402" s="600">
        <f t="shared" ref="AG402:AL402" si="258">+AG403</f>
        <v>3</v>
      </c>
      <c r="AH402" s="600">
        <f t="shared" si="258"/>
        <v>0</v>
      </c>
      <c r="AI402" s="600">
        <f t="shared" si="258"/>
        <v>47</v>
      </c>
      <c r="AJ402" s="600">
        <f t="shared" si="258"/>
        <v>0</v>
      </c>
      <c r="AK402" s="600">
        <f t="shared" si="258"/>
        <v>0</v>
      </c>
      <c r="AL402" s="600">
        <f t="shared" si="258"/>
        <v>0</v>
      </c>
      <c r="AM402" s="600">
        <f>SUM(AG402:AL402)</f>
        <v>50</v>
      </c>
      <c r="AN402" s="600">
        <f t="shared" ref="AN402:AT402" si="259">+AN403</f>
        <v>3</v>
      </c>
      <c r="AO402" s="600">
        <f t="shared" si="259"/>
        <v>0</v>
      </c>
      <c r="AP402" s="600">
        <f t="shared" si="259"/>
        <v>47</v>
      </c>
      <c r="AQ402" s="600">
        <f t="shared" si="259"/>
        <v>0</v>
      </c>
      <c r="AR402" s="600">
        <f t="shared" si="259"/>
        <v>0</v>
      </c>
      <c r="AS402" s="600">
        <f t="shared" si="259"/>
        <v>0</v>
      </c>
      <c r="AT402" s="600">
        <f t="shared" si="259"/>
        <v>0</v>
      </c>
      <c r="AU402" s="600">
        <f t="shared" si="253"/>
        <v>50</v>
      </c>
      <c r="AV402" s="600">
        <f t="shared" ref="AV402:BB402" si="260">+AV403</f>
        <v>3</v>
      </c>
      <c r="AW402" s="600">
        <f t="shared" si="260"/>
        <v>0</v>
      </c>
      <c r="AX402" s="600">
        <f t="shared" si="260"/>
        <v>47</v>
      </c>
      <c r="AY402" s="600">
        <f t="shared" si="260"/>
        <v>0</v>
      </c>
      <c r="AZ402" s="600">
        <f t="shared" si="260"/>
        <v>0</v>
      </c>
      <c r="BA402" s="600">
        <f t="shared" si="260"/>
        <v>0</v>
      </c>
      <c r="BB402" s="600">
        <f t="shared" si="260"/>
        <v>0</v>
      </c>
      <c r="BC402" s="600">
        <f t="shared" si="254"/>
        <v>50</v>
      </c>
      <c r="BD402" s="33">
        <f t="shared" si="255"/>
        <v>12</v>
      </c>
      <c r="BE402" s="33">
        <f t="shared" si="255"/>
        <v>0</v>
      </c>
      <c r="BF402" s="33">
        <f t="shared" si="255"/>
        <v>188</v>
      </c>
      <c r="BG402" s="33">
        <f t="shared" si="255"/>
        <v>0</v>
      </c>
      <c r="BH402" s="33">
        <f t="shared" si="255"/>
        <v>0</v>
      </c>
      <c r="BI402" s="33">
        <f t="shared" si="202"/>
        <v>0</v>
      </c>
      <c r="BJ402" s="33">
        <f t="shared" si="256"/>
        <v>0</v>
      </c>
      <c r="BK402" s="33">
        <f t="shared" si="256"/>
        <v>200</v>
      </c>
    </row>
    <row r="403" spans="1:64" x14ac:dyDescent="0.25">
      <c r="A403" s="603"/>
      <c r="B403" s="155" t="s">
        <v>1218</v>
      </c>
      <c r="C403" s="155"/>
      <c r="D403" s="2" t="s">
        <v>1219</v>
      </c>
      <c r="E403" s="1"/>
      <c r="F403" s="1"/>
      <c r="G403" s="1"/>
      <c r="H403" s="1"/>
      <c r="I403" s="1"/>
      <c r="J403" s="1"/>
      <c r="K403" s="1"/>
      <c r="L403" s="1"/>
      <c r="M403" s="1"/>
      <c r="N403" s="1"/>
      <c r="O403" s="1"/>
      <c r="P403" s="22"/>
      <c r="Q403" s="22"/>
      <c r="R403" s="1"/>
      <c r="S403" s="1"/>
      <c r="T403" s="1"/>
      <c r="U403" s="49"/>
      <c r="V403" s="49"/>
      <c r="W403" s="49"/>
      <c r="X403" s="49"/>
      <c r="Y403" s="34">
        <f>SUM(Y404:Y414)</f>
        <v>3</v>
      </c>
      <c r="Z403" s="34">
        <f t="shared" ref="Z403:BC403" si="261">SUM(Z404:Z414)</f>
        <v>0</v>
      </c>
      <c r="AA403" s="34">
        <f t="shared" si="261"/>
        <v>47</v>
      </c>
      <c r="AB403" s="34">
        <f t="shared" si="261"/>
        <v>0</v>
      </c>
      <c r="AC403" s="34">
        <f t="shared" si="261"/>
        <v>0</v>
      </c>
      <c r="AD403" s="34">
        <f t="shared" si="261"/>
        <v>0</v>
      </c>
      <c r="AE403" s="34">
        <f t="shared" si="261"/>
        <v>0</v>
      </c>
      <c r="AF403" s="34">
        <f t="shared" si="261"/>
        <v>50</v>
      </c>
      <c r="AG403" s="34">
        <f t="shared" si="261"/>
        <v>3</v>
      </c>
      <c r="AH403" s="34">
        <f t="shared" si="261"/>
        <v>0</v>
      </c>
      <c r="AI403" s="34">
        <f t="shared" si="261"/>
        <v>47</v>
      </c>
      <c r="AJ403" s="34">
        <f t="shared" si="261"/>
        <v>0</v>
      </c>
      <c r="AK403" s="34">
        <f t="shared" si="261"/>
        <v>0</v>
      </c>
      <c r="AL403" s="34">
        <f t="shared" si="261"/>
        <v>0</v>
      </c>
      <c r="AM403" s="34">
        <f t="shared" si="261"/>
        <v>30</v>
      </c>
      <c r="AN403" s="34">
        <f t="shared" si="261"/>
        <v>3</v>
      </c>
      <c r="AO403" s="34">
        <f t="shared" si="261"/>
        <v>0</v>
      </c>
      <c r="AP403" s="34">
        <f t="shared" si="261"/>
        <v>47</v>
      </c>
      <c r="AQ403" s="34">
        <f t="shared" si="261"/>
        <v>0</v>
      </c>
      <c r="AR403" s="34">
        <f t="shared" si="261"/>
        <v>0</v>
      </c>
      <c r="AS403" s="34">
        <f t="shared" si="261"/>
        <v>0</v>
      </c>
      <c r="AT403" s="34">
        <f t="shared" si="261"/>
        <v>0</v>
      </c>
      <c r="AU403" s="34">
        <f t="shared" si="261"/>
        <v>50</v>
      </c>
      <c r="AV403" s="34">
        <f t="shared" si="261"/>
        <v>3</v>
      </c>
      <c r="AW403" s="34">
        <f t="shared" si="261"/>
        <v>0</v>
      </c>
      <c r="AX403" s="34">
        <f t="shared" si="261"/>
        <v>47</v>
      </c>
      <c r="AY403" s="34">
        <f t="shared" si="261"/>
        <v>0</v>
      </c>
      <c r="AZ403" s="34">
        <f t="shared" si="261"/>
        <v>0</v>
      </c>
      <c r="BA403" s="34">
        <f t="shared" si="261"/>
        <v>0</v>
      </c>
      <c r="BB403" s="34">
        <f t="shared" si="261"/>
        <v>0</v>
      </c>
      <c r="BC403" s="34">
        <f t="shared" si="261"/>
        <v>50</v>
      </c>
      <c r="BD403" s="34">
        <f t="shared" si="255"/>
        <v>12</v>
      </c>
      <c r="BE403" s="34">
        <f t="shared" si="255"/>
        <v>0</v>
      </c>
      <c r="BF403" s="34">
        <f t="shared" si="255"/>
        <v>188</v>
      </c>
      <c r="BG403" s="34">
        <f t="shared" si="255"/>
        <v>0</v>
      </c>
      <c r="BH403" s="34">
        <f t="shared" si="255"/>
        <v>0</v>
      </c>
      <c r="BI403" s="34">
        <f t="shared" si="202"/>
        <v>0</v>
      </c>
      <c r="BJ403" s="34">
        <f t="shared" si="256"/>
        <v>0</v>
      </c>
      <c r="BK403" s="34">
        <f t="shared" si="256"/>
        <v>180</v>
      </c>
    </row>
    <row r="404" spans="1:64" ht="237.6" x14ac:dyDescent="0.25">
      <c r="A404" s="298" t="s">
        <v>1220</v>
      </c>
      <c r="B404" s="299" t="s">
        <v>1218</v>
      </c>
      <c r="C404" s="1546" t="s">
        <v>1221</v>
      </c>
      <c r="D404" s="1549" t="s">
        <v>1222</v>
      </c>
      <c r="E404" s="1549" t="s">
        <v>1223</v>
      </c>
      <c r="F404" s="1549">
        <v>2015</v>
      </c>
      <c r="G404" s="1549" t="s">
        <v>177</v>
      </c>
      <c r="H404" s="1549">
        <v>70</v>
      </c>
      <c r="I404" s="1425"/>
      <c r="J404" s="1425"/>
      <c r="K404" s="1425" t="s">
        <v>1224</v>
      </c>
      <c r="L404" s="301" t="s">
        <v>1140</v>
      </c>
      <c r="M404" s="1425" t="s">
        <v>1225</v>
      </c>
      <c r="N404" s="1425" t="s">
        <v>1226</v>
      </c>
      <c r="O404" s="1425" t="s">
        <v>47</v>
      </c>
      <c r="P404" s="16" t="s">
        <v>1227</v>
      </c>
      <c r="Q404" s="302" t="s">
        <v>1228</v>
      </c>
      <c r="R404" s="303">
        <v>2015</v>
      </c>
      <c r="S404" s="303">
        <v>0</v>
      </c>
      <c r="T404" s="303">
        <v>1</v>
      </c>
      <c r="U404" s="303">
        <v>1</v>
      </c>
      <c r="V404" s="303">
        <v>1</v>
      </c>
      <c r="W404" s="303">
        <v>1</v>
      </c>
      <c r="X404" s="303">
        <v>4</v>
      </c>
      <c r="Y404" s="481">
        <v>0</v>
      </c>
      <c r="Z404" s="481">
        <v>0</v>
      </c>
      <c r="AA404" s="584">
        <v>7</v>
      </c>
      <c r="AB404" s="481">
        <v>0</v>
      </c>
      <c r="AC404" s="481">
        <v>0</v>
      </c>
      <c r="AD404" s="481">
        <v>0</v>
      </c>
      <c r="AE404" s="481">
        <v>0</v>
      </c>
      <c r="AF404" s="481">
        <f t="shared" ref="AF404:AF414" si="262">SUM(Y404:AE404)</f>
        <v>7</v>
      </c>
      <c r="AG404" s="548">
        <v>0</v>
      </c>
      <c r="AH404" s="548">
        <v>0</v>
      </c>
      <c r="AI404" s="592">
        <v>7</v>
      </c>
      <c r="AJ404" s="548">
        <v>0</v>
      </c>
      <c r="AK404" s="548">
        <v>0</v>
      </c>
      <c r="AL404" s="548">
        <v>0</v>
      </c>
      <c r="AM404" s="548">
        <f t="shared" ref="AM404:AM412" si="263">SUM(AG404:AL404)</f>
        <v>7</v>
      </c>
      <c r="AN404" s="481">
        <v>0</v>
      </c>
      <c r="AO404" s="481">
        <v>0</v>
      </c>
      <c r="AP404" s="584">
        <v>7</v>
      </c>
      <c r="AQ404" s="481">
        <v>0</v>
      </c>
      <c r="AR404" s="481">
        <v>0</v>
      </c>
      <c r="AS404" s="481">
        <v>0</v>
      </c>
      <c r="AT404" s="481">
        <v>0</v>
      </c>
      <c r="AU404" s="481">
        <f t="shared" ref="AU404:AU414" si="264">SUM(AN404:AT404)</f>
        <v>7</v>
      </c>
      <c r="AV404" s="548">
        <v>0</v>
      </c>
      <c r="AW404" s="548">
        <v>0</v>
      </c>
      <c r="AX404" s="592">
        <v>7</v>
      </c>
      <c r="AY404" s="548">
        <v>0</v>
      </c>
      <c r="AZ404" s="548">
        <v>0</v>
      </c>
      <c r="BA404" s="548">
        <v>0</v>
      </c>
      <c r="BB404" s="548">
        <v>0</v>
      </c>
      <c r="BC404" s="548">
        <f t="shared" ref="BC404:BC414" si="265">SUM(AV404:BB404)</f>
        <v>7</v>
      </c>
      <c r="BD404" s="42">
        <f t="shared" si="255"/>
        <v>0</v>
      </c>
      <c r="BE404" s="42">
        <f t="shared" si="255"/>
        <v>0</v>
      </c>
      <c r="BF404" s="35">
        <f t="shared" si="255"/>
        <v>28</v>
      </c>
      <c r="BG404" s="42">
        <f t="shared" si="255"/>
        <v>0</v>
      </c>
      <c r="BH404" s="42">
        <f t="shared" si="255"/>
        <v>0</v>
      </c>
      <c r="BI404" s="42">
        <f t="shared" ref="BI404:BI470" si="266">+AD404+AS404+BA404</f>
        <v>0</v>
      </c>
      <c r="BJ404" s="42">
        <f t="shared" si="256"/>
        <v>0</v>
      </c>
      <c r="BK404" s="42">
        <f t="shared" si="256"/>
        <v>28</v>
      </c>
      <c r="BL404" s="3"/>
    </row>
    <row r="405" spans="1:64" ht="224.4" x14ac:dyDescent="0.25">
      <c r="A405" s="298" t="s">
        <v>1220</v>
      </c>
      <c r="B405" s="299" t="s">
        <v>1218</v>
      </c>
      <c r="C405" s="1547"/>
      <c r="D405" s="1549"/>
      <c r="E405" s="1549"/>
      <c r="F405" s="1549"/>
      <c r="G405" s="1549"/>
      <c r="H405" s="1549"/>
      <c r="I405" s="1425"/>
      <c r="J405" s="1425"/>
      <c r="K405" s="1425" t="s">
        <v>1229</v>
      </c>
      <c r="L405" s="301" t="s">
        <v>1140</v>
      </c>
      <c r="M405" s="1425" t="s">
        <v>1225</v>
      </c>
      <c r="N405" s="1425" t="s">
        <v>1226</v>
      </c>
      <c r="O405" s="1425" t="s">
        <v>47</v>
      </c>
      <c r="P405" s="16" t="s">
        <v>1230</v>
      </c>
      <c r="Q405" s="302" t="s">
        <v>1231</v>
      </c>
      <c r="R405" s="303">
        <v>2015</v>
      </c>
      <c r="S405" s="303">
        <v>0</v>
      </c>
      <c r="T405" s="303">
        <v>1</v>
      </c>
      <c r="U405" s="303">
        <v>1</v>
      </c>
      <c r="V405" s="303">
        <v>1</v>
      </c>
      <c r="W405" s="303">
        <v>1</v>
      </c>
      <c r="X405" s="303">
        <v>4</v>
      </c>
      <c r="Y405" s="481">
        <v>0</v>
      </c>
      <c r="Z405" s="481">
        <v>0</v>
      </c>
      <c r="AA405" s="584">
        <v>0</v>
      </c>
      <c r="AB405" s="481">
        <v>0</v>
      </c>
      <c r="AC405" s="481">
        <v>0</v>
      </c>
      <c r="AD405" s="481">
        <v>0</v>
      </c>
      <c r="AE405" s="481">
        <v>0</v>
      </c>
      <c r="AF405" s="481">
        <f t="shared" si="262"/>
        <v>0</v>
      </c>
      <c r="AG405" s="548">
        <v>0</v>
      </c>
      <c r="AH405" s="548">
        <v>0</v>
      </c>
      <c r="AI405" s="592">
        <v>0</v>
      </c>
      <c r="AJ405" s="548">
        <v>0</v>
      </c>
      <c r="AK405" s="548">
        <v>0</v>
      </c>
      <c r="AL405" s="548">
        <v>0</v>
      </c>
      <c r="AM405" s="548">
        <f t="shared" si="263"/>
        <v>0</v>
      </c>
      <c r="AN405" s="481">
        <v>0</v>
      </c>
      <c r="AO405" s="481">
        <v>0</v>
      </c>
      <c r="AP405" s="584">
        <v>0</v>
      </c>
      <c r="AQ405" s="481">
        <v>0</v>
      </c>
      <c r="AR405" s="481">
        <v>0</v>
      </c>
      <c r="AS405" s="481">
        <v>0</v>
      </c>
      <c r="AT405" s="481">
        <v>0</v>
      </c>
      <c r="AU405" s="481">
        <f t="shared" si="264"/>
        <v>0</v>
      </c>
      <c r="AV405" s="548">
        <v>0</v>
      </c>
      <c r="AW405" s="548">
        <v>0</v>
      </c>
      <c r="AX405" s="592">
        <v>0</v>
      </c>
      <c r="AY405" s="548">
        <v>0</v>
      </c>
      <c r="AZ405" s="548">
        <v>0</v>
      </c>
      <c r="BA405" s="548">
        <v>0</v>
      </c>
      <c r="BB405" s="548">
        <v>0</v>
      </c>
      <c r="BC405" s="548">
        <f t="shared" si="265"/>
        <v>0</v>
      </c>
      <c r="BD405" s="42">
        <f t="shared" si="255"/>
        <v>0</v>
      </c>
      <c r="BE405" s="42">
        <f t="shared" si="255"/>
        <v>0</v>
      </c>
      <c r="BF405" s="35">
        <f t="shared" si="255"/>
        <v>0</v>
      </c>
      <c r="BG405" s="42">
        <f t="shared" si="255"/>
        <v>0</v>
      </c>
      <c r="BH405" s="42">
        <f t="shared" si="255"/>
        <v>0</v>
      </c>
      <c r="BI405" s="42">
        <f t="shared" si="266"/>
        <v>0</v>
      </c>
      <c r="BJ405" s="42">
        <f t="shared" si="256"/>
        <v>0</v>
      </c>
      <c r="BK405" s="42">
        <f t="shared" si="256"/>
        <v>0</v>
      </c>
      <c r="BL405" s="3"/>
    </row>
    <row r="406" spans="1:64" ht="316.8" x14ac:dyDescent="0.25">
      <c r="A406" s="298" t="s">
        <v>1220</v>
      </c>
      <c r="B406" s="299" t="s">
        <v>1218</v>
      </c>
      <c r="C406" s="1547"/>
      <c r="D406" s="1549"/>
      <c r="E406" s="1549"/>
      <c r="F406" s="1549"/>
      <c r="G406" s="1549"/>
      <c r="H406" s="1549"/>
      <c r="I406" s="1425"/>
      <c r="J406" s="1425"/>
      <c r="K406" s="1425" t="s">
        <v>1232</v>
      </c>
      <c r="L406" s="301" t="s">
        <v>1140</v>
      </c>
      <c r="M406" s="1425" t="s">
        <v>1225</v>
      </c>
      <c r="N406" s="1425" t="s">
        <v>1226</v>
      </c>
      <c r="O406" s="1425" t="s">
        <v>73</v>
      </c>
      <c r="P406" s="16" t="s">
        <v>1233</v>
      </c>
      <c r="Q406" s="302" t="s">
        <v>1234</v>
      </c>
      <c r="R406" s="303">
        <v>2015</v>
      </c>
      <c r="S406" s="303">
        <v>1</v>
      </c>
      <c r="T406" s="303">
        <v>1</v>
      </c>
      <c r="U406" s="303">
        <v>1</v>
      </c>
      <c r="V406" s="303">
        <v>1</v>
      </c>
      <c r="W406" s="303">
        <v>1</v>
      </c>
      <c r="X406" s="303">
        <v>1</v>
      </c>
      <c r="Y406" s="481"/>
      <c r="Z406" s="481"/>
      <c r="AA406" s="500">
        <v>5</v>
      </c>
      <c r="AB406" s="481"/>
      <c r="AC406" s="481"/>
      <c r="AD406" s="481"/>
      <c r="AE406" s="481"/>
      <c r="AF406" s="481">
        <f t="shared" si="262"/>
        <v>5</v>
      </c>
      <c r="AG406" s="548"/>
      <c r="AH406" s="548"/>
      <c r="AI406" s="592">
        <v>10</v>
      </c>
      <c r="AJ406" s="548"/>
      <c r="AK406" s="548"/>
      <c r="AL406" s="548"/>
      <c r="AM406" s="548">
        <f t="shared" si="263"/>
        <v>10</v>
      </c>
      <c r="AN406" s="481"/>
      <c r="AO406" s="481"/>
      <c r="AP406" s="584">
        <v>10</v>
      </c>
      <c r="AQ406" s="481"/>
      <c r="AR406" s="481"/>
      <c r="AS406" s="481"/>
      <c r="AT406" s="481"/>
      <c r="AU406" s="481">
        <f t="shared" si="264"/>
        <v>10</v>
      </c>
      <c r="AV406" s="548"/>
      <c r="AW406" s="548"/>
      <c r="AX406" s="592">
        <v>10</v>
      </c>
      <c r="AY406" s="548"/>
      <c r="AZ406" s="548"/>
      <c r="BA406" s="548"/>
      <c r="BB406" s="548"/>
      <c r="BC406" s="548">
        <f t="shared" si="265"/>
        <v>10</v>
      </c>
      <c r="BD406" s="42">
        <f t="shared" si="255"/>
        <v>0</v>
      </c>
      <c r="BE406" s="42">
        <f t="shared" si="255"/>
        <v>0</v>
      </c>
      <c r="BF406" s="35">
        <f t="shared" si="255"/>
        <v>35</v>
      </c>
      <c r="BG406" s="42">
        <f t="shared" si="255"/>
        <v>0</v>
      </c>
      <c r="BH406" s="42">
        <f t="shared" si="255"/>
        <v>0</v>
      </c>
      <c r="BI406" s="42">
        <f t="shared" si="266"/>
        <v>0</v>
      </c>
      <c r="BJ406" s="42">
        <f t="shared" si="256"/>
        <v>0</v>
      </c>
      <c r="BK406" s="42">
        <f t="shared" si="256"/>
        <v>35</v>
      </c>
      <c r="BL406" s="3"/>
    </row>
    <row r="407" spans="1:64" ht="250.8" x14ac:dyDescent="0.25">
      <c r="A407" s="298" t="s">
        <v>1220</v>
      </c>
      <c r="B407" s="299" t="s">
        <v>1218</v>
      </c>
      <c r="C407" s="1547"/>
      <c r="D407" s="1549"/>
      <c r="E407" s="1549"/>
      <c r="F407" s="1549"/>
      <c r="G407" s="1549"/>
      <c r="H407" s="1549"/>
      <c r="I407" s="1425"/>
      <c r="J407" s="1425"/>
      <c r="K407" s="1425" t="s">
        <v>1235</v>
      </c>
      <c r="L407" s="301" t="s">
        <v>1140</v>
      </c>
      <c r="M407" s="1425" t="s">
        <v>1225</v>
      </c>
      <c r="N407" s="1425" t="s">
        <v>1226</v>
      </c>
      <c r="O407" s="1425" t="s">
        <v>47</v>
      </c>
      <c r="P407" s="16" t="s">
        <v>1236</v>
      </c>
      <c r="Q407" s="302" t="s">
        <v>337</v>
      </c>
      <c r="R407" s="303">
        <v>2015</v>
      </c>
      <c r="S407" s="303">
        <v>1</v>
      </c>
      <c r="T407" s="303">
        <v>1</v>
      </c>
      <c r="U407" s="303">
        <v>1</v>
      </c>
      <c r="V407" s="303">
        <v>1</v>
      </c>
      <c r="W407" s="303">
        <v>1</v>
      </c>
      <c r="X407" s="303">
        <v>4</v>
      </c>
      <c r="Y407" s="483">
        <v>0</v>
      </c>
      <c r="Z407" s="483">
        <v>0</v>
      </c>
      <c r="AA407" s="500">
        <v>2.5</v>
      </c>
      <c r="AB407" s="483">
        <v>0</v>
      </c>
      <c r="AC407" s="483">
        <v>0</v>
      </c>
      <c r="AD407" s="483">
        <v>0</v>
      </c>
      <c r="AE407" s="483">
        <v>0</v>
      </c>
      <c r="AF407" s="481">
        <f t="shared" si="262"/>
        <v>2.5</v>
      </c>
      <c r="AG407" s="587">
        <v>0</v>
      </c>
      <c r="AH407" s="587">
        <v>0</v>
      </c>
      <c r="AI407" s="592">
        <v>0</v>
      </c>
      <c r="AJ407" s="587">
        <v>0</v>
      </c>
      <c r="AK407" s="587">
        <v>0</v>
      </c>
      <c r="AL407" s="587">
        <v>0</v>
      </c>
      <c r="AM407" s="587">
        <f t="shared" si="263"/>
        <v>0</v>
      </c>
      <c r="AN407" s="483">
        <v>0</v>
      </c>
      <c r="AO407" s="483">
        <v>0</v>
      </c>
      <c r="AP407" s="584">
        <v>0</v>
      </c>
      <c r="AQ407" s="483">
        <v>0</v>
      </c>
      <c r="AR407" s="483">
        <v>0</v>
      </c>
      <c r="AS407" s="483">
        <v>0</v>
      </c>
      <c r="AT407" s="483">
        <v>0</v>
      </c>
      <c r="AU407" s="483">
        <f t="shared" si="264"/>
        <v>0</v>
      </c>
      <c r="AV407" s="587">
        <v>0</v>
      </c>
      <c r="AW407" s="587">
        <v>0</v>
      </c>
      <c r="AX407" s="592">
        <v>0</v>
      </c>
      <c r="AY407" s="587">
        <v>0</v>
      </c>
      <c r="AZ407" s="587">
        <v>0</v>
      </c>
      <c r="BA407" s="587">
        <v>0</v>
      </c>
      <c r="BB407" s="587">
        <v>0</v>
      </c>
      <c r="BC407" s="587">
        <f t="shared" si="265"/>
        <v>0</v>
      </c>
      <c r="BD407" s="44">
        <f t="shared" si="255"/>
        <v>0</v>
      </c>
      <c r="BE407" s="44">
        <f t="shared" si="255"/>
        <v>0</v>
      </c>
      <c r="BF407" s="35">
        <f t="shared" si="255"/>
        <v>2.5</v>
      </c>
      <c r="BG407" s="44">
        <f t="shared" si="255"/>
        <v>0</v>
      </c>
      <c r="BH407" s="44">
        <f t="shared" si="255"/>
        <v>0</v>
      </c>
      <c r="BI407" s="44">
        <f t="shared" si="266"/>
        <v>0</v>
      </c>
      <c r="BJ407" s="44">
        <f t="shared" si="256"/>
        <v>0</v>
      </c>
      <c r="BK407" s="44">
        <f t="shared" si="256"/>
        <v>2.5</v>
      </c>
      <c r="BL407" s="3"/>
    </row>
    <row r="408" spans="1:64" ht="330" x14ac:dyDescent="0.25">
      <c r="A408" s="298" t="s">
        <v>1220</v>
      </c>
      <c r="B408" s="299" t="s">
        <v>1218</v>
      </c>
      <c r="C408" s="1547"/>
      <c r="D408" s="1549"/>
      <c r="E408" s="1549"/>
      <c r="F408" s="1549"/>
      <c r="G408" s="1549"/>
      <c r="H408" s="1549"/>
      <c r="I408" s="1425"/>
      <c r="J408" s="1425"/>
      <c r="K408" s="1425" t="s">
        <v>1237</v>
      </c>
      <c r="L408" s="301" t="s">
        <v>1140</v>
      </c>
      <c r="M408" s="1425" t="s">
        <v>1225</v>
      </c>
      <c r="N408" s="1425" t="s">
        <v>1226</v>
      </c>
      <c r="O408" s="1425" t="s">
        <v>47</v>
      </c>
      <c r="P408" s="16" t="s">
        <v>1238</v>
      </c>
      <c r="Q408" s="302" t="s">
        <v>1239</v>
      </c>
      <c r="R408" s="303">
        <v>2015</v>
      </c>
      <c r="S408" s="303">
        <v>0</v>
      </c>
      <c r="T408" s="303">
        <v>1</v>
      </c>
      <c r="U408" s="303">
        <v>1</v>
      </c>
      <c r="V408" s="303">
        <v>1</v>
      </c>
      <c r="W408" s="303">
        <v>1</v>
      </c>
      <c r="X408" s="303">
        <v>4</v>
      </c>
      <c r="Y408" s="481">
        <v>0</v>
      </c>
      <c r="Z408" s="481">
        <v>0</v>
      </c>
      <c r="AA408" s="500">
        <v>0.5</v>
      </c>
      <c r="AB408" s="481">
        <v>0</v>
      </c>
      <c r="AC408" s="481">
        <v>0</v>
      </c>
      <c r="AD408" s="481">
        <v>0</v>
      </c>
      <c r="AE408" s="481">
        <v>0</v>
      </c>
      <c r="AF408" s="481">
        <f t="shared" si="262"/>
        <v>0.5</v>
      </c>
      <c r="AG408" s="548">
        <v>0</v>
      </c>
      <c r="AH408" s="548">
        <v>0</v>
      </c>
      <c r="AI408" s="592">
        <v>0</v>
      </c>
      <c r="AJ408" s="548">
        <v>0</v>
      </c>
      <c r="AK408" s="548">
        <v>0</v>
      </c>
      <c r="AL408" s="548">
        <v>0</v>
      </c>
      <c r="AM408" s="548">
        <f t="shared" si="263"/>
        <v>0</v>
      </c>
      <c r="AN408" s="481">
        <v>0</v>
      </c>
      <c r="AO408" s="481">
        <v>0</v>
      </c>
      <c r="AP408" s="584">
        <v>0</v>
      </c>
      <c r="AQ408" s="481">
        <v>0</v>
      </c>
      <c r="AR408" s="481">
        <v>0</v>
      </c>
      <c r="AS408" s="481">
        <v>0</v>
      </c>
      <c r="AT408" s="481">
        <v>0</v>
      </c>
      <c r="AU408" s="481">
        <f t="shared" si="264"/>
        <v>0</v>
      </c>
      <c r="AV408" s="548">
        <v>0</v>
      </c>
      <c r="AW408" s="548">
        <v>0</v>
      </c>
      <c r="AX408" s="592">
        <v>0</v>
      </c>
      <c r="AY408" s="548">
        <v>0</v>
      </c>
      <c r="AZ408" s="548">
        <v>0</v>
      </c>
      <c r="BA408" s="548">
        <v>0</v>
      </c>
      <c r="BB408" s="548">
        <v>0</v>
      </c>
      <c r="BC408" s="548">
        <f t="shared" si="265"/>
        <v>0</v>
      </c>
      <c r="BD408" s="42">
        <f t="shared" si="255"/>
        <v>0</v>
      </c>
      <c r="BE408" s="42">
        <f t="shared" si="255"/>
        <v>0</v>
      </c>
      <c r="BF408" s="35">
        <f t="shared" si="255"/>
        <v>0.5</v>
      </c>
      <c r="BG408" s="42">
        <f t="shared" si="255"/>
        <v>0</v>
      </c>
      <c r="BH408" s="42">
        <f t="shared" si="255"/>
        <v>0</v>
      </c>
      <c r="BI408" s="42">
        <f t="shared" si="266"/>
        <v>0</v>
      </c>
      <c r="BJ408" s="42">
        <f t="shared" si="256"/>
        <v>0</v>
      </c>
      <c r="BK408" s="42">
        <f t="shared" si="256"/>
        <v>0.5</v>
      </c>
      <c r="BL408" s="3"/>
    </row>
    <row r="409" spans="1:64" ht="237.6" x14ac:dyDescent="0.25">
      <c r="A409" s="298" t="s">
        <v>1220</v>
      </c>
      <c r="B409" s="299" t="s">
        <v>1218</v>
      </c>
      <c r="C409" s="1547"/>
      <c r="D409" s="1549"/>
      <c r="E409" s="1549"/>
      <c r="F409" s="1549"/>
      <c r="G409" s="1549"/>
      <c r="H409" s="1549"/>
      <c r="I409" s="1425"/>
      <c r="J409" s="1425"/>
      <c r="K409" s="1425" t="s">
        <v>1240</v>
      </c>
      <c r="L409" s="301" t="s">
        <v>1140</v>
      </c>
      <c r="M409" s="1425" t="s">
        <v>1225</v>
      </c>
      <c r="N409" s="1425" t="s">
        <v>1226</v>
      </c>
      <c r="O409" s="1425" t="s">
        <v>47</v>
      </c>
      <c r="P409" s="16" t="s">
        <v>1241</v>
      </c>
      <c r="Q409" s="302" t="s">
        <v>1242</v>
      </c>
      <c r="R409" s="303">
        <v>2015</v>
      </c>
      <c r="S409" s="303">
        <v>0</v>
      </c>
      <c r="T409" s="303">
        <v>1</v>
      </c>
      <c r="U409" s="303">
        <v>1</v>
      </c>
      <c r="V409" s="303">
        <v>1</v>
      </c>
      <c r="W409" s="303">
        <v>1</v>
      </c>
      <c r="X409" s="303">
        <v>4</v>
      </c>
      <c r="Y409" s="481">
        <v>0</v>
      </c>
      <c r="Z409" s="481">
        <v>0</v>
      </c>
      <c r="AA409" s="500">
        <v>2</v>
      </c>
      <c r="AB409" s="481">
        <v>0</v>
      </c>
      <c r="AC409" s="481">
        <v>0</v>
      </c>
      <c r="AD409" s="481">
        <v>0</v>
      </c>
      <c r="AE409" s="481">
        <v>0</v>
      </c>
      <c r="AF409" s="481">
        <f t="shared" si="262"/>
        <v>2</v>
      </c>
      <c r="AG409" s="548">
        <v>0</v>
      </c>
      <c r="AH409" s="548">
        <v>0</v>
      </c>
      <c r="AI409" s="592">
        <v>0</v>
      </c>
      <c r="AJ409" s="548">
        <v>0</v>
      </c>
      <c r="AK409" s="548">
        <v>0</v>
      </c>
      <c r="AL409" s="548">
        <v>0</v>
      </c>
      <c r="AM409" s="548">
        <f t="shared" si="263"/>
        <v>0</v>
      </c>
      <c r="AN409" s="481">
        <v>0</v>
      </c>
      <c r="AO409" s="481">
        <v>0</v>
      </c>
      <c r="AP409" s="584">
        <v>0</v>
      </c>
      <c r="AQ409" s="481">
        <v>0</v>
      </c>
      <c r="AR409" s="481">
        <v>0</v>
      </c>
      <c r="AS409" s="481">
        <v>0</v>
      </c>
      <c r="AT409" s="481">
        <v>0</v>
      </c>
      <c r="AU409" s="481">
        <f t="shared" si="264"/>
        <v>0</v>
      </c>
      <c r="AV409" s="548">
        <v>0</v>
      </c>
      <c r="AW409" s="548">
        <v>0</v>
      </c>
      <c r="AX409" s="592">
        <v>0</v>
      </c>
      <c r="AY409" s="548">
        <v>0</v>
      </c>
      <c r="AZ409" s="548">
        <v>0</v>
      </c>
      <c r="BA409" s="548">
        <v>0</v>
      </c>
      <c r="BB409" s="548">
        <v>0</v>
      </c>
      <c r="BC409" s="548">
        <f t="shared" si="265"/>
        <v>0</v>
      </c>
      <c r="BD409" s="42">
        <f t="shared" si="255"/>
        <v>0</v>
      </c>
      <c r="BE409" s="42">
        <f t="shared" si="255"/>
        <v>0</v>
      </c>
      <c r="BF409" s="35">
        <f t="shared" si="255"/>
        <v>2</v>
      </c>
      <c r="BG409" s="42">
        <f t="shared" si="255"/>
        <v>0</v>
      </c>
      <c r="BH409" s="42">
        <f t="shared" si="255"/>
        <v>0</v>
      </c>
      <c r="BI409" s="42">
        <f t="shared" si="266"/>
        <v>0</v>
      </c>
      <c r="BJ409" s="42">
        <f t="shared" si="256"/>
        <v>0</v>
      </c>
      <c r="BK409" s="42">
        <f t="shared" si="256"/>
        <v>2</v>
      </c>
      <c r="BL409" s="3"/>
    </row>
    <row r="410" spans="1:64" ht="264" x14ac:dyDescent="0.25">
      <c r="A410" s="298" t="s">
        <v>1220</v>
      </c>
      <c r="B410" s="299" t="s">
        <v>1218</v>
      </c>
      <c r="C410" s="1547"/>
      <c r="D410" s="1549"/>
      <c r="E410" s="1549"/>
      <c r="F410" s="1549"/>
      <c r="G410" s="1549"/>
      <c r="H410" s="1549"/>
      <c r="I410" s="1425"/>
      <c r="J410" s="1425"/>
      <c r="K410" s="1425" t="s">
        <v>1243</v>
      </c>
      <c r="L410" s="301" t="s">
        <v>1140</v>
      </c>
      <c r="M410" s="1425" t="s">
        <v>1225</v>
      </c>
      <c r="N410" s="1425" t="s">
        <v>1226</v>
      </c>
      <c r="O410" s="1425" t="s">
        <v>47</v>
      </c>
      <c r="P410" s="16" t="s">
        <v>1244</v>
      </c>
      <c r="Q410" s="302" t="s">
        <v>1245</v>
      </c>
      <c r="R410" s="303">
        <v>2015</v>
      </c>
      <c r="S410" s="303">
        <v>0</v>
      </c>
      <c r="T410" s="303">
        <v>0</v>
      </c>
      <c r="U410" s="303">
        <v>1</v>
      </c>
      <c r="V410" s="303">
        <v>0</v>
      </c>
      <c r="W410" s="303">
        <v>0</v>
      </c>
      <c r="X410" s="303">
        <v>1</v>
      </c>
      <c r="Y410" s="481">
        <v>0</v>
      </c>
      <c r="Z410" s="481">
        <v>0</v>
      </c>
      <c r="AA410" s="584">
        <v>0</v>
      </c>
      <c r="AB410" s="481">
        <v>0</v>
      </c>
      <c r="AC410" s="481">
        <v>0</v>
      </c>
      <c r="AD410" s="481">
        <v>0</v>
      </c>
      <c r="AE410" s="481">
        <v>0</v>
      </c>
      <c r="AF410" s="481">
        <f t="shared" si="262"/>
        <v>0</v>
      </c>
      <c r="AG410" s="548">
        <v>0</v>
      </c>
      <c r="AH410" s="548">
        <v>0</v>
      </c>
      <c r="AI410" s="592">
        <v>0</v>
      </c>
      <c r="AJ410" s="548">
        <v>0</v>
      </c>
      <c r="AK410" s="548">
        <v>0</v>
      </c>
      <c r="AL410" s="548">
        <v>0</v>
      </c>
      <c r="AM410" s="548">
        <f t="shared" si="263"/>
        <v>0</v>
      </c>
      <c r="AN410" s="481">
        <v>0</v>
      </c>
      <c r="AO410" s="481">
        <v>0</v>
      </c>
      <c r="AP410" s="584">
        <v>0</v>
      </c>
      <c r="AQ410" s="481">
        <v>0</v>
      </c>
      <c r="AR410" s="481">
        <v>0</v>
      </c>
      <c r="AS410" s="481">
        <v>0</v>
      </c>
      <c r="AT410" s="481">
        <v>0</v>
      </c>
      <c r="AU410" s="481">
        <f t="shared" si="264"/>
        <v>0</v>
      </c>
      <c r="AV410" s="548">
        <v>0</v>
      </c>
      <c r="AW410" s="548">
        <v>0</v>
      </c>
      <c r="AX410" s="592">
        <v>0</v>
      </c>
      <c r="AY410" s="548">
        <v>0</v>
      </c>
      <c r="AZ410" s="548">
        <v>0</v>
      </c>
      <c r="BA410" s="548">
        <v>0</v>
      </c>
      <c r="BB410" s="548">
        <v>0</v>
      </c>
      <c r="BC410" s="548">
        <f t="shared" si="265"/>
        <v>0</v>
      </c>
      <c r="BD410" s="42">
        <f t="shared" si="255"/>
        <v>0</v>
      </c>
      <c r="BE410" s="42">
        <f t="shared" si="255"/>
        <v>0</v>
      </c>
      <c r="BF410" s="35">
        <f t="shared" si="255"/>
        <v>0</v>
      </c>
      <c r="BG410" s="42">
        <f t="shared" si="255"/>
        <v>0</v>
      </c>
      <c r="BH410" s="42">
        <f t="shared" si="255"/>
        <v>0</v>
      </c>
      <c r="BI410" s="42">
        <f t="shared" si="266"/>
        <v>0</v>
      </c>
      <c r="BJ410" s="42">
        <f t="shared" si="256"/>
        <v>0</v>
      </c>
      <c r="BK410" s="42">
        <f t="shared" si="256"/>
        <v>0</v>
      </c>
      <c r="BL410" s="3"/>
    </row>
    <row r="411" spans="1:64" ht="198" x14ac:dyDescent="0.25">
      <c r="A411" s="298" t="s">
        <v>1220</v>
      </c>
      <c r="B411" s="299" t="s">
        <v>1218</v>
      </c>
      <c r="C411" s="1547"/>
      <c r="D411" s="1549"/>
      <c r="E411" s="1549"/>
      <c r="F411" s="1549"/>
      <c r="G411" s="1549"/>
      <c r="H411" s="1549"/>
      <c r="I411" s="1425"/>
      <c r="J411" s="1425"/>
      <c r="K411" s="1425" t="s">
        <v>1246</v>
      </c>
      <c r="L411" s="301" t="s">
        <v>1140</v>
      </c>
      <c r="M411" s="1425" t="s">
        <v>1225</v>
      </c>
      <c r="N411" s="1425" t="s">
        <v>1226</v>
      </c>
      <c r="O411" s="1425" t="s">
        <v>47</v>
      </c>
      <c r="P411" s="16" t="s">
        <v>1247</v>
      </c>
      <c r="Q411" s="302" t="s">
        <v>1248</v>
      </c>
      <c r="R411" s="303">
        <v>2015</v>
      </c>
      <c r="S411" s="303">
        <v>0</v>
      </c>
      <c r="T411" s="303">
        <v>0</v>
      </c>
      <c r="U411" s="303">
        <v>40</v>
      </c>
      <c r="V411" s="303">
        <v>40</v>
      </c>
      <c r="W411" s="303">
        <v>40</v>
      </c>
      <c r="X411" s="303">
        <v>120</v>
      </c>
      <c r="Y411" s="481"/>
      <c r="Z411" s="481"/>
      <c r="AA411" s="584">
        <v>10</v>
      </c>
      <c r="AB411" s="481"/>
      <c r="AC411" s="481"/>
      <c r="AD411" s="481"/>
      <c r="AE411" s="481"/>
      <c r="AF411" s="481">
        <f t="shared" si="262"/>
        <v>10</v>
      </c>
      <c r="AG411" s="548"/>
      <c r="AH411" s="548"/>
      <c r="AI411" s="592">
        <v>10</v>
      </c>
      <c r="AJ411" s="548"/>
      <c r="AK411" s="548"/>
      <c r="AL411" s="548"/>
      <c r="AM411" s="548">
        <f t="shared" si="263"/>
        <v>10</v>
      </c>
      <c r="AN411" s="481"/>
      <c r="AO411" s="481"/>
      <c r="AP411" s="584">
        <v>10</v>
      </c>
      <c r="AQ411" s="481"/>
      <c r="AR411" s="481"/>
      <c r="AS411" s="481"/>
      <c r="AT411" s="481"/>
      <c r="AU411" s="481">
        <f t="shared" si="264"/>
        <v>10</v>
      </c>
      <c r="AV411" s="548"/>
      <c r="AW411" s="548"/>
      <c r="AX411" s="592">
        <v>10</v>
      </c>
      <c r="AY411" s="548"/>
      <c r="AZ411" s="548"/>
      <c r="BA411" s="548"/>
      <c r="BB411" s="548"/>
      <c r="BC411" s="548">
        <f t="shared" si="265"/>
        <v>10</v>
      </c>
      <c r="BD411" s="42">
        <f t="shared" si="255"/>
        <v>0</v>
      </c>
      <c r="BE411" s="42">
        <f t="shared" si="255"/>
        <v>0</v>
      </c>
      <c r="BF411" s="35">
        <f t="shared" si="255"/>
        <v>40</v>
      </c>
      <c r="BG411" s="42">
        <f t="shared" si="255"/>
        <v>0</v>
      </c>
      <c r="BH411" s="42">
        <f t="shared" si="255"/>
        <v>0</v>
      </c>
      <c r="BI411" s="42">
        <f t="shared" si="266"/>
        <v>0</v>
      </c>
      <c r="BJ411" s="42">
        <f t="shared" si="256"/>
        <v>0</v>
      </c>
      <c r="BK411" s="42">
        <f t="shared" si="256"/>
        <v>40</v>
      </c>
      <c r="BL411" s="3"/>
    </row>
    <row r="412" spans="1:64" ht="303.60000000000002" x14ac:dyDescent="0.25">
      <c r="A412" s="298" t="s">
        <v>1220</v>
      </c>
      <c r="B412" s="299" t="s">
        <v>1218</v>
      </c>
      <c r="C412" s="1547"/>
      <c r="D412" s="1549"/>
      <c r="E412" s="1549"/>
      <c r="F412" s="1549"/>
      <c r="G412" s="1549"/>
      <c r="H412" s="1549"/>
      <c r="I412" s="1425"/>
      <c r="J412" s="1425"/>
      <c r="K412" s="1425" t="s">
        <v>1249</v>
      </c>
      <c r="L412" s="301" t="s">
        <v>1140</v>
      </c>
      <c r="M412" s="1425" t="s">
        <v>1225</v>
      </c>
      <c r="N412" s="1425" t="s">
        <v>1226</v>
      </c>
      <c r="O412" s="1425" t="s">
        <v>47</v>
      </c>
      <c r="P412" s="16" t="s">
        <v>1250</v>
      </c>
      <c r="Q412" s="302" t="s">
        <v>1251</v>
      </c>
      <c r="R412" s="303">
        <v>2015</v>
      </c>
      <c r="S412" s="303">
        <v>1</v>
      </c>
      <c r="T412" s="303">
        <v>1</v>
      </c>
      <c r="U412" s="303">
        <v>1</v>
      </c>
      <c r="V412" s="303">
        <v>1</v>
      </c>
      <c r="W412" s="303">
        <v>1</v>
      </c>
      <c r="X412" s="303">
        <v>4</v>
      </c>
      <c r="Y412" s="481">
        <v>0</v>
      </c>
      <c r="Z412" s="481">
        <v>0</v>
      </c>
      <c r="AA412" s="584">
        <v>0</v>
      </c>
      <c r="AB412" s="481">
        <v>0</v>
      </c>
      <c r="AC412" s="481">
        <v>0</v>
      </c>
      <c r="AD412" s="481">
        <v>0</v>
      </c>
      <c r="AE412" s="481">
        <v>0</v>
      </c>
      <c r="AF412" s="481">
        <f t="shared" si="262"/>
        <v>0</v>
      </c>
      <c r="AG412" s="548">
        <v>0</v>
      </c>
      <c r="AH412" s="548">
        <v>0</v>
      </c>
      <c r="AI412" s="592">
        <v>0</v>
      </c>
      <c r="AJ412" s="548">
        <v>0</v>
      </c>
      <c r="AK412" s="548">
        <v>0</v>
      </c>
      <c r="AL412" s="548">
        <v>0</v>
      </c>
      <c r="AM412" s="548">
        <f t="shared" si="263"/>
        <v>0</v>
      </c>
      <c r="AN412" s="481">
        <v>0</v>
      </c>
      <c r="AO412" s="481">
        <v>0</v>
      </c>
      <c r="AP412" s="584">
        <v>0</v>
      </c>
      <c r="AQ412" s="481">
        <v>0</v>
      </c>
      <c r="AR412" s="481">
        <v>0</v>
      </c>
      <c r="AS412" s="481">
        <v>0</v>
      </c>
      <c r="AT412" s="481">
        <v>0</v>
      </c>
      <c r="AU412" s="481">
        <f t="shared" si="264"/>
        <v>0</v>
      </c>
      <c r="AV412" s="548">
        <v>0</v>
      </c>
      <c r="AW412" s="548">
        <v>0</v>
      </c>
      <c r="AX412" s="592">
        <v>0</v>
      </c>
      <c r="AY412" s="548">
        <v>0</v>
      </c>
      <c r="AZ412" s="548">
        <v>0</v>
      </c>
      <c r="BA412" s="548">
        <v>0</v>
      </c>
      <c r="BB412" s="548">
        <v>0</v>
      </c>
      <c r="BC412" s="548">
        <f t="shared" si="265"/>
        <v>0</v>
      </c>
      <c r="BD412" s="42">
        <f t="shared" si="255"/>
        <v>0</v>
      </c>
      <c r="BE412" s="42">
        <f t="shared" si="255"/>
        <v>0</v>
      </c>
      <c r="BF412" s="35">
        <f t="shared" si="255"/>
        <v>0</v>
      </c>
      <c r="BG412" s="42">
        <f t="shared" si="255"/>
        <v>0</v>
      </c>
      <c r="BH412" s="42">
        <f t="shared" si="255"/>
        <v>0</v>
      </c>
      <c r="BI412" s="42">
        <f t="shared" si="266"/>
        <v>0</v>
      </c>
      <c r="BJ412" s="42">
        <f t="shared" si="256"/>
        <v>0</v>
      </c>
      <c r="BK412" s="42">
        <f t="shared" si="256"/>
        <v>0</v>
      </c>
      <c r="BL412" s="3"/>
    </row>
    <row r="413" spans="1:64" ht="409.6" x14ac:dyDescent="0.25">
      <c r="A413" s="298" t="s">
        <v>1220</v>
      </c>
      <c r="B413" s="299" t="s">
        <v>1218</v>
      </c>
      <c r="C413" s="1547"/>
      <c r="D413" s="1549"/>
      <c r="E413" s="1549"/>
      <c r="F413" s="1549"/>
      <c r="G413" s="1549"/>
      <c r="H413" s="1549"/>
      <c r="I413" s="1425"/>
      <c r="J413" s="1425"/>
      <c r="K413" s="1425" t="s">
        <v>1252</v>
      </c>
      <c r="L413" s="301" t="s">
        <v>1140</v>
      </c>
      <c r="M413" s="1425" t="s">
        <v>1225</v>
      </c>
      <c r="N413" s="1425" t="s">
        <v>1226</v>
      </c>
      <c r="O413" s="1425" t="s">
        <v>73</v>
      </c>
      <c r="P413" s="16" t="s">
        <v>1253</v>
      </c>
      <c r="Q413" s="302" t="s">
        <v>1254</v>
      </c>
      <c r="R413" s="303">
        <v>2015</v>
      </c>
      <c r="S413" s="303">
        <v>1</v>
      </c>
      <c r="T413" s="303">
        <v>1</v>
      </c>
      <c r="U413" s="303">
        <v>1</v>
      </c>
      <c r="V413" s="303">
        <v>1</v>
      </c>
      <c r="W413" s="303">
        <v>1</v>
      </c>
      <c r="X413" s="303">
        <v>1</v>
      </c>
      <c r="Y413" s="481"/>
      <c r="Z413" s="481"/>
      <c r="AA413" s="584">
        <v>20</v>
      </c>
      <c r="AB413" s="481"/>
      <c r="AC413" s="481"/>
      <c r="AD413" s="481"/>
      <c r="AE413" s="481"/>
      <c r="AF413" s="481">
        <f t="shared" si="262"/>
        <v>20</v>
      </c>
      <c r="AG413" s="548"/>
      <c r="AH413" s="548"/>
      <c r="AI413" s="592">
        <v>20</v>
      </c>
      <c r="AJ413" s="548"/>
      <c r="AK413" s="548"/>
      <c r="AL413" s="548"/>
      <c r="AM413" s="548"/>
      <c r="AN413" s="481"/>
      <c r="AO413" s="481"/>
      <c r="AP413" s="584">
        <v>20</v>
      </c>
      <c r="AQ413" s="481"/>
      <c r="AR413" s="481"/>
      <c r="AS413" s="481"/>
      <c r="AT413" s="481"/>
      <c r="AU413" s="481">
        <f t="shared" si="264"/>
        <v>20</v>
      </c>
      <c r="AV413" s="548"/>
      <c r="AW413" s="548"/>
      <c r="AX413" s="592">
        <v>20</v>
      </c>
      <c r="AY413" s="548"/>
      <c r="AZ413" s="548"/>
      <c r="BA413" s="548"/>
      <c r="BB413" s="548"/>
      <c r="BC413" s="548">
        <f t="shared" si="265"/>
        <v>20</v>
      </c>
      <c r="BD413" s="42">
        <f t="shared" si="255"/>
        <v>0</v>
      </c>
      <c r="BE413" s="42">
        <f t="shared" si="255"/>
        <v>0</v>
      </c>
      <c r="BF413" s="35">
        <f t="shared" si="255"/>
        <v>80</v>
      </c>
      <c r="BG413" s="42">
        <f t="shared" si="255"/>
        <v>0</v>
      </c>
      <c r="BH413" s="42">
        <f t="shared" si="255"/>
        <v>0</v>
      </c>
      <c r="BI413" s="42">
        <f t="shared" si="266"/>
        <v>0</v>
      </c>
      <c r="BJ413" s="42">
        <f t="shared" si="256"/>
        <v>0</v>
      </c>
      <c r="BK413" s="42">
        <f t="shared" si="256"/>
        <v>60</v>
      </c>
      <c r="BL413" s="3"/>
    </row>
    <row r="414" spans="1:64" ht="316.8" x14ac:dyDescent="0.25">
      <c r="A414" s="298" t="s">
        <v>1220</v>
      </c>
      <c r="B414" s="299" t="s">
        <v>1218</v>
      </c>
      <c r="C414" s="1548"/>
      <c r="D414" s="1549"/>
      <c r="E414" s="1549"/>
      <c r="F414" s="1549"/>
      <c r="G414" s="1549"/>
      <c r="H414" s="1549"/>
      <c r="I414" s="1425"/>
      <c r="J414" s="1425"/>
      <c r="K414" s="1425" t="s">
        <v>1255</v>
      </c>
      <c r="L414" s="301" t="s">
        <v>1140</v>
      </c>
      <c r="M414" s="1425" t="s">
        <v>1225</v>
      </c>
      <c r="N414" s="1425" t="s">
        <v>1226</v>
      </c>
      <c r="O414" s="1425" t="s">
        <v>47</v>
      </c>
      <c r="P414" s="16" t="s">
        <v>1256</v>
      </c>
      <c r="Q414" s="302" t="s">
        <v>1257</v>
      </c>
      <c r="R414" s="303">
        <v>2015</v>
      </c>
      <c r="S414" s="303">
        <v>0</v>
      </c>
      <c r="T414" s="303">
        <v>1</v>
      </c>
      <c r="U414" s="303">
        <v>1</v>
      </c>
      <c r="V414" s="303">
        <v>1</v>
      </c>
      <c r="W414" s="303">
        <v>1</v>
      </c>
      <c r="X414" s="303">
        <v>4</v>
      </c>
      <c r="Y414" s="481">
        <v>3</v>
      </c>
      <c r="Z414" s="481"/>
      <c r="AA414" s="584">
        <v>0</v>
      </c>
      <c r="AB414" s="481"/>
      <c r="AC414" s="481"/>
      <c r="AD414" s="481"/>
      <c r="AE414" s="481"/>
      <c r="AF414" s="481">
        <f t="shared" si="262"/>
        <v>3</v>
      </c>
      <c r="AG414" s="548">
        <v>3</v>
      </c>
      <c r="AH414" s="548"/>
      <c r="AI414" s="592">
        <v>0</v>
      </c>
      <c r="AJ414" s="548"/>
      <c r="AK414" s="548"/>
      <c r="AL414" s="548"/>
      <c r="AM414" s="548">
        <f>SUM(AG414:AL414)</f>
        <v>3</v>
      </c>
      <c r="AN414" s="481">
        <v>3</v>
      </c>
      <c r="AO414" s="481"/>
      <c r="AP414" s="584">
        <v>0</v>
      </c>
      <c r="AQ414" s="481"/>
      <c r="AR414" s="481"/>
      <c r="AS414" s="481"/>
      <c r="AT414" s="481"/>
      <c r="AU414" s="481">
        <f t="shared" si="264"/>
        <v>3</v>
      </c>
      <c r="AV414" s="548">
        <v>3</v>
      </c>
      <c r="AW414" s="548"/>
      <c r="AX414" s="592">
        <v>0</v>
      </c>
      <c r="AY414" s="548"/>
      <c r="AZ414" s="548"/>
      <c r="BA414" s="548"/>
      <c r="BB414" s="548"/>
      <c r="BC414" s="548">
        <f t="shared" si="265"/>
        <v>3</v>
      </c>
      <c r="BD414" s="42">
        <f t="shared" si="255"/>
        <v>12</v>
      </c>
      <c r="BE414" s="42">
        <f t="shared" si="255"/>
        <v>0</v>
      </c>
      <c r="BF414" s="35">
        <f t="shared" si="255"/>
        <v>0</v>
      </c>
      <c r="BG414" s="42">
        <f t="shared" si="255"/>
        <v>0</v>
      </c>
      <c r="BH414" s="42">
        <f t="shared" si="255"/>
        <v>0</v>
      </c>
      <c r="BI414" s="42">
        <f t="shared" si="266"/>
        <v>0</v>
      </c>
      <c r="BJ414" s="42">
        <f t="shared" si="256"/>
        <v>0</v>
      </c>
      <c r="BK414" s="42">
        <f t="shared" si="256"/>
        <v>12</v>
      </c>
      <c r="BL414" s="3"/>
    </row>
    <row r="415" spans="1:64" ht="20.399999999999999" x14ac:dyDescent="0.25">
      <c r="A415" s="420"/>
      <c r="B415" s="1565" t="s">
        <v>1258</v>
      </c>
      <c r="C415" s="1566"/>
      <c r="D415" s="1566"/>
      <c r="E415" s="1566"/>
      <c r="F415" s="1566"/>
      <c r="G415" s="1566"/>
      <c r="H415" s="1566"/>
      <c r="I415" s="1566"/>
      <c r="J415" s="1566"/>
      <c r="K415" s="1566"/>
      <c r="L415" s="1566"/>
      <c r="M415" s="1567"/>
      <c r="N415" s="597"/>
      <c r="O415" s="597"/>
      <c r="P415" s="598"/>
      <c r="Q415" s="598"/>
      <c r="R415" s="597"/>
      <c r="S415" s="597"/>
      <c r="T415" s="597"/>
      <c r="U415" s="599"/>
      <c r="V415" s="599"/>
      <c r="W415" s="599"/>
      <c r="X415" s="599"/>
      <c r="Y415" s="600">
        <f t="shared" ref="Y415:BC415" si="267">+Y416+Y431</f>
        <v>54.9</v>
      </c>
      <c r="Z415" s="600">
        <f t="shared" si="267"/>
        <v>350</v>
      </c>
      <c r="AA415" s="600">
        <f t="shared" si="267"/>
        <v>50</v>
      </c>
      <c r="AB415" s="600">
        <f t="shared" si="267"/>
        <v>390</v>
      </c>
      <c r="AC415" s="600">
        <f t="shared" si="267"/>
        <v>0</v>
      </c>
      <c r="AD415" s="600">
        <f t="shared" si="267"/>
        <v>603</v>
      </c>
      <c r="AE415" s="600">
        <f t="shared" si="267"/>
        <v>0</v>
      </c>
      <c r="AF415" s="600">
        <f t="shared" si="267"/>
        <v>1432.9</v>
      </c>
      <c r="AG415" s="600">
        <f t="shared" si="267"/>
        <v>43</v>
      </c>
      <c r="AH415" s="600">
        <f t="shared" si="267"/>
        <v>325</v>
      </c>
      <c r="AI415" s="600">
        <f t="shared" si="267"/>
        <v>0</v>
      </c>
      <c r="AJ415" s="600">
        <f t="shared" si="267"/>
        <v>0</v>
      </c>
      <c r="AK415" s="600">
        <f t="shared" si="267"/>
        <v>0</v>
      </c>
      <c r="AL415" s="600">
        <f t="shared" si="267"/>
        <v>0</v>
      </c>
      <c r="AM415" s="600">
        <f t="shared" si="267"/>
        <v>353</v>
      </c>
      <c r="AN415" s="600">
        <f t="shared" si="267"/>
        <v>28</v>
      </c>
      <c r="AO415" s="600">
        <f t="shared" si="267"/>
        <v>345</v>
      </c>
      <c r="AP415" s="600">
        <f t="shared" si="267"/>
        <v>0</v>
      </c>
      <c r="AQ415" s="600">
        <f t="shared" si="267"/>
        <v>0</v>
      </c>
      <c r="AR415" s="600">
        <f t="shared" si="267"/>
        <v>0</v>
      </c>
      <c r="AS415" s="600">
        <f t="shared" si="267"/>
        <v>0</v>
      </c>
      <c r="AT415" s="600">
        <f t="shared" si="267"/>
        <v>0</v>
      </c>
      <c r="AU415" s="600">
        <f t="shared" si="267"/>
        <v>343</v>
      </c>
      <c r="AV415" s="600">
        <f t="shared" si="267"/>
        <v>43</v>
      </c>
      <c r="AW415" s="600">
        <f t="shared" si="267"/>
        <v>335</v>
      </c>
      <c r="AX415" s="600">
        <f t="shared" si="267"/>
        <v>0</v>
      </c>
      <c r="AY415" s="600">
        <f t="shared" si="267"/>
        <v>0</v>
      </c>
      <c r="AZ415" s="600">
        <f t="shared" si="267"/>
        <v>0</v>
      </c>
      <c r="BA415" s="600">
        <f t="shared" si="267"/>
        <v>0</v>
      </c>
      <c r="BB415" s="600">
        <f t="shared" si="267"/>
        <v>0</v>
      </c>
      <c r="BC415" s="600">
        <f t="shared" si="267"/>
        <v>363</v>
      </c>
      <c r="BD415" s="33">
        <f t="shared" si="255"/>
        <v>168.9</v>
      </c>
      <c r="BE415" s="33">
        <f t="shared" si="255"/>
        <v>1355</v>
      </c>
      <c r="BF415" s="33">
        <f t="shared" si="255"/>
        <v>50</v>
      </c>
      <c r="BG415" s="33">
        <f t="shared" si="255"/>
        <v>390</v>
      </c>
      <c r="BH415" s="33">
        <f t="shared" si="255"/>
        <v>0</v>
      </c>
      <c r="BI415" s="33">
        <f t="shared" si="266"/>
        <v>603</v>
      </c>
      <c r="BJ415" s="33">
        <f t="shared" si="256"/>
        <v>0</v>
      </c>
      <c r="BK415" s="33">
        <f t="shared" si="256"/>
        <v>2491.9</v>
      </c>
    </row>
    <row r="416" spans="1:64" x14ac:dyDescent="0.25">
      <c r="A416" s="603"/>
      <c r="B416" s="155" t="s">
        <v>1259</v>
      </c>
      <c r="C416" s="155"/>
      <c r="D416" s="2" t="s">
        <v>1260</v>
      </c>
      <c r="E416" s="1"/>
      <c r="F416" s="1"/>
      <c r="G416" s="1"/>
      <c r="H416" s="1"/>
      <c r="I416" s="1"/>
      <c r="J416" s="1"/>
      <c r="K416" s="1"/>
      <c r="L416" s="1"/>
      <c r="M416" s="1"/>
      <c r="N416" s="1"/>
      <c r="O416" s="1"/>
      <c r="P416" s="22"/>
      <c r="Q416" s="22"/>
      <c r="R416" s="1"/>
      <c r="S416" s="1"/>
      <c r="T416" s="1"/>
      <c r="U416" s="49"/>
      <c r="V416" s="49"/>
      <c r="W416" s="49"/>
      <c r="X416" s="49"/>
      <c r="Y416" s="34">
        <f t="shared" ref="Y416:BC416" si="268">SUM(Y417:Y430)</f>
        <v>29.9</v>
      </c>
      <c r="Z416" s="34">
        <f t="shared" si="268"/>
        <v>45</v>
      </c>
      <c r="AA416" s="34">
        <f t="shared" si="268"/>
        <v>50</v>
      </c>
      <c r="AB416" s="34">
        <f t="shared" si="268"/>
        <v>390</v>
      </c>
      <c r="AC416" s="34">
        <f t="shared" si="268"/>
        <v>0</v>
      </c>
      <c r="AD416" s="34">
        <f t="shared" si="268"/>
        <v>603</v>
      </c>
      <c r="AE416" s="34">
        <f t="shared" si="268"/>
        <v>0</v>
      </c>
      <c r="AF416" s="34">
        <f t="shared" si="268"/>
        <v>1117.9000000000001</v>
      </c>
      <c r="AG416" s="34">
        <f t="shared" si="268"/>
        <v>16</v>
      </c>
      <c r="AH416" s="34">
        <f t="shared" si="268"/>
        <v>280</v>
      </c>
      <c r="AI416" s="34">
        <f t="shared" si="268"/>
        <v>0</v>
      </c>
      <c r="AJ416" s="34">
        <f t="shared" si="268"/>
        <v>0</v>
      </c>
      <c r="AK416" s="34">
        <f t="shared" si="268"/>
        <v>0</v>
      </c>
      <c r="AL416" s="34">
        <f t="shared" si="268"/>
        <v>0</v>
      </c>
      <c r="AM416" s="34">
        <f t="shared" si="268"/>
        <v>296</v>
      </c>
      <c r="AN416" s="34">
        <f t="shared" si="268"/>
        <v>16</v>
      </c>
      <c r="AO416" s="34">
        <f t="shared" si="268"/>
        <v>285</v>
      </c>
      <c r="AP416" s="34">
        <f t="shared" si="268"/>
        <v>0</v>
      </c>
      <c r="AQ416" s="34">
        <f t="shared" si="268"/>
        <v>0</v>
      </c>
      <c r="AR416" s="34">
        <f t="shared" si="268"/>
        <v>0</v>
      </c>
      <c r="AS416" s="34">
        <f t="shared" si="268"/>
        <v>0</v>
      </c>
      <c r="AT416" s="34">
        <f t="shared" si="268"/>
        <v>0</v>
      </c>
      <c r="AU416" s="34">
        <f t="shared" si="268"/>
        <v>286</v>
      </c>
      <c r="AV416" s="34">
        <f t="shared" si="268"/>
        <v>31</v>
      </c>
      <c r="AW416" s="34">
        <f t="shared" si="268"/>
        <v>275</v>
      </c>
      <c r="AX416" s="34">
        <f t="shared" si="268"/>
        <v>0</v>
      </c>
      <c r="AY416" s="34">
        <f t="shared" si="268"/>
        <v>0</v>
      </c>
      <c r="AZ416" s="34">
        <f t="shared" si="268"/>
        <v>0</v>
      </c>
      <c r="BA416" s="34">
        <f t="shared" si="268"/>
        <v>0</v>
      </c>
      <c r="BB416" s="34">
        <f t="shared" si="268"/>
        <v>0</v>
      </c>
      <c r="BC416" s="34">
        <f t="shared" si="268"/>
        <v>306</v>
      </c>
      <c r="BD416" s="34">
        <f t="shared" si="255"/>
        <v>92.9</v>
      </c>
      <c r="BE416" s="34">
        <f t="shared" si="255"/>
        <v>885</v>
      </c>
      <c r="BF416" s="34">
        <f t="shared" si="255"/>
        <v>50</v>
      </c>
      <c r="BG416" s="34">
        <f t="shared" si="255"/>
        <v>390</v>
      </c>
      <c r="BH416" s="34">
        <f t="shared" si="255"/>
        <v>0</v>
      </c>
      <c r="BI416" s="34">
        <f t="shared" si="266"/>
        <v>603</v>
      </c>
      <c r="BJ416" s="34">
        <f t="shared" si="256"/>
        <v>0</v>
      </c>
      <c r="BK416" s="34">
        <f t="shared" si="256"/>
        <v>2005.9</v>
      </c>
    </row>
    <row r="417" spans="1:64" ht="316.8" x14ac:dyDescent="0.25">
      <c r="A417" s="298" t="s">
        <v>1261</v>
      </c>
      <c r="B417" s="299" t="s">
        <v>1259</v>
      </c>
      <c r="C417" s="1546" t="s">
        <v>1262</v>
      </c>
      <c r="D417" s="1550" t="s">
        <v>1263</v>
      </c>
      <c r="E417" s="1550" t="s">
        <v>1264</v>
      </c>
      <c r="F417" s="1550">
        <v>2015</v>
      </c>
      <c r="G417" s="1550">
        <v>6.49</v>
      </c>
      <c r="H417" s="1550" t="s">
        <v>1265</v>
      </c>
      <c r="I417" s="1425"/>
      <c r="J417" s="1425"/>
      <c r="K417" s="1425" t="s">
        <v>1266</v>
      </c>
      <c r="L417" s="301" t="s">
        <v>1140</v>
      </c>
      <c r="M417" s="1425" t="s">
        <v>497</v>
      </c>
      <c r="N417" s="476"/>
      <c r="O417" s="1425" t="s">
        <v>73</v>
      </c>
      <c r="P417" s="16" t="s">
        <v>1267</v>
      </c>
      <c r="Q417" s="302" t="s">
        <v>1268</v>
      </c>
      <c r="R417" s="303">
        <v>2015</v>
      </c>
      <c r="S417" s="303">
        <v>0</v>
      </c>
      <c r="T417" s="303">
        <v>1</v>
      </c>
      <c r="U417" s="303">
        <v>1</v>
      </c>
      <c r="V417" s="303">
        <v>1</v>
      </c>
      <c r="W417" s="303">
        <v>1</v>
      </c>
      <c r="X417" s="303">
        <v>1</v>
      </c>
      <c r="Y417" s="481">
        <v>0</v>
      </c>
      <c r="Z417" s="482"/>
      <c r="AA417" s="481">
        <v>0</v>
      </c>
      <c r="AB417" s="481">
        <v>0</v>
      </c>
      <c r="AC417" s="481">
        <v>0</v>
      </c>
      <c r="AD417" s="481">
        <v>147</v>
      </c>
      <c r="AE417" s="481">
        <v>0</v>
      </c>
      <c r="AF417" s="481">
        <f t="shared" ref="AF417:AF440" si="269">SUM(Y417:AE417)</f>
        <v>147</v>
      </c>
      <c r="AG417" s="548">
        <v>0</v>
      </c>
      <c r="AH417" s="548">
        <v>250</v>
      </c>
      <c r="AI417" s="548">
        <v>0</v>
      </c>
      <c r="AJ417" s="548">
        <v>0</v>
      </c>
      <c r="AK417" s="548">
        <v>0</v>
      </c>
      <c r="AL417" s="548">
        <v>0</v>
      </c>
      <c r="AM417" s="548">
        <f t="shared" ref="AM417:AM430" si="270">SUM(AG417:AL417)</f>
        <v>250</v>
      </c>
      <c r="AN417" s="481">
        <v>0</v>
      </c>
      <c r="AO417" s="481">
        <v>255</v>
      </c>
      <c r="AP417" s="481">
        <v>0</v>
      </c>
      <c r="AQ417" s="481">
        <v>0</v>
      </c>
      <c r="AR417" s="481">
        <v>0</v>
      </c>
      <c r="AS417" s="481">
        <v>0</v>
      </c>
      <c r="AT417" s="481">
        <v>0</v>
      </c>
      <c r="AU417" s="481">
        <f t="shared" ref="AU417:AU428" si="271">SUM(AN417:AT417)</f>
        <v>255</v>
      </c>
      <c r="AV417" s="548"/>
      <c r="AW417" s="548">
        <v>260</v>
      </c>
      <c r="AX417" s="548"/>
      <c r="AY417" s="548"/>
      <c r="AZ417" s="548"/>
      <c r="BA417" s="548"/>
      <c r="BB417" s="548"/>
      <c r="BC417" s="548">
        <f t="shared" ref="BC417:BC440" si="272">SUM(AV417:BB417)</f>
        <v>260</v>
      </c>
      <c r="BD417" s="42">
        <f t="shared" si="255"/>
        <v>0</v>
      </c>
      <c r="BE417" s="42">
        <f t="shared" si="255"/>
        <v>765</v>
      </c>
      <c r="BF417" s="42">
        <f t="shared" si="255"/>
        <v>0</v>
      </c>
      <c r="BG417" s="42">
        <f t="shared" si="255"/>
        <v>0</v>
      </c>
      <c r="BH417" s="42">
        <f t="shared" si="255"/>
        <v>0</v>
      </c>
      <c r="BI417" s="42">
        <f t="shared" si="266"/>
        <v>147</v>
      </c>
      <c r="BJ417" s="42">
        <f t="shared" si="256"/>
        <v>0</v>
      </c>
      <c r="BK417" s="42">
        <f t="shared" si="256"/>
        <v>912</v>
      </c>
      <c r="BL417" s="3"/>
    </row>
    <row r="418" spans="1:64" ht="330" x14ac:dyDescent="0.25">
      <c r="A418" s="298" t="s">
        <v>1261</v>
      </c>
      <c r="B418" s="299" t="s">
        <v>1259</v>
      </c>
      <c r="C418" s="1547"/>
      <c r="D418" s="1551"/>
      <c r="E418" s="1551"/>
      <c r="F418" s="1551"/>
      <c r="G418" s="1551"/>
      <c r="H418" s="1551"/>
      <c r="I418" s="1425"/>
      <c r="J418" s="1425"/>
      <c r="K418" s="1425" t="s">
        <v>1269</v>
      </c>
      <c r="L418" s="301" t="s">
        <v>1140</v>
      </c>
      <c r="M418" s="1425" t="s">
        <v>497</v>
      </c>
      <c r="N418" s="476"/>
      <c r="O418" s="1425" t="s">
        <v>73</v>
      </c>
      <c r="P418" s="16" t="s">
        <v>1270</v>
      </c>
      <c r="Q418" s="302" t="s">
        <v>1271</v>
      </c>
      <c r="R418" s="303">
        <v>2015</v>
      </c>
      <c r="S418" s="303">
        <v>0</v>
      </c>
      <c r="T418" s="303">
        <v>12</v>
      </c>
      <c r="U418" s="303">
        <v>12</v>
      </c>
      <c r="V418" s="303">
        <v>12</v>
      </c>
      <c r="W418" s="303">
        <v>12</v>
      </c>
      <c r="X418" s="303">
        <v>12</v>
      </c>
      <c r="Y418" s="481">
        <v>0</v>
      </c>
      <c r="Z418" s="481">
        <v>0</v>
      </c>
      <c r="AA418" s="481">
        <v>0</v>
      </c>
      <c r="AB418" s="481">
        <v>0</v>
      </c>
      <c r="AC418" s="481">
        <v>0</v>
      </c>
      <c r="AD418" s="481">
        <v>0</v>
      </c>
      <c r="AE418" s="481">
        <v>0</v>
      </c>
      <c r="AF418" s="481">
        <f t="shared" si="269"/>
        <v>0</v>
      </c>
      <c r="AG418" s="548">
        <v>0</v>
      </c>
      <c r="AH418" s="548">
        <v>0</v>
      </c>
      <c r="AI418" s="548">
        <v>0</v>
      </c>
      <c r="AJ418" s="548">
        <v>0</v>
      </c>
      <c r="AK418" s="548">
        <v>0</v>
      </c>
      <c r="AL418" s="548">
        <v>0</v>
      </c>
      <c r="AM418" s="548">
        <f t="shared" si="270"/>
        <v>0</v>
      </c>
      <c r="AN418" s="481">
        <v>0</v>
      </c>
      <c r="AO418" s="481">
        <v>0</v>
      </c>
      <c r="AP418" s="481">
        <v>0</v>
      </c>
      <c r="AQ418" s="481">
        <v>0</v>
      </c>
      <c r="AR418" s="481">
        <v>0</v>
      </c>
      <c r="AS418" s="481">
        <v>0</v>
      </c>
      <c r="AT418" s="481">
        <v>0</v>
      </c>
      <c r="AU418" s="481">
        <f t="shared" si="271"/>
        <v>0</v>
      </c>
      <c r="AV418" s="548"/>
      <c r="AW418" s="548"/>
      <c r="AX418" s="548"/>
      <c r="AY418" s="548"/>
      <c r="AZ418" s="548"/>
      <c r="BA418" s="548"/>
      <c r="BB418" s="548"/>
      <c r="BC418" s="548">
        <f t="shared" si="272"/>
        <v>0</v>
      </c>
      <c r="BD418" s="42">
        <f t="shared" si="255"/>
        <v>0</v>
      </c>
      <c r="BE418" s="42">
        <f t="shared" si="255"/>
        <v>0</v>
      </c>
      <c r="BF418" s="42">
        <f t="shared" si="255"/>
        <v>0</v>
      </c>
      <c r="BG418" s="42">
        <f t="shared" si="255"/>
        <v>0</v>
      </c>
      <c r="BH418" s="42">
        <f t="shared" si="255"/>
        <v>0</v>
      </c>
      <c r="BI418" s="42">
        <f t="shared" si="266"/>
        <v>0</v>
      </c>
      <c r="BJ418" s="42">
        <f t="shared" si="256"/>
        <v>0</v>
      </c>
      <c r="BK418" s="42">
        <f t="shared" si="256"/>
        <v>0</v>
      </c>
      <c r="BL418" s="3"/>
    </row>
    <row r="419" spans="1:64" ht="330" x14ac:dyDescent="0.25">
      <c r="A419" s="298" t="s">
        <v>1261</v>
      </c>
      <c r="B419" s="299" t="s">
        <v>1259</v>
      </c>
      <c r="C419" s="1547"/>
      <c r="D419" s="1551"/>
      <c r="E419" s="1551"/>
      <c r="F419" s="1551"/>
      <c r="G419" s="1551"/>
      <c r="H419" s="1551"/>
      <c r="I419" s="1425"/>
      <c r="J419" s="1425"/>
      <c r="K419" s="1425" t="s">
        <v>1272</v>
      </c>
      <c r="L419" s="301" t="s">
        <v>1140</v>
      </c>
      <c r="M419" s="1425" t="s">
        <v>497</v>
      </c>
      <c r="N419" s="476"/>
      <c r="O419" s="1425" t="s">
        <v>47</v>
      </c>
      <c r="P419" s="16" t="s">
        <v>1273</v>
      </c>
      <c r="Q419" s="302" t="s">
        <v>1274</v>
      </c>
      <c r="R419" s="303">
        <v>2015</v>
      </c>
      <c r="S419" s="303">
        <v>0</v>
      </c>
      <c r="T419" s="303">
        <v>1</v>
      </c>
      <c r="U419" s="303">
        <v>1</v>
      </c>
      <c r="V419" s="303">
        <v>1</v>
      </c>
      <c r="W419" s="303">
        <v>1</v>
      </c>
      <c r="X419" s="303">
        <v>4</v>
      </c>
      <c r="Y419" s="481">
        <v>0</v>
      </c>
      <c r="Z419" s="481">
        <v>0</v>
      </c>
      <c r="AA419" s="481">
        <v>0</v>
      </c>
      <c r="AB419" s="481">
        <v>0</v>
      </c>
      <c r="AC419" s="481">
        <v>0</v>
      </c>
      <c r="AD419" s="481">
        <v>0</v>
      </c>
      <c r="AE419" s="481">
        <v>0</v>
      </c>
      <c r="AF419" s="481">
        <f t="shared" si="269"/>
        <v>0</v>
      </c>
      <c r="AG419" s="548">
        <v>0</v>
      </c>
      <c r="AH419" s="548">
        <v>0</v>
      </c>
      <c r="AI419" s="548">
        <v>0</v>
      </c>
      <c r="AJ419" s="548">
        <v>0</v>
      </c>
      <c r="AK419" s="548">
        <v>0</v>
      </c>
      <c r="AL419" s="548">
        <v>0</v>
      </c>
      <c r="AM419" s="548">
        <f t="shared" si="270"/>
        <v>0</v>
      </c>
      <c r="AN419" s="481">
        <v>0</v>
      </c>
      <c r="AO419" s="481">
        <v>0</v>
      </c>
      <c r="AP419" s="481">
        <v>0</v>
      </c>
      <c r="AQ419" s="481">
        <v>0</v>
      </c>
      <c r="AR419" s="481">
        <v>0</v>
      </c>
      <c r="AS419" s="481">
        <v>0</v>
      </c>
      <c r="AT419" s="481">
        <v>0</v>
      </c>
      <c r="AU419" s="481">
        <f t="shared" si="271"/>
        <v>0</v>
      </c>
      <c r="AV419" s="548"/>
      <c r="AW419" s="548"/>
      <c r="AX419" s="548"/>
      <c r="AY419" s="548"/>
      <c r="AZ419" s="548"/>
      <c r="BA419" s="548"/>
      <c r="BB419" s="548"/>
      <c r="BC419" s="548">
        <f t="shared" si="272"/>
        <v>0</v>
      </c>
      <c r="BD419" s="42">
        <f t="shared" si="255"/>
        <v>0</v>
      </c>
      <c r="BE419" s="42">
        <f t="shared" si="255"/>
        <v>0</v>
      </c>
      <c r="BF419" s="42">
        <f t="shared" si="255"/>
        <v>0</v>
      </c>
      <c r="BG419" s="42">
        <f t="shared" si="255"/>
        <v>0</v>
      </c>
      <c r="BH419" s="42">
        <f t="shared" si="255"/>
        <v>0</v>
      </c>
      <c r="BI419" s="42">
        <f t="shared" si="266"/>
        <v>0</v>
      </c>
      <c r="BJ419" s="42">
        <f t="shared" si="256"/>
        <v>0</v>
      </c>
      <c r="BK419" s="42">
        <f t="shared" si="256"/>
        <v>0</v>
      </c>
      <c r="BL419" s="3"/>
    </row>
    <row r="420" spans="1:64" ht="277.2" x14ac:dyDescent="0.25">
      <c r="A420" s="298" t="s">
        <v>1261</v>
      </c>
      <c r="B420" s="299" t="s">
        <v>1259</v>
      </c>
      <c r="C420" s="1547"/>
      <c r="D420" s="1551"/>
      <c r="E420" s="1551"/>
      <c r="F420" s="1551"/>
      <c r="G420" s="1551"/>
      <c r="H420" s="1551"/>
      <c r="I420" s="1425"/>
      <c r="J420" s="1425"/>
      <c r="K420" s="1425" t="s">
        <v>1275</v>
      </c>
      <c r="L420" s="301" t="s">
        <v>1140</v>
      </c>
      <c r="M420" s="1425" t="s">
        <v>497</v>
      </c>
      <c r="N420" s="476"/>
      <c r="O420" s="1425" t="s">
        <v>73</v>
      </c>
      <c r="P420" s="16" t="s">
        <v>1276</v>
      </c>
      <c r="Q420" s="302" t="s">
        <v>1277</v>
      </c>
      <c r="R420" s="303">
        <v>2015</v>
      </c>
      <c r="S420" s="303">
        <v>0</v>
      </c>
      <c r="T420" s="303">
        <v>2</v>
      </c>
      <c r="U420" s="303">
        <v>2</v>
      </c>
      <c r="V420" s="303">
        <v>2</v>
      </c>
      <c r="W420" s="303">
        <v>2</v>
      </c>
      <c r="X420" s="303">
        <v>2</v>
      </c>
      <c r="Y420" s="491">
        <v>9</v>
      </c>
      <c r="Z420" s="481">
        <v>0</v>
      </c>
      <c r="AA420" s="481">
        <v>0</v>
      </c>
      <c r="AB420" s="481">
        <v>0</v>
      </c>
      <c r="AC420" s="481">
        <v>0</v>
      </c>
      <c r="AD420" s="481">
        <v>0</v>
      </c>
      <c r="AE420" s="481">
        <v>0</v>
      </c>
      <c r="AF420" s="481">
        <f t="shared" si="269"/>
        <v>9</v>
      </c>
      <c r="AG420" s="548">
        <v>0</v>
      </c>
      <c r="AH420" s="548">
        <v>0</v>
      </c>
      <c r="AI420" s="548">
        <v>0</v>
      </c>
      <c r="AJ420" s="548">
        <v>0</v>
      </c>
      <c r="AK420" s="548">
        <v>0</v>
      </c>
      <c r="AL420" s="548">
        <v>0</v>
      </c>
      <c r="AM420" s="548">
        <f t="shared" si="270"/>
        <v>0</v>
      </c>
      <c r="AN420" s="481">
        <v>0</v>
      </c>
      <c r="AO420" s="481">
        <v>0</v>
      </c>
      <c r="AP420" s="481">
        <v>0</v>
      </c>
      <c r="AQ420" s="481">
        <v>0</v>
      </c>
      <c r="AR420" s="481">
        <v>0</v>
      </c>
      <c r="AS420" s="481">
        <v>0</v>
      </c>
      <c r="AT420" s="481">
        <v>0</v>
      </c>
      <c r="AU420" s="481">
        <f t="shared" si="271"/>
        <v>0</v>
      </c>
      <c r="AV420" s="548">
        <v>0</v>
      </c>
      <c r="AW420" s="548">
        <v>0</v>
      </c>
      <c r="AX420" s="548">
        <v>0</v>
      </c>
      <c r="AY420" s="548">
        <v>0</v>
      </c>
      <c r="AZ420" s="548">
        <v>0</v>
      </c>
      <c r="BA420" s="548">
        <v>0</v>
      </c>
      <c r="BB420" s="548">
        <v>0</v>
      </c>
      <c r="BC420" s="548">
        <f t="shared" si="272"/>
        <v>0</v>
      </c>
      <c r="BD420" s="42">
        <f t="shared" si="255"/>
        <v>9</v>
      </c>
      <c r="BE420" s="42">
        <f t="shared" si="255"/>
        <v>0</v>
      </c>
      <c r="BF420" s="42">
        <f t="shared" si="255"/>
        <v>0</v>
      </c>
      <c r="BG420" s="42">
        <f t="shared" si="255"/>
        <v>0</v>
      </c>
      <c r="BH420" s="42">
        <f t="shared" si="255"/>
        <v>0</v>
      </c>
      <c r="BI420" s="42">
        <f t="shared" si="266"/>
        <v>0</v>
      </c>
      <c r="BJ420" s="42">
        <f t="shared" si="256"/>
        <v>0</v>
      </c>
      <c r="BK420" s="42">
        <f t="shared" si="256"/>
        <v>9</v>
      </c>
      <c r="BL420" s="3"/>
    </row>
    <row r="421" spans="1:64" ht="264" x14ac:dyDescent="0.25">
      <c r="A421" s="298" t="s">
        <v>1261</v>
      </c>
      <c r="B421" s="299" t="s">
        <v>1259</v>
      </c>
      <c r="C421" s="1547"/>
      <c r="D421" s="1551"/>
      <c r="E421" s="1551"/>
      <c r="F421" s="1551"/>
      <c r="G421" s="1551"/>
      <c r="H421" s="1551"/>
      <c r="I421" s="1425"/>
      <c r="J421" s="1425"/>
      <c r="K421" s="1425" t="s">
        <v>1278</v>
      </c>
      <c r="L421" s="301" t="s">
        <v>1140</v>
      </c>
      <c r="M421" s="1425" t="s">
        <v>497</v>
      </c>
      <c r="N421" s="476"/>
      <c r="O421" s="1425" t="s">
        <v>73</v>
      </c>
      <c r="P421" s="16" t="s">
        <v>1279</v>
      </c>
      <c r="Q421" s="302" t="s">
        <v>1280</v>
      </c>
      <c r="R421" s="303">
        <v>2015</v>
      </c>
      <c r="S421" s="303">
        <v>0</v>
      </c>
      <c r="T421" s="303">
        <v>6</v>
      </c>
      <c r="U421" s="303">
        <v>6</v>
      </c>
      <c r="V421" s="303">
        <v>6</v>
      </c>
      <c r="W421" s="303">
        <v>6</v>
      </c>
      <c r="X421" s="303">
        <v>6</v>
      </c>
      <c r="Y421" s="491">
        <v>0.9</v>
      </c>
      <c r="Z421" s="481">
        <v>0</v>
      </c>
      <c r="AA421" s="481">
        <v>0</v>
      </c>
      <c r="AB421" s="481">
        <v>0</v>
      </c>
      <c r="AC421" s="481">
        <v>0</v>
      </c>
      <c r="AD421" s="481">
        <v>0</v>
      </c>
      <c r="AE421" s="481">
        <v>0</v>
      </c>
      <c r="AF421" s="481">
        <f t="shared" si="269"/>
        <v>0.9</v>
      </c>
      <c r="AG421" s="548">
        <v>0</v>
      </c>
      <c r="AH421" s="548">
        <v>0</v>
      </c>
      <c r="AI421" s="548">
        <v>0</v>
      </c>
      <c r="AJ421" s="548">
        <v>0</v>
      </c>
      <c r="AK421" s="548">
        <v>0</v>
      </c>
      <c r="AL421" s="548">
        <v>0</v>
      </c>
      <c r="AM421" s="548">
        <f t="shared" si="270"/>
        <v>0</v>
      </c>
      <c r="AN421" s="481">
        <v>0</v>
      </c>
      <c r="AO421" s="481">
        <v>0</v>
      </c>
      <c r="AP421" s="481">
        <v>0</v>
      </c>
      <c r="AQ421" s="481">
        <v>0</v>
      </c>
      <c r="AR421" s="481">
        <v>0</v>
      </c>
      <c r="AS421" s="481">
        <v>0</v>
      </c>
      <c r="AT421" s="481">
        <v>0</v>
      </c>
      <c r="AU421" s="481">
        <f t="shared" si="271"/>
        <v>0</v>
      </c>
      <c r="AV421" s="548">
        <v>0</v>
      </c>
      <c r="AW421" s="548">
        <v>0</v>
      </c>
      <c r="AX421" s="548">
        <v>0</v>
      </c>
      <c r="AY421" s="548">
        <v>0</v>
      </c>
      <c r="AZ421" s="548">
        <v>0</v>
      </c>
      <c r="BA421" s="548">
        <v>0</v>
      </c>
      <c r="BB421" s="548">
        <v>0</v>
      </c>
      <c r="BC421" s="548">
        <f t="shared" si="272"/>
        <v>0</v>
      </c>
      <c r="BD421" s="42">
        <f t="shared" si="255"/>
        <v>0.9</v>
      </c>
      <c r="BE421" s="42">
        <f t="shared" si="255"/>
        <v>0</v>
      </c>
      <c r="BF421" s="42">
        <f t="shared" si="255"/>
        <v>0</v>
      </c>
      <c r="BG421" s="42">
        <f t="shared" si="255"/>
        <v>0</v>
      </c>
      <c r="BH421" s="42">
        <f t="shared" si="255"/>
        <v>0</v>
      </c>
      <c r="BI421" s="42">
        <f t="shared" si="266"/>
        <v>0</v>
      </c>
      <c r="BJ421" s="42">
        <f t="shared" si="256"/>
        <v>0</v>
      </c>
      <c r="BK421" s="42">
        <f t="shared" si="256"/>
        <v>0.9</v>
      </c>
      <c r="BL421" s="3"/>
    </row>
    <row r="422" spans="1:64" s="38" customFormat="1" ht="330" x14ac:dyDescent="0.25">
      <c r="A422" s="298" t="s">
        <v>1261</v>
      </c>
      <c r="B422" s="299" t="s">
        <v>1259</v>
      </c>
      <c r="C422" s="1547"/>
      <c r="D422" s="1551"/>
      <c r="E422" s="1551"/>
      <c r="F422" s="1551"/>
      <c r="G422" s="1551"/>
      <c r="H422" s="1551"/>
      <c r="I422" s="1432"/>
      <c r="J422" s="1432"/>
      <c r="K422" s="1425" t="s">
        <v>1281</v>
      </c>
      <c r="L422" s="301" t="s">
        <v>1140</v>
      </c>
      <c r="M422" s="1425" t="s">
        <v>497</v>
      </c>
      <c r="N422" s="476"/>
      <c r="O422" s="1425" t="s">
        <v>73</v>
      </c>
      <c r="P422" s="71" t="s">
        <v>1282</v>
      </c>
      <c r="Q422" s="345" t="s">
        <v>1283</v>
      </c>
      <c r="R422" s="346">
        <v>2015</v>
      </c>
      <c r="S422" s="346">
        <v>0</v>
      </c>
      <c r="T422" s="346">
        <v>10</v>
      </c>
      <c r="U422" s="346">
        <v>10</v>
      </c>
      <c r="V422" s="346">
        <v>10</v>
      </c>
      <c r="W422" s="346">
        <v>10</v>
      </c>
      <c r="X422" s="346">
        <v>10</v>
      </c>
      <c r="Y422" s="579">
        <v>0</v>
      </c>
      <c r="Z422" s="579">
        <v>8</v>
      </c>
      <c r="AA422" s="579">
        <v>0</v>
      </c>
      <c r="AB422" s="579">
        <v>0</v>
      </c>
      <c r="AC422" s="579">
        <v>0</v>
      </c>
      <c r="AD422" s="579">
        <v>0</v>
      </c>
      <c r="AE422" s="579">
        <v>0</v>
      </c>
      <c r="AF422" s="579">
        <f t="shared" si="269"/>
        <v>8</v>
      </c>
      <c r="AG422" s="589">
        <v>8</v>
      </c>
      <c r="AH422" s="589">
        <v>0</v>
      </c>
      <c r="AI422" s="589">
        <v>0</v>
      </c>
      <c r="AJ422" s="589">
        <v>0</v>
      </c>
      <c r="AK422" s="589">
        <v>0</v>
      </c>
      <c r="AL422" s="589">
        <v>0</v>
      </c>
      <c r="AM422" s="589">
        <f t="shared" si="270"/>
        <v>8</v>
      </c>
      <c r="AN422" s="579">
        <v>8</v>
      </c>
      <c r="AO422" s="579">
        <v>0</v>
      </c>
      <c r="AP422" s="579">
        <v>0</v>
      </c>
      <c r="AQ422" s="579">
        <v>0</v>
      </c>
      <c r="AR422" s="579">
        <v>0</v>
      </c>
      <c r="AS422" s="579">
        <v>0</v>
      </c>
      <c r="AT422" s="579">
        <v>0</v>
      </c>
      <c r="AU422" s="579">
        <f t="shared" si="271"/>
        <v>8</v>
      </c>
      <c r="AV422" s="589">
        <v>8</v>
      </c>
      <c r="AW422" s="589">
        <v>0</v>
      </c>
      <c r="AX422" s="589">
        <v>0</v>
      </c>
      <c r="AY422" s="589">
        <v>0</v>
      </c>
      <c r="AZ422" s="589">
        <v>0</v>
      </c>
      <c r="BA422" s="589">
        <v>0</v>
      </c>
      <c r="BB422" s="589">
        <v>0</v>
      </c>
      <c r="BC422" s="589">
        <f t="shared" si="272"/>
        <v>8</v>
      </c>
      <c r="BD422" s="61">
        <f t="shared" si="255"/>
        <v>24</v>
      </c>
      <c r="BE422" s="61">
        <f t="shared" si="255"/>
        <v>8</v>
      </c>
      <c r="BF422" s="61">
        <f t="shared" si="255"/>
        <v>0</v>
      </c>
      <c r="BG422" s="61">
        <f t="shared" si="255"/>
        <v>0</v>
      </c>
      <c r="BH422" s="61">
        <f t="shared" si="255"/>
        <v>0</v>
      </c>
      <c r="BI422" s="61">
        <f t="shared" si="266"/>
        <v>0</v>
      </c>
      <c r="BJ422" s="61">
        <f t="shared" si="256"/>
        <v>0</v>
      </c>
      <c r="BK422" s="61">
        <f t="shared" si="256"/>
        <v>32</v>
      </c>
    </row>
    <row r="423" spans="1:64" ht="303.60000000000002" x14ac:dyDescent="0.25">
      <c r="A423" s="298" t="s">
        <v>1261</v>
      </c>
      <c r="B423" s="299" t="s">
        <v>1259</v>
      </c>
      <c r="C423" s="1547"/>
      <c r="D423" s="1551"/>
      <c r="E423" s="1551"/>
      <c r="F423" s="1551"/>
      <c r="G423" s="1551"/>
      <c r="H423" s="1551"/>
      <c r="I423" s="1425"/>
      <c r="J423" s="1425"/>
      <c r="K423" s="1425" t="s">
        <v>1284</v>
      </c>
      <c r="L423" s="301" t="s">
        <v>1140</v>
      </c>
      <c r="M423" s="1425" t="s">
        <v>497</v>
      </c>
      <c r="N423" s="476"/>
      <c r="O423" s="1425" t="s">
        <v>73</v>
      </c>
      <c r="P423" s="16" t="s">
        <v>1285</v>
      </c>
      <c r="Q423" s="302" t="s">
        <v>1286</v>
      </c>
      <c r="R423" s="303">
        <v>2015</v>
      </c>
      <c r="S423" s="303">
        <v>1</v>
      </c>
      <c r="T423" s="303">
        <v>1</v>
      </c>
      <c r="U423" s="303">
        <v>1</v>
      </c>
      <c r="V423" s="303">
        <v>1</v>
      </c>
      <c r="W423" s="303">
        <v>1</v>
      </c>
      <c r="X423" s="303">
        <v>1</v>
      </c>
      <c r="Y423" s="481">
        <v>20</v>
      </c>
      <c r="Z423" s="481">
        <v>4</v>
      </c>
      <c r="AA423" s="481">
        <v>0</v>
      </c>
      <c r="AB423" s="481">
        <v>0</v>
      </c>
      <c r="AC423" s="481">
        <v>0</v>
      </c>
      <c r="AD423" s="481">
        <v>6</v>
      </c>
      <c r="AE423" s="481">
        <v>0</v>
      </c>
      <c r="AF423" s="481">
        <f t="shared" si="269"/>
        <v>30</v>
      </c>
      <c r="AG423" s="548">
        <v>0</v>
      </c>
      <c r="AH423" s="548">
        <v>10</v>
      </c>
      <c r="AI423" s="548">
        <v>0</v>
      </c>
      <c r="AJ423" s="548">
        <v>0</v>
      </c>
      <c r="AK423" s="548">
        <v>0</v>
      </c>
      <c r="AL423" s="548">
        <v>0</v>
      </c>
      <c r="AM423" s="548">
        <f t="shared" si="270"/>
        <v>10</v>
      </c>
      <c r="AN423" s="481">
        <v>0</v>
      </c>
      <c r="AO423" s="481">
        <v>10</v>
      </c>
      <c r="AP423" s="481">
        <v>0</v>
      </c>
      <c r="AQ423" s="481">
        <v>0</v>
      </c>
      <c r="AR423" s="481">
        <v>0</v>
      </c>
      <c r="AS423" s="481">
        <v>0</v>
      </c>
      <c r="AT423" s="481">
        <v>0</v>
      </c>
      <c r="AU423" s="481">
        <f t="shared" si="271"/>
        <v>10</v>
      </c>
      <c r="AV423" s="548">
        <v>0</v>
      </c>
      <c r="AW423" s="548">
        <v>10</v>
      </c>
      <c r="AX423" s="548">
        <v>0</v>
      </c>
      <c r="AY423" s="548">
        <v>0</v>
      </c>
      <c r="AZ423" s="548">
        <v>0</v>
      </c>
      <c r="BA423" s="548">
        <v>0</v>
      </c>
      <c r="BB423" s="548">
        <v>0</v>
      </c>
      <c r="BC423" s="548">
        <f t="shared" si="272"/>
        <v>10</v>
      </c>
      <c r="BD423" s="42">
        <f t="shared" si="255"/>
        <v>20</v>
      </c>
      <c r="BE423" s="42">
        <f t="shared" si="255"/>
        <v>34</v>
      </c>
      <c r="BF423" s="42">
        <f t="shared" si="255"/>
        <v>0</v>
      </c>
      <c r="BG423" s="42">
        <f t="shared" si="255"/>
        <v>0</v>
      </c>
      <c r="BH423" s="42">
        <f t="shared" si="255"/>
        <v>0</v>
      </c>
      <c r="BI423" s="42">
        <f t="shared" si="266"/>
        <v>6</v>
      </c>
      <c r="BJ423" s="42">
        <f t="shared" si="256"/>
        <v>0</v>
      </c>
      <c r="BK423" s="42">
        <f t="shared" si="256"/>
        <v>60</v>
      </c>
      <c r="BL423" s="3"/>
    </row>
    <row r="424" spans="1:64" ht="211.2" x14ac:dyDescent="0.25">
      <c r="A424" s="298" t="s">
        <v>1261</v>
      </c>
      <c r="B424" s="299" t="s">
        <v>1259</v>
      </c>
      <c r="C424" s="1547"/>
      <c r="D424" s="1551"/>
      <c r="E424" s="1551"/>
      <c r="F424" s="1551"/>
      <c r="G424" s="1551"/>
      <c r="H424" s="1551"/>
      <c r="I424" s="1425"/>
      <c r="J424" s="1425"/>
      <c r="K424" s="1425" t="s">
        <v>1287</v>
      </c>
      <c r="L424" s="301" t="s">
        <v>1140</v>
      </c>
      <c r="M424" s="1425" t="s">
        <v>497</v>
      </c>
      <c r="N424" s="476"/>
      <c r="O424" s="1425" t="s">
        <v>47</v>
      </c>
      <c r="P424" s="16" t="s">
        <v>1288</v>
      </c>
      <c r="Q424" s="302" t="s">
        <v>1289</v>
      </c>
      <c r="R424" s="303">
        <v>2015</v>
      </c>
      <c r="S424" s="303">
        <v>0</v>
      </c>
      <c r="T424" s="303">
        <v>10</v>
      </c>
      <c r="U424" s="303">
        <v>0</v>
      </c>
      <c r="V424" s="303">
        <v>0</v>
      </c>
      <c r="W424" s="303">
        <v>0</v>
      </c>
      <c r="X424" s="303">
        <v>10</v>
      </c>
      <c r="Y424" s="481">
        <v>0</v>
      </c>
      <c r="Z424" s="482"/>
      <c r="AA424" s="481">
        <v>0</v>
      </c>
      <c r="AB424" s="481">
        <v>0</v>
      </c>
      <c r="AC424" s="481">
        <v>0</v>
      </c>
      <c r="AD424" s="481">
        <v>150</v>
      </c>
      <c r="AE424" s="481">
        <v>0</v>
      </c>
      <c r="AF424" s="481">
        <f t="shared" si="269"/>
        <v>150</v>
      </c>
      <c r="AG424" s="548">
        <v>0</v>
      </c>
      <c r="AH424" s="548">
        <v>0</v>
      </c>
      <c r="AI424" s="548">
        <v>0</v>
      </c>
      <c r="AJ424" s="548">
        <v>0</v>
      </c>
      <c r="AK424" s="548">
        <v>0</v>
      </c>
      <c r="AL424" s="548">
        <v>0</v>
      </c>
      <c r="AM424" s="548">
        <f t="shared" si="270"/>
        <v>0</v>
      </c>
      <c r="AN424" s="481">
        <v>0</v>
      </c>
      <c r="AO424" s="481">
        <v>0</v>
      </c>
      <c r="AP424" s="481">
        <v>0</v>
      </c>
      <c r="AQ424" s="481">
        <v>0</v>
      </c>
      <c r="AR424" s="481">
        <v>0</v>
      </c>
      <c r="AS424" s="481">
        <v>0</v>
      </c>
      <c r="AT424" s="481">
        <v>0</v>
      </c>
      <c r="AU424" s="481">
        <f t="shared" si="271"/>
        <v>0</v>
      </c>
      <c r="AV424" s="548">
        <v>0</v>
      </c>
      <c r="AW424" s="548">
        <v>0</v>
      </c>
      <c r="AX424" s="548">
        <v>0</v>
      </c>
      <c r="AY424" s="548">
        <v>0</v>
      </c>
      <c r="AZ424" s="548">
        <v>0</v>
      </c>
      <c r="BA424" s="548">
        <v>0</v>
      </c>
      <c r="BB424" s="548">
        <v>0</v>
      </c>
      <c r="BC424" s="548">
        <f t="shared" si="272"/>
        <v>0</v>
      </c>
      <c r="BD424" s="42">
        <f t="shared" si="255"/>
        <v>0</v>
      </c>
      <c r="BE424" s="42">
        <f t="shared" si="255"/>
        <v>0</v>
      </c>
      <c r="BF424" s="42">
        <f t="shared" si="255"/>
        <v>0</v>
      </c>
      <c r="BG424" s="42">
        <f t="shared" si="255"/>
        <v>0</v>
      </c>
      <c r="BH424" s="42">
        <f t="shared" si="255"/>
        <v>0</v>
      </c>
      <c r="BI424" s="42">
        <f t="shared" si="266"/>
        <v>150</v>
      </c>
      <c r="BJ424" s="42">
        <f t="shared" si="256"/>
        <v>0</v>
      </c>
      <c r="BK424" s="42">
        <f t="shared" si="256"/>
        <v>150</v>
      </c>
      <c r="BL424" s="3"/>
    </row>
    <row r="425" spans="1:64" ht="264" x14ac:dyDescent="0.25">
      <c r="A425" s="298" t="s">
        <v>1261</v>
      </c>
      <c r="B425" s="299" t="s">
        <v>1259</v>
      </c>
      <c r="C425" s="1547"/>
      <c r="D425" s="1551"/>
      <c r="E425" s="1551"/>
      <c r="F425" s="1551"/>
      <c r="G425" s="1551"/>
      <c r="H425" s="1551"/>
      <c r="I425" s="1425"/>
      <c r="J425" s="1425"/>
      <c r="K425" s="1425" t="s">
        <v>1290</v>
      </c>
      <c r="L425" s="301" t="s">
        <v>1140</v>
      </c>
      <c r="M425" s="1425" t="s">
        <v>497</v>
      </c>
      <c r="N425" s="476"/>
      <c r="O425" s="1425" t="s">
        <v>47</v>
      </c>
      <c r="P425" s="16" t="s">
        <v>1291</v>
      </c>
      <c r="Q425" s="302" t="s">
        <v>1292</v>
      </c>
      <c r="R425" s="303">
        <v>2015</v>
      </c>
      <c r="S425" s="303">
        <v>0</v>
      </c>
      <c r="T425" s="303">
        <v>1</v>
      </c>
      <c r="U425" s="303">
        <v>0</v>
      </c>
      <c r="V425" s="303">
        <v>0</v>
      </c>
      <c r="W425" s="303">
        <v>0</v>
      </c>
      <c r="X425" s="303">
        <v>1</v>
      </c>
      <c r="Y425" s="481">
        <v>0</v>
      </c>
      <c r="Z425" s="482"/>
      <c r="AA425" s="481">
        <v>0</v>
      </c>
      <c r="AB425" s="491">
        <v>390</v>
      </c>
      <c r="AC425" s="481">
        <v>0</v>
      </c>
      <c r="AD425" s="481">
        <v>300</v>
      </c>
      <c r="AE425" s="481">
        <v>0</v>
      </c>
      <c r="AF425" s="481">
        <f t="shared" si="269"/>
        <v>690</v>
      </c>
      <c r="AG425" s="548">
        <v>0</v>
      </c>
      <c r="AH425" s="548">
        <v>0</v>
      </c>
      <c r="AI425" s="548">
        <v>0</v>
      </c>
      <c r="AJ425" s="548">
        <v>0</v>
      </c>
      <c r="AK425" s="548">
        <v>0</v>
      </c>
      <c r="AL425" s="548">
        <v>0</v>
      </c>
      <c r="AM425" s="548">
        <f t="shared" si="270"/>
        <v>0</v>
      </c>
      <c r="AN425" s="481">
        <v>0</v>
      </c>
      <c r="AO425" s="481">
        <v>0</v>
      </c>
      <c r="AP425" s="481">
        <v>0</v>
      </c>
      <c r="AQ425" s="481">
        <v>0</v>
      </c>
      <c r="AR425" s="481">
        <v>0</v>
      </c>
      <c r="AS425" s="481">
        <v>0</v>
      </c>
      <c r="AT425" s="481">
        <v>0</v>
      </c>
      <c r="AU425" s="481">
        <f t="shared" si="271"/>
        <v>0</v>
      </c>
      <c r="AV425" s="548">
        <v>0</v>
      </c>
      <c r="AW425" s="548">
        <v>0</v>
      </c>
      <c r="AX425" s="548">
        <v>0</v>
      </c>
      <c r="AY425" s="548">
        <v>0</v>
      </c>
      <c r="AZ425" s="548">
        <v>0</v>
      </c>
      <c r="BA425" s="548">
        <v>0</v>
      </c>
      <c r="BB425" s="548">
        <v>0</v>
      </c>
      <c r="BC425" s="548">
        <f t="shared" si="272"/>
        <v>0</v>
      </c>
      <c r="BD425" s="42">
        <f t="shared" si="255"/>
        <v>0</v>
      </c>
      <c r="BE425" s="42">
        <f t="shared" si="255"/>
        <v>0</v>
      </c>
      <c r="BF425" s="42">
        <f t="shared" si="255"/>
        <v>0</v>
      </c>
      <c r="BG425" s="42">
        <f t="shared" si="255"/>
        <v>390</v>
      </c>
      <c r="BH425" s="42">
        <f t="shared" si="255"/>
        <v>0</v>
      </c>
      <c r="BI425" s="42">
        <f t="shared" si="266"/>
        <v>300</v>
      </c>
      <c r="BJ425" s="42">
        <f t="shared" si="256"/>
        <v>0</v>
      </c>
      <c r="BK425" s="42">
        <f t="shared" si="256"/>
        <v>690</v>
      </c>
      <c r="BL425" s="3"/>
    </row>
    <row r="426" spans="1:64" ht="382.8" x14ac:dyDescent="0.25">
      <c r="A426" s="298" t="s">
        <v>1261</v>
      </c>
      <c r="B426" s="299" t="s">
        <v>1259</v>
      </c>
      <c r="C426" s="1547"/>
      <c r="D426" s="1551"/>
      <c r="E426" s="1551"/>
      <c r="F426" s="1551"/>
      <c r="G426" s="1551"/>
      <c r="H426" s="1551"/>
      <c r="I426" s="1425"/>
      <c r="J426" s="1425"/>
      <c r="K426" s="1425" t="s">
        <v>1293</v>
      </c>
      <c r="L426" s="301" t="s">
        <v>1140</v>
      </c>
      <c r="M426" s="1425" t="s">
        <v>497</v>
      </c>
      <c r="N426" s="476"/>
      <c r="O426" s="1425" t="s">
        <v>73</v>
      </c>
      <c r="P426" s="16" t="s">
        <v>1294</v>
      </c>
      <c r="Q426" s="302" t="s">
        <v>1295</v>
      </c>
      <c r="R426" s="303">
        <v>2015</v>
      </c>
      <c r="S426" s="303">
        <v>0</v>
      </c>
      <c r="T426" s="303">
        <v>1</v>
      </c>
      <c r="U426" s="303">
        <v>1</v>
      </c>
      <c r="V426" s="303">
        <v>1</v>
      </c>
      <c r="W426" s="303">
        <v>1</v>
      </c>
      <c r="X426" s="303">
        <v>1</v>
      </c>
      <c r="Y426" s="481">
        <v>0</v>
      </c>
      <c r="Z426" s="481">
        <v>5</v>
      </c>
      <c r="AA426" s="481">
        <v>0</v>
      </c>
      <c r="AB426" s="481">
        <v>0</v>
      </c>
      <c r="AC426" s="481">
        <v>0</v>
      </c>
      <c r="AD426" s="481">
        <v>0</v>
      </c>
      <c r="AE426" s="481">
        <v>0</v>
      </c>
      <c r="AF426" s="481">
        <f t="shared" si="269"/>
        <v>5</v>
      </c>
      <c r="AG426" s="548">
        <v>0</v>
      </c>
      <c r="AH426" s="548">
        <v>5</v>
      </c>
      <c r="AI426" s="548">
        <v>0</v>
      </c>
      <c r="AJ426" s="548">
        <v>0</v>
      </c>
      <c r="AK426" s="548">
        <v>0</v>
      </c>
      <c r="AL426" s="548">
        <v>0</v>
      </c>
      <c r="AM426" s="548">
        <f t="shared" si="270"/>
        <v>5</v>
      </c>
      <c r="AN426" s="481">
        <v>0</v>
      </c>
      <c r="AO426" s="481">
        <v>5</v>
      </c>
      <c r="AP426" s="481">
        <v>0</v>
      </c>
      <c r="AQ426" s="481">
        <v>0</v>
      </c>
      <c r="AR426" s="481">
        <v>0</v>
      </c>
      <c r="AS426" s="481">
        <v>0</v>
      </c>
      <c r="AT426" s="481">
        <v>0</v>
      </c>
      <c r="AU426" s="481">
        <f t="shared" si="271"/>
        <v>5</v>
      </c>
      <c r="AV426" s="548">
        <v>0</v>
      </c>
      <c r="AW426" s="548">
        <v>5</v>
      </c>
      <c r="AX426" s="548">
        <v>0</v>
      </c>
      <c r="AY426" s="548">
        <v>0</v>
      </c>
      <c r="AZ426" s="548">
        <v>0</v>
      </c>
      <c r="BA426" s="548">
        <v>0</v>
      </c>
      <c r="BB426" s="548">
        <v>0</v>
      </c>
      <c r="BC426" s="548">
        <f t="shared" si="272"/>
        <v>5</v>
      </c>
      <c r="BD426" s="42">
        <f t="shared" si="255"/>
        <v>0</v>
      </c>
      <c r="BE426" s="42">
        <f t="shared" si="255"/>
        <v>20</v>
      </c>
      <c r="BF426" s="42">
        <f t="shared" si="255"/>
        <v>0</v>
      </c>
      <c r="BG426" s="42">
        <f t="shared" si="255"/>
        <v>0</v>
      </c>
      <c r="BH426" s="42">
        <f t="shared" si="255"/>
        <v>0</v>
      </c>
      <c r="BI426" s="42">
        <f t="shared" si="266"/>
        <v>0</v>
      </c>
      <c r="BJ426" s="42">
        <f t="shared" si="256"/>
        <v>0</v>
      </c>
      <c r="BK426" s="42">
        <f t="shared" si="256"/>
        <v>20</v>
      </c>
      <c r="BL426" s="3"/>
    </row>
    <row r="427" spans="1:64" ht="330" x14ac:dyDescent="0.25">
      <c r="A427" s="298" t="s">
        <v>1261</v>
      </c>
      <c r="B427" s="299" t="s">
        <v>1259</v>
      </c>
      <c r="C427" s="1547"/>
      <c r="D427" s="1551"/>
      <c r="E427" s="1551"/>
      <c r="F427" s="1551"/>
      <c r="G427" s="1551"/>
      <c r="H427" s="1551"/>
      <c r="I427" s="1425"/>
      <c r="J427" s="1425"/>
      <c r="K427" s="1425" t="s">
        <v>1296</v>
      </c>
      <c r="L427" s="301" t="s">
        <v>1140</v>
      </c>
      <c r="M427" s="1425" t="s">
        <v>497</v>
      </c>
      <c r="N427" s="476"/>
      <c r="O427" s="1425" t="s">
        <v>73</v>
      </c>
      <c r="P427" s="16" t="s">
        <v>1297</v>
      </c>
      <c r="Q427" s="302" t="s">
        <v>1298</v>
      </c>
      <c r="R427" s="303">
        <v>2015</v>
      </c>
      <c r="S427" s="303">
        <v>0</v>
      </c>
      <c r="T427" s="303">
        <v>4</v>
      </c>
      <c r="U427" s="303">
        <v>4</v>
      </c>
      <c r="V427" s="303">
        <v>4</v>
      </c>
      <c r="W427" s="303">
        <v>4</v>
      </c>
      <c r="X427" s="303">
        <v>4</v>
      </c>
      <c r="Y427" s="481">
        <v>0</v>
      </c>
      <c r="Z427" s="481">
        <v>0</v>
      </c>
      <c r="AA427" s="481">
        <v>0</v>
      </c>
      <c r="AB427" s="481">
        <v>0</v>
      </c>
      <c r="AC427" s="481">
        <v>0</v>
      </c>
      <c r="AD427" s="481">
        <v>0</v>
      </c>
      <c r="AE427" s="481">
        <v>0</v>
      </c>
      <c r="AF427" s="481">
        <f t="shared" si="269"/>
        <v>0</v>
      </c>
      <c r="AG427" s="548">
        <v>0</v>
      </c>
      <c r="AH427" s="548">
        <v>0</v>
      </c>
      <c r="AI427" s="548">
        <v>0</v>
      </c>
      <c r="AJ427" s="548">
        <v>0</v>
      </c>
      <c r="AK427" s="548">
        <v>0</v>
      </c>
      <c r="AL427" s="548">
        <v>0</v>
      </c>
      <c r="AM427" s="548">
        <f t="shared" si="270"/>
        <v>0</v>
      </c>
      <c r="AN427" s="481">
        <v>0</v>
      </c>
      <c r="AO427" s="481">
        <v>0</v>
      </c>
      <c r="AP427" s="481">
        <v>0</v>
      </c>
      <c r="AQ427" s="481">
        <v>0</v>
      </c>
      <c r="AR427" s="481">
        <v>0</v>
      </c>
      <c r="AS427" s="481">
        <v>0</v>
      </c>
      <c r="AT427" s="481">
        <v>0</v>
      </c>
      <c r="AU427" s="481">
        <f t="shared" si="271"/>
        <v>0</v>
      </c>
      <c r="AV427" s="548">
        <v>0</v>
      </c>
      <c r="AW427" s="548">
        <v>0</v>
      </c>
      <c r="AX427" s="548">
        <v>0</v>
      </c>
      <c r="AY427" s="548">
        <v>0</v>
      </c>
      <c r="AZ427" s="548">
        <v>0</v>
      </c>
      <c r="BA427" s="548">
        <v>0</v>
      </c>
      <c r="BB427" s="548">
        <v>0</v>
      </c>
      <c r="BC427" s="548">
        <f t="shared" si="272"/>
        <v>0</v>
      </c>
      <c r="BD427" s="42">
        <f t="shared" si="255"/>
        <v>0</v>
      </c>
      <c r="BE427" s="42">
        <f t="shared" si="255"/>
        <v>0</v>
      </c>
      <c r="BF427" s="42">
        <f t="shared" si="255"/>
        <v>0</v>
      </c>
      <c r="BG427" s="42">
        <f t="shared" si="255"/>
        <v>0</v>
      </c>
      <c r="BH427" s="42">
        <f t="shared" si="255"/>
        <v>0</v>
      </c>
      <c r="BI427" s="42">
        <f t="shared" si="266"/>
        <v>0</v>
      </c>
      <c r="BJ427" s="42">
        <f t="shared" si="256"/>
        <v>0</v>
      </c>
      <c r="BK427" s="42">
        <f t="shared" si="256"/>
        <v>0</v>
      </c>
      <c r="BL427" s="3"/>
    </row>
    <row r="428" spans="1:64" ht="316.8" x14ac:dyDescent="0.25">
      <c r="A428" s="298" t="s">
        <v>1261</v>
      </c>
      <c r="B428" s="299" t="s">
        <v>1259</v>
      </c>
      <c r="C428" s="1547"/>
      <c r="D428" s="1551"/>
      <c r="E428" s="1551"/>
      <c r="F428" s="1551"/>
      <c r="G428" s="1551"/>
      <c r="H428" s="1551"/>
      <c r="I428" s="1425"/>
      <c r="J428" s="1425"/>
      <c r="K428" s="1425" t="s">
        <v>1299</v>
      </c>
      <c r="L428" s="301" t="s">
        <v>1140</v>
      </c>
      <c r="M428" s="1425" t="s">
        <v>497</v>
      </c>
      <c r="N428" s="476"/>
      <c r="O428" s="1425" t="s">
        <v>47</v>
      </c>
      <c r="P428" s="16" t="s">
        <v>1300</v>
      </c>
      <c r="Q428" s="302" t="s">
        <v>1301</v>
      </c>
      <c r="R428" s="303">
        <v>2015</v>
      </c>
      <c r="S428" s="303">
        <v>0</v>
      </c>
      <c r="T428" s="303">
        <v>2</v>
      </c>
      <c r="U428" s="303">
        <v>2</v>
      </c>
      <c r="V428" s="303">
        <v>2</v>
      </c>
      <c r="W428" s="303">
        <v>2</v>
      </c>
      <c r="X428" s="303">
        <v>8</v>
      </c>
      <c r="Y428" s="481">
        <v>0</v>
      </c>
      <c r="Z428" s="481">
        <v>8</v>
      </c>
      <c r="AA428" s="481">
        <v>0</v>
      </c>
      <c r="AB428" s="481">
        <v>0</v>
      </c>
      <c r="AC428" s="481">
        <v>0</v>
      </c>
      <c r="AD428" s="481">
        <v>0</v>
      </c>
      <c r="AE428" s="481">
        <v>0</v>
      </c>
      <c r="AF428" s="481">
        <f t="shared" si="269"/>
        <v>8</v>
      </c>
      <c r="AG428" s="548">
        <v>8</v>
      </c>
      <c r="AH428" s="548">
        <v>0</v>
      </c>
      <c r="AI428" s="548">
        <v>0</v>
      </c>
      <c r="AJ428" s="548">
        <v>0</v>
      </c>
      <c r="AK428" s="548">
        <v>0</v>
      </c>
      <c r="AL428" s="548">
        <v>0</v>
      </c>
      <c r="AM428" s="548">
        <f t="shared" si="270"/>
        <v>8</v>
      </c>
      <c r="AN428" s="481">
        <v>8</v>
      </c>
      <c r="AO428" s="481">
        <v>0</v>
      </c>
      <c r="AP428" s="481">
        <v>0</v>
      </c>
      <c r="AQ428" s="481">
        <v>0</v>
      </c>
      <c r="AR428" s="481">
        <v>0</v>
      </c>
      <c r="AS428" s="481">
        <v>0</v>
      </c>
      <c r="AT428" s="481">
        <v>0</v>
      </c>
      <c r="AU428" s="481">
        <f t="shared" si="271"/>
        <v>8</v>
      </c>
      <c r="AV428" s="548">
        <v>8</v>
      </c>
      <c r="AW428" s="548">
        <v>0</v>
      </c>
      <c r="AX428" s="548">
        <v>0</v>
      </c>
      <c r="AY428" s="548">
        <v>0</v>
      </c>
      <c r="AZ428" s="548">
        <v>0</v>
      </c>
      <c r="BA428" s="548">
        <v>0</v>
      </c>
      <c r="BB428" s="548">
        <v>0</v>
      </c>
      <c r="BC428" s="548">
        <f t="shared" si="272"/>
        <v>8</v>
      </c>
      <c r="BD428" s="42">
        <f t="shared" si="255"/>
        <v>24</v>
      </c>
      <c r="BE428" s="42">
        <f t="shared" si="255"/>
        <v>8</v>
      </c>
      <c r="BF428" s="42">
        <f t="shared" si="255"/>
        <v>0</v>
      </c>
      <c r="BG428" s="42">
        <f t="shared" si="255"/>
        <v>0</v>
      </c>
      <c r="BH428" s="42">
        <f t="shared" si="255"/>
        <v>0</v>
      </c>
      <c r="BI428" s="42">
        <f t="shared" si="266"/>
        <v>0</v>
      </c>
      <c r="BJ428" s="42">
        <f t="shared" si="256"/>
        <v>0</v>
      </c>
      <c r="BK428" s="42">
        <f t="shared" si="256"/>
        <v>32</v>
      </c>
      <c r="BL428" s="3"/>
    </row>
    <row r="429" spans="1:64" ht="237.6" x14ac:dyDescent="0.25">
      <c r="A429" s="298" t="s">
        <v>1261</v>
      </c>
      <c r="B429" s="299" t="s">
        <v>1259</v>
      </c>
      <c r="C429" s="1547"/>
      <c r="D429" s="1551"/>
      <c r="E429" s="1551"/>
      <c r="F429" s="1551"/>
      <c r="G429" s="1551"/>
      <c r="H429" s="1551"/>
      <c r="I429" s="1425"/>
      <c r="J429" s="1425"/>
      <c r="K429" s="1425" t="s">
        <v>1302</v>
      </c>
      <c r="L429" s="301" t="s">
        <v>1140</v>
      </c>
      <c r="M429" s="1425" t="s">
        <v>497</v>
      </c>
      <c r="N429" s="476"/>
      <c r="O429" s="1425" t="s">
        <v>47</v>
      </c>
      <c r="P429" s="16" t="s">
        <v>1303</v>
      </c>
      <c r="Q429" s="302" t="s">
        <v>1304</v>
      </c>
      <c r="R429" s="303">
        <v>2015</v>
      </c>
      <c r="S429" s="303">
        <v>0</v>
      </c>
      <c r="T429" s="303">
        <v>0</v>
      </c>
      <c r="U429" s="303">
        <v>1</v>
      </c>
      <c r="V429" s="303">
        <v>0</v>
      </c>
      <c r="W429" s="303">
        <v>0</v>
      </c>
      <c r="X429" s="303">
        <v>1</v>
      </c>
      <c r="Y429" s="481">
        <v>0</v>
      </c>
      <c r="Z429" s="481">
        <v>20</v>
      </c>
      <c r="AA429" s="481">
        <v>0</v>
      </c>
      <c r="AB429" s="481">
        <v>0</v>
      </c>
      <c r="AC429" s="481">
        <v>0</v>
      </c>
      <c r="AD429" s="481">
        <v>0</v>
      </c>
      <c r="AE429" s="481">
        <v>0</v>
      </c>
      <c r="AF429" s="481">
        <f t="shared" si="269"/>
        <v>20</v>
      </c>
      <c r="AG429" s="548">
        <v>0</v>
      </c>
      <c r="AH429" s="548">
        <v>15</v>
      </c>
      <c r="AI429" s="548">
        <v>0</v>
      </c>
      <c r="AJ429" s="548">
        <v>0</v>
      </c>
      <c r="AK429" s="548">
        <v>0</v>
      </c>
      <c r="AL429" s="548">
        <v>0</v>
      </c>
      <c r="AM429" s="548">
        <f t="shared" si="270"/>
        <v>15</v>
      </c>
      <c r="AN429" s="481">
        <v>0</v>
      </c>
      <c r="AO429" s="481">
        <v>15</v>
      </c>
      <c r="AP429" s="481">
        <v>0</v>
      </c>
      <c r="AQ429" s="481">
        <v>0</v>
      </c>
      <c r="AR429" s="481">
        <v>0</v>
      </c>
      <c r="AS429" s="481">
        <v>0</v>
      </c>
      <c r="AT429" s="481">
        <v>0</v>
      </c>
      <c r="AU429" s="481">
        <v>0</v>
      </c>
      <c r="AV429" s="548">
        <v>15</v>
      </c>
      <c r="AW429" s="548">
        <v>0</v>
      </c>
      <c r="AX429" s="548">
        <v>0</v>
      </c>
      <c r="AY429" s="548">
        <v>0</v>
      </c>
      <c r="AZ429" s="548">
        <v>0</v>
      </c>
      <c r="BA429" s="548">
        <v>0</v>
      </c>
      <c r="BB429" s="548">
        <v>0</v>
      </c>
      <c r="BC429" s="548">
        <f t="shared" si="272"/>
        <v>15</v>
      </c>
      <c r="BD429" s="42">
        <f t="shared" si="255"/>
        <v>15</v>
      </c>
      <c r="BE429" s="42">
        <f t="shared" si="255"/>
        <v>50</v>
      </c>
      <c r="BF429" s="42">
        <f t="shared" si="255"/>
        <v>0</v>
      </c>
      <c r="BG429" s="42">
        <f t="shared" si="255"/>
        <v>0</v>
      </c>
      <c r="BH429" s="42">
        <f t="shared" si="255"/>
        <v>0</v>
      </c>
      <c r="BI429" s="42">
        <f t="shared" si="266"/>
        <v>0</v>
      </c>
      <c r="BJ429" s="42">
        <f t="shared" si="256"/>
        <v>0</v>
      </c>
      <c r="BK429" s="42">
        <f t="shared" si="256"/>
        <v>50</v>
      </c>
      <c r="BL429" s="3"/>
    </row>
    <row r="430" spans="1:64" ht="290.39999999999998" x14ac:dyDescent="0.25">
      <c r="A430" s="298" t="s">
        <v>1261</v>
      </c>
      <c r="B430" s="299" t="s">
        <v>1259</v>
      </c>
      <c r="C430" s="1548"/>
      <c r="D430" s="1552"/>
      <c r="E430" s="1552"/>
      <c r="F430" s="1552"/>
      <c r="G430" s="1552"/>
      <c r="H430" s="1552"/>
      <c r="I430" s="1425"/>
      <c r="J430" s="1425"/>
      <c r="K430" s="1425" t="s">
        <v>1305</v>
      </c>
      <c r="L430" s="301" t="s">
        <v>1140</v>
      </c>
      <c r="M430" s="1425" t="s">
        <v>497</v>
      </c>
      <c r="N430" s="476"/>
      <c r="O430" s="1425" t="s">
        <v>73</v>
      </c>
      <c r="P430" s="16" t="s">
        <v>1306</v>
      </c>
      <c r="Q430" s="302" t="s">
        <v>787</v>
      </c>
      <c r="R430" s="303">
        <v>2015</v>
      </c>
      <c r="S430" s="303">
        <v>0</v>
      </c>
      <c r="T430" s="303">
        <v>1</v>
      </c>
      <c r="U430" s="303">
        <v>1</v>
      </c>
      <c r="V430" s="303">
        <v>1</v>
      </c>
      <c r="W430" s="303">
        <v>1</v>
      </c>
      <c r="X430" s="303">
        <v>1</v>
      </c>
      <c r="Y430" s="481">
        <v>0</v>
      </c>
      <c r="Z430" s="481">
        <v>0</v>
      </c>
      <c r="AA430" s="481">
        <v>50</v>
      </c>
      <c r="AB430" s="481">
        <v>0</v>
      </c>
      <c r="AC430" s="481">
        <v>0</v>
      </c>
      <c r="AD430" s="481">
        <v>0</v>
      </c>
      <c r="AE430" s="481">
        <v>0</v>
      </c>
      <c r="AF430" s="481">
        <f t="shared" si="269"/>
        <v>50</v>
      </c>
      <c r="AG430" s="548">
        <v>0</v>
      </c>
      <c r="AH430" s="548">
        <v>0</v>
      </c>
      <c r="AI430" s="548">
        <v>0</v>
      </c>
      <c r="AJ430" s="548">
        <v>0</v>
      </c>
      <c r="AK430" s="548">
        <v>0</v>
      </c>
      <c r="AL430" s="548">
        <v>0</v>
      </c>
      <c r="AM430" s="548">
        <f t="shared" si="270"/>
        <v>0</v>
      </c>
      <c r="AN430" s="481">
        <v>0</v>
      </c>
      <c r="AO430" s="481">
        <v>0</v>
      </c>
      <c r="AP430" s="481">
        <v>0</v>
      </c>
      <c r="AQ430" s="481">
        <v>0</v>
      </c>
      <c r="AR430" s="481">
        <v>0</v>
      </c>
      <c r="AS430" s="481">
        <v>0</v>
      </c>
      <c r="AT430" s="481">
        <v>0</v>
      </c>
      <c r="AU430" s="481">
        <f t="shared" ref="AU430:AU440" si="273">SUM(AN430:AT430)</f>
        <v>0</v>
      </c>
      <c r="AV430" s="548">
        <v>0</v>
      </c>
      <c r="AW430" s="548">
        <v>0</v>
      </c>
      <c r="AX430" s="548">
        <v>0</v>
      </c>
      <c r="AY430" s="548">
        <v>0</v>
      </c>
      <c r="AZ430" s="548">
        <v>0</v>
      </c>
      <c r="BA430" s="548">
        <v>0</v>
      </c>
      <c r="BB430" s="548">
        <v>0</v>
      </c>
      <c r="BC430" s="548">
        <f t="shared" si="272"/>
        <v>0</v>
      </c>
      <c r="BD430" s="42">
        <f t="shared" si="255"/>
        <v>0</v>
      </c>
      <c r="BE430" s="42">
        <f t="shared" si="255"/>
        <v>0</v>
      </c>
      <c r="BF430" s="42">
        <f t="shared" si="255"/>
        <v>50</v>
      </c>
      <c r="BG430" s="42">
        <f t="shared" si="255"/>
        <v>0</v>
      </c>
      <c r="BH430" s="42">
        <f t="shared" si="255"/>
        <v>0</v>
      </c>
      <c r="BI430" s="42">
        <f t="shared" si="266"/>
        <v>0</v>
      </c>
      <c r="BJ430" s="42">
        <f t="shared" si="256"/>
        <v>0</v>
      </c>
      <c r="BK430" s="42">
        <f t="shared" si="256"/>
        <v>50</v>
      </c>
      <c r="BL430" s="3"/>
    </row>
    <row r="431" spans="1:64" ht="26.4" x14ac:dyDescent="0.25">
      <c r="A431" s="295" t="s">
        <v>1261</v>
      </c>
      <c r="B431" s="24" t="s">
        <v>1259</v>
      </c>
      <c r="C431" s="2"/>
      <c r="D431" s="2" t="s">
        <v>1307</v>
      </c>
      <c r="E431" s="1"/>
      <c r="F431" s="1"/>
      <c r="G431" s="1"/>
      <c r="H431" s="1"/>
      <c r="I431" s="1"/>
      <c r="J431" s="1"/>
      <c r="K431" s="1"/>
      <c r="L431" s="1"/>
      <c r="M431" s="1"/>
      <c r="N431" s="1"/>
      <c r="O431" s="1"/>
      <c r="P431" s="22"/>
      <c r="Q431" s="22"/>
      <c r="R431" s="1"/>
      <c r="S431" s="1"/>
      <c r="T431" s="1"/>
      <c r="U431" s="1"/>
      <c r="V431" s="1"/>
      <c r="W431" s="1"/>
      <c r="X431" s="1"/>
      <c r="Y431" s="34">
        <f t="shared" ref="Y431:BC431" si="274">SUM(Y432:Y444)</f>
        <v>25</v>
      </c>
      <c r="Z431" s="34">
        <f t="shared" si="274"/>
        <v>305</v>
      </c>
      <c r="AA431" s="34">
        <f t="shared" si="274"/>
        <v>0</v>
      </c>
      <c r="AB431" s="34">
        <f t="shared" si="274"/>
        <v>0</v>
      </c>
      <c r="AC431" s="34">
        <f t="shared" si="274"/>
        <v>0</v>
      </c>
      <c r="AD431" s="34">
        <f t="shared" si="274"/>
        <v>0</v>
      </c>
      <c r="AE431" s="34">
        <f t="shared" si="274"/>
        <v>0</v>
      </c>
      <c r="AF431" s="34">
        <f t="shared" si="274"/>
        <v>315</v>
      </c>
      <c r="AG431" s="34">
        <f t="shared" si="274"/>
        <v>27</v>
      </c>
      <c r="AH431" s="34">
        <f t="shared" si="274"/>
        <v>45</v>
      </c>
      <c r="AI431" s="34">
        <f t="shared" si="274"/>
        <v>0</v>
      </c>
      <c r="AJ431" s="34">
        <f t="shared" si="274"/>
        <v>0</v>
      </c>
      <c r="AK431" s="34">
        <f t="shared" si="274"/>
        <v>0</v>
      </c>
      <c r="AL431" s="34">
        <f t="shared" si="274"/>
        <v>0</v>
      </c>
      <c r="AM431" s="34">
        <f t="shared" si="274"/>
        <v>57</v>
      </c>
      <c r="AN431" s="34">
        <f t="shared" si="274"/>
        <v>12</v>
      </c>
      <c r="AO431" s="34">
        <f t="shared" si="274"/>
        <v>60</v>
      </c>
      <c r="AP431" s="34">
        <f t="shared" si="274"/>
        <v>0</v>
      </c>
      <c r="AQ431" s="34">
        <f t="shared" si="274"/>
        <v>0</v>
      </c>
      <c r="AR431" s="34">
        <f t="shared" si="274"/>
        <v>0</v>
      </c>
      <c r="AS431" s="34">
        <f t="shared" si="274"/>
        <v>0</v>
      </c>
      <c r="AT431" s="34">
        <f t="shared" si="274"/>
        <v>0</v>
      </c>
      <c r="AU431" s="34">
        <f t="shared" si="274"/>
        <v>57</v>
      </c>
      <c r="AV431" s="34">
        <f t="shared" si="274"/>
        <v>12</v>
      </c>
      <c r="AW431" s="34">
        <f t="shared" si="274"/>
        <v>60</v>
      </c>
      <c r="AX431" s="34">
        <f t="shared" si="274"/>
        <v>0</v>
      </c>
      <c r="AY431" s="34">
        <f t="shared" si="274"/>
        <v>0</v>
      </c>
      <c r="AZ431" s="34">
        <f t="shared" si="274"/>
        <v>0</v>
      </c>
      <c r="BA431" s="34">
        <f t="shared" si="274"/>
        <v>0</v>
      </c>
      <c r="BB431" s="34">
        <f t="shared" si="274"/>
        <v>0</v>
      </c>
      <c r="BC431" s="34">
        <f t="shared" si="274"/>
        <v>57</v>
      </c>
      <c r="BD431" s="34">
        <f t="shared" si="255"/>
        <v>76</v>
      </c>
      <c r="BE431" s="34">
        <f t="shared" si="255"/>
        <v>470</v>
      </c>
      <c r="BF431" s="34">
        <f t="shared" si="255"/>
        <v>0</v>
      </c>
      <c r="BG431" s="34">
        <f t="shared" si="255"/>
        <v>0</v>
      </c>
      <c r="BH431" s="34">
        <f t="shared" si="255"/>
        <v>0</v>
      </c>
      <c r="BI431" s="34">
        <f t="shared" si="266"/>
        <v>0</v>
      </c>
      <c r="BJ431" s="34">
        <f t="shared" si="256"/>
        <v>0</v>
      </c>
      <c r="BK431" s="34">
        <f t="shared" si="256"/>
        <v>486</v>
      </c>
      <c r="BL431" s="3"/>
    </row>
    <row r="432" spans="1:64" ht="198" x14ac:dyDescent="0.25">
      <c r="A432" s="298" t="s">
        <v>1261</v>
      </c>
      <c r="B432" s="299" t="s">
        <v>1259</v>
      </c>
      <c r="C432" s="1546" t="s">
        <v>1308</v>
      </c>
      <c r="D432" s="1549" t="s">
        <v>1309</v>
      </c>
      <c r="E432" s="1549" t="s">
        <v>1310</v>
      </c>
      <c r="F432" s="1549">
        <v>2015</v>
      </c>
      <c r="G432" s="1549" t="s">
        <v>1311</v>
      </c>
      <c r="H432" s="1549">
        <v>270</v>
      </c>
      <c r="I432" s="1425"/>
      <c r="J432" s="1425"/>
      <c r="K432" s="1425" t="s">
        <v>1312</v>
      </c>
      <c r="L432" s="301" t="s">
        <v>1140</v>
      </c>
      <c r="M432" s="1425" t="s">
        <v>497</v>
      </c>
      <c r="N432" s="476"/>
      <c r="O432" s="1425" t="s">
        <v>47</v>
      </c>
      <c r="P432" s="16" t="s">
        <v>1313</v>
      </c>
      <c r="Q432" s="302" t="s">
        <v>1314</v>
      </c>
      <c r="R432" s="303">
        <v>2015</v>
      </c>
      <c r="S432" s="303">
        <v>0</v>
      </c>
      <c r="T432" s="303">
        <v>6</v>
      </c>
      <c r="U432" s="303">
        <v>2</v>
      </c>
      <c r="V432" s="303">
        <v>2</v>
      </c>
      <c r="W432" s="303">
        <v>0</v>
      </c>
      <c r="X432" s="303">
        <v>10</v>
      </c>
      <c r="Y432" s="481">
        <v>0</v>
      </c>
      <c r="Z432" s="481">
        <v>200</v>
      </c>
      <c r="AA432" s="481">
        <v>0</v>
      </c>
      <c r="AB432" s="481">
        <v>0</v>
      </c>
      <c r="AC432" s="481">
        <v>0</v>
      </c>
      <c r="AD432" s="481">
        <v>0</v>
      </c>
      <c r="AE432" s="481">
        <v>0</v>
      </c>
      <c r="AF432" s="481">
        <f t="shared" si="269"/>
        <v>200</v>
      </c>
      <c r="AG432" s="548">
        <v>0</v>
      </c>
      <c r="AH432" s="548">
        <v>0</v>
      </c>
      <c r="AI432" s="548">
        <v>0</v>
      </c>
      <c r="AJ432" s="548">
        <v>0</v>
      </c>
      <c r="AK432" s="548">
        <v>0</v>
      </c>
      <c r="AL432" s="548">
        <v>0</v>
      </c>
      <c r="AM432" s="548">
        <f t="shared" ref="AM432:AM440" si="275">SUM(AG432:AL432)</f>
        <v>0</v>
      </c>
      <c r="AN432" s="481">
        <v>0</v>
      </c>
      <c r="AO432" s="481">
        <v>0</v>
      </c>
      <c r="AP432" s="481">
        <v>0</v>
      </c>
      <c r="AQ432" s="481">
        <v>0</v>
      </c>
      <c r="AR432" s="481">
        <v>0</v>
      </c>
      <c r="AS432" s="481">
        <v>0</v>
      </c>
      <c r="AT432" s="481">
        <v>0</v>
      </c>
      <c r="AU432" s="481">
        <f t="shared" si="273"/>
        <v>0</v>
      </c>
      <c r="AV432" s="548">
        <v>0</v>
      </c>
      <c r="AW432" s="548">
        <v>0</v>
      </c>
      <c r="AX432" s="548">
        <v>0</v>
      </c>
      <c r="AY432" s="548">
        <v>0</v>
      </c>
      <c r="AZ432" s="548">
        <v>0</v>
      </c>
      <c r="BA432" s="548">
        <v>0</v>
      </c>
      <c r="BB432" s="548">
        <v>0</v>
      </c>
      <c r="BC432" s="548">
        <f t="shared" si="272"/>
        <v>0</v>
      </c>
      <c r="BD432" s="42">
        <f t="shared" ref="BD432:BH466" si="276">+AV432+AN432+AG432+Y432</f>
        <v>0</v>
      </c>
      <c r="BE432" s="42">
        <f t="shared" si="276"/>
        <v>200</v>
      </c>
      <c r="BF432" s="42">
        <f t="shared" si="276"/>
        <v>0</v>
      </c>
      <c r="BG432" s="42">
        <f t="shared" si="276"/>
        <v>0</v>
      </c>
      <c r="BH432" s="42">
        <f t="shared" si="276"/>
        <v>0</v>
      </c>
      <c r="BI432" s="42">
        <f t="shared" si="266"/>
        <v>0</v>
      </c>
      <c r="BJ432" s="42">
        <f t="shared" ref="BJ432:BK466" si="277">+BB432+AT432+AL432+AE432</f>
        <v>0</v>
      </c>
      <c r="BK432" s="42">
        <f t="shared" si="277"/>
        <v>200</v>
      </c>
      <c r="BL432" s="3"/>
    </row>
    <row r="433" spans="1:64" ht="409.6" x14ac:dyDescent="0.25">
      <c r="A433" s="298" t="s">
        <v>1261</v>
      </c>
      <c r="B433" s="299" t="s">
        <v>1259</v>
      </c>
      <c r="C433" s="1547"/>
      <c r="D433" s="1549"/>
      <c r="E433" s="1549"/>
      <c r="F433" s="1549"/>
      <c r="G433" s="1549"/>
      <c r="H433" s="1549"/>
      <c r="I433" s="1425"/>
      <c r="J433" s="1425"/>
      <c r="K433" s="1425" t="s">
        <v>1315</v>
      </c>
      <c r="L433" s="301" t="s">
        <v>1140</v>
      </c>
      <c r="M433" s="1425" t="s">
        <v>497</v>
      </c>
      <c r="N433" s="476"/>
      <c r="O433" s="1425" t="s">
        <v>73</v>
      </c>
      <c r="P433" s="16" t="s">
        <v>1316</v>
      </c>
      <c r="Q433" s="302" t="s">
        <v>1317</v>
      </c>
      <c r="R433" s="303">
        <v>2015</v>
      </c>
      <c r="S433" s="303">
        <v>1</v>
      </c>
      <c r="T433" s="303">
        <v>1</v>
      </c>
      <c r="U433" s="303">
        <v>1</v>
      </c>
      <c r="V433" s="303">
        <v>1</v>
      </c>
      <c r="W433" s="303">
        <v>1</v>
      </c>
      <c r="X433" s="303">
        <v>1</v>
      </c>
      <c r="Y433" s="481"/>
      <c r="Z433" s="481"/>
      <c r="AA433" s="481"/>
      <c r="AB433" s="481"/>
      <c r="AC433" s="481"/>
      <c r="AD433" s="481"/>
      <c r="AE433" s="481"/>
      <c r="AF433" s="481">
        <f t="shared" si="269"/>
        <v>0</v>
      </c>
      <c r="AG433" s="548"/>
      <c r="AH433" s="548"/>
      <c r="AI433" s="548"/>
      <c r="AJ433" s="548"/>
      <c r="AK433" s="548"/>
      <c r="AL433" s="548"/>
      <c r="AM433" s="548">
        <f t="shared" si="275"/>
        <v>0</v>
      </c>
      <c r="AN433" s="481"/>
      <c r="AO433" s="481"/>
      <c r="AP433" s="481"/>
      <c r="AQ433" s="481"/>
      <c r="AR433" s="481"/>
      <c r="AS433" s="481"/>
      <c r="AT433" s="481"/>
      <c r="AU433" s="481">
        <f t="shared" si="273"/>
        <v>0</v>
      </c>
      <c r="AV433" s="548"/>
      <c r="AW433" s="548"/>
      <c r="AX433" s="548"/>
      <c r="AY433" s="548"/>
      <c r="AZ433" s="548"/>
      <c r="BA433" s="548"/>
      <c r="BB433" s="548"/>
      <c r="BC433" s="548"/>
      <c r="BD433" s="42">
        <f>SUM(AW433:BC433)</f>
        <v>0</v>
      </c>
      <c r="BE433" s="42">
        <f t="shared" si="276"/>
        <v>0</v>
      </c>
      <c r="BF433" s="42">
        <f t="shared" si="276"/>
        <v>0</v>
      </c>
      <c r="BG433" s="42">
        <f t="shared" si="276"/>
        <v>0</v>
      </c>
      <c r="BH433" s="42">
        <f t="shared" si="276"/>
        <v>0</v>
      </c>
      <c r="BI433" s="42">
        <f>+BA433+AS433+AL433+AD433</f>
        <v>0</v>
      </c>
      <c r="BJ433" s="42">
        <f>+AE433+AT433+BB433</f>
        <v>0</v>
      </c>
      <c r="BK433" s="42">
        <f t="shared" si="277"/>
        <v>0</v>
      </c>
      <c r="BL433" s="42">
        <f>+BD433+AV433+AN433+AG433</f>
        <v>0</v>
      </c>
    </row>
    <row r="434" spans="1:64" ht="316.8" x14ac:dyDescent="0.25">
      <c r="A434" s="298" t="s">
        <v>1261</v>
      </c>
      <c r="B434" s="299" t="s">
        <v>1259</v>
      </c>
      <c r="C434" s="1547"/>
      <c r="D434" s="1549"/>
      <c r="E434" s="1549"/>
      <c r="F434" s="1549"/>
      <c r="G434" s="1549"/>
      <c r="H434" s="1549"/>
      <c r="I434" s="1425"/>
      <c r="J434" s="1425"/>
      <c r="K434" s="1425" t="s">
        <v>1318</v>
      </c>
      <c r="L434" s="301" t="s">
        <v>1140</v>
      </c>
      <c r="M434" s="1425" t="s">
        <v>497</v>
      </c>
      <c r="N434" s="476"/>
      <c r="O434" s="1425" t="s">
        <v>73</v>
      </c>
      <c r="P434" s="16" t="s">
        <v>1319</v>
      </c>
      <c r="Q434" s="302" t="s">
        <v>1320</v>
      </c>
      <c r="R434" s="303">
        <v>2015</v>
      </c>
      <c r="S434" s="303">
        <v>0</v>
      </c>
      <c r="T434" s="303">
        <v>1</v>
      </c>
      <c r="U434" s="303">
        <v>1</v>
      </c>
      <c r="V434" s="303">
        <v>1</v>
      </c>
      <c r="W434" s="303">
        <v>1</v>
      </c>
      <c r="X434" s="303">
        <v>1</v>
      </c>
      <c r="Y434" s="481">
        <v>1</v>
      </c>
      <c r="Z434" s="481">
        <v>0</v>
      </c>
      <c r="AA434" s="481">
        <v>0</v>
      </c>
      <c r="AB434" s="481">
        <v>0</v>
      </c>
      <c r="AC434" s="481">
        <v>0</v>
      </c>
      <c r="AD434" s="481">
        <v>0</v>
      </c>
      <c r="AE434" s="481">
        <v>0</v>
      </c>
      <c r="AF434" s="481">
        <f t="shared" si="269"/>
        <v>1</v>
      </c>
      <c r="AG434" s="548">
        <v>4</v>
      </c>
      <c r="AH434" s="548">
        <v>0</v>
      </c>
      <c r="AI434" s="548">
        <v>0</v>
      </c>
      <c r="AJ434" s="548">
        <v>0</v>
      </c>
      <c r="AK434" s="548">
        <v>0</v>
      </c>
      <c r="AL434" s="548">
        <v>0</v>
      </c>
      <c r="AM434" s="548">
        <f t="shared" si="275"/>
        <v>4</v>
      </c>
      <c r="AN434" s="481">
        <v>4</v>
      </c>
      <c r="AO434" s="481">
        <v>0</v>
      </c>
      <c r="AP434" s="481">
        <v>0</v>
      </c>
      <c r="AQ434" s="481">
        <v>0</v>
      </c>
      <c r="AR434" s="481">
        <v>0</v>
      </c>
      <c r="AS434" s="481">
        <v>0</v>
      </c>
      <c r="AT434" s="481">
        <v>0</v>
      </c>
      <c r="AU434" s="481">
        <f t="shared" si="273"/>
        <v>4</v>
      </c>
      <c r="AV434" s="548">
        <v>4</v>
      </c>
      <c r="AW434" s="548">
        <v>0</v>
      </c>
      <c r="AX434" s="548">
        <v>0</v>
      </c>
      <c r="AY434" s="548">
        <v>0</v>
      </c>
      <c r="AZ434" s="548">
        <v>0</v>
      </c>
      <c r="BA434" s="548">
        <v>0</v>
      </c>
      <c r="BB434" s="548">
        <v>0</v>
      </c>
      <c r="BC434" s="548">
        <f t="shared" si="272"/>
        <v>4</v>
      </c>
      <c r="BD434" s="42">
        <f t="shared" si="276"/>
        <v>13</v>
      </c>
      <c r="BE434" s="42">
        <f t="shared" si="276"/>
        <v>0</v>
      </c>
      <c r="BF434" s="42">
        <f t="shared" si="276"/>
        <v>0</v>
      </c>
      <c r="BG434" s="42">
        <f t="shared" si="276"/>
        <v>0</v>
      </c>
      <c r="BH434" s="42">
        <f t="shared" si="276"/>
        <v>0</v>
      </c>
      <c r="BI434" s="42">
        <f t="shared" si="266"/>
        <v>0</v>
      </c>
      <c r="BJ434" s="42">
        <f t="shared" si="277"/>
        <v>0</v>
      </c>
      <c r="BK434" s="42">
        <f t="shared" si="277"/>
        <v>13</v>
      </c>
      <c r="BL434" s="3"/>
    </row>
    <row r="435" spans="1:64" ht="330" x14ac:dyDescent="0.25">
      <c r="A435" s="298" t="s">
        <v>1261</v>
      </c>
      <c r="B435" s="299" t="s">
        <v>1259</v>
      </c>
      <c r="C435" s="1547"/>
      <c r="D435" s="1549"/>
      <c r="E435" s="1549"/>
      <c r="F435" s="1549"/>
      <c r="G435" s="1549"/>
      <c r="H435" s="1549"/>
      <c r="I435" s="1425"/>
      <c r="J435" s="1425"/>
      <c r="K435" s="1425" t="s">
        <v>1321</v>
      </c>
      <c r="L435" s="301" t="s">
        <v>1140</v>
      </c>
      <c r="M435" s="1425" t="s">
        <v>497</v>
      </c>
      <c r="N435" s="476"/>
      <c r="O435" s="1425" t="s">
        <v>73</v>
      </c>
      <c r="P435" s="16" t="s">
        <v>1322</v>
      </c>
      <c r="Q435" s="302" t="s">
        <v>1323</v>
      </c>
      <c r="R435" s="303">
        <v>2015</v>
      </c>
      <c r="S435" s="303">
        <v>1</v>
      </c>
      <c r="T435" s="303">
        <v>1</v>
      </c>
      <c r="U435" s="303">
        <v>1</v>
      </c>
      <c r="V435" s="303">
        <v>1</v>
      </c>
      <c r="W435" s="303">
        <v>1</v>
      </c>
      <c r="X435" s="303">
        <v>1</v>
      </c>
      <c r="Y435" s="481">
        <v>6</v>
      </c>
      <c r="Z435" s="481">
        <v>0</v>
      </c>
      <c r="AA435" s="481">
        <v>0</v>
      </c>
      <c r="AB435" s="481">
        <v>0</v>
      </c>
      <c r="AC435" s="481">
        <v>0</v>
      </c>
      <c r="AD435" s="481">
        <v>0</v>
      </c>
      <c r="AE435" s="481">
        <v>0</v>
      </c>
      <c r="AF435" s="481">
        <f t="shared" si="269"/>
        <v>6</v>
      </c>
      <c r="AG435" s="548">
        <v>6</v>
      </c>
      <c r="AH435" s="548">
        <v>0</v>
      </c>
      <c r="AI435" s="548">
        <v>0</v>
      </c>
      <c r="AJ435" s="548">
        <v>0</v>
      </c>
      <c r="AK435" s="548">
        <v>0</v>
      </c>
      <c r="AL435" s="548">
        <v>0</v>
      </c>
      <c r="AM435" s="548">
        <f t="shared" si="275"/>
        <v>6</v>
      </c>
      <c r="AN435" s="481">
        <v>6</v>
      </c>
      <c r="AO435" s="481">
        <v>0</v>
      </c>
      <c r="AP435" s="481">
        <v>0</v>
      </c>
      <c r="AQ435" s="481">
        <v>0</v>
      </c>
      <c r="AR435" s="481">
        <v>0</v>
      </c>
      <c r="AS435" s="481">
        <v>0</v>
      </c>
      <c r="AT435" s="481">
        <v>0</v>
      </c>
      <c r="AU435" s="481">
        <f t="shared" si="273"/>
        <v>6</v>
      </c>
      <c r="AV435" s="548">
        <v>6</v>
      </c>
      <c r="AW435" s="548">
        <v>0</v>
      </c>
      <c r="AX435" s="548">
        <v>0</v>
      </c>
      <c r="AY435" s="548">
        <v>0</v>
      </c>
      <c r="AZ435" s="548">
        <v>0</v>
      </c>
      <c r="BA435" s="548">
        <v>0</v>
      </c>
      <c r="BB435" s="548">
        <v>0</v>
      </c>
      <c r="BC435" s="548">
        <f t="shared" si="272"/>
        <v>6</v>
      </c>
      <c r="BD435" s="42">
        <f t="shared" si="276"/>
        <v>24</v>
      </c>
      <c r="BE435" s="42">
        <f t="shared" si="276"/>
        <v>0</v>
      </c>
      <c r="BF435" s="42">
        <f t="shared" si="276"/>
        <v>0</v>
      </c>
      <c r="BG435" s="42">
        <f t="shared" si="276"/>
        <v>0</v>
      </c>
      <c r="BH435" s="42">
        <f t="shared" si="276"/>
        <v>0</v>
      </c>
      <c r="BI435" s="42">
        <f t="shared" si="266"/>
        <v>0</v>
      </c>
      <c r="BJ435" s="42">
        <f t="shared" si="277"/>
        <v>0</v>
      </c>
      <c r="BK435" s="42">
        <f t="shared" si="277"/>
        <v>24</v>
      </c>
      <c r="BL435" s="3"/>
    </row>
    <row r="436" spans="1:64" ht="316.8" x14ac:dyDescent="0.25">
      <c r="A436" s="298" t="s">
        <v>1261</v>
      </c>
      <c r="B436" s="299" t="s">
        <v>1259</v>
      </c>
      <c r="C436" s="1547"/>
      <c r="D436" s="1549"/>
      <c r="E436" s="1549"/>
      <c r="F436" s="1549"/>
      <c r="G436" s="1549"/>
      <c r="H436" s="1549"/>
      <c r="I436" s="1425"/>
      <c r="J436" s="1425"/>
      <c r="K436" s="1425" t="s">
        <v>1324</v>
      </c>
      <c r="L436" s="301" t="s">
        <v>1140</v>
      </c>
      <c r="M436" s="1425" t="s">
        <v>497</v>
      </c>
      <c r="N436" s="476"/>
      <c r="O436" s="1425" t="s">
        <v>73</v>
      </c>
      <c r="P436" s="71" t="s">
        <v>1325</v>
      </c>
      <c r="Q436" s="302" t="s">
        <v>1326</v>
      </c>
      <c r="R436" s="303">
        <v>2015</v>
      </c>
      <c r="S436" s="303">
        <v>0</v>
      </c>
      <c r="T436" s="303">
        <v>1</v>
      </c>
      <c r="U436" s="303">
        <v>1</v>
      </c>
      <c r="V436" s="303">
        <v>1</v>
      </c>
      <c r="W436" s="303">
        <v>1</v>
      </c>
      <c r="X436" s="303">
        <v>1</v>
      </c>
      <c r="Y436" s="481">
        <v>6</v>
      </c>
      <c r="Z436" s="481"/>
      <c r="AA436" s="481"/>
      <c r="AB436" s="481"/>
      <c r="AC436" s="481"/>
      <c r="AD436" s="481"/>
      <c r="AE436" s="481"/>
      <c r="AF436" s="481">
        <f t="shared" si="269"/>
        <v>6</v>
      </c>
      <c r="AG436" s="548"/>
      <c r="AH436" s="548"/>
      <c r="AI436" s="548"/>
      <c r="AJ436" s="548"/>
      <c r="AK436" s="548"/>
      <c r="AL436" s="548"/>
      <c r="AM436" s="548">
        <f t="shared" si="275"/>
        <v>0</v>
      </c>
      <c r="AN436" s="481"/>
      <c r="AO436" s="481"/>
      <c r="AP436" s="481"/>
      <c r="AQ436" s="481"/>
      <c r="AR436" s="481"/>
      <c r="AS436" s="481"/>
      <c r="AT436" s="481"/>
      <c r="AU436" s="481">
        <f t="shared" si="273"/>
        <v>0</v>
      </c>
      <c r="AV436" s="548"/>
      <c r="AW436" s="548"/>
      <c r="AX436" s="548"/>
      <c r="AY436" s="548"/>
      <c r="AZ436" s="548"/>
      <c r="BA436" s="548"/>
      <c r="BB436" s="548"/>
      <c r="BC436" s="548">
        <f t="shared" si="272"/>
        <v>0</v>
      </c>
      <c r="BD436" s="42">
        <f t="shared" si="276"/>
        <v>6</v>
      </c>
      <c r="BE436" s="42">
        <f t="shared" si="276"/>
        <v>0</v>
      </c>
      <c r="BF436" s="42">
        <f t="shared" si="276"/>
        <v>0</v>
      </c>
      <c r="BG436" s="42">
        <f t="shared" si="276"/>
        <v>0</v>
      </c>
      <c r="BH436" s="42">
        <f t="shared" si="276"/>
        <v>0</v>
      </c>
      <c r="BI436" s="42">
        <f t="shared" si="266"/>
        <v>0</v>
      </c>
      <c r="BJ436" s="42">
        <f t="shared" si="277"/>
        <v>0</v>
      </c>
      <c r="BK436" s="42">
        <f t="shared" si="277"/>
        <v>6</v>
      </c>
      <c r="BL436" s="3"/>
    </row>
    <row r="437" spans="1:64" ht="290.39999999999998" x14ac:dyDescent="0.25">
      <c r="A437" s="298" t="s">
        <v>1261</v>
      </c>
      <c r="B437" s="299" t="s">
        <v>1259</v>
      </c>
      <c r="C437" s="1547"/>
      <c r="D437" s="1549"/>
      <c r="E437" s="1549"/>
      <c r="F437" s="1549"/>
      <c r="G437" s="1549"/>
      <c r="H437" s="1549"/>
      <c r="I437" s="1425"/>
      <c r="J437" s="1425"/>
      <c r="K437" s="1425" t="s">
        <v>1327</v>
      </c>
      <c r="L437" s="301" t="s">
        <v>1140</v>
      </c>
      <c r="M437" s="1425" t="s">
        <v>497</v>
      </c>
      <c r="N437" s="476"/>
      <c r="O437" s="1425" t="s">
        <v>73</v>
      </c>
      <c r="P437" s="16" t="s">
        <v>1328</v>
      </c>
      <c r="Q437" s="302" t="s">
        <v>1329</v>
      </c>
      <c r="R437" s="303">
        <v>2015</v>
      </c>
      <c r="S437" s="303">
        <v>0</v>
      </c>
      <c r="T437" s="303">
        <v>1</v>
      </c>
      <c r="U437" s="303">
        <v>1</v>
      </c>
      <c r="V437" s="303">
        <v>1</v>
      </c>
      <c r="W437" s="303">
        <v>1</v>
      </c>
      <c r="X437" s="303">
        <v>1</v>
      </c>
      <c r="Y437" s="481">
        <v>2</v>
      </c>
      <c r="Z437" s="481"/>
      <c r="AA437" s="481"/>
      <c r="AB437" s="481"/>
      <c r="AC437" s="481"/>
      <c r="AD437" s="481"/>
      <c r="AE437" s="481"/>
      <c r="AF437" s="481">
        <f t="shared" si="269"/>
        <v>2</v>
      </c>
      <c r="AG437" s="548">
        <v>2</v>
      </c>
      <c r="AH437" s="548"/>
      <c r="AI437" s="548"/>
      <c r="AJ437" s="548"/>
      <c r="AK437" s="548"/>
      <c r="AL437" s="548"/>
      <c r="AM437" s="548">
        <f t="shared" si="275"/>
        <v>2</v>
      </c>
      <c r="AN437" s="481">
        <v>2</v>
      </c>
      <c r="AO437" s="481"/>
      <c r="AP437" s="481"/>
      <c r="AQ437" s="481"/>
      <c r="AR437" s="481"/>
      <c r="AS437" s="481"/>
      <c r="AT437" s="481"/>
      <c r="AU437" s="481">
        <f t="shared" si="273"/>
        <v>2</v>
      </c>
      <c r="AV437" s="548">
        <v>2</v>
      </c>
      <c r="AW437" s="548"/>
      <c r="AX437" s="548"/>
      <c r="AY437" s="548"/>
      <c r="AZ437" s="548"/>
      <c r="BA437" s="548"/>
      <c r="BB437" s="548"/>
      <c r="BC437" s="548">
        <f t="shared" si="272"/>
        <v>2</v>
      </c>
      <c r="BD437" s="42">
        <f t="shared" si="276"/>
        <v>8</v>
      </c>
      <c r="BE437" s="42">
        <f t="shared" si="276"/>
        <v>0</v>
      </c>
      <c r="BF437" s="42">
        <f t="shared" si="276"/>
        <v>0</v>
      </c>
      <c r="BG437" s="42">
        <f t="shared" si="276"/>
        <v>0</v>
      </c>
      <c r="BH437" s="42">
        <f t="shared" si="276"/>
        <v>0</v>
      </c>
      <c r="BI437" s="42">
        <f t="shared" si="266"/>
        <v>0</v>
      </c>
      <c r="BJ437" s="42">
        <f t="shared" si="277"/>
        <v>0</v>
      </c>
      <c r="BK437" s="42">
        <f t="shared" si="277"/>
        <v>8</v>
      </c>
      <c r="BL437" s="3"/>
    </row>
    <row r="438" spans="1:64" ht="250.8" x14ac:dyDescent="0.25">
      <c r="A438" s="298" t="s">
        <v>1261</v>
      </c>
      <c r="B438" s="299" t="s">
        <v>1259</v>
      </c>
      <c r="C438" s="1547"/>
      <c r="D438" s="1549"/>
      <c r="E438" s="1549"/>
      <c r="F438" s="1549"/>
      <c r="G438" s="1549"/>
      <c r="H438" s="1549"/>
      <c r="I438" s="1425"/>
      <c r="J438" s="1425"/>
      <c r="K438" s="1425" t="s">
        <v>1330</v>
      </c>
      <c r="L438" s="301" t="s">
        <v>1140</v>
      </c>
      <c r="M438" s="1425" t="s">
        <v>497</v>
      </c>
      <c r="N438" s="476"/>
      <c r="O438" s="1425" t="s">
        <v>47</v>
      </c>
      <c r="P438" s="16" t="s">
        <v>1331</v>
      </c>
      <c r="Q438" s="302" t="s">
        <v>337</v>
      </c>
      <c r="R438" s="303">
        <v>2015</v>
      </c>
      <c r="S438" s="303">
        <v>0</v>
      </c>
      <c r="T438" s="303">
        <v>1</v>
      </c>
      <c r="U438" s="303">
        <v>1</v>
      </c>
      <c r="V438" s="303">
        <v>1</v>
      </c>
      <c r="W438" s="303">
        <v>1</v>
      </c>
      <c r="X438" s="303">
        <v>4</v>
      </c>
      <c r="Y438" s="481"/>
      <c r="Z438" s="481"/>
      <c r="AA438" s="481"/>
      <c r="AB438" s="481"/>
      <c r="AC438" s="481"/>
      <c r="AD438" s="481"/>
      <c r="AE438" s="481"/>
      <c r="AF438" s="481">
        <f t="shared" si="269"/>
        <v>0</v>
      </c>
      <c r="AG438" s="548"/>
      <c r="AH438" s="548"/>
      <c r="AI438" s="548"/>
      <c r="AJ438" s="548"/>
      <c r="AK438" s="548"/>
      <c r="AL438" s="548"/>
      <c r="AM438" s="548">
        <f t="shared" si="275"/>
        <v>0</v>
      </c>
      <c r="AN438" s="481"/>
      <c r="AO438" s="481"/>
      <c r="AP438" s="481"/>
      <c r="AQ438" s="481"/>
      <c r="AR438" s="481"/>
      <c r="AS438" s="481"/>
      <c r="AT438" s="481"/>
      <c r="AU438" s="481">
        <f t="shared" si="273"/>
        <v>0</v>
      </c>
      <c r="AV438" s="548"/>
      <c r="AW438" s="548"/>
      <c r="AX438" s="548"/>
      <c r="AY438" s="548"/>
      <c r="AZ438" s="548"/>
      <c r="BA438" s="548"/>
      <c r="BB438" s="548"/>
      <c r="BC438" s="548">
        <f t="shared" si="272"/>
        <v>0</v>
      </c>
      <c r="BD438" s="42">
        <f t="shared" si="276"/>
        <v>0</v>
      </c>
      <c r="BE438" s="42">
        <f t="shared" si="276"/>
        <v>0</v>
      </c>
      <c r="BF438" s="42">
        <f t="shared" si="276"/>
        <v>0</v>
      </c>
      <c r="BG438" s="42">
        <f t="shared" si="276"/>
        <v>0</v>
      </c>
      <c r="BH438" s="42">
        <f t="shared" si="276"/>
        <v>0</v>
      </c>
      <c r="BI438" s="42">
        <f t="shared" si="266"/>
        <v>0</v>
      </c>
      <c r="BJ438" s="42">
        <f t="shared" si="277"/>
        <v>0</v>
      </c>
      <c r="BK438" s="42">
        <f t="shared" si="277"/>
        <v>0</v>
      </c>
      <c r="BL438" s="3"/>
    </row>
    <row r="439" spans="1:64" ht="316.8" x14ac:dyDescent="0.25">
      <c r="A439" s="298" t="s">
        <v>1261</v>
      </c>
      <c r="B439" s="299" t="s">
        <v>1259</v>
      </c>
      <c r="C439" s="1547"/>
      <c r="D439" s="1549"/>
      <c r="E439" s="1549"/>
      <c r="F439" s="1549"/>
      <c r="G439" s="1549"/>
      <c r="H439" s="1549"/>
      <c r="I439" s="1425"/>
      <c r="J439" s="1425"/>
      <c r="K439" s="1425" t="s">
        <v>1332</v>
      </c>
      <c r="L439" s="301" t="s">
        <v>1140</v>
      </c>
      <c r="M439" s="1425" t="s">
        <v>497</v>
      </c>
      <c r="N439" s="476"/>
      <c r="O439" s="1425" t="s">
        <v>73</v>
      </c>
      <c r="P439" s="16" t="s">
        <v>1333</v>
      </c>
      <c r="Q439" s="302" t="s">
        <v>188</v>
      </c>
      <c r="R439" s="303">
        <v>2015</v>
      </c>
      <c r="S439" s="303">
        <v>0</v>
      </c>
      <c r="T439" s="303">
        <v>1</v>
      </c>
      <c r="U439" s="303">
        <v>1</v>
      </c>
      <c r="V439" s="303">
        <v>1</v>
      </c>
      <c r="W439" s="303">
        <v>1</v>
      </c>
      <c r="X439" s="303">
        <v>1</v>
      </c>
      <c r="Y439" s="481"/>
      <c r="Z439" s="481">
        <v>50</v>
      </c>
      <c r="AA439" s="481"/>
      <c r="AB439" s="481"/>
      <c r="AC439" s="481"/>
      <c r="AD439" s="481"/>
      <c r="AE439" s="481"/>
      <c r="AF439" s="481">
        <f t="shared" si="269"/>
        <v>50</v>
      </c>
      <c r="AG439" s="548"/>
      <c r="AH439" s="548">
        <v>20</v>
      </c>
      <c r="AI439" s="548"/>
      <c r="AJ439" s="548"/>
      <c r="AK439" s="548"/>
      <c r="AL439" s="548"/>
      <c r="AM439" s="548">
        <f t="shared" si="275"/>
        <v>20</v>
      </c>
      <c r="AN439" s="481"/>
      <c r="AO439" s="481">
        <v>20</v>
      </c>
      <c r="AP439" s="481"/>
      <c r="AQ439" s="481"/>
      <c r="AR439" s="481"/>
      <c r="AS439" s="481"/>
      <c r="AT439" s="481"/>
      <c r="AU439" s="481">
        <f t="shared" si="273"/>
        <v>20</v>
      </c>
      <c r="AV439" s="548"/>
      <c r="AW439" s="548">
        <v>20</v>
      </c>
      <c r="AX439" s="548"/>
      <c r="AY439" s="548"/>
      <c r="AZ439" s="548"/>
      <c r="BA439" s="548"/>
      <c r="BB439" s="548"/>
      <c r="BC439" s="548">
        <f t="shared" si="272"/>
        <v>20</v>
      </c>
      <c r="BD439" s="42">
        <f t="shared" si="276"/>
        <v>0</v>
      </c>
      <c r="BE439" s="42">
        <f t="shared" si="276"/>
        <v>110</v>
      </c>
      <c r="BF439" s="42">
        <f t="shared" si="276"/>
        <v>0</v>
      </c>
      <c r="BG439" s="42">
        <f t="shared" si="276"/>
        <v>0</v>
      </c>
      <c r="BH439" s="42">
        <f t="shared" si="276"/>
        <v>0</v>
      </c>
      <c r="BI439" s="42">
        <f t="shared" si="266"/>
        <v>0</v>
      </c>
      <c r="BJ439" s="42">
        <f t="shared" si="277"/>
        <v>0</v>
      </c>
      <c r="BK439" s="42">
        <f t="shared" si="277"/>
        <v>110</v>
      </c>
      <c r="BL439" s="3"/>
    </row>
    <row r="440" spans="1:64" ht="277.2" x14ac:dyDescent="0.25">
      <c r="A440" s="298" t="s">
        <v>1261</v>
      </c>
      <c r="B440" s="299" t="s">
        <v>1259</v>
      </c>
      <c r="C440" s="1547"/>
      <c r="D440" s="1549"/>
      <c r="E440" s="1549"/>
      <c r="F440" s="1549"/>
      <c r="G440" s="1549"/>
      <c r="H440" s="1549"/>
      <c r="I440" s="1425"/>
      <c r="J440" s="1425"/>
      <c r="K440" s="1425" t="s">
        <v>1334</v>
      </c>
      <c r="L440" s="301" t="s">
        <v>1140</v>
      </c>
      <c r="M440" s="1425" t="s">
        <v>497</v>
      </c>
      <c r="N440" s="476"/>
      <c r="O440" s="1425" t="s">
        <v>73</v>
      </c>
      <c r="P440" s="16" t="s">
        <v>1335</v>
      </c>
      <c r="Q440" s="302" t="s">
        <v>1336</v>
      </c>
      <c r="R440" s="303">
        <v>2015</v>
      </c>
      <c r="S440" s="303">
        <v>0</v>
      </c>
      <c r="T440" s="303">
        <v>1</v>
      </c>
      <c r="U440" s="303">
        <v>1</v>
      </c>
      <c r="V440" s="303">
        <v>1</v>
      </c>
      <c r="W440" s="303">
        <v>1</v>
      </c>
      <c r="X440" s="303">
        <v>1</v>
      </c>
      <c r="Y440" s="481">
        <v>10</v>
      </c>
      <c r="Z440" s="481"/>
      <c r="AA440" s="481"/>
      <c r="AB440" s="481"/>
      <c r="AC440" s="481"/>
      <c r="AD440" s="481"/>
      <c r="AE440" s="481"/>
      <c r="AF440" s="481">
        <f t="shared" si="269"/>
        <v>10</v>
      </c>
      <c r="AG440" s="548"/>
      <c r="AH440" s="548"/>
      <c r="AI440" s="548"/>
      <c r="AJ440" s="548"/>
      <c r="AK440" s="548"/>
      <c r="AL440" s="548"/>
      <c r="AM440" s="548">
        <f t="shared" si="275"/>
        <v>0</v>
      </c>
      <c r="AN440" s="481"/>
      <c r="AO440" s="481"/>
      <c r="AP440" s="481"/>
      <c r="AQ440" s="481"/>
      <c r="AR440" s="481"/>
      <c r="AS440" s="481"/>
      <c r="AT440" s="481"/>
      <c r="AU440" s="481">
        <f t="shared" si="273"/>
        <v>0</v>
      </c>
      <c r="AV440" s="548"/>
      <c r="AW440" s="548"/>
      <c r="AX440" s="548"/>
      <c r="AY440" s="548"/>
      <c r="AZ440" s="548"/>
      <c r="BA440" s="548"/>
      <c r="BB440" s="548"/>
      <c r="BC440" s="548">
        <f t="shared" si="272"/>
        <v>0</v>
      </c>
      <c r="BD440" s="42">
        <f t="shared" si="276"/>
        <v>10</v>
      </c>
      <c r="BE440" s="42">
        <f t="shared" si="276"/>
        <v>0</v>
      </c>
      <c r="BF440" s="42">
        <f t="shared" si="276"/>
        <v>0</v>
      </c>
      <c r="BG440" s="42">
        <f t="shared" si="276"/>
        <v>0</v>
      </c>
      <c r="BH440" s="42">
        <f t="shared" si="276"/>
        <v>0</v>
      </c>
      <c r="BI440" s="42">
        <f t="shared" si="266"/>
        <v>0</v>
      </c>
      <c r="BJ440" s="42">
        <f t="shared" si="277"/>
        <v>0</v>
      </c>
      <c r="BK440" s="42">
        <f t="shared" si="277"/>
        <v>10</v>
      </c>
      <c r="BL440" s="3"/>
    </row>
    <row r="441" spans="1:64" ht="356.4" x14ac:dyDescent="0.25">
      <c r="A441" s="298" t="s">
        <v>1261</v>
      </c>
      <c r="B441" s="299" t="s">
        <v>1259</v>
      </c>
      <c r="C441" s="1547"/>
      <c r="D441" s="1549"/>
      <c r="E441" s="1549"/>
      <c r="F441" s="1549"/>
      <c r="G441" s="1549"/>
      <c r="H441" s="1549"/>
      <c r="I441" s="1425"/>
      <c r="J441" s="1425"/>
      <c r="K441" s="1425" t="s">
        <v>1337</v>
      </c>
      <c r="L441" s="301" t="s">
        <v>1140</v>
      </c>
      <c r="M441" s="1425" t="s">
        <v>497</v>
      </c>
      <c r="N441" s="476"/>
      <c r="O441" s="1425" t="s">
        <v>73</v>
      </c>
      <c r="P441" s="71" t="s">
        <v>1338</v>
      </c>
      <c r="Q441" s="302" t="s">
        <v>1339</v>
      </c>
      <c r="R441" s="303">
        <v>2015</v>
      </c>
      <c r="S441" s="303">
        <v>1</v>
      </c>
      <c r="T441" s="303">
        <v>1</v>
      </c>
      <c r="U441" s="303">
        <v>1</v>
      </c>
      <c r="V441" s="303">
        <v>1</v>
      </c>
      <c r="W441" s="303">
        <v>1</v>
      </c>
      <c r="X441" s="303">
        <v>1</v>
      </c>
      <c r="Y441" s="481"/>
      <c r="Z441" s="481">
        <v>15</v>
      </c>
      <c r="AA441" s="481"/>
      <c r="AB441" s="481"/>
      <c r="AC441" s="481"/>
      <c r="AD441" s="481"/>
      <c r="AE441" s="481"/>
      <c r="AF441" s="481"/>
      <c r="AG441" s="548">
        <v>15</v>
      </c>
      <c r="AH441" s="548"/>
      <c r="AI441" s="548"/>
      <c r="AJ441" s="548"/>
      <c r="AK441" s="548"/>
      <c r="AL441" s="548"/>
      <c r="AM441" s="548"/>
      <c r="AN441" s="481"/>
      <c r="AO441" s="481">
        <v>15</v>
      </c>
      <c r="AP441" s="481"/>
      <c r="AQ441" s="481"/>
      <c r="AR441" s="481"/>
      <c r="AS441" s="481"/>
      <c r="AT441" s="481"/>
      <c r="AU441" s="481"/>
      <c r="AV441" s="548"/>
      <c r="AW441" s="548">
        <v>15</v>
      </c>
      <c r="AX441" s="548"/>
      <c r="AY441" s="548"/>
      <c r="AZ441" s="548"/>
      <c r="BA441" s="548"/>
      <c r="BB441" s="548"/>
      <c r="BC441" s="548"/>
      <c r="BD441" s="42">
        <f t="shared" si="276"/>
        <v>15</v>
      </c>
      <c r="BE441" s="42">
        <f t="shared" si="276"/>
        <v>45</v>
      </c>
      <c r="BF441" s="42">
        <f t="shared" si="276"/>
        <v>0</v>
      </c>
      <c r="BG441" s="42">
        <f t="shared" si="276"/>
        <v>0</v>
      </c>
      <c r="BH441" s="42">
        <f t="shared" si="276"/>
        <v>0</v>
      </c>
      <c r="BI441" s="42">
        <f t="shared" si="266"/>
        <v>0</v>
      </c>
      <c r="BJ441" s="42">
        <f t="shared" si="277"/>
        <v>0</v>
      </c>
      <c r="BK441" s="42">
        <f t="shared" si="277"/>
        <v>0</v>
      </c>
      <c r="BL441" s="3"/>
    </row>
    <row r="442" spans="1:64" ht="264" x14ac:dyDescent="0.25">
      <c r="A442" s="298" t="s">
        <v>1261</v>
      </c>
      <c r="B442" s="299" t="s">
        <v>1259</v>
      </c>
      <c r="C442" s="1547"/>
      <c r="D442" s="1549"/>
      <c r="E442" s="1549"/>
      <c r="F442" s="1549"/>
      <c r="G442" s="1549"/>
      <c r="H442" s="1549"/>
      <c r="I442" s="1425"/>
      <c r="J442" s="1425"/>
      <c r="K442" s="1425" t="s">
        <v>1340</v>
      </c>
      <c r="L442" s="301" t="s">
        <v>1140</v>
      </c>
      <c r="M442" s="1425" t="s">
        <v>497</v>
      </c>
      <c r="N442" s="476"/>
      <c r="O442" s="1425" t="s">
        <v>47</v>
      </c>
      <c r="P442" s="16" t="s">
        <v>1341</v>
      </c>
      <c r="Q442" s="302" t="s">
        <v>1342</v>
      </c>
      <c r="R442" s="303">
        <v>2015</v>
      </c>
      <c r="S442" s="303">
        <v>0</v>
      </c>
      <c r="T442" s="303">
        <v>2</v>
      </c>
      <c r="U442" s="303">
        <v>2</v>
      </c>
      <c r="V442" s="303">
        <v>2</v>
      </c>
      <c r="W442" s="303">
        <v>2</v>
      </c>
      <c r="X442" s="303">
        <v>8</v>
      </c>
      <c r="Y442" s="481"/>
      <c r="Z442" s="481">
        <v>40</v>
      </c>
      <c r="AA442" s="481"/>
      <c r="AB442" s="481"/>
      <c r="AC442" s="481"/>
      <c r="AD442" s="481"/>
      <c r="AE442" s="481"/>
      <c r="AF442" s="481">
        <f>SUM(Y442:AE442)</f>
        <v>40</v>
      </c>
      <c r="AG442" s="548"/>
      <c r="AH442" s="548">
        <v>25</v>
      </c>
      <c r="AI442" s="548"/>
      <c r="AJ442" s="548"/>
      <c r="AK442" s="548"/>
      <c r="AL442" s="548"/>
      <c r="AM442" s="548">
        <f>SUM(AG442:AL442)</f>
        <v>25</v>
      </c>
      <c r="AN442" s="481"/>
      <c r="AO442" s="481">
        <v>25</v>
      </c>
      <c r="AP442" s="481"/>
      <c r="AQ442" s="481"/>
      <c r="AR442" s="481"/>
      <c r="AS442" s="481"/>
      <c r="AT442" s="481"/>
      <c r="AU442" s="481">
        <f>SUM(AN442:AT442)</f>
        <v>25</v>
      </c>
      <c r="AV442" s="548"/>
      <c r="AW442" s="548">
        <v>25</v>
      </c>
      <c r="AX442" s="548"/>
      <c r="AY442" s="548"/>
      <c r="AZ442" s="548"/>
      <c r="BA442" s="548"/>
      <c r="BB442" s="548"/>
      <c r="BC442" s="548">
        <f>SUM(AV442:BB442)</f>
        <v>25</v>
      </c>
      <c r="BD442" s="42">
        <f t="shared" si="276"/>
        <v>0</v>
      </c>
      <c r="BE442" s="42">
        <f t="shared" si="276"/>
        <v>115</v>
      </c>
      <c r="BF442" s="42">
        <f t="shared" si="276"/>
        <v>0</v>
      </c>
      <c r="BG442" s="42">
        <f t="shared" si="276"/>
        <v>0</v>
      </c>
      <c r="BH442" s="42">
        <f t="shared" si="276"/>
        <v>0</v>
      </c>
      <c r="BI442" s="42">
        <f>+AD442+AS442+BA442</f>
        <v>0</v>
      </c>
      <c r="BJ442" s="42">
        <f>+BB442+AT442+AL442+AE442</f>
        <v>0</v>
      </c>
      <c r="BK442" s="42">
        <f>+BC442+AU442+AM442+AF442</f>
        <v>115</v>
      </c>
      <c r="BL442" s="3"/>
    </row>
    <row r="443" spans="1:64" ht="198" x14ac:dyDescent="0.25">
      <c r="A443" s="298" t="s">
        <v>1261</v>
      </c>
      <c r="B443" s="299" t="s">
        <v>1259</v>
      </c>
      <c r="C443" s="1547"/>
      <c r="D443" s="1549"/>
      <c r="E443" s="1549"/>
      <c r="F443" s="1549"/>
      <c r="G443" s="1549"/>
      <c r="H443" s="1549"/>
      <c r="I443" s="1425"/>
      <c r="J443" s="1425"/>
      <c r="K443" s="1425" t="s">
        <v>1343</v>
      </c>
      <c r="L443" s="301" t="s">
        <v>1140</v>
      </c>
      <c r="M443" s="1425" t="s">
        <v>497</v>
      </c>
      <c r="N443" s="476"/>
      <c r="O443" s="1425" t="s">
        <v>47</v>
      </c>
      <c r="P443" s="71" t="s">
        <v>1344</v>
      </c>
      <c r="Q443" s="302" t="s">
        <v>1345</v>
      </c>
      <c r="R443" s="303">
        <v>2015</v>
      </c>
      <c r="S443" s="303" t="s">
        <v>177</v>
      </c>
      <c r="T443" s="303">
        <v>12</v>
      </c>
      <c r="U443" s="303">
        <v>12</v>
      </c>
      <c r="V443" s="303">
        <v>12</v>
      </c>
      <c r="W443" s="303">
        <v>12</v>
      </c>
      <c r="X443" s="303">
        <v>48</v>
      </c>
      <c r="Y443" s="481"/>
      <c r="Z443" s="481"/>
      <c r="AA443" s="481"/>
      <c r="AB443" s="481"/>
      <c r="AC443" s="481"/>
      <c r="AD443" s="481"/>
      <c r="AE443" s="481"/>
      <c r="AF443" s="481">
        <f>SUM(Y443:AE443)</f>
        <v>0</v>
      </c>
      <c r="AG443" s="548"/>
      <c r="AH443" s="548"/>
      <c r="AI443" s="548"/>
      <c r="AJ443" s="548"/>
      <c r="AK443" s="548"/>
      <c r="AL443" s="548"/>
      <c r="AM443" s="548">
        <f>SUM(AG443:AL443)</f>
        <v>0</v>
      </c>
      <c r="AN443" s="481"/>
      <c r="AO443" s="481"/>
      <c r="AP443" s="481"/>
      <c r="AQ443" s="481"/>
      <c r="AR443" s="481"/>
      <c r="AS443" s="481"/>
      <c r="AT443" s="481"/>
      <c r="AU443" s="481">
        <f>SUM(AN443:AT443)</f>
        <v>0</v>
      </c>
      <c r="AV443" s="548"/>
      <c r="AW443" s="548"/>
      <c r="AX443" s="548"/>
      <c r="AY443" s="548"/>
      <c r="AZ443" s="548"/>
      <c r="BA443" s="548"/>
      <c r="BB443" s="548"/>
      <c r="BC443" s="548">
        <f>SUM(AV443:BB443)</f>
        <v>0</v>
      </c>
      <c r="BD443" s="42">
        <f t="shared" si="276"/>
        <v>0</v>
      </c>
      <c r="BE443" s="42">
        <f t="shared" si="276"/>
        <v>0</v>
      </c>
      <c r="BF443" s="42">
        <f t="shared" si="276"/>
        <v>0</v>
      </c>
      <c r="BG443" s="42">
        <f t="shared" si="276"/>
        <v>0</v>
      </c>
      <c r="BH443" s="42">
        <f t="shared" si="276"/>
        <v>0</v>
      </c>
      <c r="BI443" s="42">
        <f>+AD443+AS443+BA443</f>
        <v>0</v>
      </c>
      <c r="BJ443" s="42">
        <f>+BB443+AT443+AL443+AE443</f>
        <v>0</v>
      </c>
      <c r="BK443" s="42">
        <f>+BC443+AU443+AM443+AF443</f>
        <v>0</v>
      </c>
      <c r="BL443" s="3"/>
    </row>
    <row r="444" spans="1:64" ht="171.6" x14ac:dyDescent="0.25">
      <c r="A444" s="298" t="s">
        <v>1261</v>
      </c>
      <c r="B444" s="299" t="s">
        <v>1259</v>
      </c>
      <c r="C444" s="1548"/>
      <c r="D444" s="1549"/>
      <c r="E444" s="1549"/>
      <c r="F444" s="1549"/>
      <c r="G444" s="1549"/>
      <c r="H444" s="1549"/>
      <c r="I444" s="1425"/>
      <c r="J444" s="1425"/>
      <c r="K444" s="1425" t="s">
        <v>1346</v>
      </c>
      <c r="L444" s="301" t="s">
        <v>1140</v>
      </c>
      <c r="M444" s="1425" t="s">
        <v>497</v>
      </c>
      <c r="N444" s="476"/>
      <c r="O444" s="1425" t="s">
        <v>47</v>
      </c>
      <c r="P444" s="16" t="s">
        <v>1347</v>
      </c>
      <c r="Q444" s="302" t="s">
        <v>1348</v>
      </c>
      <c r="R444" s="303">
        <v>2015</v>
      </c>
      <c r="S444" s="303">
        <v>0</v>
      </c>
      <c r="T444" s="303">
        <v>0</v>
      </c>
      <c r="U444" s="303">
        <v>1</v>
      </c>
      <c r="V444" s="303">
        <v>0</v>
      </c>
      <c r="W444" s="303">
        <v>0</v>
      </c>
      <c r="X444" s="303">
        <v>1</v>
      </c>
      <c r="Y444" s="481"/>
      <c r="Z444" s="481"/>
      <c r="AA444" s="481"/>
      <c r="AB444" s="481"/>
      <c r="AC444" s="481"/>
      <c r="AD444" s="481"/>
      <c r="AE444" s="481"/>
      <c r="AF444" s="481">
        <f>SUM(Y444:AE444)</f>
        <v>0</v>
      </c>
      <c r="AG444" s="548"/>
      <c r="AH444" s="548"/>
      <c r="AI444" s="548"/>
      <c r="AJ444" s="548"/>
      <c r="AK444" s="548"/>
      <c r="AL444" s="548"/>
      <c r="AM444" s="548">
        <f>SUM(AG444:AL444)</f>
        <v>0</v>
      </c>
      <c r="AN444" s="481"/>
      <c r="AO444" s="481"/>
      <c r="AP444" s="481"/>
      <c r="AQ444" s="481"/>
      <c r="AR444" s="481"/>
      <c r="AS444" s="481"/>
      <c r="AT444" s="481"/>
      <c r="AU444" s="481">
        <f>SUM(AN444:AT444)</f>
        <v>0</v>
      </c>
      <c r="AV444" s="548"/>
      <c r="AW444" s="548"/>
      <c r="AX444" s="548"/>
      <c r="AY444" s="548"/>
      <c r="AZ444" s="548"/>
      <c r="BA444" s="548"/>
      <c r="BB444" s="548"/>
      <c r="BC444" s="548">
        <f>SUM(AV444:BB444)</f>
        <v>0</v>
      </c>
      <c r="BD444" s="42">
        <f t="shared" si="276"/>
        <v>0</v>
      </c>
      <c r="BE444" s="42">
        <f t="shared" si="276"/>
        <v>0</v>
      </c>
      <c r="BF444" s="42">
        <f t="shared" si="276"/>
        <v>0</v>
      </c>
      <c r="BG444" s="42">
        <f t="shared" si="276"/>
        <v>0</v>
      </c>
      <c r="BH444" s="42">
        <f t="shared" si="276"/>
        <v>0</v>
      </c>
      <c r="BI444" s="42">
        <f t="shared" si="266"/>
        <v>0</v>
      </c>
      <c r="BJ444" s="42">
        <f t="shared" si="277"/>
        <v>0</v>
      </c>
      <c r="BK444" s="42">
        <f t="shared" si="277"/>
        <v>0</v>
      </c>
      <c r="BL444" s="3"/>
    </row>
    <row r="445" spans="1:64" ht="22.8" x14ac:dyDescent="0.25">
      <c r="A445" s="604"/>
      <c r="B445" s="1571" t="s">
        <v>1349</v>
      </c>
      <c r="C445" s="1572"/>
      <c r="D445" s="1572"/>
      <c r="E445" s="1572"/>
      <c r="F445" s="1572"/>
      <c r="G445" s="1572"/>
      <c r="H445" s="1572"/>
      <c r="I445" s="1572"/>
      <c r="J445" s="1572"/>
      <c r="K445" s="1572"/>
      <c r="L445" s="1572"/>
      <c r="M445" s="1573"/>
      <c r="N445" s="8"/>
      <c r="O445" s="8"/>
      <c r="P445" s="20"/>
      <c r="Q445" s="20"/>
      <c r="R445" s="8"/>
      <c r="S445" s="8"/>
      <c r="T445" s="8"/>
      <c r="U445" s="65"/>
      <c r="V445" s="65"/>
      <c r="W445" s="65"/>
      <c r="X445" s="65"/>
      <c r="Y445" s="36">
        <f t="shared" ref="Y445:AE445" si="278">+Y447+Y483</f>
        <v>249.2</v>
      </c>
      <c r="Z445" s="36">
        <f t="shared" si="278"/>
        <v>108</v>
      </c>
      <c r="AA445" s="36">
        <f t="shared" si="278"/>
        <v>27.299999999999997</v>
      </c>
      <c r="AB445" s="36">
        <f t="shared" si="278"/>
        <v>0</v>
      </c>
      <c r="AC445" s="36">
        <f t="shared" si="278"/>
        <v>0</v>
      </c>
      <c r="AD445" s="36">
        <f t="shared" si="278"/>
        <v>69.599999999999994</v>
      </c>
      <c r="AE445" s="36">
        <f t="shared" si="278"/>
        <v>0</v>
      </c>
      <c r="AF445" s="36">
        <f>SUM(Y445:AE445)</f>
        <v>454.1</v>
      </c>
      <c r="AG445" s="36">
        <f t="shared" ref="AG445:AL445" si="279">+AG447+AG483</f>
        <v>302</v>
      </c>
      <c r="AH445" s="36">
        <f t="shared" si="279"/>
        <v>112</v>
      </c>
      <c r="AI445" s="36">
        <f t="shared" si="279"/>
        <v>28.2</v>
      </c>
      <c r="AJ445" s="36">
        <f t="shared" si="279"/>
        <v>0</v>
      </c>
      <c r="AK445" s="36">
        <f t="shared" si="279"/>
        <v>0</v>
      </c>
      <c r="AL445" s="36">
        <f t="shared" si="279"/>
        <v>100</v>
      </c>
      <c r="AM445" s="36">
        <f>SUM(AG445:AL445)</f>
        <v>542.20000000000005</v>
      </c>
      <c r="AN445" s="36">
        <f t="shared" ref="AN445:AT445" si="280">+AN447+AN483</f>
        <v>287</v>
      </c>
      <c r="AO445" s="36">
        <f t="shared" si="280"/>
        <v>116</v>
      </c>
      <c r="AP445" s="36">
        <f t="shared" si="280"/>
        <v>28.8</v>
      </c>
      <c r="AQ445" s="36">
        <f t="shared" si="280"/>
        <v>0</v>
      </c>
      <c r="AR445" s="36">
        <f t="shared" si="280"/>
        <v>0</v>
      </c>
      <c r="AS445" s="36">
        <f t="shared" si="280"/>
        <v>0</v>
      </c>
      <c r="AT445" s="36">
        <f t="shared" si="280"/>
        <v>0</v>
      </c>
      <c r="AU445" s="36">
        <f>SUM(AN445:AT445)</f>
        <v>431.8</v>
      </c>
      <c r="AV445" s="36">
        <f t="shared" ref="AV445:BB445" si="281">+AV447+AV483</f>
        <v>347</v>
      </c>
      <c r="AW445" s="36">
        <f t="shared" si="281"/>
        <v>100</v>
      </c>
      <c r="AX445" s="36">
        <f t="shared" si="281"/>
        <v>29</v>
      </c>
      <c r="AY445" s="36">
        <f t="shared" si="281"/>
        <v>0</v>
      </c>
      <c r="AZ445" s="36">
        <f t="shared" si="281"/>
        <v>0</v>
      </c>
      <c r="BA445" s="36">
        <f t="shared" si="281"/>
        <v>0</v>
      </c>
      <c r="BB445" s="36">
        <f t="shared" si="281"/>
        <v>0</v>
      </c>
      <c r="BC445" s="36">
        <f>SUM(AV445:BB445)</f>
        <v>476</v>
      </c>
      <c r="BD445" s="36">
        <f t="shared" si="276"/>
        <v>1185.2</v>
      </c>
      <c r="BE445" s="36">
        <f t="shared" si="276"/>
        <v>436</v>
      </c>
      <c r="BF445" s="36">
        <f t="shared" si="276"/>
        <v>113.3</v>
      </c>
      <c r="BG445" s="36">
        <f t="shared" si="276"/>
        <v>0</v>
      </c>
      <c r="BH445" s="36">
        <f t="shared" si="276"/>
        <v>0</v>
      </c>
      <c r="BI445" s="36">
        <f t="shared" si="266"/>
        <v>69.599999999999994</v>
      </c>
      <c r="BJ445" s="36">
        <f t="shared" si="277"/>
        <v>100</v>
      </c>
      <c r="BK445" s="36">
        <f t="shared" si="277"/>
        <v>1904.1</v>
      </c>
    </row>
    <row r="446" spans="1:64" ht="1.5" customHeight="1" x14ac:dyDescent="0.25">
      <c r="A446" s="151"/>
      <c r="B446" s="18"/>
      <c r="C446" s="18"/>
      <c r="D446" s="8"/>
      <c r="E446" s="8"/>
      <c r="F446" s="8"/>
      <c r="G446" s="8"/>
      <c r="H446" s="8"/>
      <c r="I446" s="8"/>
      <c r="J446" s="8"/>
      <c r="K446" s="8"/>
      <c r="L446" s="8"/>
      <c r="M446" s="8"/>
      <c r="N446" s="8"/>
      <c r="O446" s="8"/>
      <c r="P446" s="1438"/>
      <c r="Q446" s="20"/>
      <c r="R446" s="8"/>
      <c r="S446" s="8"/>
      <c r="T446" s="8"/>
      <c r="U446" s="65"/>
      <c r="V446" s="47"/>
      <c r="W446" s="47"/>
      <c r="X446" s="65"/>
      <c r="Y446" s="32">
        <v>73.13</v>
      </c>
      <c r="Z446" s="32">
        <v>108</v>
      </c>
      <c r="AA446" s="32">
        <v>11.7</v>
      </c>
      <c r="AB446" s="32"/>
      <c r="AC446" s="32"/>
      <c r="AD446" s="32">
        <v>54.8</v>
      </c>
      <c r="AE446" s="32"/>
      <c r="AF446" s="32"/>
      <c r="AG446" s="32">
        <f>+Y446*1.04</f>
        <v>76.055199999999999</v>
      </c>
      <c r="AH446" s="32">
        <f>+Z446*1.04</f>
        <v>112.32000000000001</v>
      </c>
      <c r="AI446" s="32">
        <f>+AA446*1.04</f>
        <v>12.167999999999999</v>
      </c>
      <c r="AJ446" s="32"/>
      <c r="AK446" s="32"/>
      <c r="AL446" s="32"/>
      <c r="AM446" s="32"/>
      <c r="AN446" s="32">
        <f>+AG446*1.04</f>
        <v>79.097408000000001</v>
      </c>
      <c r="AO446" s="32">
        <f>+AH446*1.04</f>
        <v>116.81280000000001</v>
      </c>
      <c r="AP446" s="32">
        <f>+AI446*1.04</f>
        <v>12.654719999999999</v>
      </c>
      <c r="AQ446" s="32"/>
      <c r="AR446" s="32"/>
      <c r="AS446" s="32"/>
      <c r="AT446" s="32"/>
      <c r="AU446" s="32"/>
      <c r="AV446" s="32">
        <f>+AN446*1.04</f>
        <v>82.261304320000008</v>
      </c>
      <c r="AW446" s="32">
        <f>+AO446*1.04</f>
        <v>121.48531200000001</v>
      </c>
      <c r="AX446" s="32">
        <f>+AP446*1.04</f>
        <v>13.1609088</v>
      </c>
      <c r="AY446" s="32"/>
      <c r="AZ446" s="32"/>
      <c r="BA446" s="32"/>
      <c r="BB446" s="32"/>
      <c r="BC446" s="32"/>
      <c r="BD446" s="32">
        <f t="shared" si="276"/>
        <v>310.54391232</v>
      </c>
      <c r="BE446" s="32">
        <f t="shared" si="276"/>
        <v>458.618112</v>
      </c>
      <c r="BF446" s="32">
        <f t="shared" si="276"/>
        <v>49.683628799999994</v>
      </c>
      <c r="BG446" s="32">
        <f t="shared" si="276"/>
        <v>0</v>
      </c>
      <c r="BH446" s="32">
        <f t="shared" si="276"/>
        <v>0</v>
      </c>
      <c r="BI446" s="32">
        <f t="shared" si="266"/>
        <v>54.8</v>
      </c>
      <c r="BJ446" s="32">
        <f t="shared" si="277"/>
        <v>0</v>
      </c>
      <c r="BK446" s="32">
        <f t="shared" si="277"/>
        <v>0</v>
      </c>
    </row>
    <row r="447" spans="1:64" ht="20.399999999999999" x14ac:dyDescent="0.25">
      <c r="A447" s="420"/>
      <c r="B447" s="1565" t="s">
        <v>1350</v>
      </c>
      <c r="C447" s="1566"/>
      <c r="D447" s="1566"/>
      <c r="E447" s="1566"/>
      <c r="F447" s="1566"/>
      <c r="G447" s="1566"/>
      <c r="H447" s="1566"/>
      <c r="I447" s="1566"/>
      <c r="J447" s="1566"/>
      <c r="K447" s="1566"/>
      <c r="L447" s="1566"/>
      <c r="M447" s="1567"/>
      <c r="N447" s="597"/>
      <c r="O447" s="597"/>
      <c r="P447" s="598"/>
      <c r="Q447" s="598"/>
      <c r="R447" s="597"/>
      <c r="S447" s="597"/>
      <c r="T447" s="597"/>
      <c r="U447" s="599"/>
      <c r="V447" s="599"/>
      <c r="W447" s="599"/>
      <c r="X447" s="599"/>
      <c r="Y447" s="600">
        <f>+Y448</f>
        <v>73.5</v>
      </c>
      <c r="Z447" s="600">
        <f t="shared" ref="Z447:AE447" si="282">+Z448</f>
        <v>108</v>
      </c>
      <c r="AA447" s="600">
        <f t="shared" si="282"/>
        <v>11.7</v>
      </c>
      <c r="AB447" s="600">
        <f t="shared" si="282"/>
        <v>0</v>
      </c>
      <c r="AC447" s="600">
        <f t="shared" si="282"/>
        <v>0</v>
      </c>
      <c r="AD447" s="600">
        <f t="shared" si="282"/>
        <v>54.8</v>
      </c>
      <c r="AE447" s="600">
        <f t="shared" si="282"/>
        <v>0</v>
      </c>
      <c r="AF447" s="600">
        <f t="shared" ref="AF447:AF481" si="283">SUM(Y447:AE447)</f>
        <v>248</v>
      </c>
      <c r="AG447" s="600">
        <f t="shared" ref="AG447:AL447" si="284">+AG448</f>
        <v>120</v>
      </c>
      <c r="AH447" s="600">
        <f t="shared" si="284"/>
        <v>112</v>
      </c>
      <c r="AI447" s="600">
        <f t="shared" si="284"/>
        <v>12</v>
      </c>
      <c r="AJ447" s="600">
        <f t="shared" si="284"/>
        <v>0</v>
      </c>
      <c r="AK447" s="600">
        <f t="shared" si="284"/>
        <v>0</v>
      </c>
      <c r="AL447" s="600">
        <f t="shared" si="284"/>
        <v>100</v>
      </c>
      <c r="AM447" s="600">
        <f t="shared" ref="AM447:AM459" si="285">SUM(AG447:AL447)</f>
        <v>344</v>
      </c>
      <c r="AN447" s="600">
        <f t="shared" ref="AN447:AT447" si="286">+AN448</f>
        <v>97</v>
      </c>
      <c r="AO447" s="600">
        <f t="shared" si="286"/>
        <v>116</v>
      </c>
      <c r="AP447" s="600">
        <f t="shared" si="286"/>
        <v>12</v>
      </c>
      <c r="AQ447" s="600">
        <f t="shared" si="286"/>
        <v>0</v>
      </c>
      <c r="AR447" s="600">
        <f t="shared" si="286"/>
        <v>0</v>
      </c>
      <c r="AS447" s="600">
        <f t="shared" si="286"/>
        <v>0</v>
      </c>
      <c r="AT447" s="600">
        <f t="shared" si="286"/>
        <v>0</v>
      </c>
      <c r="AU447" s="600">
        <f t="shared" ref="AU447:AU473" si="287">SUM(AN447:AT447)</f>
        <v>225</v>
      </c>
      <c r="AV447" s="600">
        <f t="shared" ref="AV447:BB447" si="288">+AV448</f>
        <v>150</v>
      </c>
      <c r="AW447" s="600">
        <f t="shared" si="288"/>
        <v>100</v>
      </c>
      <c r="AX447" s="600">
        <f t="shared" si="288"/>
        <v>12</v>
      </c>
      <c r="AY447" s="600">
        <f t="shared" si="288"/>
        <v>0</v>
      </c>
      <c r="AZ447" s="600">
        <f t="shared" si="288"/>
        <v>0</v>
      </c>
      <c r="BA447" s="600">
        <f t="shared" si="288"/>
        <v>0</v>
      </c>
      <c r="BB447" s="600">
        <f t="shared" si="288"/>
        <v>0</v>
      </c>
      <c r="BC447" s="600">
        <f t="shared" ref="BC447:BC473" si="289">SUM(AV447:BB447)</f>
        <v>262</v>
      </c>
      <c r="BD447" s="33">
        <f t="shared" si="276"/>
        <v>440.5</v>
      </c>
      <c r="BE447" s="33">
        <f t="shared" si="276"/>
        <v>436</v>
      </c>
      <c r="BF447" s="33">
        <f t="shared" si="276"/>
        <v>47.7</v>
      </c>
      <c r="BG447" s="33">
        <f t="shared" si="276"/>
        <v>0</v>
      </c>
      <c r="BH447" s="33">
        <f t="shared" si="276"/>
        <v>0</v>
      </c>
      <c r="BI447" s="33">
        <f t="shared" si="266"/>
        <v>54.8</v>
      </c>
      <c r="BJ447" s="33">
        <f t="shared" si="277"/>
        <v>100</v>
      </c>
      <c r="BK447" s="33">
        <f t="shared" si="277"/>
        <v>1079</v>
      </c>
    </row>
    <row r="448" spans="1:64" x14ac:dyDescent="0.25">
      <c r="A448" s="603"/>
      <c r="B448" s="155" t="s">
        <v>1351</v>
      </c>
      <c r="C448" s="155"/>
      <c r="D448" s="2" t="s">
        <v>1352</v>
      </c>
      <c r="E448" s="1"/>
      <c r="F448" s="1"/>
      <c r="G448" s="1"/>
      <c r="H448" s="1"/>
      <c r="I448" s="1"/>
      <c r="J448" s="1"/>
      <c r="K448" s="1"/>
      <c r="L448" s="1"/>
      <c r="M448" s="1"/>
      <c r="N448" s="1"/>
      <c r="O448" s="1"/>
      <c r="P448" s="22"/>
      <c r="Q448" s="22"/>
      <c r="R448" s="1"/>
      <c r="S448" s="1"/>
      <c r="T448" s="1"/>
      <c r="U448" s="49"/>
      <c r="V448" s="49"/>
      <c r="W448" s="49"/>
      <c r="X448" s="49"/>
      <c r="Y448" s="34">
        <f t="shared" ref="Y448:AE448" si="290">SUM(Y449:Y478)</f>
        <v>73.5</v>
      </c>
      <c r="Z448" s="34">
        <f t="shared" si="290"/>
        <v>108</v>
      </c>
      <c r="AA448" s="34">
        <f t="shared" si="290"/>
        <v>11.7</v>
      </c>
      <c r="AB448" s="34">
        <f t="shared" si="290"/>
        <v>0</v>
      </c>
      <c r="AC448" s="34">
        <f t="shared" si="290"/>
        <v>0</v>
      </c>
      <c r="AD448" s="34">
        <f t="shared" si="290"/>
        <v>54.8</v>
      </c>
      <c r="AE448" s="34">
        <f t="shared" si="290"/>
        <v>0</v>
      </c>
      <c r="AF448" s="34">
        <f t="shared" si="283"/>
        <v>248</v>
      </c>
      <c r="AG448" s="34">
        <f t="shared" ref="AG448:AL448" si="291">SUM(AG449:AG478)</f>
        <v>120</v>
      </c>
      <c r="AH448" s="34">
        <f t="shared" si="291"/>
        <v>112</v>
      </c>
      <c r="AI448" s="34">
        <f t="shared" si="291"/>
        <v>12</v>
      </c>
      <c r="AJ448" s="34">
        <f t="shared" si="291"/>
        <v>0</v>
      </c>
      <c r="AK448" s="34">
        <f t="shared" si="291"/>
        <v>0</v>
      </c>
      <c r="AL448" s="34">
        <f t="shared" si="291"/>
        <v>100</v>
      </c>
      <c r="AM448" s="34">
        <f t="shared" si="285"/>
        <v>344</v>
      </c>
      <c r="AN448" s="34">
        <f t="shared" ref="AN448:AT448" si="292">SUM(AN449:AN478)</f>
        <v>97</v>
      </c>
      <c r="AO448" s="34">
        <f t="shared" si="292"/>
        <v>116</v>
      </c>
      <c r="AP448" s="34">
        <f t="shared" si="292"/>
        <v>12</v>
      </c>
      <c r="AQ448" s="34">
        <f t="shared" si="292"/>
        <v>0</v>
      </c>
      <c r="AR448" s="34">
        <f t="shared" si="292"/>
        <v>0</v>
      </c>
      <c r="AS448" s="34">
        <f t="shared" si="292"/>
        <v>0</v>
      </c>
      <c r="AT448" s="34">
        <f t="shared" si="292"/>
        <v>0</v>
      </c>
      <c r="AU448" s="34">
        <f t="shared" si="287"/>
        <v>225</v>
      </c>
      <c r="AV448" s="34">
        <f t="shared" ref="AV448:BB448" si="293">SUM(AV449:AV478)</f>
        <v>150</v>
      </c>
      <c r="AW448" s="34">
        <f t="shared" si="293"/>
        <v>100</v>
      </c>
      <c r="AX448" s="34">
        <f t="shared" si="293"/>
        <v>12</v>
      </c>
      <c r="AY448" s="34">
        <f t="shared" si="293"/>
        <v>0</v>
      </c>
      <c r="AZ448" s="34">
        <f t="shared" si="293"/>
        <v>0</v>
      </c>
      <c r="BA448" s="34">
        <f t="shared" si="293"/>
        <v>0</v>
      </c>
      <c r="BB448" s="34">
        <f t="shared" si="293"/>
        <v>0</v>
      </c>
      <c r="BC448" s="34">
        <f t="shared" si="289"/>
        <v>262</v>
      </c>
      <c r="BD448" s="34">
        <f t="shared" si="276"/>
        <v>440.5</v>
      </c>
      <c r="BE448" s="34">
        <f t="shared" si="276"/>
        <v>436</v>
      </c>
      <c r="BF448" s="34">
        <f t="shared" si="276"/>
        <v>47.7</v>
      </c>
      <c r="BG448" s="34">
        <f t="shared" si="276"/>
        <v>0</v>
      </c>
      <c r="BH448" s="34">
        <f t="shared" si="276"/>
        <v>0</v>
      </c>
      <c r="BI448" s="34">
        <f t="shared" si="266"/>
        <v>54.8</v>
      </c>
      <c r="BJ448" s="34">
        <f t="shared" si="277"/>
        <v>100</v>
      </c>
      <c r="BK448" s="34">
        <f t="shared" si="277"/>
        <v>1079</v>
      </c>
    </row>
    <row r="449" spans="1:63" ht="50.25" customHeight="1" x14ac:dyDescent="0.25">
      <c r="A449" s="298" t="s">
        <v>1353</v>
      </c>
      <c r="B449" s="299" t="s">
        <v>1351</v>
      </c>
      <c r="C449" s="1546" t="s">
        <v>1354</v>
      </c>
      <c r="D449" s="1550" t="s">
        <v>1355</v>
      </c>
      <c r="E449" s="1550" t="s">
        <v>1356</v>
      </c>
      <c r="F449" s="1550">
        <v>2015</v>
      </c>
      <c r="G449" s="1550">
        <v>12676</v>
      </c>
      <c r="H449" s="1550">
        <v>14000</v>
      </c>
      <c r="I449" s="1428"/>
      <c r="J449" s="1428"/>
      <c r="K449" s="1428" t="s">
        <v>1357</v>
      </c>
      <c r="L449" s="301" t="s">
        <v>1358</v>
      </c>
      <c r="M449" s="1425" t="s">
        <v>902</v>
      </c>
      <c r="N449" s="476" t="s">
        <v>903</v>
      </c>
      <c r="O449" s="1425" t="s">
        <v>47</v>
      </c>
      <c r="P449" s="16" t="s">
        <v>1359</v>
      </c>
      <c r="Q449" s="302" t="s">
        <v>1360</v>
      </c>
      <c r="R449" s="303">
        <v>2015</v>
      </c>
      <c r="S449" s="303">
        <v>195</v>
      </c>
      <c r="T449" s="303">
        <v>10</v>
      </c>
      <c r="U449" s="572">
        <v>20</v>
      </c>
      <c r="V449" s="572">
        <v>30</v>
      </c>
      <c r="W449" s="572">
        <v>44</v>
      </c>
      <c r="X449" s="572">
        <v>44</v>
      </c>
      <c r="Y449" s="481"/>
      <c r="Z449" s="481"/>
      <c r="AA449" s="481"/>
      <c r="AB449" s="481"/>
      <c r="AC449" s="481"/>
      <c r="AD449" s="481"/>
      <c r="AE449" s="481"/>
      <c r="AF449" s="481">
        <f t="shared" si="283"/>
        <v>0</v>
      </c>
      <c r="AG449" s="548"/>
      <c r="AH449" s="548"/>
      <c r="AI449" s="548"/>
      <c r="AJ449" s="548"/>
      <c r="AK449" s="548"/>
      <c r="AL449" s="548"/>
      <c r="AM449" s="548">
        <f t="shared" si="285"/>
        <v>0</v>
      </c>
      <c r="AN449" s="481"/>
      <c r="AO449" s="481"/>
      <c r="AP449" s="481"/>
      <c r="AQ449" s="481"/>
      <c r="AR449" s="481"/>
      <c r="AS449" s="481"/>
      <c r="AT449" s="481"/>
      <c r="AU449" s="481">
        <f t="shared" si="287"/>
        <v>0</v>
      </c>
      <c r="AV449" s="548"/>
      <c r="AW449" s="548"/>
      <c r="AX449" s="548"/>
      <c r="AY449" s="548"/>
      <c r="AZ449" s="548"/>
      <c r="BA449" s="548"/>
      <c r="BB449" s="548"/>
      <c r="BC449" s="548">
        <f t="shared" si="289"/>
        <v>0</v>
      </c>
      <c r="BD449" s="42">
        <f t="shared" si="276"/>
        <v>0</v>
      </c>
      <c r="BE449" s="42">
        <f t="shared" si="276"/>
        <v>0</v>
      </c>
      <c r="BF449" s="42">
        <f t="shared" si="276"/>
        <v>0</v>
      </c>
      <c r="BG449" s="42">
        <f t="shared" si="276"/>
        <v>0</v>
      </c>
      <c r="BH449" s="42">
        <f t="shared" si="276"/>
        <v>0</v>
      </c>
      <c r="BI449" s="42">
        <f t="shared" si="266"/>
        <v>0</v>
      </c>
      <c r="BJ449" s="42">
        <f t="shared" si="277"/>
        <v>0</v>
      </c>
      <c r="BK449" s="42">
        <f t="shared" si="277"/>
        <v>0</v>
      </c>
    </row>
    <row r="450" spans="1:63" ht="79.5" customHeight="1" x14ac:dyDescent="0.25">
      <c r="A450" s="298" t="s">
        <v>1353</v>
      </c>
      <c r="B450" s="299" t="s">
        <v>1351</v>
      </c>
      <c r="C450" s="1547"/>
      <c r="D450" s="1551"/>
      <c r="E450" s="1551"/>
      <c r="F450" s="1551"/>
      <c r="G450" s="1551"/>
      <c r="H450" s="1551"/>
      <c r="I450" s="1425" t="s">
        <v>53</v>
      </c>
      <c r="J450" s="1425"/>
      <c r="K450" s="1428" t="s">
        <v>1361</v>
      </c>
      <c r="L450" s="301" t="s">
        <v>1358</v>
      </c>
      <c r="M450" s="1425" t="s">
        <v>902</v>
      </c>
      <c r="N450" s="476" t="s">
        <v>903</v>
      </c>
      <c r="O450" s="1425" t="s">
        <v>47</v>
      </c>
      <c r="P450" s="16" t="s">
        <v>1362</v>
      </c>
      <c r="Q450" s="302" t="s">
        <v>1363</v>
      </c>
      <c r="R450" s="303">
        <v>2015</v>
      </c>
      <c r="S450" s="303">
        <v>0</v>
      </c>
      <c r="T450" s="303">
        <v>3</v>
      </c>
      <c r="U450" s="572">
        <v>6</v>
      </c>
      <c r="V450" s="572">
        <v>9</v>
      </c>
      <c r="W450" s="572">
        <v>12</v>
      </c>
      <c r="X450" s="572">
        <v>12</v>
      </c>
      <c r="Y450" s="481"/>
      <c r="Z450" s="481">
        <v>24</v>
      </c>
      <c r="AA450" s="481"/>
      <c r="AB450" s="481"/>
      <c r="AC450" s="481"/>
      <c r="AD450" s="481"/>
      <c r="AE450" s="481"/>
      <c r="AF450" s="481">
        <f t="shared" si="283"/>
        <v>24</v>
      </c>
      <c r="AG450" s="548"/>
      <c r="AH450" s="491">
        <v>22</v>
      </c>
      <c r="AI450" s="548"/>
      <c r="AJ450" s="548"/>
      <c r="AK450" s="548"/>
      <c r="AL450" s="548"/>
      <c r="AM450" s="548">
        <f t="shared" si="285"/>
        <v>22</v>
      </c>
      <c r="AN450" s="481"/>
      <c r="AO450" s="491">
        <v>20</v>
      </c>
      <c r="AP450" s="481"/>
      <c r="AQ450" s="481"/>
      <c r="AR450" s="481"/>
      <c r="AS450" s="481"/>
      <c r="AT450" s="481"/>
      <c r="AU450" s="481">
        <f t="shared" si="287"/>
        <v>20</v>
      </c>
      <c r="AV450" s="548"/>
      <c r="AW450" s="548">
        <v>30</v>
      </c>
      <c r="AX450" s="548"/>
      <c r="AY450" s="548"/>
      <c r="AZ450" s="548"/>
      <c r="BA450" s="548"/>
      <c r="BB450" s="548"/>
      <c r="BC450" s="548">
        <f t="shared" si="289"/>
        <v>30</v>
      </c>
      <c r="BD450" s="42">
        <f t="shared" si="276"/>
        <v>0</v>
      </c>
      <c r="BE450" s="42">
        <f t="shared" si="276"/>
        <v>96</v>
      </c>
      <c r="BF450" s="42">
        <f t="shared" si="276"/>
        <v>0</v>
      </c>
      <c r="BG450" s="42">
        <f t="shared" si="276"/>
        <v>0</v>
      </c>
      <c r="BH450" s="42">
        <f t="shared" si="276"/>
        <v>0</v>
      </c>
      <c r="BI450" s="42">
        <f t="shared" si="266"/>
        <v>0</v>
      </c>
      <c r="BJ450" s="42">
        <f t="shared" si="277"/>
        <v>0</v>
      </c>
      <c r="BK450" s="42">
        <f t="shared" si="277"/>
        <v>96</v>
      </c>
    </row>
    <row r="451" spans="1:63" ht="90" customHeight="1" x14ac:dyDescent="0.25">
      <c r="A451" s="298" t="s">
        <v>1353</v>
      </c>
      <c r="B451" s="299" t="s">
        <v>1351</v>
      </c>
      <c r="C451" s="1547"/>
      <c r="D451" s="1551"/>
      <c r="E451" s="1551"/>
      <c r="F451" s="1551"/>
      <c r="G451" s="1551"/>
      <c r="H451" s="1551"/>
      <c r="I451" s="1425"/>
      <c r="J451" s="1425"/>
      <c r="K451" s="1428" t="s">
        <v>1364</v>
      </c>
      <c r="L451" s="301" t="s">
        <v>1358</v>
      </c>
      <c r="M451" s="1425" t="s">
        <v>902</v>
      </c>
      <c r="N451" s="476" t="s">
        <v>903</v>
      </c>
      <c r="O451" s="1425" t="s">
        <v>47</v>
      </c>
      <c r="P451" s="16" t="s">
        <v>1365</v>
      </c>
      <c r="Q451" s="302" t="s">
        <v>1366</v>
      </c>
      <c r="R451" s="303">
        <v>2015</v>
      </c>
      <c r="S451" s="303">
        <v>0</v>
      </c>
      <c r="T451" s="303">
        <v>0</v>
      </c>
      <c r="U451" s="572">
        <v>1</v>
      </c>
      <c r="V451" s="572">
        <v>2</v>
      </c>
      <c r="W451" s="572">
        <v>3</v>
      </c>
      <c r="X451" s="572">
        <v>3</v>
      </c>
      <c r="Y451" s="481"/>
      <c r="Z451" s="481"/>
      <c r="AA451" s="481"/>
      <c r="AB451" s="481"/>
      <c r="AC451" s="481"/>
      <c r="AD451" s="481"/>
      <c r="AE451" s="481"/>
      <c r="AF451" s="481">
        <f t="shared" si="283"/>
        <v>0</v>
      </c>
      <c r="AG451" s="548">
        <v>3</v>
      </c>
      <c r="AH451" s="548"/>
      <c r="AI451" s="548"/>
      <c r="AJ451" s="548"/>
      <c r="AK451" s="548"/>
      <c r="AL451" s="548"/>
      <c r="AM451" s="548">
        <f t="shared" si="285"/>
        <v>3</v>
      </c>
      <c r="AN451" s="481">
        <v>3</v>
      </c>
      <c r="AO451" s="481"/>
      <c r="AP451" s="481"/>
      <c r="AQ451" s="481"/>
      <c r="AR451" s="481"/>
      <c r="AS451" s="481"/>
      <c r="AT451" s="481"/>
      <c r="AU451" s="481">
        <f t="shared" si="287"/>
        <v>3</v>
      </c>
      <c r="AV451" s="548">
        <v>3</v>
      </c>
      <c r="AW451" s="548"/>
      <c r="AX451" s="548"/>
      <c r="AY451" s="548"/>
      <c r="AZ451" s="548"/>
      <c r="BA451" s="548"/>
      <c r="BB451" s="548"/>
      <c r="BC451" s="548">
        <f t="shared" si="289"/>
        <v>3</v>
      </c>
      <c r="BD451" s="42">
        <f t="shared" si="276"/>
        <v>9</v>
      </c>
      <c r="BE451" s="42">
        <f t="shared" si="276"/>
        <v>0</v>
      </c>
      <c r="BF451" s="42">
        <f t="shared" si="276"/>
        <v>0</v>
      </c>
      <c r="BG451" s="42">
        <f t="shared" si="276"/>
        <v>0</v>
      </c>
      <c r="BH451" s="42">
        <f t="shared" si="276"/>
        <v>0</v>
      </c>
      <c r="BI451" s="42">
        <f t="shared" si="266"/>
        <v>0</v>
      </c>
      <c r="BJ451" s="42">
        <f t="shared" si="277"/>
        <v>0</v>
      </c>
      <c r="BK451" s="42">
        <f t="shared" si="277"/>
        <v>9</v>
      </c>
    </row>
    <row r="452" spans="1:63" ht="47.25" customHeight="1" x14ac:dyDescent="0.25">
      <c r="A452" s="298" t="s">
        <v>1353</v>
      </c>
      <c r="B452" s="299" t="s">
        <v>1351</v>
      </c>
      <c r="C452" s="1547"/>
      <c r="D452" s="1551"/>
      <c r="E452" s="1551"/>
      <c r="F452" s="1551"/>
      <c r="G452" s="1551"/>
      <c r="H452" s="1551"/>
      <c r="I452" s="1425"/>
      <c r="J452" s="1425"/>
      <c r="K452" s="1428" t="s">
        <v>1367</v>
      </c>
      <c r="L452" s="301" t="s">
        <v>1358</v>
      </c>
      <c r="M452" s="1425" t="s">
        <v>902</v>
      </c>
      <c r="N452" s="476" t="s">
        <v>903</v>
      </c>
      <c r="O452" s="1425" t="s">
        <v>47</v>
      </c>
      <c r="P452" s="16" t="s">
        <v>1368</v>
      </c>
      <c r="Q452" s="302" t="s">
        <v>1369</v>
      </c>
      <c r="R452" s="303">
        <v>2015</v>
      </c>
      <c r="S452" s="303">
        <v>0</v>
      </c>
      <c r="T452" s="303">
        <v>0</v>
      </c>
      <c r="U452" s="572">
        <v>0</v>
      </c>
      <c r="V452" s="572">
        <v>1</v>
      </c>
      <c r="W452" s="572">
        <v>1</v>
      </c>
      <c r="X452" s="572">
        <v>1</v>
      </c>
      <c r="Y452" s="481"/>
      <c r="Z452" s="481"/>
      <c r="AA452" s="481"/>
      <c r="AB452" s="481"/>
      <c r="AC452" s="481"/>
      <c r="AD452" s="481"/>
      <c r="AE452" s="481"/>
      <c r="AF452" s="481">
        <f t="shared" si="283"/>
        <v>0</v>
      </c>
      <c r="AG452" s="548"/>
      <c r="AH452" s="548"/>
      <c r="AI452" s="548"/>
      <c r="AJ452" s="548"/>
      <c r="AK452" s="548"/>
      <c r="AL452" s="548"/>
      <c r="AM452" s="548">
        <f t="shared" si="285"/>
        <v>0</v>
      </c>
      <c r="AN452" s="481"/>
      <c r="AO452" s="481">
        <v>4</v>
      </c>
      <c r="AP452" s="481"/>
      <c r="AQ452" s="481"/>
      <c r="AR452" s="481"/>
      <c r="AS452" s="481"/>
      <c r="AT452" s="481"/>
      <c r="AU452" s="481">
        <f t="shared" si="287"/>
        <v>4</v>
      </c>
      <c r="AV452" s="491">
        <v>2</v>
      </c>
      <c r="AW452" s="548"/>
      <c r="AX452" s="548"/>
      <c r="AY452" s="548"/>
      <c r="AZ452" s="548"/>
      <c r="BA452" s="548"/>
      <c r="BB452" s="548"/>
      <c r="BC452" s="548">
        <f t="shared" si="289"/>
        <v>2</v>
      </c>
      <c r="BD452" s="42">
        <f t="shared" si="276"/>
        <v>2</v>
      </c>
      <c r="BE452" s="42">
        <f t="shared" si="276"/>
        <v>4</v>
      </c>
      <c r="BF452" s="42">
        <f t="shared" si="276"/>
        <v>0</v>
      </c>
      <c r="BG452" s="42">
        <f t="shared" si="276"/>
        <v>0</v>
      </c>
      <c r="BH452" s="42">
        <f t="shared" si="276"/>
        <v>0</v>
      </c>
      <c r="BI452" s="42">
        <f t="shared" si="266"/>
        <v>0</v>
      </c>
      <c r="BJ452" s="42">
        <f t="shared" si="277"/>
        <v>0</v>
      </c>
      <c r="BK452" s="42">
        <f t="shared" si="277"/>
        <v>6</v>
      </c>
    </row>
    <row r="453" spans="1:63" ht="69.75" customHeight="1" x14ac:dyDescent="0.25">
      <c r="A453" s="298" t="s">
        <v>1353</v>
      </c>
      <c r="B453" s="299" t="s">
        <v>1351</v>
      </c>
      <c r="C453" s="1547"/>
      <c r="D453" s="1551"/>
      <c r="E453" s="1551"/>
      <c r="F453" s="1551"/>
      <c r="G453" s="1551"/>
      <c r="H453" s="1551"/>
      <c r="I453" s="1425"/>
      <c r="J453" s="1425"/>
      <c r="K453" s="1428" t="s">
        <v>1370</v>
      </c>
      <c r="L453" s="301" t="s">
        <v>1358</v>
      </c>
      <c r="M453" s="1425" t="s">
        <v>902</v>
      </c>
      <c r="N453" s="476" t="s">
        <v>903</v>
      </c>
      <c r="O453" s="1425" t="s">
        <v>47</v>
      </c>
      <c r="P453" s="16" t="s">
        <v>1371</v>
      </c>
      <c r="Q453" s="302" t="s">
        <v>1372</v>
      </c>
      <c r="R453" s="303">
        <v>2015</v>
      </c>
      <c r="S453" s="303">
        <v>0</v>
      </c>
      <c r="T453" s="303">
        <v>3000</v>
      </c>
      <c r="U453" s="572">
        <v>6000</v>
      </c>
      <c r="V453" s="572">
        <v>9000</v>
      </c>
      <c r="W453" s="572">
        <v>12000</v>
      </c>
      <c r="X453" s="572">
        <v>12000</v>
      </c>
      <c r="Y453" s="481">
        <v>10</v>
      </c>
      <c r="Z453" s="482"/>
      <c r="AA453" s="481"/>
      <c r="AB453" s="481"/>
      <c r="AC453" s="481"/>
      <c r="AD453" s="481">
        <v>10</v>
      </c>
      <c r="AE453" s="481"/>
      <c r="AF453" s="481">
        <f t="shared" si="283"/>
        <v>20</v>
      </c>
      <c r="AG453" s="491">
        <v>5</v>
      </c>
      <c r="AH453" s="548">
        <v>10</v>
      </c>
      <c r="AI453" s="548"/>
      <c r="AJ453" s="548"/>
      <c r="AK453" s="548"/>
      <c r="AL453" s="548"/>
      <c r="AM453" s="548">
        <f t="shared" si="285"/>
        <v>15</v>
      </c>
      <c r="AN453" s="491">
        <v>5</v>
      </c>
      <c r="AO453" s="481">
        <v>10</v>
      </c>
      <c r="AP453" s="481"/>
      <c r="AQ453" s="481"/>
      <c r="AR453" s="481"/>
      <c r="AS453" s="481"/>
      <c r="AT453" s="481"/>
      <c r="AU453" s="481">
        <f t="shared" si="287"/>
        <v>15</v>
      </c>
      <c r="AV453" s="548">
        <v>10</v>
      </c>
      <c r="AW453" s="548">
        <v>10</v>
      </c>
      <c r="AX453" s="548"/>
      <c r="AY453" s="548"/>
      <c r="AZ453" s="548"/>
      <c r="BA453" s="548"/>
      <c r="BB453" s="548"/>
      <c r="BC453" s="548">
        <f t="shared" si="289"/>
        <v>20</v>
      </c>
      <c r="BD453" s="42">
        <f t="shared" si="276"/>
        <v>30</v>
      </c>
      <c r="BE453" s="42">
        <f t="shared" si="276"/>
        <v>30</v>
      </c>
      <c r="BF453" s="42">
        <f t="shared" si="276"/>
        <v>0</v>
      </c>
      <c r="BG453" s="42">
        <f t="shared" si="276"/>
        <v>0</v>
      </c>
      <c r="BH453" s="42">
        <f t="shared" si="276"/>
        <v>0</v>
      </c>
      <c r="BI453" s="42">
        <f t="shared" si="266"/>
        <v>10</v>
      </c>
      <c r="BJ453" s="42">
        <f t="shared" si="277"/>
        <v>0</v>
      </c>
      <c r="BK453" s="42">
        <f t="shared" si="277"/>
        <v>70</v>
      </c>
    </row>
    <row r="454" spans="1:63" ht="59.25" customHeight="1" x14ac:dyDescent="0.25">
      <c r="A454" s="298" t="s">
        <v>1353</v>
      </c>
      <c r="B454" s="299" t="s">
        <v>1351</v>
      </c>
      <c r="C454" s="1547"/>
      <c r="D454" s="1551"/>
      <c r="E454" s="1551"/>
      <c r="F454" s="1551"/>
      <c r="G454" s="1551"/>
      <c r="H454" s="1551"/>
      <c r="I454" s="1425"/>
      <c r="J454" s="1425"/>
      <c r="K454" s="1428" t="s">
        <v>1373</v>
      </c>
      <c r="L454" s="301" t="s">
        <v>1358</v>
      </c>
      <c r="M454" s="1425" t="s">
        <v>902</v>
      </c>
      <c r="N454" s="476" t="s">
        <v>903</v>
      </c>
      <c r="O454" s="1425" t="s">
        <v>47</v>
      </c>
      <c r="P454" s="16" t="s">
        <v>1374</v>
      </c>
      <c r="Q454" s="302" t="s">
        <v>1375</v>
      </c>
      <c r="R454" s="303">
        <v>2015</v>
      </c>
      <c r="S454" s="303">
        <v>0</v>
      </c>
      <c r="T454" s="303">
        <v>10</v>
      </c>
      <c r="U454" s="572">
        <v>20</v>
      </c>
      <c r="V454" s="572">
        <v>30</v>
      </c>
      <c r="W454" s="572">
        <v>40</v>
      </c>
      <c r="X454" s="572">
        <v>40</v>
      </c>
      <c r="Y454" s="481">
        <v>4</v>
      </c>
      <c r="Z454" s="481">
        <v>5</v>
      </c>
      <c r="AA454" s="481"/>
      <c r="AB454" s="481"/>
      <c r="AC454" s="481"/>
      <c r="AD454" s="481"/>
      <c r="AE454" s="481"/>
      <c r="AF454" s="481">
        <f t="shared" si="283"/>
        <v>9</v>
      </c>
      <c r="AG454" s="548">
        <v>4</v>
      </c>
      <c r="AH454" s="548">
        <v>5</v>
      </c>
      <c r="AI454" s="548"/>
      <c r="AJ454" s="548"/>
      <c r="AK454" s="548"/>
      <c r="AL454" s="548"/>
      <c r="AM454" s="548">
        <f t="shared" si="285"/>
        <v>9</v>
      </c>
      <c r="AN454" s="481">
        <v>4</v>
      </c>
      <c r="AO454" s="481">
        <v>5</v>
      </c>
      <c r="AP454" s="481"/>
      <c r="AQ454" s="481"/>
      <c r="AR454" s="481"/>
      <c r="AS454" s="481"/>
      <c r="AT454" s="481"/>
      <c r="AU454" s="481">
        <f t="shared" si="287"/>
        <v>9</v>
      </c>
      <c r="AV454" s="548">
        <v>4</v>
      </c>
      <c r="AW454" s="548">
        <v>5</v>
      </c>
      <c r="AX454" s="548"/>
      <c r="AY454" s="548"/>
      <c r="AZ454" s="548"/>
      <c r="BA454" s="548"/>
      <c r="BB454" s="548"/>
      <c r="BC454" s="548">
        <f t="shared" si="289"/>
        <v>9</v>
      </c>
      <c r="BD454" s="42">
        <f t="shared" si="276"/>
        <v>16</v>
      </c>
      <c r="BE454" s="42">
        <f t="shared" si="276"/>
        <v>20</v>
      </c>
      <c r="BF454" s="42">
        <f t="shared" si="276"/>
        <v>0</v>
      </c>
      <c r="BG454" s="42">
        <f t="shared" si="276"/>
        <v>0</v>
      </c>
      <c r="BH454" s="42">
        <f t="shared" si="276"/>
        <v>0</v>
      </c>
      <c r="BI454" s="42">
        <f t="shared" si="266"/>
        <v>0</v>
      </c>
      <c r="BJ454" s="42">
        <f t="shared" si="277"/>
        <v>0</v>
      </c>
      <c r="BK454" s="42">
        <f t="shared" si="277"/>
        <v>36</v>
      </c>
    </row>
    <row r="455" spans="1:63" ht="79.5" customHeight="1" x14ac:dyDescent="0.25">
      <c r="A455" s="298" t="s">
        <v>1353</v>
      </c>
      <c r="B455" s="299" t="s">
        <v>1351</v>
      </c>
      <c r="C455" s="1547"/>
      <c r="D455" s="1551"/>
      <c r="E455" s="1551"/>
      <c r="F455" s="1551"/>
      <c r="G455" s="1551"/>
      <c r="H455" s="1551"/>
      <c r="I455" s="1425"/>
      <c r="J455" s="1425"/>
      <c r="K455" s="1428" t="s">
        <v>1376</v>
      </c>
      <c r="L455" s="301" t="s">
        <v>1358</v>
      </c>
      <c r="M455" s="1425" t="s">
        <v>902</v>
      </c>
      <c r="N455" s="476" t="s">
        <v>903</v>
      </c>
      <c r="O455" s="1425" t="s">
        <v>73</v>
      </c>
      <c r="P455" s="16" t="s">
        <v>1377</v>
      </c>
      <c r="Q455" s="302" t="s">
        <v>1378</v>
      </c>
      <c r="R455" s="303">
        <v>2015</v>
      </c>
      <c r="S455" s="303">
        <v>0</v>
      </c>
      <c r="T455" s="303">
        <v>4</v>
      </c>
      <c r="U455" s="572">
        <v>8</v>
      </c>
      <c r="V455" s="572">
        <v>12</v>
      </c>
      <c r="W455" s="572">
        <v>16</v>
      </c>
      <c r="X455" s="572">
        <v>16</v>
      </c>
      <c r="Y455" s="481"/>
      <c r="Z455" s="481">
        <v>5</v>
      </c>
      <c r="AA455" s="481"/>
      <c r="AB455" s="481"/>
      <c r="AC455" s="481"/>
      <c r="AD455" s="481"/>
      <c r="AE455" s="481"/>
      <c r="AF455" s="481">
        <f t="shared" si="283"/>
        <v>5</v>
      </c>
      <c r="AG455" s="548"/>
      <c r="AH455" s="548">
        <v>5</v>
      </c>
      <c r="AI455" s="548"/>
      <c r="AJ455" s="548"/>
      <c r="AK455" s="548"/>
      <c r="AL455" s="548"/>
      <c r="AM455" s="548">
        <f t="shared" si="285"/>
        <v>5</v>
      </c>
      <c r="AN455" s="481"/>
      <c r="AO455" s="481">
        <v>5</v>
      </c>
      <c r="AP455" s="481"/>
      <c r="AQ455" s="481"/>
      <c r="AR455" s="481"/>
      <c r="AS455" s="481"/>
      <c r="AT455" s="481"/>
      <c r="AU455" s="481">
        <f t="shared" si="287"/>
        <v>5</v>
      </c>
      <c r="AV455" s="548"/>
      <c r="AW455" s="548">
        <v>5</v>
      </c>
      <c r="AX455" s="548"/>
      <c r="AY455" s="548"/>
      <c r="AZ455" s="548"/>
      <c r="BA455" s="548"/>
      <c r="BB455" s="548"/>
      <c r="BC455" s="548">
        <f t="shared" si="289"/>
        <v>5</v>
      </c>
      <c r="BD455" s="42">
        <f t="shared" si="276"/>
        <v>0</v>
      </c>
      <c r="BE455" s="42">
        <f t="shared" si="276"/>
        <v>20</v>
      </c>
      <c r="BF455" s="42">
        <f t="shared" si="276"/>
        <v>0</v>
      </c>
      <c r="BG455" s="42">
        <f t="shared" si="276"/>
        <v>0</v>
      </c>
      <c r="BH455" s="42">
        <f t="shared" si="276"/>
        <v>0</v>
      </c>
      <c r="BI455" s="42">
        <f t="shared" si="266"/>
        <v>0</v>
      </c>
      <c r="BJ455" s="42">
        <f t="shared" si="277"/>
        <v>0</v>
      </c>
      <c r="BK455" s="42">
        <f t="shared" si="277"/>
        <v>20</v>
      </c>
    </row>
    <row r="456" spans="1:63" ht="68.25" customHeight="1" x14ac:dyDescent="0.25">
      <c r="A456" s="298" t="s">
        <v>1353</v>
      </c>
      <c r="B456" s="299" t="s">
        <v>1351</v>
      </c>
      <c r="C456" s="1547"/>
      <c r="D456" s="1551"/>
      <c r="E456" s="1551"/>
      <c r="F456" s="1551"/>
      <c r="G456" s="1551"/>
      <c r="H456" s="1551"/>
      <c r="I456" s="1425"/>
      <c r="J456" s="1425"/>
      <c r="K456" s="1428" t="s">
        <v>1379</v>
      </c>
      <c r="L456" s="301" t="s">
        <v>1358</v>
      </c>
      <c r="M456" s="1425" t="s">
        <v>902</v>
      </c>
      <c r="N456" s="476" t="s">
        <v>903</v>
      </c>
      <c r="O456" s="1425" t="s">
        <v>47</v>
      </c>
      <c r="P456" s="16" t="s">
        <v>1380</v>
      </c>
      <c r="Q456" s="302" t="s">
        <v>1381</v>
      </c>
      <c r="R456" s="303">
        <v>2015</v>
      </c>
      <c r="S456" s="303">
        <v>0</v>
      </c>
      <c r="T456" s="303">
        <v>0</v>
      </c>
      <c r="U456" s="572">
        <v>0</v>
      </c>
      <c r="V456" s="572">
        <v>10</v>
      </c>
      <c r="W456" s="572">
        <v>20</v>
      </c>
      <c r="X456" s="572">
        <v>20</v>
      </c>
      <c r="Y456" s="481"/>
      <c r="Z456" s="481"/>
      <c r="AA456" s="481"/>
      <c r="AB456" s="481"/>
      <c r="AC456" s="481"/>
      <c r="AD456" s="481"/>
      <c r="AE456" s="481"/>
      <c r="AF456" s="481">
        <f t="shared" si="283"/>
        <v>0</v>
      </c>
      <c r="AG456" s="548"/>
      <c r="AH456" s="548"/>
      <c r="AI456" s="548"/>
      <c r="AJ456" s="548"/>
      <c r="AK456" s="548"/>
      <c r="AL456" s="548"/>
      <c r="AM456" s="548">
        <f t="shared" si="285"/>
        <v>0</v>
      </c>
      <c r="AN456" s="481"/>
      <c r="AO456" s="481">
        <v>5</v>
      </c>
      <c r="AP456" s="481"/>
      <c r="AQ456" s="481"/>
      <c r="AR456" s="481"/>
      <c r="AS456" s="481"/>
      <c r="AT456" s="481"/>
      <c r="AU456" s="481">
        <f t="shared" si="287"/>
        <v>5</v>
      </c>
      <c r="AV456" s="548"/>
      <c r="AW456" s="548">
        <v>5</v>
      </c>
      <c r="AX456" s="548"/>
      <c r="AY456" s="548"/>
      <c r="AZ456" s="548"/>
      <c r="BA456" s="548"/>
      <c r="BB456" s="548"/>
      <c r="BC456" s="548">
        <f t="shared" si="289"/>
        <v>5</v>
      </c>
      <c r="BD456" s="42">
        <f t="shared" si="276"/>
        <v>0</v>
      </c>
      <c r="BE456" s="42">
        <f t="shared" si="276"/>
        <v>10</v>
      </c>
      <c r="BF456" s="42">
        <f t="shared" si="276"/>
        <v>0</v>
      </c>
      <c r="BG456" s="42">
        <f t="shared" si="276"/>
        <v>0</v>
      </c>
      <c r="BH456" s="42">
        <f t="shared" si="276"/>
        <v>0</v>
      </c>
      <c r="BI456" s="42">
        <f t="shared" si="266"/>
        <v>0</v>
      </c>
      <c r="BJ456" s="42">
        <f t="shared" si="277"/>
        <v>0</v>
      </c>
      <c r="BK456" s="42">
        <f t="shared" si="277"/>
        <v>10</v>
      </c>
    </row>
    <row r="457" spans="1:63" ht="73.5" customHeight="1" x14ac:dyDescent="0.25">
      <c r="A457" s="298" t="s">
        <v>1353</v>
      </c>
      <c r="B457" s="299" t="s">
        <v>1351</v>
      </c>
      <c r="C457" s="1547"/>
      <c r="D457" s="1551"/>
      <c r="E457" s="1551"/>
      <c r="F457" s="1551"/>
      <c r="G457" s="1551"/>
      <c r="H457" s="1551"/>
      <c r="I457" s="1425"/>
      <c r="J457" s="1425"/>
      <c r="K457" s="1428" t="s">
        <v>1382</v>
      </c>
      <c r="L457" s="301" t="s">
        <v>1358</v>
      </c>
      <c r="M457" s="1425" t="s">
        <v>902</v>
      </c>
      <c r="N457" s="476" t="s">
        <v>903</v>
      </c>
      <c r="O457" s="1425" t="s">
        <v>47</v>
      </c>
      <c r="P457" s="16" t="s">
        <v>1383</v>
      </c>
      <c r="Q457" s="302" t="s">
        <v>1384</v>
      </c>
      <c r="R457" s="303">
        <v>2015</v>
      </c>
      <c r="S457" s="303">
        <v>0</v>
      </c>
      <c r="T457" s="303">
        <v>0</v>
      </c>
      <c r="U457" s="572">
        <v>1</v>
      </c>
      <c r="V457" s="572">
        <v>1</v>
      </c>
      <c r="W457" s="572">
        <v>1</v>
      </c>
      <c r="X457" s="572">
        <v>1</v>
      </c>
      <c r="Y457" s="481"/>
      <c r="Z457" s="481"/>
      <c r="AA457" s="481"/>
      <c r="AB457" s="481"/>
      <c r="AC457" s="481"/>
      <c r="AD457" s="481"/>
      <c r="AE457" s="481"/>
      <c r="AF457" s="481">
        <f t="shared" si="283"/>
        <v>0</v>
      </c>
      <c r="AG457" s="548"/>
      <c r="AH457" s="548">
        <v>2</v>
      </c>
      <c r="AI457" s="548"/>
      <c r="AJ457" s="548"/>
      <c r="AK457" s="548"/>
      <c r="AL457" s="548"/>
      <c r="AM457" s="548">
        <f t="shared" si="285"/>
        <v>2</v>
      </c>
      <c r="AN457" s="481"/>
      <c r="AO457" s="481">
        <v>2</v>
      </c>
      <c r="AP457" s="481"/>
      <c r="AQ457" s="481"/>
      <c r="AR457" s="481"/>
      <c r="AS457" s="481"/>
      <c r="AT457" s="481"/>
      <c r="AU457" s="481">
        <f t="shared" si="287"/>
        <v>2</v>
      </c>
      <c r="AV457" s="548"/>
      <c r="AW457" s="548">
        <v>2</v>
      </c>
      <c r="AX457" s="548"/>
      <c r="AY457" s="548"/>
      <c r="AZ457" s="548"/>
      <c r="BA457" s="548"/>
      <c r="BB457" s="548"/>
      <c r="BC457" s="548">
        <f t="shared" si="289"/>
        <v>2</v>
      </c>
      <c r="BD457" s="42">
        <f t="shared" si="276"/>
        <v>0</v>
      </c>
      <c r="BE457" s="42">
        <f t="shared" si="276"/>
        <v>6</v>
      </c>
      <c r="BF457" s="42">
        <f t="shared" si="276"/>
        <v>0</v>
      </c>
      <c r="BG457" s="42">
        <f t="shared" si="276"/>
        <v>0</v>
      </c>
      <c r="BH457" s="42">
        <f t="shared" si="276"/>
        <v>0</v>
      </c>
      <c r="BI457" s="42">
        <f t="shared" si="266"/>
        <v>0</v>
      </c>
      <c r="BJ457" s="42">
        <f t="shared" si="277"/>
        <v>0</v>
      </c>
      <c r="BK457" s="42">
        <f t="shared" si="277"/>
        <v>6</v>
      </c>
    </row>
    <row r="458" spans="1:63" ht="67.5" customHeight="1" x14ac:dyDescent="0.25">
      <c r="A458" s="298" t="s">
        <v>1353</v>
      </c>
      <c r="B458" s="299" t="s">
        <v>1351</v>
      </c>
      <c r="C458" s="1547"/>
      <c r="D458" s="1551"/>
      <c r="E458" s="1551"/>
      <c r="F458" s="1551"/>
      <c r="G458" s="1551"/>
      <c r="H458" s="1551"/>
      <c r="I458" s="1425"/>
      <c r="J458" s="1425"/>
      <c r="K458" s="1428" t="s">
        <v>1385</v>
      </c>
      <c r="L458" s="301" t="s">
        <v>1358</v>
      </c>
      <c r="M458" s="1425" t="s">
        <v>902</v>
      </c>
      <c r="N458" s="476" t="s">
        <v>903</v>
      </c>
      <c r="O458" s="1425" t="s">
        <v>47</v>
      </c>
      <c r="P458" s="16" t="s">
        <v>1386</v>
      </c>
      <c r="Q458" s="302" t="s">
        <v>1387</v>
      </c>
      <c r="R458" s="303">
        <v>2015</v>
      </c>
      <c r="S458" s="303">
        <v>0</v>
      </c>
      <c r="T458" s="303">
        <v>1</v>
      </c>
      <c r="U458" s="572">
        <v>1</v>
      </c>
      <c r="V458" s="572">
        <v>1</v>
      </c>
      <c r="W458" s="572">
        <v>1</v>
      </c>
      <c r="X458" s="572">
        <v>4</v>
      </c>
      <c r="Y458" s="481"/>
      <c r="Z458" s="481">
        <v>2</v>
      </c>
      <c r="AA458" s="481"/>
      <c r="AB458" s="481"/>
      <c r="AC458" s="481"/>
      <c r="AD458" s="481"/>
      <c r="AE458" s="481"/>
      <c r="AF458" s="481">
        <f t="shared" si="283"/>
        <v>2</v>
      </c>
      <c r="AG458" s="548"/>
      <c r="AH458" s="548">
        <v>2</v>
      </c>
      <c r="AI458" s="548"/>
      <c r="AJ458" s="548"/>
      <c r="AK458" s="548"/>
      <c r="AL458" s="548"/>
      <c r="AM458" s="548">
        <f t="shared" si="285"/>
        <v>2</v>
      </c>
      <c r="AN458" s="481"/>
      <c r="AO458" s="481">
        <v>2</v>
      </c>
      <c r="AP458" s="481"/>
      <c r="AQ458" s="481"/>
      <c r="AR458" s="481"/>
      <c r="AS458" s="481"/>
      <c r="AT458" s="481"/>
      <c r="AU458" s="481">
        <f t="shared" si="287"/>
        <v>2</v>
      </c>
      <c r="AV458" s="548"/>
      <c r="AW458" s="548">
        <v>2</v>
      </c>
      <c r="AX458" s="548"/>
      <c r="AY458" s="548"/>
      <c r="AZ458" s="548"/>
      <c r="BA458" s="548"/>
      <c r="BB458" s="548"/>
      <c r="BC458" s="548">
        <f t="shared" si="289"/>
        <v>2</v>
      </c>
      <c r="BD458" s="42">
        <f t="shared" si="276"/>
        <v>0</v>
      </c>
      <c r="BE458" s="42">
        <f t="shared" si="276"/>
        <v>8</v>
      </c>
      <c r="BF458" s="42">
        <f t="shared" si="276"/>
        <v>0</v>
      </c>
      <c r="BG458" s="42">
        <f t="shared" si="276"/>
        <v>0</v>
      </c>
      <c r="BH458" s="42">
        <f t="shared" si="276"/>
        <v>0</v>
      </c>
      <c r="BI458" s="42">
        <f t="shared" si="266"/>
        <v>0</v>
      </c>
      <c r="BJ458" s="42">
        <f t="shared" si="277"/>
        <v>0</v>
      </c>
      <c r="BK458" s="42">
        <f t="shared" si="277"/>
        <v>8</v>
      </c>
    </row>
    <row r="459" spans="1:63" ht="54.75" customHeight="1" x14ac:dyDescent="0.25">
      <c r="A459" s="298" t="s">
        <v>1353</v>
      </c>
      <c r="B459" s="299" t="s">
        <v>1351</v>
      </c>
      <c r="C459" s="1547"/>
      <c r="D459" s="1551"/>
      <c r="E459" s="1551"/>
      <c r="F459" s="1551"/>
      <c r="G459" s="1551"/>
      <c r="H459" s="1551"/>
      <c r="I459" s="1425"/>
      <c r="J459" s="1425"/>
      <c r="K459" s="1428" t="s">
        <v>1388</v>
      </c>
      <c r="L459" s="301" t="s">
        <v>1358</v>
      </c>
      <c r="M459" s="1425" t="s">
        <v>902</v>
      </c>
      <c r="N459" s="476" t="s">
        <v>903</v>
      </c>
      <c r="O459" s="1425" t="s">
        <v>47</v>
      </c>
      <c r="P459" s="16" t="s">
        <v>1389</v>
      </c>
      <c r="Q459" s="302" t="s">
        <v>1390</v>
      </c>
      <c r="R459" s="303">
        <v>2015</v>
      </c>
      <c r="S459" s="303">
        <v>0</v>
      </c>
      <c r="T459" s="303">
        <v>0</v>
      </c>
      <c r="U459" s="572">
        <v>1</v>
      </c>
      <c r="V459" s="572">
        <v>1</v>
      </c>
      <c r="W459" s="572">
        <v>1</v>
      </c>
      <c r="X459" s="572">
        <v>1</v>
      </c>
      <c r="Y459" s="481"/>
      <c r="Z459" s="481"/>
      <c r="AA459" s="481"/>
      <c r="AB459" s="481"/>
      <c r="AC459" s="481"/>
      <c r="AD459" s="481"/>
      <c r="AE459" s="481"/>
      <c r="AF459" s="481">
        <f>SUBTOTAL(9,Y459:AE459)</f>
        <v>0</v>
      </c>
      <c r="AG459" s="491">
        <v>13</v>
      </c>
      <c r="AH459" s="548"/>
      <c r="AI459" s="491">
        <v>6</v>
      </c>
      <c r="AJ459" s="548"/>
      <c r="AK459" s="548"/>
      <c r="AL459" s="548"/>
      <c r="AM459" s="548">
        <f t="shared" si="285"/>
        <v>19</v>
      </c>
      <c r="AN459" s="481"/>
      <c r="AO459" s="481"/>
      <c r="AP459" s="481"/>
      <c r="AQ459" s="481"/>
      <c r="AR459" s="481"/>
      <c r="AS459" s="481"/>
      <c r="AT459" s="481"/>
      <c r="AU459" s="481">
        <v>0</v>
      </c>
      <c r="AV459" s="491">
        <v>4</v>
      </c>
      <c r="AW459" s="548"/>
      <c r="AX459" s="548"/>
      <c r="AY459" s="548"/>
      <c r="AZ459" s="548"/>
      <c r="BA459" s="548"/>
      <c r="BB459" s="548"/>
      <c r="BC459" s="548">
        <v>0</v>
      </c>
      <c r="BD459" s="42">
        <f>+AV459+AN459+AG459+Y459</f>
        <v>17</v>
      </c>
      <c r="BE459" s="42">
        <f>+AW459+AO459+AH459+Z459</f>
        <v>0</v>
      </c>
      <c r="BF459" s="42">
        <f>+AX459+AP459+AI459+AA459</f>
        <v>6</v>
      </c>
      <c r="BG459" s="42">
        <f>+AY459+AQ459+AJ459+AB459</f>
        <v>0</v>
      </c>
      <c r="BH459" s="42">
        <f>+AZ459+AR459+AK459+AC459</f>
        <v>0</v>
      </c>
      <c r="BI459" s="42">
        <f>+AD459+AS459+BA459</f>
        <v>0</v>
      </c>
      <c r="BJ459" s="42">
        <f>+BB459+AT459+AL459+AE459</f>
        <v>0</v>
      </c>
      <c r="BK459" s="42">
        <f>+BC459+AU459+AM459+AF459</f>
        <v>19</v>
      </c>
    </row>
    <row r="460" spans="1:63" ht="54" customHeight="1" x14ac:dyDescent="0.25">
      <c r="A460" s="298" t="s">
        <v>1353</v>
      </c>
      <c r="B460" s="299" t="s">
        <v>1351</v>
      </c>
      <c r="C460" s="1547"/>
      <c r="D460" s="1551"/>
      <c r="E460" s="1551"/>
      <c r="F460" s="1551"/>
      <c r="G460" s="1551"/>
      <c r="H460" s="1551"/>
      <c r="I460" s="1425"/>
      <c r="J460" s="1425"/>
      <c r="K460" s="1428" t="s">
        <v>1391</v>
      </c>
      <c r="L460" s="301" t="s">
        <v>1358</v>
      </c>
      <c r="M460" s="1425" t="s">
        <v>902</v>
      </c>
      <c r="N460" s="476" t="s">
        <v>903</v>
      </c>
      <c r="O460" s="1425" t="s">
        <v>47</v>
      </c>
      <c r="P460" s="16" t="s">
        <v>1392</v>
      </c>
      <c r="Q460" s="302" t="s">
        <v>1393</v>
      </c>
      <c r="R460" s="303">
        <v>2015</v>
      </c>
      <c r="S460" s="303">
        <v>0</v>
      </c>
      <c r="T460" s="303">
        <v>0</v>
      </c>
      <c r="U460" s="572">
        <v>0</v>
      </c>
      <c r="V460" s="572">
        <v>1</v>
      </c>
      <c r="W460" s="572">
        <v>1</v>
      </c>
      <c r="X460" s="572">
        <v>1</v>
      </c>
      <c r="Y460" s="481"/>
      <c r="Z460" s="481"/>
      <c r="AA460" s="481"/>
      <c r="AB460" s="481"/>
      <c r="AC460" s="481"/>
      <c r="AD460" s="481"/>
      <c r="AE460" s="481"/>
      <c r="AF460" s="481">
        <f t="shared" si="283"/>
        <v>0</v>
      </c>
      <c r="AG460" s="548"/>
      <c r="AH460" s="548"/>
      <c r="AI460" s="548"/>
      <c r="AJ460" s="548"/>
      <c r="AK460" s="548"/>
      <c r="AL460" s="548"/>
      <c r="AM460" s="548">
        <f t="shared" ref="AM460:AM473" si="294">SUM(AG460:AL460)</f>
        <v>0</v>
      </c>
      <c r="AN460" s="491">
        <v>15</v>
      </c>
      <c r="AO460" s="481"/>
      <c r="AP460" s="481"/>
      <c r="AQ460" s="481"/>
      <c r="AR460" s="481"/>
      <c r="AS460" s="481"/>
      <c r="AT460" s="481"/>
      <c r="AU460" s="481">
        <f t="shared" si="287"/>
        <v>15</v>
      </c>
      <c r="AV460" s="491">
        <v>5</v>
      </c>
      <c r="AW460" s="548"/>
      <c r="AX460" s="548"/>
      <c r="AY460" s="548"/>
      <c r="AZ460" s="548"/>
      <c r="BA460" s="548"/>
      <c r="BB460" s="548"/>
      <c r="BC460" s="548">
        <f t="shared" si="289"/>
        <v>5</v>
      </c>
      <c r="BD460" s="42">
        <f t="shared" si="276"/>
        <v>20</v>
      </c>
      <c r="BE460" s="42">
        <f t="shared" si="276"/>
        <v>0</v>
      </c>
      <c r="BF460" s="42">
        <f t="shared" si="276"/>
        <v>0</v>
      </c>
      <c r="BG460" s="42">
        <f t="shared" si="276"/>
        <v>0</v>
      </c>
      <c r="BH460" s="42">
        <f t="shared" si="276"/>
        <v>0</v>
      </c>
      <c r="BI460" s="42">
        <f t="shared" si="266"/>
        <v>0</v>
      </c>
      <c r="BJ460" s="42">
        <f t="shared" si="277"/>
        <v>0</v>
      </c>
      <c r="BK460" s="42">
        <f t="shared" si="277"/>
        <v>20</v>
      </c>
    </row>
    <row r="461" spans="1:63" ht="55.5" customHeight="1" x14ac:dyDescent="0.25">
      <c r="A461" s="298" t="s">
        <v>1353</v>
      </c>
      <c r="B461" s="299" t="s">
        <v>1351</v>
      </c>
      <c r="C461" s="1547"/>
      <c r="D461" s="1551"/>
      <c r="E461" s="1551"/>
      <c r="F461" s="1551"/>
      <c r="G461" s="1551"/>
      <c r="H461" s="1551"/>
      <c r="I461" s="1425"/>
      <c r="J461" s="1425"/>
      <c r="K461" s="1428" t="s">
        <v>1394</v>
      </c>
      <c r="L461" s="301" t="s">
        <v>1358</v>
      </c>
      <c r="M461" s="1425" t="s">
        <v>902</v>
      </c>
      <c r="N461" s="476" t="s">
        <v>903</v>
      </c>
      <c r="O461" s="1425" t="s">
        <v>47</v>
      </c>
      <c r="P461" s="16" t="s">
        <v>1395</v>
      </c>
      <c r="Q461" s="302" t="s">
        <v>337</v>
      </c>
      <c r="R461" s="303">
        <v>2015</v>
      </c>
      <c r="S461" s="303">
        <v>0</v>
      </c>
      <c r="T461" s="303">
        <v>2</v>
      </c>
      <c r="U461" s="572">
        <v>4</v>
      </c>
      <c r="V461" s="572">
        <v>6</v>
      </c>
      <c r="W461" s="572">
        <v>8</v>
      </c>
      <c r="X461" s="572">
        <v>8</v>
      </c>
      <c r="Y461" s="481"/>
      <c r="Z461" s="481">
        <v>5</v>
      </c>
      <c r="AA461" s="481"/>
      <c r="AB461" s="481"/>
      <c r="AC461" s="481"/>
      <c r="AD461" s="481"/>
      <c r="AE461" s="481"/>
      <c r="AF461" s="481">
        <f t="shared" si="283"/>
        <v>5</v>
      </c>
      <c r="AG461" s="548"/>
      <c r="AH461" s="548">
        <v>5</v>
      </c>
      <c r="AI461" s="548"/>
      <c r="AJ461" s="548"/>
      <c r="AK461" s="548"/>
      <c r="AL461" s="548"/>
      <c r="AM461" s="548">
        <f t="shared" si="294"/>
        <v>5</v>
      </c>
      <c r="AN461" s="481"/>
      <c r="AO461" s="481">
        <v>5</v>
      </c>
      <c r="AP461" s="481"/>
      <c r="AQ461" s="481"/>
      <c r="AR461" s="481"/>
      <c r="AS461" s="481"/>
      <c r="AT461" s="481"/>
      <c r="AU461" s="481">
        <f t="shared" si="287"/>
        <v>5</v>
      </c>
      <c r="AV461" s="548"/>
      <c r="AW461" s="548">
        <v>5</v>
      </c>
      <c r="AX461" s="548"/>
      <c r="AY461" s="548"/>
      <c r="AZ461" s="548"/>
      <c r="BA461" s="548"/>
      <c r="BB461" s="548"/>
      <c r="BC461" s="548">
        <f t="shared" si="289"/>
        <v>5</v>
      </c>
      <c r="BD461" s="42">
        <f t="shared" si="276"/>
        <v>0</v>
      </c>
      <c r="BE461" s="42">
        <f t="shared" si="276"/>
        <v>20</v>
      </c>
      <c r="BF461" s="42">
        <f t="shared" si="276"/>
        <v>0</v>
      </c>
      <c r="BG461" s="42">
        <f t="shared" si="276"/>
        <v>0</v>
      </c>
      <c r="BH461" s="42">
        <f t="shared" si="276"/>
        <v>0</v>
      </c>
      <c r="BI461" s="42">
        <f t="shared" si="266"/>
        <v>0</v>
      </c>
      <c r="BJ461" s="42">
        <f t="shared" si="277"/>
        <v>0</v>
      </c>
      <c r="BK461" s="42">
        <f t="shared" si="277"/>
        <v>20</v>
      </c>
    </row>
    <row r="462" spans="1:63" ht="55.5" customHeight="1" x14ac:dyDescent="0.25">
      <c r="A462" s="298" t="s">
        <v>1353</v>
      </c>
      <c r="B462" s="299" t="s">
        <v>1351</v>
      </c>
      <c r="C462" s="1547"/>
      <c r="D462" s="1551"/>
      <c r="E462" s="1551"/>
      <c r="F462" s="1551"/>
      <c r="G462" s="1551"/>
      <c r="H462" s="1551"/>
      <c r="I462" s="1425"/>
      <c r="J462" s="1425"/>
      <c r="K462" s="1428" t="s">
        <v>1396</v>
      </c>
      <c r="L462" s="301" t="s">
        <v>1358</v>
      </c>
      <c r="M462" s="1425" t="s">
        <v>902</v>
      </c>
      <c r="N462" s="476" t="s">
        <v>903</v>
      </c>
      <c r="O462" s="1425" t="s">
        <v>47</v>
      </c>
      <c r="P462" s="16" t="s">
        <v>1397</v>
      </c>
      <c r="Q462" s="302" t="s">
        <v>337</v>
      </c>
      <c r="R462" s="303">
        <v>2015</v>
      </c>
      <c r="S462" s="303">
        <v>0</v>
      </c>
      <c r="T462" s="303">
        <v>4</v>
      </c>
      <c r="U462" s="572">
        <v>8</v>
      </c>
      <c r="V462" s="572">
        <v>10</v>
      </c>
      <c r="W462" s="572">
        <v>10</v>
      </c>
      <c r="X462" s="572">
        <v>10</v>
      </c>
      <c r="Y462" s="481">
        <v>6</v>
      </c>
      <c r="Z462" s="481"/>
      <c r="AA462" s="481"/>
      <c r="AB462" s="481"/>
      <c r="AC462" s="481"/>
      <c r="AD462" s="481"/>
      <c r="AE462" s="481"/>
      <c r="AF462" s="481">
        <f t="shared" si="283"/>
        <v>6</v>
      </c>
      <c r="AG462" s="548">
        <v>3</v>
      </c>
      <c r="AH462" s="548">
        <v>3</v>
      </c>
      <c r="AI462" s="548"/>
      <c r="AJ462" s="548"/>
      <c r="AK462" s="548"/>
      <c r="AL462" s="548"/>
      <c r="AM462" s="548">
        <f t="shared" si="294"/>
        <v>6</v>
      </c>
      <c r="AN462" s="481">
        <v>3</v>
      </c>
      <c r="AO462" s="481">
        <v>3</v>
      </c>
      <c r="AP462" s="481"/>
      <c r="AQ462" s="481"/>
      <c r="AR462" s="481"/>
      <c r="AS462" s="481"/>
      <c r="AT462" s="481"/>
      <c r="AU462" s="481">
        <f t="shared" si="287"/>
        <v>6</v>
      </c>
      <c r="AV462" s="548">
        <v>3</v>
      </c>
      <c r="AW462" s="548">
        <v>3</v>
      </c>
      <c r="AX462" s="548"/>
      <c r="AY462" s="548"/>
      <c r="AZ462" s="548"/>
      <c r="BA462" s="548"/>
      <c r="BB462" s="548"/>
      <c r="BC462" s="548">
        <f t="shared" si="289"/>
        <v>6</v>
      </c>
      <c r="BD462" s="42">
        <f t="shared" si="276"/>
        <v>15</v>
      </c>
      <c r="BE462" s="42">
        <f t="shared" si="276"/>
        <v>9</v>
      </c>
      <c r="BF462" s="42">
        <f t="shared" si="276"/>
        <v>0</v>
      </c>
      <c r="BG462" s="42">
        <f t="shared" si="276"/>
        <v>0</v>
      </c>
      <c r="BH462" s="42">
        <f t="shared" si="276"/>
        <v>0</v>
      </c>
      <c r="BI462" s="42">
        <f t="shared" si="266"/>
        <v>0</v>
      </c>
      <c r="BJ462" s="42">
        <f t="shared" si="277"/>
        <v>0</v>
      </c>
      <c r="BK462" s="42">
        <f t="shared" si="277"/>
        <v>24</v>
      </c>
    </row>
    <row r="463" spans="1:63" ht="57" customHeight="1" x14ac:dyDescent="0.25">
      <c r="A463" s="298" t="s">
        <v>1353</v>
      </c>
      <c r="B463" s="299" t="s">
        <v>1351</v>
      </c>
      <c r="C463" s="1547"/>
      <c r="D463" s="1551"/>
      <c r="E463" s="1551"/>
      <c r="F463" s="1551"/>
      <c r="G463" s="1551"/>
      <c r="H463" s="1551"/>
      <c r="I463" s="1425"/>
      <c r="J463" s="1425"/>
      <c r="K463" s="1428" t="s">
        <v>1398</v>
      </c>
      <c r="L463" s="301" t="s">
        <v>1358</v>
      </c>
      <c r="M463" s="1425" t="s">
        <v>902</v>
      </c>
      <c r="N463" s="476" t="s">
        <v>903</v>
      </c>
      <c r="O463" s="1425" t="s">
        <v>47</v>
      </c>
      <c r="P463" s="16" t="s">
        <v>1399</v>
      </c>
      <c r="Q463" s="302" t="s">
        <v>957</v>
      </c>
      <c r="R463" s="303">
        <v>2015</v>
      </c>
      <c r="S463" s="303">
        <v>0</v>
      </c>
      <c r="T463" s="303">
        <v>1</v>
      </c>
      <c r="U463" s="572">
        <v>2</v>
      </c>
      <c r="V463" s="572">
        <v>3</v>
      </c>
      <c r="W463" s="572">
        <v>4</v>
      </c>
      <c r="X463" s="572">
        <v>4</v>
      </c>
      <c r="Y463" s="481"/>
      <c r="Z463" s="481"/>
      <c r="AA463" s="481"/>
      <c r="AB463" s="481"/>
      <c r="AC463" s="481"/>
      <c r="AD463" s="481"/>
      <c r="AE463" s="481"/>
      <c r="AF463" s="481">
        <f t="shared" si="283"/>
        <v>0</v>
      </c>
      <c r="AG463" s="548"/>
      <c r="AH463" s="548"/>
      <c r="AI463" s="548"/>
      <c r="AJ463" s="548"/>
      <c r="AK463" s="548"/>
      <c r="AL463" s="548"/>
      <c r="AM463" s="548">
        <f t="shared" si="294"/>
        <v>0</v>
      </c>
      <c r="AN463" s="481"/>
      <c r="AO463" s="481"/>
      <c r="AP463" s="481"/>
      <c r="AQ463" s="481"/>
      <c r="AR463" s="481"/>
      <c r="AS463" s="481"/>
      <c r="AT463" s="481"/>
      <c r="AU463" s="481">
        <f t="shared" si="287"/>
        <v>0</v>
      </c>
      <c r="AV463" s="491">
        <v>1</v>
      </c>
      <c r="AW463" s="548"/>
      <c r="AX463" s="548"/>
      <c r="AY463" s="548"/>
      <c r="AZ463" s="548"/>
      <c r="BA463" s="548"/>
      <c r="BB463" s="548"/>
      <c r="BC463" s="548">
        <f t="shared" si="289"/>
        <v>1</v>
      </c>
      <c r="BD463" s="42">
        <f t="shared" si="276"/>
        <v>1</v>
      </c>
      <c r="BE463" s="42">
        <f t="shared" si="276"/>
        <v>0</v>
      </c>
      <c r="BF463" s="42">
        <f t="shared" si="276"/>
        <v>0</v>
      </c>
      <c r="BG463" s="42">
        <f t="shared" si="276"/>
        <v>0</v>
      </c>
      <c r="BH463" s="42">
        <f t="shared" si="276"/>
        <v>0</v>
      </c>
      <c r="BI463" s="42">
        <f t="shared" si="266"/>
        <v>0</v>
      </c>
      <c r="BJ463" s="42">
        <f t="shared" si="277"/>
        <v>0</v>
      </c>
      <c r="BK463" s="42">
        <f t="shared" si="277"/>
        <v>1</v>
      </c>
    </row>
    <row r="464" spans="1:63" ht="65.25" customHeight="1" x14ac:dyDescent="0.25">
      <c r="A464" s="298" t="s">
        <v>1353</v>
      </c>
      <c r="B464" s="299" t="s">
        <v>1351</v>
      </c>
      <c r="C464" s="1547"/>
      <c r="D464" s="1551"/>
      <c r="E464" s="1551"/>
      <c r="F464" s="1551"/>
      <c r="G464" s="1551"/>
      <c r="H464" s="1551"/>
      <c r="I464" s="1425"/>
      <c r="J464" s="1425"/>
      <c r="K464" s="1428" t="s">
        <v>1400</v>
      </c>
      <c r="L464" s="301" t="s">
        <v>1358</v>
      </c>
      <c r="M464" s="1425" t="s">
        <v>902</v>
      </c>
      <c r="N464" s="476" t="s">
        <v>903</v>
      </c>
      <c r="O464" s="1425" t="s">
        <v>47</v>
      </c>
      <c r="P464" s="16" t="s">
        <v>1401</v>
      </c>
      <c r="Q464" s="302" t="s">
        <v>1402</v>
      </c>
      <c r="R464" s="303">
        <v>2015</v>
      </c>
      <c r="S464" s="303">
        <v>0</v>
      </c>
      <c r="T464" s="303">
        <v>0</v>
      </c>
      <c r="U464" s="572">
        <v>1</v>
      </c>
      <c r="V464" s="572">
        <v>1</v>
      </c>
      <c r="W464" s="572">
        <v>1</v>
      </c>
      <c r="X464" s="572">
        <v>1</v>
      </c>
      <c r="Y464" s="481"/>
      <c r="Z464" s="481"/>
      <c r="AA464" s="481"/>
      <c r="AB464" s="481"/>
      <c r="AC464" s="481"/>
      <c r="AD464" s="481"/>
      <c r="AE464" s="481"/>
      <c r="AF464" s="481">
        <f t="shared" si="283"/>
        <v>0</v>
      </c>
      <c r="AG464" s="548"/>
      <c r="AH464" s="548"/>
      <c r="AI464" s="548"/>
      <c r="AJ464" s="548"/>
      <c r="AK464" s="548"/>
      <c r="AL464" s="548"/>
      <c r="AM464" s="548">
        <f t="shared" si="294"/>
        <v>0</v>
      </c>
      <c r="AN464" s="481"/>
      <c r="AO464" s="481"/>
      <c r="AP464" s="481"/>
      <c r="AQ464" s="481"/>
      <c r="AR464" s="481"/>
      <c r="AS464" s="481"/>
      <c r="AT464" s="481"/>
      <c r="AU464" s="481">
        <f t="shared" si="287"/>
        <v>0</v>
      </c>
      <c r="AV464" s="491">
        <v>1</v>
      </c>
      <c r="AW464" s="548"/>
      <c r="AX464" s="548"/>
      <c r="AY464" s="548"/>
      <c r="AZ464" s="548"/>
      <c r="BA464" s="548"/>
      <c r="BB464" s="548"/>
      <c r="BC464" s="548">
        <f t="shared" si="289"/>
        <v>1</v>
      </c>
      <c r="BD464" s="42">
        <f t="shared" si="276"/>
        <v>1</v>
      </c>
      <c r="BE464" s="42">
        <f t="shared" si="276"/>
        <v>0</v>
      </c>
      <c r="BF464" s="42">
        <f t="shared" si="276"/>
        <v>0</v>
      </c>
      <c r="BG464" s="42">
        <f t="shared" si="276"/>
        <v>0</v>
      </c>
      <c r="BH464" s="42">
        <f t="shared" si="276"/>
        <v>0</v>
      </c>
      <c r="BI464" s="42">
        <f t="shared" si="266"/>
        <v>0</v>
      </c>
      <c r="BJ464" s="42">
        <f t="shared" si="277"/>
        <v>0</v>
      </c>
      <c r="BK464" s="42">
        <f t="shared" si="277"/>
        <v>1</v>
      </c>
    </row>
    <row r="465" spans="1:66" ht="56.25" customHeight="1" x14ac:dyDescent="0.25">
      <c r="A465" s="298" t="s">
        <v>1353</v>
      </c>
      <c r="B465" s="299" t="s">
        <v>1351</v>
      </c>
      <c r="C465" s="1547"/>
      <c r="D465" s="1551"/>
      <c r="E465" s="1551"/>
      <c r="F465" s="1551"/>
      <c r="G465" s="1551"/>
      <c r="H465" s="1551"/>
      <c r="I465" s="1425"/>
      <c r="J465" s="1425"/>
      <c r="K465" s="1428" t="s">
        <v>1403</v>
      </c>
      <c r="L465" s="301" t="s">
        <v>1358</v>
      </c>
      <c r="M465" s="1425" t="s">
        <v>902</v>
      </c>
      <c r="N465" s="476" t="s">
        <v>903</v>
      </c>
      <c r="O465" s="1425" t="s">
        <v>47</v>
      </c>
      <c r="P465" s="16" t="s">
        <v>1404</v>
      </c>
      <c r="Q465" s="302" t="s">
        <v>1405</v>
      </c>
      <c r="R465" s="303">
        <v>2015</v>
      </c>
      <c r="S465" s="303">
        <v>0</v>
      </c>
      <c r="T465" s="303">
        <v>0</v>
      </c>
      <c r="U465" s="572">
        <v>1</v>
      </c>
      <c r="V465" s="572">
        <v>1</v>
      </c>
      <c r="W465" s="572">
        <v>1</v>
      </c>
      <c r="X465" s="572">
        <v>1</v>
      </c>
      <c r="Y465" s="481"/>
      <c r="Z465" s="481"/>
      <c r="AA465" s="481"/>
      <c r="AB465" s="481"/>
      <c r="AC465" s="481"/>
      <c r="AD465" s="481"/>
      <c r="AE465" s="481"/>
      <c r="AF465" s="481">
        <f t="shared" si="283"/>
        <v>0</v>
      </c>
      <c r="AG465" s="548"/>
      <c r="AH465" s="548"/>
      <c r="AI465" s="491">
        <v>1</v>
      </c>
      <c r="AJ465" s="548"/>
      <c r="AK465" s="548"/>
      <c r="AL465" s="548"/>
      <c r="AM465" s="548">
        <f t="shared" si="294"/>
        <v>1</v>
      </c>
      <c r="AN465" s="481"/>
      <c r="AO465" s="481"/>
      <c r="AP465" s="481"/>
      <c r="AQ465" s="481"/>
      <c r="AR465" s="481"/>
      <c r="AS465" s="481"/>
      <c r="AT465" s="481"/>
      <c r="AU465" s="481">
        <f t="shared" si="287"/>
        <v>0</v>
      </c>
      <c r="AV465" s="491">
        <v>3</v>
      </c>
      <c r="AW465" s="548"/>
      <c r="AX465" s="548"/>
      <c r="AY465" s="548"/>
      <c r="AZ465" s="548"/>
      <c r="BA465" s="548"/>
      <c r="BB465" s="548"/>
      <c r="BC465" s="548">
        <f>SUM(AV465:BB465)</f>
        <v>3</v>
      </c>
      <c r="BD465" s="42">
        <f>+AV465+AN465+AG465+Y465</f>
        <v>3</v>
      </c>
      <c r="BE465" s="42">
        <f>+AW465+AO465+AH465+Z465</f>
        <v>0</v>
      </c>
      <c r="BF465" s="42">
        <f>+AX465+AP465+AI465+AA465</f>
        <v>1</v>
      </c>
      <c r="BG465" s="42">
        <f>+AY465+AQ465+AJ465+AB465</f>
        <v>0</v>
      </c>
      <c r="BH465" s="42">
        <f>+AZ465+AR465+AK465+AC465</f>
        <v>0</v>
      </c>
      <c r="BI465" s="42">
        <f>+AD465+AS465+BA465</f>
        <v>0</v>
      </c>
      <c r="BJ465" s="42">
        <f>+BB465+AT465+AL465+AE465</f>
        <v>0</v>
      </c>
      <c r="BK465" s="42">
        <f>+BC465+AU465+AM465+AF465</f>
        <v>4</v>
      </c>
    </row>
    <row r="466" spans="1:66" ht="66.75" customHeight="1" x14ac:dyDescent="0.25">
      <c r="A466" s="298" t="s">
        <v>1353</v>
      </c>
      <c r="B466" s="299" t="s">
        <v>1351</v>
      </c>
      <c r="C466" s="1547"/>
      <c r="D466" s="1551"/>
      <c r="E466" s="1551"/>
      <c r="F466" s="1551"/>
      <c r="G466" s="1551"/>
      <c r="H466" s="1551"/>
      <c r="I466" s="1425"/>
      <c r="J466" s="1425"/>
      <c r="K466" s="1428" t="s">
        <v>1406</v>
      </c>
      <c r="L466" s="301" t="s">
        <v>1358</v>
      </c>
      <c r="M466" s="1425" t="s">
        <v>902</v>
      </c>
      <c r="N466" s="476" t="s">
        <v>903</v>
      </c>
      <c r="O466" s="1425" t="s">
        <v>47</v>
      </c>
      <c r="P466" s="16" t="s">
        <v>1407</v>
      </c>
      <c r="Q466" s="302" t="s">
        <v>1408</v>
      </c>
      <c r="R466" s="303">
        <v>2015</v>
      </c>
      <c r="S466" s="303">
        <v>0</v>
      </c>
      <c r="T466" s="303">
        <v>0</v>
      </c>
      <c r="U466" s="572">
        <v>50</v>
      </c>
      <c r="V466" s="572">
        <v>100</v>
      </c>
      <c r="W466" s="572">
        <v>150</v>
      </c>
      <c r="X466" s="572">
        <v>150</v>
      </c>
      <c r="Y466" s="481"/>
      <c r="Z466" s="481"/>
      <c r="AA466" s="481"/>
      <c r="AB466" s="481"/>
      <c r="AC466" s="481"/>
      <c r="AD466" s="481"/>
      <c r="AE466" s="481"/>
      <c r="AF466" s="481">
        <f t="shared" si="283"/>
        <v>0</v>
      </c>
      <c r="AG466" s="491">
        <v>13</v>
      </c>
      <c r="AH466" s="548"/>
      <c r="AI466" s="548"/>
      <c r="AJ466" s="548"/>
      <c r="AK466" s="548"/>
      <c r="AL466" s="548">
        <v>100</v>
      </c>
      <c r="AM466" s="548">
        <f t="shared" si="294"/>
        <v>113</v>
      </c>
      <c r="AN466" s="491">
        <v>10</v>
      </c>
      <c r="AO466" s="481"/>
      <c r="AP466" s="481"/>
      <c r="AQ466" s="481"/>
      <c r="AR466" s="481"/>
      <c r="AS466" s="481"/>
      <c r="AT466" s="481"/>
      <c r="AU466" s="481">
        <f t="shared" si="287"/>
        <v>10</v>
      </c>
      <c r="AV466" s="548">
        <v>20</v>
      </c>
      <c r="AW466" s="548"/>
      <c r="AX466" s="548"/>
      <c r="AY466" s="548"/>
      <c r="AZ466" s="548"/>
      <c r="BA466" s="548"/>
      <c r="BB466" s="491"/>
      <c r="BC466" s="548">
        <f t="shared" si="289"/>
        <v>20</v>
      </c>
      <c r="BD466" s="42">
        <f t="shared" si="276"/>
        <v>43</v>
      </c>
      <c r="BE466" s="42">
        <f t="shared" si="276"/>
        <v>0</v>
      </c>
      <c r="BF466" s="42">
        <f t="shared" si="276"/>
        <v>0</v>
      </c>
      <c r="BG466" s="42">
        <f t="shared" si="276"/>
        <v>0</v>
      </c>
      <c r="BH466" s="42">
        <f t="shared" si="276"/>
        <v>0</v>
      </c>
      <c r="BI466" s="42">
        <f t="shared" si="266"/>
        <v>0</v>
      </c>
      <c r="BJ466" s="42">
        <f t="shared" si="277"/>
        <v>100</v>
      </c>
      <c r="BK466" s="42">
        <f t="shared" si="277"/>
        <v>143</v>
      </c>
    </row>
    <row r="467" spans="1:66" ht="60" customHeight="1" x14ac:dyDescent="0.25">
      <c r="A467" s="298" t="s">
        <v>1353</v>
      </c>
      <c r="B467" s="299" t="s">
        <v>1351</v>
      </c>
      <c r="C467" s="1547"/>
      <c r="D467" s="1551"/>
      <c r="E467" s="1551"/>
      <c r="F467" s="1551"/>
      <c r="G467" s="1551"/>
      <c r="H467" s="1551"/>
      <c r="I467" s="1425"/>
      <c r="J467" s="1425"/>
      <c r="K467" s="1428" t="s">
        <v>1409</v>
      </c>
      <c r="L467" s="301" t="s">
        <v>1358</v>
      </c>
      <c r="M467" s="1425" t="s">
        <v>902</v>
      </c>
      <c r="N467" s="476" t="s">
        <v>903</v>
      </c>
      <c r="O467" s="1425" t="s">
        <v>47</v>
      </c>
      <c r="P467" s="70" t="s">
        <v>1410</v>
      </c>
      <c r="Q467" s="350" t="s">
        <v>966</v>
      </c>
      <c r="R467" s="303">
        <v>2015</v>
      </c>
      <c r="S467" s="303">
        <v>0</v>
      </c>
      <c r="T467" s="303">
        <v>1</v>
      </c>
      <c r="U467" s="572">
        <v>2</v>
      </c>
      <c r="V467" s="572">
        <v>2</v>
      </c>
      <c r="W467" s="572">
        <v>2</v>
      </c>
      <c r="X467" s="572">
        <v>2</v>
      </c>
      <c r="Y467" s="481"/>
      <c r="Z467" s="481">
        <v>2</v>
      </c>
      <c r="AA467" s="481"/>
      <c r="AB467" s="481"/>
      <c r="AC467" s="481"/>
      <c r="AD467" s="481"/>
      <c r="AE467" s="481"/>
      <c r="AF467" s="481">
        <f t="shared" si="283"/>
        <v>2</v>
      </c>
      <c r="AG467" s="548"/>
      <c r="AH467" s="548">
        <v>2</v>
      </c>
      <c r="AI467" s="548"/>
      <c r="AJ467" s="548"/>
      <c r="AK467" s="548"/>
      <c r="AL467" s="548"/>
      <c r="AM467" s="548">
        <f t="shared" si="294"/>
        <v>2</v>
      </c>
      <c r="AN467" s="481"/>
      <c r="AO467" s="481"/>
      <c r="AP467" s="481"/>
      <c r="AQ467" s="481"/>
      <c r="AR467" s="481"/>
      <c r="AS467" s="481"/>
      <c r="AT467" s="481"/>
      <c r="AU467" s="481">
        <f t="shared" si="287"/>
        <v>0</v>
      </c>
      <c r="AV467" s="491">
        <v>2</v>
      </c>
      <c r="AW467" s="548"/>
      <c r="AX467" s="548"/>
      <c r="AY467" s="548"/>
      <c r="AZ467" s="548"/>
      <c r="BA467" s="548"/>
      <c r="BB467" s="548"/>
      <c r="BC467" s="548">
        <f t="shared" si="289"/>
        <v>2</v>
      </c>
      <c r="BD467" s="42">
        <f t="shared" ref="BD467:BH486" si="295">+AV467+AN467+AG467+Y467</f>
        <v>2</v>
      </c>
      <c r="BE467" s="42">
        <f t="shared" si="295"/>
        <v>4</v>
      </c>
      <c r="BF467" s="42">
        <f t="shared" si="295"/>
        <v>0</v>
      </c>
      <c r="BG467" s="42">
        <f t="shared" si="295"/>
        <v>0</v>
      </c>
      <c r="BH467" s="42">
        <f t="shared" si="295"/>
        <v>0</v>
      </c>
      <c r="BI467" s="42">
        <f t="shared" si="266"/>
        <v>0</v>
      </c>
      <c r="BJ467" s="42">
        <f t="shared" ref="BJ467:BK486" si="296">+BB467+AT467+AL467+AE467</f>
        <v>0</v>
      </c>
      <c r="BK467" s="42">
        <f t="shared" si="296"/>
        <v>6</v>
      </c>
    </row>
    <row r="468" spans="1:66" ht="40.5" customHeight="1" x14ac:dyDescent="0.25">
      <c r="A468" s="298" t="s">
        <v>1353</v>
      </c>
      <c r="B468" s="299" t="s">
        <v>1351</v>
      </c>
      <c r="C468" s="1547"/>
      <c r="D468" s="1551"/>
      <c r="E468" s="1551"/>
      <c r="F468" s="1551"/>
      <c r="G468" s="1551"/>
      <c r="H468" s="1551"/>
      <c r="I468" s="1425"/>
      <c r="J468" s="379"/>
      <c r="K468" s="1428" t="s">
        <v>1411</v>
      </c>
      <c r="L468" s="301" t="s">
        <v>1358</v>
      </c>
      <c r="M468" s="1425" t="s">
        <v>902</v>
      </c>
      <c r="N468" s="476" t="s">
        <v>903</v>
      </c>
      <c r="O468" s="1425" t="s">
        <v>47</v>
      </c>
      <c r="P468" s="16" t="s">
        <v>1412</v>
      </c>
      <c r="Q468" s="302" t="s">
        <v>960</v>
      </c>
      <c r="R468" s="351">
        <v>2015</v>
      </c>
      <c r="S468" s="303">
        <v>0</v>
      </c>
      <c r="T468" s="303">
        <v>0</v>
      </c>
      <c r="U468" s="572">
        <v>0</v>
      </c>
      <c r="V468" s="572">
        <v>100</v>
      </c>
      <c r="W468" s="572">
        <v>200</v>
      </c>
      <c r="X468" s="572">
        <v>200</v>
      </c>
      <c r="Y468" s="481"/>
      <c r="Z468" s="481"/>
      <c r="AA468" s="481"/>
      <c r="AB468" s="481"/>
      <c r="AC468" s="481"/>
      <c r="AD468" s="481"/>
      <c r="AE468" s="481"/>
      <c r="AF468" s="481">
        <f t="shared" si="283"/>
        <v>0</v>
      </c>
      <c r="AG468" s="548"/>
      <c r="AH468" s="548"/>
      <c r="AI468" s="548"/>
      <c r="AJ468" s="548"/>
      <c r="AK468" s="548"/>
      <c r="AL468" s="548"/>
      <c r="AM468" s="548">
        <f t="shared" si="294"/>
        <v>0</v>
      </c>
      <c r="AN468" s="491">
        <v>20</v>
      </c>
      <c r="AO468" s="481"/>
      <c r="AP468" s="481"/>
      <c r="AQ468" s="481"/>
      <c r="AR468" s="481"/>
      <c r="AS468" s="481"/>
      <c r="AT468" s="481"/>
      <c r="AU468" s="481">
        <f t="shared" si="287"/>
        <v>20</v>
      </c>
      <c r="AV468" s="548">
        <v>30</v>
      </c>
      <c r="AW468" s="548"/>
      <c r="AX468" s="548"/>
      <c r="AY468" s="548"/>
      <c r="AZ468" s="548"/>
      <c r="BA468" s="548"/>
      <c r="BB468" s="548"/>
      <c r="BC468" s="548">
        <f t="shared" si="289"/>
        <v>30</v>
      </c>
      <c r="BD468" s="42">
        <f t="shared" si="295"/>
        <v>50</v>
      </c>
      <c r="BE468" s="42">
        <f t="shared" si="295"/>
        <v>0</v>
      </c>
      <c r="BF468" s="42">
        <f t="shared" si="295"/>
        <v>0</v>
      </c>
      <c r="BG468" s="42">
        <f t="shared" si="295"/>
        <v>0</v>
      </c>
      <c r="BH468" s="42">
        <f t="shared" si="295"/>
        <v>0</v>
      </c>
      <c r="BI468" s="42">
        <f t="shared" si="266"/>
        <v>0</v>
      </c>
      <c r="BJ468" s="42">
        <f t="shared" si="296"/>
        <v>0</v>
      </c>
      <c r="BK468" s="42">
        <f t="shared" si="296"/>
        <v>50</v>
      </c>
    </row>
    <row r="469" spans="1:66" ht="54.75" customHeight="1" x14ac:dyDescent="0.25">
      <c r="A469" s="298" t="s">
        <v>1353</v>
      </c>
      <c r="B469" s="299" t="s">
        <v>1351</v>
      </c>
      <c r="C469" s="1547"/>
      <c r="D469" s="1551"/>
      <c r="E469" s="1551"/>
      <c r="F469" s="1551"/>
      <c r="G469" s="1551"/>
      <c r="H469" s="1551"/>
      <c r="I469" s="1425"/>
      <c r="J469" s="379"/>
      <c r="K469" s="1428" t="s">
        <v>1413</v>
      </c>
      <c r="L469" s="301" t="s">
        <v>1358</v>
      </c>
      <c r="M469" s="1425" t="s">
        <v>902</v>
      </c>
      <c r="N469" s="476" t="s">
        <v>903</v>
      </c>
      <c r="O469" s="1425" t="s">
        <v>47</v>
      </c>
      <c r="P469" s="16" t="s">
        <v>1414</v>
      </c>
      <c r="Q469" s="302" t="s">
        <v>1415</v>
      </c>
      <c r="R469" s="351">
        <v>2015</v>
      </c>
      <c r="S469" s="303" t="s">
        <v>177</v>
      </c>
      <c r="T469" s="303">
        <v>40</v>
      </c>
      <c r="U469" s="572">
        <v>40</v>
      </c>
      <c r="V469" s="572">
        <v>40</v>
      </c>
      <c r="W469" s="572">
        <v>40</v>
      </c>
      <c r="X469" s="572">
        <v>40</v>
      </c>
      <c r="Y469" s="481">
        <v>32</v>
      </c>
      <c r="Z469" s="481">
        <v>18</v>
      </c>
      <c r="AA469" s="481"/>
      <c r="AB469" s="481"/>
      <c r="AC469" s="481"/>
      <c r="AD469" s="481"/>
      <c r="AE469" s="481"/>
      <c r="AF469" s="481">
        <f t="shared" si="283"/>
        <v>50</v>
      </c>
      <c r="AG469" s="548"/>
      <c r="AH469" s="548">
        <v>0</v>
      </c>
      <c r="AI469" s="548"/>
      <c r="AJ469" s="548"/>
      <c r="AK469" s="548"/>
      <c r="AL469" s="548"/>
      <c r="AM469" s="548">
        <f t="shared" si="294"/>
        <v>0</v>
      </c>
      <c r="AN469" s="481"/>
      <c r="AO469" s="481">
        <v>0</v>
      </c>
      <c r="AP469" s="481"/>
      <c r="AQ469" s="481"/>
      <c r="AR469" s="481"/>
      <c r="AS469" s="481"/>
      <c r="AT469" s="481"/>
      <c r="AU469" s="481">
        <f t="shared" si="287"/>
        <v>0</v>
      </c>
      <c r="AV469" s="491">
        <v>3</v>
      </c>
      <c r="AW469" s="548"/>
      <c r="AX469" s="548"/>
      <c r="AY469" s="548"/>
      <c r="AZ469" s="548"/>
      <c r="BA469" s="548"/>
      <c r="BB469" s="548"/>
      <c r="BC469" s="548">
        <f t="shared" si="289"/>
        <v>3</v>
      </c>
      <c r="BD469" s="42">
        <f t="shared" si="295"/>
        <v>35</v>
      </c>
      <c r="BE469" s="42">
        <f t="shared" si="295"/>
        <v>18</v>
      </c>
      <c r="BF469" s="42">
        <f t="shared" si="295"/>
        <v>0</v>
      </c>
      <c r="BG469" s="42">
        <f t="shared" si="295"/>
        <v>0</v>
      </c>
      <c r="BH469" s="42">
        <f t="shared" si="295"/>
        <v>0</v>
      </c>
      <c r="BI469" s="42">
        <f t="shared" si="266"/>
        <v>0</v>
      </c>
      <c r="BJ469" s="42">
        <f t="shared" si="296"/>
        <v>0</v>
      </c>
      <c r="BK469" s="42">
        <f t="shared" si="296"/>
        <v>53</v>
      </c>
    </row>
    <row r="470" spans="1:66" ht="51.75" customHeight="1" x14ac:dyDescent="0.25">
      <c r="A470" s="298" t="s">
        <v>1353</v>
      </c>
      <c r="B470" s="299" t="s">
        <v>1351</v>
      </c>
      <c r="C470" s="1547"/>
      <c r="D470" s="1551"/>
      <c r="E470" s="1551"/>
      <c r="F470" s="1551"/>
      <c r="G470" s="1551"/>
      <c r="H470" s="1551"/>
      <c r="I470" s="1425"/>
      <c r="J470" s="379"/>
      <c r="K470" s="1428" t="s">
        <v>1416</v>
      </c>
      <c r="L470" s="301" t="s">
        <v>1358</v>
      </c>
      <c r="M470" s="1425" t="s">
        <v>902</v>
      </c>
      <c r="N470" s="476" t="s">
        <v>903</v>
      </c>
      <c r="O470" s="1425" t="s">
        <v>47</v>
      </c>
      <c r="P470" s="16" t="s">
        <v>1417</v>
      </c>
      <c r="Q470" s="302" t="s">
        <v>1418</v>
      </c>
      <c r="R470" s="351">
        <v>2015</v>
      </c>
      <c r="S470" s="303">
        <v>0</v>
      </c>
      <c r="T470" s="303">
        <v>0</v>
      </c>
      <c r="U470" s="572">
        <v>1</v>
      </c>
      <c r="V470" s="572">
        <v>0</v>
      </c>
      <c r="W470" s="572">
        <v>0</v>
      </c>
      <c r="X470" s="572">
        <v>1</v>
      </c>
      <c r="Y470" s="481"/>
      <c r="Z470" s="481"/>
      <c r="AA470" s="481"/>
      <c r="AB470" s="481"/>
      <c r="AC470" s="481"/>
      <c r="AD470" s="481"/>
      <c r="AE470" s="481"/>
      <c r="AF470" s="481">
        <f t="shared" si="283"/>
        <v>0</v>
      </c>
      <c r="AG470" s="548"/>
      <c r="AH470" s="548"/>
      <c r="AI470" s="548"/>
      <c r="AJ470" s="548"/>
      <c r="AK470" s="548"/>
      <c r="AL470" s="548"/>
      <c r="AM470" s="548">
        <f t="shared" si="294"/>
        <v>0</v>
      </c>
      <c r="AN470" s="481"/>
      <c r="AO470" s="481"/>
      <c r="AP470" s="481"/>
      <c r="AQ470" s="481"/>
      <c r="AR470" s="481"/>
      <c r="AS470" s="481"/>
      <c r="AT470" s="481"/>
      <c r="AU470" s="481">
        <f t="shared" si="287"/>
        <v>0</v>
      </c>
      <c r="AV470" s="548"/>
      <c r="AW470" s="548"/>
      <c r="AX470" s="548"/>
      <c r="AY470" s="548"/>
      <c r="AZ470" s="548"/>
      <c r="BA470" s="548"/>
      <c r="BB470" s="548"/>
      <c r="BC470" s="548">
        <f t="shared" si="289"/>
        <v>0</v>
      </c>
      <c r="BD470" s="42">
        <f t="shared" si="295"/>
        <v>0</v>
      </c>
      <c r="BE470" s="42">
        <f t="shared" si="295"/>
        <v>0</v>
      </c>
      <c r="BF470" s="42">
        <f t="shared" si="295"/>
        <v>0</v>
      </c>
      <c r="BG470" s="42">
        <f t="shared" si="295"/>
        <v>0</v>
      </c>
      <c r="BH470" s="42">
        <f t="shared" si="295"/>
        <v>0</v>
      </c>
      <c r="BI470" s="42">
        <f t="shared" si="266"/>
        <v>0</v>
      </c>
      <c r="BJ470" s="42">
        <f t="shared" si="296"/>
        <v>0</v>
      </c>
      <c r="BK470" s="42">
        <f t="shared" si="296"/>
        <v>0</v>
      </c>
    </row>
    <row r="471" spans="1:66" ht="58.5" customHeight="1" x14ac:dyDescent="0.25">
      <c r="A471" s="298" t="s">
        <v>1353</v>
      </c>
      <c r="B471" s="299" t="s">
        <v>1351</v>
      </c>
      <c r="C471" s="1547"/>
      <c r="D471" s="1551"/>
      <c r="E471" s="1551"/>
      <c r="F471" s="1551"/>
      <c r="G471" s="1551"/>
      <c r="H471" s="1551"/>
      <c r="I471" s="1425" t="s">
        <v>53</v>
      </c>
      <c r="J471" s="379"/>
      <c r="K471" s="1428" t="s">
        <v>1419</v>
      </c>
      <c r="L471" s="301" t="s">
        <v>1358</v>
      </c>
      <c r="M471" s="1425" t="s">
        <v>902</v>
      </c>
      <c r="N471" s="476" t="s">
        <v>903</v>
      </c>
      <c r="O471" s="1425" t="s">
        <v>47</v>
      </c>
      <c r="P471" s="16" t="s">
        <v>1420</v>
      </c>
      <c r="Q471" s="302" t="s">
        <v>1421</v>
      </c>
      <c r="R471" s="351" t="s">
        <v>1422</v>
      </c>
      <c r="S471" s="303">
        <v>260</v>
      </c>
      <c r="T471" s="303">
        <v>80</v>
      </c>
      <c r="U471" s="572">
        <v>160</v>
      </c>
      <c r="V471" s="572">
        <v>240</v>
      </c>
      <c r="W471" s="572">
        <v>320</v>
      </c>
      <c r="X471" s="572">
        <v>320</v>
      </c>
      <c r="Y471" s="481">
        <v>16.5</v>
      </c>
      <c r="Z471" s="481">
        <v>40</v>
      </c>
      <c r="AA471" s="481">
        <v>11.7</v>
      </c>
      <c r="AB471" s="481"/>
      <c r="AC471" s="481"/>
      <c r="AD471" s="481">
        <v>35.799999999999997</v>
      </c>
      <c r="AE471" s="481"/>
      <c r="AF471" s="481">
        <f t="shared" si="283"/>
        <v>104</v>
      </c>
      <c r="AG471" s="548">
        <v>35</v>
      </c>
      <c r="AH471" s="548">
        <v>56</v>
      </c>
      <c r="AI471" s="491">
        <v>5</v>
      </c>
      <c r="AJ471" s="548"/>
      <c r="AK471" s="548"/>
      <c r="AL471" s="548"/>
      <c r="AM471" s="548">
        <f t="shared" si="294"/>
        <v>96</v>
      </c>
      <c r="AN471" s="491">
        <v>20</v>
      </c>
      <c r="AO471" s="491">
        <v>55</v>
      </c>
      <c r="AP471" s="481">
        <v>12</v>
      </c>
      <c r="AQ471" s="481"/>
      <c r="AR471" s="481"/>
      <c r="AS471" s="481"/>
      <c r="AT471" s="481"/>
      <c r="AU471" s="481">
        <f t="shared" si="287"/>
        <v>87</v>
      </c>
      <c r="AV471" s="548">
        <v>35</v>
      </c>
      <c r="AW471" s="491">
        <v>33</v>
      </c>
      <c r="AX471" s="548">
        <v>12</v>
      </c>
      <c r="AY471" s="548"/>
      <c r="AZ471" s="548"/>
      <c r="BA471" s="548"/>
      <c r="BB471" s="548"/>
      <c r="BC471" s="548">
        <f t="shared" si="289"/>
        <v>80</v>
      </c>
      <c r="BD471" s="42">
        <f t="shared" si="295"/>
        <v>106.5</v>
      </c>
      <c r="BE471" s="42">
        <f t="shared" si="295"/>
        <v>184</v>
      </c>
      <c r="BF471" s="42">
        <f t="shared" si="295"/>
        <v>40.700000000000003</v>
      </c>
      <c r="BG471" s="42">
        <f t="shared" si="295"/>
        <v>0</v>
      </c>
      <c r="BH471" s="42">
        <f t="shared" si="295"/>
        <v>0</v>
      </c>
      <c r="BI471" s="42">
        <f t="shared" ref="BI471:BI499" si="297">+AD471+AS471+BA471</f>
        <v>35.799999999999997</v>
      </c>
      <c r="BJ471" s="42">
        <f t="shared" si="296"/>
        <v>0</v>
      </c>
      <c r="BK471" s="42">
        <f t="shared" si="296"/>
        <v>367</v>
      </c>
      <c r="BN471" s="222"/>
    </row>
    <row r="472" spans="1:66" ht="63.75" customHeight="1" x14ac:dyDescent="0.25">
      <c r="A472" s="298" t="s">
        <v>1353</v>
      </c>
      <c r="B472" s="299" t="s">
        <v>1351</v>
      </c>
      <c r="C472" s="1547"/>
      <c r="D472" s="1551"/>
      <c r="E472" s="1551"/>
      <c r="F472" s="1551"/>
      <c r="G472" s="1551"/>
      <c r="H472" s="1551"/>
      <c r="I472" s="1425"/>
      <c r="J472" s="379"/>
      <c r="K472" s="1428" t="s">
        <v>1423</v>
      </c>
      <c r="L472" s="301" t="s">
        <v>1358</v>
      </c>
      <c r="M472" s="1425" t="s">
        <v>902</v>
      </c>
      <c r="N472" s="476" t="s">
        <v>903</v>
      </c>
      <c r="O472" s="1425" t="s">
        <v>47</v>
      </c>
      <c r="P472" s="16" t="s">
        <v>1424</v>
      </c>
      <c r="Q472" s="302" t="s">
        <v>1425</v>
      </c>
      <c r="R472" s="351">
        <v>2015</v>
      </c>
      <c r="S472" s="303">
        <v>0</v>
      </c>
      <c r="T472" s="303">
        <v>0</v>
      </c>
      <c r="U472" s="572">
        <v>1</v>
      </c>
      <c r="V472" s="572">
        <v>1</v>
      </c>
      <c r="W472" s="572">
        <v>1</v>
      </c>
      <c r="X472" s="572">
        <v>1</v>
      </c>
      <c r="Y472" s="481"/>
      <c r="Z472" s="481"/>
      <c r="AA472" s="481"/>
      <c r="AB472" s="481"/>
      <c r="AC472" s="481"/>
      <c r="AD472" s="481"/>
      <c r="AE472" s="481"/>
      <c r="AF472" s="481">
        <f t="shared" si="283"/>
        <v>0</v>
      </c>
      <c r="AG472" s="548">
        <v>23</v>
      </c>
      <c r="AH472" s="548"/>
      <c r="AI472" s="548"/>
      <c r="AJ472" s="548"/>
      <c r="AK472" s="548"/>
      <c r="AL472" s="548"/>
      <c r="AM472" s="548">
        <f t="shared" si="294"/>
        <v>23</v>
      </c>
      <c r="AN472" s="481"/>
      <c r="AO472" s="481"/>
      <c r="AP472" s="481"/>
      <c r="AQ472" s="481"/>
      <c r="AR472" s="481"/>
      <c r="AS472" s="481"/>
      <c r="AT472" s="481"/>
      <c r="AU472" s="481">
        <f t="shared" si="287"/>
        <v>0</v>
      </c>
      <c r="AV472" s="491">
        <v>2</v>
      </c>
      <c r="AW472" s="548"/>
      <c r="AX472" s="548"/>
      <c r="AY472" s="548"/>
      <c r="AZ472" s="548"/>
      <c r="BA472" s="548"/>
      <c r="BB472" s="548"/>
      <c r="BC472" s="548">
        <f t="shared" si="289"/>
        <v>2</v>
      </c>
      <c r="BD472" s="42">
        <f t="shared" si="295"/>
        <v>25</v>
      </c>
      <c r="BE472" s="42">
        <f t="shared" si="295"/>
        <v>0</v>
      </c>
      <c r="BF472" s="42">
        <f t="shared" si="295"/>
        <v>0</v>
      </c>
      <c r="BG472" s="42">
        <f t="shared" si="295"/>
        <v>0</v>
      </c>
      <c r="BH472" s="42">
        <f t="shared" si="295"/>
        <v>0</v>
      </c>
      <c r="BI472" s="42">
        <f t="shared" si="297"/>
        <v>0</v>
      </c>
      <c r="BJ472" s="42">
        <f t="shared" si="296"/>
        <v>0</v>
      </c>
      <c r="BK472" s="42">
        <f t="shared" si="296"/>
        <v>25</v>
      </c>
    </row>
    <row r="473" spans="1:66" ht="60" customHeight="1" x14ac:dyDescent="0.25">
      <c r="A473" s="298" t="s">
        <v>1353</v>
      </c>
      <c r="B473" s="299" t="s">
        <v>1351</v>
      </c>
      <c r="C473" s="1547"/>
      <c r="D473" s="1551"/>
      <c r="E473" s="1551"/>
      <c r="F473" s="1551"/>
      <c r="G473" s="1551"/>
      <c r="H473" s="1551"/>
      <c r="I473" s="1425"/>
      <c r="J473" s="379"/>
      <c r="K473" s="1428" t="s">
        <v>1426</v>
      </c>
      <c r="L473" s="301" t="s">
        <v>1358</v>
      </c>
      <c r="M473" s="1425" t="s">
        <v>902</v>
      </c>
      <c r="N473" s="476" t="s">
        <v>903</v>
      </c>
      <c r="O473" s="1425" t="s">
        <v>47</v>
      </c>
      <c r="P473" s="16" t="s">
        <v>1427</v>
      </c>
      <c r="Q473" s="302" t="s">
        <v>914</v>
      </c>
      <c r="R473" s="351">
        <v>2015</v>
      </c>
      <c r="S473" s="303">
        <v>0</v>
      </c>
      <c r="T473" s="303">
        <v>1</v>
      </c>
      <c r="U473" s="572">
        <v>2</v>
      </c>
      <c r="V473" s="572">
        <v>0</v>
      </c>
      <c r="W473" s="572">
        <v>0</v>
      </c>
      <c r="X473" s="572">
        <v>2</v>
      </c>
      <c r="Y473" s="481"/>
      <c r="Z473" s="481">
        <v>2</v>
      </c>
      <c r="AA473" s="481"/>
      <c r="AB473" s="481"/>
      <c r="AC473" s="481"/>
      <c r="AD473" s="481"/>
      <c r="AE473" s="481"/>
      <c r="AF473" s="481">
        <f t="shared" si="283"/>
        <v>2</v>
      </c>
      <c r="AG473" s="548">
        <v>2</v>
      </c>
      <c r="AH473" s="548"/>
      <c r="AI473" s="548"/>
      <c r="AJ473" s="548"/>
      <c r="AK473" s="548"/>
      <c r="AL473" s="548"/>
      <c r="AM473" s="548">
        <f t="shared" si="294"/>
        <v>2</v>
      </c>
      <c r="AN473" s="481"/>
      <c r="AO473" s="481"/>
      <c r="AP473" s="481"/>
      <c r="AQ473" s="481"/>
      <c r="AR473" s="481"/>
      <c r="AS473" s="481"/>
      <c r="AT473" s="481"/>
      <c r="AU473" s="481">
        <f t="shared" si="287"/>
        <v>0</v>
      </c>
      <c r="AV473" s="548"/>
      <c r="AW473" s="548"/>
      <c r="AX473" s="548"/>
      <c r="AY473" s="548"/>
      <c r="AZ473" s="548"/>
      <c r="BA473" s="548"/>
      <c r="BB473" s="548"/>
      <c r="BC473" s="548">
        <f t="shared" si="289"/>
        <v>0</v>
      </c>
      <c r="BD473" s="42">
        <f t="shared" si="295"/>
        <v>2</v>
      </c>
      <c r="BE473" s="42">
        <f t="shared" si="295"/>
        <v>2</v>
      </c>
      <c r="BF473" s="42">
        <f t="shared" si="295"/>
        <v>0</v>
      </c>
      <c r="BG473" s="42">
        <f t="shared" si="295"/>
        <v>0</v>
      </c>
      <c r="BH473" s="42">
        <f t="shared" si="295"/>
        <v>0</v>
      </c>
      <c r="BI473" s="42">
        <f t="shared" si="297"/>
        <v>0</v>
      </c>
      <c r="BJ473" s="42">
        <f t="shared" si="296"/>
        <v>0</v>
      </c>
      <c r="BK473" s="42">
        <f t="shared" si="296"/>
        <v>4</v>
      </c>
    </row>
    <row r="474" spans="1:66" ht="80.25" customHeight="1" x14ac:dyDescent="0.25">
      <c r="A474" s="298" t="s">
        <v>1353</v>
      </c>
      <c r="B474" s="299" t="s">
        <v>1351</v>
      </c>
      <c r="C474" s="1547"/>
      <c r="D474" s="1551"/>
      <c r="E474" s="1551"/>
      <c r="F474" s="1551"/>
      <c r="G474" s="1551"/>
      <c r="H474" s="1551"/>
      <c r="I474" s="1425"/>
      <c r="J474" s="379"/>
      <c r="K474" s="1428" t="s">
        <v>1428</v>
      </c>
      <c r="L474" s="301" t="s">
        <v>1358</v>
      </c>
      <c r="M474" s="1425" t="s">
        <v>902</v>
      </c>
      <c r="N474" s="476" t="s">
        <v>903</v>
      </c>
      <c r="O474" s="1425" t="s">
        <v>47</v>
      </c>
      <c r="P474" s="16" t="s">
        <v>1429</v>
      </c>
      <c r="Q474" s="302" t="s">
        <v>1430</v>
      </c>
      <c r="R474" s="351">
        <v>2015</v>
      </c>
      <c r="S474" s="303">
        <v>0</v>
      </c>
      <c r="T474" s="303">
        <v>1</v>
      </c>
      <c r="U474" s="572">
        <v>2</v>
      </c>
      <c r="V474" s="572">
        <v>3</v>
      </c>
      <c r="W474" s="572">
        <v>4</v>
      </c>
      <c r="X474" s="572">
        <v>4</v>
      </c>
      <c r="Y474" s="481"/>
      <c r="Z474" s="584">
        <v>5</v>
      </c>
      <c r="AA474" s="481"/>
      <c r="AB474" s="481"/>
      <c r="AC474" s="481"/>
      <c r="AD474" s="481">
        <v>0</v>
      </c>
      <c r="AE474" s="481"/>
      <c r="AF474" s="481">
        <f t="shared" si="283"/>
        <v>5</v>
      </c>
      <c r="AG474" s="548">
        <v>5</v>
      </c>
      <c r="AH474" s="548"/>
      <c r="AI474" s="548"/>
      <c r="AJ474" s="548"/>
      <c r="AK474" s="548"/>
      <c r="AL474" s="548"/>
      <c r="AM474" s="548">
        <f>SUM(AG474:AL474)</f>
        <v>5</v>
      </c>
      <c r="AN474" s="481">
        <v>5</v>
      </c>
      <c r="AO474" s="481"/>
      <c r="AP474" s="481"/>
      <c r="AQ474" s="481"/>
      <c r="AR474" s="481"/>
      <c r="AS474" s="481"/>
      <c r="AT474" s="481"/>
      <c r="AU474" s="481">
        <f>SUM(AN474:AT474)</f>
        <v>5</v>
      </c>
      <c r="AV474" s="548">
        <v>5</v>
      </c>
      <c r="AW474" s="548"/>
      <c r="AX474" s="548"/>
      <c r="AY474" s="548"/>
      <c r="AZ474" s="548"/>
      <c r="BA474" s="548"/>
      <c r="BB474" s="548"/>
      <c r="BC474" s="548">
        <f>SUM(AV474:BB474)</f>
        <v>5</v>
      </c>
      <c r="BD474" s="42">
        <f t="shared" si="295"/>
        <v>15</v>
      </c>
      <c r="BE474" s="42">
        <f t="shared" si="295"/>
        <v>5</v>
      </c>
      <c r="BF474" s="42">
        <f t="shared" si="295"/>
        <v>0</v>
      </c>
      <c r="BG474" s="42">
        <f t="shared" si="295"/>
        <v>0</v>
      </c>
      <c r="BH474" s="42">
        <f t="shared" si="295"/>
        <v>0</v>
      </c>
      <c r="BI474" s="42">
        <f t="shared" si="297"/>
        <v>0</v>
      </c>
      <c r="BJ474" s="42">
        <f t="shared" si="296"/>
        <v>0</v>
      </c>
      <c r="BK474" s="42">
        <f t="shared" si="296"/>
        <v>20</v>
      </c>
    </row>
    <row r="475" spans="1:66" ht="96.75" customHeight="1" x14ac:dyDescent="0.25">
      <c r="A475" s="298" t="s">
        <v>1353</v>
      </c>
      <c r="B475" s="299" t="s">
        <v>1351</v>
      </c>
      <c r="C475" s="1547"/>
      <c r="D475" s="1551"/>
      <c r="E475" s="1551"/>
      <c r="F475" s="1551"/>
      <c r="G475" s="1551"/>
      <c r="H475" s="1551"/>
      <c r="I475" s="1425"/>
      <c r="J475" s="379"/>
      <c r="K475" s="1428" t="s">
        <v>1431</v>
      </c>
      <c r="L475" s="301" t="s">
        <v>1358</v>
      </c>
      <c r="M475" s="1425" t="s">
        <v>902</v>
      </c>
      <c r="N475" s="476" t="s">
        <v>903</v>
      </c>
      <c r="O475" s="1425" t="s">
        <v>47</v>
      </c>
      <c r="P475" s="16" t="s">
        <v>1432</v>
      </c>
      <c r="Q475" s="302" t="s">
        <v>1433</v>
      </c>
      <c r="R475" s="351" t="s">
        <v>1434</v>
      </c>
      <c r="S475" s="303">
        <v>30000</v>
      </c>
      <c r="T475" s="303">
        <v>0</v>
      </c>
      <c r="U475" s="572">
        <v>4000</v>
      </c>
      <c r="V475" s="572">
        <v>8000</v>
      </c>
      <c r="W475" s="572">
        <v>12000</v>
      </c>
      <c r="X475" s="572">
        <v>12000</v>
      </c>
      <c r="Y475" s="481"/>
      <c r="Z475" s="584"/>
      <c r="AA475" s="481"/>
      <c r="AB475" s="481"/>
      <c r="AC475" s="481"/>
      <c r="AD475" s="481"/>
      <c r="AE475" s="481"/>
      <c r="AF475" s="481">
        <f t="shared" si="283"/>
        <v>0</v>
      </c>
      <c r="AG475" s="548">
        <v>10</v>
      </c>
      <c r="AH475" s="548"/>
      <c r="AI475" s="548"/>
      <c r="AJ475" s="548"/>
      <c r="AK475" s="548"/>
      <c r="AL475" s="548"/>
      <c r="AM475" s="548">
        <f>SUM(AG475:AL475)</f>
        <v>10</v>
      </c>
      <c r="AN475" s="491">
        <v>7</v>
      </c>
      <c r="AO475" s="481"/>
      <c r="AP475" s="481"/>
      <c r="AQ475" s="481"/>
      <c r="AR475" s="481"/>
      <c r="AS475" s="481"/>
      <c r="AT475" s="481"/>
      <c r="AU475" s="481">
        <f>SUM(AN475:AT475)</f>
        <v>7</v>
      </c>
      <c r="AV475" s="548">
        <v>10</v>
      </c>
      <c r="AW475" s="548"/>
      <c r="AX475" s="548"/>
      <c r="AY475" s="548"/>
      <c r="AZ475" s="548"/>
      <c r="BA475" s="548"/>
      <c r="BB475" s="548"/>
      <c r="BC475" s="548">
        <f>SUM(AV475:BB475)</f>
        <v>10</v>
      </c>
      <c r="BD475" s="42">
        <f t="shared" si="295"/>
        <v>27</v>
      </c>
      <c r="BE475" s="42">
        <f t="shared" si="295"/>
        <v>0</v>
      </c>
      <c r="BF475" s="42">
        <f t="shared" si="295"/>
        <v>0</v>
      </c>
      <c r="BG475" s="42">
        <f t="shared" si="295"/>
        <v>0</v>
      </c>
      <c r="BH475" s="42">
        <f t="shared" si="295"/>
        <v>0</v>
      </c>
      <c r="BI475" s="42">
        <f t="shared" si="297"/>
        <v>0</v>
      </c>
      <c r="BJ475" s="42">
        <f t="shared" si="296"/>
        <v>0</v>
      </c>
      <c r="BK475" s="42">
        <f t="shared" si="296"/>
        <v>27</v>
      </c>
    </row>
    <row r="476" spans="1:66" ht="54.75" customHeight="1" x14ac:dyDescent="0.25">
      <c r="A476" s="298" t="s">
        <v>1353</v>
      </c>
      <c r="B476" s="299" t="s">
        <v>1351</v>
      </c>
      <c r="C476" s="1547"/>
      <c r="D476" s="1551"/>
      <c r="E476" s="1551"/>
      <c r="F476" s="1551"/>
      <c r="G476" s="1551"/>
      <c r="H476" s="1551"/>
      <c r="I476" s="1425"/>
      <c r="J476" s="379"/>
      <c r="K476" s="1428" t="s">
        <v>1435</v>
      </c>
      <c r="L476" s="301" t="s">
        <v>1358</v>
      </c>
      <c r="M476" s="1425" t="s">
        <v>902</v>
      </c>
      <c r="N476" s="476" t="s">
        <v>903</v>
      </c>
      <c r="O476" s="1425" t="s">
        <v>47</v>
      </c>
      <c r="P476" s="16" t="s">
        <v>1436</v>
      </c>
      <c r="Q476" s="302" t="s">
        <v>1437</v>
      </c>
      <c r="R476" s="351">
        <v>2015</v>
      </c>
      <c r="S476" s="303">
        <v>0</v>
      </c>
      <c r="T476" s="303">
        <v>1</v>
      </c>
      <c r="U476" s="572">
        <v>2</v>
      </c>
      <c r="V476" s="572">
        <v>3</v>
      </c>
      <c r="W476" s="572">
        <v>4</v>
      </c>
      <c r="X476" s="572">
        <v>4</v>
      </c>
      <c r="Y476" s="481"/>
      <c r="Z476" s="584"/>
      <c r="AA476" s="481"/>
      <c r="AB476" s="481"/>
      <c r="AC476" s="481"/>
      <c r="AD476" s="481"/>
      <c r="AE476" s="481"/>
      <c r="AF476" s="481">
        <f t="shared" si="283"/>
        <v>0</v>
      </c>
      <c r="AG476" s="548"/>
      <c r="AH476" s="548"/>
      <c r="AI476" s="548"/>
      <c r="AJ476" s="548"/>
      <c r="AK476" s="548"/>
      <c r="AL476" s="548"/>
      <c r="AM476" s="548">
        <f>SUM(AG476:AL476)</f>
        <v>0</v>
      </c>
      <c r="AN476" s="491">
        <v>1</v>
      </c>
      <c r="AO476" s="481"/>
      <c r="AP476" s="481"/>
      <c r="AQ476" s="481"/>
      <c r="AR476" s="481"/>
      <c r="AS476" s="481"/>
      <c r="AT476" s="481"/>
      <c r="AU476" s="481">
        <f>SUM(AN476:AT476)</f>
        <v>1</v>
      </c>
      <c r="AV476" s="491">
        <v>3</v>
      </c>
      <c r="AW476" s="548"/>
      <c r="AX476" s="548"/>
      <c r="AY476" s="548"/>
      <c r="AZ476" s="548"/>
      <c r="BA476" s="548"/>
      <c r="BB476" s="548"/>
      <c r="BC476" s="548">
        <f>SUM(AV476:BB476)</f>
        <v>3</v>
      </c>
      <c r="BD476" s="42">
        <f>+AV476+AN476+AG476+Y476</f>
        <v>4</v>
      </c>
      <c r="BE476" s="42">
        <f>+AW476+AO476+AH476+Z476</f>
        <v>0</v>
      </c>
      <c r="BF476" s="42">
        <f>+AX476+AP476+AI476+AA476</f>
        <v>0</v>
      </c>
      <c r="BG476" s="42">
        <f>+AY476+AQ476+AJ476+AB476</f>
        <v>0</v>
      </c>
      <c r="BH476" s="42">
        <f>+AZ476+AR476+AK476+AC476</f>
        <v>0</v>
      </c>
      <c r="BI476" s="42">
        <f>+AD476+AS476+BA476</f>
        <v>0</v>
      </c>
      <c r="BJ476" s="42">
        <f>+BB476+AT476+AL476+AE476</f>
        <v>0</v>
      </c>
      <c r="BK476" s="42">
        <f>+BC476+AU476+AM476+AF476</f>
        <v>4</v>
      </c>
    </row>
    <row r="477" spans="1:66" ht="49.5" customHeight="1" x14ac:dyDescent="0.25">
      <c r="A477" s="298" t="s">
        <v>1353</v>
      </c>
      <c r="B477" s="299" t="s">
        <v>1351</v>
      </c>
      <c r="C477" s="1547"/>
      <c r="D477" s="1551"/>
      <c r="E477" s="1551"/>
      <c r="F477" s="1551"/>
      <c r="G477" s="1551"/>
      <c r="H477" s="1551"/>
      <c r="I477" s="1425"/>
      <c r="J477" s="379"/>
      <c r="K477" s="1428" t="s">
        <v>1438</v>
      </c>
      <c r="L477" s="301" t="s">
        <v>1358</v>
      </c>
      <c r="M477" s="1425" t="s">
        <v>902</v>
      </c>
      <c r="N477" s="476" t="s">
        <v>903</v>
      </c>
      <c r="O477" s="1425" t="s">
        <v>47</v>
      </c>
      <c r="P477" s="16" t="s">
        <v>1439</v>
      </c>
      <c r="Q477" s="302" t="s">
        <v>914</v>
      </c>
      <c r="R477" s="351">
        <v>2015</v>
      </c>
      <c r="S477" s="303">
        <v>0</v>
      </c>
      <c r="T477" s="303">
        <v>1</v>
      </c>
      <c r="U477" s="572">
        <v>1</v>
      </c>
      <c r="V477" s="572">
        <v>1</v>
      </c>
      <c r="W477" s="572">
        <v>1</v>
      </c>
      <c r="X477" s="572">
        <v>4</v>
      </c>
      <c r="Y477" s="481"/>
      <c r="Z477" s="584"/>
      <c r="AA477" s="481"/>
      <c r="AB477" s="481"/>
      <c r="AC477" s="481"/>
      <c r="AD477" s="481">
        <v>2</v>
      </c>
      <c r="AE477" s="481"/>
      <c r="AF477" s="481">
        <f t="shared" si="283"/>
        <v>2</v>
      </c>
      <c r="AG477" s="548">
        <v>2</v>
      </c>
      <c r="AH477" s="548"/>
      <c r="AI477" s="548"/>
      <c r="AJ477" s="548"/>
      <c r="AK477" s="548"/>
      <c r="AL477" s="548"/>
      <c r="AM477" s="548"/>
      <c r="AN477" s="481">
        <v>2</v>
      </c>
      <c r="AO477" s="481"/>
      <c r="AP477" s="481"/>
      <c r="AQ477" s="481"/>
      <c r="AR477" s="481"/>
      <c r="AS477" s="481"/>
      <c r="AT477" s="481"/>
      <c r="AU477" s="481"/>
      <c r="AV477" s="548">
        <v>2</v>
      </c>
      <c r="AW477" s="548"/>
      <c r="AX477" s="548"/>
      <c r="AY477" s="548"/>
      <c r="AZ477" s="548"/>
      <c r="BA477" s="548"/>
      <c r="BB477" s="548"/>
      <c r="BC477" s="548"/>
      <c r="BD477" s="42">
        <v>2</v>
      </c>
      <c r="BE477" s="42"/>
      <c r="BF477" s="42"/>
      <c r="BG477" s="42"/>
      <c r="BH477" s="42"/>
      <c r="BI477" s="42"/>
      <c r="BJ477" s="42"/>
      <c r="BK477" s="42"/>
    </row>
    <row r="478" spans="1:66" ht="42" customHeight="1" x14ac:dyDescent="0.25">
      <c r="A478" s="298" t="s">
        <v>1353</v>
      </c>
      <c r="B478" s="299" t="s">
        <v>1351</v>
      </c>
      <c r="C478" s="1548"/>
      <c r="D478" s="1552"/>
      <c r="E478" s="1552"/>
      <c r="F478" s="1552"/>
      <c r="G478" s="1552"/>
      <c r="H478" s="1552"/>
      <c r="I478" s="1425"/>
      <c r="J478" s="379"/>
      <c r="K478" s="1428" t="s">
        <v>1440</v>
      </c>
      <c r="L478" s="301" t="s">
        <v>1358</v>
      </c>
      <c r="M478" s="1425" t="s">
        <v>902</v>
      </c>
      <c r="N478" s="476" t="s">
        <v>903</v>
      </c>
      <c r="O478" s="1425" t="s">
        <v>47</v>
      </c>
      <c r="P478" s="16" t="s">
        <v>1441</v>
      </c>
      <c r="Q478" s="302" t="s">
        <v>71</v>
      </c>
      <c r="R478" s="351">
        <v>2015</v>
      </c>
      <c r="S478" s="303">
        <v>0</v>
      </c>
      <c r="T478" s="303">
        <v>1</v>
      </c>
      <c r="U478" s="572">
        <v>2</v>
      </c>
      <c r="V478" s="572">
        <v>3</v>
      </c>
      <c r="W478" s="572">
        <v>4</v>
      </c>
      <c r="X478" s="572">
        <v>4</v>
      </c>
      <c r="Y478" s="481">
        <v>5</v>
      </c>
      <c r="Z478" s="584"/>
      <c r="AA478" s="481"/>
      <c r="AB478" s="481"/>
      <c r="AC478" s="481"/>
      <c r="AD478" s="481">
        <v>7</v>
      </c>
      <c r="AE478" s="481"/>
      <c r="AF478" s="481">
        <f t="shared" si="283"/>
        <v>12</v>
      </c>
      <c r="AG478" s="548">
        <v>2</v>
      </c>
      <c r="AH478" s="548"/>
      <c r="AI478" s="548"/>
      <c r="AJ478" s="548"/>
      <c r="AK478" s="548"/>
      <c r="AL478" s="548"/>
      <c r="AM478" s="548">
        <f>SUM(AG478:AL478)</f>
        <v>2</v>
      </c>
      <c r="AN478" s="481">
        <v>2</v>
      </c>
      <c r="AO478" s="481"/>
      <c r="AP478" s="481"/>
      <c r="AQ478" s="481"/>
      <c r="AR478" s="481"/>
      <c r="AS478" s="481"/>
      <c r="AT478" s="481"/>
      <c r="AU478" s="481">
        <f>SUM(AN478:AT478)</f>
        <v>2</v>
      </c>
      <c r="AV478" s="548">
        <v>2</v>
      </c>
      <c r="AW478" s="548"/>
      <c r="AX478" s="548"/>
      <c r="AY478" s="548"/>
      <c r="AZ478" s="548"/>
      <c r="BA478" s="548"/>
      <c r="BB478" s="548"/>
      <c r="BC478" s="548">
        <f>SUM(AV478:BB478)</f>
        <v>2</v>
      </c>
      <c r="BD478" s="42">
        <f t="shared" si="295"/>
        <v>11</v>
      </c>
      <c r="BE478" s="42">
        <f t="shared" si="295"/>
        <v>0</v>
      </c>
      <c r="BF478" s="42">
        <f t="shared" si="295"/>
        <v>0</v>
      </c>
      <c r="BG478" s="42">
        <f t="shared" si="295"/>
        <v>0</v>
      </c>
      <c r="BH478" s="42">
        <f t="shared" si="295"/>
        <v>0</v>
      </c>
      <c r="BI478" s="42">
        <f t="shared" si="297"/>
        <v>7</v>
      </c>
      <c r="BJ478" s="42">
        <f t="shared" si="296"/>
        <v>0</v>
      </c>
      <c r="BK478" s="42">
        <f t="shared" si="296"/>
        <v>18</v>
      </c>
    </row>
    <row r="479" spans="1:66" ht="49.5" customHeight="1" x14ac:dyDescent="0.25">
      <c r="A479" s="298" t="s">
        <v>1353</v>
      </c>
      <c r="B479" s="299" t="s">
        <v>1351</v>
      </c>
      <c r="C479" s="1424"/>
      <c r="D479" s="1427"/>
      <c r="E479" s="1427"/>
      <c r="F479" s="1427"/>
      <c r="G479" s="1427"/>
      <c r="H479" s="1427"/>
      <c r="I479" s="1425"/>
      <c r="J479" s="379"/>
      <c r="K479" s="1428" t="s">
        <v>1442</v>
      </c>
      <c r="L479" s="301" t="s">
        <v>1358</v>
      </c>
      <c r="M479" s="1425" t="s">
        <v>902</v>
      </c>
      <c r="N479" s="476" t="s">
        <v>903</v>
      </c>
      <c r="O479" s="1425" t="s">
        <v>47</v>
      </c>
      <c r="P479" s="16" t="s">
        <v>1443</v>
      </c>
      <c r="Q479" s="352" t="s">
        <v>1444</v>
      </c>
      <c r="R479" s="351">
        <v>2015</v>
      </c>
      <c r="S479" s="303">
        <v>0</v>
      </c>
      <c r="T479" s="303">
        <v>0</v>
      </c>
      <c r="U479" s="572">
        <v>1</v>
      </c>
      <c r="V479" s="572">
        <v>0</v>
      </c>
      <c r="W479" s="572">
        <v>0</v>
      </c>
      <c r="X479" s="572">
        <v>1</v>
      </c>
      <c r="Y479" s="481"/>
      <c r="Z479" s="584"/>
      <c r="AA479" s="481"/>
      <c r="AB479" s="481"/>
      <c r="AC479" s="481"/>
      <c r="AD479" s="481"/>
      <c r="AE479" s="481"/>
      <c r="AF479" s="481"/>
      <c r="AG479" s="548"/>
      <c r="AH479" s="548"/>
      <c r="AI479" s="548"/>
      <c r="AJ479" s="548"/>
      <c r="AK479" s="548"/>
      <c r="AL479" s="548"/>
      <c r="AM479" s="548"/>
      <c r="AN479" s="481"/>
      <c r="AO479" s="481"/>
      <c r="AP479" s="481"/>
      <c r="AQ479" s="481"/>
      <c r="AR479" s="481"/>
      <c r="AS479" s="481"/>
      <c r="AT479" s="481"/>
      <c r="AU479" s="481"/>
      <c r="AV479" s="548"/>
      <c r="AW479" s="548"/>
      <c r="AX479" s="548"/>
      <c r="AY479" s="548"/>
      <c r="AZ479" s="548"/>
      <c r="BA479" s="548"/>
      <c r="BB479" s="548"/>
      <c r="BC479" s="548"/>
      <c r="BD479" s="42"/>
      <c r="BE479" s="42"/>
      <c r="BF479" s="42"/>
      <c r="BG479" s="42"/>
      <c r="BH479" s="42"/>
      <c r="BI479" s="42"/>
      <c r="BJ479" s="42"/>
      <c r="BK479" s="42"/>
    </row>
    <row r="480" spans="1:66" ht="81.75" customHeight="1" x14ac:dyDescent="0.25">
      <c r="A480" s="298" t="s">
        <v>1353</v>
      </c>
      <c r="B480" s="299" t="s">
        <v>1351</v>
      </c>
      <c r="C480" s="1424"/>
      <c r="D480" s="1427"/>
      <c r="E480" s="1427"/>
      <c r="F480" s="1427"/>
      <c r="G480" s="1427"/>
      <c r="H480" s="1427"/>
      <c r="I480" s="1425"/>
      <c r="J480" s="379"/>
      <c r="K480" s="1428" t="s">
        <v>1445</v>
      </c>
      <c r="L480" s="301" t="s">
        <v>1358</v>
      </c>
      <c r="M480" s="1425" t="s">
        <v>902</v>
      </c>
      <c r="N480" s="476" t="s">
        <v>903</v>
      </c>
      <c r="O480" s="1425" t="s">
        <v>47</v>
      </c>
      <c r="P480" s="16" t="s">
        <v>1446</v>
      </c>
      <c r="Q480" s="352" t="s">
        <v>1447</v>
      </c>
      <c r="R480" s="351">
        <v>2015</v>
      </c>
      <c r="S480" s="303">
        <v>0</v>
      </c>
      <c r="T480" s="303">
        <v>0</v>
      </c>
      <c r="U480" s="572">
        <v>0</v>
      </c>
      <c r="V480" s="572">
        <v>1</v>
      </c>
      <c r="W480" s="572">
        <v>0</v>
      </c>
      <c r="X480" s="572">
        <v>1</v>
      </c>
      <c r="Y480" s="481"/>
      <c r="Z480" s="584"/>
      <c r="AA480" s="481"/>
      <c r="AB480" s="481"/>
      <c r="AC480" s="481"/>
      <c r="AD480" s="481"/>
      <c r="AE480" s="481"/>
      <c r="AF480" s="481"/>
      <c r="AG480" s="548"/>
      <c r="AH480" s="548"/>
      <c r="AI480" s="548"/>
      <c r="AJ480" s="548"/>
      <c r="AK480" s="548"/>
      <c r="AL480" s="548"/>
      <c r="AM480" s="548"/>
      <c r="AN480" s="481"/>
      <c r="AO480" s="481"/>
      <c r="AP480" s="481"/>
      <c r="AQ480" s="481"/>
      <c r="AR480" s="481"/>
      <c r="AS480" s="481"/>
      <c r="AT480" s="481"/>
      <c r="AU480" s="481"/>
      <c r="AV480" s="548"/>
      <c r="AW480" s="548"/>
      <c r="AX480" s="548"/>
      <c r="AY480" s="548"/>
      <c r="AZ480" s="548"/>
      <c r="BA480" s="548"/>
      <c r="BB480" s="548"/>
      <c r="BC480" s="548"/>
      <c r="BD480" s="42"/>
      <c r="BE480" s="42"/>
      <c r="BF480" s="42"/>
      <c r="BG480" s="42"/>
      <c r="BH480" s="42"/>
      <c r="BI480" s="42"/>
      <c r="BJ480" s="42"/>
      <c r="BK480" s="42"/>
    </row>
    <row r="481" spans="1:63" x14ac:dyDescent="0.25">
      <c r="A481" s="151"/>
      <c r="B481" s="7"/>
      <c r="C481" s="7"/>
      <c r="D481" s="1442"/>
      <c r="E481" s="1442"/>
      <c r="F481" s="1442"/>
      <c r="G481" s="1442"/>
      <c r="H481" s="1442"/>
      <c r="I481" s="1442"/>
      <c r="J481" s="64"/>
      <c r="K481" s="148"/>
      <c r="L481" s="148"/>
      <c r="M481" s="148"/>
      <c r="N481" s="11"/>
      <c r="O481" s="148"/>
      <c r="P481" s="1436"/>
      <c r="Q481" s="1436"/>
      <c r="R481" s="69"/>
      <c r="S481" s="1442"/>
      <c r="T481" s="1442"/>
      <c r="U481" s="63"/>
      <c r="V481" s="63"/>
      <c r="W481" s="63"/>
      <c r="X481" s="63"/>
      <c r="Y481" s="42">
        <v>175.7</v>
      </c>
      <c r="Z481" s="35"/>
      <c r="AA481" s="42"/>
      <c r="AB481" s="42"/>
      <c r="AC481" s="42"/>
      <c r="AD481" s="42">
        <v>14.8</v>
      </c>
      <c r="AE481" s="42"/>
      <c r="AF481" s="42">
        <f t="shared" si="283"/>
        <v>190.5</v>
      </c>
      <c r="AG481" s="42"/>
      <c r="AH481" s="42"/>
      <c r="AI481" s="42"/>
      <c r="AJ481" s="42"/>
      <c r="AK481" s="42"/>
      <c r="AL481" s="42"/>
      <c r="AM481" s="42"/>
      <c r="AN481" s="42"/>
      <c r="AO481" s="42"/>
      <c r="AP481" s="42"/>
      <c r="AQ481" s="42"/>
      <c r="AR481" s="42"/>
      <c r="AS481" s="42"/>
      <c r="AT481" s="42"/>
      <c r="AU481" s="42"/>
      <c r="AV481" s="42"/>
      <c r="AW481" s="42"/>
      <c r="AX481" s="42"/>
      <c r="AY481" s="42"/>
      <c r="AZ481" s="42"/>
      <c r="BA481" s="42"/>
      <c r="BB481" s="42"/>
      <c r="BC481" s="42"/>
      <c r="BD481" s="42">
        <f t="shared" si="295"/>
        <v>175.7</v>
      </c>
      <c r="BE481" s="42">
        <f t="shared" si="295"/>
        <v>0</v>
      </c>
      <c r="BF481" s="42">
        <f t="shared" si="295"/>
        <v>0</v>
      </c>
      <c r="BG481" s="42">
        <f t="shared" si="295"/>
        <v>0</v>
      </c>
      <c r="BH481" s="42">
        <f t="shared" si="295"/>
        <v>0</v>
      </c>
      <c r="BI481" s="42">
        <f t="shared" si="297"/>
        <v>14.8</v>
      </c>
      <c r="BJ481" s="42">
        <f t="shared" si="296"/>
        <v>0</v>
      </c>
      <c r="BK481" s="42">
        <f t="shared" si="296"/>
        <v>190.5</v>
      </c>
    </row>
    <row r="482" spans="1:63" ht="2.25" customHeight="1" x14ac:dyDescent="0.25">
      <c r="A482" s="151"/>
      <c r="B482" s="7" t="s">
        <v>1448</v>
      </c>
      <c r="C482" s="7"/>
      <c r="D482" s="1442"/>
      <c r="E482" s="1442"/>
      <c r="F482" s="1442"/>
      <c r="G482" s="1442"/>
      <c r="H482" s="1442"/>
      <c r="I482" s="1442"/>
      <c r="J482" s="64"/>
      <c r="K482" s="148"/>
      <c r="L482" s="148"/>
      <c r="M482" s="148"/>
      <c r="N482" s="11"/>
      <c r="O482" s="148"/>
      <c r="P482" s="1436"/>
      <c r="Q482" s="1436"/>
      <c r="R482" s="69"/>
      <c r="S482" s="1442"/>
      <c r="T482" s="1442"/>
      <c r="U482" s="63"/>
      <c r="V482" s="63"/>
      <c r="W482" s="63"/>
      <c r="X482" s="63"/>
      <c r="Y482" s="42">
        <v>175.7</v>
      </c>
      <c r="Z482" s="35"/>
      <c r="AA482" s="42">
        <v>15.6</v>
      </c>
      <c r="AB482" s="42"/>
      <c r="AC482" s="42"/>
      <c r="AD482" s="42">
        <v>14.8</v>
      </c>
      <c r="AE482" s="42"/>
      <c r="AF482" s="42"/>
      <c r="AG482" s="42">
        <f>+Y482*1.04</f>
        <v>182.72799999999998</v>
      </c>
      <c r="AH482" s="42">
        <f>+Z482*1.04</f>
        <v>0</v>
      </c>
      <c r="AI482" s="42">
        <f>+AA482*1.04</f>
        <v>16.224</v>
      </c>
      <c r="AJ482" s="42">
        <f>+AB482*1.04</f>
        <v>0</v>
      </c>
      <c r="AK482" s="42">
        <f>+AC482*1.04</f>
        <v>0</v>
      </c>
      <c r="AL482" s="42">
        <f>+AE482*1.04</f>
        <v>0</v>
      </c>
      <c r="AM482" s="42"/>
      <c r="AN482" s="42">
        <f>+AG482*1.04</f>
        <v>190.03711999999999</v>
      </c>
      <c r="AO482" s="42">
        <f>+AH482*1.04</f>
        <v>0</v>
      </c>
      <c r="AP482" s="42">
        <f>+AI482*1.04</f>
        <v>16.872959999999999</v>
      </c>
      <c r="AQ482" s="42">
        <f>+AJ482*1.04</f>
        <v>0</v>
      </c>
      <c r="AR482" s="42">
        <f>+AK482*1.04</f>
        <v>0</v>
      </c>
      <c r="AS482" s="42" t="e">
        <f>+#REF!*1.04</f>
        <v>#REF!</v>
      </c>
      <c r="AT482" s="42"/>
      <c r="AU482" s="42"/>
      <c r="AV482" s="42">
        <f t="shared" ref="AV482:BA482" si="298">+AN482*1.04</f>
        <v>197.6386048</v>
      </c>
      <c r="AW482" s="42">
        <f t="shared" si="298"/>
        <v>0</v>
      </c>
      <c r="AX482" s="42">
        <f t="shared" si="298"/>
        <v>17.547878399999998</v>
      </c>
      <c r="AY482" s="42">
        <f t="shared" si="298"/>
        <v>0</v>
      </c>
      <c r="AZ482" s="42">
        <f t="shared" si="298"/>
        <v>0</v>
      </c>
      <c r="BA482" s="42" t="e">
        <f t="shared" si="298"/>
        <v>#REF!</v>
      </c>
      <c r="BB482" s="42"/>
      <c r="BC482" s="42"/>
      <c r="BD482" s="42">
        <f t="shared" si="295"/>
        <v>746.10372480000001</v>
      </c>
      <c r="BE482" s="42">
        <f t="shared" si="295"/>
        <v>0</v>
      </c>
      <c r="BF482" s="42">
        <f t="shared" si="295"/>
        <v>66.244838399999992</v>
      </c>
      <c r="BG482" s="42">
        <f t="shared" si="295"/>
        <v>0</v>
      </c>
      <c r="BH482" s="42">
        <f t="shared" si="295"/>
        <v>0</v>
      </c>
      <c r="BI482" s="42" t="e">
        <f t="shared" si="297"/>
        <v>#REF!</v>
      </c>
      <c r="BJ482" s="42">
        <f t="shared" si="296"/>
        <v>0</v>
      </c>
      <c r="BK482" s="42">
        <f t="shared" si="296"/>
        <v>0</v>
      </c>
    </row>
    <row r="483" spans="1:63" ht="20.399999999999999" x14ac:dyDescent="0.25">
      <c r="A483" s="420"/>
      <c r="B483" s="1565" t="s">
        <v>1448</v>
      </c>
      <c r="C483" s="1566"/>
      <c r="D483" s="1566"/>
      <c r="E483" s="1566"/>
      <c r="F483" s="1566"/>
      <c r="G483" s="1566"/>
      <c r="H483" s="1566"/>
      <c r="I483" s="1566"/>
      <c r="J483" s="1566"/>
      <c r="K483" s="1566"/>
      <c r="L483" s="1566"/>
      <c r="M483" s="1567"/>
      <c r="N483" s="381"/>
      <c r="O483" s="381"/>
      <c r="P483" s="383"/>
      <c r="Q483" s="383"/>
      <c r="R483" s="597"/>
      <c r="S483" s="597"/>
      <c r="T483" s="597"/>
      <c r="U483" s="599"/>
      <c r="V483" s="599"/>
      <c r="W483" s="599"/>
      <c r="X483" s="599"/>
      <c r="Y483" s="600">
        <f>+Y484+Y492</f>
        <v>175.7</v>
      </c>
      <c r="Z483" s="600">
        <f t="shared" ref="Z483:AE483" si="299">+Z484+Z492</f>
        <v>0</v>
      </c>
      <c r="AA483" s="600">
        <f t="shared" si="299"/>
        <v>15.6</v>
      </c>
      <c r="AB483" s="600">
        <f t="shared" si="299"/>
        <v>0</v>
      </c>
      <c r="AC483" s="600">
        <f t="shared" si="299"/>
        <v>0</v>
      </c>
      <c r="AD483" s="600">
        <f t="shared" si="299"/>
        <v>14.8</v>
      </c>
      <c r="AE483" s="600">
        <f t="shared" si="299"/>
        <v>0</v>
      </c>
      <c r="AF483" s="600">
        <f t="shared" ref="AF483:AF499" si="300">SUM(Y483:AE483)</f>
        <v>206.1</v>
      </c>
      <c r="AG483" s="600">
        <f t="shared" ref="AG483:AL483" si="301">+AG484+AG492</f>
        <v>182</v>
      </c>
      <c r="AH483" s="600">
        <f t="shared" si="301"/>
        <v>0</v>
      </c>
      <c r="AI483" s="600">
        <f t="shared" si="301"/>
        <v>16.2</v>
      </c>
      <c r="AJ483" s="600">
        <f t="shared" si="301"/>
        <v>0</v>
      </c>
      <c r="AK483" s="600">
        <f t="shared" si="301"/>
        <v>0</v>
      </c>
      <c r="AL483" s="600">
        <f t="shared" si="301"/>
        <v>0</v>
      </c>
      <c r="AM483" s="600">
        <f>SUM(AG483:AL483)</f>
        <v>198.2</v>
      </c>
      <c r="AN483" s="600">
        <f t="shared" ref="AN483:AT483" si="302">+AN484+AN492</f>
        <v>190</v>
      </c>
      <c r="AO483" s="600">
        <f t="shared" si="302"/>
        <v>0</v>
      </c>
      <c r="AP483" s="600">
        <f t="shared" si="302"/>
        <v>16.8</v>
      </c>
      <c r="AQ483" s="600">
        <f t="shared" si="302"/>
        <v>0</v>
      </c>
      <c r="AR483" s="600">
        <f t="shared" si="302"/>
        <v>0</v>
      </c>
      <c r="AS483" s="600">
        <f t="shared" si="302"/>
        <v>0</v>
      </c>
      <c r="AT483" s="600">
        <f t="shared" si="302"/>
        <v>0</v>
      </c>
      <c r="AU483" s="600">
        <f t="shared" ref="AU483:AU499" si="303">SUM(AN483:AT483)</f>
        <v>206.8</v>
      </c>
      <c r="AV483" s="600">
        <f t="shared" ref="AV483:BB483" si="304">+AV484+AV492</f>
        <v>197</v>
      </c>
      <c r="AW483" s="600">
        <f t="shared" si="304"/>
        <v>0</v>
      </c>
      <c r="AX483" s="600">
        <f t="shared" si="304"/>
        <v>17</v>
      </c>
      <c r="AY483" s="600">
        <f t="shared" si="304"/>
        <v>0</v>
      </c>
      <c r="AZ483" s="600">
        <f t="shared" si="304"/>
        <v>0</v>
      </c>
      <c r="BA483" s="600">
        <f t="shared" si="304"/>
        <v>0</v>
      </c>
      <c r="BB483" s="600">
        <f t="shared" si="304"/>
        <v>0</v>
      </c>
      <c r="BC483" s="600">
        <f t="shared" ref="BC483:BC499" si="305">SUM(AV483:BB483)</f>
        <v>214</v>
      </c>
      <c r="BD483" s="33">
        <f t="shared" si="295"/>
        <v>744.7</v>
      </c>
      <c r="BE483" s="33">
        <f t="shared" si="295"/>
        <v>0</v>
      </c>
      <c r="BF483" s="33">
        <f t="shared" si="295"/>
        <v>65.599999999999994</v>
      </c>
      <c r="BG483" s="33">
        <f t="shared" si="295"/>
        <v>0</v>
      </c>
      <c r="BH483" s="33">
        <f t="shared" si="295"/>
        <v>0</v>
      </c>
      <c r="BI483" s="33">
        <f t="shared" si="297"/>
        <v>14.8</v>
      </c>
      <c r="BJ483" s="33">
        <f t="shared" si="296"/>
        <v>0</v>
      </c>
      <c r="BK483" s="33">
        <f t="shared" si="296"/>
        <v>825.1</v>
      </c>
    </row>
    <row r="484" spans="1:63" ht="39.6" x14ac:dyDescent="0.25">
      <c r="A484" s="603"/>
      <c r="B484" s="154" t="s">
        <v>1448</v>
      </c>
      <c r="C484" s="154"/>
      <c r="D484" s="2" t="s">
        <v>1449</v>
      </c>
      <c r="E484" s="1"/>
      <c r="F484" s="1"/>
      <c r="G484" s="1"/>
      <c r="H484" s="1"/>
      <c r="I484" s="1"/>
      <c r="J484" s="1"/>
      <c r="K484" s="1"/>
      <c r="L484" s="1"/>
      <c r="M484" s="1"/>
      <c r="N484" s="1"/>
      <c r="O484" s="1"/>
      <c r="P484" s="22"/>
      <c r="Q484" s="22"/>
      <c r="R484" s="1"/>
      <c r="S484" s="1"/>
      <c r="T484" s="1"/>
      <c r="U484" s="49"/>
      <c r="V484" s="49"/>
      <c r="W484" s="49"/>
      <c r="X484" s="49"/>
      <c r="Y484" s="34">
        <f>SUM(Y485:Y491)</f>
        <v>25.7</v>
      </c>
      <c r="Z484" s="34">
        <f t="shared" ref="Z484:AE484" si="306">SUM(Z485:Z491)</f>
        <v>0</v>
      </c>
      <c r="AA484" s="34">
        <f t="shared" si="306"/>
        <v>15.6</v>
      </c>
      <c r="AB484" s="34">
        <f t="shared" si="306"/>
        <v>0</v>
      </c>
      <c r="AC484" s="34">
        <f t="shared" si="306"/>
        <v>0</v>
      </c>
      <c r="AD484" s="34">
        <f t="shared" si="306"/>
        <v>0</v>
      </c>
      <c r="AE484" s="34">
        <f t="shared" si="306"/>
        <v>0</v>
      </c>
      <c r="AF484" s="34">
        <f t="shared" si="300"/>
        <v>41.3</v>
      </c>
      <c r="AG484" s="34">
        <f t="shared" ref="AG484:AL484" si="307">SUM(AG485:AG491)</f>
        <v>26</v>
      </c>
      <c r="AH484" s="34">
        <f t="shared" si="307"/>
        <v>0</v>
      </c>
      <c r="AI484" s="34">
        <f t="shared" si="307"/>
        <v>0</v>
      </c>
      <c r="AJ484" s="34">
        <f t="shared" si="307"/>
        <v>0</v>
      </c>
      <c r="AK484" s="34">
        <f t="shared" si="307"/>
        <v>0</v>
      </c>
      <c r="AL484" s="34">
        <f t="shared" si="307"/>
        <v>0</v>
      </c>
      <c r="AM484" s="34">
        <f>SUM(AG484:AL484)</f>
        <v>26</v>
      </c>
      <c r="AN484" s="34">
        <f t="shared" ref="AN484:AT484" si="308">SUM(AN485:AN491)</f>
        <v>34</v>
      </c>
      <c r="AO484" s="34">
        <f t="shared" si="308"/>
        <v>0</v>
      </c>
      <c r="AP484" s="34">
        <f t="shared" si="308"/>
        <v>0</v>
      </c>
      <c r="AQ484" s="34">
        <f t="shared" si="308"/>
        <v>0</v>
      </c>
      <c r="AR484" s="34">
        <f t="shared" si="308"/>
        <v>0</v>
      </c>
      <c r="AS484" s="34">
        <f t="shared" si="308"/>
        <v>0</v>
      </c>
      <c r="AT484" s="34">
        <f t="shared" si="308"/>
        <v>0</v>
      </c>
      <c r="AU484" s="34">
        <f t="shared" si="303"/>
        <v>34</v>
      </c>
      <c r="AV484" s="34">
        <f t="shared" ref="AV484:BB484" si="309">SUM(AV485:AV491)</f>
        <v>37</v>
      </c>
      <c r="AW484" s="34">
        <f t="shared" si="309"/>
        <v>0</v>
      </c>
      <c r="AX484" s="34">
        <f t="shared" si="309"/>
        <v>0</v>
      </c>
      <c r="AY484" s="34">
        <f t="shared" si="309"/>
        <v>0</v>
      </c>
      <c r="AZ484" s="34">
        <f t="shared" si="309"/>
        <v>0</v>
      </c>
      <c r="BA484" s="34">
        <f t="shared" si="309"/>
        <v>0</v>
      </c>
      <c r="BB484" s="34">
        <f t="shared" si="309"/>
        <v>0</v>
      </c>
      <c r="BC484" s="34">
        <f t="shared" si="305"/>
        <v>37</v>
      </c>
      <c r="BD484" s="34">
        <f t="shared" si="295"/>
        <v>122.7</v>
      </c>
      <c r="BE484" s="34">
        <f t="shared" si="295"/>
        <v>0</v>
      </c>
      <c r="BF484" s="34">
        <f t="shared" si="295"/>
        <v>15.6</v>
      </c>
      <c r="BG484" s="34">
        <f t="shared" si="295"/>
        <v>0</v>
      </c>
      <c r="BH484" s="34">
        <f t="shared" si="295"/>
        <v>0</v>
      </c>
      <c r="BI484" s="34">
        <f t="shared" si="297"/>
        <v>0</v>
      </c>
      <c r="BJ484" s="34">
        <f t="shared" si="296"/>
        <v>0</v>
      </c>
      <c r="BK484" s="34">
        <f t="shared" si="296"/>
        <v>138.30000000000001</v>
      </c>
    </row>
    <row r="485" spans="1:63" ht="84" customHeight="1" x14ac:dyDescent="0.25">
      <c r="A485" s="298" t="s">
        <v>1450</v>
      </c>
      <c r="B485" s="299" t="s">
        <v>1448</v>
      </c>
      <c r="C485" s="1546" t="s">
        <v>1451</v>
      </c>
      <c r="D485" s="1549" t="s">
        <v>1452</v>
      </c>
      <c r="E485" s="1549" t="s">
        <v>1453</v>
      </c>
      <c r="F485" s="1549">
        <v>2015</v>
      </c>
      <c r="G485" s="1549" t="s">
        <v>177</v>
      </c>
      <c r="H485" s="1549">
        <v>20</v>
      </c>
      <c r="I485" s="1425"/>
      <c r="J485" s="1425"/>
      <c r="K485" s="1425" t="s">
        <v>1454</v>
      </c>
      <c r="L485" s="301" t="s">
        <v>179</v>
      </c>
      <c r="M485" s="1425" t="s">
        <v>902</v>
      </c>
      <c r="N485" s="476"/>
      <c r="O485" s="1425" t="s">
        <v>47</v>
      </c>
      <c r="P485" s="16" t="s">
        <v>1455</v>
      </c>
      <c r="Q485" s="302" t="s">
        <v>1456</v>
      </c>
      <c r="R485" s="351">
        <v>2015</v>
      </c>
      <c r="S485" s="303">
        <v>0</v>
      </c>
      <c r="T485" s="303">
        <v>0</v>
      </c>
      <c r="U485" s="572">
        <v>1</v>
      </c>
      <c r="V485" s="572">
        <v>0</v>
      </c>
      <c r="W485" s="572">
        <v>0</v>
      </c>
      <c r="X485" s="572">
        <f>SUBTOTAL(9,T485:W485)</f>
        <v>1</v>
      </c>
      <c r="Y485" s="481"/>
      <c r="Z485" s="481"/>
      <c r="AA485" s="481"/>
      <c r="AB485" s="481"/>
      <c r="AC485" s="481"/>
      <c r="AD485" s="481"/>
      <c r="AE485" s="481"/>
      <c r="AF485" s="481">
        <f t="shared" si="300"/>
        <v>0</v>
      </c>
      <c r="AG485" s="548"/>
      <c r="AH485" s="548"/>
      <c r="AI485" s="548"/>
      <c r="AJ485" s="548"/>
      <c r="AK485" s="548"/>
      <c r="AL485" s="548"/>
      <c r="AM485" s="548">
        <f>SUM(AG485:AL485)</f>
        <v>0</v>
      </c>
      <c r="AN485" s="481"/>
      <c r="AO485" s="481"/>
      <c r="AP485" s="481"/>
      <c r="AQ485" s="481"/>
      <c r="AR485" s="481"/>
      <c r="AS485" s="481"/>
      <c r="AT485" s="481"/>
      <c r="AU485" s="481">
        <f t="shared" si="303"/>
        <v>0</v>
      </c>
      <c r="AV485" s="548"/>
      <c r="AW485" s="548"/>
      <c r="AX485" s="548"/>
      <c r="AY485" s="548"/>
      <c r="AZ485" s="548"/>
      <c r="BA485" s="548"/>
      <c r="BB485" s="548"/>
      <c r="BC485" s="548">
        <f t="shared" si="305"/>
        <v>0</v>
      </c>
      <c r="BD485" s="42">
        <f t="shared" si="295"/>
        <v>0</v>
      </c>
      <c r="BE485" s="42">
        <f t="shared" si="295"/>
        <v>0</v>
      </c>
      <c r="BF485" s="42">
        <f t="shared" si="295"/>
        <v>0</v>
      </c>
      <c r="BG485" s="42">
        <f t="shared" si="295"/>
        <v>0</v>
      </c>
      <c r="BH485" s="42">
        <f t="shared" si="295"/>
        <v>0</v>
      </c>
      <c r="BI485" s="42">
        <f t="shared" si="297"/>
        <v>0</v>
      </c>
      <c r="BJ485" s="42">
        <f t="shared" si="296"/>
        <v>0</v>
      </c>
      <c r="BK485" s="42">
        <f t="shared" si="296"/>
        <v>0</v>
      </c>
    </row>
    <row r="486" spans="1:63" ht="104.25" customHeight="1" x14ac:dyDescent="0.25">
      <c r="A486" s="298" t="s">
        <v>1450</v>
      </c>
      <c r="B486" s="299" t="s">
        <v>1448</v>
      </c>
      <c r="C486" s="1547"/>
      <c r="D486" s="1549"/>
      <c r="E486" s="1549"/>
      <c r="F486" s="1549"/>
      <c r="G486" s="1549"/>
      <c r="H486" s="1549"/>
      <c r="I486" s="1425" t="s">
        <v>53</v>
      </c>
      <c r="J486" s="1425"/>
      <c r="K486" s="1425" t="s">
        <v>1457</v>
      </c>
      <c r="L486" s="301" t="s">
        <v>179</v>
      </c>
      <c r="M486" s="1425" t="s">
        <v>902</v>
      </c>
      <c r="N486" s="476"/>
      <c r="O486" s="1425" t="s">
        <v>47</v>
      </c>
      <c r="P486" s="16" t="s">
        <v>1458</v>
      </c>
      <c r="Q486" s="302" t="s">
        <v>1459</v>
      </c>
      <c r="R486" s="303">
        <v>2015</v>
      </c>
      <c r="S486" s="303">
        <v>0</v>
      </c>
      <c r="T486" s="303">
        <v>0</v>
      </c>
      <c r="U486" s="572">
        <v>1</v>
      </c>
      <c r="V486" s="572">
        <v>0</v>
      </c>
      <c r="W486" s="572">
        <v>0</v>
      </c>
      <c r="X486" s="572">
        <f>SUBTOTAL(9,T486:W486)</f>
        <v>1</v>
      </c>
      <c r="Y486" s="481">
        <v>2</v>
      </c>
      <c r="Z486" s="481"/>
      <c r="AA486" s="481"/>
      <c r="AB486" s="481"/>
      <c r="AC486" s="481"/>
      <c r="AD486" s="481"/>
      <c r="AE486" s="481"/>
      <c r="AF486" s="481">
        <f t="shared" si="300"/>
        <v>2</v>
      </c>
      <c r="AG486" s="548">
        <v>2</v>
      </c>
      <c r="AH486" s="548"/>
      <c r="AI486" s="548"/>
      <c r="AJ486" s="548"/>
      <c r="AK486" s="548"/>
      <c r="AL486" s="548"/>
      <c r="AM486" s="548">
        <f>SUM(AG486:AL486)</f>
        <v>2</v>
      </c>
      <c r="AN486" s="481"/>
      <c r="AO486" s="481"/>
      <c r="AP486" s="481"/>
      <c r="AQ486" s="481"/>
      <c r="AR486" s="481"/>
      <c r="AS486" s="481"/>
      <c r="AT486" s="481"/>
      <c r="AU486" s="481">
        <f t="shared" si="303"/>
        <v>0</v>
      </c>
      <c r="AV486" s="548"/>
      <c r="AW486" s="548"/>
      <c r="AX486" s="548"/>
      <c r="AY486" s="548"/>
      <c r="AZ486" s="548"/>
      <c r="BA486" s="548"/>
      <c r="BB486" s="548"/>
      <c r="BC486" s="548">
        <f t="shared" si="305"/>
        <v>0</v>
      </c>
      <c r="BD486" s="42">
        <f t="shared" si="295"/>
        <v>4</v>
      </c>
      <c r="BE486" s="42">
        <f t="shared" si="295"/>
        <v>0</v>
      </c>
      <c r="BF486" s="42">
        <f t="shared" si="295"/>
        <v>0</v>
      </c>
      <c r="BG486" s="42">
        <f t="shared" si="295"/>
        <v>0</v>
      </c>
      <c r="BH486" s="42">
        <f t="shared" si="295"/>
        <v>0</v>
      </c>
      <c r="BI486" s="42">
        <f t="shared" si="297"/>
        <v>0</v>
      </c>
      <c r="BJ486" s="42">
        <f t="shared" si="296"/>
        <v>0</v>
      </c>
      <c r="BK486" s="42">
        <f t="shared" si="296"/>
        <v>4</v>
      </c>
    </row>
    <row r="487" spans="1:63" ht="25.5" customHeight="1" x14ac:dyDescent="0.25">
      <c r="A487" s="298" t="s">
        <v>1450</v>
      </c>
      <c r="B487" s="299" t="s">
        <v>1448</v>
      </c>
      <c r="C487" s="1547"/>
      <c r="D487" s="1549"/>
      <c r="E487" s="1549"/>
      <c r="F487" s="1549"/>
      <c r="G487" s="1549"/>
      <c r="H487" s="1549"/>
      <c r="I487" s="1425"/>
      <c r="J487" s="1425"/>
      <c r="K487" s="1425" t="s">
        <v>1460</v>
      </c>
      <c r="L487" s="301" t="s">
        <v>179</v>
      </c>
      <c r="M487" s="1425" t="s">
        <v>902</v>
      </c>
      <c r="N487" s="476"/>
      <c r="O487" s="1425" t="s">
        <v>47</v>
      </c>
      <c r="P487" s="16" t="s">
        <v>1461</v>
      </c>
      <c r="Q487" s="302" t="s">
        <v>1462</v>
      </c>
      <c r="R487" s="351">
        <v>2015</v>
      </c>
      <c r="S487" s="303">
        <v>0</v>
      </c>
      <c r="T487" s="303">
        <v>1</v>
      </c>
      <c r="U487" s="572">
        <v>0</v>
      </c>
      <c r="V487" s="572">
        <v>0</v>
      </c>
      <c r="W487" s="572">
        <v>0</v>
      </c>
      <c r="X487" s="572">
        <v>1</v>
      </c>
      <c r="Y487" s="481"/>
      <c r="Z487" s="481"/>
      <c r="AA487" s="481"/>
      <c r="AB487" s="481"/>
      <c r="AC487" s="481"/>
      <c r="AD487" s="481"/>
      <c r="AE487" s="481"/>
      <c r="AF487" s="481">
        <f t="shared" si="300"/>
        <v>0</v>
      </c>
      <c r="AG487" s="548"/>
      <c r="AH487" s="548"/>
      <c r="AI487" s="548"/>
      <c r="AJ487" s="548"/>
      <c r="AK487" s="548"/>
      <c r="AL487" s="548"/>
      <c r="AM487" s="548"/>
      <c r="AN487" s="481"/>
      <c r="AO487" s="481"/>
      <c r="AP487" s="481"/>
      <c r="AQ487" s="481"/>
      <c r="AR487" s="481"/>
      <c r="AS487" s="481"/>
      <c r="AT487" s="481"/>
      <c r="AU487" s="481"/>
      <c r="AV487" s="548"/>
      <c r="AW487" s="548"/>
      <c r="AX487" s="548"/>
      <c r="AY487" s="548"/>
      <c r="AZ487" s="548"/>
      <c r="BA487" s="548"/>
      <c r="BB487" s="548"/>
      <c r="BC487" s="548"/>
      <c r="BD487" s="42"/>
      <c r="BE487" s="42"/>
      <c r="BF487" s="42"/>
      <c r="BG487" s="42"/>
      <c r="BH487" s="42"/>
      <c r="BI487" s="42">
        <f t="shared" si="297"/>
        <v>0</v>
      </c>
      <c r="BJ487" s="42"/>
      <c r="BK487" s="42"/>
    </row>
    <row r="488" spans="1:63" ht="89.25" customHeight="1" x14ac:dyDescent="0.25">
      <c r="A488" s="298" t="s">
        <v>1450</v>
      </c>
      <c r="B488" s="299" t="s">
        <v>1448</v>
      </c>
      <c r="C488" s="1547"/>
      <c r="D488" s="1549"/>
      <c r="E488" s="1549"/>
      <c r="F488" s="1549"/>
      <c r="G488" s="1549"/>
      <c r="H488" s="1549"/>
      <c r="I488" s="1425"/>
      <c r="J488" s="1425"/>
      <c r="K488" s="1425" t="s">
        <v>1463</v>
      </c>
      <c r="L488" s="301" t="s">
        <v>179</v>
      </c>
      <c r="M488" s="1425" t="s">
        <v>902</v>
      </c>
      <c r="N488" s="476"/>
      <c r="O488" s="1425" t="s">
        <v>73</v>
      </c>
      <c r="P488" s="16" t="s">
        <v>1464</v>
      </c>
      <c r="Q488" s="302" t="s">
        <v>1465</v>
      </c>
      <c r="R488" s="351">
        <v>2015</v>
      </c>
      <c r="S488" s="303">
        <v>0</v>
      </c>
      <c r="T488" s="303">
        <v>3</v>
      </c>
      <c r="U488" s="572">
        <v>3</v>
      </c>
      <c r="V488" s="572">
        <v>3</v>
      </c>
      <c r="W488" s="572">
        <v>3</v>
      </c>
      <c r="X488" s="572">
        <v>3</v>
      </c>
      <c r="Y488" s="481"/>
      <c r="Z488" s="481"/>
      <c r="AA488" s="481"/>
      <c r="AB488" s="481"/>
      <c r="AC488" s="481"/>
      <c r="AD488" s="481"/>
      <c r="AE488" s="481"/>
      <c r="AF488" s="481">
        <f t="shared" si="300"/>
        <v>0</v>
      </c>
      <c r="AG488" s="548"/>
      <c r="AH488" s="548"/>
      <c r="AI488" s="548"/>
      <c r="AJ488" s="548"/>
      <c r="AK488" s="548"/>
      <c r="AL488" s="548"/>
      <c r="AM488" s="548">
        <f t="shared" ref="AM488:AM499" si="310">SUM(AG488:AL488)</f>
        <v>0</v>
      </c>
      <c r="AN488" s="481"/>
      <c r="AO488" s="481"/>
      <c r="AP488" s="481"/>
      <c r="AQ488" s="481"/>
      <c r="AR488" s="481"/>
      <c r="AS488" s="481"/>
      <c r="AT488" s="481"/>
      <c r="AU488" s="481">
        <f t="shared" si="303"/>
        <v>0</v>
      </c>
      <c r="AV488" s="491">
        <v>2</v>
      </c>
      <c r="AW488" s="548"/>
      <c r="AX488" s="548"/>
      <c r="AY488" s="548"/>
      <c r="AZ488" s="548"/>
      <c r="BA488" s="548"/>
      <c r="BB488" s="548"/>
      <c r="BC488" s="548">
        <f t="shared" si="305"/>
        <v>2</v>
      </c>
      <c r="BD488" s="42">
        <f t="shared" ref="BD488:BH499" si="311">+AV488+AN488+AG488+Y488</f>
        <v>2</v>
      </c>
      <c r="BE488" s="42">
        <f t="shared" si="311"/>
        <v>0</v>
      </c>
      <c r="BF488" s="42">
        <f t="shared" si="311"/>
        <v>0</v>
      </c>
      <c r="BG488" s="42">
        <f t="shared" si="311"/>
        <v>0</v>
      </c>
      <c r="BH488" s="42">
        <f t="shared" si="311"/>
        <v>0</v>
      </c>
      <c r="BI488" s="42">
        <f t="shared" si="297"/>
        <v>0</v>
      </c>
      <c r="BJ488" s="42">
        <f t="shared" ref="BJ488:BK499" si="312">+BB488+AT488+AL488+AE488</f>
        <v>0</v>
      </c>
      <c r="BK488" s="42">
        <f t="shared" si="312"/>
        <v>2</v>
      </c>
    </row>
    <row r="489" spans="1:63" ht="76.5" customHeight="1" x14ac:dyDescent="0.25">
      <c r="A489" s="298" t="s">
        <v>1450</v>
      </c>
      <c r="B489" s="299" t="s">
        <v>1448</v>
      </c>
      <c r="C489" s="1547"/>
      <c r="D489" s="1549"/>
      <c r="E489" s="1549"/>
      <c r="F489" s="1549"/>
      <c r="G489" s="1549"/>
      <c r="H489" s="1549"/>
      <c r="I489" s="1425"/>
      <c r="J489" s="1425"/>
      <c r="K489" s="1425" t="s">
        <v>1466</v>
      </c>
      <c r="L489" s="301" t="s">
        <v>179</v>
      </c>
      <c r="M489" s="1425" t="s">
        <v>902</v>
      </c>
      <c r="N489" s="476"/>
      <c r="O489" s="1425" t="s">
        <v>47</v>
      </c>
      <c r="P489" s="16" t="s">
        <v>1467</v>
      </c>
      <c r="Q489" s="302" t="s">
        <v>1468</v>
      </c>
      <c r="R489" s="351">
        <v>2015</v>
      </c>
      <c r="S489" s="303">
        <v>0</v>
      </c>
      <c r="T489" s="303">
        <v>0</v>
      </c>
      <c r="U489" s="572">
        <v>0</v>
      </c>
      <c r="V489" s="572">
        <v>1</v>
      </c>
      <c r="W489" s="572">
        <v>0</v>
      </c>
      <c r="X489" s="572">
        <f>SUBTOTAL(9,T489:W489)</f>
        <v>1</v>
      </c>
      <c r="Y489" s="481"/>
      <c r="Z489" s="481"/>
      <c r="AA489" s="481"/>
      <c r="AB489" s="481"/>
      <c r="AC489" s="481"/>
      <c r="AD489" s="481"/>
      <c r="AE489" s="481"/>
      <c r="AF489" s="481">
        <f t="shared" si="300"/>
        <v>0</v>
      </c>
      <c r="AG489" s="548"/>
      <c r="AH489" s="548"/>
      <c r="AI489" s="548"/>
      <c r="AJ489" s="548"/>
      <c r="AK489" s="548"/>
      <c r="AL489" s="548"/>
      <c r="AM489" s="548">
        <f t="shared" si="310"/>
        <v>0</v>
      </c>
      <c r="AN489" s="481">
        <v>5</v>
      </c>
      <c r="AO489" s="481"/>
      <c r="AP489" s="481"/>
      <c r="AQ489" s="481"/>
      <c r="AR489" s="481"/>
      <c r="AS489" s="481"/>
      <c r="AT489" s="481"/>
      <c r="AU489" s="481">
        <f t="shared" si="303"/>
        <v>5</v>
      </c>
      <c r="AV489" s="548">
        <v>5</v>
      </c>
      <c r="AW489" s="548"/>
      <c r="AX489" s="548"/>
      <c r="AY489" s="548"/>
      <c r="AZ489" s="548"/>
      <c r="BA489" s="548"/>
      <c r="BB489" s="548"/>
      <c r="BC489" s="548">
        <f t="shared" si="305"/>
        <v>5</v>
      </c>
      <c r="BD489" s="42">
        <f t="shared" si="311"/>
        <v>10</v>
      </c>
      <c r="BE489" s="42">
        <f t="shared" si="311"/>
        <v>0</v>
      </c>
      <c r="BF489" s="42">
        <f t="shared" si="311"/>
        <v>0</v>
      </c>
      <c r="BG489" s="42">
        <f t="shared" si="311"/>
        <v>0</v>
      </c>
      <c r="BH489" s="42">
        <f t="shared" si="311"/>
        <v>0</v>
      </c>
      <c r="BI489" s="42">
        <f t="shared" si="297"/>
        <v>0</v>
      </c>
      <c r="BJ489" s="42">
        <f t="shared" si="312"/>
        <v>0</v>
      </c>
      <c r="BK489" s="42">
        <f t="shared" si="312"/>
        <v>10</v>
      </c>
    </row>
    <row r="490" spans="1:63" ht="42" customHeight="1" x14ac:dyDescent="0.25">
      <c r="A490" s="298" t="s">
        <v>1450</v>
      </c>
      <c r="B490" s="299" t="s">
        <v>1448</v>
      </c>
      <c r="C490" s="1547"/>
      <c r="D490" s="1549"/>
      <c r="E490" s="1549"/>
      <c r="F490" s="1549"/>
      <c r="G490" s="1549"/>
      <c r="H490" s="1549"/>
      <c r="I490" s="1425"/>
      <c r="J490" s="1425"/>
      <c r="K490" s="1425" t="s">
        <v>1469</v>
      </c>
      <c r="L490" s="301" t="s">
        <v>179</v>
      </c>
      <c r="M490" s="1425" t="s">
        <v>902</v>
      </c>
      <c r="N490" s="476"/>
      <c r="O490" s="1425" t="s">
        <v>47</v>
      </c>
      <c r="P490" s="16" t="s">
        <v>1470</v>
      </c>
      <c r="Q490" s="302" t="s">
        <v>1471</v>
      </c>
      <c r="R490" s="351">
        <v>2015</v>
      </c>
      <c r="S490" s="303">
        <v>0</v>
      </c>
      <c r="T490" s="303">
        <v>1</v>
      </c>
      <c r="U490" s="572">
        <v>0</v>
      </c>
      <c r="V490" s="572">
        <v>1</v>
      </c>
      <c r="W490" s="572">
        <v>0</v>
      </c>
      <c r="X490" s="572">
        <f>SUBTOTAL(9,T490:W490)</f>
        <v>2</v>
      </c>
      <c r="Y490" s="481"/>
      <c r="Z490" s="481"/>
      <c r="AA490" s="481">
        <f>11+4.6</f>
        <v>15.6</v>
      </c>
      <c r="AB490" s="481"/>
      <c r="AC490" s="481"/>
      <c r="AD490" s="481"/>
      <c r="AE490" s="481"/>
      <c r="AF490" s="481">
        <f t="shared" si="300"/>
        <v>15.6</v>
      </c>
      <c r="AG490" s="548"/>
      <c r="AH490" s="548"/>
      <c r="AI490" s="548"/>
      <c r="AJ490" s="548"/>
      <c r="AK490" s="548"/>
      <c r="AL490" s="548"/>
      <c r="AM490" s="548">
        <f t="shared" si="310"/>
        <v>0</v>
      </c>
      <c r="AN490" s="481">
        <v>4</v>
      </c>
      <c r="AO490" s="481"/>
      <c r="AP490" s="481"/>
      <c r="AQ490" s="481"/>
      <c r="AR490" s="481"/>
      <c r="AS490" s="481"/>
      <c r="AT490" s="481"/>
      <c r="AU490" s="481">
        <f t="shared" si="303"/>
        <v>4</v>
      </c>
      <c r="AV490" s="548"/>
      <c r="AW490" s="548"/>
      <c r="AX490" s="548"/>
      <c r="AY490" s="548"/>
      <c r="AZ490" s="548"/>
      <c r="BA490" s="548"/>
      <c r="BB490" s="548"/>
      <c r="BC490" s="548">
        <f t="shared" si="305"/>
        <v>0</v>
      </c>
      <c r="BD490" s="42">
        <f t="shared" si="311"/>
        <v>4</v>
      </c>
      <c r="BE490" s="42">
        <f t="shared" si="311"/>
        <v>0</v>
      </c>
      <c r="BF490" s="42">
        <f t="shared" si="311"/>
        <v>15.6</v>
      </c>
      <c r="BG490" s="42">
        <f t="shared" si="311"/>
        <v>0</v>
      </c>
      <c r="BH490" s="42">
        <f t="shared" si="311"/>
        <v>0</v>
      </c>
      <c r="BI490" s="42">
        <f t="shared" si="297"/>
        <v>0</v>
      </c>
      <c r="BJ490" s="42">
        <f t="shared" si="312"/>
        <v>0</v>
      </c>
      <c r="BK490" s="42">
        <f t="shared" si="312"/>
        <v>19.600000000000001</v>
      </c>
    </row>
    <row r="491" spans="1:63" ht="94.5" customHeight="1" x14ac:dyDescent="0.25">
      <c r="A491" s="298" t="s">
        <v>1450</v>
      </c>
      <c r="B491" s="299" t="s">
        <v>1448</v>
      </c>
      <c r="C491" s="1548"/>
      <c r="D491" s="1549"/>
      <c r="E491" s="1549"/>
      <c r="F491" s="1549"/>
      <c r="G491" s="1549"/>
      <c r="H491" s="1549"/>
      <c r="I491" s="1425"/>
      <c r="J491" s="1425"/>
      <c r="K491" s="1425" t="s">
        <v>1472</v>
      </c>
      <c r="L491" s="301" t="s">
        <v>179</v>
      </c>
      <c r="M491" s="1425" t="s">
        <v>902</v>
      </c>
      <c r="N491" s="476"/>
      <c r="O491" s="1425" t="s">
        <v>47</v>
      </c>
      <c r="P491" s="16" t="s">
        <v>1473</v>
      </c>
      <c r="Q491" s="302" t="s">
        <v>1474</v>
      </c>
      <c r="R491" s="351">
        <v>2015</v>
      </c>
      <c r="S491" s="303">
        <v>0</v>
      </c>
      <c r="T491" s="303">
        <v>1</v>
      </c>
      <c r="U491" s="572">
        <v>1</v>
      </c>
      <c r="V491" s="572">
        <v>1</v>
      </c>
      <c r="W491" s="572">
        <v>1</v>
      </c>
      <c r="X491" s="572">
        <f>SUBTOTAL(9,T491:W491)</f>
        <v>4</v>
      </c>
      <c r="Y491" s="481">
        <v>23.7</v>
      </c>
      <c r="Z491" s="481"/>
      <c r="AA491" s="481"/>
      <c r="AB491" s="481"/>
      <c r="AC491" s="481"/>
      <c r="AD491" s="481"/>
      <c r="AE491" s="481"/>
      <c r="AF491" s="481">
        <f t="shared" si="300"/>
        <v>23.7</v>
      </c>
      <c r="AG491" s="548">
        <v>24</v>
      </c>
      <c r="AH491" s="548"/>
      <c r="AI491" s="548"/>
      <c r="AJ491" s="548"/>
      <c r="AK491" s="548"/>
      <c r="AL491" s="548"/>
      <c r="AM491" s="548">
        <f t="shared" si="310"/>
        <v>24</v>
      </c>
      <c r="AN491" s="481">
        <v>25</v>
      </c>
      <c r="AO491" s="481"/>
      <c r="AP491" s="481"/>
      <c r="AQ491" s="481"/>
      <c r="AR491" s="481"/>
      <c r="AS491" s="481"/>
      <c r="AT491" s="481"/>
      <c r="AU491" s="481">
        <f t="shared" si="303"/>
        <v>25</v>
      </c>
      <c r="AV491" s="491">
        <v>30</v>
      </c>
      <c r="AW491" s="548"/>
      <c r="AX491" s="548"/>
      <c r="AY491" s="548"/>
      <c r="AZ491" s="548"/>
      <c r="BA491" s="548"/>
      <c r="BB491" s="548"/>
      <c r="BC491" s="548">
        <f t="shared" si="305"/>
        <v>30</v>
      </c>
      <c r="BD491" s="42">
        <f t="shared" si="311"/>
        <v>102.7</v>
      </c>
      <c r="BE491" s="42">
        <f t="shared" si="311"/>
        <v>0</v>
      </c>
      <c r="BF491" s="42">
        <f t="shared" si="311"/>
        <v>0</v>
      </c>
      <c r="BG491" s="42">
        <f t="shared" si="311"/>
        <v>0</v>
      </c>
      <c r="BH491" s="42">
        <f t="shared" si="311"/>
        <v>0</v>
      </c>
      <c r="BI491" s="42">
        <f t="shared" si="297"/>
        <v>0</v>
      </c>
      <c r="BJ491" s="42">
        <f t="shared" si="312"/>
        <v>0</v>
      </c>
      <c r="BK491" s="42">
        <f t="shared" si="312"/>
        <v>102.7</v>
      </c>
    </row>
    <row r="492" spans="1:63" ht="39.6" x14ac:dyDescent="0.25">
      <c r="A492" s="295" t="s">
        <v>1450</v>
      </c>
      <c r="B492" s="24" t="s">
        <v>1448</v>
      </c>
      <c r="C492" s="6"/>
      <c r="D492" s="2" t="s">
        <v>1475</v>
      </c>
      <c r="E492" s="1"/>
      <c r="F492" s="1"/>
      <c r="G492" s="1"/>
      <c r="H492" s="1"/>
      <c r="I492" s="1"/>
      <c r="J492" s="1"/>
      <c r="K492" s="1"/>
      <c r="L492" s="1"/>
      <c r="M492" s="1"/>
      <c r="N492" s="1"/>
      <c r="O492" s="1"/>
      <c r="P492" s="22"/>
      <c r="Q492" s="22"/>
      <c r="R492" s="1"/>
      <c r="S492" s="1"/>
      <c r="T492" s="1"/>
      <c r="U492" s="49"/>
      <c r="V492" s="49"/>
      <c r="W492" s="49"/>
      <c r="X492" s="49"/>
      <c r="Y492" s="34">
        <f t="shared" ref="Y492:AE492" si="313">SUM(Y493:Y499)</f>
        <v>150</v>
      </c>
      <c r="Z492" s="34">
        <f t="shared" si="313"/>
        <v>0</v>
      </c>
      <c r="AA492" s="34">
        <f t="shared" si="313"/>
        <v>0</v>
      </c>
      <c r="AB492" s="34">
        <f t="shared" si="313"/>
        <v>0</v>
      </c>
      <c r="AC492" s="34">
        <f t="shared" si="313"/>
        <v>0</v>
      </c>
      <c r="AD492" s="34">
        <f t="shared" si="313"/>
        <v>14.8</v>
      </c>
      <c r="AE492" s="34">
        <f t="shared" si="313"/>
        <v>0</v>
      </c>
      <c r="AF492" s="34">
        <f t="shared" si="300"/>
        <v>164.8</v>
      </c>
      <c r="AG492" s="34">
        <f t="shared" ref="AG492:AL492" si="314">SUM(AG493:AG499)</f>
        <v>156</v>
      </c>
      <c r="AH492" s="34">
        <f t="shared" si="314"/>
        <v>0</v>
      </c>
      <c r="AI492" s="34">
        <f t="shared" si="314"/>
        <v>16.2</v>
      </c>
      <c r="AJ492" s="34">
        <f t="shared" si="314"/>
        <v>0</v>
      </c>
      <c r="AK492" s="34">
        <f t="shared" si="314"/>
        <v>0</v>
      </c>
      <c r="AL492" s="34">
        <f t="shared" si="314"/>
        <v>0</v>
      </c>
      <c r="AM492" s="34">
        <f t="shared" si="310"/>
        <v>172.2</v>
      </c>
      <c r="AN492" s="34">
        <f t="shared" ref="AN492:AT492" si="315">SUM(AN493:AN499)</f>
        <v>156</v>
      </c>
      <c r="AO492" s="34">
        <f t="shared" si="315"/>
        <v>0</v>
      </c>
      <c r="AP492" s="34">
        <f t="shared" si="315"/>
        <v>16.8</v>
      </c>
      <c r="AQ492" s="34">
        <f t="shared" si="315"/>
        <v>0</v>
      </c>
      <c r="AR492" s="34">
        <f t="shared" si="315"/>
        <v>0</v>
      </c>
      <c r="AS492" s="34">
        <f t="shared" si="315"/>
        <v>0</v>
      </c>
      <c r="AT492" s="34">
        <f t="shared" si="315"/>
        <v>0</v>
      </c>
      <c r="AU492" s="34">
        <f t="shared" si="303"/>
        <v>172.8</v>
      </c>
      <c r="AV492" s="34">
        <f t="shared" ref="AV492:BA492" si="316">SUM(AV493:AV499)</f>
        <v>160</v>
      </c>
      <c r="AW492" s="34">
        <f t="shared" si="316"/>
        <v>0</v>
      </c>
      <c r="AX492" s="34">
        <f t="shared" si="316"/>
        <v>17</v>
      </c>
      <c r="AY492" s="34">
        <f t="shared" si="316"/>
        <v>0</v>
      </c>
      <c r="AZ492" s="34">
        <f t="shared" si="316"/>
        <v>0</v>
      </c>
      <c r="BA492" s="34">
        <f t="shared" si="316"/>
        <v>0</v>
      </c>
      <c r="BB492" s="34">
        <f>SUM(BB493:BB499)</f>
        <v>0</v>
      </c>
      <c r="BC492" s="34">
        <f t="shared" si="305"/>
        <v>177</v>
      </c>
      <c r="BD492" s="34">
        <f t="shared" si="311"/>
        <v>622</v>
      </c>
      <c r="BE492" s="34">
        <f t="shared" si="311"/>
        <v>0</v>
      </c>
      <c r="BF492" s="34">
        <f t="shared" si="311"/>
        <v>50</v>
      </c>
      <c r="BG492" s="34">
        <f t="shared" si="311"/>
        <v>0</v>
      </c>
      <c r="BH492" s="34">
        <f t="shared" si="311"/>
        <v>0</v>
      </c>
      <c r="BI492" s="34">
        <f t="shared" si="297"/>
        <v>14.8</v>
      </c>
      <c r="BJ492" s="34">
        <f t="shared" si="312"/>
        <v>0</v>
      </c>
      <c r="BK492" s="34">
        <f t="shared" si="312"/>
        <v>686.8</v>
      </c>
    </row>
    <row r="493" spans="1:63" ht="158.4" x14ac:dyDescent="0.25">
      <c r="A493" s="298" t="s">
        <v>1450</v>
      </c>
      <c r="B493" s="299" t="s">
        <v>1448</v>
      </c>
      <c r="C493" s="1546" t="s">
        <v>1476</v>
      </c>
      <c r="D493" s="1549" t="s">
        <v>1477</v>
      </c>
      <c r="E493" s="1549" t="s">
        <v>1478</v>
      </c>
      <c r="F493" s="1549">
        <v>2015</v>
      </c>
      <c r="G493" s="1549">
        <v>100</v>
      </c>
      <c r="H493" s="1549">
        <v>100</v>
      </c>
      <c r="I493" s="1425"/>
      <c r="J493" s="1425"/>
      <c r="K493" s="1425" t="s">
        <v>1479</v>
      </c>
      <c r="L493" s="301" t="s">
        <v>179</v>
      </c>
      <c r="M493" s="1425" t="s">
        <v>902</v>
      </c>
      <c r="N493" s="476"/>
      <c r="O493" s="1425" t="s">
        <v>47</v>
      </c>
      <c r="P493" s="16" t="s">
        <v>1480</v>
      </c>
      <c r="Q493" s="302" t="s">
        <v>1481</v>
      </c>
      <c r="R493" s="303">
        <v>2015</v>
      </c>
      <c r="S493" s="303">
        <v>1</v>
      </c>
      <c r="T493" s="303">
        <v>1</v>
      </c>
      <c r="U493" s="572">
        <v>1</v>
      </c>
      <c r="V493" s="572">
        <v>1</v>
      </c>
      <c r="W493" s="572">
        <v>1</v>
      </c>
      <c r="X493" s="572">
        <v>4</v>
      </c>
      <c r="Y493" s="481">
        <v>145</v>
      </c>
      <c r="Z493" s="481"/>
      <c r="AA493" s="481"/>
      <c r="AB493" s="481"/>
      <c r="AC493" s="481"/>
      <c r="AD493" s="481">
        <v>14.8</v>
      </c>
      <c r="AE493" s="481"/>
      <c r="AF493" s="481">
        <f t="shared" si="300"/>
        <v>159.80000000000001</v>
      </c>
      <c r="AG493" s="548">
        <v>150</v>
      </c>
      <c r="AH493" s="548"/>
      <c r="AI493" s="548"/>
      <c r="AJ493" s="548"/>
      <c r="AK493" s="548"/>
      <c r="AL493" s="548"/>
      <c r="AM493" s="594">
        <f t="shared" si="310"/>
        <v>150</v>
      </c>
      <c r="AN493" s="481">
        <v>150</v>
      </c>
      <c r="AO493" s="481"/>
      <c r="AP493" s="481"/>
      <c r="AQ493" s="481"/>
      <c r="AR493" s="481"/>
      <c r="AS493" s="481"/>
      <c r="AT493" s="481"/>
      <c r="AU493" s="481">
        <f t="shared" si="303"/>
        <v>150</v>
      </c>
      <c r="AV493" s="548">
        <v>155</v>
      </c>
      <c r="AW493" s="548"/>
      <c r="AX493" s="548"/>
      <c r="AY493" s="548"/>
      <c r="AZ493" s="548"/>
      <c r="BA493" s="548"/>
      <c r="BB493" s="548"/>
      <c r="BC493" s="548">
        <f t="shared" si="305"/>
        <v>155</v>
      </c>
      <c r="BD493" s="42">
        <f t="shared" si="311"/>
        <v>600</v>
      </c>
      <c r="BE493" s="42">
        <f t="shared" si="311"/>
        <v>0</v>
      </c>
      <c r="BF493" s="42">
        <f t="shared" si="311"/>
        <v>0</v>
      </c>
      <c r="BG493" s="42">
        <f t="shared" si="311"/>
        <v>0</v>
      </c>
      <c r="BH493" s="42">
        <f t="shared" si="311"/>
        <v>0</v>
      </c>
      <c r="BI493" s="42">
        <f t="shared" si="297"/>
        <v>14.8</v>
      </c>
      <c r="BJ493" s="42">
        <f t="shared" si="312"/>
        <v>0</v>
      </c>
      <c r="BK493" s="42">
        <f t="shared" si="312"/>
        <v>614.79999999999995</v>
      </c>
    </row>
    <row r="494" spans="1:63" ht="316.8" x14ac:dyDescent="0.25">
      <c r="A494" s="298" t="s">
        <v>1450</v>
      </c>
      <c r="B494" s="299" t="s">
        <v>1448</v>
      </c>
      <c r="C494" s="1547"/>
      <c r="D494" s="1549"/>
      <c r="E494" s="1549"/>
      <c r="F494" s="1549"/>
      <c r="G494" s="1549"/>
      <c r="H494" s="1549"/>
      <c r="I494" s="1425"/>
      <c r="J494" s="1425"/>
      <c r="K494" s="1425" t="s">
        <v>1482</v>
      </c>
      <c r="L494" s="301" t="s">
        <v>179</v>
      </c>
      <c r="M494" s="1425" t="s">
        <v>902</v>
      </c>
      <c r="N494" s="476"/>
      <c r="O494" s="1425" t="s">
        <v>73</v>
      </c>
      <c r="P494" s="16" t="s">
        <v>1483</v>
      </c>
      <c r="Q494" s="302" t="s">
        <v>936</v>
      </c>
      <c r="R494" s="303">
        <v>2015</v>
      </c>
      <c r="S494" s="303">
        <v>0</v>
      </c>
      <c r="T494" s="303">
        <v>1</v>
      </c>
      <c r="U494" s="572">
        <v>1</v>
      </c>
      <c r="V494" s="572">
        <v>1</v>
      </c>
      <c r="W494" s="572">
        <v>1</v>
      </c>
      <c r="X494" s="572">
        <v>1</v>
      </c>
      <c r="Y494" s="481"/>
      <c r="Z494" s="481"/>
      <c r="AA494" s="481"/>
      <c r="AB494" s="481"/>
      <c r="AC494" s="481"/>
      <c r="AD494" s="481"/>
      <c r="AE494" s="481"/>
      <c r="AF494" s="481">
        <f t="shared" si="300"/>
        <v>0</v>
      </c>
      <c r="AG494" s="548"/>
      <c r="AH494" s="548"/>
      <c r="AI494" s="548"/>
      <c r="AJ494" s="548"/>
      <c r="AK494" s="548"/>
      <c r="AL494" s="548"/>
      <c r="AM494" s="594">
        <f t="shared" si="310"/>
        <v>0</v>
      </c>
      <c r="AN494" s="481"/>
      <c r="AO494" s="481"/>
      <c r="AP494" s="481"/>
      <c r="AQ494" s="481"/>
      <c r="AR494" s="481"/>
      <c r="AS494" s="481"/>
      <c r="AT494" s="481"/>
      <c r="AU494" s="481">
        <f t="shared" si="303"/>
        <v>0</v>
      </c>
      <c r="AV494" s="491">
        <v>0.5</v>
      </c>
      <c r="AW494" s="548"/>
      <c r="AX494" s="548"/>
      <c r="AY494" s="548"/>
      <c r="AZ494" s="548"/>
      <c r="BA494" s="548"/>
      <c r="BB494" s="548"/>
      <c r="BC494" s="548">
        <f t="shared" si="305"/>
        <v>0.5</v>
      </c>
      <c r="BD494" s="42">
        <f t="shared" si="311"/>
        <v>0.5</v>
      </c>
      <c r="BE494" s="42">
        <f t="shared" si="311"/>
        <v>0</v>
      </c>
      <c r="BF494" s="42">
        <f t="shared" si="311"/>
        <v>0</v>
      </c>
      <c r="BG494" s="42">
        <f t="shared" si="311"/>
        <v>0</v>
      </c>
      <c r="BH494" s="42">
        <f t="shared" si="311"/>
        <v>0</v>
      </c>
      <c r="BI494" s="42">
        <f t="shared" si="297"/>
        <v>0</v>
      </c>
      <c r="BJ494" s="42">
        <f t="shared" si="312"/>
        <v>0</v>
      </c>
      <c r="BK494" s="42">
        <f t="shared" si="312"/>
        <v>0.5</v>
      </c>
    </row>
    <row r="495" spans="1:63" ht="171.6" x14ac:dyDescent="0.25">
      <c r="A495" s="298" t="s">
        <v>1450</v>
      </c>
      <c r="B495" s="299" t="s">
        <v>1448</v>
      </c>
      <c r="C495" s="1547"/>
      <c r="D495" s="1549"/>
      <c r="E495" s="1549"/>
      <c r="F495" s="1549"/>
      <c r="G495" s="1549"/>
      <c r="H495" s="1549"/>
      <c r="I495" s="1425"/>
      <c r="J495" s="1425"/>
      <c r="K495" s="1425" t="s">
        <v>1484</v>
      </c>
      <c r="L495" s="301" t="s">
        <v>179</v>
      </c>
      <c r="M495" s="1425" t="s">
        <v>902</v>
      </c>
      <c r="N495" s="476"/>
      <c r="O495" s="1425" t="s">
        <v>47</v>
      </c>
      <c r="P495" s="16" t="s">
        <v>1486</v>
      </c>
      <c r="Q495" s="302" t="s">
        <v>1487</v>
      </c>
      <c r="R495" s="303">
        <v>2015</v>
      </c>
      <c r="S495" s="303">
        <v>0</v>
      </c>
      <c r="T495" s="303">
        <v>1</v>
      </c>
      <c r="U495" s="572">
        <v>1</v>
      </c>
      <c r="V495" s="572">
        <v>1</v>
      </c>
      <c r="W495" s="572">
        <v>1</v>
      </c>
      <c r="X495" s="572">
        <v>4</v>
      </c>
      <c r="Y495" s="481"/>
      <c r="Z495" s="481"/>
      <c r="AA495" s="481"/>
      <c r="AB495" s="481"/>
      <c r="AC495" s="481"/>
      <c r="AD495" s="481"/>
      <c r="AE495" s="481"/>
      <c r="AF495" s="481">
        <f t="shared" si="300"/>
        <v>0</v>
      </c>
      <c r="AG495" s="548"/>
      <c r="AH495" s="548"/>
      <c r="AI495" s="548">
        <v>16.2</v>
      </c>
      <c r="AJ495" s="548"/>
      <c r="AK495" s="548"/>
      <c r="AL495" s="548"/>
      <c r="AM495" s="594">
        <f t="shared" si="310"/>
        <v>16.2</v>
      </c>
      <c r="AN495" s="481"/>
      <c r="AO495" s="481"/>
      <c r="AP495" s="481">
        <v>16.8</v>
      </c>
      <c r="AQ495" s="481"/>
      <c r="AR495" s="481"/>
      <c r="AS495" s="481"/>
      <c r="AT495" s="481"/>
      <c r="AU495" s="481">
        <f t="shared" si="303"/>
        <v>16.8</v>
      </c>
      <c r="AV495" s="491">
        <v>0.5</v>
      </c>
      <c r="AW495" s="548"/>
      <c r="AX495" s="548">
        <v>17</v>
      </c>
      <c r="AY495" s="548"/>
      <c r="AZ495" s="548"/>
      <c r="BA495" s="548"/>
      <c r="BB495" s="548"/>
      <c r="BC495" s="548">
        <f t="shared" si="305"/>
        <v>17.5</v>
      </c>
      <c r="BD495" s="42">
        <f t="shared" si="311"/>
        <v>0.5</v>
      </c>
      <c r="BE495" s="42">
        <f t="shared" si="311"/>
        <v>0</v>
      </c>
      <c r="BF495" s="42">
        <f t="shared" si="311"/>
        <v>50</v>
      </c>
      <c r="BG495" s="42">
        <f t="shared" si="311"/>
        <v>0</v>
      </c>
      <c r="BH495" s="42">
        <f t="shared" si="311"/>
        <v>0</v>
      </c>
      <c r="BI495" s="42">
        <f t="shared" si="297"/>
        <v>0</v>
      </c>
      <c r="BJ495" s="42">
        <f t="shared" si="312"/>
        <v>0</v>
      </c>
      <c r="BK495" s="42">
        <f t="shared" si="312"/>
        <v>50.5</v>
      </c>
    </row>
    <row r="496" spans="1:63" customFormat="1" ht="316.8" x14ac:dyDescent="0.3">
      <c r="A496" s="298" t="s">
        <v>1450</v>
      </c>
      <c r="B496" s="299" t="s">
        <v>1448</v>
      </c>
      <c r="C496" s="1547"/>
      <c r="D496" s="1549"/>
      <c r="E496" s="1549"/>
      <c r="F496" s="1549"/>
      <c r="G496" s="1549"/>
      <c r="H496" s="1549"/>
      <c r="I496" s="1425"/>
      <c r="J496" s="1425"/>
      <c r="K496" s="1425" t="s">
        <v>1488</v>
      </c>
      <c r="L496" s="301" t="s">
        <v>179</v>
      </c>
      <c r="M496" s="1425" t="s">
        <v>902</v>
      </c>
      <c r="N496" s="476"/>
      <c r="O496" s="1425" t="s">
        <v>47</v>
      </c>
      <c r="P496" s="16" t="s">
        <v>1489</v>
      </c>
      <c r="Q496" s="302" t="s">
        <v>1490</v>
      </c>
      <c r="R496" s="303">
        <v>2015</v>
      </c>
      <c r="S496" s="303">
        <v>1</v>
      </c>
      <c r="T496" s="303">
        <v>0</v>
      </c>
      <c r="U496" s="572">
        <v>1</v>
      </c>
      <c r="V496" s="572">
        <v>1</v>
      </c>
      <c r="W496" s="572">
        <v>1</v>
      </c>
      <c r="X496" s="572">
        <v>3</v>
      </c>
      <c r="Y496" s="585"/>
      <c r="Z496" s="585"/>
      <c r="AA496" s="586"/>
      <c r="AB496" s="586"/>
      <c r="AC496" s="1429"/>
      <c r="AD496" s="586"/>
      <c r="AE496" s="481"/>
      <c r="AF496" s="481"/>
      <c r="AG496" s="548"/>
      <c r="AH496" s="548"/>
      <c r="AI496" s="548"/>
      <c r="AJ496" s="548"/>
      <c r="AK496" s="548"/>
      <c r="AL496" s="548"/>
      <c r="AM496" s="593"/>
      <c r="AN496" s="595"/>
      <c r="AO496" s="595"/>
      <c r="AP496" s="595"/>
      <c r="AQ496" s="595"/>
      <c r="AR496" s="595"/>
      <c r="AS496" s="595"/>
      <c r="AT496" s="595"/>
      <c r="AU496" s="595"/>
      <c r="AV496" s="499">
        <v>0.5</v>
      </c>
      <c r="AW496" s="547"/>
      <c r="AX496" s="547"/>
      <c r="AY496" s="547"/>
      <c r="AZ496" s="547"/>
      <c r="BA496" s="547"/>
      <c r="BB496" s="547"/>
      <c r="BC496" s="547"/>
      <c r="BD496" s="89"/>
      <c r="BE496" s="89"/>
      <c r="BF496" s="89"/>
    </row>
    <row r="497" spans="1:63" ht="290.39999999999998" x14ac:dyDescent="0.25">
      <c r="A497" s="298" t="s">
        <v>1450</v>
      </c>
      <c r="B497" s="299" t="s">
        <v>1448</v>
      </c>
      <c r="C497" s="1547"/>
      <c r="D497" s="1549"/>
      <c r="E497" s="1549"/>
      <c r="F497" s="1549"/>
      <c r="G497" s="1549"/>
      <c r="H497" s="1549"/>
      <c r="I497" s="1425" t="s">
        <v>53</v>
      </c>
      <c r="J497" s="1425"/>
      <c r="K497" s="1425" t="s">
        <v>1488</v>
      </c>
      <c r="L497" s="301" t="s">
        <v>179</v>
      </c>
      <c r="M497" s="1425" t="s">
        <v>902</v>
      </c>
      <c r="N497" s="476"/>
      <c r="O497" s="1425" t="s">
        <v>47</v>
      </c>
      <c r="P497" s="16" t="s">
        <v>1492</v>
      </c>
      <c r="Q497" s="302" t="s">
        <v>1493</v>
      </c>
      <c r="R497" s="303">
        <v>2015</v>
      </c>
      <c r="S497" s="303">
        <v>1</v>
      </c>
      <c r="T497" s="303">
        <v>1</v>
      </c>
      <c r="U497" s="572">
        <v>1</v>
      </c>
      <c r="V497" s="572">
        <v>0</v>
      </c>
      <c r="W497" s="572">
        <v>1</v>
      </c>
      <c r="X497" s="572">
        <v>3</v>
      </c>
      <c r="Y497" s="481"/>
      <c r="Z497" s="481"/>
      <c r="AA497" s="481"/>
      <c r="AB497" s="481"/>
      <c r="AC497" s="481"/>
      <c r="AD497" s="481"/>
      <c r="AE497" s="481"/>
      <c r="AF497" s="481">
        <f t="shared" si="300"/>
        <v>0</v>
      </c>
      <c r="AG497" s="548"/>
      <c r="AH497" s="548"/>
      <c r="AI497" s="548"/>
      <c r="AJ497" s="548"/>
      <c r="AK497" s="548"/>
      <c r="AL497" s="548"/>
      <c r="AM497" s="594">
        <f t="shared" si="310"/>
        <v>0</v>
      </c>
      <c r="AN497" s="481"/>
      <c r="AO497" s="481"/>
      <c r="AP497" s="481"/>
      <c r="AQ497" s="481"/>
      <c r="AR497" s="481"/>
      <c r="AS497" s="481"/>
      <c r="AT497" s="481"/>
      <c r="AU497" s="481">
        <f t="shared" si="303"/>
        <v>0</v>
      </c>
      <c r="AV497" s="491">
        <v>0.5</v>
      </c>
      <c r="AW497" s="548"/>
      <c r="AX497" s="548"/>
      <c r="AY497" s="548"/>
      <c r="AZ497" s="548"/>
      <c r="BA497" s="548"/>
      <c r="BB497" s="548"/>
      <c r="BC497" s="548">
        <f t="shared" si="305"/>
        <v>0.5</v>
      </c>
      <c r="BD497" s="42">
        <f t="shared" si="311"/>
        <v>0.5</v>
      </c>
      <c r="BE497" s="42">
        <f t="shared" si="311"/>
        <v>0</v>
      </c>
      <c r="BF497" s="42">
        <f t="shared" si="311"/>
        <v>0</v>
      </c>
      <c r="BG497" s="42">
        <f t="shared" si="311"/>
        <v>0</v>
      </c>
      <c r="BH497" s="42">
        <f t="shared" si="311"/>
        <v>0</v>
      </c>
      <c r="BI497" s="42">
        <f t="shared" si="297"/>
        <v>0</v>
      </c>
      <c r="BJ497" s="42">
        <f t="shared" si="312"/>
        <v>0</v>
      </c>
      <c r="BK497" s="42">
        <f t="shared" si="312"/>
        <v>0.5</v>
      </c>
    </row>
    <row r="498" spans="1:63" ht="330" x14ac:dyDescent="0.25">
      <c r="A498" s="298" t="s">
        <v>1450</v>
      </c>
      <c r="B498" s="299" t="s">
        <v>1448</v>
      </c>
      <c r="C498" s="1547"/>
      <c r="D498" s="1549"/>
      <c r="E498" s="1549"/>
      <c r="F498" s="1549"/>
      <c r="G498" s="1549"/>
      <c r="H498" s="1549"/>
      <c r="I498" s="1425"/>
      <c r="J498" s="1425"/>
      <c r="K498" s="1425" t="s">
        <v>1494</v>
      </c>
      <c r="L498" s="301" t="s">
        <v>179</v>
      </c>
      <c r="M498" s="1425" t="s">
        <v>902</v>
      </c>
      <c r="N498" s="476"/>
      <c r="O498" s="1425" t="s">
        <v>47</v>
      </c>
      <c r="P498" s="16" t="s">
        <v>1495</v>
      </c>
      <c r="Q498" s="302" t="s">
        <v>1496</v>
      </c>
      <c r="R498" s="303">
        <v>2015</v>
      </c>
      <c r="S498" s="303">
        <v>0</v>
      </c>
      <c r="T498" s="303">
        <v>1</v>
      </c>
      <c r="U498" s="572">
        <v>1</v>
      </c>
      <c r="V498" s="572">
        <v>1</v>
      </c>
      <c r="W498" s="572">
        <v>1</v>
      </c>
      <c r="X498" s="572">
        <v>1</v>
      </c>
      <c r="Y498" s="481"/>
      <c r="Z498" s="481"/>
      <c r="AA498" s="481"/>
      <c r="AB498" s="481"/>
      <c r="AC498" s="481"/>
      <c r="AD498" s="481"/>
      <c r="AE498" s="481"/>
      <c r="AF498" s="481">
        <f t="shared" si="300"/>
        <v>0</v>
      </c>
      <c r="AG498" s="548"/>
      <c r="AH498" s="548"/>
      <c r="AI498" s="548"/>
      <c r="AJ498" s="548"/>
      <c r="AK498" s="548"/>
      <c r="AL498" s="548"/>
      <c r="AM498" s="594">
        <f t="shared" si="310"/>
        <v>0</v>
      </c>
      <c r="AN498" s="481"/>
      <c r="AO498" s="481"/>
      <c r="AP498" s="481"/>
      <c r="AQ498" s="481"/>
      <c r="AR498" s="481"/>
      <c r="AS498" s="481"/>
      <c r="AT498" s="481"/>
      <c r="AU498" s="481">
        <f t="shared" si="303"/>
        <v>0</v>
      </c>
      <c r="AV498" s="491">
        <v>0.5</v>
      </c>
      <c r="AW498" s="548"/>
      <c r="AX498" s="548"/>
      <c r="AY498" s="548"/>
      <c r="AZ498" s="548"/>
      <c r="BA498" s="548"/>
      <c r="BB498" s="548"/>
      <c r="BC498" s="548">
        <f t="shared" si="305"/>
        <v>0.5</v>
      </c>
      <c r="BD498" s="42">
        <f t="shared" si="311"/>
        <v>0.5</v>
      </c>
      <c r="BE498" s="42">
        <f t="shared" si="311"/>
        <v>0</v>
      </c>
      <c r="BF498" s="42">
        <f t="shared" si="311"/>
        <v>0</v>
      </c>
      <c r="BG498" s="42">
        <f t="shared" si="311"/>
        <v>0</v>
      </c>
      <c r="BH498" s="42">
        <f t="shared" si="311"/>
        <v>0</v>
      </c>
      <c r="BI498" s="42">
        <f t="shared" si="297"/>
        <v>0</v>
      </c>
      <c r="BJ498" s="42">
        <f t="shared" si="312"/>
        <v>0</v>
      </c>
      <c r="BK498" s="42">
        <f t="shared" si="312"/>
        <v>0.5</v>
      </c>
    </row>
    <row r="499" spans="1:63" ht="224.4" x14ac:dyDescent="0.25">
      <c r="A499" s="298" t="s">
        <v>1450</v>
      </c>
      <c r="B499" s="299" t="s">
        <v>1448</v>
      </c>
      <c r="C499" s="1548"/>
      <c r="D499" s="1549"/>
      <c r="E499" s="1549"/>
      <c r="F499" s="1549"/>
      <c r="G499" s="1549"/>
      <c r="H499" s="1549"/>
      <c r="I499" s="1425"/>
      <c r="J499" s="1425"/>
      <c r="K499" s="1425" t="s">
        <v>1497</v>
      </c>
      <c r="L499" s="301" t="s">
        <v>179</v>
      </c>
      <c r="M499" s="1425" t="s">
        <v>902</v>
      </c>
      <c r="N499" s="476"/>
      <c r="O499" s="1425" t="s">
        <v>47</v>
      </c>
      <c r="P499" s="16" t="s">
        <v>1498</v>
      </c>
      <c r="Q499" s="302" t="s">
        <v>1499</v>
      </c>
      <c r="R499" s="303">
        <v>2015</v>
      </c>
      <c r="S499" s="303">
        <v>0</v>
      </c>
      <c r="T499" s="303">
        <v>1</v>
      </c>
      <c r="U499" s="572">
        <v>1</v>
      </c>
      <c r="V499" s="572">
        <v>1</v>
      </c>
      <c r="W499" s="572">
        <v>1</v>
      </c>
      <c r="X499" s="572">
        <v>4</v>
      </c>
      <c r="Y499" s="481">
        <v>5</v>
      </c>
      <c r="Z499" s="481"/>
      <c r="AA499" s="481"/>
      <c r="AB499" s="481"/>
      <c r="AC499" s="481"/>
      <c r="AD499" s="481"/>
      <c r="AE499" s="481"/>
      <c r="AF499" s="481">
        <f t="shared" si="300"/>
        <v>5</v>
      </c>
      <c r="AG499" s="548">
        <v>6</v>
      </c>
      <c r="AH499" s="548"/>
      <c r="AI499" s="548"/>
      <c r="AJ499" s="548"/>
      <c r="AK499" s="548"/>
      <c r="AL499" s="548"/>
      <c r="AM499" s="594">
        <f t="shared" si="310"/>
        <v>6</v>
      </c>
      <c r="AN499" s="481">
        <v>6</v>
      </c>
      <c r="AO499" s="481"/>
      <c r="AP499" s="481"/>
      <c r="AQ499" s="481"/>
      <c r="AR499" s="481"/>
      <c r="AS499" s="481"/>
      <c r="AT499" s="481"/>
      <c r="AU499" s="481">
        <f t="shared" si="303"/>
        <v>6</v>
      </c>
      <c r="AV499" s="491">
        <v>2.5</v>
      </c>
      <c r="AW499" s="548"/>
      <c r="AX499" s="548"/>
      <c r="AY499" s="548"/>
      <c r="AZ499" s="548"/>
      <c r="BA499" s="548"/>
      <c r="BB499" s="548"/>
      <c r="BC499" s="548">
        <f t="shared" si="305"/>
        <v>2.5</v>
      </c>
      <c r="BD499" s="42">
        <f t="shared" si="311"/>
        <v>19.5</v>
      </c>
      <c r="BE499" s="42">
        <f t="shared" si="311"/>
        <v>0</v>
      </c>
      <c r="BF499" s="42">
        <f t="shared" si="311"/>
        <v>0</v>
      </c>
      <c r="BG499" s="42">
        <f t="shared" si="311"/>
        <v>0</v>
      </c>
      <c r="BH499" s="42">
        <f t="shared" si="311"/>
        <v>0</v>
      </c>
      <c r="BI499" s="42">
        <f t="shared" si="297"/>
        <v>0</v>
      </c>
      <c r="BJ499" s="42">
        <f t="shared" si="312"/>
        <v>0</v>
      </c>
      <c r="BK499" s="42">
        <f t="shared" si="312"/>
        <v>19.5</v>
      </c>
    </row>
    <row r="500" spans="1:63" ht="12.75" customHeight="1" x14ac:dyDescent="0.25"/>
  </sheetData>
  <sheetProtection formatCells="0" formatColumns="0" formatRows="0" insertColumns="0" insertRows="0" insertHyperlinks="0" deleteColumns="0" deleteRows="0" sort="0" autoFilter="0" pivotTables="0"/>
  <autoFilter ref="B4:BK499"/>
  <customSheetViews>
    <customSheetView guid="{92B8BA5A-7984-4526-9F7A-187FF856FCAE}" scale="70" showAutoFilter="1" hiddenColumns="1" state="hidden" topLeftCell="P1">
      <pane ySplit="4" topLeftCell="A354" activePane="bottomLeft" state="frozen"/>
      <selection pane="bottomLeft" activeCell="AL365" sqref="AL365"/>
      <pageMargins left="0" right="0" top="0" bottom="0" header="0" footer="0"/>
      <pageSetup paperSize="9" orientation="portrait" horizontalDpi="4294967292" verticalDpi="4294967292" r:id="rId1"/>
      <autoFilter ref="B4:BK499"/>
    </customSheetView>
  </customSheetViews>
  <mergeCells count="214">
    <mergeCell ref="C493:C499"/>
    <mergeCell ref="D493:D499"/>
    <mergeCell ref="E493:E499"/>
    <mergeCell ref="F493:F499"/>
    <mergeCell ref="G493:G499"/>
    <mergeCell ref="H493:H499"/>
    <mergeCell ref="B483:M483"/>
    <mergeCell ref="C485:C491"/>
    <mergeCell ref="D485:D491"/>
    <mergeCell ref="E485:E491"/>
    <mergeCell ref="F485:F491"/>
    <mergeCell ref="G485:G491"/>
    <mergeCell ref="H485:H491"/>
    <mergeCell ref="B445:M445"/>
    <mergeCell ref="B447:M447"/>
    <mergeCell ref="C449:C478"/>
    <mergeCell ref="D449:D478"/>
    <mergeCell ref="E449:E478"/>
    <mergeCell ref="F449:F478"/>
    <mergeCell ref="G449:G478"/>
    <mergeCell ref="H449:H478"/>
    <mergeCell ref="C432:C444"/>
    <mergeCell ref="D432:D444"/>
    <mergeCell ref="E432:E444"/>
    <mergeCell ref="F432:F444"/>
    <mergeCell ref="G432:G444"/>
    <mergeCell ref="H432:H444"/>
    <mergeCell ref="B415:M415"/>
    <mergeCell ref="C417:C430"/>
    <mergeCell ref="D417:D430"/>
    <mergeCell ref="E417:E430"/>
    <mergeCell ref="F417:F430"/>
    <mergeCell ref="G417:G430"/>
    <mergeCell ref="H417:H430"/>
    <mergeCell ref="B402:M402"/>
    <mergeCell ref="C404:C414"/>
    <mergeCell ref="D404:D414"/>
    <mergeCell ref="E404:E414"/>
    <mergeCell ref="F404:F414"/>
    <mergeCell ref="G404:G414"/>
    <mergeCell ref="H404:H414"/>
    <mergeCell ref="B375:M375"/>
    <mergeCell ref="C377:C401"/>
    <mergeCell ref="D377:D401"/>
    <mergeCell ref="E377:E401"/>
    <mergeCell ref="F377:F401"/>
    <mergeCell ref="G377:G401"/>
    <mergeCell ref="H377:H401"/>
    <mergeCell ref="B355:M355"/>
    <mergeCell ref="B361:N361"/>
    <mergeCell ref="B363:M363"/>
    <mergeCell ref="C365:C373"/>
    <mergeCell ref="D365:D373"/>
    <mergeCell ref="E365:E373"/>
    <mergeCell ref="F365:F373"/>
    <mergeCell ref="G365:G373"/>
    <mergeCell ref="H365:H373"/>
    <mergeCell ref="B331:M331"/>
    <mergeCell ref="C333:C353"/>
    <mergeCell ref="D333:D353"/>
    <mergeCell ref="E333:E353"/>
    <mergeCell ref="F333:F353"/>
    <mergeCell ref="G333:G353"/>
    <mergeCell ref="H333:H353"/>
    <mergeCell ref="B295:M295"/>
    <mergeCell ref="C297:C329"/>
    <mergeCell ref="D297:D329"/>
    <mergeCell ref="E297:E329"/>
    <mergeCell ref="F297:F329"/>
    <mergeCell ref="G297:G329"/>
    <mergeCell ref="H297:H329"/>
    <mergeCell ref="C290:C293"/>
    <mergeCell ref="D290:D293"/>
    <mergeCell ref="E290:E293"/>
    <mergeCell ref="F290:F293"/>
    <mergeCell ref="G290:G293"/>
    <mergeCell ref="H290:H293"/>
    <mergeCell ref="C277:C288"/>
    <mergeCell ref="D277:D288"/>
    <mergeCell ref="E277:E288"/>
    <mergeCell ref="F277:F288"/>
    <mergeCell ref="G277:G288"/>
    <mergeCell ref="H277:H288"/>
    <mergeCell ref="A261:N261"/>
    <mergeCell ref="B263:M263"/>
    <mergeCell ref="C265:C275"/>
    <mergeCell ref="D265:D275"/>
    <mergeCell ref="E265:E275"/>
    <mergeCell ref="F265:F275"/>
    <mergeCell ref="G265:G275"/>
    <mergeCell ref="H265:H275"/>
    <mergeCell ref="C244:C260"/>
    <mergeCell ref="D244:D260"/>
    <mergeCell ref="E244:E260"/>
    <mergeCell ref="F244:F260"/>
    <mergeCell ref="G244:G260"/>
    <mergeCell ref="H244:H260"/>
    <mergeCell ref="C213:C241"/>
    <mergeCell ref="D213:D241"/>
    <mergeCell ref="E213:E241"/>
    <mergeCell ref="F213:F241"/>
    <mergeCell ref="G213:G241"/>
    <mergeCell ref="H213:H241"/>
    <mergeCell ref="C202:C211"/>
    <mergeCell ref="D202:D211"/>
    <mergeCell ref="E202:E211"/>
    <mergeCell ref="F202:F211"/>
    <mergeCell ref="G202:G211"/>
    <mergeCell ref="H202:H211"/>
    <mergeCell ref="C194:C200"/>
    <mergeCell ref="D194:D200"/>
    <mergeCell ref="E194:E200"/>
    <mergeCell ref="F194:F200"/>
    <mergeCell ref="G194:G200"/>
    <mergeCell ref="H194:H200"/>
    <mergeCell ref="C183:C192"/>
    <mergeCell ref="D183:D192"/>
    <mergeCell ref="E183:E192"/>
    <mergeCell ref="F183:F192"/>
    <mergeCell ref="G183:G192"/>
    <mergeCell ref="H183:H192"/>
    <mergeCell ref="B156:M156"/>
    <mergeCell ref="C158:C181"/>
    <mergeCell ref="D158:D181"/>
    <mergeCell ref="E158:E181"/>
    <mergeCell ref="F158:F181"/>
    <mergeCell ref="G158:G181"/>
    <mergeCell ref="H158:H181"/>
    <mergeCell ref="C149:C155"/>
    <mergeCell ref="D149:D155"/>
    <mergeCell ref="E149:E155"/>
    <mergeCell ref="F149:F155"/>
    <mergeCell ref="G149:G155"/>
    <mergeCell ref="H149:H155"/>
    <mergeCell ref="C139:C147"/>
    <mergeCell ref="D139:D147"/>
    <mergeCell ref="E139:E147"/>
    <mergeCell ref="F139:F147"/>
    <mergeCell ref="G139:G147"/>
    <mergeCell ref="H139:H147"/>
    <mergeCell ref="B122:M122"/>
    <mergeCell ref="C124:C137"/>
    <mergeCell ref="D124:D137"/>
    <mergeCell ref="E124:E137"/>
    <mergeCell ref="F124:F137"/>
    <mergeCell ref="G124:G137"/>
    <mergeCell ref="H124:H137"/>
    <mergeCell ref="C117:C120"/>
    <mergeCell ref="D117:D120"/>
    <mergeCell ref="E117:E120"/>
    <mergeCell ref="F117:F120"/>
    <mergeCell ref="G117:G120"/>
    <mergeCell ref="H117:H120"/>
    <mergeCell ref="B109:M109"/>
    <mergeCell ref="C111:C115"/>
    <mergeCell ref="D111:D115"/>
    <mergeCell ref="E111:E115"/>
    <mergeCell ref="F111:F115"/>
    <mergeCell ref="G111:G115"/>
    <mergeCell ref="H111:H115"/>
    <mergeCell ref="C100:C107"/>
    <mergeCell ref="D100:D107"/>
    <mergeCell ref="E100:E107"/>
    <mergeCell ref="F100:F107"/>
    <mergeCell ref="G100:G107"/>
    <mergeCell ref="H100:H107"/>
    <mergeCell ref="B86:M86"/>
    <mergeCell ref="C88:C98"/>
    <mergeCell ref="D88:D98"/>
    <mergeCell ref="E88:E98"/>
    <mergeCell ref="F88:F98"/>
    <mergeCell ref="G88:G98"/>
    <mergeCell ref="H88:H98"/>
    <mergeCell ref="C76:C84"/>
    <mergeCell ref="D76:D84"/>
    <mergeCell ref="E76:E84"/>
    <mergeCell ref="F76:F84"/>
    <mergeCell ref="G76:G84"/>
    <mergeCell ref="H76:H84"/>
    <mergeCell ref="B48:M48"/>
    <mergeCell ref="B50:M50"/>
    <mergeCell ref="C52:C74"/>
    <mergeCell ref="D52:D74"/>
    <mergeCell ref="E52:E74"/>
    <mergeCell ref="F52:F74"/>
    <mergeCell ref="G52:G74"/>
    <mergeCell ref="H52:H74"/>
    <mergeCell ref="C9:C23"/>
    <mergeCell ref="D9:D23"/>
    <mergeCell ref="E9:E23"/>
    <mergeCell ref="F9:F23"/>
    <mergeCell ref="G9:G23"/>
    <mergeCell ref="H9:H23"/>
    <mergeCell ref="C45:C47"/>
    <mergeCell ref="D45:D47"/>
    <mergeCell ref="E45:E47"/>
    <mergeCell ref="F45:F47"/>
    <mergeCell ref="G45:G47"/>
    <mergeCell ref="H45:H47"/>
    <mergeCell ref="C25:C40"/>
    <mergeCell ref="D25:D40"/>
    <mergeCell ref="E25:E40"/>
    <mergeCell ref="F25:F40"/>
    <mergeCell ref="G25:G40"/>
    <mergeCell ref="H25:H40"/>
    <mergeCell ref="B2:M2"/>
    <mergeCell ref="T3:X3"/>
    <mergeCell ref="Y3:AF3"/>
    <mergeCell ref="AG3:AM3"/>
    <mergeCell ref="AN3:AU3"/>
    <mergeCell ref="AV3:BC3"/>
    <mergeCell ref="BD3:BK3"/>
    <mergeCell ref="A5:M5"/>
    <mergeCell ref="B7:M7"/>
  </mergeCells>
  <dataValidations count="5">
    <dataValidation type="list" allowBlank="1" showInputMessage="1" showErrorMessage="1" sqref="AC496">
      <formula1>COOR</formula1>
    </dataValidation>
    <dataValidation type="list" allowBlank="1" showInputMessage="1" showErrorMessage="1" sqref="B9:B260 B447:B480 B482:B499 B362:B444 B262:B360">
      <formula1>SECTOR</formula1>
    </dataValidation>
    <dataValidation type="list" allowBlank="1" showInputMessage="1" showErrorMessage="1" sqref="L485:L491 L9:L23 L449:L480 L44:L47 L25:L42 L88:L98 L100:L107 L76:L84 L111:L115 L117:L120 L124:L137 L139:L147 L194:L200 L52:L74 L149:L155 L183:L192 L202:L211 L213:L220 L222:L226 L228:L234 L236:L241 L244:L260 L158:L181 L290:L293 L357:L358 L360 L365:L373 L377:L401 L404:L414 L417:L430 L277:L288 L265:L275 L297:L329 L333:L353 L432:L444 L493:L499">
      <formula1>ODS</formula1>
    </dataValidation>
    <dataValidation type="list" allowBlank="1" showInputMessage="1" showErrorMessage="1" sqref="M9:M23 M485:M491 M44:M47 M25:M42 M76:M84 M88:M98 M100:M107 M111:M115 M493:M499 M124:M137 M139:M147 M117:M120 M52:M74 M183:M192 M194:M200 M202:M211 M213:M220 M222:M226 M228:M234 M236:M241 M244:M260 M158:M181 M290:M293 M357:M358 M360 M365:M373 M377:M401 M404:M414 M417:M430 M449:M480 M277:M288 M265:M275 M297:M329 M333:M353 M432:M444 M149:M155">
      <formula1>DEPENDENCIA</formula1>
    </dataValidation>
    <dataValidation type="list" allowBlank="1" showInputMessage="1" showErrorMessage="1" sqref="O9:O23 O44:O47 O25:O42 O76:O84 O88:O98 O100:O107 O111:O115 O117:O120 O124:O137 O149:O155 O139:O147 O52:O74 O183:O192 O213:O220 O244:O260 O357:O358 O417:O430 O449:O480 O485:O491 O404:O414 O377:O401 O360 O365:O373 O194:O200 O158:O181 O236:O241 O228:O234 O222:O226 O202:O211 O277:O288 O265:O275 O290:O293 O297:O329 O333:O353 O432:O444 O493:O499">
      <formula1>TIPO</formula1>
    </dataValidation>
  </dataValidations>
  <pageMargins left="0.7" right="0.7" top="0.75" bottom="0.75" header="0.3" footer="0.3"/>
  <pageSetup paperSize="9" orientation="portrait" horizontalDpi="4294967292" verticalDpi="4294967292" r:id="rId2"/>
  <extLst>
    <ext xmlns:x14="http://schemas.microsoft.com/office/spreadsheetml/2009/9/main" uri="{78C0D931-6437-407d-A8EE-F0AAD7539E65}">
      <x14:conditionalFormattings>
        <x14:conditionalFormatting xmlns:xm="http://schemas.microsoft.com/office/excel/2006/main">
          <x14:cfRule type="containsText" priority="1" operator="containsText" text="AZ" id="{0FAE3158-CE52-431D-8ECA-8C4FED349FC7}">
            <xm:f>NOT(ISERROR(SEARCH("AZ",'PLAN ACCION 2016'!#REF!)))</xm:f>
            <x14:dxf>
              <font>
                <b val="0"/>
                <i val="0"/>
                <color theme="1"/>
              </font>
              <fill>
                <patternFill>
                  <bgColor rgb="FF00B0F0"/>
                </patternFill>
              </fill>
            </x14:dxf>
          </x14:cfRule>
          <x14:cfRule type="containsText" priority="2" operator="containsText" text="RO" id="{1390D274-ADEC-4F5F-BABD-14CACE2B5452}">
            <xm:f>NOT(ISERROR(SEARCH("RO",'PLAN ACCION 2016'!#REF!)))</xm:f>
            <x14:dxf>
              <font>
                <b val="0"/>
                <i val="0"/>
                <color theme="1"/>
              </font>
              <fill>
                <patternFill>
                  <bgColor rgb="FFFF0000"/>
                </patternFill>
              </fill>
            </x14:dxf>
          </x14:cfRule>
          <x14:cfRule type="containsText" priority="3" operator="containsText" text="AM" id="{DDBF1783-5503-4E9F-A909-9960B8AB4FFA}">
            <xm:f>NOT(ISERROR(SEARCH("AM",'PLAN ACCION 2016'!#REF!)))</xm:f>
            <x14:dxf>
              <font>
                <b val="0"/>
                <i val="0"/>
                <strike val="0"/>
                <color theme="1"/>
              </font>
              <fill>
                <patternFill>
                  <bgColor rgb="FFFFFF00"/>
                </patternFill>
              </fill>
            </x14:dxf>
          </x14:cfRule>
          <x14:cfRule type="containsText" priority="4" operator="containsText" text="VE" id="{099E1E4F-7036-4F8E-B5E5-D91ECF46FF0D}">
            <xm:f>NOT(ISERROR(SEARCH("VE",'PLAN ACCION 2016'!#REF!)))</xm:f>
            <x14:dxf>
              <font>
                <b val="0"/>
                <i val="0"/>
                <color theme="1"/>
              </font>
              <fill>
                <patternFill>
                  <fgColor theme="6"/>
                  <bgColor rgb="FF92D050"/>
                </patternFill>
              </fill>
            </x14:dxf>
          </x14:cfRule>
          <xm:sqref>AC496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01"/>
  <sheetViews>
    <sheetView zoomScale="140" zoomScaleNormal="140" zoomScaleSheetLayoutView="200" workbookViewId="0">
      <pane ySplit="1" topLeftCell="A315" activePane="bottomLeft" state="frozen"/>
      <selection pane="bottomLeft" activeCell="E324" sqref="E324"/>
    </sheetView>
  </sheetViews>
  <sheetFormatPr baseColWidth="10" defaultColWidth="11.44140625" defaultRowHeight="13.2" outlineLevelRow="1" x14ac:dyDescent="0.25"/>
  <cols>
    <col min="1" max="1" width="18.6640625" style="233" customWidth="1"/>
    <col min="2" max="2" width="37.6640625" style="233" customWidth="1"/>
    <col min="3" max="3" width="14.6640625" style="233" customWidth="1"/>
    <col min="4" max="4" width="16.44140625" style="233" customWidth="1"/>
    <col min="5" max="5" width="14.33203125" style="233" customWidth="1"/>
    <col min="6" max="6" width="11.5546875" style="233"/>
    <col min="7" max="7" width="11.6640625" style="233" customWidth="1"/>
    <col min="8" max="256" width="11.5546875" style="233"/>
    <col min="257" max="257" width="18.6640625" style="233" customWidth="1"/>
    <col min="258" max="258" width="37.6640625" style="233" customWidth="1"/>
    <col min="259" max="259" width="14.6640625" style="233" customWidth="1"/>
    <col min="260" max="260" width="16.44140625" style="233" customWidth="1"/>
    <col min="261" max="261" width="14.33203125" style="233" customWidth="1"/>
    <col min="262" max="512" width="11.5546875" style="233"/>
    <col min="513" max="513" width="18.6640625" style="233" customWidth="1"/>
    <col min="514" max="514" width="37.6640625" style="233" customWidth="1"/>
    <col min="515" max="515" width="14.6640625" style="233" customWidth="1"/>
    <col min="516" max="516" width="16.44140625" style="233" customWidth="1"/>
    <col min="517" max="517" width="14.33203125" style="233" customWidth="1"/>
    <col min="518" max="768" width="11.5546875" style="233"/>
    <col min="769" max="769" width="18.6640625" style="233" customWidth="1"/>
    <col min="770" max="770" width="37.6640625" style="233" customWidth="1"/>
    <col min="771" max="771" width="14.6640625" style="233" customWidth="1"/>
    <col min="772" max="772" width="16.44140625" style="233" customWidth="1"/>
    <col min="773" max="773" width="14.33203125" style="233" customWidth="1"/>
    <col min="774" max="1024" width="11.5546875" style="233"/>
    <col min="1025" max="1025" width="18.6640625" style="233" customWidth="1"/>
    <col min="1026" max="1026" width="37.6640625" style="233" customWidth="1"/>
    <col min="1027" max="1027" width="14.6640625" style="233" customWidth="1"/>
    <col min="1028" max="1028" width="16.44140625" style="233" customWidth="1"/>
    <col min="1029" max="1029" width="14.33203125" style="233" customWidth="1"/>
    <col min="1030" max="1280" width="11.5546875" style="233"/>
    <col min="1281" max="1281" width="18.6640625" style="233" customWidth="1"/>
    <col min="1282" max="1282" width="37.6640625" style="233" customWidth="1"/>
    <col min="1283" max="1283" width="14.6640625" style="233" customWidth="1"/>
    <col min="1284" max="1284" width="16.44140625" style="233" customWidth="1"/>
    <col min="1285" max="1285" width="14.33203125" style="233" customWidth="1"/>
    <col min="1286" max="1536" width="11.5546875" style="233"/>
    <col min="1537" max="1537" width="18.6640625" style="233" customWidth="1"/>
    <col min="1538" max="1538" width="37.6640625" style="233" customWidth="1"/>
    <col min="1539" max="1539" width="14.6640625" style="233" customWidth="1"/>
    <col min="1540" max="1540" width="16.44140625" style="233" customWidth="1"/>
    <col min="1541" max="1541" width="14.33203125" style="233" customWidth="1"/>
    <col min="1542" max="1792" width="11.5546875" style="233"/>
    <col min="1793" max="1793" width="18.6640625" style="233" customWidth="1"/>
    <col min="1794" max="1794" width="37.6640625" style="233" customWidth="1"/>
    <col min="1795" max="1795" width="14.6640625" style="233" customWidth="1"/>
    <col min="1796" max="1796" width="16.44140625" style="233" customWidth="1"/>
    <col min="1797" max="1797" width="14.33203125" style="233" customWidth="1"/>
    <col min="1798" max="2048" width="11.5546875" style="233"/>
    <col min="2049" max="2049" width="18.6640625" style="233" customWidth="1"/>
    <col min="2050" max="2050" width="37.6640625" style="233" customWidth="1"/>
    <col min="2051" max="2051" width="14.6640625" style="233" customWidth="1"/>
    <col min="2052" max="2052" width="16.44140625" style="233" customWidth="1"/>
    <col min="2053" max="2053" width="14.33203125" style="233" customWidth="1"/>
    <col min="2054" max="2304" width="11.5546875" style="233"/>
    <col min="2305" max="2305" width="18.6640625" style="233" customWidth="1"/>
    <col min="2306" max="2306" width="37.6640625" style="233" customWidth="1"/>
    <col min="2307" max="2307" width="14.6640625" style="233" customWidth="1"/>
    <col min="2308" max="2308" width="16.44140625" style="233" customWidth="1"/>
    <col min="2309" max="2309" width="14.33203125" style="233" customWidth="1"/>
    <col min="2310" max="2560" width="11.5546875" style="233"/>
    <col min="2561" max="2561" width="18.6640625" style="233" customWidth="1"/>
    <col min="2562" max="2562" width="37.6640625" style="233" customWidth="1"/>
    <col min="2563" max="2563" width="14.6640625" style="233" customWidth="1"/>
    <col min="2564" max="2564" width="16.44140625" style="233" customWidth="1"/>
    <col min="2565" max="2565" width="14.33203125" style="233" customWidth="1"/>
    <col min="2566" max="2816" width="11.5546875" style="233"/>
    <col min="2817" max="2817" width="18.6640625" style="233" customWidth="1"/>
    <col min="2818" max="2818" width="37.6640625" style="233" customWidth="1"/>
    <col min="2819" max="2819" width="14.6640625" style="233" customWidth="1"/>
    <col min="2820" max="2820" width="16.44140625" style="233" customWidth="1"/>
    <col min="2821" max="2821" width="14.33203125" style="233" customWidth="1"/>
    <col min="2822" max="3072" width="11.5546875" style="233"/>
    <col min="3073" max="3073" width="18.6640625" style="233" customWidth="1"/>
    <col min="3074" max="3074" width="37.6640625" style="233" customWidth="1"/>
    <col min="3075" max="3075" width="14.6640625" style="233" customWidth="1"/>
    <col min="3076" max="3076" width="16.44140625" style="233" customWidth="1"/>
    <col min="3077" max="3077" width="14.33203125" style="233" customWidth="1"/>
    <col min="3078" max="3328" width="11.5546875" style="233"/>
    <col min="3329" max="3329" width="18.6640625" style="233" customWidth="1"/>
    <col min="3330" max="3330" width="37.6640625" style="233" customWidth="1"/>
    <col min="3331" max="3331" width="14.6640625" style="233" customWidth="1"/>
    <col min="3332" max="3332" width="16.44140625" style="233" customWidth="1"/>
    <col min="3333" max="3333" width="14.33203125" style="233" customWidth="1"/>
    <col min="3334" max="3584" width="11.5546875" style="233"/>
    <col min="3585" max="3585" width="18.6640625" style="233" customWidth="1"/>
    <col min="3586" max="3586" width="37.6640625" style="233" customWidth="1"/>
    <col min="3587" max="3587" width="14.6640625" style="233" customWidth="1"/>
    <col min="3588" max="3588" width="16.44140625" style="233" customWidth="1"/>
    <col min="3589" max="3589" width="14.33203125" style="233" customWidth="1"/>
    <col min="3590" max="3840" width="11.5546875" style="233"/>
    <col min="3841" max="3841" width="18.6640625" style="233" customWidth="1"/>
    <col min="3842" max="3842" width="37.6640625" style="233" customWidth="1"/>
    <col min="3843" max="3843" width="14.6640625" style="233" customWidth="1"/>
    <col min="3844" max="3844" width="16.44140625" style="233" customWidth="1"/>
    <col min="3845" max="3845" width="14.33203125" style="233" customWidth="1"/>
    <col min="3846" max="4096" width="11.5546875" style="233"/>
    <col min="4097" max="4097" width="18.6640625" style="233" customWidth="1"/>
    <col min="4098" max="4098" width="37.6640625" style="233" customWidth="1"/>
    <col min="4099" max="4099" width="14.6640625" style="233" customWidth="1"/>
    <col min="4100" max="4100" width="16.44140625" style="233" customWidth="1"/>
    <col min="4101" max="4101" width="14.33203125" style="233" customWidth="1"/>
    <col min="4102" max="4352" width="11.5546875" style="233"/>
    <col min="4353" max="4353" width="18.6640625" style="233" customWidth="1"/>
    <col min="4354" max="4354" width="37.6640625" style="233" customWidth="1"/>
    <col min="4355" max="4355" width="14.6640625" style="233" customWidth="1"/>
    <col min="4356" max="4356" width="16.44140625" style="233" customWidth="1"/>
    <col min="4357" max="4357" width="14.33203125" style="233" customWidth="1"/>
    <col min="4358" max="4608" width="11.5546875" style="233"/>
    <col min="4609" max="4609" width="18.6640625" style="233" customWidth="1"/>
    <col min="4610" max="4610" width="37.6640625" style="233" customWidth="1"/>
    <col min="4611" max="4611" width="14.6640625" style="233" customWidth="1"/>
    <col min="4612" max="4612" width="16.44140625" style="233" customWidth="1"/>
    <col min="4613" max="4613" width="14.33203125" style="233" customWidth="1"/>
    <col min="4614" max="4864" width="11.5546875" style="233"/>
    <col min="4865" max="4865" width="18.6640625" style="233" customWidth="1"/>
    <col min="4866" max="4866" width="37.6640625" style="233" customWidth="1"/>
    <col min="4867" max="4867" width="14.6640625" style="233" customWidth="1"/>
    <col min="4868" max="4868" width="16.44140625" style="233" customWidth="1"/>
    <col min="4869" max="4869" width="14.33203125" style="233" customWidth="1"/>
    <col min="4870" max="5120" width="11.5546875" style="233"/>
    <col min="5121" max="5121" width="18.6640625" style="233" customWidth="1"/>
    <col min="5122" max="5122" width="37.6640625" style="233" customWidth="1"/>
    <col min="5123" max="5123" width="14.6640625" style="233" customWidth="1"/>
    <col min="5124" max="5124" width="16.44140625" style="233" customWidth="1"/>
    <col min="5125" max="5125" width="14.33203125" style="233" customWidth="1"/>
    <col min="5126" max="5376" width="11.5546875" style="233"/>
    <col min="5377" max="5377" width="18.6640625" style="233" customWidth="1"/>
    <col min="5378" max="5378" width="37.6640625" style="233" customWidth="1"/>
    <col min="5379" max="5379" width="14.6640625" style="233" customWidth="1"/>
    <col min="5380" max="5380" width="16.44140625" style="233" customWidth="1"/>
    <col min="5381" max="5381" width="14.33203125" style="233" customWidth="1"/>
    <col min="5382" max="5632" width="11.5546875" style="233"/>
    <col min="5633" max="5633" width="18.6640625" style="233" customWidth="1"/>
    <col min="5634" max="5634" width="37.6640625" style="233" customWidth="1"/>
    <col min="5635" max="5635" width="14.6640625" style="233" customWidth="1"/>
    <col min="5636" max="5636" width="16.44140625" style="233" customWidth="1"/>
    <col min="5637" max="5637" width="14.33203125" style="233" customWidth="1"/>
    <col min="5638" max="5888" width="11.5546875" style="233"/>
    <col min="5889" max="5889" width="18.6640625" style="233" customWidth="1"/>
    <col min="5890" max="5890" width="37.6640625" style="233" customWidth="1"/>
    <col min="5891" max="5891" width="14.6640625" style="233" customWidth="1"/>
    <col min="5892" max="5892" width="16.44140625" style="233" customWidth="1"/>
    <col min="5893" max="5893" width="14.33203125" style="233" customWidth="1"/>
    <col min="5894" max="6144" width="11.5546875" style="233"/>
    <col min="6145" max="6145" width="18.6640625" style="233" customWidth="1"/>
    <col min="6146" max="6146" width="37.6640625" style="233" customWidth="1"/>
    <col min="6147" max="6147" width="14.6640625" style="233" customWidth="1"/>
    <col min="6148" max="6148" width="16.44140625" style="233" customWidth="1"/>
    <col min="6149" max="6149" width="14.33203125" style="233" customWidth="1"/>
    <col min="6150" max="6400" width="11.5546875" style="233"/>
    <col min="6401" max="6401" width="18.6640625" style="233" customWidth="1"/>
    <col min="6402" max="6402" width="37.6640625" style="233" customWidth="1"/>
    <col min="6403" max="6403" width="14.6640625" style="233" customWidth="1"/>
    <col min="6404" max="6404" width="16.44140625" style="233" customWidth="1"/>
    <col min="6405" max="6405" width="14.33203125" style="233" customWidth="1"/>
    <col min="6406" max="6656" width="11.5546875" style="233"/>
    <col min="6657" max="6657" width="18.6640625" style="233" customWidth="1"/>
    <col min="6658" max="6658" width="37.6640625" style="233" customWidth="1"/>
    <col min="6659" max="6659" width="14.6640625" style="233" customWidth="1"/>
    <col min="6660" max="6660" width="16.44140625" style="233" customWidth="1"/>
    <col min="6661" max="6661" width="14.33203125" style="233" customWidth="1"/>
    <col min="6662" max="6912" width="11.5546875" style="233"/>
    <col min="6913" max="6913" width="18.6640625" style="233" customWidth="1"/>
    <col min="6914" max="6914" width="37.6640625" style="233" customWidth="1"/>
    <col min="6915" max="6915" width="14.6640625" style="233" customWidth="1"/>
    <col min="6916" max="6916" width="16.44140625" style="233" customWidth="1"/>
    <col min="6917" max="6917" width="14.33203125" style="233" customWidth="1"/>
    <col min="6918" max="7168" width="11.5546875" style="233"/>
    <col min="7169" max="7169" width="18.6640625" style="233" customWidth="1"/>
    <col min="7170" max="7170" width="37.6640625" style="233" customWidth="1"/>
    <col min="7171" max="7171" width="14.6640625" style="233" customWidth="1"/>
    <col min="7172" max="7172" width="16.44140625" style="233" customWidth="1"/>
    <col min="7173" max="7173" width="14.33203125" style="233" customWidth="1"/>
    <col min="7174" max="7424" width="11.5546875" style="233"/>
    <col min="7425" max="7425" width="18.6640625" style="233" customWidth="1"/>
    <col min="7426" max="7426" width="37.6640625" style="233" customWidth="1"/>
    <col min="7427" max="7427" width="14.6640625" style="233" customWidth="1"/>
    <col min="7428" max="7428" width="16.44140625" style="233" customWidth="1"/>
    <col min="7429" max="7429" width="14.33203125" style="233" customWidth="1"/>
    <col min="7430" max="7680" width="11.5546875" style="233"/>
    <col min="7681" max="7681" width="18.6640625" style="233" customWidth="1"/>
    <col min="7682" max="7682" width="37.6640625" style="233" customWidth="1"/>
    <col min="7683" max="7683" width="14.6640625" style="233" customWidth="1"/>
    <col min="7684" max="7684" width="16.44140625" style="233" customWidth="1"/>
    <col min="7685" max="7685" width="14.33203125" style="233" customWidth="1"/>
    <col min="7686" max="7936" width="11.5546875" style="233"/>
    <col min="7937" max="7937" width="18.6640625" style="233" customWidth="1"/>
    <col min="7938" max="7938" width="37.6640625" style="233" customWidth="1"/>
    <col min="7939" max="7939" width="14.6640625" style="233" customWidth="1"/>
    <col min="7940" max="7940" width="16.44140625" style="233" customWidth="1"/>
    <col min="7941" max="7941" width="14.33203125" style="233" customWidth="1"/>
    <col min="7942" max="8192" width="11.5546875" style="233"/>
    <col min="8193" max="8193" width="18.6640625" style="233" customWidth="1"/>
    <col min="8194" max="8194" width="37.6640625" style="233" customWidth="1"/>
    <col min="8195" max="8195" width="14.6640625" style="233" customWidth="1"/>
    <col min="8196" max="8196" width="16.44140625" style="233" customWidth="1"/>
    <col min="8197" max="8197" width="14.33203125" style="233" customWidth="1"/>
    <col min="8198" max="8448" width="11.5546875" style="233"/>
    <col min="8449" max="8449" width="18.6640625" style="233" customWidth="1"/>
    <col min="8450" max="8450" width="37.6640625" style="233" customWidth="1"/>
    <col min="8451" max="8451" width="14.6640625" style="233" customWidth="1"/>
    <col min="8452" max="8452" width="16.44140625" style="233" customWidth="1"/>
    <col min="8453" max="8453" width="14.33203125" style="233" customWidth="1"/>
    <col min="8454" max="8704" width="11.5546875" style="233"/>
    <col min="8705" max="8705" width="18.6640625" style="233" customWidth="1"/>
    <col min="8706" max="8706" width="37.6640625" style="233" customWidth="1"/>
    <col min="8707" max="8707" width="14.6640625" style="233" customWidth="1"/>
    <col min="8708" max="8708" width="16.44140625" style="233" customWidth="1"/>
    <col min="8709" max="8709" width="14.33203125" style="233" customWidth="1"/>
    <col min="8710" max="8960" width="11.5546875" style="233"/>
    <col min="8961" max="8961" width="18.6640625" style="233" customWidth="1"/>
    <col min="8962" max="8962" width="37.6640625" style="233" customWidth="1"/>
    <col min="8963" max="8963" width="14.6640625" style="233" customWidth="1"/>
    <col min="8964" max="8964" width="16.44140625" style="233" customWidth="1"/>
    <col min="8965" max="8965" width="14.33203125" style="233" customWidth="1"/>
    <col min="8966" max="9216" width="11.5546875" style="233"/>
    <col min="9217" max="9217" width="18.6640625" style="233" customWidth="1"/>
    <col min="9218" max="9218" width="37.6640625" style="233" customWidth="1"/>
    <col min="9219" max="9219" width="14.6640625" style="233" customWidth="1"/>
    <col min="9220" max="9220" width="16.44140625" style="233" customWidth="1"/>
    <col min="9221" max="9221" width="14.33203125" style="233" customWidth="1"/>
    <col min="9222" max="9472" width="11.5546875" style="233"/>
    <col min="9473" max="9473" width="18.6640625" style="233" customWidth="1"/>
    <col min="9474" max="9474" width="37.6640625" style="233" customWidth="1"/>
    <col min="9475" max="9475" width="14.6640625" style="233" customWidth="1"/>
    <col min="9476" max="9476" width="16.44140625" style="233" customWidth="1"/>
    <col min="9477" max="9477" width="14.33203125" style="233" customWidth="1"/>
    <col min="9478" max="9728" width="11.5546875" style="233"/>
    <col min="9729" max="9729" width="18.6640625" style="233" customWidth="1"/>
    <col min="9730" max="9730" width="37.6640625" style="233" customWidth="1"/>
    <col min="9731" max="9731" width="14.6640625" style="233" customWidth="1"/>
    <col min="9732" max="9732" width="16.44140625" style="233" customWidth="1"/>
    <col min="9733" max="9733" width="14.33203125" style="233" customWidth="1"/>
    <col min="9734" max="9984" width="11.5546875" style="233"/>
    <col min="9985" max="9985" width="18.6640625" style="233" customWidth="1"/>
    <col min="9986" max="9986" width="37.6640625" style="233" customWidth="1"/>
    <col min="9987" max="9987" width="14.6640625" style="233" customWidth="1"/>
    <col min="9988" max="9988" width="16.44140625" style="233" customWidth="1"/>
    <col min="9989" max="9989" width="14.33203125" style="233" customWidth="1"/>
    <col min="9990" max="10240" width="11.5546875" style="233"/>
    <col min="10241" max="10241" width="18.6640625" style="233" customWidth="1"/>
    <col min="10242" max="10242" width="37.6640625" style="233" customWidth="1"/>
    <col min="10243" max="10243" width="14.6640625" style="233" customWidth="1"/>
    <col min="10244" max="10244" width="16.44140625" style="233" customWidth="1"/>
    <col min="10245" max="10245" width="14.33203125" style="233" customWidth="1"/>
    <col min="10246" max="10496" width="11.5546875" style="233"/>
    <col min="10497" max="10497" width="18.6640625" style="233" customWidth="1"/>
    <col min="10498" max="10498" width="37.6640625" style="233" customWidth="1"/>
    <col min="10499" max="10499" width="14.6640625" style="233" customWidth="1"/>
    <col min="10500" max="10500" width="16.44140625" style="233" customWidth="1"/>
    <col min="10501" max="10501" width="14.33203125" style="233" customWidth="1"/>
    <col min="10502" max="10752" width="11.5546875" style="233"/>
    <col min="10753" max="10753" width="18.6640625" style="233" customWidth="1"/>
    <col min="10754" max="10754" width="37.6640625" style="233" customWidth="1"/>
    <col min="10755" max="10755" width="14.6640625" style="233" customWidth="1"/>
    <col min="10756" max="10756" width="16.44140625" style="233" customWidth="1"/>
    <col min="10757" max="10757" width="14.33203125" style="233" customWidth="1"/>
    <col min="10758" max="11008" width="11.5546875" style="233"/>
    <col min="11009" max="11009" width="18.6640625" style="233" customWidth="1"/>
    <col min="11010" max="11010" width="37.6640625" style="233" customWidth="1"/>
    <col min="11011" max="11011" width="14.6640625" style="233" customWidth="1"/>
    <col min="11012" max="11012" width="16.44140625" style="233" customWidth="1"/>
    <col min="11013" max="11013" width="14.33203125" style="233" customWidth="1"/>
    <col min="11014" max="11264" width="11.5546875" style="233"/>
    <col min="11265" max="11265" width="18.6640625" style="233" customWidth="1"/>
    <col min="11266" max="11266" width="37.6640625" style="233" customWidth="1"/>
    <col min="11267" max="11267" width="14.6640625" style="233" customWidth="1"/>
    <col min="11268" max="11268" width="16.44140625" style="233" customWidth="1"/>
    <col min="11269" max="11269" width="14.33203125" style="233" customWidth="1"/>
    <col min="11270" max="11520" width="11.5546875" style="233"/>
    <col min="11521" max="11521" width="18.6640625" style="233" customWidth="1"/>
    <col min="11522" max="11522" width="37.6640625" style="233" customWidth="1"/>
    <col min="11523" max="11523" width="14.6640625" style="233" customWidth="1"/>
    <col min="11524" max="11524" width="16.44140625" style="233" customWidth="1"/>
    <col min="11525" max="11525" width="14.33203125" style="233" customWidth="1"/>
    <col min="11526" max="11776" width="11.5546875" style="233"/>
    <col min="11777" max="11777" width="18.6640625" style="233" customWidth="1"/>
    <col min="11778" max="11778" width="37.6640625" style="233" customWidth="1"/>
    <col min="11779" max="11779" width="14.6640625" style="233" customWidth="1"/>
    <col min="11780" max="11780" width="16.44140625" style="233" customWidth="1"/>
    <col min="11781" max="11781" width="14.33203125" style="233" customWidth="1"/>
    <col min="11782" max="12032" width="11.5546875" style="233"/>
    <col min="12033" max="12033" width="18.6640625" style="233" customWidth="1"/>
    <col min="12034" max="12034" width="37.6640625" style="233" customWidth="1"/>
    <col min="12035" max="12035" width="14.6640625" style="233" customWidth="1"/>
    <col min="12036" max="12036" width="16.44140625" style="233" customWidth="1"/>
    <col min="12037" max="12037" width="14.33203125" style="233" customWidth="1"/>
    <col min="12038" max="12288" width="11.5546875" style="233"/>
    <col min="12289" max="12289" width="18.6640625" style="233" customWidth="1"/>
    <col min="12290" max="12290" width="37.6640625" style="233" customWidth="1"/>
    <col min="12291" max="12291" width="14.6640625" style="233" customWidth="1"/>
    <col min="12292" max="12292" width="16.44140625" style="233" customWidth="1"/>
    <col min="12293" max="12293" width="14.33203125" style="233" customWidth="1"/>
    <col min="12294" max="12544" width="11.5546875" style="233"/>
    <col min="12545" max="12545" width="18.6640625" style="233" customWidth="1"/>
    <col min="12546" max="12546" width="37.6640625" style="233" customWidth="1"/>
    <col min="12547" max="12547" width="14.6640625" style="233" customWidth="1"/>
    <col min="12548" max="12548" width="16.44140625" style="233" customWidth="1"/>
    <col min="12549" max="12549" width="14.33203125" style="233" customWidth="1"/>
    <col min="12550" max="12800" width="11.5546875" style="233"/>
    <col min="12801" max="12801" width="18.6640625" style="233" customWidth="1"/>
    <col min="12802" max="12802" width="37.6640625" style="233" customWidth="1"/>
    <col min="12803" max="12803" width="14.6640625" style="233" customWidth="1"/>
    <col min="12804" max="12804" width="16.44140625" style="233" customWidth="1"/>
    <col min="12805" max="12805" width="14.33203125" style="233" customWidth="1"/>
    <col min="12806" max="13056" width="11.5546875" style="233"/>
    <col min="13057" max="13057" width="18.6640625" style="233" customWidth="1"/>
    <col min="13058" max="13058" width="37.6640625" style="233" customWidth="1"/>
    <col min="13059" max="13059" width="14.6640625" style="233" customWidth="1"/>
    <col min="13060" max="13060" width="16.44140625" style="233" customWidth="1"/>
    <col min="13061" max="13061" width="14.33203125" style="233" customWidth="1"/>
    <col min="13062" max="13312" width="11.5546875" style="233"/>
    <col min="13313" max="13313" width="18.6640625" style="233" customWidth="1"/>
    <col min="13314" max="13314" width="37.6640625" style="233" customWidth="1"/>
    <col min="13315" max="13315" width="14.6640625" style="233" customWidth="1"/>
    <col min="13316" max="13316" width="16.44140625" style="233" customWidth="1"/>
    <col min="13317" max="13317" width="14.33203125" style="233" customWidth="1"/>
    <col min="13318" max="13568" width="11.5546875" style="233"/>
    <col min="13569" max="13569" width="18.6640625" style="233" customWidth="1"/>
    <col min="13570" max="13570" width="37.6640625" style="233" customWidth="1"/>
    <col min="13571" max="13571" width="14.6640625" style="233" customWidth="1"/>
    <col min="13572" max="13572" width="16.44140625" style="233" customWidth="1"/>
    <col min="13573" max="13573" width="14.33203125" style="233" customWidth="1"/>
    <col min="13574" max="13824" width="11.5546875" style="233"/>
    <col min="13825" max="13825" width="18.6640625" style="233" customWidth="1"/>
    <col min="13826" max="13826" width="37.6640625" style="233" customWidth="1"/>
    <col min="13827" max="13827" width="14.6640625" style="233" customWidth="1"/>
    <col min="13828" max="13828" width="16.44140625" style="233" customWidth="1"/>
    <col min="13829" max="13829" width="14.33203125" style="233" customWidth="1"/>
    <col min="13830" max="14080" width="11.5546875" style="233"/>
    <col min="14081" max="14081" width="18.6640625" style="233" customWidth="1"/>
    <col min="14082" max="14082" width="37.6640625" style="233" customWidth="1"/>
    <col min="14083" max="14083" width="14.6640625" style="233" customWidth="1"/>
    <col min="14084" max="14084" width="16.44140625" style="233" customWidth="1"/>
    <col min="14085" max="14085" width="14.33203125" style="233" customWidth="1"/>
    <col min="14086" max="14336" width="11.5546875" style="233"/>
    <col min="14337" max="14337" width="18.6640625" style="233" customWidth="1"/>
    <col min="14338" max="14338" width="37.6640625" style="233" customWidth="1"/>
    <col min="14339" max="14339" width="14.6640625" style="233" customWidth="1"/>
    <col min="14340" max="14340" width="16.44140625" style="233" customWidth="1"/>
    <col min="14341" max="14341" width="14.33203125" style="233" customWidth="1"/>
    <col min="14342" max="14592" width="11.5546875" style="233"/>
    <col min="14593" max="14593" width="18.6640625" style="233" customWidth="1"/>
    <col min="14594" max="14594" width="37.6640625" style="233" customWidth="1"/>
    <col min="14595" max="14595" width="14.6640625" style="233" customWidth="1"/>
    <col min="14596" max="14596" width="16.44140625" style="233" customWidth="1"/>
    <col min="14597" max="14597" width="14.33203125" style="233" customWidth="1"/>
    <col min="14598" max="14848" width="11.5546875" style="233"/>
    <col min="14849" max="14849" width="18.6640625" style="233" customWidth="1"/>
    <col min="14850" max="14850" width="37.6640625" style="233" customWidth="1"/>
    <col min="14851" max="14851" width="14.6640625" style="233" customWidth="1"/>
    <col min="14852" max="14852" width="16.44140625" style="233" customWidth="1"/>
    <col min="14853" max="14853" width="14.33203125" style="233" customWidth="1"/>
    <col min="14854" max="15104" width="11.5546875" style="233"/>
    <col min="15105" max="15105" width="18.6640625" style="233" customWidth="1"/>
    <col min="15106" max="15106" width="37.6640625" style="233" customWidth="1"/>
    <col min="15107" max="15107" width="14.6640625" style="233" customWidth="1"/>
    <col min="15108" max="15108" width="16.44140625" style="233" customWidth="1"/>
    <col min="15109" max="15109" width="14.33203125" style="233" customWidth="1"/>
    <col min="15110" max="15360" width="11.5546875" style="233"/>
    <col min="15361" max="15361" width="18.6640625" style="233" customWidth="1"/>
    <col min="15362" max="15362" width="37.6640625" style="233" customWidth="1"/>
    <col min="15363" max="15363" width="14.6640625" style="233" customWidth="1"/>
    <col min="15364" max="15364" width="16.44140625" style="233" customWidth="1"/>
    <col min="15365" max="15365" width="14.33203125" style="233" customWidth="1"/>
    <col min="15366" max="15616" width="11.5546875" style="233"/>
    <col min="15617" max="15617" width="18.6640625" style="233" customWidth="1"/>
    <col min="15618" max="15618" width="37.6640625" style="233" customWidth="1"/>
    <col min="15619" max="15619" width="14.6640625" style="233" customWidth="1"/>
    <col min="15620" max="15620" width="16.44140625" style="233" customWidth="1"/>
    <col min="15621" max="15621" width="14.33203125" style="233" customWidth="1"/>
    <col min="15622" max="15872" width="11.5546875" style="233"/>
    <col min="15873" max="15873" width="18.6640625" style="233" customWidth="1"/>
    <col min="15874" max="15874" width="37.6640625" style="233" customWidth="1"/>
    <col min="15875" max="15875" width="14.6640625" style="233" customWidth="1"/>
    <col min="15876" max="15876" width="16.44140625" style="233" customWidth="1"/>
    <col min="15877" max="15877" width="14.33203125" style="233" customWidth="1"/>
    <col min="15878" max="16128" width="11.5546875" style="233"/>
    <col min="16129" max="16129" width="18.6640625" style="233" customWidth="1"/>
    <col min="16130" max="16130" width="37.6640625" style="233" customWidth="1"/>
    <col min="16131" max="16131" width="14.6640625" style="233" customWidth="1"/>
    <col min="16132" max="16132" width="16.44140625" style="233" customWidth="1"/>
    <col min="16133" max="16133" width="14.33203125" style="233" customWidth="1"/>
    <col min="16134" max="16384" width="11.5546875" style="233"/>
  </cols>
  <sheetData>
    <row r="1" spans="1:7" ht="12.75" customHeight="1" x14ac:dyDescent="0.2">
      <c r="A1" s="232" t="s">
        <v>1500</v>
      </c>
      <c r="B1" s="232" t="s">
        <v>1501</v>
      </c>
      <c r="C1" s="232" t="s">
        <v>1502</v>
      </c>
      <c r="D1" s="232" t="s">
        <v>1503</v>
      </c>
      <c r="E1" s="232" t="s">
        <v>1504</v>
      </c>
      <c r="F1" s="233" t="s">
        <v>1505</v>
      </c>
      <c r="G1" s="250" t="s">
        <v>1506</v>
      </c>
    </row>
    <row r="2" spans="1:7" ht="45" customHeight="1" outlineLevel="1" x14ac:dyDescent="0.25">
      <c r="A2" s="234">
        <v>23</v>
      </c>
      <c r="B2" s="234" t="s">
        <v>1</v>
      </c>
      <c r="C2" s="235">
        <v>45651491722.949997</v>
      </c>
      <c r="D2" s="235">
        <v>35608314887.160004</v>
      </c>
      <c r="E2" s="235">
        <v>10043176835.790001</v>
      </c>
    </row>
    <row r="3" spans="1:7" ht="27" customHeight="1" outlineLevel="1" x14ac:dyDescent="0.25">
      <c r="A3" s="236">
        <v>2301</v>
      </c>
      <c r="B3" s="236" t="s">
        <v>35</v>
      </c>
      <c r="C3" s="237">
        <v>3967690854</v>
      </c>
      <c r="D3" s="237">
        <v>2412091067</v>
      </c>
      <c r="E3" s="237">
        <v>1555599787</v>
      </c>
      <c r="F3" s="282">
        <f>D3/C3</f>
        <v>0.60793321752078222</v>
      </c>
    </row>
    <row r="4" spans="1:7" ht="27" customHeight="1" outlineLevel="1" x14ac:dyDescent="0.25">
      <c r="A4" s="234">
        <v>230102</v>
      </c>
      <c r="B4" s="234" t="s">
        <v>1507</v>
      </c>
      <c r="C4" s="235">
        <v>2749104384</v>
      </c>
      <c r="D4" s="235">
        <v>1798299570</v>
      </c>
      <c r="E4" s="235">
        <v>950804814</v>
      </c>
    </row>
    <row r="5" spans="1:7" ht="27" customHeight="1" outlineLevel="1" x14ac:dyDescent="0.25">
      <c r="A5" s="234">
        <v>23010201</v>
      </c>
      <c r="B5" s="234" t="s">
        <v>1508</v>
      </c>
      <c r="C5" s="235">
        <v>32000000</v>
      </c>
      <c r="D5" s="235">
        <v>10843095</v>
      </c>
      <c r="E5" s="235">
        <v>21156905</v>
      </c>
    </row>
    <row r="6" spans="1:7" ht="14.25" customHeight="1" outlineLevel="1" x14ac:dyDescent="0.25">
      <c r="A6" s="234">
        <v>230102011</v>
      </c>
      <c r="B6" s="234" t="s">
        <v>1509</v>
      </c>
      <c r="C6" s="235">
        <v>10000000</v>
      </c>
      <c r="D6" s="235">
        <v>800000</v>
      </c>
      <c r="E6" s="235">
        <v>9200000</v>
      </c>
    </row>
    <row r="7" spans="1:7" ht="14.25" customHeight="1" outlineLevel="1" x14ac:dyDescent="0.2">
      <c r="A7" s="234" t="s">
        <v>1510</v>
      </c>
      <c r="B7" s="234" t="s">
        <v>1511</v>
      </c>
      <c r="C7" s="235">
        <v>10000000</v>
      </c>
      <c r="D7" s="235">
        <v>800000</v>
      </c>
      <c r="E7" s="235">
        <v>9200000</v>
      </c>
    </row>
    <row r="8" spans="1:7" ht="14.25" customHeight="1" outlineLevel="1" x14ac:dyDescent="0.2">
      <c r="A8" s="234">
        <v>230102012</v>
      </c>
      <c r="B8" s="234" t="s">
        <v>1512</v>
      </c>
      <c r="C8" s="235">
        <v>10000000</v>
      </c>
      <c r="D8" s="235">
        <v>0</v>
      </c>
      <c r="E8" s="235">
        <v>10000000</v>
      </c>
    </row>
    <row r="9" spans="1:7" ht="14.25" customHeight="1" outlineLevel="1" x14ac:dyDescent="0.2">
      <c r="A9" s="234" t="s">
        <v>1513</v>
      </c>
      <c r="B9" s="234" t="s">
        <v>1511</v>
      </c>
      <c r="C9" s="235">
        <v>10000000</v>
      </c>
      <c r="D9" s="235">
        <v>0</v>
      </c>
      <c r="E9" s="235">
        <v>10000000</v>
      </c>
    </row>
    <row r="10" spans="1:7" ht="27" customHeight="1" outlineLevel="1" x14ac:dyDescent="0.2">
      <c r="A10" s="234">
        <v>230102013</v>
      </c>
      <c r="B10" s="234" t="s">
        <v>1514</v>
      </c>
      <c r="C10" s="235">
        <v>12000000</v>
      </c>
      <c r="D10" s="235">
        <v>10043095</v>
      </c>
      <c r="E10" s="235">
        <v>1956905</v>
      </c>
    </row>
    <row r="11" spans="1:7" ht="27" customHeight="1" outlineLevel="1" x14ac:dyDescent="0.2">
      <c r="A11" s="234" t="s">
        <v>1515</v>
      </c>
      <c r="B11" s="234" t="s">
        <v>1511</v>
      </c>
      <c r="C11" s="235">
        <v>12000000</v>
      </c>
      <c r="D11" s="235">
        <v>10043095</v>
      </c>
      <c r="E11" s="235">
        <v>1956905</v>
      </c>
    </row>
    <row r="12" spans="1:7" ht="27" customHeight="1" outlineLevel="1" x14ac:dyDescent="0.25">
      <c r="A12" s="234">
        <v>23010202</v>
      </c>
      <c r="B12" s="234" t="s">
        <v>1516</v>
      </c>
      <c r="C12" s="235">
        <v>1292978143</v>
      </c>
      <c r="D12" s="235">
        <v>650005460</v>
      </c>
      <c r="E12" s="235">
        <v>642972683</v>
      </c>
    </row>
    <row r="13" spans="1:7" ht="14.25" customHeight="1" outlineLevel="1" x14ac:dyDescent="0.2">
      <c r="A13" s="234" t="s">
        <v>1517</v>
      </c>
      <c r="B13" s="234" t="s">
        <v>1511</v>
      </c>
      <c r="C13" s="235">
        <v>516227905</v>
      </c>
      <c r="D13" s="235">
        <v>0</v>
      </c>
      <c r="E13" s="235">
        <v>516227905</v>
      </c>
    </row>
    <row r="14" spans="1:7" ht="27" customHeight="1" outlineLevel="1" x14ac:dyDescent="0.2">
      <c r="A14" s="234" t="s">
        <v>1518</v>
      </c>
      <c r="B14" s="234" t="s">
        <v>1519</v>
      </c>
      <c r="C14" s="235">
        <v>131763469</v>
      </c>
      <c r="D14" s="235">
        <v>5018691</v>
      </c>
      <c r="E14" s="235">
        <v>126744778</v>
      </c>
    </row>
    <row r="15" spans="1:7" ht="14.25" customHeight="1" outlineLevel="1" x14ac:dyDescent="0.2">
      <c r="A15" s="234" t="s">
        <v>1520</v>
      </c>
      <c r="B15" s="234" t="s">
        <v>1521</v>
      </c>
      <c r="C15" s="235">
        <v>644986769</v>
      </c>
      <c r="D15" s="235">
        <v>644986769</v>
      </c>
      <c r="E15" s="235">
        <v>0</v>
      </c>
    </row>
    <row r="16" spans="1:7" ht="14.25" customHeight="1" outlineLevel="1" x14ac:dyDescent="0.2">
      <c r="A16" s="234">
        <v>23010203</v>
      </c>
      <c r="B16" s="234" t="s">
        <v>1522</v>
      </c>
      <c r="C16" s="235">
        <v>113816575</v>
      </c>
      <c r="D16" s="235">
        <v>0</v>
      </c>
      <c r="E16" s="235">
        <v>113816575</v>
      </c>
    </row>
    <row r="17" spans="1:5" ht="14.25" customHeight="1" outlineLevel="1" x14ac:dyDescent="0.2">
      <c r="A17" s="234" t="s">
        <v>1523</v>
      </c>
      <c r="B17" s="234" t="s">
        <v>1511</v>
      </c>
      <c r="C17" s="235">
        <v>98816575</v>
      </c>
      <c r="D17" s="235">
        <v>0</v>
      </c>
      <c r="E17" s="235">
        <v>98816575</v>
      </c>
    </row>
    <row r="18" spans="1:5" ht="14.25" customHeight="1" outlineLevel="1" x14ac:dyDescent="0.25">
      <c r="A18" s="234" t="s">
        <v>1524</v>
      </c>
      <c r="B18" s="234" t="s">
        <v>1525</v>
      </c>
      <c r="C18" s="235">
        <v>15000000</v>
      </c>
      <c r="D18" s="235">
        <v>0</v>
      </c>
      <c r="E18" s="235">
        <v>15000000</v>
      </c>
    </row>
    <row r="19" spans="1:5" ht="18" customHeight="1" outlineLevel="1" x14ac:dyDescent="0.25">
      <c r="A19" s="234">
        <v>23010204</v>
      </c>
      <c r="B19" s="234" t="s">
        <v>1526</v>
      </c>
      <c r="C19" s="235">
        <v>30000000</v>
      </c>
      <c r="D19" s="235">
        <v>30000000</v>
      </c>
      <c r="E19" s="235">
        <v>0</v>
      </c>
    </row>
    <row r="20" spans="1:5" ht="14.25" customHeight="1" outlineLevel="1" x14ac:dyDescent="0.2">
      <c r="A20" s="234" t="s">
        <v>1527</v>
      </c>
      <c r="B20" s="234" t="s">
        <v>1511</v>
      </c>
      <c r="C20" s="235">
        <v>30000000</v>
      </c>
      <c r="D20" s="235">
        <v>30000000</v>
      </c>
      <c r="E20" s="235">
        <v>0</v>
      </c>
    </row>
    <row r="21" spans="1:5" ht="27" customHeight="1" outlineLevel="1" x14ac:dyDescent="0.25">
      <c r="A21" s="234">
        <v>23010205</v>
      </c>
      <c r="B21" s="234" t="s">
        <v>1528</v>
      </c>
      <c r="C21" s="235">
        <v>82000000</v>
      </c>
      <c r="D21" s="235">
        <v>62000000</v>
      </c>
      <c r="E21" s="235">
        <v>20000000</v>
      </c>
    </row>
    <row r="22" spans="1:5" ht="27" customHeight="1" outlineLevel="1" x14ac:dyDescent="0.2">
      <c r="A22" s="234" t="s">
        <v>1529</v>
      </c>
      <c r="B22" s="234" t="s">
        <v>1511</v>
      </c>
      <c r="C22" s="235">
        <v>82000000</v>
      </c>
      <c r="D22" s="235">
        <v>62000000</v>
      </c>
      <c r="E22" s="235">
        <v>20000000</v>
      </c>
    </row>
    <row r="23" spans="1:5" ht="27" customHeight="1" outlineLevel="1" x14ac:dyDescent="0.25">
      <c r="A23" s="234">
        <v>23010206</v>
      </c>
      <c r="B23" s="234" t="s">
        <v>1530</v>
      </c>
      <c r="C23" s="235">
        <v>269323278</v>
      </c>
      <c r="D23" s="235">
        <v>230959865</v>
      </c>
      <c r="E23" s="235">
        <v>38363413</v>
      </c>
    </row>
    <row r="24" spans="1:5" ht="27" customHeight="1" outlineLevel="1" x14ac:dyDescent="0.2">
      <c r="A24" s="234">
        <v>230102065</v>
      </c>
      <c r="B24" s="234" t="s">
        <v>31</v>
      </c>
      <c r="C24" s="235">
        <v>269323278</v>
      </c>
      <c r="D24" s="235">
        <v>230959865</v>
      </c>
      <c r="E24" s="235">
        <v>38363413</v>
      </c>
    </row>
    <row r="25" spans="1:5" ht="18" customHeight="1" outlineLevel="1" x14ac:dyDescent="0.2">
      <c r="A25" s="234" t="s">
        <v>1531</v>
      </c>
      <c r="B25" s="234" t="s">
        <v>1511</v>
      </c>
      <c r="C25" s="235">
        <v>250000000</v>
      </c>
      <c r="D25" s="235">
        <v>227352265</v>
      </c>
      <c r="E25" s="235">
        <v>22647735</v>
      </c>
    </row>
    <row r="26" spans="1:5" ht="27" customHeight="1" outlineLevel="1" x14ac:dyDescent="0.2">
      <c r="A26" s="234" t="s">
        <v>1532</v>
      </c>
      <c r="B26" s="234" t="s">
        <v>1533</v>
      </c>
      <c r="C26" s="235">
        <v>19323278</v>
      </c>
      <c r="D26" s="235">
        <v>3607600</v>
      </c>
      <c r="E26" s="235">
        <v>15715678</v>
      </c>
    </row>
    <row r="27" spans="1:5" ht="27" customHeight="1" outlineLevel="1" x14ac:dyDescent="0.2">
      <c r="A27" s="234">
        <v>23010207</v>
      </c>
      <c r="B27" s="234" t="s">
        <v>1534</v>
      </c>
      <c r="C27" s="235">
        <v>560000000</v>
      </c>
      <c r="D27" s="235">
        <v>559491150</v>
      </c>
      <c r="E27" s="235">
        <v>508850</v>
      </c>
    </row>
    <row r="28" spans="1:5" ht="27" customHeight="1" outlineLevel="1" x14ac:dyDescent="0.2">
      <c r="A28" s="234" t="s">
        <v>1535</v>
      </c>
      <c r="B28" s="234" t="s">
        <v>1511</v>
      </c>
      <c r="C28" s="235">
        <v>560000000</v>
      </c>
      <c r="D28" s="235">
        <v>559491150</v>
      </c>
      <c r="E28" s="235">
        <v>508850</v>
      </c>
    </row>
    <row r="29" spans="1:5" ht="18" customHeight="1" outlineLevel="1" x14ac:dyDescent="0.25">
      <c r="A29" s="234">
        <v>23010208</v>
      </c>
      <c r="B29" s="234" t="s">
        <v>1536</v>
      </c>
      <c r="C29" s="235">
        <v>8363008</v>
      </c>
      <c r="D29" s="235">
        <v>0</v>
      </c>
      <c r="E29" s="235">
        <v>8363008</v>
      </c>
    </row>
    <row r="30" spans="1:5" ht="14.25" customHeight="1" outlineLevel="1" x14ac:dyDescent="0.2">
      <c r="A30" s="234" t="s">
        <v>1537</v>
      </c>
      <c r="B30" s="234" t="s">
        <v>1511</v>
      </c>
      <c r="C30" s="235">
        <v>8363008</v>
      </c>
      <c r="D30" s="235">
        <v>0</v>
      </c>
      <c r="E30" s="235">
        <v>8363008</v>
      </c>
    </row>
    <row r="31" spans="1:5" ht="27" customHeight="1" outlineLevel="1" x14ac:dyDescent="0.25">
      <c r="A31" s="234">
        <v>23010210</v>
      </c>
      <c r="B31" s="234" t="s">
        <v>1538</v>
      </c>
      <c r="C31" s="235">
        <v>360623380</v>
      </c>
      <c r="D31" s="235">
        <v>255000000</v>
      </c>
      <c r="E31" s="235">
        <v>105623380</v>
      </c>
    </row>
    <row r="32" spans="1:5" ht="14.25" customHeight="1" outlineLevel="1" x14ac:dyDescent="0.25">
      <c r="A32" s="234">
        <v>230102101</v>
      </c>
      <c r="B32" s="234" t="s">
        <v>1539</v>
      </c>
      <c r="C32" s="235">
        <v>28717330</v>
      </c>
      <c r="D32" s="235">
        <v>0</v>
      </c>
      <c r="E32" s="235">
        <v>28717330</v>
      </c>
    </row>
    <row r="33" spans="1:5" ht="27" customHeight="1" outlineLevel="1" x14ac:dyDescent="0.25">
      <c r="A33" s="234">
        <v>2301021012</v>
      </c>
      <c r="B33" s="234" t="s">
        <v>1540</v>
      </c>
      <c r="C33" s="235">
        <v>28717330</v>
      </c>
      <c r="D33" s="235">
        <v>0</v>
      </c>
      <c r="E33" s="235">
        <v>28717330</v>
      </c>
    </row>
    <row r="34" spans="1:5" ht="14.25" customHeight="1" outlineLevel="1" x14ac:dyDescent="0.2">
      <c r="A34" s="234" t="s">
        <v>1541</v>
      </c>
      <c r="B34" s="234" t="s">
        <v>1542</v>
      </c>
      <c r="C34" s="235">
        <v>28217330</v>
      </c>
      <c r="D34" s="235">
        <v>0</v>
      </c>
      <c r="E34" s="235">
        <v>28217330</v>
      </c>
    </row>
    <row r="35" spans="1:5" ht="14.25" customHeight="1" outlineLevel="1" x14ac:dyDescent="0.2">
      <c r="A35" s="234" t="s">
        <v>1543</v>
      </c>
      <c r="B35" s="234" t="s">
        <v>1544</v>
      </c>
      <c r="C35" s="235">
        <v>500000</v>
      </c>
      <c r="D35" s="235">
        <v>0</v>
      </c>
      <c r="E35" s="235">
        <v>500000</v>
      </c>
    </row>
    <row r="36" spans="1:5" ht="27" customHeight="1" outlineLevel="1" x14ac:dyDescent="0.25">
      <c r="A36" s="234">
        <v>230102102</v>
      </c>
      <c r="B36" s="234" t="s">
        <v>1545</v>
      </c>
      <c r="C36" s="235">
        <v>331906050</v>
      </c>
      <c r="D36" s="235">
        <v>255000000</v>
      </c>
      <c r="E36" s="235">
        <v>76906050</v>
      </c>
    </row>
    <row r="37" spans="1:5" ht="27" customHeight="1" outlineLevel="1" x14ac:dyDescent="0.2">
      <c r="A37" s="234" t="s">
        <v>1546</v>
      </c>
      <c r="B37" s="234" t="s">
        <v>1542</v>
      </c>
      <c r="C37" s="235">
        <v>299322400</v>
      </c>
      <c r="D37" s="235">
        <v>255000000</v>
      </c>
      <c r="E37" s="235">
        <v>44322400</v>
      </c>
    </row>
    <row r="38" spans="1:5" ht="14.25" customHeight="1" outlineLevel="1" x14ac:dyDescent="0.2">
      <c r="A38" s="234" t="s">
        <v>1547</v>
      </c>
      <c r="B38" s="234" t="s">
        <v>1548</v>
      </c>
      <c r="C38" s="235">
        <v>32067339</v>
      </c>
      <c r="D38" s="235">
        <v>0</v>
      </c>
      <c r="E38" s="235">
        <v>32067339</v>
      </c>
    </row>
    <row r="39" spans="1:5" ht="14.25" customHeight="1" outlineLevel="1" x14ac:dyDescent="0.2">
      <c r="A39" s="234" t="s">
        <v>1549</v>
      </c>
      <c r="B39" s="234" t="s">
        <v>1550</v>
      </c>
      <c r="C39" s="235">
        <v>17362</v>
      </c>
      <c r="D39" s="235">
        <v>0</v>
      </c>
      <c r="E39" s="235">
        <v>17362</v>
      </c>
    </row>
    <row r="40" spans="1:5" ht="14.25" customHeight="1" outlineLevel="1" x14ac:dyDescent="0.2">
      <c r="A40" s="234" t="s">
        <v>1551</v>
      </c>
      <c r="B40" s="234" t="s">
        <v>1552</v>
      </c>
      <c r="C40" s="235">
        <v>498949</v>
      </c>
      <c r="D40" s="235">
        <v>0</v>
      </c>
      <c r="E40" s="235">
        <v>498949</v>
      </c>
    </row>
    <row r="42" spans="1:5" ht="27" customHeight="1" outlineLevel="1" x14ac:dyDescent="0.2">
      <c r="A42" s="234">
        <v>230103</v>
      </c>
      <c r="B42" s="234" t="s">
        <v>1553</v>
      </c>
      <c r="C42" s="235">
        <v>1218586470</v>
      </c>
      <c r="D42" s="235">
        <v>613791497</v>
      </c>
      <c r="E42" s="235">
        <v>604794973</v>
      </c>
    </row>
    <row r="43" spans="1:5" ht="27" customHeight="1" outlineLevel="1" x14ac:dyDescent="0.2">
      <c r="A43" s="234">
        <v>23010308</v>
      </c>
      <c r="B43" s="234" t="s">
        <v>1554</v>
      </c>
      <c r="C43" s="235">
        <v>1218586470</v>
      </c>
      <c r="D43" s="235">
        <v>613791497</v>
      </c>
      <c r="E43" s="235">
        <v>604794973</v>
      </c>
    </row>
    <row r="44" spans="1:5" ht="27" customHeight="1" outlineLevel="1" x14ac:dyDescent="0.2">
      <c r="A44" s="234" t="s">
        <v>1555</v>
      </c>
      <c r="B44" s="234" t="s">
        <v>1556</v>
      </c>
      <c r="C44" s="235">
        <v>1218586470</v>
      </c>
      <c r="D44" s="235">
        <v>613791497</v>
      </c>
      <c r="E44" s="235">
        <v>604794973</v>
      </c>
    </row>
    <row r="45" spans="1:5" ht="27" customHeight="1" outlineLevel="1" x14ac:dyDescent="0.2">
      <c r="A45" s="234">
        <v>2302</v>
      </c>
      <c r="B45" s="234" t="s">
        <v>168</v>
      </c>
      <c r="C45" s="235">
        <v>31155876727.75</v>
      </c>
      <c r="D45" s="235">
        <v>27974718711.91</v>
      </c>
      <c r="E45" s="235">
        <v>3181158015.8400002</v>
      </c>
    </row>
    <row r="46" spans="1:5" ht="27" customHeight="1" outlineLevel="1" x14ac:dyDescent="0.25">
      <c r="A46" s="234">
        <v>230201</v>
      </c>
      <c r="B46" s="234" t="s">
        <v>1557</v>
      </c>
      <c r="C46" s="235">
        <v>28000691291.450001</v>
      </c>
      <c r="D46" s="235">
        <v>26788585094.150002</v>
      </c>
      <c r="E46" s="235">
        <v>1212106197.3</v>
      </c>
    </row>
    <row r="47" spans="1:5" ht="27" customHeight="1" outlineLevel="1" x14ac:dyDescent="0.25">
      <c r="A47" s="234">
        <v>23020101</v>
      </c>
      <c r="B47" s="234" t="s">
        <v>1558</v>
      </c>
      <c r="C47" s="235">
        <v>27807174915.450001</v>
      </c>
      <c r="D47" s="235">
        <v>26723585094.150002</v>
      </c>
      <c r="E47" s="235">
        <v>1083589821.3</v>
      </c>
    </row>
    <row r="48" spans="1:5" ht="18" customHeight="1" outlineLevel="1" x14ac:dyDescent="0.2">
      <c r="A48" s="234" t="s">
        <v>1559</v>
      </c>
      <c r="B48" s="234" t="s">
        <v>1560</v>
      </c>
      <c r="C48" s="235">
        <v>12396763132</v>
      </c>
      <c r="D48" s="235">
        <v>12396763132</v>
      </c>
      <c r="E48" s="235">
        <v>0</v>
      </c>
    </row>
    <row r="49" spans="1:5" ht="18" customHeight="1" outlineLevel="1" x14ac:dyDescent="0.2">
      <c r="A49" s="234" t="s">
        <v>1561</v>
      </c>
      <c r="B49" s="234" t="s">
        <v>1562</v>
      </c>
      <c r="C49" s="235">
        <v>1076266162</v>
      </c>
      <c r="D49" s="235">
        <v>0</v>
      </c>
      <c r="E49" s="235">
        <v>1076266162</v>
      </c>
    </row>
    <row r="50" spans="1:5" ht="14.25" customHeight="1" outlineLevel="1" x14ac:dyDescent="0.2">
      <c r="A50" s="234" t="s">
        <v>1563</v>
      </c>
      <c r="B50" s="234" t="s">
        <v>1564</v>
      </c>
      <c r="C50" s="235">
        <v>13058883981.15</v>
      </c>
      <c r="D50" s="235">
        <v>13058883981.15</v>
      </c>
      <c r="E50" s="235">
        <v>0</v>
      </c>
    </row>
    <row r="51" spans="1:5" ht="14.25" customHeight="1" outlineLevel="1" x14ac:dyDescent="0.2">
      <c r="A51" s="234" t="s">
        <v>1565</v>
      </c>
      <c r="B51" s="234" t="s">
        <v>1566</v>
      </c>
      <c r="C51" s="235">
        <v>105260097</v>
      </c>
      <c r="D51" s="235">
        <v>105260097</v>
      </c>
      <c r="E51" s="235">
        <v>0</v>
      </c>
    </row>
    <row r="52" spans="1:5" ht="14.25" customHeight="1" outlineLevel="1" x14ac:dyDescent="0.2">
      <c r="A52" s="234" t="s">
        <v>1567</v>
      </c>
      <c r="B52" s="234" t="s">
        <v>1568</v>
      </c>
      <c r="C52" s="235">
        <v>323562328</v>
      </c>
      <c r="D52" s="235">
        <v>323562328</v>
      </c>
      <c r="E52" s="235">
        <v>0</v>
      </c>
    </row>
    <row r="53" spans="1:5" ht="27" customHeight="1" outlineLevel="1" x14ac:dyDescent="0.2">
      <c r="A53" s="234" t="s">
        <v>1569</v>
      </c>
      <c r="B53" s="234" t="s">
        <v>1570</v>
      </c>
      <c r="C53" s="235">
        <v>846439215.29999995</v>
      </c>
      <c r="D53" s="235">
        <v>839115556</v>
      </c>
      <c r="E53" s="235">
        <v>7323659.2999999998</v>
      </c>
    </row>
    <row r="54" spans="1:5" ht="27" customHeight="1" outlineLevel="1" x14ac:dyDescent="0.25">
      <c r="A54" s="234">
        <v>23020103</v>
      </c>
      <c r="B54" s="234" t="s">
        <v>1571</v>
      </c>
      <c r="C54" s="235">
        <v>78516376</v>
      </c>
      <c r="D54" s="235">
        <v>65000000</v>
      </c>
      <c r="E54" s="235">
        <v>13516376</v>
      </c>
    </row>
    <row r="55" spans="1:5" ht="27" customHeight="1" outlineLevel="1" x14ac:dyDescent="0.2">
      <c r="A55" s="234" t="s">
        <v>1572</v>
      </c>
      <c r="B55" s="234" t="s">
        <v>1573</v>
      </c>
      <c r="C55" s="235">
        <v>38071275</v>
      </c>
      <c r="D55" s="235">
        <v>24554899</v>
      </c>
      <c r="E55" s="235">
        <v>13516376</v>
      </c>
    </row>
    <row r="56" spans="1:5" ht="14.25" customHeight="1" outlineLevel="1" x14ac:dyDescent="0.2">
      <c r="A56" s="234" t="s">
        <v>1574</v>
      </c>
      <c r="B56" s="234" t="s">
        <v>1575</v>
      </c>
      <c r="C56" s="235">
        <v>40445101</v>
      </c>
      <c r="D56" s="235">
        <v>40445101</v>
      </c>
      <c r="E56" s="235">
        <v>0</v>
      </c>
    </row>
    <row r="57" spans="1:5" ht="14.25" customHeight="1" outlineLevel="1" x14ac:dyDescent="0.2">
      <c r="A57" s="234">
        <v>23020106</v>
      </c>
      <c r="B57" s="234" t="s">
        <v>1576</v>
      </c>
      <c r="C57" s="235">
        <v>15000000</v>
      </c>
      <c r="D57" s="235">
        <v>0</v>
      </c>
      <c r="E57" s="235">
        <v>15000000</v>
      </c>
    </row>
    <row r="58" spans="1:5" ht="14.25" customHeight="1" outlineLevel="1" x14ac:dyDescent="0.2">
      <c r="A58" s="234">
        <v>2302010601</v>
      </c>
      <c r="B58" s="234" t="s">
        <v>1577</v>
      </c>
      <c r="C58" s="235">
        <v>15000000</v>
      </c>
      <c r="D58" s="235">
        <v>0</v>
      </c>
      <c r="E58" s="235">
        <v>15000000</v>
      </c>
    </row>
    <row r="59" spans="1:5" ht="14.25" customHeight="1" outlineLevel="1" x14ac:dyDescent="0.2">
      <c r="A59" s="234" t="s">
        <v>1578</v>
      </c>
      <c r="B59" s="234" t="s">
        <v>1579</v>
      </c>
      <c r="C59" s="235">
        <v>15000000</v>
      </c>
      <c r="D59" s="235">
        <v>0</v>
      </c>
      <c r="E59" s="235">
        <v>15000000</v>
      </c>
    </row>
    <row r="60" spans="1:5" ht="18" customHeight="1" outlineLevel="1" x14ac:dyDescent="0.25">
      <c r="A60" s="234">
        <v>23020109</v>
      </c>
      <c r="B60" s="234" t="s">
        <v>1580</v>
      </c>
      <c r="C60" s="235">
        <v>100000000</v>
      </c>
      <c r="D60" s="235">
        <v>0</v>
      </c>
      <c r="E60" s="235">
        <v>100000000</v>
      </c>
    </row>
    <row r="61" spans="1:5" ht="18" customHeight="1" outlineLevel="1" x14ac:dyDescent="0.2">
      <c r="A61" s="234">
        <v>230201091</v>
      </c>
      <c r="B61" s="234" t="s">
        <v>1581</v>
      </c>
      <c r="C61" s="235">
        <v>100000000</v>
      </c>
      <c r="D61" s="235">
        <v>0</v>
      </c>
      <c r="E61" s="235">
        <v>100000000</v>
      </c>
    </row>
    <row r="62" spans="1:5" ht="14.25" customHeight="1" outlineLevel="1" x14ac:dyDescent="0.2">
      <c r="A62" s="234" t="s">
        <v>1582</v>
      </c>
      <c r="B62" s="234" t="s">
        <v>1583</v>
      </c>
      <c r="C62" s="235">
        <v>100000000</v>
      </c>
      <c r="D62" s="235">
        <v>0</v>
      </c>
      <c r="E62" s="235">
        <v>100000000</v>
      </c>
    </row>
    <row r="63" spans="1:5" ht="27" customHeight="1" outlineLevel="1" x14ac:dyDescent="0.25">
      <c r="A63" s="234">
        <v>230202</v>
      </c>
      <c r="B63" s="234" t="s">
        <v>1584</v>
      </c>
      <c r="C63" s="235">
        <v>805824382</v>
      </c>
      <c r="D63" s="235">
        <v>537446440.75999999</v>
      </c>
      <c r="E63" s="235">
        <v>268377941.24000001</v>
      </c>
    </row>
    <row r="64" spans="1:5" ht="27" customHeight="1" outlineLevel="1" x14ac:dyDescent="0.2">
      <c r="A64" s="234">
        <v>23020201</v>
      </c>
      <c r="B64" s="234" t="s">
        <v>1585</v>
      </c>
      <c r="C64" s="235">
        <v>81060000</v>
      </c>
      <c r="D64" s="235">
        <v>54140000</v>
      </c>
      <c r="E64" s="235">
        <v>26920000</v>
      </c>
    </row>
    <row r="65" spans="1:5" ht="27" customHeight="1" outlineLevel="1" x14ac:dyDescent="0.2">
      <c r="A65" s="234">
        <v>230202011</v>
      </c>
      <c r="B65" s="234" t="s">
        <v>1586</v>
      </c>
      <c r="C65" s="235">
        <v>60500000</v>
      </c>
      <c r="D65" s="235">
        <v>51140000</v>
      </c>
      <c r="E65" s="235">
        <v>9360000</v>
      </c>
    </row>
    <row r="66" spans="1:5" ht="27" customHeight="1" outlineLevel="1" x14ac:dyDescent="0.2">
      <c r="A66" s="234">
        <v>2302020111</v>
      </c>
      <c r="B66" s="234" t="s">
        <v>1587</v>
      </c>
      <c r="C66" s="235">
        <v>60500000</v>
      </c>
      <c r="D66" s="235">
        <v>51140000</v>
      </c>
      <c r="E66" s="235">
        <v>9360000</v>
      </c>
    </row>
    <row r="67" spans="1:5" ht="27" customHeight="1" outlineLevel="1" x14ac:dyDescent="0.2">
      <c r="A67" s="234" t="s">
        <v>1588</v>
      </c>
      <c r="B67" s="234" t="s">
        <v>1589</v>
      </c>
      <c r="C67" s="235">
        <v>60500000</v>
      </c>
      <c r="D67" s="235">
        <v>51140000</v>
      </c>
      <c r="E67" s="235">
        <v>9360000</v>
      </c>
    </row>
    <row r="68" spans="1:5" ht="27" customHeight="1" outlineLevel="1" x14ac:dyDescent="0.2">
      <c r="A68" s="234">
        <v>230202012</v>
      </c>
      <c r="B68" s="234" t="s">
        <v>1590</v>
      </c>
      <c r="C68" s="235">
        <v>6560000</v>
      </c>
      <c r="D68" s="235">
        <v>3000000</v>
      </c>
      <c r="E68" s="235">
        <v>3560000</v>
      </c>
    </row>
    <row r="69" spans="1:5" ht="27" customHeight="1" outlineLevel="1" x14ac:dyDescent="0.2">
      <c r="A69" s="234">
        <v>2302020121</v>
      </c>
      <c r="B69" s="234" t="s">
        <v>1591</v>
      </c>
      <c r="C69" s="235">
        <v>4736000</v>
      </c>
      <c r="D69" s="235">
        <v>2000000</v>
      </c>
      <c r="E69" s="235">
        <v>2736000</v>
      </c>
    </row>
    <row r="70" spans="1:5" ht="27" customHeight="1" outlineLevel="1" x14ac:dyDescent="0.2">
      <c r="A70" s="234">
        <v>23020201211</v>
      </c>
      <c r="B70" s="234" t="s">
        <v>1592</v>
      </c>
      <c r="C70" s="235">
        <v>4736000</v>
      </c>
      <c r="D70" s="235">
        <v>2000000</v>
      </c>
      <c r="E70" s="235">
        <v>2736000</v>
      </c>
    </row>
    <row r="71" spans="1:5" ht="27" customHeight="1" outlineLevel="1" x14ac:dyDescent="0.2">
      <c r="A71" s="234" t="s">
        <v>1593</v>
      </c>
      <c r="B71" s="234" t="s">
        <v>1589</v>
      </c>
      <c r="C71" s="235">
        <v>4736000</v>
      </c>
      <c r="D71" s="235">
        <v>2000000</v>
      </c>
      <c r="E71" s="235">
        <v>2736000</v>
      </c>
    </row>
    <row r="72" spans="1:5" ht="27" customHeight="1" outlineLevel="1" x14ac:dyDescent="0.2">
      <c r="A72" s="234">
        <v>2302020122</v>
      </c>
      <c r="B72" s="234" t="s">
        <v>1594</v>
      </c>
      <c r="C72" s="235">
        <v>1824000</v>
      </c>
      <c r="D72" s="235">
        <v>1000000</v>
      </c>
      <c r="E72" s="235">
        <v>824000</v>
      </c>
    </row>
    <row r="73" spans="1:5" ht="27" customHeight="1" outlineLevel="1" x14ac:dyDescent="0.2">
      <c r="A73" s="234">
        <v>23020201221</v>
      </c>
      <c r="B73" s="234" t="s">
        <v>1595</v>
      </c>
      <c r="C73" s="235">
        <v>1824000</v>
      </c>
      <c r="D73" s="235">
        <v>1000000</v>
      </c>
      <c r="E73" s="235">
        <v>824000</v>
      </c>
    </row>
    <row r="74" spans="1:5" ht="27" customHeight="1" outlineLevel="1" x14ac:dyDescent="0.2">
      <c r="A74" s="234" t="s">
        <v>1596</v>
      </c>
      <c r="B74" s="234" t="s">
        <v>1589</v>
      </c>
      <c r="C74" s="235">
        <v>1824000</v>
      </c>
      <c r="D74" s="235">
        <v>1000000</v>
      </c>
      <c r="E74" s="235">
        <v>824000</v>
      </c>
    </row>
    <row r="75" spans="1:5" ht="18" customHeight="1" outlineLevel="1" x14ac:dyDescent="0.2">
      <c r="A75" s="234">
        <v>230202013</v>
      </c>
      <c r="B75" s="234" t="s">
        <v>1597</v>
      </c>
      <c r="C75" s="235">
        <v>14000000</v>
      </c>
      <c r="D75" s="235">
        <v>0</v>
      </c>
      <c r="E75" s="235">
        <v>14000000</v>
      </c>
    </row>
    <row r="76" spans="1:5" ht="18" customHeight="1" outlineLevel="1" x14ac:dyDescent="0.2">
      <c r="A76" s="234">
        <v>2302020131</v>
      </c>
      <c r="B76" s="234" t="s">
        <v>1598</v>
      </c>
      <c r="C76" s="235">
        <v>14000000</v>
      </c>
      <c r="D76" s="235">
        <v>0</v>
      </c>
      <c r="E76" s="235">
        <v>14000000</v>
      </c>
    </row>
    <row r="77" spans="1:5" ht="18" customHeight="1" outlineLevel="1" x14ac:dyDescent="0.2">
      <c r="A77" s="234">
        <v>23020201311</v>
      </c>
      <c r="B77" s="234" t="s">
        <v>1599</v>
      </c>
      <c r="C77" s="235">
        <v>14000000</v>
      </c>
      <c r="D77" s="235">
        <v>0</v>
      </c>
      <c r="E77" s="235">
        <v>14000000</v>
      </c>
    </row>
    <row r="78" spans="1:5" ht="14.25" customHeight="1" outlineLevel="1" x14ac:dyDescent="0.2">
      <c r="A78" s="234" t="s">
        <v>1600</v>
      </c>
      <c r="B78" s="234" t="s">
        <v>1589</v>
      </c>
      <c r="C78" s="235">
        <v>14000000</v>
      </c>
      <c r="D78" s="235">
        <v>0</v>
      </c>
      <c r="E78" s="235">
        <v>14000000</v>
      </c>
    </row>
    <row r="79" spans="1:5" ht="27" customHeight="1" outlineLevel="1" x14ac:dyDescent="0.2">
      <c r="A79" s="234">
        <v>23020202</v>
      </c>
      <c r="B79" s="234" t="s">
        <v>1601</v>
      </c>
      <c r="C79" s="235">
        <v>65284626</v>
      </c>
      <c r="D79" s="235">
        <v>50800000</v>
      </c>
      <c r="E79" s="235">
        <v>14484626</v>
      </c>
    </row>
    <row r="80" spans="1:5" ht="27" customHeight="1" outlineLevel="1" x14ac:dyDescent="0.2">
      <c r="A80" s="234">
        <v>230202021</v>
      </c>
      <c r="B80" s="234" t="s">
        <v>1602</v>
      </c>
      <c r="C80" s="235">
        <v>24484626</v>
      </c>
      <c r="D80" s="235">
        <v>10000000</v>
      </c>
      <c r="E80" s="235">
        <v>14484626</v>
      </c>
    </row>
    <row r="82" spans="1:5" ht="27" customHeight="1" outlineLevel="1" x14ac:dyDescent="0.2">
      <c r="A82" s="234">
        <v>2302020211</v>
      </c>
      <c r="B82" s="234" t="s">
        <v>1587</v>
      </c>
      <c r="C82" s="235">
        <v>24484626</v>
      </c>
      <c r="D82" s="235">
        <v>10000000</v>
      </c>
      <c r="E82" s="235">
        <v>14484626</v>
      </c>
    </row>
    <row r="83" spans="1:5" ht="27" customHeight="1" outlineLevel="1" x14ac:dyDescent="0.2">
      <c r="A83" s="234" t="s">
        <v>1603</v>
      </c>
      <c r="B83" s="234" t="s">
        <v>1589</v>
      </c>
      <c r="C83" s="235">
        <v>24484626</v>
      </c>
      <c r="D83" s="235">
        <v>10000000</v>
      </c>
      <c r="E83" s="235">
        <v>14484626</v>
      </c>
    </row>
    <row r="84" spans="1:5" ht="14.25" customHeight="1" outlineLevel="1" x14ac:dyDescent="0.2">
      <c r="A84" s="234">
        <v>230202023</v>
      </c>
      <c r="B84" s="234" t="s">
        <v>1604</v>
      </c>
      <c r="C84" s="235">
        <v>40800000</v>
      </c>
      <c r="D84" s="235">
        <v>40800000</v>
      </c>
      <c r="E84" s="235">
        <v>0</v>
      </c>
    </row>
    <row r="85" spans="1:5" ht="18" customHeight="1" outlineLevel="1" x14ac:dyDescent="0.2">
      <c r="A85" s="234">
        <v>2302020231</v>
      </c>
      <c r="B85" s="234" t="s">
        <v>1587</v>
      </c>
      <c r="C85" s="235">
        <v>40800000</v>
      </c>
      <c r="D85" s="235">
        <v>40800000</v>
      </c>
      <c r="E85" s="235">
        <v>0</v>
      </c>
    </row>
    <row r="86" spans="1:5" ht="14.25" customHeight="1" outlineLevel="1" x14ac:dyDescent="0.2">
      <c r="A86" s="234" t="s">
        <v>1605</v>
      </c>
      <c r="B86" s="234" t="s">
        <v>1589</v>
      </c>
      <c r="C86" s="235">
        <v>40800000</v>
      </c>
      <c r="D86" s="235">
        <v>40800000</v>
      </c>
      <c r="E86" s="235">
        <v>0</v>
      </c>
    </row>
    <row r="87" spans="1:5" ht="14.25" customHeight="1" outlineLevel="1" x14ac:dyDescent="0.2">
      <c r="A87" s="234">
        <v>23020203</v>
      </c>
      <c r="B87" s="234" t="s">
        <v>1606</v>
      </c>
      <c r="C87" s="235">
        <v>9600000</v>
      </c>
      <c r="D87" s="235">
        <v>9600000</v>
      </c>
      <c r="E87" s="235">
        <v>0</v>
      </c>
    </row>
    <row r="88" spans="1:5" ht="18" customHeight="1" outlineLevel="1" x14ac:dyDescent="0.2">
      <c r="A88" s="234">
        <v>230202031</v>
      </c>
      <c r="B88" s="234" t="s">
        <v>1587</v>
      </c>
      <c r="C88" s="235">
        <v>9600000</v>
      </c>
      <c r="D88" s="235">
        <v>9600000</v>
      </c>
      <c r="E88" s="235">
        <v>0</v>
      </c>
    </row>
    <row r="89" spans="1:5" ht="18" customHeight="1" outlineLevel="1" x14ac:dyDescent="0.25">
      <c r="A89" s="234">
        <v>2302020311</v>
      </c>
      <c r="B89" s="234" t="s">
        <v>1607</v>
      </c>
      <c r="C89" s="235">
        <v>9600000</v>
      </c>
      <c r="D89" s="235">
        <v>9600000</v>
      </c>
      <c r="E89" s="235">
        <v>0</v>
      </c>
    </row>
    <row r="90" spans="1:5" ht="14.25" customHeight="1" outlineLevel="1" x14ac:dyDescent="0.2">
      <c r="A90" s="234" t="s">
        <v>1608</v>
      </c>
      <c r="B90" s="234" t="s">
        <v>1589</v>
      </c>
      <c r="C90" s="235">
        <v>9600000</v>
      </c>
      <c r="D90" s="235">
        <v>9600000</v>
      </c>
      <c r="E90" s="235">
        <v>0</v>
      </c>
    </row>
    <row r="91" spans="1:5" ht="27" customHeight="1" outlineLevel="1" x14ac:dyDescent="0.2">
      <c r="A91" s="234">
        <v>23020204</v>
      </c>
      <c r="B91" s="234" t="s">
        <v>1609</v>
      </c>
      <c r="C91" s="235">
        <v>270436724</v>
      </c>
      <c r="D91" s="235">
        <v>193896972.31999999</v>
      </c>
      <c r="E91" s="235">
        <v>76539751.680000007</v>
      </c>
    </row>
    <row r="92" spans="1:5" ht="27" customHeight="1" outlineLevel="1" x14ac:dyDescent="0.2">
      <c r="A92" s="234">
        <v>230202042</v>
      </c>
      <c r="B92" s="234" t="s">
        <v>1610</v>
      </c>
      <c r="C92" s="235">
        <v>270436724</v>
      </c>
      <c r="D92" s="235">
        <v>193896972.31999999</v>
      </c>
      <c r="E92" s="235">
        <v>76539751.680000007</v>
      </c>
    </row>
    <row r="93" spans="1:5" ht="27" customHeight="1" outlineLevel="1" x14ac:dyDescent="0.2">
      <c r="A93" s="234">
        <v>2302020421</v>
      </c>
      <c r="B93" s="234" t="s">
        <v>1587</v>
      </c>
      <c r="C93" s="235">
        <v>240436724</v>
      </c>
      <c r="D93" s="235">
        <v>183896972.31999999</v>
      </c>
      <c r="E93" s="235">
        <v>56539751.68</v>
      </c>
    </row>
    <row r="94" spans="1:5" ht="14.25" customHeight="1" outlineLevel="1" x14ac:dyDescent="0.2">
      <c r="A94" s="234" t="s">
        <v>1611</v>
      </c>
      <c r="B94" s="234" t="s">
        <v>1589</v>
      </c>
      <c r="C94" s="235">
        <v>162098595</v>
      </c>
      <c r="D94" s="235">
        <v>162098595</v>
      </c>
      <c r="E94" s="235">
        <v>0</v>
      </c>
    </row>
    <row r="95" spans="1:5" ht="27" customHeight="1" outlineLevel="1" x14ac:dyDescent="0.2">
      <c r="A95" s="234" t="s">
        <v>1612</v>
      </c>
      <c r="B95" s="234" t="s">
        <v>1613</v>
      </c>
      <c r="C95" s="235">
        <v>78338129</v>
      </c>
      <c r="D95" s="235">
        <v>21798377.32</v>
      </c>
      <c r="E95" s="235">
        <v>56539751.68</v>
      </c>
    </row>
    <row r="96" spans="1:5" ht="27" customHeight="1" outlineLevel="1" x14ac:dyDescent="0.25">
      <c r="A96" s="234">
        <v>2302020425</v>
      </c>
      <c r="B96" s="234" t="s">
        <v>1607</v>
      </c>
      <c r="C96" s="235">
        <v>30000000</v>
      </c>
      <c r="D96" s="235">
        <v>10000000</v>
      </c>
      <c r="E96" s="235">
        <v>20000000</v>
      </c>
    </row>
    <row r="97" spans="1:5" ht="27" customHeight="1" outlineLevel="1" x14ac:dyDescent="0.2">
      <c r="A97" s="234" t="s">
        <v>1614</v>
      </c>
      <c r="B97" s="234" t="s">
        <v>1613</v>
      </c>
      <c r="C97" s="235">
        <v>30000000</v>
      </c>
      <c r="D97" s="235">
        <v>10000000</v>
      </c>
      <c r="E97" s="235">
        <v>20000000</v>
      </c>
    </row>
    <row r="98" spans="1:5" ht="14.25" customHeight="1" outlineLevel="1" x14ac:dyDescent="0.2">
      <c r="A98" s="234">
        <v>23020205</v>
      </c>
      <c r="B98" s="234" t="s">
        <v>1615</v>
      </c>
      <c r="C98" s="235">
        <v>13940000</v>
      </c>
      <c r="D98" s="235">
        <v>13940000</v>
      </c>
      <c r="E98" s="235">
        <v>0</v>
      </c>
    </row>
    <row r="99" spans="1:5" ht="14.25" customHeight="1" outlineLevel="1" x14ac:dyDescent="0.2">
      <c r="A99" s="234">
        <v>230202051</v>
      </c>
      <c r="B99" s="234" t="s">
        <v>1591</v>
      </c>
      <c r="C99" s="235">
        <v>10064000</v>
      </c>
      <c r="D99" s="235">
        <v>10064000</v>
      </c>
      <c r="E99" s="235">
        <v>0</v>
      </c>
    </row>
    <row r="100" spans="1:5" ht="18" customHeight="1" outlineLevel="1" x14ac:dyDescent="0.2">
      <c r="A100" s="234">
        <v>2302020511</v>
      </c>
      <c r="B100" s="234" t="s">
        <v>1587</v>
      </c>
      <c r="C100" s="235">
        <v>10064000</v>
      </c>
      <c r="D100" s="235">
        <v>10064000</v>
      </c>
      <c r="E100" s="235">
        <v>0</v>
      </c>
    </row>
    <row r="101" spans="1:5" ht="14.25" customHeight="1" outlineLevel="1" x14ac:dyDescent="0.2">
      <c r="A101" s="234" t="s">
        <v>1616</v>
      </c>
      <c r="B101" s="234" t="s">
        <v>1589</v>
      </c>
      <c r="C101" s="235">
        <v>10064000</v>
      </c>
      <c r="D101" s="235">
        <v>10064000</v>
      </c>
      <c r="E101" s="235">
        <v>0</v>
      </c>
    </row>
    <row r="102" spans="1:5" ht="14.25" customHeight="1" outlineLevel="1" x14ac:dyDescent="0.2">
      <c r="A102" s="234">
        <v>230202052</v>
      </c>
      <c r="B102" s="234" t="s">
        <v>1594</v>
      </c>
      <c r="C102" s="235">
        <v>3876000</v>
      </c>
      <c r="D102" s="235">
        <v>3876000</v>
      </c>
      <c r="E102" s="235">
        <v>0</v>
      </c>
    </row>
    <row r="103" spans="1:5" ht="18" customHeight="1" outlineLevel="1" x14ac:dyDescent="0.2">
      <c r="A103" s="234">
        <v>2302020521</v>
      </c>
      <c r="B103" s="234" t="s">
        <v>1587</v>
      </c>
      <c r="C103" s="235">
        <v>3876000</v>
      </c>
      <c r="D103" s="235">
        <v>3876000</v>
      </c>
      <c r="E103" s="235">
        <v>0</v>
      </c>
    </row>
    <row r="104" spans="1:5" ht="14.25" customHeight="1" outlineLevel="1" x14ac:dyDescent="0.2">
      <c r="A104" s="234" t="s">
        <v>1617</v>
      </c>
      <c r="B104" s="234" t="s">
        <v>1589</v>
      </c>
      <c r="C104" s="235">
        <v>3876000</v>
      </c>
      <c r="D104" s="235">
        <v>3876000</v>
      </c>
      <c r="E104" s="235">
        <v>0</v>
      </c>
    </row>
    <row r="105" spans="1:5" ht="27" customHeight="1" outlineLevel="1" x14ac:dyDescent="0.2">
      <c r="A105" s="234">
        <v>23020206</v>
      </c>
      <c r="B105" s="234" t="s">
        <v>1618</v>
      </c>
      <c r="C105" s="235">
        <v>70610983</v>
      </c>
      <c r="D105" s="235">
        <v>46543468.439999998</v>
      </c>
      <c r="E105" s="235">
        <v>24067514.559999999</v>
      </c>
    </row>
    <row r="106" spans="1:5" ht="18" customHeight="1" outlineLevel="1" x14ac:dyDescent="0.2">
      <c r="A106" s="234">
        <v>230202061</v>
      </c>
      <c r="B106" s="234" t="s">
        <v>1587</v>
      </c>
      <c r="C106" s="235">
        <v>37543468.439999998</v>
      </c>
      <c r="D106" s="235">
        <v>37543468.439999998</v>
      </c>
      <c r="E106" s="235">
        <v>0</v>
      </c>
    </row>
    <row r="107" spans="1:5" ht="14.25" customHeight="1" outlineLevel="1" x14ac:dyDescent="0.2">
      <c r="A107" s="234" t="s">
        <v>1619</v>
      </c>
      <c r="B107" s="234" t="s">
        <v>1589</v>
      </c>
      <c r="C107" s="235">
        <v>37543468.439999998</v>
      </c>
      <c r="D107" s="235">
        <v>37543468.439999998</v>
      </c>
      <c r="E107" s="235">
        <v>0</v>
      </c>
    </row>
    <row r="108" spans="1:5" ht="14.25" customHeight="1" outlineLevel="1" x14ac:dyDescent="0.2">
      <c r="A108" s="234" t="s">
        <v>1620</v>
      </c>
      <c r="B108" s="234" t="s">
        <v>1621</v>
      </c>
      <c r="C108" s="235">
        <v>0</v>
      </c>
      <c r="D108" s="235">
        <v>0</v>
      </c>
      <c r="E108" s="235">
        <v>0</v>
      </c>
    </row>
    <row r="109" spans="1:5" ht="27" customHeight="1" outlineLevel="1" x14ac:dyDescent="0.2">
      <c r="A109" s="234">
        <v>230202062</v>
      </c>
      <c r="B109" s="234" t="s">
        <v>1622</v>
      </c>
      <c r="C109" s="235">
        <v>15400000</v>
      </c>
      <c r="D109" s="235">
        <v>3000000</v>
      </c>
      <c r="E109" s="235">
        <v>12400000</v>
      </c>
    </row>
    <row r="110" spans="1:5" ht="27" customHeight="1" outlineLevel="1" x14ac:dyDescent="0.2">
      <c r="A110" s="234">
        <v>2302020621</v>
      </c>
      <c r="B110" s="234" t="s">
        <v>1606</v>
      </c>
      <c r="C110" s="235">
        <v>15400000</v>
      </c>
      <c r="D110" s="235">
        <v>3000000</v>
      </c>
      <c r="E110" s="235">
        <v>12400000</v>
      </c>
    </row>
    <row r="111" spans="1:5" ht="27" customHeight="1" outlineLevel="1" x14ac:dyDescent="0.2">
      <c r="A111" s="234">
        <v>23020206211</v>
      </c>
      <c r="B111" s="234" t="s">
        <v>1623</v>
      </c>
      <c r="C111" s="235">
        <v>15400000</v>
      </c>
      <c r="D111" s="235">
        <v>3000000</v>
      </c>
      <c r="E111" s="235">
        <v>12400000</v>
      </c>
    </row>
    <row r="112" spans="1:5" ht="27" customHeight="1" outlineLevel="1" x14ac:dyDescent="0.2">
      <c r="A112" s="234" t="s">
        <v>1624</v>
      </c>
      <c r="B112" s="234" t="s">
        <v>1589</v>
      </c>
      <c r="C112" s="235">
        <v>15400000</v>
      </c>
      <c r="D112" s="235">
        <v>3000000</v>
      </c>
      <c r="E112" s="235">
        <v>12400000</v>
      </c>
    </row>
    <row r="113" spans="1:5" ht="27" customHeight="1" outlineLevel="1" x14ac:dyDescent="0.2">
      <c r="A113" s="234">
        <v>230202063</v>
      </c>
      <c r="B113" s="234" t="s">
        <v>1625</v>
      </c>
      <c r="C113" s="235">
        <v>17667514.559999999</v>
      </c>
      <c r="D113" s="235">
        <v>6000000</v>
      </c>
      <c r="E113" s="235">
        <v>11667514.560000001</v>
      </c>
    </row>
    <row r="114" spans="1:5" ht="27" customHeight="1" outlineLevel="1" x14ac:dyDescent="0.2">
      <c r="A114" s="234">
        <v>2302020631</v>
      </c>
      <c r="B114" s="234" t="s">
        <v>1626</v>
      </c>
      <c r="C114" s="235">
        <v>17667514.559999999</v>
      </c>
      <c r="D114" s="235">
        <v>6000000</v>
      </c>
      <c r="E114" s="235">
        <v>11667514.560000001</v>
      </c>
    </row>
    <row r="115" spans="1:5" ht="27" customHeight="1" outlineLevel="1" x14ac:dyDescent="0.2">
      <c r="A115" s="234" t="s">
        <v>1627</v>
      </c>
      <c r="B115" s="234" t="s">
        <v>1589</v>
      </c>
      <c r="C115" s="235">
        <v>13639549.560000001</v>
      </c>
      <c r="D115" s="235">
        <v>6000000</v>
      </c>
      <c r="E115" s="235">
        <v>7639549.5599999996</v>
      </c>
    </row>
    <row r="116" spans="1:5" ht="14.25" customHeight="1" outlineLevel="1" x14ac:dyDescent="0.2">
      <c r="A116" s="234" t="s">
        <v>1628</v>
      </c>
      <c r="B116" s="234" t="s">
        <v>1621</v>
      </c>
      <c r="C116" s="235">
        <v>4027965</v>
      </c>
      <c r="D116" s="235">
        <v>0</v>
      </c>
      <c r="E116" s="235">
        <v>4027965</v>
      </c>
    </row>
    <row r="117" spans="1:5" ht="18" customHeight="1" outlineLevel="1" x14ac:dyDescent="0.2">
      <c r="A117" s="234">
        <v>23020207</v>
      </c>
      <c r="B117" s="234" t="s">
        <v>1629</v>
      </c>
      <c r="C117" s="235">
        <v>40000000</v>
      </c>
      <c r="D117" s="235">
        <v>31800000</v>
      </c>
      <c r="E117" s="235">
        <v>8200000</v>
      </c>
    </row>
    <row r="118" spans="1:5" ht="14.25" customHeight="1" outlineLevel="1" x14ac:dyDescent="0.2">
      <c r="A118" s="234">
        <v>230202071</v>
      </c>
      <c r="B118" s="234" t="s">
        <v>1630</v>
      </c>
      <c r="C118" s="235">
        <v>40000000</v>
      </c>
      <c r="D118" s="235">
        <v>31800000</v>
      </c>
      <c r="E118" s="235">
        <v>8200000</v>
      </c>
    </row>
    <row r="119" spans="1:5" ht="14.25" customHeight="1" outlineLevel="1" x14ac:dyDescent="0.2">
      <c r="A119" s="234" t="s">
        <v>1631</v>
      </c>
      <c r="B119" s="234" t="s">
        <v>1589</v>
      </c>
      <c r="C119" s="235">
        <v>40000000</v>
      </c>
      <c r="D119" s="235">
        <v>31800000</v>
      </c>
      <c r="E119" s="235">
        <v>8200000</v>
      </c>
    </row>
    <row r="120" spans="1:5" ht="18" customHeight="1" outlineLevel="1" x14ac:dyDescent="0.2">
      <c r="A120" s="234">
        <v>23020209</v>
      </c>
      <c r="B120" s="234" t="s">
        <v>1632</v>
      </c>
      <c r="C120" s="235">
        <v>3000000</v>
      </c>
      <c r="D120" s="235">
        <v>0</v>
      </c>
      <c r="E120" s="235">
        <v>3000000</v>
      </c>
    </row>
    <row r="122" spans="1:5" ht="14.25" customHeight="1" outlineLevel="1" x14ac:dyDescent="0.25">
      <c r="A122" s="234">
        <v>230202091</v>
      </c>
      <c r="B122" s="234" t="s">
        <v>1633</v>
      </c>
      <c r="C122" s="235">
        <v>3000000</v>
      </c>
      <c r="D122" s="235">
        <v>0</v>
      </c>
      <c r="E122" s="235">
        <v>3000000</v>
      </c>
    </row>
    <row r="123" spans="1:5" ht="18" customHeight="1" outlineLevel="1" x14ac:dyDescent="0.2">
      <c r="A123" s="234">
        <v>2302020911</v>
      </c>
      <c r="B123" s="234" t="s">
        <v>1587</v>
      </c>
      <c r="C123" s="235">
        <v>3000000</v>
      </c>
      <c r="D123" s="235">
        <v>0</v>
      </c>
      <c r="E123" s="235">
        <v>3000000</v>
      </c>
    </row>
    <row r="124" spans="1:5" ht="14.25" customHeight="1" outlineLevel="1" x14ac:dyDescent="0.2">
      <c r="A124" s="234" t="s">
        <v>1634</v>
      </c>
      <c r="B124" s="234" t="s">
        <v>1589</v>
      </c>
      <c r="C124" s="235">
        <v>3000000</v>
      </c>
      <c r="D124" s="235">
        <v>0</v>
      </c>
      <c r="E124" s="235">
        <v>3000000</v>
      </c>
    </row>
    <row r="125" spans="1:5" ht="36" customHeight="1" outlineLevel="1" x14ac:dyDescent="0.25">
      <c r="A125" s="234">
        <v>2302020912</v>
      </c>
      <c r="B125" s="234" t="s">
        <v>1635</v>
      </c>
      <c r="C125" s="235">
        <v>0</v>
      </c>
      <c r="D125" s="235">
        <v>0</v>
      </c>
      <c r="E125" s="235">
        <v>0</v>
      </c>
    </row>
    <row r="126" spans="1:5" ht="14.25" customHeight="1" outlineLevel="1" x14ac:dyDescent="0.2">
      <c r="A126" s="234" t="s">
        <v>1636</v>
      </c>
      <c r="B126" s="234" t="s">
        <v>1589</v>
      </c>
      <c r="C126" s="235">
        <v>0</v>
      </c>
      <c r="D126" s="235">
        <v>0</v>
      </c>
      <c r="E126" s="235">
        <v>0</v>
      </c>
    </row>
    <row r="127" spans="1:5" ht="18" customHeight="1" outlineLevel="1" x14ac:dyDescent="0.25">
      <c r="A127" s="234">
        <v>2302020913</v>
      </c>
      <c r="B127" s="234" t="s">
        <v>1637</v>
      </c>
      <c r="C127" s="235">
        <v>0</v>
      </c>
      <c r="D127" s="235">
        <v>0</v>
      </c>
      <c r="E127" s="235">
        <v>0</v>
      </c>
    </row>
    <row r="128" spans="1:5" ht="14.25" customHeight="1" outlineLevel="1" x14ac:dyDescent="0.2">
      <c r="A128" s="234" t="s">
        <v>1638</v>
      </c>
      <c r="B128" s="234" t="s">
        <v>1589</v>
      </c>
      <c r="C128" s="235">
        <v>0</v>
      </c>
      <c r="D128" s="235">
        <v>0</v>
      </c>
      <c r="E128" s="235">
        <v>0</v>
      </c>
    </row>
    <row r="129" spans="1:5" ht="27" customHeight="1" outlineLevel="1" x14ac:dyDescent="0.2">
      <c r="A129" s="234">
        <v>23020210</v>
      </c>
      <c r="B129" s="234" t="s">
        <v>1639</v>
      </c>
      <c r="C129" s="235">
        <v>251892049</v>
      </c>
      <c r="D129" s="235">
        <v>136726000</v>
      </c>
      <c r="E129" s="235">
        <v>115166049</v>
      </c>
    </row>
    <row r="130" spans="1:5" ht="18" customHeight="1" outlineLevel="1" x14ac:dyDescent="0.25">
      <c r="A130" s="234">
        <v>230202101</v>
      </c>
      <c r="B130" s="234" t="s">
        <v>1640</v>
      </c>
      <c r="C130" s="235">
        <v>68126000</v>
      </c>
      <c r="D130" s="235">
        <v>68126000</v>
      </c>
      <c r="E130" s="235">
        <v>0</v>
      </c>
    </row>
    <row r="131" spans="1:5" ht="14.25" customHeight="1" outlineLevel="1" x14ac:dyDescent="0.2">
      <c r="A131" s="234" t="s">
        <v>1641</v>
      </c>
      <c r="B131" s="234" t="s">
        <v>1589</v>
      </c>
      <c r="C131" s="235">
        <v>68126000</v>
      </c>
      <c r="D131" s="235">
        <v>68126000</v>
      </c>
      <c r="E131" s="235">
        <v>0</v>
      </c>
    </row>
    <row r="132" spans="1:5" ht="14.25" customHeight="1" outlineLevel="1" x14ac:dyDescent="0.2">
      <c r="A132" s="234" t="s">
        <v>1642</v>
      </c>
      <c r="B132" s="234" t="s">
        <v>1643</v>
      </c>
      <c r="C132" s="235">
        <v>0</v>
      </c>
      <c r="D132" s="235">
        <v>0</v>
      </c>
      <c r="E132" s="235">
        <v>0</v>
      </c>
    </row>
    <row r="133" spans="1:5" ht="14.25" customHeight="1" outlineLevel="1" x14ac:dyDescent="0.25">
      <c r="A133" s="234" t="s">
        <v>1644</v>
      </c>
      <c r="B133" s="234" t="s">
        <v>1645</v>
      </c>
      <c r="C133" s="235">
        <v>0</v>
      </c>
      <c r="D133" s="235">
        <v>0</v>
      </c>
      <c r="E133" s="235">
        <v>0</v>
      </c>
    </row>
    <row r="134" spans="1:5" ht="27" customHeight="1" outlineLevel="1" x14ac:dyDescent="0.2">
      <c r="A134" s="234">
        <v>230202102</v>
      </c>
      <c r="B134" s="234" t="s">
        <v>1646</v>
      </c>
      <c r="C134" s="235">
        <v>116766049</v>
      </c>
      <c r="D134" s="235">
        <v>45600000</v>
      </c>
      <c r="E134" s="235">
        <v>71166049</v>
      </c>
    </row>
    <row r="135" spans="1:5" ht="27" customHeight="1" outlineLevel="1" x14ac:dyDescent="0.25">
      <c r="A135" s="234">
        <v>2302021021</v>
      </c>
      <c r="B135" s="234" t="s">
        <v>1640</v>
      </c>
      <c r="C135" s="235">
        <v>116766049</v>
      </c>
      <c r="D135" s="235">
        <v>45600000</v>
      </c>
      <c r="E135" s="235">
        <v>71166049</v>
      </c>
    </row>
    <row r="136" spans="1:5" ht="27" customHeight="1" outlineLevel="1" x14ac:dyDescent="0.2">
      <c r="A136" s="234" t="s">
        <v>1647</v>
      </c>
      <c r="B136" s="234" t="s">
        <v>1589</v>
      </c>
      <c r="C136" s="235">
        <v>56874000</v>
      </c>
      <c r="D136" s="235">
        <v>31200000</v>
      </c>
      <c r="E136" s="235">
        <v>25674000</v>
      </c>
    </row>
    <row r="137" spans="1:5" ht="27" customHeight="1" outlineLevel="1" x14ac:dyDescent="0.2">
      <c r="A137" s="234" t="s">
        <v>1648</v>
      </c>
      <c r="B137" s="234" t="s">
        <v>1643</v>
      </c>
      <c r="C137" s="235">
        <v>56392049</v>
      </c>
      <c r="D137" s="235">
        <v>14400000</v>
      </c>
      <c r="E137" s="235">
        <v>41992049</v>
      </c>
    </row>
    <row r="138" spans="1:5" ht="14.25" customHeight="1" outlineLevel="1" x14ac:dyDescent="0.25">
      <c r="A138" s="234" t="s">
        <v>1649</v>
      </c>
      <c r="B138" s="234" t="s">
        <v>1645</v>
      </c>
      <c r="C138" s="235">
        <v>3500000</v>
      </c>
      <c r="D138" s="235">
        <v>0</v>
      </c>
      <c r="E138" s="235">
        <v>3500000</v>
      </c>
    </row>
    <row r="139" spans="1:5" ht="14.25" customHeight="1" outlineLevel="1" x14ac:dyDescent="0.2">
      <c r="A139" s="234">
        <v>230202103</v>
      </c>
      <c r="B139" s="234" t="s">
        <v>1650</v>
      </c>
      <c r="C139" s="235">
        <v>46000000</v>
      </c>
      <c r="D139" s="235">
        <v>23000000</v>
      </c>
      <c r="E139" s="235">
        <v>23000000</v>
      </c>
    </row>
    <row r="140" spans="1:5" ht="18" customHeight="1" outlineLevel="1" x14ac:dyDescent="0.25">
      <c r="A140" s="234">
        <v>2302021031</v>
      </c>
      <c r="B140" s="234" t="s">
        <v>1640</v>
      </c>
      <c r="C140" s="235">
        <v>23000000</v>
      </c>
      <c r="D140" s="235">
        <v>0</v>
      </c>
      <c r="E140" s="235">
        <v>23000000</v>
      </c>
    </row>
    <row r="141" spans="1:5" ht="14.25" customHeight="1" outlineLevel="1" x14ac:dyDescent="0.2">
      <c r="A141" s="234" t="s">
        <v>1651</v>
      </c>
      <c r="B141" s="234" t="s">
        <v>1589</v>
      </c>
      <c r="C141" s="235">
        <v>23000000</v>
      </c>
      <c r="D141" s="235">
        <v>0</v>
      </c>
      <c r="E141" s="235">
        <v>23000000</v>
      </c>
    </row>
    <row r="142" spans="1:5" ht="18" customHeight="1" outlineLevel="1" x14ac:dyDescent="0.2">
      <c r="A142" s="234">
        <v>2302021032</v>
      </c>
      <c r="B142" s="234" t="s">
        <v>1652</v>
      </c>
      <c r="C142" s="235">
        <v>23000000</v>
      </c>
      <c r="D142" s="235">
        <v>23000000</v>
      </c>
      <c r="E142" s="235">
        <v>0</v>
      </c>
    </row>
    <row r="143" spans="1:5" ht="14.25" customHeight="1" outlineLevel="1" x14ac:dyDescent="0.2">
      <c r="A143" s="234" t="s">
        <v>1653</v>
      </c>
      <c r="B143" s="234" t="s">
        <v>1589</v>
      </c>
      <c r="C143" s="235">
        <v>23000000</v>
      </c>
      <c r="D143" s="235">
        <v>23000000</v>
      </c>
      <c r="E143" s="235">
        <v>0</v>
      </c>
    </row>
    <row r="144" spans="1:5" ht="14.25" customHeight="1" outlineLevel="1" x14ac:dyDescent="0.2">
      <c r="A144" s="234">
        <v>230202106</v>
      </c>
      <c r="B144" s="234" t="s">
        <v>1654</v>
      </c>
      <c r="C144" s="235">
        <v>10000000</v>
      </c>
      <c r="D144" s="235">
        <v>0</v>
      </c>
      <c r="E144" s="235">
        <v>10000000</v>
      </c>
    </row>
    <row r="145" spans="1:5" ht="27" customHeight="1" outlineLevel="1" x14ac:dyDescent="0.2">
      <c r="A145" s="234">
        <v>2302021061</v>
      </c>
      <c r="B145" s="234" t="s">
        <v>1655</v>
      </c>
      <c r="C145" s="235">
        <v>10000000</v>
      </c>
      <c r="D145" s="235">
        <v>0</v>
      </c>
      <c r="E145" s="235">
        <v>10000000</v>
      </c>
    </row>
    <row r="146" spans="1:5" ht="14.25" customHeight="1" outlineLevel="1" x14ac:dyDescent="0.2">
      <c r="A146" s="234" t="s">
        <v>1656</v>
      </c>
      <c r="B146" s="234" t="s">
        <v>1589</v>
      </c>
      <c r="C146" s="235">
        <v>10000000</v>
      </c>
      <c r="D146" s="235">
        <v>0</v>
      </c>
      <c r="E146" s="235">
        <v>10000000</v>
      </c>
    </row>
    <row r="147" spans="1:5" ht="18" customHeight="1" outlineLevel="1" x14ac:dyDescent="0.2">
      <c r="A147" s="234">
        <v>230202107</v>
      </c>
      <c r="B147" s="234" t="s">
        <v>1657</v>
      </c>
      <c r="C147" s="235">
        <v>11000000</v>
      </c>
      <c r="D147" s="235">
        <v>0</v>
      </c>
      <c r="E147" s="235">
        <v>11000000</v>
      </c>
    </row>
    <row r="148" spans="1:5" ht="27" customHeight="1" outlineLevel="1" x14ac:dyDescent="0.2">
      <c r="A148" s="234">
        <v>2302021071</v>
      </c>
      <c r="B148" s="234" t="s">
        <v>1655</v>
      </c>
      <c r="C148" s="235">
        <v>11000000</v>
      </c>
      <c r="D148" s="235">
        <v>0</v>
      </c>
      <c r="E148" s="235">
        <v>11000000</v>
      </c>
    </row>
    <row r="149" spans="1:5" ht="14.25" customHeight="1" outlineLevel="1" x14ac:dyDescent="0.2">
      <c r="A149" s="234" t="s">
        <v>1658</v>
      </c>
      <c r="B149" s="234" t="s">
        <v>1589</v>
      </c>
      <c r="C149" s="235">
        <v>11000000</v>
      </c>
      <c r="D149" s="235">
        <v>0</v>
      </c>
      <c r="E149" s="235">
        <v>11000000</v>
      </c>
    </row>
    <row r="150" spans="1:5" ht="27" customHeight="1" outlineLevel="1" x14ac:dyDescent="0.2">
      <c r="A150" s="234">
        <v>230203</v>
      </c>
      <c r="B150" s="234" t="s">
        <v>1659</v>
      </c>
      <c r="C150" s="235">
        <v>352174551</v>
      </c>
      <c r="D150" s="235">
        <v>339584309</v>
      </c>
      <c r="E150" s="235">
        <v>12590242</v>
      </c>
    </row>
    <row r="151" spans="1:5" ht="27" customHeight="1" outlineLevel="1" x14ac:dyDescent="0.25">
      <c r="A151" s="234">
        <v>23020301</v>
      </c>
      <c r="B151" s="234" t="s">
        <v>1660</v>
      </c>
      <c r="C151" s="235">
        <v>349766288</v>
      </c>
      <c r="D151" s="235">
        <v>339584309</v>
      </c>
      <c r="E151" s="235">
        <v>10181979</v>
      </c>
    </row>
    <row r="152" spans="1:5" ht="27" customHeight="1" outlineLevel="1" x14ac:dyDescent="0.2">
      <c r="A152" s="234">
        <v>230203011</v>
      </c>
      <c r="B152" s="234" t="s">
        <v>1661</v>
      </c>
      <c r="C152" s="235">
        <v>349766288</v>
      </c>
      <c r="D152" s="235">
        <v>339584309</v>
      </c>
      <c r="E152" s="235">
        <v>10181979</v>
      </c>
    </row>
    <row r="153" spans="1:5" ht="27" customHeight="1" outlineLevel="1" x14ac:dyDescent="0.2">
      <c r="A153" s="234">
        <v>2302030111</v>
      </c>
      <c r="B153" s="234" t="s">
        <v>1662</v>
      </c>
      <c r="C153" s="235">
        <v>349766288</v>
      </c>
      <c r="D153" s="235">
        <v>339584309</v>
      </c>
      <c r="E153" s="235">
        <v>10181979</v>
      </c>
    </row>
    <row r="154" spans="1:5" ht="14.25" customHeight="1" outlineLevel="1" x14ac:dyDescent="0.25">
      <c r="A154" s="234" t="s">
        <v>1663</v>
      </c>
      <c r="B154" s="234" t="s">
        <v>1664</v>
      </c>
      <c r="C154" s="235">
        <v>185000</v>
      </c>
      <c r="D154" s="235">
        <v>185000</v>
      </c>
      <c r="E154" s="235">
        <v>0</v>
      </c>
    </row>
    <row r="155" spans="1:5" ht="27" customHeight="1" outlineLevel="1" x14ac:dyDescent="0.25">
      <c r="A155" s="234" t="s">
        <v>1665</v>
      </c>
      <c r="B155" s="234" t="s">
        <v>1666</v>
      </c>
      <c r="C155" s="235">
        <v>349581288</v>
      </c>
      <c r="D155" s="235">
        <v>339399309</v>
      </c>
      <c r="E155" s="235">
        <v>10181979</v>
      </c>
    </row>
    <row r="156" spans="1:5" ht="18" customHeight="1" outlineLevel="1" x14ac:dyDescent="0.2">
      <c r="A156" s="234">
        <v>23020306</v>
      </c>
      <c r="B156" s="234" t="s">
        <v>1667</v>
      </c>
      <c r="C156" s="235">
        <v>2408263</v>
      </c>
      <c r="D156" s="235">
        <v>0</v>
      </c>
      <c r="E156" s="235">
        <v>2408263</v>
      </c>
    </row>
    <row r="157" spans="1:5" ht="14.25" customHeight="1" outlineLevel="1" x14ac:dyDescent="0.25">
      <c r="A157" s="234" t="s">
        <v>1668</v>
      </c>
      <c r="B157" s="234" t="s">
        <v>1669</v>
      </c>
      <c r="C157" s="235">
        <v>2408263</v>
      </c>
      <c r="D157" s="235">
        <v>0</v>
      </c>
      <c r="E157" s="235">
        <v>2408263</v>
      </c>
    </row>
    <row r="158" spans="1:5" ht="27" customHeight="1" outlineLevel="1" x14ac:dyDescent="0.2">
      <c r="A158" s="234">
        <v>230204</v>
      </c>
      <c r="B158" s="234" t="s">
        <v>1670</v>
      </c>
      <c r="C158" s="235">
        <v>1997186503.3</v>
      </c>
      <c r="D158" s="235">
        <v>309102868</v>
      </c>
      <c r="E158" s="235">
        <v>1688083635.3</v>
      </c>
    </row>
    <row r="160" spans="1:5" ht="27" customHeight="1" outlineLevel="1" x14ac:dyDescent="0.2">
      <c r="A160" s="234">
        <v>23020401</v>
      </c>
      <c r="B160" s="234" t="s">
        <v>1671</v>
      </c>
      <c r="C160" s="235">
        <v>45800000</v>
      </c>
      <c r="D160" s="235">
        <v>21697127</v>
      </c>
      <c r="E160" s="235">
        <v>24102873</v>
      </c>
    </row>
    <row r="161" spans="1:5" ht="27" customHeight="1" outlineLevel="1" x14ac:dyDescent="0.2">
      <c r="A161" s="234">
        <v>2302040101</v>
      </c>
      <c r="B161" s="234" t="s">
        <v>1672</v>
      </c>
      <c r="C161" s="235">
        <v>34300000</v>
      </c>
      <c r="D161" s="235">
        <v>17407009</v>
      </c>
      <c r="E161" s="235">
        <v>16892991</v>
      </c>
    </row>
    <row r="162" spans="1:5" ht="27" customHeight="1" outlineLevel="1" x14ac:dyDescent="0.2">
      <c r="A162" s="234" t="s">
        <v>1673</v>
      </c>
      <c r="B162" s="234" t="s">
        <v>1674</v>
      </c>
      <c r="C162" s="235">
        <v>34300000</v>
      </c>
      <c r="D162" s="235">
        <v>17407009</v>
      </c>
      <c r="E162" s="235">
        <v>16892991</v>
      </c>
    </row>
    <row r="163" spans="1:5" ht="27" customHeight="1" outlineLevel="1" x14ac:dyDescent="0.2">
      <c r="A163" s="234">
        <v>2302040102</v>
      </c>
      <c r="B163" s="234" t="s">
        <v>1675</v>
      </c>
      <c r="C163" s="235">
        <v>8100000</v>
      </c>
      <c r="D163" s="235">
        <v>2703320</v>
      </c>
      <c r="E163" s="235">
        <v>5396680</v>
      </c>
    </row>
    <row r="164" spans="1:5" ht="27" customHeight="1" outlineLevel="1" x14ac:dyDescent="0.2">
      <c r="A164" s="234">
        <v>230204010201</v>
      </c>
      <c r="B164" s="234" t="s">
        <v>1676</v>
      </c>
      <c r="C164" s="235">
        <v>3100000</v>
      </c>
      <c r="D164" s="235">
        <v>1450584</v>
      </c>
      <c r="E164" s="235">
        <v>1649416</v>
      </c>
    </row>
    <row r="165" spans="1:5" ht="27" customHeight="1" outlineLevel="1" x14ac:dyDescent="0.2">
      <c r="A165" s="234" t="s">
        <v>1677</v>
      </c>
      <c r="B165" s="234" t="s">
        <v>1674</v>
      </c>
      <c r="C165" s="235">
        <v>3100000</v>
      </c>
      <c r="D165" s="235">
        <v>1450584</v>
      </c>
      <c r="E165" s="235">
        <v>1649416</v>
      </c>
    </row>
    <row r="166" spans="1:5" ht="14.25" customHeight="1" outlineLevel="1" x14ac:dyDescent="0.2">
      <c r="A166" s="234">
        <v>230204010202</v>
      </c>
      <c r="B166" s="234" t="s">
        <v>1678</v>
      </c>
      <c r="C166" s="235">
        <v>3300000</v>
      </c>
      <c r="D166" s="235">
        <v>0</v>
      </c>
      <c r="E166" s="235">
        <v>3300000</v>
      </c>
    </row>
    <row r="167" spans="1:5" ht="14.25" customHeight="1" outlineLevel="1" x14ac:dyDescent="0.2">
      <c r="A167" s="234" t="s">
        <v>1679</v>
      </c>
      <c r="B167" s="234" t="s">
        <v>1674</v>
      </c>
      <c r="C167" s="235">
        <v>3300000</v>
      </c>
      <c r="D167" s="235">
        <v>0</v>
      </c>
      <c r="E167" s="235">
        <v>3300000</v>
      </c>
    </row>
    <row r="168" spans="1:5" ht="27" customHeight="1" outlineLevel="1" x14ac:dyDescent="0.2">
      <c r="A168" s="234">
        <v>230204010203</v>
      </c>
      <c r="B168" s="234" t="s">
        <v>1680</v>
      </c>
      <c r="C168" s="235">
        <v>1700000</v>
      </c>
      <c r="D168" s="235">
        <v>1252736</v>
      </c>
      <c r="E168" s="235">
        <v>447264</v>
      </c>
    </row>
    <row r="169" spans="1:5" ht="27" customHeight="1" outlineLevel="1" x14ac:dyDescent="0.2">
      <c r="A169" s="234" t="s">
        <v>1681</v>
      </c>
      <c r="B169" s="234" t="s">
        <v>1674</v>
      </c>
      <c r="C169" s="235">
        <v>1700000</v>
      </c>
      <c r="D169" s="235">
        <v>1252736</v>
      </c>
      <c r="E169" s="235">
        <v>447264</v>
      </c>
    </row>
    <row r="170" spans="1:5" ht="14.25" customHeight="1" outlineLevel="1" x14ac:dyDescent="0.2">
      <c r="A170" s="234">
        <v>2302040103</v>
      </c>
      <c r="B170" s="234" t="s">
        <v>1682</v>
      </c>
      <c r="C170" s="235">
        <v>1000000</v>
      </c>
      <c r="D170" s="235">
        <v>0</v>
      </c>
      <c r="E170" s="235">
        <v>1000000</v>
      </c>
    </row>
    <row r="171" spans="1:5" ht="14.25" customHeight="1" outlineLevel="1" x14ac:dyDescent="0.2">
      <c r="A171" s="234" t="s">
        <v>1683</v>
      </c>
      <c r="B171" s="234" t="s">
        <v>1674</v>
      </c>
      <c r="C171" s="235">
        <v>1000000</v>
      </c>
      <c r="D171" s="235">
        <v>0</v>
      </c>
      <c r="E171" s="235">
        <v>1000000</v>
      </c>
    </row>
    <row r="172" spans="1:5" ht="14.25" customHeight="1" outlineLevel="1" x14ac:dyDescent="0.2">
      <c r="A172" s="234">
        <v>2302040104</v>
      </c>
      <c r="B172" s="234" t="s">
        <v>1684</v>
      </c>
      <c r="C172" s="235">
        <v>200000</v>
      </c>
      <c r="D172" s="235">
        <v>0</v>
      </c>
      <c r="E172" s="235">
        <v>200000</v>
      </c>
    </row>
    <row r="173" spans="1:5" ht="14.25" customHeight="1" outlineLevel="1" x14ac:dyDescent="0.2">
      <c r="A173" s="234" t="s">
        <v>1685</v>
      </c>
      <c r="B173" s="234" t="s">
        <v>1674</v>
      </c>
      <c r="C173" s="235">
        <v>200000</v>
      </c>
      <c r="D173" s="235">
        <v>0</v>
      </c>
      <c r="E173" s="235">
        <v>200000</v>
      </c>
    </row>
    <row r="174" spans="1:5" ht="27" customHeight="1" outlineLevel="1" x14ac:dyDescent="0.2">
      <c r="A174" s="234">
        <v>2302040105</v>
      </c>
      <c r="B174" s="234" t="s">
        <v>1686</v>
      </c>
      <c r="C174" s="235">
        <v>2200000</v>
      </c>
      <c r="D174" s="235">
        <v>1586798</v>
      </c>
      <c r="E174" s="235">
        <v>613202</v>
      </c>
    </row>
    <row r="175" spans="1:5" ht="27" customHeight="1" outlineLevel="1" x14ac:dyDescent="0.2">
      <c r="A175" s="234" t="s">
        <v>1687</v>
      </c>
      <c r="B175" s="234" t="s">
        <v>1674</v>
      </c>
      <c r="C175" s="235">
        <v>2200000</v>
      </c>
      <c r="D175" s="235">
        <v>1586798</v>
      </c>
      <c r="E175" s="235">
        <v>613202</v>
      </c>
    </row>
    <row r="176" spans="1:5" ht="27" customHeight="1" outlineLevel="1" x14ac:dyDescent="0.2">
      <c r="A176" s="234">
        <v>23020402</v>
      </c>
      <c r="B176" s="234" t="s">
        <v>1688</v>
      </c>
      <c r="C176" s="235">
        <v>105096571</v>
      </c>
      <c r="D176" s="235">
        <v>61965000</v>
      </c>
      <c r="E176" s="235">
        <v>43131571</v>
      </c>
    </row>
    <row r="177" spans="1:5" ht="27" customHeight="1" outlineLevel="1" x14ac:dyDescent="0.2">
      <c r="A177" s="234" t="s">
        <v>1689</v>
      </c>
      <c r="B177" s="234" t="s">
        <v>1690</v>
      </c>
      <c r="C177" s="235">
        <v>77000000</v>
      </c>
      <c r="D177" s="235">
        <v>61965000</v>
      </c>
      <c r="E177" s="235">
        <v>15035000</v>
      </c>
    </row>
    <row r="178" spans="1:5" ht="14.25" customHeight="1" outlineLevel="1" x14ac:dyDescent="0.2">
      <c r="A178" s="234" t="s">
        <v>1691</v>
      </c>
      <c r="B178" s="234" t="s">
        <v>1575</v>
      </c>
      <c r="C178" s="235">
        <v>28096571</v>
      </c>
      <c r="D178" s="235">
        <v>0</v>
      </c>
      <c r="E178" s="235">
        <v>28096571</v>
      </c>
    </row>
    <row r="179" spans="1:5" ht="27" customHeight="1" outlineLevel="1" x14ac:dyDescent="0.2">
      <c r="A179" s="234">
        <v>23020403</v>
      </c>
      <c r="B179" s="234" t="s">
        <v>1692</v>
      </c>
      <c r="C179" s="235">
        <v>15500000</v>
      </c>
      <c r="D179" s="235">
        <v>10455594</v>
      </c>
      <c r="E179" s="235">
        <v>5044406</v>
      </c>
    </row>
    <row r="180" spans="1:5" ht="14.25" customHeight="1" outlineLevel="1" x14ac:dyDescent="0.2">
      <c r="A180" s="234">
        <v>2302040301</v>
      </c>
      <c r="B180" s="234" t="s">
        <v>1693</v>
      </c>
      <c r="C180" s="235">
        <v>10000000</v>
      </c>
      <c r="D180" s="235">
        <v>9900000</v>
      </c>
      <c r="E180" s="235">
        <v>100000</v>
      </c>
    </row>
    <row r="181" spans="1:5" ht="14.25" customHeight="1" outlineLevel="1" x14ac:dyDescent="0.2">
      <c r="A181" s="234" t="s">
        <v>1694</v>
      </c>
      <c r="B181" s="234" t="s">
        <v>1690</v>
      </c>
      <c r="C181" s="235">
        <v>10000000</v>
      </c>
      <c r="D181" s="235">
        <v>9900000</v>
      </c>
      <c r="E181" s="235">
        <v>100000</v>
      </c>
    </row>
    <row r="182" spans="1:5" ht="27" customHeight="1" outlineLevel="1" x14ac:dyDescent="0.2">
      <c r="A182" s="234">
        <v>2302040302</v>
      </c>
      <c r="B182" s="234" t="s">
        <v>1695</v>
      </c>
      <c r="C182" s="235">
        <v>5500000</v>
      </c>
      <c r="D182" s="235">
        <v>555594</v>
      </c>
      <c r="E182" s="235">
        <v>4944406</v>
      </c>
    </row>
    <row r="183" spans="1:5" ht="18" customHeight="1" outlineLevel="1" x14ac:dyDescent="0.2">
      <c r="A183" s="234" t="s">
        <v>1696</v>
      </c>
      <c r="B183" s="234" t="s">
        <v>1690</v>
      </c>
      <c r="C183" s="235">
        <v>3000000</v>
      </c>
      <c r="D183" s="235">
        <v>555594</v>
      </c>
      <c r="E183" s="235">
        <v>2444406</v>
      </c>
    </row>
    <row r="184" spans="1:5" ht="14.25" customHeight="1" outlineLevel="1" x14ac:dyDescent="0.2">
      <c r="A184" s="234" t="s">
        <v>1697</v>
      </c>
      <c r="B184" s="234" t="s">
        <v>1698</v>
      </c>
      <c r="C184" s="235">
        <v>2500000</v>
      </c>
      <c r="D184" s="235">
        <v>0</v>
      </c>
      <c r="E184" s="235">
        <v>2500000</v>
      </c>
    </row>
    <row r="185" spans="1:5" ht="14.25" customHeight="1" outlineLevel="1" x14ac:dyDescent="0.2">
      <c r="A185" s="234">
        <v>23020406</v>
      </c>
      <c r="B185" s="234" t="s">
        <v>1699</v>
      </c>
      <c r="C185" s="235">
        <v>33245757</v>
      </c>
      <c r="D185" s="235">
        <v>0</v>
      </c>
      <c r="E185" s="235">
        <v>33245757</v>
      </c>
    </row>
    <row r="186" spans="1:5" ht="14.25" customHeight="1" outlineLevel="1" x14ac:dyDescent="0.2">
      <c r="A186" s="234">
        <v>2302040601</v>
      </c>
      <c r="B186" s="234" t="s">
        <v>1700</v>
      </c>
      <c r="C186" s="235">
        <v>2000000</v>
      </c>
      <c r="D186" s="235">
        <v>0</v>
      </c>
      <c r="E186" s="235">
        <v>2000000</v>
      </c>
    </row>
    <row r="187" spans="1:5" ht="14.25" customHeight="1" outlineLevel="1" x14ac:dyDescent="0.2">
      <c r="A187" s="234" t="s">
        <v>1701</v>
      </c>
      <c r="B187" s="234" t="s">
        <v>1674</v>
      </c>
      <c r="C187" s="235">
        <v>2000000</v>
      </c>
      <c r="D187" s="235">
        <v>0</v>
      </c>
      <c r="E187" s="235">
        <v>2000000</v>
      </c>
    </row>
    <row r="188" spans="1:5" ht="14.25" customHeight="1" outlineLevel="1" x14ac:dyDescent="0.2">
      <c r="A188" s="234">
        <v>2302040602</v>
      </c>
      <c r="B188" s="234" t="s">
        <v>1702</v>
      </c>
      <c r="C188" s="235">
        <v>2000000</v>
      </c>
      <c r="D188" s="235">
        <v>0</v>
      </c>
      <c r="E188" s="235">
        <v>2000000</v>
      </c>
    </row>
    <row r="189" spans="1:5" ht="14.25" customHeight="1" outlineLevel="1" x14ac:dyDescent="0.2">
      <c r="A189" s="234" t="s">
        <v>1703</v>
      </c>
      <c r="B189" s="234" t="s">
        <v>1674</v>
      </c>
      <c r="C189" s="235">
        <v>2000000</v>
      </c>
      <c r="D189" s="235">
        <v>0</v>
      </c>
      <c r="E189" s="235">
        <v>2000000</v>
      </c>
    </row>
    <row r="190" spans="1:5" ht="14.25" customHeight="1" outlineLevel="1" x14ac:dyDescent="0.2">
      <c r="A190" s="234">
        <v>2302040603</v>
      </c>
      <c r="B190" s="234" t="s">
        <v>1704</v>
      </c>
      <c r="C190" s="235">
        <v>2000000</v>
      </c>
      <c r="D190" s="235">
        <v>0</v>
      </c>
      <c r="E190" s="235">
        <v>2000000</v>
      </c>
    </row>
    <row r="191" spans="1:5" ht="14.25" customHeight="1" outlineLevel="1" x14ac:dyDescent="0.2">
      <c r="A191" s="234" t="s">
        <v>1705</v>
      </c>
      <c r="B191" s="234" t="s">
        <v>1674</v>
      </c>
      <c r="C191" s="235">
        <v>2000000</v>
      </c>
      <c r="D191" s="235">
        <v>0</v>
      </c>
      <c r="E191" s="235">
        <v>2000000</v>
      </c>
    </row>
    <row r="192" spans="1:5" ht="18" customHeight="1" outlineLevel="1" x14ac:dyDescent="0.2">
      <c r="A192" s="234">
        <v>2302040604</v>
      </c>
      <c r="B192" s="234" t="s">
        <v>1706</v>
      </c>
      <c r="C192" s="235">
        <v>27245757</v>
      </c>
      <c r="D192" s="235">
        <v>0</v>
      </c>
      <c r="E192" s="235">
        <v>27245757</v>
      </c>
    </row>
    <row r="193" spans="1:6" ht="14.25" customHeight="1" outlineLevel="1" x14ac:dyDescent="0.2">
      <c r="A193" s="234" t="s">
        <v>1707</v>
      </c>
      <c r="B193" s="234" t="s">
        <v>1575</v>
      </c>
      <c r="C193" s="235">
        <v>27245757</v>
      </c>
      <c r="D193" s="235">
        <v>0</v>
      </c>
      <c r="E193" s="235">
        <v>27245757</v>
      </c>
    </row>
    <row r="194" spans="1:6" ht="33.75" customHeight="1" outlineLevel="1" x14ac:dyDescent="0.2">
      <c r="A194" s="234">
        <v>23020407</v>
      </c>
      <c r="B194" s="234" t="s">
        <v>1708</v>
      </c>
      <c r="C194" s="235">
        <v>74985147</v>
      </c>
      <c r="D194" s="235">
        <v>49985147</v>
      </c>
      <c r="E194" s="235">
        <v>25000000</v>
      </c>
    </row>
    <row r="195" spans="1:6" ht="32.25" customHeight="1" outlineLevel="1" x14ac:dyDescent="0.2">
      <c r="A195" s="234">
        <v>2302040701</v>
      </c>
      <c r="B195" s="234" t="s">
        <v>1709</v>
      </c>
      <c r="C195" s="235">
        <v>24985147</v>
      </c>
      <c r="D195" s="235">
        <v>24985147</v>
      </c>
      <c r="E195" s="235">
        <v>0</v>
      </c>
    </row>
    <row r="196" spans="1:6" ht="14.25" customHeight="1" outlineLevel="1" x14ac:dyDescent="0.2">
      <c r="A196" s="234" t="s">
        <v>1710</v>
      </c>
      <c r="B196" s="234" t="s">
        <v>1711</v>
      </c>
      <c r="C196" s="235">
        <v>3372791</v>
      </c>
      <c r="D196" s="235">
        <v>3372791</v>
      </c>
      <c r="E196" s="235">
        <v>0</v>
      </c>
    </row>
    <row r="197" spans="1:6" ht="14.25" customHeight="1" outlineLevel="1" x14ac:dyDescent="0.2">
      <c r="A197" s="234" t="s">
        <v>1712</v>
      </c>
      <c r="B197" s="234" t="s">
        <v>1575</v>
      </c>
      <c r="C197" s="235">
        <v>21612356</v>
      </c>
      <c r="D197" s="235">
        <v>21612356</v>
      </c>
      <c r="E197" s="235">
        <v>0</v>
      </c>
    </row>
    <row r="198" spans="1:6" ht="18" customHeight="1" outlineLevel="1" x14ac:dyDescent="0.2">
      <c r="A198" s="234">
        <v>2302040702</v>
      </c>
      <c r="B198" s="234" t="s">
        <v>1713</v>
      </c>
      <c r="C198" s="235">
        <v>50000000</v>
      </c>
      <c r="D198" s="235">
        <v>25000000</v>
      </c>
      <c r="E198" s="235">
        <v>25000000</v>
      </c>
    </row>
    <row r="199" spans="1:6" ht="14.25" customHeight="1" outlineLevel="1" x14ac:dyDescent="0.2">
      <c r="A199" s="234" t="s">
        <v>1714</v>
      </c>
      <c r="B199" s="234" t="s">
        <v>1575</v>
      </c>
      <c r="C199" s="235">
        <v>50000000</v>
      </c>
      <c r="D199" s="235">
        <v>25000000</v>
      </c>
      <c r="E199" s="235">
        <v>25000000</v>
      </c>
    </row>
    <row r="201" spans="1:6" ht="27" customHeight="1" outlineLevel="1" x14ac:dyDescent="0.25">
      <c r="A201" s="234">
        <v>23020409</v>
      </c>
      <c r="B201" s="234" t="s">
        <v>1715</v>
      </c>
      <c r="C201" s="235">
        <v>1722559028.3</v>
      </c>
      <c r="D201" s="235">
        <v>165000000</v>
      </c>
      <c r="E201" s="235">
        <v>1557559028.3</v>
      </c>
    </row>
    <row r="202" spans="1:6" ht="27" customHeight="1" outlineLevel="1" x14ac:dyDescent="0.2">
      <c r="A202" s="234" t="s">
        <v>1716</v>
      </c>
      <c r="B202" s="234" t="s">
        <v>1583</v>
      </c>
      <c r="C202" s="235">
        <v>1721660641.3</v>
      </c>
      <c r="D202" s="235">
        <v>165000000</v>
      </c>
      <c r="E202" s="235">
        <v>1556660641.3</v>
      </c>
    </row>
    <row r="203" spans="1:6" ht="14.25" customHeight="1" outlineLevel="1" x14ac:dyDescent="0.2">
      <c r="A203" s="234" t="s">
        <v>1717</v>
      </c>
      <c r="B203" s="234" t="s">
        <v>1718</v>
      </c>
      <c r="C203" s="235">
        <v>898387</v>
      </c>
      <c r="D203" s="235">
        <v>0</v>
      </c>
      <c r="E203" s="235">
        <v>898387</v>
      </c>
    </row>
    <row r="204" spans="1:6" ht="27" customHeight="1" outlineLevel="1" x14ac:dyDescent="0.25">
      <c r="A204" s="236">
        <v>2303</v>
      </c>
      <c r="B204" s="236" t="s">
        <v>1719</v>
      </c>
      <c r="C204" s="237">
        <v>2612273358</v>
      </c>
      <c r="D204" s="237">
        <v>1955339064.25</v>
      </c>
      <c r="E204" s="237">
        <v>656934293.75</v>
      </c>
      <c r="F204" s="282">
        <f>D204/C204</f>
        <v>0.74852008051218655</v>
      </c>
    </row>
    <row r="205" spans="1:6" ht="27" customHeight="1" outlineLevel="1" x14ac:dyDescent="0.2">
      <c r="A205" s="234">
        <v>230310</v>
      </c>
      <c r="B205" s="234" t="s">
        <v>1720</v>
      </c>
      <c r="C205" s="235">
        <v>653000000</v>
      </c>
      <c r="D205" s="235">
        <v>422864165</v>
      </c>
      <c r="E205" s="235">
        <v>230135835</v>
      </c>
    </row>
    <row r="206" spans="1:6" ht="14.25" customHeight="1" outlineLevel="1" x14ac:dyDescent="0.25">
      <c r="A206" s="234">
        <v>23031001</v>
      </c>
      <c r="B206" s="234" t="s">
        <v>1721</v>
      </c>
      <c r="C206" s="235">
        <v>90000000</v>
      </c>
      <c r="D206" s="235">
        <v>0</v>
      </c>
      <c r="E206" s="235">
        <v>90000000</v>
      </c>
    </row>
    <row r="207" spans="1:6" ht="18" customHeight="1" outlineLevel="1" x14ac:dyDescent="0.2">
      <c r="A207" s="234" t="s">
        <v>1722</v>
      </c>
      <c r="B207" s="234" t="s">
        <v>1723</v>
      </c>
      <c r="C207" s="235">
        <v>90000000</v>
      </c>
      <c r="D207" s="235">
        <v>0</v>
      </c>
      <c r="E207" s="235">
        <v>90000000</v>
      </c>
    </row>
    <row r="208" spans="1:6" ht="14.25" customHeight="1" outlineLevel="1" x14ac:dyDescent="0.25">
      <c r="A208" s="234">
        <v>23031002</v>
      </c>
      <c r="B208" s="234" t="s">
        <v>1724</v>
      </c>
      <c r="C208" s="235">
        <v>20000000</v>
      </c>
      <c r="D208" s="235">
        <v>0</v>
      </c>
      <c r="E208" s="235">
        <v>20000000</v>
      </c>
    </row>
    <row r="209" spans="1:5" ht="18" customHeight="1" outlineLevel="1" x14ac:dyDescent="0.2">
      <c r="A209" s="234" t="s">
        <v>1725</v>
      </c>
      <c r="B209" s="234" t="s">
        <v>1723</v>
      </c>
      <c r="C209" s="235">
        <v>20000000</v>
      </c>
      <c r="D209" s="235">
        <v>0</v>
      </c>
      <c r="E209" s="235">
        <v>20000000</v>
      </c>
    </row>
    <row r="210" spans="1:5" ht="14.25" customHeight="1" outlineLevel="1" x14ac:dyDescent="0.2">
      <c r="A210" s="234">
        <v>23031003</v>
      </c>
      <c r="B210" s="234" t="s">
        <v>1726</v>
      </c>
      <c r="C210" s="235">
        <v>25000000</v>
      </c>
      <c r="D210" s="235">
        <v>0</v>
      </c>
      <c r="E210" s="235">
        <v>25000000</v>
      </c>
    </row>
    <row r="211" spans="1:5" ht="18" customHeight="1" outlineLevel="1" x14ac:dyDescent="0.2">
      <c r="A211" s="234" t="s">
        <v>1727</v>
      </c>
      <c r="B211" s="234" t="s">
        <v>1723</v>
      </c>
      <c r="C211" s="235">
        <v>25000000</v>
      </c>
      <c r="D211" s="235">
        <v>0</v>
      </c>
      <c r="E211" s="235">
        <v>25000000</v>
      </c>
    </row>
    <row r="212" spans="1:5" ht="14.25" customHeight="1" outlineLevel="1" x14ac:dyDescent="0.2">
      <c r="A212" s="234">
        <v>23031004</v>
      </c>
      <c r="B212" s="234" t="s">
        <v>1728</v>
      </c>
      <c r="C212" s="235">
        <v>71000000</v>
      </c>
      <c r="D212" s="235">
        <v>71000000</v>
      </c>
      <c r="E212" s="235">
        <v>0</v>
      </c>
    </row>
    <row r="213" spans="1:5" ht="18" customHeight="1" outlineLevel="1" x14ac:dyDescent="0.2">
      <c r="A213" s="234" t="s">
        <v>1729</v>
      </c>
      <c r="B213" s="234" t="s">
        <v>1723</v>
      </c>
      <c r="C213" s="235">
        <v>70000000</v>
      </c>
      <c r="D213" s="235">
        <v>70000000</v>
      </c>
      <c r="E213" s="235">
        <v>0</v>
      </c>
    </row>
    <row r="214" spans="1:5" ht="14.25" customHeight="1" outlineLevel="1" x14ac:dyDescent="0.2">
      <c r="A214" s="234" t="s">
        <v>1730</v>
      </c>
      <c r="B214" s="234" t="s">
        <v>1731</v>
      </c>
      <c r="C214" s="235">
        <v>1000000</v>
      </c>
      <c r="D214" s="235">
        <v>1000000</v>
      </c>
      <c r="E214" s="235">
        <v>0</v>
      </c>
    </row>
    <row r="215" spans="1:5" ht="14.25" customHeight="1" outlineLevel="1" x14ac:dyDescent="0.25">
      <c r="A215" s="234">
        <v>23031005</v>
      </c>
      <c r="B215" s="234" t="s">
        <v>1732</v>
      </c>
      <c r="C215" s="235">
        <v>10000000</v>
      </c>
      <c r="D215" s="235">
        <v>10000000</v>
      </c>
      <c r="E215" s="235">
        <v>0</v>
      </c>
    </row>
    <row r="216" spans="1:5" ht="18" customHeight="1" outlineLevel="1" x14ac:dyDescent="0.2">
      <c r="A216" s="234" t="s">
        <v>1733</v>
      </c>
      <c r="B216" s="234" t="s">
        <v>1723</v>
      </c>
      <c r="C216" s="235">
        <v>10000000</v>
      </c>
      <c r="D216" s="235">
        <v>10000000</v>
      </c>
      <c r="E216" s="235">
        <v>0</v>
      </c>
    </row>
    <row r="217" spans="1:5" ht="14.25" customHeight="1" outlineLevel="1" x14ac:dyDescent="0.25">
      <c r="A217" s="234">
        <v>23031006</v>
      </c>
      <c r="B217" s="234" t="s">
        <v>1734</v>
      </c>
      <c r="C217" s="235">
        <v>20000000</v>
      </c>
      <c r="D217" s="235">
        <v>20000000</v>
      </c>
      <c r="E217" s="235">
        <v>0</v>
      </c>
    </row>
    <row r="218" spans="1:5" ht="18" customHeight="1" outlineLevel="1" x14ac:dyDescent="0.2">
      <c r="A218" s="234" t="s">
        <v>1735</v>
      </c>
      <c r="B218" s="234" t="s">
        <v>1723</v>
      </c>
      <c r="C218" s="235">
        <v>20000000</v>
      </c>
      <c r="D218" s="235">
        <v>20000000</v>
      </c>
      <c r="E218" s="235">
        <v>0</v>
      </c>
    </row>
    <row r="219" spans="1:5" ht="27" customHeight="1" outlineLevel="1" x14ac:dyDescent="0.25">
      <c r="A219" s="234">
        <v>23031007</v>
      </c>
      <c r="B219" s="234" t="s">
        <v>1736</v>
      </c>
      <c r="C219" s="235">
        <v>230000000</v>
      </c>
      <c r="D219" s="235">
        <v>160000000</v>
      </c>
      <c r="E219" s="235">
        <v>70000000</v>
      </c>
    </row>
    <row r="220" spans="1:5" ht="27" customHeight="1" outlineLevel="1" x14ac:dyDescent="0.2">
      <c r="A220" s="234" t="s">
        <v>1737</v>
      </c>
      <c r="B220" s="234" t="s">
        <v>1723</v>
      </c>
      <c r="C220" s="235">
        <v>230000000</v>
      </c>
      <c r="D220" s="235">
        <v>160000000</v>
      </c>
      <c r="E220" s="235">
        <v>70000000</v>
      </c>
    </row>
    <row r="221" spans="1:5" ht="14.25" customHeight="1" outlineLevel="1" x14ac:dyDescent="0.2">
      <c r="A221" s="234">
        <v>23031010</v>
      </c>
      <c r="B221" s="234" t="s">
        <v>1738</v>
      </c>
      <c r="C221" s="235">
        <v>20000000</v>
      </c>
      <c r="D221" s="235">
        <v>0</v>
      </c>
      <c r="E221" s="235">
        <v>20000000</v>
      </c>
    </row>
    <row r="222" spans="1:5" ht="18" customHeight="1" outlineLevel="1" x14ac:dyDescent="0.2">
      <c r="A222" s="234" t="s">
        <v>1739</v>
      </c>
      <c r="B222" s="234" t="s">
        <v>1723</v>
      </c>
      <c r="C222" s="235">
        <v>20000000</v>
      </c>
      <c r="D222" s="235">
        <v>0</v>
      </c>
      <c r="E222" s="235">
        <v>20000000</v>
      </c>
    </row>
    <row r="223" spans="1:5" ht="14.25" customHeight="1" outlineLevel="1" x14ac:dyDescent="0.25">
      <c r="A223" s="234">
        <v>23031011</v>
      </c>
      <c r="B223" s="234" t="s">
        <v>1740</v>
      </c>
      <c r="C223" s="235">
        <v>10000000</v>
      </c>
      <c r="D223" s="235">
        <v>10000000</v>
      </c>
      <c r="E223" s="235">
        <v>0</v>
      </c>
    </row>
    <row r="224" spans="1:5" ht="18" customHeight="1" outlineLevel="1" x14ac:dyDescent="0.2">
      <c r="A224" s="234" t="s">
        <v>1741</v>
      </c>
      <c r="B224" s="234" t="s">
        <v>1723</v>
      </c>
      <c r="C224" s="235">
        <v>10000000</v>
      </c>
      <c r="D224" s="235">
        <v>10000000</v>
      </c>
      <c r="E224" s="235">
        <v>0</v>
      </c>
    </row>
    <row r="225" spans="1:5" ht="27" customHeight="1" outlineLevel="1" x14ac:dyDescent="0.2">
      <c r="A225" s="234">
        <v>23031013</v>
      </c>
      <c r="B225" s="234" t="s">
        <v>1742</v>
      </c>
      <c r="C225" s="235">
        <v>157000000</v>
      </c>
      <c r="D225" s="235">
        <v>151864165</v>
      </c>
      <c r="E225" s="235">
        <v>5135835</v>
      </c>
    </row>
    <row r="226" spans="1:5" ht="27" customHeight="1" outlineLevel="1" x14ac:dyDescent="0.2">
      <c r="A226" s="234" t="s">
        <v>1743</v>
      </c>
      <c r="B226" s="234" t="s">
        <v>1723</v>
      </c>
      <c r="C226" s="235">
        <v>157000000</v>
      </c>
      <c r="D226" s="235">
        <v>151864165</v>
      </c>
      <c r="E226" s="235">
        <v>5135835</v>
      </c>
    </row>
    <row r="227" spans="1:5" ht="27" customHeight="1" outlineLevel="1" x14ac:dyDescent="0.2">
      <c r="A227" s="234">
        <v>230311</v>
      </c>
      <c r="B227" s="234" t="s">
        <v>1744</v>
      </c>
      <c r="C227" s="235">
        <v>734000000</v>
      </c>
      <c r="D227" s="235">
        <v>598916911.25</v>
      </c>
      <c r="E227" s="235">
        <v>135083088.75</v>
      </c>
    </row>
    <row r="228" spans="1:5" ht="14.25" customHeight="1" outlineLevel="1" x14ac:dyDescent="0.25">
      <c r="A228" s="234">
        <v>23031101</v>
      </c>
      <c r="B228" s="234" t="s">
        <v>1745</v>
      </c>
      <c r="C228" s="235">
        <v>70000000</v>
      </c>
      <c r="D228" s="235">
        <v>70000000</v>
      </c>
      <c r="E228" s="235">
        <v>0</v>
      </c>
    </row>
    <row r="229" spans="1:5" ht="18" customHeight="1" outlineLevel="1" x14ac:dyDescent="0.2">
      <c r="A229" s="234" t="s">
        <v>1746</v>
      </c>
      <c r="B229" s="234" t="s">
        <v>1723</v>
      </c>
      <c r="C229" s="235">
        <v>70000000</v>
      </c>
      <c r="D229" s="235">
        <v>70000000</v>
      </c>
      <c r="E229" s="235">
        <v>0</v>
      </c>
    </row>
    <row r="230" spans="1:5" ht="18" customHeight="1" outlineLevel="1" x14ac:dyDescent="0.2">
      <c r="A230" s="234">
        <v>23031102</v>
      </c>
      <c r="B230" s="234" t="s">
        <v>1747</v>
      </c>
      <c r="C230" s="235">
        <v>500000000</v>
      </c>
      <c r="D230" s="235">
        <v>392000000.25</v>
      </c>
      <c r="E230" s="235">
        <v>107999999.75</v>
      </c>
    </row>
    <row r="231" spans="1:5" ht="18" customHeight="1" outlineLevel="1" x14ac:dyDescent="0.2">
      <c r="A231" s="234" t="s">
        <v>1748</v>
      </c>
      <c r="B231" s="234" t="s">
        <v>1723</v>
      </c>
      <c r="C231" s="235">
        <v>500000000</v>
      </c>
      <c r="D231" s="235">
        <v>392000000.25</v>
      </c>
      <c r="E231" s="235">
        <v>107999999.75</v>
      </c>
    </row>
    <row r="232" spans="1:5" ht="14.25" customHeight="1" outlineLevel="1" x14ac:dyDescent="0.2">
      <c r="A232" s="234">
        <v>23031103</v>
      </c>
      <c r="B232" s="234" t="s">
        <v>1749</v>
      </c>
      <c r="C232" s="235">
        <v>40000000</v>
      </c>
      <c r="D232" s="235">
        <v>40000000</v>
      </c>
      <c r="E232" s="235">
        <v>0</v>
      </c>
    </row>
    <row r="233" spans="1:5" ht="18" customHeight="1" outlineLevel="1" x14ac:dyDescent="0.2">
      <c r="A233" s="234" t="s">
        <v>1750</v>
      </c>
      <c r="B233" s="234" t="s">
        <v>1723</v>
      </c>
      <c r="C233" s="235">
        <v>40000000</v>
      </c>
      <c r="D233" s="235">
        <v>40000000</v>
      </c>
      <c r="E233" s="235">
        <v>0</v>
      </c>
    </row>
    <row r="234" spans="1:5" ht="14.25" customHeight="1" outlineLevel="1" x14ac:dyDescent="0.2">
      <c r="A234" s="234">
        <v>23031104</v>
      </c>
      <c r="B234" s="234" t="s">
        <v>1751</v>
      </c>
      <c r="C234" s="235">
        <v>0</v>
      </c>
      <c r="D234" s="235">
        <v>0</v>
      </c>
      <c r="E234" s="235">
        <v>0</v>
      </c>
    </row>
    <row r="235" spans="1:5" ht="18" customHeight="1" outlineLevel="1" x14ac:dyDescent="0.2">
      <c r="A235" s="234" t="s">
        <v>1752</v>
      </c>
      <c r="B235" s="234" t="s">
        <v>1723</v>
      </c>
      <c r="C235" s="235">
        <v>0</v>
      </c>
      <c r="D235" s="235">
        <v>0</v>
      </c>
      <c r="E235" s="235">
        <v>0</v>
      </c>
    </row>
    <row r="236" spans="1:5" ht="14.25" customHeight="1" outlineLevel="1" x14ac:dyDescent="0.2">
      <c r="A236" s="234">
        <v>23031105</v>
      </c>
      <c r="B236" s="234" t="s">
        <v>1753</v>
      </c>
      <c r="C236" s="235">
        <v>20000000</v>
      </c>
      <c r="D236" s="235">
        <v>0</v>
      </c>
      <c r="E236" s="235">
        <v>20000000</v>
      </c>
    </row>
    <row r="237" spans="1:5" ht="18" customHeight="1" outlineLevel="1" x14ac:dyDescent="0.2">
      <c r="A237" s="234" t="s">
        <v>1754</v>
      </c>
      <c r="B237" s="234" t="s">
        <v>1723</v>
      </c>
      <c r="C237" s="235">
        <v>20000000</v>
      </c>
      <c r="D237" s="235">
        <v>0</v>
      </c>
      <c r="E237" s="235">
        <v>20000000</v>
      </c>
    </row>
    <row r="238" spans="1:5" ht="14.25" customHeight="1" outlineLevel="1" x14ac:dyDescent="0.25">
      <c r="A238" s="234">
        <v>23031106</v>
      </c>
      <c r="B238" s="234" t="s">
        <v>1755</v>
      </c>
      <c r="C238" s="235">
        <v>2000000</v>
      </c>
      <c r="D238" s="235">
        <v>0</v>
      </c>
      <c r="E238" s="235">
        <v>2000000</v>
      </c>
    </row>
    <row r="239" spans="1:5" ht="18" customHeight="1" outlineLevel="1" x14ac:dyDescent="0.2">
      <c r="A239" s="234" t="s">
        <v>1756</v>
      </c>
      <c r="B239" s="234" t="s">
        <v>1723</v>
      </c>
      <c r="C239" s="235">
        <v>2000000</v>
      </c>
      <c r="D239" s="235">
        <v>0</v>
      </c>
      <c r="E239" s="235">
        <v>2000000</v>
      </c>
    </row>
    <row r="240" spans="1:5" ht="18" customHeight="1" outlineLevel="1" x14ac:dyDescent="0.2">
      <c r="A240" s="234">
        <v>23031107</v>
      </c>
      <c r="B240" s="234" t="s">
        <v>1757</v>
      </c>
      <c r="C240" s="235">
        <v>20000000</v>
      </c>
      <c r="D240" s="235">
        <v>20000000</v>
      </c>
      <c r="E240" s="235">
        <v>0</v>
      </c>
    </row>
    <row r="242" spans="1:6" ht="18" customHeight="1" outlineLevel="1" x14ac:dyDescent="0.2">
      <c r="A242" s="234" t="s">
        <v>1758</v>
      </c>
      <c r="B242" s="234" t="s">
        <v>1723</v>
      </c>
      <c r="C242" s="235">
        <v>20000000</v>
      </c>
      <c r="D242" s="235">
        <v>20000000</v>
      </c>
      <c r="E242" s="235">
        <v>0</v>
      </c>
    </row>
    <row r="243" spans="1:6" ht="27" customHeight="1" outlineLevel="1" x14ac:dyDescent="0.2">
      <c r="A243" s="234">
        <v>23031108</v>
      </c>
      <c r="B243" s="234" t="s">
        <v>1759</v>
      </c>
      <c r="C243" s="235">
        <v>82000000</v>
      </c>
      <c r="D243" s="235">
        <v>76916911</v>
      </c>
      <c r="E243" s="235">
        <v>5083089</v>
      </c>
    </row>
    <row r="244" spans="1:6" ht="27" customHeight="1" outlineLevel="1" x14ac:dyDescent="0.2">
      <c r="A244" s="234" t="s">
        <v>1760</v>
      </c>
      <c r="B244" s="234" t="s">
        <v>1723</v>
      </c>
      <c r="C244" s="235">
        <v>82000000</v>
      </c>
      <c r="D244" s="235">
        <v>76916911</v>
      </c>
      <c r="E244" s="235">
        <v>5083089</v>
      </c>
    </row>
    <row r="245" spans="1:6" ht="27" customHeight="1" outlineLevel="1" x14ac:dyDescent="0.2">
      <c r="A245" s="234">
        <v>230312</v>
      </c>
      <c r="B245" s="234" t="s">
        <v>1761</v>
      </c>
      <c r="C245" s="235">
        <v>967560735</v>
      </c>
      <c r="D245" s="235">
        <v>933557988</v>
      </c>
      <c r="E245" s="235">
        <v>34002747</v>
      </c>
    </row>
    <row r="246" spans="1:6" ht="27" customHeight="1" outlineLevel="1" x14ac:dyDescent="0.2">
      <c r="A246" s="234">
        <v>23031201</v>
      </c>
      <c r="B246" s="234" t="s">
        <v>1762</v>
      </c>
      <c r="C246" s="235">
        <v>267500000</v>
      </c>
      <c r="D246" s="235">
        <v>266875900</v>
      </c>
      <c r="E246" s="235">
        <v>624100</v>
      </c>
    </row>
    <row r="247" spans="1:6" ht="27" customHeight="1" outlineLevel="1" x14ac:dyDescent="0.2">
      <c r="A247" s="234" t="s">
        <v>1763</v>
      </c>
      <c r="B247" s="234" t="s">
        <v>1723</v>
      </c>
      <c r="C247" s="235">
        <v>267500000</v>
      </c>
      <c r="D247" s="235">
        <v>266875900</v>
      </c>
      <c r="E247" s="235">
        <v>624100</v>
      </c>
    </row>
    <row r="248" spans="1:6" ht="14.25" customHeight="1" outlineLevel="1" x14ac:dyDescent="0.2">
      <c r="A248" s="234">
        <v>23031202</v>
      </c>
      <c r="B248" s="234" t="s">
        <v>1764</v>
      </c>
      <c r="C248" s="235">
        <v>451130726</v>
      </c>
      <c r="D248" s="235">
        <v>451130726</v>
      </c>
      <c r="E248" s="235">
        <v>0</v>
      </c>
    </row>
    <row r="249" spans="1:6" ht="14.25" customHeight="1" outlineLevel="1" x14ac:dyDescent="0.2">
      <c r="A249" s="234" t="s">
        <v>1765</v>
      </c>
      <c r="B249" s="234" t="s">
        <v>1766</v>
      </c>
      <c r="C249" s="235">
        <v>13183731</v>
      </c>
      <c r="D249" s="235">
        <v>13183731</v>
      </c>
      <c r="E249" s="235">
        <v>0</v>
      </c>
    </row>
    <row r="250" spans="1:6" ht="14.25" customHeight="1" outlineLevel="1" x14ac:dyDescent="0.2">
      <c r="A250" s="234" t="s">
        <v>1767</v>
      </c>
      <c r="B250" s="234" t="s">
        <v>1768</v>
      </c>
      <c r="C250" s="235">
        <v>62751672</v>
      </c>
      <c r="D250" s="235">
        <v>62751672</v>
      </c>
      <c r="E250" s="235">
        <v>0</v>
      </c>
    </row>
    <row r="251" spans="1:6" ht="18" customHeight="1" outlineLevel="1" x14ac:dyDescent="0.2">
      <c r="A251" s="234" t="s">
        <v>1769</v>
      </c>
      <c r="B251" s="234" t="s">
        <v>1723</v>
      </c>
      <c r="C251" s="235">
        <v>153000000</v>
      </c>
      <c r="D251" s="235">
        <v>153000000</v>
      </c>
      <c r="E251" s="235">
        <v>0</v>
      </c>
    </row>
    <row r="252" spans="1:6" ht="14.25" customHeight="1" outlineLevel="1" x14ac:dyDescent="0.2">
      <c r="A252" s="234" t="s">
        <v>1770</v>
      </c>
      <c r="B252" s="234" t="s">
        <v>1771</v>
      </c>
      <c r="C252" s="235">
        <v>203064708</v>
      </c>
      <c r="D252" s="235">
        <v>203064708</v>
      </c>
      <c r="E252" s="235">
        <v>0</v>
      </c>
    </row>
    <row r="253" spans="1:6" ht="14.25" customHeight="1" outlineLevel="1" x14ac:dyDescent="0.2">
      <c r="A253" s="234" t="s">
        <v>1772</v>
      </c>
      <c r="B253" s="234" t="s">
        <v>1773</v>
      </c>
      <c r="C253" s="235">
        <v>14720766</v>
      </c>
      <c r="D253" s="235">
        <v>14720766</v>
      </c>
      <c r="E253" s="235">
        <v>0</v>
      </c>
    </row>
    <row r="254" spans="1:6" ht="18" customHeight="1" outlineLevel="1" x14ac:dyDescent="0.2">
      <c r="A254" s="234" t="s">
        <v>1774</v>
      </c>
      <c r="B254" s="234" t="s">
        <v>1775</v>
      </c>
      <c r="C254" s="235">
        <v>960000</v>
      </c>
      <c r="D254" s="235">
        <v>960000</v>
      </c>
      <c r="E254" s="235">
        <v>0</v>
      </c>
    </row>
    <row r="255" spans="1:6" ht="14.25" customHeight="1" outlineLevel="1" x14ac:dyDescent="0.2">
      <c r="A255" s="234" t="s">
        <v>1776</v>
      </c>
      <c r="B255" s="234" t="s">
        <v>1777</v>
      </c>
      <c r="C255" s="235">
        <v>3449849</v>
      </c>
      <c r="D255" s="235">
        <v>3449849</v>
      </c>
      <c r="E255" s="235">
        <v>0</v>
      </c>
    </row>
    <row r="256" spans="1:6" ht="27" customHeight="1" outlineLevel="1" x14ac:dyDescent="0.25">
      <c r="A256" s="236">
        <v>23031203</v>
      </c>
      <c r="B256" s="236" t="s">
        <v>1778</v>
      </c>
      <c r="C256" s="237">
        <v>71927972</v>
      </c>
      <c r="D256" s="237">
        <v>50000000</v>
      </c>
      <c r="E256" s="237">
        <v>21927972</v>
      </c>
      <c r="F256" s="282">
        <f>D256/C256</f>
        <v>0.69513985463124139</v>
      </c>
    </row>
    <row r="257" spans="1:6" ht="27" customHeight="1" outlineLevel="1" x14ac:dyDescent="0.2">
      <c r="A257" s="234" t="s">
        <v>1779</v>
      </c>
      <c r="B257" s="234" t="s">
        <v>1723</v>
      </c>
      <c r="C257" s="235">
        <v>71927972</v>
      </c>
      <c r="D257" s="235">
        <v>50000000</v>
      </c>
      <c r="E257" s="235">
        <v>21927972</v>
      </c>
    </row>
    <row r="258" spans="1:6" ht="14.25" customHeight="1" outlineLevel="1" x14ac:dyDescent="0.25">
      <c r="A258" s="234">
        <v>23031204</v>
      </c>
      <c r="B258" s="234" t="s">
        <v>1780</v>
      </c>
      <c r="C258" s="235">
        <v>2037</v>
      </c>
      <c r="D258" s="235">
        <v>0</v>
      </c>
      <c r="E258" s="235">
        <v>2037</v>
      </c>
    </row>
    <row r="259" spans="1:6" ht="18" customHeight="1" outlineLevel="1" x14ac:dyDescent="0.2">
      <c r="A259" s="234" t="s">
        <v>1781</v>
      </c>
      <c r="B259" s="234" t="s">
        <v>1723</v>
      </c>
      <c r="C259" s="235">
        <v>2037</v>
      </c>
      <c r="D259" s="235">
        <v>0</v>
      </c>
      <c r="E259" s="235">
        <v>2037</v>
      </c>
    </row>
    <row r="260" spans="1:6" ht="14.25" customHeight="1" outlineLevel="1" x14ac:dyDescent="0.25">
      <c r="A260" s="234">
        <v>23031205</v>
      </c>
      <c r="B260" s="234" t="s">
        <v>1782</v>
      </c>
      <c r="C260" s="235">
        <v>6000000</v>
      </c>
      <c r="D260" s="235">
        <v>0</v>
      </c>
      <c r="E260" s="235">
        <v>6000000</v>
      </c>
    </row>
    <row r="261" spans="1:6" ht="18" customHeight="1" outlineLevel="1" x14ac:dyDescent="0.2">
      <c r="A261" s="234" t="s">
        <v>1783</v>
      </c>
      <c r="B261" s="234" t="s">
        <v>1723</v>
      </c>
      <c r="C261" s="235">
        <v>6000000</v>
      </c>
      <c r="D261" s="235">
        <v>0</v>
      </c>
      <c r="E261" s="235">
        <v>6000000</v>
      </c>
    </row>
    <row r="262" spans="1:6" ht="14.25" customHeight="1" outlineLevel="1" x14ac:dyDescent="0.2">
      <c r="A262" s="234">
        <v>23031206</v>
      </c>
      <c r="B262" s="234" t="s">
        <v>1784</v>
      </c>
      <c r="C262" s="235">
        <v>0</v>
      </c>
      <c r="D262" s="235">
        <v>0</v>
      </c>
      <c r="E262" s="235">
        <v>0</v>
      </c>
    </row>
    <row r="263" spans="1:6" ht="18" customHeight="1" outlineLevel="1" x14ac:dyDescent="0.2">
      <c r="A263" s="234" t="s">
        <v>1785</v>
      </c>
      <c r="B263" s="234" t="s">
        <v>1723</v>
      </c>
      <c r="C263" s="235">
        <v>0</v>
      </c>
      <c r="D263" s="235">
        <v>0</v>
      </c>
      <c r="E263" s="235">
        <v>0</v>
      </c>
    </row>
    <row r="264" spans="1:6" ht="27" customHeight="1" outlineLevel="1" x14ac:dyDescent="0.2">
      <c r="A264" s="234">
        <v>23031207</v>
      </c>
      <c r="B264" s="234" t="s">
        <v>1786</v>
      </c>
      <c r="C264" s="235">
        <v>171000000</v>
      </c>
      <c r="D264" s="235">
        <v>165551362</v>
      </c>
      <c r="E264" s="235">
        <v>5448638</v>
      </c>
    </row>
    <row r="265" spans="1:6" ht="27" customHeight="1" outlineLevel="1" x14ac:dyDescent="0.2">
      <c r="A265" s="234" t="s">
        <v>1787</v>
      </c>
      <c r="B265" s="234" t="s">
        <v>1723</v>
      </c>
      <c r="C265" s="235">
        <v>171000000</v>
      </c>
      <c r="D265" s="235">
        <v>165551362</v>
      </c>
      <c r="E265" s="235">
        <v>5448638</v>
      </c>
    </row>
    <row r="266" spans="1:6" ht="14.25" customHeight="1" outlineLevel="1" x14ac:dyDescent="0.25">
      <c r="A266" s="234">
        <v>230313</v>
      </c>
      <c r="B266" s="234" t="s">
        <v>1788</v>
      </c>
      <c r="C266" s="235">
        <v>257712623</v>
      </c>
      <c r="D266" s="235">
        <v>0</v>
      </c>
      <c r="E266" s="235">
        <v>257712623</v>
      </c>
    </row>
    <row r="267" spans="1:6" ht="18" customHeight="1" outlineLevel="1" x14ac:dyDescent="0.2">
      <c r="A267" s="234" t="s">
        <v>1789</v>
      </c>
      <c r="B267" s="234" t="s">
        <v>1723</v>
      </c>
      <c r="C267" s="235">
        <v>134961893</v>
      </c>
      <c r="D267" s="235">
        <v>0</v>
      </c>
      <c r="E267" s="235">
        <v>134961893</v>
      </c>
    </row>
    <row r="268" spans="1:6" ht="14.25" customHeight="1" outlineLevel="1" x14ac:dyDescent="0.2">
      <c r="A268" s="234" t="s">
        <v>1790</v>
      </c>
      <c r="B268" s="234" t="s">
        <v>1773</v>
      </c>
      <c r="C268" s="235">
        <v>122750730</v>
      </c>
      <c r="D268" s="235">
        <v>0</v>
      </c>
      <c r="E268" s="235">
        <v>122750730</v>
      </c>
    </row>
    <row r="269" spans="1:6" ht="27" customHeight="1" outlineLevel="1" x14ac:dyDescent="0.25">
      <c r="A269" s="236">
        <v>2304</v>
      </c>
      <c r="B269" s="236" t="s">
        <v>1791</v>
      </c>
      <c r="C269" s="237">
        <v>521300190</v>
      </c>
      <c r="D269" s="237">
        <v>95514930</v>
      </c>
      <c r="E269" s="237">
        <v>425785260</v>
      </c>
      <c r="F269" s="282">
        <f>D269/C269</f>
        <v>0.18322442967074307</v>
      </c>
    </row>
    <row r="270" spans="1:6" ht="27" customHeight="1" outlineLevel="1" x14ac:dyDescent="0.25">
      <c r="A270" s="234">
        <v>230401</v>
      </c>
      <c r="B270" s="234" t="s">
        <v>1792</v>
      </c>
      <c r="C270" s="235">
        <v>69070771</v>
      </c>
      <c r="D270" s="235">
        <v>51800000</v>
      </c>
      <c r="E270" s="235">
        <v>17270771</v>
      </c>
    </row>
    <row r="271" spans="1:6" ht="18" customHeight="1" outlineLevel="1" x14ac:dyDescent="0.2">
      <c r="A271" s="234" t="s">
        <v>1793</v>
      </c>
      <c r="B271" s="234" t="s">
        <v>1794</v>
      </c>
      <c r="C271" s="235">
        <v>16554045</v>
      </c>
      <c r="D271" s="235">
        <v>0</v>
      </c>
      <c r="E271" s="235">
        <v>16554045</v>
      </c>
    </row>
    <row r="272" spans="1:6" ht="14.25" customHeight="1" outlineLevel="1" x14ac:dyDescent="0.2">
      <c r="A272" s="234" t="s">
        <v>1795</v>
      </c>
      <c r="B272" s="234" t="s">
        <v>1796</v>
      </c>
      <c r="C272" s="235">
        <v>40000000</v>
      </c>
      <c r="D272" s="235">
        <v>39800000</v>
      </c>
      <c r="E272" s="235">
        <v>200000</v>
      </c>
    </row>
    <row r="273" spans="1:6" ht="27" customHeight="1" outlineLevel="1" x14ac:dyDescent="0.2">
      <c r="A273" s="234" t="s">
        <v>1797</v>
      </c>
      <c r="B273" s="234" t="s">
        <v>1798</v>
      </c>
      <c r="C273" s="235">
        <v>11500428</v>
      </c>
      <c r="D273" s="235">
        <v>10983702</v>
      </c>
      <c r="E273" s="235">
        <v>516726</v>
      </c>
    </row>
    <row r="274" spans="1:6" ht="14.25" customHeight="1" outlineLevel="1" x14ac:dyDescent="0.2">
      <c r="A274" s="234" t="s">
        <v>1799</v>
      </c>
      <c r="B274" s="234" t="s">
        <v>1800</v>
      </c>
      <c r="C274" s="235">
        <v>1016298</v>
      </c>
      <c r="D274" s="235">
        <v>1016298</v>
      </c>
      <c r="E274" s="235">
        <v>0</v>
      </c>
    </row>
    <row r="275" spans="1:6" ht="27" customHeight="1" outlineLevel="1" x14ac:dyDescent="0.25">
      <c r="A275" s="234">
        <v>230402</v>
      </c>
      <c r="B275" s="234" t="s">
        <v>1801</v>
      </c>
      <c r="C275" s="235">
        <v>394916819</v>
      </c>
      <c r="D275" s="235">
        <v>24616485</v>
      </c>
      <c r="E275" s="235">
        <v>370300334</v>
      </c>
    </row>
    <row r="276" spans="1:6" ht="14.25" customHeight="1" outlineLevel="1" x14ac:dyDescent="0.2">
      <c r="A276" s="234" t="s">
        <v>1802</v>
      </c>
      <c r="B276" s="234" t="s">
        <v>1796</v>
      </c>
      <c r="C276" s="235">
        <v>45363200</v>
      </c>
      <c r="D276" s="235">
        <v>0</v>
      </c>
      <c r="E276" s="235">
        <v>45363200</v>
      </c>
    </row>
    <row r="277" spans="1:6" ht="14.25" customHeight="1" outlineLevel="1" x14ac:dyDescent="0.2">
      <c r="A277" s="234" t="s">
        <v>1803</v>
      </c>
      <c r="B277" s="234" t="s">
        <v>1804</v>
      </c>
      <c r="C277" s="235">
        <v>20008654</v>
      </c>
      <c r="D277" s="235">
        <v>0</v>
      </c>
      <c r="E277" s="235">
        <v>20008654</v>
      </c>
    </row>
    <row r="278" spans="1:6" ht="14.25" customHeight="1" outlineLevel="1" x14ac:dyDescent="0.2">
      <c r="A278" s="234" t="s">
        <v>1805</v>
      </c>
      <c r="B278" s="234" t="s">
        <v>1806</v>
      </c>
      <c r="C278" s="235">
        <v>304928480</v>
      </c>
      <c r="D278" s="235">
        <v>0</v>
      </c>
      <c r="E278" s="235">
        <v>304928480</v>
      </c>
    </row>
    <row r="279" spans="1:6" ht="14.25" customHeight="1" outlineLevel="1" x14ac:dyDescent="0.2">
      <c r="A279" s="234" t="s">
        <v>1807</v>
      </c>
      <c r="B279" s="234" t="s">
        <v>1521</v>
      </c>
      <c r="C279" s="235">
        <v>24616485</v>
      </c>
      <c r="D279" s="235">
        <v>24616485</v>
      </c>
      <c r="E279" s="235">
        <v>0</v>
      </c>
    </row>
    <row r="280" spans="1:6" ht="18" customHeight="1" outlineLevel="1" x14ac:dyDescent="0.25">
      <c r="A280" s="234">
        <v>230403</v>
      </c>
      <c r="B280" s="234" t="s">
        <v>1808</v>
      </c>
      <c r="C280" s="235">
        <v>25000000</v>
      </c>
      <c r="D280" s="235">
        <v>0</v>
      </c>
      <c r="E280" s="235">
        <v>25000000</v>
      </c>
    </row>
    <row r="282" spans="1:6" ht="14.25" customHeight="1" outlineLevel="1" x14ac:dyDescent="0.2">
      <c r="A282" s="234" t="s">
        <v>1809</v>
      </c>
      <c r="B282" s="234" t="s">
        <v>1796</v>
      </c>
      <c r="C282" s="235">
        <v>25000000</v>
      </c>
      <c r="D282" s="235">
        <v>0</v>
      </c>
      <c r="E282" s="235">
        <v>25000000</v>
      </c>
    </row>
    <row r="283" spans="1:6" ht="27" customHeight="1" outlineLevel="1" x14ac:dyDescent="0.2">
      <c r="A283" s="234">
        <v>230404</v>
      </c>
      <c r="B283" s="234" t="s">
        <v>1810</v>
      </c>
      <c r="C283" s="235">
        <v>7312600</v>
      </c>
      <c r="D283" s="235">
        <v>3498445</v>
      </c>
      <c r="E283" s="235">
        <v>3814155</v>
      </c>
    </row>
    <row r="284" spans="1:6" ht="27" customHeight="1" outlineLevel="1" x14ac:dyDescent="0.2">
      <c r="A284" s="234" t="s">
        <v>1811</v>
      </c>
      <c r="B284" s="234" t="s">
        <v>1796</v>
      </c>
      <c r="C284" s="235">
        <v>7312600</v>
      </c>
      <c r="D284" s="235">
        <v>3498445</v>
      </c>
      <c r="E284" s="235">
        <v>3814155</v>
      </c>
    </row>
    <row r="285" spans="1:6" ht="18" customHeight="1" outlineLevel="1" x14ac:dyDescent="0.25">
      <c r="A285" s="234">
        <v>230405</v>
      </c>
      <c r="B285" s="234" t="s">
        <v>1812</v>
      </c>
      <c r="C285" s="235">
        <v>25000000</v>
      </c>
      <c r="D285" s="235">
        <v>15600000</v>
      </c>
      <c r="E285" s="235">
        <v>9400000</v>
      </c>
    </row>
    <row r="286" spans="1:6" ht="14.25" customHeight="1" outlineLevel="1" x14ac:dyDescent="0.2">
      <c r="A286" s="234" t="s">
        <v>1813</v>
      </c>
      <c r="B286" s="234" t="s">
        <v>1796</v>
      </c>
      <c r="C286" s="235">
        <v>25000000</v>
      </c>
      <c r="D286" s="235">
        <v>15600000</v>
      </c>
      <c r="E286" s="235">
        <v>9400000</v>
      </c>
    </row>
    <row r="287" spans="1:6" ht="27" customHeight="1" outlineLevel="1" x14ac:dyDescent="0.2">
      <c r="A287" s="236">
        <v>2305</v>
      </c>
      <c r="B287" s="236" t="s">
        <v>171</v>
      </c>
      <c r="C287" s="237">
        <v>211951166</v>
      </c>
      <c r="D287" s="237">
        <v>140737456</v>
      </c>
      <c r="E287" s="237">
        <v>71213710</v>
      </c>
      <c r="F287" s="282">
        <f>D287/C287</f>
        <v>0.66400887834700562</v>
      </c>
    </row>
    <row r="288" spans="1:6" ht="27" customHeight="1" outlineLevel="1" x14ac:dyDescent="0.25">
      <c r="A288" s="234">
        <v>230501</v>
      </c>
      <c r="B288" s="234" t="s">
        <v>1814</v>
      </c>
      <c r="C288" s="235">
        <v>123859856</v>
      </c>
      <c r="D288" s="235">
        <v>104837456</v>
      </c>
      <c r="E288" s="235">
        <v>19022400</v>
      </c>
    </row>
    <row r="289" spans="1:5" ht="18" customHeight="1" outlineLevel="1" x14ac:dyDescent="0.2">
      <c r="A289" s="234" t="s">
        <v>1815</v>
      </c>
      <c r="B289" s="234" t="s">
        <v>1816</v>
      </c>
      <c r="C289" s="235">
        <v>42000000</v>
      </c>
      <c r="D289" s="235">
        <v>42000000</v>
      </c>
      <c r="E289" s="235">
        <v>0</v>
      </c>
    </row>
    <row r="290" spans="1:5" ht="18" customHeight="1" outlineLevel="1" x14ac:dyDescent="0.2">
      <c r="A290" s="234" t="s">
        <v>1817</v>
      </c>
      <c r="B290" s="234" t="s">
        <v>1818</v>
      </c>
      <c r="C290" s="235">
        <v>22372232</v>
      </c>
      <c r="D290" s="235">
        <v>22372232</v>
      </c>
      <c r="E290" s="235">
        <v>0</v>
      </c>
    </row>
    <row r="291" spans="1:5" ht="27" customHeight="1" outlineLevel="1" x14ac:dyDescent="0.2">
      <c r="A291" s="234" t="s">
        <v>1819</v>
      </c>
      <c r="B291" s="234" t="s">
        <v>1820</v>
      </c>
      <c r="C291" s="235">
        <v>49022400</v>
      </c>
      <c r="D291" s="235">
        <v>30000000</v>
      </c>
      <c r="E291" s="235">
        <v>19022400</v>
      </c>
    </row>
    <row r="292" spans="1:5" ht="14.25" customHeight="1" outlineLevel="1" x14ac:dyDescent="0.2">
      <c r="A292" s="234" t="s">
        <v>1821</v>
      </c>
      <c r="B292" s="234" t="s">
        <v>1822</v>
      </c>
      <c r="C292" s="235">
        <v>8625321</v>
      </c>
      <c r="D292" s="235">
        <v>8625321</v>
      </c>
      <c r="E292" s="235">
        <v>0</v>
      </c>
    </row>
    <row r="293" spans="1:5" ht="14.25" customHeight="1" outlineLevel="1" x14ac:dyDescent="0.2">
      <c r="A293" s="234" t="s">
        <v>1823</v>
      </c>
      <c r="B293" s="234" t="s">
        <v>1824</v>
      </c>
      <c r="C293" s="235">
        <v>1839903</v>
      </c>
      <c r="D293" s="235">
        <v>1839903</v>
      </c>
      <c r="E293" s="235">
        <v>0</v>
      </c>
    </row>
    <row r="294" spans="1:5" ht="14.25" customHeight="1" outlineLevel="1" x14ac:dyDescent="0.25">
      <c r="A294" s="234">
        <v>230504</v>
      </c>
      <c r="B294" s="234" t="s">
        <v>1825</v>
      </c>
      <c r="C294" s="235">
        <v>5000000</v>
      </c>
      <c r="D294" s="235">
        <v>0</v>
      </c>
      <c r="E294" s="235">
        <v>5000000</v>
      </c>
    </row>
    <row r="295" spans="1:5" ht="14.25" customHeight="1" outlineLevel="1" x14ac:dyDescent="0.2">
      <c r="A295" s="234" t="s">
        <v>1826</v>
      </c>
      <c r="B295" s="234" t="s">
        <v>1820</v>
      </c>
      <c r="C295" s="235">
        <v>5000000</v>
      </c>
      <c r="D295" s="235">
        <v>0</v>
      </c>
      <c r="E295" s="235">
        <v>5000000</v>
      </c>
    </row>
    <row r="296" spans="1:5" ht="18" customHeight="1" outlineLevel="1" x14ac:dyDescent="0.25">
      <c r="A296" s="234">
        <v>230505</v>
      </c>
      <c r="B296" s="234" t="s">
        <v>1827</v>
      </c>
      <c r="C296" s="235">
        <v>13984450</v>
      </c>
      <c r="D296" s="235">
        <v>0</v>
      </c>
      <c r="E296" s="235">
        <v>13984450</v>
      </c>
    </row>
    <row r="297" spans="1:5" ht="14.25" customHeight="1" outlineLevel="1" x14ac:dyDescent="0.2">
      <c r="A297" s="234" t="s">
        <v>1828</v>
      </c>
      <c r="B297" s="234" t="s">
        <v>1820</v>
      </c>
      <c r="C297" s="235">
        <v>13984450</v>
      </c>
      <c r="D297" s="235">
        <v>0</v>
      </c>
      <c r="E297" s="235">
        <v>13984450</v>
      </c>
    </row>
    <row r="298" spans="1:5" ht="27" customHeight="1" outlineLevel="1" x14ac:dyDescent="0.25">
      <c r="A298" s="234">
        <v>230506</v>
      </c>
      <c r="B298" s="234" t="s">
        <v>1829</v>
      </c>
      <c r="C298" s="235">
        <v>21129793</v>
      </c>
      <c r="D298" s="235">
        <v>12600000</v>
      </c>
      <c r="E298" s="235">
        <v>8529793</v>
      </c>
    </row>
    <row r="299" spans="1:5" ht="14.25" customHeight="1" outlineLevel="1" x14ac:dyDescent="0.25">
      <c r="A299" s="234">
        <v>23050601</v>
      </c>
      <c r="B299" s="234" t="s">
        <v>1830</v>
      </c>
      <c r="C299" s="235">
        <v>6129793</v>
      </c>
      <c r="D299" s="235">
        <v>0</v>
      </c>
      <c r="E299" s="235">
        <v>6129793</v>
      </c>
    </row>
    <row r="300" spans="1:5" ht="14.25" customHeight="1" outlineLevel="1" x14ac:dyDescent="0.2">
      <c r="A300" s="234" t="s">
        <v>1831</v>
      </c>
      <c r="B300" s="234" t="s">
        <v>1832</v>
      </c>
      <c r="C300" s="235">
        <v>3000000</v>
      </c>
      <c r="D300" s="235">
        <v>0</v>
      </c>
      <c r="E300" s="235">
        <v>3000000</v>
      </c>
    </row>
    <row r="301" spans="1:5" ht="14.25" customHeight="1" outlineLevel="1" x14ac:dyDescent="0.2">
      <c r="A301" s="234" t="s">
        <v>1833</v>
      </c>
      <c r="B301" s="234" t="s">
        <v>1834</v>
      </c>
      <c r="C301" s="235">
        <v>3129793</v>
      </c>
      <c r="D301" s="235">
        <v>0</v>
      </c>
      <c r="E301" s="235">
        <v>3129793</v>
      </c>
    </row>
    <row r="302" spans="1:5" ht="14.25" customHeight="1" outlineLevel="1" x14ac:dyDescent="0.2">
      <c r="A302" s="234">
        <v>23050602</v>
      </c>
      <c r="B302" s="234" t="s">
        <v>1835</v>
      </c>
      <c r="C302" s="235">
        <v>15000000</v>
      </c>
      <c r="D302" s="235">
        <v>12600000</v>
      </c>
      <c r="E302" s="235">
        <v>2400000</v>
      </c>
    </row>
    <row r="303" spans="1:5" ht="14.25" customHeight="1" outlineLevel="1" x14ac:dyDescent="0.2">
      <c r="A303" s="234" t="s">
        <v>1836</v>
      </c>
      <c r="B303" s="234" t="s">
        <v>1832</v>
      </c>
      <c r="C303" s="235">
        <v>4000000</v>
      </c>
      <c r="D303" s="235">
        <v>4000000</v>
      </c>
      <c r="E303" s="235">
        <v>0</v>
      </c>
    </row>
    <row r="304" spans="1:5" ht="27" customHeight="1" outlineLevel="1" x14ac:dyDescent="0.2">
      <c r="A304" s="234" t="s">
        <v>1837</v>
      </c>
      <c r="B304" s="234" t="s">
        <v>1820</v>
      </c>
      <c r="C304" s="235">
        <v>11000000</v>
      </c>
      <c r="D304" s="235">
        <v>8600000</v>
      </c>
      <c r="E304" s="235">
        <v>2400000</v>
      </c>
    </row>
    <row r="305" spans="1:5" ht="18" customHeight="1" outlineLevel="1" x14ac:dyDescent="0.25">
      <c r="A305" s="234">
        <v>230507</v>
      </c>
      <c r="B305" s="234" t="s">
        <v>1838</v>
      </c>
      <c r="C305" s="235">
        <v>10000000</v>
      </c>
      <c r="D305" s="235">
        <v>6500000</v>
      </c>
      <c r="E305" s="235">
        <v>3500000</v>
      </c>
    </row>
    <row r="306" spans="1:5" ht="14.25" customHeight="1" outlineLevel="1" x14ac:dyDescent="0.2">
      <c r="A306" s="234" t="s">
        <v>1839</v>
      </c>
      <c r="B306" s="234" t="s">
        <v>1820</v>
      </c>
      <c r="C306" s="235">
        <v>10000000</v>
      </c>
      <c r="D306" s="235">
        <v>6500000</v>
      </c>
      <c r="E306" s="235">
        <v>3500000</v>
      </c>
    </row>
    <row r="307" spans="1:5" ht="27" customHeight="1" outlineLevel="1" x14ac:dyDescent="0.2">
      <c r="A307" s="234">
        <v>230508</v>
      </c>
      <c r="B307" s="234" t="s">
        <v>1840</v>
      </c>
      <c r="C307" s="235">
        <v>18000000</v>
      </c>
      <c r="D307" s="235">
        <v>16800000</v>
      </c>
      <c r="E307" s="235">
        <v>1200000</v>
      </c>
    </row>
    <row r="308" spans="1:5" ht="27" customHeight="1" outlineLevel="1" x14ac:dyDescent="0.2">
      <c r="A308" s="234" t="s">
        <v>1841</v>
      </c>
      <c r="B308" s="234" t="s">
        <v>1820</v>
      </c>
      <c r="C308" s="235">
        <v>18000000</v>
      </c>
      <c r="D308" s="235">
        <v>16800000</v>
      </c>
      <c r="E308" s="235">
        <v>1200000</v>
      </c>
    </row>
    <row r="309" spans="1:5" ht="18" customHeight="1" outlineLevel="1" x14ac:dyDescent="0.2">
      <c r="A309" s="234">
        <v>230512</v>
      </c>
      <c r="B309" s="234" t="s">
        <v>1842</v>
      </c>
      <c r="C309" s="235">
        <v>19977067</v>
      </c>
      <c r="D309" s="235">
        <v>0</v>
      </c>
      <c r="E309" s="235">
        <v>19977067</v>
      </c>
    </row>
    <row r="310" spans="1:5" ht="18" customHeight="1" outlineLevel="1" x14ac:dyDescent="0.2">
      <c r="A310" s="234" t="s">
        <v>1843</v>
      </c>
      <c r="B310" s="234" t="s">
        <v>1844</v>
      </c>
      <c r="C310" s="235">
        <v>7000000</v>
      </c>
      <c r="D310" s="235">
        <v>0</v>
      </c>
      <c r="E310" s="235">
        <v>7000000</v>
      </c>
    </row>
    <row r="311" spans="1:5" ht="27" customHeight="1" outlineLevel="1" x14ac:dyDescent="0.2">
      <c r="A311" s="234" t="s">
        <v>1845</v>
      </c>
      <c r="B311" s="234" t="s">
        <v>1846</v>
      </c>
      <c r="C311" s="235">
        <v>12977067</v>
      </c>
      <c r="D311" s="235">
        <v>0</v>
      </c>
      <c r="E311" s="235">
        <v>12977067</v>
      </c>
    </row>
    <row r="312" spans="1:5" ht="42.75" customHeight="1" outlineLevel="1" x14ac:dyDescent="0.25">
      <c r="A312" s="236">
        <v>2306</v>
      </c>
      <c r="B312" s="236" t="s">
        <v>1847</v>
      </c>
      <c r="C312" s="237">
        <v>829569950</v>
      </c>
      <c r="D312" s="237">
        <v>305160636</v>
      </c>
      <c r="E312" s="237">
        <v>524409314</v>
      </c>
    </row>
    <row r="313" spans="1:5" ht="18" customHeight="1" outlineLevel="1" x14ac:dyDescent="0.25">
      <c r="A313" s="234">
        <v>230602</v>
      </c>
      <c r="B313" s="234" t="s">
        <v>1848</v>
      </c>
      <c r="C313" s="235">
        <v>200000000</v>
      </c>
      <c r="D313" s="235">
        <v>103367486</v>
      </c>
      <c r="E313" s="235">
        <v>96632514</v>
      </c>
    </row>
    <row r="314" spans="1:5" ht="18" customHeight="1" outlineLevel="1" x14ac:dyDescent="0.25">
      <c r="A314" s="234">
        <v>23060202</v>
      </c>
      <c r="B314" s="234" t="s">
        <v>1849</v>
      </c>
      <c r="C314" s="235">
        <v>200000000</v>
      </c>
      <c r="D314" s="235">
        <v>103367486</v>
      </c>
      <c r="E314" s="235">
        <v>96632514</v>
      </c>
    </row>
    <row r="315" spans="1:5" ht="18" customHeight="1" outlineLevel="1" x14ac:dyDescent="0.2">
      <c r="A315" s="234" t="s">
        <v>1850</v>
      </c>
      <c r="B315" s="234" t="s">
        <v>1851</v>
      </c>
      <c r="C315" s="235">
        <v>200000000</v>
      </c>
      <c r="D315" s="235">
        <v>103367486</v>
      </c>
      <c r="E315" s="235">
        <v>96632514</v>
      </c>
    </row>
    <row r="316" spans="1:5" ht="45" customHeight="1" outlineLevel="1" x14ac:dyDescent="0.25">
      <c r="A316" s="234">
        <v>230603</v>
      </c>
      <c r="B316" s="234" t="s">
        <v>1852</v>
      </c>
      <c r="C316" s="235">
        <v>450000000</v>
      </c>
      <c r="D316" s="235">
        <v>201793150</v>
      </c>
      <c r="E316" s="235">
        <v>248206850</v>
      </c>
    </row>
    <row r="317" spans="1:5" ht="27" customHeight="1" outlineLevel="1" x14ac:dyDescent="0.2">
      <c r="A317" s="234" t="s">
        <v>1853</v>
      </c>
      <c r="B317" s="234" t="s">
        <v>1851</v>
      </c>
      <c r="C317" s="235">
        <v>450000000</v>
      </c>
      <c r="D317" s="235">
        <v>201793150</v>
      </c>
      <c r="E317" s="235">
        <v>248206850</v>
      </c>
    </row>
    <row r="318" spans="1:5" ht="14.25" customHeight="1" outlineLevel="1" x14ac:dyDescent="0.25">
      <c r="A318" s="234">
        <v>230604</v>
      </c>
      <c r="B318" s="234" t="s">
        <v>1825</v>
      </c>
      <c r="C318" s="235">
        <v>6000000</v>
      </c>
      <c r="D318" s="235">
        <v>0</v>
      </c>
      <c r="E318" s="235">
        <v>6000000</v>
      </c>
    </row>
    <row r="320" spans="1:5" ht="14.25" customHeight="1" outlineLevel="1" x14ac:dyDescent="0.25">
      <c r="A320" s="234" t="s">
        <v>1854</v>
      </c>
      <c r="B320" s="234" t="s">
        <v>1804</v>
      </c>
      <c r="C320" s="235">
        <v>6000000</v>
      </c>
      <c r="D320" s="235">
        <v>0</v>
      </c>
      <c r="E320" s="235">
        <v>6000000</v>
      </c>
    </row>
    <row r="321" spans="1:6" ht="14.25" customHeight="1" outlineLevel="1" x14ac:dyDescent="0.25">
      <c r="A321" s="234">
        <v>230606</v>
      </c>
      <c r="B321" s="234" t="s">
        <v>1855</v>
      </c>
      <c r="C321" s="235">
        <v>111548332</v>
      </c>
      <c r="D321" s="235">
        <v>0</v>
      </c>
      <c r="E321" s="235">
        <v>111548332</v>
      </c>
    </row>
    <row r="322" spans="1:6" ht="14.25" customHeight="1" outlineLevel="1" x14ac:dyDescent="0.25">
      <c r="A322" s="234" t="s">
        <v>1856</v>
      </c>
      <c r="B322" s="234" t="s">
        <v>1857</v>
      </c>
      <c r="C322" s="235">
        <v>43200000</v>
      </c>
      <c r="D322" s="235">
        <v>0</v>
      </c>
      <c r="E322" s="235">
        <v>43200000</v>
      </c>
    </row>
    <row r="323" spans="1:6" ht="14.25" customHeight="1" outlineLevel="1" x14ac:dyDescent="0.25">
      <c r="A323" s="234" t="s">
        <v>1858</v>
      </c>
      <c r="B323" s="234" t="s">
        <v>1859</v>
      </c>
      <c r="C323" s="235">
        <v>68348332</v>
      </c>
      <c r="D323" s="235">
        <v>0</v>
      </c>
      <c r="E323" s="235">
        <v>68348332</v>
      </c>
    </row>
    <row r="324" spans="1:6" ht="14.25" customHeight="1" outlineLevel="1" x14ac:dyDescent="0.25">
      <c r="A324" s="234">
        <v>230608</v>
      </c>
      <c r="B324" s="234" t="s">
        <v>1860</v>
      </c>
      <c r="C324" s="235">
        <v>62021618</v>
      </c>
      <c r="D324" s="235">
        <v>0</v>
      </c>
      <c r="E324" s="235">
        <v>62021618</v>
      </c>
    </row>
    <row r="325" spans="1:6" ht="14.25" customHeight="1" outlineLevel="1" x14ac:dyDescent="0.25">
      <c r="A325" s="234" t="s">
        <v>1861</v>
      </c>
      <c r="B325" s="234" t="s">
        <v>1674</v>
      </c>
      <c r="C325" s="235">
        <v>10000000</v>
      </c>
      <c r="D325" s="235">
        <v>0</v>
      </c>
      <c r="E325" s="235">
        <v>10000000</v>
      </c>
    </row>
    <row r="326" spans="1:6" ht="14.25" customHeight="1" outlineLevel="1" x14ac:dyDescent="0.25">
      <c r="A326" s="234" t="s">
        <v>1862</v>
      </c>
      <c r="B326" s="234" t="s">
        <v>1863</v>
      </c>
      <c r="C326" s="235">
        <v>52021618</v>
      </c>
      <c r="D326" s="235">
        <v>0</v>
      </c>
      <c r="E326" s="235">
        <v>52021618</v>
      </c>
    </row>
    <row r="327" spans="1:6" ht="27" customHeight="1" outlineLevel="1" x14ac:dyDescent="0.25">
      <c r="A327" s="236">
        <v>2307</v>
      </c>
      <c r="B327" s="236" t="s">
        <v>344</v>
      </c>
      <c r="C327" s="237">
        <v>1362294335</v>
      </c>
      <c r="D327" s="237">
        <v>746293335</v>
      </c>
      <c r="E327" s="237">
        <v>616001000</v>
      </c>
      <c r="F327" s="282">
        <f>D327/C327</f>
        <v>0.54782091933165089</v>
      </c>
    </row>
    <row r="328" spans="1:6" ht="26.25" customHeight="1" outlineLevel="1" x14ac:dyDescent="0.25">
      <c r="A328" s="234">
        <v>230701</v>
      </c>
      <c r="B328" s="238" t="s">
        <v>1864</v>
      </c>
      <c r="C328" s="235">
        <v>1000</v>
      </c>
      <c r="D328" s="235">
        <v>0</v>
      </c>
      <c r="E328" s="235">
        <v>1000</v>
      </c>
    </row>
    <row r="329" spans="1:6" ht="14.25" customHeight="1" outlineLevel="1" x14ac:dyDescent="0.25">
      <c r="A329" s="234" t="s">
        <v>1865</v>
      </c>
      <c r="B329" s="234" t="s">
        <v>1866</v>
      </c>
      <c r="C329" s="235">
        <v>1000</v>
      </c>
      <c r="D329" s="235">
        <v>0</v>
      </c>
      <c r="E329" s="235">
        <v>1000</v>
      </c>
    </row>
    <row r="330" spans="1:6" ht="27" customHeight="1" outlineLevel="1" x14ac:dyDescent="0.25">
      <c r="A330" s="234">
        <v>230703</v>
      </c>
      <c r="B330" s="238" t="s">
        <v>1867</v>
      </c>
      <c r="C330" s="235">
        <v>755693335</v>
      </c>
      <c r="D330" s="235">
        <v>745693335</v>
      </c>
      <c r="E330" s="235">
        <v>10000000</v>
      </c>
    </row>
    <row r="331" spans="1:6" ht="14.25" customHeight="1" outlineLevel="1" x14ac:dyDescent="0.25">
      <c r="A331" s="234" t="s">
        <v>1868</v>
      </c>
      <c r="B331" s="234" t="s">
        <v>1804</v>
      </c>
      <c r="C331" s="235">
        <v>10000000</v>
      </c>
      <c r="D331" s="235">
        <v>0</v>
      </c>
      <c r="E331" s="235">
        <v>10000000</v>
      </c>
    </row>
    <row r="332" spans="1:6" ht="14.25" customHeight="1" outlineLevel="1" x14ac:dyDescent="0.25">
      <c r="A332" s="234" t="s">
        <v>1869</v>
      </c>
      <c r="B332" s="234" t="s">
        <v>1806</v>
      </c>
      <c r="C332" s="235">
        <v>745693335</v>
      </c>
      <c r="D332" s="235">
        <v>745693335</v>
      </c>
      <c r="E332" s="235">
        <v>0</v>
      </c>
    </row>
    <row r="333" spans="1:6" ht="30.75" customHeight="1" outlineLevel="1" x14ac:dyDescent="0.25">
      <c r="A333" s="234">
        <v>230705</v>
      </c>
      <c r="B333" s="238" t="s">
        <v>1870</v>
      </c>
      <c r="C333" s="235">
        <v>600000</v>
      </c>
      <c r="D333" s="235">
        <v>600000</v>
      </c>
      <c r="E333" s="235">
        <v>0</v>
      </c>
    </row>
    <row r="334" spans="1:6" ht="14.25" customHeight="1" outlineLevel="1" x14ac:dyDescent="0.25">
      <c r="A334" s="234" t="s">
        <v>1871</v>
      </c>
      <c r="B334" s="234" t="s">
        <v>1674</v>
      </c>
      <c r="C334" s="235">
        <v>600000</v>
      </c>
      <c r="D334" s="235">
        <v>600000</v>
      </c>
      <c r="E334" s="235">
        <v>0</v>
      </c>
    </row>
    <row r="335" spans="1:6" ht="14.25" customHeight="1" outlineLevel="1" x14ac:dyDescent="0.25">
      <c r="A335" s="234" t="s">
        <v>1872</v>
      </c>
      <c r="B335" s="234" t="s">
        <v>1804</v>
      </c>
      <c r="C335" s="235">
        <v>0</v>
      </c>
      <c r="D335" s="235">
        <v>0</v>
      </c>
      <c r="E335" s="235">
        <v>0</v>
      </c>
    </row>
    <row r="336" spans="1:6" ht="14.25" customHeight="1" outlineLevel="1" x14ac:dyDescent="0.25">
      <c r="A336" s="234">
        <v>230707</v>
      </c>
      <c r="B336" s="238" t="s">
        <v>1873</v>
      </c>
      <c r="C336" s="235">
        <v>600000000</v>
      </c>
      <c r="D336" s="235">
        <v>0</v>
      </c>
      <c r="E336" s="235">
        <v>600000000</v>
      </c>
    </row>
    <row r="337" spans="1:6" ht="14.25" customHeight="1" outlineLevel="1" x14ac:dyDescent="0.25">
      <c r="A337" s="234" t="s">
        <v>1874</v>
      </c>
      <c r="B337" s="234" t="s">
        <v>1674</v>
      </c>
      <c r="C337" s="235">
        <v>115000000</v>
      </c>
      <c r="D337" s="235">
        <v>0</v>
      </c>
      <c r="E337" s="235">
        <v>115000000</v>
      </c>
    </row>
    <row r="338" spans="1:6" ht="14.25" customHeight="1" outlineLevel="1" x14ac:dyDescent="0.25">
      <c r="A338" s="234" t="s">
        <v>1875</v>
      </c>
      <c r="B338" s="234" t="s">
        <v>1876</v>
      </c>
      <c r="C338" s="235">
        <v>14980000</v>
      </c>
      <c r="D338" s="235">
        <v>0</v>
      </c>
      <c r="E338" s="235">
        <v>14980000</v>
      </c>
    </row>
    <row r="339" spans="1:6" ht="14.25" customHeight="1" outlineLevel="1" x14ac:dyDescent="0.25">
      <c r="A339" s="234" t="s">
        <v>1877</v>
      </c>
      <c r="B339" s="234" t="s">
        <v>1878</v>
      </c>
      <c r="C339" s="235">
        <v>40020000</v>
      </c>
      <c r="D339" s="235">
        <v>0</v>
      </c>
      <c r="E339" s="235">
        <v>40020000</v>
      </c>
    </row>
    <row r="340" spans="1:6" ht="14.25" customHeight="1" outlineLevel="1" x14ac:dyDescent="0.25">
      <c r="A340" s="234" t="s">
        <v>1879</v>
      </c>
      <c r="B340" s="234" t="s">
        <v>1711</v>
      </c>
      <c r="C340" s="235">
        <v>40000000</v>
      </c>
      <c r="D340" s="235">
        <v>0</v>
      </c>
      <c r="E340" s="235">
        <v>40000000</v>
      </c>
    </row>
    <row r="341" spans="1:6" ht="14.25" customHeight="1" outlineLevel="1" x14ac:dyDescent="0.25">
      <c r="A341" s="234" t="s">
        <v>1880</v>
      </c>
      <c r="B341" s="234" t="s">
        <v>1804</v>
      </c>
      <c r="C341" s="235">
        <v>380000000</v>
      </c>
      <c r="D341" s="235">
        <v>0</v>
      </c>
      <c r="E341" s="235">
        <v>380000000</v>
      </c>
    </row>
    <row r="342" spans="1:6" ht="14.25" customHeight="1" outlineLevel="1" x14ac:dyDescent="0.25">
      <c r="A342" s="234" t="s">
        <v>1881</v>
      </c>
      <c r="B342" s="234" t="s">
        <v>1882</v>
      </c>
      <c r="C342" s="235">
        <v>10000000</v>
      </c>
      <c r="D342" s="235">
        <v>0</v>
      </c>
      <c r="E342" s="235">
        <v>10000000</v>
      </c>
    </row>
    <row r="343" spans="1:6" ht="14.25" customHeight="1" outlineLevel="1" x14ac:dyDescent="0.25">
      <c r="A343" s="234">
        <v>230708</v>
      </c>
      <c r="B343" s="238" t="s">
        <v>1825</v>
      </c>
      <c r="C343" s="235">
        <v>6000000</v>
      </c>
      <c r="D343" s="235">
        <v>0</v>
      </c>
      <c r="E343" s="235">
        <v>6000000</v>
      </c>
    </row>
    <row r="344" spans="1:6" ht="14.25" customHeight="1" outlineLevel="1" x14ac:dyDescent="0.25">
      <c r="A344" s="234" t="s">
        <v>1883</v>
      </c>
      <c r="B344" s="234" t="s">
        <v>1804</v>
      </c>
      <c r="C344" s="235">
        <v>6000000</v>
      </c>
      <c r="D344" s="235">
        <v>0</v>
      </c>
      <c r="E344" s="235">
        <v>6000000</v>
      </c>
    </row>
    <row r="345" spans="1:6" ht="27" customHeight="1" outlineLevel="1" x14ac:dyDescent="0.25">
      <c r="A345" s="236">
        <v>2308</v>
      </c>
      <c r="B345" s="236" t="s">
        <v>1884</v>
      </c>
      <c r="C345" s="237">
        <v>176700000</v>
      </c>
      <c r="D345" s="237">
        <v>92004670</v>
      </c>
      <c r="E345" s="237">
        <v>84695330</v>
      </c>
      <c r="F345" s="282">
        <f>D345/C345</f>
        <v>0.52068290888511604</v>
      </c>
    </row>
    <row r="346" spans="1:6" ht="14.25" customHeight="1" outlineLevel="1" x14ac:dyDescent="0.25">
      <c r="A346" s="234">
        <v>230801</v>
      </c>
      <c r="B346" s="234" t="s">
        <v>1825</v>
      </c>
      <c r="C346" s="235">
        <v>0</v>
      </c>
      <c r="D346" s="235">
        <v>0</v>
      </c>
      <c r="E346" s="235">
        <v>0</v>
      </c>
    </row>
    <row r="347" spans="1:6" ht="14.25" customHeight="1" outlineLevel="1" x14ac:dyDescent="0.25">
      <c r="A347" s="234" t="s">
        <v>1885</v>
      </c>
      <c r="B347" s="234" t="s">
        <v>1804</v>
      </c>
      <c r="C347" s="235">
        <v>0</v>
      </c>
      <c r="D347" s="235">
        <v>0</v>
      </c>
      <c r="E347" s="235">
        <v>0</v>
      </c>
    </row>
    <row r="348" spans="1:6" ht="14.25" customHeight="1" outlineLevel="1" x14ac:dyDescent="0.25">
      <c r="A348" s="234" t="s">
        <v>1886</v>
      </c>
      <c r="B348" s="234" t="s">
        <v>1882</v>
      </c>
      <c r="C348" s="235">
        <v>0</v>
      </c>
      <c r="D348" s="235">
        <v>0</v>
      </c>
      <c r="E348" s="235">
        <v>0</v>
      </c>
    </row>
    <row r="349" spans="1:6" ht="27" customHeight="1" outlineLevel="1" x14ac:dyDescent="0.25">
      <c r="A349" s="234">
        <v>230803</v>
      </c>
      <c r="B349" s="234" t="s">
        <v>1887</v>
      </c>
      <c r="C349" s="235">
        <v>11000000</v>
      </c>
      <c r="D349" s="235">
        <v>0</v>
      </c>
      <c r="E349" s="235">
        <v>11000000</v>
      </c>
    </row>
    <row r="350" spans="1:6" ht="18" customHeight="1" outlineLevel="1" x14ac:dyDescent="0.25">
      <c r="A350" s="234">
        <v>23080301</v>
      </c>
      <c r="B350" s="234" t="s">
        <v>1888</v>
      </c>
      <c r="C350" s="235">
        <v>11000000</v>
      </c>
      <c r="D350" s="235">
        <v>0</v>
      </c>
      <c r="E350" s="235">
        <v>11000000</v>
      </c>
    </row>
    <row r="351" spans="1:6" ht="14.25" customHeight="1" outlineLevel="1" x14ac:dyDescent="0.25">
      <c r="A351" s="234" t="s">
        <v>1889</v>
      </c>
      <c r="B351" s="234" t="s">
        <v>1804</v>
      </c>
      <c r="C351" s="235">
        <v>11000000</v>
      </c>
      <c r="D351" s="235">
        <v>0</v>
      </c>
      <c r="E351" s="235">
        <v>11000000</v>
      </c>
    </row>
    <row r="352" spans="1:6" ht="27" customHeight="1" outlineLevel="1" x14ac:dyDescent="0.25">
      <c r="A352" s="234">
        <v>230806</v>
      </c>
      <c r="B352" s="234" t="s">
        <v>1890</v>
      </c>
      <c r="C352" s="235">
        <v>6000000</v>
      </c>
      <c r="D352" s="235">
        <v>0</v>
      </c>
      <c r="E352" s="235">
        <v>6000000</v>
      </c>
    </row>
    <row r="353" spans="1:5" ht="14.25" customHeight="1" outlineLevel="1" x14ac:dyDescent="0.25">
      <c r="A353" s="234" t="s">
        <v>1891</v>
      </c>
      <c r="B353" s="234" t="s">
        <v>1804</v>
      </c>
      <c r="C353" s="235">
        <v>6000000</v>
      </c>
      <c r="D353" s="235">
        <v>0</v>
      </c>
      <c r="E353" s="235">
        <v>6000000</v>
      </c>
    </row>
    <row r="354" spans="1:5" ht="41.25" customHeight="1" outlineLevel="1" x14ac:dyDescent="0.25">
      <c r="A354" s="234">
        <v>230807</v>
      </c>
      <c r="B354" s="234" t="s">
        <v>1892</v>
      </c>
      <c r="C354" s="235">
        <v>25000000</v>
      </c>
      <c r="D354" s="235">
        <v>10000000</v>
      </c>
      <c r="E354" s="235">
        <v>15000000</v>
      </c>
    </row>
    <row r="355" spans="1:5" ht="14.25" customHeight="1" outlineLevel="1" x14ac:dyDescent="0.25">
      <c r="A355" s="234" t="s">
        <v>1893</v>
      </c>
      <c r="B355" s="234" t="s">
        <v>1674</v>
      </c>
      <c r="C355" s="235">
        <v>15000000</v>
      </c>
      <c r="D355" s="235">
        <v>0</v>
      </c>
      <c r="E355" s="235">
        <v>15000000</v>
      </c>
    </row>
    <row r="356" spans="1:5" ht="14.25" customHeight="1" outlineLevel="1" x14ac:dyDescent="0.25">
      <c r="A356" s="234" t="s">
        <v>1894</v>
      </c>
      <c r="B356" s="234" t="s">
        <v>1804</v>
      </c>
      <c r="C356" s="235">
        <v>10000000</v>
      </c>
      <c r="D356" s="235">
        <v>10000000</v>
      </c>
      <c r="E356" s="235">
        <v>0</v>
      </c>
    </row>
    <row r="357" spans="1:5" ht="27" customHeight="1" outlineLevel="1" x14ac:dyDescent="0.25">
      <c r="A357" s="234">
        <v>230808</v>
      </c>
      <c r="B357" s="234" t="s">
        <v>1895</v>
      </c>
      <c r="C357" s="235">
        <v>89700000</v>
      </c>
      <c r="D357" s="235">
        <v>42004670</v>
      </c>
      <c r="E357" s="235">
        <v>47695330</v>
      </c>
    </row>
    <row r="359" spans="1:5" ht="27" customHeight="1" outlineLevel="1" x14ac:dyDescent="0.25">
      <c r="A359" s="234" t="s">
        <v>1896</v>
      </c>
      <c r="B359" s="234" t="s">
        <v>1674</v>
      </c>
      <c r="C359" s="235">
        <v>30000000</v>
      </c>
      <c r="D359" s="235">
        <v>24500000</v>
      </c>
      <c r="E359" s="235">
        <v>5500000</v>
      </c>
    </row>
    <row r="360" spans="1:5" ht="14.25" customHeight="1" outlineLevel="1" x14ac:dyDescent="0.25">
      <c r="A360" s="234" t="s">
        <v>1897</v>
      </c>
      <c r="B360" s="234" t="s">
        <v>1766</v>
      </c>
      <c r="C360" s="235">
        <v>29700000</v>
      </c>
      <c r="D360" s="235">
        <v>0</v>
      </c>
      <c r="E360" s="235">
        <v>29700000</v>
      </c>
    </row>
    <row r="361" spans="1:5" ht="14.25" customHeight="1" outlineLevel="1" x14ac:dyDescent="0.25">
      <c r="A361" s="234" t="s">
        <v>1898</v>
      </c>
      <c r="B361" s="234" t="s">
        <v>1711</v>
      </c>
      <c r="C361" s="235">
        <v>10000000</v>
      </c>
      <c r="D361" s="235">
        <v>5200000</v>
      </c>
      <c r="E361" s="235">
        <v>4800000</v>
      </c>
    </row>
    <row r="362" spans="1:5" ht="18" customHeight="1" outlineLevel="1" x14ac:dyDescent="0.25">
      <c r="A362" s="234" t="s">
        <v>1899</v>
      </c>
      <c r="B362" s="234" t="s">
        <v>1804</v>
      </c>
      <c r="C362" s="235">
        <v>20000000</v>
      </c>
      <c r="D362" s="235">
        <v>12304670</v>
      </c>
      <c r="E362" s="235">
        <v>7695330</v>
      </c>
    </row>
    <row r="363" spans="1:5" ht="14.25" customHeight="1" outlineLevel="1" x14ac:dyDescent="0.25">
      <c r="A363" s="234">
        <v>230809</v>
      </c>
      <c r="B363" s="234" t="s">
        <v>1900</v>
      </c>
      <c r="C363" s="235">
        <v>40000000</v>
      </c>
      <c r="D363" s="235">
        <v>40000000</v>
      </c>
      <c r="E363" s="235">
        <v>0</v>
      </c>
    </row>
    <row r="364" spans="1:5" ht="14.25" customHeight="1" outlineLevel="1" x14ac:dyDescent="0.25">
      <c r="A364" s="234" t="s">
        <v>1901</v>
      </c>
      <c r="B364" s="234" t="s">
        <v>1674</v>
      </c>
      <c r="C364" s="235">
        <v>5000000</v>
      </c>
      <c r="D364" s="235">
        <v>5000000</v>
      </c>
      <c r="E364" s="235">
        <v>0</v>
      </c>
    </row>
    <row r="365" spans="1:5" ht="14.25" customHeight="1" outlineLevel="1" x14ac:dyDescent="0.25">
      <c r="A365" s="234" t="s">
        <v>1902</v>
      </c>
      <c r="B365" s="234" t="s">
        <v>1804</v>
      </c>
      <c r="C365" s="235">
        <v>5000000</v>
      </c>
      <c r="D365" s="235">
        <v>5000000</v>
      </c>
      <c r="E365" s="235">
        <v>0</v>
      </c>
    </row>
    <row r="366" spans="1:5" ht="14.25" customHeight="1" outlineLevel="1" x14ac:dyDescent="0.25">
      <c r="A366" s="234" t="s">
        <v>1903</v>
      </c>
      <c r="B366" s="234" t="s">
        <v>1882</v>
      </c>
      <c r="C366" s="235">
        <v>30000000</v>
      </c>
      <c r="D366" s="235">
        <v>30000000</v>
      </c>
      <c r="E366" s="235">
        <v>0</v>
      </c>
    </row>
    <row r="367" spans="1:5" ht="33.75" customHeight="1" outlineLevel="1" x14ac:dyDescent="0.25">
      <c r="A367" s="234">
        <v>230811</v>
      </c>
      <c r="B367" s="234" t="s">
        <v>1904</v>
      </c>
      <c r="C367" s="235">
        <v>5000000</v>
      </c>
      <c r="D367" s="235">
        <v>0</v>
      </c>
      <c r="E367" s="235">
        <v>5000000</v>
      </c>
    </row>
    <row r="368" spans="1:5" ht="14.25" customHeight="1" outlineLevel="1" x14ac:dyDescent="0.25">
      <c r="A368" s="234" t="s">
        <v>1905</v>
      </c>
      <c r="B368" s="234" t="s">
        <v>1674</v>
      </c>
      <c r="C368" s="235">
        <v>5000000</v>
      </c>
      <c r="D368" s="235">
        <v>0</v>
      </c>
      <c r="E368" s="235">
        <v>5000000</v>
      </c>
    </row>
    <row r="369" spans="1:5" ht="27" customHeight="1" outlineLevel="1" x14ac:dyDescent="0.25">
      <c r="A369" s="236">
        <v>2309</v>
      </c>
      <c r="B369" s="236" t="s">
        <v>1000</v>
      </c>
      <c r="C369" s="237">
        <v>1418083704.2</v>
      </c>
      <c r="D369" s="237">
        <v>995061786</v>
      </c>
      <c r="E369" s="237">
        <v>423021918.19999999</v>
      </c>
    </row>
    <row r="370" spans="1:5" ht="14.25" customHeight="1" outlineLevel="1" x14ac:dyDescent="0.25">
      <c r="A370" s="234">
        <v>230901</v>
      </c>
      <c r="B370" s="749" t="s">
        <v>1906</v>
      </c>
      <c r="C370" s="235">
        <v>35000000</v>
      </c>
      <c r="D370" s="235">
        <v>0</v>
      </c>
      <c r="E370" s="235">
        <v>35000000</v>
      </c>
    </row>
    <row r="371" spans="1:5" ht="14.25" customHeight="1" outlineLevel="1" x14ac:dyDescent="0.25">
      <c r="A371" s="234" t="s">
        <v>1907</v>
      </c>
      <c r="B371" s="234" t="s">
        <v>1674</v>
      </c>
      <c r="C371" s="235">
        <v>15000000</v>
      </c>
      <c r="D371" s="235">
        <v>0</v>
      </c>
      <c r="E371" s="235">
        <v>15000000</v>
      </c>
    </row>
    <row r="372" spans="1:5" ht="14.25" customHeight="1" outlineLevel="1" x14ac:dyDescent="0.25">
      <c r="A372" s="234" t="s">
        <v>1908</v>
      </c>
      <c r="B372" s="234" t="s">
        <v>1804</v>
      </c>
      <c r="C372" s="235">
        <v>0</v>
      </c>
      <c r="D372" s="235">
        <v>0</v>
      </c>
      <c r="E372" s="235">
        <v>0</v>
      </c>
    </row>
    <row r="373" spans="1:5" ht="14.25" customHeight="1" outlineLevel="1" x14ac:dyDescent="0.25">
      <c r="A373" s="234" t="s">
        <v>1909</v>
      </c>
      <c r="B373" s="234" t="s">
        <v>1882</v>
      </c>
      <c r="C373" s="235">
        <v>0</v>
      </c>
      <c r="D373" s="235">
        <v>0</v>
      </c>
      <c r="E373" s="235">
        <v>0</v>
      </c>
    </row>
    <row r="374" spans="1:5" ht="14.25" customHeight="1" outlineLevel="1" x14ac:dyDescent="0.25">
      <c r="A374" s="234" t="s">
        <v>1910</v>
      </c>
      <c r="B374" s="234" t="s">
        <v>1911</v>
      </c>
      <c r="C374" s="235">
        <v>20000000</v>
      </c>
      <c r="D374" s="235">
        <v>0</v>
      </c>
      <c r="E374" s="235">
        <v>20000000</v>
      </c>
    </row>
    <row r="375" spans="1:5" ht="27" customHeight="1" outlineLevel="1" x14ac:dyDescent="0.25">
      <c r="A375" s="234">
        <v>230902</v>
      </c>
      <c r="B375" s="749" t="s">
        <v>1912</v>
      </c>
      <c r="C375" s="235">
        <v>299844360.19999999</v>
      </c>
      <c r="D375" s="235">
        <v>184023442</v>
      </c>
      <c r="E375" s="235">
        <v>115820918.2</v>
      </c>
    </row>
    <row r="376" spans="1:5" ht="27" customHeight="1" outlineLevel="1" x14ac:dyDescent="0.25">
      <c r="A376" s="234" t="s">
        <v>1913</v>
      </c>
      <c r="B376" s="234" t="s">
        <v>1674</v>
      </c>
      <c r="C376" s="235">
        <v>65000000</v>
      </c>
      <c r="D376" s="235">
        <v>50000000</v>
      </c>
      <c r="E376" s="235">
        <v>15000000</v>
      </c>
    </row>
    <row r="377" spans="1:5" ht="14.25" customHeight="1" outlineLevel="1" x14ac:dyDescent="0.25">
      <c r="A377" s="234" t="s">
        <v>1914</v>
      </c>
      <c r="B377" s="234" t="s">
        <v>1766</v>
      </c>
      <c r="C377" s="235">
        <v>8000000</v>
      </c>
      <c r="D377" s="235">
        <v>0</v>
      </c>
      <c r="E377" s="235">
        <v>8000000</v>
      </c>
    </row>
    <row r="378" spans="1:5" ht="18" customHeight="1" outlineLevel="1" x14ac:dyDescent="0.25">
      <c r="A378" s="234" t="s">
        <v>1915</v>
      </c>
      <c r="B378" s="234" t="s">
        <v>1804</v>
      </c>
      <c r="C378" s="235">
        <v>100000000</v>
      </c>
      <c r="D378" s="235">
        <v>74948950</v>
      </c>
      <c r="E378" s="235">
        <v>25051050</v>
      </c>
    </row>
    <row r="379" spans="1:5" ht="14.25" customHeight="1" outlineLevel="1" x14ac:dyDescent="0.25">
      <c r="A379" s="234" t="s">
        <v>1916</v>
      </c>
      <c r="B379" s="234" t="s">
        <v>1882</v>
      </c>
      <c r="C379" s="235">
        <v>43629599</v>
      </c>
      <c r="D379" s="235">
        <v>0</v>
      </c>
      <c r="E379" s="235">
        <v>43629599</v>
      </c>
    </row>
    <row r="380" spans="1:5" ht="14.25" customHeight="1" outlineLevel="1" x14ac:dyDescent="0.25">
      <c r="A380" s="234" t="s">
        <v>1917</v>
      </c>
      <c r="B380" s="234" t="s">
        <v>1918</v>
      </c>
      <c r="C380" s="235">
        <v>16797754</v>
      </c>
      <c r="D380" s="235">
        <v>0</v>
      </c>
      <c r="E380" s="235">
        <v>16797754</v>
      </c>
    </row>
    <row r="381" spans="1:5" ht="14.25" customHeight="1" outlineLevel="1" x14ac:dyDescent="0.25">
      <c r="A381" s="234" t="s">
        <v>1919</v>
      </c>
      <c r="B381" s="234" t="s">
        <v>1920</v>
      </c>
      <c r="C381" s="235">
        <v>7342515</v>
      </c>
      <c r="D381" s="235">
        <v>0</v>
      </c>
      <c r="E381" s="235">
        <v>7342515</v>
      </c>
    </row>
    <row r="382" spans="1:5" ht="27" customHeight="1" outlineLevel="1" x14ac:dyDescent="0.25">
      <c r="A382" s="234" t="s">
        <v>1921</v>
      </c>
      <c r="B382" s="234" t="s">
        <v>1521</v>
      </c>
      <c r="C382" s="235">
        <v>59074492.200000003</v>
      </c>
      <c r="D382" s="235">
        <v>59074492</v>
      </c>
      <c r="E382" s="235">
        <v>0.2</v>
      </c>
    </row>
    <row r="383" spans="1:5" ht="27" customHeight="1" outlineLevel="1" x14ac:dyDescent="0.25">
      <c r="A383" s="234">
        <v>230906</v>
      </c>
      <c r="B383" s="749" t="s">
        <v>1922</v>
      </c>
      <c r="C383" s="235">
        <v>650198579</v>
      </c>
      <c r="D383" s="235">
        <v>389197579</v>
      </c>
      <c r="E383" s="235">
        <v>261001000</v>
      </c>
    </row>
    <row r="384" spans="1:5" ht="14.25" customHeight="1" outlineLevel="1" x14ac:dyDescent="0.25">
      <c r="A384" s="234" t="s">
        <v>1923</v>
      </c>
      <c r="B384" s="234" t="s">
        <v>1674</v>
      </c>
      <c r="C384" s="235">
        <v>27800000</v>
      </c>
      <c r="D384" s="235">
        <v>0</v>
      </c>
      <c r="E384" s="235">
        <v>27800000</v>
      </c>
    </row>
    <row r="385" spans="1:5" ht="14.25" customHeight="1" outlineLevel="1" x14ac:dyDescent="0.25">
      <c r="A385" s="234" t="s">
        <v>1924</v>
      </c>
      <c r="B385" s="234" t="s">
        <v>1925</v>
      </c>
      <c r="C385" s="235">
        <v>1000</v>
      </c>
      <c r="D385" s="235">
        <v>0</v>
      </c>
      <c r="E385" s="235">
        <v>1000</v>
      </c>
    </row>
    <row r="386" spans="1:5" ht="14.25" customHeight="1" outlineLevel="1" x14ac:dyDescent="0.25">
      <c r="A386" s="234" t="s">
        <v>1926</v>
      </c>
      <c r="B386" s="234" t="s">
        <v>1878</v>
      </c>
      <c r="C386" s="235">
        <v>90200000</v>
      </c>
      <c r="D386" s="235">
        <v>0</v>
      </c>
      <c r="E386" s="235">
        <v>90200000</v>
      </c>
    </row>
    <row r="387" spans="1:5" ht="14.25" customHeight="1" outlineLevel="1" x14ac:dyDescent="0.25">
      <c r="A387" s="234" t="s">
        <v>1927</v>
      </c>
      <c r="B387" s="234" t="s">
        <v>1804</v>
      </c>
      <c r="C387" s="235">
        <v>80000000</v>
      </c>
      <c r="D387" s="235">
        <v>0</v>
      </c>
      <c r="E387" s="235">
        <v>80000000</v>
      </c>
    </row>
    <row r="388" spans="1:5" ht="14.25" customHeight="1" outlineLevel="1" x14ac:dyDescent="0.25">
      <c r="A388" s="234" t="s">
        <v>1928</v>
      </c>
      <c r="B388" s="234" t="s">
        <v>1882</v>
      </c>
      <c r="C388" s="235">
        <v>40000000</v>
      </c>
      <c r="D388" s="235">
        <v>0</v>
      </c>
      <c r="E388" s="235">
        <v>40000000</v>
      </c>
    </row>
    <row r="389" spans="1:5" ht="14.25" customHeight="1" outlineLevel="1" x14ac:dyDescent="0.25">
      <c r="A389" s="234" t="s">
        <v>1929</v>
      </c>
      <c r="B389" s="234" t="s">
        <v>1930</v>
      </c>
      <c r="C389" s="235">
        <v>22000000</v>
      </c>
      <c r="D389" s="235">
        <v>0</v>
      </c>
      <c r="E389" s="235">
        <v>22000000</v>
      </c>
    </row>
    <row r="390" spans="1:5" ht="14.25" customHeight="1" outlineLevel="1" x14ac:dyDescent="0.25">
      <c r="A390" s="234" t="s">
        <v>1931</v>
      </c>
      <c r="B390" s="234" t="s">
        <v>1806</v>
      </c>
      <c r="C390" s="235">
        <v>389197579</v>
      </c>
      <c r="D390" s="235">
        <v>389197579</v>
      </c>
      <c r="E390" s="235">
        <v>0</v>
      </c>
    </row>
    <row r="391" spans="1:5" ht="14.25" customHeight="1" outlineLevel="1" x14ac:dyDescent="0.25">
      <c r="A391" s="234" t="s">
        <v>1932</v>
      </c>
      <c r="B391" s="234" t="s">
        <v>1933</v>
      </c>
      <c r="C391" s="235">
        <v>1000000</v>
      </c>
      <c r="D391" s="235">
        <v>0</v>
      </c>
      <c r="E391" s="235">
        <v>1000000</v>
      </c>
    </row>
    <row r="392" spans="1:5" ht="31.5" customHeight="1" outlineLevel="1" x14ac:dyDescent="0.25">
      <c r="A392" s="234">
        <v>230907</v>
      </c>
      <c r="B392" s="749" t="s">
        <v>1934</v>
      </c>
      <c r="C392" s="235">
        <v>0</v>
      </c>
      <c r="D392" s="235">
        <v>0</v>
      </c>
      <c r="E392" s="235">
        <v>0</v>
      </c>
    </row>
    <row r="393" spans="1:5" ht="14.25" customHeight="1" outlineLevel="1" x14ac:dyDescent="0.25">
      <c r="A393" s="234" t="s">
        <v>1935</v>
      </c>
      <c r="B393" s="234" t="s">
        <v>1804</v>
      </c>
      <c r="C393" s="235">
        <v>0</v>
      </c>
      <c r="D393" s="235">
        <v>0</v>
      </c>
      <c r="E393" s="235">
        <v>0</v>
      </c>
    </row>
    <row r="394" spans="1:5" ht="14.25" customHeight="1" outlineLevel="1" x14ac:dyDescent="0.25">
      <c r="A394" s="234">
        <v>230908</v>
      </c>
      <c r="B394" s="749" t="s">
        <v>1936</v>
      </c>
      <c r="C394" s="235">
        <v>135288113</v>
      </c>
      <c r="D394" s="235">
        <v>135288113</v>
      </c>
      <c r="E394" s="235">
        <v>0</v>
      </c>
    </row>
    <row r="395" spans="1:5" ht="14.25" customHeight="1" outlineLevel="1" x14ac:dyDescent="0.25">
      <c r="A395" s="234" t="s">
        <v>1937</v>
      </c>
      <c r="B395" s="234" t="s">
        <v>1521</v>
      </c>
      <c r="C395" s="235">
        <v>135288113</v>
      </c>
      <c r="D395" s="235">
        <v>135288113</v>
      </c>
      <c r="E395" s="235">
        <v>0</v>
      </c>
    </row>
    <row r="396" spans="1:5" ht="14.25" customHeight="1" outlineLevel="1" x14ac:dyDescent="0.25">
      <c r="A396" s="234">
        <v>230910</v>
      </c>
      <c r="B396" s="749" t="s">
        <v>1938</v>
      </c>
      <c r="C396" s="235">
        <v>20000000</v>
      </c>
      <c r="D396" s="235">
        <v>13800000</v>
      </c>
      <c r="E396" s="235">
        <v>6200000</v>
      </c>
    </row>
    <row r="397" spans="1:5" ht="14.25" customHeight="1" outlineLevel="1" x14ac:dyDescent="0.25">
      <c r="A397" s="234" t="s">
        <v>1939</v>
      </c>
      <c r="B397" s="234" t="s">
        <v>1876</v>
      </c>
      <c r="C397" s="235">
        <v>20000000</v>
      </c>
      <c r="D397" s="235">
        <v>13800000</v>
      </c>
      <c r="E397" s="235">
        <v>6200000</v>
      </c>
    </row>
    <row r="399" spans="1:5" ht="33.75" customHeight="1" outlineLevel="1" x14ac:dyDescent="0.25">
      <c r="A399" s="234">
        <v>230912</v>
      </c>
      <c r="B399" s="749" t="s">
        <v>1940</v>
      </c>
      <c r="C399" s="235">
        <v>5000000</v>
      </c>
      <c r="D399" s="235">
        <v>0</v>
      </c>
      <c r="E399" s="235">
        <v>5000000</v>
      </c>
    </row>
    <row r="400" spans="1:5" ht="14.25" customHeight="1" outlineLevel="1" x14ac:dyDescent="0.25">
      <c r="A400" s="234" t="s">
        <v>1941</v>
      </c>
      <c r="B400" s="234" t="s">
        <v>1804</v>
      </c>
      <c r="C400" s="235">
        <v>5000000</v>
      </c>
      <c r="D400" s="235">
        <v>0</v>
      </c>
      <c r="E400" s="235">
        <v>5000000</v>
      </c>
    </row>
    <row r="401" spans="1:5" ht="18" customHeight="1" outlineLevel="1" x14ac:dyDescent="0.25">
      <c r="A401" s="234">
        <v>230916</v>
      </c>
      <c r="B401" s="234" t="s">
        <v>1942</v>
      </c>
      <c r="C401" s="235">
        <v>272752652</v>
      </c>
      <c r="D401" s="235">
        <v>272752652</v>
      </c>
      <c r="E401" s="235">
        <v>0</v>
      </c>
    </row>
    <row r="402" spans="1:5" ht="14.25" customHeight="1" outlineLevel="1" x14ac:dyDescent="0.25">
      <c r="A402" s="234" t="s">
        <v>1943</v>
      </c>
      <c r="B402" s="234" t="s">
        <v>1944</v>
      </c>
      <c r="C402" s="235">
        <v>260000000</v>
      </c>
      <c r="D402" s="235">
        <v>260000000</v>
      </c>
      <c r="E402" s="235">
        <v>0</v>
      </c>
    </row>
    <row r="403" spans="1:5" ht="14.25" customHeight="1" outlineLevel="1" x14ac:dyDescent="0.25">
      <c r="A403" s="234" t="s">
        <v>1945</v>
      </c>
      <c r="B403" s="234" t="s">
        <v>1946</v>
      </c>
      <c r="C403" s="235">
        <v>12752652</v>
      </c>
      <c r="D403" s="235">
        <v>12752652</v>
      </c>
      <c r="E403" s="235">
        <v>0</v>
      </c>
    </row>
    <row r="404" spans="1:5" ht="27" customHeight="1" outlineLevel="1" x14ac:dyDescent="0.25">
      <c r="A404" s="236">
        <v>2310</v>
      </c>
      <c r="B404" s="236" t="s">
        <v>1350</v>
      </c>
      <c r="C404" s="237">
        <v>250385695</v>
      </c>
      <c r="D404" s="237">
        <v>37670000</v>
      </c>
      <c r="E404" s="237">
        <v>212715695</v>
      </c>
    </row>
    <row r="405" spans="1:5" ht="27" customHeight="1" outlineLevel="1" x14ac:dyDescent="0.25">
      <c r="A405" s="234">
        <v>231001</v>
      </c>
      <c r="B405" s="234" t="s">
        <v>1947</v>
      </c>
      <c r="C405" s="235">
        <v>11000000</v>
      </c>
      <c r="D405" s="235">
        <v>0</v>
      </c>
      <c r="E405" s="235">
        <v>11000000</v>
      </c>
    </row>
    <row r="406" spans="1:5" ht="14.25" customHeight="1" outlineLevel="1" x14ac:dyDescent="0.25">
      <c r="A406" s="234" t="s">
        <v>1948</v>
      </c>
      <c r="B406" s="234" t="s">
        <v>1949</v>
      </c>
      <c r="C406" s="235">
        <v>6000000</v>
      </c>
      <c r="D406" s="235">
        <v>0</v>
      </c>
      <c r="E406" s="235">
        <v>6000000</v>
      </c>
    </row>
    <row r="407" spans="1:5" ht="14.25" customHeight="1" outlineLevel="1" x14ac:dyDescent="0.25">
      <c r="A407" s="234" t="s">
        <v>1950</v>
      </c>
      <c r="B407" s="234" t="s">
        <v>1951</v>
      </c>
      <c r="C407" s="235">
        <v>5000000</v>
      </c>
      <c r="D407" s="235">
        <v>0</v>
      </c>
      <c r="E407" s="235">
        <v>5000000</v>
      </c>
    </row>
    <row r="408" spans="1:5" ht="18" customHeight="1" outlineLevel="1" x14ac:dyDescent="0.25">
      <c r="A408" s="234">
        <v>231002</v>
      </c>
      <c r="B408" s="234" t="s">
        <v>1952</v>
      </c>
      <c r="C408" s="235">
        <v>12929758</v>
      </c>
      <c r="D408" s="235">
        <v>0</v>
      </c>
      <c r="E408" s="235">
        <v>12929758</v>
      </c>
    </row>
    <row r="409" spans="1:5" ht="14.25" customHeight="1" outlineLevel="1" x14ac:dyDescent="0.25">
      <c r="A409" s="234" t="s">
        <v>1953</v>
      </c>
      <c r="B409" s="234" t="s">
        <v>1949</v>
      </c>
      <c r="C409" s="235">
        <v>9000000</v>
      </c>
      <c r="D409" s="235">
        <v>0</v>
      </c>
      <c r="E409" s="235">
        <v>9000000</v>
      </c>
    </row>
    <row r="410" spans="1:5" ht="14.25" customHeight="1" outlineLevel="1" x14ac:dyDescent="0.25">
      <c r="A410" s="234" t="s">
        <v>1954</v>
      </c>
      <c r="B410" s="234" t="s">
        <v>1951</v>
      </c>
      <c r="C410" s="235">
        <v>3929758</v>
      </c>
      <c r="D410" s="235">
        <v>0</v>
      </c>
      <c r="E410" s="235">
        <v>3929758</v>
      </c>
    </row>
    <row r="411" spans="1:5" ht="27" customHeight="1" outlineLevel="1" x14ac:dyDescent="0.25">
      <c r="A411" s="234">
        <v>231004</v>
      </c>
      <c r="B411" s="234" t="s">
        <v>1955</v>
      </c>
      <c r="C411" s="235">
        <v>15100000</v>
      </c>
      <c r="D411" s="235">
        <v>8500000</v>
      </c>
      <c r="E411" s="235">
        <v>6600000</v>
      </c>
    </row>
    <row r="412" spans="1:5" ht="14.25" customHeight="1" outlineLevel="1" x14ac:dyDescent="0.25">
      <c r="A412" s="234" t="s">
        <v>1956</v>
      </c>
      <c r="B412" s="234" t="s">
        <v>1674</v>
      </c>
      <c r="C412" s="235">
        <v>5100000</v>
      </c>
      <c r="D412" s="235">
        <v>0</v>
      </c>
      <c r="E412" s="235">
        <v>5100000</v>
      </c>
    </row>
    <row r="413" spans="1:5" ht="14.25" customHeight="1" outlineLevel="1" x14ac:dyDescent="0.25">
      <c r="A413" s="234" t="s">
        <v>1957</v>
      </c>
      <c r="B413" s="234" t="s">
        <v>1949</v>
      </c>
      <c r="C413" s="235">
        <v>10000000</v>
      </c>
      <c r="D413" s="235">
        <v>8500000</v>
      </c>
      <c r="E413" s="235">
        <v>1500000</v>
      </c>
    </row>
    <row r="414" spans="1:5" ht="38.25" customHeight="1" outlineLevel="1" x14ac:dyDescent="0.25">
      <c r="A414" s="234">
        <v>231005</v>
      </c>
      <c r="B414" s="234" t="s">
        <v>1958</v>
      </c>
      <c r="C414" s="235">
        <v>23100000</v>
      </c>
      <c r="D414" s="235">
        <v>6800000</v>
      </c>
      <c r="E414" s="235">
        <v>16300000</v>
      </c>
    </row>
    <row r="415" spans="1:5" ht="14.25" customHeight="1" outlineLevel="1" x14ac:dyDescent="0.25">
      <c r="A415" s="234" t="s">
        <v>1959</v>
      </c>
      <c r="B415" s="234" t="s">
        <v>1674</v>
      </c>
      <c r="C415" s="235">
        <v>5100000</v>
      </c>
      <c r="D415" s="235">
        <v>0</v>
      </c>
      <c r="E415" s="235">
        <v>5100000</v>
      </c>
    </row>
    <row r="416" spans="1:5" ht="14.25" customHeight="1" outlineLevel="1" x14ac:dyDescent="0.25">
      <c r="A416" s="234" t="s">
        <v>1960</v>
      </c>
      <c r="B416" s="234" t="s">
        <v>1949</v>
      </c>
      <c r="C416" s="235">
        <v>8000000</v>
      </c>
      <c r="D416" s="235">
        <v>0</v>
      </c>
      <c r="E416" s="235">
        <v>8000000</v>
      </c>
    </row>
    <row r="417" spans="1:5" ht="14.25" customHeight="1" outlineLevel="1" x14ac:dyDescent="0.25">
      <c r="A417" s="234" t="s">
        <v>1961</v>
      </c>
      <c r="B417" s="234" t="s">
        <v>1951</v>
      </c>
      <c r="C417" s="235">
        <v>10000000</v>
      </c>
      <c r="D417" s="235">
        <v>6800000</v>
      </c>
      <c r="E417" s="235">
        <v>3200000</v>
      </c>
    </row>
    <row r="418" spans="1:5" ht="14.25" customHeight="1" outlineLevel="1" x14ac:dyDescent="0.25">
      <c r="A418" s="234">
        <v>231006</v>
      </c>
      <c r="B418" s="234" t="s">
        <v>1962</v>
      </c>
      <c r="C418" s="235">
        <v>10000000</v>
      </c>
      <c r="D418" s="235">
        <v>0</v>
      </c>
      <c r="E418" s="235">
        <v>10000000</v>
      </c>
    </row>
    <row r="419" spans="1:5" ht="14.25" customHeight="1" outlineLevel="1" x14ac:dyDescent="0.25">
      <c r="A419" s="234">
        <v>23100601</v>
      </c>
      <c r="B419" s="234" t="s">
        <v>1963</v>
      </c>
      <c r="C419" s="235">
        <v>10000000</v>
      </c>
      <c r="D419" s="235">
        <v>0</v>
      </c>
      <c r="E419" s="235">
        <v>10000000</v>
      </c>
    </row>
    <row r="420" spans="1:5" ht="14.25" customHeight="1" outlineLevel="1" x14ac:dyDescent="0.25">
      <c r="A420" s="234" t="s">
        <v>1964</v>
      </c>
      <c r="B420" s="234" t="s">
        <v>1965</v>
      </c>
      <c r="C420" s="235">
        <v>10000000</v>
      </c>
      <c r="D420" s="235">
        <v>0</v>
      </c>
      <c r="E420" s="235">
        <v>10000000</v>
      </c>
    </row>
    <row r="421" spans="1:5" ht="27" customHeight="1" outlineLevel="1" x14ac:dyDescent="0.25">
      <c r="A421" s="234">
        <v>231008</v>
      </c>
      <c r="B421" s="234" t="s">
        <v>1966</v>
      </c>
      <c r="C421" s="235">
        <v>35000000</v>
      </c>
      <c r="D421" s="235">
        <v>22370000</v>
      </c>
      <c r="E421" s="235">
        <v>12630000</v>
      </c>
    </row>
    <row r="422" spans="1:5" ht="27" customHeight="1" outlineLevel="1" x14ac:dyDescent="0.25">
      <c r="A422" s="234" t="s">
        <v>1967</v>
      </c>
      <c r="B422" s="234" t="s">
        <v>1949</v>
      </c>
      <c r="C422" s="235">
        <v>35000000</v>
      </c>
      <c r="D422" s="235">
        <v>22370000</v>
      </c>
      <c r="E422" s="235">
        <v>12630000</v>
      </c>
    </row>
    <row r="423" spans="1:5" ht="18" customHeight="1" outlineLevel="1" x14ac:dyDescent="0.25">
      <c r="A423" s="234">
        <v>231009</v>
      </c>
      <c r="B423" s="234" t="s">
        <v>1968</v>
      </c>
      <c r="C423" s="235">
        <v>138255937</v>
      </c>
      <c r="D423" s="235">
        <v>0</v>
      </c>
      <c r="E423" s="235">
        <v>138255937</v>
      </c>
    </row>
    <row r="424" spans="1:5" ht="14.25" customHeight="1" outlineLevel="1" x14ac:dyDescent="0.25">
      <c r="A424" s="234" t="s">
        <v>1969</v>
      </c>
      <c r="B424" s="234" t="s">
        <v>1674</v>
      </c>
      <c r="C424" s="235">
        <v>26715020</v>
      </c>
      <c r="D424" s="235">
        <v>0</v>
      </c>
      <c r="E424" s="235">
        <v>26715020</v>
      </c>
    </row>
    <row r="425" spans="1:5" ht="14.25" customHeight="1" outlineLevel="1" x14ac:dyDescent="0.25">
      <c r="A425" s="234" t="s">
        <v>1970</v>
      </c>
      <c r="B425" s="234" t="s">
        <v>1876</v>
      </c>
      <c r="C425" s="235">
        <v>19600100</v>
      </c>
      <c r="D425" s="235">
        <v>0</v>
      </c>
      <c r="E425" s="235">
        <v>19600100</v>
      </c>
    </row>
    <row r="426" spans="1:5" ht="14.25" customHeight="1" outlineLevel="1" x14ac:dyDescent="0.25">
      <c r="A426" s="234" t="s">
        <v>1971</v>
      </c>
      <c r="B426" s="234" t="s">
        <v>1965</v>
      </c>
      <c r="C426" s="235">
        <v>2190200</v>
      </c>
      <c r="D426" s="235">
        <v>0</v>
      </c>
      <c r="E426" s="235">
        <v>2190200</v>
      </c>
    </row>
    <row r="427" spans="1:5" ht="14.25" customHeight="1" outlineLevel="1" x14ac:dyDescent="0.25">
      <c r="A427" s="234" t="s">
        <v>1972</v>
      </c>
      <c r="B427" s="234" t="s">
        <v>1766</v>
      </c>
      <c r="C427" s="235">
        <v>25795010</v>
      </c>
      <c r="D427" s="235">
        <v>0</v>
      </c>
      <c r="E427" s="235">
        <v>25795010</v>
      </c>
    </row>
    <row r="428" spans="1:5" ht="14.25" customHeight="1" outlineLevel="1" x14ac:dyDescent="0.25">
      <c r="A428" s="234" t="s">
        <v>1973</v>
      </c>
      <c r="B428" s="234" t="s">
        <v>1949</v>
      </c>
      <c r="C428" s="235">
        <v>40000000</v>
      </c>
      <c r="D428" s="235">
        <v>0</v>
      </c>
      <c r="E428" s="235">
        <v>40000000</v>
      </c>
    </row>
    <row r="429" spans="1:5" ht="14.25" customHeight="1" outlineLevel="1" x14ac:dyDescent="0.25">
      <c r="A429" s="234" t="s">
        <v>1974</v>
      </c>
      <c r="B429" s="234" t="s">
        <v>1951</v>
      </c>
      <c r="C429" s="235">
        <v>10000000</v>
      </c>
      <c r="D429" s="235">
        <v>0</v>
      </c>
      <c r="E429" s="235">
        <v>10000000</v>
      </c>
    </row>
    <row r="430" spans="1:5" ht="14.25" customHeight="1" outlineLevel="1" x14ac:dyDescent="0.25">
      <c r="A430" s="234" t="s">
        <v>1975</v>
      </c>
      <c r="B430" s="234" t="s">
        <v>1878</v>
      </c>
      <c r="C430" s="235">
        <v>12914620</v>
      </c>
      <c r="D430" s="235">
        <v>0</v>
      </c>
      <c r="E430" s="235">
        <v>12914620</v>
      </c>
    </row>
    <row r="431" spans="1:5" ht="14.25" customHeight="1" outlineLevel="1" x14ac:dyDescent="0.25">
      <c r="A431" s="234" t="s">
        <v>1976</v>
      </c>
      <c r="B431" s="234" t="s">
        <v>1977</v>
      </c>
      <c r="C431" s="235">
        <v>1040987</v>
      </c>
      <c r="D431" s="235">
        <v>0</v>
      </c>
      <c r="E431" s="235">
        <v>1040987</v>
      </c>
    </row>
    <row r="432" spans="1:5" ht="14.25" customHeight="1" outlineLevel="1" x14ac:dyDescent="0.25">
      <c r="A432" s="234">
        <v>231014</v>
      </c>
      <c r="B432" s="234" t="s">
        <v>1978</v>
      </c>
      <c r="C432" s="235">
        <v>5000000</v>
      </c>
      <c r="D432" s="235">
        <v>0</v>
      </c>
      <c r="E432" s="235">
        <v>5000000</v>
      </c>
    </row>
    <row r="433" spans="1:6" ht="14.25" customHeight="1" outlineLevel="1" x14ac:dyDescent="0.25">
      <c r="A433" s="234" t="s">
        <v>1979</v>
      </c>
      <c r="B433" s="234" t="s">
        <v>1674</v>
      </c>
      <c r="C433" s="235">
        <v>5000000</v>
      </c>
      <c r="D433" s="235">
        <v>0</v>
      </c>
      <c r="E433" s="235">
        <v>5000000</v>
      </c>
    </row>
    <row r="434" spans="1:6" ht="14.25" customHeight="1" outlineLevel="1" x14ac:dyDescent="0.25">
      <c r="A434" s="236">
        <v>2311</v>
      </c>
      <c r="B434" s="236" t="s">
        <v>1980</v>
      </c>
      <c r="C434" s="237">
        <v>10000000</v>
      </c>
      <c r="D434" s="237">
        <v>0</v>
      </c>
      <c r="E434" s="237">
        <v>10000000</v>
      </c>
      <c r="F434" s="282">
        <f>D434/C434</f>
        <v>0</v>
      </c>
    </row>
    <row r="435" spans="1:6" ht="18" customHeight="1" outlineLevel="1" x14ac:dyDescent="0.25">
      <c r="A435" s="234">
        <v>231103</v>
      </c>
      <c r="B435" s="234" t="s">
        <v>1981</v>
      </c>
      <c r="C435" s="235">
        <v>10000000</v>
      </c>
      <c r="D435" s="235">
        <v>0</v>
      </c>
      <c r="E435" s="235">
        <v>10000000</v>
      </c>
    </row>
    <row r="436" spans="1:6" ht="14.25" customHeight="1" outlineLevel="1" x14ac:dyDescent="0.25">
      <c r="A436" s="234" t="s">
        <v>1982</v>
      </c>
      <c r="B436" s="234" t="s">
        <v>1878</v>
      </c>
      <c r="C436" s="235">
        <v>10000000</v>
      </c>
      <c r="D436" s="235">
        <v>0</v>
      </c>
      <c r="E436" s="235">
        <v>10000000</v>
      </c>
    </row>
    <row r="438" spans="1:6" ht="27" customHeight="1" outlineLevel="1" x14ac:dyDescent="0.25">
      <c r="A438" s="236">
        <v>2312</v>
      </c>
      <c r="B438" s="236" t="s">
        <v>1983</v>
      </c>
      <c r="C438" s="237">
        <v>222083329</v>
      </c>
      <c r="D438" s="237">
        <v>139133000</v>
      </c>
      <c r="E438" s="237">
        <v>82950329</v>
      </c>
      <c r="F438" s="282">
        <f>D438/C438</f>
        <v>0.62649006850937472</v>
      </c>
    </row>
    <row r="439" spans="1:6" ht="14.25" customHeight="1" outlineLevel="1" x14ac:dyDescent="0.25">
      <c r="A439" s="234">
        <v>231202</v>
      </c>
      <c r="B439" s="749" t="s">
        <v>1825</v>
      </c>
      <c r="C439" s="235">
        <v>6538766</v>
      </c>
      <c r="D439" s="235">
        <v>0</v>
      </c>
      <c r="E439" s="235">
        <v>6538766</v>
      </c>
    </row>
    <row r="440" spans="1:6" ht="14.25" customHeight="1" outlineLevel="1" x14ac:dyDescent="0.25">
      <c r="A440" s="234" t="s">
        <v>1984</v>
      </c>
      <c r="B440" s="234" t="s">
        <v>1876</v>
      </c>
      <c r="C440" s="235">
        <v>6538766</v>
      </c>
      <c r="D440" s="235">
        <v>0</v>
      </c>
      <c r="E440" s="235">
        <v>6538766</v>
      </c>
    </row>
    <row r="441" spans="1:6" ht="30.75" customHeight="1" outlineLevel="1" x14ac:dyDescent="0.25">
      <c r="A441" s="234">
        <v>231204</v>
      </c>
      <c r="B441" s="749" t="s">
        <v>1985</v>
      </c>
      <c r="C441" s="235">
        <v>5261640</v>
      </c>
      <c r="D441" s="235">
        <v>0</v>
      </c>
      <c r="E441" s="235">
        <v>5261640</v>
      </c>
    </row>
    <row r="442" spans="1:6" ht="27" customHeight="1" outlineLevel="1" x14ac:dyDescent="0.25">
      <c r="A442" s="234">
        <v>23120402</v>
      </c>
      <c r="B442" s="749" t="s">
        <v>1986</v>
      </c>
      <c r="C442" s="235">
        <v>5261640</v>
      </c>
      <c r="D442" s="235">
        <v>0</v>
      </c>
      <c r="E442" s="235">
        <v>5261640</v>
      </c>
    </row>
    <row r="443" spans="1:6" ht="14.25" customHeight="1" outlineLevel="1" x14ac:dyDescent="0.25">
      <c r="A443" s="234" t="s">
        <v>1987</v>
      </c>
      <c r="B443" s="234" t="s">
        <v>1804</v>
      </c>
      <c r="C443" s="235">
        <v>5261640</v>
      </c>
      <c r="D443" s="235">
        <v>0</v>
      </c>
      <c r="E443" s="235">
        <v>5261640</v>
      </c>
    </row>
    <row r="444" spans="1:6" ht="14.25" customHeight="1" outlineLevel="1" x14ac:dyDescent="0.25">
      <c r="A444" s="234">
        <v>231206</v>
      </c>
      <c r="B444" s="234" t="s">
        <v>1988</v>
      </c>
      <c r="C444" s="235">
        <v>5000000</v>
      </c>
      <c r="D444" s="235">
        <v>1500000</v>
      </c>
      <c r="E444" s="235">
        <v>3500000</v>
      </c>
    </row>
    <row r="445" spans="1:6" ht="31.5" customHeight="1" outlineLevel="1" x14ac:dyDescent="0.25">
      <c r="A445" s="234">
        <v>23120602</v>
      </c>
      <c r="B445" s="749" t="s">
        <v>1989</v>
      </c>
      <c r="C445" s="235">
        <v>5000000</v>
      </c>
      <c r="D445" s="235">
        <v>1500000</v>
      </c>
      <c r="E445" s="235">
        <v>3500000</v>
      </c>
    </row>
    <row r="446" spans="1:6" ht="14.25" customHeight="1" outlineLevel="1" x14ac:dyDescent="0.25">
      <c r="A446" s="234" t="s">
        <v>1990</v>
      </c>
      <c r="B446" s="234" t="s">
        <v>1674</v>
      </c>
      <c r="C446" s="235">
        <v>5000000</v>
      </c>
      <c r="D446" s="235">
        <v>1500000</v>
      </c>
      <c r="E446" s="235">
        <v>3500000</v>
      </c>
    </row>
    <row r="447" spans="1:6" ht="56.25" customHeight="1" outlineLevel="1" x14ac:dyDescent="0.25">
      <c r="A447" s="234">
        <v>231209</v>
      </c>
      <c r="B447" s="749" t="s">
        <v>1991</v>
      </c>
      <c r="C447" s="235">
        <v>5000000</v>
      </c>
      <c r="D447" s="235">
        <v>0</v>
      </c>
      <c r="E447" s="235">
        <v>5000000</v>
      </c>
    </row>
    <row r="448" spans="1:6" ht="14.25" customHeight="1" outlineLevel="1" x14ac:dyDescent="0.25">
      <c r="A448" s="234" t="s">
        <v>1992</v>
      </c>
      <c r="B448" s="234" t="s">
        <v>1804</v>
      </c>
      <c r="C448" s="235">
        <v>5000000</v>
      </c>
      <c r="D448" s="235">
        <v>0</v>
      </c>
      <c r="E448" s="235">
        <v>5000000</v>
      </c>
    </row>
    <row r="449" spans="1:5" ht="42.75" customHeight="1" outlineLevel="1" x14ac:dyDescent="0.25">
      <c r="A449" s="234">
        <v>231211</v>
      </c>
      <c r="B449" s="749" t="s">
        <v>1993</v>
      </c>
      <c r="C449" s="235">
        <v>15000000</v>
      </c>
      <c r="D449" s="235">
        <v>0</v>
      </c>
      <c r="E449" s="235">
        <v>15000000</v>
      </c>
    </row>
    <row r="450" spans="1:5" ht="14.25" customHeight="1" outlineLevel="1" x14ac:dyDescent="0.25">
      <c r="A450" s="234" t="s">
        <v>1994</v>
      </c>
      <c r="B450" s="234" t="s">
        <v>1804</v>
      </c>
      <c r="C450" s="235">
        <v>15000000</v>
      </c>
      <c r="D450" s="235">
        <v>0</v>
      </c>
      <c r="E450" s="235">
        <v>15000000</v>
      </c>
    </row>
    <row r="451" spans="1:5" ht="27" customHeight="1" outlineLevel="1" x14ac:dyDescent="0.25">
      <c r="A451" s="234">
        <v>231212</v>
      </c>
      <c r="B451" s="234" t="s">
        <v>1995</v>
      </c>
      <c r="C451" s="235">
        <v>159216036</v>
      </c>
      <c r="D451" s="235">
        <v>120000000</v>
      </c>
      <c r="E451" s="235">
        <v>39216036</v>
      </c>
    </row>
    <row r="452" spans="1:5" ht="27" customHeight="1" outlineLevel="1" x14ac:dyDescent="0.25">
      <c r="A452" s="234" t="s">
        <v>1996</v>
      </c>
      <c r="B452" s="234" t="s">
        <v>1876</v>
      </c>
      <c r="C452" s="235">
        <v>145000000</v>
      </c>
      <c r="D452" s="235">
        <v>120000000</v>
      </c>
      <c r="E452" s="235">
        <v>25000000</v>
      </c>
    </row>
    <row r="453" spans="1:5" ht="14.25" customHeight="1" outlineLevel="1" x14ac:dyDescent="0.25">
      <c r="A453" s="234" t="s">
        <v>1997</v>
      </c>
      <c r="B453" s="234" t="s">
        <v>1998</v>
      </c>
      <c r="C453" s="235">
        <v>14216036</v>
      </c>
      <c r="D453" s="235">
        <v>0</v>
      </c>
      <c r="E453" s="235">
        <v>14216036</v>
      </c>
    </row>
    <row r="454" spans="1:5" ht="27" customHeight="1" outlineLevel="1" x14ac:dyDescent="0.25">
      <c r="A454" s="234">
        <v>231218</v>
      </c>
      <c r="B454" s="234" t="s">
        <v>1999</v>
      </c>
      <c r="C454" s="235">
        <v>26066887</v>
      </c>
      <c r="D454" s="235">
        <v>17633000</v>
      </c>
      <c r="E454" s="235">
        <v>8433887</v>
      </c>
    </row>
    <row r="455" spans="1:5" ht="27" customHeight="1" outlineLevel="1" x14ac:dyDescent="0.25">
      <c r="A455" s="234">
        <v>23121801</v>
      </c>
      <c r="B455" s="749" t="s">
        <v>2000</v>
      </c>
      <c r="C455" s="235">
        <v>17566887</v>
      </c>
      <c r="D455" s="235">
        <v>14133000</v>
      </c>
      <c r="E455" s="235">
        <v>3433887</v>
      </c>
    </row>
    <row r="456" spans="1:5" ht="27" customHeight="1" outlineLevel="1" x14ac:dyDescent="0.25">
      <c r="A456" s="234" t="s">
        <v>2001</v>
      </c>
      <c r="B456" s="234" t="s">
        <v>1674</v>
      </c>
      <c r="C456" s="235">
        <v>10579148</v>
      </c>
      <c r="D456" s="235">
        <v>8921719</v>
      </c>
      <c r="E456" s="235">
        <v>1657429</v>
      </c>
    </row>
    <row r="457" spans="1:5" ht="14.25" customHeight="1" outlineLevel="1" x14ac:dyDescent="0.25">
      <c r="A457" s="234" t="s">
        <v>2002</v>
      </c>
      <c r="B457" s="234" t="s">
        <v>1965</v>
      </c>
      <c r="C457" s="235">
        <v>867319</v>
      </c>
      <c r="D457" s="235">
        <v>0</v>
      </c>
      <c r="E457" s="235">
        <v>867319</v>
      </c>
    </row>
    <row r="458" spans="1:5" ht="14.25" customHeight="1" outlineLevel="1" x14ac:dyDescent="0.25">
      <c r="A458" s="234" t="s">
        <v>2003</v>
      </c>
      <c r="B458" s="234" t="s">
        <v>1766</v>
      </c>
      <c r="C458" s="235">
        <v>594000</v>
      </c>
      <c r="D458" s="235">
        <v>594000</v>
      </c>
      <c r="E458" s="235">
        <v>0</v>
      </c>
    </row>
    <row r="459" spans="1:5" ht="27" customHeight="1" outlineLevel="1" x14ac:dyDescent="0.25">
      <c r="A459" s="234" t="s">
        <v>2004</v>
      </c>
      <c r="B459" s="234" t="s">
        <v>1878</v>
      </c>
      <c r="C459" s="235">
        <v>5114189</v>
      </c>
      <c r="D459" s="235">
        <v>4205050</v>
      </c>
      <c r="E459" s="235">
        <v>909139</v>
      </c>
    </row>
    <row r="460" spans="1:5" ht="14.25" customHeight="1" outlineLevel="1" x14ac:dyDescent="0.25">
      <c r="A460" s="234" t="s">
        <v>2005</v>
      </c>
      <c r="B460" s="234" t="s">
        <v>1977</v>
      </c>
      <c r="C460" s="235">
        <v>412231</v>
      </c>
      <c r="D460" s="235">
        <v>412231</v>
      </c>
      <c r="E460" s="235">
        <v>0</v>
      </c>
    </row>
    <row r="461" spans="1:5" ht="24.75" customHeight="1" outlineLevel="1" x14ac:dyDescent="0.25">
      <c r="A461" s="234">
        <v>23121802</v>
      </c>
      <c r="B461" s="749" t="s">
        <v>2006</v>
      </c>
      <c r="C461" s="235">
        <v>3500000</v>
      </c>
      <c r="D461" s="235">
        <v>3500000</v>
      </c>
      <c r="E461" s="235">
        <v>0</v>
      </c>
    </row>
    <row r="462" spans="1:5" ht="14.25" customHeight="1" outlineLevel="1" x14ac:dyDescent="0.25">
      <c r="A462" s="234" t="s">
        <v>2007</v>
      </c>
      <c r="B462" s="234" t="s">
        <v>1876</v>
      </c>
      <c r="C462" s="235">
        <v>2761640</v>
      </c>
      <c r="D462" s="235">
        <v>2761640</v>
      </c>
      <c r="E462" s="235">
        <v>0</v>
      </c>
    </row>
    <row r="463" spans="1:5" ht="14.25" customHeight="1" outlineLevel="1" x14ac:dyDescent="0.25">
      <c r="A463" s="234" t="s">
        <v>2008</v>
      </c>
      <c r="B463" s="234" t="s">
        <v>1804</v>
      </c>
      <c r="C463" s="235">
        <v>738360</v>
      </c>
      <c r="D463" s="235">
        <v>738360</v>
      </c>
      <c r="E463" s="235">
        <v>0</v>
      </c>
    </row>
    <row r="464" spans="1:5" ht="14.25" customHeight="1" outlineLevel="1" x14ac:dyDescent="0.25">
      <c r="A464" s="234">
        <v>23121803</v>
      </c>
      <c r="B464" s="749" t="s">
        <v>2009</v>
      </c>
      <c r="C464" s="235">
        <v>5000000</v>
      </c>
      <c r="D464" s="235">
        <v>0</v>
      </c>
      <c r="E464" s="235">
        <v>5000000</v>
      </c>
    </row>
    <row r="465" spans="1:7" ht="14.25" customHeight="1" outlineLevel="1" x14ac:dyDescent="0.25">
      <c r="A465" s="234" t="s">
        <v>2010</v>
      </c>
      <c r="B465" s="234" t="s">
        <v>1876</v>
      </c>
      <c r="C465" s="235">
        <v>5000000</v>
      </c>
      <c r="D465" s="235">
        <v>0</v>
      </c>
      <c r="E465" s="235">
        <v>5000000</v>
      </c>
    </row>
    <row r="466" spans="1:7" ht="27" customHeight="1" outlineLevel="1" x14ac:dyDescent="0.25">
      <c r="A466" s="236">
        <v>2313</v>
      </c>
      <c r="B466" s="236" t="s">
        <v>2011</v>
      </c>
      <c r="C466" s="237">
        <v>30000000</v>
      </c>
      <c r="D466" s="237">
        <v>13600000</v>
      </c>
      <c r="E466" s="237">
        <v>16400000</v>
      </c>
      <c r="F466" s="282">
        <f>D466/C466</f>
        <v>0.45333333333333331</v>
      </c>
    </row>
    <row r="467" spans="1:7" ht="28.5" customHeight="1" outlineLevel="1" x14ac:dyDescent="0.25">
      <c r="A467" s="234">
        <v>231301</v>
      </c>
      <c r="B467" s="234" t="s">
        <v>2012</v>
      </c>
      <c r="C467" s="235">
        <v>5000000</v>
      </c>
      <c r="D467" s="235">
        <v>3600000</v>
      </c>
      <c r="E467" s="235">
        <v>1400000</v>
      </c>
    </row>
    <row r="468" spans="1:7" ht="14.25" customHeight="1" outlineLevel="1" x14ac:dyDescent="0.25">
      <c r="A468" s="234" t="s">
        <v>2013</v>
      </c>
      <c r="B468" s="234" t="s">
        <v>1804</v>
      </c>
      <c r="C468" s="235">
        <v>5000000</v>
      </c>
      <c r="D468" s="235">
        <v>3600000</v>
      </c>
      <c r="E468" s="235">
        <v>1400000</v>
      </c>
    </row>
    <row r="469" spans="1:7" ht="26.25" customHeight="1" outlineLevel="1" x14ac:dyDescent="0.25">
      <c r="A469" s="234">
        <v>231305</v>
      </c>
      <c r="B469" s="234" t="s">
        <v>2014</v>
      </c>
      <c r="C469" s="235">
        <v>5000000</v>
      </c>
      <c r="D469" s="235">
        <v>0</v>
      </c>
      <c r="E469" s="235">
        <v>5000000</v>
      </c>
    </row>
    <row r="470" spans="1:7" ht="14.25" customHeight="1" outlineLevel="1" x14ac:dyDescent="0.25">
      <c r="A470" s="234" t="s">
        <v>2015</v>
      </c>
      <c r="B470" s="234" t="s">
        <v>1674</v>
      </c>
      <c r="C470" s="235">
        <v>5000000</v>
      </c>
      <c r="D470" s="235">
        <v>0</v>
      </c>
      <c r="E470" s="235">
        <v>5000000</v>
      </c>
    </row>
    <row r="471" spans="1:7" ht="14.25" customHeight="1" outlineLevel="1" x14ac:dyDescent="0.25">
      <c r="A471" s="234">
        <v>231307</v>
      </c>
      <c r="B471" s="234" t="s">
        <v>2016</v>
      </c>
      <c r="C471" s="235">
        <v>10000000</v>
      </c>
      <c r="D471" s="235">
        <v>10000000</v>
      </c>
      <c r="E471" s="235">
        <v>0</v>
      </c>
    </row>
    <row r="472" spans="1:7" ht="14.25" customHeight="1" outlineLevel="1" x14ac:dyDescent="0.25">
      <c r="A472" s="234" t="s">
        <v>2017</v>
      </c>
      <c r="B472" s="234" t="s">
        <v>1674</v>
      </c>
      <c r="C472" s="235">
        <v>10000000</v>
      </c>
      <c r="D472" s="235">
        <v>10000000</v>
      </c>
      <c r="E472" s="235">
        <v>0</v>
      </c>
    </row>
    <row r="473" spans="1:7" ht="24.75" customHeight="1" outlineLevel="1" x14ac:dyDescent="0.25">
      <c r="A473" s="234">
        <v>231308</v>
      </c>
      <c r="B473" s="234" t="s">
        <v>2018</v>
      </c>
      <c r="C473" s="235">
        <v>10000000</v>
      </c>
      <c r="D473" s="235">
        <v>0</v>
      </c>
      <c r="E473" s="235">
        <v>10000000</v>
      </c>
    </row>
    <row r="474" spans="1:7" ht="14.25" customHeight="1" outlineLevel="1" x14ac:dyDescent="0.25">
      <c r="A474" s="234" t="s">
        <v>2019</v>
      </c>
      <c r="B474" s="234" t="s">
        <v>1674</v>
      </c>
      <c r="C474" s="235">
        <v>10000000</v>
      </c>
      <c r="D474" s="235">
        <v>0</v>
      </c>
      <c r="E474" s="235">
        <v>10000000</v>
      </c>
    </row>
    <row r="475" spans="1:7" ht="27" customHeight="1" outlineLevel="1" x14ac:dyDescent="0.25">
      <c r="A475" s="239">
        <v>2314</v>
      </c>
      <c r="B475" s="239" t="s">
        <v>2020</v>
      </c>
      <c r="C475" s="240">
        <v>970668685</v>
      </c>
      <c r="D475" s="240">
        <v>203811828</v>
      </c>
      <c r="E475" s="240">
        <v>766856857</v>
      </c>
      <c r="F475" s="282">
        <f>D475/C475</f>
        <v>0.20997054005095467</v>
      </c>
    </row>
    <row r="477" spans="1:7" ht="14.25" customHeight="1" outlineLevel="1" x14ac:dyDescent="0.25">
      <c r="A477" s="236">
        <v>231401</v>
      </c>
      <c r="B477" s="236" t="s">
        <v>2021</v>
      </c>
      <c r="C477" s="237">
        <v>598254651</v>
      </c>
      <c r="D477" s="237">
        <v>0</v>
      </c>
      <c r="E477" s="237">
        <v>598254651</v>
      </c>
      <c r="F477" s="282">
        <f>D477/C477</f>
        <v>0</v>
      </c>
      <c r="G477" s="241" t="s">
        <v>2022</v>
      </c>
    </row>
    <row r="478" spans="1:7" ht="14.25" customHeight="1" outlineLevel="1" x14ac:dyDescent="0.25">
      <c r="A478" s="234">
        <v>23140101</v>
      </c>
      <c r="B478" s="234" t="s">
        <v>2023</v>
      </c>
      <c r="C478" s="235">
        <v>367445112</v>
      </c>
      <c r="D478" s="235">
        <v>0</v>
      </c>
      <c r="E478" s="235">
        <v>367445112</v>
      </c>
      <c r="G478" s="241" t="s">
        <v>2024</v>
      </c>
    </row>
    <row r="479" spans="1:7" ht="18" customHeight="1" outlineLevel="1" x14ac:dyDescent="0.25">
      <c r="A479" s="234" t="s">
        <v>2025</v>
      </c>
      <c r="B479" s="234" t="s">
        <v>2026</v>
      </c>
      <c r="C479" s="235">
        <v>366989092</v>
      </c>
      <c r="D479" s="235">
        <v>0</v>
      </c>
      <c r="E479" s="235">
        <v>366989092</v>
      </c>
      <c r="G479" s="241" t="s">
        <v>2027</v>
      </c>
    </row>
    <row r="480" spans="1:7" ht="18" customHeight="1" outlineLevel="1" x14ac:dyDescent="0.25">
      <c r="A480" s="234" t="s">
        <v>2028</v>
      </c>
      <c r="B480" s="234" t="s">
        <v>2029</v>
      </c>
      <c r="C480" s="235">
        <v>456020</v>
      </c>
      <c r="D480" s="235">
        <v>0</v>
      </c>
      <c r="E480" s="235">
        <v>456020</v>
      </c>
    </row>
    <row r="481" spans="1:6" ht="14.25" customHeight="1" outlineLevel="1" x14ac:dyDescent="0.25">
      <c r="A481" s="234">
        <v>23140110</v>
      </c>
      <c r="B481" s="234" t="s">
        <v>2030</v>
      </c>
      <c r="C481" s="235">
        <v>230809539</v>
      </c>
      <c r="D481" s="235">
        <v>0</v>
      </c>
      <c r="E481" s="235">
        <v>230809539</v>
      </c>
    </row>
    <row r="482" spans="1:6" ht="14.25" customHeight="1" outlineLevel="1" x14ac:dyDescent="0.25">
      <c r="A482" s="234">
        <v>231401102</v>
      </c>
      <c r="B482" s="234" t="s">
        <v>2031</v>
      </c>
      <c r="C482" s="235">
        <v>104655510</v>
      </c>
      <c r="D482" s="235">
        <v>0</v>
      </c>
      <c r="E482" s="235">
        <v>104655510</v>
      </c>
    </row>
    <row r="483" spans="1:6" ht="18" customHeight="1" outlineLevel="1" x14ac:dyDescent="0.25">
      <c r="A483" s="234" t="s">
        <v>2032</v>
      </c>
      <c r="B483" s="234" t="s">
        <v>2029</v>
      </c>
      <c r="C483" s="235">
        <v>104655510</v>
      </c>
      <c r="D483" s="235">
        <v>0</v>
      </c>
      <c r="E483" s="235">
        <v>104655510</v>
      </c>
    </row>
    <row r="484" spans="1:6" ht="18" customHeight="1" outlineLevel="1" x14ac:dyDescent="0.25">
      <c r="A484" s="234">
        <v>231401103</v>
      </c>
      <c r="B484" s="234" t="s">
        <v>2033</v>
      </c>
      <c r="C484" s="235">
        <v>126154029</v>
      </c>
      <c r="D484" s="235">
        <v>0</v>
      </c>
      <c r="E484" s="235">
        <v>126154029</v>
      </c>
    </row>
    <row r="485" spans="1:6" ht="18" customHeight="1" outlineLevel="1" x14ac:dyDescent="0.25">
      <c r="A485" s="234" t="s">
        <v>2034</v>
      </c>
      <c r="B485" s="234" t="s">
        <v>2029</v>
      </c>
      <c r="C485" s="235">
        <v>126154029</v>
      </c>
      <c r="D485" s="235">
        <v>0</v>
      </c>
      <c r="E485" s="235">
        <v>126154029</v>
      </c>
    </row>
    <row r="486" spans="1:6" ht="27" customHeight="1" outlineLevel="1" x14ac:dyDescent="0.25">
      <c r="A486" s="236">
        <v>231402</v>
      </c>
      <c r="B486" s="236" t="s">
        <v>2035</v>
      </c>
      <c r="C486" s="237">
        <v>42000000</v>
      </c>
      <c r="D486" s="237">
        <v>23756800</v>
      </c>
      <c r="E486" s="237">
        <v>18243200</v>
      </c>
      <c r="F486" s="282">
        <f>D486/C486</f>
        <v>0.56563809523809527</v>
      </c>
    </row>
    <row r="487" spans="1:6" ht="27" customHeight="1" outlineLevel="1" x14ac:dyDescent="0.25">
      <c r="A487" s="234">
        <v>23140203</v>
      </c>
      <c r="B487" s="234" t="s">
        <v>2036</v>
      </c>
      <c r="C487" s="235">
        <v>17000000</v>
      </c>
      <c r="D487" s="235">
        <v>16990800</v>
      </c>
      <c r="E487" s="235">
        <v>9200</v>
      </c>
    </row>
    <row r="488" spans="1:6" ht="27" customHeight="1" outlineLevel="1" x14ac:dyDescent="0.25">
      <c r="A488" s="234" t="s">
        <v>2037</v>
      </c>
      <c r="B488" s="234" t="s">
        <v>1965</v>
      </c>
      <c r="C488" s="235">
        <v>17000000</v>
      </c>
      <c r="D488" s="235">
        <v>16990800</v>
      </c>
      <c r="E488" s="235">
        <v>9200</v>
      </c>
    </row>
    <row r="489" spans="1:6" ht="14.25" customHeight="1" outlineLevel="1" x14ac:dyDescent="0.25">
      <c r="A489" s="234">
        <v>23140204</v>
      </c>
      <c r="B489" s="234" t="s">
        <v>1539</v>
      </c>
      <c r="C489" s="235">
        <v>25000000</v>
      </c>
      <c r="D489" s="242">
        <v>6766000</v>
      </c>
      <c r="E489" s="235">
        <v>18234000</v>
      </c>
    </row>
    <row r="490" spans="1:6" ht="18" customHeight="1" outlineLevel="1" x14ac:dyDescent="0.25">
      <c r="A490" s="234">
        <v>231402041</v>
      </c>
      <c r="B490" s="234" t="s">
        <v>1607</v>
      </c>
      <c r="C490" s="235">
        <v>15000000</v>
      </c>
      <c r="D490" s="243">
        <v>3966000</v>
      </c>
      <c r="E490" s="235">
        <v>11034000</v>
      </c>
    </row>
    <row r="491" spans="1:6" ht="14.25" customHeight="1" outlineLevel="1" x14ac:dyDescent="0.25">
      <c r="A491" s="234" t="s">
        <v>2038</v>
      </c>
      <c r="B491" s="234" t="s">
        <v>1804</v>
      </c>
      <c r="C491" s="235">
        <v>15000000</v>
      </c>
      <c r="D491" s="235">
        <v>3966000</v>
      </c>
      <c r="E491" s="235">
        <v>11034000</v>
      </c>
    </row>
    <row r="492" spans="1:6" ht="18" customHeight="1" outlineLevel="1" x14ac:dyDescent="0.25">
      <c r="A492" s="234">
        <v>231402042</v>
      </c>
      <c r="B492" s="234" t="s">
        <v>2039</v>
      </c>
      <c r="C492" s="235">
        <v>6000000</v>
      </c>
      <c r="D492" s="235">
        <v>0</v>
      </c>
      <c r="E492" s="235">
        <v>6000000</v>
      </c>
    </row>
    <row r="493" spans="1:6" ht="14.25" customHeight="1" outlineLevel="1" x14ac:dyDescent="0.25">
      <c r="A493" s="234" t="s">
        <v>2040</v>
      </c>
      <c r="B493" s="234" t="s">
        <v>1804</v>
      </c>
      <c r="C493" s="235">
        <v>6000000</v>
      </c>
      <c r="D493" s="235">
        <v>0</v>
      </c>
      <c r="E493" s="235">
        <v>6000000</v>
      </c>
    </row>
    <row r="494" spans="1:6" ht="14.25" customHeight="1" outlineLevel="1" x14ac:dyDescent="0.25">
      <c r="A494" s="234">
        <v>231402043</v>
      </c>
      <c r="B494" s="234" t="s">
        <v>2041</v>
      </c>
      <c r="C494" s="235">
        <v>4000000</v>
      </c>
      <c r="D494" s="235">
        <v>2800000</v>
      </c>
      <c r="E494" s="235">
        <v>1200000</v>
      </c>
    </row>
    <row r="495" spans="1:6" ht="14.25" customHeight="1" outlineLevel="1" x14ac:dyDescent="0.25">
      <c r="A495" s="234" t="s">
        <v>2042</v>
      </c>
      <c r="B495" s="234" t="s">
        <v>1674</v>
      </c>
      <c r="C495" s="235">
        <v>4000000</v>
      </c>
      <c r="D495" s="235">
        <v>2800000</v>
      </c>
      <c r="E495" s="235">
        <v>1200000</v>
      </c>
    </row>
    <row r="496" spans="1:6" ht="27" customHeight="1" outlineLevel="1" x14ac:dyDescent="0.25">
      <c r="A496" s="236">
        <v>231403</v>
      </c>
      <c r="B496" s="236" t="s">
        <v>2043</v>
      </c>
      <c r="C496" s="237">
        <v>60257396</v>
      </c>
      <c r="D496" s="237">
        <v>54200000</v>
      </c>
      <c r="E496" s="237">
        <v>6057396</v>
      </c>
      <c r="F496" s="282">
        <f>D496/C496</f>
        <v>0.89947464706241209</v>
      </c>
    </row>
    <row r="497" spans="1:5" ht="27" customHeight="1" outlineLevel="1" x14ac:dyDescent="0.25">
      <c r="A497" s="234">
        <v>23140304</v>
      </c>
      <c r="B497" s="234" t="s">
        <v>1539</v>
      </c>
      <c r="C497" s="235">
        <v>48257396</v>
      </c>
      <c r="D497" s="235">
        <v>45200000</v>
      </c>
      <c r="E497" s="235">
        <v>3057396</v>
      </c>
    </row>
    <row r="498" spans="1:5" ht="27" customHeight="1" outlineLevel="1" x14ac:dyDescent="0.25">
      <c r="A498" s="234">
        <v>231403041</v>
      </c>
      <c r="B498" s="234" t="s">
        <v>1607</v>
      </c>
      <c r="C498" s="235">
        <v>45257396</v>
      </c>
      <c r="D498" s="242">
        <v>45200000</v>
      </c>
      <c r="E498" s="235">
        <v>57396</v>
      </c>
    </row>
    <row r="499" spans="1:5" ht="27" customHeight="1" outlineLevel="1" x14ac:dyDescent="0.25">
      <c r="A499" s="234" t="s">
        <v>2044</v>
      </c>
      <c r="B499" s="234" t="s">
        <v>1674</v>
      </c>
      <c r="C499" s="235">
        <v>6457396</v>
      </c>
      <c r="D499" s="235">
        <v>6400000</v>
      </c>
      <c r="E499" s="235">
        <v>57396</v>
      </c>
    </row>
    <row r="500" spans="1:5" ht="14.25" customHeight="1" outlineLevel="1" x14ac:dyDescent="0.25">
      <c r="A500" s="234" t="s">
        <v>2045</v>
      </c>
      <c r="B500" s="234" t="s">
        <v>1965</v>
      </c>
      <c r="C500" s="235">
        <v>18800000</v>
      </c>
      <c r="D500" s="235">
        <v>18800000</v>
      </c>
      <c r="E500" s="235">
        <v>0</v>
      </c>
    </row>
    <row r="501" spans="1:5" ht="14.25" customHeight="1" outlineLevel="1" x14ac:dyDescent="0.25">
      <c r="A501" s="234" t="s">
        <v>2046</v>
      </c>
      <c r="B501" s="234" t="s">
        <v>1766</v>
      </c>
      <c r="C501" s="235">
        <v>10000000</v>
      </c>
      <c r="D501" s="235">
        <v>10000000</v>
      </c>
      <c r="E501" s="235">
        <v>0</v>
      </c>
    </row>
    <row r="502" spans="1:5" ht="14.25" customHeight="1" outlineLevel="1" x14ac:dyDescent="0.25">
      <c r="A502" s="234" t="s">
        <v>2047</v>
      </c>
      <c r="B502" s="234" t="s">
        <v>1804</v>
      </c>
      <c r="C502" s="235">
        <v>10000000</v>
      </c>
      <c r="D502" s="235">
        <v>10000000</v>
      </c>
      <c r="E502" s="235">
        <v>0</v>
      </c>
    </row>
    <row r="503" spans="1:5" ht="18" customHeight="1" outlineLevel="1" x14ac:dyDescent="0.25">
      <c r="A503" s="234">
        <v>231403042</v>
      </c>
      <c r="B503" s="234" t="s">
        <v>2039</v>
      </c>
      <c r="C503" s="235">
        <v>3000000</v>
      </c>
      <c r="D503" s="235">
        <v>0</v>
      </c>
      <c r="E503" s="235">
        <v>3000000</v>
      </c>
    </row>
    <row r="504" spans="1:5" ht="14.25" customHeight="1" outlineLevel="1" x14ac:dyDescent="0.25">
      <c r="A504" s="234" t="s">
        <v>2048</v>
      </c>
      <c r="B504" s="234" t="s">
        <v>1965</v>
      </c>
      <c r="C504" s="235">
        <v>3000000</v>
      </c>
      <c r="D504" s="235">
        <v>0</v>
      </c>
      <c r="E504" s="235">
        <v>3000000</v>
      </c>
    </row>
    <row r="505" spans="1:5" ht="14.25" customHeight="1" outlineLevel="1" x14ac:dyDescent="0.25">
      <c r="A505" s="234">
        <v>23140305</v>
      </c>
      <c r="B505" s="234" t="s">
        <v>2049</v>
      </c>
      <c r="C505" s="235">
        <v>12000000</v>
      </c>
      <c r="D505" s="235">
        <v>9000000</v>
      </c>
      <c r="E505" s="235">
        <v>3000000</v>
      </c>
    </row>
    <row r="506" spans="1:5" ht="27" customHeight="1" outlineLevel="1" x14ac:dyDescent="0.25">
      <c r="A506" s="234" t="s">
        <v>2050</v>
      </c>
      <c r="B506" s="234" t="s">
        <v>1674</v>
      </c>
      <c r="C506" s="235">
        <v>7000000</v>
      </c>
      <c r="D506" s="235">
        <v>4000000</v>
      </c>
      <c r="E506" s="235">
        <v>3000000</v>
      </c>
    </row>
    <row r="507" spans="1:5" ht="14.25" customHeight="1" outlineLevel="1" x14ac:dyDescent="0.25">
      <c r="A507" s="234" t="s">
        <v>2051</v>
      </c>
      <c r="B507" s="234" t="s">
        <v>1804</v>
      </c>
      <c r="C507" s="235">
        <v>5000000</v>
      </c>
      <c r="D507" s="235">
        <v>5000000</v>
      </c>
      <c r="E507" s="235">
        <v>0</v>
      </c>
    </row>
    <row r="508" spans="1:5" ht="27" customHeight="1" outlineLevel="1" x14ac:dyDescent="0.25">
      <c r="A508" s="244">
        <v>231404</v>
      </c>
      <c r="B508" s="244" t="s">
        <v>2052</v>
      </c>
      <c r="C508" s="245">
        <v>85727746</v>
      </c>
      <c r="D508" s="245">
        <v>16520000</v>
      </c>
      <c r="E508" s="245">
        <v>69207746</v>
      </c>
    </row>
    <row r="509" spans="1:5" ht="27" customHeight="1" outlineLevel="1" x14ac:dyDescent="0.25">
      <c r="A509" s="234">
        <v>23140404</v>
      </c>
      <c r="B509" s="234" t="s">
        <v>1539</v>
      </c>
      <c r="C509" s="235">
        <v>85727746</v>
      </c>
      <c r="D509" s="235">
        <v>16520000</v>
      </c>
      <c r="E509" s="235">
        <v>69207746</v>
      </c>
    </row>
    <row r="510" spans="1:5" ht="18" customHeight="1" outlineLevel="1" x14ac:dyDescent="0.25">
      <c r="A510" s="234">
        <v>231404041</v>
      </c>
      <c r="B510" s="234" t="s">
        <v>1607</v>
      </c>
      <c r="C510" s="235">
        <v>28000000</v>
      </c>
      <c r="D510" s="235">
        <v>13020000</v>
      </c>
      <c r="E510" s="235">
        <v>14980000</v>
      </c>
    </row>
    <row r="511" spans="1:5" ht="14.25" customHeight="1" outlineLevel="1" x14ac:dyDescent="0.25">
      <c r="A511" s="234" t="s">
        <v>2053</v>
      </c>
      <c r="B511" s="234" t="s">
        <v>2054</v>
      </c>
      <c r="C511" s="235">
        <v>28000000</v>
      </c>
      <c r="D511" s="235">
        <v>13020000</v>
      </c>
      <c r="E511" s="235">
        <v>14980000</v>
      </c>
    </row>
    <row r="512" spans="1:5" ht="27" customHeight="1" outlineLevel="1" x14ac:dyDescent="0.25">
      <c r="A512" s="234">
        <v>231404042</v>
      </c>
      <c r="B512" s="234" t="s">
        <v>2039</v>
      </c>
      <c r="C512" s="235">
        <v>57727746</v>
      </c>
      <c r="D512" s="235">
        <v>3500000</v>
      </c>
      <c r="E512" s="235">
        <v>54227746</v>
      </c>
    </row>
    <row r="513" spans="1:5" ht="14.25" customHeight="1" outlineLevel="1" x14ac:dyDescent="0.25">
      <c r="A513" s="234" t="s">
        <v>2055</v>
      </c>
      <c r="B513" s="234" t="s">
        <v>2054</v>
      </c>
      <c r="C513" s="235">
        <v>28000000</v>
      </c>
      <c r="D513" s="235">
        <v>3500000</v>
      </c>
      <c r="E513" s="235">
        <v>24500000</v>
      </c>
    </row>
    <row r="514" spans="1:5" ht="14.25" customHeight="1" outlineLevel="1" x14ac:dyDescent="0.25">
      <c r="A514" s="234" t="s">
        <v>2056</v>
      </c>
      <c r="B514" s="234" t="s">
        <v>2057</v>
      </c>
      <c r="C514" s="235">
        <v>29727746</v>
      </c>
      <c r="D514" s="235">
        <v>0</v>
      </c>
      <c r="E514" s="235">
        <v>29727746</v>
      </c>
    </row>
    <row r="515" spans="1:5" ht="18" customHeight="1" outlineLevel="1" x14ac:dyDescent="0.25">
      <c r="A515" s="234">
        <v>231405</v>
      </c>
      <c r="B515" s="234" t="s">
        <v>2058</v>
      </c>
      <c r="C515" s="235">
        <v>9200000</v>
      </c>
      <c r="D515" s="235">
        <v>0</v>
      </c>
      <c r="E515" s="235">
        <v>9200000</v>
      </c>
    </row>
    <row r="517" spans="1:5" ht="14.25" customHeight="1" outlineLevel="1" x14ac:dyDescent="0.25">
      <c r="A517" s="234">
        <v>23140504</v>
      </c>
      <c r="B517" s="234" t="s">
        <v>1539</v>
      </c>
      <c r="C517" s="235">
        <v>9200000</v>
      </c>
      <c r="D517" s="235">
        <v>0</v>
      </c>
      <c r="E517" s="235">
        <v>9200000</v>
      </c>
    </row>
    <row r="518" spans="1:5" ht="18" customHeight="1" outlineLevel="1" x14ac:dyDescent="0.25">
      <c r="A518" s="234">
        <v>231405041</v>
      </c>
      <c r="B518" s="234" t="s">
        <v>1607</v>
      </c>
      <c r="C518" s="235">
        <v>4200000</v>
      </c>
      <c r="D518" s="235">
        <v>0</v>
      </c>
      <c r="E518" s="235">
        <v>4200000</v>
      </c>
    </row>
    <row r="519" spans="1:5" ht="14.25" customHeight="1" outlineLevel="1" x14ac:dyDescent="0.25">
      <c r="A519" s="234" t="s">
        <v>2059</v>
      </c>
      <c r="B519" s="234" t="s">
        <v>1965</v>
      </c>
      <c r="C519" s="235">
        <v>4200000</v>
      </c>
      <c r="D519" s="235">
        <v>0</v>
      </c>
      <c r="E519" s="235">
        <v>4200000</v>
      </c>
    </row>
    <row r="520" spans="1:5" ht="18" customHeight="1" outlineLevel="1" x14ac:dyDescent="0.25">
      <c r="A520" s="234">
        <v>231405042</v>
      </c>
      <c r="B520" s="234" t="s">
        <v>2039</v>
      </c>
      <c r="C520" s="235">
        <v>5000000</v>
      </c>
      <c r="D520" s="235">
        <v>0</v>
      </c>
      <c r="E520" s="235">
        <v>5000000</v>
      </c>
    </row>
    <row r="521" spans="1:5" ht="14.25" customHeight="1" outlineLevel="1" x14ac:dyDescent="0.25">
      <c r="A521" s="234" t="s">
        <v>2060</v>
      </c>
      <c r="B521" s="234" t="s">
        <v>1878</v>
      </c>
      <c r="C521" s="235">
        <v>5000000</v>
      </c>
      <c r="D521" s="235">
        <v>0</v>
      </c>
      <c r="E521" s="235">
        <v>5000000</v>
      </c>
    </row>
    <row r="522" spans="1:5" ht="18" customHeight="1" outlineLevel="1" x14ac:dyDescent="0.25">
      <c r="A522" s="234">
        <v>231406</v>
      </c>
      <c r="B522" s="234" t="s">
        <v>2061</v>
      </c>
      <c r="C522" s="235">
        <v>34864000</v>
      </c>
      <c r="D522" s="235">
        <v>34864000</v>
      </c>
      <c r="E522" s="235">
        <v>0</v>
      </c>
    </row>
    <row r="523" spans="1:5" ht="14.25" customHeight="1" outlineLevel="1" x14ac:dyDescent="0.25">
      <c r="A523" s="234">
        <v>23140601</v>
      </c>
      <c r="B523" s="234" t="s">
        <v>2062</v>
      </c>
      <c r="C523" s="235">
        <v>14864000</v>
      </c>
      <c r="D523" s="235">
        <v>14864000</v>
      </c>
      <c r="E523" s="235">
        <v>0</v>
      </c>
    </row>
    <row r="524" spans="1:5" ht="14.25" customHeight="1" outlineLevel="1" x14ac:dyDescent="0.25">
      <c r="A524" s="234" t="s">
        <v>2063</v>
      </c>
      <c r="B524" s="234" t="s">
        <v>1804</v>
      </c>
      <c r="C524" s="235">
        <v>14864000</v>
      </c>
      <c r="D524" s="235">
        <v>14864000</v>
      </c>
      <c r="E524" s="235">
        <v>0</v>
      </c>
    </row>
    <row r="525" spans="1:5" ht="14.25" customHeight="1" outlineLevel="1" x14ac:dyDescent="0.25">
      <c r="A525" s="234">
        <v>23140602</v>
      </c>
      <c r="B525" s="234" t="s">
        <v>2064</v>
      </c>
      <c r="C525" s="235">
        <v>20000000</v>
      </c>
      <c r="D525" s="235">
        <v>20000000</v>
      </c>
      <c r="E525" s="235">
        <v>0</v>
      </c>
    </row>
    <row r="526" spans="1:5" ht="14.25" customHeight="1" outlineLevel="1" x14ac:dyDescent="0.25">
      <c r="A526" s="234" t="s">
        <v>2065</v>
      </c>
      <c r="B526" s="234" t="s">
        <v>1965</v>
      </c>
      <c r="C526" s="235">
        <v>5000000</v>
      </c>
      <c r="D526" s="235">
        <v>5000000</v>
      </c>
      <c r="E526" s="235">
        <v>0</v>
      </c>
    </row>
    <row r="527" spans="1:5" ht="14.25" customHeight="1" outlineLevel="1" x14ac:dyDescent="0.25">
      <c r="A527" s="234" t="s">
        <v>2066</v>
      </c>
      <c r="B527" s="234" t="s">
        <v>1878</v>
      </c>
      <c r="C527" s="235">
        <v>15000000</v>
      </c>
      <c r="D527" s="235">
        <v>15000000</v>
      </c>
      <c r="E527" s="235">
        <v>0</v>
      </c>
    </row>
    <row r="528" spans="1:5" ht="14.25" customHeight="1" outlineLevel="1" x14ac:dyDescent="0.25">
      <c r="A528" s="234">
        <v>23140603</v>
      </c>
      <c r="B528" s="234" t="s">
        <v>2067</v>
      </c>
      <c r="C528" s="235">
        <v>0</v>
      </c>
      <c r="D528" s="235">
        <v>0</v>
      </c>
      <c r="E528" s="235">
        <v>0</v>
      </c>
    </row>
    <row r="529" spans="1:5" ht="14.25" customHeight="1" outlineLevel="1" x14ac:dyDescent="0.25">
      <c r="A529" s="234" t="s">
        <v>2068</v>
      </c>
      <c r="B529" s="234" t="s">
        <v>1965</v>
      </c>
      <c r="C529" s="235">
        <v>0</v>
      </c>
      <c r="D529" s="235">
        <v>0</v>
      </c>
      <c r="E529" s="235">
        <v>0</v>
      </c>
    </row>
    <row r="530" spans="1:5" ht="30.75" customHeight="1" outlineLevel="1" x14ac:dyDescent="0.25">
      <c r="A530" s="234">
        <v>231407</v>
      </c>
      <c r="B530" s="234" t="s">
        <v>2069</v>
      </c>
      <c r="C530" s="235">
        <v>20000000</v>
      </c>
      <c r="D530" s="235">
        <v>15000000</v>
      </c>
      <c r="E530" s="235">
        <v>5000000</v>
      </c>
    </row>
    <row r="531" spans="1:5" ht="14.25" customHeight="1" outlineLevel="1" x14ac:dyDescent="0.25">
      <c r="A531" s="234">
        <v>23140704</v>
      </c>
      <c r="B531" s="234" t="s">
        <v>1539</v>
      </c>
      <c r="C531" s="235">
        <v>20000000</v>
      </c>
      <c r="D531" s="235">
        <v>15000000</v>
      </c>
      <c r="E531" s="235">
        <v>5000000</v>
      </c>
    </row>
    <row r="532" spans="1:5" ht="27" customHeight="1" outlineLevel="1" x14ac:dyDescent="0.25">
      <c r="A532" s="234">
        <v>231407041</v>
      </c>
      <c r="B532" s="234" t="s">
        <v>1607</v>
      </c>
      <c r="C532" s="235">
        <v>15000000</v>
      </c>
      <c r="D532" s="235">
        <v>14000000</v>
      </c>
      <c r="E532" s="235">
        <v>1000000</v>
      </c>
    </row>
    <row r="533" spans="1:5" ht="27" customHeight="1" outlineLevel="1" x14ac:dyDescent="0.25">
      <c r="A533" s="234" t="s">
        <v>2070</v>
      </c>
      <c r="B533" s="234" t="s">
        <v>1965</v>
      </c>
      <c r="C533" s="235">
        <v>15000000</v>
      </c>
      <c r="D533" s="235">
        <v>14000000</v>
      </c>
      <c r="E533" s="235">
        <v>1000000</v>
      </c>
    </row>
    <row r="534" spans="1:5" ht="18" customHeight="1" outlineLevel="1" x14ac:dyDescent="0.25">
      <c r="A534" s="234">
        <v>231407042</v>
      </c>
      <c r="B534" s="234" t="s">
        <v>2039</v>
      </c>
      <c r="C534" s="235">
        <v>5000000</v>
      </c>
      <c r="D534" s="235">
        <v>1000000</v>
      </c>
      <c r="E534" s="235">
        <v>4000000</v>
      </c>
    </row>
    <row r="535" spans="1:5" ht="14.25" customHeight="1" outlineLevel="1" x14ac:dyDescent="0.25">
      <c r="A535" s="234" t="s">
        <v>2071</v>
      </c>
      <c r="B535" s="234" t="s">
        <v>1965</v>
      </c>
      <c r="C535" s="235">
        <v>5000000</v>
      </c>
      <c r="D535" s="235">
        <v>1000000</v>
      </c>
      <c r="E535" s="235">
        <v>4000000</v>
      </c>
    </row>
    <row r="536" spans="1:5" ht="14.25" customHeight="1" outlineLevel="1" x14ac:dyDescent="0.25">
      <c r="A536" s="234">
        <v>231409</v>
      </c>
      <c r="B536" s="234" t="s">
        <v>2072</v>
      </c>
      <c r="C536" s="235">
        <v>2000000</v>
      </c>
      <c r="D536" s="235">
        <v>0</v>
      </c>
      <c r="E536" s="235">
        <v>2000000</v>
      </c>
    </row>
    <row r="537" spans="1:5" ht="14.25" customHeight="1" outlineLevel="1" x14ac:dyDescent="0.25">
      <c r="A537" s="234" t="s">
        <v>2073</v>
      </c>
      <c r="B537" s="234" t="s">
        <v>1965</v>
      </c>
      <c r="C537" s="235">
        <v>2000000</v>
      </c>
      <c r="D537" s="235">
        <v>0</v>
      </c>
      <c r="E537" s="235">
        <v>2000000</v>
      </c>
    </row>
    <row r="538" spans="1:5" ht="23.25" customHeight="1" outlineLevel="1" x14ac:dyDescent="0.25">
      <c r="A538" s="234">
        <v>231410</v>
      </c>
      <c r="B538" s="234" t="s">
        <v>2074</v>
      </c>
      <c r="C538" s="235">
        <v>6000000</v>
      </c>
      <c r="D538" s="235">
        <v>0</v>
      </c>
      <c r="E538" s="235">
        <v>6000000</v>
      </c>
    </row>
    <row r="539" spans="1:5" ht="14.25" customHeight="1" outlineLevel="1" x14ac:dyDescent="0.25">
      <c r="A539" s="234" t="s">
        <v>2075</v>
      </c>
      <c r="B539" s="234" t="s">
        <v>1674</v>
      </c>
      <c r="C539" s="235">
        <v>24000</v>
      </c>
      <c r="D539" s="235">
        <v>0</v>
      </c>
      <c r="E539" s="235">
        <v>24000</v>
      </c>
    </row>
    <row r="540" spans="1:5" ht="14.25" customHeight="1" outlineLevel="1" x14ac:dyDescent="0.25">
      <c r="A540" s="234" t="s">
        <v>2076</v>
      </c>
      <c r="B540" s="234" t="s">
        <v>2077</v>
      </c>
      <c r="C540" s="235">
        <v>2000000</v>
      </c>
      <c r="D540" s="235">
        <v>0</v>
      </c>
      <c r="E540" s="235">
        <v>2000000</v>
      </c>
    </row>
    <row r="541" spans="1:5" ht="14.25" customHeight="1" outlineLevel="1" x14ac:dyDescent="0.25">
      <c r="A541" s="234" t="s">
        <v>2078</v>
      </c>
      <c r="B541" s="234" t="s">
        <v>1878</v>
      </c>
      <c r="C541" s="235">
        <v>3840000</v>
      </c>
      <c r="D541" s="235">
        <v>0</v>
      </c>
      <c r="E541" s="235">
        <v>3840000</v>
      </c>
    </row>
    <row r="542" spans="1:5" ht="14.25" customHeight="1" outlineLevel="1" x14ac:dyDescent="0.25">
      <c r="A542" s="234" t="s">
        <v>2079</v>
      </c>
      <c r="B542" s="234" t="s">
        <v>1804</v>
      </c>
      <c r="C542" s="235">
        <v>136000</v>
      </c>
      <c r="D542" s="235">
        <v>0</v>
      </c>
      <c r="E542" s="235">
        <v>136000</v>
      </c>
    </row>
    <row r="543" spans="1:5" ht="45.75" customHeight="1" outlineLevel="1" x14ac:dyDescent="0.25">
      <c r="A543" s="234">
        <v>231413</v>
      </c>
      <c r="B543" s="234" t="s">
        <v>2080</v>
      </c>
      <c r="C543" s="235">
        <v>41000000</v>
      </c>
      <c r="D543" s="235">
        <v>27104000</v>
      </c>
      <c r="E543" s="235">
        <v>13896000</v>
      </c>
    </row>
    <row r="544" spans="1:5" ht="18" customHeight="1" outlineLevel="1" x14ac:dyDescent="0.25">
      <c r="A544" s="234">
        <v>23141301</v>
      </c>
      <c r="B544" s="234" t="s">
        <v>1607</v>
      </c>
      <c r="C544" s="235">
        <v>28000000</v>
      </c>
      <c r="D544" s="235">
        <v>27104000</v>
      </c>
      <c r="E544" s="235">
        <v>896000</v>
      </c>
    </row>
    <row r="545" spans="1:6" ht="14.25" customHeight="1" outlineLevel="1" x14ac:dyDescent="0.25">
      <c r="A545" s="234" t="s">
        <v>2081</v>
      </c>
      <c r="B545" s="234" t="s">
        <v>1965</v>
      </c>
      <c r="C545" s="235">
        <v>20000000</v>
      </c>
      <c r="D545" s="235">
        <v>19104000</v>
      </c>
      <c r="E545" s="235">
        <v>896000</v>
      </c>
    </row>
    <row r="546" spans="1:6" ht="14.25" customHeight="1" outlineLevel="1" x14ac:dyDescent="0.25">
      <c r="A546" s="234" t="s">
        <v>2082</v>
      </c>
      <c r="B546" s="234" t="s">
        <v>1804</v>
      </c>
      <c r="C546" s="235">
        <v>8000000</v>
      </c>
      <c r="D546" s="235">
        <v>8000000</v>
      </c>
      <c r="E546" s="235">
        <v>0</v>
      </c>
    </row>
    <row r="547" spans="1:6" ht="18" customHeight="1" outlineLevel="1" x14ac:dyDescent="0.25">
      <c r="A547" s="234">
        <v>23141302</v>
      </c>
      <c r="B547" s="234" t="s">
        <v>2039</v>
      </c>
      <c r="C547" s="235">
        <v>8000000</v>
      </c>
      <c r="D547" s="235">
        <v>0</v>
      </c>
      <c r="E547" s="235">
        <v>8000000</v>
      </c>
    </row>
    <row r="548" spans="1:6" ht="14.25" customHeight="1" outlineLevel="1" x14ac:dyDescent="0.25">
      <c r="A548" s="234" t="s">
        <v>2083</v>
      </c>
      <c r="B548" s="234" t="s">
        <v>1965</v>
      </c>
      <c r="C548" s="235">
        <v>8000000</v>
      </c>
      <c r="D548" s="235">
        <v>0</v>
      </c>
      <c r="E548" s="235">
        <v>8000000</v>
      </c>
    </row>
    <row r="549" spans="1:6" ht="14.25" customHeight="1" outlineLevel="1" x14ac:dyDescent="0.25">
      <c r="A549" s="234">
        <v>23141303</v>
      </c>
      <c r="B549" s="234" t="s">
        <v>2084</v>
      </c>
      <c r="C549" s="235">
        <v>5000000</v>
      </c>
      <c r="D549" s="235">
        <v>0</v>
      </c>
      <c r="E549" s="235">
        <v>5000000</v>
      </c>
    </row>
    <row r="550" spans="1:6" ht="14.25" customHeight="1" outlineLevel="1" x14ac:dyDescent="0.25">
      <c r="A550" s="234" t="s">
        <v>2085</v>
      </c>
      <c r="B550" s="234" t="s">
        <v>1965</v>
      </c>
      <c r="C550" s="235">
        <v>5000000</v>
      </c>
      <c r="D550" s="235">
        <v>0</v>
      </c>
      <c r="E550" s="235">
        <v>5000000</v>
      </c>
    </row>
    <row r="551" spans="1:6" ht="27" customHeight="1" outlineLevel="1" x14ac:dyDescent="0.25">
      <c r="A551" s="749">
        <v>231416</v>
      </c>
      <c r="B551" s="749" t="s">
        <v>2086</v>
      </c>
      <c r="C551" s="235">
        <v>21391359</v>
      </c>
      <c r="D551" s="235">
        <v>16466000</v>
      </c>
      <c r="E551" s="235">
        <v>4925359</v>
      </c>
    </row>
    <row r="552" spans="1:6" ht="14.25" customHeight="1" outlineLevel="1" x14ac:dyDescent="0.25">
      <c r="A552" s="234" t="s">
        <v>2087</v>
      </c>
      <c r="B552" s="234" t="s">
        <v>1766</v>
      </c>
      <c r="C552" s="235">
        <v>10000000</v>
      </c>
      <c r="D552" s="235">
        <v>10000000</v>
      </c>
      <c r="E552" s="235">
        <v>0</v>
      </c>
    </row>
    <row r="553" spans="1:6" ht="27" customHeight="1" outlineLevel="1" x14ac:dyDescent="0.25">
      <c r="A553" s="234" t="s">
        <v>2088</v>
      </c>
      <c r="B553" s="234" t="s">
        <v>1878</v>
      </c>
      <c r="C553" s="235">
        <v>8391359</v>
      </c>
      <c r="D553" s="235">
        <v>3466000</v>
      </c>
      <c r="E553" s="235">
        <v>4925359</v>
      </c>
    </row>
    <row r="554" spans="1:6" ht="14.25" customHeight="1" outlineLevel="1" x14ac:dyDescent="0.25">
      <c r="A554" s="234" t="s">
        <v>2089</v>
      </c>
      <c r="B554" s="234" t="s">
        <v>1804</v>
      </c>
      <c r="C554" s="235">
        <v>3000000</v>
      </c>
      <c r="D554" s="235">
        <v>3000000</v>
      </c>
      <c r="E554" s="235">
        <v>0</v>
      </c>
    </row>
    <row r="555" spans="1:6" ht="14.25" customHeight="1" outlineLevel="1" x14ac:dyDescent="0.25">
      <c r="A555" s="236">
        <v>231418</v>
      </c>
      <c r="B555" s="236" t="s">
        <v>2090</v>
      </c>
      <c r="C555" s="237">
        <v>25000000</v>
      </c>
      <c r="D555" s="237">
        <v>11984000</v>
      </c>
      <c r="E555" s="237">
        <v>13016000</v>
      </c>
      <c r="F555" s="282">
        <f>D555/C555</f>
        <v>0.47936000000000001</v>
      </c>
    </row>
    <row r="557" spans="1:6" ht="14.25" customHeight="1" outlineLevel="1" x14ac:dyDescent="0.25">
      <c r="A557" s="234">
        <v>23141804</v>
      </c>
      <c r="B557" s="234" t="s">
        <v>1539</v>
      </c>
      <c r="C557" s="235">
        <v>25000000</v>
      </c>
      <c r="D557" s="235">
        <v>11984000</v>
      </c>
      <c r="E557" s="235">
        <v>13016000</v>
      </c>
    </row>
    <row r="558" spans="1:6" ht="18" customHeight="1" outlineLevel="1" x14ac:dyDescent="0.25">
      <c r="A558" s="234">
        <v>231418041</v>
      </c>
      <c r="B558" s="234" t="s">
        <v>1607</v>
      </c>
      <c r="C558" s="235">
        <v>20000000</v>
      </c>
      <c r="D558" s="235">
        <v>11984000</v>
      </c>
      <c r="E558" s="235">
        <v>8016000</v>
      </c>
    </row>
    <row r="559" spans="1:6" ht="14.25" customHeight="1" outlineLevel="1" x14ac:dyDescent="0.25">
      <c r="A559" s="234" t="s">
        <v>2091</v>
      </c>
      <c r="B559" s="234" t="s">
        <v>1766</v>
      </c>
      <c r="C559" s="235">
        <v>8000000</v>
      </c>
      <c r="D559" s="235">
        <v>7490000</v>
      </c>
      <c r="E559" s="235">
        <v>510000</v>
      </c>
    </row>
    <row r="560" spans="1:6" ht="27" customHeight="1" outlineLevel="1" x14ac:dyDescent="0.25">
      <c r="A560" s="234" t="s">
        <v>2092</v>
      </c>
      <c r="B560" s="234" t="s">
        <v>1878</v>
      </c>
      <c r="C560" s="235">
        <v>9000000</v>
      </c>
      <c r="D560" s="235">
        <v>4494000</v>
      </c>
      <c r="E560" s="235">
        <v>4506000</v>
      </c>
    </row>
    <row r="561" spans="1:5" ht="14.25" customHeight="1" outlineLevel="1" x14ac:dyDescent="0.25">
      <c r="A561" s="234" t="s">
        <v>2093</v>
      </c>
      <c r="B561" s="234" t="s">
        <v>1804</v>
      </c>
      <c r="C561" s="235">
        <v>3000000</v>
      </c>
      <c r="D561" s="235">
        <v>0</v>
      </c>
      <c r="E561" s="235">
        <v>3000000</v>
      </c>
    </row>
    <row r="562" spans="1:5" ht="18" customHeight="1" outlineLevel="1" x14ac:dyDescent="0.25">
      <c r="A562" s="234">
        <v>231418042</v>
      </c>
      <c r="B562" s="234" t="s">
        <v>2039</v>
      </c>
      <c r="C562" s="235">
        <v>5000000</v>
      </c>
      <c r="D562" s="235">
        <v>0</v>
      </c>
      <c r="E562" s="235">
        <v>5000000</v>
      </c>
    </row>
    <row r="563" spans="1:5" ht="14.25" customHeight="1" outlineLevel="1" x14ac:dyDescent="0.25">
      <c r="A563" s="234" t="s">
        <v>2094</v>
      </c>
      <c r="B563" s="234" t="s">
        <v>1878</v>
      </c>
      <c r="C563" s="235">
        <v>5000000</v>
      </c>
      <c r="D563" s="235">
        <v>0</v>
      </c>
      <c r="E563" s="235">
        <v>5000000</v>
      </c>
    </row>
    <row r="564" spans="1:5" ht="27" customHeight="1" outlineLevel="1" x14ac:dyDescent="0.25">
      <c r="A564" s="749">
        <v>231420</v>
      </c>
      <c r="B564" s="749" t="s">
        <v>2095</v>
      </c>
      <c r="C564" s="235">
        <v>24973533</v>
      </c>
      <c r="D564" s="235">
        <v>3917028</v>
      </c>
      <c r="E564" s="235">
        <v>21056505</v>
      </c>
    </row>
    <row r="565" spans="1:5" ht="27" customHeight="1" outlineLevel="1" x14ac:dyDescent="0.25">
      <c r="A565" s="234">
        <v>2314201</v>
      </c>
      <c r="B565" s="234" t="s">
        <v>2096</v>
      </c>
      <c r="C565" s="235">
        <v>24973533</v>
      </c>
      <c r="D565" s="235">
        <v>3917028</v>
      </c>
      <c r="E565" s="235">
        <v>21056505</v>
      </c>
    </row>
    <row r="566" spans="1:5" ht="14.25" customHeight="1" outlineLevel="1" x14ac:dyDescent="0.25">
      <c r="A566" s="234">
        <v>231420101</v>
      </c>
      <c r="B566" s="234" t="s">
        <v>2097</v>
      </c>
      <c r="C566" s="235">
        <v>1000000</v>
      </c>
      <c r="D566" s="235">
        <v>1000000</v>
      </c>
      <c r="E566" s="235">
        <v>0</v>
      </c>
    </row>
    <row r="567" spans="1:5" ht="14.25" customHeight="1" outlineLevel="1" x14ac:dyDescent="0.25">
      <c r="A567" s="234" t="s">
        <v>2098</v>
      </c>
      <c r="B567" s="234" t="s">
        <v>1965</v>
      </c>
      <c r="C567" s="235">
        <v>1000000</v>
      </c>
      <c r="D567" s="235">
        <v>1000000</v>
      </c>
      <c r="E567" s="235">
        <v>0</v>
      </c>
    </row>
    <row r="568" spans="1:5" ht="14.25" customHeight="1" outlineLevel="1" x14ac:dyDescent="0.25">
      <c r="A568" s="234">
        <v>231420102</v>
      </c>
      <c r="B568" s="234" t="s">
        <v>2099</v>
      </c>
      <c r="C568" s="235">
        <v>20000000</v>
      </c>
      <c r="D568" s="235">
        <v>2200000</v>
      </c>
      <c r="E568" s="235">
        <v>17800000</v>
      </c>
    </row>
    <row r="569" spans="1:5" ht="14.25" customHeight="1" outlineLevel="1" x14ac:dyDescent="0.25">
      <c r="A569" s="234" t="s">
        <v>2100</v>
      </c>
      <c r="B569" s="234" t="s">
        <v>1965</v>
      </c>
      <c r="C569" s="235">
        <v>20000000</v>
      </c>
      <c r="D569" s="235">
        <v>2200000</v>
      </c>
      <c r="E569" s="235">
        <v>17800000</v>
      </c>
    </row>
    <row r="570" spans="1:5" ht="27" customHeight="1" outlineLevel="1" x14ac:dyDescent="0.25">
      <c r="A570" s="234">
        <v>231420103</v>
      </c>
      <c r="B570" s="234" t="s">
        <v>2101</v>
      </c>
      <c r="C570" s="235">
        <v>3600000</v>
      </c>
      <c r="D570" s="235">
        <v>717028</v>
      </c>
      <c r="E570" s="235">
        <v>2882972</v>
      </c>
    </row>
    <row r="571" spans="1:5" ht="18" customHeight="1" outlineLevel="1" x14ac:dyDescent="0.25">
      <c r="A571" s="234" t="s">
        <v>2102</v>
      </c>
      <c r="B571" s="234" t="s">
        <v>1965</v>
      </c>
      <c r="C571" s="235">
        <v>1000000</v>
      </c>
      <c r="D571" s="235">
        <v>717028</v>
      </c>
      <c r="E571" s="235">
        <v>282972</v>
      </c>
    </row>
    <row r="572" spans="1:5" ht="14.25" customHeight="1" outlineLevel="1" x14ac:dyDescent="0.25">
      <c r="A572" s="234" t="s">
        <v>2103</v>
      </c>
      <c r="B572" s="234" t="s">
        <v>1766</v>
      </c>
      <c r="C572" s="235">
        <v>1540000</v>
      </c>
      <c r="D572" s="235">
        <v>0</v>
      </c>
      <c r="E572" s="235">
        <v>1540000</v>
      </c>
    </row>
    <row r="573" spans="1:5" ht="14.25" customHeight="1" outlineLevel="1" x14ac:dyDescent="0.25">
      <c r="A573" s="234" t="s">
        <v>2104</v>
      </c>
      <c r="B573" s="234" t="s">
        <v>1878</v>
      </c>
      <c r="C573" s="235">
        <v>1060000</v>
      </c>
      <c r="D573" s="235">
        <v>0</v>
      </c>
      <c r="E573" s="235">
        <v>1060000</v>
      </c>
    </row>
    <row r="574" spans="1:5" ht="14.25" customHeight="1" outlineLevel="1" x14ac:dyDescent="0.25">
      <c r="A574" s="234">
        <v>231420104</v>
      </c>
      <c r="B574" s="234" t="s">
        <v>2105</v>
      </c>
      <c r="C574" s="235">
        <v>0</v>
      </c>
      <c r="D574" s="235">
        <v>0</v>
      </c>
      <c r="E574" s="235">
        <v>0</v>
      </c>
    </row>
    <row r="575" spans="1:5" ht="14.25" customHeight="1" outlineLevel="1" x14ac:dyDescent="0.25">
      <c r="A575" s="234" t="s">
        <v>2106</v>
      </c>
      <c r="B575" s="234" t="s">
        <v>1965</v>
      </c>
      <c r="C575" s="235">
        <v>0</v>
      </c>
      <c r="D575" s="235">
        <v>0</v>
      </c>
      <c r="E575" s="235">
        <v>0</v>
      </c>
    </row>
    <row r="576" spans="1:5" ht="14.25" customHeight="1" outlineLevel="1" x14ac:dyDescent="0.25">
      <c r="A576" s="234">
        <v>231420105</v>
      </c>
      <c r="B576" s="234" t="s">
        <v>2107</v>
      </c>
      <c r="C576" s="235">
        <v>0</v>
      </c>
      <c r="D576" s="235">
        <v>0</v>
      </c>
      <c r="E576" s="235">
        <v>0</v>
      </c>
    </row>
    <row r="577" spans="1:5" ht="14.25" customHeight="1" outlineLevel="1" x14ac:dyDescent="0.25">
      <c r="A577" s="234" t="s">
        <v>2108</v>
      </c>
      <c r="B577" s="234" t="s">
        <v>1965</v>
      </c>
      <c r="C577" s="235">
        <v>0</v>
      </c>
      <c r="D577" s="235">
        <v>0</v>
      </c>
      <c r="E577" s="235">
        <v>0</v>
      </c>
    </row>
    <row r="578" spans="1:5" ht="14.25" customHeight="1" outlineLevel="1" x14ac:dyDescent="0.25">
      <c r="A578" s="234">
        <v>231420106</v>
      </c>
      <c r="B578" s="234" t="s">
        <v>2109</v>
      </c>
      <c r="C578" s="235">
        <v>373533</v>
      </c>
      <c r="D578" s="235">
        <v>0</v>
      </c>
      <c r="E578" s="235">
        <v>373533</v>
      </c>
    </row>
    <row r="579" spans="1:5" ht="14.25" customHeight="1" outlineLevel="1" x14ac:dyDescent="0.25">
      <c r="A579" s="234" t="s">
        <v>2110</v>
      </c>
      <c r="B579" s="234" t="s">
        <v>1965</v>
      </c>
      <c r="C579" s="235">
        <v>373533</v>
      </c>
      <c r="D579" s="235">
        <v>0</v>
      </c>
      <c r="E579" s="235">
        <v>373533</v>
      </c>
    </row>
    <row r="580" spans="1:5" ht="14.25" customHeight="1" outlineLevel="1" x14ac:dyDescent="0.25">
      <c r="A580" s="234">
        <v>231420107</v>
      </c>
      <c r="B580" s="234" t="s">
        <v>2111</v>
      </c>
      <c r="C580" s="235">
        <v>0</v>
      </c>
      <c r="D580" s="235">
        <v>0</v>
      </c>
      <c r="E580" s="235">
        <v>0</v>
      </c>
    </row>
    <row r="581" spans="1:5" ht="14.25" customHeight="1" outlineLevel="1" x14ac:dyDescent="0.25">
      <c r="A581" s="234" t="s">
        <v>2112</v>
      </c>
      <c r="B581" s="234" t="s">
        <v>1965</v>
      </c>
      <c r="C581" s="235">
        <v>0</v>
      </c>
      <c r="D581" s="235">
        <v>0</v>
      </c>
      <c r="E581" s="235">
        <v>0</v>
      </c>
    </row>
    <row r="582" spans="1:5" ht="18" customHeight="1" outlineLevel="1" x14ac:dyDescent="0.25">
      <c r="A582" s="234">
        <v>2314202</v>
      </c>
      <c r="B582" s="234" t="s">
        <v>2113</v>
      </c>
      <c r="C582" s="235">
        <v>0</v>
      </c>
      <c r="D582" s="235">
        <v>0</v>
      </c>
      <c r="E582" s="235">
        <v>0</v>
      </c>
    </row>
    <row r="583" spans="1:5" ht="14.25" customHeight="1" outlineLevel="1" x14ac:dyDescent="0.25">
      <c r="A583" s="234">
        <v>231420201</v>
      </c>
      <c r="B583" s="234" t="s">
        <v>2097</v>
      </c>
      <c r="C583" s="235">
        <v>0</v>
      </c>
      <c r="D583" s="235">
        <v>0</v>
      </c>
      <c r="E583" s="235">
        <v>0</v>
      </c>
    </row>
    <row r="584" spans="1:5" ht="14.25" customHeight="1" outlineLevel="1" x14ac:dyDescent="0.25">
      <c r="A584" s="234" t="s">
        <v>2114</v>
      </c>
      <c r="B584" s="234" t="s">
        <v>1878</v>
      </c>
      <c r="C584" s="235">
        <v>0</v>
      </c>
      <c r="D584" s="235">
        <v>0</v>
      </c>
      <c r="E584" s="235">
        <v>0</v>
      </c>
    </row>
    <row r="585" spans="1:5" ht="14.25" customHeight="1" outlineLevel="1" x14ac:dyDescent="0.25">
      <c r="A585" s="234">
        <v>231420202</v>
      </c>
      <c r="B585" s="234" t="s">
        <v>2099</v>
      </c>
      <c r="C585" s="235">
        <v>0</v>
      </c>
      <c r="D585" s="235">
        <v>0</v>
      </c>
      <c r="E585" s="235">
        <v>0</v>
      </c>
    </row>
    <row r="586" spans="1:5" ht="14.25" customHeight="1" outlineLevel="1" x14ac:dyDescent="0.25">
      <c r="A586" s="234" t="s">
        <v>2115</v>
      </c>
      <c r="B586" s="234" t="s">
        <v>1878</v>
      </c>
      <c r="C586" s="235">
        <v>0</v>
      </c>
      <c r="D586" s="235">
        <v>0</v>
      </c>
      <c r="E586" s="235">
        <v>0</v>
      </c>
    </row>
    <row r="587" spans="1:5" ht="14.25" customHeight="1" outlineLevel="1" x14ac:dyDescent="0.25">
      <c r="A587" s="234">
        <v>231420203</v>
      </c>
      <c r="B587" s="234" t="s">
        <v>2101</v>
      </c>
      <c r="C587" s="235">
        <v>0</v>
      </c>
      <c r="D587" s="235">
        <v>0</v>
      </c>
      <c r="E587" s="235">
        <v>0</v>
      </c>
    </row>
    <row r="588" spans="1:5" ht="14.25" customHeight="1" outlineLevel="1" x14ac:dyDescent="0.25">
      <c r="A588" s="234" t="s">
        <v>2116</v>
      </c>
      <c r="B588" s="234" t="s">
        <v>1878</v>
      </c>
      <c r="C588" s="235">
        <v>0</v>
      </c>
      <c r="D588" s="235">
        <v>0</v>
      </c>
      <c r="E588" s="235">
        <v>0</v>
      </c>
    </row>
    <row r="589" spans="1:5" ht="14.25" customHeight="1" outlineLevel="1" x14ac:dyDescent="0.25">
      <c r="A589" s="234">
        <v>231420204</v>
      </c>
      <c r="B589" s="234" t="s">
        <v>2105</v>
      </c>
      <c r="C589" s="235">
        <v>0</v>
      </c>
      <c r="D589" s="235">
        <v>0</v>
      </c>
      <c r="E589" s="235">
        <v>0</v>
      </c>
    </row>
    <row r="590" spans="1:5" ht="14.25" customHeight="1" outlineLevel="1" x14ac:dyDescent="0.25">
      <c r="A590" s="234" t="s">
        <v>2117</v>
      </c>
      <c r="B590" s="234" t="s">
        <v>1878</v>
      </c>
      <c r="C590" s="235">
        <v>0</v>
      </c>
      <c r="D590" s="235">
        <v>0</v>
      </c>
      <c r="E590" s="235">
        <v>0</v>
      </c>
    </row>
    <row r="591" spans="1:5" ht="14.25" customHeight="1" outlineLevel="1" x14ac:dyDescent="0.25">
      <c r="A591" s="234">
        <v>231420205</v>
      </c>
      <c r="B591" s="234" t="s">
        <v>2107</v>
      </c>
      <c r="C591" s="235">
        <v>0</v>
      </c>
      <c r="D591" s="235">
        <v>0</v>
      </c>
      <c r="E591" s="235">
        <v>0</v>
      </c>
    </row>
    <row r="592" spans="1:5" ht="14.25" customHeight="1" outlineLevel="1" x14ac:dyDescent="0.25">
      <c r="A592" s="234" t="s">
        <v>2118</v>
      </c>
      <c r="B592" s="234" t="s">
        <v>1878</v>
      </c>
      <c r="C592" s="235">
        <v>0</v>
      </c>
      <c r="D592" s="235">
        <v>0</v>
      </c>
      <c r="E592" s="235">
        <v>0</v>
      </c>
    </row>
    <row r="593" spans="1:6" ht="14.25" customHeight="1" outlineLevel="1" x14ac:dyDescent="0.25">
      <c r="A593" s="234">
        <v>231420206</v>
      </c>
      <c r="B593" s="234" t="s">
        <v>2119</v>
      </c>
      <c r="C593" s="235">
        <v>0</v>
      </c>
      <c r="D593" s="235">
        <v>0</v>
      </c>
      <c r="E593" s="235">
        <v>0</v>
      </c>
    </row>
    <row r="594" spans="1:6" ht="14.25" customHeight="1" outlineLevel="1" x14ac:dyDescent="0.25">
      <c r="A594" s="234" t="s">
        <v>2120</v>
      </c>
      <c r="B594" s="234" t="s">
        <v>1878</v>
      </c>
      <c r="C594" s="235">
        <v>0</v>
      </c>
      <c r="D594" s="235">
        <v>0</v>
      </c>
      <c r="E594" s="235">
        <v>0</v>
      </c>
    </row>
    <row r="595" spans="1:6" ht="27" customHeight="1" outlineLevel="1" x14ac:dyDescent="0.25">
      <c r="A595" s="236">
        <v>2315</v>
      </c>
      <c r="B595" s="236" t="s">
        <v>2121</v>
      </c>
      <c r="C595" s="237">
        <v>309880728</v>
      </c>
      <c r="D595" s="237">
        <v>67010383</v>
      </c>
      <c r="E595" s="237">
        <v>242870345</v>
      </c>
      <c r="F595" s="282">
        <f>D595/C595</f>
        <v>0.21624572600074699</v>
      </c>
    </row>
    <row r="596" spans="1:6" ht="27" customHeight="1" outlineLevel="1" x14ac:dyDescent="0.25">
      <c r="A596" s="234">
        <v>231501</v>
      </c>
      <c r="B596" s="234" t="s">
        <v>2122</v>
      </c>
      <c r="C596" s="235">
        <v>9000000</v>
      </c>
      <c r="D596" s="235">
        <v>2200000</v>
      </c>
      <c r="E596" s="235">
        <v>6800000</v>
      </c>
    </row>
    <row r="598" spans="1:6" ht="27" customHeight="1" outlineLevel="1" x14ac:dyDescent="0.25">
      <c r="A598" s="234" t="s">
        <v>2123</v>
      </c>
      <c r="B598" s="234" t="s">
        <v>1878</v>
      </c>
      <c r="C598" s="235">
        <v>9000000</v>
      </c>
      <c r="D598" s="235">
        <v>2200000</v>
      </c>
      <c r="E598" s="235">
        <v>6800000</v>
      </c>
    </row>
    <row r="599" spans="1:6" ht="29.25" customHeight="1" outlineLevel="1" x14ac:dyDescent="0.25">
      <c r="A599" s="234">
        <v>231503</v>
      </c>
      <c r="B599" s="746" t="s">
        <v>2124</v>
      </c>
      <c r="C599" s="235">
        <v>47112635</v>
      </c>
      <c r="D599" s="235">
        <v>47000000</v>
      </c>
      <c r="E599" s="235">
        <v>112635</v>
      </c>
    </row>
    <row r="600" spans="1:6" ht="14.25" customHeight="1" outlineLevel="1" x14ac:dyDescent="0.25">
      <c r="A600" s="234" t="s">
        <v>2125</v>
      </c>
      <c r="B600" s="234" t="s">
        <v>1674</v>
      </c>
      <c r="C600" s="235">
        <v>20000000</v>
      </c>
      <c r="D600" s="235">
        <v>20000000</v>
      </c>
      <c r="E600" s="235">
        <v>0</v>
      </c>
    </row>
    <row r="601" spans="1:6" ht="27" customHeight="1" outlineLevel="1" x14ac:dyDescent="0.25">
      <c r="A601" s="234" t="s">
        <v>2126</v>
      </c>
      <c r="B601" s="234" t="s">
        <v>1711</v>
      </c>
      <c r="C601" s="235">
        <v>27112635</v>
      </c>
      <c r="D601" s="235">
        <v>27000000</v>
      </c>
      <c r="E601" s="235">
        <v>112635</v>
      </c>
    </row>
    <row r="602" spans="1:6" ht="27" customHeight="1" outlineLevel="1" x14ac:dyDescent="0.25">
      <c r="A602" s="234">
        <v>231504</v>
      </c>
      <c r="B602" s="746" t="s">
        <v>2127</v>
      </c>
      <c r="C602" s="235">
        <v>17810383</v>
      </c>
      <c r="D602" s="235">
        <v>17810383</v>
      </c>
      <c r="E602" s="235">
        <v>0</v>
      </c>
    </row>
    <row r="603" spans="1:6" ht="14.25" customHeight="1" outlineLevel="1" x14ac:dyDescent="0.25">
      <c r="A603" s="234" t="s">
        <v>2128</v>
      </c>
      <c r="B603" s="234" t="s">
        <v>1521</v>
      </c>
      <c r="C603" s="235">
        <v>17810383</v>
      </c>
      <c r="D603" s="235">
        <v>17810383</v>
      </c>
      <c r="E603" s="235">
        <v>0</v>
      </c>
    </row>
    <row r="604" spans="1:6" s="241" customFormat="1" ht="40.5" customHeight="1" outlineLevel="1" x14ac:dyDescent="0.25">
      <c r="A604" s="246">
        <v>231505</v>
      </c>
      <c r="B604" s="747" t="s">
        <v>2129</v>
      </c>
      <c r="C604" s="242">
        <v>138957710</v>
      </c>
      <c r="D604" s="242">
        <v>0</v>
      </c>
      <c r="E604" s="242">
        <v>138957710</v>
      </c>
    </row>
    <row r="605" spans="1:6" ht="14.25" customHeight="1" outlineLevel="1" x14ac:dyDescent="0.25">
      <c r="A605" s="234" t="s">
        <v>2130</v>
      </c>
      <c r="B605" s="234" t="s">
        <v>2131</v>
      </c>
      <c r="C605" s="235">
        <v>50850000</v>
      </c>
      <c r="D605" s="235">
        <v>0</v>
      </c>
      <c r="E605" s="235">
        <v>50850000</v>
      </c>
    </row>
    <row r="606" spans="1:6" ht="14.25" customHeight="1" outlineLevel="1" x14ac:dyDescent="0.25">
      <c r="A606" s="234" t="s">
        <v>2132</v>
      </c>
      <c r="B606" s="234" t="s">
        <v>2133</v>
      </c>
      <c r="C606" s="235">
        <v>81107710</v>
      </c>
      <c r="D606" s="235">
        <v>0</v>
      </c>
      <c r="E606" s="235">
        <v>81107710</v>
      </c>
    </row>
    <row r="607" spans="1:6" ht="14.25" customHeight="1" outlineLevel="1" x14ac:dyDescent="0.25">
      <c r="A607" s="234" t="s">
        <v>2134</v>
      </c>
      <c r="B607" s="234" t="s">
        <v>1804</v>
      </c>
      <c r="C607" s="235">
        <v>7000000</v>
      </c>
      <c r="D607" s="235">
        <v>0</v>
      </c>
      <c r="E607" s="235">
        <v>7000000</v>
      </c>
    </row>
    <row r="608" spans="1:6" ht="14.25" customHeight="1" outlineLevel="1" x14ac:dyDescent="0.25">
      <c r="A608" s="234">
        <v>231506</v>
      </c>
      <c r="B608" s="234" t="s">
        <v>2135</v>
      </c>
      <c r="C608" s="235">
        <v>40000000</v>
      </c>
      <c r="D608" s="235">
        <v>0</v>
      </c>
      <c r="E608" s="235">
        <v>40000000</v>
      </c>
    </row>
    <row r="609" spans="1:7" ht="14.25" customHeight="1" outlineLevel="1" x14ac:dyDescent="0.25">
      <c r="A609" s="234" t="s">
        <v>2136</v>
      </c>
      <c r="B609" s="234" t="s">
        <v>1804</v>
      </c>
      <c r="C609" s="235">
        <v>40000000</v>
      </c>
      <c r="D609" s="235">
        <v>0</v>
      </c>
      <c r="E609" s="235">
        <v>40000000</v>
      </c>
    </row>
    <row r="610" spans="1:7" s="241" customFormat="1" ht="27" customHeight="1" outlineLevel="1" x14ac:dyDescent="0.25">
      <c r="A610" s="246">
        <v>231509</v>
      </c>
      <c r="B610" s="747" t="s">
        <v>2137</v>
      </c>
      <c r="C610" s="242">
        <v>57000000</v>
      </c>
      <c r="D610" s="242">
        <v>0</v>
      </c>
      <c r="E610" s="242">
        <v>57000000</v>
      </c>
    </row>
    <row r="611" spans="1:7" ht="14.25" customHeight="1" outlineLevel="1" x14ac:dyDescent="0.25">
      <c r="A611" s="234" t="s">
        <v>2138</v>
      </c>
      <c r="B611" s="234" t="s">
        <v>1804</v>
      </c>
      <c r="C611" s="235">
        <v>57000000</v>
      </c>
      <c r="D611" s="235">
        <v>0</v>
      </c>
      <c r="E611" s="235">
        <v>57000000</v>
      </c>
    </row>
    <row r="612" spans="1:7" ht="30.75" customHeight="1" outlineLevel="1" x14ac:dyDescent="0.25">
      <c r="A612" s="234">
        <v>231510</v>
      </c>
      <c r="B612" s="746" t="s">
        <v>2139</v>
      </c>
      <c r="C612" s="235">
        <v>0</v>
      </c>
      <c r="D612" s="235">
        <v>0</v>
      </c>
      <c r="E612" s="235">
        <v>0</v>
      </c>
    </row>
    <row r="613" spans="1:7" ht="14.25" customHeight="1" outlineLevel="1" x14ac:dyDescent="0.25">
      <c r="A613" s="234" t="s">
        <v>2140</v>
      </c>
      <c r="B613" s="234" t="s">
        <v>1878</v>
      </c>
      <c r="C613" s="235">
        <v>0</v>
      </c>
      <c r="D613" s="235">
        <v>0</v>
      </c>
      <c r="E613" s="235">
        <v>0</v>
      </c>
    </row>
    <row r="614" spans="1:7" ht="27" customHeight="1" outlineLevel="1" x14ac:dyDescent="0.25">
      <c r="A614" s="236">
        <v>2316</v>
      </c>
      <c r="B614" s="236" t="s">
        <v>1217</v>
      </c>
      <c r="C614" s="237">
        <v>29980000</v>
      </c>
      <c r="D614" s="237">
        <v>4280000</v>
      </c>
      <c r="E614" s="237">
        <v>25700000</v>
      </c>
      <c r="F614" s="282">
        <f>D614/C614</f>
        <v>0.142761841227485</v>
      </c>
    </row>
    <row r="615" spans="1:7" ht="36" customHeight="1" outlineLevel="1" x14ac:dyDescent="0.25">
      <c r="A615" s="238">
        <v>231601</v>
      </c>
      <c r="B615" s="238" t="s">
        <v>2141</v>
      </c>
      <c r="C615" s="247">
        <v>5000000</v>
      </c>
      <c r="D615" s="247">
        <v>2480000</v>
      </c>
      <c r="E615" s="247">
        <v>2520000</v>
      </c>
      <c r="G615" s="247">
        <v>2520000</v>
      </c>
    </row>
    <row r="616" spans="1:7" ht="14.25" customHeight="1" outlineLevel="1" x14ac:dyDescent="0.25">
      <c r="A616" s="234" t="s">
        <v>2142</v>
      </c>
      <c r="B616" s="234" t="s">
        <v>1878</v>
      </c>
      <c r="C616" s="235">
        <v>5000000</v>
      </c>
      <c r="D616" s="235">
        <v>2480000</v>
      </c>
      <c r="E616" s="235">
        <v>2520000</v>
      </c>
    </row>
    <row r="617" spans="1:7" ht="18" customHeight="1" outlineLevel="1" x14ac:dyDescent="0.25">
      <c r="A617" s="238">
        <v>231603</v>
      </c>
      <c r="B617" s="238" t="s">
        <v>2143</v>
      </c>
      <c r="C617" s="247">
        <v>9000000</v>
      </c>
      <c r="D617" s="247">
        <v>0</v>
      </c>
      <c r="E617" s="247">
        <v>9000000</v>
      </c>
      <c r="G617" s="247">
        <v>9000000</v>
      </c>
    </row>
    <row r="618" spans="1:7" ht="14.25" customHeight="1" outlineLevel="1" x14ac:dyDescent="0.25">
      <c r="A618" s="234" t="s">
        <v>2144</v>
      </c>
      <c r="B618" s="234" t="s">
        <v>1804</v>
      </c>
      <c r="C618" s="235">
        <v>9000000</v>
      </c>
      <c r="D618" s="235">
        <v>0</v>
      </c>
      <c r="E618" s="235">
        <v>9000000</v>
      </c>
    </row>
    <row r="619" spans="1:7" ht="26.25" customHeight="1" outlineLevel="1" x14ac:dyDescent="0.25">
      <c r="A619" s="234">
        <v>231604</v>
      </c>
      <c r="B619" s="234" t="s">
        <v>2145</v>
      </c>
      <c r="C619" s="235">
        <v>3000000</v>
      </c>
      <c r="D619" s="235">
        <v>0</v>
      </c>
      <c r="E619" s="235">
        <v>3000000</v>
      </c>
    </row>
    <row r="620" spans="1:7" ht="14.25" customHeight="1" outlineLevel="1" x14ac:dyDescent="0.25">
      <c r="A620" s="234" t="s">
        <v>2146</v>
      </c>
      <c r="B620" s="234" t="s">
        <v>1878</v>
      </c>
      <c r="C620" s="235">
        <v>3000000</v>
      </c>
      <c r="D620" s="235">
        <v>0</v>
      </c>
      <c r="E620" s="235">
        <v>3000000</v>
      </c>
    </row>
    <row r="621" spans="1:7" ht="14.25" customHeight="1" outlineLevel="1" x14ac:dyDescent="0.25">
      <c r="A621" s="234">
        <v>231606</v>
      </c>
      <c r="B621" s="234" t="s">
        <v>2147</v>
      </c>
      <c r="C621" s="235">
        <v>3000000</v>
      </c>
      <c r="D621" s="235">
        <v>1800000</v>
      </c>
      <c r="E621" s="235">
        <v>1200000</v>
      </c>
    </row>
    <row r="622" spans="1:7" ht="14.25" customHeight="1" outlineLevel="1" x14ac:dyDescent="0.25">
      <c r="A622" s="234" t="s">
        <v>2148</v>
      </c>
      <c r="B622" s="234" t="s">
        <v>1674</v>
      </c>
      <c r="C622" s="235">
        <v>3000000</v>
      </c>
      <c r="D622" s="235">
        <v>1800000</v>
      </c>
      <c r="E622" s="235">
        <v>1200000</v>
      </c>
    </row>
    <row r="623" spans="1:7" ht="42" customHeight="1" outlineLevel="1" x14ac:dyDescent="0.25">
      <c r="A623" s="234">
        <v>231607</v>
      </c>
      <c r="B623" s="234" t="s">
        <v>2149</v>
      </c>
      <c r="C623" s="235">
        <v>9980000</v>
      </c>
      <c r="D623" s="235">
        <v>0</v>
      </c>
      <c r="E623" s="235">
        <v>9980000</v>
      </c>
    </row>
    <row r="624" spans="1:7" ht="14.25" customHeight="1" outlineLevel="1" x14ac:dyDescent="0.25">
      <c r="A624" s="234" t="s">
        <v>2150</v>
      </c>
      <c r="B624" s="234" t="s">
        <v>1878</v>
      </c>
      <c r="C624" s="235">
        <v>9980000</v>
      </c>
      <c r="D624" s="235">
        <v>0</v>
      </c>
      <c r="E624" s="235">
        <v>9980000</v>
      </c>
    </row>
    <row r="625" spans="1:6" ht="27" customHeight="1" outlineLevel="1" x14ac:dyDescent="0.25">
      <c r="A625" s="236">
        <v>2317</v>
      </c>
      <c r="B625" s="248" t="s">
        <v>1133</v>
      </c>
      <c r="C625" s="249">
        <v>507822925</v>
      </c>
      <c r="D625" s="249">
        <v>276916182</v>
      </c>
      <c r="E625" s="249">
        <v>230906743</v>
      </c>
      <c r="F625" s="282">
        <f>D625/C625</f>
        <v>0.54530067148898409</v>
      </c>
    </row>
    <row r="626" spans="1:6" ht="27" customHeight="1" outlineLevel="1" x14ac:dyDescent="0.25">
      <c r="A626" s="238">
        <v>231701</v>
      </c>
      <c r="B626" s="238" t="s">
        <v>2151</v>
      </c>
      <c r="C626" s="247">
        <v>286604125</v>
      </c>
      <c r="D626" s="247">
        <v>164078700</v>
      </c>
      <c r="E626" s="247">
        <v>122525425</v>
      </c>
    </row>
    <row r="627" spans="1:6" ht="27" customHeight="1" outlineLevel="1" x14ac:dyDescent="0.25">
      <c r="A627" s="234" t="s">
        <v>2152</v>
      </c>
      <c r="B627" s="234" t="s">
        <v>1674</v>
      </c>
      <c r="C627" s="235">
        <v>43154000</v>
      </c>
      <c r="D627" s="235">
        <v>42739343</v>
      </c>
      <c r="E627" s="235">
        <v>414657</v>
      </c>
    </row>
    <row r="628" spans="1:6" ht="14.25" customHeight="1" outlineLevel="1" x14ac:dyDescent="0.25">
      <c r="A628" s="234" t="s">
        <v>2153</v>
      </c>
      <c r="B628" s="234" t="s">
        <v>1876</v>
      </c>
      <c r="C628" s="235">
        <v>3456075</v>
      </c>
      <c r="D628" s="235">
        <v>0</v>
      </c>
      <c r="E628" s="235">
        <v>3456075</v>
      </c>
    </row>
    <row r="629" spans="1:6" ht="14.25" customHeight="1" outlineLevel="1" x14ac:dyDescent="0.25">
      <c r="A629" s="234" t="s">
        <v>2154</v>
      </c>
      <c r="B629" s="234" t="s">
        <v>1977</v>
      </c>
      <c r="C629" s="235">
        <v>20611543</v>
      </c>
      <c r="D629" s="235">
        <v>20611543</v>
      </c>
      <c r="E629" s="235">
        <v>0</v>
      </c>
    </row>
    <row r="630" spans="1:6" ht="27" customHeight="1" outlineLevel="1" x14ac:dyDescent="0.25">
      <c r="A630" s="234" t="s">
        <v>2155</v>
      </c>
      <c r="B630" s="234" t="s">
        <v>1804</v>
      </c>
      <c r="C630" s="235">
        <v>195654393</v>
      </c>
      <c r="D630" s="235">
        <v>76999700</v>
      </c>
      <c r="E630" s="235">
        <v>118654693</v>
      </c>
    </row>
    <row r="631" spans="1:6" ht="14.25" customHeight="1" outlineLevel="1" x14ac:dyDescent="0.25">
      <c r="A631" s="234" t="s">
        <v>2156</v>
      </c>
      <c r="B631" s="234" t="s">
        <v>1911</v>
      </c>
      <c r="C631" s="235">
        <v>23728114</v>
      </c>
      <c r="D631" s="235">
        <v>23728114</v>
      </c>
      <c r="E631" s="235">
        <v>0</v>
      </c>
    </row>
    <row r="632" spans="1:6" ht="27" customHeight="1" outlineLevel="1" x14ac:dyDescent="0.25">
      <c r="A632" s="238">
        <v>231702</v>
      </c>
      <c r="B632" s="238" t="s">
        <v>2157</v>
      </c>
      <c r="C632" s="247">
        <v>22220000</v>
      </c>
      <c r="D632" s="247">
        <v>20219982</v>
      </c>
      <c r="E632" s="247">
        <v>2000018</v>
      </c>
    </row>
    <row r="633" spans="1:6" ht="27" customHeight="1" outlineLevel="1" x14ac:dyDescent="0.25">
      <c r="A633" s="234" t="s">
        <v>2158</v>
      </c>
      <c r="B633" s="234" t="s">
        <v>1674</v>
      </c>
      <c r="C633" s="235">
        <v>20220000</v>
      </c>
      <c r="D633" s="235">
        <v>20219982</v>
      </c>
      <c r="E633" s="235">
        <v>18</v>
      </c>
    </row>
    <row r="634" spans="1:6" ht="14.25" customHeight="1" outlineLevel="1" x14ac:dyDescent="0.25">
      <c r="A634" s="234" t="s">
        <v>2159</v>
      </c>
      <c r="B634" s="234" t="s">
        <v>1804</v>
      </c>
      <c r="C634" s="235">
        <v>2000000</v>
      </c>
      <c r="D634" s="235">
        <v>0</v>
      </c>
      <c r="E634" s="235">
        <v>2000000</v>
      </c>
    </row>
    <row r="636" spans="1:6" ht="27" customHeight="1" outlineLevel="1" x14ac:dyDescent="0.25">
      <c r="A636" s="238">
        <v>231706</v>
      </c>
      <c r="B636" s="238" t="s">
        <v>2160</v>
      </c>
      <c r="C636" s="247">
        <v>15000000</v>
      </c>
      <c r="D636" s="247">
        <v>14300000</v>
      </c>
      <c r="E636" s="247">
        <v>700000</v>
      </c>
    </row>
    <row r="637" spans="1:6" ht="14.25" customHeight="1" outlineLevel="1" x14ac:dyDescent="0.25">
      <c r="A637" s="234" t="s">
        <v>2161</v>
      </c>
      <c r="B637" s="234" t="s">
        <v>1878</v>
      </c>
      <c r="C637" s="235">
        <v>10000000</v>
      </c>
      <c r="D637" s="235">
        <v>9300000</v>
      </c>
      <c r="E637" s="235">
        <v>700000</v>
      </c>
    </row>
    <row r="638" spans="1:6" ht="14.25" customHeight="1" outlineLevel="1" x14ac:dyDescent="0.25">
      <c r="A638" s="234" t="s">
        <v>2162</v>
      </c>
      <c r="B638" s="234" t="s">
        <v>1804</v>
      </c>
      <c r="C638" s="235">
        <v>5000000</v>
      </c>
      <c r="D638" s="235">
        <v>5000000</v>
      </c>
      <c r="E638" s="235">
        <v>0</v>
      </c>
    </row>
    <row r="639" spans="1:6" ht="14.25" customHeight="1" outlineLevel="1" x14ac:dyDescent="0.25">
      <c r="A639" s="238">
        <v>231708</v>
      </c>
      <c r="B639" s="238" t="s">
        <v>2163</v>
      </c>
      <c r="C639" s="247">
        <v>23998800</v>
      </c>
      <c r="D639" s="247">
        <v>0</v>
      </c>
      <c r="E639" s="247">
        <v>23998800</v>
      </c>
    </row>
    <row r="640" spans="1:6" ht="14.25" customHeight="1" outlineLevel="1" x14ac:dyDescent="0.25">
      <c r="A640" s="234" t="s">
        <v>2164</v>
      </c>
      <c r="B640" s="234" t="s">
        <v>1674</v>
      </c>
      <c r="C640" s="235">
        <v>12000000</v>
      </c>
      <c r="D640" s="235">
        <v>0</v>
      </c>
      <c r="E640" s="235">
        <v>12000000</v>
      </c>
    </row>
    <row r="641" spans="1:5" ht="14.25" customHeight="1" outlineLevel="1" x14ac:dyDescent="0.25">
      <c r="A641" s="234" t="s">
        <v>2165</v>
      </c>
      <c r="B641" s="234" t="s">
        <v>1878</v>
      </c>
      <c r="C641" s="235">
        <v>10000000</v>
      </c>
      <c r="D641" s="235">
        <v>0</v>
      </c>
      <c r="E641" s="235">
        <v>10000000</v>
      </c>
    </row>
    <row r="642" spans="1:5" ht="14.25" customHeight="1" outlineLevel="1" x14ac:dyDescent="0.25">
      <c r="A642" s="234" t="s">
        <v>2166</v>
      </c>
      <c r="B642" s="234" t="s">
        <v>1804</v>
      </c>
      <c r="C642" s="235">
        <v>1998800</v>
      </c>
      <c r="D642" s="235">
        <v>0</v>
      </c>
      <c r="E642" s="235">
        <v>1998800</v>
      </c>
    </row>
    <row r="643" spans="1:5" ht="36" customHeight="1" outlineLevel="1" x14ac:dyDescent="0.25">
      <c r="A643" s="238">
        <v>231709</v>
      </c>
      <c r="B643" s="238" t="s">
        <v>2167</v>
      </c>
      <c r="C643" s="247">
        <v>65000000</v>
      </c>
      <c r="D643" s="247">
        <v>53650500</v>
      </c>
      <c r="E643" s="247">
        <v>11349500</v>
      </c>
    </row>
    <row r="644" spans="1:5" ht="27" customHeight="1" outlineLevel="1" x14ac:dyDescent="0.25">
      <c r="A644" s="234" t="s">
        <v>2168</v>
      </c>
      <c r="B644" s="234" t="s">
        <v>1674</v>
      </c>
      <c r="C644" s="235">
        <v>65000000</v>
      </c>
      <c r="D644" s="235">
        <v>53650500</v>
      </c>
      <c r="E644" s="235">
        <v>11349500</v>
      </c>
    </row>
    <row r="645" spans="1:5" ht="30" customHeight="1" outlineLevel="1" x14ac:dyDescent="0.25">
      <c r="A645" s="238">
        <v>231710</v>
      </c>
      <c r="B645" s="238" t="s">
        <v>2169</v>
      </c>
      <c r="C645" s="247">
        <v>10000000</v>
      </c>
      <c r="D645" s="247">
        <v>0</v>
      </c>
      <c r="E645" s="247">
        <v>10000000</v>
      </c>
    </row>
    <row r="646" spans="1:5" ht="14.25" customHeight="1" outlineLevel="1" x14ac:dyDescent="0.25">
      <c r="A646" s="234" t="s">
        <v>2170</v>
      </c>
      <c r="B646" s="234" t="s">
        <v>1674</v>
      </c>
      <c r="C646" s="235">
        <v>10000000</v>
      </c>
      <c r="D646" s="235">
        <v>0</v>
      </c>
      <c r="E646" s="235">
        <v>10000000</v>
      </c>
    </row>
    <row r="647" spans="1:5" ht="18" customHeight="1" outlineLevel="1" x14ac:dyDescent="0.25">
      <c r="A647" s="238">
        <v>231711</v>
      </c>
      <c r="B647" s="238" t="s">
        <v>2171</v>
      </c>
      <c r="C647" s="247">
        <v>60000000</v>
      </c>
      <c r="D647" s="247">
        <v>0</v>
      </c>
      <c r="E647" s="247">
        <v>60000000</v>
      </c>
    </row>
    <row r="648" spans="1:5" ht="14.25" customHeight="1" outlineLevel="1" x14ac:dyDescent="0.25">
      <c r="A648" s="234" t="s">
        <v>2172</v>
      </c>
      <c r="B648" s="234" t="s">
        <v>1965</v>
      </c>
      <c r="C648" s="235">
        <v>5000000</v>
      </c>
      <c r="D648" s="235">
        <v>0</v>
      </c>
      <c r="E648" s="235">
        <v>5000000</v>
      </c>
    </row>
    <row r="649" spans="1:5" ht="14.25" customHeight="1" outlineLevel="1" x14ac:dyDescent="0.25">
      <c r="A649" s="234" t="s">
        <v>2173</v>
      </c>
      <c r="B649" s="234" t="s">
        <v>2077</v>
      </c>
      <c r="C649" s="235">
        <v>15000000</v>
      </c>
      <c r="D649" s="235">
        <v>0</v>
      </c>
      <c r="E649" s="235">
        <v>15000000</v>
      </c>
    </row>
    <row r="650" spans="1:5" ht="14.25" customHeight="1" outlineLevel="1" x14ac:dyDescent="0.25">
      <c r="A650" s="234" t="s">
        <v>2174</v>
      </c>
      <c r="B650" s="234" t="s">
        <v>1878</v>
      </c>
      <c r="C650" s="235">
        <v>35000000</v>
      </c>
      <c r="D650" s="235">
        <v>0</v>
      </c>
      <c r="E650" s="235">
        <v>35000000</v>
      </c>
    </row>
    <row r="651" spans="1:5" ht="14.25" customHeight="1" outlineLevel="1" x14ac:dyDescent="0.25">
      <c r="A651" s="234" t="s">
        <v>2175</v>
      </c>
      <c r="B651" s="234" t="s">
        <v>1804</v>
      </c>
      <c r="C651" s="235">
        <v>5000000</v>
      </c>
      <c r="D651" s="235">
        <v>0</v>
      </c>
      <c r="E651" s="235">
        <v>5000000</v>
      </c>
    </row>
    <row r="652" spans="1:5" ht="18" customHeight="1" outlineLevel="1" x14ac:dyDescent="0.25">
      <c r="A652" s="238">
        <v>231712</v>
      </c>
      <c r="B652" s="238" t="s">
        <v>2176</v>
      </c>
      <c r="C652" s="247">
        <v>25000000</v>
      </c>
      <c r="D652" s="247">
        <v>24667000</v>
      </c>
      <c r="E652" s="247">
        <v>333000</v>
      </c>
    </row>
    <row r="653" spans="1:5" ht="14.25" customHeight="1" outlineLevel="1" x14ac:dyDescent="0.25">
      <c r="A653" s="234" t="s">
        <v>2177</v>
      </c>
      <c r="B653" s="234" t="s">
        <v>1878</v>
      </c>
      <c r="C653" s="235">
        <v>20000000</v>
      </c>
      <c r="D653" s="235">
        <v>20000000</v>
      </c>
      <c r="E653" s="235">
        <v>0</v>
      </c>
    </row>
    <row r="654" spans="1:5" ht="14.25" customHeight="1" outlineLevel="1" x14ac:dyDescent="0.25">
      <c r="A654" s="234" t="s">
        <v>2178</v>
      </c>
      <c r="B654" s="234" t="s">
        <v>1804</v>
      </c>
      <c r="C654" s="235">
        <v>5000000</v>
      </c>
      <c r="D654" s="235">
        <v>4667000</v>
      </c>
      <c r="E654" s="235">
        <v>333000</v>
      </c>
    </row>
    <row r="655" spans="1:5" ht="14.25" customHeight="1" outlineLevel="1" x14ac:dyDescent="0.25">
      <c r="A655" s="238">
        <v>231713</v>
      </c>
      <c r="B655" s="238" t="s">
        <v>2179</v>
      </c>
      <c r="C655" s="247">
        <v>0</v>
      </c>
      <c r="D655" s="247">
        <v>0</v>
      </c>
      <c r="E655" s="247">
        <v>0</v>
      </c>
    </row>
    <row r="656" spans="1:5" ht="14.25" customHeight="1" outlineLevel="1" x14ac:dyDescent="0.25">
      <c r="A656" s="234" t="s">
        <v>2180</v>
      </c>
      <c r="B656" s="234" t="s">
        <v>1674</v>
      </c>
      <c r="C656" s="235">
        <v>0</v>
      </c>
      <c r="D656" s="235">
        <v>0</v>
      </c>
      <c r="E656" s="235">
        <v>0</v>
      </c>
    </row>
    <row r="657" spans="1:6" ht="14.25" customHeight="1" outlineLevel="1" x14ac:dyDescent="0.25">
      <c r="A657" s="234" t="s">
        <v>2181</v>
      </c>
      <c r="B657" s="234" t="s">
        <v>2077</v>
      </c>
      <c r="C657" s="235">
        <v>0</v>
      </c>
      <c r="D657" s="235">
        <v>0</v>
      </c>
      <c r="E657" s="235">
        <v>0</v>
      </c>
    </row>
    <row r="658" spans="1:6" ht="27" customHeight="1" outlineLevel="1" x14ac:dyDescent="0.25">
      <c r="A658" s="236">
        <v>2318</v>
      </c>
      <c r="B658" s="236" t="s">
        <v>1258</v>
      </c>
      <c r="C658" s="237">
        <v>1064930076</v>
      </c>
      <c r="D658" s="237">
        <v>148971838</v>
      </c>
      <c r="E658" s="237">
        <v>915958238</v>
      </c>
      <c r="F658" s="282">
        <f>D658/C658</f>
        <v>0.13988884468316959</v>
      </c>
    </row>
    <row r="659" spans="1:6" ht="27" customHeight="1" outlineLevel="1" x14ac:dyDescent="0.25">
      <c r="A659" s="238">
        <v>231801</v>
      </c>
      <c r="B659" s="238" t="s">
        <v>2182</v>
      </c>
      <c r="C659" s="247">
        <v>42300000</v>
      </c>
      <c r="D659" s="247">
        <v>21508188</v>
      </c>
      <c r="E659" s="247">
        <v>20791812</v>
      </c>
    </row>
    <row r="660" spans="1:6" ht="27" customHeight="1" outlineLevel="1" x14ac:dyDescent="0.25">
      <c r="A660" s="234">
        <v>23180101</v>
      </c>
      <c r="B660" s="234" t="s">
        <v>2183</v>
      </c>
      <c r="C660" s="235">
        <v>34900000</v>
      </c>
      <c r="D660" s="235">
        <v>17407009</v>
      </c>
      <c r="E660" s="235">
        <v>17492991</v>
      </c>
    </row>
    <row r="661" spans="1:6" ht="27" customHeight="1" outlineLevel="1" x14ac:dyDescent="0.25">
      <c r="A661" s="234" t="s">
        <v>2184</v>
      </c>
      <c r="B661" s="234" t="s">
        <v>1674</v>
      </c>
      <c r="C661" s="235">
        <v>34900000</v>
      </c>
      <c r="D661" s="235">
        <v>17407009</v>
      </c>
      <c r="E661" s="235">
        <v>17492991</v>
      </c>
    </row>
    <row r="662" spans="1:6" ht="27" customHeight="1" outlineLevel="1" x14ac:dyDescent="0.25">
      <c r="A662" s="238">
        <v>23180102</v>
      </c>
      <c r="B662" s="238" t="s">
        <v>1675</v>
      </c>
      <c r="C662" s="247">
        <v>5600000</v>
      </c>
      <c r="D662" s="247">
        <v>2439988</v>
      </c>
      <c r="E662" s="247">
        <v>3160012</v>
      </c>
    </row>
    <row r="663" spans="1:6" ht="18" customHeight="1" outlineLevel="1" x14ac:dyDescent="0.25">
      <c r="A663" s="234">
        <v>2318010201</v>
      </c>
      <c r="B663" s="234" t="s">
        <v>2185</v>
      </c>
      <c r="C663" s="235">
        <v>1500000</v>
      </c>
      <c r="D663" s="235">
        <v>1450584</v>
      </c>
      <c r="E663" s="235">
        <v>49416</v>
      </c>
    </row>
    <row r="664" spans="1:6" ht="18" customHeight="1" outlineLevel="1" x14ac:dyDescent="0.25">
      <c r="A664" s="234" t="s">
        <v>2186</v>
      </c>
      <c r="B664" s="234" t="s">
        <v>1674</v>
      </c>
      <c r="C664" s="235">
        <v>1500000</v>
      </c>
      <c r="D664" s="235">
        <v>1450584</v>
      </c>
      <c r="E664" s="235">
        <v>49416</v>
      </c>
    </row>
    <row r="665" spans="1:6" ht="14.25" customHeight="1" outlineLevel="1" x14ac:dyDescent="0.25">
      <c r="A665" s="234">
        <v>2318010202</v>
      </c>
      <c r="B665" s="234" t="s">
        <v>2187</v>
      </c>
      <c r="C665" s="235">
        <v>3100000</v>
      </c>
      <c r="D665" s="235">
        <v>0</v>
      </c>
      <c r="E665" s="235">
        <v>3100000</v>
      </c>
    </row>
    <row r="666" spans="1:6" ht="14.25" customHeight="1" outlineLevel="1" x14ac:dyDescent="0.25">
      <c r="A666" s="234" t="s">
        <v>2188</v>
      </c>
      <c r="B666" s="234" t="s">
        <v>1674</v>
      </c>
      <c r="C666" s="235">
        <v>3100000</v>
      </c>
      <c r="D666" s="235">
        <v>0</v>
      </c>
      <c r="E666" s="235">
        <v>3100000</v>
      </c>
    </row>
    <row r="667" spans="1:6" ht="18" customHeight="1" outlineLevel="1" x14ac:dyDescent="0.25">
      <c r="A667" s="234">
        <v>2318010203</v>
      </c>
      <c r="B667" s="234" t="s">
        <v>2189</v>
      </c>
      <c r="C667" s="235">
        <v>1000000</v>
      </c>
      <c r="D667" s="235">
        <v>989404</v>
      </c>
      <c r="E667" s="235">
        <v>10596</v>
      </c>
    </row>
    <row r="668" spans="1:6" ht="18" customHeight="1" outlineLevel="1" x14ac:dyDescent="0.25">
      <c r="A668" s="234" t="s">
        <v>2190</v>
      </c>
      <c r="B668" s="234" t="s">
        <v>1674</v>
      </c>
      <c r="C668" s="235">
        <v>1000000</v>
      </c>
      <c r="D668" s="235">
        <v>989404</v>
      </c>
      <c r="E668" s="235">
        <v>10596</v>
      </c>
    </row>
    <row r="669" spans="1:6" ht="27" customHeight="1" outlineLevel="1" x14ac:dyDescent="0.25">
      <c r="A669" s="238">
        <v>23180103</v>
      </c>
      <c r="B669" s="238" t="s">
        <v>2191</v>
      </c>
      <c r="C669" s="247">
        <v>1700000</v>
      </c>
      <c r="D669" s="247">
        <v>1661191</v>
      </c>
      <c r="E669" s="247">
        <v>38809</v>
      </c>
    </row>
    <row r="670" spans="1:6" ht="27" customHeight="1" outlineLevel="1" x14ac:dyDescent="0.25">
      <c r="A670" s="234" t="s">
        <v>2192</v>
      </c>
      <c r="B670" s="234" t="s">
        <v>1674</v>
      </c>
      <c r="C670" s="235">
        <v>1700000</v>
      </c>
      <c r="D670" s="235">
        <v>1661191</v>
      </c>
      <c r="E670" s="235">
        <v>38809</v>
      </c>
    </row>
    <row r="671" spans="1:6" ht="14.25" customHeight="1" outlineLevel="1" x14ac:dyDescent="0.25">
      <c r="A671" s="238">
        <v>23180104</v>
      </c>
      <c r="B671" s="238" t="s">
        <v>2193</v>
      </c>
      <c r="C671" s="247">
        <v>100000</v>
      </c>
      <c r="D671" s="247">
        <v>0</v>
      </c>
      <c r="E671" s="247">
        <v>100000</v>
      </c>
    </row>
    <row r="672" spans="1:6" ht="14.25" customHeight="1" outlineLevel="1" x14ac:dyDescent="0.25">
      <c r="A672" s="234">
        <v>2318010401</v>
      </c>
      <c r="B672" s="234" t="s">
        <v>2194</v>
      </c>
      <c r="C672" s="235">
        <v>0</v>
      </c>
      <c r="D672" s="235">
        <v>0</v>
      </c>
      <c r="E672" s="235">
        <v>0</v>
      </c>
    </row>
    <row r="673" spans="1:6" ht="14.25" customHeight="1" outlineLevel="1" x14ac:dyDescent="0.25">
      <c r="A673" s="234" t="s">
        <v>2195</v>
      </c>
      <c r="B673" s="234" t="s">
        <v>1674</v>
      </c>
      <c r="C673" s="235">
        <v>0</v>
      </c>
      <c r="D673" s="235">
        <v>0</v>
      </c>
      <c r="E673" s="235">
        <v>0</v>
      </c>
    </row>
    <row r="674" spans="1:6" ht="14.25" customHeight="1" outlineLevel="1" x14ac:dyDescent="0.25">
      <c r="A674" s="234">
        <v>2318010402</v>
      </c>
      <c r="B674" s="234" t="s">
        <v>2196</v>
      </c>
      <c r="C674" s="235">
        <v>100000</v>
      </c>
      <c r="D674" s="235">
        <v>0</v>
      </c>
      <c r="E674" s="235">
        <v>100000</v>
      </c>
    </row>
    <row r="675" spans="1:6" ht="14.25" customHeight="1" outlineLevel="1" x14ac:dyDescent="0.25">
      <c r="A675" s="234" t="s">
        <v>2197</v>
      </c>
      <c r="B675" s="234" t="s">
        <v>1674</v>
      </c>
      <c r="C675" s="235">
        <v>100000</v>
      </c>
      <c r="D675" s="235">
        <v>0</v>
      </c>
      <c r="E675" s="235">
        <v>100000</v>
      </c>
    </row>
    <row r="677" spans="1:6" ht="27" customHeight="1" outlineLevel="1" x14ac:dyDescent="0.25">
      <c r="A677" s="238">
        <v>231803</v>
      </c>
      <c r="B677" s="238" t="s">
        <v>2198</v>
      </c>
      <c r="C677" s="247">
        <v>44000000</v>
      </c>
      <c r="D677" s="247">
        <v>42360000</v>
      </c>
      <c r="E677" s="247">
        <v>1640000</v>
      </c>
    </row>
    <row r="678" spans="1:6" ht="27" customHeight="1" outlineLevel="1" x14ac:dyDescent="0.25">
      <c r="A678" s="234" t="s">
        <v>2199</v>
      </c>
      <c r="B678" s="234" t="s">
        <v>1878</v>
      </c>
      <c r="C678" s="235">
        <v>44000000</v>
      </c>
      <c r="D678" s="235">
        <v>42360000</v>
      </c>
      <c r="E678" s="235">
        <v>1640000</v>
      </c>
    </row>
    <row r="679" spans="1:6" ht="27" customHeight="1" outlineLevel="1" x14ac:dyDescent="0.25">
      <c r="A679" s="248">
        <v>231804</v>
      </c>
      <c r="B679" s="248" t="s">
        <v>2200</v>
      </c>
      <c r="C679" s="249">
        <v>953730076</v>
      </c>
      <c r="D679" s="249">
        <v>66203650</v>
      </c>
      <c r="E679" s="249">
        <v>887526426</v>
      </c>
      <c r="F679" s="282">
        <f>D679/C679</f>
        <v>6.9415499905027642E-2</v>
      </c>
    </row>
    <row r="680" spans="1:6" ht="14.25" customHeight="1" outlineLevel="1" x14ac:dyDescent="0.25">
      <c r="A680" s="234">
        <v>23180403</v>
      </c>
      <c r="B680" s="234" t="s">
        <v>2201</v>
      </c>
      <c r="C680" s="235">
        <v>180000000</v>
      </c>
      <c r="D680" s="235">
        <v>0</v>
      </c>
      <c r="E680" s="235">
        <v>180000000</v>
      </c>
    </row>
    <row r="681" spans="1:6" ht="14.25" customHeight="1" outlineLevel="1" x14ac:dyDescent="0.25">
      <c r="A681" s="234" t="s">
        <v>2202</v>
      </c>
      <c r="B681" s="234" t="s">
        <v>2203</v>
      </c>
      <c r="C681" s="235">
        <v>180000000</v>
      </c>
      <c r="D681" s="235">
        <v>0</v>
      </c>
      <c r="E681" s="235">
        <v>180000000</v>
      </c>
    </row>
    <row r="682" spans="1:6" ht="27" customHeight="1" outlineLevel="1" x14ac:dyDescent="0.25">
      <c r="A682" s="238">
        <v>23180405</v>
      </c>
      <c r="B682" s="238" t="s">
        <v>2204</v>
      </c>
      <c r="C682" s="247">
        <v>90000000</v>
      </c>
      <c r="D682" s="247">
        <v>60000000</v>
      </c>
      <c r="E682" s="247">
        <v>30000000</v>
      </c>
    </row>
    <row r="683" spans="1:6" ht="27" customHeight="1" outlineLevel="1" x14ac:dyDescent="0.25">
      <c r="A683" s="234" t="s">
        <v>2205</v>
      </c>
      <c r="B683" s="234" t="s">
        <v>2206</v>
      </c>
      <c r="C683" s="235">
        <v>70000000</v>
      </c>
      <c r="D683" s="235">
        <v>40000000</v>
      </c>
      <c r="E683" s="235">
        <v>30000000</v>
      </c>
    </row>
    <row r="684" spans="1:6" ht="14.25" customHeight="1" outlineLevel="1" x14ac:dyDescent="0.25">
      <c r="A684" s="234" t="s">
        <v>2207</v>
      </c>
      <c r="B684" s="234" t="s">
        <v>2203</v>
      </c>
      <c r="C684" s="235">
        <v>20000000</v>
      </c>
      <c r="D684" s="235">
        <v>20000000</v>
      </c>
      <c r="E684" s="235">
        <v>0</v>
      </c>
    </row>
    <row r="685" spans="1:6" ht="41.25" customHeight="1" outlineLevel="1" x14ac:dyDescent="0.25">
      <c r="A685" s="238">
        <v>23180406</v>
      </c>
      <c r="B685" s="238" t="s">
        <v>2208</v>
      </c>
      <c r="C685" s="247">
        <v>90000000</v>
      </c>
      <c r="D685" s="247">
        <v>1000660</v>
      </c>
      <c r="E685" s="247">
        <v>88999340</v>
      </c>
    </row>
    <row r="686" spans="1:6" ht="18" customHeight="1" outlineLevel="1" x14ac:dyDescent="0.25">
      <c r="A686" s="234" t="s">
        <v>2209</v>
      </c>
      <c r="B686" s="234" t="s">
        <v>2206</v>
      </c>
      <c r="C686" s="235">
        <v>50000000</v>
      </c>
      <c r="D686" s="235">
        <v>1000660</v>
      </c>
      <c r="E686" s="235">
        <v>48999340</v>
      </c>
    </row>
    <row r="687" spans="1:6" ht="14.25" customHeight="1" outlineLevel="1" x14ac:dyDescent="0.25">
      <c r="A687" s="234" t="s">
        <v>2210</v>
      </c>
      <c r="B687" s="234" t="s">
        <v>2203</v>
      </c>
      <c r="C687" s="235">
        <v>40000000</v>
      </c>
      <c r="D687" s="235">
        <v>0</v>
      </c>
      <c r="E687" s="235">
        <v>40000000</v>
      </c>
    </row>
    <row r="688" spans="1:6" ht="27" customHeight="1" outlineLevel="1" x14ac:dyDescent="0.25">
      <c r="A688" s="234">
        <v>23180407</v>
      </c>
      <c r="B688" s="238" t="s">
        <v>2211</v>
      </c>
      <c r="C688" s="247">
        <v>70000000</v>
      </c>
      <c r="D688" s="247">
        <v>5202990</v>
      </c>
      <c r="E688" s="247">
        <v>64797010</v>
      </c>
    </row>
    <row r="689" spans="1:5" ht="14.25" customHeight="1" outlineLevel="1" x14ac:dyDescent="0.25">
      <c r="A689" s="234" t="s">
        <v>2212</v>
      </c>
      <c r="B689" s="234" t="s">
        <v>2206</v>
      </c>
      <c r="C689" s="235">
        <v>30000000</v>
      </c>
      <c r="D689" s="235">
        <v>1079790</v>
      </c>
      <c r="E689" s="235">
        <v>28920210</v>
      </c>
    </row>
    <row r="690" spans="1:5" ht="14.25" customHeight="1" outlineLevel="1" x14ac:dyDescent="0.25">
      <c r="A690" s="234" t="s">
        <v>2213</v>
      </c>
      <c r="B690" s="234" t="s">
        <v>2203</v>
      </c>
      <c r="C690" s="235">
        <v>40000000</v>
      </c>
      <c r="D690" s="235">
        <v>4123200</v>
      </c>
      <c r="E690" s="235">
        <v>35876800</v>
      </c>
    </row>
    <row r="691" spans="1:5" ht="14.25" customHeight="1" outlineLevel="1" x14ac:dyDescent="0.25">
      <c r="A691" s="234">
        <v>23180408</v>
      </c>
      <c r="B691" s="238" t="s">
        <v>2214</v>
      </c>
      <c r="C691" s="247">
        <v>50000000</v>
      </c>
      <c r="D691" s="247">
        <v>0</v>
      </c>
      <c r="E691" s="247">
        <v>50000000</v>
      </c>
    </row>
    <row r="692" spans="1:5" ht="14.25" customHeight="1" outlineLevel="1" x14ac:dyDescent="0.25">
      <c r="A692" s="234" t="s">
        <v>2215</v>
      </c>
      <c r="B692" s="234" t="s">
        <v>2206</v>
      </c>
      <c r="C692" s="235">
        <v>50000000</v>
      </c>
      <c r="D692" s="235">
        <v>0</v>
      </c>
      <c r="E692" s="235">
        <v>50000000</v>
      </c>
    </row>
    <row r="693" spans="1:5" ht="14.25" customHeight="1" outlineLevel="1" x14ac:dyDescent="0.25">
      <c r="A693" s="234">
        <v>23180409</v>
      </c>
      <c r="B693" s="238" t="s">
        <v>2216</v>
      </c>
      <c r="C693" s="247">
        <v>473730076</v>
      </c>
      <c r="D693" s="247">
        <v>0</v>
      </c>
      <c r="E693" s="247">
        <v>473730076</v>
      </c>
    </row>
    <row r="694" spans="1:5" ht="14.25" customHeight="1" outlineLevel="1" x14ac:dyDescent="0.25">
      <c r="A694" s="234" t="s">
        <v>2217</v>
      </c>
      <c r="B694" s="234" t="s">
        <v>2206</v>
      </c>
      <c r="C694" s="235">
        <v>150000000</v>
      </c>
      <c r="D694" s="235">
        <v>0</v>
      </c>
      <c r="E694" s="235">
        <v>150000000</v>
      </c>
    </row>
    <row r="695" spans="1:5" ht="14.25" customHeight="1" outlineLevel="1" x14ac:dyDescent="0.25">
      <c r="A695" s="234" t="s">
        <v>2218</v>
      </c>
      <c r="B695" s="234" t="s">
        <v>2203</v>
      </c>
      <c r="C695" s="235">
        <v>323730076</v>
      </c>
      <c r="D695" s="235">
        <v>0</v>
      </c>
      <c r="E695" s="235">
        <v>323730076</v>
      </c>
    </row>
    <row r="696" spans="1:5" ht="14.25" customHeight="1" outlineLevel="1" x14ac:dyDescent="0.25">
      <c r="A696" s="238">
        <v>231805</v>
      </c>
      <c r="B696" s="238" t="s">
        <v>2219</v>
      </c>
      <c r="C696" s="247">
        <v>18900000</v>
      </c>
      <c r="D696" s="247">
        <v>18900000</v>
      </c>
      <c r="E696" s="247">
        <v>0</v>
      </c>
    </row>
    <row r="697" spans="1:5" ht="14.25" customHeight="1" outlineLevel="1" x14ac:dyDescent="0.25">
      <c r="A697" s="234" t="s">
        <v>2220</v>
      </c>
      <c r="B697" s="234" t="s">
        <v>1674</v>
      </c>
      <c r="C697" s="235">
        <v>3600000</v>
      </c>
      <c r="D697" s="235">
        <v>3600000</v>
      </c>
      <c r="E697" s="235">
        <v>0</v>
      </c>
    </row>
    <row r="698" spans="1:5" ht="14.25" customHeight="1" outlineLevel="1" x14ac:dyDescent="0.25">
      <c r="A698" s="234" t="s">
        <v>2221</v>
      </c>
      <c r="B698" s="234" t="s">
        <v>1965</v>
      </c>
      <c r="C698" s="235">
        <v>9000000</v>
      </c>
      <c r="D698" s="235">
        <v>9000000</v>
      </c>
      <c r="E698" s="235">
        <v>0</v>
      </c>
    </row>
    <row r="699" spans="1:5" ht="14.25" customHeight="1" outlineLevel="1" x14ac:dyDescent="0.25">
      <c r="A699" s="234" t="s">
        <v>2222</v>
      </c>
      <c r="B699" s="234" t="s">
        <v>1766</v>
      </c>
      <c r="C699" s="235">
        <v>6300000</v>
      </c>
      <c r="D699" s="235">
        <v>6300000</v>
      </c>
      <c r="E699" s="235">
        <v>0</v>
      </c>
    </row>
    <row r="700" spans="1:5" ht="18" customHeight="1" outlineLevel="1" x14ac:dyDescent="0.25">
      <c r="A700" s="238">
        <v>231807</v>
      </c>
      <c r="B700" s="238" t="s">
        <v>2223</v>
      </c>
      <c r="C700" s="247">
        <v>6000000</v>
      </c>
      <c r="D700" s="247">
        <v>0</v>
      </c>
      <c r="E700" s="247">
        <v>6000000</v>
      </c>
    </row>
    <row r="701" spans="1:5" ht="14.25" customHeight="1" outlineLevel="1" x14ac:dyDescent="0.25">
      <c r="A701" s="234" t="s">
        <v>2224</v>
      </c>
      <c r="B701" s="234" t="s">
        <v>1878</v>
      </c>
      <c r="C701" s="235">
        <v>6000000</v>
      </c>
      <c r="D701" s="235">
        <v>0</v>
      </c>
      <c r="E701" s="235">
        <v>6000000</v>
      </c>
    </row>
  </sheetData>
  <autoFilter ref="A1:F701"/>
  <customSheetViews>
    <customSheetView guid="{92B8BA5A-7984-4526-9F7A-187FF856FCAE}" scale="140" showAutoFilter="1" state="hidden">
      <pane ySplit="1" topLeftCell="A315" activePane="bottomLeft" state="frozen"/>
      <selection pane="bottomLeft" activeCell="E324" sqref="E324"/>
      <pageMargins left="0" right="0" top="0" bottom="0" header="0" footer="0"/>
      <pageSetup orientation="portrait" r:id="rId1"/>
      <autoFilter ref="A1:F701"/>
    </customSheetView>
  </customSheetViews>
  <pageMargins left="0.75" right="0.75" top="1" bottom="1" header="0.5" footer="0.5"/>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M115"/>
  <sheetViews>
    <sheetView zoomScale="55" zoomScaleNormal="55" workbookViewId="0">
      <selection activeCell="D10" sqref="D10"/>
    </sheetView>
  </sheetViews>
  <sheetFormatPr baseColWidth="10" defaultColWidth="11.44140625" defaultRowHeight="14.4" x14ac:dyDescent="0.3"/>
  <cols>
    <col min="1" max="1" width="5.5546875" customWidth="1"/>
    <col min="2" max="2" width="44.33203125" customWidth="1"/>
    <col min="3" max="3" width="24.88671875" customWidth="1"/>
    <col min="6" max="6" width="33.5546875" customWidth="1"/>
    <col min="8" max="8" width="31.44140625" customWidth="1"/>
    <col min="11" max="13" width="30.109375" customWidth="1"/>
  </cols>
  <sheetData>
    <row r="5" spans="1:13" ht="86.4" x14ac:dyDescent="0.3">
      <c r="A5" s="89" t="s">
        <v>2225</v>
      </c>
      <c r="B5" s="89" t="s">
        <v>2226</v>
      </c>
      <c r="C5" s="89" t="s">
        <v>2227</v>
      </c>
      <c r="E5" s="156" t="s">
        <v>2228</v>
      </c>
      <c r="F5" s="157" t="s">
        <v>2229</v>
      </c>
      <c r="G5" s="156" t="s">
        <v>2230</v>
      </c>
      <c r="H5" s="157" t="s">
        <v>2231</v>
      </c>
      <c r="I5" s="158" t="s">
        <v>2232</v>
      </c>
      <c r="J5" s="157" t="s">
        <v>2233</v>
      </c>
      <c r="K5" s="157" t="s">
        <v>2234</v>
      </c>
      <c r="L5" s="157" t="s">
        <v>2235</v>
      </c>
      <c r="M5" s="157" t="s">
        <v>2236</v>
      </c>
    </row>
    <row r="6" spans="1:13" ht="110.4" x14ac:dyDescent="0.3">
      <c r="A6" s="89">
        <v>1</v>
      </c>
      <c r="B6" s="89" t="s">
        <v>894</v>
      </c>
      <c r="C6" s="89" t="s">
        <v>2237</v>
      </c>
      <c r="E6" s="159">
        <v>1</v>
      </c>
      <c r="F6" s="160" t="s">
        <v>2238</v>
      </c>
      <c r="G6" s="161">
        <v>1.1000000000000001</v>
      </c>
      <c r="H6" s="160" t="s">
        <v>2239</v>
      </c>
      <c r="I6" s="162" t="s">
        <v>2240</v>
      </c>
      <c r="J6" s="163" t="s">
        <v>2241</v>
      </c>
      <c r="K6" s="163" t="s">
        <v>2242</v>
      </c>
      <c r="L6" s="163" t="s">
        <v>2243</v>
      </c>
      <c r="M6" s="163" t="s">
        <v>2244</v>
      </c>
    </row>
    <row r="7" spans="1:13" ht="110.4" x14ac:dyDescent="0.3">
      <c r="A7" s="89">
        <v>2</v>
      </c>
      <c r="B7" s="89" t="s">
        <v>2245</v>
      </c>
      <c r="C7" s="89">
        <v>6</v>
      </c>
      <c r="E7" s="159">
        <v>1</v>
      </c>
      <c r="F7" s="160" t="s">
        <v>2238</v>
      </c>
      <c r="G7" s="161">
        <v>1.2</v>
      </c>
      <c r="H7" s="160" t="s">
        <v>2246</v>
      </c>
      <c r="I7" s="162" t="s">
        <v>2240</v>
      </c>
      <c r="J7" s="163" t="s">
        <v>2241</v>
      </c>
      <c r="K7" s="163" t="s">
        <v>2242</v>
      </c>
      <c r="L7" s="163" t="s">
        <v>2243</v>
      </c>
      <c r="M7" s="163" t="s">
        <v>2244</v>
      </c>
    </row>
    <row r="8" spans="1:13" ht="82.8" x14ac:dyDescent="0.3">
      <c r="A8" s="89">
        <v>3</v>
      </c>
      <c r="B8" s="89" t="s">
        <v>2247</v>
      </c>
      <c r="C8" s="89" t="s">
        <v>2248</v>
      </c>
      <c r="E8" s="159">
        <v>1</v>
      </c>
      <c r="F8" s="160" t="s">
        <v>2238</v>
      </c>
      <c r="G8" s="161">
        <v>1.3</v>
      </c>
      <c r="H8" s="160" t="s">
        <v>2249</v>
      </c>
      <c r="I8" s="162" t="s">
        <v>2240</v>
      </c>
      <c r="J8" s="163" t="s">
        <v>2241</v>
      </c>
      <c r="K8" s="163" t="s">
        <v>2250</v>
      </c>
      <c r="L8" s="163" t="s">
        <v>2251</v>
      </c>
      <c r="M8" s="163" t="s">
        <v>2252</v>
      </c>
    </row>
    <row r="9" spans="1:13" ht="151.80000000000001" x14ac:dyDescent="0.3">
      <c r="A9" s="89">
        <v>4</v>
      </c>
      <c r="B9" s="89" t="s">
        <v>2242</v>
      </c>
      <c r="C9" s="89" t="s">
        <v>2253</v>
      </c>
      <c r="E9" s="159">
        <v>1</v>
      </c>
      <c r="F9" s="164" t="s">
        <v>2238</v>
      </c>
      <c r="G9" s="161">
        <v>1.4</v>
      </c>
      <c r="H9" s="160" t="s">
        <v>2254</v>
      </c>
      <c r="I9" s="162" t="s">
        <v>2240</v>
      </c>
      <c r="J9" s="163" t="s">
        <v>2241</v>
      </c>
      <c r="K9" s="163" t="s">
        <v>2242</v>
      </c>
      <c r="L9" s="163" t="s">
        <v>2243</v>
      </c>
      <c r="M9" s="163" t="s">
        <v>2244</v>
      </c>
    </row>
    <row r="10" spans="1:13" ht="193.2" x14ac:dyDescent="0.3">
      <c r="A10" s="89">
        <v>5</v>
      </c>
      <c r="B10" s="89" t="s">
        <v>2255</v>
      </c>
      <c r="C10" s="89" t="s">
        <v>2256</v>
      </c>
      <c r="E10" s="159">
        <v>1</v>
      </c>
      <c r="F10" s="164" t="s">
        <v>2238</v>
      </c>
      <c r="G10" s="161">
        <v>1.5</v>
      </c>
      <c r="H10" s="160" t="s">
        <v>2257</v>
      </c>
      <c r="I10" s="162" t="s">
        <v>2240</v>
      </c>
      <c r="J10" s="163" t="s">
        <v>2258</v>
      </c>
      <c r="K10" s="163" t="s">
        <v>2259</v>
      </c>
      <c r="L10" s="163" t="s">
        <v>2260</v>
      </c>
      <c r="M10" s="163" t="s">
        <v>2261</v>
      </c>
    </row>
    <row r="11" spans="1:13" ht="110.4" x14ac:dyDescent="0.3">
      <c r="A11" s="89">
        <v>6</v>
      </c>
      <c r="B11" s="89" t="s">
        <v>169</v>
      </c>
      <c r="C11" s="89">
        <v>11</v>
      </c>
      <c r="E11" s="159">
        <v>1</v>
      </c>
      <c r="F11" s="164" t="s">
        <v>2238</v>
      </c>
      <c r="G11" s="162" t="s">
        <v>2262</v>
      </c>
      <c r="H11" s="164" t="s">
        <v>2263</v>
      </c>
      <c r="I11" s="162" t="s">
        <v>2240</v>
      </c>
      <c r="J11" s="163" t="s">
        <v>2241</v>
      </c>
      <c r="K11" s="163" t="s">
        <v>2242</v>
      </c>
      <c r="L11" s="163" t="s">
        <v>2243</v>
      </c>
      <c r="M11" s="163" t="s">
        <v>2244</v>
      </c>
    </row>
    <row r="12" spans="1:13" ht="110.4" x14ac:dyDescent="0.3">
      <c r="A12" s="89">
        <v>7</v>
      </c>
      <c r="B12" s="89" t="s">
        <v>278</v>
      </c>
      <c r="C12" s="89" t="s">
        <v>2256</v>
      </c>
      <c r="E12" s="159">
        <v>2</v>
      </c>
      <c r="F12" s="165" t="s">
        <v>2264</v>
      </c>
      <c r="G12" s="166">
        <v>2.1</v>
      </c>
      <c r="H12" s="165" t="s">
        <v>2265</v>
      </c>
      <c r="I12" s="162" t="s">
        <v>2240</v>
      </c>
      <c r="J12" s="163" t="s">
        <v>2241</v>
      </c>
      <c r="K12" s="163" t="s">
        <v>2250</v>
      </c>
      <c r="L12" s="163" t="s">
        <v>2251</v>
      </c>
      <c r="M12" s="163" t="s">
        <v>2266</v>
      </c>
    </row>
    <row r="13" spans="1:13" ht="138" x14ac:dyDescent="0.3">
      <c r="A13" s="89">
        <v>8</v>
      </c>
      <c r="B13" s="89" t="s">
        <v>2267</v>
      </c>
      <c r="C13" s="89" t="s">
        <v>2268</v>
      </c>
      <c r="E13" s="159">
        <v>2</v>
      </c>
      <c r="F13" s="165" t="s">
        <v>2264</v>
      </c>
      <c r="G13" s="166">
        <v>2.2000000000000002</v>
      </c>
      <c r="H13" s="167" t="s">
        <v>2269</v>
      </c>
      <c r="I13" s="162" t="s">
        <v>2240</v>
      </c>
      <c r="J13" s="163" t="s">
        <v>2241</v>
      </c>
      <c r="K13" s="163" t="s">
        <v>2250</v>
      </c>
      <c r="L13" s="163" t="s">
        <v>2251</v>
      </c>
      <c r="M13" s="163" t="s">
        <v>2266</v>
      </c>
    </row>
    <row r="14" spans="1:13" ht="193.2" x14ac:dyDescent="0.3">
      <c r="A14" s="89">
        <v>9</v>
      </c>
      <c r="B14" s="89" t="s">
        <v>2270</v>
      </c>
      <c r="C14" s="89">
        <v>4</v>
      </c>
      <c r="E14" s="159">
        <v>2</v>
      </c>
      <c r="F14" s="165" t="s">
        <v>2264</v>
      </c>
      <c r="G14" s="166">
        <v>2.2999999999999998</v>
      </c>
      <c r="H14" s="167" t="s">
        <v>2271</v>
      </c>
      <c r="I14" s="162" t="s">
        <v>2240</v>
      </c>
      <c r="J14" s="163" t="s">
        <v>2272</v>
      </c>
      <c r="K14" s="163" t="s">
        <v>894</v>
      </c>
      <c r="L14" s="163" t="s">
        <v>2273</v>
      </c>
      <c r="M14" s="163" t="s">
        <v>2274</v>
      </c>
    </row>
    <row r="15" spans="1:13" ht="179.4" x14ac:dyDescent="0.3">
      <c r="A15" s="89">
        <v>10</v>
      </c>
      <c r="B15" s="89" t="s">
        <v>2275</v>
      </c>
      <c r="C15" s="89">
        <v>11</v>
      </c>
      <c r="E15" s="159">
        <v>2</v>
      </c>
      <c r="F15" s="168" t="s">
        <v>2264</v>
      </c>
      <c r="G15" s="169">
        <v>2.4</v>
      </c>
      <c r="H15" s="170" t="s">
        <v>2276</v>
      </c>
      <c r="I15" s="162" t="s">
        <v>2240</v>
      </c>
      <c r="J15" s="163" t="s">
        <v>2272</v>
      </c>
      <c r="K15" s="163" t="s">
        <v>894</v>
      </c>
      <c r="L15" s="163" t="s">
        <v>2273</v>
      </c>
      <c r="M15" s="163" t="s">
        <v>2274</v>
      </c>
    </row>
    <row r="16" spans="1:13" ht="207" x14ac:dyDescent="0.3">
      <c r="A16" s="89">
        <v>11</v>
      </c>
      <c r="B16" s="89" t="s">
        <v>2277</v>
      </c>
      <c r="C16" s="89" t="s">
        <v>2278</v>
      </c>
      <c r="E16" s="159">
        <v>2</v>
      </c>
      <c r="F16" s="168" t="s">
        <v>2264</v>
      </c>
      <c r="G16" s="169">
        <v>2.5</v>
      </c>
      <c r="H16" s="170" t="s">
        <v>2279</v>
      </c>
      <c r="I16" s="162" t="s">
        <v>2240</v>
      </c>
      <c r="J16" s="163" t="s">
        <v>2272</v>
      </c>
      <c r="K16" s="163" t="s">
        <v>894</v>
      </c>
      <c r="L16" s="163" t="s">
        <v>2273</v>
      </c>
      <c r="M16" s="163" t="s">
        <v>2274</v>
      </c>
    </row>
    <row r="17" spans="1:13" ht="124.2" x14ac:dyDescent="0.3">
      <c r="A17" s="89">
        <v>12</v>
      </c>
      <c r="B17" s="89" t="s">
        <v>2280</v>
      </c>
      <c r="C17" s="89">
        <v>16</v>
      </c>
      <c r="E17" s="159">
        <v>2</v>
      </c>
      <c r="F17" s="168" t="s">
        <v>2264</v>
      </c>
      <c r="G17" s="169" t="s">
        <v>2281</v>
      </c>
      <c r="H17" s="170" t="s">
        <v>2282</v>
      </c>
      <c r="I17" s="162" t="s">
        <v>2240</v>
      </c>
      <c r="J17" s="163" t="s">
        <v>2272</v>
      </c>
      <c r="K17" s="163" t="s">
        <v>894</v>
      </c>
      <c r="L17" s="163" t="s">
        <v>2273</v>
      </c>
      <c r="M17" s="163" t="s">
        <v>2274</v>
      </c>
    </row>
    <row r="18" spans="1:13" ht="55.2" x14ac:dyDescent="0.3">
      <c r="A18" s="89">
        <v>13</v>
      </c>
      <c r="B18" s="89" t="s">
        <v>2259</v>
      </c>
      <c r="C18" s="89" t="s">
        <v>2283</v>
      </c>
      <c r="E18" s="159">
        <v>3</v>
      </c>
      <c r="F18" s="171" t="s">
        <v>2284</v>
      </c>
      <c r="G18" s="172">
        <v>3.1</v>
      </c>
      <c r="H18" s="171" t="s">
        <v>2285</v>
      </c>
      <c r="I18" s="162" t="s">
        <v>2240</v>
      </c>
      <c r="J18" s="163" t="s">
        <v>2241</v>
      </c>
      <c r="K18" s="163" t="s">
        <v>2250</v>
      </c>
      <c r="L18" s="163" t="s">
        <v>2251</v>
      </c>
      <c r="M18" s="163" t="s">
        <v>2266</v>
      </c>
    </row>
    <row r="19" spans="1:13" ht="124.2" x14ac:dyDescent="0.3">
      <c r="A19" s="89">
        <v>14</v>
      </c>
      <c r="B19" s="89" t="s">
        <v>2286</v>
      </c>
      <c r="C19" s="89" t="s">
        <v>2287</v>
      </c>
      <c r="E19" s="159">
        <v>3</v>
      </c>
      <c r="F19" s="173" t="s">
        <v>2284</v>
      </c>
      <c r="G19" s="174">
        <v>3.2</v>
      </c>
      <c r="H19" s="173" t="s">
        <v>2288</v>
      </c>
      <c r="I19" s="162" t="s">
        <v>2240</v>
      </c>
      <c r="J19" s="163" t="s">
        <v>2241</v>
      </c>
      <c r="K19" s="163" t="s">
        <v>2250</v>
      </c>
      <c r="L19" s="163" t="s">
        <v>2251</v>
      </c>
      <c r="M19" s="163" t="s">
        <v>2266</v>
      </c>
    </row>
    <row r="20" spans="1:13" ht="96.6" x14ac:dyDescent="0.3">
      <c r="A20" s="89">
        <v>15</v>
      </c>
      <c r="B20" s="89" t="s">
        <v>2289</v>
      </c>
      <c r="C20" s="89" t="s">
        <v>2290</v>
      </c>
      <c r="E20" s="159">
        <v>3</v>
      </c>
      <c r="F20" s="171" t="s">
        <v>2284</v>
      </c>
      <c r="G20" s="172">
        <v>3.3</v>
      </c>
      <c r="H20" s="171" t="s">
        <v>2291</v>
      </c>
      <c r="I20" s="162" t="s">
        <v>2240</v>
      </c>
      <c r="J20" s="163" t="s">
        <v>2241</v>
      </c>
      <c r="K20" s="163" t="s">
        <v>2250</v>
      </c>
      <c r="L20" s="163" t="s">
        <v>2251</v>
      </c>
      <c r="M20" s="163" t="s">
        <v>2266</v>
      </c>
    </row>
    <row r="21" spans="1:13" ht="82.8" x14ac:dyDescent="0.3">
      <c r="A21" s="89">
        <v>16</v>
      </c>
      <c r="B21" s="89" t="s">
        <v>2292</v>
      </c>
      <c r="C21" s="89">
        <v>7</v>
      </c>
      <c r="E21" s="159">
        <v>3</v>
      </c>
      <c r="F21" s="171" t="s">
        <v>2284</v>
      </c>
      <c r="G21" s="172">
        <v>3.4</v>
      </c>
      <c r="H21" s="171" t="s">
        <v>2293</v>
      </c>
      <c r="I21" s="162" t="s">
        <v>2240</v>
      </c>
      <c r="J21" s="163" t="s">
        <v>2241</v>
      </c>
      <c r="K21" s="163" t="s">
        <v>2250</v>
      </c>
      <c r="L21" s="163" t="s">
        <v>2251</v>
      </c>
      <c r="M21" s="163" t="s">
        <v>2266</v>
      </c>
    </row>
    <row r="22" spans="1:13" ht="69" x14ac:dyDescent="0.3">
      <c r="A22" s="89">
        <v>17</v>
      </c>
      <c r="B22" s="89" t="s">
        <v>999</v>
      </c>
      <c r="C22" s="89" t="s">
        <v>2294</v>
      </c>
      <c r="E22" s="159">
        <v>3</v>
      </c>
      <c r="F22" s="171" t="s">
        <v>2284</v>
      </c>
      <c r="G22" s="172">
        <v>3.5</v>
      </c>
      <c r="H22" s="171" t="s">
        <v>2295</v>
      </c>
      <c r="I22" s="162" t="s">
        <v>2240</v>
      </c>
      <c r="J22" s="163" t="s">
        <v>2241</v>
      </c>
      <c r="K22" s="163" t="s">
        <v>2250</v>
      </c>
      <c r="L22" s="163" t="s">
        <v>2251</v>
      </c>
      <c r="M22" s="163" t="s">
        <v>2266</v>
      </c>
    </row>
    <row r="23" spans="1:13" ht="55.2" x14ac:dyDescent="0.3">
      <c r="A23" s="89">
        <v>18</v>
      </c>
      <c r="B23" s="89" t="s">
        <v>343</v>
      </c>
      <c r="C23" s="89">
        <v>11</v>
      </c>
      <c r="E23" s="159">
        <v>3</v>
      </c>
      <c r="F23" s="171" t="s">
        <v>2284</v>
      </c>
      <c r="G23" s="172">
        <v>3.6</v>
      </c>
      <c r="H23" s="175" t="s">
        <v>2296</v>
      </c>
      <c r="I23" s="162" t="s">
        <v>2240</v>
      </c>
      <c r="J23" s="163" t="s">
        <v>2241</v>
      </c>
      <c r="K23" s="163" t="s">
        <v>2250</v>
      </c>
      <c r="L23" s="163" t="s">
        <v>2251</v>
      </c>
      <c r="M23" s="163" t="s">
        <v>2266</v>
      </c>
    </row>
    <row r="24" spans="1:13" ht="96.6" x14ac:dyDescent="0.3">
      <c r="E24" s="159">
        <v>3</v>
      </c>
      <c r="F24" s="171" t="s">
        <v>2284</v>
      </c>
      <c r="G24" s="172">
        <v>3.7</v>
      </c>
      <c r="H24" s="175" t="s">
        <v>2297</v>
      </c>
      <c r="I24" s="162" t="s">
        <v>2240</v>
      </c>
      <c r="J24" s="163" t="s">
        <v>2241</v>
      </c>
      <c r="K24" s="163" t="s">
        <v>2250</v>
      </c>
      <c r="L24" s="163" t="s">
        <v>2251</v>
      </c>
      <c r="M24" s="163" t="s">
        <v>2266</v>
      </c>
    </row>
    <row r="25" spans="1:13" ht="96.6" x14ac:dyDescent="0.3">
      <c r="E25" s="159">
        <v>3</v>
      </c>
      <c r="F25" s="171" t="s">
        <v>2284</v>
      </c>
      <c r="G25" s="172">
        <v>3.8</v>
      </c>
      <c r="H25" s="175" t="s">
        <v>2298</v>
      </c>
      <c r="I25" s="162" t="s">
        <v>2240</v>
      </c>
      <c r="J25" s="163" t="s">
        <v>2241</v>
      </c>
      <c r="K25" s="163" t="s">
        <v>2250</v>
      </c>
      <c r="L25" s="163" t="s">
        <v>2251</v>
      </c>
      <c r="M25" s="163" t="s">
        <v>2299</v>
      </c>
    </row>
    <row r="26" spans="1:13" ht="82.8" x14ac:dyDescent="0.3">
      <c r="E26" s="159">
        <v>3</v>
      </c>
      <c r="F26" s="171" t="s">
        <v>2284</v>
      </c>
      <c r="G26" s="172">
        <v>3.9</v>
      </c>
      <c r="H26" s="175" t="s">
        <v>2300</v>
      </c>
      <c r="I26" s="162" t="s">
        <v>2240</v>
      </c>
      <c r="J26" s="163" t="s">
        <v>2241</v>
      </c>
      <c r="K26" s="163" t="s">
        <v>2250</v>
      </c>
      <c r="L26" s="163" t="s">
        <v>2251</v>
      </c>
      <c r="M26" s="163" t="s">
        <v>2266</v>
      </c>
    </row>
    <row r="27" spans="1:13" ht="124.2" x14ac:dyDescent="0.3">
      <c r="E27" s="159">
        <v>3</v>
      </c>
      <c r="F27" s="171" t="s">
        <v>2284</v>
      </c>
      <c r="G27" s="172" t="s">
        <v>2301</v>
      </c>
      <c r="H27" s="175" t="s">
        <v>2302</v>
      </c>
      <c r="I27" s="162" t="s">
        <v>2240</v>
      </c>
      <c r="J27" s="163" t="s">
        <v>2241</v>
      </c>
      <c r="K27" s="163" t="s">
        <v>2250</v>
      </c>
      <c r="L27" s="163" t="s">
        <v>2251</v>
      </c>
      <c r="M27" s="163" t="s">
        <v>2299</v>
      </c>
    </row>
    <row r="28" spans="1:13" ht="138" x14ac:dyDescent="0.3">
      <c r="E28" s="159">
        <v>4</v>
      </c>
      <c r="F28" s="176" t="s">
        <v>2303</v>
      </c>
      <c r="G28" s="177">
        <v>4.0999999999999996</v>
      </c>
      <c r="H28" s="176" t="s">
        <v>2304</v>
      </c>
      <c r="I28" s="162" t="s">
        <v>2240</v>
      </c>
      <c r="J28" s="163" t="s">
        <v>2241</v>
      </c>
      <c r="K28" s="163" t="s">
        <v>2305</v>
      </c>
      <c r="L28" s="163" t="s">
        <v>2306</v>
      </c>
      <c r="M28" s="163" t="s">
        <v>2307</v>
      </c>
    </row>
    <row r="29" spans="1:13" ht="138" x14ac:dyDescent="0.3">
      <c r="E29" s="159">
        <v>4</v>
      </c>
      <c r="F29" s="178" t="s">
        <v>2303</v>
      </c>
      <c r="G29" s="179">
        <v>4.2</v>
      </c>
      <c r="H29" s="178" t="s">
        <v>2308</v>
      </c>
      <c r="I29" s="162" t="s">
        <v>2240</v>
      </c>
      <c r="J29" s="163" t="s">
        <v>2241</v>
      </c>
      <c r="K29" s="163" t="s">
        <v>2305</v>
      </c>
      <c r="L29" s="163" t="s">
        <v>2306</v>
      </c>
      <c r="M29" s="163" t="s">
        <v>2309</v>
      </c>
    </row>
    <row r="30" spans="1:13" ht="138" x14ac:dyDescent="0.3">
      <c r="E30" s="159">
        <v>4</v>
      </c>
      <c r="F30" s="178" t="s">
        <v>2303</v>
      </c>
      <c r="G30" s="179">
        <v>4.3</v>
      </c>
      <c r="H30" s="178" t="s">
        <v>2310</v>
      </c>
      <c r="I30" s="162" t="s">
        <v>2240</v>
      </c>
      <c r="J30" s="163" t="s">
        <v>2241</v>
      </c>
      <c r="K30" s="163" t="s">
        <v>2305</v>
      </c>
      <c r="L30" s="163" t="s">
        <v>2306</v>
      </c>
      <c r="M30" s="163" t="s">
        <v>2309</v>
      </c>
    </row>
    <row r="31" spans="1:13" ht="96.6" x14ac:dyDescent="0.3">
      <c r="E31" s="159">
        <v>4</v>
      </c>
      <c r="F31" s="178" t="s">
        <v>2303</v>
      </c>
      <c r="G31" s="179">
        <v>4.4000000000000004</v>
      </c>
      <c r="H31" s="178" t="s">
        <v>2311</v>
      </c>
      <c r="I31" s="162" t="s">
        <v>2240</v>
      </c>
      <c r="J31" s="163" t="s">
        <v>2272</v>
      </c>
      <c r="K31" s="163" t="s">
        <v>2312</v>
      </c>
      <c r="L31" s="163" t="s">
        <v>2273</v>
      </c>
      <c r="M31" s="163" t="s">
        <v>2313</v>
      </c>
    </row>
    <row r="32" spans="1:13" ht="138" x14ac:dyDescent="0.3">
      <c r="E32" s="159">
        <v>4</v>
      </c>
      <c r="F32" s="178" t="s">
        <v>2303</v>
      </c>
      <c r="G32" s="179">
        <v>4.5</v>
      </c>
      <c r="H32" s="178" t="s">
        <v>2314</v>
      </c>
      <c r="I32" s="162" t="s">
        <v>2240</v>
      </c>
      <c r="J32" s="163" t="s">
        <v>2241</v>
      </c>
      <c r="K32" s="163" t="s">
        <v>2305</v>
      </c>
      <c r="L32" s="163" t="s">
        <v>2306</v>
      </c>
      <c r="M32" s="163" t="s">
        <v>2309</v>
      </c>
    </row>
    <row r="33" spans="5:13" ht="138" x14ac:dyDescent="0.3">
      <c r="E33" s="159">
        <v>4</v>
      </c>
      <c r="F33" s="178" t="s">
        <v>2303</v>
      </c>
      <c r="G33" s="179">
        <v>4.5999999999999996</v>
      </c>
      <c r="H33" s="178" t="s">
        <v>2315</v>
      </c>
      <c r="I33" s="162" t="s">
        <v>2240</v>
      </c>
      <c r="J33" s="163" t="s">
        <v>2241</v>
      </c>
      <c r="K33" s="163" t="s">
        <v>2305</v>
      </c>
      <c r="L33" s="163" t="s">
        <v>2306</v>
      </c>
      <c r="M33" s="163" t="s">
        <v>2309</v>
      </c>
    </row>
    <row r="34" spans="5:13" ht="193.2" x14ac:dyDescent="0.3">
      <c r="E34" s="159">
        <v>4</v>
      </c>
      <c r="F34" s="178" t="s">
        <v>2303</v>
      </c>
      <c r="G34" s="179">
        <v>4.7</v>
      </c>
      <c r="H34" s="178" t="s">
        <v>2316</v>
      </c>
      <c r="I34" s="162" t="s">
        <v>2240</v>
      </c>
      <c r="J34" s="163" t="s">
        <v>1351</v>
      </c>
      <c r="K34" s="163" t="s">
        <v>2247</v>
      </c>
      <c r="L34" s="163" t="s">
        <v>2317</v>
      </c>
      <c r="M34" s="163" t="s">
        <v>2318</v>
      </c>
    </row>
    <row r="35" spans="5:13" ht="138" x14ac:dyDescent="0.3">
      <c r="E35" s="159">
        <v>4</v>
      </c>
      <c r="F35" s="178" t="s">
        <v>2303</v>
      </c>
      <c r="G35" s="179" t="s">
        <v>2319</v>
      </c>
      <c r="H35" s="178" t="s">
        <v>2320</v>
      </c>
      <c r="I35" s="162" t="s">
        <v>2240</v>
      </c>
      <c r="J35" s="163" t="s">
        <v>2241</v>
      </c>
      <c r="K35" s="163" t="s">
        <v>2305</v>
      </c>
      <c r="L35" s="163" t="s">
        <v>2306</v>
      </c>
      <c r="M35" s="163" t="s">
        <v>2309</v>
      </c>
    </row>
    <row r="36" spans="5:13" ht="220.8" x14ac:dyDescent="0.3">
      <c r="E36" s="159">
        <v>4</v>
      </c>
      <c r="F36" s="178" t="s">
        <v>2303</v>
      </c>
      <c r="G36" s="179" t="s">
        <v>2321</v>
      </c>
      <c r="H36" s="178" t="s">
        <v>2322</v>
      </c>
      <c r="I36" s="162" t="s">
        <v>2240</v>
      </c>
      <c r="J36" s="163" t="s">
        <v>2241</v>
      </c>
      <c r="K36" s="163" t="s">
        <v>2305</v>
      </c>
      <c r="L36" s="163" t="s">
        <v>2306</v>
      </c>
      <c r="M36" s="163" t="s">
        <v>2309</v>
      </c>
    </row>
    <row r="37" spans="5:13" ht="138" x14ac:dyDescent="0.3">
      <c r="E37" s="159">
        <v>4</v>
      </c>
      <c r="F37" s="178" t="s">
        <v>2303</v>
      </c>
      <c r="G37" s="179" t="s">
        <v>2323</v>
      </c>
      <c r="H37" s="178" t="s">
        <v>2324</v>
      </c>
      <c r="I37" s="162" t="s">
        <v>2240</v>
      </c>
      <c r="J37" s="163" t="s">
        <v>2241</v>
      </c>
      <c r="K37" s="163" t="s">
        <v>2305</v>
      </c>
      <c r="L37" s="163" t="s">
        <v>2306</v>
      </c>
      <c r="M37" s="163" t="s">
        <v>2309</v>
      </c>
    </row>
    <row r="38" spans="5:13" ht="110.4" x14ac:dyDescent="0.3">
      <c r="E38" s="159">
        <v>5</v>
      </c>
      <c r="F38" s="180" t="s">
        <v>2325</v>
      </c>
      <c r="G38" s="181">
        <v>5.0999999999999996</v>
      </c>
      <c r="H38" s="180" t="s">
        <v>2326</v>
      </c>
      <c r="I38" s="162" t="s">
        <v>2240</v>
      </c>
      <c r="J38" s="163" t="s">
        <v>2241</v>
      </c>
      <c r="K38" s="163" t="s">
        <v>2242</v>
      </c>
      <c r="L38" s="163" t="s">
        <v>2243</v>
      </c>
      <c r="M38" s="163" t="s">
        <v>2244</v>
      </c>
    </row>
    <row r="39" spans="5:13" ht="110.4" x14ac:dyDescent="0.3">
      <c r="E39" s="159">
        <v>5</v>
      </c>
      <c r="F39" s="180" t="s">
        <v>2325</v>
      </c>
      <c r="G39" s="181">
        <v>5.2</v>
      </c>
      <c r="H39" s="180" t="s">
        <v>2327</v>
      </c>
      <c r="I39" s="162" t="s">
        <v>2240</v>
      </c>
      <c r="J39" s="163" t="s">
        <v>2241</v>
      </c>
      <c r="K39" s="163" t="s">
        <v>2242</v>
      </c>
      <c r="L39" s="163" t="s">
        <v>2243</v>
      </c>
      <c r="M39" s="163" t="s">
        <v>2244</v>
      </c>
    </row>
    <row r="40" spans="5:13" ht="110.4" x14ac:dyDescent="0.3">
      <c r="E40" s="159">
        <v>5</v>
      </c>
      <c r="F40" s="180" t="s">
        <v>2325</v>
      </c>
      <c r="G40" s="181">
        <v>5.3</v>
      </c>
      <c r="H40" s="180" t="s">
        <v>2328</v>
      </c>
      <c r="I40" s="162" t="s">
        <v>2240</v>
      </c>
      <c r="J40" s="163" t="s">
        <v>2241</v>
      </c>
      <c r="K40" s="163" t="s">
        <v>2242</v>
      </c>
      <c r="L40" s="163" t="s">
        <v>2243</v>
      </c>
      <c r="M40" s="163" t="s">
        <v>2244</v>
      </c>
    </row>
    <row r="41" spans="5:13" ht="110.4" x14ac:dyDescent="0.3">
      <c r="E41" s="159">
        <v>5</v>
      </c>
      <c r="F41" s="180" t="s">
        <v>2325</v>
      </c>
      <c r="G41" s="181">
        <v>5.4</v>
      </c>
      <c r="H41" s="180" t="s">
        <v>2329</v>
      </c>
      <c r="I41" s="162" t="s">
        <v>2240</v>
      </c>
      <c r="J41" s="163" t="s">
        <v>2241</v>
      </c>
      <c r="K41" s="163" t="s">
        <v>2312</v>
      </c>
      <c r="L41" s="163" t="s">
        <v>2330</v>
      </c>
      <c r="M41" s="163" t="s">
        <v>2331</v>
      </c>
    </row>
    <row r="42" spans="5:13" ht="82.8" x14ac:dyDescent="0.3">
      <c r="E42" s="159">
        <v>5</v>
      </c>
      <c r="F42" s="180" t="s">
        <v>2325</v>
      </c>
      <c r="G42" s="181">
        <v>5.5</v>
      </c>
      <c r="H42" s="180" t="s">
        <v>2332</v>
      </c>
      <c r="I42" s="162" t="s">
        <v>2240</v>
      </c>
      <c r="J42" s="163" t="s">
        <v>2258</v>
      </c>
      <c r="K42" s="163" t="s">
        <v>2267</v>
      </c>
      <c r="L42" s="163" t="s">
        <v>2243</v>
      </c>
      <c r="M42" s="163" t="s">
        <v>2333</v>
      </c>
    </row>
    <row r="43" spans="5:13" ht="124.2" x14ac:dyDescent="0.3">
      <c r="E43" s="159">
        <v>5</v>
      </c>
      <c r="F43" s="180" t="s">
        <v>2325</v>
      </c>
      <c r="G43" s="181">
        <v>5.6</v>
      </c>
      <c r="H43" s="180" t="s">
        <v>2334</v>
      </c>
      <c r="I43" s="162" t="s">
        <v>2240</v>
      </c>
      <c r="J43" s="163" t="s">
        <v>2241</v>
      </c>
      <c r="K43" s="163" t="s">
        <v>2250</v>
      </c>
      <c r="L43" s="163" t="s">
        <v>2251</v>
      </c>
      <c r="M43" s="163" t="s">
        <v>2266</v>
      </c>
    </row>
    <row r="44" spans="5:13" ht="110.4" x14ac:dyDescent="0.3">
      <c r="E44" s="159">
        <v>5</v>
      </c>
      <c r="F44" s="180" t="s">
        <v>2325</v>
      </c>
      <c r="G44" s="181" t="s">
        <v>2335</v>
      </c>
      <c r="H44" s="180" t="s">
        <v>2336</v>
      </c>
      <c r="I44" s="162" t="s">
        <v>2240</v>
      </c>
      <c r="J44" s="163" t="s">
        <v>2241</v>
      </c>
      <c r="K44" s="163" t="s">
        <v>2242</v>
      </c>
      <c r="L44" s="163" t="s">
        <v>2243</v>
      </c>
      <c r="M44" s="163" t="s">
        <v>2244</v>
      </c>
    </row>
    <row r="45" spans="5:13" ht="110.4" x14ac:dyDescent="0.3">
      <c r="E45" s="159">
        <v>5</v>
      </c>
      <c r="F45" s="180" t="s">
        <v>2325</v>
      </c>
      <c r="G45" s="181" t="s">
        <v>2337</v>
      </c>
      <c r="H45" s="180" t="s">
        <v>2338</v>
      </c>
      <c r="I45" s="162" t="s">
        <v>2240</v>
      </c>
      <c r="J45" s="163" t="s">
        <v>2241</v>
      </c>
      <c r="K45" s="163" t="s">
        <v>2242</v>
      </c>
      <c r="L45" s="163" t="s">
        <v>2243</v>
      </c>
      <c r="M45" s="163" t="s">
        <v>2244</v>
      </c>
    </row>
    <row r="46" spans="5:13" ht="110.4" x14ac:dyDescent="0.3">
      <c r="E46" s="159">
        <v>5</v>
      </c>
      <c r="F46" s="182" t="s">
        <v>2325</v>
      </c>
      <c r="G46" s="183" t="s">
        <v>2339</v>
      </c>
      <c r="H46" s="182" t="s">
        <v>2340</v>
      </c>
      <c r="I46" s="162" t="s">
        <v>2240</v>
      </c>
      <c r="J46" s="163" t="s">
        <v>2241</v>
      </c>
      <c r="K46" s="163" t="s">
        <v>2242</v>
      </c>
      <c r="L46" s="163" t="s">
        <v>2243</v>
      </c>
      <c r="M46" s="163" t="s">
        <v>2244</v>
      </c>
    </row>
    <row r="47" spans="5:13" ht="110.4" x14ac:dyDescent="0.3">
      <c r="E47" s="159">
        <v>6</v>
      </c>
      <c r="F47" s="184" t="s">
        <v>2341</v>
      </c>
      <c r="G47" s="185">
        <v>6.1</v>
      </c>
      <c r="H47" s="184" t="s">
        <v>2342</v>
      </c>
      <c r="I47" s="162" t="s">
        <v>2240</v>
      </c>
      <c r="J47" s="163" t="s">
        <v>2241</v>
      </c>
      <c r="K47" s="163" t="s">
        <v>2245</v>
      </c>
      <c r="L47" s="163" t="s">
        <v>2343</v>
      </c>
      <c r="M47" s="163" t="s">
        <v>2344</v>
      </c>
    </row>
    <row r="48" spans="5:13" ht="110.4" x14ac:dyDescent="0.3">
      <c r="E48" s="159">
        <v>6</v>
      </c>
      <c r="F48" s="186" t="s">
        <v>2341</v>
      </c>
      <c r="G48" s="187">
        <v>6.2</v>
      </c>
      <c r="H48" s="188" t="s">
        <v>2345</v>
      </c>
      <c r="I48" s="162" t="s">
        <v>2240</v>
      </c>
      <c r="J48" s="163" t="s">
        <v>2241</v>
      </c>
      <c r="K48" s="163" t="s">
        <v>2245</v>
      </c>
      <c r="L48" s="163" t="s">
        <v>2343</v>
      </c>
      <c r="M48" s="163" t="s">
        <v>2344</v>
      </c>
    </row>
    <row r="49" spans="5:13" ht="138" x14ac:dyDescent="0.3">
      <c r="E49" s="159">
        <v>6</v>
      </c>
      <c r="F49" s="186" t="s">
        <v>2341</v>
      </c>
      <c r="G49" s="187">
        <v>6.3</v>
      </c>
      <c r="H49" s="188" t="s">
        <v>2346</v>
      </c>
      <c r="I49" s="162" t="s">
        <v>2240</v>
      </c>
      <c r="J49" s="163" t="s">
        <v>1351</v>
      </c>
      <c r="K49" s="163" t="s">
        <v>2247</v>
      </c>
      <c r="L49" s="163" t="s">
        <v>2317</v>
      </c>
      <c r="M49" s="163" t="s">
        <v>2347</v>
      </c>
    </row>
    <row r="50" spans="5:13" ht="124.2" x14ac:dyDescent="0.3">
      <c r="E50" s="159">
        <v>6</v>
      </c>
      <c r="F50" s="186" t="s">
        <v>2341</v>
      </c>
      <c r="G50" s="187">
        <v>6.4</v>
      </c>
      <c r="H50" s="188" t="s">
        <v>2348</v>
      </c>
      <c r="I50" s="162" t="s">
        <v>2240</v>
      </c>
      <c r="J50" s="163" t="s">
        <v>1351</v>
      </c>
      <c r="K50" s="163" t="s">
        <v>2247</v>
      </c>
      <c r="L50" s="163" t="s">
        <v>2317</v>
      </c>
      <c r="M50" s="163" t="s">
        <v>2349</v>
      </c>
    </row>
    <row r="51" spans="5:13" ht="69" x14ac:dyDescent="0.3">
      <c r="E51" s="159">
        <v>6</v>
      </c>
      <c r="F51" s="189" t="s">
        <v>2341</v>
      </c>
      <c r="G51" s="185">
        <v>6.5</v>
      </c>
      <c r="H51" s="184" t="s">
        <v>2350</v>
      </c>
      <c r="I51" s="162" t="s">
        <v>2240</v>
      </c>
      <c r="J51" s="163" t="s">
        <v>1351</v>
      </c>
      <c r="K51" s="163" t="s">
        <v>2247</v>
      </c>
      <c r="L51" s="163" t="s">
        <v>2317</v>
      </c>
      <c r="M51" s="163" t="s">
        <v>2349</v>
      </c>
    </row>
    <row r="52" spans="5:13" ht="55.2" x14ac:dyDescent="0.3">
      <c r="E52" s="159">
        <v>6</v>
      </c>
      <c r="F52" s="189" t="s">
        <v>2341</v>
      </c>
      <c r="G52" s="185">
        <v>6.6</v>
      </c>
      <c r="H52" s="190" t="s">
        <v>2351</v>
      </c>
      <c r="I52" s="162" t="s">
        <v>2240</v>
      </c>
      <c r="J52" s="163" t="s">
        <v>1351</v>
      </c>
      <c r="K52" s="163" t="s">
        <v>2247</v>
      </c>
      <c r="L52" s="163" t="s">
        <v>2317</v>
      </c>
      <c r="M52" s="163" t="s">
        <v>2349</v>
      </c>
    </row>
    <row r="53" spans="5:13" ht="55.2" x14ac:dyDescent="0.3">
      <c r="E53" s="159">
        <v>6</v>
      </c>
      <c r="F53" s="189" t="s">
        <v>2341</v>
      </c>
      <c r="G53" s="185" t="s">
        <v>2352</v>
      </c>
      <c r="H53" s="184" t="s">
        <v>2353</v>
      </c>
      <c r="I53" s="162" t="s">
        <v>2240</v>
      </c>
      <c r="J53" s="163" t="s">
        <v>1351</v>
      </c>
      <c r="K53" s="163" t="s">
        <v>2247</v>
      </c>
      <c r="L53" s="163" t="s">
        <v>2317</v>
      </c>
      <c r="M53" s="163" t="s">
        <v>2349</v>
      </c>
    </row>
    <row r="54" spans="5:13" ht="110.4" x14ac:dyDescent="0.3">
      <c r="E54" s="159">
        <v>7</v>
      </c>
      <c r="F54" s="191" t="s">
        <v>2354</v>
      </c>
      <c r="G54" s="192">
        <v>7.1</v>
      </c>
      <c r="H54" s="191" t="s">
        <v>2355</v>
      </c>
      <c r="I54" s="162" t="s">
        <v>2240</v>
      </c>
      <c r="J54" s="163" t="s">
        <v>2241</v>
      </c>
      <c r="K54" s="163" t="s">
        <v>2356</v>
      </c>
      <c r="L54" s="163" t="s">
        <v>2357</v>
      </c>
      <c r="M54" s="163" t="s">
        <v>2358</v>
      </c>
    </row>
    <row r="55" spans="5:13" ht="110.4" x14ac:dyDescent="0.3">
      <c r="E55" s="159">
        <v>7</v>
      </c>
      <c r="F55" s="193" t="s">
        <v>2354</v>
      </c>
      <c r="G55" s="194">
        <v>7.2</v>
      </c>
      <c r="H55" s="193" t="s">
        <v>2359</v>
      </c>
      <c r="I55" s="162" t="s">
        <v>2240</v>
      </c>
      <c r="J55" s="163" t="s">
        <v>2241</v>
      </c>
      <c r="K55" s="163" t="s">
        <v>2356</v>
      </c>
      <c r="L55" s="163" t="s">
        <v>2357</v>
      </c>
      <c r="M55" s="163" t="s">
        <v>2358</v>
      </c>
    </row>
    <row r="56" spans="5:13" ht="110.4" x14ac:dyDescent="0.3">
      <c r="E56" s="159">
        <v>7</v>
      </c>
      <c r="F56" s="193" t="s">
        <v>2354</v>
      </c>
      <c r="G56" s="194">
        <v>7.3</v>
      </c>
      <c r="H56" s="193" t="s">
        <v>2360</v>
      </c>
      <c r="I56" s="162" t="s">
        <v>2240</v>
      </c>
      <c r="J56" s="163" t="s">
        <v>2241</v>
      </c>
      <c r="K56" s="163" t="s">
        <v>2356</v>
      </c>
      <c r="L56" s="163" t="s">
        <v>2357</v>
      </c>
      <c r="M56" s="163" t="s">
        <v>2358</v>
      </c>
    </row>
    <row r="57" spans="5:13" ht="96.6" x14ac:dyDescent="0.3">
      <c r="E57" s="159">
        <v>8</v>
      </c>
      <c r="F57" s="195" t="s">
        <v>2361</v>
      </c>
      <c r="G57" s="196">
        <v>8.1</v>
      </c>
      <c r="H57" s="195" t="s">
        <v>2362</v>
      </c>
      <c r="I57" s="162" t="s">
        <v>2240</v>
      </c>
      <c r="J57" s="163" t="s">
        <v>2272</v>
      </c>
      <c r="K57" s="163" t="s">
        <v>2312</v>
      </c>
      <c r="L57" s="163" t="s">
        <v>2273</v>
      </c>
      <c r="M57" s="163" t="s">
        <v>2363</v>
      </c>
    </row>
    <row r="58" spans="5:13" ht="96.6" x14ac:dyDescent="0.3">
      <c r="E58" s="159">
        <v>8</v>
      </c>
      <c r="F58" s="197" t="s">
        <v>2361</v>
      </c>
      <c r="G58" s="198">
        <v>8.1999999999999993</v>
      </c>
      <c r="H58" s="197" t="s">
        <v>2364</v>
      </c>
      <c r="I58" s="162" t="s">
        <v>2240</v>
      </c>
      <c r="J58" s="163" t="s">
        <v>2272</v>
      </c>
      <c r="K58" s="163" t="s">
        <v>2312</v>
      </c>
      <c r="L58" s="163" t="s">
        <v>2273</v>
      </c>
      <c r="M58" s="163" t="s">
        <v>2363</v>
      </c>
    </row>
    <row r="59" spans="5:13" ht="138" x14ac:dyDescent="0.3">
      <c r="E59" s="159">
        <v>8</v>
      </c>
      <c r="F59" s="197" t="s">
        <v>2361</v>
      </c>
      <c r="G59" s="198">
        <v>8.3000000000000007</v>
      </c>
      <c r="H59" s="197" t="s">
        <v>2365</v>
      </c>
      <c r="I59" s="162" t="s">
        <v>2240</v>
      </c>
      <c r="J59" s="163" t="s">
        <v>2272</v>
      </c>
      <c r="K59" s="163" t="s">
        <v>2312</v>
      </c>
      <c r="L59" s="163" t="s">
        <v>2366</v>
      </c>
      <c r="M59" s="163" t="s">
        <v>2367</v>
      </c>
    </row>
    <row r="60" spans="5:13" ht="110.4" x14ac:dyDescent="0.3">
      <c r="E60" s="159">
        <v>8</v>
      </c>
      <c r="F60" s="197" t="s">
        <v>2361</v>
      </c>
      <c r="G60" s="198">
        <v>8.5</v>
      </c>
      <c r="H60" s="197" t="s">
        <v>2368</v>
      </c>
      <c r="I60" s="162" t="s">
        <v>2240</v>
      </c>
      <c r="J60" s="163" t="s">
        <v>2272</v>
      </c>
      <c r="K60" s="163" t="s">
        <v>2312</v>
      </c>
      <c r="L60" s="163" t="s">
        <v>2366</v>
      </c>
      <c r="M60" s="163" t="s">
        <v>2367</v>
      </c>
    </row>
    <row r="61" spans="5:13" ht="110.4" x14ac:dyDescent="0.3">
      <c r="E61" s="159">
        <v>8</v>
      </c>
      <c r="F61" s="197" t="s">
        <v>2361</v>
      </c>
      <c r="G61" s="198">
        <v>8.6</v>
      </c>
      <c r="H61" s="197" t="s">
        <v>2369</v>
      </c>
      <c r="I61" s="162" t="s">
        <v>2240</v>
      </c>
      <c r="J61" s="163" t="s">
        <v>2272</v>
      </c>
      <c r="K61" s="163" t="s">
        <v>2312</v>
      </c>
      <c r="L61" s="163" t="s">
        <v>2366</v>
      </c>
      <c r="M61" s="163" t="s">
        <v>2367</v>
      </c>
    </row>
    <row r="62" spans="5:13" ht="151.80000000000001" x14ac:dyDescent="0.3">
      <c r="E62" s="159">
        <v>8</v>
      </c>
      <c r="F62" s="197" t="s">
        <v>2361</v>
      </c>
      <c r="G62" s="198">
        <v>8.6999999999999993</v>
      </c>
      <c r="H62" s="197" t="s">
        <v>2370</v>
      </c>
      <c r="I62" s="162" t="s">
        <v>2240</v>
      </c>
      <c r="J62" s="163" t="s">
        <v>2272</v>
      </c>
      <c r="K62" s="163" t="s">
        <v>2312</v>
      </c>
      <c r="L62" s="163" t="s">
        <v>2366</v>
      </c>
      <c r="M62" s="163" t="s">
        <v>2367</v>
      </c>
    </row>
    <row r="63" spans="5:13" ht="110.4" x14ac:dyDescent="0.3">
      <c r="E63" s="159">
        <v>8</v>
      </c>
      <c r="F63" s="197" t="s">
        <v>2361</v>
      </c>
      <c r="G63" s="198">
        <v>8.8000000000000007</v>
      </c>
      <c r="H63" s="197" t="s">
        <v>2371</v>
      </c>
      <c r="I63" s="162" t="s">
        <v>2240</v>
      </c>
      <c r="J63" s="163" t="s">
        <v>2272</v>
      </c>
      <c r="K63" s="163" t="s">
        <v>2312</v>
      </c>
      <c r="L63" s="163" t="s">
        <v>2366</v>
      </c>
      <c r="M63" s="163" t="s">
        <v>2367</v>
      </c>
    </row>
    <row r="64" spans="5:13" ht="69" x14ac:dyDescent="0.3">
      <c r="E64" s="159">
        <v>8</v>
      </c>
      <c r="F64" s="197" t="s">
        <v>2361</v>
      </c>
      <c r="G64" s="198">
        <v>8.9</v>
      </c>
      <c r="H64" s="197" t="s">
        <v>2372</v>
      </c>
      <c r="I64" s="162" t="s">
        <v>2240</v>
      </c>
      <c r="J64" s="163" t="s">
        <v>2272</v>
      </c>
      <c r="K64" s="163" t="s">
        <v>2312</v>
      </c>
      <c r="L64" s="163" t="s">
        <v>2273</v>
      </c>
      <c r="M64" s="163" t="s">
        <v>2363</v>
      </c>
    </row>
    <row r="65" spans="5:13" ht="69" x14ac:dyDescent="0.3">
      <c r="E65" s="159">
        <v>8</v>
      </c>
      <c r="F65" s="195" t="s">
        <v>2361</v>
      </c>
      <c r="G65" s="196" t="s">
        <v>2373</v>
      </c>
      <c r="H65" s="195" t="s">
        <v>2374</v>
      </c>
      <c r="I65" s="162" t="s">
        <v>2240</v>
      </c>
      <c r="J65" s="163" t="s">
        <v>2272</v>
      </c>
      <c r="K65" s="163" t="s">
        <v>2312</v>
      </c>
      <c r="L65" s="163" t="s">
        <v>2273</v>
      </c>
      <c r="M65" s="163" t="s">
        <v>2363</v>
      </c>
    </row>
    <row r="66" spans="5:13" ht="220.8" x14ac:dyDescent="0.3">
      <c r="E66" s="159">
        <v>9</v>
      </c>
      <c r="F66" s="199" t="s">
        <v>2375</v>
      </c>
      <c r="G66" s="200">
        <v>9.1</v>
      </c>
      <c r="H66" s="199" t="s">
        <v>2376</v>
      </c>
      <c r="I66" s="162" t="s">
        <v>2240</v>
      </c>
      <c r="J66" s="163" t="s">
        <v>2272</v>
      </c>
      <c r="K66" s="163" t="s">
        <v>999</v>
      </c>
      <c r="L66" s="163" t="s">
        <v>2377</v>
      </c>
      <c r="M66" s="163" t="s">
        <v>2378</v>
      </c>
    </row>
    <row r="67" spans="5:13" ht="96.6" x14ac:dyDescent="0.3">
      <c r="E67" s="159">
        <v>9</v>
      </c>
      <c r="F67" s="199" t="s">
        <v>2375</v>
      </c>
      <c r="G67" s="200">
        <v>9.3000000000000007</v>
      </c>
      <c r="H67" s="199" t="s">
        <v>2379</v>
      </c>
      <c r="I67" s="162" t="s">
        <v>2240</v>
      </c>
      <c r="J67" s="163" t="s">
        <v>2272</v>
      </c>
      <c r="K67" s="163" t="s">
        <v>2312</v>
      </c>
      <c r="L67" s="163" t="s">
        <v>2273</v>
      </c>
      <c r="M67" s="163" t="s">
        <v>2313</v>
      </c>
    </row>
    <row r="68" spans="5:13" ht="165.6" x14ac:dyDescent="0.3">
      <c r="E68" s="159">
        <v>9</v>
      </c>
      <c r="F68" s="199" t="s">
        <v>2375</v>
      </c>
      <c r="G68" s="200">
        <v>9.5</v>
      </c>
      <c r="H68" s="199" t="s">
        <v>2380</v>
      </c>
      <c r="I68" s="162" t="s">
        <v>2240</v>
      </c>
      <c r="J68" s="163" t="s">
        <v>2272</v>
      </c>
      <c r="K68" s="163" t="s">
        <v>2312</v>
      </c>
      <c r="L68" s="163" t="s">
        <v>2273</v>
      </c>
      <c r="M68" s="163" t="s">
        <v>2313</v>
      </c>
    </row>
    <row r="69" spans="5:13" ht="82.8" x14ac:dyDescent="0.3">
      <c r="E69" s="159">
        <v>9</v>
      </c>
      <c r="F69" s="199" t="s">
        <v>2375</v>
      </c>
      <c r="G69" s="200" t="s">
        <v>2381</v>
      </c>
      <c r="H69" s="199" t="s">
        <v>2382</v>
      </c>
      <c r="I69" s="162" t="s">
        <v>2240</v>
      </c>
      <c r="J69" s="163" t="s">
        <v>2272</v>
      </c>
      <c r="K69" s="163" t="s">
        <v>2312</v>
      </c>
      <c r="L69" s="163" t="s">
        <v>2273</v>
      </c>
      <c r="M69" s="163" t="s">
        <v>2313</v>
      </c>
    </row>
    <row r="70" spans="5:13" ht="110.4" x14ac:dyDescent="0.3">
      <c r="E70" s="159">
        <v>10</v>
      </c>
      <c r="F70" s="201" t="s">
        <v>2383</v>
      </c>
      <c r="G70" s="202">
        <v>10.1</v>
      </c>
      <c r="H70" s="201" t="s">
        <v>2384</v>
      </c>
      <c r="I70" s="162" t="s">
        <v>2240</v>
      </c>
      <c r="J70" s="163" t="s">
        <v>2241</v>
      </c>
      <c r="K70" s="163" t="s">
        <v>2242</v>
      </c>
      <c r="L70" s="163" t="s">
        <v>2243</v>
      </c>
      <c r="M70" s="163" t="s">
        <v>2244</v>
      </c>
    </row>
    <row r="71" spans="5:13" ht="110.4" x14ac:dyDescent="0.3">
      <c r="E71" s="159">
        <v>10</v>
      </c>
      <c r="F71" s="201" t="s">
        <v>2383</v>
      </c>
      <c r="G71" s="203">
        <v>10.199999999999999</v>
      </c>
      <c r="H71" s="204" t="s">
        <v>2385</v>
      </c>
      <c r="I71" s="162" t="s">
        <v>2240</v>
      </c>
      <c r="J71" s="163" t="s">
        <v>2241</v>
      </c>
      <c r="K71" s="163" t="s">
        <v>2242</v>
      </c>
      <c r="L71" s="163" t="s">
        <v>2243</v>
      </c>
      <c r="M71" s="163" t="s">
        <v>2244</v>
      </c>
    </row>
    <row r="72" spans="5:13" ht="110.4" x14ac:dyDescent="0.3">
      <c r="E72" s="159">
        <v>10</v>
      </c>
      <c r="F72" s="201" t="s">
        <v>2383</v>
      </c>
      <c r="G72" s="202">
        <v>10.3</v>
      </c>
      <c r="H72" s="201" t="s">
        <v>2386</v>
      </c>
      <c r="I72" s="162" t="s">
        <v>2240</v>
      </c>
      <c r="J72" s="163" t="s">
        <v>2241</v>
      </c>
      <c r="K72" s="163" t="s">
        <v>2242</v>
      </c>
      <c r="L72" s="163" t="s">
        <v>2243</v>
      </c>
      <c r="M72" s="163" t="s">
        <v>2244</v>
      </c>
    </row>
    <row r="73" spans="5:13" ht="124.2" x14ac:dyDescent="0.3">
      <c r="E73" s="159">
        <v>11</v>
      </c>
      <c r="F73" s="205" t="s">
        <v>2387</v>
      </c>
      <c r="G73" s="206">
        <v>11.1</v>
      </c>
      <c r="H73" s="205" t="s">
        <v>2388</v>
      </c>
      <c r="I73" s="162" t="s">
        <v>2240</v>
      </c>
      <c r="J73" s="163" t="s">
        <v>2241</v>
      </c>
      <c r="K73" s="163" t="s">
        <v>343</v>
      </c>
      <c r="L73" s="163" t="s">
        <v>2273</v>
      </c>
      <c r="M73" s="163" t="s">
        <v>2389</v>
      </c>
    </row>
    <row r="74" spans="5:13" ht="151.80000000000001" x14ac:dyDescent="0.3">
      <c r="E74" s="159">
        <v>11</v>
      </c>
      <c r="F74" s="205" t="s">
        <v>2387</v>
      </c>
      <c r="G74" s="206">
        <v>11.2</v>
      </c>
      <c r="H74" s="205" t="s">
        <v>2390</v>
      </c>
      <c r="I74" s="162" t="s">
        <v>2240</v>
      </c>
      <c r="J74" s="163" t="s">
        <v>2272</v>
      </c>
      <c r="K74" s="163" t="s">
        <v>999</v>
      </c>
      <c r="L74" s="163" t="s">
        <v>2377</v>
      </c>
      <c r="M74" s="163" t="s">
        <v>2391</v>
      </c>
    </row>
    <row r="75" spans="5:13" ht="124.2" x14ac:dyDescent="0.3">
      <c r="E75" s="159">
        <v>11</v>
      </c>
      <c r="F75" s="205" t="s">
        <v>2387</v>
      </c>
      <c r="G75" s="206">
        <v>11.3</v>
      </c>
      <c r="H75" s="207" t="s">
        <v>2392</v>
      </c>
      <c r="I75" s="162" t="s">
        <v>2240</v>
      </c>
      <c r="J75" s="163" t="s">
        <v>2241</v>
      </c>
      <c r="K75" s="163" t="s">
        <v>343</v>
      </c>
      <c r="L75" s="163" t="s">
        <v>2273</v>
      </c>
      <c r="M75" s="163" t="s">
        <v>2389</v>
      </c>
    </row>
    <row r="76" spans="5:13" ht="138" x14ac:dyDescent="0.3">
      <c r="E76" s="159">
        <v>11</v>
      </c>
      <c r="F76" s="205" t="s">
        <v>2387</v>
      </c>
      <c r="G76" s="206">
        <v>11.4</v>
      </c>
      <c r="H76" s="205" t="s">
        <v>2393</v>
      </c>
      <c r="I76" s="162" t="s">
        <v>2240</v>
      </c>
      <c r="J76" s="163" t="s">
        <v>2241</v>
      </c>
      <c r="K76" s="163" t="s">
        <v>169</v>
      </c>
      <c r="L76" s="163" t="s">
        <v>2394</v>
      </c>
      <c r="M76" s="163" t="s">
        <v>2395</v>
      </c>
    </row>
    <row r="77" spans="5:13" ht="193.2" x14ac:dyDescent="0.3">
      <c r="E77" s="159">
        <v>11</v>
      </c>
      <c r="F77" s="205" t="s">
        <v>2387</v>
      </c>
      <c r="G77" s="206">
        <v>11.5</v>
      </c>
      <c r="H77" s="205" t="s">
        <v>2396</v>
      </c>
      <c r="I77" s="162" t="s">
        <v>2240</v>
      </c>
      <c r="J77" s="163" t="s">
        <v>2258</v>
      </c>
      <c r="K77" s="163" t="s">
        <v>2259</v>
      </c>
      <c r="L77" s="163" t="s">
        <v>2260</v>
      </c>
      <c r="M77" s="163" t="s">
        <v>2261</v>
      </c>
    </row>
    <row r="78" spans="5:13" ht="96.6" x14ac:dyDescent="0.3">
      <c r="E78" s="159">
        <v>11</v>
      </c>
      <c r="F78" s="205" t="s">
        <v>2387</v>
      </c>
      <c r="G78" s="206">
        <v>11.6</v>
      </c>
      <c r="H78" s="205" t="s">
        <v>2397</v>
      </c>
      <c r="I78" s="162" t="s">
        <v>2240</v>
      </c>
      <c r="J78" s="163" t="s">
        <v>1351</v>
      </c>
      <c r="K78" s="163" t="s">
        <v>2247</v>
      </c>
      <c r="L78" s="163" t="s">
        <v>2398</v>
      </c>
      <c r="M78" s="163" t="s">
        <v>2318</v>
      </c>
    </row>
    <row r="79" spans="5:13" ht="96.6" x14ac:dyDescent="0.3">
      <c r="E79" s="159">
        <v>11</v>
      </c>
      <c r="F79" s="205" t="s">
        <v>2387</v>
      </c>
      <c r="G79" s="206">
        <v>11.7</v>
      </c>
      <c r="H79" s="205" t="s">
        <v>2399</v>
      </c>
      <c r="I79" s="162" t="s">
        <v>2240</v>
      </c>
      <c r="J79" s="163" t="s">
        <v>2241</v>
      </c>
      <c r="K79" s="163" t="s">
        <v>2275</v>
      </c>
      <c r="L79" s="163" t="s">
        <v>2243</v>
      </c>
      <c r="M79" s="163" t="s">
        <v>2400</v>
      </c>
    </row>
    <row r="80" spans="5:13" ht="69" x14ac:dyDescent="0.3">
      <c r="E80" s="159">
        <v>11</v>
      </c>
      <c r="F80" s="205" t="s">
        <v>2387</v>
      </c>
      <c r="G80" s="206" t="s">
        <v>2401</v>
      </c>
      <c r="H80" s="207" t="s">
        <v>2402</v>
      </c>
      <c r="I80" s="162" t="s">
        <v>2240</v>
      </c>
      <c r="J80" s="163" t="s">
        <v>2272</v>
      </c>
      <c r="K80" s="163" t="s">
        <v>2312</v>
      </c>
      <c r="L80" s="163" t="s">
        <v>2273</v>
      </c>
      <c r="M80" s="163" t="s">
        <v>2363</v>
      </c>
    </row>
    <row r="81" spans="5:13" ht="207" x14ac:dyDescent="0.3">
      <c r="E81" s="159">
        <v>11</v>
      </c>
      <c r="F81" s="205" t="s">
        <v>2387</v>
      </c>
      <c r="G81" s="206" t="s">
        <v>2403</v>
      </c>
      <c r="H81" s="205" t="s">
        <v>2404</v>
      </c>
      <c r="I81" s="162" t="s">
        <v>2240</v>
      </c>
      <c r="J81" s="163" t="s">
        <v>1351</v>
      </c>
      <c r="K81" s="163" t="s">
        <v>2247</v>
      </c>
      <c r="L81" s="163" t="s">
        <v>2405</v>
      </c>
      <c r="M81" s="163" t="s">
        <v>2318</v>
      </c>
    </row>
    <row r="82" spans="5:13" ht="82.8" x14ac:dyDescent="0.3">
      <c r="E82" s="159">
        <v>12</v>
      </c>
      <c r="F82" s="208" t="s">
        <v>2406</v>
      </c>
      <c r="G82" s="209">
        <v>12.2</v>
      </c>
      <c r="H82" s="208" t="s">
        <v>2407</v>
      </c>
      <c r="I82" s="162" t="s">
        <v>2240</v>
      </c>
      <c r="J82" s="163" t="s">
        <v>1351</v>
      </c>
      <c r="K82" s="163" t="s">
        <v>2247</v>
      </c>
      <c r="L82" s="163" t="s">
        <v>2405</v>
      </c>
      <c r="M82" s="163" t="s">
        <v>2318</v>
      </c>
    </row>
    <row r="83" spans="5:13" ht="96.6" x14ac:dyDescent="0.3">
      <c r="E83" s="159">
        <v>12</v>
      </c>
      <c r="F83" s="208" t="s">
        <v>2406</v>
      </c>
      <c r="G83" s="209">
        <v>12.3</v>
      </c>
      <c r="H83" s="208" t="s">
        <v>2408</v>
      </c>
      <c r="I83" s="162" t="s">
        <v>2240</v>
      </c>
      <c r="J83" s="163" t="s">
        <v>2272</v>
      </c>
      <c r="K83" s="163" t="s">
        <v>894</v>
      </c>
      <c r="L83" s="163" t="s">
        <v>2273</v>
      </c>
      <c r="M83" s="163" t="s">
        <v>2274</v>
      </c>
    </row>
    <row r="84" spans="5:13" ht="138" x14ac:dyDescent="0.3">
      <c r="E84" s="159">
        <v>12</v>
      </c>
      <c r="F84" s="208" t="s">
        <v>2406</v>
      </c>
      <c r="G84" s="209">
        <v>12.4</v>
      </c>
      <c r="H84" s="208" t="s">
        <v>2409</v>
      </c>
      <c r="I84" s="162" t="s">
        <v>2240</v>
      </c>
      <c r="J84" s="163" t="s">
        <v>1351</v>
      </c>
      <c r="K84" s="163" t="s">
        <v>2247</v>
      </c>
      <c r="L84" s="163" t="s">
        <v>2405</v>
      </c>
      <c r="M84" s="163" t="s">
        <v>2318</v>
      </c>
    </row>
    <row r="85" spans="5:13" ht="82.8" x14ac:dyDescent="0.3">
      <c r="E85" s="159">
        <v>12</v>
      </c>
      <c r="F85" s="208" t="s">
        <v>2406</v>
      </c>
      <c r="G85" s="209">
        <v>12.5</v>
      </c>
      <c r="H85" s="208" t="s">
        <v>2410</v>
      </c>
      <c r="I85" s="162" t="s">
        <v>2240</v>
      </c>
      <c r="J85" s="163" t="s">
        <v>1351</v>
      </c>
      <c r="K85" s="163" t="s">
        <v>2247</v>
      </c>
      <c r="L85" s="163" t="s">
        <v>2405</v>
      </c>
      <c r="M85" s="163" t="s">
        <v>2318</v>
      </c>
    </row>
    <row r="86" spans="5:13" ht="96.6" x14ac:dyDescent="0.3">
      <c r="E86" s="159">
        <v>12</v>
      </c>
      <c r="F86" s="208" t="s">
        <v>2406</v>
      </c>
      <c r="G86" s="209">
        <v>12.7</v>
      </c>
      <c r="H86" s="208" t="s">
        <v>2411</v>
      </c>
      <c r="I86" s="162" t="s">
        <v>2240</v>
      </c>
      <c r="J86" s="163" t="s">
        <v>2258</v>
      </c>
      <c r="K86" s="163" t="s">
        <v>2277</v>
      </c>
      <c r="L86" s="163" t="s">
        <v>2412</v>
      </c>
      <c r="M86" s="163" t="s">
        <v>2413</v>
      </c>
    </row>
    <row r="87" spans="5:13" ht="82.8" x14ac:dyDescent="0.3">
      <c r="E87" s="159">
        <v>12</v>
      </c>
      <c r="F87" s="208" t="s">
        <v>2406</v>
      </c>
      <c r="G87" s="209" t="s">
        <v>2414</v>
      </c>
      <c r="H87" s="208" t="s">
        <v>2415</v>
      </c>
      <c r="I87" s="162" t="s">
        <v>2240</v>
      </c>
      <c r="J87" s="163" t="s">
        <v>2272</v>
      </c>
      <c r="K87" s="163" t="s">
        <v>2312</v>
      </c>
      <c r="L87" s="163" t="s">
        <v>2273</v>
      </c>
      <c r="M87" s="163" t="s">
        <v>2363</v>
      </c>
    </row>
    <row r="88" spans="5:13" ht="193.2" x14ac:dyDescent="0.3">
      <c r="E88" s="159">
        <v>13</v>
      </c>
      <c r="F88" s="165" t="s">
        <v>2416</v>
      </c>
      <c r="G88" s="166">
        <v>13.1</v>
      </c>
      <c r="H88" s="165" t="s">
        <v>2417</v>
      </c>
      <c r="I88" s="162" t="s">
        <v>2240</v>
      </c>
      <c r="J88" s="163" t="s">
        <v>2258</v>
      </c>
      <c r="K88" s="163" t="s">
        <v>2259</v>
      </c>
      <c r="L88" s="163" t="s">
        <v>2260</v>
      </c>
      <c r="M88" s="163" t="s">
        <v>2261</v>
      </c>
    </row>
    <row r="89" spans="5:13" ht="193.2" x14ac:dyDescent="0.3">
      <c r="E89" s="159">
        <v>13</v>
      </c>
      <c r="F89" s="168" t="s">
        <v>2418</v>
      </c>
      <c r="G89" s="169">
        <v>13.2</v>
      </c>
      <c r="H89" s="168" t="s">
        <v>2419</v>
      </c>
      <c r="I89" s="162" t="s">
        <v>2240</v>
      </c>
      <c r="J89" s="163" t="s">
        <v>2258</v>
      </c>
      <c r="K89" s="163" t="s">
        <v>2259</v>
      </c>
      <c r="L89" s="163" t="s">
        <v>2260</v>
      </c>
      <c r="M89" s="163" t="s">
        <v>2261</v>
      </c>
    </row>
    <row r="90" spans="5:13" ht="193.2" x14ac:dyDescent="0.3">
      <c r="E90" s="159">
        <v>13</v>
      </c>
      <c r="F90" s="168" t="s">
        <v>2418</v>
      </c>
      <c r="G90" s="169">
        <v>13.3</v>
      </c>
      <c r="H90" s="168" t="s">
        <v>2420</v>
      </c>
      <c r="I90" s="162" t="s">
        <v>2240</v>
      </c>
      <c r="J90" s="163" t="s">
        <v>2258</v>
      </c>
      <c r="K90" s="163" t="s">
        <v>2259</v>
      </c>
      <c r="L90" s="163" t="s">
        <v>2260</v>
      </c>
      <c r="M90" s="163" t="s">
        <v>2261</v>
      </c>
    </row>
    <row r="91" spans="5:13" ht="82.8" x14ac:dyDescent="0.3">
      <c r="E91" s="159">
        <v>14</v>
      </c>
      <c r="F91" s="210" t="s">
        <v>2421</v>
      </c>
      <c r="G91" s="211">
        <v>14.1</v>
      </c>
      <c r="H91" s="210" t="s">
        <v>2422</v>
      </c>
      <c r="I91" s="162" t="s">
        <v>2240</v>
      </c>
      <c r="J91" s="163" t="s">
        <v>1351</v>
      </c>
      <c r="K91" s="163" t="s">
        <v>2247</v>
      </c>
      <c r="L91" s="163" t="s">
        <v>2405</v>
      </c>
      <c r="M91" s="163" t="s">
        <v>2318</v>
      </c>
    </row>
    <row r="92" spans="5:13" ht="110.4" x14ac:dyDescent="0.3">
      <c r="E92" s="159">
        <v>14</v>
      </c>
      <c r="F92" s="210" t="s">
        <v>2421</v>
      </c>
      <c r="G92" s="211">
        <v>14.2</v>
      </c>
      <c r="H92" s="210" t="s">
        <v>2423</v>
      </c>
      <c r="I92" s="162" t="s">
        <v>2240</v>
      </c>
      <c r="J92" s="163" t="s">
        <v>1351</v>
      </c>
      <c r="K92" s="163" t="s">
        <v>2247</v>
      </c>
      <c r="L92" s="163" t="s">
        <v>2405</v>
      </c>
      <c r="M92" s="163" t="s">
        <v>2318</v>
      </c>
    </row>
    <row r="93" spans="5:13" ht="179.4" x14ac:dyDescent="0.3">
      <c r="E93" s="159">
        <v>14</v>
      </c>
      <c r="F93" s="210" t="s">
        <v>2421</v>
      </c>
      <c r="G93" s="211">
        <v>14.4</v>
      </c>
      <c r="H93" s="210" t="s">
        <v>2424</v>
      </c>
      <c r="I93" s="162" t="s">
        <v>2240</v>
      </c>
      <c r="J93" s="163" t="s">
        <v>2272</v>
      </c>
      <c r="K93" s="163" t="s">
        <v>2247</v>
      </c>
      <c r="L93" s="163" t="s">
        <v>2405</v>
      </c>
      <c r="M93" s="163" t="s">
        <v>2318</v>
      </c>
    </row>
    <row r="94" spans="5:13" ht="82.8" x14ac:dyDescent="0.3">
      <c r="E94" s="159">
        <v>14</v>
      </c>
      <c r="F94" s="210" t="s">
        <v>2421</v>
      </c>
      <c r="G94" s="211">
        <v>14.5</v>
      </c>
      <c r="H94" s="210" t="s">
        <v>2425</v>
      </c>
      <c r="I94" s="162" t="s">
        <v>2240</v>
      </c>
      <c r="J94" s="163" t="s">
        <v>1351</v>
      </c>
      <c r="K94" s="163" t="s">
        <v>2247</v>
      </c>
      <c r="L94" s="163" t="s">
        <v>2405</v>
      </c>
      <c r="M94" s="163" t="s">
        <v>2318</v>
      </c>
    </row>
    <row r="95" spans="5:13" ht="82.8" x14ac:dyDescent="0.3">
      <c r="E95" s="159">
        <v>14</v>
      </c>
      <c r="F95" s="210" t="s">
        <v>2421</v>
      </c>
      <c r="G95" s="211" t="s">
        <v>2426</v>
      </c>
      <c r="H95" s="210" t="s">
        <v>2427</v>
      </c>
      <c r="I95" s="162" t="s">
        <v>2240</v>
      </c>
      <c r="J95" s="163" t="s">
        <v>2272</v>
      </c>
      <c r="K95" s="163" t="s">
        <v>894</v>
      </c>
      <c r="L95" s="163" t="s">
        <v>2273</v>
      </c>
      <c r="M95" s="163" t="s">
        <v>2274</v>
      </c>
    </row>
    <row r="96" spans="5:13" ht="165.6" x14ac:dyDescent="0.3">
      <c r="E96" s="159">
        <v>15</v>
      </c>
      <c r="F96" s="212" t="s">
        <v>2428</v>
      </c>
      <c r="G96" s="213">
        <v>15.1</v>
      </c>
      <c r="H96" s="212" t="s">
        <v>2429</v>
      </c>
      <c r="I96" s="162" t="s">
        <v>2240</v>
      </c>
      <c r="J96" s="163" t="s">
        <v>1351</v>
      </c>
      <c r="K96" s="163" t="s">
        <v>2247</v>
      </c>
      <c r="L96" s="163" t="s">
        <v>2430</v>
      </c>
      <c r="M96" s="163" t="s">
        <v>2318</v>
      </c>
    </row>
    <row r="97" spans="5:13" ht="165.6" x14ac:dyDescent="0.3">
      <c r="E97" s="159">
        <v>15</v>
      </c>
      <c r="F97" s="212" t="s">
        <v>2428</v>
      </c>
      <c r="G97" s="213">
        <v>15.2</v>
      </c>
      <c r="H97" s="212" t="s">
        <v>2431</v>
      </c>
      <c r="I97" s="162" t="s">
        <v>2240</v>
      </c>
      <c r="J97" s="163" t="s">
        <v>1351</v>
      </c>
      <c r="K97" s="163" t="s">
        <v>2247</v>
      </c>
      <c r="L97" s="163" t="s">
        <v>2430</v>
      </c>
      <c r="M97" s="163" t="s">
        <v>2318</v>
      </c>
    </row>
    <row r="98" spans="5:13" ht="165.6" x14ac:dyDescent="0.3">
      <c r="E98" s="159">
        <v>15</v>
      </c>
      <c r="F98" s="212" t="s">
        <v>2428</v>
      </c>
      <c r="G98" s="213">
        <v>15.3</v>
      </c>
      <c r="H98" s="212" t="s">
        <v>2432</v>
      </c>
      <c r="I98" s="162" t="s">
        <v>2240</v>
      </c>
      <c r="J98" s="163" t="s">
        <v>1351</v>
      </c>
      <c r="K98" s="163" t="s">
        <v>2247</v>
      </c>
      <c r="L98" s="163" t="s">
        <v>2430</v>
      </c>
      <c r="M98" s="163" t="s">
        <v>2318</v>
      </c>
    </row>
    <row r="99" spans="5:13" ht="165.6" x14ac:dyDescent="0.3">
      <c r="E99" s="159">
        <v>15</v>
      </c>
      <c r="F99" s="212" t="s">
        <v>2428</v>
      </c>
      <c r="G99" s="213">
        <v>15.4</v>
      </c>
      <c r="H99" s="212" t="s">
        <v>2433</v>
      </c>
      <c r="I99" s="162" t="s">
        <v>2240</v>
      </c>
      <c r="J99" s="163" t="s">
        <v>1351</v>
      </c>
      <c r="K99" s="163" t="s">
        <v>2247</v>
      </c>
      <c r="L99" s="163" t="s">
        <v>2430</v>
      </c>
      <c r="M99" s="163" t="s">
        <v>2318</v>
      </c>
    </row>
    <row r="100" spans="5:13" ht="165.6" x14ac:dyDescent="0.3">
      <c r="E100" s="159">
        <v>15</v>
      </c>
      <c r="F100" s="212" t="s">
        <v>2428</v>
      </c>
      <c r="G100" s="213">
        <v>15.5</v>
      </c>
      <c r="H100" s="212" t="s">
        <v>2434</v>
      </c>
      <c r="I100" s="162" t="s">
        <v>2240</v>
      </c>
      <c r="J100" s="163" t="s">
        <v>1351</v>
      </c>
      <c r="K100" s="163" t="s">
        <v>2247</v>
      </c>
      <c r="L100" s="163" t="s">
        <v>2430</v>
      </c>
      <c r="M100" s="163" t="s">
        <v>2318</v>
      </c>
    </row>
    <row r="101" spans="5:13" ht="165.6" x14ac:dyDescent="0.3">
      <c r="E101" s="159">
        <v>15</v>
      </c>
      <c r="F101" s="212" t="s">
        <v>2428</v>
      </c>
      <c r="G101" s="213">
        <v>15.7</v>
      </c>
      <c r="H101" s="212" t="s">
        <v>2435</v>
      </c>
      <c r="I101" s="162" t="s">
        <v>2240</v>
      </c>
      <c r="J101" s="163" t="s">
        <v>1351</v>
      </c>
      <c r="K101" s="163" t="s">
        <v>2247</v>
      </c>
      <c r="L101" s="163" t="s">
        <v>2430</v>
      </c>
      <c r="M101" s="163" t="s">
        <v>2318</v>
      </c>
    </row>
    <row r="102" spans="5:13" ht="165.6" x14ac:dyDescent="0.3">
      <c r="E102" s="159">
        <v>15</v>
      </c>
      <c r="F102" s="212" t="s">
        <v>2428</v>
      </c>
      <c r="G102" s="213">
        <v>15.9</v>
      </c>
      <c r="H102" s="212" t="s">
        <v>2436</v>
      </c>
      <c r="I102" s="162" t="s">
        <v>2240</v>
      </c>
      <c r="J102" s="163" t="s">
        <v>2258</v>
      </c>
      <c r="K102" s="163" t="s">
        <v>2247</v>
      </c>
      <c r="L102" s="163" t="s">
        <v>2430</v>
      </c>
      <c r="M102" s="163" t="s">
        <v>2318</v>
      </c>
    </row>
    <row r="103" spans="5:13" ht="165.6" x14ac:dyDescent="0.3">
      <c r="E103" s="159">
        <v>15</v>
      </c>
      <c r="F103" s="212" t="s">
        <v>2428</v>
      </c>
      <c r="G103" s="213" t="s">
        <v>2437</v>
      </c>
      <c r="H103" s="212" t="s">
        <v>2438</v>
      </c>
      <c r="I103" s="162" t="s">
        <v>2240</v>
      </c>
      <c r="J103" s="163" t="s">
        <v>2258</v>
      </c>
      <c r="K103" s="163" t="s">
        <v>2247</v>
      </c>
      <c r="L103" s="163" t="s">
        <v>2430</v>
      </c>
      <c r="M103" s="163" t="s">
        <v>2318</v>
      </c>
    </row>
    <row r="104" spans="5:13" ht="82.8" x14ac:dyDescent="0.3">
      <c r="E104" s="159">
        <v>16</v>
      </c>
      <c r="F104" s="214" t="s">
        <v>2439</v>
      </c>
      <c r="G104" s="215">
        <v>16.100000000000001</v>
      </c>
      <c r="H104" s="214" t="s">
        <v>2440</v>
      </c>
      <c r="I104" s="162" t="s">
        <v>2240</v>
      </c>
      <c r="J104" s="163" t="s">
        <v>2258</v>
      </c>
      <c r="K104" s="163" t="s">
        <v>2280</v>
      </c>
      <c r="L104" s="163" t="s">
        <v>2273</v>
      </c>
      <c r="M104" s="163" t="s">
        <v>2441</v>
      </c>
    </row>
    <row r="105" spans="5:13" ht="82.8" x14ac:dyDescent="0.3">
      <c r="E105" s="159">
        <v>16</v>
      </c>
      <c r="F105" s="214" t="s">
        <v>2439</v>
      </c>
      <c r="G105" s="215">
        <v>16.2</v>
      </c>
      <c r="H105" s="214" t="s">
        <v>2442</v>
      </c>
      <c r="I105" s="162" t="s">
        <v>2240</v>
      </c>
      <c r="J105" s="163" t="s">
        <v>2241</v>
      </c>
      <c r="K105" s="163" t="s">
        <v>2280</v>
      </c>
      <c r="L105" s="163" t="s">
        <v>2273</v>
      </c>
      <c r="M105" s="163" t="s">
        <v>2441</v>
      </c>
    </row>
    <row r="106" spans="5:13" ht="82.8" x14ac:dyDescent="0.3">
      <c r="E106" s="159">
        <v>16</v>
      </c>
      <c r="F106" s="214" t="s">
        <v>2439</v>
      </c>
      <c r="G106" s="215">
        <v>16.3</v>
      </c>
      <c r="H106" s="214" t="s">
        <v>2443</v>
      </c>
      <c r="I106" s="162" t="s">
        <v>2240</v>
      </c>
      <c r="J106" s="163" t="s">
        <v>2258</v>
      </c>
      <c r="K106" s="163" t="s">
        <v>2280</v>
      </c>
      <c r="L106" s="163" t="s">
        <v>2273</v>
      </c>
      <c r="M106" s="163" t="s">
        <v>2441</v>
      </c>
    </row>
    <row r="107" spans="5:13" ht="96.6" x14ac:dyDescent="0.3">
      <c r="E107" s="159">
        <v>16</v>
      </c>
      <c r="F107" s="214" t="s">
        <v>2439</v>
      </c>
      <c r="G107" s="216">
        <v>16.399999999999999</v>
      </c>
      <c r="H107" s="217" t="s">
        <v>2444</v>
      </c>
      <c r="I107" s="162" t="s">
        <v>2240</v>
      </c>
      <c r="J107" s="163" t="s">
        <v>2258</v>
      </c>
      <c r="K107" s="163" t="s">
        <v>2280</v>
      </c>
      <c r="L107" s="163" t="s">
        <v>2273</v>
      </c>
      <c r="M107" s="163" t="s">
        <v>2441</v>
      </c>
    </row>
    <row r="108" spans="5:13" ht="96.6" x14ac:dyDescent="0.3">
      <c r="E108" s="159">
        <v>16</v>
      </c>
      <c r="F108" s="214" t="s">
        <v>2439</v>
      </c>
      <c r="G108" s="215">
        <v>16.5</v>
      </c>
      <c r="H108" s="214" t="s">
        <v>2445</v>
      </c>
      <c r="I108" s="162" t="s">
        <v>2240</v>
      </c>
      <c r="J108" s="163" t="s">
        <v>2258</v>
      </c>
      <c r="K108" s="163" t="s">
        <v>2277</v>
      </c>
      <c r="L108" s="163" t="s">
        <v>2412</v>
      </c>
      <c r="M108" s="163" t="s">
        <v>2446</v>
      </c>
    </row>
    <row r="109" spans="5:13" ht="96.6" x14ac:dyDescent="0.3">
      <c r="E109" s="159">
        <v>16</v>
      </c>
      <c r="F109" s="214" t="s">
        <v>2439</v>
      </c>
      <c r="G109" s="215">
        <v>16.600000000000001</v>
      </c>
      <c r="H109" s="214" t="s">
        <v>2447</v>
      </c>
      <c r="I109" s="162" t="s">
        <v>2240</v>
      </c>
      <c r="J109" s="163" t="s">
        <v>2258</v>
      </c>
      <c r="K109" s="163" t="s">
        <v>2277</v>
      </c>
      <c r="L109" s="163" t="s">
        <v>2412</v>
      </c>
      <c r="M109" s="163" t="s">
        <v>2446</v>
      </c>
    </row>
    <row r="110" spans="5:13" ht="82.8" x14ac:dyDescent="0.3">
      <c r="E110" s="159">
        <v>16</v>
      </c>
      <c r="F110" s="214" t="s">
        <v>2439</v>
      </c>
      <c r="G110" s="215">
        <v>16.7</v>
      </c>
      <c r="H110" s="214" t="s">
        <v>2448</v>
      </c>
      <c r="I110" s="162" t="s">
        <v>2240</v>
      </c>
      <c r="J110" s="163" t="s">
        <v>2258</v>
      </c>
      <c r="K110" s="163" t="s">
        <v>2267</v>
      </c>
      <c r="L110" s="163" t="s">
        <v>2243</v>
      </c>
      <c r="M110" s="163" t="s">
        <v>2449</v>
      </c>
    </row>
    <row r="111" spans="5:13" ht="82.8" x14ac:dyDescent="0.3">
      <c r="E111" s="159">
        <v>16</v>
      </c>
      <c r="F111" s="214" t="s">
        <v>2439</v>
      </c>
      <c r="G111" s="216">
        <v>16.899999999999999</v>
      </c>
      <c r="H111" s="217" t="s">
        <v>2450</v>
      </c>
      <c r="I111" s="162" t="s">
        <v>2240</v>
      </c>
      <c r="J111" s="163" t="s">
        <v>2258</v>
      </c>
      <c r="K111" s="163" t="s">
        <v>2280</v>
      </c>
      <c r="L111" s="163" t="s">
        <v>2243</v>
      </c>
      <c r="M111" s="163" t="s">
        <v>2441</v>
      </c>
    </row>
    <row r="112" spans="5:13" ht="96.6" x14ac:dyDescent="0.3">
      <c r="E112" s="159">
        <v>16</v>
      </c>
      <c r="F112" s="214" t="s">
        <v>2439</v>
      </c>
      <c r="G112" s="215" t="s">
        <v>2451</v>
      </c>
      <c r="H112" s="214" t="s">
        <v>2452</v>
      </c>
      <c r="I112" s="162" t="s">
        <v>2240</v>
      </c>
      <c r="J112" s="163" t="s">
        <v>2258</v>
      </c>
      <c r="K112" s="163" t="s">
        <v>2277</v>
      </c>
      <c r="L112" s="163" t="s">
        <v>2412</v>
      </c>
      <c r="M112" s="163" t="s">
        <v>2446</v>
      </c>
    </row>
    <row r="113" spans="5:13" ht="96.6" x14ac:dyDescent="0.3">
      <c r="E113" s="159">
        <v>17</v>
      </c>
      <c r="F113" s="218" t="s">
        <v>2453</v>
      </c>
      <c r="G113" s="219">
        <v>17.100000000000001</v>
      </c>
      <c r="H113" s="218" t="s">
        <v>2454</v>
      </c>
      <c r="I113" s="162" t="s">
        <v>2240</v>
      </c>
      <c r="J113" s="163" t="s">
        <v>2258</v>
      </c>
      <c r="K113" s="163" t="s">
        <v>2277</v>
      </c>
      <c r="L113" s="163" t="s">
        <v>2412</v>
      </c>
      <c r="M113" s="163" t="s">
        <v>2446</v>
      </c>
    </row>
    <row r="114" spans="5:13" ht="82.8" x14ac:dyDescent="0.3">
      <c r="E114" s="159">
        <v>17</v>
      </c>
      <c r="F114" s="218" t="s">
        <v>2453</v>
      </c>
      <c r="G114" s="219" t="s">
        <v>2455</v>
      </c>
      <c r="H114" s="218" t="s">
        <v>2456</v>
      </c>
      <c r="I114" s="162" t="s">
        <v>2240</v>
      </c>
      <c r="J114" s="163" t="s">
        <v>2258</v>
      </c>
      <c r="K114" s="163" t="s">
        <v>2247</v>
      </c>
      <c r="L114" s="163" t="s">
        <v>2405</v>
      </c>
      <c r="M114" s="163" t="s">
        <v>2318</v>
      </c>
    </row>
    <row r="115" spans="5:13" ht="82.8" x14ac:dyDescent="0.3">
      <c r="E115" s="159">
        <v>17</v>
      </c>
      <c r="F115" s="218" t="s">
        <v>2453</v>
      </c>
      <c r="G115" s="219">
        <v>17.170000000000002</v>
      </c>
      <c r="H115" s="218" t="s">
        <v>2457</v>
      </c>
      <c r="I115" s="162" t="s">
        <v>2240</v>
      </c>
      <c r="J115" s="163" t="s">
        <v>2258</v>
      </c>
      <c r="K115" s="163" t="s">
        <v>2312</v>
      </c>
      <c r="L115" s="163" t="s">
        <v>2273</v>
      </c>
      <c r="M115" s="163" t="s">
        <v>2363</v>
      </c>
    </row>
  </sheetData>
  <customSheetViews>
    <customSheetView guid="{92B8BA5A-7984-4526-9F7A-187FF856FCAE}" scale="55" state="hidden">
      <selection activeCell="D10" sqref="D10"/>
      <pageMargins left="0" right="0" top="0" bottom="0" header="0" footer="0"/>
    </customSheetView>
  </customSheetViews>
  <dataValidations disablePrompts="1" count="2">
    <dataValidation type="list" allowBlank="1" showInputMessage="1" showErrorMessage="1" sqref="K6:K115">
      <formula1>$G$175:$G$194</formula1>
    </dataValidation>
    <dataValidation type="list" allowBlank="1" showInputMessage="1" showErrorMessage="1" sqref="J6:J115">
      <formula1>$F$175:$F$178</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N490"/>
  <sheetViews>
    <sheetView zoomScale="91" zoomScaleNormal="91" zoomScalePageLayoutView="140" workbookViewId="0">
      <pane ySplit="4" topLeftCell="A27" activePane="bottomLeft" state="frozen"/>
      <selection pane="bottomLeft" activeCell="N27" sqref="N27"/>
    </sheetView>
  </sheetViews>
  <sheetFormatPr baseColWidth="10" defaultColWidth="10.88671875" defaultRowHeight="13.2" x14ac:dyDescent="0.25"/>
  <cols>
    <col min="1" max="1" width="4.88671875" style="3" customWidth="1"/>
    <col min="2" max="2" width="5.33203125" style="5" customWidth="1"/>
    <col min="3" max="3" width="4.109375" style="5" customWidth="1"/>
    <col min="4" max="5" width="4.6640625" style="3" customWidth="1"/>
    <col min="6" max="6" width="5.33203125" style="3" customWidth="1"/>
    <col min="7" max="7" width="5.6640625" style="3" customWidth="1"/>
    <col min="8" max="8" width="8.44140625" style="3" customWidth="1"/>
    <col min="9" max="9" width="3.44140625" style="4" customWidth="1"/>
    <col min="10" max="10" width="5.88671875" style="3" customWidth="1"/>
    <col min="11" max="11" width="4" style="3" customWidth="1"/>
    <col min="12" max="12" width="12.44140625" style="3" customWidth="1"/>
    <col min="13" max="13" width="15.44140625" style="252" customWidth="1"/>
    <col min="14" max="14" width="13.6640625" style="3" customWidth="1"/>
    <col min="15" max="15" width="6.88671875" style="252" customWidth="1"/>
    <col min="16" max="16" width="29.109375" style="27" customWidth="1"/>
    <col min="17" max="17" width="9.109375" style="28" customWidth="1"/>
    <col min="18" max="18" width="11.6640625" style="4" hidden="1" customWidth="1"/>
    <col min="19" max="19" width="6.44140625" style="4" customWidth="1"/>
    <col min="20" max="20" width="7" style="4" customWidth="1"/>
    <col min="21" max="21" width="6.33203125" style="46" customWidth="1"/>
    <col min="22" max="22" width="6.44140625" style="46" customWidth="1"/>
    <col min="23" max="23" width="6.33203125" style="46" customWidth="1"/>
    <col min="24" max="24" width="9" style="46" customWidth="1"/>
    <col min="25" max="25" width="8.6640625" style="29" customWidth="1"/>
    <col min="26" max="26" width="9.44140625" style="29" customWidth="1"/>
    <col min="27" max="27" width="11" style="29" customWidth="1"/>
    <col min="28" max="28" width="9.6640625" style="29" customWidth="1"/>
    <col min="29" max="29" width="8.109375" style="29" customWidth="1"/>
    <col min="30" max="30" width="10.33203125" style="29" customWidth="1"/>
    <col min="31" max="31" width="10.109375" style="29" customWidth="1"/>
    <col min="32" max="32" width="14.109375" style="39" customWidth="1"/>
    <col min="33" max="33" width="11.5546875" style="29" customWidth="1"/>
    <col min="34" max="34" width="9" style="29" customWidth="1"/>
    <col min="35" max="35" width="10.6640625" style="29" customWidth="1"/>
    <col min="36" max="36" width="9.6640625" style="29" customWidth="1"/>
    <col min="37" max="37" width="3.6640625" style="29" customWidth="1"/>
    <col min="38" max="38" width="8.6640625" style="29" customWidth="1"/>
    <col min="39" max="39" width="12.109375" style="29" customWidth="1"/>
    <col min="40" max="40" width="9.44140625" style="29" customWidth="1"/>
    <col min="41" max="41" width="8.44140625" style="29" customWidth="1"/>
    <col min="42" max="42" width="10.6640625" style="29" customWidth="1"/>
    <col min="43" max="43" width="7.5546875" style="29" customWidth="1"/>
    <col min="44" max="44" width="4.5546875" style="29" customWidth="1"/>
    <col min="45" max="45" width="5.5546875" style="29" customWidth="1"/>
    <col min="46" max="46" width="8.33203125" style="29" customWidth="1"/>
    <col min="47" max="47" width="12.5546875" style="29" customWidth="1"/>
    <col min="48" max="48" width="9.33203125" style="29" customWidth="1"/>
    <col min="49" max="49" width="9" style="29" customWidth="1"/>
    <col min="50" max="50" width="8.5546875" style="29" customWidth="1"/>
    <col min="51" max="51" width="5.88671875" style="29" customWidth="1"/>
    <col min="52" max="52" width="2.88671875" style="29" customWidth="1"/>
    <col min="53" max="53" width="3.6640625" style="29" customWidth="1"/>
    <col min="54" max="54" width="3.44140625" style="29" customWidth="1"/>
    <col min="55" max="55" width="14" style="29" customWidth="1"/>
    <col min="56" max="63" width="12.6640625" style="29" hidden="1" customWidth="1"/>
    <col min="64" max="64" width="17.33203125" style="40" customWidth="1"/>
    <col min="65" max="16384" width="10.88671875" style="3"/>
  </cols>
  <sheetData>
    <row r="1" spans="1:64" ht="17.25" customHeight="1" x14ac:dyDescent="0.25">
      <c r="B1" s="15" t="s">
        <v>0</v>
      </c>
      <c r="C1" s="15"/>
      <c r="AB1" s="30"/>
      <c r="AE1" s="30"/>
      <c r="AJ1" s="30">
        <v>2200</v>
      </c>
      <c r="AQ1" s="30">
        <v>2000</v>
      </c>
      <c r="AR1" s="30"/>
      <c r="AY1" s="30">
        <v>2000</v>
      </c>
      <c r="BG1" s="30">
        <v>2000</v>
      </c>
    </row>
    <row r="2" spans="1:64" ht="20.25" customHeight="1" x14ac:dyDescent="0.25">
      <c r="A2" s="605"/>
      <c r="B2" s="1533" t="s">
        <v>1</v>
      </c>
      <c r="C2" s="1534"/>
      <c r="D2" s="1534"/>
      <c r="E2" s="1534"/>
      <c r="F2" s="1534"/>
      <c r="G2" s="1534"/>
      <c r="H2" s="1534"/>
      <c r="I2" s="1534"/>
      <c r="J2" s="1534"/>
      <c r="K2" s="1534"/>
      <c r="L2" s="1534"/>
      <c r="M2" s="1535"/>
      <c r="N2" s="606"/>
      <c r="O2" s="606"/>
      <c r="P2" s="606"/>
      <c r="Q2" s="607"/>
      <c r="R2" s="606"/>
      <c r="S2" s="606"/>
      <c r="T2" s="606"/>
      <c r="U2" s="608"/>
      <c r="V2" s="608"/>
      <c r="W2" s="608"/>
      <c r="X2" s="608"/>
      <c r="Y2" s="609">
        <f t="shared" ref="Y2:BK2" si="0">+Y5+Y259+Y355+Y438</f>
        <v>1510.74</v>
      </c>
      <c r="Z2" s="609">
        <f t="shared" si="0"/>
        <v>666.09999999999991</v>
      </c>
      <c r="AA2" s="609">
        <f t="shared" si="0"/>
        <v>20535.189999999995</v>
      </c>
      <c r="AB2" s="609">
        <f t="shared" si="0"/>
        <v>2747</v>
      </c>
      <c r="AC2" s="609">
        <f t="shared" si="0"/>
        <v>0</v>
      </c>
      <c r="AD2" s="609">
        <f t="shared" si="0"/>
        <v>3967.3799999999997</v>
      </c>
      <c r="AE2" s="609">
        <f t="shared" si="0"/>
        <v>20003</v>
      </c>
      <c r="AF2" s="610">
        <f t="shared" si="0"/>
        <v>49429.409999999996</v>
      </c>
      <c r="AG2" s="609">
        <f t="shared" si="0"/>
        <v>1327.81</v>
      </c>
      <c r="AH2" s="609">
        <f t="shared" si="0"/>
        <v>959.9</v>
      </c>
      <c r="AI2" s="609">
        <f t="shared" si="0"/>
        <v>21417.649999999998</v>
      </c>
      <c r="AJ2" s="609">
        <f t="shared" si="0"/>
        <v>1425</v>
      </c>
      <c r="AK2" s="609">
        <f t="shared" si="0"/>
        <v>0</v>
      </c>
      <c r="AL2" s="609">
        <f t="shared" si="0"/>
        <v>22520</v>
      </c>
      <c r="AM2" s="609">
        <f t="shared" si="0"/>
        <v>47650.36</v>
      </c>
      <c r="AN2" s="609">
        <f t="shared" si="0"/>
        <v>1612.6799999999998</v>
      </c>
      <c r="AO2" s="609">
        <f t="shared" si="0"/>
        <v>674.2</v>
      </c>
      <c r="AP2" s="609">
        <f t="shared" si="0"/>
        <v>21559.902475000003</v>
      </c>
      <c r="AQ2" s="609">
        <f t="shared" si="0"/>
        <v>2200</v>
      </c>
      <c r="AR2" s="609">
        <f t="shared" si="0"/>
        <v>0</v>
      </c>
      <c r="AS2" s="609">
        <f t="shared" si="0"/>
        <v>0</v>
      </c>
      <c r="AT2" s="609">
        <f t="shared" si="0"/>
        <v>23738.04</v>
      </c>
      <c r="AU2" s="609">
        <f t="shared" si="0"/>
        <v>49784.822475000008</v>
      </c>
      <c r="AV2" s="609">
        <f t="shared" si="0"/>
        <v>1497.7449999999999</v>
      </c>
      <c r="AW2" s="609">
        <f t="shared" si="0"/>
        <v>662.6</v>
      </c>
      <c r="AX2" s="609">
        <f t="shared" si="0"/>
        <v>22510.969951625</v>
      </c>
      <c r="AY2" s="609">
        <f t="shared" si="0"/>
        <v>2000</v>
      </c>
      <c r="AZ2" s="609">
        <f t="shared" si="0"/>
        <v>513</v>
      </c>
      <c r="BA2" s="609">
        <f t="shared" si="0"/>
        <v>0</v>
      </c>
      <c r="BB2" s="609">
        <f t="shared" si="0"/>
        <v>19388.161599999999</v>
      </c>
      <c r="BC2" s="609">
        <f t="shared" si="0"/>
        <v>46572.476551624997</v>
      </c>
      <c r="BD2" s="31">
        <f t="shared" si="0"/>
        <v>5947.9750000000004</v>
      </c>
      <c r="BE2" s="31">
        <f t="shared" si="0"/>
        <v>2962.8</v>
      </c>
      <c r="BF2" s="31">
        <f t="shared" si="0"/>
        <v>86013.01242662502</v>
      </c>
      <c r="BG2" s="31">
        <f t="shared" si="0"/>
        <v>8372</v>
      </c>
      <c r="BH2" s="31">
        <f t="shared" si="0"/>
        <v>513</v>
      </c>
      <c r="BI2" s="31">
        <f t="shared" si="0"/>
        <v>3967.3799999999997</v>
      </c>
      <c r="BJ2" s="31">
        <f t="shared" si="0"/>
        <v>85649.2016</v>
      </c>
      <c r="BK2" s="146">
        <f t="shared" si="0"/>
        <v>193425.36902662503</v>
      </c>
    </row>
    <row r="3" spans="1:64" ht="20.25" customHeight="1" x14ac:dyDescent="0.25">
      <c r="A3" s="459"/>
      <c r="B3" s="460"/>
      <c r="C3" s="460"/>
      <c r="D3" s="459"/>
      <c r="E3" s="459"/>
      <c r="F3" s="459"/>
      <c r="G3" s="459"/>
      <c r="H3" s="459"/>
      <c r="I3" s="465"/>
      <c r="J3" s="459"/>
      <c r="K3" s="459"/>
      <c r="L3" s="459"/>
      <c r="M3" s="463"/>
      <c r="N3" s="459"/>
      <c r="O3" s="463"/>
      <c r="P3" s="611"/>
      <c r="Q3" s="464"/>
      <c r="R3" s="596"/>
      <c r="S3" s="596"/>
      <c r="T3" s="1536" t="s">
        <v>2</v>
      </c>
      <c r="U3" s="1536"/>
      <c r="V3" s="1536"/>
      <c r="W3" s="1536"/>
      <c r="X3" s="1536"/>
      <c r="Y3" s="1537" t="s">
        <v>3</v>
      </c>
      <c r="Z3" s="1537"/>
      <c r="AA3" s="1537"/>
      <c r="AB3" s="1537"/>
      <c r="AC3" s="1537"/>
      <c r="AD3" s="1537"/>
      <c r="AE3" s="1537"/>
      <c r="AF3" s="1538"/>
      <c r="AG3" s="1539" t="s">
        <v>4</v>
      </c>
      <c r="AH3" s="1539"/>
      <c r="AI3" s="1539"/>
      <c r="AJ3" s="1539"/>
      <c r="AK3" s="1539"/>
      <c r="AL3" s="1539"/>
      <c r="AM3" s="1539"/>
      <c r="AN3" s="1537" t="s">
        <v>5</v>
      </c>
      <c r="AO3" s="1537"/>
      <c r="AP3" s="1537"/>
      <c r="AQ3" s="1537"/>
      <c r="AR3" s="1537"/>
      <c r="AS3" s="1537"/>
      <c r="AT3" s="1537"/>
      <c r="AU3" s="1537"/>
      <c r="AV3" s="1539" t="s">
        <v>6</v>
      </c>
      <c r="AW3" s="1539"/>
      <c r="AX3" s="1539"/>
      <c r="AY3" s="1539"/>
      <c r="AZ3" s="1539"/>
      <c r="BA3" s="1539"/>
      <c r="BB3" s="1539"/>
      <c r="BC3" s="1539"/>
      <c r="BD3" s="1540" t="s">
        <v>7</v>
      </c>
      <c r="BE3" s="1540"/>
      <c r="BF3" s="1540"/>
      <c r="BG3" s="1540"/>
      <c r="BH3" s="1540"/>
      <c r="BI3" s="1540"/>
      <c r="BJ3" s="1540"/>
      <c r="BK3" s="1540"/>
    </row>
    <row r="4" spans="1:64" ht="92.4" x14ac:dyDescent="0.25">
      <c r="A4" s="606" t="s">
        <v>8</v>
      </c>
      <c r="B4" s="606" t="s">
        <v>9</v>
      </c>
      <c r="C4" s="606" t="s">
        <v>10</v>
      </c>
      <c r="D4" s="606" t="s">
        <v>11</v>
      </c>
      <c r="E4" s="606" t="s">
        <v>12</v>
      </c>
      <c r="F4" s="606" t="s">
        <v>13</v>
      </c>
      <c r="G4" s="606" t="s">
        <v>14</v>
      </c>
      <c r="H4" s="606" t="s">
        <v>15</v>
      </c>
      <c r="I4" s="606" t="s">
        <v>16</v>
      </c>
      <c r="J4" s="606" t="s">
        <v>17</v>
      </c>
      <c r="K4" s="606" t="s">
        <v>18</v>
      </c>
      <c r="L4" s="606" t="s">
        <v>19</v>
      </c>
      <c r="M4" s="606" t="s">
        <v>20</v>
      </c>
      <c r="N4" s="606" t="s">
        <v>21</v>
      </c>
      <c r="O4" s="606" t="s">
        <v>22</v>
      </c>
      <c r="P4" s="606" t="s">
        <v>24</v>
      </c>
      <c r="Q4" s="607" t="s">
        <v>12</v>
      </c>
      <c r="R4" s="606" t="s">
        <v>13</v>
      </c>
      <c r="S4" s="606" t="s">
        <v>14</v>
      </c>
      <c r="T4" s="606">
        <v>2016</v>
      </c>
      <c r="U4" s="608">
        <v>2017</v>
      </c>
      <c r="V4" s="608">
        <v>2018</v>
      </c>
      <c r="W4" s="608">
        <v>2019</v>
      </c>
      <c r="X4" s="608" t="s">
        <v>15</v>
      </c>
      <c r="Y4" s="609" t="s">
        <v>25</v>
      </c>
      <c r="Z4" s="609" t="s">
        <v>26</v>
      </c>
      <c r="AA4" s="609" t="s">
        <v>27</v>
      </c>
      <c r="AB4" s="609" t="s">
        <v>28</v>
      </c>
      <c r="AC4" s="609" t="s">
        <v>29</v>
      </c>
      <c r="AD4" s="609" t="s">
        <v>30</v>
      </c>
      <c r="AE4" s="609" t="s">
        <v>31</v>
      </c>
      <c r="AF4" s="610" t="s">
        <v>32</v>
      </c>
      <c r="AG4" s="609" t="s">
        <v>25</v>
      </c>
      <c r="AH4" s="609" t="s">
        <v>26</v>
      </c>
      <c r="AI4" s="609" t="s">
        <v>27</v>
      </c>
      <c r="AJ4" s="609" t="s">
        <v>28</v>
      </c>
      <c r="AK4" s="609" t="s">
        <v>29</v>
      </c>
      <c r="AL4" s="609" t="s">
        <v>31</v>
      </c>
      <c r="AM4" s="609" t="s">
        <v>32</v>
      </c>
      <c r="AN4" s="609" t="s">
        <v>25</v>
      </c>
      <c r="AO4" s="609" t="s">
        <v>26</v>
      </c>
      <c r="AP4" s="609" t="s">
        <v>27</v>
      </c>
      <c r="AQ4" s="609" t="s">
        <v>28</v>
      </c>
      <c r="AR4" s="609" t="s">
        <v>29</v>
      </c>
      <c r="AS4" s="609" t="s">
        <v>30</v>
      </c>
      <c r="AT4" s="609" t="s">
        <v>31</v>
      </c>
      <c r="AU4" s="609" t="s">
        <v>32</v>
      </c>
      <c r="AV4" s="609" t="s">
        <v>25</v>
      </c>
      <c r="AW4" s="609" t="s">
        <v>26</v>
      </c>
      <c r="AX4" s="609" t="s">
        <v>27</v>
      </c>
      <c r="AY4" s="609" t="s">
        <v>28</v>
      </c>
      <c r="AZ4" s="609" t="s">
        <v>29</v>
      </c>
      <c r="BA4" s="609" t="s">
        <v>30</v>
      </c>
      <c r="BB4" s="609" t="s">
        <v>31</v>
      </c>
      <c r="BC4" s="609" t="s">
        <v>32</v>
      </c>
      <c r="BD4" s="32" t="s">
        <v>25</v>
      </c>
      <c r="BE4" s="32" t="s">
        <v>26</v>
      </c>
      <c r="BF4" s="32" t="s">
        <v>27</v>
      </c>
      <c r="BG4" s="32" t="s">
        <v>28</v>
      </c>
      <c r="BH4" s="32" t="s">
        <v>29</v>
      </c>
      <c r="BI4" s="32" t="s">
        <v>30</v>
      </c>
      <c r="BJ4" s="32" t="s">
        <v>31</v>
      </c>
      <c r="BK4" s="32" t="s">
        <v>32</v>
      </c>
    </row>
    <row r="5" spans="1:64" s="484" customFormat="1" ht="25.5" customHeight="1" x14ac:dyDescent="0.25">
      <c r="A5" s="1541" t="s">
        <v>33</v>
      </c>
      <c r="B5" s="1541"/>
      <c r="C5" s="1541"/>
      <c r="D5" s="1541"/>
      <c r="E5" s="1541"/>
      <c r="F5" s="1541"/>
      <c r="G5" s="1541"/>
      <c r="H5" s="1541"/>
      <c r="I5" s="1541"/>
      <c r="J5" s="1541"/>
      <c r="K5" s="1541"/>
      <c r="L5" s="1541"/>
      <c r="M5" s="1542"/>
      <c r="N5" s="485"/>
      <c r="O5" s="485"/>
      <c r="P5" s="485"/>
      <c r="Q5" s="486"/>
      <c r="R5" s="485"/>
      <c r="S5" s="485"/>
      <c r="T5" s="485"/>
      <c r="U5" s="487"/>
      <c r="V5" s="487"/>
      <c r="W5" s="487"/>
      <c r="X5" s="487"/>
      <c r="Y5" s="490">
        <f t="shared" ref="Y5:AE5" si="1">+Y6+Y47+Y49+Y84+Y106+Y118+Y152</f>
        <v>451.84000000000003</v>
      </c>
      <c r="Z5" s="490">
        <f t="shared" si="1"/>
        <v>114</v>
      </c>
      <c r="AA5" s="490">
        <f t="shared" si="1"/>
        <v>19529.689999999999</v>
      </c>
      <c r="AB5" s="490">
        <f t="shared" si="1"/>
        <v>2528</v>
      </c>
      <c r="AC5" s="488">
        <f t="shared" si="1"/>
        <v>0</v>
      </c>
      <c r="AD5" s="490">
        <f t="shared" si="1"/>
        <v>2297.08</v>
      </c>
      <c r="AE5" s="490">
        <f t="shared" si="1"/>
        <v>18503</v>
      </c>
      <c r="AF5" s="488">
        <f>SUM(Y5:AE5)</f>
        <v>43423.61</v>
      </c>
      <c r="AG5" s="490">
        <f t="shared" ref="AG5:AL5" si="2">+AG6+AG47+AG49+AG84+AG106+AG118+AG152</f>
        <v>436.81</v>
      </c>
      <c r="AH5" s="490">
        <f t="shared" si="2"/>
        <v>114</v>
      </c>
      <c r="AI5" s="490">
        <f t="shared" si="2"/>
        <v>20273.749999999996</v>
      </c>
      <c r="AJ5" s="488">
        <f t="shared" si="2"/>
        <v>1200</v>
      </c>
      <c r="AK5" s="488">
        <f t="shared" si="2"/>
        <v>0</v>
      </c>
      <c r="AL5" s="490">
        <f t="shared" si="2"/>
        <v>17644</v>
      </c>
      <c r="AM5" s="488">
        <f>SUM(AG5:AL5)</f>
        <v>39668.559999999998</v>
      </c>
      <c r="AN5" s="488">
        <f t="shared" ref="AN5:AT5" si="3">+AN6+AN47+AN49+AN84+AN106+AN118+AN152</f>
        <v>458.28</v>
      </c>
      <c r="AO5" s="488">
        <f t="shared" si="3"/>
        <v>116</v>
      </c>
      <c r="AP5" s="488">
        <f t="shared" si="3"/>
        <v>20536.102475000003</v>
      </c>
      <c r="AQ5" s="488">
        <f t="shared" si="3"/>
        <v>800</v>
      </c>
      <c r="AR5" s="488">
        <f t="shared" si="3"/>
        <v>0</v>
      </c>
      <c r="AS5" s="488">
        <f t="shared" si="3"/>
        <v>0</v>
      </c>
      <c r="AT5" s="488">
        <f t="shared" si="3"/>
        <v>23035</v>
      </c>
      <c r="AU5" s="488">
        <f t="shared" ref="AU5:AU10" si="4">SUM(AN5:AT5)</f>
        <v>44945.382475000006</v>
      </c>
      <c r="AV5" s="488">
        <f t="shared" ref="AV5:BB5" si="5">+AV6+AV47+AV49+AV84+AV106+AV118+AV152</f>
        <v>429.54499999999996</v>
      </c>
      <c r="AW5" s="488">
        <f t="shared" si="5"/>
        <v>122</v>
      </c>
      <c r="AX5" s="488">
        <f t="shared" si="5"/>
        <v>21456.769951625</v>
      </c>
      <c r="AY5" s="488">
        <f t="shared" si="5"/>
        <v>500</v>
      </c>
      <c r="AZ5" s="488">
        <f t="shared" si="5"/>
        <v>513</v>
      </c>
      <c r="BA5" s="488">
        <f t="shared" si="5"/>
        <v>0</v>
      </c>
      <c r="BB5" s="488">
        <f t="shared" si="5"/>
        <v>18657</v>
      </c>
      <c r="BC5" s="488">
        <f t="shared" ref="BC5:BC10" si="6">SUM(AV5:BB5)</f>
        <v>41678.314951624998</v>
      </c>
      <c r="BD5" s="488">
        <f t="shared" ref="BD5:BJ5" si="7">+BD6+BD47+BD49+BD84+BD106+BD118+BD152</f>
        <v>1775.4750000000001</v>
      </c>
      <c r="BE5" s="488">
        <f t="shared" si="7"/>
        <v>466</v>
      </c>
      <c r="BF5" s="488">
        <f t="shared" si="7"/>
        <v>81785.612426625012</v>
      </c>
      <c r="BG5" s="488">
        <f t="shared" si="7"/>
        <v>5028</v>
      </c>
      <c r="BH5" s="488">
        <f t="shared" si="7"/>
        <v>513</v>
      </c>
      <c r="BI5" s="488">
        <f t="shared" si="7"/>
        <v>2297.08</v>
      </c>
      <c r="BJ5" s="488">
        <f t="shared" si="7"/>
        <v>77839</v>
      </c>
      <c r="BK5" s="488">
        <f>SUM(BD5:BJ5)</f>
        <v>169704.16742662503</v>
      </c>
      <c r="BL5" s="489"/>
    </row>
    <row r="6" spans="1:64" ht="24.75" customHeight="1" x14ac:dyDescent="0.25">
      <c r="A6" s="420"/>
      <c r="B6" s="1543" t="s">
        <v>35</v>
      </c>
      <c r="C6" s="1544"/>
      <c r="D6" s="1544"/>
      <c r="E6" s="1544"/>
      <c r="F6" s="1544"/>
      <c r="G6" s="1544"/>
      <c r="H6" s="1544"/>
      <c r="I6" s="1544"/>
      <c r="J6" s="1544"/>
      <c r="K6" s="1544"/>
      <c r="L6" s="1544"/>
      <c r="M6" s="1545"/>
      <c r="N6" s="597"/>
      <c r="O6" s="597"/>
      <c r="P6" s="597"/>
      <c r="Q6" s="598"/>
      <c r="R6" s="597"/>
      <c r="S6" s="597"/>
      <c r="T6" s="597"/>
      <c r="U6" s="599"/>
      <c r="V6" s="599"/>
      <c r="W6" s="599"/>
      <c r="X6" s="599"/>
      <c r="Y6" s="600">
        <f t="shared" ref="Y6:AE6" si="8">+Y7+Y23+Y42</f>
        <v>25</v>
      </c>
      <c r="Z6" s="600">
        <f t="shared" si="8"/>
        <v>0</v>
      </c>
      <c r="AA6" s="600">
        <f t="shared" si="8"/>
        <v>2756.4</v>
      </c>
      <c r="AB6" s="600">
        <f t="shared" si="8"/>
        <v>500</v>
      </c>
      <c r="AC6" s="600">
        <f t="shared" si="8"/>
        <v>0</v>
      </c>
      <c r="AD6" s="600">
        <f t="shared" si="8"/>
        <v>796.6</v>
      </c>
      <c r="AE6" s="600">
        <f t="shared" si="8"/>
        <v>0</v>
      </c>
      <c r="AF6" s="600">
        <f t="shared" ref="AF6:AF45" si="9">SUM(Y6:AE6)</f>
        <v>4078</v>
      </c>
      <c r="AG6" s="600">
        <f t="shared" ref="AG6:AL6" si="10">+AG7+AG23+AG42</f>
        <v>15</v>
      </c>
      <c r="AH6" s="600">
        <f t="shared" si="10"/>
        <v>0</v>
      </c>
      <c r="AI6" s="600">
        <v>3161.7</v>
      </c>
      <c r="AJ6" s="600">
        <f t="shared" si="10"/>
        <v>0</v>
      </c>
      <c r="AK6" s="600">
        <f t="shared" si="10"/>
        <v>0</v>
      </c>
      <c r="AL6" s="600">
        <f t="shared" si="10"/>
        <v>0</v>
      </c>
      <c r="AM6" s="600">
        <f>SUM(AG6:AL6)</f>
        <v>3176.7</v>
      </c>
      <c r="AN6" s="600">
        <f t="shared" ref="AN6:AT6" si="11">+AN7+AN23+AN42</f>
        <v>20</v>
      </c>
      <c r="AO6" s="600">
        <f t="shared" si="11"/>
        <v>0</v>
      </c>
      <c r="AP6" s="600">
        <f t="shared" si="11"/>
        <v>2820</v>
      </c>
      <c r="AQ6" s="600">
        <f t="shared" si="11"/>
        <v>0</v>
      </c>
      <c r="AR6" s="600">
        <f t="shared" si="11"/>
        <v>0</v>
      </c>
      <c r="AS6" s="600">
        <f t="shared" si="11"/>
        <v>0</v>
      </c>
      <c r="AT6" s="600">
        <f t="shared" si="11"/>
        <v>0</v>
      </c>
      <c r="AU6" s="600">
        <f t="shared" si="4"/>
        <v>2840</v>
      </c>
      <c r="AV6" s="600">
        <f t="shared" ref="AV6:BB6" si="12">+AV7+AV23+AV42</f>
        <v>20</v>
      </c>
      <c r="AW6" s="600">
        <f t="shared" si="12"/>
        <v>0</v>
      </c>
      <c r="AX6" s="600">
        <f t="shared" si="12"/>
        <v>3100</v>
      </c>
      <c r="AY6" s="600">
        <f t="shared" si="12"/>
        <v>0</v>
      </c>
      <c r="AZ6" s="600">
        <f t="shared" si="12"/>
        <v>0</v>
      </c>
      <c r="BA6" s="600">
        <f t="shared" si="12"/>
        <v>0</v>
      </c>
      <c r="BB6" s="600">
        <f t="shared" si="12"/>
        <v>0</v>
      </c>
      <c r="BC6" s="600">
        <f t="shared" si="6"/>
        <v>3120</v>
      </c>
      <c r="BD6" s="33">
        <f t="shared" ref="BD6:BI7" si="13">+AV6+AN6+AG6+Y6</f>
        <v>80</v>
      </c>
      <c r="BE6" s="33">
        <f t="shared" si="13"/>
        <v>0</v>
      </c>
      <c r="BF6" s="33">
        <f t="shared" si="13"/>
        <v>11838.1</v>
      </c>
      <c r="BG6" s="33">
        <f t="shared" si="13"/>
        <v>500</v>
      </c>
      <c r="BH6" s="33">
        <f t="shared" si="13"/>
        <v>0</v>
      </c>
      <c r="BI6" s="33">
        <f t="shared" si="13"/>
        <v>796.6</v>
      </c>
      <c r="BJ6" s="33">
        <f t="shared" ref="BJ6:BJ46" si="14">+BB6+AT6+AL6+AE6</f>
        <v>0</v>
      </c>
      <c r="BK6" s="33">
        <f t="shared" ref="BK6:BK46" si="15">+BC6+AU6+AM6+AF6</f>
        <v>13214.7</v>
      </c>
      <c r="BL6" s="40">
        <f>AF6+AM6+AU6+BC6</f>
        <v>13214.7</v>
      </c>
    </row>
    <row r="7" spans="1:64" ht="18.75" customHeight="1" x14ac:dyDescent="0.25">
      <c r="A7" s="603"/>
      <c r="B7" s="6" t="s">
        <v>35</v>
      </c>
      <c r="C7" s="6"/>
      <c r="D7" s="2" t="s">
        <v>37</v>
      </c>
      <c r="E7" s="1"/>
      <c r="F7" s="1"/>
      <c r="G7" s="1"/>
      <c r="H7" s="1"/>
      <c r="I7" s="1"/>
      <c r="J7" s="1"/>
      <c r="K7" s="1"/>
      <c r="L7" s="1"/>
      <c r="M7" s="1"/>
      <c r="N7" s="1"/>
      <c r="O7" s="1"/>
      <c r="P7" s="1"/>
      <c r="Q7" s="22"/>
      <c r="R7" s="1"/>
      <c r="S7" s="1"/>
      <c r="T7" s="1"/>
      <c r="U7" s="49"/>
      <c r="V7" s="49"/>
      <c r="W7" s="49"/>
      <c r="X7" s="49"/>
      <c r="Y7" s="34">
        <f t="shared" ref="Y7:AE7" si="16">SUM(Y8:Y22)</f>
        <v>0</v>
      </c>
      <c r="Z7" s="34">
        <f t="shared" si="16"/>
        <v>0</v>
      </c>
      <c r="AA7" s="34">
        <f t="shared" si="16"/>
        <v>710.40000000000009</v>
      </c>
      <c r="AB7" s="34">
        <f t="shared" si="16"/>
        <v>500</v>
      </c>
      <c r="AC7" s="34">
        <f t="shared" si="16"/>
        <v>0</v>
      </c>
      <c r="AD7" s="34">
        <f t="shared" si="16"/>
        <v>796.43000000000006</v>
      </c>
      <c r="AE7" s="34">
        <f t="shared" si="16"/>
        <v>0</v>
      </c>
      <c r="AF7" s="34">
        <f t="shared" si="9"/>
        <v>2006.8300000000002</v>
      </c>
      <c r="AG7" s="34">
        <f t="shared" ref="AG7:AL7" si="17">SUM(AG8:AG22)</f>
        <v>15</v>
      </c>
      <c r="AH7" s="34">
        <f t="shared" si="17"/>
        <v>0</v>
      </c>
      <c r="AI7" s="34">
        <v>809.42000000000007</v>
      </c>
      <c r="AJ7" s="34">
        <f t="shared" si="17"/>
        <v>0</v>
      </c>
      <c r="AK7" s="34">
        <f t="shared" si="17"/>
        <v>0</v>
      </c>
      <c r="AL7" s="34">
        <f t="shared" si="17"/>
        <v>0</v>
      </c>
      <c r="AM7" s="34">
        <f>SUM(AG7:AL7)</f>
        <v>824.42000000000007</v>
      </c>
      <c r="AN7" s="34">
        <f t="shared" ref="AN7:AT7" si="18">SUM(AN8:AN22)</f>
        <v>15</v>
      </c>
      <c r="AO7" s="34">
        <f t="shared" si="18"/>
        <v>0</v>
      </c>
      <c r="AP7" s="34">
        <f t="shared" si="18"/>
        <v>1035</v>
      </c>
      <c r="AQ7" s="34">
        <f t="shared" si="18"/>
        <v>0</v>
      </c>
      <c r="AR7" s="34">
        <f t="shared" si="18"/>
        <v>0</v>
      </c>
      <c r="AS7" s="34">
        <f t="shared" si="18"/>
        <v>0</v>
      </c>
      <c r="AT7" s="34">
        <f t="shared" si="18"/>
        <v>0</v>
      </c>
      <c r="AU7" s="34">
        <f t="shared" si="4"/>
        <v>1050</v>
      </c>
      <c r="AV7" s="34">
        <f t="shared" ref="AV7:BB7" si="19">SUM(AV8:AV22)</f>
        <v>15</v>
      </c>
      <c r="AW7" s="34">
        <f t="shared" si="19"/>
        <v>0</v>
      </c>
      <c r="AX7" s="34">
        <f t="shared" si="19"/>
        <v>1265</v>
      </c>
      <c r="AY7" s="34">
        <f t="shared" si="19"/>
        <v>0</v>
      </c>
      <c r="AZ7" s="34">
        <f t="shared" si="19"/>
        <v>0</v>
      </c>
      <c r="BA7" s="34">
        <f t="shared" si="19"/>
        <v>0</v>
      </c>
      <c r="BB7" s="34">
        <f t="shared" si="19"/>
        <v>0</v>
      </c>
      <c r="BC7" s="34">
        <f t="shared" si="6"/>
        <v>1280</v>
      </c>
      <c r="BD7" s="34">
        <f t="shared" si="13"/>
        <v>45</v>
      </c>
      <c r="BE7" s="34">
        <f t="shared" si="13"/>
        <v>0</v>
      </c>
      <c r="BF7" s="34">
        <f t="shared" si="13"/>
        <v>3819.82</v>
      </c>
      <c r="BG7" s="34">
        <f t="shared" si="13"/>
        <v>500</v>
      </c>
      <c r="BH7" s="34">
        <f t="shared" si="13"/>
        <v>0</v>
      </c>
      <c r="BI7" s="34">
        <f>+AD7+AS7+BA7</f>
        <v>796.43000000000006</v>
      </c>
      <c r="BJ7" s="34">
        <f t="shared" si="14"/>
        <v>0</v>
      </c>
      <c r="BK7" s="34">
        <f t="shared" si="15"/>
        <v>5161.25</v>
      </c>
      <c r="BL7" s="40">
        <f t="shared" ref="BL7:BL70" si="20">AF7+AM7+AU7+BC7</f>
        <v>5161.25</v>
      </c>
    </row>
    <row r="8" spans="1:64" ht="39.75" customHeight="1" x14ac:dyDescent="0.25">
      <c r="A8" s="298" t="s">
        <v>38</v>
      </c>
      <c r="B8" s="299" t="s">
        <v>39</v>
      </c>
      <c r="C8" s="1546" t="s">
        <v>40</v>
      </c>
      <c r="D8" s="1549" t="s">
        <v>41</v>
      </c>
      <c r="E8" s="1549" t="s">
        <v>42</v>
      </c>
      <c r="F8" s="1549">
        <v>2014</v>
      </c>
      <c r="G8" s="1549">
        <v>37.909999999999997</v>
      </c>
      <c r="H8" s="1549">
        <v>39.5</v>
      </c>
      <c r="I8" s="301"/>
      <c r="J8" s="301"/>
      <c r="K8" s="1425" t="s">
        <v>43</v>
      </c>
      <c r="L8" s="301" t="s">
        <v>44</v>
      </c>
      <c r="M8" s="1425" t="s">
        <v>45</v>
      </c>
      <c r="N8" s="1425" t="s">
        <v>46</v>
      </c>
      <c r="O8" s="1425" t="s">
        <v>47</v>
      </c>
      <c r="P8" s="25" t="s">
        <v>48</v>
      </c>
      <c r="Q8" s="302" t="s">
        <v>49</v>
      </c>
      <c r="R8" s="303">
        <v>2015</v>
      </c>
      <c r="S8" s="303">
        <v>0</v>
      </c>
      <c r="T8" s="303">
        <v>0</v>
      </c>
      <c r="U8" s="572">
        <v>500</v>
      </c>
      <c r="V8" s="572">
        <v>500</v>
      </c>
      <c r="W8" s="572">
        <v>500</v>
      </c>
      <c r="X8" s="572">
        <v>1500</v>
      </c>
      <c r="Y8" s="481"/>
      <c r="Z8" s="481"/>
      <c r="AA8" s="481"/>
      <c r="AB8" s="481"/>
      <c r="AC8" s="481"/>
      <c r="AD8" s="481"/>
      <c r="AE8" s="481"/>
      <c r="AF8" s="481">
        <f>SUM(Y8:AE8)</f>
        <v>0</v>
      </c>
      <c r="AG8" s="491">
        <v>15</v>
      </c>
      <c r="AH8" s="548"/>
      <c r="AI8" s="648">
        <v>16</v>
      </c>
      <c r="AJ8" s="548"/>
      <c r="AK8" s="548"/>
      <c r="AL8" s="548"/>
      <c r="AM8" s="548">
        <f>SUM(AG8:AL8)</f>
        <v>31</v>
      </c>
      <c r="AN8" s="491">
        <v>15</v>
      </c>
      <c r="AO8" s="481"/>
      <c r="AP8" s="481"/>
      <c r="AQ8" s="481"/>
      <c r="AR8" s="481"/>
      <c r="AS8" s="481"/>
      <c r="AT8" s="481"/>
      <c r="AU8" s="481">
        <f t="shared" si="4"/>
        <v>15</v>
      </c>
      <c r="AV8" s="491">
        <v>7</v>
      </c>
      <c r="AW8" s="548"/>
      <c r="AX8" s="548"/>
      <c r="AY8" s="548"/>
      <c r="AZ8" s="548"/>
      <c r="BA8" s="548"/>
      <c r="BB8" s="548"/>
      <c r="BC8" s="548">
        <f t="shared" si="6"/>
        <v>7</v>
      </c>
      <c r="BD8" s="42">
        <f t="shared" ref="BD8:BD47" si="21">+AV8+AN8+AG8+Y8</f>
        <v>37</v>
      </c>
      <c r="BE8" s="42">
        <f t="shared" ref="BE8:BE47" si="22">+AW8+AO8+AH8+Z8</f>
        <v>0</v>
      </c>
      <c r="BF8" s="42">
        <f t="shared" ref="BF8:BF47" si="23">+AX8+AP8+AI8+AA8</f>
        <v>16</v>
      </c>
      <c r="BG8" s="42">
        <f t="shared" ref="BG8:BG47" si="24">+AY8+AQ8+AJ8+AB8</f>
        <v>0</v>
      </c>
      <c r="BH8" s="42">
        <f t="shared" ref="BH8:BH47" si="25">+AZ8+AR8+AK8+AC8</f>
        <v>0</v>
      </c>
      <c r="BI8" s="42">
        <f t="shared" ref="BI8:BI75" si="26">+AD8+AS8+BA8</f>
        <v>0</v>
      </c>
      <c r="BJ8" s="42">
        <f t="shared" si="14"/>
        <v>0</v>
      </c>
      <c r="BK8" s="42">
        <f>+BC8+AU8+AM8+AF8</f>
        <v>53</v>
      </c>
      <c r="BL8" s="40">
        <f t="shared" si="20"/>
        <v>53</v>
      </c>
    </row>
    <row r="9" spans="1:64" ht="33.75" customHeight="1" x14ac:dyDescent="0.25">
      <c r="A9" s="298" t="s">
        <v>38</v>
      </c>
      <c r="B9" s="299" t="s">
        <v>39</v>
      </c>
      <c r="C9" s="1547"/>
      <c r="D9" s="1550"/>
      <c r="E9" s="1550"/>
      <c r="F9" s="1549"/>
      <c r="G9" s="1549"/>
      <c r="H9" s="1549"/>
      <c r="I9" s="301"/>
      <c r="J9" s="301"/>
      <c r="K9" s="1425" t="s">
        <v>50</v>
      </c>
      <c r="L9" s="301" t="s">
        <v>44</v>
      </c>
      <c r="M9" s="1425" t="s">
        <v>45</v>
      </c>
      <c r="N9" s="1425" t="s">
        <v>46</v>
      </c>
      <c r="O9" s="1425" t="s">
        <v>47</v>
      </c>
      <c r="P9" s="16" t="s">
        <v>51</v>
      </c>
      <c r="Q9" s="302" t="s">
        <v>52</v>
      </c>
      <c r="R9" s="303">
        <v>2015</v>
      </c>
      <c r="S9" s="303">
        <v>1</v>
      </c>
      <c r="T9" s="303">
        <v>1</v>
      </c>
      <c r="U9" s="572">
        <v>1</v>
      </c>
      <c r="V9" s="572">
        <v>1</v>
      </c>
      <c r="W9" s="572">
        <v>1</v>
      </c>
      <c r="X9" s="572">
        <v>4</v>
      </c>
      <c r="Y9" s="481"/>
      <c r="Z9" s="481"/>
      <c r="AA9" s="491">
        <v>248</v>
      </c>
      <c r="AB9" s="481"/>
      <c r="AC9" s="481"/>
      <c r="AD9" s="491">
        <v>19.63</v>
      </c>
      <c r="AE9" s="481"/>
      <c r="AF9" s="481">
        <f t="shared" si="9"/>
        <v>267.63</v>
      </c>
      <c r="AG9" s="548"/>
      <c r="AH9" s="548"/>
      <c r="AI9" s="648">
        <v>269</v>
      </c>
      <c r="AJ9" s="548"/>
      <c r="AK9" s="548"/>
      <c r="AL9" s="548"/>
      <c r="AM9" s="548">
        <f>SUM(AG9:AL9)</f>
        <v>269</v>
      </c>
      <c r="AN9" s="481"/>
      <c r="AO9" s="481"/>
      <c r="AP9" s="491">
        <v>260</v>
      </c>
      <c r="AQ9" s="481"/>
      <c r="AR9" s="481"/>
      <c r="AS9" s="481"/>
      <c r="AT9" s="481"/>
      <c r="AU9" s="481">
        <f t="shared" si="4"/>
        <v>260</v>
      </c>
      <c r="AV9" s="548"/>
      <c r="AW9" s="548"/>
      <c r="AX9" s="548">
        <v>280</v>
      </c>
      <c r="AY9" s="548"/>
      <c r="AZ9" s="548"/>
      <c r="BA9" s="548"/>
      <c r="BB9" s="548"/>
      <c r="BC9" s="548">
        <f t="shared" si="6"/>
        <v>280</v>
      </c>
      <c r="BD9" s="42">
        <f t="shared" si="21"/>
        <v>0</v>
      </c>
      <c r="BE9" s="42">
        <f t="shared" si="22"/>
        <v>0</v>
      </c>
      <c r="BF9" s="42">
        <f t="shared" si="23"/>
        <v>1057</v>
      </c>
      <c r="BG9" s="42">
        <f t="shared" si="24"/>
        <v>0</v>
      </c>
      <c r="BH9" s="42">
        <f t="shared" si="25"/>
        <v>0</v>
      </c>
      <c r="BI9" s="42">
        <f t="shared" si="26"/>
        <v>19.63</v>
      </c>
      <c r="BJ9" s="42">
        <f t="shared" si="14"/>
        <v>0</v>
      </c>
      <c r="BK9" s="42">
        <f t="shared" si="15"/>
        <v>1076.6300000000001</v>
      </c>
      <c r="BL9" s="40">
        <f t="shared" si="20"/>
        <v>1076.6300000000001</v>
      </c>
    </row>
    <row r="10" spans="1:64" ht="45" customHeight="1" x14ac:dyDescent="0.25">
      <c r="A10" s="298" t="s">
        <v>2458</v>
      </c>
      <c r="B10" s="299" t="s">
        <v>39</v>
      </c>
      <c r="C10" s="1547"/>
      <c r="D10" s="1549"/>
      <c r="E10" s="1549"/>
      <c r="F10" s="1549"/>
      <c r="G10" s="1549"/>
      <c r="H10" s="1549"/>
      <c r="I10" s="1425" t="s">
        <v>53</v>
      </c>
      <c r="J10" s="301"/>
      <c r="K10" s="1425" t="s">
        <v>54</v>
      </c>
      <c r="L10" s="301" t="s">
        <v>44</v>
      </c>
      <c r="M10" s="1425" t="s">
        <v>45</v>
      </c>
      <c r="N10" s="1425" t="s">
        <v>46</v>
      </c>
      <c r="O10" s="1425" t="s">
        <v>47</v>
      </c>
      <c r="P10" s="1198" t="s">
        <v>2459</v>
      </c>
      <c r="Q10" s="302" t="s">
        <v>56</v>
      </c>
      <c r="R10" s="303">
        <v>2015</v>
      </c>
      <c r="S10" s="303">
        <v>1</v>
      </c>
      <c r="T10" s="303">
        <v>0</v>
      </c>
      <c r="U10" s="572">
        <v>0</v>
      </c>
      <c r="V10" s="572">
        <v>1</v>
      </c>
      <c r="W10" s="572">
        <v>1</v>
      </c>
      <c r="X10" s="572">
        <v>2</v>
      </c>
      <c r="Y10" s="481"/>
      <c r="Z10" s="481"/>
      <c r="AA10" s="481"/>
      <c r="AB10" s="481">
        <v>0</v>
      </c>
      <c r="AC10" s="481"/>
      <c r="AD10" s="481"/>
      <c r="AE10" s="481"/>
      <c r="AF10" s="481">
        <f t="shared" si="9"/>
        <v>0</v>
      </c>
      <c r="AG10" s="548"/>
      <c r="AH10" s="548"/>
      <c r="AI10" s="548">
        <v>28.3</v>
      </c>
      <c r="AJ10" s="548"/>
      <c r="AK10" s="548"/>
      <c r="AL10" s="548"/>
      <c r="AM10" s="548"/>
      <c r="AN10" s="481"/>
      <c r="AO10" s="481"/>
      <c r="AP10" s="481">
        <v>120</v>
      </c>
      <c r="AQ10" s="481"/>
      <c r="AR10" s="481"/>
      <c r="AS10" s="481"/>
      <c r="AT10" s="481"/>
      <c r="AU10" s="481">
        <f t="shared" si="4"/>
        <v>120</v>
      </c>
      <c r="AV10" s="548"/>
      <c r="AW10" s="548"/>
      <c r="AX10" s="548">
        <v>120</v>
      </c>
      <c r="AY10" s="548"/>
      <c r="AZ10" s="548"/>
      <c r="BA10" s="548"/>
      <c r="BB10" s="548"/>
      <c r="BC10" s="548">
        <f t="shared" si="6"/>
        <v>120</v>
      </c>
      <c r="BD10" s="42">
        <f t="shared" si="21"/>
        <v>0</v>
      </c>
      <c r="BE10" s="42">
        <f t="shared" si="22"/>
        <v>0</v>
      </c>
      <c r="BF10" s="42">
        <f t="shared" si="23"/>
        <v>268.3</v>
      </c>
      <c r="BG10" s="42">
        <f t="shared" si="24"/>
        <v>0</v>
      </c>
      <c r="BH10" s="42">
        <f t="shared" si="25"/>
        <v>0</v>
      </c>
      <c r="BI10" s="42">
        <f t="shared" si="26"/>
        <v>0</v>
      </c>
      <c r="BJ10" s="42">
        <f t="shared" si="14"/>
        <v>0</v>
      </c>
      <c r="BK10" s="42">
        <f t="shared" si="15"/>
        <v>240</v>
      </c>
      <c r="BL10" s="40">
        <f t="shared" si="20"/>
        <v>240</v>
      </c>
    </row>
    <row r="11" spans="1:64" ht="35.25" customHeight="1" x14ac:dyDescent="0.25">
      <c r="A11" s="298" t="s">
        <v>38</v>
      </c>
      <c r="B11" s="299" t="s">
        <v>39</v>
      </c>
      <c r="C11" s="1547"/>
      <c r="D11" s="1551"/>
      <c r="E11" s="1551"/>
      <c r="F11" s="1549"/>
      <c r="G11" s="1549"/>
      <c r="H11" s="1549"/>
      <c r="I11" s="301"/>
      <c r="J11" s="301"/>
      <c r="K11" s="1425" t="s">
        <v>57</v>
      </c>
      <c r="L11" s="301" t="s">
        <v>44</v>
      </c>
      <c r="M11" s="1425" t="s">
        <v>45</v>
      </c>
      <c r="N11" s="1425" t="s">
        <v>46</v>
      </c>
      <c r="O11" s="1425" t="s">
        <v>47</v>
      </c>
      <c r="P11" s="16" t="s">
        <v>58</v>
      </c>
      <c r="Q11" s="302" t="s">
        <v>59</v>
      </c>
      <c r="R11" s="303">
        <v>2015</v>
      </c>
      <c r="S11" s="303">
        <v>0</v>
      </c>
      <c r="T11" s="303">
        <v>3</v>
      </c>
      <c r="U11" s="572">
        <v>3</v>
      </c>
      <c r="V11" s="572">
        <v>3</v>
      </c>
      <c r="W11" s="572">
        <v>3</v>
      </c>
      <c r="X11" s="572">
        <v>12</v>
      </c>
      <c r="Y11" s="481"/>
      <c r="Z11" s="481"/>
      <c r="AA11" s="481">
        <v>30</v>
      </c>
      <c r="AB11" s="481"/>
      <c r="AC11" s="481"/>
      <c r="AD11" s="481">
        <v>132.80000000000001</v>
      </c>
      <c r="AE11" s="481"/>
      <c r="AF11" s="481">
        <f t="shared" si="9"/>
        <v>162.80000000000001</v>
      </c>
      <c r="AG11" s="548"/>
      <c r="AH11" s="548"/>
      <c r="AI11" s="548">
        <v>153</v>
      </c>
      <c r="AJ11" s="548"/>
      <c r="AK11" s="548"/>
      <c r="AL11" s="548"/>
      <c r="AM11" s="548">
        <f t="shared" ref="AM11:AM24" si="27">SUM(AG11:AL11)</f>
        <v>153</v>
      </c>
      <c r="AN11" s="481"/>
      <c r="AO11" s="481"/>
      <c r="AP11" s="481">
        <v>50</v>
      </c>
      <c r="AQ11" s="481"/>
      <c r="AR11" s="481"/>
      <c r="AS11" s="481"/>
      <c r="AT11" s="481"/>
      <c r="AU11" s="481">
        <f t="shared" ref="AU11:AU24" si="28">SUM(AN11:AT11)</f>
        <v>50</v>
      </c>
      <c r="AV11" s="548"/>
      <c r="AW11" s="548"/>
      <c r="AX11" s="548">
        <v>50</v>
      </c>
      <c r="AY11" s="548"/>
      <c r="AZ11" s="548"/>
      <c r="BA11" s="548"/>
      <c r="BB11" s="548"/>
      <c r="BC11" s="548">
        <f t="shared" ref="BC11:BC24" si="29">SUM(AV11:BB11)</f>
        <v>50</v>
      </c>
      <c r="BD11" s="42">
        <f t="shared" si="21"/>
        <v>0</v>
      </c>
      <c r="BE11" s="42">
        <f t="shared" si="22"/>
        <v>0</v>
      </c>
      <c r="BF11" s="42">
        <f t="shared" si="23"/>
        <v>283</v>
      </c>
      <c r="BG11" s="42">
        <f t="shared" si="24"/>
        <v>0</v>
      </c>
      <c r="BH11" s="42">
        <f t="shared" si="25"/>
        <v>0</v>
      </c>
      <c r="BI11" s="42">
        <f t="shared" si="26"/>
        <v>132.80000000000001</v>
      </c>
      <c r="BJ11" s="42">
        <f t="shared" si="14"/>
        <v>0</v>
      </c>
      <c r="BK11" s="42">
        <f t="shared" si="15"/>
        <v>415.8</v>
      </c>
      <c r="BL11" s="40">
        <f t="shared" si="20"/>
        <v>415.8</v>
      </c>
    </row>
    <row r="12" spans="1:64" ht="19.5" customHeight="1" x14ac:dyDescent="0.25">
      <c r="A12" s="298" t="s">
        <v>38</v>
      </c>
      <c r="B12" s="299" t="s">
        <v>39</v>
      </c>
      <c r="C12" s="1547"/>
      <c r="D12" s="1549"/>
      <c r="E12" s="1549"/>
      <c r="F12" s="1549"/>
      <c r="G12" s="1549"/>
      <c r="H12" s="1549"/>
      <c r="I12" s="1425" t="s">
        <v>53</v>
      </c>
      <c r="J12" s="301"/>
      <c r="K12" s="1425" t="s">
        <v>60</v>
      </c>
      <c r="L12" s="301" t="s">
        <v>44</v>
      </c>
      <c r="M12" s="1425" t="s">
        <v>45</v>
      </c>
      <c r="N12" s="1425" t="s">
        <v>46</v>
      </c>
      <c r="O12" s="1425" t="s">
        <v>47</v>
      </c>
      <c r="P12" s="16" t="s">
        <v>61</v>
      </c>
      <c r="Q12" s="302" t="s">
        <v>62</v>
      </c>
      <c r="R12" s="303">
        <v>2015</v>
      </c>
      <c r="S12" s="303">
        <v>0</v>
      </c>
      <c r="T12" s="303">
        <v>13</v>
      </c>
      <c r="U12" s="572">
        <v>10</v>
      </c>
      <c r="V12" s="572">
        <v>7</v>
      </c>
      <c r="W12" s="572">
        <v>5</v>
      </c>
      <c r="X12" s="572">
        <v>35</v>
      </c>
      <c r="Y12" s="481"/>
      <c r="Z12" s="481"/>
      <c r="AA12" s="492">
        <v>224.6</v>
      </c>
      <c r="AB12" s="491">
        <v>240</v>
      </c>
      <c r="AC12" s="481"/>
      <c r="AD12" s="482"/>
      <c r="AE12" s="481"/>
      <c r="AF12" s="481">
        <f t="shared" si="9"/>
        <v>464.6</v>
      </c>
      <c r="AG12" s="548"/>
      <c r="AH12" s="548"/>
      <c r="AI12" s="548">
        <v>210</v>
      </c>
      <c r="AJ12" s="548"/>
      <c r="AK12" s="548"/>
      <c r="AL12" s="548"/>
      <c r="AM12" s="548">
        <f t="shared" si="27"/>
        <v>210</v>
      </c>
      <c r="AN12" s="481"/>
      <c r="AO12" s="481"/>
      <c r="AP12" s="491">
        <v>81</v>
      </c>
      <c r="AQ12" s="481"/>
      <c r="AR12" s="481"/>
      <c r="AS12" s="481"/>
      <c r="AT12" s="481"/>
      <c r="AU12" s="481">
        <f t="shared" si="28"/>
        <v>81</v>
      </c>
      <c r="AV12" s="548"/>
      <c r="AW12" s="548"/>
      <c r="AX12" s="42">
        <v>200</v>
      </c>
      <c r="AY12" s="548"/>
      <c r="AZ12" s="548"/>
      <c r="BA12" s="548"/>
      <c r="BB12" s="548"/>
      <c r="BC12" s="548">
        <f t="shared" si="29"/>
        <v>200</v>
      </c>
      <c r="BD12" s="42">
        <f t="shared" si="21"/>
        <v>0</v>
      </c>
      <c r="BE12" s="42">
        <f t="shared" si="22"/>
        <v>0</v>
      </c>
      <c r="BF12" s="42">
        <f t="shared" si="23"/>
        <v>715.6</v>
      </c>
      <c r="BG12" s="42">
        <f t="shared" si="24"/>
        <v>240</v>
      </c>
      <c r="BH12" s="42">
        <f t="shared" si="25"/>
        <v>0</v>
      </c>
      <c r="BI12" s="42">
        <f t="shared" si="26"/>
        <v>0</v>
      </c>
      <c r="BJ12" s="42">
        <f t="shared" si="14"/>
        <v>0</v>
      </c>
      <c r="BK12" s="42">
        <f t="shared" si="15"/>
        <v>955.6</v>
      </c>
      <c r="BL12" s="40">
        <f t="shared" si="20"/>
        <v>955.6</v>
      </c>
    </row>
    <row r="13" spans="1:64" ht="24" customHeight="1" x14ac:dyDescent="0.25">
      <c r="A13" s="298" t="s">
        <v>2458</v>
      </c>
      <c r="B13" s="299" t="s">
        <v>39</v>
      </c>
      <c r="C13" s="1547"/>
      <c r="D13" s="1552"/>
      <c r="E13" s="1552"/>
      <c r="F13" s="1549"/>
      <c r="G13" s="1549"/>
      <c r="H13" s="1549"/>
      <c r="I13" s="301"/>
      <c r="J13" s="301"/>
      <c r="K13" s="1425" t="s">
        <v>63</v>
      </c>
      <c r="L13" s="301" t="s">
        <v>44</v>
      </c>
      <c r="M13" s="1425" t="s">
        <v>45</v>
      </c>
      <c r="N13" s="1425" t="s">
        <v>46</v>
      </c>
      <c r="O13" s="1425" t="s">
        <v>47</v>
      </c>
      <c r="P13" s="1198" t="s">
        <v>2460</v>
      </c>
      <c r="Q13" s="302" t="s">
        <v>65</v>
      </c>
      <c r="R13" s="303">
        <v>2015</v>
      </c>
      <c r="S13" s="303">
        <v>0</v>
      </c>
      <c r="T13" s="303">
        <v>1</v>
      </c>
      <c r="U13" s="572">
        <v>1</v>
      </c>
      <c r="V13" s="572">
        <v>2</v>
      </c>
      <c r="W13" s="572">
        <v>2</v>
      </c>
      <c r="X13" s="572">
        <v>6</v>
      </c>
      <c r="Y13" s="481"/>
      <c r="Z13" s="481"/>
      <c r="AA13" s="481">
        <v>0</v>
      </c>
      <c r="AB13" s="481">
        <v>10</v>
      </c>
      <c r="AC13" s="481"/>
      <c r="AD13" s="481"/>
      <c r="AE13" s="481"/>
      <c r="AF13" s="481">
        <f t="shared" si="9"/>
        <v>10</v>
      </c>
      <c r="AG13" s="548"/>
      <c r="AH13" s="548"/>
      <c r="AI13" s="548">
        <v>10</v>
      </c>
      <c r="AJ13" s="548"/>
      <c r="AK13" s="548"/>
      <c r="AL13" s="548"/>
      <c r="AM13" s="548">
        <f t="shared" si="27"/>
        <v>10</v>
      </c>
      <c r="AN13" s="481"/>
      <c r="AO13" s="481"/>
      <c r="AP13" s="491">
        <v>120</v>
      </c>
      <c r="AQ13" s="481"/>
      <c r="AR13" s="481"/>
      <c r="AS13" s="481"/>
      <c r="AT13" s="481"/>
      <c r="AU13" s="481">
        <f t="shared" si="28"/>
        <v>120</v>
      </c>
      <c r="AV13" s="548"/>
      <c r="AW13" s="548"/>
      <c r="AX13" s="42">
        <v>230</v>
      </c>
      <c r="AY13" s="548"/>
      <c r="AZ13" s="548"/>
      <c r="BA13" s="548"/>
      <c r="BB13" s="548"/>
      <c r="BC13" s="548">
        <f t="shared" si="29"/>
        <v>230</v>
      </c>
      <c r="BD13" s="42">
        <f t="shared" si="21"/>
        <v>0</v>
      </c>
      <c r="BE13" s="42">
        <f t="shared" si="22"/>
        <v>0</v>
      </c>
      <c r="BF13" s="42">
        <f t="shared" si="23"/>
        <v>360</v>
      </c>
      <c r="BG13" s="42">
        <f t="shared" si="24"/>
        <v>10</v>
      </c>
      <c r="BH13" s="42">
        <f t="shared" si="25"/>
        <v>0</v>
      </c>
      <c r="BI13" s="42">
        <f t="shared" si="26"/>
        <v>0</v>
      </c>
      <c r="BJ13" s="42">
        <f t="shared" si="14"/>
        <v>0</v>
      </c>
      <c r="BK13" s="42">
        <f t="shared" si="15"/>
        <v>370</v>
      </c>
      <c r="BL13" s="40">
        <f t="shared" si="20"/>
        <v>370</v>
      </c>
    </row>
    <row r="14" spans="1:64" ht="56.25" customHeight="1" x14ac:dyDescent="0.25">
      <c r="A14" s="298" t="s">
        <v>2458</v>
      </c>
      <c r="B14" s="299" t="s">
        <v>39</v>
      </c>
      <c r="C14" s="1547"/>
      <c r="D14" s="1549"/>
      <c r="E14" s="1549"/>
      <c r="F14" s="1549"/>
      <c r="G14" s="1549"/>
      <c r="H14" s="1549"/>
      <c r="I14" s="301"/>
      <c r="J14" s="301"/>
      <c r="K14" s="1425" t="s">
        <v>66</v>
      </c>
      <c r="L14" s="301" t="s">
        <v>44</v>
      </c>
      <c r="M14" s="1425" t="s">
        <v>45</v>
      </c>
      <c r="N14" s="1425" t="s">
        <v>46</v>
      </c>
      <c r="O14" s="1425" t="s">
        <v>47</v>
      </c>
      <c r="P14" s="1198" t="s">
        <v>2461</v>
      </c>
      <c r="Q14" s="302" t="s">
        <v>68</v>
      </c>
      <c r="R14" s="303">
        <v>2015</v>
      </c>
      <c r="S14" s="303">
        <v>0</v>
      </c>
      <c r="T14" s="303">
        <v>2</v>
      </c>
      <c r="U14" s="572">
        <v>18</v>
      </c>
      <c r="V14" s="572">
        <v>20</v>
      </c>
      <c r="W14" s="572">
        <v>20</v>
      </c>
      <c r="X14" s="572">
        <v>60</v>
      </c>
      <c r="Y14" s="481"/>
      <c r="Z14" s="481"/>
      <c r="AA14" s="491">
        <v>205.8</v>
      </c>
      <c r="AB14" s="491">
        <v>250</v>
      </c>
      <c r="AC14" s="481"/>
      <c r="AD14" s="481">
        <v>644</v>
      </c>
      <c r="AE14" s="481"/>
      <c r="AF14" s="481">
        <f t="shared" si="9"/>
        <v>1099.8</v>
      </c>
      <c r="AG14" s="548"/>
      <c r="AH14" s="548"/>
      <c r="AI14" s="648">
        <v>295.10000000000002</v>
      </c>
      <c r="AJ14" s="548"/>
      <c r="AK14" s="548"/>
      <c r="AL14" s="548"/>
      <c r="AM14" s="548">
        <f t="shared" si="27"/>
        <v>295.10000000000002</v>
      </c>
      <c r="AN14" s="481"/>
      <c r="AO14" s="481"/>
      <c r="AP14" s="491">
        <v>400</v>
      </c>
      <c r="AQ14" s="481"/>
      <c r="AR14" s="481"/>
      <c r="AS14" s="481"/>
      <c r="AT14" s="481"/>
      <c r="AU14" s="481">
        <f t="shared" si="28"/>
        <v>400</v>
      </c>
      <c r="AV14" s="548"/>
      <c r="AW14" s="548"/>
      <c r="AX14" s="491">
        <v>385</v>
      </c>
      <c r="AY14" s="548"/>
      <c r="AZ14" s="548"/>
      <c r="BA14" s="548"/>
      <c r="BB14" s="548"/>
      <c r="BC14" s="548">
        <f t="shared" si="29"/>
        <v>385</v>
      </c>
      <c r="BD14" s="42">
        <f t="shared" si="21"/>
        <v>0</v>
      </c>
      <c r="BE14" s="42">
        <f t="shared" si="22"/>
        <v>0</v>
      </c>
      <c r="BF14" s="42">
        <f t="shared" si="23"/>
        <v>1285.8999999999999</v>
      </c>
      <c r="BG14" s="42">
        <f t="shared" si="24"/>
        <v>250</v>
      </c>
      <c r="BH14" s="42">
        <f t="shared" si="25"/>
        <v>0</v>
      </c>
      <c r="BI14" s="42">
        <f t="shared" si="26"/>
        <v>644</v>
      </c>
      <c r="BJ14" s="42">
        <f t="shared" si="14"/>
        <v>0</v>
      </c>
      <c r="BK14" s="42">
        <f t="shared" si="15"/>
        <v>2179.8999999999996</v>
      </c>
      <c r="BL14" s="40">
        <f t="shared" si="20"/>
        <v>2179.9</v>
      </c>
    </row>
    <row r="15" spans="1:64" ht="19.5" customHeight="1" x14ac:dyDescent="0.25">
      <c r="A15" s="298" t="s">
        <v>38</v>
      </c>
      <c r="B15" s="299" t="s">
        <v>39</v>
      </c>
      <c r="C15" s="1547"/>
      <c r="D15" s="1549"/>
      <c r="E15" s="1549"/>
      <c r="F15" s="1549"/>
      <c r="G15" s="1549"/>
      <c r="H15" s="1549"/>
      <c r="I15" s="301"/>
      <c r="J15" s="301"/>
      <c r="K15" s="1425" t="s">
        <v>69</v>
      </c>
      <c r="L15" s="301" t="s">
        <v>44</v>
      </c>
      <c r="M15" s="1425" t="s">
        <v>45</v>
      </c>
      <c r="N15" s="1425" t="s">
        <v>46</v>
      </c>
      <c r="O15" s="1425" t="s">
        <v>47</v>
      </c>
      <c r="P15" s="16" t="s">
        <v>70</v>
      </c>
      <c r="Q15" s="302" t="s">
        <v>71</v>
      </c>
      <c r="R15" s="303">
        <v>2015</v>
      </c>
      <c r="S15" s="303">
        <v>0</v>
      </c>
      <c r="T15" s="303">
        <v>0</v>
      </c>
      <c r="U15" s="572">
        <v>0.5</v>
      </c>
      <c r="V15" s="572">
        <v>0.5</v>
      </c>
      <c r="W15" s="572">
        <v>0</v>
      </c>
      <c r="X15" s="572">
        <v>1</v>
      </c>
      <c r="Y15" s="481"/>
      <c r="Z15" s="481"/>
      <c r="AA15" s="481"/>
      <c r="AB15" s="481"/>
      <c r="AC15" s="481"/>
      <c r="AD15" s="481"/>
      <c r="AE15" s="481"/>
      <c r="AF15" s="481">
        <f t="shared" si="9"/>
        <v>0</v>
      </c>
      <c r="AG15" s="548"/>
      <c r="AH15" s="548"/>
      <c r="AI15" s="648">
        <v>15</v>
      </c>
      <c r="AJ15" s="548"/>
      <c r="AK15" s="548"/>
      <c r="AL15" s="548"/>
      <c r="AM15" s="548">
        <f t="shared" si="27"/>
        <v>15</v>
      </c>
      <c r="AN15" s="481"/>
      <c r="AO15" s="481"/>
      <c r="AP15" s="491">
        <v>0.5</v>
      </c>
      <c r="AQ15" s="481"/>
      <c r="AR15" s="481"/>
      <c r="AS15" s="481"/>
      <c r="AT15" s="481"/>
      <c r="AU15" s="481">
        <f t="shared" si="28"/>
        <v>0.5</v>
      </c>
      <c r="AV15" s="491">
        <v>1</v>
      </c>
      <c r="AW15" s="548"/>
      <c r="AX15" s="548"/>
      <c r="AY15" s="548"/>
      <c r="AZ15" s="548"/>
      <c r="BA15" s="548"/>
      <c r="BB15" s="548"/>
      <c r="BC15" s="548">
        <f>SUM(AV15:BB15)</f>
        <v>1</v>
      </c>
      <c r="BD15" s="42">
        <f t="shared" ref="BD15:BH16" si="30">+AV15+AN15+AG15+Y15</f>
        <v>1</v>
      </c>
      <c r="BE15" s="42">
        <f t="shared" si="30"/>
        <v>0</v>
      </c>
      <c r="BF15" s="42">
        <f t="shared" si="30"/>
        <v>15.5</v>
      </c>
      <c r="BG15" s="42">
        <f t="shared" si="30"/>
        <v>0</v>
      </c>
      <c r="BH15" s="42">
        <f t="shared" si="30"/>
        <v>0</v>
      </c>
      <c r="BI15" s="42">
        <f t="shared" si="26"/>
        <v>0</v>
      </c>
      <c r="BJ15" s="42">
        <f>+BB15+AT15+AL15+AE15</f>
        <v>0</v>
      </c>
      <c r="BK15" s="42">
        <f>+BC15+AU15+AM15+AF15</f>
        <v>16.5</v>
      </c>
      <c r="BL15" s="40">
        <f t="shared" si="20"/>
        <v>16.5</v>
      </c>
    </row>
    <row r="16" spans="1:64" ht="79.5" customHeight="1" x14ac:dyDescent="0.25">
      <c r="A16" s="298" t="s">
        <v>2458</v>
      </c>
      <c r="B16" s="299" t="s">
        <v>39</v>
      </c>
      <c r="C16" s="1547"/>
      <c r="D16" s="1549"/>
      <c r="E16" s="1549"/>
      <c r="F16" s="1549"/>
      <c r="G16" s="1549"/>
      <c r="H16" s="1549"/>
      <c r="I16" s="301"/>
      <c r="J16" s="301"/>
      <c r="K16" s="1425" t="s">
        <v>72</v>
      </c>
      <c r="L16" s="301" t="s">
        <v>44</v>
      </c>
      <c r="M16" s="1425" t="s">
        <v>45</v>
      </c>
      <c r="N16" s="1425" t="s">
        <v>46</v>
      </c>
      <c r="O16" s="1425" t="s">
        <v>73</v>
      </c>
      <c r="P16" s="1198" t="s">
        <v>2462</v>
      </c>
      <c r="Q16" s="302" t="s">
        <v>75</v>
      </c>
      <c r="R16" s="303">
        <v>2015</v>
      </c>
      <c r="S16" s="303">
        <v>0</v>
      </c>
      <c r="T16" s="303">
        <v>0</v>
      </c>
      <c r="U16" s="572">
        <v>1</v>
      </c>
      <c r="V16" s="572">
        <v>1</v>
      </c>
      <c r="W16" s="572">
        <v>1</v>
      </c>
      <c r="X16" s="572">
        <v>1</v>
      </c>
      <c r="Y16" s="481"/>
      <c r="Z16" s="481"/>
      <c r="AA16" s="481"/>
      <c r="AB16" s="481"/>
      <c r="AC16" s="481"/>
      <c r="AD16" s="481"/>
      <c r="AE16" s="481"/>
      <c r="AF16" s="481">
        <f t="shared" si="9"/>
        <v>0</v>
      </c>
      <c r="AG16" s="548"/>
      <c r="AH16" s="548"/>
      <c r="AI16" s="648">
        <v>3</v>
      </c>
      <c r="AJ16" s="548"/>
      <c r="AK16" s="548"/>
      <c r="AL16" s="548"/>
      <c r="AM16" s="548">
        <f t="shared" si="27"/>
        <v>3</v>
      </c>
      <c r="AN16" s="481"/>
      <c r="AO16" s="481"/>
      <c r="AP16" s="491">
        <v>0.5</v>
      </c>
      <c r="AQ16" s="481"/>
      <c r="AR16" s="481"/>
      <c r="AS16" s="481"/>
      <c r="AT16" s="481"/>
      <c r="AU16" s="481">
        <f t="shared" si="28"/>
        <v>0.5</v>
      </c>
      <c r="AV16" s="491">
        <v>1</v>
      </c>
      <c r="AW16" s="548"/>
      <c r="AX16" s="548"/>
      <c r="AY16" s="548"/>
      <c r="AZ16" s="548"/>
      <c r="BA16" s="548"/>
      <c r="BB16" s="548"/>
      <c r="BC16" s="548">
        <f>SUM(AV16:BB16)</f>
        <v>1</v>
      </c>
      <c r="BD16" s="42">
        <f t="shared" si="30"/>
        <v>1</v>
      </c>
      <c r="BE16" s="42">
        <f t="shared" si="30"/>
        <v>0</v>
      </c>
      <c r="BF16" s="42">
        <f t="shared" si="30"/>
        <v>3.5</v>
      </c>
      <c r="BG16" s="42">
        <f t="shared" si="30"/>
        <v>0</v>
      </c>
      <c r="BH16" s="42">
        <f t="shared" si="30"/>
        <v>0</v>
      </c>
      <c r="BI16" s="42">
        <f t="shared" si="26"/>
        <v>0</v>
      </c>
      <c r="BJ16" s="42">
        <f>+BB16+AT16+AL16+AE16</f>
        <v>0</v>
      </c>
      <c r="BK16" s="42">
        <f>+BC16+AU16+AM16+AF16</f>
        <v>4.5</v>
      </c>
      <c r="BL16" s="40">
        <f t="shared" si="20"/>
        <v>4.5</v>
      </c>
    </row>
    <row r="17" spans="1:64" ht="39.75" customHeight="1" x14ac:dyDescent="0.25">
      <c r="A17" s="298" t="s">
        <v>38</v>
      </c>
      <c r="B17" s="299" t="s">
        <v>39</v>
      </c>
      <c r="C17" s="1547"/>
      <c r="D17" s="1549"/>
      <c r="E17" s="1549"/>
      <c r="F17" s="1549"/>
      <c r="G17" s="1549"/>
      <c r="H17" s="1549"/>
      <c r="I17" s="301"/>
      <c r="J17" s="301"/>
      <c r="K17" s="1425" t="s">
        <v>76</v>
      </c>
      <c r="L17" s="301" t="s">
        <v>44</v>
      </c>
      <c r="M17" s="1425" t="s">
        <v>45</v>
      </c>
      <c r="N17" s="1425" t="s">
        <v>46</v>
      </c>
      <c r="O17" s="1425" t="s">
        <v>47</v>
      </c>
      <c r="P17" s="25" t="s">
        <v>77</v>
      </c>
      <c r="Q17" s="302" t="s">
        <v>78</v>
      </c>
      <c r="R17" s="303">
        <v>2015</v>
      </c>
      <c r="S17" s="303">
        <v>1</v>
      </c>
      <c r="T17" s="303">
        <v>0</v>
      </c>
      <c r="U17" s="572">
        <v>2</v>
      </c>
      <c r="V17" s="572">
        <v>1</v>
      </c>
      <c r="W17" s="572">
        <v>1</v>
      </c>
      <c r="X17" s="572">
        <v>4</v>
      </c>
      <c r="Y17" s="481"/>
      <c r="Z17" s="481"/>
      <c r="AA17" s="491">
        <v>0.5</v>
      </c>
      <c r="AB17" s="481"/>
      <c r="AC17" s="481"/>
      <c r="AD17" s="481"/>
      <c r="AE17" s="481"/>
      <c r="AF17" s="481">
        <f t="shared" si="9"/>
        <v>0.5</v>
      </c>
      <c r="AG17" s="548"/>
      <c r="AH17" s="548"/>
      <c r="AI17" s="648">
        <v>1</v>
      </c>
      <c r="AJ17" s="548"/>
      <c r="AK17" s="548"/>
      <c r="AL17" s="548"/>
      <c r="AM17" s="548">
        <f t="shared" si="27"/>
        <v>1</v>
      </c>
      <c r="AN17" s="481"/>
      <c r="AO17" s="481"/>
      <c r="AP17" s="491">
        <v>0.5</v>
      </c>
      <c r="AQ17" s="481"/>
      <c r="AR17" s="481"/>
      <c r="AS17" s="481"/>
      <c r="AT17" s="481"/>
      <c r="AU17" s="481">
        <f t="shared" si="28"/>
        <v>0.5</v>
      </c>
      <c r="AV17" s="491">
        <v>1</v>
      </c>
      <c r="AW17" s="548"/>
      <c r="AX17" s="548"/>
      <c r="AY17" s="548"/>
      <c r="AZ17" s="548"/>
      <c r="BA17" s="548"/>
      <c r="BB17" s="548"/>
      <c r="BC17" s="548">
        <f t="shared" si="29"/>
        <v>1</v>
      </c>
      <c r="BD17" s="42">
        <f t="shared" si="21"/>
        <v>1</v>
      </c>
      <c r="BE17" s="42">
        <f t="shared" si="22"/>
        <v>0</v>
      </c>
      <c r="BF17" s="42">
        <f t="shared" si="23"/>
        <v>2</v>
      </c>
      <c r="BG17" s="42">
        <f t="shared" si="24"/>
        <v>0</v>
      </c>
      <c r="BH17" s="42">
        <f t="shared" si="25"/>
        <v>0</v>
      </c>
      <c r="BI17" s="42">
        <f t="shared" si="26"/>
        <v>0</v>
      </c>
      <c r="BJ17" s="42">
        <f t="shared" si="14"/>
        <v>0</v>
      </c>
      <c r="BK17" s="42">
        <f t="shared" si="15"/>
        <v>3</v>
      </c>
      <c r="BL17" s="40">
        <f t="shared" si="20"/>
        <v>3</v>
      </c>
    </row>
    <row r="18" spans="1:64" ht="11.25" customHeight="1" x14ac:dyDescent="0.25">
      <c r="A18" s="298" t="s">
        <v>38</v>
      </c>
      <c r="B18" s="299" t="s">
        <v>39</v>
      </c>
      <c r="C18" s="1547"/>
      <c r="D18" s="1549"/>
      <c r="E18" s="1549"/>
      <c r="F18" s="1549"/>
      <c r="G18" s="1549"/>
      <c r="H18" s="1549"/>
      <c r="I18" s="301"/>
      <c r="J18" s="301"/>
      <c r="K18" s="1425" t="s">
        <v>79</v>
      </c>
      <c r="L18" s="301" t="s">
        <v>44</v>
      </c>
      <c r="M18" s="1425" t="s">
        <v>45</v>
      </c>
      <c r="N18" s="1425" t="s">
        <v>46</v>
      </c>
      <c r="O18" s="1425" t="s">
        <v>47</v>
      </c>
      <c r="P18" s="16" t="s">
        <v>80</v>
      </c>
      <c r="Q18" s="302" t="s">
        <v>81</v>
      </c>
      <c r="R18" s="303">
        <v>2015</v>
      </c>
      <c r="S18" s="303">
        <v>0</v>
      </c>
      <c r="T18" s="303">
        <v>1</v>
      </c>
      <c r="U18" s="572">
        <v>1</v>
      </c>
      <c r="V18" s="572">
        <v>1</v>
      </c>
      <c r="W18" s="572">
        <v>1</v>
      </c>
      <c r="X18" s="572">
        <v>1</v>
      </c>
      <c r="Y18" s="481"/>
      <c r="Z18" s="481"/>
      <c r="AA18" s="491">
        <v>0.5</v>
      </c>
      <c r="AB18" s="481"/>
      <c r="AC18" s="481"/>
      <c r="AD18" s="481"/>
      <c r="AE18" s="481"/>
      <c r="AF18" s="481">
        <f t="shared" si="9"/>
        <v>0.5</v>
      </c>
      <c r="AG18" s="548"/>
      <c r="AH18" s="548"/>
      <c r="AI18" s="648">
        <v>1</v>
      </c>
      <c r="AJ18" s="548"/>
      <c r="AK18" s="548"/>
      <c r="AL18" s="548"/>
      <c r="AM18" s="548">
        <f t="shared" si="27"/>
        <v>1</v>
      </c>
      <c r="AN18" s="481"/>
      <c r="AO18" s="481"/>
      <c r="AP18" s="491">
        <v>0.5</v>
      </c>
      <c r="AQ18" s="481"/>
      <c r="AR18" s="481"/>
      <c r="AS18" s="481"/>
      <c r="AT18" s="481"/>
      <c r="AU18" s="481">
        <f t="shared" si="28"/>
        <v>0.5</v>
      </c>
      <c r="AV18" s="491">
        <v>1</v>
      </c>
      <c r="AW18" s="548"/>
      <c r="AX18" s="548"/>
      <c r="AY18" s="548"/>
      <c r="AZ18" s="548"/>
      <c r="BA18" s="548"/>
      <c r="BB18" s="548"/>
      <c r="BC18" s="548">
        <f t="shared" si="29"/>
        <v>1</v>
      </c>
      <c r="BD18" s="42">
        <f t="shared" si="21"/>
        <v>1</v>
      </c>
      <c r="BE18" s="42">
        <f t="shared" si="22"/>
        <v>0</v>
      </c>
      <c r="BF18" s="42">
        <f t="shared" si="23"/>
        <v>2</v>
      </c>
      <c r="BG18" s="42">
        <f t="shared" si="24"/>
        <v>0</v>
      </c>
      <c r="BH18" s="42">
        <f t="shared" si="25"/>
        <v>0</v>
      </c>
      <c r="BI18" s="42">
        <f t="shared" si="26"/>
        <v>0</v>
      </c>
      <c r="BJ18" s="42">
        <f t="shared" si="14"/>
        <v>0</v>
      </c>
      <c r="BK18" s="42">
        <f t="shared" si="15"/>
        <v>3</v>
      </c>
      <c r="BL18" s="40">
        <f t="shared" si="20"/>
        <v>3</v>
      </c>
    </row>
    <row r="19" spans="1:64" ht="21.75" customHeight="1" x14ac:dyDescent="0.25">
      <c r="A19" s="298" t="s">
        <v>38</v>
      </c>
      <c r="B19" s="299" t="s">
        <v>39</v>
      </c>
      <c r="C19" s="1547"/>
      <c r="D19" s="1549"/>
      <c r="E19" s="1549"/>
      <c r="F19" s="1549"/>
      <c r="G19" s="1549"/>
      <c r="H19" s="1549"/>
      <c r="I19" s="301"/>
      <c r="J19" s="301"/>
      <c r="K19" s="1425" t="s">
        <v>82</v>
      </c>
      <c r="L19" s="301" t="s">
        <v>44</v>
      </c>
      <c r="M19" s="1425" t="s">
        <v>45</v>
      </c>
      <c r="N19" s="1425" t="s">
        <v>46</v>
      </c>
      <c r="O19" s="1425" t="s">
        <v>47</v>
      </c>
      <c r="P19" s="16" t="s">
        <v>83</v>
      </c>
      <c r="Q19" s="302" t="s">
        <v>84</v>
      </c>
      <c r="R19" s="303">
        <v>2015</v>
      </c>
      <c r="S19" s="303">
        <v>0</v>
      </c>
      <c r="T19" s="303">
        <v>0</v>
      </c>
      <c r="U19" s="572">
        <v>6</v>
      </c>
      <c r="V19" s="572">
        <v>6</v>
      </c>
      <c r="W19" s="572">
        <v>8</v>
      </c>
      <c r="X19" s="572">
        <v>20</v>
      </c>
      <c r="Y19" s="481"/>
      <c r="Z19" s="481"/>
      <c r="AA19" s="481"/>
      <c r="AB19" s="481"/>
      <c r="AC19" s="481"/>
      <c r="AD19" s="481"/>
      <c r="AE19" s="481"/>
      <c r="AF19" s="481">
        <f t="shared" si="9"/>
        <v>0</v>
      </c>
      <c r="AG19" s="548"/>
      <c r="AH19" s="548"/>
      <c r="AI19" s="648">
        <v>8</v>
      </c>
      <c r="AJ19" s="548"/>
      <c r="AK19" s="548"/>
      <c r="AL19" s="548"/>
      <c r="AM19" s="548">
        <f t="shared" si="27"/>
        <v>8</v>
      </c>
      <c r="AN19" s="481"/>
      <c r="AO19" s="481"/>
      <c r="AP19" s="491">
        <v>0.5</v>
      </c>
      <c r="AQ19" s="481"/>
      <c r="AR19" s="481"/>
      <c r="AS19" s="481"/>
      <c r="AT19" s="481"/>
      <c r="AU19" s="481">
        <f t="shared" si="28"/>
        <v>0.5</v>
      </c>
      <c r="AV19" s="491">
        <v>1</v>
      </c>
      <c r="AW19" s="548"/>
      <c r="AX19" s="548"/>
      <c r="AY19" s="548"/>
      <c r="AZ19" s="548"/>
      <c r="BA19" s="548"/>
      <c r="BB19" s="548"/>
      <c r="BC19" s="548">
        <f t="shared" si="29"/>
        <v>1</v>
      </c>
      <c r="BD19" s="42">
        <f t="shared" si="21"/>
        <v>1</v>
      </c>
      <c r="BE19" s="42">
        <f t="shared" si="22"/>
        <v>0</v>
      </c>
      <c r="BF19" s="42">
        <f t="shared" si="23"/>
        <v>8.5</v>
      </c>
      <c r="BG19" s="42">
        <f t="shared" si="24"/>
        <v>0</v>
      </c>
      <c r="BH19" s="42">
        <f t="shared" si="25"/>
        <v>0</v>
      </c>
      <c r="BI19" s="42">
        <f t="shared" si="26"/>
        <v>0</v>
      </c>
      <c r="BJ19" s="42">
        <f t="shared" si="14"/>
        <v>0</v>
      </c>
      <c r="BK19" s="42">
        <f t="shared" si="15"/>
        <v>9.5</v>
      </c>
      <c r="BL19" s="40">
        <f t="shared" si="20"/>
        <v>9.5</v>
      </c>
    </row>
    <row r="20" spans="1:64" ht="21" customHeight="1" x14ac:dyDescent="0.25">
      <c r="A20" s="298" t="s">
        <v>38</v>
      </c>
      <c r="B20" s="299" t="s">
        <v>39</v>
      </c>
      <c r="C20" s="1547"/>
      <c r="D20" s="1549"/>
      <c r="E20" s="1549"/>
      <c r="F20" s="1549"/>
      <c r="G20" s="1549"/>
      <c r="H20" s="1549"/>
      <c r="I20" s="301"/>
      <c r="J20" s="301"/>
      <c r="K20" s="1425" t="s">
        <v>85</v>
      </c>
      <c r="L20" s="301" t="s">
        <v>44</v>
      </c>
      <c r="M20" s="1425" t="s">
        <v>45</v>
      </c>
      <c r="N20" s="1425" t="s">
        <v>46</v>
      </c>
      <c r="O20" s="1425" t="s">
        <v>47</v>
      </c>
      <c r="P20" s="16" t="s">
        <v>86</v>
      </c>
      <c r="Q20" s="302" t="s">
        <v>87</v>
      </c>
      <c r="R20" s="303">
        <v>2015</v>
      </c>
      <c r="S20" s="303">
        <v>0</v>
      </c>
      <c r="T20" s="303">
        <v>1</v>
      </c>
      <c r="U20" s="572">
        <v>1</v>
      </c>
      <c r="V20" s="572">
        <v>1</v>
      </c>
      <c r="W20" s="572">
        <v>1</v>
      </c>
      <c r="X20" s="572">
        <v>4</v>
      </c>
      <c r="Y20" s="481"/>
      <c r="Z20" s="481"/>
      <c r="AA20" s="491">
        <v>0.5</v>
      </c>
      <c r="AB20" s="481"/>
      <c r="AC20" s="481"/>
      <c r="AD20" s="481"/>
      <c r="AE20" s="481"/>
      <c r="AF20" s="481">
        <f t="shared" si="9"/>
        <v>0.5</v>
      </c>
      <c r="AG20" s="548"/>
      <c r="AH20" s="548"/>
      <c r="AI20" s="648">
        <v>3</v>
      </c>
      <c r="AJ20" s="548"/>
      <c r="AK20" s="548"/>
      <c r="AL20" s="548"/>
      <c r="AM20" s="548">
        <f t="shared" si="27"/>
        <v>3</v>
      </c>
      <c r="AN20" s="481"/>
      <c r="AO20" s="481"/>
      <c r="AP20" s="491">
        <v>0.5</v>
      </c>
      <c r="AQ20" s="481"/>
      <c r="AR20" s="481"/>
      <c r="AS20" s="481"/>
      <c r="AT20" s="481"/>
      <c r="AU20" s="481">
        <f t="shared" si="28"/>
        <v>0.5</v>
      </c>
      <c r="AV20" s="491">
        <v>1</v>
      </c>
      <c r="AW20" s="548"/>
      <c r="AX20" s="548"/>
      <c r="AY20" s="548"/>
      <c r="AZ20" s="548"/>
      <c r="BA20" s="548"/>
      <c r="BB20" s="548"/>
      <c r="BC20" s="548">
        <f t="shared" si="29"/>
        <v>1</v>
      </c>
      <c r="BD20" s="42">
        <f t="shared" si="21"/>
        <v>1</v>
      </c>
      <c r="BE20" s="42">
        <f t="shared" si="22"/>
        <v>0</v>
      </c>
      <c r="BF20" s="42">
        <f t="shared" si="23"/>
        <v>4</v>
      </c>
      <c r="BG20" s="42">
        <f t="shared" si="24"/>
        <v>0</v>
      </c>
      <c r="BH20" s="42">
        <f t="shared" si="25"/>
        <v>0</v>
      </c>
      <c r="BI20" s="42">
        <f t="shared" si="26"/>
        <v>0</v>
      </c>
      <c r="BJ20" s="42">
        <f t="shared" si="14"/>
        <v>0</v>
      </c>
      <c r="BK20" s="42">
        <f t="shared" si="15"/>
        <v>5</v>
      </c>
      <c r="BL20" s="40">
        <f t="shared" si="20"/>
        <v>5</v>
      </c>
    </row>
    <row r="21" spans="1:64" ht="24.75" customHeight="1" x14ac:dyDescent="0.25">
      <c r="A21" s="298" t="s">
        <v>2458</v>
      </c>
      <c r="B21" s="299" t="s">
        <v>39</v>
      </c>
      <c r="C21" s="1547"/>
      <c r="D21" s="1549"/>
      <c r="E21" s="1549"/>
      <c r="F21" s="1549"/>
      <c r="G21" s="1549"/>
      <c r="H21" s="1549"/>
      <c r="I21" s="301"/>
      <c r="J21" s="301"/>
      <c r="K21" s="1425" t="s">
        <v>88</v>
      </c>
      <c r="L21" s="301" t="s">
        <v>44</v>
      </c>
      <c r="M21" s="1425" t="s">
        <v>45</v>
      </c>
      <c r="N21" s="1425" t="s">
        <v>46</v>
      </c>
      <c r="O21" s="1425" t="s">
        <v>73</v>
      </c>
      <c r="P21" s="1198" t="s">
        <v>2463</v>
      </c>
      <c r="Q21" s="302" t="s">
        <v>90</v>
      </c>
      <c r="R21" s="303">
        <v>2015</v>
      </c>
      <c r="S21" s="303">
        <v>0</v>
      </c>
      <c r="T21" s="303">
        <v>0</v>
      </c>
      <c r="U21" s="572">
        <v>1</v>
      </c>
      <c r="V21" s="572">
        <v>1</v>
      </c>
      <c r="W21" s="572">
        <v>1</v>
      </c>
      <c r="X21" s="572">
        <v>1</v>
      </c>
      <c r="Y21" s="481"/>
      <c r="Z21" s="481"/>
      <c r="AA21" s="481"/>
      <c r="AB21" s="481"/>
      <c r="AC21" s="481"/>
      <c r="AD21" s="481"/>
      <c r="AE21" s="481"/>
      <c r="AF21" s="481">
        <f>SUM(Y21:AE21)</f>
        <v>0</v>
      </c>
      <c r="AG21" s="548"/>
      <c r="AH21" s="548"/>
      <c r="AI21" s="648">
        <v>5</v>
      </c>
      <c r="AJ21" s="548"/>
      <c r="AK21" s="548"/>
      <c r="AL21" s="548"/>
      <c r="AM21" s="548">
        <f>SUM(AG21:AL21)</f>
        <v>5</v>
      </c>
      <c r="AN21" s="481"/>
      <c r="AO21" s="481"/>
      <c r="AP21" s="491">
        <v>0.5</v>
      </c>
      <c r="AQ21" s="481"/>
      <c r="AR21" s="481"/>
      <c r="AS21" s="481"/>
      <c r="AT21" s="481"/>
      <c r="AU21" s="481">
        <f>SUM(AN21:AT21)</f>
        <v>0.5</v>
      </c>
      <c r="AV21" s="491">
        <v>1</v>
      </c>
      <c r="AW21" s="548"/>
      <c r="AX21" s="548"/>
      <c r="AY21" s="548"/>
      <c r="AZ21" s="548"/>
      <c r="BA21" s="548"/>
      <c r="BB21" s="548"/>
      <c r="BC21" s="548">
        <f>SUM(AV21:BB21)</f>
        <v>1</v>
      </c>
      <c r="BD21" s="42">
        <f>+AV21+AN21+AG21+Y21</f>
        <v>1</v>
      </c>
      <c r="BE21" s="42">
        <f>+AW21+AO21+AH21+Z21</f>
        <v>0</v>
      </c>
      <c r="BF21" s="42">
        <f>+AX21+AP21+AI21+AA21</f>
        <v>5.5</v>
      </c>
      <c r="BG21" s="42">
        <f>+AY21+AQ21+AJ21+AB21</f>
        <v>0</v>
      </c>
      <c r="BH21" s="42">
        <f>+AZ21+AR21+AK21+AC21</f>
        <v>0</v>
      </c>
      <c r="BI21" s="42">
        <f t="shared" si="26"/>
        <v>0</v>
      </c>
      <c r="BJ21" s="42">
        <f>+BB21+AT21+AL21+AE21</f>
        <v>0</v>
      </c>
      <c r="BK21" s="42">
        <f>+BC21+AU21+AM21+AF21</f>
        <v>6.5</v>
      </c>
      <c r="BL21" s="40">
        <f t="shared" si="20"/>
        <v>6.5</v>
      </c>
    </row>
    <row r="22" spans="1:64" ht="15.75" customHeight="1" x14ac:dyDescent="0.25">
      <c r="A22" s="298" t="s">
        <v>38</v>
      </c>
      <c r="B22" s="299" t="s">
        <v>39</v>
      </c>
      <c r="C22" s="1548"/>
      <c r="D22" s="1549"/>
      <c r="E22" s="1549"/>
      <c r="F22" s="1549"/>
      <c r="G22" s="1549"/>
      <c r="H22" s="1549"/>
      <c r="I22" s="301"/>
      <c r="J22" s="301"/>
      <c r="K22" s="1425" t="s">
        <v>91</v>
      </c>
      <c r="L22" s="301" t="s">
        <v>44</v>
      </c>
      <c r="M22" s="1425" t="s">
        <v>45</v>
      </c>
      <c r="N22" s="1425" t="s">
        <v>46</v>
      </c>
      <c r="O22" s="1425" t="s">
        <v>73</v>
      </c>
      <c r="P22" s="16" t="s">
        <v>92</v>
      </c>
      <c r="Q22" s="302" t="s">
        <v>93</v>
      </c>
      <c r="R22" s="303">
        <v>2015</v>
      </c>
      <c r="S22" s="303">
        <v>0</v>
      </c>
      <c r="T22" s="303">
        <v>1</v>
      </c>
      <c r="U22" s="572">
        <v>1</v>
      </c>
      <c r="V22" s="572">
        <v>1</v>
      </c>
      <c r="W22" s="572">
        <v>1</v>
      </c>
      <c r="X22" s="572">
        <v>1</v>
      </c>
      <c r="Y22" s="481"/>
      <c r="Z22" s="481"/>
      <c r="AA22" s="491">
        <v>0.5</v>
      </c>
      <c r="AB22" s="481"/>
      <c r="AC22" s="481"/>
      <c r="AD22" s="481"/>
      <c r="AE22" s="481"/>
      <c r="AF22" s="481">
        <f t="shared" si="9"/>
        <v>0.5</v>
      </c>
      <c r="AG22" s="548"/>
      <c r="AH22" s="548"/>
      <c r="AI22" s="648">
        <v>5</v>
      </c>
      <c r="AJ22" s="548"/>
      <c r="AK22" s="548"/>
      <c r="AL22" s="548"/>
      <c r="AM22" s="548">
        <f t="shared" si="27"/>
        <v>5</v>
      </c>
      <c r="AN22" s="42"/>
      <c r="AO22" s="481"/>
      <c r="AP22" s="491">
        <v>0.5</v>
      </c>
      <c r="AQ22" s="481"/>
      <c r="AR22" s="481"/>
      <c r="AS22" s="481"/>
      <c r="AT22" s="481"/>
      <c r="AU22" s="481">
        <f t="shared" si="28"/>
        <v>0.5</v>
      </c>
      <c r="AV22" s="491">
        <v>1</v>
      </c>
      <c r="AW22" s="548"/>
      <c r="AX22" s="548"/>
      <c r="AY22" s="548"/>
      <c r="AZ22" s="548"/>
      <c r="BA22" s="548"/>
      <c r="BB22" s="548"/>
      <c r="BC22" s="548">
        <f t="shared" si="29"/>
        <v>1</v>
      </c>
      <c r="BD22" s="42">
        <f t="shared" si="21"/>
        <v>1</v>
      </c>
      <c r="BE22" s="42">
        <f t="shared" si="22"/>
        <v>0</v>
      </c>
      <c r="BF22" s="42">
        <f t="shared" si="23"/>
        <v>6</v>
      </c>
      <c r="BG22" s="42">
        <f t="shared" si="24"/>
        <v>0</v>
      </c>
      <c r="BH22" s="42">
        <f t="shared" si="25"/>
        <v>0</v>
      </c>
      <c r="BI22" s="42">
        <f t="shared" si="26"/>
        <v>0</v>
      </c>
      <c r="BJ22" s="42">
        <f t="shared" si="14"/>
        <v>0</v>
      </c>
      <c r="BK22" s="42">
        <f t="shared" si="15"/>
        <v>7</v>
      </c>
      <c r="BL22" s="40">
        <f t="shared" si="20"/>
        <v>7</v>
      </c>
    </row>
    <row r="23" spans="1:64" ht="39.6" x14ac:dyDescent="0.25">
      <c r="A23" s="295" t="s">
        <v>38</v>
      </c>
      <c r="B23" s="24" t="s">
        <v>39</v>
      </c>
      <c r="C23" s="2"/>
      <c r="D23" s="2" t="s">
        <v>94</v>
      </c>
      <c r="E23" s="1"/>
      <c r="F23" s="1"/>
      <c r="G23" s="1"/>
      <c r="H23" s="1"/>
      <c r="I23" s="1"/>
      <c r="J23" s="1"/>
      <c r="K23" s="1"/>
      <c r="L23" s="1"/>
      <c r="M23" s="1"/>
      <c r="N23" s="1"/>
      <c r="O23" s="1"/>
      <c r="P23" s="1"/>
      <c r="Q23" s="22"/>
      <c r="R23" s="1"/>
      <c r="S23" s="1"/>
      <c r="T23" s="1"/>
      <c r="U23" s="49"/>
      <c r="V23" s="49"/>
      <c r="W23" s="49"/>
      <c r="X23" s="49"/>
      <c r="Y23" s="34">
        <f t="shared" ref="Y23:AE23" si="31">SUM(Y24:Y39)</f>
        <v>24.5</v>
      </c>
      <c r="Z23" s="34">
        <f t="shared" si="31"/>
        <v>0</v>
      </c>
      <c r="AA23" s="34">
        <f t="shared" si="31"/>
        <v>1095</v>
      </c>
      <c r="AB23" s="34">
        <f t="shared" si="31"/>
        <v>0</v>
      </c>
      <c r="AC23" s="34">
        <f t="shared" si="31"/>
        <v>0</v>
      </c>
      <c r="AD23" s="34">
        <f t="shared" si="31"/>
        <v>0</v>
      </c>
      <c r="AE23" s="34">
        <f t="shared" si="31"/>
        <v>0</v>
      </c>
      <c r="AF23" s="34">
        <f t="shared" si="9"/>
        <v>1119.5</v>
      </c>
      <c r="AG23" s="34">
        <f t="shared" ref="AG23:AL23" si="32">SUM(AG24:AG39)</f>
        <v>0</v>
      </c>
      <c r="AH23" s="34">
        <f t="shared" si="32"/>
        <v>0</v>
      </c>
      <c r="AI23" s="34">
        <v>1424.75</v>
      </c>
      <c r="AJ23" s="34">
        <f t="shared" si="32"/>
        <v>0</v>
      </c>
      <c r="AK23" s="34">
        <f t="shared" si="32"/>
        <v>0</v>
      </c>
      <c r="AL23" s="34">
        <f t="shared" si="32"/>
        <v>0</v>
      </c>
      <c r="AM23" s="34">
        <f t="shared" si="27"/>
        <v>1424.75</v>
      </c>
      <c r="AN23" s="34">
        <f t="shared" ref="AN23:AT23" si="33">SUM(AN24:AN39)</f>
        <v>2.5</v>
      </c>
      <c r="AO23" s="34">
        <f t="shared" si="33"/>
        <v>0</v>
      </c>
      <c r="AP23" s="34">
        <f>SUM(AP24:AP41)</f>
        <v>825</v>
      </c>
      <c r="AQ23" s="34">
        <f t="shared" si="33"/>
        <v>0</v>
      </c>
      <c r="AR23" s="34">
        <f t="shared" si="33"/>
        <v>0</v>
      </c>
      <c r="AS23" s="34">
        <f t="shared" si="33"/>
        <v>0</v>
      </c>
      <c r="AT23" s="34">
        <f t="shared" si="33"/>
        <v>0</v>
      </c>
      <c r="AU23" s="34">
        <f t="shared" si="28"/>
        <v>827.5</v>
      </c>
      <c r="AV23" s="34">
        <f>SUM(AV24:AV41)</f>
        <v>5</v>
      </c>
      <c r="AW23" s="31">
        <f t="shared" ref="AW23:BB23" si="34">SUM(AW24:AW39)</f>
        <v>0</v>
      </c>
      <c r="AX23" s="34">
        <f t="shared" si="34"/>
        <v>864</v>
      </c>
      <c r="AY23" s="34">
        <f t="shared" si="34"/>
        <v>0</v>
      </c>
      <c r="AZ23" s="34">
        <f t="shared" si="34"/>
        <v>0</v>
      </c>
      <c r="BA23" s="34">
        <f t="shared" si="34"/>
        <v>0</v>
      </c>
      <c r="BB23" s="34">
        <f t="shared" si="34"/>
        <v>0</v>
      </c>
      <c r="BC23" s="34">
        <f t="shared" si="29"/>
        <v>869</v>
      </c>
      <c r="BD23" s="34">
        <f t="shared" si="21"/>
        <v>32</v>
      </c>
      <c r="BE23" s="34">
        <f t="shared" si="22"/>
        <v>0</v>
      </c>
      <c r="BF23" s="34">
        <f t="shared" si="23"/>
        <v>4208.75</v>
      </c>
      <c r="BG23" s="34">
        <f t="shared" si="24"/>
        <v>0</v>
      </c>
      <c r="BH23" s="34">
        <f t="shared" si="25"/>
        <v>0</v>
      </c>
      <c r="BI23" s="34">
        <f t="shared" si="26"/>
        <v>0</v>
      </c>
      <c r="BJ23" s="34">
        <f t="shared" si="14"/>
        <v>0</v>
      </c>
      <c r="BK23" s="34">
        <f t="shared" si="15"/>
        <v>4240.75</v>
      </c>
      <c r="BL23" s="40">
        <f t="shared" si="20"/>
        <v>4240.75</v>
      </c>
    </row>
    <row r="24" spans="1:64" ht="18.75" customHeight="1" x14ac:dyDescent="0.25">
      <c r="A24" s="298" t="s">
        <v>38</v>
      </c>
      <c r="B24" s="299" t="s">
        <v>39</v>
      </c>
      <c r="C24" s="1546" t="s">
        <v>95</v>
      </c>
      <c r="D24" s="1549" t="s">
        <v>96</v>
      </c>
      <c r="E24" s="1549" t="s">
        <v>97</v>
      </c>
      <c r="F24" s="1549">
        <v>2014</v>
      </c>
      <c r="G24" s="1549">
        <v>47.54</v>
      </c>
      <c r="H24" s="1549">
        <v>50</v>
      </c>
      <c r="I24" s="1425"/>
      <c r="J24" s="1425"/>
      <c r="K24" s="1425" t="s">
        <v>98</v>
      </c>
      <c r="L24" s="301" t="s">
        <v>44</v>
      </c>
      <c r="M24" s="1425" t="s">
        <v>45</v>
      </c>
      <c r="N24" s="1425" t="s">
        <v>46</v>
      </c>
      <c r="O24" s="1425" t="s">
        <v>47</v>
      </c>
      <c r="P24" s="25" t="s">
        <v>99</v>
      </c>
      <c r="Q24" s="302" t="s">
        <v>100</v>
      </c>
      <c r="R24" s="303">
        <v>2015</v>
      </c>
      <c r="S24" s="303">
        <v>0</v>
      </c>
      <c r="T24" s="303">
        <v>2</v>
      </c>
      <c r="U24" s="572">
        <v>2</v>
      </c>
      <c r="V24" s="572">
        <v>7</v>
      </c>
      <c r="W24" s="572">
        <v>7</v>
      </c>
      <c r="X24" s="572">
        <v>18</v>
      </c>
      <c r="Y24" s="481"/>
      <c r="Z24" s="481"/>
      <c r="AA24" s="481">
        <v>20</v>
      </c>
      <c r="AB24" s="481"/>
      <c r="AC24" s="481"/>
      <c r="AD24" s="481"/>
      <c r="AE24" s="481"/>
      <c r="AF24" s="481">
        <f t="shared" si="9"/>
        <v>20</v>
      </c>
      <c r="AG24" s="548"/>
      <c r="AH24" s="548"/>
      <c r="AI24" s="648">
        <v>15</v>
      </c>
      <c r="AJ24" s="548"/>
      <c r="AK24" s="548"/>
      <c r="AL24" s="548"/>
      <c r="AM24" s="548">
        <f t="shared" si="27"/>
        <v>15</v>
      </c>
      <c r="AN24" s="481"/>
      <c r="AO24" s="481"/>
      <c r="AP24" s="481">
        <v>100</v>
      </c>
      <c r="AQ24" s="481"/>
      <c r="AR24" s="481"/>
      <c r="AS24" s="481"/>
      <c r="AT24" s="481"/>
      <c r="AU24" s="481">
        <f t="shared" si="28"/>
        <v>100</v>
      </c>
      <c r="AV24" s="548"/>
      <c r="AW24" s="548"/>
      <c r="AX24" s="42">
        <v>100</v>
      </c>
      <c r="AY24" s="548"/>
      <c r="AZ24" s="548"/>
      <c r="BA24" s="548"/>
      <c r="BB24" s="548"/>
      <c r="BC24" s="548">
        <f t="shared" si="29"/>
        <v>100</v>
      </c>
      <c r="BD24" s="42">
        <f t="shared" si="21"/>
        <v>0</v>
      </c>
      <c r="BE24" s="42">
        <f t="shared" si="22"/>
        <v>0</v>
      </c>
      <c r="BF24" s="42">
        <f t="shared" si="23"/>
        <v>235</v>
      </c>
      <c r="BG24" s="42">
        <f t="shared" si="24"/>
        <v>0</v>
      </c>
      <c r="BH24" s="42">
        <f t="shared" si="25"/>
        <v>0</v>
      </c>
      <c r="BI24" s="42">
        <f t="shared" si="26"/>
        <v>0</v>
      </c>
      <c r="BJ24" s="42">
        <f t="shared" si="14"/>
        <v>0</v>
      </c>
      <c r="BK24" s="42">
        <f t="shared" si="15"/>
        <v>235</v>
      </c>
      <c r="BL24" s="40">
        <f t="shared" si="20"/>
        <v>235</v>
      </c>
    </row>
    <row r="25" spans="1:64" ht="16.5" customHeight="1" x14ac:dyDescent="0.25">
      <c r="A25" s="298" t="s">
        <v>38</v>
      </c>
      <c r="B25" s="299" t="s">
        <v>39</v>
      </c>
      <c r="C25" s="1547"/>
      <c r="D25" s="1549"/>
      <c r="E25" s="1549"/>
      <c r="F25" s="1549"/>
      <c r="G25" s="1549"/>
      <c r="H25" s="1549"/>
      <c r="I25" s="1425"/>
      <c r="J25" s="1425"/>
      <c r="K25" s="1425" t="s">
        <v>101</v>
      </c>
      <c r="L25" s="301" t="s">
        <v>44</v>
      </c>
      <c r="M25" s="1425" t="s">
        <v>45</v>
      </c>
      <c r="N25" s="1425" t="s">
        <v>46</v>
      </c>
      <c r="O25" s="1425" t="s">
        <v>73</v>
      </c>
      <c r="P25" s="25" t="s">
        <v>102</v>
      </c>
      <c r="Q25" s="302" t="s">
        <v>103</v>
      </c>
      <c r="R25" s="303">
        <v>2015</v>
      </c>
      <c r="S25" s="303">
        <v>1</v>
      </c>
      <c r="T25" s="303">
        <v>18</v>
      </c>
      <c r="U25" s="303">
        <v>18</v>
      </c>
      <c r="V25" s="303">
        <v>18</v>
      </c>
      <c r="W25" s="303">
        <v>18</v>
      </c>
      <c r="X25" s="572">
        <v>18</v>
      </c>
      <c r="Y25" s="481"/>
      <c r="Z25" s="481"/>
      <c r="AA25" s="481">
        <v>1000</v>
      </c>
      <c r="AB25" s="481"/>
      <c r="AC25" s="481"/>
      <c r="AD25" s="481"/>
      <c r="AE25" s="481"/>
      <c r="AF25" s="481">
        <f t="shared" si="9"/>
        <v>1000</v>
      </c>
      <c r="AG25" s="548"/>
      <c r="AH25" s="548"/>
      <c r="AI25" s="648">
        <v>1256.75</v>
      </c>
      <c r="AJ25" s="548"/>
      <c r="AK25" s="548"/>
      <c r="AL25" s="548"/>
      <c r="AM25" s="548">
        <f>SUM(AG25:AL25)</f>
        <v>1256.75</v>
      </c>
      <c r="AN25" s="481"/>
      <c r="AO25" s="481"/>
      <c r="AP25" s="481">
        <v>640</v>
      </c>
      <c r="AQ25" s="481"/>
      <c r="AR25" s="481"/>
      <c r="AS25" s="481"/>
      <c r="AT25" s="481"/>
      <c r="AU25" s="481">
        <f>SUM(AN25:AT25)</f>
        <v>640</v>
      </c>
      <c r="AV25" s="548"/>
      <c r="AW25" s="548"/>
      <c r="AX25" s="548">
        <v>670</v>
      </c>
      <c r="AY25" s="548"/>
      <c r="AZ25" s="548"/>
      <c r="BA25" s="548"/>
      <c r="BB25" s="548"/>
      <c r="BC25" s="548">
        <f>SUM(AV25:BB25)</f>
        <v>670</v>
      </c>
      <c r="BD25" s="42">
        <f t="shared" si="21"/>
        <v>0</v>
      </c>
      <c r="BE25" s="42">
        <f t="shared" si="22"/>
        <v>0</v>
      </c>
      <c r="BF25" s="42">
        <f t="shared" si="23"/>
        <v>3566.75</v>
      </c>
      <c r="BG25" s="42">
        <f t="shared" si="24"/>
        <v>0</v>
      </c>
      <c r="BH25" s="42">
        <f t="shared" si="25"/>
        <v>0</v>
      </c>
      <c r="BI25" s="42">
        <f t="shared" si="26"/>
        <v>0</v>
      </c>
      <c r="BJ25" s="42">
        <f t="shared" si="14"/>
        <v>0</v>
      </c>
      <c r="BK25" s="42">
        <f t="shared" si="15"/>
        <v>3566.75</v>
      </c>
      <c r="BL25" s="40">
        <f t="shared" si="20"/>
        <v>3566.75</v>
      </c>
    </row>
    <row r="26" spans="1:64" ht="17.25" customHeight="1" x14ac:dyDescent="0.25">
      <c r="A26" s="298" t="s">
        <v>38</v>
      </c>
      <c r="B26" s="299" t="s">
        <v>39</v>
      </c>
      <c r="C26" s="1547"/>
      <c r="D26" s="1549"/>
      <c r="E26" s="1549"/>
      <c r="F26" s="1549"/>
      <c r="G26" s="1549"/>
      <c r="H26" s="1549"/>
      <c r="I26" s="1425"/>
      <c r="J26" s="1425"/>
      <c r="K26" s="1425" t="s">
        <v>104</v>
      </c>
      <c r="L26" s="301" t="s">
        <v>44</v>
      </c>
      <c r="M26" s="1425" t="s">
        <v>45</v>
      </c>
      <c r="N26" s="1425" t="s">
        <v>46</v>
      </c>
      <c r="O26" s="1425" t="s">
        <v>73</v>
      </c>
      <c r="P26" s="16" t="s">
        <v>105</v>
      </c>
      <c r="Q26" s="302" t="s">
        <v>106</v>
      </c>
      <c r="R26" s="303">
        <v>2015</v>
      </c>
      <c r="S26" s="303">
        <v>0</v>
      </c>
      <c r="T26" s="303">
        <v>1</v>
      </c>
      <c r="U26" s="572">
        <v>1</v>
      </c>
      <c r="V26" s="572">
        <v>1</v>
      </c>
      <c r="W26" s="572">
        <v>1</v>
      </c>
      <c r="X26" s="572">
        <v>1</v>
      </c>
      <c r="Y26" s="493">
        <v>9.5</v>
      </c>
      <c r="Z26" s="483"/>
      <c r="AA26" s="483">
        <v>0</v>
      </c>
      <c r="AB26" s="483"/>
      <c r="AC26" s="483"/>
      <c r="AD26" s="483"/>
      <c r="AE26" s="483"/>
      <c r="AF26" s="481">
        <f t="shared" si="9"/>
        <v>9.5</v>
      </c>
      <c r="AG26" s="587"/>
      <c r="AH26" s="587"/>
      <c r="AI26" s="768">
        <v>15</v>
      </c>
      <c r="AJ26" s="587"/>
      <c r="AK26" s="587"/>
      <c r="AL26" s="587"/>
      <c r="AM26" s="587">
        <f t="shared" ref="AM26:AM45" si="35">SUM(AG26:AL26)</f>
        <v>15</v>
      </c>
      <c r="AN26" s="493">
        <v>2.5</v>
      </c>
      <c r="AO26" s="44"/>
      <c r="AP26" s="483">
        <v>0</v>
      </c>
      <c r="AQ26" s="483"/>
      <c r="AR26" s="483"/>
      <c r="AS26" s="483"/>
      <c r="AT26" s="483"/>
      <c r="AU26" s="483">
        <f t="shared" ref="AU26:AU45" si="36">SUM(AN26:AT26)</f>
        <v>2.5</v>
      </c>
      <c r="AV26" s="493">
        <v>1.5</v>
      </c>
      <c r="AW26" s="587"/>
      <c r="AX26" s="587">
        <v>0</v>
      </c>
      <c r="AY26" s="587"/>
      <c r="AZ26" s="587"/>
      <c r="BA26" s="587"/>
      <c r="BB26" s="587"/>
      <c r="BC26" s="587">
        <f t="shared" ref="BC26:BC45" si="37">SUM(AV26:BB26)</f>
        <v>1.5</v>
      </c>
      <c r="BD26" s="44">
        <f t="shared" si="21"/>
        <v>13.5</v>
      </c>
      <c r="BE26" s="44">
        <f t="shared" si="22"/>
        <v>0</v>
      </c>
      <c r="BF26" s="44">
        <f t="shared" si="23"/>
        <v>15</v>
      </c>
      <c r="BG26" s="44">
        <f t="shared" si="24"/>
        <v>0</v>
      </c>
      <c r="BH26" s="44">
        <f t="shared" si="25"/>
        <v>0</v>
      </c>
      <c r="BI26" s="42">
        <f t="shared" si="26"/>
        <v>0</v>
      </c>
      <c r="BJ26" s="44">
        <f t="shared" si="14"/>
        <v>0</v>
      </c>
      <c r="BK26" s="44">
        <f t="shared" si="15"/>
        <v>28.5</v>
      </c>
      <c r="BL26" s="40">
        <f t="shared" si="20"/>
        <v>28.5</v>
      </c>
    </row>
    <row r="27" spans="1:64" ht="20.25" customHeight="1" x14ac:dyDescent="0.25">
      <c r="A27" s="298" t="s">
        <v>38</v>
      </c>
      <c r="B27" s="299" t="s">
        <v>39</v>
      </c>
      <c r="C27" s="1547"/>
      <c r="D27" s="1549"/>
      <c r="E27" s="1549"/>
      <c r="F27" s="1549"/>
      <c r="G27" s="1549"/>
      <c r="H27" s="1549"/>
      <c r="I27" s="1425"/>
      <c r="J27" s="1425"/>
      <c r="K27" s="1425" t="s">
        <v>107</v>
      </c>
      <c r="L27" s="301" t="s">
        <v>44</v>
      </c>
      <c r="M27" s="1425" t="s">
        <v>45</v>
      </c>
      <c r="N27" s="1425" t="s">
        <v>46</v>
      </c>
      <c r="O27" s="1425" t="s">
        <v>73</v>
      </c>
      <c r="P27" s="16" t="s">
        <v>108</v>
      </c>
      <c r="Q27" s="302" t="s">
        <v>109</v>
      </c>
      <c r="R27" s="303">
        <v>2015</v>
      </c>
      <c r="S27" s="303">
        <v>0</v>
      </c>
      <c r="T27" s="303">
        <v>1</v>
      </c>
      <c r="U27" s="572">
        <v>1</v>
      </c>
      <c r="V27" s="572">
        <v>1</v>
      </c>
      <c r="W27" s="572">
        <v>1</v>
      </c>
      <c r="X27" s="572">
        <v>1</v>
      </c>
      <c r="Y27" s="481"/>
      <c r="Z27" s="481"/>
      <c r="AA27" s="481">
        <v>70</v>
      </c>
      <c r="AB27" s="481"/>
      <c r="AC27" s="481"/>
      <c r="AD27" s="481"/>
      <c r="AE27" s="481"/>
      <c r="AF27" s="481">
        <f t="shared" si="9"/>
        <v>70</v>
      </c>
      <c r="AG27" s="548"/>
      <c r="AH27" s="548"/>
      <c r="AI27" s="648">
        <v>70</v>
      </c>
      <c r="AJ27" s="548"/>
      <c r="AK27" s="548"/>
      <c r="AL27" s="548"/>
      <c r="AM27" s="548">
        <f t="shared" si="35"/>
        <v>70</v>
      </c>
      <c r="AN27" s="481"/>
      <c r="AO27" s="481"/>
      <c r="AP27" s="481">
        <v>70</v>
      </c>
      <c r="AQ27" s="481"/>
      <c r="AR27" s="481"/>
      <c r="AS27" s="481"/>
      <c r="AT27" s="481"/>
      <c r="AU27" s="481">
        <f t="shared" si="36"/>
        <v>70</v>
      </c>
      <c r="AV27" s="548"/>
      <c r="AW27" s="548"/>
      <c r="AX27" s="491">
        <v>70</v>
      </c>
      <c r="AY27" s="548"/>
      <c r="AZ27" s="548"/>
      <c r="BA27" s="548"/>
      <c r="BB27" s="548"/>
      <c r="BC27" s="548">
        <f t="shared" si="37"/>
        <v>70</v>
      </c>
      <c r="BD27" s="42">
        <f t="shared" si="21"/>
        <v>0</v>
      </c>
      <c r="BE27" s="42">
        <f t="shared" si="22"/>
        <v>0</v>
      </c>
      <c r="BF27" s="42">
        <f t="shared" si="23"/>
        <v>280</v>
      </c>
      <c r="BG27" s="42">
        <f t="shared" si="24"/>
        <v>0</v>
      </c>
      <c r="BH27" s="42">
        <f t="shared" si="25"/>
        <v>0</v>
      </c>
      <c r="BI27" s="42">
        <f t="shared" si="26"/>
        <v>0</v>
      </c>
      <c r="BJ27" s="42">
        <f t="shared" si="14"/>
        <v>0</v>
      </c>
      <c r="BK27" s="42">
        <f t="shared" si="15"/>
        <v>280</v>
      </c>
      <c r="BL27" s="40">
        <f t="shared" si="20"/>
        <v>280</v>
      </c>
    </row>
    <row r="28" spans="1:64" ht="27" customHeight="1" x14ac:dyDescent="0.25">
      <c r="A28" s="298" t="s">
        <v>2464</v>
      </c>
      <c r="B28" s="299" t="s">
        <v>39</v>
      </c>
      <c r="C28" s="1547"/>
      <c r="D28" s="1549"/>
      <c r="E28" s="1549"/>
      <c r="F28" s="1549"/>
      <c r="G28" s="1549"/>
      <c r="H28" s="1549"/>
      <c r="I28" s="1425"/>
      <c r="J28" s="1425"/>
      <c r="K28" s="1425" t="s">
        <v>110</v>
      </c>
      <c r="L28" s="301" t="s">
        <v>44</v>
      </c>
      <c r="M28" s="1425" t="s">
        <v>45</v>
      </c>
      <c r="N28" s="1425" t="s">
        <v>46</v>
      </c>
      <c r="O28" s="1425" t="s">
        <v>73</v>
      </c>
      <c r="P28" s="16" t="s">
        <v>111</v>
      </c>
      <c r="Q28" s="302" t="s">
        <v>112</v>
      </c>
      <c r="R28" s="303">
        <v>2015</v>
      </c>
      <c r="S28" s="303">
        <v>1</v>
      </c>
      <c r="T28" s="303">
        <v>0</v>
      </c>
      <c r="U28" s="572">
        <v>1</v>
      </c>
      <c r="V28" s="572">
        <v>1</v>
      </c>
      <c r="W28" s="572">
        <v>1</v>
      </c>
      <c r="X28" s="572">
        <v>1</v>
      </c>
      <c r="Y28" s="491">
        <v>13</v>
      </c>
      <c r="Z28" s="481"/>
      <c r="AA28" s="481"/>
      <c r="AB28" s="481"/>
      <c r="AC28" s="481"/>
      <c r="AD28" s="481"/>
      <c r="AE28" s="481"/>
      <c r="AF28" s="481">
        <f t="shared" si="9"/>
        <v>13</v>
      </c>
      <c r="AG28" s="491"/>
      <c r="AH28" s="548"/>
      <c r="AI28" s="648">
        <v>20</v>
      </c>
      <c r="AJ28" s="548"/>
      <c r="AK28" s="548"/>
      <c r="AL28" s="548"/>
      <c r="AM28" s="548">
        <f t="shared" si="35"/>
        <v>20</v>
      </c>
      <c r="AN28" s="481"/>
      <c r="AO28" s="481"/>
      <c r="AP28" s="491">
        <v>0.5</v>
      </c>
      <c r="AQ28" s="481"/>
      <c r="AR28" s="481"/>
      <c r="AS28" s="481"/>
      <c r="AT28" s="481"/>
      <c r="AU28" s="481">
        <f t="shared" si="36"/>
        <v>0.5</v>
      </c>
      <c r="AV28" s="548"/>
      <c r="AW28" s="548"/>
      <c r="AX28" s="491">
        <v>10</v>
      </c>
      <c r="AY28" s="548"/>
      <c r="AZ28" s="548"/>
      <c r="BA28" s="548"/>
      <c r="BB28" s="548"/>
      <c r="BC28" s="548">
        <f t="shared" si="37"/>
        <v>10</v>
      </c>
      <c r="BD28" s="42">
        <f t="shared" si="21"/>
        <v>13</v>
      </c>
      <c r="BE28" s="42">
        <f t="shared" si="22"/>
        <v>0</v>
      </c>
      <c r="BF28" s="42">
        <f t="shared" si="23"/>
        <v>30.5</v>
      </c>
      <c r="BG28" s="42">
        <f t="shared" si="24"/>
        <v>0</v>
      </c>
      <c r="BH28" s="42">
        <f t="shared" si="25"/>
        <v>0</v>
      </c>
      <c r="BI28" s="42">
        <f t="shared" si="26"/>
        <v>0</v>
      </c>
      <c r="BJ28" s="42">
        <f t="shared" si="14"/>
        <v>0</v>
      </c>
      <c r="BK28" s="42">
        <f t="shared" si="15"/>
        <v>43.5</v>
      </c>
      <c r="BL28" s="40">
        <f t="shared" si="20"/>
        <v>43.5</v>
      </c>
    </row>
    <row r="29" spans="1:64" ht="67.5" customHeight="1" x14ac:dyDescent="0.25">
      <c r="A29" s="298" t="s">
        <v>38</v>
      </c>
      <c r="B29" s="299" t="s">
        <v>39</v>
      </c>
      <c r="C29" s="1547"/>
      <c r="D29" s="1549"/>
      <c r="E29" s="1549"/>
      <c r="F29" s="1549"/>
      <c r="G29" s="1549"/>
      <c r="H29" s="1549"/>
      <c r="I29" s="1425"/>
      <c r="J29" s="1425"/>
      <c r="K29" s="1425" t="s">
        <v>113</v>
      </c>
      <c r="L29" s="301" t="s">
        <v>44</v>
      </c>
      <c r="M29" s="1425" t="s">
        <v>45</v>
      </c>
      <c r="N29" s="1425" t="s">
        <v>46</v>
      </c>
      <c r="O29" s="1425" t="s">
        <v>47</v>
      </c>
      <c r="P29" s="16" t="s">
        <v>114</v>
      </c>
      <c r="Q29" s="302" t="s">
        <v>115</v>
      </c>
      <c r="R29" s="303">
        <v>2015</v>
      </c>
      <c r="S29" s="303">
        <v>1</v>
      </c>
      <c r="T29" s="303">
        <v>1</v>
      </c>
      <c r="U29" s="572">
        <v>2</v>
      </c>
      <c r="V29" s="572">
        <v>3</v>
      </c>
      <c r="W29" s="572">
        <v>4</v>
      </c>
      <c r="X29" s="572">
        <v>4</v>
      </c>
      <c r="Y29" s="481"/>
      <c r="Z29" s="481"/>
      <c r="AA29" s="481">
        <v>5</v>
      </c>
      <c r="AB29" s="481"/>
      <c r="AC29" s="481"/>
      <c r="AD29" s="481"/>
      <c r="AE29" s="481"/>
      <c r="AF29" s="481">
        <f t="shared" si="9"/>
        <v>5</v>
      </c>
      <c r="AG29" s="548"/>
      <c r="AH29" s="548"/>
      <c r="AI29" s="648">
        <v>5</v>
      </c>
      <c r="AJ29" s="548"/>
      <c r="AK29" s="548"/>
      <c r="AL29" s="548"/>
      <c r="AM29" s="548">
        <f t="shared" si="35"/>
        <v>5</v>
      </c>
      <c r="AN29" s="481"/>
      <c r="AO29" s="481"/>
      <c r="AP29" s="481">
        <v>4.5</v>
      </c>
      <c r="AQ29" s="481"/>
      <c r="AR29" s="481"/>
      <c r="AS29" s="481"/>
      <c r="AT29" s="481"/>
      <c r="AU29" s="481">
        <f t="shared" si="36"/>
        <v>4.5</v>
      </c>
      <c r="AV29" s="548"/>
      <c r="AW29" s="548"/>
      <c r="AX29" s="491">
        <v>3</v>
      </c>
      <c r="AY29" s="548"/>
      <c r="AZ29" s="548"/>
      <c r="BA29" s="548"/>
      <c r="BB29" s="548"/>
      <c r="BC29" s="548">
        <f t="shared" si="37"/>
        <v>3</v>
      </c>
      <c r="BD29" s="42">
        <f t="shared" si="21"/>
        <v>0</v>
      </c>
      <c r="BE29" s="42">
        <f t="shared" si="22"/>
        <v>0</v>
      </c>
      <c r="BF29" s="42">
        <f t="shared" si="23"/>
        <v>17.5</v>
      </c>
      <c r="BG29" s="42">
        <f t="shared" si="24"/>
        <v>0</v>
      </c>
      <c r="BH29" s="42">
        <f t="shared" si="25"/>
        <v>0</v>
      </c>
      <c r="BI29" s="42">
        <f t="shared" si="26"/>
        <v>0</v>
      </c>
      <c r="BJ29" s="42">
        <f t="shared" si="14"/>
        <v>0</v>
      </c>
      <c r="BK29" s="42">
        <f t="shared" si="15"/>
        <v>17.5</v>
      </c>
      <c r="BL29" s="40">
        <f t="shared" si="20"/>
        <v>17.5</v>
      </c>
    </row>
    <row r="30" spans="1:64" ht="82.5" customHeight="1" x14ac:dyDescent="0.25">
      <c r="A30" s="298" t="s">
        <v>38</v>
      </c>
      <c r="B30" s="299" t="s">
        <v>39</v>
      </c>
      <c r="C30" s="1547"/>
      <c r="D30" s="1549"/>
      <c r="E30" s="1549"/>
      <c r="F30" s="1549"/>
      <c r="G30" s="1549"/>
      <c r="H30" s="1549"/>
      <c r="I30" s="1425"/>
      <c r="J30" s="1425"/>
      <c r="K30" s="1425" t="s">
        <v>116</v>
      </c>
      <c r="L30" s="301" t="s">
        <v>44</v>
      </c>
      <c r="M30" s="1425" t="s">
        <v>45</v>
      </c>
      <c r="N30" s="1425" t="s">
        <v>46</v>
      </c>
      <c r="O30" s="1425" t="s">
        <v>73</v>
      </c>
      <c r="P30" s="16" t="s">
        <v>117</v>
      </c>
      <c r="Q30" s="302" t="s">
        <v>118</v>
      </c>
      <c r="R30" s="303">
        <v>2015</v>
      </c>
      <c r="S30" s="303">
        <v>0</v>
      </c>
      <c r="T30" s="303">
        <v>1</v>
      </c>
      <c r="U30" s="572">
        <v>1</v>
      </c>
      <c r="V30" s="572">
        <v>1</v>
      </c>
      <c r="W30" s="572">
        <v>1</v>
      </c>
      <c r="X30" s="572">
        <v>1</v>
      </c>
      <c r="Y30" s="491">
        <v>0.5</v>
      </c>
      <c r="Z30" s="481"/>
      <c r="AA30" s="481"/>
      <c r="AB30" s="481"/>
      <c r="AC30" s="481"/>
      <c r="AD30" s="481"/>
      <c r="AE30" s="481"/>
      <c r="AF30" s="481">
        <f t="shared" si="9"/>
        <v>0.5</v>
      </c>
      <c r="AG30" s="548"/>
      <c r="AH30" s="548"/>
      <c r="AI30" s="648">
        <v>2</v>
      </c>
      <c r="AJ30" s="548"/>
      <c r="AK30" s="548"/>
      <c r="AL30" s="548"/>
      <c r="AM30" s="548">
        <f t="shared" si="35"/>
        <v>2</v>
      </c>
      <c r="AN30" s="481"/>
      <c r="AO30" s="481"/>
      <c r="AP30" s="491">
        <v>0.5</v>
      </c>
      <c r="AQ30" s="481"/>
      <c r="AR30" s="481"/>
      <c r="AS30" s="481"/>
      <c r="AT30" s="481"/>
      <c r="AU30" s="481">
        <f t="shared" si="36"/>
        <v>0.5</v>
      </c>
      <c r="AV30" s="548"/>
      <c r="AW30" s="548"/>
      <c r="AX30" s="491">
        <v>0.5</v>
      </c>
      <c r="AY30" s="548"/>
      <c r="AZ30" s="548"/>
      <c r="BA30" s="548"/>
      <c r="BB30" s="548"/>
      <c r="BC30" s="548">
        <f t="shared" si="37"/>
        <v>0.5</v>
      </c>
      <c r="BD30" s="42">
        <f t="shared" si="21"/>
        <v>0.5</v>
      </c>
      <c r="BE30" s="42">
        <f t="shared" si="22"/>
        <v>0</v>
      </c>
      <c r="BF30" s="42">
        <f t="shared" si="23"/>
        <v>3</v>
      </c>
      <c r="BG30" s="42">
        <f t="shared" si="24"/>
        <v>0</v>
      </c>
      <c r="BH30" s="42">
        <f t="shared" si="25"/>
        <v>0</v>
      </c>
      <c r="BI30" s="42">
        <f t="shared" si="26"/>
        <v>0</v>
      </c>
      <c r="BJ30" s="42">
        <f t="shared" si="14"/>
        <v>0</v>
      </c>
      <c r="BK30" s="42">
        <f t="shared" si="15"/>
        <v>3.5</v>
      </c>
      <c r="BL30" s="40">
        <f t="shared" si="20"/>
        <v>3.5</v>
      </c>
    </row>
    <row r="31" spans="1:64" ht="62.25" customHeight="1" x14ac:dyDescent="0.25">
      <c r="A31" s="298" t="s">
        <v>38</v>
      </c>
      <c r="B31" s="299" t="s">
        <v>39</v>
      </c>
      <c r="C31" s="1547"/>
      <c r="D31" s="1549"/>
      <c r="E31" s="1549"/>
      <c r="F31" s="1549"/>
      <c r="G31" s="1549"/>
      <c r="H31" s="1549"/>
      <c r="I31" s="1425"/>
      <c r="J31" s="1425"/>
      <c r="K31" s="1425" t="s">
        <v>119</v>
      </c>
      <c r="L31" s="301" t="s">
        <v>44</v>
      </c>
      <c r="M31" s="1425" t="s">
        <v>45</v>
      </c>
      <c r="N31" s="1425" t="s">
        <v>46</v>
      </c>
      <c r="O31" s="1425" t="s">
        <v>47</v>
      </c>
      <c r="P31" s="16" t="s">
        <v>120</v>
      </c>
      <c r="Q31" s="302" t="s">
        <v>121</v>
      </c>
      <c r="R31" s="303">
        <v>2015</v>
      </c>
      <c r="S31" s="303">
        <v>0</v>
      </c>
      <c r="T31" s="303">
        <v>0</v>
      </c>
      <c r="U31" s="572">
        <v>1</v>
      </c>
      <c r="V31" s="572">
        <v>1</v>
      </c>
      <c r="W31" s="572">
        <v>1</v>
      </c>
      <c r="X31" s="572">
        <v>1</v>
      </c>
      <c r="Y31" s="481"/>
      <c r="Z31" s="481"/>
      <c r="AA31" s="481"/>
      <c r="AB31" s="481"/>
      <c r="AC31" s="481"/>
      <c r="AD31" s="481"/>
      <c r="AE31" s="481"/>
      <c r="AF31" s="481">
        <f t="shared" si="9"/>
        <v>0</v>
      </c>
      <c r="AG31" s="548"/>
      <c r="AH31" s="548"/>
      <c r="AI31" s="648">
        <v>1</v>
      </c>
      <c r="AJ31" s="548"/>
      <c r="AK31" s="548"/>
      <c r="AL31" s="548"/>
      <c r="AM31" s="548">
        <f t="shared" si="35"/>
        <v>1</v>
      </c>
      <c r="AN31" s="481"/>
      <c r="AO31" s="481"/>
      <c r="AP31" s="491">
        <v>0.5</v>
      </c>
      <c r="AQ31" s="481"/>
      <c r="AR31" s="481"/>
      <c r="AS31" s="481"/>
      <c r="AT31" s="481"/>
      <c r="AU31" s="481">
        <f t="shared" si="36"/>
        <v>0.5</v>
      </c>
      <c r="AV31" s="548"/>
      <c r="AW31" s="548"/>
      <c r="AX31" s="491">
        <v>0.5</v>
      </c>
      <c r="AY31" s="548"/>
      <c r="AZ31" s="548"/>
      <c r="BA31" s="548"/>
      <c r="BB31" s="548"/>
      <c r="BC31" s="548">
        <f t="shared" si="37"/>
        <v>0.5</v>
      </c>
      <c r="BD31" s="42">
        <f t="shared" si="21"/>
        <v>0</v>
      </c>
      <c r="BE31" s="42">
        <f t="shared" si="22"/>
        <v>0</v>
      </c>
      <c r="BF31" s="42">
        <f t="shared" si="23"/>
        <v>2</v>
      </c>
      <c r="BG31" s="42">
        <f t="shared" si="24"/>
        <v>0</v>
      </c>
      <c r="BH31" s="42">
        <f t="shared" si="25"/>
        <v>0</v>
      </c>
      <c r="BI31" s="42">
        <f t="shared" si="26"/>
        <v>0</v>
      </c>
      <c r="BJ31" s="42">
        <f t="shared" si="14"/>
        <v>0</v>
      </c>
      <c r="BK31" s="42">
        <f t="shared" si="15"/>
        <v>2</v>
      </c>
      <c r="BL31" s="40">
        <f t="shared" si="20"/>
        <v>2</v>
      </c>
    </row>
    <row r="32" spans="1:64" ht="38.25" customHeight="1" x14ac:dyDescent="0.25">
      <c r="A32" s="298" t="s">
        <v>38</v>
      </c>
      <c r="B32" s="299" t="s">
        <v>39</v>
      </c>
      <c r="C32" s="1547"/>
      <c r="D32" s="1549"/>
      <c r="E32" s="1549"/>
      <c r="F32" s="1549"/>
      <c r="G32" s="1549"/>
      <c r="H32" s="1549"/>
      <c r="I32" s="1425"/>
      <c r="J32" s="1425"/>
      <c r="K32" s="1425" t="s">
        <v>122</v>
      </c>
      <c r="L32" s="301" t="s">
        <v>44</v>
      </c>
      <c r="M32" s="1425" t="s">
        <v>45</v>
      </c>
      <c r="N32" s="1425" t="s">
        <v>46</v>
      </c>
      <c r="O32" s="1425" t="s">
        <v>73</v>
      </c>
      <c r="P32" s="16" t="s">
        <v>123</v>
      </c>
      <c r="Q32" s="302" t="s">
        <v>124</v>
      </c>
      <c r="R32" s="303">
        <v>2015</v>
      </c>
      <c r="S32" s="303">
        <v>0</v>
      </c>
      <c r="T32" s="303">
        <v>6</v>
      </c>
      <c r="U32" s="572">
        <v>6</v>
      </c>
      <c r="V32" s="572">
        <v>6</v>
      </c>
      <c r="W32" s="572">
        <v>6</v>
      </c>
      <c r="X32" s="572">
        <v>6</v>
      </c>
      <c r="Y32" s="491">
        <v>0.5</v>
      </c>
      <c r="Z32" s="481"/>
      <c r="AA32" s="481"/>
      <c r="AB32" s="481"/>
      <c r="AC32" s="481"/>
      <c r="AD32" s="481"/>
      <c r="AE32" s="481"/>
      <c r="AF32" s="481">
        <f t="shared" si="9"/>
        <v>0.5</v>
      </c>
      <c r="AG32" s="548"/>
      <c r="AH32" s="548"/>
      <c r="AI32" s="648">
        <v>5</v>
      </c>
      <c r="AJ32" s="548"/>
      <c r="AK32" s="548"/>
      <c r="AL32" s="548"/>
      <c r="AM32" s="548">
        <f t="shared" si="35"/>
        <v>5</v>
      </c>
      <c r="AN32" s="481"/>
      <c r="AO32" s="481"/>
      <c r="AP32" s="491">
        <v>5</v>
      </c>
      <c r="AQ32" s="481"/>
      <c r="AR32" s="481"/>
      <c r="AS32" s="481"/>
      <c r="AT32" s="481"/>
      <c r="AU32" s="481">
        <f t="shared" si="36"/>
        <v>5</v>
      </c>
      <c r="AV32" s="548"/>
      <c r="AW32" s="548"/>
      <c r="AX32" s="548">
        <v>10</v>
      </c>
      <c r="AY32" s="548"/>
      <c r="AZ32" s="548"/>
      <c r="BA32" s="548"/>
      <c r="BB32" s="548"/>
      <c r="BC32" s="548">
        <f t="shared" si="37"/>
        <v>10</v>
      </c>
      <c r="BD32" s="42">
        <f t="shared" si="21"/>
        <v>0.5</v>
      </c>
      <c r="BE32" s="42">
        <f t="shared" si="22"/>
        <v>0</v>
      </c>
      <c r="BF32" s="42">
        <f t="shared" si="23"/>
        <v>20</v>
      </c>
      <c r="BG32" s="42">
        <f t="shared" si="24"/>
        <v>0</v>
      </c>
      <c r="BH32" s="42">
        <f t="shared" si="25"/>
        <v>0</v>
      </c>
      <c r="BI32" s="42">
        <f t="shared" si="26"/>
        <v>0</v>
      </c>
      <c r="BJ32" s="42">
        <f t="shared" si="14"/>
        <v>0</v>
      </c>
      <c r="BK32" s="42">
        <f t="shared" si="15"/>
        <v>20.5</v>
      </c>
      <c r="BL32" s="40">
        <f t="shared" si="20"/>
        <v>20.5</v>
      </c>
    </row>
    <row r="33" spans="1:64" ht="11.25" customHeight="1" x14ac:dyDescent="0.25">
      <c r="A33" s="298" t="s">
        <v>2464</v>
      </c>
      <c r="B33" s="299" t="s">
        <v>39</v>
      </c>
      <c r="C33" s="1547"/>
      <c r="D33" s="1549"/>
      <c r="E33" s="1549"/>
      <c r="F33" s="1549"/>
      <c r="G33" s="1549"/>
      <c r="H33" s="1549"/>
      <c r="I33" s="1425"/>
      <c r="J33" s="1425"/>
      <c r="K33" s="1425" t="s">
        <v>125</v>
      </c>
      <c r="L33" s="301" t="s">
        <v>44</v>
      </c>
      <c r="M33" s="1425" t="s">
        <v>45</v>
      </c>
      <c r="N33" s="1425" t="s">
        <v>46</v>
      </c>
      <c r="O33" s="1425" t="s">
        <v>47</v>
      </c>
      <c r="P33" s="942" t="s">
        <v>126</v>
      </c>
      <c r="Q33" s="942" t="s">
        <v>127</v>
      </c>
      <c r="R33" s="684">
        <v>2015</v>
      </c>
      <c r="S33" s="684">
        <v>0</v>
      </c>
      <c r="T33" s="684">
        <v>0</v>
      </c>
      <c r="U33" s="685">
        <v>1</v>
      </c>
      <c r="V33" s="685">
        <v>1</v>
      </c>
      <c r="W33" s="685">
        <v>1</v>
      </c>
      <c r="X33" s="685">
        <v>3</v>
      </c>
      <c r="Y33" s="701"/>
      <c r="Z33" s="481"/>
      <c r="AA33" s="481"/>
      <c r="AB33" s="481"/>
      <c r="AC33" s="481"/>
      <c r="AD33" s="481"/>
      <c r="AE33" s="481"/>
      <c r="AF33" s="481"/>
      <c r="AG33" s="548"/>
      <c r="AH33" s="548"/>
      <c r="AI33" s="648">
        <v>3</v>
      </c>
      <c r="AJ33" s="548"/>
      <c r="AK33" s="548"/>
      <c r="AL33" s="548"/>
      <c r="AM33" s="548">
        <f>SUM(AG33:AL33)</f>
        <v>3</v>
      </c>
      <c r="AN33" s="481"/>
      <c r="AO33" s="481"/>
      <c r="AP33" s="491">
        <v>0.5</v>
      </c>
      <c r="AQ33" s="481"/>
      <c r="AR33" s="481"/>
      <c r="AS33" s="481"/>
      <c r="AT33" s="481"/>
      <c r="AU33" s="481">
        <f>SUM(AN33:AT33)</f>
        <v>0.5</v>
      </c>
      <c r="AV33" s="491">
        <v>0.5</v>
      </c>
      <c r="AW33" s="548"/>
      <c r="AX33" s="548"/>
      <c r="AY33" s="548"/>
      <c r="AZ33" s="548"/>
      <c r="BA33" s="548"/>
      <c r="BB33" s="548"/>
      <c r="BC33" s="548">
        <f>SUM(AV33:BB33)</f>
        <v>0.5</v>
      </c>
      <c r="BD33" s="42"/>
      <c r="BE33" s="42"/>
      <c r="BF33" s="42"/>
      <c r="BG33" s="42"/>
      <c r="BH33" s="42"/>
      <c r="BI33" s="42"/>
      <c r="BJ33" s="42"/>
      <c r="BK33" s="42"/>
      <c r="BL33" s="40">
        <f t="shared" si="20"/>
        <v>4</v>
      </c>
    </row>
    <row r="34" spans="1:64" ht="45.75" customHeight="1" x14ac:dyDescent="0.25">
      <c r="A34" s="298" t="s">
        <v>38</v>
      </c>
      <c r="B34" s="299" t="s">
        <v>39</v>
      </c>
      <c r="C34" s="1547"/>
      <c r="D34" s="1549"/>
      <c r="E34" s="1549"/>
      <c r="F34" s="1549"/>
      <c r="G34" s="1549"/>
      <c r="H34" s="1549"/>
      <c r="I34" s="1425"/>
      <c r="J34" s="1425"/>
      <c r="K34" s="1425" t="s">
        <v>128</v>
      </c>
      <c r="L34" s="301" t="s">
        <v>44</v>
      </c>
      <c r="M34" s="1425" t="s">
        <v>45</v>
      </c>
      <c r="N34" s="1425" t="s">
        <v>46</v>
      </c>
      <c r="O34" s="1425" t="s">
        <v>47</v>
      </c>
      <c r="P34" s="16" t="s">
        <v>129</v>
      </c>
      <c r="Q34" s="302" t="s">
        <v>130</v>
      </c>
      <c r="R34" s="303">
        <v>2015</v>
      </c>
      <c r="S34" s="303">
        <v>0</v>
      </c>
      <c r="T34" s="303">
        <v>0</v>
      </c>
      <c r="U34" s="572">
        <v>1</v>
      </c>
      <c r="V34" s="572">
        <v>1</v>
      </c>
      <c r="W34" s="572">
        <v>2</v>
      </c>
      <c r="X34" s="572">
        <v>2</v>
      </c>
      <c r="Y34" s="481"/>
      <c r="Z34" s="481"/>
      <c r="AA34" s="481"/>
      <c r="AB34" s="481"/>
      <c r="AC34" s="481"/>
      <c r="AD34" s="481"/>
      <c r="AE34" s="481"/>
      <c r="AF34" s="481">
        <f t="shared" si="9"/>
        <v>0</v>
      </c>
      <c r="AG34" s="548"/>
      <c r="AH34" s="548"/>
      <c r="AI34" s="648">
        <v>5</v>
      </c>
      <c r="AJ34" s="548"/>
      <c r="AK34" s="548"/>
      <c r="AL34" s="548"/>
      <c r="AM34" s="548">
        <f t="shared" si="35"/>
        <v>5</v>
      </c>
      <c r="AN34" s="481"/>
      <c r="AO34" s="481"/>
      <c r="AP34" s="491">
        <v>0.5</v>
      </c>
      <c r="AQ34" s="481"/>
      <c r="AR34" s="481"/>
      <c r="AS34" s="481"/>
      <c r="AT34" s="481"/>
      <c r="AU34" s="481">
        <f t="shared" si="36"/>
        <v>0.5</v>
      </c>
      <c r="AV34" s="491">
        <v>0.5</v>
      </c>
      <c r="AW34" s="548"/>
      <c r="AX34" s="548"/>
      <c r="AY34" s="548"/>
      <c r="AZ34" s="548"/>
      <c r="BA34" s="548"/>
      <c r="BB34" s="548"/>
      <c r="BC34" s="548">
        <f t="shared" si="37"/>
        <v>0.5</v>
      </c>
      <c r="BD34" s="42">
        <f t="shared" si="21"/>
        <v>0.5</v>
      </c>
      <c r="BE34" s="42">
        <f t="shared" si="22"/>
        <v>0</v>
      </c>
      <c r="BF34" s="42">
        <f t="shared" si="23"/>
        <v>5.5</v>
      </c>
      <c r="BG34" s="42">
        <f t="shared" si="24"/>
        <v>0</v>
      </c>
      <c r="BH34" s="42">
        <f t="shared" si="25"/>
        <v>0</v>
      </c>
      <c r="BI34" s="42">
        <f t="shared" si="26"/>
        <v>0</v>
      </c>
      <c r="BJ34" s="42">
        <f t="shared" si="14"/>
        <v>0</v>
      </c>
      <c r="BK34" s="42">
        <f t="shared" si="15"/>
        <v>6</v>
      </c>
      <c r="BL34" s="40">
        <f t="shared" si="20"/>
        <v>6</v>
      </c>
    </row>
    <row r="35" spans="1:64" ht="48.75" customHeight="1" x14ac:dyDescent="0.25">
      <c r="A35" s="298" t="s">
        <v>38</v>
      </c>
      <c r="B35" s="299" t="s">
        <v>39</v>
      </c>
      <c r="C35" s="1547"/>
      <c r="D35" s="1549"/>
      <c r="E35" s="1549"/>
      <c r="F35" s="1549"/>
      <c r="G35" s="1549"/>
      <c r="H35" s="1549"/>
      <c r="I35" s="1425"/>
      <c r="J35" s="1425"/>
      <c r="K35" s="1425" t="s">
        <v>131</v>
      </c>
      <c r="L35" s="301" t="s">
        <v>44</v>
      </c>
      <c r="M35" s="1425" t="s">
        <v>45</v>
      </c>
      <c r="N35" s="1425" t="s">
        <v>46</v>
      </c>
      <c r="O35" s="1425" t="s">
        <v>73</v>
      </c>
      <c r="P35" s="16" t="s">
        <v>132</v>
      </c>
      <c r="Q35" s="302" t="s">
        <v>133</v>
      </c>
      <c r="R35" s="303">
        <v>2015</v>
      </c>
      <c r="S35" s="303">
        <v>0</v>
      </c>
      <c r="T35" s="303">
        <v>1</v>
      </c>
      <c r="U35" s="572">
        <v>1</v>
      </c>
      <c r="V35" s="572">
        <v>1</v>
      </c>
      <c r="W35" s="572">
        <v>1</v>
      </c>
      <c r="X35" s="572">
        <v>1</v>
      </c>
      <c r="Y35" s="491">
        <v>0.5</v>
      </c>
      <c r="Z35" s="481"/>
      <c r="AA35" s="481"/>
      <c r="AB35" s="481"/>
      <c r="AC35" s="481"/>
      <c r="AD35" s="481"/>
      <c r="AE35" s="481"/>
      <c r="AF35" s="481">
        <f t="shared" si="9"/>
        <v>0.5</v>
      </c>
      <c r="AG35" s="548"/>
      <c r="AH35" s="548"/>
      <c r="AI35" s="648">
        <v>3</v>
      </c>
      <c r="AJ35" s="548"/>
      <c r="AK35" s="548"/>
      <c r="AL35" s="548"/>
      <c r="AM35" s="548">
        <f t="shared" si="35"/>
        <v>3</v>
      </c>
      <c r="AN35" s="481"/>
      <c r="AO35" s="481"/>
      <c r="AP35" s="491">
        <v>0.5</v>
      </c>
      <c r="AQ35" s="481"/>
      <c r="AR35" s="481"/>
      <c r="AS35" s="481"/>
      <c r="AT35" s="481"/>
      <c r="AU35" s="481">
        <f t="shared" si="36"/>
        <v>0.5</v>
      </c>
      <c r="AV35" s="491">
        <v>0.5</v>
      </c>
      <c r="AW35" s="548"/>
      <c r="AX35" s="548"/>
      <c r="AY35" s="548"/>
      <c r="AZ35" s="548"/>
      <c r="BA35" s="548"/>
      <c r="BB35" s="548"/>
      <c r="BC35" s="548">
        <f t="shared" si="37"/>
        <v>0.5</v>
      </c>
      <c r="BD35" s="42">
        <f t="shared" si="21"/>
        <v>1</v>
      </c>
      <c r="BE35" s="42">
        <f t="shared" si="22"/>
        <v>0</v>
      </c>
      <c r="BF35" s="42">
        <f t="shared" si="23"/>
        <v>3.5</v>
      </c>
      <c r="BG35" s="42">
        <f t="shared" si="24"/>
        <v>0</v>
      </c>
      <c r="BH35" s="42">
        <f t="shared" si="25"/>
        <v>0</v>
      </c>
      <c r="BI35" s="42">
        <f t="shared" si="26"/>
        <v>0</v>
      </c>
      <c r="BJ35" s="42">
        <f t="shared" si="14"/>
        <v>0</v>
      </c>
      <c r="BK35" s="42">
        <f t="shared" si="15"/>
        <v>4.5</v>
      </c>
      <c r="BL35" s="40">
        <f t="shared" si="20"/>
        <v>4.5</v>
      </c>
    </row>
    <row r="36" spans="1:64" ht="15" customHeight="1" x14ac:dyDescent="0.25">
      <c r="A36" s="298" t="s">
        <v>38</v>
      </c>
      <c r="B36" s="299" t="s">
        <v>39</v>
      </c>
      <c r="C36" s="1547"/>
      <c r="D36" s="1549"/>
      <c r="E36" s="1549"/>
      <c r="F36" s="1549"/>
      <c r="G36" s="1549"/>
      <c r="H36" s="1549"/>
      <c r="I36" s="1425"/>
      <c r="J36" s="1425"/>
      <c r="K36" s="1425" t="s">
        <v>134</v>
      </c>
      <c r="L36" s="301" t="s">
        <v>44</v>
      </c>
      <c r="M36" s="1425" t="s">
        <v>45</v>
      </c>
      <c r="N36" s="1425" t="s">
        <v>46</v>
      </c>
      <c r="O36" s="1425" t="s">
        <v>73</v>
      </c>
      <c r="P36" s="16" t="s">
        <v>135</v>
      </c>
      <c r="Q36" s="302" t="s">
        <v>136</v>
      </c>
      <c r="R36" s="303">
        <v>2015</v>
      </c>
      <c r="S36" s="303">
        <v>0</v>
      </c>
      <c r="T36" s="303">
        <v>1</v>
      </c>
      <c r="U36" s="572">
        <v>1</v>
      </c>
      <c r="V36" s="572">
        <v>1</v>
      </c>
      <c r="W36" s="572">
        <v>1</v>
      </c>
      <c r="X36" s="572">
        <v>1</v>
      </c>
      <c r="Y36" s="491">
        <v>0.5</v>
      </c>
      <c r="Z36" s="481"/>
      <c r="AA36" s="481"/>
      <c r="AB36" s="481"/>
      <c r="AC36" s="481"/>
      <c r="AD36" s="481"/>
      <c r="AE36" s="481"/>
      <c r="AF36" s="481">
        <f>SUM(Y36:AE36)</f>
        <v>0.5</v>
      </c>
      <c r="AG36" s="548"/>
      <c r="AH36" s="548"/>
      <c r="AI36" s="648">
        <v>3</v>
      </c>
      <c r="AJ36" s="548"/>
      <c r="AK36" s="548"/>
      <c r="AL36" s="548"/>
      <c r="AM36" s="548">
        <f>SUM(AG36:AL36)</f>
        <v>3</v>
      </c>
      <c r="AN36" s="481"/>
      <c r="AO36" s="481"/>
      <c r="AP36" s="491">
        <v>0.5</v>
      </c>
      <c r="AQ36" s="481"/>
      <c r="AR36" s="481"/>
      <c r="AS36" s="481"/>
      <c r="AT36" s="481"/>
      <c r="AU36" s="481">
        <f>SUM(AN36:AT36)</f>
        <v>0.5</v>
      </c>
      <c r="AV36" s="491">
        <v>0.5</v>
      </c>
      <c r="AW36" s="548"/>
      <c r="AX36" s="548"/>
      <c r="AY36" s="548"/>
      <c r="AZ36" s="548"/>
      <c r="BA36" s="548"/>
      <c r="BB36" s="548"/>
      <c r="BC36" s="548">
        <f>SUM(AV36:BB36)</f>
        <v>0.5</v>
      </c>
      <c r="BD36" s="42">
        <f t="shared" ref="BD36:BH38" si="38">+AV36+AN36+AG36+Y36</f>
        <v>1</v>
      </c>
      <c r="BE36" s="42">
        <f t="shared" si="38"/>
        <v>0</v>
      </c>
      <c r="BF36" s="42">
        <f t="shared" si="38"/>
        <v>3.5</v>
      </c>
      <c r="BG36" s="42">
        <f t="shared" si="38"/>
        <v>0</v>
      </c>
      <c r="BH36" s="42">
        <f t="shared" si="38"/>
        <v>0</v>
      </c>
      <c r="BI36" s="42">
        <f t="shared" si="26"/>
        <v>0</v>
      </c>
      <c r="BJ36" s="42">
        <f t="shared" ref="BJ36:BK38" si="39">+BB36+AT36+AL36+AE36</f>
        <v>0</v>
      </c>
      <c r="BK36" s="42">
        <f t="shared" si="39"/>
        <v>4.5</v>
      </c>
      <c r="BL36" s="40">
        <f t="shared" si="20"/>
        <v>4.5</v>
      </c>
    </row>
    <row r="37" spans="1:64" ht="15" customHeight="1" x14ac:dyDescent="0.25">
      <c r="A37" s="298" t="s">
        <v>2464</v>
      </c>
      <c r="B37" s="299" t="s">
        <v>39</v>
      </c>
      <c r="C37" s="1547"/>
      <c r="D37" s="1549"/>
      <c r="E37" s="1549"/>
      <c r="F37" s="1549"/>
      <c r="G37" s="1549"/>
      <c r="H37" s="1549"/>
      <c r="I37" s="1425"/>
      <c r="J37" s="1425"/>
      <c r="K37" s="1425" t="s">
        <v>137</v>
      </c>
      <c r="L37" s="301" t="s">
        <v>44</v>
      </c>
      <c r="M37" s="1425" t="s">
        <v>45</v>
      </c>
      <c r="N37" s="1425" t="s">
        <v>46</v>
      </c>
      <c r="O37" s="1425" t="s">
        <v>47</v>
      </c>
      <c r="P37" s="1199" t="s">
        <v>138</v>
      </c>
      <c r="Q37" s="302" t="s">
        <v>71</v>
      </c>
      <c r="R37" s="303">
        <v>2015</v>
      </c>
      <c r="S37" s="303">
        <v>0</v>
      </c>
      <c r="T37" s="303">
        <v>0</v>
      </c>
      <c r="U37" s="572">
        <v>1</v>
      </c>
      <c r="V37" s="572">
        <v>1</v>
      </c>
      <c r="W37" s="572">
        <v>1</v>
      </c>
      <c r="X37" s="572">
        <v>1</v>
      </c>
      <c r="Y37" s="481"/>
      <c r="Z37" s="481"/>
      <c r="AA37" s="481"/>
      <c r="AB37" s="481"/>
      <c r="AC37" s="481"/>
      <c r="AD37" s="481"/>
      <c r="AE37" s="481"/>
      <c r="AF37" s="481">
        <f>SUM(Y37:AE37)</f>
        <v>0</v>
      </c>
      <c r="AG37" s="548"/>
      <c r="AH37" s="548"/>
      <c r="AI37" s="648">
        <v>8</v>
      </c>
      <c r="AJ37" s="548"/>
      <c r="AK37" s="548"/>
      <c r="AL37" s="548"/>
      <c r="AM37" s="548">
        <f>SUM(AG37:AL37)</f>
        <v>8</v>
      </c>
      <c r="AN37" s="481"/>
      <c r="AO37" s="481"/>
      <c r="AP37" s="491">
        <v>0.5</v>
      </c>
      <c r="AQ37" s="481"/>
      <c r="AR37" s="481"/>
      <c r="AS37" s="481"/>
      <c r="AT37" s="481"/>
      <c r="AU37" s="481">
        <f>SUM(AN37:AT37)</f>
        <v>0.5</v>
      </c>
      <c r="AV37" s="491">
        <v>0.5</v>
      </c>
      <c r="AW37" s="548"/>
      <c r="AX37" s="548"/>
      <c r="AY37" s="548"/>
      <c r="AZ37" s="548"/>
      <c r="BA37" s="548"/>
      <c r="BB37" s="548"/>
      <c r="BC37" s="548">
        <f>SUM(AV37:BB37)</f>
        <v>0.5</v>
      </c>
      <c r="BD37" s="42">
        <f t="shared" si="38"/>
        <v>0.5</v>
      </c>
      <c r="BE37" s="42">
        <f t="shared" si="38"/>
        <v>0</v>
      </c>
      <c r="BF37" s="42">
        <f t="shared" si="38"/>
        <v>8.5</v>
      </c>
      <c r="BG37" s="42">
        <f t="shared" si="38"/>
        <v>0</v>
      </c>
      <c r="BH37" s="42">
        <f t="shared" si="38"/>
        <v>0</v>
      </c>
      <c r="BI37" s="42">
        <f t="shared" si="26"/>
        <v>0</v>
      </c>
      <c r="BJ37" s="42">
        <f t="shared" si="39"/>
        <v>0</v>
      </c>
      <c r="BK37" s="42">
        <f t="shared" si="39"/>
        <v>9</v>
      </c>
      <c r="BL37" s="40">
        <f t="shared" si="20"/>
        <v>9</v>
      </c>
    </row>
    <row r="38" spans="1:64" ht="15.75" customHeight="1" x14ac:dyDescent="0.25">
      <c r="A38" s="298" t="s">
        <v>38</v>
      </c>
      <c r="B38" s="299" t="s">
        <v>39</v>
      </c>
      <c r="C38" s="1547"/>
      <c r="D38" s="1549"/>
      <c r="E38" s="1549"/>
      <c r="F38" s="1549"/>
      <c r="G38" s="1549"/>
      <c r="H38" s="1549"/>
      <c r="I38" s="1425"/>
      <c r="J38" s="1425"/>
      <c r="K38" s="1425" t="s">
        <v>139</v>
      </c>
      <c r="L38" s="301" t="s">
        <v>44</v>
      </c>
      <c r="M38" s="1425" t="s">
        <v>45</v>
      </c>
      <c r="N38" s="1425" t="s">
        <v>46</v>
      </c>
      <c r="O38" s="1425" t="s">
        <v>47</v>
      </c>
      <c r="P38" s="16" t="s">
        <v>140</v>
      </c>
      <c r="Q38" s="302" t="s">
        <v>71</v>
      </c>
      <c r="R38" s="303">
        <v>2015</v>
      </c>
      <c r="S38" s="303">
        <v>0</v>
      </c>
      <c r="T38" s="303">
        <v>0</v>
      </c>
      <c r="U38" s="572">
        <v>1</v>
      </c>
      <c r="V38" s="572">
        <v>1</v>
      </c>
      <c r="W38" s="572">
        <v>1</v>
      </c>
      <c r="X38" s="572">
        <v>1</v>
      </c>
      <c r="Y38" s="481"/>
      <c r="Z38" s="481"/>
      <c r="AA38" s="481"/>
      <c r="AB38" s="481"/>
      <c r="AC38" s="481"/>
      <c r="AD38" s="481"/>
      <c r="AE38" s="481"/>
      <c r="AF38" s="481">
        <f>SUM(Y38:AE38)</f>
        <v>0</v>
      </c>
      <c r="AG38" s="548"/>
      <c r="AH38" s="548"/>
      <c r="AI38" s="648">
        <v>5</v>
      </c>
      <c r="AJ38" s="548"/>
      <c r="AK38" s="548"/>
      <c r="AL38" s="548"/>
      <c r="AM38" s="548">
        <f>SUM(AG38:AL38)</f>
        <v>5</v>
      </c>
      <c r="AN38" s="481"/>
      <c r="AO38" s="481"/>
      <c r="AP38" s="491">
        <v>0.5</v>
      </c>
      <c r="AQ38" s="481"/>
      <c r="AR38" s="481"/>
      <c r="AS38" s="481"/>
      <c r="AT38" s="481"/>
      <c r="AU38" s="481">
        <f>SUM(AN38:AT38)</f>
        <v>0.5</v>
      </c>
      <c r="AV38" s="491">
        <v>0.5</v>
      </c>
      <c r="AW38" s="548"/>
      <c r="AX38" s="548"/>
      <c r="AY38" s="548"/>
      <c r="AZ38" s="548"/>
      <c r="BA38" s="548"/>
      <c r="BB38" s="548"/>
      <c r="BC38" s="548">
        <f>SUM(AV38:BB38)</f>
        <v>0.5</v>
      </c>
      <c r="BD38" s="42">
        <f t="shared" si="38"/>
        <v>0.5</v>
      </c>
      <c r="BE38" s="42">
        <f t="shared" si="38"/>
        <v>0</v>
      </c>
      <c r="BF38" s="42">
        <f t="shared" si="38"/>
        <v>5.5</v>
      </c>
      <c r="BG38" s="42">
        <f t="shared" si="38"/>
        <v>0</v>
      </c>
      <c r="BH38" s="42">
        <f t="shared" si="38"/>
        <v>0</v>
      </c>
      <c r="BI38" s="42">
        <f t="shared" si="26"/>
        <v>0</v>
      </c>
      <c r="BJ38" s="42">
        <f t="shared" si="39"/>
        <v>0</v>
      </c>
      <c r="BK38" s="42">
        <f t="shared" si="39"/>
        <v>6</v>
      </c>
      <c r="BL38" s="40">
        <f t="shared" si="20"/>
        <v>6</v>
      </c>
    </row>
    <row r="39" spans="1:64" ht="24" customHeight="1" x14ac:dyDescent="0.25">
      <c r="A39" s="298" t="s">
        <v>2458</v>
      </c>
      <c r="B39" s="299" t="s">
        <v>39</v>
      </c>
      <c r="C39" s="1548"/>
      <c r="D39" s="1549"/>
      <c r="E39" s="1549"/>
      <c r="F39" s="1549"/>
      <c r="G39" s="1549"/>
      <c r="H39" s="1549"/>
      <c r="I39" s="1425"/>
      <c r="J39" s="1425"/>
      <c r="K39" s="1425" t="s">
        <v>141</v>
      </c>
      <c r="L39" s="301" t="s">
        <v>44</v>
      </c>
      <c r="M39" s="1425" t="s">
        <v>45</v>
      </c>
      <c r="N39" s="1425" t="s">
        <v>46</v>
      </c>
      <c r="O39" s="1425" t="s">
        <v>47</v>
      </c>
      <c r="P39" s="1198" t="s">
        <v>142</v>
      </c>
      <c r="Q39" s="302" t="s">
        <v>143</v>
      </c>
      <c r="R39" s="303">
        <v>2015</v>
      </c>
      <c r="S39" s="303">
        <v>0</v>
      </c>
      <c r="T39" s="303">
        <v>0</v>
      </c>
      <c r="U39" s="572">
        <v>1</v>
      </c>
      <c r="V39" s="572">
        <v>1</v>
      </c>
      <c r="W39" s="572">
        <v>2</v>
      </c>
      <c r="X39" s="572">
        <v>2</v>
      </c>
      <c r="Y39" s="481"/>
      <c r="Z39" s="481"/>
      <c r="AA39" s="481"/>
      <c r="AB39" s="481"/>
      <c r="AC39" s="481"/>
      <c r="AD39" s="481"/>
      <c r="AE39" s="481"/>
      <c r="AF39" s="481">
        <f t="shared" si="9"/>
        <v>0</v>
      </c>
      <c r="AG39" s="548"/>
      <c r="AH39" s="548"/>
      <c r="AI39" s="600">
        <v>10</v>
      </c>
      <c r="AJ39" s="548"/>
      <c r="AK39" s="548"/>
      <c r="AL39" s="548"/>
      <c r="AM39" s="548">
        <f t="shared" si="35"/>
        <v>10</v>
      </c>
      <c r="AN39" s="481"/>
      <c r="AO39" s="481"/>
      <c r="AP39" s="491">
        <v>0.5</v>
      </c>
      <c r="AQ39" s="481"/>
      <c r="AR39" s="481"/>
      <c r="AS39" s="481"/>
      <c r="AT39" s="481"/>
      <c r="AU39" s="481">
        <f t="shared" si="36"/>
        <v>0.5</v>
      </c>
      <c r="AV39" s="491">
        <v>0.5</v>
      </c>
      <c r="AW39" s="548"/>
      <c r="AX39" s="548"/>
      <c r="AY39" s="548"/>
      <c r="AZ39" s="548"/>
      <c r="BA39" s="548"/>
      <c r="BB39" s="548"/>
      <c r="BC39" s="548">
        <f t="shared" si="37"/>
        <v>0.5</v>
      </c>
      <c r="BD39" s="42">
        <f t="shared" si="21"/>
        <v>0.5</v>
      </c>
      <c r="BE39" s="42">
        <f t="shared" si="22"/>
        <v>0</v>
      </c>
      <c r="BF39" s="42">
        <f t="shared" si="23"/>
        <v>10.5</v>
      </c>
      <c r="BG39" s="42">
        <f t="shared" si="24"/>
        <v>0</v>
      </c>
      <c r="BH39" s="42">
        <f t="shared" si="25"/>
        <v>0</v>
      </c>
      <c r="BI39" s="42">
        <f t="shared" si="26"/>
        <v>0</v>
      </c>
      <c r="BJ39" s="42">
        <f t="shared" si="14"/>
        <v>0</v>
      </c>
      <c r="BK39" s="42">
        <f t="shared" si="15"/>
        <v>11</v>
      </c>
      <c r="BL39" s="40">
        <f t="shared" si="20"/>
        <v>11</v>
      </c>
    </row>
    <row r="40" spans="1:64" ht="18.75" customHeight="1" x14ac:dyDescent="0.25">
      <c r="A40" s="298" t="s">
        <v>2464</v>
      </c>
      <c r="B40" s="299" t="s">
        <v>39</v>
      </c>
      <c r="C40" s="1424"/>
      <c r="D40" s="1425"/>
      <c r="E40" s="1425"/>
      <c r="F40" s="1425"/>
      <c r="G40" s="1425"/>
      <c r="H40" s="1425"/>
      <c r="I40" s="1425"/>
      <c r="J40" s="1425"/>
      <c r="K40" s="1425" t="s">
        <v>144</v>
      </c>
      <c r="L40" s="301" t="s">
        <v>44</v>
      </c>
      <c r="M40" s="1425" t="s">
        <v>45</v>
      </c>
      <c r="N40" s="1425" t="s">
        <v>46</v>
      </c>
      <c r="O40" s="1425" t="s">
        <v>47</v>
      </c>
      <c r="P40" s="1199" t="s">
        <v>2465</v>
      </c>
      <c r="Q40" s="302" t="s">
        <v>146</v>
      </c>
      <c r="R40" s="303">
        <v>2015</v>
      </c>
      <c r="S40" s="303">
        <v>0</v>
      </c>
      <c r="T40" s="303">
        <v>0</v>
      </c>
      <c r="U40" s="572">
        <v>0</v>
      </c>
      <c r="V40" s="572">
        <v>1</v>
      </c>
      <c r="W40" s="572">
        <v>0</v>
      </c>
      <c r="X40" s="572">
        <v>1</v>
      </c>
      <c r="Y40" s="481"/>
      <c r="Z40" s="481"/>
      <c r="AA40" s="481"/>
      <c r="AB40" s="481"/>
      <c r="AC40" s="481"/>
      <c r="AD40" s="481"/>
      <c r="AE40" s="481"/>
      <c r="AF40" s="481"/>
      <c r="AG40" s="548"/>
      <c r="AH40" s="548"/>
      <c r="AI40" s="548"/>
      <c r="AJ40" s="548"/>
      <c r="AK40" s="548"/>
      <c r="AL40" s="548"/>
      <c r="AM40" s="548"/>
      <c r="AN40" s="481"/>
      <c r="AO40" s="481"/>
      <c r="AP40" s="491">
        <v>0.5</v>
      </c>
      <c r="AQ40" s="481"/>
      <c r="AR40" s="481"/>
      <c r="AS40" s="481"/>
      <c r="AT40" s="481"/>
      <c r="AU40" s="481">
        <f>SUM(AN40:AT40)</f>
        <v>0.5</v>
      </c>
      <c r="AV40" s="548"/>
      <c r="AW40" s="548"/>
      <c r="AX40" s="548"/>
      <c r="AY40" s="548"/>
      <c r="AZ40" s="548"/>
      <c r="BA40" s="548"/>
      <c r="BB40" s="548"/>
      <c r="BC40" s="548"/>
      <c r="BD40" s="42"/>
      <c r="BE40" s="42"/>
      <c r="BF40" s="42"/>
      <c r="BG40" s="42"/>
      <c r="BH40" s="42"/>
      <c r="BI40" s="42"/>
      <c r="BJ40" s="42"/>
      <c r="BK40" s="42"/>
      <c r="BL40" s="40">
        <f t="shared" si="20"/>
        <v>0.5</v>
      </c>
    </row>
    <row r="41" spans="1:64" ht="25.5" customHeight="1" x14ac:dyDescent="0.25">
      <c r="A41" s="298" t="s">
        <v>38</v>
      </c>
      <c r="B41" s="299" t="s">
        <v>39</v>
      </c>
      <c r="C41" s="1424"/>
      <c r="D41" s="1425"/>
      <c r="E41" s="1425"/>
      <c r="F41" s="1425"/>
      <c r="G41" s="1425"/>
      <c r="H41" s="1425"/>
      <c r="I41" s="1425"/>
      <c r="J41" s="1425"/>
      <c r="K41" s="1425" t="s">
        <v>147</v>
      </c>
      <c r="L41" s="301" t="s">
        <v>44</v>
      </c>
      <c r="M41" s="1425" t="s">
        <v>45</v>
      </c>
      <c r="N41" s="1425" t="s">
        <v>46</v>
      </c>
      <c r="O41" s="1425" t="s">
        <v>47</v>
      </c>
      <c r="P41" s="16" t="s">
        <v>148</v>
      </c>
      <c r="Q41" s="302" t="s">
        <v>146</v>
      </c>
      <c r="R41" s="303">
        <v>2015</v>
      </c>
      <c r="S41" s="303">
        <v>0</v>
      </c>
      <c r="T41" s="303">
        <v>0</v>
      </c>
      <c r="U41" s="572">
        <v>1</v>
      </c>
      <c r="V41" s="572">
        <v>0</v>
      </c>
      <c r="W41" s="572">
        <v>0</v>
      </c>
      <c r="X41" s="572">
        <v>1</v>
      </c>
      <c r="Y41" s="481"/>
      <c r="Z41" s="481"/>
      <c r="AA41" s="481"/>
      <c r="AB41" s="481"/>
      <c r="AC41" s="481"/>
      <c r="AD41" s="481"/>
      <c r="AE41" s="481"/>
      <c r="AF41" s="481"/>
      <c r="AG41" s="548"/>
      <c r="AH41" s="548"/>
      <c r="AI41" s="648">
        <v>2</v>
      </c>
      <c r="AJ41" s="42"/>
      <c r="AK41" s="42"/>
      <c r="AL41" s="42"/>
      <c r="AM41" s="42">
        <f>SUM(AG41:AL41)</f>
        <v>2</v>
      </c>
      <c r="AN41" s="42"/>
      <c r="AO41" s="42"/>
      <c r="AP41" s="42"/>
      <c r="AQ41" s="42"/>
      <c r="AR41" s="42"/>
      <c r="AS41" s="42"/>
      <c r="AT41" s="42"/>
      <c r="AU41" s="42"/>
      <c r="AV41" s="548"/>
      <c r="AW41" s="548"/>
      <c r="AX41" s="548"/>
      <c r="AY41" s="42"/>
      <c r="AZ41" s="42"/>
      <c r="BA41" s="42"/>
      <c r="BB41" s="42"/>
      <c r="BC41" s="42"/>
      <c r="BD41" s="42"/>
      <c r="BE41" s="42"/>
      <c r="BF41" s="42"/>
      <c r="BG41" s="42"/>
      <c r="BH41" s="42"/>
      <c r="BI41" s="42"/>
      <c r="BJ41" s="42"/>
      <c r="BK41" s="42"/>
      <c r="BL41" s="40">
        <f t="shared" si="20"/>
        <v>2</v>
      </c>
    </row>
    <row r="42" spans="1:64" ht="39.6" x14ac:dyDescent="0.25">
      <c r="A42" s="295" t="s">
        <v>38</v>
      </c>
      <c r="B42" s="24" t="s">
        <v>39</v>
      </c>
      <c r="C42" s="2"/>
      <c r="D42" s="2" t="s">
        <v>149</v>
      </c>
      <c r="E42" s="1"/>
      <c r="F42" s="1"/>
      <c r="G42" s="1"/>
      <c r="H42" s="1"/>
      <c r="I42" s="1"/>
      <c r="J42" s="1"/>
      <c r="K42" s="1"/>
      <c r="L42" s="1"/>
      <c r="M42" s="1"/>
      <c r="N42" s="1"/>
      <c r="O42" s="1"/>
      <c r="P42" s="1"/>
      <c r="Q42" s="22"/>
      <c r="R42" s="1"/>
      <c r="S42" s="1"/>
      <c r="T42" s="1"/>
      <c r="U42" s="49"/>
      <c r="V42" s="49"/>
      <c r="W42" s="49"/>
      <c r="X42" s="49"/>
      <c r="Y42" s="34">
        <f t="shared" ref="Y42:AE42" si="40">SUM(Y43:Y46)</f>
        <v>0.5</v>
      </c>
      <c r="Z42" s="34">
        <f t="shared" si="40"/>
        <v>0</v>
      </c>
      <c r="AA42" s="34">
        <f t="shared" si="40"/>
        <v>951</v>
      </c>
      <c r="AB42" s="34">
        <f t="shared" si="40"/>
        <v>0</v>
      </c>
      <c r="AC42" s="34">
        <f t="shared" si="40"/>
        <v>0</v>
      </c>
      <c r="AD42" s="34">
        <f t="shared" si="40"/>
        <v>0.17</v>
      </c>
      <c r="AE42" s="34">
        <f t="shared" si="40"/>
        <v>0</v>
      </c>
      <c r="AF42" s="34">
        <f t="shared" si="9"/>
        <v>951.67</v>
      </c>
      <c r="AG42" s="34">
        <f t="shared" ref="AG42:AL42" si="41">SUM(AG43:AG46)</f>
        <v>0</v>
      </c>
      <c r="AH42" s="34">
        <f t="shared" si="41"/>
        <v>0</v>
      </c>
      <c r="AI42" s="34">
        <v>927.53</v>
      </c>
      <c r="AJ42" s="34">
        <f t="shared" si="41"/>
        <v>0</v>
      </c>
      <c r="AK42" s="34">
        <f t="shared" si="41"/>
        <v>0</v>
      </c>
      <c r="AL42" s="34">
        <f t="shared" si="41"/>
        <v>0</v>
      </c>
      <c r="AM42" s="34">
        <f t="shared" si="35"/>
        <v>927.53</v>
      </c>
      <c r="AN42" s="34">
        <f t="shared" ref="AN42:AT42" si="42">SUM(AN43:AN46)</f>
        <v>2.5</v>
      </c>
      <c r="AO42" s="34">
        <f t="shared" si="42"/>
        <v>0</v>
      </c>
      <c r="AP42" s="34">
        <f t="shared" si="42"/>
        <v>960</v>
      </c>
      <c r="AQ42" s="34">
        <f t="shared" si="42"/>
        <v>0</v>
      </c>
      <c r="AR42" s="34">
        <f t="shared" si="42"/>
        <v>0</v>
      </c>
      <c r="AS42" s="34">
        <f t="shared" si="42"/>
        <v>0</v>
      </c>
      <c r="AT42" s="34">
        <f t="shared" si="42"/>
        <v>0</v>
      </c>
      <c r="AU42" s="34">
        <f t="shared" si="36"/>
        <v>962.5</v>
      </c>
      <c r="AV42" s="34">
        <f t="shared" ref="AV42:BB42" si="43">SUM(AV43:AV46)</f>
        <v>0</v>
      </c>
      <c r="AW42" s="34">
        <f t="shared" si="43"/>
        <v>0</v>
      </c>
      <c r="AX42" s="34">
        <f t="shared" si="43"/>
        <v>971</v>
      </c>
      <c r="AY42" s="34">
        <f t="shared" si="43"/>
        <v>0</v>
      </c>
      <c r="AZ42" s="34">
        <f t="shared" si="43"/>
        <v>0</v>
      </c>
      <c r="BA42" s="34">
        <f t="shared" si="43"/>
        <v>0</v>
      </c>
      <c r="BB42" s="34">
        <f t="shared" si="43"/>
        <v>0</v>
      </c>
      <c r="BC42" s="34">
        <f t="shared" si="37"/>
        <v>971</v>
      </c>
      <c r="BD42" s="34">
        <f t="shared" si="21"/>
        <v>3</v>
      </c>
      <c r="BE42" s="34">
        <f t="shared" si="22"/>
        <v>0</v>
      </c>
      <c r="BF42" s="34">
        <f t="shared" si="23"/>
        <v>3809.5299999999997</v>
      </c>
      <c r="BG42" s="34">
        <f t="shared" si="24"/>
        <v>0</v>
      </c>
      <c r="BH42" s="34">
        <f t="shared" si="25"/>
        <v>0</v>
      </c>
      <c r="BI42" s="34">
        <f t="shared" si="26"/>
        <v>0.17</v>
      </c>
      <c r="BJ42" s="34">
        <f t="shared" si="14"/>
        <v>0</v>
      </c>
      <c r="BK42" s="34">
        <f t="shared" si="15"/>
        <v>3812.7</v>
      </c>
      <c r="BL42" s="40">
        <f t="shared" si="20"/>
        <v>3812.7</v>
      </c>
    </row>
    <row r="43" spans="1:64" s="56" customFormat="1" ht="64.5" customHeight="1" x14ac:dyDescent="0.25">
      <c r="A43" s="298" t="s">
        <v>2458</v>
      </c>
      <c r="B43" s="299" t="s">
        <v>39</v>
      </c>
      <c r="C43" s="299" t="s">
        <v>150</v>
      </c>
      <c r="D43" s="1425" t="s">
        <v>151</v>
      </c>
      <c r="E43" s="1425" t="s">
        <v>152</v>
      </c>
      <c r="F43" s="1429">
        <v>2014</v>
      </c>
      <c r="G43" s="1425">
        <v>10.6</v>
      </c>
      <c r="H43" s="1429">
        <v>8</v>
      </c>
      <c r="I43" s="1429"/>
      <c r="J43" s="1429"/>
      <c r="K43" s="1429" t="s">
        <v>153</v>
      </c>
      <c r="L43" s="301" t="s">
        <v>44</v>
      </c>
      <c r="M43" s="1425" t="s">
        <v>45</v>
      </c>
      <c r="N43" s="1425" t="s">
        <v>46</v>
      </c>
      <c r="O43" s="1425" t="s">
        <v>47</v>
      </c>
      <c r="P43" s="1198" t="s">
        <v>2466</v>
      </c>
      <c r="Q43" s="302" t="s">
        <v>2467</v>
      </c>
      <c r="R43" s="303">
        <v>2015</v>
      </c>
      <c r="S43" s="303">
        <v>1</v>
      </c>
      <c r="T43" s="303">
        <v>1</v>
      </c>
      <c r="U43" s="572">
        <v>1</v>
      </c>
      <c r="V43" s="572">
        <v>1</v>
      </c>
      <c r="W43" s="572">
        <v>1</v>
      </c>
      <c r="X43" s="572">
        <v>4</v>
      </c>
      <c r="Y43" s="491">
        <v>0.5</v>
      </c>
      <c r="Z43" s="491"/>
      <c r="AA43" s="481"/>
      <c r="AB43" s="481"/>
      <c r="AC43" s="481"/>
      <c r="AD43" s="481"/>
      <c r="AE43" s="481"/>
      <c r="AF43" s="481">
        <f t="shared" si="9"/>
        <v>0.5</v>
      </c>
      <c r="AG43" s="491"/>
      <c r="AH43" s="548"/>
      <c r="AI43" s="648">
        <v>3</v>
      </c>
      <c r="AJ43" s="548"/>
      <c r="AK43" s="548"/>
      <c r="AL43" s="548"/>
      <c r="AM43" s="548">
        <f t="shared" si="35"/>
        <v>3</v>
      </c>
      <c r="AN43" s="491">
        <v>2.5</v>
      </c>
      <c r="AO43" s="491"/>
      <c r="AP43" s="481">
        <v>0</v>
      </c>
      <c r="AQ43" s="481"/>
      <c r="AR43" s="481"/>
      <c r="AS43" s="481"/>
      <c r="AT43" s="481"/>
      <c r="AU43" s="481">
        <f t="shared" si="36"/>
        <v>2.5</v>
      </c>
      <c r="AV43" s="548"/>
      <c r="AW43" s="491"/>
      <c r="AX43" s="491">
        <v>1</v>
      </c>
      <c r="AY43" s="548"/>
      <c r="AZ43" s="548"/>
      <c r="BA43" s="548"/>
      <c r="BB43" s="548"/>
      <c r="BC43" s="548">
        <f t="shared" si="37"/>
        <v>1</v>
      </c>
      <c r="BD43" s="42">
        <f t="shared" si="21"/>
        <v>3</v>
      </c>
      <c r="BE43" s="42">
        <f t="shared" si="22"/>
        <v>0</v>
      </c>
      <c r="BF43" s="42">
        <f t="shared" si="23"/>
        <v>4</v>
      </c>
      <c r="BG43" s="42">
        <f t="shared" si="24"/>
        <v>0</v>
      </c>
      <c r="BH43" s="42">
        <f t="shared" si="25"/>
        <v>0</v>
      </c>
      <c r="BI43" s="42">
        <f t="shared" si="26"/>
        <v>0</v>
      </c>
      <c r="BJ43" s="42">
        <f t="shared" si="14"/>
        <v>0</v>
      </c>
      <c r="BK43" s="42">
        <f t="shared" si="15"/>
        <v>7</v>
      </c>
      <c r="BL43" s="40">
        <f t="shared" si="20"/>
        <v>7</v>
      </c>
    </row>
    <row r="44" spans="1:64" ht="51" customHeight="1" x14ac:dyDescent="0.25">
      <c r="A44" s="298" t="s">
        <v>38</v>
      </c>
      <c r="B44" s="299" t="s">
        <v>39</v>
      </c>
      <c r="C44" s="1546" t="s">
        <v>156</v>
      </c>
      <c r="D44" s="1549" t="s">
        <v>157</v>
      </c>
      <c r="E44" s="1549" t="s">
        <v>158</v>
      </c>
      <c r="F44" s="1549">
        <v>2014</v>
      </c>
      <c r="G44" s="1549">
        <v>4.29</v>
      </c>
      <c r="H44" s="1549">
        <v>4</v>
      </c>
      <c r="I44" s="1425"/>
      <c r="J44" s="1425"/>
      <c r="K44" s="1425" t="s">
        <v>159</v>
      </c>
      <c r="L44" s="301" t="s">
        <v>44</v>
      </c>
      <c r="M44" s="1425" t="s">
        <v>45</v>
      </c>
      <c r="N44" s="1425" t="s">
        <v>46</v>
      </c>
      <c r="O44" s="1425" t="s">
        <v>73</v>
      </c>
      <c r="P44" s="16" t="s">
        <v>160</v>
      </c>
      <c r="Q44" s="302" t="s">
        <v>161</v>
      </c>
      <c r="R44" s="303">
        <v>2015</v>
      </c>
      <c r="S44" s="303">
        <v>1</v>
      </c>
      <c r="T44" s="303">
        <v>1</v>
      </c>
      <c r="U44" s="572">
        <v>1</v>
      </c>
      <c r="V44" s="572">
        <v>1</v>
      </c>
      <c r="W44" s="572">
        <v>1</v>
      </c>
      <c r="X44" s="572">
        <v>1</v>
      </c>
      <c r="Y44" s="481"/>
      <c r="Z44" s="481"/>
      <c r="AA44" s="481">
        <v>331</v>
      </c>
      <c r="AB44" s="481"/>
      <c r="AC44" s="481"/>
      <c r="AD44" s="481">
        <v>0.17</v>
      </c>
      <c r="AE44" s="481"/>
      <c r="AF44" s="481">
        <f t="shared" si="9"/>
        <v>331.17</v>
      </c>
      <c r="AG44" s="548"/>
      <c r="AH44" s="548"/>
      <c r="AI44" s="648">
        <v>300</v>
      </c>
      <c r="AJ44" s="548"/>
      <c r="AK44" s="548"/>
      <c r="AL44" s="548"/>
      <c r="AM44" s="548">
        <f t="shared" si="35"/>
        <v>300</v>
      </c>
      <c r="AN44" s="481"/>
      <c r="AO44" s="481"/>
      <c r="AP44" s="481">
        <v>340</v>
      </c>
      <c r="AQ44" s="481"/>
      <c r="AR44" s="481"/>
      <c r="AS44" s="481"/>
      <c r="AT44" s="481"/>
      <c r="AU44" s="481">
        <f t="shared" si="36"/>
        <v>340</v>
      </c>
      <c r="AV44" s="548"/>
      <c r="AW44" s="548"/>
      <c r="AX44" s="548">
        <v>340</v>
      </c>
      <c r="AY44" s="548"/>
      <c r="AZ44" s="548"/>
      <c r="BA44" s="548"/>
      <c r="BB44" s="548"/>
      <c r="BC44" s="548">
        <f t="shared" si="37"/>
        <v>340</v>
      </c>
      <c r="BD44" s="42">
        <f t="shared" si="21"/>
        <v>0</v>
      </c>
      <c r="BE44" s="42">
        <f t="shared" si="22"/>
        <v>0</v>
      </c>
      <c r="BF44" s="42">
        <f t="shared" si="23"/>
        <v>1311</v>
      </c>
      <c r="BG44" s="42">
        <f t="shared" si="24"/>
        <v>0</v>
      </c>
      <c r="BH44" s="42">
        <f t="shared" si="25"/>
        <v>0</v>
      </c>
      <c r="BI44" s="42">
        <f t="shared" si="26"/>
        <v>0.17</v>
      </c>
      <c r="BJ44" s="42">
        <f t="shared" si="14"/>
        <v>0</v>
      </c>
      <c r="BK44" s="42">
        <f t="shared" si="15"/>
        <v>1311.17</v>
      </c>
      <c r="BL44" s="40">
        <f t="shared" si="20"/>
        <v>1311.17</v>
      </c>
    </row>
    <row r="45" spans="1:64" ht="66.75" customHeight="1" x14ac:dyDescent="0.25">
      <c r="A45" s="298" t="s">
        <v>38</v>
      </c>
      <c r="B45" s="299" t="s">
        <v>39</v>
      </c>
      <c r="C45" s="1547"/>
      <c r="D45" s="1549"/>
      <c r="E45" s="1549"/>
      <c r="F45" s="1549"/>
      <c r="G45" s="1549"/>
      <c r="H45" s="1549"/>
      <c r="I45" s="1425"/>
      <c r="J45" s="1425"/>
      <c r="K45" s="1425" t="s">
        <v>162</v>
      </c>
      <c r="L45" s="301" t="s">
        <v>44</v>
      </c>
      <c r="M45" s="1425" t="s">
        <v>45</v>
      </c>
      <c r="N45" s="1425" t="s">
        <v>46</v>
      </c>
      <c r="O45" s="1425" t="s">
        <v>47</v>
      </c>
      <c r="P45" s="16" t="s">
        <v>163</v>
      </c>
      <c r="Q45" s="302" t="s">
        <v>164</v>
      </c>
      <c r="R45" s="303">
        <v>2015</v>
      </c>
      <c r="S45" s="303">
        <v>1</v>
      </c>
      <c r="T45" s="303">
        <v>1</v>
      </c>
      <c r="U45" s="572">
        <v>1</v>
      </c>
      <c r="V45" s="572">
        <v>1</v>
      </c>
      <c r="W45" s="572">
        <v>1</v>
      </c>
      <c r="X45" s="572">
        <v>4</v>
      </c>
      <c r="Y45" s="481"/>
      <c r="Z45" s="481"/>
      <c r="AA45" s="481">
        <v>20</v>
      </c>
      <c r="AB45" s="481"/>
      <c r="AC45" s="481"/>
      <c r="AD45" s="481"/>
      <c r="AE45" s="481"/>
      <c r="AF45" s="481">
        <f t="shared" si="9"/>
        <v>20</v>
      </c>
      <c r="AG45" s="548"/>
      <c r="AH45" s="548"/>
      <c r="AI45" s="648">
        <v>31.43</v>
      </c>
      <c r="AJ45" s="548"/>
      <c r="AK45" s="548"/>
      <c r="AL45" s="548"/>
      <c r="AM45" s="548">
        <f t="shared" si="35"/>
        <v>31.43</v>
      </c>
      <c r="AN45" s="481"/>
      <c r="AO45" s="481"/>
      <c r="AP45" s="491">
        <v>5</v>
      </c>
      <c r="AQ45" s="481"/>
      <c r="AR45" s="481"/>
      <c r="AS45" s="481"/>
      <c r="AT45" s="481"/>
      <c r="AU45" s="481">
        <f t="shared" si="36"/>
        <v>5</v>
      </c>
      <c r="AV45" s="548"/>
      <c r="AW45" s="548"/>
      <c r="AX45" s="491">
        <v>10</v>
      </c>
      <c r="AY45" s="548"/>
      <c r="AZ45" s="548"/>
      <c r="BA45" s="548"/>
      <c r="BB45" s="548"/>
      <c r="BC45" s="548">
        <f t="shared" si="37"/>
        <v>10</v>
      </c>
      <c r="BD45" s="42">
        <f t="shared" si="21"/>
        <v>0</v>
      </c>
      <c r="BE45" s="42">
        <f t="shared" si="22"/>
        <v>0</v>
      </c>
      <c r="BF45" s="42">
        <f t="shared" si="23"/>
        <v>66.430000000000007</v>
      </c>
      <c r="BG45" s="42">
        <f t="shared" si="24"/>
        <v>0</v>
      </c>
      <c r="BH45" s="42">
        <f t="shared" si="25"/>
        <v>0</v>
      </c>
      <c r="BI45" s="42">
        <f t="shared" si="26"/>
        <v>0</v>
      </c>
      <c r="BJ45" s="42">
        <f t="shared" si="14"/>
        <v>0</v>
      </c>
      <c r="BK45" s="42">
        <f t="shared" si="15"/>
        <v>66.430000000000007</v>
      </c>
      <c r="BL45" s="40">
        <f t="shared" si="20"/>
        <v>66.430000000000007</v>
      </c>
    </row>
    <row r="46" spans="1:64" ht="45.75" customHeight="1" x14ac:dyDescent="0.25">
      <c r="A46" s="298" t="s">
        <v>38</v>
      </c>
      <c r="B46" s="299" t="s">
        <v>39</v>
      </c>
      <c r="C46" s="1548"/>
      <c r="D46" s="1549"/>
      <c r="E46" s="1549"/>
      <c r="F46" s="1549"/>
      <c r="G46" s="1549"/>
      <c r="H46" s="1549"/>
      <c r="I46" s="1425"/>
      <c r="J46" s="1425"/>
      <c r="K46" s="1425" t="s">
        <v>165</v>
      </c>
      <c r="L46" s="301" t="s">
        <v>44</v>
      </c>
      <c r="M46" s="1425" t="s">
        <v>45</v>
      </c>
      <c r="N46" s="1425" t="s">
        <v>46</v>
      </c>
      <c r="O46" s="1425" t="s">
        <v>73</v>
      </c>
      <c r="P46" s="16" t="s">
        <v>166</v>
      </c>
      <c r="Q46" s="302" t="s">
        <v>167</v>
      </c>
      <c r="R46" s="303">
        <v>2015</v>
      </c>
      <c r="S46" s="303">
        <v>61</v>
      </c>
      <c r="T46" s="303">
        <v>65</v>
      </c>
      <c r="U46" s="572">
        <v>65</v>
      </c>
      <c r="V46" s="572">
        <v>65</v>
      </c>
      <c r="W46" s="572">
        <v>65</v>
      </c>
      <c r="X46" s="572">
        <v>65</v>
      </c>
      <c r="Y46" s="481"/>
      <c r="Z46" s="481"/>
      <c r="AA46" s="481">
        <v>600</v>
      </c>
      <c r="AB46" s="481"/>
      <c r="AC46" s="481"/>
      <c r="AD46" s="481"/>
      <c r="AE46" s="481"/>
      <c r="AF46" s="481">
        <f>SUM(Y46:AE46)</f>
        <v>600</v>
      </c>
      <c r="AG46" s="548"/>
      <c r="AH46" s="548"/>
      <c r="AI46" s="548">
        <v>600</v>
      </c>
      <c r="AJ46" s="548"/>
      <c r="AK46" s="548"/>
      <c r="AL46" s="548"/>
      <c r="AM46" s="548">
        <f>SUM(AG46:AL46)</f>
        <v>600</v>
      </c>
      <c r="AN46" s="481"/>
      <c r="AO46" s="481"/>
      <c r="AP46" s="491">
        <v>615</v>
      </c>
      <c r="AQ46" s="481"/>
      <c r="AR46" s="481"/>
      <c r="AS46" s="481"/>
      <c r="AT46" s="481"/>
      <c r="AU46" s="481">
        <f>SUM(AN46:AT46)</f>
        <v>615</v>
      </c>
      <c r="AV46" s="548"/>
      <c r="AW46" s="548"/>
      <c r="AX46" s="548">
        <v>620</v>
      </c>
      <c r="AY46" s="548"/>
      <c r="AZ46" s="548"/>
      <c r="BA46" s="548"/>
      <c r="BB46" s="548"/>
      <c r="BC46" s="548">
        <f>SUM(AV46:BB46)</f>
        <v>620</v>
      </c>
      <c r="BD46" s="42">
        <f t="shared" si="21"/>
        <v>0</v>
      </c>
      <c r="BE46" s="42">
        <f t="shared" si="22"/>
        <v>0</v>
      </c>
      <c r="BF46" s="42">
        <f t="shared" si="23"/>
        <v>2435</v>
      </c>
      <c r="BG46" s="42">
        <f t="shared" si="24"/>
        <v>0</v>
      </c>
      <c r="BH46" s="42">
        <f t="shared" si="25"/>
        <v>0</v>
      </c>
      <c r="BI46" s="42">
        <f t="shared" si="26"/>
        <v>0</v>
      </c>
      <c r="BJ46" s="42">
        <f t="shared" si="14"/>
        <v>0</v>
      </c>
      <c r="BK46" s="42">
        <f t="shared" si="15"/>
        <v>2435</v>
      </c>
      <c r="BL46" s="40">
        <f t="shared" si="20"/>
        <v>2435</v>
      </c>
    </row>
    <row r="47" spans="1:64" ht="17.399999999999999" x14ac:dyDescent="0.25">
      <c r="B47" s="1553" t="s">
        <v>168</v>
      </c>
      <c r="C47" s="1554"/>
      <c r="D47" s="1554"/>
      <c r="E47" s="1554"/>
      <c r="F47" s="1554"/>
      <c r="G47" s="1554"/>
      <c r="H47" s="1554"/>
      <c r="I47" s="1554"/>
      <c r="J47" s="1554"/>
      <c r="K47" s="1554"/>
      <c r="L47" s="1554"/>
      <c r="M47" s="1555"/>
      <c r="N47" s="597"/>
      <c r="O47" s="597"/>
      <c r="P47" s="597"/>
      <c r="Q47" s="598"/>
      <c r="R47" s="597"/>
      <c r="S47" s="597"/>
      <c r="T47" s="597"/>
      <c r="U47" s="599"/>
      <c r="V47" s="599"/>
      <c r="W47" s="599"/>
      <c r="X47" s="599"/>
      <c r="Y47" s="600">
        <v>219</v>
      </c>
      <c r="Z47" s="600">
        <v>0</v>
      </c>
      <c r="AA47" s="600">
        <v>13932</v>
      </c>
      <c r="AB47" s="600">
        <v>0</v>
      </c>
      <c r="AC47" s="600">
        <v>0</v>
      </c>
      <c r="AD47" s="600">
        <v>0</v>
      </c>
      <c r="AE47" s="600">
        <f>386+15290+839+1988</f>
        <v>18503</v>
      </c>
      <c r="AF47" s="600">
        <f>SUM(Y47:AE47)</f>
        <v>32654</v>
      </c>
      <c r="AG47" s="600">
        <v>229</v>
      </c>
      <c r="AH47" s="600">
        <f>+Z47*1.04</f>
        <v>0</v>
      </c>
      <c r="AI47" s="600">
        <v>14558</v>
      </c>
      <c r="AJ47" s="600">
        <f>+AB47*1.04</f>
        <v>0</v>
      </c>
      <c r="AK47" s="600">
        <f>+AC47*1.04</f>
        <v>0</v>
      </c>
      <c r="AL47" s="600">
        <f>401+15848+870+225</f>
        <v>17344</v>
      </c>
      <c r="AM47" s="600">
        <f>SUM(AG47:AL47)</f>
        <v>32131</v>
      </c>
      <c r="AN47" s="600">
        <v>235</v>
      </c>
      <c r="AO47" s="600">
        <f>+AH47*1.04</f>
        <v>0</v>
      </c>
      <c r="AP47" s="600">
        <v>14964</v>
      </c>
      <c r="AQ47" s="33">
        <f>+AJ47*1.04</f>
        <v>0</v>
      </c>
      <c r="AR47" s="33">
        <f>+AK47*1.04</f>
        <v>0</v>
      </c>
      <c r="AS47" s="33">
        <f>+AK47*1.04</f>
        <v>0</v>
      </c>
      <c r="AT47" s="33">
        <f>415+16427+901+242</f>
        <v>17985</v>
      </c>
      <c r="AU47" s="33">
        <f>SUM(AN47:AT47)</f>
        <v>33184</v>
      </c>
      <c r="AV47" s="33">
        <v>217</v>
      </c>
      <c r="AW47" s="33">
        <f>+AO47*1.04</f>
        <v>0</v>
      </c>
      <c r="AX47" s="33">
        <v>15509</v>
      </c>
      <c r="AY47" s="33">
        <f>+AQ47*1.04</f>
        <v>0</v>
      </c>
      <c r="AZ47" s="33">
        <f>+AR47*1.04</f>
        <v>0</v>
      </c>
      <c r="BA47" s="33">
        <f>+AS47*1.04</f>
        <v>0</v>
      </c>
      <c r="BB47" s="33">
        <f>430+17026+934+267</f>
        <v>18657</v>
      </c>
      <c r="BC47" s="33">
        <f>SUM(AV47:BB47)</f>
        <v>34383</v>
      </c>
      <c r="BD47" s="33">
        <f t="shared" si="21"/>
        <v>900</v>
      </c>
      <c r="BE47" s="33">
        <f t="shared" si="22"/>
        <v>0</v>
      </c>
      <c r="BF47" s="33">
        <f t="shared" si="23"/>
        <v>58963</v>
      </c>
      <c r="BG47" s="33">
        <f t="shared" si="24"/>
        <v>0</v>
      </c>
      <c r="BH47" s="33">
        <f t="shared" si="25"/>
        <v>0</v>
      </c>
      <c r="BI47" s="33">
        <f t="shared" si="26"/>
        <v>0</v>
      </c>
      <c r="BJ47" s="33">
        <f t="shared" ref="BJ47:BJ61" si="44">+BB47+AT47+AL47+AE47</f>
        <v>72489</v>
      </c>
      <c r="BK47" s="33">
        <f>+BC47+AU47+AM47+AF47-6</f>
        <v>132346</v>
      </c>
      <c r="BL47" s="40">
        <f t="shared" si="20"/>
        <v>132352</v>
      </c>
    </row>
    <row r="48" spans="1:64" ht="29.25" customHeight="1" x14ac:dyDescent="0.25">
      <c r="A48" s="151"/>
      <c r="B48" s="7" t="s">
        <v>169</v>
      </c>
      <c r="C48" s="7"/>
      <c r="D48" s="1442" t="s">
        <v>170</v>
      </c>
      <c r="E48" s="1442"/>
      <c r="F48" s="1442"/>
      <c r="G48" s="1442"/>
      <c r="H48" s="1442"/>
      <c r="I48" s="1442"/>
      <c r="J48" s="1442"/>
      <c r="K48" s="1442"/>
      <c r="L48" s="1442"/>
      <c r="M48" s="1442"/>
      <c r="N48" s="1442"/>
      <c r="O48" s="1442"/>
      <c r="P48" s="1440"/>
      <c r="Q48" s="1440"/>
      <c r="R48" s="1442"/>
      <c r="S48" s="1442"/>
      <c r="T48" s="1442"/>
      <c r="U48" s="63"/>
      <c r="V48" s="63"/>
      <c r="W48" s="63"/>
      <c r="X48" s="63"/>
      <c r="Y48" s="42">
        <v>0</v>
      </c>
      <c r="Z48" s="42">
        <v>56</v>
      </c>
      <c r="AA48" s="42">
        <v>96.6</v>
      </c>
      <c r="AB48" s="42">
        <v>0</v>
      </c>
      <c r="AC48" s="42">
        <v>0</v>
      </c>
      <c r="AD48" s="42">
        <v>40.299999999999997</v>
      </c>
      <c r="AE48" s="42">
        <v>0</v>
      </c>
      <c r="AF48" s="42">
        <f>SUBTOTAL(9,Y48:AE48)</f>
        <v>192.89999999999998</v>
      </c>
      <c r="AG48" s="42"/>
      <c r="AH48" s="42">
        <f>+Z48*1.04</f>
        <v>58.24</v>
      </c>
      <c r="AI48" s="42">
        <v>100.464</v>
      </c>
      <c r="AJ48" s="42"/>
      <c r="AK48" s="42"/>
      <c r="AL48" s="42"/>
      <c r="AM48" s="33">
        <f>+AM49+AM73</f>
        <v>170</v>
      </c>
      <c r="AN48" s="42"/>
      <c r="AO48" s="42">
        <f>+AH48*1.04</f>
        <v>60.569600000000001</v>
      </c>
      <c r="AP48" s="42">
        <f>+AI48*1.04</f>
        <v>104.48256000000001</v>
      </c>
      <c r="AQ48" s="42"/>
      <c r="AR48" s="42"/>
      <c r="AS48" s="42"/>
      <c r="AT48" s="42"/>
      <c r="AU48" s="42"/>
      <c r="AV48" s="42"/>
      <c r="AW48" s="42">
        <f>+AO48*1.04</f>
        <v>62.992384000000001</v>
      </c>
      <c r="AX48" s="42">
        <f>+AP48*1.04</f>
        <v>108.6618624</v>
      </c>
      <c r="AY48" s="42"/>
      <c r="AZ48" s="42"/>
      <c r="BA48" s="42"/>
      <c r="BB48" s="42"/>
      <c r="BC48" s="42"/>
      <c r="BD48" s="42">
        <f t="shared" ref="BD48:BD63" si="45">+AV48+AN48+AG48+Y48</f>
        <v>0</v>
      </c>
      <c r="BE48" s="42">
        <f t="shared" ref="BE48:BE63" si="46">+AW48+AO48+AH48+Z48</f>
        <v>237.801984</v>
      </c>
      <c r="BF48" s="42">
        <f t="shared" ref="BF48:BF63" si="47">+AX48+AP48+AI48+AA48</f>
        <v>410.20842240000002</v>
      </c>
      <c r="BG48" s="42">
        <f t="shared" ref="BG48:BG63" si="48">+AY48+AQ48+AJ48+AB48</f>
        <v>0</v>
      </c>
      <c r="BH48" s="42">
        <f t="shared" ref="BH48:BH63" si="49">+AZ48+AR48+AK48+AC48</f>
        <v>0</v>
      </c>
      <c r="BI48" s="42">
        <f t="shared" si="26"/>
        <v>40.299999999999997</v>
      </c>
      <c r="BJ48" s="42">
        <f t="shared" si="44"/>
        <v>0</v>
      </c>
      <c r="BK48" s="42">
        <f t="shared" ref="BK48:BK61" si="50">+BC48+AU48+AM48+AF48</f>
        <v>362.9</v>
      </c>
      <c r="BL48" s="40">
        <f t="shared" si="20"/>
        <v>362.9</v>
      </c>
    </row>
    <row r="49" spans="1:64" ht="17.399999999999999" x14ac:dyDescent="0.25">
      <c r="A49" s="420"/>
      <c r="B49" s="1553" t="s">
        <v>171</v>
      </c>
      <c r="C49" s="1554"/>
      <c r="D49" s="1554"/>
      <c r="E49" s="1554"/>
      <c r="F49" s="1554"/>
      <c r="G49" s="1554"/>
      <c r="H49" s="1554"/>
      <c r="I49" s="1554"/>
      <c r="J49" s="1554"/>
      <c r="K49" s="1554"/>
      <c r="L49" s="1554"/>
      <c r="M49" s="1555"/>
      <c r="N49" s="597"/>
      <c r="O49" s="597"/>
      <c r="P49" s="597"/>
      <c r="Q49" s="598"/>
      <c r="R49" s="597"/>
      <c r="S49" s="597"/>
      <c r="T49" s="597"/>
      <c r="U49" s="599"/>
      <c r="V49" s="599"/>
      <c r="W49" s="599"/>
      <c r="X49" s="599"/>
      <c r="Y49" s="600">
        <f t="shared" ref="Y49:AL49" si="51">+Y50+Y74</f>
        <v>26</v>
      </c>
      <c r="Z49" s="600">
        <f t="shared" si="51"/>
        <v>58</v>
      </c>
      <c r="AA49" s="600">
        <f t="shared" si="51"/>
        <v>96.5</v>
      </c>
      <c r="AB49" s="600">
        <f t="shared" si="51"/>
        <v>250</v>
      </c>
      <c r="AC49" s="600">
        <f t="shared" si="51"/>
        <v>0</v>
      </c>
      <c r="AD49" s="600">
        <f t="shared" si="51"/>
        <v>40.1</v>
      </c>
      <c r="AE49" s="600">
        <f t="shared" si="51"/>
        <v>0</v>
      </c>
      <c r="AF49" s="600">
        <f t="shared" si="51"/>
        <v>470.6</v>
      </c>
      <c r="AG49" s="600">
        <f t="shared" si="51"/>
        <v>0</v>
      </c>
      <c r="AH49" s="600">
        <f t="shared" si="51"/>
        <v>58</v>
      </c>
      <c r="AI49" s="600">
        <v>107</v>
      </c>
      <c r="AJ49" s="600">
        <f t="shared" si="51"/>
        <v>0</v>
      </c>
      <c r="AK49" s="600">
        <f t="shared" si="51"/>
        <v>0</v>
      </c>
      <c r="AL49" s="600">
        <f t="shared" si="51"/>
        <v>0</v>
      </c>
      <c r="AM49" s="600">
        <f>+AM50+AM74</f>
        <v>165</v>
      </c>
      <c r="AN49" s="600">
        <f t="shared" ref="AN49:BC49" si="52">+AN50+AN74</f>
        <v>0</v>
      </c>
      <c r="AO49" s="600">
        <f t="shared" si="52"/>
        <v>60</v>
      </c>
      <c r="AP49" s="600">
        <f t="shared" si="52"/>
        <v>104</v>
      </c>
      <c r="AQ49" s="600">
        <f t="shared" si="52"/>
        <v>0</v>
      </c>
      <c r="AR49" s="600">
        <f t="shared" si="52"/>
        <v>0</v>
      </c>
      <c r="AS49" s="600">
        <f t="shared" si="52"/>
        <v>0</v>
      </c>
      <c r="AT49" s="600">
        <f t="shared" si="52"/>
        <v>0</v>
      </c>
      <c r="AU49" s="600">
        <f t="shared" si="52"/>
        <v>164</v>
      </c>
      <c r="AV49" s="600">
        <f t="shared" si="52"/>
        <v>0</v>
      </c>
      <c r="AW49" s="600">
        <f t="shared" si="52"/>
        <v>66</v>
      </c>
      <c r="AX49" s="600">
        <f t="shared" si="52"/>
        <v>108</v>
      </c>
      <c r="AY49" s="600">
        <f t="shared" si="52"/>
        <v>0</v>
      </c>
      <c r="AZ49" s="600">
        <f t="shared" si="52"/>
        <v>513</v>
      </c>
      <c r="BA49" s="600">
        <f t="shared" si="52"/>
        <v>0</v>
      </c>
      <c r="BB49" s="600">
        <f t="shared" si="52"/>
        <v>0</v>
      </c>
      <c r="BC49" s="600">
        <f t="shared" si="52"/>
        <v>687</v>
      </c>
      <c r="BD49" s="33">
        <f t="shared" si="45"/>
        <v>26</v>
      </c>
      <c r="BE49" s="33">
        <f t="shared" si="46"/>
        <v>242</v>
      </c>
      <c r="BF49" s="33">
        <f t="shared" si="47"/>
        <v>415.5</v>
      </c>
      <c r="BG49" s="33">
        <f t="shared" si="48"/>
        <v>250</v>
      </c>
      <c r="BH49" s="33">
        <f t="shared" si="49"/>
        <v>513</v>
      </c>
      <c r="BI49" s="33">
        <f t="shared" si="26"/>
        <v>40.1</v>
      </c>
      <c r="BJ49" s="33">
        <f t="shared" si="44"/>
        <v>0</v>
      </c>
      <c r="BK49" s="33">
        <f t="shared" si="50"/>
        <v>1486.6</v>
      </c>
      <c r="BL49" s="40">
        <f t="shared" si="20"/>
        <v>1486.6</v>
      </c>
    </row>
    <row r="50" spans="1:64" ht="26.4" x14ac:dyDescent="0.25">
      <c r="A50" s="603"/>
      <c r="B50" s="24" t="s">
        <v>169</v>
      </c>
      <c r="C50" s="6"/>
      <c r="D50" s="2" t="s">
        <v>172</v>
      </c>
      <c r="E50" s="1"/>
      <c r="F50" s="1"/>
      <c r="G50" s="1"/>
      <c r="H50" s="1"/>
      <c r="I50" s="1"/>
      <c r="J50" s="1"/>
      <c r="K50" s="1"/>
      <c r="L50" s="1"/>
      <c r="M50" s="1"/>
      <c r="N50" s="1"/>
      <c r="O50" s="1"/>
      <c r="P50" s="1"/>
      <c r="Q50" s="22"/>
      <c r="R50" s="1"/>
      <c r="S50" s="1"/>
      <c r="T50" s="1"/>
      <c r="U50" s="49"/>
      <c r="V50" s="49"/>
      <c r="W50" s="49"/>
      <c r="X50" s="49"/>
      <c r="Y50" s="34">
        <f t="shared" ref="Y50:AF50" si="53">SUBTOTAL(9,Y51:Y73)</f>
        <v>26</v>
      </c>
      <c r="Z50" s="34">
        <f t="shared" si="53"/>
        <v>47.9</v>
      </c>
      <c r="AA50" s="34">
        <f t="shared" si="53"/>
        <v>66.599999999999994</v>
      </c>
      <c r="AB50" s="34">
        <f t="shared" si="53"/>
        <v>0</v>
      </c>
      <c r="AC50" s="34">
        <f t="shared" si="53"/>
        <v>0</v>
      </c>
      <c r="AD50" s="34">
        <f t="shared" si="53"/>
        <v>37</v>
      </c>
      <c r="AE50" s="34">
        <f t="shared" si="53"/>
        <v>0</v>
      </c>
      <c r="AF50" s="34">
        <f t="shared" si="53"/>
        <v>177.5</v>
      </c>
      <c r="AG50" s="34">
        <f t="shared" ref="AG50:AL50" si="54">SUM(AG51:AG83)</f>
        <v>0</v>
      </c>
      <c r="AH50" s="34">
        <f>SUM(AH51:AH73)</f>
        <v>55</v>
      </c>
      <c r="AI50" s="34">
        <v>90</v>
      </c>
      <c r="AJ50" s="34">
        <f t="shared" si="54"/>
        <v>0</v>
      </c>
      <c r="AK50" s="34">
        <f t="shared" si="54"/>
        <v>0</v>
      </c>
      <c r="AL50" s="34">
        <f t="shared" si="54"/>
        <v>0</v>
      </c>
      <c r="AM50" s="34">
        <f>SUM(AG50:AL50)</f>
        <v>145</v>
      </c>
      <c r="AN50" s="34">
        <f t="shared" ref="AN50:AT50" si="55">SUM(AN51:AN83)</f>
        <v>0</v>
      </c>
      <c r="AO50" s="34">
        <f>SUM(AO51:AO73)</f>
        <v>51</v>
      </c>
      <c r="AP50" s="34">
        <f>SUM(AP51:AP73)</f>
        <v>87</v>
      </c>
      <c r="AQ50" s="34">
        <f t="shared" si="55"/>
        <v>0</v>
      </c>
      <c r="AR50" s="34">
        <f t="shared" si="55"/>
        <v>0</v>
      </c>
      <c r="AS50" s="34">
        <f t="shared" si="55"/>
        <v>0</v>
      </c>
      <c r="AT50" s="34">
        <f t="shared" si="55"/>
        <v>0</v>
      </c>
      <c r="AU50" s="34">
        <f t="shared" ref="AU50:AU71" si="56">SUM(AN50:AT50)</f>
        <v>138</v>
      </c>
      <c r="AV50" s="34">
        <f t="shared" ref="AV50:BB50" si="57">SUM(AV51:AV83)</f>
        <v>0</v>
      </c>
      <c r="AW50" s="34">
        <f>SUM(AW51:AW73)</f>
        <v>53</v>
      </c>
      <c r="AX50" s="34">
        <f>SUM(AX51:AX73)</f>
        <v>91</v>
      </c>
      <c r="AY50" s="34">
        <f t="shared" si="57"/>
        <v>0</v>
      </c>
      <c r="AZ50" s="34">
        <f>SUM(AZ51:AZ73)</f>
        <v>513</v>
      </c>
      <c r="BA50" s="34">
        <f t="shared" si="57"/>
        <v>0</v>
      </c>
      <c r="BB50" s="34">
        <f t="shared" si="57"/>
        <v>0</v>
      </c>
      <c r="BC50" s="34">
        <f t="shared" ref="BC50:BC71" si="58">SUM(AV50:BB50)</f>
        <v>657</v>
      </c>
      <c r="BD50" s="34">
        <f t="shared" si="45"/>
        <v>26</v>
      </c>
      <c r="BE50" s="34">
        <f t="shared" si="46"/>
        <v>206.9</v>
      </c>
      <c r="BF50" s="34">
        <f t="shared" si="47"/>
        <v>334.6</v>
      </c>
      <c r="BG50" s="34">
        <f t="shared" si="48"/>
        <v>0</v>
      </c>
      <c r="BH50" s="34">
        <f t="shared" si="49"/>
        <v>513</v>
      </c>
      <c r="BI50" s="34">
        <f t="shared" si="26"/>
        <v>37</v>
      </c>
      <c r="BJ50" s="34">
        <f t="shared" si="44"/>
        <v>0</v>
      </c>
      <c r="BK50" s="34">
        <f t="shared" si="50"/>
        <v>1117.5</v>
      </c>
      <c r="BL50" s="40">
        <f t="shared" si="20"/>
        <v>1117.5</v>
      </c>
    </row>
    <row r="51" spans="1:64" ht="29.25" customHeight="1" x14ac:dyDescent="0.25">
      <c r="A51" s="298" t="s">
        <v>173</v>
      </c>
      <c r="B51" s="299" t="s">
        <v>169</v>
      </c>
      <c r="C51" s="1546" t="s">
        <v>174</v>
      </c>
      <c r="D51" s="1550" t="s">
        <v>175</v>
      </c>
      <c r="E51" s="1550" t="s">
        <v>176</v>
      </c>
      <c r="F51" s="1550">
        <v>2015</v>
      </c>
      <c r="G51" s="1550" t="s">
        <v>177</v>
      </c>
      <c r="H51" s="1550">
        <v>10</v>
      </c>
      <c r="I51" s="1429"/>
      <c r="J51" s="1429"/>
      <c r="K51" s="1429" t="s">
        <v>178</v>
      </c>
      <c r="L51" s="301" t="s">
        <v>179</v>
      </c>
      <c r="M51" s="1425" t="s">
        <v>45</v>
      </c>
      <c r="N51" s="1425" t="s">
        <v>46</v>
      </c>
      <c r="O51" s="1425" t="s">
        <v>47</v>
      </c>
      <c r="P51" s="16" t="s">
        <v>180</v>
      </c>
      <c r="Q51" s="302" t="s">
        <v>181</v>
      </c>
      <c r="R51" s="303" t="s">
        <v>182</v>
      </c>
      <c r="S51" s="303">
        <v>2049</v>
      </c>
      <c r="T51" s="303">
        <v>800</v>
      </c>
      <c r="U51" s="572">
        <v>800</v>
      </c>
      <c r="V51" s="572">
        <v>800</v>
      </c>
      <c r="W51" s="572">
        <v>800</v>
      </c>
      <c r="X51" s="572">
        <v>3200</v>
      </c>
      <c r="Y51" s="481"/>
      <c r="Z51" s="491">
        <v>4.9000000000000004</v>
      </c>
      <c r="AA51" s="481"/>
      <c r="AB51" s="481"/>
      <c r="AC51" s="481"/>
      <c r="AD51" s="481">
        <v>10.3</v>
      </c>
      <c r="AE51" s="481"/>
      <c r="AF51" s="481">
        <f t="shared" ref="AF51:AF82" si="59">SUM(Y51:AE51)</f>
        <v>15.200000000000001</v>
      </c>
      <c r="AG51" s="548"/>
      <c r="AH51" s="548">
        <v>10</v>
      </c>
      <c r="AI51" s="548">
        <v>7</v>
      </c>
      <c r="AJ51" s="548"/>
      <c r="AK51" s="548"/>
      <c r="AL51" s="548"/>
      <c r="AM51" s="548">
        <f t="shared" ref="AM51:AM71" si="60">SUM(AG51:AL51)</f>
        <v>17</v>
      </c>
      <c r="AN51" s="481"/>
      <c r="AO51" s="481">
        <v>10</v>
      </c>
      <c r="AP51" s="491">
        <v>10</v>
      </c>
      <c r="AQ51" s="481"/>
      <c r="AR51" s="481"/>
      <c r="AS51" s="481"/>
      <c r="AT51" s="481"/>
      <c r="AU51" s="481">
        <f t="shared" si="56"/>
        <v>20</v>
      </c>
      <c r="AV51" s="548"/>
      <c r="AW51" s="548">
        <v>12</v>
      </c>
      <c r="AX51" s="548"/>
      <c r="AY51" s="548"/>
      <c r="AZ51" s="548"/>
      <c r="BA51" s="548"/>
      <c r="BB51" s="548"/>
      <c r="BC51" s="548">
        <f t="shared" si="58"/>
        <v>12</v>
      </c>
      <c r="BD51" s="42">
        <f t="shared" si="45"/>
        <v>0</v>
      </c>
      <c r="BE51" s="42">
        <f t="shared" si="46"/>
        <v>36.9</v>
      </c>
      <c r="BF51" s="42">
        <f t="shared" si="47"/>
        <v>17</v>
      </c>
      <c r="BG51" s="42">
        <f t="shared" si="48"/>
        <v>0</v>
      </c>
      <c r="BH51" s="42">
        <f t="shared" si="49"/>
        <v>0</v>
      </c>
      <c r="BI51" s="42">
        <f t="shared" si="26"/>
        <v>10.3</v>
      </c>
      <c r="BJ51" s="42">
        <f t="shared" si="44"/>
        <v>0</v>
      </c>
      <c r="BK51" s="42">
        <f t="shared" si="50"/>
        <v>64.2</v>
      </c>
      <c r="BL51" s="40">
        <f t="shared" si="20"/>
        <v>64.2</v>
      </c>
    </row>
    <row r="52" spans="1:64" ht="29.25" customHeight="1" x14ac:dyDescent="0.25">
      <c r="A52" s="298" t="s">
        <v>173</v>
      </c>
      <c r="B52" s="299" t="s">
        <v>169</v>
      </c>
      <c r="C52" s="1547"/>
      <c r="D52" s="1551"/>
      <c r="E52" s="1551"/>
      <c r="F52" s="1551"/>
      <c r="G52" s="1551"/>
      <c r="H52" s="1551"/>
      <c r="I52" s="1429"/>
      <c r="J52" s="1429"/>
      <c r="K52" s="1429" t="s">
        <v>183</v>
      </c>
      <c r="L52" s="301" t="s">
        <v>179</v>
      </c>
      <c r="M52" s="1425" t="s">
        <v>45</v>
      </c>
      <c r="N52" s="1425" t="s">
        <v>46</v>
      </c>
      <c r="O52" s="1425" t="s">
        <v>47</v>
      </c>
      <c r="P52" s="16" t="s">
        <v>184</v>
      </c>
      <c r="Q52" s="302" t="s">
        <v>185</v>
      </c>
      <c r="R52" s="303">
        <v>2015</v>
      </c>
      <c r="S52" s="303">
        <v>0</v>
      </c>
      <c r="T52" s="303">
        <v>2</v>
      </c>
      <c r="U52" s="572">
        <v>2</v>
      </c>
      <c r="V52" s="572">
        <v>2</v>
      </c>
      <c r="W52" s="572">
        <v>8</v>
      </c>
      <c r="X52" s="572">
        <v>8</v>
      </c>
      <c r="Y52" s="483"/>
      <c r="Z52" s="483"/>
      <c r="AA52" s="483"/>
      <c r="AB52" s="483"/>
      <c r="AC52" s="483"/>
      <c r="AD52" s="483">
        <v>1.8</v>
      </c>
      <c r="AE52" s="483"/>
      <c r="AF52" s="483">
        <f t="shared" si="59"/>
        <v>1.8</v>
      </c>
      <c r="AG52" s="587"/>
      <c r="AH52" s="493">
        <v>0.5</v>
      </c>
      <c r="AI52" s="587"/>
      <c r="AJ52" s="587"/>
      <c r="AK52" s="587"/>
      <c r="AL52" s="587"/>
      <c r="AM52" s="587">
        <f t="shared" si="60"/>
        <v>0.5</v>
      </c>
      <c r="AN52" s="483"/>
      <c r="AO52" s="483"/>
      <c r="AP52" s="493">
        <v>0.5</v>
      </c>
      <c r="AQ52" s="483"/>
      <c r="AR52" s="483"/>
      <c r="AS52" s="483"/>
      <c r="AT52" s="483"/>
      <c r="AU52" s="483">
        <f t="shared" si="56"/>
        <v>0.5</v>
      </c>
      <c r="AV52" s="587"/>
      <c r="AW52" s="493">
        <v>0.5</v>
      </c>
      <c r="AX52" s="587"/>
      <c r="AY52" s="587"/>
      <c r="AZ52" s="587"/>
      <c r="BA52" s="587"/>
      <c r="BB52" s="587"/>
      <c r="BC52" s="587">
        <f t="shared" si="58"/>
        <v>0.5</v>
      </c>
      <c r="BD52" s="44">
        <f t="shared" si="45"/>
        <v>0</v>
      </c>
      <c r="BE52" s="44">
        <f t="shared" si="46"/>
        <v>1</v>
      </c>
      <c r="BF52" s="44">
        <f t="shared" si="47"/>
        <v>0.5</v>
      </c>
      <c r="BG52" s="44">
        <f t="shared" si="48"/>
        <v>0</v>
      </c>
      <c r="BH52" s="44">
        <f t="shared" si="49"/>
        <v>0</v>
      </c>
      <c r="BI52" s="42">
        <f t="shared" si="26"/>
        <v>1.8</v>
      </c>
      <c r="BJ52" s="44">
        <f t="shared" si="44"/>
        <v>0</v>
      </c>
      <c r="BK52" s="44">
        <f t="shared" si="50"/>
        <v>3.3</v>
      </c>
      <c r="BL52" s="40">
        <f t="shared" si="20"/>
        <v>3.3</v>
      </c>
    </row>
    <row r="53" spans="1:64" ht="30.75" customHeight="1" x14ac:dyDescent="0.25">
      <c r="A53" s="298" t="s">
        <v>173</v>
      </c>
      <c r="B53" s="299" t="s">
        <v>169</v>
      </c>
      <c r="C53" s="1547"/>
      <c r="D53" s="1551"/>
      <c r="E53" s="1551"/>
      <c r="F53" s="1551"/>
      <c r="G53" s="1551"/>
      <c r="H53" s="1551"/>
      <c r="I53" s="1429"/>
      <c r="J53" s="1429" t="s">
        <v>53</v>
      </c>
      <c r="K53" s="1429" t="s">
        <v>186</v>
      </c>
      <c r="L53" s="301" t="s">
        <v>179</v>
      </c>
      <c r="M53" s="1425" t="s">
        <v>45</v>
      </c>
      <c r="N53" s="1425" t="s">
        <v>46</v>
      </c>
      <c r="O53" s="1425" t="s">
        <v>73</v>
      </c>
      <c r="P53" s="16" t="s">
        <v>187</v>
      </c>
      <c r="Q53" s="302" t="s">
        <v>188</v>
      </c>
      <c r="R53" s="303">
        <v>2015</v>
      </c>
      <c r="S53" s="303">
        <v>1</v>
      </c>
      <c r="T53" s="303">
        <v>1</v>
      </c>
      <c r="U53" s="572">
        <v>1</v>
      </c>
      <c r="V53" s="572">
        <v>1</v>
      </c>
      <c r="W53" s="572">
        <v>1</v>
      </c>
      <c r="X53" s="572">
        <v>1</v>
      </c>
      <c r="Y53" s="481"/>
      <c r="Z53" s="481">
        <v>24</v>
      </c>
      <c r="AA53" s="481">
        <v>7.3</v>
      </c>
      <c r="AB53" s="481"/>
      <c r="AC53" s="481"/>
      <c r="AD53" s="481"/>
      <c r="AE53" s="481"/>
      <c r="AF53" s="481">
        <f t="shared" si="59"/>
        <v>31.3</v>
      </c>
      <c r="AG53" s="548"/>
      <c r="AH53" s="491">
        <v>22</v>
      </c>
      <c r="AI53" s="548">
        <v>22</v>
      </c>
      <c r="AJ53" s="548"/>
      <c r="AK53" s="548"/>
      <c r="AL53" s="548"/>
      <c r="AM53" s="548">
        <f t="shared" si="60"/>
        <v>44</v>
      </c>
      <c r="AN53" s="481"/>
      <c r="AO53" s="481">
        <v>24</v>
      </c>
      <c r="AP53" s="481">
        <v>22</v>
      </c>
      <c r="AQ53" s="481"/>
      <c r="AR53" s="481"/>
      <c r="AS53" s="481"/>
      <c r="AT53" s="481"/>
      <c r="AU53" s="481">
        <f t="shared" si="56"/>
        <v>46</v>
      </c>
      <c r="AV53" s="548"/>
      <c r="AW53" s="491">
        <v>17.5</v>
      </c>
      <c r="AX53" s="548">
        <v>17</v>
      </c>
      <c r="AY53" s="548"/>
      <c r="AZ53" s="548"/>
      <c r="BA53" s="548"/>
      <c r="BB53" s="548"/>
      <c r="BC53" s="548">
        <f t="shared" si="58"/>
        <v>34.5</v>
      </c>
      <c r="BD53" s="42">
        <f t="shared" si="45"/>
        <v>0</v>
      </c>
      <c r="BE53" s="42">
        <f t="shared" si="46"/>
        <v>87.5</v>
      </c>
      <c r="BF53" s="42">
        <f t="shared" si="47"/>
        <v>68.3</v>
      </c>
      <c r="BG53" s="42">
        <f t="shared" si="48"/>
        <v>0</v>
      </c>
      <c r="BH53" s="42">
        <f t="shared" si="49"/>
        <v>0</v>
      </c>
      <c r="BI53" s="42">
        <f t="shared" si="26"/>
        <v>0</v>
      </c>
      <c r="BJ53" s="42">
        <f t="shared" si="44"/>
        <v>0</v>
      </c>
      <c r="BK53" s="42">
        <f t="shared" si="50"/>
        <v>155.80000000000001</v>
      </c>
      <c r="BL53" s="40">
        <f t="shared" si="20"/>
        <v>155.80000000000001</v>
      </c>
    </row>
    <row r="54" spans="1:64" ht="27.75" customHeight="1" x14ac:dyDescent="0.25">
      <c r="A54" s="298" t="s">
        <v>173</v>
      </c>
      <c r="B54" s="299" t="s">
        <v>169</v>
      </c>
      <c r="C54" s="1547"/>
      <c r="D54" s="1551"/>
      <c r="E54" s="1551"/>
      <c r="F54" s="1551"/>
      <c r="G54" s="1551"/>
      <c r="H54" s="1551"/>
      <c r="I54" s="1429"/>
      <c r="J54" s="1429"/>
      <c r="K54" s="1429" t="s">
        <v>189</v>
      </c>
      <c r="L54" s="301" t="s">
        <v>179</v>
      </c>
      <c r="M54" s="1425" t="s">
        <v>45</v>
      </c>
      <c r="N54" s="1425" t="s">
        <v>46</v>
      </c>
      <c r="O54" s="1425" t="s">
        <v>47</v>
      </c>
      <c r="P54" s="16" t="s">
        <v>190</v>
      </c>
      <c r="Q54" s="302" t="s">
        <v>191</v>
      </c>
      <c r="R54" s="303">
        <v>2015</v>
      </c>
      <c r="S54" s="303">
        <v>0</v>
      </c>
      <c r="T54" s="303">
        <v>5</v>
      </c>
      <c r="U54" s="572">
        <v>10</v>
      </c>
      <c r="V54" s="572">
        <v>10</v>
      </c>
      <c r="W54" s="572">
        <v>15</v>
      </c>
      <c r="X54" s="572">
        <v>40</v>
      </c>
      <c r="Y54" s="481"/>
      <c r="Z54" s="481">
        <v>2</v>
      </c>
      <c r="AA54" s="481"/>
      <c r="AB54" s="481"/>
      <c r="AC54" s="481"/>
      <c r="AD54" s="481"/>
      <c r="AE54" s="481"/>
      <c r="AF54" s="481">
        <f t="shared" si="59"/>
        <v>2</v>
      </c>
      <c r="AG54" s="548"/>
      <c r="AH54" s="548">
        <v>2</v>
      </c>
      <c r="AI54" s="548"/>
      <c r="AJ54" s="548"/>
      <c r="AK54" s="548"/>
      <c r="AL54" s="548"/>
      <c r="AM54" s="548">
        <f t="shared" si="60"/>
        <v>2</v>
      </c>
      <c r="AN54" s="481"/>
      <c r="AO54" s="481">
        <v>2</v>
      </c>
      <c r="AP54" s="481"/>
      <c r="AQ54" s="481"/>
      <c r="AR54" s="481"/>
      <c r="AS54" s="481"/>
      <c r="AT54" s="481"/>
      <c r="AU54" s="481">
        <f t="shared" si="56"/>
        <v>2</v>
      </c>
      <c r="AV54" s="548"/>
      <c r="AW54" s="548">
        <v>2</v>
      </c>
      <c r="AX54" s="548"/>
      <c r="AY54" s="548"/>
      <c r="AZ54" s="548">
        <f>34896-34383</f>
        <v>513</v>
      </c>
      <c r="BA54" s="548"/>
      <c r="BB54" s="548"/>
      <c r="BC54" s="548">
        <f t="shared" si="58"/>
        <v>515</v>
      </c>
      <c r="BD54" s="42">
        <f t="shared" si="45"/>
        <v>0</v>
      </c>
      <c r="BE54" s="42">
        <f t="shared" si="46"/>
        <v>8</v>
      </c>
      <c r="BF54" s="42">
        <f t="shared" si="47"/>
        <v>0</v>
      </c>
      <c r="BG54" s="42">
        <f t="shared" si="48"/>
        <v>0</v>
      </c>
      <c r="BH54" s="42">
        <f t="shared" si="49"/>
        <v>513</v>
      </c>
      <c r="BI54" s="42">
        <f t="shared" si="26"/>
        <v>0</v>
      </c>
      <c r="BJ54" s="42">
        <f t="shared" si="44"/>
        <v>0</v>
      </c>
      <c r="BK54" s="42">
        <f t="shared" si="50"/>
        <v>521</v>
      </c>
      <c r="BL54" s="40">
        <f t="shared" si="20"/>
        <v>521</v>
      </c>
    </row>
    <row r="55" spans="1:64" ht="81.75" customHeight="1" x14ac:dyDescent="0.25">
      <c r="A55" s="298" t="s">
        <v>173</v>
      </c>
      <c r="B55" s="299" t="s">
        <v>169</v>
      </c>
      <c r="C55" s="1547"/>
      <c r="D55" s="1551"/>
      <c r="E55" s="1551"/>
      <c r="F55" s="1551"/>
      <c r="G55" s="1551"/>
      <c r="H55" s="1551"/>
      <c r="I55" s="1429"/>
      <c r="J55" s="1429" t="s">
        <v>53</v>
      </c>
      <c r="K55" s="1429" t="s">
        <v>192</v>
      </c>
      <c r="L55" s="301" t="s">
        <v>179</v>
      </c>
      <c r="M55" s="1425" t="s">
        <v>45</v>
      </c>
      <c r="N55" s="1425" t="s">
        <v>46</v>
      </c>
      <c r="O55" s="1425" t="s">
        <v>73</v>
      </c>
      <c r="P55" s="1198" t="s">
        <v>2468</v>
      </c>
      <c r="Q55" s="302" t="s">
        <v>194</v>
      </c>
      <c r="R55" s="303">
        <v>2015</v>
      </c>
      <c r="S55" s="303">
        <v>0</v>
      </c>
      <c r="T55" s="303">
        <v>1</v>
      </c>
      <c r="U55" s="572">
        <v>1</v>
      </c>
      <c r="V55" s="572">
        <v>1</v>
      </c>
      <c r="W55" s="572">
        <v>1</v>
      </c>
      <c r="X55" s="572">
        <v>1</v>
      </c>
      <c r="Y55" s="483"/>
      <c r="Z55" s="483"/>
      <c r="AA55" s="483"/>
      <c r="AB55" s="483"/>
      <c r="AC55" s="483"/>
      <c r="AD55" s="493">
        <v>6.61</v>
      </c>
      <c r="AE55" s="483"/>
      <c r="AF55" s="483">
        <f t="shared" si="59"/>
        <v>6.61</v>
      </c>
      <c r="AG55" s="587"/>
      <c r="AH55" s="493">
        <v>0.5</v>
      </c>
      <c r="AI55" s="587"/>
      <c r="AJ55" s="587"/>
      <c r="AK55" s="587"/>
      <c r="AL55" s="587"/>
      <c r="AM55" s="587">
        <f t="shared" si="60"/>
        <v>0.5</v>
      </c>
      <c r="AN55" s="483"/>
      <c r="AO55" s="483"/>
      <c r="AP55" s="493">
        <v>0.5</v>
      </c>
      <c r="AQ55" s="483"/>
      <c r="AR55" s="483"/>
      <c r="AS55" s="483"/>
      <c r="AT55" s="483"/>
      <c r="AU55" s="483">
        <f t="shared" si="56"/>
        <v>0.5</v>
      </c>
      <c r="AV55" s="587"/>
      <c r="AW55" s="493">
        <v>0.5</v>
      </c>
      <c r="AX55" s="587"/>
      <c r="AY55" s="587"/>
      <c r="AZ55" s="587"/>
      <c r="BA55" s="587"/>
      <c r="BB55" s="587"/>
      <c r="BC55" s="587">
        <f t="shared" si="58"/>
        <v>0.5</v>
      </c>
      <c r="BD55" s="44">
        <f t="shared" si="45"/>
        <v>0</v>
      </c>
      <c r="BE55" s="44">
        <f t="shared" si="46"/>
        <v>1</v>
      </c>
      <c r="BF55" s="44">
        <f t="shared" si="47"/>
        <v>0.5</v>
      </c>
      <c r="BG55" s="44">
        <f t="shared" si="48"/>
        <v>0</v>
      </c>
      <c r="BH55" s="44">
        <f t="shared" si="49"/>
        <v>0</v>
      </c>
      <c r="BI55" s="42">
        <f t="shared" si="26"/>
        <v>6.61</v>
      </c>
      <c r="BJ55" s="44">
        <f t="shared" si="44"/>
        <v>0</v>
      </c>
      <c r="BK55" s="44">
        <f t="shared" si="50"/>
        <v>8.11</v>
      </c>
      <c r="BL55" s="40">
        <f t="shared" si="20"/>
        <v>8.11</v>
      </c>
    </row>
    <row r="56" spans="1:64" ht="33.75" customHeight="1" x14ac:dyDescent="0.25">
      <c r="A56" s="298" t="s">
        <v>173</v>
      </c>
      <c r="B56" s="299" t="s">
        <v>169</v>
      </c>
      <c r="C56" s="1547"/>
      <c r="D56" s="1551"/>
      <c r="E56" s="1551"/>
      <c r="F56" s="1551"/>
      <c r="G56" s="1551"/>
      <c r="H56" s="1551"/>
      <c r="I56" s="1429"/>
      <c r="J56" s="1429"/>
      <c r="K56" s="1429" t="s">
        <v>195</v>
      </c>
      <c r="L56" s="301" t="s">
        <v>179</v>
      </c>
      <c r="M56" s="1425" t="s">
        <v>45</v>
      </c>
      <c r="N56" s="1425" t="s">
        <v>46</v>
      </c>
      <c r="O56" s="1425" t="s">
        <v>47</v>
      </c>
      <c r="P56" s="16" t="s">
        <v>196</v>
      </c>
      <c r="Q56" s="302" t="s">
        <v>197</v>
      </c>
      <c r="R56" s="303">
        <v>2015</v>
      </c>
      <c r="S56" s="303">
        <v>0</v>
      </c>
      <c r="T56" s="303">
        <v>4</v>
      </c>
      <c r="U56" s="572">
        <v>4</v>
      </c>
      <c r="V56" s="572">
        <v>4</v>
      </c>
      <c r="W56" s="572">
        <v>4</v>
      </c>
      <c r="X56" s="572">
        <v>16</v>
      </c>
      <c r="Y56" s="481"/>
      <c r="Z56" s="481"/>
      <c r="AA56" s="481"/>
      <c r="AB56" s="481"/>
      <c r="AC56" s="481"/>
      <c r="AD56" s="491">
        <v>5.29</v>
      </c>
      <c r="AE56" s="481"/>
      <c r="AF56" s="481">
        <f t="shared" si="59"/>
        <v>5.29</v>
      </c>
      <c r="AG56" s="548"/>
      <c r="AH56" s="493">
        <v>0.5</v>
      </c>
      <c r="AI56" s="548"/>
      <c r="AJ56" s="548"/>
      <c r="AK56" s="548"/>
      <c r="AL56" s="548"/>
      <c r="AM56" s="548">
        <f t="shared" si="60"/>
        <v>0.5</v>
      </c>
      <c r="AN56" s="481"/>
      <c r="AO56" s="483"/>
      <c r="AP56" s="493">
        <v>0.5</v>
      </c>
      <c r="AQ56" s="481"/>
      <c r="AR56" s="481"/>
      <c r="AS56" s="481"/>
      <c r="AT56" s="481"/>
      <c r="AU56" s="481">
        <f t="shared" si="56"/>
        <v>0.5</v>
      </c>
      <c r="AV56" s="548"/>
      <c r="AW56" s="493">
        <v>0.5</v>
      </c>
      <c r="AX56" s="548"/>
      <c r="AY56" s="548"/>
      <c r="AZ56" s="548"/>
      <c r="BA56" s="548"/>
      <c r="BB56" s="548"/>
      <c r="BC56" s="548">
        <f t="shared" si="58"/>
        <v>0.5</v>
      </c>
      <c r="BD56" s="42">
        <f t="shared" si="45"/>
        <v>0</v>
      </c>
      <c r="BE56" s="42">
        <f t="shared" si="46"/>
        <v>1</v>
      </c>
      <c r="BF56" s="42">
        <f t="shared" si="47"/>
        <v>0.5</v>
      </c>
      <c r="BG56" s="42">
        <f t="shared" si="48"/>
        <v>0</v>
      </c>
      <c r="BH56" s="42">
        <f t="shared" si="49"/>
        <v>0</v>
      </c>
      <c r="BI56" s="42">
        <f t="shared" si="26"/>
        <v>5.29</v>
      </c>
      <c r="BJ56" s="42">
        <f t="shared" si="44"/>
        <v>0</v>
      </c>
      <c r="BK56" s="42">
        <f t="shared" si="50"/>
        <v>6.79</v>
      </c>
      <c r="BL56" s="40">
        <f t="shared" si="20"/>
        <v>6.79</v>
      </c>
    </row>
    <row r="57" spans="1:64" ht="30" customHeight="1" x14ac:dyDescent="0.25">
      <c r="A57" s="298" t="s">
        <v>173</v>
      </c>
      <c r="B57" s="299" t="s">
        <v>169</v>
      </c>
      <c r="C57" s="1547"/>
      <c r="D57" s="1551"/>
      <c r="E57" s="1551"/>
      <c r="F57" s="1551"/>
      <c r="G57" s="1551"/>
      <c r="H57" s="1551"/>
      <c r="I57" s="1429"/>
      <c r="J57" s="1429"/>
      <c r="K57" s="1429" t="s">
        <v>198</v>
      </c>
      <c r="L57" s="301" t="s">
        <v>179</v>
      </c>
      <c r="M57" s="1425" t="s">
        <v>45</v>
      </c>
      <c r="N57" s="1425" t="s">
        <v>46</v>
      </c>
      <c r="O57" s="1425" t="s">
        <v>73</v>
      </c>
      <c r="P57" s="16" t="s">
        <v>199</v>
      </c>
      <c r="Q57" s="302" t="s">
        <v>200</v>
      </c>
      <c r="R57" s="303">
        <v>2015</v>
      </c>
      <c r="S57" s="303">
        <v>3</v>
      </c>
      <c r="T57" s="303">
        <v>4</v>
      </c>
      <c r="U57" s="572">
        <v>4</v>
      </c>
      <c r="V57" s="572">
        <v>4</v>
      </c>
      <c r="W57" s="572">
        <v>4</v>
      </c>
      <c r="X57" s="572">
        <v>4</v>
      </c>
      <c r="Y57" s="481"/>
      <c r="Z57" s="481"/>
      <c r="AA57" s="481">
        <v>7</v>
      </c>
      <c r="AB57" s="481"/>
      <c r="AC57" s="481"/>
      <c r="AD57" s="481"/>
      <c r="AE57" s="481"/>
      <c r="AF57" s="481">
        <f t="shared" si="59"/>
        <v>7</v>
      </c>
      <c r="AG57" s="548"/>
      <c r="AH57" s="493">
        <v>0.5</v>
      </c>
      <c r="AI57" s="548"/>
      <c r="AJ57" s="548"/>
      <c r="AK57" s="548"/>
      <c r="AL57" s="548"/>
      <c r="AM57" s="548">
        <f t="shared" si="60"/>
        <v>0.5</v>
      </c>
      <c r="AN57" s="481"/>
      <c r="AO57" s="483"/>
      <c r="AP57" s="493">
        <v>0.5</v>
      </c>
      <c r="AQ57" s="481"/>
      <c r="AR57" s="481"/>
      <c r="AS57" s="481"/>
      <c r="AT57" s="481"/>
      <c r="AU57" s="481">
        <f t="shared" si="56"/>
        <v>0.5</v>
      </c>
      <c r="AV57" s="548"/>
      <c r="AW57" s="493">
        <v>0.5</v>
      </c>
      <c r="AX57" s="491">
        <v>10</v>
      </c>
      <c r="AY57" s="548"/>
      <c r="AZ57" s="548"/>
      <c r="BA57" s="548"/>
      <c r="BB57" s="548"/>
      <c r="BC57" s="548">
        <f t="shared" si="58"/>
        <v>10.5</v>
      </c>
      <c r="BD57" s="42">
        <f t="shared" si="45"/>
        <v>0</v>
      </c>
      <c r="BE57" s="42">
        <f t="shared" si="46"/>
        <v>1</v>
      </c>
      <c r="BF57" s="42">
        <f t="shared" si="47"/>
        <v>17.5</v>
      </c>
      <c r="BG57" s="42">
        <f t="shared" si="48"/>
        <v>0</v>
      </c>
      <c r="BH57" s="42">
        <f t="shared" si="49"/>
        <v>0</v>
      </c>
      <c r="BI57" s="42">
        <f t="shared" si="26"/>
        <v>0</v>
      </c>
      <c r="BJ57" s="42">
        <f t="shared" si="44"/>
        <v>0</v>
      </c>
      <c r="BK57" s="42">
        <f t="shared" si="50"/>
        <v>18.5</v>
      </c>
      <c r="BL57" s="40">
        <f t="shared" si="20"/>
        <v>18.5</v>
      </c>
    </row>
    <row r="58" spans="1:64" ht="30" customHeight="1" x14ac:dyDescent="0.25">
      <c r="A58" s="298" t="s">
        <v>173</v>
      </c>
      <c r="B58" s="299" t="s">
        <v>169</v>
      </c>
      <c r="C58" s="1547"/>
      <c r="D58" s="1551"/>
      <c r="E58" s="1551"/>
      <c r="F58" s="1551"/>
      <c r="G58" s="1551"/>
      <c r="H58" s="1551"/>
      <c r="I58" s="1429"/>
      <c r="J58" s="1429"/>
      <c r="K58" s="1429" t="s">
        <v>201</v>
      </c>
      <c r="L58" s="301" t="s">
        <v>179</v>
      </c>
      <c r="M58" s="1425" t="s">
        <v>45</v>
      </c>
      <c r="N58" s="1425" t="s">
        <v>46</v>
      </c>
      <c r="O58" s="1425" t="s">
        <v>47</v>
      </c>
      <c r="P58" s="16" t="s">
        <v>202</v>
      </c>
      <c r="Q58" s="302" t="s">
        <v>203</v>
      </c>
      <c r="R58" s="303">
        <v>2015</v>
      </c>
      <c r="S58" s="303">
        <v>2</v>
      </c>
      <c r="T58" s="303">
        <v>1</v>
      </c>
      <c r="U58" s="572">
        <v>2</v>
      </c>
      <c r="V58" s="572">
        <v>2</v>
      </c>
      <c r="W58" s="572">
        <v>1</v>
      </c>
      <c r="X58" s="572">
        <v>6</v>
      </c>
      <c r="Y58" s="481"/>
      <c r="Z58" s="481"/>
      <c r="AA58" s="481">
        <v>7</v>
      </c>
      <c r="AB58" s="481"/>
      <c r="AC58" s="481"/>
      <c r="AD58" s="481"/>
      <c r="AE58" s="481"/>
      <c r="AF58" s="481">
        <f t="shared" si="59"/>
        <v>7</v>
      </c>
      <c r="AG58" s="548"/>
      <c r="AH58" s="548"/>
      <c r="AI58" s="548">
        <v>14</v>
      </c>
      <c r="AJ58" s="548"/>
      <c r="AK58" s="548"/>
      <c r="AL58" s="548"/>
      <c r="AM58" s="548">
        <f t="shared" si="60"/>
        <v>14</v>
      </c>
      <c r="AN58" s="481"/>
      <c r="AO58" s="483"/>
      <c r="AP58" s="491">
        <v>8.5</v>
      </c>
      <c r="AQ58" s="481"/>
      <c r="AR58" s="481"/>
      <c r="AS58" s="481"/>
      <c r="AT58" s="481"/>
      <c r="AU58" s="481">
        <f t="shared" si="56"/>
        <v>8.5</v>
      </c>
      <c r="AV58" s="548"/>
      <c r="AW58" s="548"/>
      <c r="AX58" s="548">
        <v>15</v>
      </c>
      <c r="AY58" s="548"/>
      <c r="AZ58" s="548"/>
      <c r="BA58" s="548"/>
      <c r="BB58" s="548"/>
      <c r="BC58" s="548">
        <f t="shared" si="58"/>
        <v>15</v>
      </c>
      <c r="BD58" s="42">
        <f t="shared" si="45"/>
        <v>0</v>
      </c>
      <c r="BE58" s="42">
        <f t="shared" si="46"/>
        <v>0</v>
      </c>
      <c r="BF58" s="42">
        <f t="shared" si="47"/>
        <v>44.5</v>
      </c>
      <c r="BG58" s="42">
        <f t="shared" si="48"/>
        <v>0</v>
      </c>
      <c r="BH58" s="42">
        <f t="shared" si="49"/>
        <v>0</v>
      </c>
      <c r="BI58" s="42">
        <f t="shared" si="26"/>
        <v>0</v>
      </c>
      <c r="BJ58" s="42">
        <f t="shared" si="44"/>
        <v>0</v>
      </c>
      <c r="BK58" s="42">
        <f t="shared" si="50"/>
        <v>44.5</v>
      </c>
      <c r="BL58" s="40">
        <f t="shared" si="20"/>
        <v>44.5</v>
      </c>
    </row>
    <row r="59" spans="1:64" ht="26.25" customHeight="1" x14ac:dyDescent="0.25">
      <c r="A59" s="298" t="s">
        <v>173</v>
      </c>
      <c r="B59" s="299" t="s">
        <v>169</v>
      </c>
      <c r="C59" s="1547"/>
      <c r="D59" s="1551"/>
      <c r="E59" s="1551"/>
      <c r="F59" s="1551"/>
      <c r="G59" s="1551"/>
      <c r="H59" s="1551"/>
      <c r="I59" s="1429"/>
      <c r="J59" s="1429"/>
      <c r="K59" s="1429" t="s">
        <v>204</v>
      </c>
      <c r="L59" s="301" t="s">
        <v>179</v>
      </c>
      <c r="M59" s="1425" t="s">
        <v>45</v>
      </c>
      <c r="N59" s="1425" t="s">
        <v>46</v>
      </c>
      <c r="O59" s="1425" t="s">
        <v>47</v>
      </c>
      <c r="P59" s="16" t="s">
        <v>205</v>
      </c>
      <c r="Q59" s="302" t="s">
        <v>206</v>
      </c>
      <c r="R59" s="303">
        <v>2015</v>
      </c>
      <c r="S59" s="303">
        <v>0</v>
      </c>
      <c r="T59" s="303">
        <v>1</v>
      </c>
      <c r="U59" s="572">
        <v>2</v>
      </c>
      <c r="V59" s="572">
        <v>3</v>
      </c>
      <c r="W59" s="572">
        <v>4</v>
      </c>
      <c r="X59" s="572">
        <v>4</v>
      </c>
      <c r="Y59" s="481"/>
      <c r="Z59" s="481"/>
      <c r="AA59" s="491">
        <v>8.8000000000000007</v>
      </c>
      <c r="AB59" s="481"/>
      <c r="AC59" s="481"/>
      <c r="AD59" s="491">
        <v>1</v>
      </c>
      <c r="AE59" s="481"/>
      <c r="AF59" s="481">
        <f t="shared" si="59"/>
        <v>9.8000000000000007</v>
      </c>
      <c r="AG59" s="548"/>
      <c r="AH59" s="493">
        <v>0.5</v>
      </c>
      <c r="AI59" s="548"/>
      <c r="AJ59" s="548"/>
      <c r="AK59" s="548"/>
      <c r="AL59" s="548"/>
      <c r="AM59" s="548">
        <f t="shared" si="60"/>
        <v>0.5</v>
      </c>
      <c r="AN59" s="481"/>
      <c r="AO59" s="483"/>
      <c r="AP59" s="493">
        <v>0.5</v>
      </c>
      <c r="AQ59" s="481"/>
      <c r="AR59" s="481"/>
      <c r="AS59" s="481"/>
      <c r="AT59" s="481"/>
      <c r="AU59" s="481">
        <f t="shared" si="56"/>
        <v>0.5</v>
      </c>
      <c r="AV59" s="548"/>
      <c r="AW59" s="493">
        <v>0.5</v>
      </c>
      <c r="AX59" s="548"/>
      <c r="AY59" s="548"/>
      <c r="AZ59" s="548"/>
      <c r="BA59" s="548"/>
      <c r="BB59" s="548"/>
      <c r="BC59" s="548">
        <f t="shared" si="58"/>
        <v>0.5</v>
      </c>
      <c r="BD59" s="42"/>
      <c r="BE59" s="42"/>
      <c r="BF59" s="42"/>
      <c r="BG59" s="42"/>
      <c r="BH59" s="42"/>
      <c r="BI59" s="42">
        <f t="shared" si="26"/>
        <v>1</v>
      </c>
      <c r="BJ59" s="42"/>
      <c r="BK59" s="42"/>
      <c r="BL59" s="40">
        <f t="shared" si="20"/>
        <v>11.3</v>
      </c>
    </row>
    <row r="60" spans="1:64" ht="30.75" customHeight="1" x14ac:dyDescent="0.25">
      <c r="A60" s="298" t="s">
        <v>173</v>
      </c>
      <c r="B60" s="299" t="s">
        <v>169</v>
      </c>
      <c r="C60" s="1547"/>
      <c r="D60" s="1549"/>
      <c r="E60" s="1549"/>
      <c r="F60" s="1551"/>
      <c r="G60" s="1551"/>
      <c r="H60" s="1551"/>
      <c r="I60" s="1429" t="s">
        <v>53</v>
      </c>
      <c r="J60" s="1429"/>
      <c r="K60" s="1429" t="s">
        <v>207</v>
      </c>
      <c r="L60" s="301" t="s">
        <v>179</v>
      </c>
      <c r="M60" s="1425" t="s">
        <v>45</v>
      </c>
      <c r="N60" s="1425" t="s">
        <v>46</v>
      </c>
      <c r="O60" s="1425" t="s">
        <v>47</v>
      </c>
      <c r="P60" s="16" t="s">
        <v>208</v>
      </c>
      <c r="Q60" s="302" t="s">
        <v>209</v>
      </c>
      <c r="R60" s="303">
        <v>2015</v>
      </c>
      <c r="S60" s="303">
        <v>0</v>
      </c>
      <c r="T60" s="303">
        <v>1</v>
      </c>
      <c r="U60" s="572">
        <v>1</v>
      </c>
      <c r="V60" s="572">
        <v>1</v>
      </c>
      <c r="W60" s="572">
        <v>1</v>
      </c>
      <c r="X60" s="572">
        <v>1</v>
      </c>
      <c r="Y60" s="481">
        <v>5</v>
      </c>
      <c r="Z60" s="481"/>
      <c r="AA60" s="481"/>
      <c r="AB60" s="481"/>
      <c r="AC60" s="481"/>
      <c r="AD60" s="481"/>
      <c r="AE60" s="481"/>
      <c r="AF60" s="481">
        <f t="shared" si="59"/>
        <v>5</v>
      </c>
      <c r="AG60" s="548"/>
      <c r="AH60" s="493">
        <v>0.5</v>
      </c>
      <c r="AI60" s="548"/>
      <c r="AJ60" s="548"/>
      <c r="AK60" s="548"/>
      <c r="AL60" s="548"/>
      <c r="AM60" s="548">
        <f t="shared" si="60"/>
        <v>0.5</v>
      </c>
      <c r="AN60" s="481"/>
      <c r="AO60" s="483"/>
      <c r="AP60" s="493">
        <v>0.5</v>
      </c>
      <c r="AQ60" s="481"/>
      <c r="AR60" s="481"/>
      <c r="AS60" s="481"/>
      <c r="AT60" s="481"/>
      <c r="AU60" s="481">
        <f t="shared" si="56"/>
        <v>0.5</v>
      </c>
      <c r="AV60" s="548"/>
      <c r="AW60" s="493">
        <v>0.5</v>
      </c>
      <c r="AX60" s="548"/>
      <c r="AY60" s="548"/>
      <c r="AZ60" s="548"/>
      <c r="BA60" s="548"/>
      <c r="BB60" s="548"/>
      <c r="BC60" s="548">
        <f t="shared" si="58"/>
        <v>0.5</v>
      </c>
      <c r="BD60" s="42">
        <f t="shared" si="45"/>
        <v>5</v>
      </c>
      <c r="BE60" s="42">
        <f t="shared" si="46"/>
        <v>1</v>
      </c>
      <c r="BF60" s="42">
        <f t="shared" si="47"/>
        <v>0.5</v>
      </c>
      <c r="BG60" s="42">
        <f t="shared" si="48"/>
        <v>0</v>
      </c>
      <c r="BH60" s="42">
        <f t="shared" si="49"/>
        <v>0</v>
      </c>
      <c r="BI60" s="42">
        <f t="shared" si="26"/>
        <v>0</v>
      </c>
      <c r="BJ60" s="42">
        <f t="shared" si="44"/>
        <v>0</v>
      </c>
      <c r="BK60" s="42">
        <f t="shared" si="50"/>
        <v>6.5</v>
      </c>
      <c r="BL60" s="40">
        <f t="shared" si="20"/>
        <v>6.5</v>
      </c>
    </row>
    <row r="61" spans="1:64" ht="22.5" customHeight="1" x14ac:dyDescent="0.25">
      <c r="A61" s="298" t="s">
        <v>173</v>
      </c>
      <c r="B61" s="299" t="s">
        <v>169</v>
      </c>
      <c r="C61" s="1547"/>
      <c r="D61" s="1551"/>
      <c r="E61" s="1551"/>
      <c r="F61" s="1551"/>
      <c r="G61" s="1551"/>
      <c r="H61" s="1551"/>
      <c r="I61" s="1429"/>
      <c r="J61" s="1429"/>
      <c r="K61" s="1429" t="s">
        <v>210</v>
      </c>
      <c r="L61" s="301" t="s">
        <v>179</v>
      </c>
      <c r="M61" s="1425" t="s">
        <v>45</v>
      </c>
      <c r="N61" s="1425" t="s">
        <v>46</v>
      </c>
      <c r="O61" s="1425" t="s">
        <v>47</v>
      </c>
      <c r="P61" s="16" t="s">
        <v>211</v>
      </c>
      <c r="Q61" s="302" t="s">
        <v>212</v>
      </c>
      <c r="R61" s="303">
        <v>2015</v>
      </c>
      <c r="S61" s="303">
        <v>1</v>
      </c>
      <c r="T61" s="303">
        <v>1</v>
      </c>
      <c r="U61" s="572">
        <v>2</v>
      </c>
      <c r="V61" s="572">
        <v>3</v>
      </c>
      <c r="W61" s="572">
        <v>4</v>
      </c>
      <c r="X61" s="572">
        <v>4</v>
      </c>
      <c r="Y61" s="481">
        <v>21</v>
      </c>
      <c r="Z61" s="481">
        <v>7</v>
      </c>
      <c r="AA61" s="481">
        <v>5</v>
      </c>
      <c r="AB61" s="481"/>
      <c r="AC61" s="481"/>
      <c r="AD61" s="481">
        <v>12</v>
      </c>
      <c r="AE61" s="481"/>
      <c r="AF61" s="481">
        <f t="shared" si="59"/>
        <v>45</v>
      </c>
      <c r="AG61" s="548"/>
      <c r="AH61" s="493">
        <v>0.5</v>
      </c>
      <c r="AI61" s="548"/>
      <c r="AJ61" s="548"/>
      <c r="AK61" s="548"/>
      <c r="AL61" s="548"/>
      <c r="AM61" s="548">
        <f t="shared" si="60"/>
        <v>0.5</v>
      </c>
      <c r="AN61" s="481"/>
      <c r="AO61" s="483"/>
      <c r="AP61" s="493">
        <v>0.5</v>
      </c>
      <c r="AQ61" s="481"/>
      <c r="AR61" s="481"/>
      <c r="AS61" s="481"/>
      <c r="AT61" s="481"/>
      <c r="AU61" s="481">
        <f t="shared" si="56"/>
        <v>0.5</v>
      </c>
      <c r="AV61" s="548"/>
      <c r="AW61" s="493">
        <v>0.5</v>
      </c>
      <c r="AX61" s="548"/>
      <c r="AY61" s="548"/>
      <c r="AZ61" s="548"/>
      <c r="BA61" s="548"/>
      <c r="BB61" s="548"/>
      <c r="BC61" s="548">
        <f t="shared" si="58"/>
        <v>0.5</v>
      </c>
      <c r="BD61" s="42">
        <f t="shared" si="45"/>
        <v>21</v>
      </c>
      <c r="BE61" s="42">
        <f t="shared" si="46"/>
        <v>8</v>
      </c>
      <c r="BF61" s="42">
        <f t="shared" si="47"/>
        <v>5.5</v>
      </c>
      <c r="BG61" s="42">
        <f t="shared" si="48"/>
        <v>0</v>
      </c>
      <c r="BH61" s="42">
        <f t="shared" si="49"/>
        <v>0</v>
      </c>
      <c r="BI61" s="42">
        <f t="shared" si="26"/>
        <v>12</v>
      </c>
      <c r="BJ61" s="42">
        <f t="shared" si="44"/>
        <v>0</v>
      </c>
      <c r="BK61" s="42">
        <f t="shared" si="50"/>
        <v>46.5</v>
      </c>
      <c r="BL61" s="40">
        <f t="shared" si="20"/>
        <v>46.5</v>
      </c>
    </row>
    <row r="62" spans="1:64" ht="27.75" customHeight="1" x14ac:dyDescent="0.25">
      <c r="A62" s="298" t="s">
        <v>173</v>
      </c>
      <c r="B62" s="299" t="s">
        <v>169</v>
      </c>
      <c r="C62" s="1547"/>
      <c r="D62" s="1551"/>
      <c r="E62" s="1551"/>
      <c r="F62" s="1551"/>
      <c r="G62" s="1551"/>
      <c r="H62" s="1551"/>
      <c r="I62" s="1429"/>
      <c r="J62" s="1429"/>
      <c r="K62" s="1429" t="s">
        <v>213</v>
      </c>
      <c r="L62" s="301" t="s">
        <v>179</v>
      </c>
      <c r="M62" s="1425" t="s">
        <v>45</v>
      </c>
      <c r="N62" s="1425" t="s">
        <v>46</v>
      </c>
      <c r="O62" s="1425" t="s">
        <v>47</v>
      </c>
      <c r="P62" s="71" t="s">
        <v>2469</v>
      </c>
      <c r="Q62" s="302" t="s">
        <v>215</v>
      </c>
      <c r="R62" s="303">
        <v>2015</v>
      </c>
      <c r="S62" s="303">
        <v>0</v>
      </c>
      <c r="T62" s="303">
        <v>0</v>
      </c>
      <c r="U62" s="572">
        <v>0</v>
      </c>
      <c r="V62" s="572">
        <v>1</v>
      </c>
      <c r="W62" s="572">
        <v>1</v>
      </c>
      <c r="X62" s="572">
        <v>1</v>
      </c>
      <c r="Y62" s="483"/>
      <c r="Z62" s="483"/>
      <c r="AA62" s="483"/>
      <c r="AB62" s="483"/>
      <c r="AC62" s="483"/>
      <c r="AD62" s="483"/>
      <c r="AE62" s="483"/>
      <c r="AF62" s="483">
        <f t="shared" si="59"/>
        <v>0</v>
      </c>
      <c r="AG62" s="587"/>
      <c r="AH62" s="587"/>
      <c r="AI62" s="587"/>
      <c r="AJ62" s="587"/>
      <c r="AK62" s="587"/>
      <c r="AL62" s="587"/>
      <c r="AM62" s="587">
        <f t="shared" si="60"/>
        <v>0</v>
      </c>
      <c r="AN62" s="483"/>
      <c r="AO62" s="483"/>
      <c r="AP62" s="493">
        <v>0.5</v>
      </c>
      <c r="AQ62" s="483"/>
      <c r="AR62" s="483"/>
      <c r="AS62" s="483"/>
      <c r="AT62" s="483"/>
      <c r="AU62" s="483">
        <f t="shared" si="56"/>
        <v>0.5</v>
      </c>
      <c r="AV62" s="587"/>
      <c r="AW62" s="493">
        <v>0.5</v>
      </c>
      <c r="AX62" s="587"/>
      <c r="AY62" s="587"/>
      <c r="AZ62" s="587"/>
      <c r="BA62" s="587"/>
      <c r="BB62" s="587"/>
      <c r="BC62" s="587">
        <f t="shared" si="58"/>
        <v>0.5</v>
      </c>
      <c r="BD62" s="44">
        <f t="shared" si="45"/>
        <v>0</v>
      </c>
      <c r="BE62" s="44">
        <f t="shared" si="46"/>
        <v>0.5</v>
      </c>
      <c r="BF62" s="44">
        <f t="shared" si="47"/>
        <v>0.5</v>
      </c>
      <c r="BG62" s="44">
        <f t="shared" si="48"/>
        <v>0</v>
      </c>
      <c r="BH62" s="44">
        <f t="shared" si="49"/>
        <v>0</v>
      </c>
      <c r="BI62" s="42">
        <f t="shared" si="26"/>
        <v>0</v>
      </c>
      <c r="BJ62" s="44">
        <f t="shared" ref="BJ62:BJ93" si="61">+BB62+AT62+AL62+AE62</f>
        <v>0</v>
      </c>
      <c r="BK62" s="44">
        <f t="shared" ref="BK62:BK93" si="62">+BC62+AU62+AM62+AF62</f>
        <v>1</v>
      </c>
      <c r="BL62" s="40">
        <f t="shared" si="20"/>
        <v>1</v>
      </c>
    </row>
    <row r="63" spans="1:64" ht="24.75" customHeight="1" x14ac:dyDescent="0.25">
      <c r="A63" s="298" t="s">
        <v>173</v>
      </c>
      <c r="B63" s="299" t="s">
        <v>169</v>
      </c>
      <c r="C63" s="1547"/>
      <c r="D63" s="1551"/>
      <c r="E63" s="1551"/>
      <c r="F63" s="1551"/>
      <c r="G63" s="1551"/>
      <c r="H63" s="1551"/>
      <c r="I63" s="1429"/>
      <c r="J63" s="1429"/>
      <c r="K63" s="1429" t="s">
        <v>216</v>
      </c>
      <c r="L63" s="301" t="s">
        <v>179</v>
      </c>
      <c r="M63" s="1425" t="s">
        <v>45</v>
      </c>
      <c r="N63" s="1425" t="s">
        <v>46</v>
      </c>
      <c r="O63" s="1425" t="s">
        <v>47</v>
      </c>
      <c r="P63" s="1198" t="s">
        <v>2470</v>
      </c>
      <c r="Q63" s="302" t="s">
        <v>2471</v>
      </c>
      <c r="R63" s="303">
        <v>2015</v>
      </c>
      <c r="S63" s="303">
        <v>0</v>
      </c>
      <c r="T63" s="303">
        <v>0</v>
      </c>
      <c r="U63" s="572">
        <v>1</v>
      </c>
      <c r="V63" s="572">
        <v>1</v>
      </c>
      <c r="W63" s="572">
        <v>0</v>
      </c>
      <c r="X63" s="572">
        <v>2</v>
      </c>
      <c r="Y63" s="483"/>
      <c r="Z63" s="483"/>
      <c r="AA63" s="483"/>
      <c r="AB63" s="483"/>
      <c r="AC63" s="483"/>
      <c r="AD63" s="483"/>
      <c r="AE63" s="483"/>
      <c r="AF63" s="483">
        <f t="shared" si="59"/>
        <v>0</v>
      </c>
      <c r="AG63" s="587"/>
      <c r="AH63" s="493">
        <v>0.5</v>
      </c>
      <c r="AI63" s="587"/>
      <c r="AJ63" s="587"/>
      <c r="AK63" s="587"/>
      <c r="AL63" s="587"/>
      <c r="AM63" s="587">
        <f t="shared" si="60"/>
        <v>0.5</v>
      </c>
      <c r="AN63" s="483"/>
      <c r="AO63" s="483"/>
      <c r="AP63" s="493">
        <v>0.5</v>
      </c>
      <c r="AQ63" s="483"/>
      <c r="AR63" s="483"/>
      <c r="AS63" s="483"/>
      <c r="AT63" s="483"/>
      <c r="AU63" s="483">
        <f t="shared" si="56"/>
        <v>0.5</v>
      </c>
      <c r="AV63" s="587"/>
      <c r="AW63" s="493">
        <v>0.5</v>
      </c>
      <c r="AX63" s="587"/>
      <c r="AY63" s="587"/>
      <c r="AZ63" s="587"/>
      <c r="BA63" s="587"/>
      <c r="BB63" s="587"/>
      <c r="BC63" s="587">
        <f t="shared" si="58"/>
        <v>0.5</v>
      </c>
      <c r="BD63" s="44">
        <f t="shared" si="45"/>
        <v>0</v>
      </c>
      <c r="BE63" s="44">
        <f t="shared" si="46"/>
        <v>1</v>
      </c>
      <c r="BF63" s="44">
        <f t="shared" si="47"/>
        <v>0.5</v>
      </c>
      <c r="BG63" s="44">
        <f t="shared" si="48"/>
        <v>0</v>
      </c>
      <c r="BH63" s="44">
        <f t="shared" si="49"/>
        <v>0</v>
      </c>
      <c r="BI63" s="42">
        <f t="shared" si="26"/>
        <v>0</v>
      </c>
      <c r="BJ63" s="44">
        <f t="shared" si="61"/>
        <v>0</v>
      </c>
      <c r="BK63" s="44">
        <f t="shared" si="62"/>
        <v>1.5</v>
      </c>
      <c r="BL63" s="40">
        <f t="shared" si="20"/>
        <v>1.5</v>
      </c>
    </row>
    <row r="64" spans="1:64" ht="46.5" customHeight="1" x14ac:dyDescent="0.25">
      <c r="A64" s="298" t="s">
        <v>173</v>
      </c>
      <c r="B64" s="299" t="s">
        <v>169</v>
      </c>
      <c r="C64" s="1547"/>
      <c r="D64" s="1551"/>
      <c r="E64" s="1551"/>
      <c r="F64" s="1551"/>
      <c r="G64" s="1551"/>
      <c r="H64" s="1551"/>
      <c r="I64" s="1429"/>
      <c r="J64" s="1429" t="s">
        <v>53</v>
      </c>
      <c r="K64" s="1429" t="s">
        <v>219</v>
      </c>
      <c r="L64" s="301" t="s">
        <v>179</v>
      </c>
      <c r="M64" s="1425" t="s">
        <v>45</v>
      </c>
      <c r="N64" s="1425" t="s">
        <v>46</v>
      </c>
      <c r="O64" s="1425" t="s">
        <v>47</v>
      </c>
      <c r="P64" s="1198" t="s">
        <v>2472</v>
      </c>
      <c r="Q64" s="302" t="s">
        <v>2473</v>
      </c>
      <c r="R64" s="303">
        <v>2015</v>
      </c>
      <c r="S64" s="303">
        <v>0</v>
      </c>
      <c r="T64" s="303">
        <v>0</v>
      </c>
      <c r="U64" s="572">
        <v>1</v>
      </c>
      <c r="V64" s="572">
        <v>1</v>
      </c>
      <c r="W64" s="572">
        <v>1</v>
      </c>
      <c r="X64" s="572">
        <v>1</v>
      </c>
      <c r="Y64" s="491"/>
      <c r="Z64" s="481">
        <v>2</v>
      </c>
      <c r="AA64" s="481"/>
      <c r="AB64" s="481"/>
      <c r="AC64" s="481"/>
      <c r="AD64" s="481"/>
      <c r="AE64" s="481"/>
      <c r="AF64" s="481">
        <f t="shared" si="59"/>
        <v>2</v>
      </c>
      <c r="AG64" s="548"/>
      <c r="AH64" s="493">
        <v>0.5</v>
      </c>
      <c r="AI64" s="548"/>
      <c r="AJ64" s="548"/>
      <c r="AK64" s="548"/>
      <c r="AL64" s="548"/>
      <c r="AM64" s="548">
        <f t="shared" si="60"/>
        <v>0.5</v>
      </c>
      <c r="AN64" s="481"/>
      <c r="AO64" s="483"/>
      <c r="AP64" s="493">
        <v>0.5</v>
      </c>
      <c r="AQ64" s="481"/>
      <c r="AR64" s="481"/>
      <c r="AS64" s="481"/>
      <c r="AT64" s="481"/>
      <c r="AU64" s="481">
        <f t="shared" si="56"/>
        <v>0.5</v>
      </c>
      <c r="AV64" s="548"/>
      <c r="AW64" s="493">
        <v>0.5</v>
      </c>
      <c r="AX64" s="548"/>
      <c r="AY64" s="548"/>
      <c r="AZ64" s="548"/>
      <c r="BA64" s="548"/>
      <c r="BB64" s="548"/>
      <c r="BC64" s="548">
        <f t="shared" si="58"/>
        <v>0.5</v>
      </c>
      <c r="BD64" s="42">
        <f t="shared" ref="BD64:BD95" si="63">+AV64+AN64+AG64+Y64</f>
        <v>0</v>
      </c>
      <c r="BE64" s="42" t="e">
        <f>+AW64+AO64+AH64+#REF!</f>
        <v>#REF!</v>
      </c>
      <c r="BF64" s="42">
        <f t="shared" ref="BF64:BF95" si="64">+AX64+AP64+AI64+AA64</f>
        <v>0.5</v>
      </c>
      <c r="BG64" s="42">
        <f t="shared" ref="BG64:BG95" si="65">+AY64+AQ64+AJ64+AB64</f>
        <v>0</v>
      </c>
      <c r="BH64" s="42">
        <f t="shared" ref="BH64:BH95" si="66">+AZ64+AR64+AK64+AC64</f>
        <v>0</v>
      </c>
      <c r="BI64" s="42">
        <f t="shared" si="26"/>
        <v>0</v>
      </c>
      <c r="BJ64" s="42">
        <f t="shared" si="61"/>
        <v>0</v>
      </c>
      <c r="BK64" s="42">
        <f t="shared" si="62"/>
        <v>3.5</v>
      </c>
      <c r="BL64" s="40">
        <f t="shared" si="20"/>
        <v>3.5</v>
      </c>
    </row>
    <row r="65" spans="1:64" ht="37.5" customHeight="1" x14ac:dyDescent="0.25">
      <c r="A65" s="298" t="s">
        <v>173</v>
      </c>
      <c r="B65" s="299" t="s">
        <v>169</v>
      </c>
      <c r="C65" s="1547"/>
      <c r="D65" s="1551"/>
      <c r="E65" s="1551"/>
      <c r="F65" s="1551"/>
      <c r="G65" s="1551"/>
      <c r="H65" s="1551"/>
      <c r="I65" s="1429"/>
      <c r="J65" s="1429"/>
      <c r="K65" s="1429" t="s">
        <v>222</v>
      </c>
      <c r="L65" s="301" t="s">
        <v>179</v>
      </c>
      <c r="M65" s="1425" t="s">
        <v>45</v>
      </c>
      <c r="N65" s="1425" t="s">
        <v>46</v>
      </c>
      <c r="O65" s="1425" t="s">
        <v>47</v>
      </c>
      <c r="P65" s="16" t="s">
        <v>223</v>
      </c>
      <c r="Q65" s="302" t="s">
        <v>224</v>
      </c>
      <c r="R65" s="303">
        <v>2015</v>
      </c>
      <c r="S65" s="303">
        <v>0</v>
      </c>
      <c r="T65" s="303">
        <v>4</v>
      </c>
      <c r="U65" s="572">
        <v>8</v>
      </c>
      <c r="V65" s="572">
        <v>12</v>
      </c>
      <c r="W65" s="572">
        <v>16</v>
      </c>
      <c r="X65" s="572">
        <v>16</v>
      </c>
      <c r="Y65" s="481"/>
      <c r="Z65" s="481">
        <v>4</v>
      </c>
      <c r="AA65" s="481"/>
      <c r="AB65" s="481"/>
      <c r="AC65" s="481"/>
      <c r="AD65" s="481"/>
      <c r="AE65" s="481"/>
      <c r="AF65" s="481">
        <f t="shared" si="59"/>
        <v>4</v>
      </c>
      <c r="AG65" s="548"/>
      <c r="AH65" s="548">
        <v>5</v>
      </c>
      <c r="AI65" s="548"/>
      <c r="AJ65" s="548"/>
      <c r="AK65" s="548"/>
      <c r="AL65" s="548"/>
      <c r="AM65" s="548">
        <f t="shared" si="60"/>
        <v>5</v>
      </c>
      <c r="AN65" s="481"/>
      <c r="AO65" s="481">
        <v>5</v>
      </c>
      <c r="AP65" s="481"/>
      <c r="AQ65" s="481"/>
      <c r="AR65" s="481"/>
      <c r="AS65" s="481"/>
      <c r="AT65" s="481"/>
      <c r="AU65" s="481">
        <f t="shared" si="56"/>
        <v>5</v>
      </c>
      <c r="AV65" s="548"/>
      <c r="AW65" s="548">
        <v>5</v>
      </c>
      <c r="AX65" s="548"/>
      <c r="AY65" s="548"/>
      <c r="AZ65" s="548"/>
      <c r="BA65" s="548"/>
      <c r="BB65" s="548"/>
      <c r="BC65" s="548">
        <f t="shared" si="58"/>
        <v>5</v>
      </c>
      <c r="BD65" s="42">
        <f t="shared" si="63"/>
        <v>0</v>
      </c>
      <c r="BE65" s="42">
        <f t="shared" ref="BE65:BE95" si="67">+AW65+AO65+AH65+Z65</f>
        <v>19</v>
      </c>
      <c r="BF65" s="42">
        <f t="shared" si="64"/>
        <v>0</v>
      </c>
      <c r="BG65" s="42">
        <f t="shared" si="65"/>
        <v>0</v>
      </c>
      <c r="BH65" s="42">
        <f t="shared" si="66"/>
        <v>0</v>
      </c>
      <c r="BI65" s="42">
        <f t="shared" si="26"/>
        <v>0</v>
      </c>
      <c r="BJ65" s="42">
        <f t="shared" si="61"/>
        <v>0</v>
      </c>
      <c r="BK65" s="42">
        <f t="shared" si="62"/>
        <v>19</v>
      </c>
      <c r="BL65" s="40">
        <f t="shared" si="20"/>
        <v>19</v>
      </c>
    </row>
    <row r="66" spans="1:64" ht="36" customHeight="1" x14ac:dyDescent="0.25">
      <c r="A66" s="298" t="s">
        <v>173</v>
      </c>
      <c r="B66" s="299" t="s">
        <v>169</v>
      </c>
      <c r="C66" s="1547"/>
      <c r="D66" s="1551"/>
      <c r="E66" s="1551"/>
      <c r="F66" s="1551"/>
      <c r="G66" s="1551"/>
      <c r="H66" s="1551"/>
      <c r="I66" s="1429"/>
      <c r="J66" s="1429"/>
      <c r="K66" s="1429" t="s">
        <v>225</v>
      </c>
      <c r="L66" s="301" t="s">
        <v>179</v>
      </c>
      <c r="M66" s="1425" t="s">
        <v>45</v>
      </c>
      <c r="N66" s="1425" t="s">
        <v>46</v>
      </c>
      <c r="O66" s="1425" t="s">
        <v>47</v>
      </c>
      <c r="P66" s="1201" t="s">
        <v>2474</v>
      </c>
      <c r="Q66" s="302" t="s">
        <v>2475</v>
      </c>
      <c r="R66" s="303">
        <v>2015</v>
      </c>
      <c r="S66" s="303">
        <v>0</v>
      </c>
      <c r="T66" s="303">
        <v>1</v>
      </c>
      <c r="U66" s="572">
        <v>2</v>
      </c>
      <c r="V66" s="572">
        <v>2</v>
      </c>
      <c r="W66" s="572">
        <v>2</v>
      </c>
      <c r="X66" s="572">
        <v>2</v>
      </c>
      <c r="Y66" s="481"/>
      <c r="Z66" s="481"/>
      <c r="AA66" s="481">
        <v>6.5</v>
      </c>
      <c r="AB66" s="481"/>
      <c r="AC66" s="481"/>
      <c r="AD66" s="481"/>
      <c r="AE66" s="481"/>
      <c r="AF66" s="481">
        <f t="shared" si="59"/>
        <v>6.5</v>
      </c>
      <c r="AG66" s="548"/>
      <c r="AH66" s="548"/>
      <c r="AI66" s="491">
        <v>17</v>
      </c>
      <c r="AJ66" s="548"/>
      <c r="AK66" s="548"/>
      <c r="AL66" s="548"/>
      <c r="AM66" s="548">
        <f t="shared" si="60"/>
        <v>17</v>
      </c>
      <c r="AN66" s="481"/>
      <c r="AO66" s="481"/>
      <c r="AP66" s="481">
        <v>10</v>
      </c>
      <c r="AQ66" s="481"/>
      <c r="AR66" s="481"/>
      <c r="AS66" s="481"/>
      <c r="AT66" s="481"/>
      <c r="AU66" s="481">
        <f t="shared" si="56"/>
        <v>10</v>
      </c>
      <c r="AV66" s="548"/>
      <c r="AW66" s="548"/>
      <c r="AX66" s="548">
        <v>20</v>
      </c>
      <c r="AY66" s="548"/>
      <c r="AZ66" s="548"/>
      <c r="BA66" s="548"/>
      <c r="BB66" s="548"/>
      <c r="BC66" s="548">
        <f t="shared" si="58"/>
        <v>20</v>
      </c>
      <c r="BD66" s="42">
        <f t="shared" si="63"/>
        <v>0</v>
      </c>
      <c r="BE66" s="42">
        <f t="shared" si="67"/>
        <v>0</v>
      </c>
      <c r="BF66" s="42">
        <f t="shared" si="64"/>
        <v>53.5</v>
      </c>
      <c r="BG66" s="42">
        <f t="shared" si="65"/>
        <v>0</v>
      </c>
      <c r="BH66" s="42">
        <f t="shared" si="66"/>
        <v>0</v>
      </c>
      <c r="BI66" s="42">
        <f t="shared" si="26"/>
        <v>0</v>
      </c>
      <c r="BJ66" s="42">
        <f t="shared" si="61"/>
        <v>0</v>
      </c>
      <c r="BK66" s="42">
        <f t="shared" si="62"/>
        <v>53.5</v>
      </c>
      <c r="BL66" s="40">
        <f t="shared" si="20"/>
        <v>53.5</v>
      </c>
    </row>
    <row r="67" spans="1:64" ht="38.25" customHeight="1" x14ac:dyDescent="0.25">
      <c r="A67" s="298" t="s">
        <v>173</v>
      </c>
      <c r="B67" s="299" t="s">
        <v>169</v>
      </c>
      <c r="C67" s="1547"/>
      <c r="D67" s="1551"/>
      <c r="E67" s="1551"/>
      <c r="F67" s="1551"/>
      <c r="G67" s="1551"/>
      <c r="H67" s="1551"/>
      <c r="I67" s="1429"/>
      <c r="J67" s="1429"/>
      <c r="K67" s="1429" t="s">
        <v>228</v>
      </c>
      <c r="L67" s="301" t="s">
        <v>179</v>
      </c>
      <c r="M67" s="1425" t="s">
        <v>45</v>
      </c>
      <c r="N67" s="1425" t="s">
        <v>46</v>
      </c>
      <c r="O67" s="1425" t="s">
        <v>47</v>
      </c>
      <c r="P67" s="16" t="s">
        <v>229</v>
      </c>
      <c r="Q67" s="302" t="s">
        <v>230</v>
      </c>
      <c r="R67" s="303">
        <v>2015</v>
      </c>
      <c r="S67" s="303">
        <v>50</v>
      </c>
      <c r="T67" s="303">
        <v>80</v>
      </c>
      <c r="U67" s="572">
        <v>80</v>
      </c>
      <c r="V67" s="572">
        <v>80</v>
      </c>
      <c r="W67" s="572">
        <v>80</v>
      </c>
      <c r="X67" s="572">
        <v>320</v>
      </c>
      <c r="Y67" s="481"/>
      <c r="Z67" s="481"/>
      <c r="AA67" s="481">
        <v>18</v>
      </c>
      <c r="AB67" s="481"/>
      <c r="AC67" s="481"/>
      <c r="AD67" s="481"/>
      <c r="AE67" s="481"/>
      <c r="AF67" s="481">
        <f t="shared" si="59"/>
        <v>18</v>
      </c>
      <c r="AG67" s="548"/>
      <c r="AH67" s="548"/>
      <c r="AI67" s="548">
        <v>18</v>
      </c>
      <c r="AJ67" s="548"/>
      <c r="AK67" s="548"/>
      <c r="AL67" s="548"/>
      <c r="AM67" s="548">
        <f t="shared" si="60"/>
        <v>18</v>
      </c>
      <c r="AN67" s="481"/>
      <c r="AO67" s="481"/>
      <c r="AP67" s="481">
        <v>18</v>
      </c>
      <c r="AQ67" s="481"/>
      <c r="AR67" s="481"/>
      <c r="AS67" s="481"/>
      <c r="AT67" s="481"/>
      <c r="AU67" s="481">
        <f t="shared" si="56"/>
        <v>18</v>
      </c>
      <c r="AV67" s="548"/>
      <c r="AW67" s="548"/>
      <c r="AX67" s="548">
        <v>15</v>
      </c>
      <c r="AY67" s="548"/>
      <c r="AZ67" s="548"/>
      <c r="BA67" s="548"/>
      <c r="BB67" s="548"/>
      <c r="BC67" s="548">
        <f t="shared" si="58"/>
        <v>15</v>
      </c>
      <c r="BD67" s="42">
        <f t="shared" si="63"/>
        <v>0</v>
      </c>
      <c r="BE67" s="42">
        <f t="shared" si="67"/>
        <v>0</v>
      </c>
      <c r="BF67" s="42">
        <f t="shared" si="64"/>
        <v>69</v>
      </c>
      <c r="BG67" s="42">
        <f t="shared" si="65"/>
        <v>0</v>
      </c>
      <c r="BH67" s="42">
        <f t="shared" si="66"/>
        <v>0</v>
      </c>
      <c r="BI67" s="42">
        <f t="shared" si="26"/>
        <v>0</v>
      </c>
      <c r="BJ67" s="42">
        <f t="shared" si="61"/>
        <v>0</v>
      </c>
      <c r="BK67" s="42">
        <f t="shared" si="62"/>
        <v>69</v>
      </c>
      <c r="BL67" s="40">
        <f t="shared" si="20"/>
        <v>69</v>
      </c>
    </row>
    <row r="68" spans="1:64" ht="30" customHeight="1" x14ac:dyDescent="0.25">
      <c r="A68" s="298" t="s">
        <v>173</v>
      </c>
      <c r="B68" s="299" t="s">
        <v>169</v>
      </c>
      <c r="C68" s="1547"/>
      <c r="D68" s="1551"/>
      <c r="E68" s="1551"/>
      <c r="F68" s="1551"/>
      <c r="G68" s="1551"/>
      <c r="H68" s="1551"/>
      <c r="I68" s="1429"/>
      <c r="J68" s="1429"/>
      <c r="K68" s="1429" t="s">
        <v>231</v>
      </c>
      <c r="L68" s="301" t="s">
        <v>179</v>
      </c>
      <c r="M68" s="1425" t="s">
        <v>45</v>
      </c>
      <c r="N68" s="1425" t="s">
        <v>46</v>
      </c>
      <c r="O68" s="1425" t="s">
        <v>47</v>
      </c>
      <c r="P68" s="16" t="s">
        <v>232</v>
      </c>
      <c r="Q68" s="302" t="s">
        <v>233</v>
      </c>
      <c r="R68" s="303">
        <v>2015</v>
      </c>
      <c r="S68" s="303">
        <v>0</v>
      </c>
      <c r="T68" s="303">
        <v>0</v>
      </c>
      <c r="U68" s="572">
        <v>1</v>
      </c>
      <c r="V68" s="572">
        <v>1</v>
      </c>
      <c r="W68" s="572">
        <v>1</v>
      </c>
      <c r="X68" s="572">
        <v>1</v>
      </c>
      <c r="Y68" s="481"/>
      <c r="Z68" s="481"/>
      <c r="AA68" s="481"/>
      <c r="AB68" s="481"/>
      <c r="AC68" s="481"/>
      <c r="AD68" s="481"/>
      <c r="AE68" s="481"/>
      <c r="AF68" s="481">
        <f t="shared" si="59"/>
        <v>0</v>
      </c>
      <c r="AG68" s="548"/>
      <c r="AH68" s="493">
        <v>0.5</v>
      </c>
      <c r="AI68" s="548"/>
      <c r="AJ68" s="548"/>
      <c r="AK68" s="548"/>
      <c r="AL68" s="548"/>
      <c r="AM68" s="548">
        <f t="shared" si="60"/>
        <v>0.5</v>
      </c>
      <c r="AN68" s="481"/>
      <c r="AO68" s="481"/>
      <c r="AP68" s="493">
        <v>0.5</v>
      </c>
      <c r="AQ68" s="481"/>
      <c r="AR68" s="481"/>
      <c r="AS68" s="481"/>
      <c r="AT68" s="481"/>
      <c r="AU68" s="481">
        <f t="shared" si="56"/>
        <v>0.5</v>
      </c>
      <c r="AV68" s="548"/>
      <c r="AW68" s="493">
        <v>0.5</v>
      </c>
      <c r="AX68" s="548"/>
      <c r="AY68" s="548"/>
      <c r="AZ68" s="548"/>
      <c r="BA68" s="548"/>
      <c r="BB68" s="548"/>
      <c r="BC68" s="548">
        <f t="shared" si="58"/>
        <v>0.5</v>
      </c>
      <c r="BD68" s="42">
        <f t="shared" si="63"/>
        <v>0</v>
      </c>
      <c r="BE68" s="42">
        <f t="shared" si="67"/>
        <v>1</v>
      </c>
      <c r="BF68" s="42">
        <f t="shared" si="64"/>
        <v>0.5</v>
      </c>
      <c r="BG68" s="42">
        <f t="shared" si="65"/>
        <v>0</v>
      </c>
      <c r="BH68" s="42">
        <f t="shared" si="66"/>
        <v>0</v>
      </c>
      <c r="BI68" s="42">
        <f t="shared" si="26"/>
        <v>0</v>
      </c>
      <c r="BJ68" s="42">
        <f t="shared" si="61"/>
        <v>0</v>
      </c>
      <c r="BK68" s="42">
        <f t="shared" si="62"/>
        <v>1.5</v>
      </c>
      <c r="BL68" s="40">
        <f t="shared" si="20"/>
        <v>1.5</v>
      </c>
    </row>
    <row r="69" spans="1:64" ht="43.5" customHeight="1" x14ac:dyDescent="0.25">
      <c r="A69" s="298" t="s">
        <v>173</v>
      </c>
      <c r="B69" s="299" t="s">
        <v>169</v>
      </c>
      <c r="C69" s="1547"/>
      <c r="D69" s="1551"/>
      <c r="E69" s="1551"/>
      <c r="F69" s="1551"/>
      <c r="G69" s="1551"/>
      <c r="H69" s="1551"/>
      <c r="I69" s="1429"/>
      <c r="J69" s="1429"/>
      <c r="K69" s="1429" t="s">
        <v>234</v>
      </c>
      <c r="L69" s="301" t="s">
        <v>179</v>
      </c>
      <c r="M69" s="1425" t="s">
        <v>45</v>
      </c>
      <c r="N69" s="1425" t="s">
        <v>46</v>
      </c>
      <c r="O69" s="1425" t="s">
        <v>47</v>
      </c>
      <c r="P69" s="16" t="s">
        <v>235</v>
      </c>
      <c r="Q69" s="302" t="s">
        <v>236</v>
      </c>
      <c r="R69" s="303">
        <v>2015</v>
      </c>
      <c r="S69" s="303">
        <v>0</v>
      </c>
      <c r="T69" s="303">
        <v>0</v>
      </c>
      <c r="U69" s="572">
        <v>3</v>
      </c>
      <c r="V69" s="572">
        <v>3</v>
      </c>
      <c r="W69" s="572">
        <v>3</v>
      </c>
      <c r="X69" s="572">
        <v>9</v>
      </c>
      <c r="Y69" s="481"/>
      <c r="Z69" s="481"/>
      <c r="AA69" s="481"/>
      <c r="AB69" s="481"/>
      <c r="AC69" s="481"/>
      <c r="AD69" s="481"/>
      <c r="AE69" s="481"/>
      <c r="AF69" s="481">
        <f t="shared" si="59"/>
        <v>0</v>
      </c>
      <c r="AG69" s="548"/>
      <c r="AH69" s="493">
        <v>0.5</v>
      </c>
      <c r="AI69" s="548"/>
      <c r="AJ69" s="548"/>
      <c r="AK69" s="548"/>
      <c r="AL69" s="548"/>
      <c r="AM69" s="548">
        <f t="shared" si="60"/>
        <v>0.5</v>
      </c>
      <c r="AN69" s="481"/>
      <c r="AO69" s="481"/>
      <c r="AP69" s="493">
        <v>0.5</v>
      </c>
      <c r="AQ69" s="481"/>
      <c r="AR69" s="481"/>
      <c r="AS69" s="481"/>
      <c r="AT69" s="481"/>
      <c r="AU69" s="481">
        <f t="shared" si="56"/>
        <v>0.5</v>
      </c>
      <c r="AV69" s="548"/>
      <c r="AW69" s="493">
        <v>0.5</v>
      </c>
      <c r="AX69" s="548"/>
      <c r="AY69" s="548"/>
      <c r="AZ69" s="548"/>
      <c r="BA69" s="548"/>
      <c r="BB69" s="548"/>
      <c r="BC69" s="548">
        <f t="shared" si="58"/>
        <v>0.5</v>
      </c>
      <c r="BD69" s="42">
        <f t="shared" si="63"/>
        <v>0</v>
      </c>
      <c r="BE69" s="42">
        <f>+AW69+AO69+AH69+Z64</f>
        <v>3</v>
      </c>
      <c r="BF69" s="42">
        <f t="shared" si="64"/>
        <v>0.5</v>
      </c>
      <c r="BG69" s="42">
        <f t="shared" si="65"/>
        <v>0</v>
      </c>
      <c r="BH69" s="42">
        <f t="shared" si="66"/>
        <v>0</v>
      </c>
      <c r="BI69" s="42">
        <f t="shared" si="26"/>
        <v>0</v>
      </c>
      <c r="BJ69" s="42">
        <f t="shared" si="61"/>
        <v>0</v>
      </c>
      <c r="BK69" s="42">
        <f t="shared" si="62"/>
        <v>1.5</v>
      </c>
      <c r="BL69" s="40">
        <f t="shared" si="20"/>
        <v>1.5</v>
      </c>
    </row>
    <row r="70" spans="1:64" ht="65.25" customHeight="1" x14ac:dyDescent="0.25">
      <c r="A70" s="298" t="s">
        <v>173</v>
      </c>
      <c r="B70" s="299" t="s">
        <v>169</v>
      </c>
      <c r="C70" s="1547"/>
      <c r="D70" s="1551"/>
      <c r="E70" s="1551"/>
      <c r="F70" s="1551"/>
      <c r="G70" s="1551"/>
      <c r="H70" s="1551"/>
      <c r="I70" s="1429"/>
      <c r="J70" s="1429"/>
      <c r="K70" s="1429" t="s">
        <v>237</v>
      </c>
      <c r="L70" s="301" t="s">
        <v>179</v>
      </c>
      <c r="M70" s="1425" t="s">
        <v>45</v>
      </c>
      <c r="N70" s="1425" t="s">
        <v>46</v>
      </c>
      <c r="O70" s="1425" t="s">
        <v>73</v>
      </c>
      <c r="P70" s="16" t="s">
        <v>238</v>
      </c>
      <c r="Q70" s="302" t="s">
        <v>239</v>
      </c>
      <c r="R70" s="303">
        <v>2015</v>
      </c>
      <c r="S70" s="303">
        <v>0</v>
      </c>
      <c r="T70" s="303">
        <v>1</v>
      </c>
      <c r="U70" s="572">
        <v>1</v>
      </c>
      <c r="V70" s="572">
        <v>1</v>
      </c>
      <c r="W70" s="572">
        <v>1</v>
      </c>
      <c r="X70" s="572">
        <v>1</v>
      </c>
      <c r="Y70" s="481"/>
      <c r="Z70" s="481">
        <v>2</v>
      </c>
      <c r="AA70" s="481">
        <v>5</v>
      </c>
      <c r="AB70" s="481"/>
      <c r="AC70" s="481"/>
      <c r="AD70" s="481"/>
      <c r="AE70" s="481"/>
      <c r="AF70" s="481">
        <f t="shared" si="59"/>
        <v>7</v>
      </c>
      <c r="AG70" s="548"/>
      <c r="AH70" s="548">
        <v>5</v>
      </c>
      <c r="AI70" s="548">
        <v>5</v>
      </c>
      <c r="AJ70" s="548"/>
      <c r="AK70" s="548"/>
      <c r="AL70" s="548"/>
      <c r="AM70" s="548">
        <f t="shared" si="60"/>
        <v>10</v>
      </c>
      <c r="AN70" s="481"/>
      <c r="AO70" s="481">
        <v>5</v>
      </c>
      <c r="AP70" s="481">
        <v>5</v>
      </c>
      <c r="AQ70" s="481"/>
      <c r="AR70" s="481"/>
      <c r="AS70" s="481"/>
      <c r="AT70" s="481"/>
      <c r="AU70" s="481">
        <f t="shared" si="56"/>
        <v>10</v>
      </c>
      <c r="AV70" s="548"/>
      <c r="AW70" s="548">
        <v>5</v>
      </c>
      <c r="AX70" s="548">
        <v>5</v>
      </c>
      <c r="AY70" s="548"/>
      <c r="AZ70" s="548"/>
      <c r="BA70" s="548"/>
      <c r="BB70" s="548"/>
      <c r="BC70" s="548">
        <f t="shared" si="58"/>
        <v>10</v>
      </c>
      <c r="BD70" s="42">
        <f t="shared" si="63"/>
        <v>0</v>
      </c>
      <c r="BE70" s="42">
        <f t="shared" si="67"/>
        <v>17</v>
      </c>
      <c r="BF70" s="42">
        <f t="shared" si="64"/>
        <v>20</v>
      </c>
      <c r="BG70" s="42">
        <f t="shared" si="65"/>
        <v>0</v>
      </c>
      <c r="BH70" s="42">
        <f t="shared" si="66"/>
        <v>0</v>
      </c>
      <c r="BI70" s="42">
        <f t="shared" si="26"/>
        <v>0</v>
      </c>
      <c r="BJ70" s="42">
        <f t="shared" si="61"/>
        <v>0</v>
      </c>
      <c r="BK70" s="42">
        <f t="shared" si="62"/>
        <v>37</v>
      </c>
      <c r="BL70" s="40">
        <f t="shared" si="20"/>
        <v>37</v>
      </c>
    </row>
    <row r="71" spans="1:64" ht="57.75" customHeight="1" x14ac:dyDescent="0.25">
      <c r="A71" s="298" t="s">
        <v>173</v>
      </c>
      <c r="B71" s="299" t="s">
        <v>169</v>
      </c>
      <c r="C71" s="1547"/>
      <c r="D71" s="1551"/>
      <c r="E71" s="1551"/>
      <c r="F71" s="1551"/>
      <c r="G71" s="1551"/>
      <c r="H71" s="1551"/>
      <c r="I71" s="1423"/>
      <c r="J71" s="1423"/>
      <c r="K71" s="1429" t="s">
        <v>240</v>
      </c>
      <c r="L71" s="301" t="s">
        <v>179</v>
      </c>
      <c r="M71" s="1425" t="s">
        <v>45</v>
      </c>
      <c r="N71" s="1425" t="s">
        <v>46</v>
      </c>
      <c r="O71" s="1425" t="s">
        <v>73</v>
      </c>
      <c r="P71" s="70" t="s">
        <v>241</v>
      </c>
      <c r="Q71" s="302" t="s">
        <v>242</v>
      </c>
      <c r="R71" s="303">
        <v>2015</v>
      </c>
      <c r="S71" s="303">
        <v>1</v>
      </c>
      <c r="T71" s="303">
        <v>1</v>
      </c>
      <c r="U71" s="572">
        <v>1</v>
      </c>
      <c r="V71" s="572">
        <v>1</v>
      </c>
      <c r="W71" s="572">
        <v>1</v>
      </c>
      <c r="X71" s="572">
        <v>1</v>
      </c>
      <c r="Y71" s="481"/>
      <c r="Z71" s="481"/>
      <c r="AA71" s="481">
        <v>2</v>
      </c>
      <c r="AB71" s="481"/>
      <c r="AC71" s="481"/>
      <c r="AD71" s="481">
        <v>0</v>
      </c>
      <c r="AE71" s="481"/>
      <c r="AF71" s="481">
        <f t="shared" si="59"/>
        <v>2</v>
      </c>
      <c r="AG71" s="548"/>
      <c r="AH71" s="548"/>
      <c r="AI71" s="548">
        <v>7</v>
      </c>
      <c r="AJ71" s="548"/>
      <c r="AK71" s="548"/>
      <c r="AL71" s="548"/>
      <c r="AM71" s="548">
        <f t="shared" si="60"/>
        <v>7</v>
      </c>
      <c r="AN71" s="481"/>
      <c r="AO71" s="481"/>
      <c r="AP71" s="481">
        <v>7</v>
      </c>
      <c r="AQ71" s="481"/>
      <c r="AR71" s="481"/>
      <c r="AS71" s="481"/>
      <c r="AT71" s="481"/>
      <c r="AU71" s="481">
        <f t="shared" si="56"/>
        <v>7</v>
      </c>
      <c r="AV71" s="548"/>
      <c r="AW71" s="548"/>
      <c r="AX71" s="548">
        <v>9</v>
      </c>
      <c r="AY71" s="548"/>
      <c r="AZ71" s="548"/>
      <c r="BA71" s="548"/>
      <c r="BB71" s="548"/>
      <c r="BC71" s="548">
        <f t="shared" si="58"/>
        <v>9</v>
      </c>
      <c r="BD71" s="42">
        <f t="shared" si="63"/>
        <v>0</v>
      </c>
      <c r="BE71" s="42">
        <f t="shared" si="67"/>
        <v>0</v>
      </c>
      <c r="BF71" s="42">
        <f t="shared" si="64"/>
        <v>25</v>
      </c>
      <c r="BG71" s="42">
        <f t="shared" si="65"/>
        <v>0</v>
      </c>
      <c r="BH71" s="42">
        <f t="shared" si="66"/>
        <v>0</v>
      </c>
      <c r="BI71" s="42">
        <f t="shared" si="26"/>
        <v>0</v>
      </c>
      <c r="BJ71" s="42">
        <f t="shared" si="61"/>
        <v>0</v>
      </c>
      <c r="BK71" s="42">
        <f t="shared" si="62"/>
        <v>25</v>
      </c>
      <c r="BL71" s="40">
        <f t="shared" ref="BL71:BL131" si="68">AF71+AM71+AU71+BC71</f>
        <v>25</v>
      </c>
    </row>
    <row r="72" spans="1:64" ht="39.75" customHeight="1" x14ac:dyDescent="0.25">
      <c r="A72" s="298" t="s">
        <v>173</v>
      </c>
      <c r="B72" s="299" t="s">
        <v>169</v>
      </c>
      <c r="C72" s="1547"/>
      <c r="D72" s="1551"/>
      <c r="E72" s="1551"/>
      <c r="F72" s="1551"/>
      <c r="G72" s="1551"/>
      <c r="H72" s="1551"/>
      <c r="I72" s="1423"/>
      <c r="J72" s="1423"/>
      <c r="K72" s="1429" t="s">
        <v>243</v>
      </c>
      <c r="L72" s="301" t="s">
        <v>179</v>
      </c>
      <c r="M72" s="1425" t="s">
        <v>45</v>
      </c>
      <c r="N72" s="1425" t="s">
        <v>46</v>
      </c>
      <c r="O72" s="1425" t="s">
        <v>47</v>
      </c>
      <c r="P72" s="70" t="s">
        <v>244</v>
      </c>
      <c r="Q72" s="302" t="s">
        <v>245</v>
      </c>
      <c r="R72" s="303">
        <v>2015</v>
      </c>
      <c r="S72" s="303">
        <v>0</v>
      </c>
      <c r="T72" s="303">
        <v>0</v>
      </c>
      <c r="U72" s="572">
        <v>1</v>
      </c>
      <c r="V72" s="572">
        <v>1</v>
      </c>
      <c r="W72" s="572">
        <v>1</v>
      </c>
      <c r="X72" s="572">
        <v>1</v>
      </c>
      <c r="Y72" s="481"/>
      <c r="Z72" s="481"/>
      <c r="AA72" s="481"/>
      <c r="AB72" s="481"/>
      <c r="AC72" s="481"/>
      <c r="AD72" s="481"/>
      <c r="AE72" s="481"/>
      <c r="AF72" s="481">
        <f>SUM(Y72:AE72)</f>
        <v>0</v>
      </c>
      <c r="AG72" s="548"/>
      <c r="AH72" s="493">
        <v>0.5</v>
      </c>
      <c r="AI72" s="548"/>
      <c r="AJ72" s="548"/>
      <c r="AK72" s="548"/>
      <c r="AL72" s="548"/>
      <c r="AM72" s="548">
        <f>SUM(AG72:AL72)</f>
        <v>0.5</v>
      </c>
      <c r="AN72" s="481"/>
      <c r="AO72" s="481"/>
      <c r="AP72" s="493">
        <v>0.5</v>
      </c>
      <c r="AQ72" s="481"/>
      <c r="AR72" s="481"/>
      <c r="AS72" s="481"/>
      <c r="AT72" s="481"/>
      <c r="AU72" s="481">
        <f>SUM(AN72:AT72)</f>
        <v>0.5</v>
      </c>
      <c r="AV72" s="548"/>
      <c r="AW72" s="493">
        <v>0.5</v>
      </c>
      <c r="AX72" s="548"/>
      <c r="AY72" s="548"/>
      <c r="AZ72" s="548"/>
      <c r="BA72" s="548"/>
      <c r="BB72" s="548"/>
      <c r="BC72" s="548">
        <f>SUM(AV72:BB72)</f>
        <v>0.5</v>
      </c>
      <c r="BD72" s="42">
        <f>+AV72+AN72+AG72+Y72</f>
        <v>0</v>
      </c>
      <c r="BE72" s="42">
        <f>+AW72+AO72+AH72+Z72</f>
        <v>1</v>
      </c>
      <c r="BF72" s="42">
        <f>+AX72+AP72+AI72+AA72</f>
        <v>0.5</v>
      </c>
      <c r="BG72" s="42">
        <f>+AY72+AQ72+AJ72+AB72</f>
        <v>0</v>
      </c>
      <c r="BH72" s="42">
        <f>+AZ72+AR72+AK72+AC72</f>
        <v>0</v>
      </c>
      <c r="BI72" s="42">
        <f>+AD72+AS72+BA72</f>
        <v>0</v>
      </c>
      <c r="BJ72" s="42">
        <f>+BB72+AT72+AL72+AE72</f>
        <v>0</v>
      </c>
      <c r="BK72" s="42">
        <f>+BC72+AU72+AM72+AF72</f>
        <v>1.5</v>
      </c>
      <c r="BL72" s="40">
        <f t="shared" si="68"/>
        <v>1.5</v>
      </c>
    </row>
    <row r="73" spans="1:64" ht="63.75" customHeight="1" x14ac:dyDescent="0.25">
      <c r="A73" s="298" t="s">
        <v>173</v>
      </c>
      <c r="B73" s="299" t="s">
        <v>169</v>
      </c>
      <c r="C73" s="1547"/>
      <c r="D73" s="1551"/>
      <c r="E73" s="1551"/>
      <c r="F73" s="1551"/>
      <c r="G73" s="1551"/>
      <c r="H73" s="1551"/>
      <c r="I73" s="1423"/>
      <c r="J73" s="1423"/>
      <c r="K73" s="1429" t="s">
        <v>246</v>
      </c>
      <c r="L73" s="301" t="s">
        <v>179</v>
      </c>
      <c r="M73" s="1425" t="s">
        <v>45</v>
      </c>
      <c r="N73" s="1425" t="s">
        <v>46</v>
      </c>
      <c r="O73" s="1425" t="s">
        <v>73</v>
      </c>
      <c r="P73" s="70" t="s">
        <v>247</v>
      </c>
      <c r="Q73" s="302" t="s">
        <v>248</v>
      </c>
      <c r="R73" s="303">
        <v>2015</v>
      </c>
      <c r="S73" s="303">
        <v>0</v>
      </c>
      <c r="T73" s="303">
        <v>1</v>
      </c>
      <c r="U73" s="572">
        <v>1</v>
      </c>
      <c r="V73" s="572">
        <v>1</v>
      </c>
      <c r="W73" s="572">
        <v>1</v>
      </c>
      <c r="X73" s="572">
        <v>1</v>
      </c>
      <c r="Y73" s="481"/>
      <c r="Z73" s="481">
        <v>2</v>
      </c>
      <c r="AA73" s="481"/>
      <c r="AB73" s="481"/>
      <c r="AC73" s="481"/>
      <c r="AD73" s="481"/>
      <c r="AE73" s="481"/>
      <c r="AF73" s="481">
        <f t="shared" si="59"/>
        <v>2</v>
      </c>
      <c r="AG73" s="548"/>
      <c r="AH73" s="548">
        <v>5</v>
      </c>
      <c r="AI73" s="548"/>
      <c r="AJ73" s="548"/>
      <c r="AK73" s="548"/>
      <c r="AL73" s="548"/>
      <c r="AM73" s="548">
        <f>SUM(AG73:AL73)</f>
        <v>5</v>
      </c>
      <c r="AN73" s="481"/>
      <c r="AO73" s="481">
        <v>5</v>
      </c>
      <c r="AP73" s="481"/>
      <c r="AQ73" s="481"/>
      <c r="AR73" s="481"/>
      <c r="AS73" s="481"/>
      <c r="AT73" s="481"/>
      <c r="AU73" s="481">
        <f>SUM(AN73:AT73)</f>
        <v>5</v>
      </c>
      <c r="AV73" s="548"/>
      <c r="AW73" s="548">
        <v>5</v>
      </c>
      <c r="AX73" s="548"/>
      <c r="AY73" s="548"/>
      <c r="AZ73" s="548"/>
      <c r="BA73" s="548"/>
      <c r="BB73" s="548"/>
      <c r="BC73" s="548">
        <f>SUM(AV73:BB73)</f>
        <v>5</v>
      </c>
      <c r="BD73" s="42">
        <f t="shared" si="63"/>
        <v>0</v>
      </c>
      <c r="BE73" s="42">
        <f t="shared" si="67"/>
        <v>17</v>
      </c>
      <c r="BF73" s="42">
        <f t="shared" si="64"/>
        <v>0</v>
      </c>
      <c r="BG73" s="42">
        <f t="shared" si="65"/>
        <v>0</v>
      </c>
      <c r="BH73" s="42">
        <f t="shared" si="66"/>
        <v>0</v>
      </c>
      <c r="BI73" s="42">
        <f t="shared" si="26"/>
        <v>0</v>
      </c>
      <c r="BJ73" s="42">
        <f t="shared" si="61"/>
        <v>0</v>
      </c>
      <c r="BK73" s="42">
        <f t="shared" si="62"/>
        <v>17</v>
      </c>
      <c r="BL73" s="40">
        <f t="shared" si="68"/>
        <v>17</v>
      </c>
    </row>
    <row r="74" spans="1:64" ht="26.4" x14ac:dyDescent="0.25">
      <c r="A74" s="295" t="s">
        <v>173</v>
      </c>
      <c r="B74" s="24" t="s">
        <v>169</v>
      </c>
      <c r="C74" s="24"/>
      <c r="D74" s="14" t="s">
        <v>249</v>
      </c>
      <c r="E74" s="57"/>
      <c r="F74" s="12"/>
      <c r="G74" s="12"/>
      <c r="H74" s="12"/>
      <c r="I74" s="13"/>
      <c r="J74" s="13"/>
      <c r="K74" s="13"/>
      <c r="L74" s="13"/>
      <c r="M74" s="13"/>
      <c r="N74" s="1"/>
      <c r="O74" s="13"/>
      <c r="P74" s="25"/>
      <c r="Q74" s="25"/>
      <c r="R74" s="17"/>
      <c r="S74" s="17"/>
      <c r="T74" s="17"/>
      <c r="U74" s="66"/>
      <c r="V74" s="66"/>
      <c r="W74" s="66"/>
      <c r="X74" s="66"/>
      <c r="Y74" s="43">
        <f t="shared" ref="Y74:AE74" si="69">SUBTOTAL(9,Y75:Y83)</f>
        <v>0</v>
      </c>
      <c r="Z74" s="43">
        <f t="shared" si="69"/>
        <v>10.1</v>
      </c>
      <c r="AA74" s="43">
        <f t="shared" si="69"/>
        <v>29.9</v>
      </c>
      <c r="AB74" s="43">
        <f t="shared" si="69"/>
        <v>250</v>
      </c>
      <c r="AC74" s="43">
        <f t="shared" si="69"/>
        <v>0</v>
      </c>
      <c r="AD74" s="43">
        <f t="shared" si="69"/>
        <v>3.1</v>
      </c>
      <c r="AE74" s="43">
        <f t="shared" si="69"/>
        <v>0</v>
      </c>
      <c r="AF74" s="43">
        <f t="shared" si="59"/>
        <v>293.10000000000002</v>
      </c>
      <c r="AG74" s="43">
        <f t="shared" ref="AG74:BC74" si="70">SUBTOTAL(9,AG75:AG83)</f>
        <v>0</v>
      </c>
      <c r="AH74" s="43">
        <f t="shared" si="70"/>
        <v>3</v>
      </c>
      <c r="AI74" s="43">
        <v>17</v>
      </c>
      <c r="AJ74" s="43">
        <f t="shared" si="70"/>
        <v>0</v>
      </c>
      <c r="AK74" s="43">
        <f t="shared" si="70"/>
        <v>0</v>
      </c>
      <c r="AL74" s="43">
        <f t="shared" si="70"/>
        <v>0</v>
      </c>
      <c r="AM74" s="43">
        <f t="shared" si="70"/>
        <v>20</v>
      </c>
      <c r="AN74" s="43">
        <f t="shared" si="70"/>
        <v>0</v>
      </c>
      <c r="AO74" s="43">
        <f t="shared" si="70"/>
        <v>9</v>
      </c>
      <c r="AP74" s="43">
        <f t="shared" si="70"/>
        <v>17</v>
      </c>
      <c r="AQ74" s="43">
        <f t="shared" si="70"/>
        <v>0</v>
      </c>
      <c r="AR74" s="43">
        <f t="shared" si="70"/>
        <v>0</v>
      </c>
      <c r="AS74" s="43">
        <f t="shared" si="70"/>
        <v>0</v>
      </c>
      <c r="AT74" s="43">
        <f t="shared" si="70"/>
        <v>0</v>
      </c>
      <c r="AU74" s="43">
        <f t="shared" si="70"/>
        <v>26</v>
      </c>
      <c r="AV74" s="43">
        <f t="shared" si="70"/>
        <v>0</v>
      </c>
      <c r="AW74" s="43">
        <f t="shared" si="70"/>
        <v>13</v>
      </c>
      <c r="AX74" s="43">
        <f t="shared" si="70"/>
        <v>17</v>
      </c>
      <c r="AY74" s="43">
        <f t="shared" si="70"/>
        <v>0</v>
      </c>
      <c r="AZ74" s="43">
        <f t="shared" si="70"/>
        <v>0</v>
      </c>
      <c r="BA74" s="43">
        <f t="shared" si="70"/>
        <v>0</v>
      </c>
      <c r="BB74" s="43">
        <f t="shared" si="70"/>
        <v>0</v>
      </c>
      <c r="BC74" s="43">
        <f t="shared" si="70"/>
        <v>30</v>
      </c>
      <c r="BD74" s="43">
        <f t="shared" si="63"/>
        <v>0</v>
      </c>
      <c r="BE74" s="43">
        <f t="shared" si="67"/>
        <v>35.1</v>
      </c>
      <c r="BF74" s="43">
        <f t="shared" si="64"/>
        <v>80.900000000000006</v>
      </c>
      <c r="BG74" s="43">
        <f t="shared" si="65"/>
        <v>250</v>
      </c>
      <c r="BH74" s="43">
        <f t="shared" si="66"/>
        <v>0</v>
      </c>
      <c r="BI74" s="43">
        <f t="shared" si="26"/>
        <v>3.1</v>
      </c>
      <c r="BJ74" s="43">
        <f t="shared" si="61"/>
        <v>0</v>
      </c>
      <c r="BK74" s="43">
        <f t="shared" si="62"/>
        <v>369.1</v>
      </c>
      <c r="BL74" s="40">
        <f t="shared" si="68"/>
        <v>369.1</v>
      </c>
    </row>
    <row r="75" spans="1:64" ht="63.75" customHeight="1" x14ac:dyDescent="0.25">
      <c r="A75" s="298" t="s">
        <v>173</v>
      </c>
      <c r="B75" s="299" t="s">
        <v>169</v>
      </c>
      <c r="C75" s="1546" t="s">
        <v>250</v>
      </c>
      <c r="D75" s="1549" t="s">
        <v>251</v>
      </c>
      <c r="E75" s="1549" t="s">
        <v>252</v>
      </c>
      <c r="F75" s="1549">
        <v>2015</v>
      </c>
      <c r="G75" s="1549">
        <v>5589</v>
      </c>
      <c r="H75" s="1549">
        <v>7000</v>
      </c>
      <c r="I75" s="1429"/>
      <c r="J75" s="1429"/>
      <c r="K75" s="1429" t="s">
        <v>253</v>
      </c>
      <c r="L75" s="301" t="s">
        <v>179</v>
      </c>
      <c r="M75" s="1425" t="s">
        <v>45</v>
      </c>
      <c r="N75" s="1425" t="s">
        <v>46</v>
      </c>
      <c r="O75" s="1425" t="s">
        <v>47</v>
      </c>
      <c r="P75" s="1198" t="s">
        <v>2476</v>
      </c>
      <c r="Q75" s="302" t="s">
        <v>255</v>
      </c>
      <c r="R75" s="303">
        <v>2015</v>
      </c>
      <c r="S75" s="303" t="s">
        <v>177</v>
      </c>
      <c r="T75" s="303">
        <v>100</v>
      </c>
      <c r="U75" s="572">
        <v>200</v>
      </c>
      <c r="V75" s="572">
        <v>300</v>
      </c>
      <c r="W75" s="572">
        <v>400</v>
      </c>
      <c r="X75" s="572">
        <v>400</v>
      </c>
      <c r="Y75" s="481"/>
      <c r="Z75" s="481">
        <v>1</v>
      </c>
      <c r="AA75" s="481">
        <v>1</v>
      </c>
      <c r="AB75" s="481"/>
      <c r="AC75" s="481"/>
      <c r="AD75" s="481"/>
      <c r="AE75" s="481"/>
      <c r="AF75" s="481">
        <f t="shared" si="59"/>
        <v>2</v>
      </c>
      <c r="AG75" s="548"/>
      <c r="AH75" s="548"/>
      <c r="AI75" s="491">
        <v>1</v>
      </c>
      <c r="AJ75" s="548"/>
      <c r="AK75" s="548"/>
      <c r="AL75" s="548"/>
      <c r="AM75" s="548">
        <f t="shared" ref="AM75:AM82" si="71">SUM(AG75:AL75)</f>
        <v>1</v>
      </c>
      <c r="AN75" s="481"/>
      <c r="AO75" s="491">
        <v>1</v>
      </c>
      <c r="AP75" s="491">
        <v>1</v>
      </c>
      <c r="AQ75" s="481"/>
      <c r="AR75" s="481"/>
      <c r="AS75" s="481"/>
      <c r="AT75" s="481"/>
      <c r="AU75" s="481">
        <f t="shared" ref="AU75:AU81" si="72">SUM(AN75:AT75)</f>
        <v>2</v>
      </c>
      <c r="AV75" s="548"/>
      <c r="AW75" s="491">
        <v>1</v>
      </c>
      <c r="AX75" s="491">
        <v>1</v>
      </c>
      <c r="AY75" s="548"/>
      <c r="AZ75" s="548"/>
      <c r="BA75" s="548"/>
      <c r="BB75" s="548"/>
      <c r="BC75" s="548">
        <f t="shared" ref="BC75:BC81" si="73">SUM(AV75:BB75)</f>
        <v>2</v>
      </c>
      <c r="BD75" s="42">
        <f t="shared" si="63"/>
        <v>0</v>
      </c>
      <c r="BE75" s="42">
        <f t="shared" si="67"/>
        <v>3</v>
      </c>
      <c r="BF75" s="42">
        <f t="shared" si="64"/>
        <v>4</v>
      </c>
      <c r="BG75" s="42">
        <f t="shared" si="65"/>
        <v>0</v>
      </c>
      <c r="BH75" s="42">
        <f t="shared" si="66"/>
        <v>0</v>
      </c>
      <c r="BI75" s="42">
        <f t="shared" si="26"/>
        <v>0</v>
      </c>
      <c r="BJ75" s="42">
        <f t="shared" si="61"/>
        <v>0</v>
      </c>
      <c r="BK75" s="42">
        <f t="shared" si="62"/>
        <v>7</v>
      </c>
      <c r="BL75" s="40">
        <f t="shared" si="68"/>
        <v>7</v>
      </c>
    </row>
    <row r="76" spans="1:64" ht="44.25" customHeight="1" x14ac:dyDescent="0.25">
      <c r="A76" s="298" t="s">
        <v>173</v>
      </c>
      <c r="B76" s="299" t="s">
        <v>169</v>
      </c>
      <c r="C76" s="1547"/>
      <c r="D76" s="1549"/>
      <c r="E76" s="1549"/>
      <c r="F76" s="1549"/>
      <c r="G76" s="1549"/>
      <c r="H76" s="1549"/>
      <c r="I76" s="1429"/>
      <c r="J76" s="1429"/>
      <c r="K76" s="1429" t="s">
        <v>256</v>
      </c>
      <c r="L76" s="301" t="s">
        <v>179</v>
      </c>
      <c r="M76" s="1425" t="s">
        <v>45</v>
      </c>
      <c r="N76" s="1425" t="s">
        <v>46</v>
      </c>
      <c r="O76" s="1425" t="s">
        <v>47</v>
      </c>
      <c r="P76" s="16" t="s">
        <v>257</v>
      </c>
      <c r="Q76" s="302" t="s">
        <v>258</v>
      </c>
      <c r="R76" s="303">
        <v>2015</v>
      </c>
      <c r="S76" s="303" t="s">
        <v>177</v>
      </c>
      <c r="T76" s="303">
        <v>250</v>
      </c>
      <c r="U76" s="572">
        <v>500</v>
      </c>
      <c r="V76" s="572">
        <v>750</v>
      </c>
      <c r="W76" s="572">
        <v>1000</v>
      </c>
      <c r="X76" s="572">
        <v>1000</v>
      </c>
      <c r="Y76" s="481"/>
      <c r="Z76" s="481">
        <v>2</v>
      </c>
      <c r="AA76" s="481">
        <v>2</v>
      </c>
      <c r="AB76" s="481"/>
      <c r="AC76" s="481"/>
      <c r="AD76" s="481"/>
      <c r="AE76" s="481"/>
      <c r="AF76" s="481">
        <f t="shared" si="59"/>
        <v>4</v>
      </c>
      <c r="AG76" s="548"/>
      <c r="AH76" s="548"/>
      <c r="AI76" s="491">
        <v>1</v>
      </c>
      <c r="AJ76" s="548"/>
      <c r="AK76" s="548"/>
      <c r="AL76" s="548"/>
      <c r="AM76" s="548">
        <f t="shared" si="71"/>
        <v>1</v>
      </c>
      <c r="AN76" s="481"/>
      <c r="AO76" s="491">
        <v>1</v>
      </c>
      <c r="AP76" s="491">
        <v>1</v>
      </c>
      <c r="AQ76" s="481"/>
      <c r="AR76" s="481"/>
      <c r="AS76" s="481"/>
      <c r="AT76" s="481"/>
      <c r="AU76" s="481">
        <f t="shared" si="72"/>
        <v>2</v>
      </c>
      <c r="AV76" s="548"/>
      <c r="AW76" s="491">
        <v>1</v>
      </c>
      <c r="AX76" s="491">
        <v>1</v>
      </c>
      <c r="AY76" s="548"/>
      <c r="AZ76" s="548"/>
      <c r="BA76" s="548"/>
      <c r="BB76" s="548"/>
      <c r="BC76" s="548">
        <f t="shared" si="73"/>
        <v>2</v>
      </c>
      <c r="BD76" s="42">
        <f t="shared" si="63"/>
        <v>0</v>
      </c>
      <c r="BE76" s="42">
        <f t="shared" si="67"/>
        <v>4</v>
      </c>
      <c r="BF76" s="42">
        <f t="shared" si="64"/>
        <v>5</v>
      </c>
      <c r="BG76" s="42">
        <f t="shared" si="65"/>
        <v>0</v>
      </c>
      <c r="BH76" s="42">
        <f t="shared" si="66"/>
        <v>0</v>
      </c>
      <c r="BI76" s="42">
        <f t="shared" ref="BI76:BI136" si="74">+AD76+AS76+BA76</f>
        <v>0</v>
      </c>
      <c r="BJ76" s="42">
        <f t="shared" si="61"/>
        <v>0</v>
      </c>
      <c r="BK76" s="42">
        <f t="shared" si="62"/>
        <v>9</v>
      </c>
      <c r="BL76" s="40">
        <f t="shared" si="68"/>
        <v>9</v>
      </c>
    </row>
    <row r="77" spans="1:64" ht="58.5" customHeight="1" x14ac:dyDescent="0.25">
      <c r="A77" s="298" t="s">
        <v>173</v>
      </c>
      <c r="B77" s="299" t="s">
        <v>169</v>
      </c>
      <c r="C77" s="1547"/>
      <c r="D77" s="1549"/>
      <c r="E77" s="1549"/>
      <c r="F77" s="1549"/>
      <c r="G77" s="1549"/>
      <c r="H77" s="1549"/>
      <c r="I77" s="1429"/>
      <c r="J77" s="1429"/>
      <c r="K77" s="1429" t="s">
        <v>259</v>
      </c>
      <c r="L77" s="301" t="s">
        <v>179</v>
      </c>
      <c r="M77" s="1425" t="s">
        <v>45</v>
      </c>
      <c r="N77" s="1425" t="s">
        <v>46</v>
      </c>
      <c r="O77" s="1425" t="s">
        <v>47</v>
      </c>
      <c r="P77" s="16" t="s">
        <v>260</v>
      </c>
      <c r="Q77" s="302" t="s">
        <v>261</v>
      </c>
      <c r="R77" s="303">
        <v>2015</v>
      </c>
      <c r="S77" s="303">
        <v>4</v>
      </c>
      <c r="T77" s="303">
        <v>0</v>
      </c>
      <c r="U77" s="572">
        <v>4</v>
      </c>
      <c r="V77" s="572">
        <v>3</v>
      </c>
      <c r="W77" s="572">
        <v>0</v>
      </c>
      <c r="X77" s="572">
        <v>7</v>
      </c>
      <c r="Y77" s="481"/>
      <c r="Z77" s="481"/>
      <c r="AA77" s="481"/>
      <c r="AB77" s="481"/>
      <c r="AC77" s="481"/>
      <c r="AD77" s="481"/>
      <c r="AE77" s="481"/>
      <c r="AF77" s="481">
        <f t="shared" si="59"/>
        <v>0</v>
      </c>
      <c r="AG77" s="548"/>
      <c r="AH77" s="548"/>
      <c r="AI77" s="491">
        <v>1</v>
      </c>
      <c r="AJ77" s="548"/>
      <c r="AK77" s="548"/>
      <c r="AL77" s="548"/>
      <c r="AM77" s="548">
        <f t="shared" si="71"/>
        <v>1</v>
      </c>
      <c r="AN77" s="481"/>
      <c r="AO77" s="491">
        <v>1</v>
      </c>
      <c r="AP77" s="491">
        <v>1</v>
      </c>
      <c r="AQ77" s="481"/>
      <c r="AR77" s="481"/>
      <c r="AS77" s="481"/>
      <c r="AT77" s="481"/>
      <c r="AU77" s="481">
        <f t="shared" si="72"/>
        <v>2</v>
      </c>
      <c r="AV77" s="548"/>
      <c r="AW77" s="491">
        <v>1</v>
      </c>
      <c r="AX77" s="491">
        <v>1</v>
      </c>
      <c r="AY77" s="548"/>
      <c r="AZ77" s="548"/>
      <c r="BA77" s="548"/>
      <c r="BB77" s="548"/>
      <c r="BC77" s="548">
        <f t="shared" si="73"/>
        <v>2</v>
      </c>
      <c r="BD77" s="42">
        <f t="shared" si="63"/>
        <v>0</v>
      </c>
      <c r="BE77" s="42">
        <f t="shared" si="67"/>
        <v>2</v>
      </c>
      <c r="BF77" s="42">
        <f t="shared" si="64"/>
        <v>3</v>
      </c>
      <c r="BG77" s="42">
        <f t="shared" si="65"/>
        <v>0</v>
      </c>
      <c r="BH77" s="42">
        <f t="shared" si="66"/>
        <v>0</v>
      </c>
      <c r="BI77" s="42">
        <f t="shared" si="74"/>
        <v>0</v>
      </c>
      <c r="BJ77" s="42">
        <f t="shared" si="61"/>
        <v>0</v>
      </c>
      <c r="BK77" s="42">
        <f t="shared" si="62"/>
        <v>5</v>
      </c>
      <c r="BL77" s="40">
        <f t="shared" si="68"/>
        <v>5</v>
      </c>
    </row>
    <row r="78" spans="1:64" ht="58.5" customHeight="1" x14ac:dyDescent="0.25">
      <c r="A78" s="298" t="s">
        <v>173</v>
      </c>
      <c r="B78" s="299" t="s">
        <v>169</v>
      </c>
      <c r="C78" s="1547"/>
      <c r="D78" s="1549"/>
      <c r="E78" s="1549"/>
      <c r="F78" s="1549"/>
      <c r="G78" s="1549"/>
      <c r="H78" s="1549"/>
      <c r="I78" s="1429"/>
      <c r="J78" s="1429"/>
      <c r="K78" s="1429" t="s">
        <v>262</v>
      </c>
      <c r="L78" s="301" t="s">
        <v>179</v>
      </c>
      <c r="M78" s="1425" t="s">
        <v>45</v>
      </c>
      <c r="N78" s="1425" t="s">
        <v>46</v>
      </c>
      <c r="O78" s="1425" t="s">
        <v>73</v>
      </c>
      <c r="P78" s="16" t="s">
        <v>263</v>
      </c>
      <c r="Q78" s="302" t="s">
        <v>264</v>
      </c>
      <c r="R78" s="303">
        <v>2015</v>
      </c>
      <c r="S78" s="303">
        <v>0</v>
      </c>
      <c r="T78" s="303">
        <v>1</v>
      </c>
      <c r="U78" s="572">
        <v>1</v>
      </c>
      <c r="V78" s="572">
        <v>1</v>
      </c>
      <c r="W78" s="572">
        <v>1</v>
      </c>
      <c r="X78" s="572">
        <v>1</v>
      </c>
      <c r="Y78" s="481"/>
      <c r="Z78" s="481">
        <v>1.1000000000000001</v>
      </c>
      <c r="AA78" s="481">
        <v>1</v>
      </c>
      <c r="AB78" s="481"/>
      <c r="AC78" s="481"/>
      <c r="AD78" s="481"/>
      <c r="AE78" s="481"/>
      <c r="AF78" s="481">
        <f t="shared" si="59"/>
        <v>2.1</v>
      </c>
      <c r="AG78" s="548"/>
      <c r="AH78" s="548"/>
      <c r="AI78" s="491">
        <v>1</v>
      </c>
      <c r="AJ78" s="548"/>
      <c r="AK78" s="548"/>
      <c r="AL78" s="548"/>
      <c r="AM78" s="548">
        <f t="shared" si="71"/>
        <v>1</v>
      </c>
      <c r="AN78" s="481"/>
      <c r="AO78" s="491">
        <v>1</v>
      </c>
      <c r="AP78" s="491">
        <v>1</v>
      </c>
      <c r="AQ78" s="481"/>
      <c r="AR78" s="481"/>
      <c r="AS78" s="481"/>
      <c r="AT78" s="481"/>
      <c r="AU78" s="481">
        <f t="shared" si="72"/>
        <v>2</v>
      </c>
      <c r="AV78" s="548"/>
      <c r="AW78" s="491">
        <v>1</v>
      </c>
      <c r="AX78" s="491">
        <v>1</v>
      </c>
      <c r="AY78" s="548"/>
      <c r="AZ78" s="548"/>
      <c r="BA78" s="548"/>
      <c r="BB78" s="548"/>
      <c r="BC78" s="548">
        <f t="shared" si="73"/>
        <v>2</v>
      </c>
      <c r="BD78" s="42">
        <f t="shared" si="63"/>
        <v>0</v>
      </c>
      <c r="BE78" s="42">
        <f t="shared" si="67"/>
        <v>3.1</v>
      </c>
      <c r="BF78" s="42">
        <f t="shared" si="64"/>
        <v>4</v>
      </c>
      <c r="BG78" s="42">
        <f t="shared" si="65"/>
        <v>0</v>
      </c>
      <c r="BH78" s="42">
        <f t="shared" si="66"/>
        <v>0</v>
      </c>
      <c r="BI78" s="42">
        <f t="shared" si="74"/>
        <v>0</v>
      </c>
      <c r="BJ78" s="42">
        <f t="shared" si="61"/>
        <v>0</v>
      </c>
      <c r="BK78" s="42">
        <f t="shared" si="62"/>
        <v>7.1</v>
      </c>
      <c r="BL78" s="40">
        <f t="shared" si="68"/>
        <v>7.1</v>
      </c>
    </row>
    <row r="79" spans="1:64" ht="36.75" customHeight="1" x14ac:dyDescent="0.25">
      <c r="A79" s="298" t="s">
        <v>173</v>
      </c>
      <c r="B79" s="299" t="s">
        <v>169</v>
      </c>
      <c r="C79" s="1547"/>
      <c r="D79" s="1549"/>
      <c r="E79" s="1549"/>
      <c r="F79" s="1549"/>
      <c r="G79" s="1549"/>
      <c r="H79" s="1549"/>
      <c r="I79" s="1429"/>
      <c r="J79" s="1429"/>
      <c r="K79" s="1429" t="s">
        <v>265</v>
      </c>
      <c r="L79" s="301" t="s">
        <v>179</v>
      </c>
      <c r="M79" s="1425" t="s">
        <v>45</v>
      </c>
      <c r="N79" s="1425" t="s">
        <v>46</v>
      </c>
      <c r="O79" s="1425" t="s">
        <v>47</v>
      </c>
      <c r="P79" s="16" t="s">
        <v>266</v>
      </c>
      <c r="Q79" s="302" t="s">
        <v>267</v>
      </c>
      <c r="R79" s="303">
        <v>2015</v>
      </c>
      <c r="S79" s="303">
        <v>0</v>
      </c>
      <c r="T79" s="303">
        <v>1</v>
      </c>
      <c r="U79" s="572">
        <v>1</v>
      </c>
      <c r="V79" s="572">
        <v>1</v>
      </c>
      <c r="W79" s="572">
        <v>1</v>
      </c>
      <c r="X79" s="572">
        <v>4</v>
      </c>
      <c r="Y79" s="481"/>
      <c r="Z79" s="481">
        <v>3</v>
      </c>
      <c r="AA79" s="481">
        <v>4</v>
      </c>
      <c r="AB79" s="481"/>
      <c r="AC79" s="481"/>
      <c r="AD79" s="481">
        <v>3.1</v>
      </c>
      <c r="AE79" s="481"/>
      <c r="AF79" s="481">
        <f t="shared" si="59"/>
        <v>10.1</v>
      </c>
      <c r="AG79" s="548"/>
      <c r="AH79" s="548">
        <v>3</v>
      </c>
      <c r="AI79" s="548">
        <v>9</v>
      </c>
      <c r="AJ79" s="548"/>
      <c r="AK79" s="548"/>
      <c r="AL79" s="548"/>
      <c r="AM79" s="548">
        <f t="shared" si="71"/>
        <v>12</v>
      </c>
      <c r="AN79" s="481"/>
      <c r="AO79" s="481">
        <v>3</v>
      </c>
      <c r="AP79" s="481">
        <v>9</v>
      </c>
      <c r="AQ79" s="481"/>
      <c r="AR79" s="481"/>
      <c r="AS79" s="481"/>
      <c r="AT79" s="481"/>
      <c r="AU79" s="481">
        <f t="shared" si="72"/>
        <v>12</v>
      </c>
      <c r="AV79" s="548"/>
      <c r="AW79" s="548">
        <v>5</v>
      </c>
      <c r="AX79" s="548">
        <v>9</v>
      </c>
      <c r="AY79" s="548"/>
      <c r="AZ79" s="548"/>
      <c r="BA79" s="548"/>
      <c r="BB79" s="548"/>
      <c r="BC79" s="548">
        <f t="shared" si="73"/>
        <v>14</v>
      </c>
      <c r="BD79" s="42">
        <f t="shared" si="63"/>
        <v>0</v>
      </c>
      <c r="BE79" s="42">
        <f t="shared" si="67"/>
        <v>14</v>
      </c>
      <c r="BF79" s="42">
        <f t="shared" si="64"/>
        <v>31</v>
      </c>
      <c r="BG79" s="42">
        <f t="shared" si="65"/>
        <v>0</v>
      </c>
      <c r="BH79" s="42">
        <f t="shared" si="66"/>
        <v>0</v>
      </c>
      <c r="BI79" s="42">
        <f t="shared" si="74"/>
        <v>3.1</v>
      </c>
      <c r="BJ79" s="42">
        <f t="shared" si="61"/>
        <v>0</v>
      </c>
      <c r="BK79" s="42">
        <f t="shared" si="62"/>
        <v>48.1</v>
      </c>
      <c r="BL79" s="40">
        <f t="shared" si="68"/>
        <v>48.1</v>
      </c>
    </row>
    <row r="80" spans="1:64" ht="42" customHeight="1" x14ac:dyDescent="0.25">
      <c r="A80" s="298" t="s">
        <v>173</v>
      </c>
      <c r="B80" s="299" t="s">
        <v>169</v>
      </c>
      <c r="C80" s="1547"/>
      <c r="D80" s="1549"/>
      <c r="E80" s="1549"/>
      <c r="F80" s="1549"/>
      <c r="G80" s="1549"/>
      <c r="H80" s="1549"/>
      <c r="I80" s="1429"/>
      <c r="J80" s="1429"/>
      <c r="K80" s="1429" t="s">
        <v>268</v>
      </c>
      <c r="L80" s="301" t="s">
        <v>179</v>
      </c>
      <c r="M80" s="1425" t="s">
        <v>45</v>
      </c>
      <c r="N80" s="1425" t="s">
        <v>46</v>
      </c>
      <c r="O80" s="1425" t="s">
        <v>47</v>
      </c>
      <c r="P80" s="16" t="s">
        <v>269</v>
      </c>
      <c r="Q80" s="302" t="s">
        <v>185</v>
      </c>
      <c r="R80" s="303">
        <v>2015</v>
      </c>
      <c r="S80" s="303">
        <v>0</v>
      </c>
      <c r="T80" s="303">
        <v>1</v>
      </c>
      <c r="U80" s="572">
        <v>1</v>
      </c>
      <c r="V80" s="572">
        <v>1</v>
      </c>
      <c r="W80" s="572">
        <v>1</v>
      </c>
      <c r="X80" s="572">
        <v>4</v>
      </c>
      <c r="Y80" s="481"/>
      <c r="Z80" s="481">
        <v>1</v>
      </c>
      <c r="AA80" s="481">
        <v>1</v>
      </c>
      <c r="AB80" s="481"/>
      <c r="AC80" s="481"/>
      <c r="AD80" s="481"/>
      <c r="AE80" s="481"/>
      <c r="AF80" s="481">
        <f t="shared" si="59"/>
        <v>2</v>
      </c>
      <c r="AG80" s="548"/>
      <c r="AH80" s="548"/>
      <c r="AI80" s="491">
        <v>1</v>
      </c>
      <c r="AJ80" s="548"/>
      <c r="AK80" s="548"/>
      <c r="AL80" s="548"/>
      <c r="AM80" s="548">
        <f t="shared" si="71"/>
        <v>1</v>
      </c>
      <c r="AN80" s="481"/>
      <c r="AO80" s="491">
        <v>0.5</v>
      </c>
      <c r="AP80" s="491">
        <v>1</v>
      </c>
      <c r="AQ80" s="481"/>
      <c r="AR80" s="481"/>
      <c r="AS80" s="481"/>
      <c r="AT80" s="481"/>
      <c r="AU80" s="481">
        <f t="shared" si="72"/>
        <v>1.5</v>
      </c>
      <c r="AV80" s="548"/>
      <c r="AW80" s="491">
        <v>1</v>
      </c>
      <c r="AX80" s="491">
        <v>1</v>
      </c>
      <c r="AY80" s="548"/>
      <c r="AZ80" s="548"/>
      <c r="BA80" s="548"/>
      <c r="BB80" s="548"/>
      <c r="BC80" s="548">
        <f t="shared" si="73"/>
        <v>2</v>
      </c>
      <c r="BD80" s="42">
        <f t="shared" si="63"/>
        <v>0</v>
      </c>
      <c r="BE80" s="42">
        <f t="shared" si="67"/>
        <v>2.5</v>
      </c>
      <c r="BF80" s="42">
        <f t="shared" si="64"/>
        <v>4</v>
      </c>
      <c r="BG80" s="42">
        <f t="shared" si="65"/>
        <v>0</v>
      </c>
      <c r="BH80" s="42">
        <f t="shared" si="66"/>
        <v>0</v>
      </c>
      <c r="BI80" s="42">
        <f t="shared" si="74"/>
        <v>0</v>
      </c>
      <c r="BJ80" s="42">
        <f t="shared" si="61"/>
        <v>0</v>
      </c>
      <c r="BK80" s="42">
        <f t="shared" si="62"/>
        <v>6.5</v>
      </c>
      <c r="BL80" s="40">
        <f t="shared" si="68"/>
        <v>6.5</v>
      </c>
    </row>
    <row r="81" spans="1:64" ht="33" customHeight="1" x14ac:dyDescent="0.25">
      <c r="A81" s="298" t="s">
        <v>173</v>
      </c>
      <c r="B81" s="299" t="s">
        <v>169</v>
      </c>
      <c r="C81" s="1547"/>
      <c r="D81" s="1549"/>
      <c r="E81" s="1549"/>
      <c r="F81" s="1549"/>
      <c r="G81" s="1549"/>
      <c r="H81" s="1549"/>
      <c r="I81" s="1429"/>
      <c r="J81" s="1429"/>
      <c r="K81" s="1429" t="s">
        <v>270</v>
      </c>
      <c r="L81" s="301" t="s">
        <v>179</v>
      </c>
      <c r="M81" s="1425" t="s">
        <v>45</v>
      </c>
      <c r="N81" s="1425" t="s">
        <v>46</v>
      </c>
      <c r="O81" s="1425" t="s">
        <v>47</v>
      </c>
      <c r="P81" s="16" t="s">
        <v>271</v>
      </c>
      <c r="Q81" s="302" t="s">
        <v>239</v>
      </c>
      <c r="R81" s="303">
        <v>2015</v>
      </c>
      <c r="S81" s="303">
        <v>0</v>
      </c>
      <c r="T81" s="303">
        <v>4</v>
      </c>
      <c r="U81" s="572">
        <v>4</v>
      </c>
      <c r="V81" s="572">
        <v>4</v>
      </c>
      <c r="W81" s="572">
        <v>4</v>
      </c>
      <c r="X81" s="572">
        <v>16</v>
      </c>
      <c r="Y81" s="481"/>
      <c r="Z81" s="481">
        <v>1</v>
      </c>
      <c r="AA81" s="481">
        <v>1</v>
      </c>
      <c r="AB81" s="481"/>
      <c r="AC81" s="481"/>
      <c r="AD81" s="481"/>
      <c r="AE81" s="481"/>
      <c r="AF81" s="481">
        <f t="shared" si="59"/>
        <v>2</v>
      </c>
      <c r="AG81" s="548"/>
      <c r="AH81" s="548"/>
      <c r="AI81" s="491">
        <v>1</v>
      </c>
      <c r="AJ81" s="548"/>
      <c r="AK81" s="548"/>
      <c r="AL81" s="548"/>
      <c r="AM81" s="548">
        <f t="shared" si="71"/>
        <v>1</v>
      </c>
      <c r="AN81" s="481"/>
      <c r="AO81" s="491">
        <v>0.5</v>
      </c>
      <c r="AP81" s="491">
        <v>1</v>
      </c>
      <c r="AQ81" s="481"/>
      <c r="AR81" s="481"/>
      <c r="AS81" s="481"/>
      <c r="AT81" s="481"/>
      <c r="AU81" s="481">
        <f t="shared" si="72"/>
        <v>1.5</v>
      </c>
      <c r="AV81" s="548"/>
      <c r="AW81" s="491">
        <v>1</v>
      </c>
      <c r="AX81" s="491">
        <v>1</v>
      </c>
      <c r="AY81" s="548"/>
      <c r="AZ81" s="548"/>
      <c r="BA81" s="548"/>
      <c r="BB81" s="548"/>
      <c r="BC81" s="548">
        <f t="shared" si="73"/>
        <v>2</v>
      </c>
      <c r="BD81" s="42">
        <f t="shared" si="63"/>
        <v>0</v>
      </c>
      <c r="BE81" s="42">
        <f t="shared" si="67"/>
        <v>2.5</v>
      </c>
      <c r="BF81" s="42">
        <f t="shared" si="64"/>
        <v>4</v>
      </c>
      <c r="BG81" s="42">
        <f t="shared" si="65"/>
        <v>0</v>
      </c>
      <c r="BH81" s="42">
        <f t="shared" si="66"/>
        <v>0</v>
      </c>
      <c r="BI81" s="42">
        <f t="shared" si="74"/>
        <v>0</v>
      </c>
      <c r="BJ81" s="42">
        <f t="shared" si="61"/>
        <v>0</v>
      </c>
      <c r="BK81" s="42">
        <f t="shared" si="62"/>
        <v>6.5</v>
      </c>
      <c r="BL81" s="40">
        <f t="shared" si="68"/>
        <v>6.5</v>
      </c>
    </row>
    <row r="82" spans="1:64" ht="36.75" customHeight="1" x14ac:dyDescent="0.25">
      <c r="A82" s="298" t="s">
        <v>173</v>
      </c>
      <c r="B82" s="299" t="s">
        <v>169</v>
      </c>
      <c r="C82" s="1547"/>
      <c r="D82" s="1550"/>
      <c r="E82" s="1550"/>
      <c r="F82" s="1549"/>
      <c r="G82" s="1549"/>
      <c r="H82" s="1549"/>
      <c r="I82" s="1429"/>
      <c r="J82" s="1429"/>
      <c r="K82" s="1429" t="s">
        <v>272</v>
      </c>
      <c r="L82" s="301" t="s">
        <v>179</v>
      </c>
      <c r="M82" s="1425" t="s">
        <v>45</v>
      </c>
      <c r="N82" s="1425" t="s">
        <v>46</v>
      </c>
      <c r="O82" s="1425" t="s">
        <v>73</v>
      </c>
      <c r="P82" s="16" t="s">
        <v>273</v>
      </c>
      <c r="Q82" s="302" t="s">
        <v>274</v>
      </c>
      <c r="R82" s="303">
        <v>2015</v>
      </c>
      <c r="S82" s="303">
        <v>0</v>
      </c>
      <c r="T82" s="303">
        <v>1</v>
      </c>
      <c r="U82" s="572">
        <v>1</v>
      </c>
      <c r="V82" s="572">
        <v>1</v>
      </c>
      <c r="W82" s="572">
        <v>1</v>
      </c>
      <c r="X82" s="572">
        <v>1</v>
      </c>
      <c r="Y82" s="481"/>
      <c r="Z82" s="481">
        <v>1</v>
      </c>
      <c r="AA82" s="481">
        <v>1</v>
      </c>
      <c r="AB82" s="481"/>
      <c r="AC82" s="481"/>
      <c r="AD82" s="481"/>
      <c r="AE82" s="481"/>
      <c r="AF82" s="481">
        <f t="shared" si="59"/>
        <v>2</v>
      </c>
      <c r="AG82" s="548"/>
      <c r="AH82" s="548"/>
      <c r="AI82" s="491">
        <v>1</v>
      </c>
      <c r="AJ82" s="548"/>
      <c r="AK82" s="548"/>
      <c r="AL82" s="548"/>
      <c r="AM82" s="548">
        <f t="shared" si="71"/>
        <v>1</v>
      </c>
      <c r="AN82" s="481"/>
      <c r="AO82" s="491">
        <v>0.5</v>
      </c>
      <c r="AP82" s="491">
        <v>1</v>
      </c>
      <c r="AQ82" s="481"/>
      <c r="AR82" s="481"/>
      <c r="AS82" s="481"/>
      <c r="AT82" s="481"/>
      <c r="AU82" s="481">
        <f>SUM(AN82:AT82)</f>
        <v>1.5</v>
      </c>
      <c r="AV82" s="548"/>
      <c r="AW82" s="491">
        <v>1</v>
      </c>
      <c r="AX82" s="491">
        <v>1</v>
      </c>
      <c r="AY82" s="548"/>
      <c r="AZ82" s="548"/>
      <c r="BA82" s="548"/>
      <c r="BB82" s="548"/>
      <c r="BC82" s="548">
        <f>SUM(AV82:BB82)</f>
        <v>2</v>
      </c>
      <c r="BD82" s="42">
        <f>+AV82+AN82+AG82+Y82</f>
        <v>0</v>
      </c>
      <c r="BE82" s="42">
        <f>+AW82+AO82+AH82+Z82</f>
        <v>2.5</v>
      </c>
      <c r="BF82" s="42">
        <f>+AX82+AP82+AI82+AA82</f>
        <v>4</v>
      </c>
      <c r="BG82" s="42">
        <f>+AY82+AQ82+AJ82+AB82</f>
        <v>0</v>
      </c>
      <c r="BH82" s="42">
        <f>+AZ82+AR82+AK82+AC82</f>
        <v>0</v>
      </c>
      <c r="BI82" s="42">
        <f t="shared" si="74"/>
        <v>0</v>
      </c>
      <c r="BJ82" s="42">
        <f>+BB82+AT82+AL82+AE82</f>
        <v>0</v>
      </c>
      <c r="BK82" s="42">
        <f>+BC82+AU82+AM82+AF82</f>
        <v>6.5</v>
      </c>
      <c r="BL82" s="40">
        <f t="shared" si="68"/>
        <v>6.5</v>
      </c>
    </row>
    <row r="83" spans="1:64" ht="25.5" customHeight="1" x14ac:dyDescent="0.25">
      <c r="A83" s="298" t="s">
        <v>173</v>
      </c>
      <c r="B83" s="299" t="s">
        <v>169</v>
      </c>
      <c r="C83" s="1548"/>
      <c r="D83" s="1549"/>
      <c r="E83" s="1549"/>
      <c r="F83" s="1549"/>
      <c r="G83" s="1549"/>
      <c r="H83" s="1549"/>
      <c r="I83" s="1429" t="s">
        <v>53</v>
      </c>
      <c r="J83" s="1429"/>
      <c r="K83" s="1429" t="s">
        <v>275</v>
      </c>
      <c r="L83" s="301" t="s">
        <v>179</v>
      </c>
      <c r="M83" s="1425" t="s">
        <v>45</v>
      </c>
      <c r="N83" s="1425" t="s">
        <v>46</v>
      </c>
      <c r="O83" s="1425" t="s">
        <v>47</v>
      </c>
      <c r="P83" s="16" t="s">
        <v>276</v>
      </c>
      <c r="Q83" s="302" t="s">
        <v>277</v>
      </c>
      <c r="R83" s="303">
        <v>2015</v>
      </c>
      <c r="S83" s="303">
        <v>0</v>
      </c>
      <c r="T83" s="303">
        <v>2</v>
      </c>
      <c r="U83" s="572">
        <v>2</v>
      </c>
      <c r="V83" s="572">
        <v>2</v>
      </c>
      <c r="W83" s="572">
        <v>2</v>
      </c>
      <c r="X83" s="572">
        <v>2</v>
      </c>
      <c r="Y83" s="481"/>
      <c r="Z83" s="481">
        <v>0</v>
      </c>
      <c r="AA83" s="481">
        <v>18.899999999999999</v>
      </c>
      <c r="AB83" s="481">
        <v>250</v>
      </c>
      <c r="AC83" s="481"/>
      <c r="AD83" s="481"/>
      <c r="AE83" s="481"/>
      <c r="AF83" s="481">
        <f t="shared" ref="AF83:AF94" si="75">SUM(Y83:AE83)</f>
        <v>268.89999999999998</v>
      </c>
      <c r="AG83" s="548"/>
      <c r="AH83" s="548"/>
      <c r="AI83" s="491">
        <v>1</v>
      </c>
      <c r="AJ83" s="548"/>
      <c r="AK83" s="548"/>
      <c r="AL83" s="548"/>
      <c r="AM83" s="548">
        <f>SUM(AG83:AL83)</f>
        <v>1</v>
      </c>
      <c r="AN83" s="481"/>
      <c r="AO83" s="491">
        <v>0.5</v>
      </c>
      <c r="AP83" s="491">
        <v>1</v>
      </c>
      <c r="AQ83" s="481"/>
      <c r="AR83" s="481"/>
      <c r="AS83" s="481"/>
      <c r="AT83" s="481"/>
      <c r="AU83" s="481">
        <f>SUM(AN83:AT83)</f>
        <v>1.5</v>
      </c>
      <c r="AV83" s="548"/>
      <c r="AW83" s="491">
        <v>1</v>
      </c>
      <c r="AX83" s="491">
        <v>1</v>
      </c>
      <c r="AY83" s="548"/>
      <c r="AZ83" s="548"/>
      <c r="BA83" s="548"/>
      <c r="BB83" s="548"/>
      <c r="BC83" s="548">
        <f>SUM(AV83:BB83)</f>
        <v>2</v>
      </c>
      <c r="BD83" s="42">
        <f t="shared" si="63"/>
        <v>0</v>
      </c>
      <c r="BE83" s="42">
        <f t="shared" si="67"/>
        <v>1.5</v>
      </c>
      <c r="BF83" s="42">
        <f t="shared" si="64"/>
        <v>21.9</v>
      </c>
      <c r="BG83" s="42">
        <f t="shared" si="65"/>
        <v>250</v>
      </c>
      <c r="BH83" s="42">
        <f t="shared" si="66"/>
        <v>0</v>
      </c>
      <c r="BI83" s="42">
        <f t="shared" si="74"/>
        <v>0</v>
      </c>
      <c r="BJ83" s="42">
        <f t="shared" si="61"/>
        <v>0</v>
      </c>
      <c r="BK83" s="42">
        <f t="shared" si="62"/>
        <v>273.39999999999998</v>
      </c>
      <c r="BL83" s="40">
        <f t="shared" si="68"/>
        <v>273.39999999999998</v>
      </c>
    </row>
    <row r="84" spans="1:64" ht="17.399999999999999" x14ac:dyDescent="0.25">
      <c r="A84" s="420"/>
      <c r="B84" s="1556" t="s">
        <v>278</v>
      </c>
      <c r="C84" s="1557"/>
      <c r="D84" s="1557"/>
      <c r="E84" s="1557"/>
      <c r="F84" s="1557"/>
      <c r="G84" s="1557"/>
      <c r="H84" s="1557"/>
      <c r="I84" s="1557"/>
      <c r="J84" s="1557"/>
      <c r="K84" s="1557"/>
      <c r="L84" s="1557"/>
      <c r="M84" s="1558"/>
      <c r="N84" s="597"/>
      <c r="O84" s="597"/>
      <c r="P84" s="597"/>
      <c r="Q84" s="598"/>
      <c r="R84" s="597"/>
      <c r="S84" s="597"/>
      <c r="T84" s="597"/>
      <c r="U84" s="599"/>
      <c r="V84" s="599"/>
      <c r="W84" s="599"/>
      <c r="X84" s="599"/>
      <c r="Y84" s="600">
        <f t="shared" ref="Y84:AE84" si="76">+Y85+Y97</f>
        <v>0</v>
      </c>
      <c r="Z84" s="600">
        <f t="shared" si="76"/>
        <v>0</v>
      </c>
      <c r="AA84" s="601">
        <f t="shared" si="76"/>
        <v>148.80000000000001</v>
      </c>
      <c r="AB84" s="600">
        <f t="shared" si="76"/>
        <v>1278</v>
      </c>
      <c r="AC84" s="600">
        <f t="shared" si="76"/>
        <v>0</v>
      </c>
      <c r="AD84" s="600">
        <f t="shared" si="76"/>
        <v>330.6</v>
      </c>
      <c r="AE84" s="600">
        <f t="shared" si="76"/>
        <v>0</v>
      </c>
      <c r="AF84" s="602">
        <f t="shared" si="75"/>
        <v>1757.4</v>
      </c>
      <c r="AG84" s="600">
        <f t="shared" ref="AG84:AL84" si="77">+AG85+AG97</f>
        <v>0</v>
      </c>
      <c r="AH84" s="600">
        <f t="shared" si="77"/>
        <v>0</v>
      </c>
      <c r="AI84" s="600">
        <v>142.67000000000002</v>
      </c>
      <c r="AJ84" s="600">
        <f t="shared" si="77"/>
        <v>500</v>
      </c>
      <c r="AK84" s="600">
        <f t="shared" si="77"/>
        <v>0</v>
      </c>
      <c r="AL84" s="600">
        <f t="shared" si="77"/>
        <v>0</v>
      </c>
      <c r="AM84" s="600">
        <f t="shared" ref="AM84:AM94" si="78">SUM(AG84:AL84)</f>
        <v>642.67000000000007</v>
      </c>
      <c r="AN84" s="600">
        <f t="shared" ref="AN84:AT84" si="79">+AN85+AN97</f>
        <v>0</v>
      </c>
      <c r="AO84" s="600">
        <f t="shared" si="79"/>
        <v>0</v>
      </c>
      <c r="AP84" s="600">
        <f t="shared" si="79"/>
        <v>161</v>
      </c>
      <c r="AQ84" s="600">
        <f t="shared" si="79"/>
        <v>0</v>
      </c>
      <c r="AR84" s="600">
        <f t="shared" si="79"/>
        <v>0</v>
      </c>
      <c r="AS84" s="600">
        <f t="shared" si="79"/>
        <v>0</v>
      </c>
      <c r="AT84" s="600">
        <f t="shared" si="79"/>
        <v>0</v>
      </c>
      <c r="AU84" s="600">
        <f t="shared" ref="AU84:AU94" si="80">SUM(AN84:AT84)</f>
        <v>161</v>
      </c>
      <c r="AV84" s="600">
        <f t="shared" ref="AV84:BB84" si="81">+AV85+AV97</f>
        <v>0</v>
      </c>
      <c r="AW84" s="600">
        <f t="shared" si="81"/>
        <v>0</v>
      </c>
      <c r="AX84" s="600">
        <f t="shared" si="81"/>
        <v>168</v>
      </c>
      <c r="AY84" s="600">
        <f t="shared" si="81"/>
        <v>0</v>
      </c>
      <c r="AZ84" s="600">
        <f t="shared" si="81"/>
        <v>0</v>
      </c>
      <c r="BA84" s="600">
        <f t="shared" si="81"/>
        <v>0</v>
      </c>
      <c r="BB84" s="600">
        <f t="shared" si="81"/>
        <v>0</v>
      </c>
      <c r="BC84" s="600">
        <f t="shared" ref="BC84:BC94" si="82">SUM(AV84:BB84)</f>
        <v>168</v>
      </c>
      <c r="BD84" s="33">
        <f t="shared" si="63"/>
        <v>0</v>
      </c>
      <c r="BE84" s="33">
        <f t="shared" si="67"/>
        <v>0</v>
      </c>
      <c r="BF84" s="33">
        <f t="shared" si="64"/>
        <v>620.47</v>
      </c>
      <c r="BG84" s="33">
        <f t="shared" si="65"/>
        <v>1778</v>
      </c>
      <c r="BH84" s="33">
        <f t="shared" si="66"/>
        <v>0</v>
      </c>
      <c r="BI84" s="33">
        <f t="shared" si="74"/>
        <v>330.6</v>
      </c>
      <c r="BJ84" s="33">
        <f t="shared" si="61"/>
        <v>0</v>
      </c>
      <c r="BK84" s="33">
        <f t="shared" si="62"/>
        <v>2729.07</v>
      </c>
      <c r="BL84" s="40">
        <f t="shared" si="68"/>
        <v>2729.07</v>
      </c>
    </row>
    <row r="85" spans="1:64" ht="66" x14ac:dyDescent="0.25">
      <c r="A85" s="603"/>
      <c r="B85" s="154" t="s">
        <v>278</v>
      </c>
      <c r="C85" s="6"/>
      <c r="D85" s="2" t="s">
        <v>279</v>
      </c>
      <c r="E85" s="1"/>
      <c r="F85" s="1"/>
      <c r="G85" s="1"/>
      <c r="H85" s="1"/>
      <c r="I85" s="1"/>
      <c r="J85" s="1"/>
      <c r="K85" s="1"/>
      <c r="L85" s="1"/>
      <c r="M85" s="1"/>
      <c r="N85" s="1"/>
      <c r="O85" s="1"/>
      <c r="P85" s="1"/>
      <c r="Q85" s="22"/>
      <c r="R85" s="1"/>
      <c r="S85" s="1"/>
      <c r="T85" s="1"/>
      <c r="U85" s="49"/>
      <c r="V85" s="49"/>
      <c r="W85" s="49"/>
      <c r="X85" s="49"/>
      <c r="Y85" s="34">
        <f t="shared" ref="Y85:AE85" si="83">SUM(Y86:Y96)</f>
        <v>0</v>
      </c>
      <c r="Z85" s="34">
        <f t="shared" si="83"/>
        <v>0</v>
      </c>
      <c r="AA85" s="54">
        <f t="shared" si="83"/>
        <v>71.3</v>
      </c>
      <c r="AB85" s="34">
        <f t="shared" si="83"/>
        <v>1278</v>
      </c>
      <c r="AC85" s="34">
        <f t="shared" si="83"/>
        <v>0</v>
      </c>
      <c r="AD85" s="34">
        <f t="shared" si="83"/>
        <v>329.6</v>
      </c>
      <c r="AE85" s="34">
        <f t="shared" si="83"/>
        <v>0</v>
      </c>
      <c r="AF85" s="45">
        <f t="shared" si="75"/>
        <v>1678.9</v>
      </c>
      <c r="AG85" s="34">
        <f t="shared" ref="AG85:AL85" si="84">SUM(AG86:AG96)</f>
        <v>0</v>
      </c>
      <c r="AH85" s="34">
        <f t="shared" si="84"/>
        <v>0</v>
      </c>
      <c r="AI85" s="34">
        <v>92.67</v>
      </c>
      <c r="AJ85" s="34">
        <f t="shared" si="84"/>
        <v>500</v>
      </c>
      <c r="AK85" s="34">
        <f t="shared" si="84"/>
        <v>0</v>
      </c>
      <c r="AL85" s="34">
        <f t="shared" si="84"/>
        <v>0</v>
      </c>
      <c r="AM85" s="34">
        <f t="shared" si="78"/>
        <v>592.66999999999996</v>
      </c>
      <c r="AN85" s="34">
        <f t="shared" ref="AN85:AT85" si="85">SUM(AN86:AN96)</f>
        <v>0</v>
      </c>
      <c r="AO85" s="34">
        <f t="shared" si="85"/>
        <v>0</v>
      </c>
      <c r="AP85" s="34">
        <f t="shared" si="85"/>
        <v>111</v>
      </c>
      <c r="AQ85" s="34">
        <f t="shared" si="85"/>
        <v>0</v>
      </c>
      <c r="AR85" s="34">
        <f t="shared" si="85"/>
        <v>0</v>
      </c>
      <c r="AS85" s="34">
        <f t="shared" si="85"/>
        <v>0</v>
      </c>
      <c r="AT85" s="34">
        <f t="shared" si="85"/>
        <v>0</v>
      </c>
      <c r="AU85" s="34">
        <f t="shared" si="80"/>
        <v>111</v>
      </c>
      <c r="AV85" s="34">
        <f t="shared" ref="AV85:BB85" si="86">SUM(AV86:AV96)</f>
        <v>0</v>
      </c>
      <c r="AW85" s="34">
        <f t="shared" si="86"/>
        <v>0</v>
      </c>
      <c r="AX85" s="34">
        <f t="shared" si="86"/>
        <v>118</v>
      </c>
      <c r="AY85" s="34">
        <f t="shared" si="86"/>
        <v>0</v>
      </c>
      <c r="AZ85" s="34">
        <f t="shared" si="86"/>
        <v>0</v>
      </c>
      <c r="BA85" s="34">
        <f t="shared" si="86"/>
        <v>0</v>
      </c>
      <c r="BB85" s="34">
        <f t="shared" si="86"/>
        <v>0</v>
      </c>
      <c r="BC85" s="34">
        <f t="shared" si="82"/>
        <v>118</v>
      </c>
      <c r="BD85" s="34">
        <f t="shared" si="63"/>
        <v>0</v>
      </c>
      <c r="BE85" s="34">
        <f t="shared" si="67"/>
        <v>0</v>
      </c>
      <c r="BF85" s="34">
        <f t="shared" si="64"/>
        <v>392.97</v>
      </c>
      <c r="BG85" s="34">
        <f t="shared" si="65"/>
        <v>1778</v>
      </c>
      <c r="BH85" s="34">
        <f t="shared" si="66"/>
        <v>0</v>
      </c>
      <c r="BI85" s="34">
        <f t="shared" si="74"/>
        <v>329.6</v>
      </c>
      <c r="BJ85" s="34">
        <f t="shared" si="61"/>
        <v>0</v>
      </c>
      <c r="BK85" s="34">
        <f t="shared" si="62"/>
        <v>2500.5700000000002</v>
      </c>
      <c r="BL85" s="40">
        <f t="shared" si="68"/>
        <v>2500.5700000000002</v>
      </c>
    </row>
    <row r="86" spans="1:64" ht="44.25" customHeight="1" x14ac:dyDescent="0.25">
      <c r="A86" s="298" t="s">
        <v>280</v>
      </c>
      <c r="B86" s="299" t="s">
        <v>278</v>
      </c>
      <c r="C86" s="1546" t="s">
        <v>281</v>
      </c>
      <c r="D86" s="1550" t="s">
        <v>282</v>
      </c>
      <c r="E86" s="1550" t="s">
        <v>283</v>
      </c>
      <c r="F86" s="1550">
        <v>2015</v>
      </c>
      <c r="G86" s="1550">
        <v>8</v>
      </c>
      <c r="H86" s="1550">
        <v>10</v>
      </c>
      <c r="I86" s="1425"/>
      <c r="J86" s="1425"/>
      <c r="K86" s="1425" t="s">
        <v>284</v>
      </c>
      <c r="L86" s="301"/>
      <c r="M86" s="1425" t="s">
        <v>45</v>
      </c>
      <c r="N86" s="1425" t="s">
        <v>46</v>
      </c>
      <c r="O86" s="1425" t="s">
        <v>47</v>
      </c>
      <c r="P86" s="1198" t="s">
        <v>2477</v>
      </c>
      <c r="Q86" s="302" t="s">
        <v>2478</v>
      </c>
      <c r="R86" s="303">
        <v>2015</v>
      </c>
      <c r="S86" s="303">
        <v>0</v>
      </c>
      <c r="T86" s="303">
        <v>0</v>
      </c>
      <c r="U86" s="572">
        <v>1</v>
      </c>
      <c r="V86" s="572">
        <v>1</v>
      </c>
      <c r="W86" s="572">
        <v>1</v>
      </c>
      <c r="X86" s="572">
        <v>1</v>
      </c>
      <c r="Y86" s="483"/>
      <c r="Z86" s="483"/>
      <c r="AA86" s="577"/>
      <c r="AB86" s="483"/>
      <c r="AC86" s="483"/>
      <c r="AD86" s="483"/>
      <c r="AE86" s="483"/>
      <c r="AF86" s="578">
        <f t="shared" si="75"/>
        <v>0</v>
      </c>
      <c r="AG86" s="587"/>
      <c r="AH86" s="587"/>
      <c r="AI86" s="492">
        <v>1</v>
      </c>
      <c r="AJ86" s="587"/>
      <c r="AK86" s="587"/>
      <c r="AL86" s="587"/>
      <c r="AM86" s="587">
        <f t="shared" si="78"/>
        <v>1</v>
      </c>
      <c r="AN86" s="483"/>
      <c r="AO86" s="483"/>
      <c r="AP86" s="492">
        <v>1</v>
      </c>
      <c r="AQ86" s="483"/>
      <c r="AR86" s="483"/>
      <c r="AS86" s="483"/>
      <c r="AT86" s="483"/>
      <c r="AU86" s="483">
        <f t="shared" si="80"/>
        <v>1</v>
      </c>
      <c r="AV86" s="587"/>
      <c r="AW86" s="587"/>
      <c r="AX86" s="492">
        <v>1</v>
      </c>
      <c r="AY86" s="587"/>
      <c r="AZ86" s="587"/>
      <c r="BA86" s="587"/>
      <c r="BB86" s="587"/>
      <c r="BC86" s="587">
        <f t="shared" si="82"/>
        <v>1</v>
      </c>
      <c r="BD86" s="44">
        <f t="shared" si="63"/>
        <v>0</v>
      </c>
      <c r="BE86" s="44">
        <f t="shared" si="67"/>
        <v>0</v>
      </c>
      <c r="BF86" s="44">
        <f t="shared" si="64"/>
        <v>3</v>
      </c>
      <c r="BG86" s="44">
        <f t="shared" si="65"/>
        <v>0</v>
      </c>
      <c r="BH86" s="44">
        <f t="shared" si="66"/>
        <v>0</v>
      </c>
      <c r="BI86" s="44">
        <f t="shared" si="74"/>
        <v>0</v>
      </c>
      <c r="BJ86" s="44">
        <f t="shared" si="61"/>
        <v>0</v>
      </c>
      <c r="BK86" s="44">
        <f t="shared" si="62"/>
        <v>3</v>
      </c>
      <c r="BL86" s="40">
        <f t="shared" si="68"/>
        <v>3</v>
      </c>
    </row>
    <row r="87" spans="1:64" ht="42" customHeight="1" x14ac:dyDescent="0.25">
      <c r="A87" s="298" t="s">
        <v>280</v>
      </c>
      <c r="B87" s="299" t="s">
        <v>278</v>
      </c>
      <c r="C87" s="1547"/>
      <c r="D87" s="1551"/>
      <c r="E87" s="1551"/>
      <c r="F87" s="1551"/>
      <c r="G87" s="1551"/>
      <c r="H87" s="1551"/>
      <c r="I87" s="1425" t="s">
        <v>53</v>
      </c>
      <c r="J87" s="1425"/>
      <c r="K87" s="1425" t="s">
        <v>287</v>
      </c>
      <c r="L87" s="301"/>
      <c r="M87" s="1425" t="s">
        <v>45</v>
      </c>
      <c r="N87" s="1425" t="s">
        <v>46</v>
      </c>
      <c r="O87" s="1425" t="s">
        <v>47</v>
      </c>
      <c r="P87" s="16" t="s">
        <v>288</v>
      </c>
      <c r="Q87" s="302" t="s">
        <v>289</v>
      </c>
      <c r="R87" s="303">
        <v>2015</v>
      </c>
      <c r="S87" s="303">
        <v>0</v>
      </c>
      <c r="T87" s="303">
        <v>1</v>
      </c>
      <c r="U87" s="572">
        <v>1</v>
      </c>
      <c r="V87" s="572">
        <v>1</v>
      </c>
      <c r="W87" s="572">
        <v>1</v>
      </c>
      <c r="X87" s="572">
        <v>1</v>
      </c>
      <c r="Y87" s="481"/>
      <c r="Z87" s="481"/>
      <c r="AA87" s="579"/>
      <c r="AB87" s="481">
        <v>900</v>
      </c>
      <c r="AC87" s="481"/>
      <c r="AD87" s="481"/>
      <c r="AE87" s="481"/>
      <c r="AF87" s="578">
        <f t="shared" si="75"/>
        <v>900</v>
      </c>
      <c r="AG87" s="548"/>
      <c r="AH87" s="548"/>
      <c r="AI87" s="492">
        <v>1</v>
      </c>
      <c r="AJ87" s="548"/>
      <c r="AK87" s="548"/>
      <c r="AL87" s="548"/>
      <c r="AM87" s="548">
        <f t="shared" si="78"/>
        <v>1</v>
      </c>
      <c r="AN87" s="481"/>
      <c r="AO87" s="481"/>
      <c r="AP87" s="492">
        <v>1</v>
      </c>
      <c r="AQ87" s="481"/>
      <c r="AR87" s="481"/>
      <c r="AS87" s="481"/>
      <c r="AT87" s="481"/>
      <c r="AU87" s="481">
        <f t="shared" si="80"/>
        <v>1</v>
      </c>
      <c r="AV87" s="548"/>
      <c r="AW87" s="548"/>
      <c r="AX87" s="492">
        <v>1</v>
      </c>
      <c r="AY87" s="548"/>
      <c r="AZ87" s="548"/>
      <c r="BA87" s="548"/>
      <c r="BB87" s="548"/>
      <c r="BC87" s="548">
        <f t="shared" si="82"/>
        <v>1</v>
      </c>
      <c r="BD87" s="42">
        <f t="shared" si="63"/>
        <v>0</v>
      </c>
      <c r="BE87" s="42">
        <f t="shared" si="67"/>
        <v>0</v>
      </c>
      <c r="BF87" s="42">
        <f t="shared" si="64"/>
        <v>3</v>
      </c>
      <c r="BG87" s="42">
        <f t="shared" si="65"/>
        <v>900</v>
      </c>
      <c r="BH87" s="42">
        <f t="shared" si="66"/>
        <v>0</v>
      </c>
      <c r="BI87" s="42">
        <f t="shared" si="74"/>
        <v>0</v>
      </c>
      <c r="BJ87" s="42">
        <f t="shared" si="61"/>
        <v>0</v>
      </c>
      <c r="BK87" s="42">
        <f t="shared" si="62"/>
        <v>903</v>
      </c>
      <c r="BL87" s="40">
        <f t="shared" si="68"/>
        <v>903</v>
      </c>
    </row>
    <row r="88" spans="1:64" ht="33.75" customHeight="1" x14ac:dyDescent="0.25">
      <c r="A88" s="298" t="s">
        <v>280</v>
      </c>
      <c r="B88" s="299" t="s">
        <v>278</v>
      </c>
      <c r="C88" s="1547"/>
      <c r="D88" s="1551"/>
      <c r="E88" s="1551"/>
      <c r="F88" s="1551"/>
      <c r="G88" s="1551"/>
      <c r="H88" s="1551"/>
      <c r="I88" s="1425" t="s">
        <v>53</v>
      </c>
      <c r="J88" s="1425"/>
      <c r="K88" s="1425" t="s">
        <v>290</v>
      </c>
      <c r="L88" s="301"/>
      <c r="M88" s="1425" t="s">
        <v>45</v>
      </c>
      <c r="N88" s="1425" t="s">
        <v>46</v>
      </c>
      <c r="O88" s="1425" t="s">
        <v>47</v>
      </c>
      <c r="P88" s="1201" t="s">
        <v>2479</v>
      </c>
      <c r="Q88" s="302" t="s">
        <v>292</v>
      </c>
      <c r="R88" s="303" t="s">
        <v>182</v>
      </c>
      <c r="S88" s="303">
        <v>4</v>
      </c>
      <c r="T88" s="303">
        <v>2</v>
      </c>
      <c r="U88" s="572">
        <v>1</v>
      </c>
      <c r="V88" s="572">
        <v>2</v>
      </c>
      <c r="W88" s="572">
        <v>1</v>
      </c>
      <c r="X88" s="572">
        <v>6</v>
      </c>
      <c r="Y88" s="483"/>
      <c r="Z88" s="483"/>
      <c r="AA88" s="577">
        <v>0</v>
      </c>
      <c r="AB88" s="483">
        <v>378</v>
      </c>
      <c r="AC88" s="483"/>
      <c r="AD88" s="493">
        <v>319.54000000000002</v>
      </c>
      <c r="AE88" s="483"/>
      <c r="AF88" s="578">
        <f t="shared" si="75"/>
        <v>697.54</v>
      </c>
      <c r="AG88" s="587"/>
      <c r="AH88" s="587"/>
      <c r="AI88" s="587">
        <v>10</v>
      </c>
      <c r="AJ88" s="587"/>
      <c r="AK88" s="587"/>
      <c r="AL88" s="587"/>
      <c r="AM88" s="587">
        <f t="shared" si="78"/>
        <v>10</v>
      </c>
      <c r="AN88" s="483"/>
      <c r="AO88" s="483"/>
      <c r="AP88" s="483">
        <v>40</v>
      </c>
      <c r="AQ88" s="483"/>
      <c r="AR88" s="483"/>
      <c r="AS88" s="483"/>
      <c r="AT88" s="483"/>
      <c r="AU88" s="483">
        <f t="shared" si="80"/>
        <v>40</v>
      </c>
      <c r="AV88" s="587"/>
      <c r="AW88" s="587"/>
      <c r="AX88" s="587">
        <v>58</v>
      </c>
      <c r="AY88" s="587"/>
      <c r="AZ88" s="587"/>
      <c r="BA88" s="587"/>
      <c r="BB88" s="587"/>
      <c r="BC88" s="587">
        <f t="shared" si="82"/>
        <v>58</v>
      </c>
      <c r="BD88" s="44">
        <f t="shared" si="63"/>
        <v>0</v>
      </c>
      <c r="BE88" s="44">
        <f t="shared" si="67"/>
        <v>0</v>
      </c>
      <c r="BF88" s="44">
        <f t="shared" si="64"/>
        <v>108</v>
      </c>
      <c r="BG88" s="44">
        <f t="shared" si="65"/>
        <v>378</v>
      </c>
      <c r="BH88" s="44">
        <f t="shared" si="66"/>
        <v>0</v>
      </c>
      <c r="BI88" s="44">
        <f t="shared" si="74"/>
        <v>319.54000000000002</v>
      </c>
      <c r="BJ88" s="44">
        <f t="shared" si="61"/>
        <v>0</v>
      </c>
      <c r="BK88" s="44">
        <f t="shared" si="62"/>
        <v>805.54</v>
      </c>
      <c r="BL88" s="40">
        <f t="shared" si="68"/>
        <v>805.54</v>
      </c>
    </row>
    <row r="89" spans="1:64" ht="38.25" customHeight="1" x14ac:dyDescent="0.25">
      <c r="A89" s="298" t="s">
        <v>280</v>
      </c>
      <c r="B89" s="299" t="s">
        <v>278</v>
      </c>
      <c r="C89" s="1547"/>
      <c r="D89" s="1551"/>
      <c r="E89" s="1551"/>
      <c r="F89" s="1551"/>
      <c r="G89" s="1551"/>
      <c r="H89" s="1551"/>
      <c r="I89" s="1425"/>
      <c r="J89" s="1425"/>
      <c r="K89" s="1425" t="s">
        <v>293</v>
      </c>
      <c r="L89" s="301"/>
      <c r="M89" s="1425" t="s">
        <v>45</v>
      </c>
      <c r="N89" s="1425" t="s">
        <v>46</v>
      </c>
      <c r="O89" s="1425" t="s">
        <v>47</v>
      </c>
      <c r="P89" s="71" t="s">
        <v>294</v>
      </c>
      <c r="Q89" s="302" t="s">
        <v>295</v>
      </c>
      <c r="R89" s="303">
        <v>2015</v>
      </c>
      <c r="S89" s="303">
        <v>0</v>
      </c>
      <c r="T89" s="303">
        <v>3</v>
      </c>
      <c r="U89" s="572">
        <v>3</v>
      </c>
      <c r="V89" s="572">
        <v>3</v>
      </c>
      <c r="W89" s="572">
        <v>3</v>
      </c>
      <c r="X89" s="572">
        <v>12</v>
      </c>
      <c r="Y89" s="481"/>
      <c r="Z89" s="481"/>
      <c r="AA89" s="492">
        <v>27</v>
      </c>
      <c r="AB89" s="481"/>
      <c r="AC89" s="481"/>
      <c r="AD89" s="481"/>
      <c r="AE89" s="481"/>
      <c r="AF89" s="578">
        <f t="shared" si="75"/>
        <v>27</v>
      </c>
      <c r="AG89" s="548"/>
      <c r="AH89" s="548"/>
      <c r="AI89" s="548">
        <v>34</v>
      </c>
      <c r="AJ89" s="548"/>
      <c r="AK89" s="548"/>
      <c r="AL89" s="548"/>
      <c r="AM89" s="548">
        <f t="shared" si="78"/>
        <v>34</v>
      </c>
      <c r="AN89" s="481"/>
      <c r="AO89" s="481"/>
      <c r="AP89" s="481">
        <v>11</v>
      </c>
      <c r="AQ89" s="481"/>
      <c r="AR89" s="481"/>
      <c r="AS89" s="481"/>
      <c r="AT89" s="481"/>
      <c r="AU89" s="481">
        <f t="shared" si="80"/>
        <v>11</v>
      </c>
      <c r="AV89" s="548"/>
      <c r="AW89" s="548"/>
      <c r="AX89" s="492">
        <v>1</v>
      </c>
      <c r="AY89" s="548"/>
      <c r="AZ89" s="548"/>
      <c r="BA89" s="548"/>
      <c r="BB89" s="548"/>
      <c r="BC89" s="548">
        <f t="shared" si="82"/>
        <v>1</v>
      </c>
      <c r="BD89" s="42">
        <f t="shared" si="63"/>
        <v>0</v>
      </c>
      <c r="BE89" s="42">
        <f t="shared" si="67"/>
        <v>0</v>
      </c>
      <c r="BF89" s="42">
        <f t="shared" si="64"/>
        <v>73</v>
      </c>
      <c r="BG89" s="42">
        <f t="shared" si="65"/>
        <v>0</v>
      </c>
      <c r="BH89" s="42">
        <f t="shared" si="66"/>
        <v>0</v>
      </c>
      <c r="BI89" s="42">
        <f t="shared" si="74"/>
        <v>0</v>
      </c>
      <c r="BJ89" s="42">
        <f t="shared" si="61"/>
        <v>0</v>
      </c>
      <c r="BK89" s="42">
        <f t="shared" si="62"/>
        <v>73</v>
      </c>
      <c r="BL89" s="40">
        <f t="shared" si="68"/>
        <v>73</v>
      </c>
    </row>
    <row r="90" spans="1:64" ht="33" customHeight="1" x14ac:dyDescent="0.25">
      <c r="A90" s="298" t="s">
        <v>280</v>
      </c>
      <c r="B90" s="299" t="s">
        <v>278</v>
      </c>
      <c r="C90" s="1547"/>
      <c r="D90" s="1551"/>
      <c r="E90" s="1551"/>
      <c r="F90" s="1551"/>
      <c r="G90" s="1551"/>
      <c r="H90" s="1551"/>
      <c r="I90" s="1425" t="s">
        <v>53</v>
      </c>
      <c r="J90" s="1425"/>
      <c r="K90" s="1425" t="s">
        <v>296</v>
      </c>
      <c r="L90" s="301"/>
      <c r="M90" s="1425" t="s">
        <v>45</v>
      </c>
      <c r="N90" s="1425" t="s">
        <v>46</v>
      </c>
      <c r="O90" s="1425" t="s">
        <v>47</v>
      </c>
      <c r="P90" s="1201" t="s">
        <v>2480</v>
      </c>
      <c r="Q90" s="302" t="s">
        <v>298</v>
      </c>
      <c r="R90" s="303">
        <v>2015</v>
      </c>
      <c r="S90" s="303">
        <v>1</v>
      </c>
      <c r="T90" s="303">
        <v>0</v>
      </c>
      <c r="U90" s="572">
        <v>3</v>
      </c>
      <c r="V90" s="572">
        <v>3</v>
      </c>
      <c r="W90" s="572">
        <v>2</v>
      </c>
      <c r="X90" s="572">
        <v>8</v>
      </c>
      <c r="Y90" s="481"/>
      <c r="Z90" s="481"/>
      <c r="AA90" s="580">
        <v>0</v>
      </c>
      <c r="AB90" s="481"/>
      <c r="AC90" s="481"/>
      <c r="AD90" s="481"/>
      <c r="AE90" s="481"/>
      <c r="AF90" s="578">
        <f t="shared" si="75"/>
        <v>0</v>
      </c>
      <c r="AG90" s="548"/>
      <c r="AH90" s="548"/>
      <c r="AI90" s="492">
        <v>1</v>
      </c>
      <c r="AJ90" s="548"/>
      <c r="AK90" s="548"/>
      <c r="AL90" s="548"/>
      <c r="AM90" s="548">
        <f t="shared" si="78"/>
        <v>1</v>
      </c>
      <c r="AN90" s="481"/>
      <c r="AO90" s="481"/>
      <c r="AP90" s="492">
        <v>1</v>
      </c>
      <c r="AQ90" s="481"/>
      <c r="AR90" s="481"/>
      <c r="AS90" s="481"/>
      <c r="AT90" s="481"/>
      <c r="AU90" s="481">
        <f t="shared" si="80"/>
        <v>1</v>
      </c>
      <c r="AV90" s="548"/>
      <c r="AW90" s="548"/>
      <c r="AX90" s="492">
        <v>1</v>
      </c>
      <c r="AY90" s="548"/>
      <c r="AZ90" s="548"/>
      <c r="BA90" s="548"/>
      <c r="BB90" s="548"/>
      <c r="BC90" s="548">
        <f t="shared" si="82"/>
        <v>1</v>
      </c>
      <c r="BD90" s="42">
        <f t="shared" si="63"/>
        <v>0</v>
      </c>
      <c r="BE90" s="42">
        <f t="shared" si="67"/>
        <v>0</v>
      </c>
      <c r="BF90" s="42">
        <f>+AX90+AP90+AI90+AA91</f>
        <v>13.3</v>
      </c>
      <c r="BG90" s="42">
        <f t="shared" si="65"/>
        <v>0</v>
      </c>
      <c r="BH90" s="42">
        <f t="shared" si="66"/>
        <v>0</v>
      </c>
      <c r="BI90" s="42">
        <f t="shared" si="74"/>
        <v>0</v>
      </c>
      <c r="BJ90" s="42">
        <f t="shared" si="61"/>
        <v>0</v>
      </c>
      <c r="BK90" s="42">
        <f t="shared" si="62"/>
        <v>3</v>
      </c>
      <c r="BL90" s="40">
        <f t="shared" si="68"/>
        <v>3</v>
      </c>
    </row>
    <row r="91" spans="1:64" ht="33" customHeight="1" x14ac:dyDescent="0.25">
      <c r="A91" s="298" t="s">
        <v>280</v>
      </c>
      <c r="B91" s="299" t="s">
        <v>278</v>
      </c>
      <c r="C91" s="1547"/>
      <c r="D91" s="1551"/>
      <c r="E91" s="1551"/>
      <c r="F91" s="1551"/>
      <c r="G91" s="1551"/>
      <c r="H91" s="1551"/>
      <c r="I91" s="1425" t="s">
        <v>53</v>
      </c>
      <c r="J91" s="1425"/>
      <c r="K91" s="1425" t="s">
        <v>299</v>
      </c>
      <c r="L91" s="301"/>
      <c r="M91" s="1425" t="s">
        <v>45</v>
      </c>
      <c r="N91" s="1425" t="s">
        <v>46</v>
      </c>
      <c r="O91" s="1425" t="s">
        <v>47</v>
      </c>
      <c r="P91" s="1202" t="s">
        <v>300</v>
      </c>
      <c r="Q91" s="1199" t="s">
        <v>301</v>
      </c>
      <c r="R91" s="1463">
        <v>2015</v>
      </c>
      <c r="S91" s="303">
        <v>1</v>
      </c>
      <c r="T91" s="303">
        <v>1</v>
      </c>
      <c r="U91" s="572">
        <v>2</v>
      </c>
      <c r="V91" s="572">
        <v>3</v>
      </c>
      <c r="W91" s="572">
        <v>2</v>
      </c>
      <c r="X91" s="572">
        <v>8</v>
      </c>
      <c r="Y91" s="481"/>
      <c r="Z91" s="481"/>
      <c r="AA91" s="492">
        <v>10.3</v>
      </c>
      <c r="AB91" s="481"/>
      <c r="AC91" s="481"/>
      <c r="AD91" s="481"/>
      <c r="AE91" s="481"/>
      <c r="AF91" s="578">
        <f t="shared" si="75"/>
        <v>10.3</v>
      </c>
      <c r="AG91" s="548"/>
      <c r="AH91" s="548"/>
      <c r="AI91" s="492">
        <v>1</v>
      </c>
      <c r="AJ91" s="548"/>
      <c r="AK91" s="548"/>
      <c r="AL91" s="548"/>
      <c r="AM91" s="548">
        <f t="shared" si="78"/>
        <v>1</v>
      </c>
      <c r="AN91" s="481"/>
      <c r="AO91" s="481"/>
      <c r="AP91" s="492">
        <v>1</v>
      </c>
      <c r="AQ91" s="481"/>
      <c r="AR91" s="481"/>
      <c r="AS91" s="481"/>
      <c r="AT91" s="481"/>
      <c r="AU91" s="481">
        <f t="shared" si="80"/>
        <v>1</v>
      </c>
      <c r="AV91" s="548"/>
      <c r="AW91" s="548"/>
      <c r="AX91" s="492">
        <v>1</v>
      </c>
      <c r="AY91" s="548"/>
      <c r="AZ91" s="548"/>
      <c r="BA91" s="548"/>
      <c r="BB91" s="548"/>
      <c r="BC91" s="548">
        <f t="shared" si="82"/>
        <v>1</v>
      </c>
      <c r="BD91" s="42">
        <f t="shared" si="63"/>
        <v>0</v>
      </c>
      <c r="BE91" s="42">
        <f t="shared" si="67"/>
        <v>0</v>
      </c>
      <c r="BF91" s="42" t="e">
        <f>+AX91+AP91+AI91+#REF!</f>
        <v>#REF!</v>
      </c>
      <c r="BG91" s="42">
        <f t="shared" si="65"/>
        <v>0</v>
      </c>
      <c r="BH91" s="42">
        <f t="shared" si="66"/>
        <v>0</v>
      </c>
      <c r="BI91" s="42">
        <f t="shared" si="74"/>
        <v>0</v>
      </c>
      <c r="BJ91" s="42">
        <f t="shared" si="61"/>
        <v>0</v>
      </c>
      <c r="BK91" s="42">
        <f t="shared" si="62"/>
        <v>13.3</v>
      </c>
      <c r="BL91" s="40">
        <f t="shared" si="68"/>
        <v>13.3</v>
      </c>
    </row>
    <row r="92" spans="1:64" ht="39" customHeight="1" x14ac:dyDescent="0.25">
      <c r="A92" s="298" t="s">
        <v>280</v>
      </c>
      <c r="B92" s="299" t="s">
        <v>278</v>
      </c>
      <c r="C92" s="1547"/>
      <c r="D92" s="1551"/>
      <c r="E92" s="1551"/>
      <c r="F92" s="1551"/>
      <c r="G92" s="1551"/>
      <c r="H92" s="1551"/>
      <c r="I92" s="1425"/>
      <c r="J92" s="1425"/>
      <c r="K92" s="1425" t="s">
        <v>302</v>
      </c>
      <c r="L92" s="301"/>
      <c r="M92" s="1425" t="s">
        <v>45</v>
      </c>
      <c r="N92" s="1425" t="s">
        <v>46</v>
      </c>
      <c r="O92" s="1425" t="s">
        <v>47</v>
      </c>
      <c r="P92" s="16" t="s">
        <v>303</v>
      </c>
      <c r="Q92" s="302" t="s">
        <v>304</v>
      </c>
      <c r="R92" s="303">
        <v>2015</v>
      </c>
      <c r="S92" s="303" t="s">
        <v>177</v>
      </c>
      <c r="T92" s="303">
        <v>1</v>
      </c>
      <c r="U92" s="572">
        <v>1</v>
      </c>
      <c r="V92" s="572">
        <v>1</v>
      </c>
      <c r="W92" s="572">
        <v>1</v>
      </c>
      <c r="X92" s="572">
        <v>4</v>
      </c>
      <c r="Y92" s="481"/>
      <c r="Z92" s="481"/>
      <c r="AA92" s="579"/>
      <c r="AB92" s="481"/>
      <c r="AC92" s="481"/>
      <c r="AD92" s="491">
        <v>10.06</v>
      </c>
      <c r="AE92" s="481"/>
      <c r="AF92" s="578">
        <f t="shared" si="75"/>
        <v>10.06</v>
      </c>
      <c r="AG92" s="548"/>
      <c r="AH92" s="548"/>
      <c r="AI92" s="492">
        <v>1</v>
      </c>
      <c r="AJ92" s="548"/>
      <c r="AK92" s="548"/>
      <c r="AL92" s="548"/>
      <c r="AM92" s="548">
        <f t="shared" si="78"/>
        <v>1</v>
      </c>
      <c r="AN92" s="481"/>
      <c r="AO92" s="481"/>
      <c r="AP92" s="492">
        <v>1</v>
      </c>
      <c r="AQ92" s="481"/>
      <c r="AR92" s="481"/>
      <c r="AS92" s="481"/>
      <c r="AT92" s="481"/>
      <c r="AU92" s="481">
        <f t="shared" si="80"/>
        <v>1</v>
      </c>
      <c r="AV92" s="548"/>
      <c r="AW92" s="548"/>
      <c r="AX92" s="492">
        <v>1</v>
      </c>
      <c r="AY92" s="548"/>
      <c r="AZ92" s="548"/>
      <c r="BA92" s="548"/>
      <c r="BB92" s="548"/>
      <c r="BC92" s="548">
        <f t="shared" si="82"/>
        <v>1</v>
      </c>
      <c r="BD92" s="42">
        <f t="shared" si="63"/>
        <v>0</v>
      </c>
      <c r="BE92" s="42">
        <f t="shared" si="67"/>
        <v>0</v>
      </c>
      <c r="BF92" s="42">
        <f t="shared" si="64"/>
        <v>3</v>
      </c>
      <c r="BG92" s="42">
        <f t="shared" si="65"/>
        <v>0</v>
      </c>
      <c r="BH92" s="42">
        <f t="shared" si="66"/>
        <v>0</v>
      </c>
      <c r="BI92" s="42">
        <f t="shared" si="74"/>
        <v>10.06</v>
      </c>
      <c r="BJ92" s="42">
        <f t="shared" si="61"/>
        <v>0</v>
      </c>
      <c r="BK92" s="42">
        <f t="shared" si="62"/>
        <v>13.06</v>
      </c>
      <c r="BL92" s="40">
        <f t="shared" si="68"/>
        <v>13.06</v>
      </c>
    </row>
    <row r="93" spans="1:64" ht="62.25" customHeight="1" x14ac:dyDescent="0.25">
      <c r="A93" s="298" t="s">
        <v>280</v>
      </c>
      <c r="B93" s="299" t="s">
        <v>278</v>
      </c>
      <c r="C93" s="1547"/>
      <c r="D93" s="1551"/>
      <c r="E93" s="1551"/>
      <c r="F93" s="1551"/>
      <c r="G93" s="1551"/>
      <c r="H93" s="1551"/>
      <c r="I93" s="1425"/>
      <c r="J93" s="1425"/>
      <c r="K93" s="1425" t="s">
        <v>305</v>
      </c>
      <c r="L93" s="301"/>
      <c r="M93" s="1425" t="s">
        <v>45</v>
      </c>
      <c r="N93" s="1425" t="s">
        <v>46</v>
      </c>
      <c r="O93" s="1425" t="s">
        <v>47</v>
      </c>
      <c r="P93" s="16" t="s">
        <v>306</v>
      </c>
      <c r="Q93" s="302" t="s">
        <v>307</v>
      </c>
      <c r="R93" s="303">
        <v>2015</v>
      </c>
      <c r="S93" s="303">
        <v>0</v>
      </c>
      <c r="T93" s="303">
        <v>1</v>
      </c>
      <c r="U93" s="572">
        <v>1</v>
      </c>
      <c r="V93" s="572">
        <v>1</v>
      </c>
      <c r="W93" s="572">
        <v>1</v>
      </c>
      <c r="X93" s="572">
        <v>4</v>
      </c>
      <c r="Y93" s="481"/>
      <c r="Z93" s="481"/>
      <c r="AA93" s="492">
        <v>21</v>
      </c>
      <c r="AB93" s="481"/>
      <c r="AC93" s="481"/>
      <c r="AD93" s="481"/>
      <c r="AE93" s="481"/>
      <c r="AF93" s="578">
        <f t="shared" si="75"/>
        <v>21</v>
      </c>
      <c r="AG93" s="548"/>
      <c r="AH93" s="548"/>
      <c r="AI93" s="492">
        <v>1</v>
      </c>
      <c r="AJ93" s="548"/>
      <c r="AK93" s="548"/>
      <c r="AL93" s="548"/>
      <c r="AM93" s="548">
        <f t="shared" si="78"/>
        <v>1</v>
      </c>
      <c r="AN93" s="481"/>
      <c r="AO93" s="481"/>
      <c r="AP93" s="492">
        <v>1</v>
      </c>
      <c r="AQ93" s="481"/>
      <c r="AR93" s="481"/>
      <c r="AS93" s="481"/>
      <c r="AT93" s="481"/>
      <c r="AU93" s="481">
        <f t="shared" si="80"/>
        <v>1</v>
      </c>
      <c r="AV93" s="548"/>
      <c r="AW93" s="548"/>
      <c r="AX93" s="492">
        <v>1</v>
      </c>
      <c r="AY93" s="548"/>
      <c r="AZ93" s="548"/>
      <c r="BA93" s="548"/>
      <c r="BB93" s="548"/>
      <c r="BC93" s="548">
        <f t="shared" si="82"/>
        <v>1</v>
      </c>
      <c r="BD93" s="42">
        <f t="shared" si="63"/>
        <v>0</v>
      </c>
      <c r="BE93" s="42">
        <f t="shared" si="67"/>
        <v>0</v>
      </c>
      <c r="BF93" s="42">
        <f t="shared" si="64"/>
        <v>24</v>
      </c>
      <c r="BG93" s="42">
        <f t="shared" si="65"/>
        <v>0</v>
      </c>
      <c r="BH93" s="42">
        <f t="shared" si="66"/>
        <v>0</v>
      </c>
      <c r="BI93" s="42">
        <f t="shared" si="74"/>
        <v>0</v>
      </c>
      <c r="BJ93" s="42">
        <f t="shared" si="61"/>
        <v>0</v>
      </c>
      <c r="BK93" s="42">
        <f t="shared" si="62"/>
        <v>24</v>
      </c>
      <c r="BL93" s="40">
        <f t="shared" si="68"/>
        <v>24</v>
      </c>
    </row>
    <row r="94" spans="1:64" ht="27.75" customHeight="1" x14ac:dyDescent="0.25">
      <c r="A94" s="298" t="s">
        <v>280</v>
      </c>
      <c r="B94" s="299" t="s">
        <v>278</v>
      </c>
      <c r="C94" s="1547"/>
      <c r="D94" s="1551"/>
      <c r="E94" s="1551"/>
      <c r="F94" s="1551"/>
      <c r="G94" s="1551"/>
      <c r="H94" s="1551"/>
      <c r="I94" s="1425" t="s">
        <v>53</v>
      </c>
      <c r="J94" s="1425"/>
      <c r="K94" s="1425" t="s">
        <v>308</v>
      </c>
      <c r="L94" s="301"/>
      <c r="M94" s="1425" t="s">
        <v>45</v>
      </c>
      <c r="N94" s="1425" t="s">
        <v>46</v>
      </c>
      <c r="O94" s="1425" t="s">
        <v>47</v>
      </c>
      <c r="P94" s="71" t="s">
        <v>309</v>
      </c>
      <c r="Q94" s="302" t="s">
        <v>310</v>
      </c>
      <c r="R94" s="303">
        <v>2015</v>
      </c>
      <c r="S94" s="303">
        <v>0</v>
      </c>
      <c r="T94" s="303">
        <v>0</v>
      </c>
      <c r="U94" s="572">
        <v>1</v>
      </c>
      <c r="V94" s="572">
        <v>0</v>
      </c>
      <c r="W94" s="572">
        <v>0</v>
      </c>
      <c r="X94" s="572">
        <v>1</v>
      </c>
      <c r="Y94" s="481"/>
      <c r="Z94" s="481"/>
      <c r="AA94" s="579"/>
      <c r="AB94" s="481"/>
      <c r="AC94" s="481"/>
      <c r="AD94" s="481"/>
      <c r="AE94" s="481"/>
      <c r="AF94" s="578">
        <f t="shared" si="75"/>
        <v>0</v>
      </c>
      <c r="AG94" s="548"/>
      <c r="AH94" s="548"/>
      <c r="AI94" s="548"/>
      <c r="AJ94" s="548">
        <v>500</v>
      </c>
      <c r="AK94" s="548"/>
      <c r="AL94" s="548"/>
      <c r="AM94" s="548">
        <f t="shared" si="78"/>
        <v>500</v>
      </c>
      <c r="AN94" s="481"/>
      <c r="AO94" s="481"/>
      <c r="AP94" s="492">
        <v>0</v>
      </c>
      <c r="AQ94" s="481"/>
      <c r="AR94" s="481"/>
      <c r="AS94" s="481"/>
      <c r="AT94" s="481"/>
      <c r="AU94" s="481">
        <f t="shared" si="80"/>
        <v>0</v>
      </c>
      <c r="AV94" s="548"/>
      <c r="AW94" s="548"/>
      <c r="AX94" s="492">
        <v>0</v>
      </c>
      <c r="AY94" s="548"/>
      <c r="AZ94" s="548"/>
      <c r="BA94" s="548"/>
      <c r="BB94" s="548"/>
      <c r="BC94" s="548">
        <f t="shared" si="82"/>
        <v>0</v>
      </c>
      <c r="BD94" s="42">
        <f t="shared" si="63"/>
        <v>0</v>
      </c>
      <c r="BE94" s="42">
        <f t="shared" si="67"/>
        <v>0</v>
      </c>
      <c r="BF94" s="42">
        <f t="shared" si="64"/>
        <v>0</v>
      </c>
      <c r="BG94" s="42">
        <f t="shared" si="65"/>
        <v>500</v>
      </c>
      <c r="BH94" s="42">
        <f t="shared" si="66"/>
        <v>0</v>
      </c>
      <c r="BI94" s="42">
        <f t="shared" si="74"/>
        <v>0</v>
      </c>
      <c r="BJ94" s="42">
        <f t="shared" ref="BJ94:BJ124" si="87">+BB94+AT94+AL94+AE94</f>
        <v>0</v>
      </c>
      <c r="BK94" s="42">
        <f t="shared" ref="BK94:BK124" si="88">+BC94+AU94+AM94+AF94</f>
        <v>500</v>
      </c>
      <c r="BL94" s="40">
        <f t="shared" si="68"/>
        <v>500</v>
      </c>
    </row>
    <row r="95" spans="1:64" ht="33" customHeight="1" x14ac:dyDescent="0.25">
      <c r="A95" s="298" t="s">
        <v>280</v>
      </c>
      <c r="B95" s="299" t="s">
        <v>278</v>
      </c>
      <c r="C95" s="1547"/>
      <c r="D95" s="1551"/>
      <c r="E95" s="1551"/>
      <c r="F95" s="1551"/>
      <c r="G95" s="1551"/>
      <c r="H95" s="1551"/>
      <c r="I95" s="1425"/>
      <c r="J95" s="1425"/>
      <c r="K95" s="1425" t="s">
        <v>311</v>
      </c>
      <c r="L95" s="301"/>
      <c r="M95" s="1425" t="s">
        <v>45</v>
      </c>
      <c r="N95" s="1425" t="s">
        <v>46</v>
      </c>
      <c r="O95" s="1425" t="s">
        <v>47</v>
      </c>
      <c r="P95" s="71" t="s">
        <v>312</v>
      </c>
      <c r="Q95" s="302" t="s">
        <v>313</v>
      </c>
      <c r="R95" s="303">
        <v>2015</v>
      </c>
      <c r="S95" s="303">
        <v>1</v>
      </c>
      <c r="T95" s="303">
        <v>1</v>
      </c>
      <c r="U95" s="572">
        <v>1</v>
      </c>
      <c r="V95" s="572">
        <v>1</v>
      </c>
      <c r="W95" s="572">
        <v>1</v>
      </c>
      <c r="X95" s="572">
        <v>4</v>
      </c>
      <c r="Y95" s="481"/>
      <c r="Z95" s="481"/>
      <c r="AA95" s="492">
        <v>1</v>
      </c>
      <c r="AB95" s="481"/>
      <c r="AC95" s="481"/>
      <c r="AD95" s="481"/>
      <c r="AE95" s="481"/>
      <c r="AF95" s="578">
        <f t="shared" ref="AF95:AF117" si="89">SUM(Y95:AE95)</f>
        <v>1</v>
      </c>
      <c r="AG95" s="548"/>
      <c r="AH95" s="548"/>
      <c r="AI95" s="492">
        <v>1</v>
      </c>
      <c r="AJ95" s="548"/>
      <c r="AK95" s="548"/>
      <c r="AL95" s="548"/>
      <c r="AM95" s="548">
        <f t="shared" ref="AM95:AM105" si="90">SUM(AG95:AL95)</f>
        <v>1</v>
      </c>
      <c r="AN95" s="481"/>
      <c r="AO95" s="481"/>
      <c r="AP95" s="492">
        <v>2</v>
      </c>
      <c r="AQ95" s="481"/>
      <c r="AR95" s="481"/>
      <c r="AS95" s="481"/>
      <c r="AT95" s="481"/>
      <c r="AU95" s="481">
        <f t="shared" ref="AU95:AU105" si="91">SUM(AN95:AT95)</f>
        <v>2</v>
      </c>
      <c r="AV95" s="548"/>
      <c r="AW95" s="548"/>
      <c r="AX95" s="492">
        <v>2</v>
      </c>
      <c r="AY95" s="548"/>
      <c r="AZ95" s="548"/>
      <c r="BA95" s="548"/>
      <c r="BB95" s="548"/>
      <c r="BC95" s="548">
        <f t="shared" ref="BC95:BC105" si="92">SUM(AV95:BB95)</f>
        <v>2</v>
      </c>
      <c r="BD95" s="42">
        <f t="shared" si="63"/>
        <v>0</v>
      </c>
      <c r="BE95" s="42">
        <f t="shared" si="67"/>
        <v>0</v>
      </c>
      <c r="BF95" s="42">
        <f t="shared" si="64"/>
        <v>6</v>
      </c>
      <c r="BG95" s="42">
        <f t="shared" si="65"/>
        <v>0</v>
      </c>
      <c r="BH95" s="42">
        <f t="shared" si="66"/>
        <v>0</v>
      </c>
      <c r="BI95" s="42">
        <f t="shared" si="74"/>
        <v>0</v>
      </c>
      <c r="BJ95" s="42">
        <f t="shared" si="87"/>
        <v>0</v>
      </c>
      <c r="BK95" s="42">
        <f t="shared" si="88"/>
        <v>6</v>
      </c>
      <c r="BL95" s="40">
        <f t="shared" si="68"/>
        <v>6</v>
      </c>
    </row>
    <row r="96" spans="1:64" ht="33" customHeight="1" x14ac:dyDescent="0.25">
      <c r="A96" s="298" t="s">
        <v>280</v>
      </c>
      <c r="B96" s="299" t="s">
        <v>278</v>
      </c>
      <c r="C96" s="1548"/>
      <c r="D96" s="1552"/>
      <c r="E96" s="1552"/>
      <c r="F96" s="1552"/>
      <c r="G96" s="1552"/>
      <c r="H96" s="1552"/>
      <c r="I96" s="1425"/>
      <c r="J96" s="1425"/>
      <c r="K96" s="1425" t="s">
        <v>314</v>
      </c>
      <c r="L96" s="301"/>
      <c r="M96" s="1425" t="s">
        <v>45</v>
      </c>
      <c r="N96" s="1425" t="s">
        <v>46</v>
      </c>
      <c r="O96" s="1425" t="s">
        <v>73</v>
      </c>
      <c r="P96" s="16" t="s">
        <v>315</v>
      </c>
      <c r="Q96" s="302" t="s">
        <v>316</v>
      </c>
      <c r="R96" s="303">
        <v>2015</v>
      </c>
      <c r="S96" s="303">
        <v>1</v>
      </c>
      <c r="T96" s="303">
        <v>4</v>
      </c>
      <c r="U96" s="572">
        <v>4</v>
      </c>
      <c r="V96" s="572">
        <v>4</v>
      </c>
      <c r="W96" s="572">
        <v>4</v>
      </c>
      <c r="X96" s="572">
        <v>4</v>
      </c>
      <c r="Y96" s="481"/>
      <c r="Z96" s="481"/>
      <c r="AA96" s="492">
        <v>12</v>
      </c>
      <c r="AB96" s="481"/>
      <c r="AC96" s="481"/>
      <c r="AD96" s="481"/>
      <c r="AE96" s="491"/>
      <c r="AF96" s="578">
        <f t="shared" si="89"/>
        <v>12</v>
      </c>
      <c r="AG96" s="548"/>
      <c r="AH96" s="548"/>
      <c r="AI96" s="491">
        <v>41.67</v>
      </c>
      <c r="AJ96" s="548"/>
      <c r="AK96" s="548"/>
      <c r="AL96" s="548"/>
      <c r="AM96" s="548">
        <f t="shared" si="90"/>
        <v>41.67</v>
      </c>
      <c r="AN96" s="481"/>
      <c r="AO96" s="481"/>
      <c r="AP96" s="491">
        <v>52</v>
      </c>
      <c r="AQ96" s="481"/>
      <c r="AR96" s="481"/>
      <c r="AS96" s="481"/>
      <c r="AT96" s="481"/>
      <c r="AU96" s="481">
        <f t="shared" si="91"/>
        <v>52</v>
      </c>
      <c r="AV96" s="548"/>
      <c r="AW96" s="548"/>
      <c r="AX96" s="491">
        <v>51</v>
      </c>
      <c r="AY96" s="548"/>
      <c r="AZ96" s="548"/>
      <c r="BA96" s="548"/>
      <c r="BB96" s="548"/>
      <c r="BC96" s="548">
        <f t="shared" si="92"/>
        <v>51</v>
      </c>
      <c r="BD96" s="42">
        <f t="shared" ref="BD96:BD126" si="93">+AV96+AN96+AG96+Y96</f>
        <v>0</v>
      </c>
      <c r="BE96" s="42">
        <f t="shared" ref="BE96:BE126" si="94">+AW96+AO96+AH96+Z96</f>
        <v>0</v>
      </c>
      <c r="BF96" s="42">
        <f t="shared" ref="BF96:BF126" si="95">+AX96+AP96+AI96+AA96</f>
        <v>156.67000000000002</v>
      </c>
      <c r="BG96" s="42">
        <f t="shared" ref="BG96:BG126" si="96">+AY96+AQ96+AJ96+AB96</f>
        <v>0</v>
      </c>
      <c r="BH96" s="42">
        <f t="shared" ref="BH96:BH126" si="97">+AZ96+AR96+AK96+AC96</f>
        <v>0</v>
      </c>
      <c r="BI96" s="42">
        <f t="shared" si="74"/>
        <v>0</v>
      </c>
      <c r="BJ96" s="42">
        <f t="shared" si="87"/>
        <v>0</v>
      </c>
      <c r="BK96" s="42">
        <f t="shared" si="88"/>
        <v>156.67000000000002</v>
      </c>
      <c r="BL96" s="40">
        <f t="shared" si="68"/>
        <v>156.67000000000002</v>
      </c>
    </row>
    <row r="97" spans="1:64" ht="79.2" x14ac:dyDescent="0.25">
      <c r="A97" s="295" t="s">
        <v>280</v>
      </c>
      <c r="B97" s="6" t="s">
        <v>278</v>
      </c>
      <c r="C97" s="6"/>
      <c r="D97" s="2" t="s">
        <v>317</v>
      </c>
      <c r="E97" s="1"/>
      <c r="F97" s="1"/>
      <c r="G97" s="1"/>
      <c r="H97" s="1"/>
      <c r="I97" s="1"/>
      <c r="J97" s="1"/>
      <c r="K97" s="1"/>
      <c r="L97" s="1"/>
      <c r="M97" s="1"/>
      <c r="N97" s="1"/>
      <c r="O97" s="1"/>
      <c r="P97" s="1"/>
      <c r="Q97" s="22"/>
      <c r="R97" s="1"/>
      <c r="S97" s="1"/>
      <c r="T97" s="1"/>
      <c r="U97" s="49"/>
      <c r="V97" s="49"/>
      <c r="W97" s="49"/>
      <c r="X97" s="49"/>
      <c r="Y97" s="34">
        <f t="shared" ref="Y97:AE97" si="98">SUM(Y98:Y105)</f>
        <v>0</v>
      </c>
      <c r="Z97" s="34">
        <f t="shared" si="98"/>
        <v>0</v>
      </c>
      <c r="AA97" s="54">
        <f t="shared" si="98"/>
        <v>77.5</v>
      </c>
      <c r="AB97" s="34">
        <f t="shared" si="98"/>
        <v>0</v>
      </c>
      <c r="AC97" s="34">
        <f t="shared" si="98"/>
        <v>0</v>
      </c>
      <c r="AD97" s="34">
        <f t="shared" si="98"/>
        <v>1</v>
      </c>
      <c r="AE97" s="34">
        <f t="shared" si="98"/>
        <v>0</v>
      </c>
      <c r="AF97" s="45">
        <f t="shared" si="89"/>
        <v>78.5</v>
      </c>
      <c r="AG97" s="34">
        <f t="shared" ref="AG97:AL97" si="99">SUM(AG98:AG105)</f>
        <v>0</v>
      </c>
      <c r="AH97" s="34">
        <f t="shared" si="99"/>
        <v>0</v>
      </c>
      <c r="AI97" s="34">
        <v>50</v>
      </c>
      <c r="AJ97" s="34">
        <f t="shared" si="99"/>
        <v>0</v>
      </c>
      <c r="AK97" s="34">
        <f t="shared" si="99"/>
        <v>0</v>
      </c>
      <c r="AL97" s="34">
        <f t="shared" si="99"/>
        <v>0</v>
      </c>
      <c r="AM97" s="34">
        <f t="shared" si="90"/>
        <v>50</v>
      </c>
      <c r="AN97" s="34">
        <f t="shared" ref="AN97:AT97" si="100">SUM(AN98:AN105)</f>
        <v>0</v>
      </c>
      <c r="AO97" s="34">
        <f t="shared" si="100"/>
        <v>0</v>
      </c>
      <c r="AP97" s="34">
        <f t="shared" si="100"/>
        <v>50</v>
      </c>
      <c r="AQ97" s="34">
        <f t="shared" si="100"/>
        <v>0</v>
      </c>
      <c r="AR97" s="34">
        <f t="shared" si="100"/>
        <v>0</v>
      </c>
      <c r="AS97" s="34">
        <f t="shared" si="100"/>
        <v>0</v>
      </c>
      <c r="AT97" s="34">
        <f t="shared" si="100"/>
        <v>0</v>
      </c>
      <c r="AU97" s="34">
        <f t="shared" si="91"/>
        <v>50</v>
      </c>
      <c r="AV97" s="34">
        <f t="shared" ref="AV97:BB97" si="101">SUM(AV98:AV105)</f>
        <v>0</v>
      </c>
      <c r="AW97" s="34">
        <f t="shared" si="101"/>
        <v>0</v>
      </c>
      <c r="AX97" s="34">
        <f t="shared" si="101"/>
        <v>50</v>
      </c>
      <c r="AY97" s="34">
        <f t="shared" si="101"/>
        <v>0</v>
      </c>
      <c r="AZ97" s="34">
        <f t="shared" si="101"/>
        <v>0</v>
      </c>
      <c r="BA97" s="34">
        <f t="shared" si="101"/>
        <v>0</v>
      </c>
      <c r="BB97" s="34">
        <f t="shared" si="101"/>
        <v>0</v>
      </c>
      <c r="BC97" s="34">
        <f t="shared" si="92"/>
        <v>50</v>
      </c>
      <c r="BD97" s="34">
        <f t="shared" si="93"/>
        <v>0</v>
      </c>
      <c r="BE97" s="34">
        <f t="shared" si="94"/>
        <v>0</v>
      </c>
      <c r="BF97" s="34">
        <f t="shared" si="95"/>
        <v>227.5</v>
      </c>
      <c r="BG97" s="34">
        <f t="shared" si="96"/>
        <v>0</v>
      </c>
      <c r="BH97" s="34">
        <f t="shared" si="97"/>
        <v>0</v>
      </c>
      <c r="BI97" s="34">
        <f t="shared" si="74"/>
        <v>1</v>
      </c>
      <c r="BJ97" s="34">
        <f t="shared" si="87"/>
        <v>0</v>
      </c>
      <c r="BK97" s="34">
        <f t="shared" si="88"/>
        <v>228.5</v>
      </c>
      <c r="BL97" s="40">
        <f t="shared" si="68"/>
        <v>228.5</v>
      </c>
    </row>
    <row r="98" spans="1:64" ht="50.25" customHeight="1" x14ac:dyDescent="0.25">
      <c r="A98" s="298" t="s">
        <v>280</v>
      </c>
      <c r="B98" s="299" t="s">
        <v>278</v>
      </c>
      <c r="C98" s="1546" t="s">
        <v>318</v>
      </c>
      <c r="D98" s="1549" t="s">
        <v>319</v>
      </c>
      <c r="E98" s="1549" t="s">
        <v>283</v>
      </c>
      <c r="F98" s="1549">
        <v>2015</v>
      </c>
      <c r="G98" s="1549">
        <v>8</v>
      </c>
      <c r="H98" s="1549">
        <v>15</v>
      </c>
      <c r="I98" s="1425"/>
      <c r="J98" s="1425"/>
      <c r="K98" s="1425" t="s">
        <v>320</v>
      </c>
      <c r="L98" s="301"/>
      <c r="M98" s="1425" t="s">
        <v>45</v>
      </c>
      <c r="N98" s="1425" t="s">
        <v>46</v>
      </c>
      <c r="O98" s="1425" t="s">
        <v>47</v>
      </c>
      <c r="P98" s="16" t="s">
        <v>321</v>
      </c>
      <c r="Q98" s="302" t="s">
        <v>322</v>
      </c>
      <c r="R98" s="303">
        <v>2015</v>
      </c>
      <c r="S98" s="303">
        <v>0</v>
      </c>
      <c r="T98" s="303">
        <v>1</v>
      </c>
      <c r="U98" s="572">
        <v>1</v>
      </c>
      <c r="V98" s="572">
        <v>1</v>
      </c>
      <c r="W98" s="572">
        <v>1</v>
      </c>
      <c r="X98" s="572">
        <v>1</v>
      </c>
      <c r="Y98" s="481"/>
      <c r="Z98" s="481"/>
      <c r="AA98" s="579">
        <v>7</v>
      </c>
      <c r="AB98" s="481"/>
      <c r="AC98" s="481"/>
      <c r="AD98" s="481"/>
      <c r="AE98" s="481"/>
      <c r="AF98" s="578">
        <f t="shared" si="89"/>
        <v>7</v>
      </c>
      <c r="AG98" s="548"/>
      <c r="AH98" s="548"/>
      <c r="AI98" s="491">
        <v>1</v>
      </c>
      <c r="AJ98" s="548"/>
      <c r="AK98" s="548"/>
      <c r="AL98" s="548"/>
      <c r="AM98" s="548">
        <f t="shared" si="90"/>
        <v>1</v>
      </c>
      <c r="AN98" s="481"/>
      <c r="AO98" s="481"/>
      <c r="AP98" s="491">
        <v>1</v>
      </c>
      <c r="AQ98" s="481"/>
      <c r="AR98" s="481"/>
      <c r="AS98" s="481"/>
      <c r="AT98" s="481"/>
      <c r="AU98" s="481">
        <f t="shared" si="91"/>
        <v>1</v>
      </c>
      <c r="AV98" s="548"/>
      <c r="AW98" s="548"/>
      <c r="AX98" s="491">
        <v>1</v>
      </c>
      <c r="AY98" s="548"/>
      <c r="AZ98" s="548"/>
      <c r="BA98" s="548"/>
      <c r="BB98" s="548"/>
      <c r="BC98" s="548">
        <f t="shared" si="92"/>
        <v>1</v>
      </c>
      <c r="BD98" s="42">
        <f t="shared" si="93"/>
        <v>0</v>
      </c>
      <c r="BE98" s="42">
        <f t="shared" si="94"/>
        <v>0</v>
      </c>
      <c r="BF98" s="42">
        <f t="shared" si="95"/>
        <v>10</v>
      </c>
      <c r="BG98" s="42">
        <f t="shared" si="96"/>
        <v>0</v>
      </c>
      <c r="BH98" s="42">
        <f t="shared" si="97"/>
        <v>0</v>
      </c>
      <c r="BI98" s="42">
        <f t="shared" si="74"/>
        <v>0</v>
      </c>
      <c r="BJ98" s="42">
        <f t="shared" si="87"/>
        <v>0</v>
      </c>
      <c r="BK98" s="42">
        <f t="shared" si="88"/>
        <v>10</v>
      </c>
      <c r="BL98" s="40">
        <f t="shared" si="68"/>
        <v>10</v>
      </c>
    </row>
    <row r="99" spans="1:64" ht="43.5" customHeight="1" x14ac:dyDescent="0.25">
      <c r="A99" s="298" t="s">
        <v>280</v>
      </c>
      <c r="B99" s="299" t="s">
        <v>278</v>
      </c>
      <c r="C99" s="1547"/>
      <c r="D99" s="1549"/>
      <c r="E99" s="1549"/>
      <c r="F99" s="1549"/>
      <c r="G99" s="1549"/>
      <c r="H99" s="1549"/>
      <c r="I99" s="1425"/>
      <c r="J99" s="1425"/>
      <c r="K99" s="1425" t="s">
        <v>323</v>
      </c>
      <c r="L99" s="301"/>
      <c r="M99" s="1425" t="s">
        <v>45</v>
      </c>
      <c r="N99" s="1425" t="s">
        <v>46</v>
      </c>
      <c r="O99" s="1425" t="s">
        <v>47</v>
      </c>
      <c r="P99" s="16" t="s">
        <v>324</v>
      </c>
      <c r="Q99" s="302" t="s">
        <v>325</v>
      </c>
      <c r="R99" s="303">
        <v>2015</v>
      </c>
      <c r="S99" s="303">
        <v>1</v>
      </c>
      <c r="T99" s="303">
        <v>1</v>
      </c>
      <c r="U99" s="572">
        <v>1</v>
      </c>
      <c r="V99" s="572">
        <v>1</v>
      </c>
      <c r="W99" s="572">
        <v>1</v>
      </c>
      <c r="X99" s="572">
        <v>4</v>
      </c>
      <c r="Y99" s="481"/>
      <c r="Z99" s="481"/>
      <c r="AA99" s="579">
        <v>10</v>
      </c>
      <c r="AB99" s="481"/>
      <c r="AC99" s="481"/>
      <c r="AD99" s="481"/>
      <c r="AE99" s="481"/>
      <c r="AF99" s="578">
        <f t="shared" si="89"/>
        <v>10</v>
      </c>
      <c r="AG99" s="548"/>
      <c r="AH99" s="548"/>
      <c r="AI99" s="491">
        <v>6</v>
      </c>
      <c r="AJ99" s="548"/>
      <c r="AK99" s="548"/>
      <c r="AL99" s="548"/>
      <c r="AM99" s="548">
        <f t="shared" si="90"/>
        <v>6</v>
      </c>
      <c r="AN99" s="481"/>
      <c r="AO99" s="481"/>
      <c r="AP99" s="491">
        <v>6</v>
      </c>
      <c r="AQ99" s="481"/>
      <c r="AR99" s="481"/>
      <c r="AS99" s="481"/>
      <c r="AT99" s="481"/>
      <c r="AU99" s="481">
        <f t="shared" si="91"/>
        <v>6</v>
      </c>
      <c r="AV99" s="548"/>
      <c r="AW99" s="548"/>
      <c r="AX99" s="491">
        <v>6</v>
      </c>
      <c r="AY99" s="548"/>
      <c r="AZ99" s="548"/>
      <c r="BA99" s="548"/>
      <c r="BB99" s="548"/>
      <c r="BC99" s="548">
        <f t="shared" si="92"/>
        <v>6</v>
      </c>
      <c r="BD99" s="42">
        <f t="shared" si="93"/>
        <v>0</v>
      </c>
      <c r="BE99" s="42">
        <f t="shared" si="94"/>
        <v>0</v>
      </c>
      <c r="BF99" s="42">
        <f t="shared" si="95"/>
        <v>28</v>
      </c>
      <c r="BG99" s="42">
        <f t="shared" si="96"/>
        <v>0</v>
      </c>
      <c r="BH99" s="42">
        <f t="shared" si="97"/>
        <v>0</v>
      </c>
      <c r="BI99" s="42">
        <f t="shared" si="74"/>
        <v>0</v>
      </c>
      <c r="BJ99" s="42">
        <f t="shared" si="87"/>
        <v>0</v>
      </c>
      <c r="BK99" s="42">
        <f t="shared" si="88"/>
        <v>28</v>
      </c>
      <c r="BL99" s="40">
        <f t="shared" si="68"/>
        <v>28</v>
      </c>
    </row>
    <row r="100" spans="1:64" ht="33" customHeight="1" x14ac:dyDescent="0.25">
      <c r="A100" s="298" t="s">
        <v>280</v>
      </c>
      <c r="B100" s="299" t="s">
        <v>278</v>
      </c>
      <c r="C100" s="1547"/>
      <c r="D100" s="1549"/>
      <c r="E100" s="1549"/>
      <c r="F100" s="1549"/>
      <c r="G100" s="1549"/>
      <c r="H100" s="1549"/>
      <c r="I100" s="1425"/>
      <c r="J100" s="1425"/>
      <c r="K100" s="1425" t="s">
        <v>326</v>
      </c>
      <c r="L100" s="301"/>
      <c r="M100" s="1425" t="s">
        <v>45</v>
      </c>
      <c r="N100" s="1425" t="s">
        <v>46</v>
      </c>
      <c r="O100" s="1425" t="s">
        <v>47</v>
      </c>
      <c r="P100" s="1198" t="s">
        <v>2481</v>
      </c>
      <c r="Q100" s="302" t="s">
        <v>328</v>
      </c>
      <c r="R100" s="303">
        <v>2015</v>
      </c>
      <c r="S100" s="303">
        <v>1</v>
      </c>
      <c r="T100" s="303">
        <v>1</v>
      </c>
      <c r="U100" s="572">
        <v>2</v>
      </c>
      <c r="V100" s="572">
        <v>3</v>
      </c>
      <c r="W100" s="572">
        <v>4</v>
      </c>
      <c r="X100" s="572">
        <v>4</v>
      </c>
      <c r="Y100" s="481"/>
      <c r="Z100" s="481"/>
      <c r="AA100" s="579">
        <v>6</v>
      </c>
      <c r="AB100" s="481"/>
      <c r="AC100" s="481"/>
      <c r="AD100" s="481">
        <v>1</v>
      </c>
      <c r="AE100" s="481"/>
      <c r="AF100" s="578">
        <f t="shared" si="89"/>
        <v>7</v>
      </c>
      <c r="AG100" s="548"/>
      <c r="AH100" s="548"/>
      <c r="AI100" s="491">
        <v>6</v>
      </c>
      <c r="AJ100" s="548"/>
      <c r="AK100" s="548"/>
      <c r="AL100" s="548"/>
      <c r="AM100" s="548">
        <f t="shared" si="90"/>
        <v>6</v>
      </c>
      <c r="AN100" s="481"/>
      <c r="AO100" s="481"/>
      <c r="AP100" s="491">
        <v>6</v>
      </c>
      <c r="AQ100" s="481"/>
      <c r="AR100" s="481"/>
      <c r="AS100" s="481"/>
      <c r="AT100" s="481"/>
      <c r="AU100" s="481">
        <f t="shared" si="91"/>
        <v>6</v>
      </c>
      <c r="AV100" s="548"/>
      <c r="AW100" s="548"/>
      <c r="AX100" s="491">
        <v>6</v>
      </c>
      <c r="AY100" s="548"/>
      <c r="AZ100" s="548"/>
      <c r="BA100" s="548"/>
      <c r="BB100" s="548"/>
      <c r="BC100" s="548">
        <f>SUM(AV100:BB100)</f>
        <v>6</v>
      </c>
      <c r="BD100" s="42">
        <f>+AV100+AN100+AG100+Y100</f>
        <v>0</v>
      </c>
      <c r="BE100" s="42">
        <f>+AW100+AO100+AH100+Z100</f>
        <v>0</v>
      </c>
      <c r="BF100" s="42">
        <f>+AX100+AP100+AI100+AA100</f>
        <v>24</v>
      </c>
      <c r="BG100" s="42">
        <f>+AY100+AQ100+AJ100+AB100</f>
        <v>0</v>
      </c>
      <c r="BH100" s="42">
        <f>+AZ100+AR100+AK100+AC100</f>
        <v>0</v>
      </c>
      <c r="BI100" s="42">
        <f t="shared" si="74"/>
        <v>1</v>
      </c>
      <c r="BJ100" s="42">
        <f>+BB100+AT100+AL100+AE100</f>
        <v>0</v>
      </c>
      <c r="BK100" s="42">
        <f>+BC100+AU100+AM100+AF100</f>
        <v>25</v>
      </c>
      <c r="BL100" s="40">
        <f t="shared" si="68"/>
        <v>25</v>
      </c>
    </row>
    <row r="101" spans="1:64" ht="29.25" customHeight="1" x14ac:dyDescent="0.25">
      <c r="A101" s="298" t="s">
        <v>280</v>
      </c>
      <c r="B101" s="299" t="s">
        <v>278</v>
      </c>
      <c r="C101" s="1547"/>
      <c r="D101" s="1549"/>
      <c r="E101" s="1549"/>
      <c r="F101" s="1549"/>
      <c r="G101" s="1549"/>
      <c r="H101" s="1549"/>
      <c r="I101" s="1425"/>
      <c r="J101" s="1425"/>
      <c r="K101" s="1425" t="s">
        <v>329</v>
      </c>
      <c r="L101" s="301"/>
      <c r="M101" s="1425" t="s">
        <v>45</v>
      </c>
      <c r="N101" s="1425" t="s">
        <v>46</v>
      </c>
      <c r="O101" s="1425" t="s">
        <v>73</v>
      </c>
      <c r="P101" s="16" t="s">
        <v>330</v>
      </c>
      <c r="Q101" s="302" t="s">
        <v>331</v>
      </c>
      <c r="R101" s="303">
        <v>2015</v>
      </c>
      <c r="S101" s="303">
        <v>8</v>
      </c>
      <c r="T101" s="303">
        <v>12</v>
      </c>
      <c r="U101" s="572">
        <v>12</v>
      </c>
      <c r="V101" s="572">
        <v>12</v>
      </c>
      <c r="W101" s="572">
        <v>12</v>
      </c>
      <c r="X101" s="572">
        <v>12</v>
      </c>
      <c r="Y101" s="481"/>
      <c r="Z101" s="481"/>
      <c r="AA101" s="579">
        <v>8</v>
      </c>
      <c r="AB101" s="481"/>
      <c r="AC101" s="481"/>
      <c r="AD101" s="481"/>
      <c r="AE101" s="481"/>
      <c r="AF101" s="578">
        <f t="shared" si="89"/>
        <v>8</v>
      </c>
      <c r="AG101" s="548"/>
      <c r="AH101" s="548"/>
      <c r="AI101" s="548">
        <v>20</v>
      </c>
      <c r="AJ101" s="548"/>
      <c r="AK101" s="548"/>
      <c r="AL101" s="548"/>
      <c r="AM101" s="548">
        <f t="shared" si="90"/>
        <v>20</v>
      </c>
      <c r="AN101" s="481"/>
      <c r="AO101" s="481"/>
      <c r="AP101" s="491">
        <v>14</v>
      </c>
      <c r="AQ101" s="481"/>
      <c r="AR101" s="481"/>
      <c r="AS101" s="481"/>
      <c r="AT101" s="481"/>
      <c r="AU101" s="481">
        <f t="shared" si="91"/>
        <v>14</v>
      </c>
      <c r="AV101" s="548"/>
      <c r="AW101" s="548"/>
      <c r="AX101" s="548">
        <v>20</v>
      </c>
      <c r="AY101" s="548"/>
      <c r="AZ101" s="548"/>
      <c r="BA101" s="548"/>
      <c r="BB101" s="548"/>
      <c r="BC101" s="548">
        <f t="shared" si="92"/>
        <v>20</v>
      </c>
      <c r="BD101" s="42">
        <f t="shared" si="93"/>
        <v>0</v>
      </c>
      <c r="BE101" s="42">
        <f t="shared" si="94"/>
        <v>0</v>
      </c>
      <c r="BF101" s="42">
        <f t="shared" si="95"/>
        <v>62</v>
      </c>
      <c r="BG101" s="42">
        <f t="shared" si="96"/>
        <v>0</v>
      </c>
      <c r="BH101" s="42">
        <f t="shared" si="97"/>
        <v>0</v>
      </c>
      <c r="BI101" s="42">
        <f t="shared" si="74"/>
        <v>0</v>
      </c>
      <c r="BJ101" s="42">
        <f t="shared" si="87"/>
        <v>0</v>
      </c>
      <c r="BK101" s="42">
        <f t="shared" si="88"/>
        <v>62</v>
      </c>
      <c r="BL101" s="40">
        <f t="shared" si="68"/>
        <v>62</v>
      </c>
    </row>
    <row r="102" spans="1:64" ht="33.75" customHeight="1" x14ac:dyDescent="0.25">
      <c r="A102" s="298" t="s">
        <v>280</v>
      </c>
      <c r="B102" s="299" t="s">
        <v>278</v>
      </c>
      <c r="C102" s="1547"/>
      <c r="D102" s="1549"/>
      <c r="E102" s="1549"/>
      <c r="F102" s="1549"/>
      <c r="G102" s="1549"/>
      <c r="H102" s="1549"/>
      <c r="I102" s="1425"/>
      <c r="J102" s="1425"/>
      <c r="K102" s="1425" t="s">
        <v>332</v>
      </c>
      <c r="L102" s="301"/>
      <c r="M102" s="1425" t="s">
        <v>45</v>
      </c>
      <c r="N102" s="1425" t="s">
        <v>46</v>
      </c>
      <c r="O102" s="1425" t="s">
        <v>73</v>
      </c>
      <c r="P102" s="1198" t="s">
        <v>2482</v>
      </c>
      <c r="Q102" s="302" t="s">
        <v>2483</v>
      </c>
      <c r="R102" s="303">
        <v>2015</v>
      </c>
      <c r="S102" s="303">
        <v>1</v>
      </c>
      <c r="T102" s="303">
        <v>1</v>
      </c>
      <c r="U102" s="572">
        <v>1</v>
      </c>
      <c r="V102" s="572">
        <v>1</v>
      </c>
      <c r="W102" s="572">
        <v>1</v>
      </c>
      <c r="X102" s="572">
        <v>1</v>
      </c>
      <c r="Y102" s="481"/>
      <c r="Z102" s="481"/>
      <c r="AA102" s="492">
        <v>4</v>
      </c>
      <c r="AB102" s="481"/>
      <c r="AC102" s="481"/>
      <c r="AD102" s="481"/>
      <c r="AE102" s="481"/>
      <c r="AF102" s="578">
        <f t="shared" si="89"/>
        <v>4</v>
      </c>
      <c r="AG102" s="548"/>
      <c r="AH102" s="548"/>
      <c r="AI102" s="491">
        <v>6</v>
      </c>
      <c r="AJ102" s="548"/>
      <c r="AK102" s="548"/>
      <c r="AL102" s="548"/>
      <c r="AM102" s="548">
        <f t="shared" si="90"/>
        <v>6</v>
      </c>
      <c r="AN102" s="481"/>
      <c r="AO102" s="481"/>
      <c r="AP102" s="491">
        <v>6</v>
      </c>
      <c r="AQ102" s="481"/>
      <c r="AR102" s="481"/>
      <c r="AS102" s="481"/>
      <c r="AT102" s="481"/>
      <c r="AU102" s="481">
        <f t="shared" si="91"/>
        <v>6</v>
      </c>
      <c r="AV102" s="548"/>
      <c r="AW102" s="548"/>
      <c r="AX102" s="491">
        <v>6</v>
      </c>
      <c r="AY102" s="548"/>
      <c r="AZ102" s="548"/>
      <c r="BA102" s="548"/>
      <c r="BB102" s="548"/>
      <c r="BC102" s="548">
        <f t="shared" si="92"/>
        <v>6</v>
      </c>
      <c r="BD102" s="42">
        <f t="shared" si="93"/>
        <v>0</v>
      </c>
      <c r="BE102" s="42">
        <f t="shared" si="94"/>
        <v>0</v>
      </c>
      <c r="BF102" s="42">
        <f t="shared" si="95"/>
        <v>22</v>
      </c>
      <c r="BG102" s="42">
        <f t="shared" si="96"/>
        <v>0</v>
      </c>
      <c r="BH102" s="42">
        <f t="shared" si="97"/>
        <v>0</v>
      </c>
      <c r="BI102" s="42">
        <f t="shared" si="74"/>
        <v>0</v>
      </c>
      <c r="BJ102" s="42">
        <f t="shared" si="87"/>
        <v>0</v>
      </c>
      <c r="BK102" s="42">
        <f t="shared" si="88"/>
        <v>22</v>
      </c>
      <c r="BL102" s="40">
        <f t="shared" si="68"/>
        <v>22</v>
      </c>
    </row>
    <row r="103" spans="1:64" ht="29.25" customHeight="1" x14ac:dyDescent="0.25">
      <c r="A103" s="298" t="s">
        <v>280</v>
      </c>
      <c r="B103" s="299" t="s">
        <v>278</v>
      </c>
      <c r="C103" s="1547"/>
      <c r="D103" s="1549"/>
      <c r="E103" s="1549"/>
      <c r="F103" s="1549"/>
      <c r="G103" s="1549"/>
      <c r="H103" s="1549"/>
      <c r="I103" s="1425"/>
      <c r="J103" s="1425"/>
      <c r="K103" s="1425" t="s">
        <v>335</v>
      </c>
      <c r="L103" s="301"/>
      <c r="M103" s="1425" t="s">
        <v>45</v>
      </c>
      <c r="N103" s="1425" t="s">
        <v>46</v>
      </c>
      <c r="O103" s="1425" t="s">
        <v>47</v>
      </c>
      <c r="P103" s="16" t="s">
        <v>336</v>
      </c>
      <c r="Q103" s="302" t="s">
        <v>337</v>
      </c>
      <c r="R103" s="303">
        <v>2015</v>
      </c>
      <c r="S103" s="303">
        <v>1</v>
      </c>
      <c r="T103" s="303">
        <v>2</v>
      </c>
      <c r="U103" s="572">
        <v>2</v>
      </c>
      <c r="V103" s="572">
        <v>2</v>
      </c>
      <c r="W103" s="572">
        <v>2</v>
      </c>
      <c r="X103" s="572">
        <v>8</v>
      </c>
      <c r="Y103" s="481"/>
      <c r="Z103" s="481"/>
      <c r="AA103" s="492">
        <v>2</v>
      </c>
      <c r="AB103" s="481"/>
      <c r="AC103" s="481"/>
      <c r="AD103" s="481"/>
      <c r="AE103" s="481"/>
      <c r="AF103" s="578">
        <f t="shared" si="89"/>
        <v>2</v>
      </c>
      <c r="AG103" s="548"/>
      <c r="AH103" s="548"/>
      <c r="AI103" s="548">
        <v>5</v>
      </c>
      <c r="AJ103" s="548"/>
      <c r="AK103" s="548"/>
      <c r="AL103" s="548"/>
      <c r="AM103" s="548">
        <f t="shared" si="90"/>
        <v>5</v>
      </c>
      <c r="AN103" s="481"/>
      <c r="AO103" s="481"/>
      <c r="AP103" s="481">
        <v>5</v>
      </c>
      <c r="AQ103" s="481"/>
      <c r="AR103" s="481"/>
      <c r="AS103" s="481"/>
      <c r="AT103" s="481"/>
      <c r="AU103" s="481">
        <f t="shared" si="91"/>
        <v>5</v>
      </c>
      <c r="AV103" s="548"/>
      <c r="AW103" s="548"/>
      <c r="AX103" s="548">
        <v>5</v>
      </c>
      <c r="AY103" s="548"/>
      <c r="AZ103" s="548"/>
      <c r="BA103" s="548"/>
      <c r="BB103" s="548"/>
      <c r="BC103" s="548">
        <f t="shared" si="92"/>
        <v>5</v>
      </c>
      <c r="BD103" s="42">
        <f t="shared" si="93"/>
        <v>0</v>
      </c>
      <c r="BE103" s="42">
        <f t="shared" si="94"/>
        <v>0</v>
      </c>
      <c r="BF103" s="42">
        <f t="shared" si="95"/>
        <v>17</v>
      </c>
      <c r="BG103" s="42">
        <f t="shared" si="96"/>
        <v>0</v>
      </c>
      <c r="BH103" s="42">
        <f t="shared" si="97"/>
        <v>0</v>
      </c>
      <c r="BI103" s="42">
        <f t="shared" si="74"/>
        <v>0</v>
      </c>
      <c r="BJ103" s="42">
        <f t="shared" si="87"/>
        <v>0</v>
      </c>
      <c r="BK103" s="42">
        <f t="shared" si="88"/>
        <v>17</v>
      </c>
      <c r="BL103" s="40">
        <f t="shared" si="68"/>
        <v>17</v>
      </c>
    </row>
    <row r="104" spans="1:64" ht="43.5" customHeight="1" x14ac:dyDescent="0.25">
      <c r="A104" s="298" t="s">
        <v>280</v>
      </c>
      <c r="B104" s="299" t="s">
        <v>278</v>
      </c>
      <c r="C104" s="1547"/>
      <c r="D104" s="1549"/>
      <c r="E104" s="1549"/>
      <c r="F104" s="1549"/>
      <c r="G104" s="1549"/>
      <c r="H104" s="1549"/>
      <c r="I104" s="1425"/>
      <c r="J104" s="1425"/>
      <c r="K104" s="1425" t="s">
        <v>338</v>
      </c>
      <c r="L104" s="301"/>
      <c r="M104" s="1425" t="s">
        <v>45</v>
      </c>
      <c r="N104" s="1425" t="s">
        <v>46</v>
      </c>
      <c r="O104" s="1425" t="s">
        <v>47</v>
      </c>
      <c r="P104" s="16" t="s">
        <v>339</v>
      </c>
      <c r="Q104" s="302" t="s">
        <v>340</v>
      </c>
      <c r="R104" s="303">
        <v>2015</v>
      </c>
      <c r="S104" s="303">
        <v>1600</v>
      </c>
      <c r="T104" s="303">
        <v>1600</v>
      </c>
      <c r="U104" s="572">
        <v>1600</v>
      </c>
      <c r="V104" s="572">
        <v>1600</v>
      </c>
      <c r="W104" s="572">
        <v>1600</v>
      </c>
      <c r="X104" s="572">
        <v>1600</v>
      </c>
      <c r="Y104" s="483"/>
      <c r="Z104" s="483"/>
      <c r="AA104" s="577">
        <v>15.5</v>
      </c>
      <c r="AB104" s="483"/>
      <c r="AC104" s="483"/>
      <c r="AD104" s="483"/>
      <c r="AE104" s="483"/>
      <c r="AF104" s="578">
        <f t="shared" si="89"/>
        <v>15.5</v>
      </c>
      <c r="AG104" s="587"/>
      <c r="AH104" s="587"/>
      <c r="AI104" s="491">
        <v>6</v>
      </c>
      <c r="AJ104" s="587"/>
      <c r="AK104" s="587"/>
      <c r="AL104" s="587"/>
      <c r="AM104" s="587">
        <f t="shared" si="90"/>
        <v>6</v>
      </c>
      <c r="AN104" s="483"/>
      <c r="AO104" s="483"/>
      <c r="AP104" s="491">
        <v>6</v>
      </c>
      <c r="AQ104" s="483"/>
      <c r="AR104" s="483"/>
      <c r="AS104" s="483"/>
      <c r="AT104" s="483"/>
      <c r="AU104" s="483">
        <f t="shared" si="91"/>
        <v>6</v>
      </c>
      <c r="AV104" s="587"/>
      <c r="AW104" s="587"/>
      <c r="AX104" s="491">
        <v>6</v>
      </c>
      <c r="AY104" s="587"/>
      <c r="AZ104" s="587"/>
      <c r="BA104" s="587"/>
      <c r="BB104" s="587"/>
      <c r="BC104" s="587">
        <f t="shared" si="92"/>
        <v>6</v>
      </c>
      <c r="BD104" s="44">
        <f t="shared" si="93"/>
        <v>0</v>
      </c>
      <c r="BE104" s="44">
        <f t="shared" si="94"/>
        <v>0</v>
      </c>
      <c r="BF104" s="44">
        <f t="shared" si="95"/>
        <v>33.5</v>
      </c>
      <c r="BG104" s="44">
        <f t="shared" si="96"/>
        <v>0</v>
      </c>
      <c r="BH104" s="44">
        <f t="shared" si="97"/>
        <v>0</v>
      </c>
      <c r="BI104" s="44">
        <f t="shared" si="74"/>
        <v>0</v>
      </c>
      <c r="BJ104" s="44">
        <f t="shared" si="87"/>
        <v>0</v>
      </c>
      <c r="BK104" s="44">
        <f t="shared" si="88"/>
        <v>33.5</v>
      </c>
      <c r="BL104" s="40">
        <f t="shared" si="68"/>
        <v>33.5</v>
      </c>
    </row>
    <row r="105" spans="1:64" ht="58.5" customHeight="1" x14ac:dyDescent="0.25">
      <c r="A105" s="298" t="s">
        <v>280</v>
      </c>
      <c r="B105" s="299" t="s">
        <v>278</v>
      </c>
      <c r="C105" s="1548"/>
      <c r="D105" s="1549"/>
      <c r="E105" s="1549"/>
      <c r="F105" s="1549"/>
      <c r="G105" s="1549"/>
      <c r="H105" s="1549"/>
      <c r="I105" s="1425"/>
      <c r="J105" s="1425"/>
      <c r="K105" s="1425" t="s">
        <v>341</v>
      </c>
      <c r="L105" s="301"/>
      <c r="M105" s="1425" t="s">
        <v>45</v>
      </c>
      <c r="N105" s="1425" t="s">
        <v>46</v>
      </c>
      <c r="O105" s="1425" t="s">
        <v>47</v>
      </c>
      <c r="P105" s="16" t="s">
        <v>342</v>
      </c>
      <c r="Q105" s="302" t="s">
        <v>313</v>
      </c>
      <c r="R105" s="303">
        <v>2015</v>
      </c>
      <c r="S105" s="303">
        <v>0</v>
      </c>
      <c r="T105" s="303">
        <v>1</v>
      </c>
      <c r="U105" s="572">
        <v>0</v>
      </c>
      <c r="V105" s="572">
        <v>1</v>
      </c>
      <c r="W105" s="572">
        <v>0</v>
      </c>
      <c r="X105" s="572">
        <v>2</v>
      </c>
      <c r="Y105" s="481"/>
      <c r="Z105" s="481"/>
      <c r="AA105" s="579">
        <v>25</v>
      </c>
      <c r="AB105" s="481"/>
      <c r="AC105" s="481"/>
      <c r="AD105" s="481"/>
      <c r="AE105" s="481"/>
      <c r="AF105" s="578">
        <f t="shared" si="89"/>
        <v>25</v>
      </c>
      <c r="AG105" s="548"/>
      <c r="AH105" s="548"/>
      <c r="AI105" s="491"/>
      <c r="AJ105" s="548"/>
      <c r="AK105" s="548"/>
      <c r="AL105" s="548"/>
      <c r="AM105" s="548">
        <f t="shared" si="90"/>
        <v>0</v>
      </c>
      <c r="AN105" s="481"/>
      <c r="AO105" s="481"/>
      <c r="AP105" s="491">
        <v>6</v>
      </c>
      <c r="AQ105" s="481"/>
      <c r="AR105" s="481"/>
      <c r="AS105" s="481"/>
      <c r="AT105" s="481"/>
      <c r="AU105" s="481">
        <f t="shared" si="91"/>
        <v>6</v>
      </c>
      <c r="AV105" s="548"/>
      <c r="AW105" s="548"/>
      <c r="AX105" s="491"/>
      <c r="AY105" s="548"/>
      <c r="AZ105" s="548"/>
      <c r="BA105" s="548"/>
      <c r="BB105" s="548"/>
      <c r="BC105" s="548">
        <f t="shared" si="92"/>
        <v>0</v>
      </c>
      <c r="BD105" s="42">
        <f t="shared" si="93"/>
        <v>0</v>
      </c>
      <c r="BE105" s="42">
        <f t="shared" si="94"/>
        <v>0</v>
      </c>
      <c r="BF105" s="42">
        <f t="shared" si="95"/>
        <v>31</v>
      </c>
      <c r="BG105" s="42">
        <f t="shared" si="96"/>
        <v>0</v>
      </c>
      <c r="BH105" s="42">
        <f t="shared" si="97"/>
        <v>0</v>
      </c>
      <c r="BI105" s="42">
        <f t="shared" si="74"/>
        <v>0</v>
      </c>
      <c r="BJ105" s="42">
        <f t="shared" si="87"/>
        <v>0</v>
      </c>
      <c r="BK105" s="42">
        <f t="shared" si="88"/>
        <v>31</v>
      </c>
      <c r="BL105" s="40">
        <f t="shared" si="68"/>
        <v>31</v>
      </c>
    </row>
    <row r="106" spans="1:64" ht="17.399999999999999" x14ac:dyDescent="0.25">
      <c r="A106" s="420"/>
      <c r="B106" s="1553" t="s">
        <v>344</v>
      </c>
      <c r="C106" s="1554"/>
      <c r="D106" s="1554"/>
      <c r="E106" s="1554"/>
      <c r="F106" s="1554"/>
      <c r="G106" s="1554"/>
      <c r="H106" s="1554"/>
      <c r="I106" s="1554"/>
      <c r="J106" s="1554"/>
      <c r="K106" s="1554"/>
      <c r="L106" s="1554"/>
      <c r="M106" s="1555"/>
      <c r="N106" s="597"/>
      <c r="O106" s="597"/>
      <c r="P106" s="597"/>
      <c r="Q106" s="598"/>
      <c r="R106" s="597"/>
      <c r="S106" s="597"/>
      <c r="T106" s="597"/>
      <c r="U106" s="599"/>
      <c r="V106" s="599"/>
      <c r="W106" s="599"/>
      <c r="X106" s="599"/>
      <c r="Y106" s="600">
        <f>+Y107+Y113</f>
        <v>20</v>
      </c>
      <c r="Z106" s="600">
        <f t="shared" ref="Z106:AE106" si="102">+Z107+Z113</f>
        <v>0</v>
      </c>
      <c r="AA106" s="600">
        <f t="shared" si="102"/>
        <v>94</v>
      </c>
      <c r="AB106" s="600">
        <f t="shared" si="102"/>
        <v>0</v>
      </c>
      <c r="AC106" s="600">
        <f t="shared" si="102"/>
        <v>0</v>
      </c>
      <c r="AD106" s="600">
        <f t="shared" si="102"/>
        <v>745.7</v>
      </c>
      <c r="AE106" s="600">
        <f t="shared" si="102"/>
        <v>0</v>
      </c>
      <c r="AF106" s="600">
        <f t="shared" si="89"/>
        <v>859.7</v>
      </c>
      <c r="AG106" s="600">
        <f t="shared" ref="AG106:AL106" si="103">+AG107+AG113</f>
        <v>21</v>
      </c>
      <c r="AH106" s="600">
        <f t="shared" si="103"/>
        <v>0</v>
      </c>
      <c r="AI106" s="600">
        <f>SUM(AI107+AI113)</f>
        <v>0</v>
      </c>
      <c r="AJ106" s="600">
        <f t="shared" si="103"/>
        <v>700</v>
      </c>
      <c r="AK106" s="600">
        <f t="shared" si="103"/>
        <v>0</v>
      </c>
      <c r="AL106" s="600">
        <f t="shared" si="103"/>
        <v>300</v>
      </c>
      <c r="AM106" s="600">
        <f t="shared" ref="AM106:AM117" si="104">SUM(AG106:AL106)</f>
        <v>1021</v>
      </c>
      <c r="AN106" s="600">
        <f t="shared" ref="AN106:AT106" si="105">+AN107+AN113</f>
        <v>25.5</v>
      </c>
      <c r="AO106" s="600">
        <f t="shared" si="105"/>
        <v>0</v>
      </c>
      <c r="AP106" s="600">
        <f t="shared" si="105"/>
        <v>101</v>
      </c>
      <c r="AQ106" s="600">
        <f t="shared" si="105"/>
        <v>0</v>
      </c>
      <c r="AR106" s="600">
        <f t="shared" si="105"/>
        <v>0</v>
      </c>
      <c r="AS106" s="600">
        <f t="shared" si="105"/>
        <v>0</v>
      </c>
      <c r="AT106" s="600">
        <f t="shared" si="105"/>
        <v>0</v>
      </c>
      <c r="AU106" s="600">
        <f t="shared" ref="AU106:AU117" si="106">SUM(AN106:AT106)</f>
        <v>126.5</v>
      </c>
      <c r="AV106" s="600">
        <f t="shared" ref="AV106:BB106" si="107">+AV107+AV113</f>
        <v>22.5</v>
      </c>
      <c r="AW106" s="600">
        <f t="shared" si="107"/>
        <v>0</v>
      </c>
      <c r="AX106" s="600">
        <f t="shared" si="107"/>
        <v>105</v>
      </c>
      <c r="AY106" s="600">
        <f t="shared" si="107"/>
        <v>0</v>
      </c>
      <c r="AZ106" s="600">
        <f t="shared" si="107"/>
        <v>0</v>
      </c>
      <c r="BA106" s="600">
        <f t="shared" si="107"/>
        <v>0</v>
      </c>
      <c r="BB106" s="600">
        <f t="shared" si="107"/>
        <v>0</v>
      </c>
      <c r="BC106" s="600">
        <f t="shared" ref="BC106:BC117" si="108">SUM(AV106:BB106)</f>
        <v>127.5</v>
      </c>
      <c r="BD106" s="33">
        <f t="shared" si="93"/>
        <v>89</v>
      </c>
      <c r="BE106" s="33">
        <f t="shared" si="94"/>
        <v>0</v>
      </c>
      <c r="BF106" s="33">
        <f t="shared" si="95"/>
        <v>300</v>
      </c>
      <c r="BG106" s="33">
        <f t="shared" si="96"/>
        <v>700</v>
      </c>
      <c r="BH106" s="33">
        <f t="shared" si="97"/>
        <v>0</v>
      </c>
      <c r="BI106" s="33">
        <f t="shared" si="74"/>
        <v>745.7</v>
      </c>
      <c r="BJ106" s="33">
        <f t="shared" si="87"/>
        <v>300</v>
      </c>
      <c r="BK106" s="33">
        <f t="shared" si="88"/>
        <v>2134.6999999999998</v>
      </c>
      <c r="BL106" s="40">
        <f t="shared" si="68"/>
        <v>2134.6999999999998</v>
      </c>
    </row>
    <row r="107" spans="1:64" ht="26.4" x14ac:dyDescent="0.25">
      <c r="A107" s="603"/>
      <c r="B107" s="154" t="s">
        <v>343</v>
      </c>
      <c r="C107" s="6"/>
      <c r="D107" s="2" t="s">
        <v>345</v>
      </c>
      <c r="E107" s="1"/>
      <c r="F107" s="1"/>
      <c r="G107" s="1"/>
      <c r="H107" s="1"/>
      <c r="I107" s="1"/>
      <c r="J107" s="1"/>
      <c r="K107" s="1"/>
      <c r="L107" s="1"/>
      <c r="M107" s="1"/>
      <c r="N107" s="1"/>
      <c r="O107" s="1"/>
      <c r="P107" s="1"/>
      <c r="Q107" s="573"/>
      <c r="R107" s="574"/>
      <c r="S107" s="574"/>
      <c r="T107" s="574"/>
      <c r="U107" s="575"/>
      <c r="V107" s="575"/>
      <c r="W107" s="575"/>
      <c r="X107" s="575"/>
      <c r="Y107" s="34">
        <f>SUM(Y108:Y112)</f>
        <v>0</v>
      </c>
      <c r="Z107" s="34">
        <f t="shared" ref="Z107:AE107" si="109">SUM(Z108:Z112)</f>
        <v>0</v>
      </c>
      <c r="AA107" s="34">
        <f t="shared" si="109"/>
        <v>0</v>
      </c>
      <c r="AB107" s="34">
        <f t="shared" si="109"/>
        <v>0</v>
      </c>
      <c r="AC107" s="34">
        <f t="shared" si="109"/>
        <v>0</v>
      </c>
      <c r="AD107" s="34">
        <f t="shared" si="109"/>
        <v>745.7</v>
      </c>
      <c r="AE107" s="34">
        <f t="shared" si="109"/>
        <v>0</v>
      </c>
      <c r="AF107" s="34">
        <f t="shared" si="89"/>
        <v>745.7</v>
      </c>
      <c r="AG107" s="34">
        <f t="shared" ref="AG107:AL107" si="110">SUM(AG108:AG112)</f>
        <v>2</v>
      </c>
      <c r="AH107" s="34">
        <f t="shared" si="110"/>
        <v>0</v>
      </c>
      <c r="AI107" s="34">
        <f>SUM(AI108:AI112)</f>
        <v>0</v>
      </c>
      <c r="AJ107" s="34">
        <f t="shared" si="110"/>
        <v>500</v>
      </c>
      <c r="AK107" s="34">
        <f t="shared" si="110"/>
        <v>0</v>
      </c>
      <c r="AL107" s="34">
        <f t="shared" si="110"/>
        <v>0</v>
      </c>
      <c r="AM107" s="34">
        <f t="shared" si="104"/>
        <v>502</v>
      </c>
      <c r="AN107" s="34">
        <f t="shared" ref="AN107:AT107" si="111">SUM(AN108:AN112)</f>
        <v>4</v>
      </c>
      <c r="AO107" s="34">
        <f t="shared" si="111"/>
        <v>0</v>
      </c>
      <c r="AP107" s="34">
        <f t="shared" si="111"/>
        <v>101</v>
      </c>
      <c r="AQ107" s="34">
        <f t="shared" si="111"/>
        <v>0</v>
      </c>
      <c r="AR107" s="34">
        <f t="shared" si="111"/>
        <v>0</v>
      </c>
      <c r="AS107" s="34">
        <f t="shared" si="111"/>
        <v>0</v>
      </c>
      <c r="AT107" s="34">
        <f t="shared" si="111"/>
        <v>0</v>
      </c>
      <c r="AU107" s="34">
        <f t="shared" si="106"/>
        <v>105</v>
      </c>
      <c r="AV107" s="34">
        <f t="shared" ref="AV107:BB107" si="112">SUM(AV108:AV112)</f>
        <v>2.5</v>
      </c>
      <c r="AW107" s="34">
        <f t="shared" si="112"/>
        <v>0</v>
      </c>
      <c r="AX107" s="34">
        <f t="shared" si="112"/>
        <v>105</v>
      </c>
      <c r="AY107" s="34">
        <f t="shared" si="112"/>
        <v>0</v>
      </c>
      <c r="AZ107" s="34">
        <f t="shared" si="112"/>
        <v>0</v>
      </c>
      <c r="BA107" s="34">
        <f t="shared" si="112"/>
        <v>0</v>
      </c>
      <c r="BB107" s="34">
        <f t="shared" si="112"/>
        <v>0</v>
      </c>
      <c r="BC107" s="34">
        <f t="shared" si="108"/>
        <v>107.5</v>
      </c>
      <c r="BD107" s="34">
        <f t="shared" si="93"/>
        <v>8.5</v>
      </c>
      <c r="BE107" s="34">
        <f t="shared" si="94"/>
        <v>0</v>
      </c>
      <c r="BF107" s="34">
        <f t="shared" si="95"/>
        <v>206</v>
      </c>
      <c r="BG107" s="34">
        <f t="shared" si="96"/>
        <v>500</v>
      </c>
      <c r="BH107" s="34">
        <f t="shared" si="97"/>
        <v>0</v>
      </c>
      <c r="BI107" s="34">
        <f t="shared" si="74"/>
        <v>745.7</v>
      </c>
      <c r="BJ107" s="34">
        <f t="shared" si="87"/>
        <v>0</v>
      </c>
      <c r="BK107" s="34">
        <f t="shared" si="88"/>
        <v>1460.2</v>
      </c>
      <c r="BL107" s="40">
        <f t="shared" si="68"/>
        <v>1460.2</v>
      </c>
    </row>
    <row r="108" spans="1:64" ht="70.5" customHeight="1" x14ac:dyDescent="0.25">
      <c r="A108" s="298" t="s">
        <v>346</v>
      </c>
      <c r="B108" s="299" t="s">
        <v>343</v>
      </c>
      <c r="C108" s="1546" t="s">
        <v>347</v>
      </c>
      <c r="D108" s="1549" t="s">
        <v>348</v>
      </c>
      <c r="E108" s="1549" t="s">
        <v>349</v>
      </c>
      <c r="F108" s="1549">
        <v>2015</v>
      </c>
      <c r="G108" s="1549">
        <v>37.700000000000003</v>
      </c>
      <c r="H108" s="1549">
        <v>33</v>
      </c>
      <c r="I108" s="1425" t="s">
        <v>53</v>
      </c>
      <c r="J108" s="1425"/>
      <c r="K108" s="1425" t="s">
        <v>350</v>
      </c>
      <c r="L108" s="301" t="s">
        <v>179</v>
      </c>
      <c r="M108" s="1425" t="s">
        <v>351</v>
      </c>
      <c r="N108" s="1425" t="s">
        <v>2484</v>
      </c>
      <c r="O108" s="1425" t="s">
        <v>47</v>
      </c>
      <c r="P108" s="16" t="s">
        <v>353</v>
      </c>
      <c r="Q108" s="302" t="s">
        <v>354</v>
      </c>
      <c r="R108" s="303">
        <v>2015</v>
      </c>
      <c r="S108" s="303" t="s">
        <v>177</v>
      </c>
      <c r="T108" s="303">
        <v>10</v>
      </c>
      <c r="U108" s="572">
        <v>150</v>
      </c>
      <c r="V108" s="572">
        <v>150</v>
      </c>
      <c r="W108" s="572">
        <v>140</v>
      </c>
      <c r="X108" s="572">
        <f>SUBTOTAL(9,T108:W108)</f>
        <v>450</v>
      </c>
      <c r="Y108" s="481"/>
      <c r="Z108" s="481"/>
      <c r="AA108" s="481"/>
      <c r="AB108" s="481"/>
      <c r="AC108" s="481"/>
      <c r="AD108" s="481">
        <v>745.7</v>
      </c>
      <c r="AE108" s="481"/>
      <c r="AF108" s="481">
        <f t="shared" si="89"/>
        <v>745.7</v>
      </c>
      <c r="AG108" s="548"/>
      <c r="AH108" s="548"/>
      <c r="AI108" s="548"/>
      <c r="AJ108" s="548">
        <v>490</v>
      </c>
      <c r="AK108" s="548"/>
      <c r="AL108" s="548"/>
      <c r="AM108" s="548">
        <f t="shared" si="104"/>
        <v>490</v>
      </c>
      <c r="AN108" s="481"/>
      <c r="AO108" s="481"/>
      <c r="AP108" s="481">
        <v>101</v>
      </c>
      <c r="AQ108" s="481"/>
      <c r="AR108" s="481"/>
      <c r="AS108" s="481"/>
      <c r="AT108" s="481"/>
      <c r="AU108" s="481">
        <f t="shared" si="106"/>
        <v>101</v>
      </c>
      <c r="AV108" s="548"/>
      <c r="AW108" s="548"/>
      <c r="AX108" s="548">
        <v>105</v>
      </c>
      <c r="AY108" s="548"/>
      <c r="AZ108" s="548"/>
      <c r="BA108" s="548"/>
      <c r="BB108" s="548"/>
      <c r="BC108" s="548">
        <f t="shared" si="108"/>
        <v>105</v>
      </c>
      <c r="BD108" s="42">
        <f t="shared" si="93"/>
        <v>0</v>
      </c>
      <c r="BE108" s="42">
        <f t="shared" si="94"/>
        <v>0</v>
      </c>
      <c r="BF108" s="42">
        <f t="shared" si="95"/>
        <v>206</v>
      </c>
      <c r="BG108" s="42">
        <f t="shared" si="96"/>
        <v>490</v>
      </c>
      <c r="BH108" s="42">
        <f t="shared" si="97"/>
        <v>0</v>
      </c>
      <c r="BI108" s="42">
        <f t="shared" si="74"/>
        <v>745.7</v>
      </c>
      <c r="BJ108" s="42">
        <f t="shared" si="87"/>
        <v>0</v>
      </c>
      <c r="BK108" s="42">
        <f t="shared" si="88"/>
        <v>1441.7</v>
      </c>
      <c r="BL108" s="40">
        <f t="shared" si="68"/>
        <v>1441.7</v>
      </c>
    </row>
    <row r="109" spans="1:64" ht="53.25" customHeight="1" x14ac:dyDescent="0.25">
      <c r="A109" s="298" t="s">
        <v>346</v>
      </c>
      <c r="B109" s="299" t="s">
        <v>343</v>
      </c>
      <c r="C109" s="1547"/>
      <c r="D109" s="1549"/>
      <c r="E109" s="1549"/>
      <c r="F109" s="1549"/>
      <c r="G109" s="1549"/>
      <c r="H109" s="1549"/>
      <c r="I109" s="1425"/>
      <c r="J109" s="1425"/>
      <c r="K109" s="1425" t="s">
        <v>355</v>
      </c>
      <c r="L109" s="301" t="s">
        <v>179</v>
      </c>
      <c r="M109" s="1425" t="s">
        <v>351</v>
      </c>
      <c r="N109" s="1425" t="s">
        <v>2484</v>
      </c>
      <c r="O109" s="1425" t="s">
        <v>47</v>
      </c>
      <c r="P109" s="16" t="s">
        <v>356</v>
      </c>
      <c r="Q109" s="302" t="s">
        <v>357</v>
      </c>
      <c r="R109" s="303">
        <v>2015</v>
      </c>
      <c r="S109" s="303">
        <v>0</v>
      </c>
      <c r="T109" s="303">
        <v>0</v>
      </c>
      <c r="U109" s="572">
        <v>2</v>
      </c>
      <c r="V109" s="572">
        <v>0</v>
      </c>
      <c r="W109" s="572">
        <v>0</v>
      </c>
      <c r="X109" s="572">
        <f>SUBTOTAL(9,T109:W109)</f>
        <v>2</v>
      </c>
      <c r="Y109" s="481"/>
      <c r="Z109" s="481"/>
      <c r="AA109" s="481"/>
      <c r="AB109" s="481"/>
      <c r="AC109" s="481"/>
      <c r="AD109" s="481"/>
      <c r="AE109" s="481"/>
      <c r="AF109" s="481">
        <f t="shared" si="89"/>
        <v>0</v>
      </c>
      <c r="AG109" s="548">
        <v>0.5</v>
      </c>
      <c r="AH109" s="548"/>
      <c r="AI109" s="548"/>
      <c r="AJ109" s="548"/>
      <c r="AK109" s="548"/>
      <c r="AL109" s="548"/>
      <c r="AM109" s="548">
        <f t="shared" si="104"/>
        <v>0.5</v>
      </c>
      <c r="AN109" s="481"/>
      <c r="AO109" s="481"/>
      <c r="AP109" s="481"/>
      <c r="AQ109" s="481"/>
      <c r="AR109" s="481"/>
      <c r="AS109" s="481"/>
      <c r="AT109" s="481"/>
      <c r="AU109" s="481">
        <f t="shared" si="106"/>
        <v>0</v>
      </c>
      <c r="AV109" s="548"/>
      <c r="AW109" s="548"/>
      <c r="AX109" s="548"/>
      <c r="AY109" s="548"/>
      <c r="AZ109" s="548"/>
      <c r="BA109" s="548"/>
      <c r="BB109" s="548"/>
      <c r="BC109" s="548">
        <f t="shared" si="108"/>
        <v>0</v>
      </c>
      <c r="BD109" s="42">
        <f t="shared" si="93"/>
        <v>0.5</v>
      </c>
      <c r="BE109" s="42">
        <f t="shared" si="94"/>
        <v>0</v>
      </c>
      <c r="BF109" s="42">
        <f t="shared" si="95"/>
        <v>0</v>
      </c>
      <c r="BG109" s="42">
        <f t="shared" si="96"/>
        <v>0</v>
      </c>
      <c r="BH109" s="42">
        <f t="shared" si="97"/>
        <v>0</v>
      </c>
      <c r="BI109" s="42">
        <f t="shared" si="74"/>
        <v>0</v>
      </c>
      <c r="BJ109" s="42">
        <f t="shared" si="87"/>
        <v>0</v>
      </c>
      <c r="BK109" s="42">
        <f t="shared" si="88"/>
        <v>0.5</v>
      </c>
      <c r="BL109" s="40">
        <f t="shared" si="68"/>
        <v>0.5</v>
      </c>
    </row>
    <row r="110" spans="1:64" ht="68.25" customHeight="1" x14ac:dyDescent="0.25">
      <c r="A110" s="298" t="s">
        <v>346</v>
      </c>
      <c r="B110" s="299" t="s">
        <v>343</v>
      </c>
      <c r="C110" s="1547"/>
      <c r="D110" s="1549"/>
      <c r="E110" s="1549"/>
      <c r="F110" s="1549"/>
      <c r="G110" s="1549"/>
      <c r="H110" s="1549"/>
      <c r="I110" s="1425"/>
      <c r="J110" s="1425"/>
      <c r="K110" s="1425" t="s">
        <v>358</v>
      </c>
      <c r="L110" s="301" t="s">
        <v>179</v>
      </c>
      <c r="M110" s="1425" t="s">
        <v>351</v>
      </c>
      <c r="N110" s="1425" t="s">
        <v>2484</v>
      </c>
      <c r="O110" s="1425" t="s">
        <v>47</v>
      </c>
      <c r="P110" s="16" t="s">
        <v>360</v>
      </c>
      <c r="Q110" s="302" t="s">
        <v>361</v>
      </c>
      <c r="R110" s="303">
        <v>2015</v>
      </c>
      <c r="S110" s="303">
        <v>0</v>
      </c>
      <c r="T110" s="303">
        <v>0</v>
      </c>
      <c r="U110" s="572">
        <v>5000</v>
      </c>
      <c r="V110" s="572">
        <v>5000</v>
      </c>
      <c r="W110" s="572">
        <v>5000</v>
      </c>
      <c r="X110" s="572">
        <f>SUBTOTAL(9,T110:W110)</f>
        <v>15000</v>
      </c>
      <c r="Y110" s="483"/>
      <c r="Z110" s="483"/>
      <c r="AA110" s="483"/>
      <c r="AB110" s="483"/>
      <c r="AC110" s="483"/>
      <c r="AD110" s="483"/>
      <c r="AE110" s="483"/>
      <c r="AF110" s="483">
        <f t="shared" si="89"/>
        <v>0</v>
      </c>
      <c r="AG110" s="587">
        <v>1</v>
      </c>
      <c r="AH110" s="587"/>
      <c r="AI110" s="587"/>
      <c r="AJ110" s="587">
        <v>10</v>
      </c>
      <c r="AK110" s="587"/>
      <c r="AL110" s="587"/>
      <c r="AM110" s="587">
        <f t="shared" si="104"/>
        <v>11</v>
      </c>
      <c r="AN110" s="483">
        <v>1.5</v>
      </c>
      <c r="AO110" s="483"/>
      <c r="AP110" s="483"/>
      <c r="AQ110" s="483"/>
      <c r="AR110" s="483"/>
      <c r="AS110" s="483"/>
      <c r="AT110" s="483"/>
      <c r="AU110" s="483">
        <f t="shared" si="106"/>
        <v>1.5</v>
      </c>
      <c r="AV110" s="587">
        <v>2</v>
      </c>
      <c r="AW110" s="587"/>
      <c r="AX110" s="587"/>
      <c r="AY110" s="587"/>
      <c r="AZ110" s="587"/>
      <c r="BA110" s="587"/>
      <c r="BB110" s="587"/>
      <c r="BC110" s="587">
        <f t="shared" si="108"/>
        <v>2</v>
      </c>
      <c r="BD110" s="44">
        <f t="shared" si="93"/>
        <v>4.5</v>
      </c>
      <c r="BE110" s="44">
        <f t="shared" si="94"/>
        <v>0</v>
      </c>
      <c r="BF110" s="44">
        <f t="shared" si="95"/>
        <v>0</v>
      </c>
      <c r="BG110" s="44">
        <f t="shared" si="96"/>
        <v>10</v>
      </c>
      <c r="BH110" s="44">
        <f t="shared" si="97"/>
        <v>0</v>
      </c>
      <c r="BI110" s="44">
        <f t="shared" si="74"/>
        <v>0</v>
      </c>
      <c r="BJ110" s="44">
        <f t="shared" si="87"/>
        <v>0</v>
      </c>
      <c r="BK110" s="44">
        <f t="shared" si="88"/>
        <v>14.5</v>
      </c>
      <c r="BL110" s="40">
        <f t="shared" si="68"/>
        <v>14.5</v>
      </c>
    </row>
    <row r="111" spans="1:64" ht="48.75" customHeight="1" x14ac:dyDescent="0.25">
      <c r="A111" s="298" t="s">
        <v>346</v>
      </c>
      <c r="B111" s="299" t="s">
        <v>343</v>
      </c>
      <c r="C111" s="1547"/>
      <c r="D111" s="1549"/>
      <c r="E111" s="1549"/>
      <c r="F111" s="1549"/>
      <c r="G111" s="1549"/>
      <c r="H111" s="1549"/>
      <c r="I111" s="1425"/>
      <c r="J111" s="1425"/>
      <c r="K111" s="1425" t="s">
        <v>362</v>
      </c>
      <c r="L111" s="301" t="s">
        <v>179</v>
      </c>
      <c r="M111" s="1425" t="s">
        <v>351</v>
      </c>
      <c r="N111" s="1425" t="s">
        <v>2484</v>
      </c>
      <c r="O111" s="1425" t="s">
        <v>47</v>
      </c>
      <c r="P111" s="16" t="s">
        <v>363</v>
      </c>
      <c r="Q111" s="302" t="s">
        <v>364</v>
      </c>
      <c r="R111" s="303">
        <v>2015</v>
      </c>
      <c r="S111" s="303">
        <v>0</v>
      </c>
      <c r="T111" s="303">
        <v>0</v>
      </c>
      <c r="U111" s="572">
        <v>0</v>
      </c>
      <c r="V111" s="572">
        <v>1</v>
      </c>
      <c r="W111" s="572">
        <v>0</v>
      </c>
      <c r="X111" s="572">
        <f>SUBTOTAL(9,T111:W111)</f>
        <v>1</v>
      </c>
      <c r="Y111" s="481"/>
      <c r="Z111" s="481"/>
      <c r="AA111" s="481"/>
      <c r="AB111" s="481"/>
      <c r="AC111" s="481"/>
      <c r="AD111" s="481"/>
      <c r="AE111" s="481"/>
      <c r="AF111" s="481">
        <f t="shared" si="89"/>
        <v>0</v>
      </c>
      <c r="AG111" s="548"/>
      <c r="AH111" s="548"/>
      <c r="AI111" s="548"/>
      <c r="AJ111" s="548"/>
      <c r="AK111" s="548"/>
      <c r="AL111" s="548"/>
      <c r="AM111" s="548">
        <f t="shared" si="104"/>
        <v>0</v>
      </c>
      <c r="AN111" s="481">
        <v>2</v>
      </c>
      <c r="AO111" s="481"/>
      <c r="AP111" s="481"/>
      <c r="AQ111" s="481"/>
      <c r="AR111" s="481"/>
      <c r="AS111" s="481"/>
      <c r="AT111" s="481"/>
      <c r="AU111" s="481">
        <f t="shared" si="106"/>
        <v>2</v>
      </c>
      <c r="AV111" s="548"/>
      <c r="AW111" s="548"/>
      <c r="AX111" s="548"/>
      <c r="AY111" s="548"/>
      <c r="AZ111" s="548"/>
      <c r="BA111" s="548"/>
      <c r="BB111" s="548"/>
      <c r="BC111" s="548">
        <f t="shared" si="108"/>
        <v>0</v>
      </c>
      <c r="BD111" s="42">
        <f t="shared" si="93"/>
        <v>2</v>
      </c>
      <c r="BE111" s="42">
        <f t="shared" si="94"/>
        <v>0</v>
      </c>
      <c r="BF111" s="42">
        <f t="shared" si="95"/>
        <v>0</v>
      </c>
      <c r="BG111" s="42">
        <f t="shared" si="96"/>
        <v>0</v>
      </c>
      <c r="BH111" s="42">
        <f t="shared" si="97"/>
        <v>0</v>
      </c>
      <c r="BI111" s="42">
        <f t="shared" si="74"/>
        <v>0</v>
      </c>
      <c r="BJ111" s="42">
        <f t="shared" si="87"/>
        <v>0</v>
      </c>
      <c r="BK111" s="42">
        <f t="shared" si="88"/>
        <v>2</v>
      </c>
      <c r="BL111" s="40">
        <f t="shared" si="68"/>
        <v>2</v>
      </c>
    </row>
    <row r="112" spans="1:64" ht="57.75" customHeight="1" x14ac:dyDescent="0.25">
      <c r="A112" s="298" t="s">
        <v>346</v>
      </c>
      <c r="B112" s="299" t="s">
        <v>343</v>
      </c>
      <c r="C112" s="1548"/>
      <c r="D112" s="1549"/>
      <c r="E112" s="1549"/>
      <c r="F112" s="1549"/>
      <c r="G112" s="1549"/>
      <c r="H112" s="1549"/>
      <c r="I112" s="1425"/>
      <c r="J112" s="1425"/>
      <c r="K112" s="1425" t="s">
        <v>365</v>
      </c>
      <c r="L112" s="301" t="s">
        <v>179</v>
      </c>
      <c r="M112" s="1425" t="s">
        <v>351</v>
      </c>
      <c r="N112" s="1425" t="s">
        <v>2484</v>
      </c>
      <c r="O112" s="1425" t="s">
        <v>47</v>
      </c>
      <c r="P112" s="1198" t="s">
        <v>2485</v>
      </c>
      <c r="Q112" s="302" t="s">
        <v>367</v>
      </c>
      <c r="R112" s="303">
        <v>2015</v>
      </c>
      <c r="S112" s="303">
        <v>0</v>
      </c>
      <c r="T112" s="303">
        <v>0</v>
      </c>
      <c r="U112" s="572">
        <v>3</v>
      </c>
      <c r="V112" s="572">
        <v>3</v>
      </c>
      <c r="W112" s="572">
        <v>2</v>
      </c>
      <c r="X112" s="572">
        <f>SUBTOTAL(9,T112:W112)</f>
        <v>8</v>
      </c>
      <c r="Y112" s="481"/>
      <c r="Z112" s="481"/>
      <c r="AA112" s="481"/>
      <c r="AB112" s="481"/>
      <c r="AC112" s="481"/>
      <c r="AD112" s="481"/>
      <c r="AE112" s="481"/>
      <c r="AF112" s="481">
        <f t="shared" si="89"/>
        <v>0</v>
      </c>
      <c r="AG112" s="548">
        <v>0.5</v>
      </c>
      <c r="AH112" s="548"/>
      <c r="AI112" s="548"/>
      <c r="AJ112" s="548"/>
      <c r="AK112" s="548"/>
      <c r="AL112" s="548"/>
      <c r="AM112" s="548">
        <f t="shared" si="104"/>
        <v>0.5</v>
      </c>
      <c r="AN112" s="481">
        <v>0.5</v>
      </c>
      <c r="AO112" s="481"/>
      <c r="AP112" s="481"/>
      <c r="AQ112" s="481"/>
      <c r="AR112" s="481"/>
      <c r="AS112" s="481"/>
      <c r="AT112" s="481"/>
      <c r="AU112" s="481">
        <f t="shared" si="106"/>
        <v>0.5</v>
      </c>
      <c r="AV112" s="548">
        <v>0.5</v>
      </c>
      <c r="AW112" s="548"/>
      <c r="AX112" s="548"/>
      <c r="AY112" s="548"/>
      <c r="AZ112" s="548"/>
      <c r="BA112" s="548"/>
      <c r="BB112" s="548"/>
      <c r="BC112" s="548">
        <f t="shared" si="108"/>
        <v>0.5</v>
      </c>
      <c r="BD112" s="42">
        <f t="shared" si="93"/>
        <v>1.5</v>
      </c>
      <c r="BE112" s="42">
        <f t="shared" si="94"/>
        <v>0</v>
      </c>
      <c r="BF112" s="42">
        <f t="shared" si="95"/>
        <v>0</v>
      </c>
      <c r="BG112" s="42">
        <f t="shared" si="96"/>
        <v>0</v>
      </c>
      <c r="BH112" s="42">
        <f t="shared" si="97"/>
        <v>0</v>
      </c>
      <c r="BI112" s="42">
        <f t="shared" si="74"/>
        <v>0</v>
      </c>
      <c r="BJ112" s="42">
        <f t="shared" si="87"/>
        <v>0</v>
      </c>
      <c r="BK112" s="42">
        <f t="shared" si="88"/>
        <v>1.5</v>
      </c>
      <c r="BL112" s="40">
        <f t="shared" si="68"/>
        <v>1.5</v>
      </c>
    </row>
    <row r="113" spans="1:64" ht="26.4" x14ac:dyDescent="0.25">
      <c r="A113" s="295" t="s">
        <v>346</v>
      </c>
      <c r="B113" s="154" t="s">
        <v>343</v>
      </c>
      <c r="C113" s="6"/>
      <c r="D113" s="2" t="s">
        <v>368</v>
      </c>
      <c r="E113" s="1"/>
      <c r="F113" s="1"/>
      <c r="G113" s="1"/>
      <c r="H113" s="1"/>
      <c r="I113" s="1"/>
      <c r="J113" s="1"/>
      <c r="K113" s="1"/>
      <c r="L113" s="1"/>
      <c r="M113" s="1"/>
      <c r="N113" s="1"/>
      <c r="O113" s="1"/>
      <c r="P113" s="1"/>
      <c r="Q113" s="22"/>
      <c r="R113" s="1"/>
      <c r="S113" s="1"/>
      <c r="T113" s="1"/>
      <c r="U113" s="49"/>
      <c r="V113" s="49"/>
      <c r="W113" s="49"/>
      <c r="X113" s="49"/>
      <c r="Y113" s="34">
        <f>SUM(Y114:Y117)</f>
        <v>20</v>
      </c>
      <c r="Z113" s="34">
        <f t="shared" ref="Z113:AE113" si="113">SUM(Z114:Z117)</f>
        <v>0</v>
      </c>
      <c r="AA113" s="34">
        <f>SUM(AA114:AA117)</f>
        <v>94</v>
      </c>
      <c r="AB113" s="34">
        <f t="shared" si="113"/>
        <v>0</v>
      </c>
      <c r="AC113" s="34">
        <f t="shared" si="113"/>
        <v>0</v>
      </c>
      <c r="AD113" s="34">
        <f t="shared" si="113"/>
        <v>0</v>
      </c>
      <c r="AE113" s="34">
        <f t="shared" si="113"/>
        <v>0</v>
      </c>
      <c r="AF113" s="34">
        <f t="shared" si="89"/>
        <v>114</v>
      </c>
      <c r="AG113" s="34">
        <f t="shared" ref="AG113:AL113" si="114">SUM(AG114:AG117)</f>
        <v>19</v>
      </c>
      <c r="AH113" s="34">
        <f t="shared" si="114"/>
        <v>0</v>
      </c>
      <c r="AI113" s="34">
        <f t="shared" si="114"/>
        <v>0</v>
      </c>
      <c r="AJ113" s="34">
        <f t="shared" si="114"/>
        <v>200</v>
      </c>
      <c r="AK113" s="34">
        <f t="shared" si="114"/>
        <v>0</v>
      </c>
      <c r="AL113" s="34">
        <f t="shared" si="114"/>
        <v>300</v>
      </c>
      <c r="AM113" s="34">
        <f t="shared" si="104"/>
        <v>519</v>
      </c>
      <c r="AN113" s="34">
        <f t="shared" ref="AN113:AT113" si="115">SUM(AN114:AN117)</f>
        <v>21.5</v>
      </c>
      <c r="AO113" s="34">
        <f t="shared" si="115"/>
        <v>0</v>
      </c>
      <c r="AP113" s="34">
        <f t="shared" si="115"/>
        <v>0</v>
      </c>
      <c r="AQ113" s="34">
        <f t="shared" si="115"/>
        <v>0</v>
      </c>
      <c r="AR113" s="34">
        <f t="shared" si="115"/>
        <v>0</v>
      </c>
      <c r="AS113" s="34">
        <f t="shared" si="115"/>
        <v>0</v>
      </c>
      <c r="AT113" s="34">
        <f t="shared" si="115"/>
        <v>0</v>
      </c>
      <c r="AU113" s="34">
        <f t="shared" si="106"/>
        <v>21.5</v>
      </c>
      <c r="AV113" s="34">
        <f t="shared" ref="AV113:BB113" si="116">SUM(AV114:AV117)</f>
        <v>20</v>
      </c>
      <c r="AW113" s="34">
        <f t="shared" si="116"/>
        <v>0</v>
      </c>
      <c r="AX113" s="34">
        <f t="shared" si="116"/>
        <v>0</v>
      </c>
      <c r="AY113" s="34">
        <f t="shared" si="116"/>
        <v>0</v>
      </c>
      <c r="AZ113" s="34">
        <f t="shared" si="116"/>
        <v>0</v>
      </c>
      <c r="BA113" s="34">
        <f t="shared" si="116"/>
        <v>0</v>
      </c>
      <c r="BB113" s="34">
        <f t="shared" si="116"/>
        <v>0</v>
      </c>
      <c r="BC113" s="34">
        <f t="shared" si="108"/>
        <v>20</v>
      </c>
      <c r="BD113" s="34">
        <f t="shared" si="93"/>
        <v>80.5</v>
      </c>
      <c r="BE113" s="34">
        <f t="shared" si="94"/>
        <v>0</v>
      </c>
      <c r="BF113" s="34">
        <f t="shared" si="95"/>
        <v>94</v>
      </c>
      <c r="BG113" s="34">
        <f t="shared" si="96"/>
        <v>200</v>
      </c>
      <c r="BH113" s="34">
        <f t="shared" si="97"/>
        <v>0</v>
      </c>
      <c r="BI113" s="34">
        <f t="shared" si="74"/>
        <v>0</v>
      </c>
      <c r="BJ113" s="34">
        <f t="shared" si="87"/>
        <v>300</v>
      </c>
      <c r="BK113" s="34">
        <f t="shared" si="88"/>
        <v>674.5</v>
      </c>
      <c r="BL113" s="40">
        <f t="shared" si="68"/>
        <v>674.5</v>
      </c>
    </row>
    <row r="114" spans="1:64" ht="43.5" customHeight="1" x14ac:dyDescent="0.25">
      <c r="A114" s="298" t="s">
        <v>346</v>
      </c>
      <c r="B114" s="299" t="s">
        <v>343</v>
      </c>
      <c r="C114" s="1546" t="s">
        <v>369</v>
      </c>
      <c r="D114" s="1549" t="s">
        <v>370</v>
      </c>
      <c r="E114" s="1549" t="s">
        <v>371</v>
      </c>
      <c r="F114" s="1549">
        <v>2015</v>
      </c>
      <c r="G114" s="1549">
        <v>18.899999999999999</v>
      </c>
      <c r="H114" s="1549">
        <v>16.399999999999999</v>
      </c>
      <c r="I114" s="1425" t="s">
        <v>53</v>
      </c>
      <c r="J114" s="1425"/>
      <c r="K114" s="1425" t="s">
        <v>372</v>
      </c>
      <c r="L114" s="301" t="s">
        <v>179</v>
      </c>
      <c r="M114" s="1425" t="s">
        <v>351</v>
      </c>
      <c r="N114" s="1425" t="s">
        <v>2484</v>
      </c>
      <c r="O114" s="1425" t="s">
        <v>47</v>
      </c>
      <c r="P114" s="16" t="s">
        <v>373</v>
      </c>
      <c r="Q114" s="302" t="s">
        <v>374</v>
      </c>
      <c r="R114" s="303">
        <v>2015</v>
      </c>
      <c r="S114" s="303">
        <v>0</v>
      </c>
      <c r="T114" s="303">
        <v>61</v>
      </c>
      <c r="U114" s="572">
        <v>185</v>
      </c>
      <c r="V114" s="572">
        <v>120</v>
      </c>
      <c r="W114" s="572">
        <v>119</v>
      </c>
      <c r="X114" s="572">
        <f>SUBTOTAL(9,T114:W114)</f>
        <v>485</v>
      </c>
      <c r="Y114" s="481"/>
      <c r="Z114" s="481"/>
      <c r="AA114" s="481"/>
      <c r="AB114" s="481"/>
      <c r="AC114" s="481"/>
      <c r="AD114" s="481"/>
      <c r="AE114" s="481"/>
      <c r="AF114" s="481">
        <f t="shared" si="89"/>
        <v>0</v>
      </c>
      <c r="AG114" s="548">
        <v>18.5</v>
      </c>
      <c r="AH114" s="548"/>
      <c r="AI114" s="548"/>
      <c r="AJ114" s="548">
        <v>200</v>
      </c>
      <c r="AK114" s="548"/>
      <c r="AL114" s="548"/>
      <c r="AM114" s="548">
        <f t="shared" si="104"/>
        <v>218.5</v>
      </c>
      <c r="AN114" s="481">
        <v>21</v>
      </c>
      <c r="AO114" s="481"/>
      <c r="AP114" s="481"/>
      <c r="AQ114" s="481"/>
      <c r="AR114" s="481"/>
      <c r="AS114" s="481"/>
      <c r="AT114" s="481"/>
      <c r="AU114" s="481">
        <f t="shared" si="106"/>
        <v>21</v>
      </c>
      <c r="AV114" s="548">
        <v>19.5</v>
      </c>
      <c r="AW114" s="548"/>
      <c r="AX114" s="548"/>
      <c r="AY114" s="548"/>
      <c r="AZ114" s="548"/>
      <c r="BA114" s="548"/>
      <c r="BB114" s="548"/>
      <c r="BC114" s="548">
        <f t="shared" si="108"/>
        <v>19.5</v>
      </c>
      <c r="BD114" s="42">
        <f t="shared" si="93"/>
        <v>59</v>
      </c>
      <c r="BE114" s="42">
        <f t="shared" si="94"/>
        <v>0</v>
      </c>
      <c r="BF114" s="42">
        <f t="shared" si="95"/>
        <v>0</v>
      </c>
      <c r="BG114" s="42">
        <f t="shared" si="96"/>
        <v>200</v>
      </c>
      <c r="BH114" s="42">
        <f t="shared" si="97"/>
        <v>0</v>
      </c>
      <c r="BI114" s="42">
        <f t="shared" si="74"/>
        <v>0</v>
      </c>
      <c r="BJ114" s="42">
        <f t="shared" si="87"/>
        <v>0</v>
      </c>
      <c r="BK114" s="42">
        <f t="shared" si="88"/>
        <v>259</v>
      </c>
      <c r="BL114" s="40">
        <f t="shared" si="68"/>
        <v>259</v>
      </c>
    </row>
    <row r="115" spans="1:64" ht="51.75" customHeight="1" x14ac:dyDescent="0.25">
      <c r="A115" s="298" t="s">
        <v>346</v>
      </c>
      <c r="B115" s="299" t="s">
        <v>343</v>
      </c>
      <c r="C115" s="1547"/>
      <c r="D115" s="1549"/>
      <c r="E115" s="1549"/>
      <c r="F115" s="1549"/>
      <c r="G115" s="1549"/>
      <c r="H115" s="1549"/>
      <c r="I115" s="1425"/>
      <c r="J115" s="1425"/>
      <c r="K115" s="1425" t="s">
        <v>375</v>
      </c>
      <c r="L115" s="301" t="s">
        <v>179</v>
      </c>
      <c r="M115" s="1425" t="s">
        <v>351</v>
      </c>
      <c r="N115" s="1425" t="s">
        <v>2484</v>
      </c>
      <c r="O115" s="1425" t="s">
        <v>47</v>
      </c>
      <c r="P115" s="16" t="s">
        <v>376</v>
      </c>
      <c r="Q115" s="302" t="s">
        <v>377</v>
      </c>
      <c r="R115" s="303">
        <v>2015</v>
      </c>
      <c r="S115" s="303">
        <v>0</v>
      </c>
      <c r="T115" s="303">
        <v>0</v>
      </c>
      <c r="U115" s="572">
        <v>2</v>
      </c>
      <c r="V115" s="572">
        <v>1</v>
      </c>
      <c r="W115" s="572">
        <v>1</v>
      </c>
      <c r="X115" s="572">
        <f>SUBTOTAL(9,T115:W115)</f>
        <v>4</v>
      </c>
      <c r="Y115" s="481"/>
      <c r="Z115" s="481"/>
      <c r="AA115" s="481"/>
      <c r="AB115" s="481"/>
      <c r="AC115" s="481"/>
      <c r="AD115" s="481"/>
      <c r="AE115" s="481"/>
      <c r="AF115" s="481">
        <f t="shared" si="89"/>
        <v>0</v>
      </c>
      <c r="AG115" s="548">
        <v>0.5</v>
      </c>
      <c r="AH115" s="548"/>
      <c r="AI115" s="548"/>
      <c r="AJ115" s="548"/>
      <c r="AK115" s="548"/>
      <c r="AL115" s="548"/>
      <c r="AM115" s="548">
        <f t="shared" si="104"/>
        <v>0.5</v>
      </c>
      <c r="AN115" s="481">
        <v>0.5</v>
      </c>
      <c r="AO115" s="481"/>
      <c r="AP115" s="481"/>
      <c r="AQ115" s="481"/>
      <c r="AR115" s="481"/>
      <c r="AS115" s="481"/>
      <c r="AT115" s="481"/>
      <c r="AU115" s="481">
        <f t="shared" si="106"/>
        <v>0.5</v>
      </c>
      <c r="AV115" s="548">
        <v>0.5</v>
      </c>
      <c r="AW115" s="548"/>
      <c r="AX115" s="548"/>
      <c r="AY115" s="548"/>
      <c r="AZ115" s="548"/>
      <c r="BA115" s="548"/>
      <c r="BB115" s="548"/>
      <c r="BC115" s="548">
        <f t="shared" si="108"/>
        <v>0.5</v>
      </c>
      <c r="BD115" s="42">
        <f t="shared" si="93"/>
        <v>1.5</v>
      </c>
      <c r="BE115" s="42">
        <f t="shared" si="94"/>
        <v>0</v>
      </c>
      <c r="BF115" s="42">
        <f t="shared" si="95"/>
        <v>0</v>
      </c>
      <c r="BG115" s="42">
        <f t="shared" si="96"/>
        <v>0</v>
      </c>
      <c r="BH115" s="42">
        <f t="shared" si="97"/>
        <v>0</v>
      </c>
      <c r="BI115" s="42">
        <f t="shared" si="74"/>
        <v>0</v>
      </c>
      <c r="BJ115" s="42">
        <f t="shared" si="87"/>
        <v>0</v>
      </c>
      <c r="BK115" s="42">
        <f t="shared" si="88"/>
        <v>1.5</v>
      </c>
      <c r="BL115" s="40">
        <f t="shared" si="68"/>
        <v>1.5</v>
      </c>
    </row>
    <row r="116" spans="1:64" ht="50.25" customHeight="1" x14ac:dyDescent="0.25">
      <c r="A116" s="298" t="s">
        <v>346</v>
      </c>
      <c r="B116" s="299" t="s">
        <v>343</v>
      </c>
      <c r="C116" s="1547"/>
      <c r="D116" s="1549"/>
      <c r="E116" s="1549"/>
      <c r="F116" s="1549"/>
      <c r="G116" s="1549"/>
      <c r="H116" s="1549"/>
      <c r="I116" s="1425"/>
      <c r="J116" s="1425"/>
      <c r="K116" s="1425" t="s">
        <v>378</v>
      </c>
      <c r="L116" s="301" t="s">
        <v>179</v>
      </c>
      <c r="M116" s="1425" t="s">
        <v>351</v>
      </c>
      <c r="N116" s="1425" t="s">
        <v>2484</v>
      </c>
      <c r="O116" s="1425" t="s">
        <v>47</v>
      </c>
      <c r="P116" s="16" t="s">
        <v>379</v>
      </c>
      <c r="Q116" s="302" t="s">
        <v>380</v>
      </c>
      <c r="R116" s="303">
        <v>2015</v>
      </c>
      <c r="S116" s="303">
        <v>0</v>
      </c>
      <c r="T116" s="303">
        <v>50</v>
      </c>
      <c r="U116" s="572">
        <v>0</v>
      </c>
      <c r="V116" s="572">
        <v>0</v>
      </c>
      <c r="W116" s="572">
        <v>0</v>
      </c>
      <c r="X116" s="572">
        <f>SUBTOTAL(9,T116:W116)</f>
        <v>50</v>
      </c>
      <c r="Y116" s="481">
        <v>1</v>
      </c>
      <c r="Z116" s="481"/>
      <c r="AA116" s="481"/>
      <c r="AB116" s="481"/>
      <c r="AC116" s="481"/>
      <c r="AD116" s="481"/>
      <c r="AE116" s="481"/>
      <c r="AF116" s="481">
        <f t="shared" si="89"/>
        <v>1</v>
      </c>
      <c r="AG116" s="548"/>
      <c r="AH116" s="548"/>
      <c r="AI116" s="548"/>
      <c r="AJ116" s="548"/>
      <c r="AK116" s="548"/>
      <c r="AL116" s="548"/>
      <c r="AM116" s="548">
        <f t="shared" si="104"/>
        <v>0</v>
      </c>
      <c r="AN116" s="481"/>
      <c r="AO116" s="481"/>
      <c r="AP116" s="481"/>
      <c r="AQ116" s="481"/>
      <c r="AR116" s="481"/>
      <c r="AS116" s="481"/>
      <c r="AT116" s="481"/>
      <c r="AU116" s="481">
        <f t="shared" si="106"/>
        <v>0</v>
      </c>
      <c r="AV116" s="548"/>
      <c r="AW116" s="548"/>
      <c r="AX116" s="548"/>
      <c r="AY116" s="548"/>
      <c r="AZ116" s="548"/>
      <c r="BA116" s="548"/>
      <c r="BB116" s="548"/>
      <c r="BC116" s="548">
        <f t="shared" si="108"/>
        <v>0</v>
      </c>
      <c r="BD116" s="42">
        <f t="shared" si="93"/>
        <v>1</v>
      </c>
      <c r="BE116" s="42">
        <f t="shared" si="94"/>
        <v>0</v>
      </c>
      <c r="BF116" s="42">
        <f t="shared" si="95"/>
        <v>0</v>
      </c>
      <c r="BG116" s="42">
        <f t="shared" si="96"/>
        <v>0</v>
      </c>
      <c r="BH116" s="42">
        <f t="shared" si="97"/>
        <v>0</v>
      </c>
      <c r="BI116" s="42">
        <f t="shared" si="74"/>
        <v>0</v>
      </c>
      <c r="BJ116" s="42">
        <f t="shared" si="87"/>
        <v>0</v>
      </c>
      <c r="BK116" s="42">
        <f t="shared" si="88"/>
        <v>1</v>
      </c>
      <c r="BL116" s="40">
        <f t="shared" si="68"/>
        <v>1</v>
      </c>
    </row>
    <row r="117" spans="1:64" ht="44.25" customHeight="1" x14ac:dyDescent="0.25">
      <c r="A117" s="298" t="s">
        <v>346</v>
      </c>
      <c r="B117" s="299" t="s">
        <v>343</v>
      </c>
      <c r="C117" s="1548"/>
      <c r="D117" s="1549"/>
      <c r="E117" s="1549"/>
      <c r="F117" s="1549"/>
      <c r="G117" s="1549"/>
      <c r="H117" s="1549"/>
      <c r="I117" s="1425" t="s">
        <v>53</v>
      </c>
      <c r="J117" s="1425"/>
      <c r="K117" s="1425" t="s">
        <v>381</v>
      </c>
      <c r="L117" s="301" t="s">
        <v>179</v>
      </c>
      <c r="M117" s="1425" t="s">
        <v>351</v>
      </c>
      <c r="N117" s="1425" t="s">
        <v>2484</v>
      </c>
      <c r="O117" s="1425" t="s">
        <v>47</v>
      </c>
      <c r="P117" s="16" t="s">
        <v>382</v>
      </c>
      <c r="Q117" s="302" t="s">
        <v>383</v>
      </c>
      <c r="R117" s="303">
        <v>2015</v>
      </c>
      <c r="S117" s="303">
        <v>0</v>
      </c>
      <c r="T117" s="303">
        <v>1</v>
      </c>
      <c r="U117" s="572">
        <v>1</v>
      </c>
      <c r="V117" s="572">
        <v>0</v>
      </c>
      <c r="W117" s="572">
        <v>0</v>
      </c>
      <c r="X117" s="572">
        <f>SUBTOTAL(9,T117:W117)</f>
        <v>2</v>
      </c>
      <c r="Y117" s="481">
        <v>19</v>
      </c>
      <c r="Z117" s="481"/>
      <c r="AA117" s="481">
        <v>94</v>
      </c>
      <c r="AB117" s="481"/>
      <c r="AC117" s="481"/>
      <c r="AD117" s="481"/>
      <c r="AE117" s="481"/>
      <c r="AF117" s="481">
        <f t="shared" si="89"/>
        <v>113</v>
      </c>
      <c r="AG117" s="548"/>
      <c r="AH117" s="548"/>
      <c r="AI117" s="548"/>
      <c r="AJ117" s="548"/>
      <c r="AK117" s="548"/>
      <c r="AL117" s="548">
        <v>300</v>
      </c>
      <c r="AM117" s="548">
        <f t="shared" si="104"/>
        <v>300</v>
      </c>
      <c r="AN117" s="481"/>
      <c r="AO117" s="481"/>
      <c r="AP117" s="481"/>
      <c r="AQ117" s="481"/>
      <c r="AR117" s="481"/>
      <c r="AS117" s="481"/>
      <c r="AT117" s="481"/>
      <c r="AU117" s="481">
        <f t="shared" si="106"/>
        <v>0</v>
      </c>
      <c r="AV117" s="548"/>
      <c r="AW117" s="548"/>
      <c r="AX117" s="548"/>
      <c r="AY117" s="548"/>
      <c r="AZ117" s="548"/>
      <c r="BA117" s="548"/>
      <c r="BB117" s="548"/>
      <c r="BC117" s="548">
        <f t="shared" si="108"/>
        <v>0</v>
      </c>
      <c r="BD117" s="42">
        <f t="shared" si="93"/>
        <v>19</v>
      </c>
      <c r="BE117" s="42">
        <f t="shared" si="94"/>
        <v>0</v>
      </c>
      <c r="BF117" s="42">
        <f t="shared" si="95"/>
        <v>94</v>
      </c>
      <c r="BG117" s="42">
        <f t="shared" si="96"/>
        <v>0</v>
      </c>
      <c r="BH117" s="42">
        <f t="shared" si="97"/>
        <v>0</v>
      </c>
      <c r="BI117" s="42">
        <f t="shared" si="74"/>
        <v>0</v>
      </c>
      <c r="BJ117" s="42">
        <f t="shared" si="87"/>
        <v>300</v>
      </c>
      <c r="BK117" s="42">
        <f t="shared" si="88"/>
        <v>413</v>
      </c>
      <c r="BL117" s="40">
        <f t="shared" si="68"/>
        <v>413</v>
      </c>
    </row>
    <row r="118" spans="1:64" ht="17.399999999999999" x14ac:dyDescent="0.25">
      <c r="A118" s="420"/>
      <c r="B118" s="1556" t="s">
        <v>384</v>
      </c>
      <c r="C118" s="1557"/>
      <c r="D118" s="1557"/>
      <c r="E118" s="1557"/>
      <c r="F118" s="1557"/>
      <c r="G118" s="1557"/>
      <c r="H118" s="1557"/>
      <c r="I118" s="1557"/>
      <c r="J118" s="1557"/>
      <c r="K118" s="1557"/>
      <c r="L118" s="1557"/>
      <c r="M118" s="1558"/>
      <c r="N118" s="597"/>
      <c r="O118" s="597"/>
      <c r="P118" s="597"/>
      <c r="Q118" s="598"/>
      <c r="R118" s="597"/>
      <c r="S118" s="597"/>
      <c r="T118" s="597"/>
      <c r="U118" s="599"/>
      <c r="V118" s="599"/>
      <c r="W118" s="599"/>
      <c r="X118" s="599"/>
      <c r="Y118" s="600">
        <f t="shared" ref="Y118:BK118" si="117">+Y119+Y134+Y144</f>
        <v>0</v>
      </c>
      <c r="Z118" s="600">
        <f t="shared" si="117"/>
        <v>0</v>
      </c>
      <c r="AA118" s="600">
        <f t="shared" si="117"/>
        <v>2390.3000000000002</v>
      </c>
      <c r="AB118" s="600">
        <f t="shared" si="117"/>
        <v>0</v>
      </c>
      <c r="AC118" s="600">
        <f t="shared" si="117"/>
        <v>0</v>
      </c>
      <c r="AD118" s="600">
        <f t="shared" si="117"/>
        <v>95.1</v>
      </c>
      <c r="AE118" s="600">
        <f t="shared" si="117"/>
        <v>0</v>
      </c>
      <c r="AF118" s="600">
        <f t="shared" si="117"/>
        <v>2485.4</v>
      </c>
      <c r="AG118" s="600">
        <f t="shared" si="117"/>
        <v>0</v>
      </c>
      <c r="AH118" s="600">
        <f t="shared" si="117"/>
        <v>0</v>
      </c>
      <c r="AI118" s="600">
        <v>2190.3850000000002</v>
      </c>
      <c r="AJ118" s="600">
        <f t="shared" si="117"/>
        <v>0</v>
      </c>
      <c r="AK118" s="600">
        <f t="shared" si="117"/>
        <v>0</v>
      </c>
      <c r="AL118" s="600">
        <f t="shared" si="117"/>
        <v>0</v>
      </c>
      <c r="AM118" s="600">
        <f t="shared" si="117"/>
        <v>2190.3850000000002</v>
      </c>
      <c r="AN118" s="600">
        <f t="shared" si="117"/>
        <v>0</v>
      </c>
      <c r="AO118" s="600">
        <f t="shared" si="117"/>
        <v>0</v>
      </c>
      <c r="AP118" s="600">
        <f t="shared" si="117"/>
        <v>2268.8264749999998</v>
      </c>
      <c r="AQ118" s="600">
        <f t="shared" si="117"/>
        <v>800</v>
      </c>
      <c r="AR118" s="600">
        <f t="shared" si="117"/>
        <v>0</v>
      </c>
      <c r="AS118" s="600">
        <f t="shared" si="117"/>
        <v>0</v>
      </c>
      <c r="AT118" s="600">
        <f t="shared" si="117"/>
        <v>5050</v>
      </c>
      <c r="AU118" s="600">
        <f t="shared" si="117"/>
        <v>8118.8264750000008</v>
      </c>
      <c r="AV118" s="600">
        <f t="shared" si="117"/>
        <v>0</v>
      </c>
      <c r="AW118" s="600">
        <f t="shared" si="117"/>
        <v>0</v>
      </c>
      <c r="AX118" s="600">
        <f t="shared" si="117"/>
        <v>2348.0599516249995</v>
      </c>
      <c r="AY118" s="600">
        <f t="shared" si="117"/>
        <v>500</v>
      </c>
      <c r="AZ118" s="600">
        <f t="shared" si="117"/>
        <v>0</v>
      </c>
      <c r="BA118" s="600">
        <f t="shared" si="117"/>
        <v>0</v>
      </c>
      <c r="BB118" s="600">
        <f t="shared" si="117"/>
        <v>0</v>
      </c>
      <c r="BC118" s="600">
        <f t="shared" si="117"/>
        <v>2848.0599516249995</v>
      </c>
      <c r="BD118" s="33">
        <f t="shared" si="117"/>
        <v>0</v>
      </c>
      <c r="BE118" s="33">
        <f t="shared" si="117"/>
        <v>0</v>
      </c>
      <c r="BF118" s="33">
        <f t="shared" si="117"/>
        <v>9197.5714266249997</v>
      </c>
      <c r="BG118" s="33">
        <f t="shared" si="117"/>
        <v>1300</v>
      </c>
      <c r="BH118" s="33">
        <f t="shared" si="117"/>
        <v>0</v>
      </c>
      <c r="BI118" s="33">
        <f t="shared" si="74"/>
        <v>95.1</v>
      </c>
      <c r="BJ118" s="33">
        <f t="shared" si="117"/>
        <v>5050</v>
      </c>
      <c r="BK118" s="33">
        <f t="shared" si="117"/>
        <v>15642.671426625</v>
      </c>
      <c r="BL118" s="40">
        <f t="shared" si="68"/>
        <v>15642.671426625002</v>
      </c>
    </row>
    <row r="119" spans="1:64" ht="26.4" x14ac:dyDescent="0.25">
      <c r="A119" s="603"/>
      <c r="B119" s="154" t="s">
        <v>384</v>
      </c>
      <c r="C119" s="6"/>
      <c r="D119" s="2" t="s">
        <v>385</v>
      </c>
      <c r="E119" s="1"/>
      <c r="F119" s="1"/>
      <c r="G119" s="1"/>
      <c r="H119" s="1"/>
      <c r="I119" s="1"/>
      <c r="J119" s="1"/>
      <c r="K119" s="1"/>
      <c r="L119" s="1"/>
      <c r="M119" s="1"/>
      <c r="N119" s="1"/>
      <c r="O119" s="1"/>
      <c r="P119" s="1"/>
      <c r="Q119" s="22"/>
      <c r="R119" s="1"/>
      <c r="S119" s="1"/>
      <c r="T119" s="1"/>
      <c r="U119" s="49"/>
      <c r="V119" s="49"/>
      <c r="W119" s="49"/>
      <c r="X119" s="49"/>
      <c r="Y119" s="34">
        <f t="shared" ref="Y119:AE119" si="118">SUM(Y120:Y133)</f>
        <v>0</v>
      </c>
      <c r="Z119" s="34">
        <f t="shared" si="118"/>
        <v>0</v>
      </c>
      <c r="AA119" s="34">
        <f t="shared" si="118"/>
        <v>796.7</v>
      </c>
      <c r="AB119" s="34">
        <f t="shared" si="118"/>
        <v>0</v>
      </c>
      <c r="AC119" s="34">
        <f t="shared" si="118"/>
        <v>0</v>
      </c>
      <c r="AD119" s="34">
        <f t="shared" si="118"/>
        <v>0</v>
      </c>
      <c r="AE119" s="34">
        <f t="shared" si="118"/>
        <v>0</v>
      </c>
      <c r="AF119" s="34">
        <f t="shared" ref="AF119:AF151" si="119">SUM(Y119:AE119)</f>
        <v>796.7</v>
      </c>
      <c r="AG119" s="34">
        <f t="shared" ref="AG119:AL119" si="120">SUM(AG120:AG133)</f>
        <v>0</v>
      </c>
      <c r="AH119" s="34">
        <f t="shared" si="120"/>
        <v>0</v>
      </c>
      <c r="AI119" s="34">
        <v>1045.52</v>
      </c>
      <c r="AJ119" s="34">
        <f t="shared" si="120"/>
        <v>0</v>
      </c>
      <c r="AK119" s="34">
        <f t="shared" si="120"/>
        <v>0</v>
      </c>
      <c r="AL119" s="34">
        <f t="shared" si="120"/>
        <v>0</v>
      </c>
      <c r="AM119" s="34">
        <f>SUM(AG119:AL119)</f>
        <v>1045.52</v>
      </c>
      <c r="AN119" s="34">
        <f t="shared" ref="AN119:AT119" si="121">SUM(AN120:AN133)</f>
        <v>0</v>
      </c>
      <c r="AO119" s="34">
        <f t="shared" si="121"/>
        <v>0</v>
      </c>
      <c r="AP119" s="34">
        <f t="shared" si="121"/>
        <v>1218.1511999999998</v>
      </c>
      <c r="AQ119" s="34">
        <f t="shared" si="121"/>
        <v>0</v>
      </c>
      <c r="AR119" s="34">
        <f t="shared" si="121"/>
        <v>0</v>
      </c>
      <c r="AS119" s="34">
        <f t="shared" si="121"/>
        <v>0</v>
      </c>
      <c r="AT119" s="34">
        <f t="shared" si="121"/>
        <v>0</v>
      </c>
      <c r="AU119" s="34">
        <f t="shared" ref="AU119:AU124" si="122">SUM(AN119:AT119)</f>
        <v>1218.1511999999998</v>
      </c>
      <c r="AV119" s="34">
        <f t="shared" ref="AV119:BB119" si="123">SUM(AV120:AV133)</f>
        <v>0</v>
      </c>
      <c r="AW119" s="34">
        <f t="shared" si="123"/>
        <v>0</v>
      </c>
      <c r="AX119" s="34">
        <f t="shared" si="123"/>
        <v>1227.1260419999999</v>
      </c>
      <c r="AY119" s="34">
        <f>SUM(AY120:AY133)</f>
        <v>500</v>
      </c>
      <c r="AZ119" s="34">
        <f t="shared" si="123"/>
        <v>0</v>
      </c>
      <c r="BA119" s="34">
        <f t="shared" si="123"/>
        <v>0</v>
      </c>
      <c r="BB119" s="34">
        <f t="shared" si="123"/>
        <v>0</v>
      </c>
      <c r="BC119" s="34">
        <f>SUM(AV119:BB119)</f>
        <v>1727.1260419999999</v>
      </c>
      <c r="BD119" s="34">
        <f t="shared" si="93"/>
        <v>0</v>
      </c>
      <c r="BE119" s="34">
        <f t="shared" si="94"/>
        <v>0</v>
      </c>
      <c r="BF119" s="34">
        <f t="shared" si="95"/>
        <v>4287.4972419999995</v>
      </c>
      <c r="BG119" s="34">
        <f t="shared" si="96"/>
        <v>500</v>
      </c>
      <c r="BH119" s="34">
        <f t="shared" si="97"/>
        <v>0</v>
      </c>
      <c r="BI119" s="34">
        <f t="shared" si="74"/>
        <v>0</v>
      </c>
      <c r="BJ119" s="34">
        <f t="shared" si="87"/>
        <v>0</v>
      </c>
      <c r="BK119" s="34">
        <f t="shared" si="88"/>
        <v>4787.4972419999995</v>
      </c>
      <c r="BL119" s="40">
        <f t="shared" si="68"/>
        <v>4787.4972419999995</v>
      </c>
    </row>
    <row r="120" spans="1:64" ht="55.5" customHeight="1" x14ac:dyDescent="0.25">
      <c r="A120" s="298" t="s">
        <v>386</v>
      </c>
      <c r="B120" s="299" t="s">
        <v>384</v>
      </c>
      <c r="C120" s="1546" t="s">
        <v>387</v>
      </c>
      <c r="D120" s="1549" t="s">
        <v>388</v>
      </c>
      <c r="E120" s="1549" t="s">
        <v>389</v>
      </c>
      <c r="F120" s="1559">
        <v>2005</v>
      </c>
      <c r="G120" s="1560">
        <v>0.65100000000000002</v>
      </c>
      <c r="H120" s="1561">
        <v>0.7</v>
      </c>
      <c r="I120" s="1430" t="s">
        <v>53</v>
      </c>
      <c r="J120" s="1430"/>
      <c r="K120" s="1430" t="s">
        <v>390</v>
      </c>
      <c r="L120" s="301" t="s">
        <v>391</v>
      </c>
      <c r="M120" s="1425" t="s">
        <v>392</v>
      </c>
      <c r="N120" s="476" t="s">
        <v>393</v>
      </c>
      <c r="O120" s="1425" t="s">
        <v>47</v>
      </c>
      <c r="P120" s="71" t="s">
        <v>394</v>
      </c>
      <c r="Q120" s="302" t="s">
        <v>395</v>
      </c>
      <c r="R120" s="303">
        <v>2015</v>
      </c>
      <c r="S120" s="303">
        <v>0</v>
      </c>
      <c r="T120" s="303">
        <v>0</v>
      </c>
      <c r="U120" s="572">
        <v>0</v>
      </c>
      <c r="V120" s="572">
        <v>0</v>
      </c>
      <c r="W120" s="572">
        <v>1</v>
      </c>
      <c r="X120" s="572">
        <v>1</v>
      </c>
      <c r="Y120" s="481"/>
      <c r="Z120" s="481"/>
      <c r="AA120" s="481"/>
      <c r="AB120" s="481"/>
      <c r="AC120" s="481"/>
      <c r="AD120" s="481"/>
      <c r="AE120" s="481"/>
      <c r="AF120" s="481">
        <f t="shared" si="119"/>
        <v>0</v>
      </c>
      <c r="AG120" s="548"/>
      <c r="AH120" s="548"/>
      <c r="AI120" s="548"/>
      <c r="AJ120" s="588"/>
      <c r="AK120" s="548"/>
      <c r="AL120" s="548"/>
      <c r="AM120" s="548">
        <f>SUM(AG120:AL120)</f>
        <v>0</v>
      </c>
      <c r="AN120" s="481"/>
      <c r="AO120" s="481"/>
      <c r="AP120" s="481"/>
      <c r="AQ120" s="481"/>
      <c r="AR120" s="481"/>
      <c r="AS120" s="481"/>
      <c r="AT120" s="481"/>
      <c r="AU120" s="481">
        <f t="shared" si="122"/>
        <v>0</v>
      </c>
      <c r="AV120" s="548"/>
      <c r="AW120" s="548"/>
      <c r="AX120" s="548"/>
      <c r="AY120" s="43">
        <v>500</v>
      </c>
      <c r="AZ120" s="548"/>
      <c r="BA120" s="548"/>
      <c r="BB120" s="548"/>
      <c r="BC120" s="548">
        <f>SUM(AV120:BB120)</f>
        <v>500</v>
      </c>
      <c r="BD120" s="42">
        <f t="shared" si="93"/>
        <v>0</v>
      </c>
      <c r="BE120" s="42">
        <f t="shared" si="94"/>
        <v>0</v>
      </c>
      <c r="BF120" s="42">
        <f t="shared" si="95"/>
        <v>0</v>
      </c>
      <c r="BG120" s="43">
        <f t="shared" si="96"/>
        <v>500</v>
      </c>
      <c r="BH120" s="42">
        <f t="shared" si="97"/>
        <v>0</v>
      </c>
      <c r="BI120" s="42">
        <f t="shared" si="74"/>
        <v>0</v>
      </c>
      <c r="BJ120" s="42">
        <f t="shared" si="87"/>
        <v>0</v>
      </c>
      <c r="BK120" s="42">
        <f t="shared" si="88"/>
        <v>500</v>
      </c>
      <c r="BL120" s="40">
        <f t="shared" si="68"/>
        <v>500</v>
      </c>
    </row>
    <row r="121" spans="1:64" ht="53.25" customHeight="1" x14ac:dyDescent="0.25">
      <c r="A121" s="298" t="s">
        <v>386</v>
      </c>
      <c r="B121" s="299" t="s">
        <v>384</v>
      </c>
      <c r="C121" s="1547"/>
      <c r="D121" s="1549"/>
      <c r="E121" s="1549"/>
      <c r="F121" s="1559"/>
      <c r="G121" s="1560"/>
      <c r="H121" s="1561"/>
      <c r="I121" s="1430"/>
      <c r="J121" s="1430"/>
      <c r="K121" s="1430" t="s">
        <v>396</v>
      </c>
      <c r="L121" s="301" t="s">
        <v>391</v>
      </c>
      <c r="M121" s="1425" t="s">
        <v>392</v>
      </c>
      <c r="N121" s="476" t="s">
        <v>393</v>
      </c>
      <c r="O121" s="1425" t="s">
        <v>73</v>
      </c>
      <c r="P121" s="16" t="s">
        <v>397</v>
      </c>
      <c r="Q121" s="302" t="s">
        <v>398</v>
      </c>
      <c r="R121" s="303">
        <v>2015</v>
      </c>
      <c r="S121" s="303">
        <v>1</v>
      </c>
      <c r="T121" s="303">
        <v>1</v>
      </c>
      <c r="U121" s="572">
        <v>1</v>
      </c>
      <c r="V121" s="572">
        <v>1</v>
      </c>
      <c r="W121" s="572">
        <v>1</v>
      </c>
      <c r="X121" s="572">
        <v>1</v>
      </c>
      <c r="Y121" s="481"/>
      <c r="Z121" s="481"/>
      <c r="AA121" s="481">
        <v>20</v>
      </c>
      <c r="AB121" s="481"/>
      <c r="AC121" s="481"/>
      <c r="AD121" s="481"/>
      <c r="AE121" s="481"/>
      <c r="AF121" s="481">
        <f t="shared" si="119"/>
        <v>20</v>
      </c>
      <c r="AG121" s="548"/>
      <c r="AH121" s="548"/>
      <c r="AI121" s="491">
        <v>19.7</v>
      </c>
      <c r="AJ121" s="548"/>
      <c r="AK121" s="548"/>
      <c r="AL121" s="548"/>
      <c r="AM121" s="548">
        <f t="shared" ref="AM121:AM133" si="124">SUM(AG121:AL121)</f>
        <v>19.7</v>
      </c>
      <c r="AN121" s="481"/>
      <c r="AO121" s="481"/>
      <c r="AP121" s="481">
        <f>+AI121*1.035</f>
        <v>20.389499999999998</v>
      </c>
      <c r="AQ121" s="481"/>
      <c r="AR121" s="481"/>
      <c r="AS121" s="481"/>
      <c r="AT121" s="481"/>
      <c r="AU121" s="481">
        <f t="shared" si="122"/>
        <v>20.389499999999998</v>
      </c>
      <c r="AV121" s="548"/>
      <c r="AW121" s="548"/>
      <c r="AX121" s="548">
        <f>+AP121*1.035</f>
        <v>21.103132499999997</v>
      </c>
      <c r="AY121" s="548"/>
      <c r="AZ121" s="548"/>
      <c r="BA121" s="548"/>
      <c r="BB121" s="548"/>
      <c r="BC121" s="548">
        <f t="shared" ref="BC121:BC133" si="125">SUM(AV121:BB121)</f>
        <v>21.103132499999997</v>
      </c>
      <c r="BD121" s="42">
        <f t="shared" si="93"/>
        <v>0</v>
      </c>
      <c r="BE121" s="42">
        <f t="shared" si="94"/>
        <v>0</v>
      </c>
      <c r="BF121" s="42">
        <f t="shared" si="95"/>
        <v>81.192632500000002</v>
      </c>
      <c r="BG121" s="42">
        <f t="shared" si="96"/>
        <v>0</v>
      </c>
      <c r="BH121" s="42">
        <f t="shared" si="97"/>
        <v>0</v>
      </c>
      <c r="BI121" s="42">
        <f t="shared" si="74"/>
        <v>0</v>
      </c>
      <c r="BJ121" s="42">
        <f t="shared" si="87"/>
        <v>0</v>
      </c>
      <c r="BK121" s="42">
        <f t="shared" si="88"/>
        <v>81.192632500000002</v>
      </c>
      <c r="BL121" s="40">
        <f t="shared" si="68"/>
        <v>81.192632500000002</v>
      </c>
    </row>
    <row r="122" spans="1:64" ht="42.75" customHeight="1" x14ac:dyDescent="0.25">
      <c r="A122" s="298" t="s">
        <v>386</v>
      </c>
      <c r="B122" s="299" t="s">
        <v>384</v>
      </c>
      <c r="C122" s="1547"/>
      <c r="D122" s="1549"/>
      <c r="E122" s="1549"/>
      <c r="F122" s="1559"/>
      <c r="G122" s="1560"/>
      <c r="H122" s="1561"/>
      <c r="I122" s="1430"/>
      <c r="J122" s="1430"/>
      <c r="K122" s="1430" t="s">
        <v>399</v>
      </c>
      <c r="L122" s="301" t="s">
        <v>391</v>
      </c>
      <c r="M122" s="1425" t="s">
        <v>392</v>
      </c>
      <c r="N122" s="476" t="s">
        <v>393</v>
      </c>
      <c r="O122" s="1425" t="s">
        <v>47</v>
      </c>
      <c r="P122" s="71" t="s">
        <v>400</v>
      </c>
      <c r="Q122" s="302" t="s">
        <v>401</v>
      </c>
      <c r="R122" s="303">
        <v>2015</v>
      </c>
      <c r="S122" s="303">
        <v>0</v>
      </c>
      <c r="T122" s="303">
        <v>1</v>
      </c>
      <c r="U122" s="572">
        <v>1</v>
      </c>
      <c r="V122" s="572">
        <v>1</v>
      </c>
      <c r="W122" s="572">
        <v>1</v>
      </c>
      <c r="X122" s="572">
        <v>1</v>
      </c>
      <c r="Y122" s="481"/>
      <c r="Z122" s="481"/>
      <c r="AA122" s="481">
        <v>5</v>
      </c>
      <c r="AB122" s="481"/>
      <c r="AC122" s="481"/>
      <c r="AD122" s="481"/>
      <c r="AE122" s="481"/>
      <c r="AF122" s="481">
        <f t="shared" si="119"/>
        <v>5</v>
      </c>
      <c r="AG122" s="548"/>
      <c r="AH122" s="548"/>
      <c r="AI122" s="491">
        <v>1</v>
      </c>
      <c r="AJ122" s="548"/>
      <c r="AK122" s="548"/>
      <c r="AL122" s="548"/>
      <c r="AM122" s="548">
        <f t="shared" si="124"/>
        <v>1</v>
      </c>
      <c r="AN122" s="481"/>
      <c r="AO122" s="481"/>
      <c r="AP122" s="481">
        <v>1</v>
      </c>
      <c r="AQ122" s="481"/>
      <c r="AR122" s="481"/>
      <c r="AS122" s="481"/>
      <c r="AT122" s="481"/>
      <c r="AU122" s="481">
        <f t="shared" si="122"/>
        <v>1</v>
      </c>
      <c r="AV122" s="548"/>
      <c r="AW122" s="548"/>
      <c r="AX122" s="491">
        <v>10</v>
      </c>
      <c r="AY122" s="548"/>
      <c r="AZ122" s="548"/>
      <c r="BA122" s="548"/>
      <c r="BB122" s="548"/>
      <c r="BC122" s="548">
        <f t="shared" si="125"/>
        <v>10</v>
      </c>
      <c r="BD122" s="42">
        <f t="shared" si="93"/>
        <v>0</v>
      </c>
      <c r="BE122" s="42">
        <f t="shared" si="94"/>
        <v>0</v>
      </c>
      <c r="BF122" s="42">
        <f t="shared" si="95"/>
        <v>17</v>
      </c>
      <c r="BG122" s="42">
        <f t="shared" si="96"/>
        <v>0</v>
      </c>
      <c r="BH122" s="42">
        <f t="shared" si="97"/>
        <v>0</v>
      </c>
      <c r="BI122" s="42">
        <f t="shared" si="74"/>
        <v>0</v>
      </c>
      <c r="BJ122" s="42">
        <f t="shared" si="87"/>
        <v>0</v>
      </c>
      <c r="BK122" s="42">
        <f t="shared" si="88"/>
        <v>17</v>
      </c>
      <c r="BL122" s="40">
        <f t="shared" si="68"/>
        <v>17</v>
      </c>
    </row>
    <row r="123" spans="1:64" ht="43.5" customHeight="1" x14ac:dyDescent="0.25">
      <c r="A123" s="298" t="s">
        <v>386</v>
      </c>
      <c r="B123" s="299" t="s">
        <v>384</v>
      </c>
      <c r="C123" s="1547"/>
      <c r="D123" s="1549"/>
      <c r="E123" s="1549"/>
      <c r="F123" s="1559"/>
      <c r="G123" s="1560"/>
      <c r="H123" s="1561"/>
      <c r="I123" s="1430" t="s">
        <v>53</v>
      </c>
      <c r="J123" s="1430"/>
      <c r="K123" s="1430" t="s">
        <v>402</v>
      </c>
      <c r="L123" s="301" t="s">
        <v>391</v>
      </c>
      <c r="M123" s="1425" t="s">
        <v>392</v>
      </c>
      <c r="N123" s="476" t="s">
        <v>393</v>
      </c>
      <c r="O123" s="1425" t="s">
        <v>47</v>
      </c>
      <c r="P123" s="71" t="s">
        <v>403</v>
      </c>
      <c r="Q123" s="302" t="s">
        <v>404</v>
      </c>
      <c r="R123" s="303">
        <v>2015</v>
      </c>
      <c r="S123" s="303">
        <v>1</v>
      </c>
      <c r="T123" s="303">
        <v>0</v>
      </c>
      <c r="U123" s="572">
        <v>0</v>
      </c>
      <c r="V123" s="572">
        <v>1</v>
      </c>
      <c r="W123" s="572">
        <v>0</v>
      </c>
      <c r="X123" s="572">
        <v>1</v>
      </c>
      <c r="Y123" s="481"/>
      <c r="Z123" s="481"/>
      <c r="AA123" s="481"/>
      <c r="AB123" s="481"/>
      <c r="AC123" s="481"/>
      <c r="AD123" s="481"/>
      <c r="AE123" s="481"/>
      <c r="AF123" s="481">
        <f t="shared" si="119"/>
        <v>0</v>
      </c>
      <c r="AG123" s="548"/>
      <c r="AH123" s="548"/>
      <c r="AI123" s="548"/>
      <c r="AJ123" s="548"/>
      <c r="AK123" s="548"/>
      <c r="AL123" s="548"/>
      <c r="AM123" s="548">
        <f t="shared" si="124"/>
        <v>0</v>
      </c>
      <c r="AN123" s="481"/>
      <c r="AO123" s="481"/>
      <c r="AP123" s="491">
        <v>98</v>
      </c>
      <c r="AQ123" s="481"/>
      <c r="AR123" s="481"/>
      <c r="AS123" s="481"/>
      <c r="AT123" s="481"/>
      <c r="AU123" s="481">
        <f t="shared" si="122"/>
        <v>98</v>
      </c>
      <c r="AV123" s="548"/>
      <c r="AW123" s="548"/>
      <c r="AX123" s="548"/>
      <c r="AY123" s="548"/>
      <c r="AZ123" s="548"/>
      <c r="BA123" s="548"/>
      <c r="BB123" s="548"/>
      <c r="BC123" s="548">
        <f t="shared" si="125"/>
        <v>0</v>
      </c>
      <c r="BD123" s="42">
        <f t="shared" si="93"/>
        <v>0</v>
      </c>
      <c r="BE123" s="42">
        <f t="shared" si="94"/>
        <v>0</v>
      </c>
      <c r="BF123" s="42">
        <f t="shared" si="95"/>
        <v>98</v>
      </c>
      <c r="BG123" s="42">
        <f t="shared" si="96"/>
        <v>0</v>
      </c>
      <c r="BH123" s="42">
        <f t="shared" si="97"/>
        <v>0</v>
      </c>
      <c r="BI123" s="42">
        <f t="shared" si="74"/>
        <v>0</v>
      </c>
      <c r="BJ123" s="42">
        <f t="shared" si="87"/>
        <v>0</v>
      </c>
      <c r="BK123" s="42">
        <f t="shared" si="88"/>
        <v>98</v>
      </c>
      <c r="BL123" s="40">
        <f t="shared" si="68"/>
        <v>98</v>
      </c>
    </row>
    <row r="124" spans="1:64" ht="50.25" customHeight="1" x14ac:dyDescent="0.25">
      <c r="A124" s="298" t="s">
        <v>386</v>
      </c>
      <c r="B124" s="299" t="s">
        <v>384</v>
      </c>
      <c r="C124" s="1547"/>
      <c r="D124" s="1549"/>
      <c r="E124" s="1549"/>
      <c r="F124" s="1559"/>
      <c r="G124" s="1560"/>
      <c r="H124" s="1561"/>
      <c r="I124" s="1430"/>
      <c r="J124" s="1430"/>
      <c r="K124" s="1430" t="s">
        <v>405</v>
      </c>
      <c r="L124" s="301" t="s">
        <v>391</v>
      </c>
      <c r="M124" s="1425" t="s">
        <v>392</v>
      </c>
      <c r="N124" s="476" t="s">
        <v>393</v>
      </c>
      <c r="O124" s="1425" t="s">
        <v>47</v>
      </c>
      <c r="P124" s="1201" t="s">
        <v>2486</v>
      </c>
      <c r="Q124" s="302" t="s">
        <v>407</v>
      </c>
      <c r="R124" s="303">
        <v>2015</v>
      </c>
      <c r="S124" s="303">
        <v>250</v>
      </c>
      <c r="T124" s="303">
        <v>250</v>
      </c>
      <c r="U124" s="572">
        <v>250</v>
      </c>
      <c r="V124" s="572">
        <v>400</v>
      </c>
      <c r="W124" s="572">
        <v>400</v>
      </c>
      <c r="X124" s="572">
        <v>1300</v>
      </c>
      <c r="Y124" s="481"/>
      <c r="Z124" s="481"/>
      <c r="AA124" s="481">
        <v>55</v>
      </c>
      <c r="AB124" s="481"/>
      <c r="AC124" s="481"/>
      <c r="AD124" s="481"/>
      <c r="AE124" s="481"/>
      <c r="AF124" s="481">
        <f t="shared" si="119"/>
        <v>55</v>
      </c>
      <c r="AG124" s="548"/>
      <c r="AH124" s="548"/>
      <c r="AI124" s="548">
        <v>56.924999999999997</v>
      </c>
      <c r="AJ124" s="548"/>
      <c r="AK124" s="548"/>
      <c r="AL124" s="548"/>
      <c r="AM124" s="548">
        <f t="shared" si="124"/>
        <v>56.924999999999997</v>
      </c>
      <c r="AN124" s="481"/>
      <c r="AO124" s="481"/>
      <c r="AP124" s="481">
        <f>+AI124*1.035</f>
        <v>58.917374999999993</v>
      </c>
      <c r="AQ124" s="481"/>
      <c r="AR124" s="481"/>
      <c r="AS124" s="481"/>
      <c r="AT124" s="481"/>
      <c r="AU124" s="481">
        <f t="shared" si="122"/>
        <v>58.917374999999993</v>
      </c>
      <c r="AV124" s="548"/>
      <c r="AW124" s="548"/>
      <c r="AX124" s="548">
        <f>+AP124*1.035</f>
        <v>60.979483124999987</v>
      </c>
      <c r="AY124" s="548"/>
      <c r="AZ124" s="548"/>
      <c r="BA124" s="548"/>
      <c r="BB124" s="548"/>
      <c r="BC124" s="548">
        <f t="shared" si="125"/>
        <v>60.979483124999987</v>
      </c>
      <c r="BD124" s="42">
        <f t="shared" si="93"/>
        <v>0</v>
      </c>
      <c r="BE124" s="42">
        <f t="shared" si="94"/>
        <v>0</v>
      </c>
      <c r="BF124" s="42">
        <f t="shared" si="95"/>
        <v>231.82185812499998</v>
      </c>
      <c r="BG124" s="42">
        <f t="shared" si="96"/>
        <v>0</v>
      </c>
      <c r="BH124" s="42">
        <f t="shared" si="97"/>
        <v>0</v>
      </c>
      <c r="BI124" s="42">
        <f t="shared" si="74"/>
        <v>0</v>
      </c>
      <c r="BJ124" s="42">
        <f t="shared" si="87"/>
        <v>0</v>
      </c>
      <c r="BK124" s="42">
        <f t="shared" si="88"/>
        <v>231.82185812499998</v>
      </c>
      <c r="BL124" s="40">
        <f t="shared" si="68"/>
        <v>231.82185812500001</v>
      </c>
    </row>
    <row r="125" spans="1:64" s="38" customFormat="1" ht="60" customHeight="1" x14ac:dyDescent="0.25">
      <c r="A125" s="354" t="s">
        <v>386</v>
      </c>
      <c r="B125" s="477" t="s">
        <v>384</v>
      </c>
      <c r="C125" s="1547"/>
      <c r="D125" s="1549"/>
      <c r="E125" s="1549"/>
      <c r="F125" s="1559"/>
      <c r="G125" s="1560"/>
      <c r="H125" s="1561"/>
      <c r="I125" s="478"/>
      <c r="J125" s="478"/>
      <c r="K125" s="478" t="s">
        <v>408</v>
      </c>
      <c r="L125" s="372" t="s">
        <v>391</v>
      </c>
      <c r="M125" s="1425" t="s">
        <v>392</v>
      </c>
      <c r="N125" s="476" t="s">
        <v>393</v>
      </c>
      <c r="O125" s="1432" t="s">
        <v>73</v>
      </c>
      <c r="P125" s="71" t="s">
        <v>409</v>
      </c>
      <c r="Q125" s="345" t="s">
        <v>410</v>
      </c>
      <c r="R125" s="346">
        <v>2015</v>
      </c>
      <c r="S125" s="346">
        <v>100</v>
      </c>
      <c r="T125" s="346">
        <v>100</v>
      </c>
      <c r="U125" s="576">
        <v>100</v>
      </c>
      <c r="V125" s="576">
        <v>100</v>
      </c>
      <c r="W125" s="576">
        <v>100</v>
      </c>
      <c r="X125" s="576">
        <v>100</v>
      </c>
      <c r="Y125" s="579"/>
      <c r="Z125" s="579"/>
      <c r="AA125" s="492">
        <v>152</v>
      </c>
      <c r="AB125" s="579"/>
      <c r="AC125" s="579"/>
      <c r="AD125" s="579"/>
      <c r="AE125" s="579"/>
      <c r="AF125" s="579">
        <f t="shared" si="119"/>
        <v>152</v>
      </c>
      <c r="AG125" s="589"/>
      <c r="AH125" s="589"/>
      <c r="AI125" s="589">
        <v>157.32</v>
      </c>
      <c r="AJ125" s="589"/>
      <c r="AK125" s="589"/>
      <c r="AL125" s="589"/>
      <c r="AM125" s="589">
        <f t="shared" si="124"/>
        <v>157.32</v>
      </c>
      <c r="AN125" s="579"/>
      <c r="AO125" s="579"/>
      <c r="AP125" s="579">
        <f>+AI125*1.035</f>
        <v>162.82619999999997</v>
      </c>
      <c r="AQ125" s="579"/>
      <c r="AR125" s="579"/>
      <c r="AS125" s="579"/>
      <c r="AT125" s="579"/>
      <c r="AU125" s="579">
        <f>SUM(AN125:AT125)</f>
        <v>162.82619999999997</v>
      </c>
      <c r="AV125" s="589"/>
      <c r="AW125" s="589"/>
      <c r="AX125" s="589">
        <f>+AP125*1.035</f>
        <v>168.52511699999997</v>
      </c>
      <c r="AY125" s="589"/>
      <c r="AZ125" s="589"/>
      <c r="BA125" s="589"/>
      <c r="BB125" s="589"/>
      <c r="BC125" s="589">
        <f t="shared" si="125"/>
        <v>168.52511699999997</v>
      </c>
      <c r="BD125" s="61">
        <f t="shared" si="93"/>
        <v>0</v>
      </c>
      <c r="BE125" s="61">
        <f t="shared" si="94"/>
        <v>0</v>
      </c>
      <c r="BF125" s="61">
        <f t="shared" si="95"/>
        <v>640.67131699999993</v>
      </c>
      <c r="BG125" s="61">
        <f t="shared" si="96"/>
        <v>0</v>
      </c>
      <c r="BH125" s="61">
        <f t="shared" si="97"/>
        <v>0</v>
      </c>
      <c r="BI125" s="61">
        <f t="shared" si="74"/>
        <v>0</v>
      </c>
      <c r="BJ125" s="61">
        <f t="shared" ref="BJ125:BJ150" si="126">+BB125+AT125+AL125+AE125</f>
        <v>0</v>
      </c>
      <c r="BK125" s="61">
        <f t="shared" ref="BK125:BK150" si="127">+BC125+AU125+AM125+AF125</f>
        <v>640.67131699999993</v>
      </c>
      <c r="BL125" s="40">
        <f t="shared" si="68"/>
        <v>640.67131699999993</v>
      </c>
    </row>
    <row r="126" spans="1:64" ht="52.5" customHeight="1" x14ac:dyDescent="0.25">
      <c r="A126" s="298" t="s">
        <v>386</v>
      </c>
      <c r="B126" s="299" t="s">
        <v>384</v>
      </c>
      <c r="C126" s="1547"/>
      <c r="D126" s="1549"/>
      <c r="E126" s="1549"/>
      <c r="F126" s="1559"/>
      <c r="G126" s="1560"/>
      <c r="H126" s="1561"/>
      <c r="I126" s="1430"/>
      <c r="J126" s="1430"/>
      <c r="K126" s="1430" t="s">
        <v>411</v>
      </c>
      <c r="L126" s="301" t="s">
        <v>391</v>
      </c>
      <c r="M126" s="1425" t="s">
        <v>392</v>
      </c>
      <c r="N126" s="476" t="s">
        <v>393</v>
      </c>
      <c r="O126" s="1425" t="s">
        <v>73</v>
      </c>
      <c r="P126" s="16" t="s">
        <v>412</v>
      </c>
      <c r="Q126" s="302" t="s">
        <v>413</v>
      </c>
      <c r="R126" s="303">
        <v>2015</v>
      </c>
      <c r="S126" s="303">
        <v>1</v>
      </c>
      <c r="T126" s="303">
        <v>2</v>
      </c>
      <c r="U126" s="572">
        <v>2</v>
      </c>
      <c r="V126" s="572">
        <v>2</v>
      </c>
      <c r="W126" s="572">
        <v>2</v>
      </c>
      <c r="X126" s="572">
        <v>8</v>
      </c>
      <c r="Y126" s="481"/>
      <c r="Z126" s="481"/>
      <c r="AA126" s="491">
        <v>10</v>
      </c>
      <c r="AB126" s="481"/>
      <c r="AC126" s="481"/>
      <c r="AD126" s="481"/>
      <c r="AE126" s="481"/>
      <c r="AF126" s="481">
        <f t="shared" si="119"/>
        <v>10</v>
      </c>
      <c r="AG126" s="548"/>
      <c r="AH126" s="548"/>
      <c r="AI126" s="548">
        <v>10.35</v>
      </c>
      <c r="AJ126" s="548"/>
      <c r="AK126" s="548"/>
      <c r="AL126" s="548"/>
      <c r="AM126" s="548">
        <f>SUM(AG126:AL126)</f>
        <v>10.35</v>
      </c>
      <c r="AN126" s="481"/>
      <c r="AO126" s="481"/>
      <c r="AP126" s="481">
        <f>+AI126*1.035</f>
        <v>10.712249999999999</v>
      </c>
      <c r="AQ126" s="481"/>
      <c r="AR126" s="481"/>
      <c r="AS126" s="481"/>
      <c r="AT126" s="481"/>
      <c r="AU126" s="481">
        <f>SUM(AN126:AT126)</f>
        <v>10.712249999999999</v>
      </c>
      <c r="AV126" s="548"/>
      <c r="AW126" s="548"/>
      <c r="AX126" s="548">
        <f>+AP126*1.035</f>
        <v>11.087178749999998</v>
      </c>
      <c r="AY126" s="548"/>
      <c r="AZ126" s="548"/>
      <c r="BA126" s="548"/>
      <c r="BB126" s="548"/>
      <c r="BC126" s="548">
        <f>SUM(AV126:BB126)</f>
        <v>11.087178749999998</v>
      </c>
      <c r="BD126" s="42">
        <f t="shared" si="93"/>
        <v>0</v>
      </c>
      <c r="BE126" s="42">
        <f t="shared" si="94"/>
        <v>0</v>
      </c>
      <c r="BF126" s="42">
        <f t="shared" si="95"/>
        <v>42.149428749999998</v>
      </c>
      <c r="BG126" s="42">
        <f t="shared" si="96"/>
        <v>0</v>
      </c>
      <c r="BH126" s="42">
        <f t="shared" si="97"/>
        <v>0</v>
      </c>
      <c r="BI126" s="42">
        <f t="shared" si="74"/>
        <v>0</v>
      </c>
      <c r="BJ126" s="42">
        <f t="shared" si="126"/>
        <v>0</v>
      </c>
      <c r="BK126" s="42">
        <f t="shared" si="127"/>
        <v>42.149428749999998</v>
      </c>
      <c r="BL126" s="40">
        <f t="shared" si="68"/>
        <v>42.149428749999998</v>
      </c>
    </row>
    <row r="127" spans="1:64" ht="30.75" customHeight="1" x14ac:dyDescent="0.25">
      <c r="A127" s="298" t="s">
        <v>386</v>
      </c>
      <c r="B127" s="299" t="s">
        <v>384</v>
      </c>
      <c r="C127" s="1547"/>
      <c r="D127" s="1549"/>
      <c r="E127" s="1549"/>
      <c r="F127" s="1559"/>
      <c r="G127" s="1560"/>
      <c r="H127" s="1561"/>
      <c r="I127" s="1430"/>
      <c r="J127" s="1430"/>
      <c r="K127" s="1430" t="s">
        <v>414</v>
      </c>
      <c r="L127" s="301" t="s">
        <v>391</v>
      </c>
      <c r="M127" s="1425" t="s">
        <v>392</v>
      </c>
      <c r="N127" s="476" t="s">
        <v>393</v>
      </c>
      <c r="O127" s="1425" t="s">
        <v>47</v>
      </c>
      <c r="P127" s="16" t="s">
        <v>415</v>
      </c>
      <c r="Q127" s="302" t="s">
        <v>416</v>
      </c>
      <c r="R127" s="303">
        <v>2015</v>
      </c>
      <c r="S127" s="303">
        <v>287</v>
      </c>
      <c r="T127" s="303">
        <v>300</v>
      </c>
      <c r="U127" s="572">
        <v>300</v>
      </c>
      <c r="V127" s="572">
        <v>300</v>
      </c>
      <c r="W127" s="572">
        <v>300</v>
      </c>
      <c r="X127" s="572">
        <v>1200</v>
      </c>
      <c r="Y127" s="481"/>
      <c r="Z127" s="481"/>
      <c r="AA127" s="491">
        <v>1</v>
      </c>
      <c r="AB127" s="481"/>
      <c r="AC127" s="481"/>
      <c r="AD127" s="481"/>
      <c r="AE127" s="481"/>
      <c r="AF127" s="481">
        <f t="shared" si="119"/>
        <v>1</v>
      </c>
      <c r="AG127" s="548"/>
      <c r="AH127" s="548"/>
      <c r="AI127" s="491">
        <v>1</v>
      </c>
      <c r="AJ127" s="548"/>
      <c r="AK127" s="548"/>
      <c r="AL127" s="548"/>
      <c r="AM127" s="548">
        <f t="shared" si="124"/>
        <v>1</v>
      </c>
      <c r="AN127" s="481"/>
      <c r="AO127" s="481"/>
      <c r="AP127" s="491">
        <v>1</v>
      </c>
      <c r="AQ127" s="481"/>
      <c r="AR127" s="481"/>
      <c r="AS127" s="481"/>
      <c r="AT127" s="481"/>
      <c r="AU127" s="481">
        <f>SUM(AN127:AT127)</f>
        <v>1</v>
      </c>
      <c r="AV127" s="548"/>
      <c r="AW127" s="548"/>
      <c r="AX127" s="491">
        <v>25</v>
      </c>
      <c r="AY127" s="548"/>
      <c r="AZ127" s="548"/>
      <c r="BA127" s="548"/>
      <c r="BB127" s="548"/>
      <c r="BC127" s="548">
        <f t="shared" si="125"/>
        <v>25</v>
      </c>
      <c r="BD127" s="42">
        <f t="shared" ref="BD127:BD150" si="128">+AV127+AN127+AG127+Y127</f>
        <v>0</v>
      </c>
      <c r="BE127" s="42">
        <f t="shared" ref="BE127:BE150" si="129">+AW127+AO127+AH127+Z127</f>
        <v>0</v>
      </c>
      <c r="BF127" s="42">
        <f t="shared" ref="BF127:BF150" si="130">+AX127+AP127+AI127+AA127</f>
        <v>28</v>
      </c>
      <c r="BG127" s="42">
        <f t="shared" ref="BG127:BG150" si="131">+AY127+AQ127+AJ127+AB127</f>
        <v>0</v>
      </c>
      <c r="BH127" s="42">
        <f t="shared" ref="BH127:BH150" si="132">+AZ127+AR127+AK127+AC127</f>
        <v>0</v>
      </c>
      <c r="BI127" s="42">
        <f t="shared" si="74"/>
        <v>0</v>
      </c>
      <c r="BJ127" s="42">
        <f t="shared" si="126"/>
        <v>0</v>
      </c>
      <c r="BK127" s="42">
        <f t="shared" si="127"/>
        <v>28</v>
      </c>
      <c r="BL127" s="40">
        <f t="shared" si="68"/>
        <v>28</v>
      </c>
    </row>
    <row r="128" spans="1:64" ht="38.25" customHeight="1" x14ac:dyDescent="0.25">
      <c r="A128" s="298" t="s">
        <v>386</v>
      </c>
      <c r="B128" s="299" t="s">
        <v>384</v>
      </c>
      <c r="C128" s="1547"/>
      <c r="D128" s="1549"/>
      <c r="E128" s="1549"/>
      <c r="F128" s="1559"/>
      <c r="G128" s="1560"/>
      <c r="H128" s="1561"/>
      <c r="I128" s="1430"/>
      <c r="J128" s="1430"/>
      <c r="K128" s="1430" t="s">
        <v>417</v>
      </c>
      <c r="L128" s="301" t="s">
        <v>391</v>
      </c>
      <c r="M128" s="1425" t="s">
        <v>392</v>
      </c>
      <c r="N128" s="476" t="s">
        <v>393</v>
      </c>
      <c r="O128" s="1425" t="s">
        <v>47</v>
      </c>
      <c r="P128" s="16" t="s">
        <v>418</v>
      </c>
      <c r="Q128" s="302" t="s">
        <v>419</v>
      </c>
      <c r="R128" s="303">
        <v>2015</v>
      </c>
      <c r="S128" s="303">
        <v>0</v>
      </c>
      <c r="T128" s="303">
        <v>2</v>
      </c>
      <c r="U128" s="572">
        <v>2</v>
      </c>
      <c r="V128" s="572">
        <v>2</v>
      </c>
      <c r="W128" s="572">
        <v>2</v>
      </c>
      <c r="X128" s="572">
        <v>8</v>
      </c>
      <c r="Y128" s="481"/>
      <c r="Z128" s="481"/>
      <c r="AA128" s="491">
        <v>1</v>
      </c>
      <c r="AB128" s="481"/>
      <c r="AC128" s="481"/>
      <c r="AD128" s="481"/>
      <c r="AE128" s="481"/>
      <c r="AF128" s="481">
        <f t="shared" si="119"/>
        <v>1</v>
      </c>
      <c r="AG128" s="548"/>
      <c r="AH128" s="548"/>
      <c r="AI128" s="491">
        <v>1</v>
      </c>
      <c r="AJ128" s="548"/>
      <c r="AK128" s="548"/>
      <c r="AL128" s="548"/>
      <c r="AM128" s="548">
        <f t="shared" si="124"/>
        <v>1</v>
      </c>
      <c r="AN128" s="481"/>
      <c r="AO128" s="481"/>
      <c r="AP128" s="491">
        <v>1</v>
      </c>
      <c r="AQ128" s="481"/>
      <c r="AR128" s="481"/>
      <c r="AS128" s="481"/>
      <c r="AT128" s="481"/>
      <c r="AU128" s="481">
        <f>SUM(AN128:AT128)</f>
        <v>1</v>
      </c>
      <c r="AV128" s="548"/>
      <c r="AW128" s="548"/>
      <c r="AX128" s="491">
        <v>10</v>
      </c>
      <c r="AY128" s="548"/>
      <c r="AZ128" s="548"/>
      <c r="BA128" s="548"/>
      <c r="BB128" s="548"/>
      <c r="BC128" s="548">
        <f t="shared" si="125"/>
        <v>10</v>
      </c>
      <c r="BD128" s="42">
        <f t="shared" si="128"/>
        <v>0</v>
      </c>
      <c r="BE128" s="42">
        <f t="shared" si="129"/>
        <v>0</v>
      </c>
      <c r="BF128" s="42">
        <f t="shared" si="130"/>
        <v>13</v>
      </c>
      <c r="BG128" s="42">
        <f t="shared" si="131"/>
        <v>0</v>
      </c>
      <c r="BH128" s="42">
        <f t="shared" si="132"/>
        <v>0</v>
      </c>
      <c r="BI128" s="42">
        <f t="shared" si="74"/>
        <v>0</v>
      </c>
      <c r="BJ128" s="42">
        <f t="shared" si="126"/>
        <v>0</v>
      </c>
      <c r="BK128" s="42">
        <f t="shared" si="127"/>
        <v>13</v>
      </c>
      <c r="BL128" s="40">
        <f t="shared" si="68"/>
        <v>13</v>
      </c>
    </row>
    <row r="129" spans="1:64" ht="64.5" customHeight="1" x14ac:dyDescent="0.25">
      <c r="A129" s="298" t="s">
        <v>386</v>
      </c>
      <c r="B129" s="299" t="s">
        <v>384</v>
      </c>
      <c r="C129" s="1547"/>
      <c r="D129" s="1549"/>
      <c r="E129" s="1549"/>
      <c r="F129" s="1559"/>
      <c r="G129" s="1560"/>
      <c r="H129" s="1561"/>
      <c r="I129" s="1430" t="s">
        <v>53</v>
      </c>
      <c r="J129" s="1430"/>
      <c r="K129" s="1430" t="s">
        <v>420</v>
      </c>
      <c r="L129" s="301" t="s">
        <v>391</v>
      </c>
      <c r="M129" s="1425" t="s">
        <v>392</v>
      </c>
      <c r="N129" s="476" t="s">
        <v>393</v>
      </c>
      <c r="O129" s="1425" t="s">
        <v>47</v>
      </c>
      <c r="P129" s="1297" t="s">
        <v>2487</v>
      </c>
      <c r="Q129" s="302" t="s">
        <v>422</v>
      </c>
      <c r="R129" s="303">
        <v>2015</v>
      </c>
      <c r="S129" s="303">
        <v>1145</v>
      </c>
      <c r="T129" s="303">
        <v>600</v>
      </c>
      <c r="U129" s="572">
        <v>600</v>
      </c>
      <c r="V129" s="572">
        <v>600</v>
      </c>
      <c r="W129" s="572">
        <v>600</v>
      </c>
      <c r="X129" s="572">
        <v>2400</v>
      </c>
      <c r="Y129" s="481"/>
      <c r="Z129" s="481"/>
      <c r="AA129" s="491">
        <v>299</v>
      </c>
      <c r="AB129" s="481"/>
      <c r="AC129" s="481"/>
      <c r="AD129" s="481"/>
      <c r="AE129" s="481"/>
      <c r="AF129" s="481">
        <f t="shared" si="119"/>
        <v>299</v>
      </c>
      <c r="AG129" s="548"/>
      <c r="AH129" s="548"/>
      <c r="AI129" s="548">
        <v>326.02499999999998</v>
      </c>
      <c r="AJ129" s="548"/>
      <c r="AK129" s="548"/>
      <c r="AL129" s="548"/>
      <c r="AM129" s="548">
        <f>SUM(AG129:AL129)</f>
        <v>326.02499999999998</v>
      </c>
      <c r="AN129" s="481"/>
      <c r="AO129" s="481"/>
      <c r="AP129" s="481">
        <f>+AI129*1.035</f>
        <v>337.43587499999995</v>
      </c>
      <c r="AQ129" s="481"/>
      <c r="AR129" s="481"/>
      <c r="AS129" s="481"/>
      <c r="AT129" s="481"/>
      <c r="AU129" s="481">
        <f>SUM(AN129:AT129)</f>
        <v>337.43587499999995</v>
      </c>
      <c r="AV129" s="548"/>
      <c r="AW129" s="548"/>
      <c r="AX129" s="548">
        <f>+AP129*1.035</f>
        <v>349.24613062499992</v>
      </c>
      <c r="AY129" s="548"/>
      <c r="AZ129" s="548"/>
      <c r="BA129" s="548"/>
      <c r="BB129" s="548"/>
      <c r="BC129" s="548">
        <f>SUM(AV129:BB129)</f>
        <v>349.24613062499992</v>
      </c>
      <c r="BD129" s="42">
        <f t="shared" si="128"/>
        <v>0</v>
      </c>
      <c r="BE129" s="42">
        <f t="shared" si="129"/>
        <v>0</v>
      </c>
      <c r="BF129" s="42">
        <f t="shared" si="130"/>
        <v>1311.707005625</v>
      </c>
      <c r="BG129" s="42">
        <f t="shared" si="131"/>
        <v>0</v>
      </c>
      <c r="BH129" s="42">
        <f t="shared" si="132"/>
        <v>0</v>
      </c>
      <c r="BI129" s="42">
        <f t="shared" si="74"/>
        <v>0</v>
      </c>
      <c r="BJ129" s="42">
        <f t="shared" si="126"/>
        <v>0</v>
      </c>
      <c r="BK129" s="42">
        <f t="shared" si="127"/>
        <v>1311.707005625</v>
      </c>
      <c r="BL129" s="40">
        <f t="shared" si="68"/>
        <v>1311.707005625</v>
      </c>
    </row>
    <row r="130" spans="1:64" ht="42.75" customHeight="1" x14ac:dyDescent="0.25">
      <c r="A130" s="298" t="s">
        <v>386</v>
      </c>
      <c r="B130" s="299" t="s">
        <v>384</v>
      </c>
      <c r="C130" s="1547"/>
      <c r="D130" s="1549"/>
      <c r="E130" s="1549"/>
      <c r="F130" s="1559"/>
      <c r="G130" s="1560"/>
      <c r="H130" s="1561"/>
      <c r="I130" s="1430"/>
      <c r="J130" s="1430"/>
      <c r="K130" s="1430" t="s">
        <v>423</v>
      </c>
      <c r="L130" s="301" t="s">
        <v>391</v>
      </c>
      <c r="M130" s="1425" t="s">
        <v>392</v>
      </c>
      <c r="N130" s="476" t="s">
        <v>393</v>
      </c>
      <c r="O130" s="1425" t="s">
        <v>47</v>
      </c>
      <c r="P130" s="16" t="s">
        <v>424</v>
      </c>
      <c r="Q130" s="302" t="s">
        <v>425</v>
      </c>
      <c r="R130" s="303">
        <v>2015</v>
      </c>
      <c r="S130" s="303">
        <v>0</v>
      </c>
      <c r="T130" s="303">
        <v>0</v>
      </c>
      <c r="U130" s="572">
        <v>0</v>
      </c>
      <c r="V130" s="498">
        <v>0</v>
      </c>
      <c r="W130" s="572">
        <v>1</v>
      </c>
      <c r="X130" s="572">
        <v>1</v>
      </c>
      <c r="Y130" s="481"/>
      <c r="Z130" s="481"/>
      <c r="AA130" s="481"/>
      <c r="AB130" s="481"/>
      <c r="AC130" s="481"/>
      <c r="AD130" s="481"/>
      <c r="AE130" s="481"/>
      <c r="AF130" s="481">
        <f t="shared" si="119"/>
        <v>0</v>
      </c>
      <c r="AG130" s="548"/>
      <c r="AH130" s="548"/>
      <c r="AI130" s="548"/>
      <c r="AJ130" s="548"/>
      <c r="AK130" s="548"/>
      <c r="AL130" s="548"/>
      <c r="AM130" s="548">
        <f t="shared" si="124"/>
        <v>0</v>
      </c>
      <c r="AN130" s="481"/>
      <c r="AO130" s="481"/>
      <c r="AP130" s="481"/>
      <c r="AQ130" s="481"/>
      <c r="AR130" s="481"/>
      <c r="AS130" s="481"/>
      <c r="AT130" s="481"/>
      <c r="AU130" s="481">
        <f t="shared" ref="AU130:AU138" si="133">SUM(AN130:AT130)</f>
        <v>0</v>
      </c>
      <c r="AV130" s="548"/>
      <c r="AW130" s="548"/>
      <c r="AX130" s="491">
        <v>10.18</v>
      </c>
      <c r="AY130" s="548"/>
      <c r="AZ130" s="548"/>
      <c r="BA130" s="548"/>
      <c r="BB130" s="548"/>
      <c r="BC130" s="548">
        <f t="shared" si="125"/>
        <v>10.18</v>
      </c>
      <c r="BD130" s="42">
        <f t="shared" si="128"/>
        <v>0</v>
      </c>
      <c r="BE130" s="42">
        <f t="shared" si="129"/>
        <v>0</v>
      </c>
      <c r="BF130" s="42">
        <f t="shared" si="130"/>
        <v>10.18</v>
      </c>
      <c r="BG130" s="42">
        <f t="shared" si="131"/>
        <v>0</v>
      </c>
      <c r="BH130" s="42">
        <f t="shared" si="132"/>
        <v>0</v>
      </c>
      <c r="BI130" s="42">
        <f t="shared" si="74"/>
        <v>0</v>
      </c>
      <c r="BJ130" s="42">
        <f t="shared" si="126"/>
        <v>0</v>
      </c>
      <c r="BK130" s="42">
        <f t="shared" si="127"/>
        <v>10.18</v>
      </c>
      <c r="BL130" s="40">
        <f t="shared" si="68"/>
        <v>10.18</v>
      </c>
    </row>
    <row r="131" spans="1:64" ht="52.5" customHeight="1" x14ac:dyDescent="0.25">
      <c r="A131" s="298" t="s">
        <v>386</v>
      </c>
      <c r="B131" s="299" t="s">
        <v>384</v>
      </c>
      <c r="C131" s="1547"/>
      <c r="D131" s="1549"/>
      <c r="E131" s="1549"/>
      <c r="F131" s="1559"/>
      <c r="G131" s="1560"/>
      <c r="H131" s="1561"/>
      <c r="I131" s="1430"/>
      <c r="J131" s="1430"/>
      <c r="K131" s="1430" t="s">
        <v>426</v>
      </c>
      <c r="L131" s="301" t="s">
        <v>391</v>
      </c>
      <c r="M131" s="1425" t="s">
        <v>392</v>
      </c>
      <c r="N131" s="1425" t="s">
        <v>2484</v>
      </c>
      <c r="O131" s="1425" t="s">
        <v>47</v>
      </c>
      <c r="P131" s="16" t="s">
        <v>427</v>
      </c>
      <c r="Q131" s="302" t="s">
        <v>428</v>
      </c>
      <c r="R131" s="303">
        <v>2015</v>
      </c>
      <c r="S131" s="303">
        <v>0</v>
      </c>
      <c r="T131" s="303">
        <v>25</v>
      </c>
      <c r="U131" s="572">
        <v>400</v>
      </c>
      <c r="V131" s="572">
        <v>400</v>
      </c>
      <c r="W131" s="572">
        <v>375</v>
      </c>
      <c r="X131" s="572">
        <v>1200</v>
      </c>
      <c r="Y131" s="481"/>
      <c r="Z131" s="481"/>
      <c r="AA131" s="481">
        <v>10</v>
      </c>
      <c r="AB131" s="481"/>
      <c r="AC131" s="481"/>
      <c r="AD131" s="481"/>
      <c r="AE131" s="481"/>
      <c r="AF131" s="481">
        <f t="shared" si="119"/>
        <v>10</v>
      </c>
      <c r="AG131" s="548"/>
      <c r="AH131" s="548"/>
      <c r="AI131" s="491">
        <v>48</v>
      </c>
      <c r="AJ131" s="548"/>
      <c r="AK131" s="548"/>
      <c r="AL131" s="548"/>
      <c r="AM131" s="548">
        <f t="shared" si="124"/>
        <v>48</v>
      </c>
      <c r="AN131" s="481"/>
      <c r="AO131" s="481"/>
      <c r="AP131" s="491">
        <v>99.86</v>
      </c>
      <c r="AQ131" s="481"/>
      <c r="AR131" s="481"/>
      <c r="AS131" s="481"/>
      <c r="AT131" s="481"/>
      <c r="AU131" s="481">
        <f t="shared" si="133"/>
        <v>99.86</v>
      </c>
      <c r="AV131" s="548"/>
      <c r="AW131" s="548"/>
      <c r="AX131" s="548">
        <v>300</v>
      </c>
      <c r="AY131" s="548"/>
      <c r="AZ131" s="548"/>
      <c r="BA131" s="548"/>
      <c r="BB131" s="548"/>
      <c r="BC131" s="548">
        <f t="shared" si="125"/>
        <v>300</v>
      </c>
      <c r="BD131" s="42">
        <f t="shared" si="128"/>
        <v>0</v>
      </c>
      <c r="BE131" s="42">
        <f t="shared" si="129"/>
        <v>0</v>
      </c>
      <c r="BF131" s="42">
        <f t="shared" si="130"/>
        <v>457.86</v>
      </c>
      <c r="BG131" s="42">
        <f t="shared" si="131"/>
        <v>0</v>
      </c>
      <c r="BH131" s="42">
        <f t="shared" si="132"/>
        <v>0</v>
      </c>
      <c r="BI131" s="42">
        <f t="shared" si="74"/>
        <v>0</v>
      </c>
      <c r="BJ131" s="42">
        <f t="shared" si="126"/>
        <v>0</v>
      </c>
      <c r="BK131" s="42">
        <f t="shared" si="127"/>
        <v>457.86</v>
      </c>
      <c r="BL131" s="40">
        <f t="shared" si="68"/>
        <v>457.86</v>
      </c>
    </row>
    <row r="132" spans="1:64" ht="33.75" customHeight="1" x14ac:dyDescent="0.25">
      <c r="A132" s="298" t="s">
        <v>386</v>
      </c>
      <c r="B132" s="299" t="s">
        <v>384</v>
      </c>
      <c r="C132" s="1547"/>
      <c r="D132" s="1549"/>
      <c r="E132" s="1549"/>
      <c r="F132" s="1559"/>
      <c r="G132" s="1560"/>
      <c r="H132" s="1561"/>
      <c r="I132" s="1430"/>
      <c r="J132" s="1430"/>
      <c r="K132" s="1430" t="s">
        <v>429</v>
      </c>
      <c r="L132" s="301" t="s">
        <v>391</v>
      </c>
      <c r="M132" s="1425" t="s">
        <v>392</v>
      </c>
      <c r="N132" s="1425" t="s">
        <v>2484</v>
      </c>
      <c r="O132" s="1425" t="s">
        <v>47</v>
      </c>
      <c r="P132" s="16" t="s">
        <v>430</v>
      </c>
      <c r="Q132" s="302" t="s">
        <v>428</v>
      </c>
      <c r="R132" s="303">
        <v>2015</v>
      </c>
      <c r="S132" s="303">
        <v>0</v>
      </c>
      <c r="T132" s="303">
        <v>0</v>
      </c>
      <c r="U132" s="572">
        <v>500</v>
      </c>
      <c r="V132" s="572">
        <v>250</v>
      </c>
      <c r="W132" s="572">
        <v>250</v>
      </c>
      <c r="X132" s="572">
        <v>1000</v>
      </c>
      <c r="Y132" s="481"/>
      <c r="Z132" s="481"/>
      <c r="AA132" s="481"/>
      <c r="AB132" s="481"/>
      <c r="AC132" s="481"/>
      <c r="AD132" s="481"/>
      <c r="AE132" s="481"/>
      <c r="AF132" s="481">
        <f>SUM(Y132:AE132)</f>
        <v>0</v>
      </c>
      <c r="AG132" s="548"/>
      <c r="AH132" s="548"/>
      <c r="AI132" s="491">
        <v>224.2</v>
      </c>
      <c r="AJ132" s="548"/>
      <c r="AK132" s="548"/>
      <c r="AL132" s="548"/>
      <c r="AM132" s="548">
        <f t="shared" si="124"/>
        <v>224.2</v>
      </c>
      <c r="AN132" s="481"/>
      <c r="AO132" s="481"/>
      <c r="AP132" s="491">
        <v>220.01</v>
      </c>
      <c r="AQ132" s="481"/>
      <c r="AR132" s="481"/>
      <c r="AS132" s="481"/>
      <c r="AT132" s="481"/>
      <c r="AU132" s="481">
        <f t="shared" si="133"/>
        <v>220.01</v>
      </c>
      <c r="AV132" s="548"/>
      <c r="AW132" s="548"/>
      <c r="AX132" s="491">
        <v>46.76</v>
      </c>
      <c r="AY132" s="548"/>
      <c r="AZ132" s="548"/>
      <c r="BA132" s="548"/>
      <c r="BB132" s="548"/>
      <c r="BC132" s="548">
        <f t="shared" si="125"/>
        <v>46.76</v>
      </c>
      <c r="BD132" s="42">
        <f t="shared" ref="BD132:BH133" si="134">+AV132+AN132+AG132+Y132</f>
        <v>0</v>
      </c>
      <c r="BE132" s="42">
        <f t="shared" si="134"/>
        <v>0</v>
      </c>
      <c r="BF132" s="42">
        <f t="shared" si="134"/>
        <v>490.96999999999997</v>
      </c>
      <c r="BG132" s="42">
        <f t="shared" si="134"/>
        <v>0</v>
      </c>
      <c r="BH132" s="42">
        <f t="shared" si="134"/>
        <v>0</v>
      </c>
      <c r="BI132" s="42">
        <f t="shared" si="74"/>
        <v>0</v>
      </c>
      <c r="BJ132" s="42">
        <f>+BB132+AT132+AL132+AE132</f>
        <v>0</v>
      </c>
      <c r="BK132" s="42">
        <f>+BC132+AU132+AM132+AF132</f>
        <v>490.96999999999997</v>
      </c>
      <c r="BL132" s="40">
        <f t="shared" ref="BL132:BL197" si="135">AF132+AM132+AU132+BC132</f>
        <v>490.96999999999997</v>
      </c>
    </row>
    <row r="133" spans="1:64" ht="54" customHeight="1" x14ac:dyDescent="0.25">
      <c r="A133" s="298" t="s">
        <v>386</v>
      </c>
      <c r="B133" s="299" t="s">
        <v>384</v>
      </c>
      <c r="C133" s="1548"/>
      <c r="D133" s="1549"/>
      <c r="E133" s="1549"/>
      <c r="F133" s="1559"/>
      <c r="G133" s="1560"/>
      <c r="H133" s="1561"/>
      <c r="I133" s="1430"/>
      <c r="J133" s="1430"/>
      <c r="K133" s="1430" t="s">
        <v>431</v>
      </c>
      <c r="L133" s="301" t="s">
        <v>391</v>
      </c>
      <c r="M133" s="1425" t="s">
        <v>392</v>
      </c>
      <c r="N133" s="476" t="s">
        <v>393</v>
      </c>
      <c r="O133" s="1425" t="s">
        <v>73</v>
      </c>
      <c r="P133" s="16" t="s">
        <v>432</v>
      </c>
      <c r="Q133" s="302" t="s">
        <v>433</v>
      </c>
      <c r="R133" s="303">
        <v>2015</v>
      </c>
      <c r="S133" s="303">
        <v>1</v>
      </c>
      <c r="T133" s="303">
        <v>1</v>
      </c>
      <c r="U133" s="572">
        <v>1</v>
      </c>
      <c r="V133" s="572">
        <v>1</v>
      </c>
      <c r="W133" s="572">
        <v>1</v>
      </c>
      <c r="X133" s="572">
        <v>1</v>
      </c>
      <c r="Y133" s="581"/>
      <c r="Z133" s="581"/>
      <c r="AA133" s="495">
        <v>243.7</v>
      </c>
      <c r="AB133" s="581"/>
      <c r="AC133" s="581"/>
      <c r="AD133" s="581"/>
      <c r="AE133" s="581"/>
      <c r="AF133" s="481">
        <f>SUM(Y133:AE133)</f>
        <v>243.7</v>
      </c>
      <c r="AG133" s="590"/>
      <c r="AH133" s="590"/>
      <c r="AI133" s="590">
        <v>200</v>
      </c>
      <c r="AJ133" s="590"/>
      <c r="AK133" s="590"/>
      <c r="AL133" s="590"/>
      <c r="AM133" s="548">
        <f t="shared" si="124"/>
        <v>200</v>
      </c>
      <c r="AN133" s="581"/>
      <c r="AO133" s="581"/>
      <c r="AP133" s="581">
        <f>+AI133*1.035</f>
        <v>206.99999999999997</v>
      </c>
      <c r="AQ133" s="581"/>
      <c r="AR133" s="581"/>
      <c r="AS133" s="581"/>
      <c r="AT133" s="581"/>
      <c r="AU133" s="481">
        <f t="shared" si="133"/>
        <v>206.99999999999997</v>
      </c>
      <c r="AV133" s="590"/>
      <c r="AW133" s="590"/>
      <c r="AX133" s="590">
        <f>+AP133*1.035</f>
        <v>214.24499999999995</v>
      </c>
      <c r="AY133" s="590"/>
      <c r="AZ133" s="590"/>
      <c r="BA133" s="590"/>
      <c r="BB133" s="590"/>
      <c r="BC133" s="548">
        <f t="shared" si="125"/>
        <v>214.24499999999995</v>
      </c>
      <c r="BD133" s="60">
        <f t="shared" si="134"/>
        <v>0</v>
      </c>
      <c r="BE133" s="60">
        <f t="shared" si="134"/>
        <v>0</v>
      </c>
      <c r="BF133" s="60">
        <f t="shared" si="134"/>
        <v>864.94499999999994</v>
      </c>
      <c r="BG133" s="60">
        <f t="shared" si="134"/>
        <v>0</v>
      </c>
      <c r="BH133" s="60">
        <f t="shared" si="134"/>
        <v>0</v>
      </c>
      <c r="BI133" s="60">
        <f t="shared" si="74"/>
        <v>0</v>
      </c>
      <c r="BJ133" s="60">
        <f>+BB133+AT133+AL133+AE133</f>
        <v>0</v>
      </c>
      <c r="BK133" s="60">
        <f>+BC133+AU133+AM133+AF133</f>
        <v>864.94499999999994</v>
      </c>
      <c r="BL133" s="40">
        <f t="shared" si="135"/>
        <v>864.94499999999994</v>
      </c>
    </row>
    <row r="134" spans="1:64" ht="26.4" x14ac:dyDescent="0.25">
      <c r="A134" s="295" t="s">
        <v>386</v>
      </c>
      <c r="B134" s="154" t="s">
        <v>384</v>
      </c>
      <c r="C134" s="6"/>
      <c r="D134" s="2" t="s">
        <v>434</v>
      </c>
      <c r="E134" s="1"/>
      <c r="F134" s="1"/>
      <c r="G134" s="1"/>
      <c r="H134" s="1"/>
      <c r="I134" s="1"/>
      <c r="J134" s="1"/>
      <c r="K134" s="1"/>
      <c r="L134" s="1"/>
      <c r="M134" s="1"/>
      <c r="N134" s="1"/>
      <c r="O134" s="1"/>
      <c r="P134" s="1"/>
      <c r="Q134" s="22"/>
      <c r="R134" s="1"/>
      <c r="S134" s="1"/>
      <c r="T134" s="1"/>
      <c r="U134" s="49"/>
      <c r="V134" s="49"/>
      <c r="W134" s="49"/>
      <c r="X134" s="49"/>
      <c r="Y134" s="34">
        <f t="shared" ref="Y134:AE134" si="136">SUM(Y135:Y143)</f>
        <v>0</v>
      </c>
      <c r="Z134" s="34">
        <f t="shared" si="136"/>
        <v>0</v>
      </c>
      <c r="AA134" s="34">
        <f t="shared" si="136"/>
        <v>799</v>
      </c>
      <c r="AB134" s="34">
        <f t="shared" si="136"/>
        <v>0</v>
      </c>
      <c r="AC134" s="34">
        <f t="shared" si="136"/>
        <v>0</v>
      </c>
      <c r="AD134" s="34">
        <f t="shared" si="136"/>
        <v>0</v>
      </c>
      <c r="AE134" s="34">
        <f t="shared" si="136"/>
        <v>0</v>
      </c>
      <c r="AF134" s="34">
        <f t="shared" si="119"/>
        <v>799</v>
      </c>
      <c r="AG134" s="34">
        <f t="shared" ref="AG134:AL134" si="137">SUM(AG135:AG143)</f>
        <v>0</v>
      </c>
      <c r="AH134" s="34">
        <f t="shared" si="137"/>
        <v>0</v>
      </c>
      <c r="AI134" s="34">
        <v>797.61500000000001</v>
      </c>
      <c r="AJ134" s="34">
        <f t="shared" si="137"/>
        <v>0</v>
      </c>
      <c r="AK134" s="34">
        <f t="shared" si="137"/>
        <v>0</v>
      </c>
      <c r="AL134" s="34">
        <f t="shared" si="137"/>
        <v>0</v>
      </c>
      <c r="AM134" s="34">
        <f>SUM(AG134:AL134)</f>
        <v>797.61500000000001</v>
      </c>
      <c r="AN134" s="34">
        <f t="shared" ref="AN134:AT134" si="138">SUM(AN135:AN143)</f>
        <v>0</v>
      </c>
      <c r="AO134" s="34">
        <f t="shared" si="138"/>
        <v>0</v>
      </c>
      <c r="AP134" s="34">
        <f t="shared" si="138"/>
        <v>692.65652499999999</v>
      </c>
      <c r="AQ134" s="34">
        <f t="shared" si="138"/>
        <v>800</v>
      </c>
      <c r="AR134" s="34">
        <f t="shared" si="138"/>
        <v>0</v>
      </c>
      <c r="AS134" s="34">
        <f t="shared" si="138"/>
        <v>0</v>
      </c>
      <c r="AT134" s="34">
        <f t="shared" si="138"/>
        <v>5050</v>
      </c>
      <c r="AU134" s="34">
        <f t="shared" si="133"/>
        <v>6542.6565250000003</v>
      </c>
      <c r="AV134" s="34">
        <f t="shared" ref="AV134:BB134" si="139">SUM(AV135:AV143)</f>
        <v>0</v>
      </c>
      <c r="AW134" s="34">
        <f t="shared" si="139"/>
        <v>0</v>
      </c>
      <c r="AX134" s="34">
        <f t="shared" si="139"/>
        <v>746.41950337499986</v>
      </c>
      <c r="AY134" s="34">
        <f t="shared" si="139"/>
        <v>0</v>
      </c>
      <c r="AZ134" s="34">
        <f t="shared" si="139"/>
        <v>0</v>
      </c>
      <c r="BA134" s="34">
        <f t="shared" si="139"/>
        <v>0</v>
      </c>
      <c r="BB134" s="34">
        <f t="shared" si="139"/>
        <v>0</v>
      </c>
      <c r="BC134" s="34">
        <f>SUM(AV134:BB134)</f>
        <v>746.41950337499986</v>
      </c>
      <c r="BD134" s="34">
        <f t="shared" si="128"/>
        <v>0</v>
      </c>
      <c r="BE134" s="34">
        <f t="shared" si="129"/>
        <v>0</v>
      </c>
      <c r="BF134" s="34">
        <f t="shared" si="130"/>
        <v>3035.6910283749999</v>
      </c>
      <c r="BG134" s="34">
        <f t="shared" si="131"/>
        <v>800</v>
      </c>
      <c r="BH134" s="34">
        <f t="shared" si="132"/>
        <v>0</v>
      </c>
      <c r="BI134" s="34">
        <f t="shared" si="74"/>
        <v>0</v>
      </c>
      <c r="BJ134" s="34">
        <f t="shared" si="126"/>
        <v>5050</v>
      </c>
      <c r="BK134" s="34">
        <f t="shared" si="127"/>
        <v>8885.6910283750003</v>
      </c>
      <c r="BL134" s="40">
        <f t="shared" si="135"/>
        <v>8885.6910283750003</v>
      </c>
    </row>
    <row r="135" spans="1:64" ht="53.25" customHeight="1" x14ac:dyDescent="0.25">
      <c r="A135" s="298" t="s">
        <v>386</v>
      </c>
      <c r="B135" s="299" t="s">
        <v>384</v>
      </c>
      <c r="C135" s="1546" t="s">
        <v>435</v>
      </c>
      <c r="D135" s="1549" t="s">
        <v>436</v>
      </c>
      <c r="E135" s="1549" t="s">
        <v>437</v>
      </c>
      <c r="F135" s="1549">
        <v>2005</v>
      </c>
      <c r="G135" s="1549">
        <v>53</v>
      </c>
      <c r="H135" s="1549">
        <v>55</v>
      </c>
      <c r="I135" s="1425"/>
      <c r="J135" s="1425"/>
      <c r="K135" s="1425" t="s">
        <v>438</v>
      </c>
      <c r="L135" s="301" t="s">
        <v>391</v>
      </c>
      <c r="M135" s="1425" t="s">
        <v>392</v>
      </c>
      <c r="N135" s="476" t="s">
        <v>393</v>
      </c>
      <c r="O135" s="1425" t="s">
        <v>47</v>
      </c>
      <c r="P135" s="16" t="s">
        <v>439</v>
      </c>
      <c r="Q135" s="302" t="s">
        <v>440</v>
      </c>
      <c r="R135" s="303">
        <v>2015</v>
      </c>
      <c r="S135" s="303">
        <v>0</v>
      </c>
      <c r="T135" s="303">
        <v>0</v>
      </c>
      <c r="U135" s="572">
        <v>1</v>
      </c>
      <c r="V135" s="498">
        <v>0</v>
      </c>
      <c r="W135" s="498">
        <v>0</v>
      </c>
      <c r="X135" s="572">
        <v>1</v>
      </c>
      <c r="Y135" s="483"/>
      <c r="Z135" s="483"/>
      <c r="AA135" s="483"/>
      <c r="AB135" s="483"/>
      <c r="AC135" s="483"/>
      <c r="AD135" s="483"/>
      <c r="AE135" s="483"/>
      <c r="AF135" s="481">
        <f t="shared" si="119"/>
        <v>0</v>
      </c>
      <c r="AG135" s="587"/>
      <c r="AH135" s="587"/>
      <c r="AI135" s="493">
        <v>100</v>
      </c>
      <c r="AJ135" s="587"/>
      <c r="AK135" s="587"/>
      <c r="AL135" s="587"/>
      <c r="AM135" s="587">
        <f>SUM(AG135:AL135)</f>
        <v>100</v>
      </c>
      <c r="AN135" s="483"/>
      <c r="AO135" s="483"/>
      <c r="AP135" s="483"/>
      <c r="AQ135" s="483"/>
      <c r="AR135" s="483"/>
      <c r="AS135" s="483"/>
      <c r="AT135" s="483"/>
      <c r="AU135" s="483">
        <f t="shared" si="133"/>
        <v>0</v>
      </c>
      <c r="AV135" s="587"/>
      <c r="AW135" s="587"/>
      <c r="AX135" s="587"/>
      <c r="AY135" s="587"/>
      <c r="AZ135" s="587"/>
      <c r="BA135" s="587"/>
      <c r="BB135" s="587"/>
      <c r="BC135" s="548">
        <f t="shared" ref="BC135:BC143" si="140">SUM(AV135:BB135)</f>
        <v>0</v>
      </c>
      <c r="BD135" s="44">
        <f t="shared" si="128"/>
        <v>0</v>
      </c>
      <c r="BE135" s="44">
        <f t="shared" si="129"/>
        <v>0</v>
      </c>
      <c r="BF135" s="44">
        <f t="shared" si="130"/>
        <v>100</v>
      </c>
      <c r="BG135" s="44">
        <f t="shared" si="131"/>
        <v>0</v>
      </c>
      <c r="BH135" s="44">
        <f t="shared" si="132"/>
        <v>0</v>
      </c>
      <c r="BI135" s="44">
        <f t="shared" si="74"/>
        <v>0</v>
      </c>
      <c r="BJ135" s="44">
        <f t="shared" si="126"/>
        <v>0</v>
      </c>
      <c r="BK135" s="44">
        <f t="shared" si="127"/>
        <v>100</v>
      </c>
      <c r="BL135" s="40">
        <f t="shared" si="135"/>
        <v>100</v>
      </c>
    </row>
    <row r="136" spans="1:64" ht="83.25" customHeight="1" x14ac:dyDescent="0.25">
      <c r="A136" s="298" t="s">
        <v>386</v>
      </c>
      <c r="B136" s="299" t="s">
        <v>384</v>
      </c>
      <c r="C136" s="1547"/>
      <c r="D136" s="1549"/>
      <c r="E136" s="1549"/>
      <c r="F136" s="1549"/>
      <c r="G136" s="1549"/>
      <c r="H136" s="1549"/>
      <c r="I136" s="1425" t="s">
        <v>53</v>
      </c>
      <c r="J136" s="1425"/>
      <c r="K136" s="1425" t="s">
        <v>441</v>
      </c>
      <c r="L136" s="301" t="s">
        <v>391</v>
      </c>
      <c r="M136" s="1425" t="s">
        <v>392</v>
      </c>
      <c r="N136" s="476" t="s">
        <v>393</v>
      </c>
      <c r="O136" s="1425" t="s">
        <v>47</v>
      </c>
      <c r="P136" s="16" t="s">
        <v>442</v>
      </c>
      <c r="Q136" s="302" t="s">
        <v>443</v>
      </c>
      <c r="R136" s="303">
        <v>2015</v>
      </c>
      <c r="S136" s="303">
        <v>0</v>
      </c>
      <c r="T136" s="303">
        <v>0</v>
      </c>
      <c r="U136" s="572">
        <v>0.5</v>
      </c>
      <c r="V136" s="572">
        <v>0.5</v>
      </c>
      <c r="W136" s="572">
        <v>0</v>
      </c>
      <c r="X136" s="572">
        <v>1</v>
      </c>
      <c r="Y136" s="481"/>
      <c r="Z136" s="481"/>
      <c r="AA136" s="481"/>
      <c r="AB136" s="481"/>
      <c r="AC136" s="481"/>
      <c r="AD136" s="481"/>
      <c r="AE136" s="481"/>
      <c r="AF136" s="481">
        <f t="shared" si="119"/>
        <v>0</v>
      </c>
      <c r="AG136" s="548"/>
      <c r="AH136" s="548"/>
      <c r="AI136" s="491">
        <v>50</v>
      </c>
      <c r="AJ136" s="588"/>
      <c r="AK136" s="548"/>
      <c r="AL136" s="548"/>
      <c r="AM136" s="587">
        <f t="shared" ref="AM136:AM143" si="141">SUM(AG136:AL136)</f>
        <v>50</v>
      </c>
      <c r="AN136" s="481"/>
      <c r="AO136" s="481"/>
      <c r="AP136" s="481"/>
      <c r="AQ136" s="491">
        <v>700</v>
      </c>
      <c r="AR136" s="481"/>
      <c r="AS136" s="481"/>
      <c r="AT136" s="481"/>
      <c r="AU136" s="481">
        <f t="shared" si="133"/>
        <v>700</v>
      </c>
      <c r="AV136" s="548"/>
      <c r="AW136" s="548"/>
      <c r="AX136" s="548"/>
      <c r="AY136" s="548"/>
      <c r="AZ136" s="548"/>
      <c r="BA136" s="548"/>
      <c r="BB136" s="548"/>
      <c r="BC136" s="548">
        <f t="shared" si="140"/>
        <v>0</v>
      </c>
      <c r="BD136" s="42">
        <f t="shared" si="128"/>
        <v>0</v>
      </c>
      <c r="BE136" s="42">
        <f t="shared" si="129"/>
        <v>0</v>
      </c>
      <c r="BF136" s="42">
        <f t="shared" si="130"/>
        <v>50</v>
      </c>
      <c r="BG136" s="42">
        <f t="shared" si="131"/>
        <v>700</v>
      </c>
      <c r="BH136" s="42">
        <f t="shared" si="132"/>
        <v>0</v>
      </c>
      <c r="BI136" s="42">
        <f t="shared" si="74"/>
        <v>0</v>
      </c>
      <c r="BJ136" s="42">
        <f t="shared" si="126"/>
        <v>0</v>
      </c>
      <c r="BK136" s="42">
        <f t="shared" si="127"/>
        <v>750</v>
      </c>
      <c r="BL136" s="40">
        <f t="shared" si="135"/>
        <v>750</v>
      </c>
    </row>
    <row r="137" spans="1:64" ht="48.75" customHeight="1" x14ac:dyDescent="0.25">
      <c r="A137" s="298" t="s">
        <v>386</v>
      </c>
      <c r="B137" s="299" t="s">
        <v>384</v>
      </c>
      <c r="C137" s="1547"/>
      <c r="D137" s="1549"/>
      <c r="E137" s="1549"/>
      <c r="F137" s="1549"/>
      <c r="G137" s="1549"/>
      <c r="H137" s="1549"/>
      <c r="I137" s="1425"/>
      <c r="J137" s="1425"/>
      <c r="K137" s="1425" t="s">
        <v>444</v>
      </c>
      <c r="L137" s="301" t="s">
        <v>391</v>
      </c>
      <c r="M137" s="1425" t="s">
        <v>392</v>
      </c>
      <c r="N137" s="476" t="s">
        <v>393</v>
      </c>
      <c r="O137" s="1425" t="s">
        <v>47</v>
      </c>
      <c r="P137" s="16" t="s">
        <v>445</v>
      </c>
      <c r="Q137" s="302" t="s">
        <v>446</v>
      </c>
      <c r="R137" s="303">
        <v>2015</v>
      </c>
      <c r="S137" s="303">
        <v>0</v>
      </c>
      <c r="T137" s="303">
        <v>1</v>
      </c>
      <c r="U137" s="572">
        <v>1</v>
      </c>
      <c r="V137" s="572">
        <v>1</v>
      </c>
      <c r="W137" s="572">
        <v>1</v>
      </c>
      <c r="X137" s="572">
        <v>1</v>
      </c>
      <c r="Y137" s="481"/>
      <c r="Z137" s="481"/>
      <c r="AA137" s="481">
        <v>87</v>
      </c>
      <c r="AB137" s="481"/>
      <c r="AC137" s="481"/>
      <c r="AD137" s="481"/>
      <c r="AE137" s="481"/>
      <c r="AF137" s="481">
        <f t="shared" si="119"/>
        <v>87</v>
      </c>
      <c r="AG137" s="548"/>
      <c r="AH137" s="548"/>
      <c r="AI137" s="491">
        <v>52</v>
      </c>
      <c r="AJ137" s="548"/>
      <c r="AK137" s="548"/>
      <c r="AL137" s="548"/>
      <c r="AM137" s="587">
        <f t="shared" si="141"/>
        <v>52</v>
      </c>
      <c r="AN137" s="481"/>
      <c r="AO137" s="481"/>
      <c r="AP137" s="481"/>
      <c r="AQ137" s="491">
        <v>100</v>
      </c>
      <c r="AR137" s="481"/>
      <c r="AS137" s="481"/>
      <c r="AT137" s="481"/>
      <c r="AU137" s="481">
        <f t="shared" si="133"/>
        <v>100</v>
      </c>
      <c r="AV137" s="548"/>
      <c r="AW137" s="548"/>
      <c r="AX137" s="491">
        <v>2</v>
      </c>
      <c r="AY137" s="548"/>
      <c r="AZ137" s="548"/>
      <c r="BA137" s="548"/>
      <c r="BB137" s="548"/>
      <c r="BC137" s="548">
        <f t="shared" si="140"/>
        <v>2</v>
      </c>
      <c r="BD137" s="42">
        <f t="shared" si="128"/>
        <v>0</v>
      </c>
      <c r="BE137" s="42">
        <f t="shared" si="129"/>
        <v>0</v>
      </c>
      <c r="BF137" s="42">
        <f t="shared" si="130"/>
        <v>141</v>
      </c>
      <c r="BG137" s="42">
        <f t="shared" si="131"/>
        <v>100</v>
      </c>
      <c r="BH137" s="42">
        <f t="shared" si="132"/>
        <v>0</v>
      </c>
      <c r="BI137" s="42">
        <f t="shared" ref="BI137:BI204" si="142">+AD137+AS137+BA137</f>
        <v>0</v>
      </c>
      <c r="BJ137" s="42">
        <f t="shared" si="126"/>
        <v>0</v>
      </c>
      <c r="BK137" s="42">
        <f t="shared" si="127"/>
        <v>241</v>
      </c>
      <c r="BL137" s="40">
        <f t="shared" si="135"/>
        <v>241</v>
      </c>
    </row>
    <row r="138" spans="1:64" ht="44.25" customHeight="1" x14ac:dyDescent="0.25">
      <c r="A138" s="298" t="s">
        <v>386</v>
      </c>
      <c r="B138" s="299" t="s">
        <v>384</v>
      </c>
      <c r="C138" s="1547"/>
      <c r="D138" s="1549"/>
      <c r="E138" s="1549"/>
      <c r="F138" s="1549"/>
      <c r="G138" s="1549"/>
      <c r="H138" s="1549"/>
      <c r="I138" s="1425"/>
      <c r="J138" s="1425"/>
      <c r="K138" s="1425" t="s">
        <v>447</v>
      </c>
      <c r="L138" s="301" t="s">
        <v>391</v>
      </c>
      <c r="M138" s="1425" t="s">
        <v>392</v>
      </c>
      <c r="N138" s="476" t="s">
        <v>393</v>
      </c>
      <c r="O138" s="1425" t="s">
        <v>47</v>
      </c>
      <c r="P138" s="16" t="s">
        <v>448</v>
      </c>
      <c r="Q138" s="302" t="s">
        <v>449</v>
      </c>
      <c r="R138" s="303">
        <v>2015</v>
      </c>
      <c r="S138" s="303">
        <v>0</v>
      </c>
      <c r="T138" s="303">
        <v>1</v>
      </c>
      <c r="U138" s="699">
        <v>0</v>
      </c>
      <c r="V138" s="699">
        <v>0</v>
      </c>
      <c r="W138" s="699">
        <v>0</v>
      </c>
      <c r="X138" s="572">
        <v>1</v>
      </c>
      <c r="Y138" s="481">
        <v>0</v>
      </c>
      <c r="Z138" s="481"/>
      <c r="AA138" s="481">
        <v>17</v>
      </c>
      <c r="AB138" s="481"/>
      <c r="AC138" s="481"/>
      <c r="AD138" s="481"/>
      <c r="AE138" s="481"/>
      <c r="AF138" s="481">
        <f t="shared" si="119"/>
        <v>17</v>
      </c>
      <c r="AG138" s="548">
        <v>0</v>
      </c>
      <c r="AH138" s="548"/>
      <c r="AI138" s="548"/>
      <c r="AJ138" s="548"/>
      <c r="AK138" s="548"/>
      <c r="AL138" s="548"/>
      <c r="AM138" s="587">
        <f t="shared" si="141"/>
        <v>0</v>
      </c>
      <c r="AN138" s="481">
        <v>0</v>
      </c>
      <c r="AO138" s="481"/>
      <c r="AP138" s="481"/>
      <c r="AQ138" s="481"/>
      <c r="AR138" s="481"/>
      <c r="AS138" s="481"/>
      <c r="AT138" s="481"/>
      <c r="AU138" s="481">
        <f t="shared" si="133"/>
        <v>0</v>
      </c>
      <c r="AV138" s="548">
        <v>0</v>
      </c>
      <c r="AW138" s="548"/>
      <c r="AX138" s="548">
        <v>0</v>
      </c>
      <c r="AY138" s="548"/>
      <c r="AZ138" s="548"/>
      <c r="BA138" s="548"/>
      <c r="BB138" s="548"/>
      <c r="BC138" s="548">
        <f t="shared" si="140"/>
        <v>0</v>
      </c>
      <c r="BD138" s="42">
        <f t="shared" si="128"/>
        <v>0</v>
      </c>
      <c r="BE138" s="42">
        <f t="shared" si="129"/>
        <v>0</v>
      </c>
      <c r="BF138" s="42">
        <f t="shared" si="130"/>
        <v>17</v>
      </c>
      <c r="BG138" s="42">
        <f t="shared" si="131"/>
        <v>0</v>
      </c>
      <c r="BH138" s="42">
        <f t="shared" si="132"/>
        <v>0</v>
      </c>
      <c r="BI138" s="42">
        <f t="shared" si="142"/>
        <v>0</v>
      </c>
      <c r="BJ138" s="42">
        <f t="shared" si="126"/>
        <v>0</v>
      </c>
      <c r="BK138" s="42">
        <f t="shared" si="127"/>
        <v>17</v>
      </c>
      <c r="BL138" s="40">
        <f t="shared" si="135"/>
        <v>17</v>
      </c>
    </row>
    <row r="139" spans="1:64" ht="59.25" customHeight="1" x14ac:dyDescent="0.25">
      <c r="A139" s="298" t="s">
        <v>386</v>
      </c>
      <c r="B139" s="299" t="s">
        <v>384</v>
      </c>
      <c r="C139" s="1547"/>
      <c r="D139" s="1549"/>
      <c r="E139" s="1549"/>
      <c r="F139" s="1549"/>
      <c r="G139" s="1549"/>
      <c r="H139" s="1549"/>
      <c r="I139" s="1425" t="s">
        <v>53</v>
      </c>
      <c r="J139" s="1425"/>
      <c r="K139" s="1425" t="s">
        <v>450</v>
      </c>
      <c r="L139" s="301" t="s">
        <v>391</v>
      </c>
      <c r="M139" s="1425" t="s">
        <v>392</v>
      </c>
      <c r="N139" s="476" t="s">
        <v>393</v>
      </c>
      <c r="O139" s="1425" t="s">
        <v>47</v>
      </c>
      <c r="P139" s="1198" t="s">
        <v>2488</v>
      </c>
      <c r="Q139" s="302" t="s">
        <v>452</v>
      </c>
      <c r="R139" s="303">
        <v>2015</v>
      </c>
      <c r="S139" s="303">
        <v>738</v>
      </c>
      <c r="T139" s="303">
        <v>700</v>
      </c>
      <c r="U139" s="572">
        <v>700</v>
      </c>
      <c r="V139" s="572">
        <v>700</v>
      </c>
      <c r="W139" s="572">
        <v>700</v>
      </c>
      <c r="X139" s="572">
        <v>2800</v>
      </c>
      <c r="Y139" s="481"/>
      <c r="Z139" s="481"/>
      <c r="AA139" s="481">
        <f>498</f>
        <v>498</v>
      </c>
      <c r="AB139" s="481"/>
      <c r="AC139" s="481"/>
      <c r="AD139" s="481"/>
      <c r="AE139" s="481"/>
      <c r="AF139" s="481">
        <f t="shared" si="119"/>
        <v>498</v>
      </c>
      <c r="AG139" s="548"/>
      <c r="AH139" s="548"/>
      <c r="AI139" s="491">
        <v>389.42</v>
      </c>
      <c r="AJ139" s="548"/>
      <c r="AK139" s="548"/>
      <c r="AL139" s="548"/>
      <c r="AM139" s="587">
        <f t="shared" si="141"/>
        <v>389.42</v>
      </c>
      <c r="AN139" s="481"/>
      <c r="AO139" s="481"/>
      <c r="AP139" s="481">
        <f>+AI139*1.035</f>
        <v>403.04969999999997</v>
      </c>
      <c r="AQ139" s="481"/>
      <c r="AR139" s="481"/>
      <c r="AS139" s="481"/>
      <c r="AT139" s="481"/>
      <c r="AU139" s="481">
        <f t="shared" ref="AU139:AU151" si="143">SUM(AN139:AT139)</f>
        <v>403.04969999999997</v>
      </c>
      <c r="AV139" s="548"/>
      <c r="AW139" s="548"/>
      <c r="AX139" s="548">
        <f>(+AP139*1.035)+119</f>
        <v>536.15643949999992</v>
      </c>
      <c r="AY139" s="548"/>
      <c r="AZ139" s="548"/>
      <c r="BA139" s="548"/>
      <c r="BB139" s="548"/>
      <c r="BC139" s="548">
        <f t="shared" si="140"/>
        <v>536.15643949999992</v>
      </c>
      <c r="BD139" s="42">
        <f t="shared" si="128"/>
        <v>0</v>
      </c>
      <c r="BE139" s="42">
        <f t="shared" si="129"/>
        <v>0</v>
      </c>
      <c r="BF139" s="42">
        <f t="shared" si="130"/>
        <v>1826.6261394999999</v>
      </c>
      <c r="BG139" s="42">
        <f t="shared" si="131"/>
        <v>0</v>
      </c>
      <c r="BH139" s="42">
        <f t="shared" si="132"/>
        <v>0</v>
      </c>
      <c r="BI139" s="42">
        <f t="shared" si="142"/>
        <v>0</v>
      </c>
      <c r="BJ139" s="42">
        <f t="shared" si="126"/>
        <v>0</v>
      </c>
      <c r="BK139" s="42">
        <f t="shared" si="127"/>
        <v>1826.6261394999999</v>
      </c>
      <c r="BL139" s="40">
        <f t="shared" si="135"/>
        <v>1826.6261395000001</v>
      </c>
    </row>
    <row r="140" spans="1:64" ht="49.5" customHeight="1" x14ac:dyDescent="0.25">
      <c r="A140" s="298" t="s">
        <v>386</v>
      </c>
      <c r="B140" s="299" t="s">
        <v>384</v>
      </c>
      <c r="C140" s="1547"/>
      <c r="D140" s="1549"/>
      <c r="E140" s="1549"/>
      <c r="F140" s="1549"/>
      <c r="G140" s="1549"/>
      <c r="H140" s="1549"/>
      <c r="I140" s="1425"/>
      <c r="J140" s="1425"/>
      <c r="K140" s="1425" t="s">
        <v>453</v>
      </c>
      <c r="L140" s="301" t="s">
        <v>391</v>
      </c>
      <c r="M140" s="1425" t="s">
        <v>392</v>
      </c>
      <c r="N140" s="476" t="s">
        <v>393</v>
      </c>
      <c r="O140" s="1425" t="s">
        <v>47</v>
      </c>
      <c r="P140" s="16" t="s">
        <v>454</v>
      </c>
      <c r="Q140" s="302" t="s">
        <v>455</v>
      </c>
      <c r="R140" s="303">
        <v>2015</v>
      </c>
      <c r="S140" s="303">
        <v>257</v>
      </c>
      <c r="T140" s="303">
        <v>270</v>
      </c>
      <c r="U140" s="572">
        <v>270</v>
      </c>
      <c r="V140" s="572">
        <v>270</v>
      </c>
      <c r="W140" s="572">
        <v>270</v>
      </c>
      <c r="X140" s="572">
        <v>1080</v>
      </c>
      <c r="Y140" s="481"/>
      <c r="Z140" s="481"/>
      <c r="AA140" s="491">
        <v>3</v>
      </c>
      <c r="AB140" s="481"/>
      <c r="AC140" s="481"/>
      <c r="AD140" s="481"/>
      <c r="AE140" s="481"/>
      <c r="AF140" s="481">
        <f t="shared" si="119"/>
        <v>3</v>
      </c>
      <c r="AG140" s="548"/>
      <c r="AH140" s="548"/>
      <c r="AI140" s="491">
        <v>3</v>
      </c>
      <c r="AJ140" s="548"/>
      <c r="AK140" s="548"/>
      <c r="AL140" s="548"/>
      <c r="AM140" s="587">
        <f t="shared" si="141"/>
        <v>3</v>
      </c>
      <c r="AN140" s="481"/>
      <c r="AO140" s="481"/>
      <c r="AP140" s="491">
        <v>3</v>
      </c>
      <c r="AQ140" s="481"/>
      <c r="AR140" s="481"/>
      <c r="AS140" s="481"/>
      <c r="AT140" s="481"/>
      <c r="AU140" s="481">
        <f t="shared" si="143"/>
        <v>3</v>
      </c>
      <c r="AV140" s="548"/>
      <c r="AW140" s="548"/>
      <c r="AX140" s="491">
        <v>5</v>
      </c>
      <c r="AY140" s="548"/>
      <c r="AZ140" s="548"/>
      <c r="BA140" s="548"/>
      <c r="BB140" s="548"/>
      <c r="BC140" s="548">
        <f t="shared" si="140"/>
        <v>5</v>
      </c>
      <c r="BD140" s="42">
        <f t="shared" si="128"/>
        <v>0</v>
      </c>
      <c r="BE140" s="42">
        <f t="shared" si="129"/>
        <v>0</v>
      </c>
      <c r="BF140" s="42">
        <f t="shared" si="130"/>
        <v>14</v>
      </c>
      <c r="BG140" s="42">
        <f t="shared" si="131"/>
        <v>0</v>
      </c>
      <c r="BH140" s="42">
        <f t="shared" si="132"/>
        <v>0</v>
      </c>
      <c r="BI140" s="42">
        <f t="shared" si="142"/>
        <v>0</v>
      </c>
      <c r="BJ140" s="42">
        <f t="shared" si="126"/>
        <v>0</v>
      </c>
      <c r="BK140" s="42">
        <f t="shared" si="127"/>
        <v>14</v>
      </c>
      <c r="BL140" s="40">
        <f t="shared" si="135"/>
        <v>14</v>
      </c>
    </row>
    <row r="141" spans="1:64" ht="68.25" customHeight="1" x14ac:dyDescent="0.25">
      <c r="A141" s="298" t="s">
        <v>386</v>
      </c>
      <c r="B141" s="299" t="s">
        <v>384</v>
      </c>
      <c r="C141" s="1547"/>
      <c r="D141" s="1549"/>
      <c r="E141" s="1549"/>
      <c r="F141" s="1549"/>
      <c r="G141" s="1549"/>
      <c r="H141" s="1549"/>
      <c r="I141" s="1425"/>
      <c r="J141" s="1425"/>
      <c r="K141" s="1425" t="s">
        <v>456</v>
      </c>
      <c r="L141" s="301" t="s">
        <v>391</v>
      </c>
      <c r="M141" s="1425" t="s">
        <v>392</v>
      </c>
      <c r="N141" s="476" t="s">
        <v>393</v>
      </c>
      <c r="O141" s="1425" t="s">
        <v>47</v>
      </c>
      <c r="P141" s="16" t="s">
        <v>457</v>
      </c>
      <c r="Q141" s="302" t="s">
        <v>458</v>
      </c>
      <c r="R141" s="303">
        <v>2015</v>
      </c>
      <c r="S141" s="303">
        <v>0</v>
      </c>
      <c r="T141" s="303">
        <v>0</v>
      </c>
      <c r="U141" s="572">
        <v>0</v>
      </c>
      <c r="V141" s="572">
        <v>0.5</v>
      </c>
      <c r="W141" s="572">
        <v>0.5</v>
      </c>
      <c r="X141" s="572">
        <v>1</v>
      </c>
      <c r="Y141" s="481"/>
      <c r="Z141" s="481"/>
      <c r="AA141" s="481"/>
      <c r="AB141" s="481"/>
      <c r="AC141" s="481"/>
      <c r="AD141" s="481"/>
      <c r="AE141" s="481"/>
      <c r="AF141" s="481">
        <f t="shared" si="119"/>
        <v>0</v>
      </c>
      <c r="AG141" s="548"/>
      <c r="AH141" s="548"/>
      <c r="AI141" s="548"/>
      <c r="AJ141" s="548"/>
      <c r="AK141" s="548"/>
      <c r="AL141" s="548"/>
      <c r="AM141" s="587">
        <f t="shared" si="141"/>
        <v>0</v>
      </c>
      <c r="AN141" s="481"/>
      <c r="AO141" s="481"/>
      <c r="AP141" s="481"/>
      <c r="AQ141" s="481"/>
      <c r="AR141" s="481"/>
      <c r="AS141" s="481"/>
      <c r="AT141" s="481">
        <v>5050</v>
      </c>
      <c r="AU141" s="481">
        <f t="shared" si="143"/>
        <v>5050</v>
      </c>
      <c r="AV141" s="548"/>
      <c r="AW141" s="548"/>
      <c r="AX141" s="491">
        <v>5</v>
      </c>
      <c r="AY141" s="548"/>
      <c r="AZ141" s="548"/>
      <c r="BA141" s="548"/>
      <c r="BB141" s="548"/>
      <c r="BC141" s="548">
        <f t="shared" si="140"/>
        <v>5</v>
      </c>
      <c r="BD141" s="42">
        <f t="shared" si="128"/>
        <v>0</v>
      </c>
      <c r="BE141" s="42">
        <f t="shared" si="129"/>
        <v>0</v>
      </c>
      <c r="BF141" s="42">
        <f t="shared" si="130"/>
        <v>5</v>
      </c>
      <c r="BG141" s="42">
        <f t="shared" si="131"/>
        <v>0</v>
      </c>
      <c r="BH141" s="42">
        <f t="shared" si="132"/>
        <v>0</v>
      </c>
      <c r="BI141" s="42">
        <f t="shared" si="142"/>
        <v>0</v>
      </c>
      <c r="BJ141" s="42">
        <f t="shared" si="126"/>
        <v>5050</v>
      </c>
      <c r="BK141" s="42">
        <f t="shared" si="127"/>
        <v>5055</v>
      </c>
      <c r="BL141" s="40">
        <f t="shared" si="135"/>
        <v>5055</v>
      </c>
    </row>
    <row r="142" spans="1:64" ht="48.75" customHeight="1" x14ac:dyDescent="0.25">
      <c r="A142" s="298" t="s">
        <v>386</v>
      </c>
      <c r="B142" s="299" t="s">
        <v>384</v>
      </c>
      <c r="C142" s="1547"/>
      <c r="D142" s="1549"/>
      <c r="E142" s="1549"/>
      <c r="F142" s="1549"/>
      <c r="G142" s="1549"/>
      <c r="H142" s="1549"/>
      <c r="I142" s="1425"/>
      <c r="J142" s="1425"/>
      <c r="K142" s="1425" t="s">
        <v>459</v>
      </c>
      <c r="L142" s="301" t="s">
        <v>391</v>
      </c>
      <c r="M142" s="1425" t="s">
        <v>392</v>
      </c>
      <c r="N142" s="476" t="s">
        <v>393</v>
      </c>
      <c r="O142" s="1425" t="s">
        <v>73</v>
      </c>
      <c r="P142" s="16" t="s">
        <v>460</v>
      </c>
      <c r="Q142" s="302" t="s">
        <v>410</v>
      </c>
      <c r="R142" s="303">
        <v>2015</v>
      </c>
      <c r="S142" s="303">
        <v>100</v>
      </c>
      <c r="T142" s="303">
        <v>100</v>
      </c>
      <c r="U142" s="572">
        <v>100</v>
      </c>
      <c r="V142" s="572">
        <v>100</v>
      </c>
      <c r="W142" s="572">
        <v>100</v>
      </c>
      <c r="X142" s="572">
        <v>100</v>
      </c>
      <c r="Y142" s="481"/>
      <c r="Z142" s="481"/>
      <c r="AA142" s="492">
        <v>177</v>
      </c>
      <c r="AB142" s="481"/>
      <c r="AC142" s="481"/>
      <c r="AD142" s="481"/>
      <c r="AE142" s="481"/>
      <c r="AF142" s="481">
        <f t="shared" si="119"/>
        <v>177</v>
      </c>
      <c r="AG142" s="548"/>
      <c r="AH142" s="548"/>
      <c r="AI142" s="548">
        <v>183.19499999999999</v>
      </c>
      <c r="AJ142" s="548"/>
      <c r="AK142" s="548"/>
      <c r="AL142" s="548"/>
      <c r="AM142" s="587">
        <f t="shared" si="141"/>
        <v>183.19499999999999</v>
      </c>
      <c r="AN142" s="481"/>
      <c r="AO142" s="481"/>
      <c r="AP142" s="481">
        <f>+AI142*1.035</f>
        <v>189.60682499999999</v>
      </c>
      <c r="AQ142" s="481"/>
      <c r="AR142" s="481"/>
      <c r="AS142" s="481"/>
      <c r="AT142" s="481"/>
      <c r="AU142" s="481">
        <f t="shared" si="143"/>
        <v>189.60682499999999</v>
      </c>
      <c r="AV142" s="548"/>
      <c r="AW142" s="548"/>
      <c r="AX142" s="42">
        <f>+AP142*1.035</f>
        <v>196.24306387499996</v>
      </c>
      <c r="AY142" s="548"/>
      <c r="AZ142" s="548"/>
      <c r="BA142" s="548"/>
      <c r="BB142" s="548"/>
      <c r="BC142" s="548">
        <f t="shared" si="140"/>
        <v>196.24306387499996</v>
      </c>
      <c r="BD142" s="42">
        <f t="shared" si="128"/>
        <v>0</v>
      </c>
      <c r="BE142" s="42">
        <f t="shared" si="129"/>
        <v>0</v>
      </c>
      <c r="BF142" s="42">
        <f t="shared" si="130"/>
        <v>746.04488887499997</v>
      </c>
      <c r="BG142" s="42">
        <f t="shared" si="131"/>
        <v>0</v>
      </c>
      <c r="BH142" s="42">
        <f t="shared" si="132"/>
        <v>0</v>
      </c>
      <c r="BI142" s="42">
        <f t="shared" si="142"/>
        <v>0</v>
      </c>
      <c r="BJ142" s="42">
        <f t="shared" si="126"/>
        <v>0</v>
      </c>
      <c r="BK142" s="42">
        <f t="shared" si="127"/>
        <v>746.04488887499997</v>
      </c>
      <c r="BL142" s="40">
        <f t="shared" si="135"/>
        <v>746.04488887499997</v>
      </c>
    </row>
    <row r="143" spans="1:64" ht="50.25" customHeight="1" x14ac:dyDescent="0.25">
      <c r="A143" s="298" t="s">
        <v>386</v>
      </c>
      <c r="B143" s="299" t="s">
        <v>384</v>
      </c>
      <c r="C143" s="1548"/>
      <c r="D143" s="1549"/>
      <c r="E143" s="1549"/>
      <c r="F143" s="1549"/>
      <c r="G143" s="1549"/>
      <c r="H143" s="1549"/>
      <c r="I143" s="1425"/>
      <c r="J143" s="1425"/>
      <c r="K143" s="1425" t="s">
        <v>461</v>
      </c>
      <c r="L143" s="301" t="s">
        <v>391</v>
      </c>
      <c r="M143" s="1425" t="s">
        <v>392</v>
      </c>
      <c r="N143" s="1425" t="s">
        <v>2484</v>
      </c>
      <c r="O143" s="1425" t="s">
        <v>47</v>
      </c>
      <c r="P143" s="16" t="s">
        <v>462</v>
      </c>
      <c r="Q143" s="302" t="s">
        <v>463</v>
      </c>
      <c r="R143" s="303">
        <v>2015</v>
      </c>
      <c r="S143" s="303">
        <v>0</v>
      </c>
      <c r="T143" s="699">
        <v>50</v>
      </c>
      <c r="U143" s="572">
        <v>50</v>
      </c>
      <c r="V143" s="572">
        <v>100</v>
      </c>
      <c r="W143" s="572">
        <v>50</v>
      </c>
      <c r="X143" s="572">
        <v>250</v>
      </c>
      <c r="Y143" s="481"/>
      <c r="Z143" s="481"/>
      <c r="AA143" s="491">
        <v>17</v>
      </c>
      <c r="AB143" s="481"/>
      <c r="AC143" s="481"/>
      <c r="AD143" s="481"/>
      <c r="AE143" s="481"/>
      <c r="AF143" s="481">
        <f t="shared" si="119"/>
        <v>17</v>
      </c>
      <c r="AG143" s="548"/>
      <c r="AH143" s="548"/>
      <c r="AI143" s="491">
        <v>20</v>
      </c>
      <c r="AJ143" s="548"/>
      <c r="AK143" s="548"/>
      <c r="AL143" s="548"/>
      <c r="AM143" s="587">
        <f t="shared" si="141"/>
        <v>20</v>
      </c>
      <c r="AN143" s="481"/>
      <c r="AO143" s="481"/>
      <c r="AP143" s="491">
        <v>97</v>
      </c>
      <c r="AQ143" s="481"/>
      <c r="AR143" s="481"/>
      <c r="AS143" s="481"/>
      <c r="AT143" s="481"/>
      <c r="AU143" s="481">
        <f t="shared" si="143"/>
        <v>97</v>
      </c>
      <c r="AV143" s="548"/>
      <c r="AW143" s="548"/>
      <c r="AX143" s="491">
        <v>2.02</v>
      </c>
      <c r="AY143" s="548"/>
      <c r="AZ143" s="548"/>
      <c r="BA143" s="548"/>
      <c r="BB143" s="548"/>
      <c r="BC143" s="548">
        <f t="shared" si="140"/>
        <v>2.02</v>
      </c>
      <c r="BD143" s="42">
        <f t="shared" si="128"/>
        <v>0</v>
      </c>
      <c r="BE143" s="42">
        <f t="shared" si="129"/>
        <v>0</v>
      </c>
      <c r="BF143" s="42">
        <f t="shared" si="130"/>
        <v>136.01999999999998</v>
      </c>
      <c r="BG143" s="42">
        <f t="shared" si="131"/>
        <v>0</v>
      </c>
      <c r="BH143" s="42">
        <f t="shared" si="132"/>
        <v>0</v>
      </c>
      <c r="BI143" s="42">
        <f t="shared" si="142"/>
        <v>0</v>
      </c>
      <c r="BJ143" s="42">
        <f t="shared" si="126"/>
        <v>0</v>
      </c>
      <c r="BK143" s="42">
        <f t="shared" si="127"/>
        <v>136.01999999999998</v>
      </c>
      <c r="BL143" s="40">
        <f t="shared" si="135"/>
        <v>136.02000000000001</v>
      </c>
    </row>
    <row r="144" spans="1:64" ht="26.4" x14ac:dyDescent="0.25">
      <c r="A144" s="295" t="s">
        <v>386</v>
      </c>
      <c r="B144" s="154" t="s">
        <v>384</v>
      </c>
      <c r="C144" s="154"/>
      <c r="D144" s="2" t="s">
        <v>464</v>
      </c>
      <c r="E144" s="1"/>
      <c r="F144" s="1"/>
      <c r="G144" s="1"/>
      <c r="H144" s="1"/>
      <c r="I144" s="1"/>
      <c r="J144" s="1"/>
      <c r="K144" s="1"/>
      <c r="L144" s="1"/>
      <c r="M144" s="1"/>
      <c r="N144" s="1"/>
      <c r="O144" s="1"/>
      <c r="P144" s="22"/>
      <c r="Q144" s="22"/>
      <c r="R144" s="1"/>
      <c r="S144" s="1"/>
      <c r="T144" s="1"/>
      <c r="U144" s="49"/>
      <c r="V144" s="49"/>
      <c r="W144" s="49"/>
      <c r="X144" s="49"/>
      <c r="Y144" s="34">
        <f t="shared" ref="Y144:AE144" si="144">SUM(Y145:Y151)</f>
        <v>0</v>
      </c>
      <c r="Z144" s="34">
        <f t="shared" si="144"/>
        <v>0</v>
      </c>
      <c r="AA144" s="34">
        <f t="shared" si="144"/>
        <v>794.6</v>
      </c>
      <c r="AB144" s="34">
        <f t="shared" si="144"/>
        <v>0</v>
      </c>
      <c r="AC144" s="34">
        <f t="shared" si="144"/>
        <v>0</v>
      </c>
      <c r="AD144" s="34">
        <f t="shared" si="144"/>
        <v>95.1</v>
      </c>
      <c r="AE144" s="34">
        <f t="shared" si="144"/>
        <v>0</v>
      </c>
      <c r="AF144" s="34">
        <f t="shared" si="119"/>
        <v>889.7</v>
      </c>
      <c r="AG144" s="34">
        <f t="shared" ref="AG144:AL144" si="145">SUM(AG145:AG151)</f>
        <v>0</v>
      </c>
      <c r="AH144" s="34">
        <f t="shared" si="145"/>
        <v>0</v>
      </c>
      <c r="AI144" s="34">
        <v>347.25</v>
      </c>
      <c r="AJ144" s="34">
        <f t="shared" si="145"/>
        <v>0</v>
      </c>
      <c r="AK144" s="34">
        <f t="shared" si="145"/>
        <v>0</v>
      </c>
      <c r="AL144" s="34">
        <f t="shared" si="145"/>
        <v>0</v>
      </c>
      <c r="AM144" s="34">
        <f t="shared" ref="AM144:AM151" si="146">SUM(AG144:AL144)</f>
        <v>347.25</v>
      </c>
      <c r="AN144" s="34">
        <f t="shared" ref="AN144:AT144" si="147">SUM(AN145:AN151)</f>
        <v>0</v>
      </c>
      <c r="AO144" s="34">
        <f t="shared" si="147"/>
        <v>0</v>
      </c>
      <c r="AP144" s="34">
        <f t="shared" si="147"/>
        <v>358.01874999999995</v>
      </c>
      <c r="AQ144" s="34">
        <f t="shared" si="147"/>
        <v>0</v>
      </c>
      <c r="AR144" s="34">
        <f t="shared" si="147"/>
        <v>0</v>
      </c>
      <c r="AS144" s="34">
        <f t="shared" si="147"/>
        <v>0</v>
      </c>
      <c r="AT144" s="34">
        <f t="shared" si="147"/>
        <v>0</v>
      </c>
      <c r="AU144" s="34">
        <f t="shared" si="143"/>
        <v>358.01874999999995</v>
      </c>
      <c r="AV144" s="34">
        <f t="shared" ref="AV144:BB144" si="148">SUM(AV145:AV151)</f>
        <v>0</v>
      </c>
      <c r="AW144" s="34">
        <f t="shared" si="148"/>
        <v>0</v>
      </c>
      <c r="AX144" s="34">
        <f t="shared" si="148"/>
        <v>374.51440624999992</v>
      </c>
      <c r="AY144" s="34">
        <f t="shared" si="148"/>
        <v>0</v>
      </c>
      <c r="AZ144" s="34">
        <f t="shared" si="148"/>
        <v>0</v>
      </c>
      <c r="BA144" s="34">
        <f t="shared" si="148"/>
        <v>0</v>
      </c>
      <c r="BB144" s="34">
        <f t="shared" si="148"/>
        <v>0</v>
      </c>
      <c r="BC144" s="34">
        <f>SUM(AV144:BB144)</f>
        <v>374.51440624999992</v>
      </c>
      <c r="BD144" s="34">
        <f t="shared" si="128"/>
        <v>0</v>
      </c>
      <c r="BE144" s="34">
        <f t="shared" si="129"/>
        <v>0</v>
      </c>
      <c r="BF144" s="34">
        <f t="shared" si="130"/>
        <v>1874.38315625</v>
      </c>
      <c r="BG144" s="34">
        <f t="shared" si="131"/>
        <v>0</v>
      </c>
      <c r="BH144" s="34">
        <f t="shared" si="132"/>
        <v>0</v>
      </c>
      <c r="BI144" s="34">
        <f t="shared" si="142"/>
        <v>95.1</v>
      </c>
      <c r="BJ144" s="34">
        <f t="shared" si="126"/>
        <v>0</v>
      </c>
      <c r="BK144" s="34">
        <f t="shared" si="127"/>
        <v>1969.4831562499999</v>
      </c>
      <c r="BL144" s="40">
        <f t="shared" si="135"/>
        <v>1969.4831562499999</v>
      </c>
    </row>
    <row r="145" spans="1:64" ht="64.5" customHeight="1" x14ac:dyDescent="0.25">
      <c r="A145" s="298" t="s">
        <v>386</v>
      </c>
      <c r="B145" s="299" t="s">
        <v>384</v>
      </c>
      <c r="C145" s="1546" t="s">
        <v>465</v>
      </c>
      <c r="D145" s="1549" t="s">
        <v>466</v>
      </c>
      <c r="E145" s="1549" t="s">
        <v>467</v>
      </c>
      <c r="F145" s="1549">
        <v>2015</v>
      </c>
      <c r="G145" s="1549">
        <v>98</v>
      </c>
      <c r="H145" s="1549">
        <v>100</v>
      </c>
      <c r="I145" s="1425" t="s">
        <v>53</v>
      </c>
      <c r="J145" s="1425"/>
      <c r="K145" s="1425" t="s">
        <v>468</v>
      </c>
      <c r="L145" s="301" t="s">
        <v>391</v>
      </c>
      <c r="M145" s="1425" t="s">
        <v>392</v>
      </c>
      <c r="N145" s="476" t="s">
        <v>393</v>
      </c>
      <c r="O145" s="1425" t="s">
        <v>47</v>
      </c>
      <c r="P145" s="16" t="s">
        <v>469</v>
      </c>
      <c r="Q145" s="302" t="s">
        <v>470</v>
      </c>
      <c r="R145" s="303">
        <v>2015</v>
      </c>
      <c r="S145" s="303">
        <v>0</v>
      </c>
      <c r="T145" s="303">
        <v>1</v>
      </c>
      <c r="U145" s="498">
        <v>0</v>
      </c>
      <c r="V145" s="572">
        <v>0</v>
      </c>
      <c r="W145" s="572">
        <v>0</v>
      </c>
      <c r="X145" s="572">
        <v>1</v>
      </c>
      <c r="Y145" s="581"/>
      <c r="Z145" s="581"/>
      <c r="AA145" s="581">
        <v>356.1</v>
      </c>
      <c r="AB145" s="581"/>
      <c r="AC145" s="581"/>
      <c r="AD145" s="581">
        <v>95.1</v>
      </c>
      <c r="AE145" s="581"/>
      <c r="AF145" s="481">
        <f t="shared" si="119"/>
        <v>451.20000000000005</v>
      </c>
      <c r="AG145" s="590"/>
      <c r="AH145" s="590"/>
      <c r="AI145" s="590"/>
      <c r="AJ145" s="590"/>
      <c r="AK145" s="590"/>
      <c r="AL145" s="590"/>
      <c r="AM145" s="590">
        <f t="shared" si="146"/>
        <v>0</v>
      </c>
      <c r="AN145" s="581"/>
      <c r="AO145" s="581"/>
      <c r="AP145" s="581"/>
      <c r="AQ145" s="581"/>
      <c r="AR145" s="581"/>
      <c r="AS145" s="581"/>
      <c r="AT145" s="581"/>
      <c r="AU145" s="581">
        <f t="shared" si="143"/>
        <v>0</v>
      </c>
      <c r="AV145" s="590"/>
      <c r="AW145" s="590"/>
      <c r="AX145" s="590"/>
      <c r="AY145" s="590"/>
      <c r="AZ145" s="590"/>
      <c r="BA145" s="590"/>
      <c r="BB145" s="590"/>
      <c r="BC145" s="548">
        <f t="shared" ref="BC145:BC150" si="149">SUM(AV145:BB145)</f>
        <v>0</v>
      </c>
      <c r="BD145" s="60">
        <f t="shared" si="128"/>
        <v>0</v>
      </c>
      <c r="BE145" s="60">
        <f t="shared" si="129"/>
        <v>0</v>
      </c>
      <c r="BF145" s="60">
        <f t="shared" si="130"/>
        <v>356.1</v>
      </c>
      <c r="BG145" s="60">
        <f t="shared" si="131"/>
        <v>0</v>
      </c>
      <c r="BH145" s="60">
        <f t="shared" si="132"/>
        <v>0</v>
      </c>
      <c r="BI145" s="60">
        <f t="shared" si="142"/>
        <v>95.1</v>
      </c>
      <c r="BJ145" s="60">
        <f t="shared" si="126"/>
        <v>0</v>
      </c>
      <c r="BK145" s="60">
        <f t="shared" si="127"/>
        <v>451.20000000000005</v>
      </c>
      <c r="BL145" s="40">
        <f t="shared" si="135"/>
        <v>451.20000000000005</v>
      </c>
    </row>
    <row r="146" spans="1:64" ht="43.5" customHeight="1" x14ac:dyDescent="0.25">
      <c r="A146" s="298" t="s">
        <v>386</v>
      </c>
      <c r="B146" s="299" t="s">
        <v>384</v>
      </c>
      <c r="C146" s="1547"/>
      <c r="D146" s="1549"/>
      <c r="E146" s="1549"/>
      <c r="F146" s="1549"/>
      <c r="G146" s="1549"/>
      <c r="H146" s="1549"/>
      <c r="I146" s="1425"/>
      <c r="J146" s="1425"/>
      <c r="K146" s="1425" t="s">
        <v>471</v>
      </c>
      <c r="L146" s="301" t="s">
        <v>391</v>
      </c>
      <c r="M146" s="1425" t="s">
        <v>392</v>
      </c>
      <c r="N146" s="476" t="s">
        <v>393</v>
      </c>
      <c r="O146" s="1425" t="s">
        <v>73</v>
      </c>
      <c r="P146" s="16" t="s">
        <v>472</v>
      </c>
      <c r="Q146" s="302" t="s">
        <v>473</v>
      </c>
      <c r="R146" s="303">
        <v>2015</v>
      </c>
      <c r="S146" s="303">
        <v>0</v>
      </c>
      <c r="T146" s="303">
        <v>1</v>
      </c>
      <c r="U146" s="572">
        <v>1</v>
      </c>
      <c r="V146" s="572">
        <v>1</v>
      </c>
      <c r="W146" s="572">
        <v>1</v>
      </c>
      <c r="X146" s="572">
        <v>1</v>
      </c>
      <c r="Y146" s="581"/>
      <c r="Z146" s="581"/>
      <c r="AA146" s="495">
        <v>207.5</v>
      </c>
      <c r="AB146" s="581"/>
      <c r="AC146" s="581"/>
      <c r="AD146" s="581"/>
      <c r="AE146" s="581"/>
      <c r="AF146" s="481">
        <f t="shared" si="119"/>
        <v>207.5</v>
      </c>
      <c r="AG146" s="590"/>
      <c r="AH146" s="590"/>
      <c r="AI146" s="590">
        <v>114.76</v>
      </c>
      <c r="AJ146" s="590"/>
      <c r="AK146" s="590"/>
      <c r="AL146" s="590"/>
      <c r="AM146" s="590">
        <f t="shared" si="146"/>
        <v>114.76</v>
      </c>
      <c r="AN146" s="581"/>
      <c r="AO146" s="581"/>
      <c r="AP146" s="581">
        <f>+AI146*1.035</f>
        <v>118.7766</v>
      </c>
      <c r="AQ146" s="581"/>
      <c r="AR146" s="581"/>
      <c r="AS146" s="581"/>
      <c r="AT146" s="581"/>
      <c r="AU146" s="581">
        <f t="shared" si="143"/>
        <v>118.7766</v>
      </c>
      <c r="AV146" s="590"/>
      <c r="AW146" s="590"/>
      <c r="AX146" s="590">
        <f>+AP146*1.035</f>
        <v>122.933781</v>
      </c>
      <c r="AY146" s="590"/>
      <c r="AZ146" s="590"/>
      <c r="BA146" s="590"/>
      <c r="BB146" s="590"/>
      <c r="BC146" s="548">
        <f t="shared" si="149"/>
        <v>122.933781</v>
      </c>
      <c r="BD146" s="60">
        <f t="shared" si="128"/>
        <v>0</v>
      </c>
      <c r="BE146" s="60">
        <f t="shared" si="129"/>
        <v>0</v>
      </c>
      <c r="BF146" s="60">
        <f t="shared" si="130"/>
        <v>563.97038099999997</v>
      </c>
      <c r="BG146" s="60">
        <f t="shared" si="131"/>
        <v>0</v>
      </c>
      <c r="BH146" s="60">
        <f t="shared" si="132"/>
        <v>0</v>
      </c>
      <c r="BI146" s="60">
        <f t="shared" si="142"/>
        <v>0</v>
      </c>
      <c r="BJ146" s="60">
        <f t="shared" si="126"/>
        <v>0</v>
      </c>
      <c r="BK146" s="60">
        <f t="shared" si="127"/>
        <v>563.97038099999997</v>
      </c>
      <c r="BL146" s="40">
        <f t="shared" si="135"/>
        <v>563.97038099999997</v>
      </c>
    </row>
    <row r="147" spans="1:64" ht="33.75" customHeight="1" x14ac:dyDescent="0.25">
      <c r="A147" s="298" t="s">
        <v>386</v>
      </c>
      <c r="B147" s="299" t="s">
        <v>384</v>
      </c>
      <c r="C147" s="1547"/>
      <c r="D147" s="1549"/>
      <c r="E147" s="1549"/>
      <c r="F147" s="1549"/>
      <c r="G147" s="1549"/>
      <c r="H147" s="1549"/>
      <c r="I147" s="1425"/>
      <c r="J147" s="1425"/>
      <c r="K147" s="1425" t="s">
        <v>474</v>
      </c>
      <c r="L147" s="301" t="s">
        <v>391</v>
      </c>
      <c r="M147" s="1425" t="s">
        <v>392</v>
      </c>
      <c r="N147" s="1425" t="s">
        <v>2484</v>
      </c>
      <c r="O147" s="1425" t="s">
        <v>73</v>
      </c>
      <c r="P147" s="16" t="s">
        <v>475</v>
      </c>
      <c r="Q147" s="302" t="s">
        <v>476</v>
      </c>
      <c r="R147" s="303">
        <v>2015</v>
      </c>
      <c r="S147" s="303">
        <v>1</v>
      </c>
      <c r="T147" s="303">
        <v>1</v>
      </c>
      <c r="U147" s="572">
        <v>1</v>
      </c>
      <c r="V147" s="572">
        <v>1</v>
      </c>
      <c r="W147" s="572">
        <v>1</v>
      </c>
      <c r="X147" s="572">
        <v>1</v>
      </c>
      <c r="Y147" s="581"/>
      <c r="Z147" s="581"/>
      <c r="AA147" s="581">
        <v>50</v>
      </c>
      <c r="AB147" s="581"/>
      <c r="AC147" s="581"/>
      <c r="AD147" s="581"/>
      <c r="AE147" s="581"/>
      <c r="AF147" s="481">
        <f t="shared" si="119"/>
        <v>50</v>
      </c>
      <c r="AG147" s="590"/>
      <c r="AH147" s="590"/>
      <c r="AI147" s="590">
        <v>51.749999999999993</v>
      </c>
      <c r="AJ147" s="590"/>
      <c r="AK147" s="590"/>
      <c r="AL147" s="590"/>
      <c r="AM147" s="590">
        <f t="shared" si="146"/>
        <v>51.749999999999993</v>
      </c>
      <c r="AN147" s="581"/>
      <c r="AO147" s="581"/>
      <c r="AP147" s="581">
        <f>+AI147*1.035</f>
        <v>53.561249999999987</v>
      </c>
      <c r="AQ147" s="581"/>
      <c r="AR147" s="581"/>
      <c r="AS147" s="581"/>
      <c r="AT147" s="581"/>
      <c r="AU147" s="581">
        <f t="shared" si="143"/>
        <v>53.561249999999987</v>
      </c>
      <c r="AV147" s="590"/>
      <c r="AW147" s="590"/>
      <c r="AX147" s="590">
        <f>+AP147*1.035</f>
        <v>55.435893749999984</v>
      </c>
      <c r="AY147" s="590"/>
      <c r="AZ147" s="590"/>
      <c r="BA147" s="590"/>
      <c r="BB147" s="590"/>
      <c r="BC147" s="548">
        <f t="shared" si="149"/>
        <v>55.435893749999984</v>
      </c>
      <c r="BD147" s="60">
        <f t="shared" si="128"/>
        <v>0</v>
      </c>
      <c r="BE147" s="60">
        <f t="shared" si="129"/>
        <v>0</v>
      </c>
      <c r="BF147" s="60">
        <f t="shared" si="130"/>
        <v>210.74714374999996</v>
      </c>
      <c r="BG147" s="60">
        <f t="shared" si="131"/>
        <v>0</v>
      </c>
      <c r="BH147" s="60">
        <f t="shared" si="132"/>
        <v>0</v>
      </c>
      <c r="BI147" s="60">
        <f t="shared" si="142"/>
        <v>0</v>
      </c>
      <c r="BJ147" s="60">
        <f t="shared" si="126"/>
        <v>0</v>
      </c>
      <c r="BK147" s="60">
        <f t="shared" si="127"/>
        <v>210.74714374999996</v>
      </c>
      <c r="BL147" s="40">
        <f t="shared" si="135"/>
        <v>210.74714374999996</v>
      </c>
    </row>
    <row r="148" spans="1:64" ht="50.25" customHeight="1" x14ac:dyDescent="0.25">
      <c r="A148" s="298" t="s">
        <v>386</v>
      </c>
      <c r="B148" s="299" t="s">
        <v>384</v>
      </c>
      <c r="C148" s="1547"/>
      <c r="D148" s="1549"/>
      <c r="E148" s="1549"/>
      <c r="F148" s="1549"/>
      <c r="G148" s="1549"/>
      <c r="H148" s="1549"/>
      <c r="I148" s="1425"/>
      <c r="J148" s="1425"/>
      <c r="K148" s="1425" t="s">
        <v>477</v>
      </c>
      <c r="L148" s="301" t="s">
        <v>391</v>
      </c>
      <c r="M148" s="1425" t="s">
        <v>392</v>
      </c>
      <c r="N148" s="476" t="s">
        <v>393</v>
      </c>
      <c r="O148" s="1425" t="s">
        <v>47</v>
      </c>
      <c r="P148" s="73" t="s">
        <v>478</v>
      </c>
      <c r="Q148" s="302" t="s">
        <v>479</v>
      </c>
      <c r="R148" s="303">
        <v>2015</v>
      </c>
      <c r="S148" s="303">
        <v>1</v>
      </c>
      <c r="T148" s="303">
        <v>1</v>
      </c>
      <c r="U148" s="572">
        <v>0</v>
      </c>
      <c r="V148" s="572">
        <v>0</v>
      </c>
      <c r="W148" s="572">
        <v>0</v>
      </c>
      <c r="X148" s="572">
        <v>1</v>
      </c>
      <c r="Y148" s="581"/>
      <c r="Z148" s="581"/>
      <c r="AA148" s="581">
        <v>16</v>
      </c>
      <c r="AB148" s="581"/>
      <c r="AC148" s="581"/>
      <c r="AD148" s="581"/>
      <c r="AE148" s="581"/>
      <c r="AF148" s="481">
        <f t="shared" si="119"/>
        <v>16</v>
      </c>
      <c r="AG148" s="590"/>
      <c r="AH148" s="590"/>
      <c r="AI148" s="590">
        <v>0</v>
      </c>
      <c r="AJ148" s="590"/>
      <c r="AK148" s="590"/>
      <c r="AL148" s="590"/>
      <c r="AM148" s="590">
        <f t="shared" si="146"/>
        <v>0</v>
      </c>
      <c r="AN148" s="581"/>
      <c r="AO148" s="581"/>
      <c r="AP148" s="581"/>
      <c r="AQ148" s="581"/>
      <c r="AR148" s="581"/>
      <c r="AS148" s="581"/>
      <c r="AT148" s="581"/>
      <c r="AU148" s="581">
        <f t="shared" si="143"/>
        <v>0</v>
      </c>
      <c r="AV148" s="590"/>
      <c r="AW148" s="590"/>
      <c r="AX148" s="590"/>
      <c r="AY148" s="590"/>
      <c r="AZ148" s="590"/>
      <c r="BA148" s="590"/>
      <c r="BB148" s="590"/>
      <c r="BC148" s="548">
        <f t="shared" si="149"/>
        <v>0</v>
      </c>
      <c r="BD148" s="60">
        <f t="shared" si="128"/>
        <v>0</v>
      </c>
      <c r="BE148" s="60">
        <f t="shared" si="129"/>
        <v>0</v>
      </c>
      <c r="BF148" s="60">
        <f t="shared" si="130"/>
        <v>16</v>
      </c>
      <c r="BG148" s="60">
        <f t="shared" si="131"/>
        <v>0</v>
      </c>
      <c r="BH148" s="60">
        <f t="shared" si="132"/>
        <v>0</v>
      </c>
      <c r="BI148" s="60">
        <f t="shared" si="142"/>
        <v>0</v>
      </c>
      <c r="BJ148" s="60">
        <f t="shared" si="126"/>
        <v>0</v>
      </c>
      <c r="BK148" s="60">
        <f t="shared" si="127"/>
        <v>16</v>
      </c>
      <c r="BL148" s="40">
        <f t="shared" si="135"/>
        <v>16</v>
      </c>
    </row>
    <row r="149" spans="1:64" ht="46.5" customHeight="1" x14ac:dyDescent="0.25">
      <c r="A149" s="298" t="s">
        <v>386</v>
      </c>
      <c r="B149" s="299" t="s">
        <v>384</v>
      </c>
      <c r="C149" s="1547"/>
      <c r="D149" s="1549"/>
      <c r="E149" s="1549"/>
      <c r="F149" s="1549"/>
      <c r="G149" s="1549"/>
      <c r="H149" s="1549"/>
      <c r="I149" s="1425"/>
      <c r="J149" s="1425"/>
      <c r="K149" s="1425" t="s">
        <v>480</v>
      </c>
      <c r="L149" s="301" t="s">
        <v>391</v>
      </c>
      <c r="M149" s="1425" t="s">
        <v>392</v>
      </c>
      <c r="N149" s="476" t="s">
        <v>393</v>
      </c>
      <c r="O149" s="1425" t="s">
        <v>73</v>
      </c>
      <c r="P149" s="16" t="s">
        <v>481</v>
      </c>
      <c r="Q149" s="302" t="s">
        <v>482</v>
      </c>
      <c r="R149" s="303">
        <v>2015</v>
      </c>
      <c r="S149" s="303">
        <v>100</v>
      </c>
      <c r="T149" s="303">
        <v>100</v>
      </c>
      <c r="U149" s="572">
        <v>100</v>
      </c>
      <c r="V149" s="572">
        <v>100</v>
      </c>
      <c r="W149" s="572">
        <v>100</v>
      </c>
      <c r="X149" s="572">
        <v>100</v>
      </c>
      <c r="Y149" s="581"/>
      <c r="Z149" s="581"/>
      <c r="AA149" s="496">
        <v>164</v>
      </c>
      <c r="AB149" s="581"/>
      <c r="AC149" s="581"/>
      <c r="AD149" s="581"/>
      <c r="AE149" s="581"/>
      <c r="AF149" s="481">
        <f t="shared" si="119"/>
        <v>164</v>
      </c>
      <c r="AG149" s="590"/>
      <c r="AH149" s="590"/>
      <c r="AI149" s="590">
        <v>169.73999999999998</v>
      </c>
      <c r="AJ149" s="590"/>
      <c r="AK149" s="590"/>
      <c r="AL149" s="590"/>
      <c r="AM149" s="590">
        <f t="shared" si="146"/>
        <v>169.73999999999998</v>
      </c>
      <c r="AN149" s="581"/>
      <c r="AO149" s="581"/>
      <c r="AP149" s="581">
        <f>+AI149*1.035</f>
        <v>175.68089999999998</v>
      </c>
      <c r="AQ149" s="581"/>
      <c r="AR149" s="581"/>
      <c r="AS149" s="581"/>
      <c r="AT149" s="581"/>
      <c r="AU149" s="581">
        <f t="shared" si="143"/>
        <v>175.68089999999998</v>
      </c>
      <c r="AV149" s="590"/>
      <c r="AW149" s="590"/>
      <c r="AX149" s="590">
        <f>+AP149*1.035</f>
        <v>181.82973149999995</v>
      </c>
      <c r="AY149" s="590"/>
      <c r="AZ149" s="590"/>
      <c r="BA149" s="590"/>
      <c r="BB149" s="590"/>
      <c r="BC149" s="548">
        <f t="shared" si="149"/>
        <v>181.82973149999995</v>
      </c>
      <c r="BD149" s="60">
        <f t="shared" si="128"/>
        <v>0</v>
      </c>
      <c r="BE149" s="60">
        <f t="shared" si="129"/>
        <v>0</v>
      </c>
      <c r="BF149" s="60">
        <f t="shared" si="130"/>
        <v>691.25063149999994</v>
      </c>
      <c r="BG149" s="60">
        <f t="shared" si="131"/>
        <v>0</v>
      </c>
      <c r="BH149" s="60">
        <f t="shared" si="132"/>
        <v>0</v>
      </c>
      <c r="BI149" s="60">
        <f t="shared" si="142"/>
        <v>0</v>
      </c>
      <c r="BJ149" s="60">
        <f t="shared" si="126"/>
        <v>0</v>
      </c>
      <c r="BK149" s="60">
        <f t="shared" si="127"/>
        <v>691.25063149999994</v>
      </c>
      <c r="BL149" s="40">
        <f t="shared" si="135"/>
        <v>691.25063149999994</v>
      </c>
    </row>
    <row r="150" spans="1:64" ht="72" customHeight="1" x14ac:dyDescent="0.25">
      <c r="A150" s="298" t="s">
        <v>386</v>
      </c>
      <c r="B150" s="299" t="s">
        <v>384</v>
      </c>
      <c r="C150" s="1547"/>
      <c r="D150" s="1549"/>
      <c r="E150" s="1549"/>
      <c r="F150" s="1549"/>
      <c r="G150" s="1549"/>
      <c r="H150" s="1549"/>
      <c r="I150" s="1425"/>
      <c r="J150" s="1425"/>
      <c r="K150" s="1425" t="s">
        <v>483</v>
      </c>
      <c r="L150" s="301" t="s">
        <v>391</v>
      </c>
      <c r="M150" s="1425" t="s">
        <v>392</v>
      </c>
      <c r="N150" s="476" t="s">
        <v>393</v>
      </c>
      <c r="O150" s="1425" t="s">
        <v>73</v>
      </c>
      <c r="P150" s="16" t="s">
        <v>484</v>
      </c>
      <c r="Q150" s="302" t="s">
        <v>485</v>
      </c>
      <c r="R150" s="303">
        <v>2015</v>
      </c>
      <c r="S150" s="303">
        <v>275</v>
      </c>
      <c r="T150" s="303">
        <v>275</v>
      </c>
      <c r="U150" s="572">
        <v>275</v>
      </c>
      <c r="V150" s="572">
        <v>275</v>
      </c>
      <c r="W150" s="572">
        <v>275</v>
      </c>
      <c r="X150" s="572">
        <v>1100</v>
      </c>
      <c r="Y150" s="581"/>
      <c r="Z150" s="581"/>
      <c r="AA150" s="495">
        <v>1</v>
      </c>
      <c r="AB150" s="581"/>
      <c r="AC150" s="581"/>
      <c r="AD150" s="581"/>
      <c r="AE150" s="581"/>
      <c r="AF150" s="481">
        <f t="shared" si="119"/>
        <v>1</v>
      </c>
      <c r="AG150" s="590"/>
      <c r="AH150" s="590"/>
      <c r="AI150" s="495">
        <v>1</v>
      </c>
      <c r="AJ150" s="590"/>
      <c r="AK150" s="590"/>
      <c r="AL150" s="590"/>
      <c r="AM150" s="590">
        <f t="shared" si="146"/>
        <v>1</v>
      </c>
      <c r="AN150" s="581"/>
      <c r="AO150" s="581"/>
      <c r="AP150" s="495">
        <v>1</v>
      </c>
      <c r="AQ150" s="581"/>
      <c r="AR150" s="581"/>
      <c r="AS150" s="581"/>
      <c r="AT150" s="581"/>
      <c r="AU150" s="581">
        <f t="shared" si="143"/>
        <v>1</v>
      </c>
      <c r="AV150" s="590"/>
      <c r="AW150" s="590"/>
      <c r="AX150" s="495">
        <v>5</v>
      </c>
      <c r="AY150" s="590"/>
      <c r="AZ150" s="590"/>
      <c r="BA150" s="590"/>
      <c r="BB150" s="590"/>
      <c r="BC150" s="548">
        <f t="shared" si="149"/>
        <v>5</v>
      </c>
      <c r="BD150" s="60">
        <f t="shared" si="128"/>
        <v>0</v>
      </c>
      <c r="BE150" s="60">
        <f t="shared" si="129"/>
        <v>0</v>
      </c>
      <c r="BF150" s="60">
        <f t="shared" si="130"/>
        <v>8</v>
      </c>
      <c r="BG150" s="60">
        <f t="shared" si="131"/>
        <v>0</v>
      </c>
      <c r="BH150" s="60">
        <f t="shared" si="132"/>
        <v>0</v>
      </c>
      <c r="BI150" s="60">
        <f t="shared" si="142"/>
        <v>0</v>
      </c>
      <c r="BJ150" s="60">
        <f t="shared" si="126"/>
        <v>0</v>
      </c>
      <c r="BK150" s="60">
        <f t="shared" si="127"/>
        <v>8</v>
      </c>
      <c r="BL150" s="40">
        <f t="shared" si="135"/>
        <v>8</v>
      </c>
    </row>
    <row r="151" spans="1:64" ht="80.25" customHeight="1" x14ac:dyDescent="0.25">
      <c r="A151" s="298" t="s">
        <v>386</v>
      </c>
      <c r="B151" s="299" t="s">
        <v>384</v>
      </c>
      <c r="C151" s="1548"/>
      <c r="D151" s="1549"/>
      <c r="E151" s="1549"/>
      <c r="F151" s="1549"/>
      <c r="G151" s="1549"/>
      <c r="H151" s="1549"/>
      <c r="I151" s="1425"/>
      <c r="J151" s="1425"/>
      <c r="K151" s="1425" t="s">
        <v>486</v>
      </c>
      <c r="L151" s="301" t="s">
        <v>391</v>
      </c>
      <c r="M151" s="1425" t="s">
        <v>392</v>
      </c>
      <c r="N151" s="476" t="s">
        <v>393</v>
      </c>
      <c r="O151" s="1425" t="s">
        <v>47</v>
      </c>
      <c r="P151" s="1201" t="s">
        <v>2489</v>
      </c>
      <c r="Q151" s="302" t="s">
        <v>2490</v>
      </c>
      <c r="R151" s="303">
        <v>2015</v>
      </c>
      <c r="S151" s="303">
        <v>0</v>
      </c>
      <c r="T151" s="303">
        <v>0</v>
      </c>
      <c r="U151" s="572">
        <v>1</v>
      </c>
      <c r="V151" s="572">
        <v>1</v>
      </c>
      <c r="W151" s="572">
        <v>1</v>
      </c>
      <c r="X151" s="572">
        <v>1</v>
      </c>
      <c r="Y151" s="581"/>
      <c r="Z151" s="581"/>
      <c r="AA151" s="581"/>
      <c r="AB151" s="581"/>
      <c r="AC151" s="581"/>
      <c r="AD151" s="581"/>
      <c r="AE151" s="581"/>
      <c r="AF151" s="481">
        <f t="shared" si="119"/>
        <v>0</v>
      </c>
      <c r="AG151" s="590"/>
      <c r="AH151" s="590"/>
      <c r="AI151" s="590">
        <v>10</v>
      </c>
      <c r="AJ151" s="590"/>
      <c r="AK151" s="590"/>
      <c r="AL151" s="590"/>
      <c r="AM151" s="590">
        <f t="shared" si="146"/>
        <v>10</v>
      </c>
      <c r="AN151" s="581"/>
      <c r="AO151" s="581"/>
      <c r="AP151" s="495">
        <v>9</v>
      </c>
      <c r="AQ151" s="581"/>
      <c r="AR151" s="581"/>
      <c r="AS151" s="581"/>
      <c r="AT151" s="581"/>
      <c r="AU151" s="581">
        <f t="shared" si="143"/>
        <v>9</v>
      </c>
      <c r="AV151" s="590"/>
      <c r="AW151" s="590"/>
      <c r="AX151" s="60">
        <f>+AP151*1.035</f>
        <v>9.3149999999999995</v>
      </c>
      <c r="AY151" s="590"/>
      <c r="AZ151" s="590"/>
      <c r="BA151" s="590"/>
      <c r="BB151" s="590"/>
      <c r="BC151" s="548">
        <f>SUM(AV151:BB151)</f>
        <v>9.3149999999999995</v>
      </c>
      <c r="BD151" s="60">
        <f>+AV151+AN151+AG151+Y151</f>
        <v>0</v>
      </c>
      <c r="BE151" s="60">
        <f>+AW151+AO151+AH151+Z151</f>
        <v>0</v>
      </c>
      <c r="BF151" s="60">
        <f>+AX151+AP151+AI151+AA151</f>
        <v>28.314999999999998</v>
      </c>
      <c r="BG151" s="60">
        <f>+AY151+AQ151+AJ151+AB151</f>
        <v>0</v>
      </c>
      <c r="BH151" s="60">
        <f>+AZ151+AR151+AK151+AC151</f>
        <v>0</v>
      </c>
      <c r="BI151" s="60">
        <f t="shared" si="142"/>
        <v>0</v>
      </c>
      <c r="BJ151" s="60">
        <f>+BB151+AT151+AL151+AE151</f>
        <v>0</v>
      </c>
      <c r="BK151" s="60">
        <f>+BC151+AU151+AM151+AF151</f>
        <v>28.314999999999998</v>
      </c>
      <c r="BL151" s="40">
        <f t="shared" si="135"/>
        <v>28.314999999999998</v>
      </c>
    </row>
    <row r="152" spans="1:64" ht="17.399999999999999" x14ac:dyDescent="0.25">
      <c r="A152" s="290"/>
      <c r="B152" s="1556" t="s">
        <v>489</v>
      </c>
      <c r="C152" s="1557"/>
      <c r="D152" s="1557"/>
      <c r="E152" s="1557"/>
      <c r="F152" s="1557"/>
      <c r="G152" s="1557"/>
      <c r="H152" s="1557"/>
      <c r="I152" s="1557"/>
      <c r="J152" s="1557"/>
      <c r="K152" s="1557"/>
      <c r="L152" s="1557"/>
      <c r="M152" s="1558"/>
      <c r="N152" s="597"/>
      <c r="O152" s="597"/>
      <c r="P152" s="598"/>
      <c r="Q152" s="598"/>
      <c r="R152" s="597"/>
      <c r="S152" s="597"/>
      <c r="T152" s="597"/>
      <c r="U152" s="599"/>
      <c r="V152" s="599"/>
      <c r="W152" s="599"/>
      <c r="X152" s="599"/>
      <c r="Y152" s="599">
        <f t="shared" ref="Y152:AH152" si="150">+Y153+Y179+Y191+Y199+Y210+Y219+Y225+Y233+Y241</f>
        <v>161.84</v>
      </c>
      <c r="Z152" s="600">
        <f t="shared" si="150"/>
        <v>56</v>
      </c>
      <c r="AA152" s="706">
        <f t="shared" si="150"/>
        <v>111.69</v>
      </c>
      <c r="AB152" s="600">
        <f t="shared" si="150"/>
        <v>500</v>
      </c>
      <c r="AC152" s="600">
        <f t="shared" si="150"/>
        <v>0</v>
      </c>
      <c r="AD152" s="600">
        <f t="shared" si="150"/>
        <v>288.98</v>
      </c>
      <c r="AE152" s="600">
        <f t="shared" si="150"/>
        <v>0</v>
      </c>
      <c r="AF152" s="600">
        <f t="shared" si="150"/>
        <v>1118.5100000000002</v>
      </c>
      <c r="AG152" s="600">
        <f t="shared" si="150"/>
        <v>171.81</v>
      </c>
      <c r="AH152" s="600">
        <f t="shared" si="150"/>
        <v>56</v>
      </c>
      <c r="AI152" s="600">
        <f>AI153+AI179+AI191+AI199+AI210+AI219+AI225+AI233+AI241</f>
        <v>113.99499999999999</v>
      </c>
      <c r="AJ152" s="600">
        <f t="shared" ref="AJ152:BH152" si="151">+AJ153+AJ179+AJ191+AJ199+AJ210+AJ219+AJ225+AJ233+AJ241</f>
        <v>0</v>
      </c>
      <c r="AK152" s="600">
        <f t="shared" si="151"/>
        <v>0</v>
      </c>
      <c r="AL152" s="600">
        <f t="shared" si="151"/>
        <v>0</v>
      </c>
      <c r="AM152" s="600">
        <f t="shared" si="151"/>
        <v>341.80499999999995</v>
      </c>
      <c r="AN152" s="600">
        <f t="shared" si="151"/>
        <v>177.78</v>
      </c>
      <c r="AO152" s="600">
        <f t="shared" si="151"/>
        <v>56</v>
      </c>
      <c r="AP152" s="600">
        <f t="shared" si="151"/>
        <v>117.27600000000001</v>
      </c>
      <c r="AQ152" s="600">
        <f t="shared" si="151"/>
        <v>0</v>
      </c>
      <c r="AR152" s="600">
        <f t="shared" si="151"/>
        <v>0</v>
      </c>
      <c r="AS152" s="600">
        <f t="shared" si="151"/>
        <v>0</v>
      </c>
      <c r="AT152" s="600">
        <f t="shared" si="151"/>
        <v>0</v>
      </c>
      <c r="AU152" s="600">
        <f t="shared" si="151"/>
        <v>351.05599999999998</v>
      </c>
      <c r="AV152" s="600">
        <f t="shared" si="151"/>
        <v>170.04499999999999</v>
      </c>
      <c r="AW152" s="600">
        <f t="shared" si="151"/>
        <v>56</v>
      </c>
      <c r="AX152" s="600">
        <f t="shared" si="151"/>
        <v>118.71000000000001</v>
      </c>
      <c r="AY152" s="600">
        <f t="shared" si="151"/>
        <v>0</v>
      </c>
      <c r="AZ152" s="600">
        <f t="shared" si="151"/>
        <v>0</v>
      </c>
      <c r="BA152" s="600">
        <f t="shared" si="151"/>
        <v>0</v>
      </c>
      <c r="BB152" s="600">
        <f t="shared" si="151"/>
        <v>0</v>
      </c>
      <c r="BC152" s="600">
        <f t="shared" si="151"/>
        <v>344.755</v>
      </c>
      <c r="BD152" s="33">
        <f t="shared" si="151"/>
        <v>680.47500000000014</v>
      </c>
      <c r="BE152" s="33">
        <f t="shared" si="151"/>
        <v>224</v>
      </c>
      <c r="BF152" s="33">
        <f t="shared" si="151"/>
        <v>450.971</v>
      </c>
      <c r="BG152" s="33">
        <f t="shared" si="151"/>
        <v>500</v>
      </c>
      <c r="BH152" s="33">
        <f t="shared" si="151"/>
        <v>0</v>
      </c>
      <c r="BI152" s="33">
        <f t="shared" si="142"/>
        <v>288.98</v>
      </c>
      <c r="BJ152" s="33">
        <f>+BJ153+BJ179+BJ191+BJ199+BJ210+BJ219+BJ225+BJ233+BJ241</f>
        <v>0</v>
      </c>
      <c r="BK152" s="33">
        <f>+BK153+BK179+BK191+BK199+BK210+BK219+BK225+BK233+BK241</f>
        <v>2145.9260000000004</v>
      </c>
      <c r="BL152" s="40">
        <f t="shared" si="135"/>
        <v>2156.1260000000002</v>
      </c>
    </row>
    <row r="153" spans="1:64" x14ac:dyDescent="0.25">
      <c r="A153" s="296"/>
      <c r="B153" s="155" t="s">
        <v>489</v>
      </c>
      <c r="C153" s="154"/>
      <c r="D153" s="2"/>
      <c r="E153" s="1"/>
      <c r="F153" s="1"/>
      <c r="G153" s="1"/>
      <c r="H153" s="1"/>
      <c r="I153" s="1"/>
      <c r="J153" s="1"/>
      <c r="K153" s="1"/>
      <c r="L153" s="1"/>
      <c r="M153" s="1"/>
      <c r="N153" s="1"/>
      <c r="O153" s="1"/>
      <c r="P153" s="22" t="s">
        <v>490</v>
      </c>
      <c r="Q153" s="22"/>
      <c r="R153" s="1"/>
      <c r="S153" s="1"/>
      <c r="T153" s="1"/>
      <c r="U153" s="1"/>
      <c r="V153" s="1"/>
      <c r="W153" s="1"/>
      <c r="X153" s="1"/>
      <c r="Y153" s="34">
        <f t="shared" ref="Y153:BH153" si="152">SUM(Y154:Y177)</f>
        <v>49.64</v>
      </c>
      <c r="Z153" s="34">
        <f t="shared" si="152"/>
        <v>0</v>
      </c>
      <c r="AA153" s="34">
        <f t="shared" si="152"/>
        <v>43.63</v>
      </c>
      <c r="AB153" s="34">
        <f t="shared" si="152"/>
        <v>0</v>
      </c>
      <c r="AC153" s="34">
        <f t="shared" si="152"/>
        <v>0</v>
      </c>
      <c r="AD153" s="34">
        <f t="shared" si="152"/>
        <v>241.26</v>
      </c>
      <c r="AE153" s="34">
        <f t="shared" si="152"/>
        <v>0</v>
      </c>
      <c r="AF153" s="34">
        <f t="shared" si="152"/>
        <v>334.53</v>
      </c>
      <c r="AG153" s="34">
        <f t="shared" si="152"/>
        <v>60.24</v>
      </c>
      <c r="AH153" s="34">
        <f t="shared" si="152"/>
        <v>0</v>
      </c>
      <c r="AI153" s="34">
        <f t="shared" si="152"/>
        <v>37.33</v>
      </c>
      <c r="AJ153" s="34">
        <f t="shared" si="152"/>
        <v>0</v>
      </c>
      <c r="AK153" s="34">
        <f t="shared" si="152"/>
        <v>0</v>
      </c>
      <c r="AL153" s="34">
        <f t="shared" si="152"/>
        <v>0</v>
      </c>
      <c r="AM153" s="34">
        <f t="shared" si="152"/>
        <v>97.57</v>
      </c>
      <c r="AN153" s="34">
        <f t="shared" si="152"/>
        <v>60.28</v>
      </c>
      <c r="AO153" s="34">
        <f t="shared" si="152"/>
        <v>0</v>
      </c>
      <c r="AP153" s="34">
        <f t="shared" si="152"/>
        <v>39.56</v>
      </c>
      <c r="AQ153" s="34">
        <f t="shared" si="152"/>
        <v>0</v>
      </c>
      <c r="AR153" s="34">
        <f t="shared" si="152"/>
        <v>0</v>
      </c>
      <c r="AS153" s="34">
        <f t="shared" si="152"/>
        <v>0</v>
      </c>
      <c r="AT153" s="34">
        <f t="shared" si="152"/>
        <v>0</v>
      </c>
      <c r="AU153" s="34">
        <f t="shared" si="152"/>
        <v>99.84</v>
      </c>
      <c r="AV153" s="34">
        <f t="shared" si="152"/>
        <v>62.384999999999998</v>
      </c>
      <c r="AW153" s="34">
        <f t="shared" si="152"/>
        <v>0</v>
      </c>
      <c r="AX153" s="34">
        <f t="shared" si="152"/>
        <v>39.909999999999997</v>
      </c>
      <c r="AY153" s="34">
        <f t="shared" si="152"/>
        <v>0</v>
      </c>
      <c r="AZ153" s="34">
        <f t="shared" si="152"/>
        <v>0</v>
      </c>
      <c r="BA153" s="34">
        <f t="shared" si="152"/>
        <v>0</v>
      </c>
      <c r="BB153" s="34">
        <f t="shared" si="152"/>
        <v>0</v>
      </c>
      <c r="BC153" s="34">
        <f t="shared" si="152"/>
        <v>102.29499999999999</v>
      </c>
      <c r="BD153" s="34">
        <f t="shared" si="152"/>
        <v>231.54500000000002</v>
      </c>
      <c r="BE153" s="34">
        <f t="shared" si="152"/>
        <v>0</v>
      </c>
      <c r="BF153" s="34">
        <f t="shared" si="152"/>
        <v>159.93</v>
      </c>
      <c r="BG153" s="34">
        <f t="shared" si="152"/>
        <v>0</v>
      </c>
      <c r="BH153" s="34">
        <f t="shared" si="152"/>
        <v>0</v>
      </c>
      <c r="BI153" s="34">
        <f t="shared" si="142"/>
        <v>241.26</v>
      </c>
      <c r="BJ153" s="34">
        <f>SUM(BJ154:BJ177)</f>
        <v>0</v>
      </c>
      <c r="BK153" s="34">
        <f>SUM(BK154:BK177)</f>
        <v>634.23500000000001</v>
      </c>
      <c r="BL153" s="40">
        <f t="shared" si="135"/>
        <v>634.2349999999999</v>
      </c>
    </row>
    <row r="154" spans="1:64" ht="60" customHeight="1" x14ac:dyDescent="0.25">
      <c r="A154" s="298" t="s">
        <v>491</v>
      </c>
      <c r="B154" s="299" t="s">
        <v>489</v>
      </c>
      <c r="C154" s="1546" t="s">
        <v>492</v>
      </c>
      <c r="D154" s="1550" t="s">
        <v>493</v>
      </c>
      <c r="E154" s="1550" t="s">
        <v>494</v>
      </c>
      <c r="F154" s="1550">
        <v>2015</v>
      </c>
      <c r="G154" s="1550" t="s">
        <v>177</v>
      </c>
      <c r="H154" s="1550">
        <v>50</v>
      </c>
      <c r="I154" s="1425"/>
      <c r="J154" s="1425"/>
      <c r="K154" s="1425" t="s">
        <v>495</v>
      </c>
      <c r="L154" s="301" t="s">
        <v>496</v>
      </c>
      <c r="M154" s="1425" t="s">
        <v>497</v>
      </c>
      <c r="N154" s="476" t="s">
        <v>2491</v>
      </c>
      <c r="O154" s="1425" t="s">
        <v>73</v>
      </c>
      <c r="P154" s="16" t="s">
        <v>498</v>
      </c>
      <c r="Q154" s="302" t="s">
        <v>499</v>
      </c>
      <c r="R154" s="303">
        <v>2015</v>
      </c>
      <c r="S154" s="303">
        <v>0</v>
      </c>
      <c r="T154" s="303">
        <v>4</v>
      </c>
      <c r="U154" s="303">
        <v>4</v>
      </c>
      <c r="V154" s="303">
        <v>4</v>
      </c>
      <c r="W154" s="303">
        <v>4</v>
      </c>
      <c r="X154" s="303">
        <v>4</v>
      </c>
      <c r="Y154" s="481">
        <v>0</v>
      </c>
      <c r="Z154" s="481">
        <v>0</v>
      </c>
      <c r="AA154" s="481">
        <v>0</v>
      </c>
      <c r="AB154" s="481">
        <v>0</v>
      </c>
      <c r="AC154" s="481">
        <v>0</v>
      </c>
      <c r="AD154" s="491">
        <v>1</v>
      </c>
      <c r="AE154" s="481">
        <v>0</v>
      </c>
      <c r="AF154" s="481">
        <f t="shared" ref="AF154:AF220" si="153">SUM(Y154:AE154)</f>
        <v>1</v>
      </c>
      <c r="AG154" s="491">
        <v>1</v>
      </c>
      <c r="AH154" s="548">
        <v>0</v>
      </c>
      <c r="AI154" s="548">
        <v>0</v>
      </c>
      <c r="AJ154" s="548">
        <v>0</v>
      </c>
      <c r="AK154" s="548">
        <v>0</v>
      </c>
      <c r="AL154" s="548">
        <v>0</v>
      </c>
      <c r="AM154" s="548">
        <f t="shared" ref="AM154:AM220" si="154">SUM(AG154:AL154)</f>
        <v>1</v>
      </c>
      <c r="AN154" s="491">
        <v>1</v>
      </c>
      <c r="AO154" s="481">
        <v>0</v>
      </c>
      <c r="AP154" s="481">
        <v>0</v>
      </c>
      <c r="AQ154" s="481">
        <v>0</v>
      </c>
      <c r="AR154" s="481">
        <v>0</v>
      </c>
      <c r="AS154" s="481">
        <v>0</v>
      </c>
      <c r="AT154" s="481">
        <v>0</v>
      </c>
      <c r="AU154" s="481">
        <f t="shared" ref="AU154:AU220" si="155">SUM(AN154:AT154)</f>
        <v>1</v>
      </c>
      <c r="AV154" s="548">
        <v>1</v>
      </c>
      <c r="AW154" s="548">
        <f t="shared" ref="AW154:BB154" si="156">AO154*1.035</f>
        <v>0</v>
      </c>
      <c r="AX154" s="548">
        <f t="shared" si="156"/>
        <v>0</v>
      </c>
      <c r="AY154" s="548">
        <f t="shared" si="156"/>
        <v>0</v>
      </c>
      <c r="AZ154" s="548">
        <f t="shared" si="156"/>
        <v>0</v>
      </c>
      <c r="BA154" s="548">
        <f t="shared" si="156"/>
        <v>0</v>
      </c>
      <c r="BB154" s="548">
        <f t="shared" si="156"/>
        <v>0</v>
      </c>
      <c r="BC154" s="548">
        <f t="shared" ref="BC154:BC220" si="157">SUM(AV154:BB154)</f>
        <v>1</v>
      </c>
      <c r="BD154" s="42">
        <f>+AV154+AN154+AG154+Y154</f>
        <v>3</v>
      </c>
      <c r="BE154" s="42">
        <f>+AW154+AO154+AH154+Z154</f>
        <v>0</v>
      </c>
      <c r="BF154" s="42">
        <f>+AX154+AP154+AI154+AA154</f>
        <v>0</v>
      </c>
      <c r="BG154" s="42">
        <f>+AY154+AQ154+AJ154+AB154</f>
        <v>0</v>
      </c>
      <c r="BH154" s="42">
        <f>+AZ154+AR154+AK154+AC154</f>
        <v>0</v>
      </c>
      <c r="BI154" s="42">
        <f t="shared" si="142"/>
        <v>1</v>
      </c>
      <c r="BJ154" s="42">
        <f>+BB154+AT154+AL154+AE154</f>
        <v>0</v>
      </c>
      <c r="BK154" s="42">
        <f>+BC154+AU154+AM154+AF154</f>
        <v>4</v>
      </c>
      <c r="BL154" s="40">
        <f t="shared" si="135"/>
        <v>4</v>
      </c>
    </row>
    <row r="155" spans="1:64" ht="45.75" customHeight="1" x14ac:dyDescent="0.25">
      <c r="A155" s="298" t="s">
        <v>491</v>
      </c>
      <c r="B155" s="299" t="s">
        <v>489</v>
      </c>
      <c r="C155" s="1547"/>
      <c r="D155" s="1551"/>
      <c r="E155" s="1551"/>
      <c r="F155" s="1551"/>
      <c r="G155" s="1551"/>
      <c r="H155" s="1551"/>
      <c r="I155" s="1425"/>
      <c r="J155" s="1425"/>
      <c r="K155" s="1425" t="s">
        <v>500</v>
      </c>
      <c r="L155" s="301" t="s">
        <v>496</v>
      </c>
      <c r="M155" s="1425" t="s">
        <v>497</v>
      </c>
      <c r="N155" s="476" t="s">
        <v>2491</v>
      </c>
      <c r="O155" s="1425" t="s">
        <v>73</v>
      </c>
      <c r="P155" s="16" t="s">
        <v>501</v>
      </c>
      <c r="Q155" s="302" t="s">
        <v>502</v>
      </c>
      <c r="R155" s="303">
        <v>2015</v>
      </c>
      <c r="S155" s="303">
        <v>0</v>
      </c>
      <c r="T155" s="303">
        <v>0</v>
      </c>
      <c r="U155" s="303">
        <v>1</v>
      </c>
      <c r="V155" s="303">
        <v>1</v>
      </c>
      <c r="W155" s="303">
        <v>1</v>
      </c>
      <c r="X155" s="303">
        <v>1</v>
      </c>
      <c r="Y155" s="482"/>
      <c r="Z155" s="481">
        <v>0</v>
      </c>
      <c r="AA155" s="481">
        <v>0</v>
      </c>
      <c r="AB155" s="481">
        <v>0</v>
      </c>
      <c r="AC155" s="481">
        <v>0</v>
      </c>
      <c r="AD155" s="481"/>
      <c r="AE155" s="481">
        <v>0</v>
      </c>
      <c r="AF155" s="481">
        <f t="shared" si="153"/>
        <v>0</v>
      </c>
      <c r="AG155" s="700">
        <v>0.5</v>
      </c>
      <c r="AH155" s="548">
        <v>0</v>
      </c>
      <c r="AI155" s="548">
        <v>0</v>
      </c>
      <c r="AJ155" s="548">
        <v>0</v>
      </c>
      <c r="AK155" s="548">
        <v>0</v>
      </c>
      <c r="AL155" s="548">
        <v>0</v>
      </c>
      <c r="AM155" s="548">
        <f t="shared" si="154"/>
        <v>0.5</v>
      </c>
      <c r="AN155" s="700">
        <v>0.5</v>
      </c>
      <c r="AO155" s="481">
        <v>0</v>
      </c>
      <c r="AP155" s="481">
        <v>0</v>
      </c>
      <c r="AQ155" s="481">
        <v>0</v>
      </c>
      <c r="AR155" s="481">
        <v>0</v>
      </c>
      <c r="AS155" s="481">
        <v>0</v>
      </c>
      <c r="AT155" s="481">
        <v>0</v>
      </c>
      <c r="AU155" s="481">
        <f t="shared" si="155"/>
        <v>0.5</v>
      </c>
      <c r="AV155" s="548">
        <v>0</v>
      </c>
      <c r="AW155" s="548">
        <v>0</v>
      </c>
      <c r="AX155" s="548">
        <v>20</v>
      </c>
      <c r="AY155" s="548">
        <v>0</v>
      </c>
      <c r="AZ155" s="548">
        <v>0</v>
      </c>
      <c r="BA155" s="548"/>
      <c r="BB155" s="548">
        <v>0</v>
      </c>
      <c r="BC155" s="548">
        <f t="shared" si="157"/>
        <v>20</v>
      </c>
      <c r="BD155" s="42">
        <f t="shared" ref="BD155:BD177" si="158">+AV155+AN155+AG155+Y155</f>
        <v>1</v>
      </c>
      <c r="BE155" s="42">
        <f t="shared" ref="BE155:BE177" si="159">+AW155+AO155+AH155+Z155</f>
        <v>0</v>
      </c>
      <c r="BF155" s="42">
        <f t="shared" ref="BF155:BF177" si="160">+AX155+AP155+AI155+AA155</f>
        <v>20</v>
      </c>
      <c r="BG155" s="42">
        <f t="shared" ref="BG155:BG177" si="161">+AY155+AQ155+AJ155+AB155</f>
        <v>0</v>
      </c>
      <c r="BH155" s="42">
        <f t="shared" ref="BH155:BH177" si="162">+AZ155+AR155+AK155+AC155</f>
        <v>0</v>
      </c>
      <c r="BI155" s="42">
        <f t="shared" si="142"/>
        <v>0</v>
      </c>
      <c r="BJ155" s="42">
        <f t="shared" ref="BJ155:BJ177" si="163">+BB155+AT155+AL155+AE155</f>
        <v>0</v>
      </c>
      <c r="BK155" s="42">
        <f t="shared" ref="BK155:BK177" si="164">+BC155+AU155+AM155+AF155</f>
        <v>21</v>
      </c>
      <c r="BL155" s="40">
        <f t="shared" si="135"/>
        <v>21</v>
      </c>
    </row>
    <row r="156" spans="1:64" ht="48.75" customHeight="1" x14ac:dyDescent="0.25">
      <c r="A156" s="298" t="s">
        <v>491</v>
      </c>
      <c r="B156" s="299" t="s">
        <v>489</v>
      </c>
      <c r="C156" s="1547"/>
      <c r="D156" s="1551"/>
      <c r="E156" s="1551"/>
      <c r="F156" s="1551"/>
      <c r="G156" s="1551"/>
      <c r="H156" s="1551"/>
      <c r="I156" s="1425"/>
      <c r="J156" s="1425"/>
      <c r="K156" s="1425" t="s">
        <v>503</v>
      </c>
      <c r="L156" s="301" t="s">
        <v>496</v>
      </c>
      <c r="M156" s="1425" t="s">
        <v>497</v>
      </c>
      <c r="N156" s="476" t="s">
        <v>2491</v>
      </c>
      <c r="O156" s="1425" t="s">
        <v>73</v>
      </c>
      <c r="P156" s="16" t="s">
        <v>504</v>
      </c>
      <c r="Q156" s="302" t="s">
        <v>505</v>
      </c>
      <c r="R156" s="303">
        <v>2015</v>
      </c>
      <c r="S156" s="303">
        <v>1</v>
      </c>
      <c r="T156" s="303">
        <v>1</v>
      </c>
      <c r="U156" s="303">
        <v>1</v>
      </c>
      <c r="V156" s="303">
        <v>1</v>
      </c>
      <c r="W156" s="303">
        <v>1</v>
      </c>
      <c r="X156" s="303">
        <v>1</v>
      </c>
      <c r="Y156" s="481">
        <v>0</v>
      </c>
      <c r="Z156" s="481">
        <v>0</v>
      </c>
      <c r="AA156" s="481">
        <v>0</v>
      </c>
      <c r="AB156" s="481">
        <v>0</v>
      </c>
      <c r="AC156" s="481">
        <v>0</v>
      </c>
      <c r="AD156" s="491">
        <v>1</v>
      </c>
      <c r="AE156" s="481">
        <v>0</v>
      </c>
      <c r="AF156" s="481">
        <f t="shared" si="153"/>
        <v>1</v>
      </c>
      <c r="AG156" s="491">
        <v>0.5</v>
      </c>
      <c r="AH156" s="548">
        <v>0</v>
      </c>
      <c r="AI156" s="548">
        <v>0</v>
      </c>
      <c r="AJ156" s="548">
        <v>0</v>
      </c>
      <c r="AK156" s="548">
        <v>0</v>
      </c>
      <c r="AL156" s="548">
        <v>0</v>
      </c>
      <c r="AM156" s="548">
        <f t="shared" si="154"/>
        <v>0.5</v>
      </c>
      <c r="AN156" s="491">
        <v>0.5</v>
      </c>
      <c r="AO156" s="481">
        <v>0</v>
      </c>
      <c r="AP156" s="481">
        <v>0</v>
      </c>
      <c r="AQ156" s="481">
        <v>0</v>
      </c>
      <c r="AR156" s="481">
        <v>0</v>
      </c>
      <c r="AS156" s="481">
        <v>0</v>
      </c>
      <c r="AT156" s="481">
        <v>0</v>
      </c>
      <c r="AU156" s="481">
        <f t="shared" si="155"/>
        <v>0.5</v>
      </c>
      <c r="AV156" s="491">
        <v>0.5</v>
      </c>
      <c r="AW156" s="548">
        <v>0</v>
      </c>
      <c r="AX156" s="548">
        <v>0</v>
      </c>
      <c r="AY156" s="548">
        <v>0</v>
      </c>
      <c r="AZ156" s="548">
        <v>0</v>
      </c>
      <c r="BA156" s="548">
        <v>0</v>
      </c>
      <c r="BB156" s="548">
        <v>0</v>
      </c>
      <c r="BC156" s="548">
        <f t="shared" si="157"/>
        <v>0.5</v>
      </c>
      <c r="BD156" s="42">
        <f t="shared" si="158"/>
        <v>1.5</v>
      </c>
      <c r="BE156" s="42">
        <f t="shared" si="159"/>
        <v>0</v>
      </c>
      <c r="BF156" s="42">
        <f t="shared" si="160"/>
        <v>0</v>
      </c>
      <c r="BG156" s="42">
        <f t="shared" si="161"/>
        <v>0</v>
      </c>
      <c r="BH156" s="42">
        <f t="shared" si="162"/>
        <v>0</v>
      </c>
      <c r="BI156" s="42">
        <f t="shared" si="142"/>
        <v>1</v>
      </c>
      <c r="BJ156" s="42">
        <f t="shared" si="163"/>
        <v>0</v>
      </c>
      <c r="BK156" s="42">
        <f t="shared" si="164"/>
        <v>2.5</v>
      </c>
      <c r="BL156" s="40">
        <f t="shared" si="135"/>
        <v>2.5</v>
      </c>
    </row>
    <row r="157" spans="1:64" ht="55.5" customHeight="1" x14ac:dyDescent="0.25">
      <c r="A157" s="298" t="s">
        <v>491</v>
      </c>
      <c r="B157" s="299" t="s">
        <v>489</v>
      </c>
      <c r="C157" s="1547"/>
      <c r="D157" s="1551"/>
      <c r="E157" s="1551"/>
      <c r="F157" s="1551"/>
      <c r="G157" s="1551"/>
      <c r="H157" s="1551"/>
      <c r="I157" s="1425"/>
      <c r="J157" s="1425"/>
      <c r="K157" s="1425" t="s">
        <v>506</v>
      </c>
      <c r="L157" s="301" t="s">
        <v>496</v>
      </c>
      <c r="M157" s="1425" t="s">
        <v>497</v>
      </c>
      <c r="N157" s="476" t="s">
        <v>2491</v>
      </c>
      <c r="O157" s="1425" t="s">
        <v>73</v>
      </c>
      <c r="P157" s="16" t="s">
        <v>507</v>
      </c>
      <c r="Q157" s="302" t="s">
        <v>508</v>
      </c>
      <c r="R157" s="303">
        <v>2015</v>
      </c>
      <c r="S157" s="303">
        <v>1</v>
      </c>
      <c r="T157" s="303">
        <v>1</v>
      </c>
      <c r="U157" s="303">
        <v>1</v>
      </c>
      <c r="V157" s="303">
        <v>1</v>
      </c>
      <c r="W157" s="303">
        <v>1</v>
      </c>
      <c r="X157" s="303">
        <v>1</v>
      </c>
      <c r="Y157" s="481">
        <v>0</v>
      </c>
      <c r="Z157" s="481">
        <v>0</v>
      </c>
      <c r="AA157" s="481">
        <v>0</v>
      </c>
      <c r="AB157" s="481">
        <v>0</v>
      </c>
      <c r="AC157" s="481">
        <v>0</v>
      </c>
      <c r="AD157" s="491">
        <v>18</v>
      </c>
      <c r="AE157" s="481">
        <v>0</v>
      </c>
      <c r="AF157" s="481">
        <f t="shared" si="153"/>
        <v>18</v>
      </c>
      <c r="AG157" s="491">
        <v>9</v>
      </c>
      <c r="AH157" s="548">
        <v>0</v>
      </c>
      <c r="AI157" s="548">
        <v>1.33</v>
      </c>
      <c r="AJ157" s="548">
        <v>0</v>
      </c>
      <c r="AK157" s="548">
        <v>0</v>
      </c>
      <c r="AL157" s="548">
        <v>0</v>
      </c>
      <c r="AM157" s="548">
        <f t="shared" si="154"/>
        <v>10.33</v>
      </c>
      <c r="AN157" s="491">
        <v>10.24</v>
      </c>
      <c r="AO157" s="481">
        <v>0</v>
      </c>
      <c r="AP157" s="481"/>
      <c r="AQ157" s="481">
        <v>0</v>
      </c>
      <c r="AR157" s="481">
        <v>0</v>
      </c>
      <c r="AS157" s="481">
        <v>0</v>
      </c>
      <c r="AT157" s="481">
        <v>0</v>
      </c>
      <c r="AU157" s="481">
        <f t="shared" si="155"/>
        <v>10.24</v>
      </c>
      <c r="AV157" s="491">
        <v>8.5</v>
      </c>
      <c r="AW157" s="548">
        <v>0</v>
      </c>
      <c r="AX157" s="548">
        <v>0</v>
      </c>
      <c r="AY157" s="548">
        <v>0</v>
      </c>
      <c r="AZ157" s="548">
        <v>0</v>
      </c>
      <c r="BA157" s="548"/>
      <c r="BB157" s="548">
        <v>0</v>
      </c>
      <c r="BC157" s="548">
        <f t="shared" si="157"/>
        <v>8.5</v>
      </c>
      <c r="BD157" s="42">
        <f t="shared" si="158"/>
        <v>27.740000000000002</v>
      </c>
      <c r="BE157" s="42">
        <f t="shared" si="159"/>
        <v>0</v>
      </c>
      <c r="BF157" s="42">
        <f t="shared" si="160"/>
        <v>1.33</v>
      </c>
      <c r="BG157" s="42">
        <f t="shared" si="161"/>
        <v>0</v>
      </c>
      <c r="BH157" s="42">
        <f t="shared" si="162"/>
        <v>0</v>
      </c>
      <c r="BI157" s="42">
        <f t="shared" si="142"/>
        <v>18</v>
      </c>
      <c r="BJ157" s="42">
        <f t="shared" si="163"/>
        <v>0</v>
      </c>
      <c r="BK157" s="42">
        <f t="shared" si="164"/>
        <v>47.07</v>
      </c>
      <c r="BL157" s="40">
        <f t="shared" si="135"/>
        <v>47.07</v>
      </c>
    </row>
    <row r="158" spans="1:64" ht="77.25" customHeight="1" x14ac:dyDescent="0.25">
      <c r="A158" s="298" t="s">
        <v>491</v>
      </c>
      <c r="B158" s="299" t="s">
        <v>489</v>
      </c>
      <c r="C158" s="1547"/>
      <c r="D158" s="1551"/>
      <c r="E158" s="1551"/>
      <c r="F158" s="1551"/>
      <c r="G158" s="1551"/>
      <c r="H158" s="1551"/>
      <c r="I158" s="1425"/>
      <c r="J158" s="1425"/>
      <c r="K158" s="1425" t="s">
        <v>509</v>
      </c>
      <c r="L158" s="301" t="s">
        <v>496</v>
      </c>
      <c r="M158" s="1425" t="s">
        <v>497</v>
      </c>
      <c r="N158" s="476" t="s">
        <v>2491</v>
      </c>
      <c r="O158" s="1425" t="s">
        <v>73</v>
      </c>
      <c r="P158" s="16" t="s">
        <v>510</v>
      </c>
      <c r="Q158" s="302" t="s">
        <v>511</v>
      </c>
      <c r="R158" s="303">
        <v>2015</v>
      </c>
      <c r="S158" s="303">
        <v>1</v>
      </c>
      <c r="T158" s="303">
        <v>1</v>
      </c>
      <c r="U158" s="303">
        <v>1</v>
      </c>
      <c r="V158" s="303">
        <v>1</v>
      </c>
      <c r="W158" s="303">
        <v>1</v>
      </c>
      <c r="X158" s="303">
        <v>1</v>
      </c>
      <c r="Y158" s="481">
        <v>0</v>
      </c>
      <c r="Z158" s="481">
        <v>0</v>
      </c>
      <c r="AA158" s="481">
        <v>0</v>
      </c>
      <c r="AB158" s="481">
        <v>0</v>
      </c>
      <c r="AC158" s="481">
        <v>0</v>
      </c>
      <c r="AD158" s="481">
        <v>11</v>
      </c>
      <c r="AE158" s="481">
        <v>0</v>
      </c>
      <c r="AF158" s="481">
        <f t="shared" si="153"/>
        <v>11</v>
      </c>
      <c r="AG158" s="491">
        <v>1</v>
      </c>
      <c r="AH158" s="548">
        <v>0</v>
      </c>
      <c r="AI158" s="548"/>
      <c r="AJ158" s="548">
        <v>0</v>
      </c>
      <c r="AK158" s="548">
        <v>0</v>
      </c>
      <c r="AL158" s="548">
        <v>0</v>
      </c>
      <c r="AM158" s="548">
        <f t="shared" si="154"/>
        <v>1</v>
      </c>
      <c r="AN158" s="481">
        <v>2.04</v>
      </c>
      <c r="AO158" s="481">
        <v>0</v>
      </c>
      <c r="AP158" s="481">
        <v>2.56</v>
      </c>
      <c r="AQ158" s="481">
        <v>0</v>
      </c>
      <c r="AR158" s="481">
        <v>0</v>
      </c>
      <c r="AS158" s="481">
        <v>0</v>
      </c>
      <c r="AT158" s="481">
        <v>0</v>
      </c>
      <c r="AU158" s="481">
        <f t="shared" si="155"/>
        <v>4.5999999999999996</v>
      </c>
      <c r="AV158" s="548">
        <v>0</v>
      </c>
      <c r="AW158" s="548">
        <v>0</v>
      </c>
      <c r="AX158" s="491">
        <v>18.91</v>
      </c>
      <c r="AY158" s="548">
        <v>0</v>
      </c>
      <c r="AZ158" s="548">
        <v>0</v>
      </c>
      <c r="BA158" s="548"/>
      <c r="BB158" s="548">
        <v>0</v>
      </c>
      <c r="BC158" s="548">
        <f t="shared" si="157"/>
        <v>18.91</v>
      </c>
      <c r="BD158" s="42">
        <f t="shared" si="158"/>
        <v>3.04</v>
      </c>
      <c r="BE158" s="42">
        <f t="shared" si="159"/>
        <v>0</v>
      </c>
      <c r="BF158" s="42">
        <f t="shared" si="160"/>
        <v>21.47</v>
      </c>
      <c r="BG158" s="42">
        <f t="shared" si="161"/>
        <v>0</v>
      </c>
      <c r="BH158" s="42">
        <f t="shared" si="162"/>
        <v>0</v>
      </c>
      <c r="BI158" s="42">
        <f t="shared" si="142"/>
        <v>11</v>
      </c>
      <c r="BJ158" s="42">
        <f t="shared" si="163"/>
        <v>0</v>
      </c>
      <c r="BK158" s="42">
        <f t="shared" si="164"/>
        <v>35.51</v>
      </c>
      <c r="BL158" s="40">
        <f t="shared" si="135"/>
        <v>35.510000000000005</v>
      </c>
    </row>
    <row r="159" spans="1:64" ht="73.5" customHeight="1" x14ac:dyDescent="0.25">
      <c r="A159" s="298" t="s">
        <v>491</v>
      </c>
      <c r="B159" s="299" t="s">
        <v>489</v>
      </c>
      <c r="C159" s="1547"/>
      <c r="D159" s="1551"/>
      <c r="E159" s="1551"/>
      <c r="F159" s="1551"/>
      <c r="G159" s="1551"/>
      <c r="H159" s="1551"/>
      <c r="I159" s="1425"/>
      <c r="J159" s="1425"/>
      <c r="K159" s="1425" t="s">
        <v>512</v>
      </c>
      <c r="L159" s="301" t="s">
        <v>496</v>
      </c>
      <c r="M159" s="1425" t="s">
        <v>497</v>
      </c>
      <c r="N159" s="476" t="s">
        <v>2491</v>
      </c>
      <c r="O159" s="1425" t="s">
        <v>47</v>
      </c>
      <c r="P159" s="16" t="s">
        <v>513</v>
      </c>
      <c r="Q159" s="302" t="s">
        <v>337</v>
      </c>
      <c r="R159" s="303">
        <v>2015</v>
      </c>
      <c r="S159" s="303"/>
      <c r="T159" s="303">
        <v>3</v>
      </c>
      <c r="U159" s="303">
        <v>3</v>
      </c>
      <c r="V159" s="303">
        <v>3</v>
      </c>
      <c r="W159" s="303">
        <v>3</v>
      </c>
      <c r="X159" s="303">
        <v>12</v>
      </c>
      <c r="Y159" s="481"/>
      <c r="Z159" s="481"/>
      <c r="AA159" s="481"/>
      <c r="AB159" s="481"/>
      <c r="AC159" s="481"/>
      <c r="AD159" s="491">
        <v>1</v>
      </c>
      <c r="AE159" s="481"/>
      <c r="AF159" s="481">
        <f>SUM(Y159:AE159)</f>
        <v>1</v>
      </c>
      <c r="AG159" s="491">
        <v>0.5</v>
      </c>
      <c r="AH159" s="548"/>
      <c r="AI159" s="548"/>
      <c r="AJ159" s="548"/>
      <c r="AK159" s="548"/>
      <c r="AL159" s="548"/>
      <c r="AM159" s="548">
        <f>SUM(AG159:AL159)</f>
        <v>0.5</v>
      </c>
      <c r="AN159" s="491">
        <v>0.5</v>
      </c>
      <c r="AO159" s="481"/>
      <c r="AP159" s="481"/>
      <c r="AQ159" s="481"/>
      <c r="AR159" s="481"/>
      <c r="AS159" s="481"/>
      <c r="AT159" s="481"/>
      <c r="AU159" s="481">
        <f>SUM(AN159:AT159)</f>
        <v>0.5</v>
      </c>
      <c r="AV159" s="548"/>
      <c r="AW159" s="548"/>
      <c r="AX159" s="491">
        <v>0.5</v>
      </c>
      <c r="AY159" s="548"/>
      <c r="AZ159" s="548"/>
      <c r="BA159" s="548"/>
      <c r="BB159" s="548"/>
      <c r="BC159" s="548">
        <f>SUM(AV159:BB159)</f>
        <v>0.5</v>
      </c>
      <c r="BD159" s="42"/>
      <c r="BE159" s="42"/>
      <c r="BF159" s="42"/>
      <c r="BG159" s="42"/>
      <c r="BH159" s="42"/>
      <c r="BI159" s="42"/>
      <c r="BJ159" s="42"/>
      <c r="BK159" s="42">
        <f t="shared" si="164"/>
        <v>2.5</v>
      </c>
      <c r="BL159" s="40">
        <f t="shared" si="135"/>
        <v>2.5</v>
      </c>
    </row>
    <row r="160" spans="1:64" ht="69" customHeight="1" x14ac:dyDescent="0.25">
      <c r="A160" s="298" t="s">
        <v>491</v>
      </c>
      <c r="B160" s="299" t="s">
        <v>489</v>
      </c>
      <c r="C160" s="1547"/>
      <c r="D160" s="1551"/>
      <c r="E160" s="1551"/>
      <c r="F160" s="1551"/>
      <c r="G160" s="1551"/>
      <c r="H160" s="1551"/>
      <c r="I160" s="1425"/>
      <c r="J160" s="1425"/>
      <c r="K160" s="1425" t="s">
        <v>514</v>
      </c>
      <c r="L160" s="301" t="s">
        <v>496</v>
      </c>
      <c r="M160" s="1425" t="s">
        <v>497</v>
      </c>
      <c r="N160" s="476" t="s">
        <v>2491</v>
      </c>
      <c r="O160" s="1425" t="s">
        <v>47</v>
      </c>
      <c r="P160" s="883" t="s">
        <v>515</v>
      </c>
      <c r="Q160" s="302" t="s">
        <v>516</v>
      </c>
      <c r="R160" s="303">
        <v>2015</v>
      </c>
      <c r="S160" s="303">
        <v>0</v>
      </c>
      <c r="T160" s="303">
        <v>3</v>
      </c>
      <c r="U160" s="303">
        <v>3</v>
      </c>
      <c r="V160" s="303">
        <v>3</v>
      </c>
      <c r="W160" s="303">
        <v>3</v>
      </c>
      <c r="X160" s="303">
        <v>12</v>
      </c>
      <c r="Y160" s="481">
        <v>0</v>
      </c>
      <c r="Z160" s="481">
        <v>0</v>
      </c>
      <c r="AA160" s="481">
        <v>0</v>
      </c>
      <c r="AB160" s="481">
        <v>0</v>
      </c>
      <c r="AC160" s="481">
        <v>0</v>
      </c>
      <c r="AD160" s="491">
        <v>0.5</v>
      </c>
      <c r="AE160" s="481">
        <v>0</v>
      </c>
      <c r="AF160" s="481">
        <f t="shared" si="153"/>
        <v>0.5</v>
      </c>
      <c r="AG160" s="491">
        <v>0.5</v>
      </c>
      <c r="AH160" s="548">
        <v>0</v>
      </c>
      <c r="AI160" s="548"/>
      <c r="AJ160" s="548">
        <v>0</v>
      </c>
      <c r="AK160" s="548">
        <v>0</v>
      </c>
      <c r="AL160" s="548">
        <v>0</v>
      </c>
      <c r="AM160" s="548">
        <f t="shared" si="154"/>
        <v>0.5</v>
      </c>
      <c r="AN160" s="491">
        <v>0.5</v>
      </c>
      <c r="AO160" s="481">
        <v>0</v>
      </c>
      <c r="AP160" s="481">
        <v>0</v>
      </c>
      <c r="AQ160" s="481">
        <v>0</v>
      </c>
      <c r="AR160" s="481">
        <v>0</v>
      </c>
      <c r="AS160" s="481">
        <v>0</v>
      </c>
      <c r="AT160" s="481">
        <v>0</v>
      </c>
      <c r="AU160" s="481">
        <f t="shared" si="155"/>
        <v>0.5</v>
      </c>
      <c r="AV160" s="548">
        <v>0</v>
      </c>
      <c r="AW160" s="548">
        <v>0</v>
      </c>
      <c r="AX160" s="491">
        <v>0.5</v>
      </c>
      <c r="AY160" s="548">
        <v>0</v>
      </c>
      <c r="AZ160" s="548">
        <v>0</v>
      </c>
      <c r="BA160" s="548">
        <v>0</v>
      </c>
      <c r="BB160" s="548">
        <v>0</v>
      </c>
      <c r="BC160" s="548">
        <f t="shared" si="157"/>
        <v>0.5</v>
      </c>
      <c r="BD160" s="42">
        <f t="shared" si="158"/>
        <v>1</v>
      </c>
      <c r="BE160" s="42">
        <f t="shared" si="159"/>
        <v>0</v>
      </c>
      <c r="BF160" s="42">
        <f t="shared" si="160"/>
        <v>0.5</v>
      </c>
      <c r="BG160" s="42">
        <f t="shared" si="161"/>
        <v>0</v>
      </c>
      <c r="BH160" s="42">
        <f t="shared" si="162"/>
        <v>0</v>
      </c>
      <c r="BI160" s="42">
        <f t="shared" si="142"/>
        <v>0.5</v>
      </c>
      <c r="BJ160" s="42">
        <f t="shared" si="163"/>
        <v>0</v>
      </c>
      <c r="BK160" s="42">
        <f t="shared" si="164"/>
        <v>2</v>
      </c>
      <c r="BL160" s="40">
        <f t="shared" si="135"/>
        <v>2</v>
      </c>
    </row>
    <row r="161" spans="1:64" ht="72" customHeight="1" x14ac:dyDescent="0.25">
      <c r="A161" s="298" t="s">
        <v>491</v>
      </c>
      <c r="B161" s="299" t="s">
        <v>489</v>
      </c>
      <c r="C161" s="1547"/>
      <c r="D161" s="1551"/>
      <c r="E161" s="1551"/>
      <c r="F161" s="1551"/>
      <c r="G161" s="1551"/>
      <c r="H161" s="1551"/>
      <c r="I161" s="1425"/>
      <c r="J161" s="1425"/>
      <c r="K161" s="1425" t="s">
        <v>517</v>
      </c>
      <c r="L161" s="301" t="s">
        <v>496</v>
      </c>
      <c r="M161" s="1425" t="s">
        <v>497</v>
      </c>
      <c r="N161" s="476" t="s">
        <v>2491</v>
      </c>
      <c r="O161" s="1425" t="s">
        <v>47</v>
      </c>
      <c r="P161" s="16" t="s">
        <v>518</v>
      </c>
      <c r="Q161" s="302" t="s">
        <v>519</v>
      </c>
      <c r="R161" s="303">
        <v>2015</v>
      </c>
      <c r="S161" s="303">
        <v>2</v>
      </c>
      <c r="T161" s="303">
        <v>3</v>
      </c>
      <c r="U161" s="303">
        <v>3</v>
      </c>
      <c r="V161" s="303">
        <v>3</v>
      </c>
      <c r="W161" s="303">
        <v>3</v>
      </c>
      <c r="X161" s="303">
        <v>12</v>
      </c>
      <c r="Y161" s="481">
        <v>0</v>
      </c>
      <c r="Z161" s="481">
        <v>0</v>
      </c>
      <c r="AA161" s="481">
        <v>0</v>
      </c>
      <c r="AB161" s="481">
        <v>0</v>
      </c>
      <c r="AC161" s="481">
        <v>0</v>
      </c>
      <c r="AD161" s="491">
        <v>6</v>
      </c>
      <c r="AE161" s="481">
        <v>0</v>
      </c>
      <c r="AF161" s="481">
        <f t="shared" si="153"/>
        <v>6</v>
      </c>
      <c r="AG161" s="491">
        <v>4</v>
      </c>
      <c r="AH161" s="548">
        <v>0</v>
      </c>
      <c r="AI161" s="548">
        <v>0</v>
      </c>
      <c r="AJ161" s="548">
        <v>0</v>
      </c>
      <c r="AK161" s="548">
        <v>0</v>
      </c>
      <c r="AL161" s="548">
        <v>0</v>
      </c>
      <c r="AM161" s="548">
        <f t="shared" si="154"/>
        <v>4</v>
      </c>
      <c r="AN161" s="491">
        <v>4</v>
      </c>
      <c r="AO161" s="481">
        <v>0</v>
      </c>
      <c r="AP161" s="481">
        <v>0</v>
      </c>
      <c r="AQ161" s="481">
        <v>0</v>
      </c>
      <c r="AR161" s="481">
        <v>0</v>
      </c>
      <c r="AS161" s="481">
        <v>0</v>
      </c>
      <c r="AT161" s="481">
        <v>0</v>
      </c>
      <c r="AU161" s="481">
        <f t="shared" si="155"/>
        <v>4</v>
      </c>
      <c r="AV161" s="548">
        <v>4</v>
      </c>
      <c r="AW161" s="548">
        <v>0</v>
      </c>
      <c r="AX161" s="548">
        <v>0</v>
      </c>
      <c r="AY161" s="548">
        <v>0</v>
      </c>
      <c r="AZ161" s="548">
        <v>0</v>
      </c>
      <c r="BA161" s="548"/>
      <c r="BB161" s="548">
        <v>0</v>
      </c>
      <c r="BC161" s="548">
        <f t="shared" si="157"/>
        <v>4</v>
      </c>
      <c r="BD161" s="42">
        <f t="shared" si="158"/>
        <v>12</v>
      </c>
      <c r="BE161" s="42">
        <f t="shared" si="159"/>
        <v>0</v>
      </c>
      <c r="BF161" s="42">
        <f t="shared" si="160"/>
        <v>0</v>
      </c>
      <c r="BG161" s="42">
        <f t="shared" si="161"/>
        <v>0</v>
      </c>
      <c r="BH161" s="42">
        <f t="shared" si="162"/>
        <v>0</v>
      </c>
      <c r="BI161" s="42">
        <f t="shared" si="142"/>
        <v>6</v>
      </c>
      <c r="BJ161" s="42">
        <f t="shared" si="163"/>
        <v>0</v>
      </c>
      <c r="BK161" s="42">
        <f t="shared" si="164"/>
        <v>18</v>
      </c>
      <c r="BL161" s="40">
        <f t="shared" si="135"/>
        <v>18</v>
      </c>
    </row>
    <row r="162" spans="1:64" ht="59.25" customHeight="1" x14ac:dyDescent="0.25">
      <c r="A162" s="298" t="s">
        <v>491</v>
      </c>
      <c r="B162" s="299" t="s">
        <v>489</v>
      </c>
      <c r="C162" s="1547"/>
      <c r="D162" s="1551"/>
      <c r="E162" s="1551"/>
      <c r="F162" s="1551"/>
      <c r="G162" s="1551"/>
      <c r="H162" s="1551"/>
      <c r="I162" s="1425"/>
      <c r="J162" s="1425"/>
      <c r="K162" s="1425" t="s">
        <v>520</v>
      </c>
      <c r="L162" s="301" t="s">
        <v>496</v>
      </c>
      <c r="M162" s="1425" t="s">
        <v>497</v>
      </c>
      <c r="N162" s="476" t="s">
        <v>2491</v>
      </c>
      <c r="O162" s="1425" t="s">
        <v>73</v>
      </c>
      <c r="P162" s="884" t="s">
        <v>521</v>
      </c>
      <c r="Q162" s="302" t="s">
        <v>522</v>
      </c>
      <c r="R162" s="303">
        <v>2015</v>
      </c>
      <c r="S162" s="303">
        <v>0</v>
      </c>
      <c r="T162" s="303">
        <v>1</v>
      </c>
      <c r="U162" s="303">
        <v>1</v>
      </c>
      <c r="V162" s="303">
        <v>1</v>
      </c>
      <c r="W162" s="303">
        <v>1</v>
      </c>
      <c r="X162" s="303">
        <v>1</v>
      </c>
      <c r="Y162" s="481">
        <v>0</v>
      </c>
      <c r="Z162" s="481">
        <v>0</v>
      </c>
      <c r="AA162" s="481">
        <v>0</v>
      </c>
      <c r="AB162" s="481">
        <v>0</v>
      </c>
      <c r="AC162" s="481">
        <v>0</v>
      </c>
      <c r="AD162" s="481">
        <v>3</v>
      </c>
      <c r="AE162" s="481">
        <v>0</v>
      </c>
      <c r="AF162" s="481">
        <f t="shared" si="153"/>
        <v>3</v>
      </c>
      <c r="AG162" s="491">
        <v>0.5</v>
      </c>
      <c r="AH162" s="548">
        <v>0</v>
      </c>
      <c r="AI162" s="548"/>
      <c r="AJ162" s="548">
        <v>0</v>
      </c>
      <c r="AK162" s="548">
        <v>0</v>
      </c>
      <c r="AL162" s="548">
        <v>0</v>
      </c>
      <c r="AM162" s="548">
        <f t="shared" si="154"/>
        <v>0.5</v>
      </c>
      <c r="AN162" s="491">
        <v>0.5</v>
      </c>
      <c r="AO162" s="481">
        <v>0</v>
      </c>
      <c r="AP162" s="481">
        <v>0</v>
      </c>
      <c r="AQ162" s="481">
        <v>0</v>
      </c>
      <c r="AR162" s="481">
        <v>0</v>
      </c>
      <c r="AS162" s="481">
        <v>0</v>
      </c>
      <c r="AT162" s="481">
        <v>0</v>
      </c>
      <c r="AU162" s="481">
        <f t="shared" si="155"/>
        <v>0.5</v>
      </c>
      <c r="AV162" s="548">
        <f>AN162*1.035</f>
        <v>0.51749999999999996</v>
      </c>
      <c r="AW162" s="548">
        <f>AO162*1.035</f>
        <v>0</v>
      </c>
      <c r="AX162" s="548">
        <f>AP162*1.035</f>
        <v>0</v>
      </c>
      <c r="AY162" s="548">
        <f>AQ162*1.035</f>
        <v>0</v>
      </c>
      <c r="AZ162" s="548">
        <f>AR162*1.035</f>
        <v>0</v>
      </c>
      <c r="BA162" s="548"/>
      <c r="BB162" s="548">
        <v>0</v>
      </c>
      <c r="BC162" s="548">
        <f t="shared" si="157"/>
        <v>0.51749999999999996</v>
      </c>
      <c r="BD162" s="42">
        <f t="shared" si="158"/>
        <v>1.5175000000000001</v>
      </c>
      <c r="BE162" s="42">
        <f t="shared" si="159"/>
        <v>0</v>
      </c>
      <c r="BF162" s="42">
        <f t="shared" si="160"/>
        <v>0</v>
      </c>
      <c r="BG162" s="42">
        <f t="shared" si="161"/>
        <v>0</v>
      </c>
      <c r="BH162" s="42">
        <f t="shared" si="162"/>
        <v>0</v>
      </c>
      <c r="BI162" s="42">
        <f t="shared" si="142"/>
        <v>3</v>
      </c>
      <c r="BJ162" s="42">
        <f t="shared" si="163"/>
        <v>0</v>
      </c>
      <c r="BK162" s="42">
        <f t="shared" si="164"/>
        <v>4.5175000000000001</v>
      </c>
      <c r="BL162" s="40">
        <f t="shared" si="135"/>
        <v>4.5175000000000001</v>
      </c>
    </row>
    <row r="163" spans="1:64" ht="73.5" customHeight="1" x14ac:dyDescent="0.25">
      <c r="A163" s="298" t="s">
        <v>491</v>
      </c>
      <c r="B163" s="299" t="s">
        <v>489</v>
      </c>
      <c r="C163" s="1547"/>
      <c r="D163" s="1551"/>
      <c r="E163" s="1551"/>
      <c r="F163" s="1551"/>
      <c r="G163" s="1551"/>
      <c r="H163" s="1551"/>
      <c r="I163" s="1425"/>
      <c r="J163" s="1425"/>
      <c r="K163" s="1425" t="s">
        <v>523</v>
      </c>
      <c r="L163" s="301" t="s">
        <v>496</v>
      </c>
      <c r="M163" s="1425" t="s">
        <v>497</v>
      </c>
      <c r="N163" s="476" t="s">
        <v>2491</v>
      </c>
      <c r="O163" s="1425" t="s">
        <v>47</v>
      </c>
      <c r="P163" s="71" t="s">
        <v>2492</v>
      </c>
      <c r="Q163" s="302" t="s">
        <v>525</v>
      </c>
      <c r="R163" s="303">
        <v>2015</v>
      </c>
      <c r="S163" s="303">
        <v>0</v>
      </c>
      <c r="T163" s="303">
        <v>1</v>
      </c>
      <c r="U163" s="303">
        <v>0</v>
      </c>
      <c r="V163" s="303">
        <v>1</v>
      </c>
      <c r="W163" s="303">
        <v>0</v>
      </c>
      <c r="X163" s="303">
        <v>2</v>
      </c>
      <c r="Y163" s="481"/>
      <c r="Z163" s="481"/>
      <c r="AA163" s="481"/>
      <c r="AB163" s="481"/>
      <c r="AC163" s="481"/>
      <c r="AD163" s="491">
        <v>0.5</v>
      </c>
      <c r="AE163" s="481"/>
      <c r="AF163" s="481">
        <f t="shared" si="153"/>
        <v>0.5</v>
      </c>
      <c r="AG163" s="548"/>
      <c r="AH163" s="548"/>
      <c r="AI163" s="548"/>
      <c r="AJ163" s="548"/>
      <c r="AK163" s="548"/>
      <c r="AL163" s="548"/>
      <c r="AM163" s="548">
        <f t="shared" si="154"/>
        <v>0</v>
      </c>
      <c r="AN163" s="491">
        <v>0.5</v>
      </c>
      <c r="AO163" s="481"/>
      <c r="AP163" s="481"/>
      <c r="AQ163" s="481"/>
      <c r="AR163" s="481"/>
      <c r="AS163" s="481"/>
      <c r="AT163" s="481"/>
      <c r="AU163" s="481">
        <f t="shared" si="155"/>
        <v>0.5</v>
      </c>
      <c r="AV163" s="548"/>
      <c r="AW163" s="548"/>
      <c r="AX163" s="548"/>
      <c r="AY163" s="548"/>
      <c r="AZ163" s="548"/>
      <c r="BA163" s="548"/>
      <c r="BB163" s="548"/>
      <c r="BC163" s="548">
        <f t="shared" si="157"/>
        <v>0</v>
      </c>
      <c r="BD163" s="42">
        <f t="shared" si="158"/>
        <v>0.5</v>
      </c>
      <c r="BE163" s="42">
        <f t="shared" si="159"/>
        <v>0</v>
      </c>
      <c r="BF163" s="42">
        <f t="shared" si="160"/>
        <v>0</v>
      </c>
      <c r="BG163" s="42">
        <f t="shared" si="161"/>
        <v>0</v>
      </c>
      <c r="BH163" s="42">
        <f t="shared" si="162"/>
        <v>0</v>
      </c>
      <c r="BI163" s="42">
        <f t="shared" si="142"/>
        <v>0.5</v>
      </c>
      <c r="BJ163" s="42">
        <f t="shared" si="163"/>
        <v>0</v>
      </c>
      <c r="BK163" s="42">
        <f t="shared" si="164"/>
        <v>1</v>
      </c>
      <c r="BL163" s="40">
        <f t="shared" si="135"/>
        <v>1</v>
      </c>
    </row>
    <row r="164" spans="1:64" ht="89.25" customHeight="1" x14ac:dyDescent="0.25">
      <c r="A164" s="298" t="s">
        <v>491</v>
      </c>
      <c r="B164" s="299" t="s">
        <v>489</v>
      </c>
      <c r="C164" s="1547"/>
      <c r="D164" s="1551"/>
      <c r="E164" s="1551"/>
      <c r="F164" s="1551"/>
      <c r="G164" s="1551"/>
      <c r="H164" s="1551"/>
      <c r="I164" s="1425"/>
      <c r="J164" s="1425"/>
      <c r="K164" s="1425" t="s">
        <v>526</v>
      </c>
      <c r="L164" s="301" t="s">
        <v>496</v>
      </c>
      <c r="M164" s="1425" t="s">
        <v>497</v>
      </c>
      <c r="N164" s="476" t="s">
        <v>2491</v>
      </c>
      <c r="O164" s="1425" t="s">
        <v>47</v>
      </c>
      <c r="P164" s="16" t="s">
        <v>527</v>
      </c>
      <c r="Q164" s="302" t="s">
        <v>337</v>
      </c>
      <c r="R164" s="303">
        <v>2015</v>
      </c>
      <c r="S164" s="303">
        <v>0</v>
      </c>
      <c r="T164" s="303">
        <v>4</v>
      </c>
      <c r="U164" s="303">
        <v>4</v>
      </c>
      <c r="V164" s="303">
        <v>4</v>
      </c>
      <c r="W164" s="303">
        <v>4</v>
      </c>
      <c r="X164" s="303">
        <v>16</v>
      </c>
      <c r="Y164" s="483">
        <v>0</v>
      </c>
      <c r="Z164" s="483">
        <v>0</v>
      </c>
      <c r="AA164" s="483">
        <v>0</v>
      </c>
      <c r="AB164" s="483">
        <v>0</v>
      </c>
      <c r="AC164" s="483">
        <v>0</v>
      </c>
      <c r="AD164" s="483">
        <v>2</v>
      </c>
      <c r="AE164" s="483">
        <v>0</v>
      </c>
      <c r="AF164" s="481">
        <f t="shared" si="153"/>
        <v>2</v>
      </c>
      <c r="AG164" s="491">
        <v>0.5</v>
      </c>
      <c r="AH164" s="587">
        <v>0</v>
      </c>
      <c r="AI164" s="587">
        <v>0</v>
      </c>
      <c r="AJ164" s="587">
        <v>0</v>
      </c>
      <c r="AK164" s="587">
        <v>0</v>
      </c>
      <c r="AL164" s="587">
        <v>0</v>
      </c>
      <c r="AM164" s="548">
        <f t="shared" si="154"/>
        <v>0.5</v>
      </c>
      <c r="AN164" s="491">
        <v>0.5</v>
      </c>
      <c r="AO164" s="483">
        <v>0</v>
      </c>
      <c r="AP164" s="483">
        <v>0</v>
      </c>
      <c r="AQ164" s="483">
        <v>0</v>
      </c>
      <c r="AR164" s="483">
        <v>0</v>
      </c>
      <c r="AS164" s="483">
        <v>0</v>
      </c>
      <c r="AT164" s="483">
        <v>0</v>
      </c>
      <c r="AU164" s="481">
        <f t="shared" si="155"/>
        <v>0.5</v>
      </c>
      <c r="AV164" s="491">
        <v>0.5</v>
      </c>
      <c r="AW164" s="548">
        <v>0</v>
      </c>
      <c r="AX164" s="548">
        <v>0</v>
      </c>
      <c r="AY164" s="548">
        <v>0</v>
      </c>
      <c r="AZ164" s="548">
        <v>0</v>
      </c>
      <c r="BA164" s="548"/>
      <c r="BB164" s="548">
        <v>0</v>
      </c>
      <c r="BC164" s="548">
        <f t="shared" si="157"/>
        <v>0.5</v>
      </c>
      <c r="BD164" s="42">
        <f t="shared" si="158"/>
        <v>1.5</v>
      </c>
      <c r="BE164" s="42">
        <f t="shared" si="159"/>
        <v>0</v>
      </c>
      <c r="BF164" s="42">
        <f t="shared" si="160"/>
        <v>0</v>
      </c>
      <c r="BG164" s="42">
        <f t="shared" si="161"/>
        <v>0</v>
      </c>
      <c r="BH164" s="42">
        <f t="shared" si="162"/>
        <v>0</v>
      </c>
      <c r="BI164" s="42">
        <f t="shared" si="142"/>
        <v>2</v>
      </c>
      <c r="BJ164" s="42">
        <f t="shared" si="163"/>
        <v>0</v>
      </c>
      <c r="BK164" s="42">
        <f t="shared" si="164"/>
        <v>3.5</v>
      </c>
      <c r="BL164" s="40">
        <f t="shared" si="135"/>
        <v>3.5</v>
      </c>
    </row>
    <row r="165" spans="1:64" ht="78.75" customHeight="1" x14ac:dyDescent="0.25">
      <c r="A165" s="298" t="s">
        <v>491</v>
      </c>
      <c r="B165" s="299" t="s">
        <v>489</v>
      </c>
      <c r="C165" s="1547"/>
      <c r="D165" s="1551"/>
      <c r="E165" s="1551"/>
      <c r="F165" s="1551"/>
      <c r="G165" s="1551"/>
      <c r="H165" s="1551"/>
      <c r="I165" s="1425"/>
      <c r="J165" s="1425"/>
      <c r="K165" s="1425" t="s">
        <v>528</v>
      </c>
      <c r="L165" s="301" t="s">
        <v>496</v>
      </c>
      <c r="M165" s="1425" t="s">
        <v>497</v>
      </c>
      <c r="N165" s="476" t="s">
        <v>2491</v>
      </c>
      <c r="O165" s="1425" t="s">
        <v>73</v>
      </c>
      <c r="P165" s="71" t="s">
        <v>529</v>
      </c>
      <c r="Q165" s="302" t="s">
        <v>530</v>
      </c>
      <c r="R165" s="303">
        <v>2015</v>
      </c>
      <c r="S165" s="303">
        <v>0</v>
      </c>
      <c r="T165" s="303">
        <v>1</v>
      </c>
      <c r="U165" s="303">
        <v>1</v>
      </c>
      <c r="V165" s="303">
        <v>1</v>
      </c>
      <c r="W165" s="303">
        <v>1</v>
      </c>
      <c r="X165" s="303">
        <v>1</v>
      </c>
      <c r="Y165" s="481">
        <v>0</v>
      </c>
      <c r="Z165" s="481">
        <v>0</v>
      </c>
      <c r="AA165" s="481">
        <v>0</v>
      </c>
      <c r="AB165" s="481">
        <v>0</v>
      </c>
      <c r="AC165" s="481">
        <v>0</v>
      </c>
      <c r="AD165" s="491">
        <v>0.5</v>
      </c>
      <c r="AE165" s="481">
        <v>0</v>
      </c>
      <c r="AF165" s="481">
        <f t="shared" si="153"/>
        <v>0.5</v>
      </c>
      <c r="AG165" s="491">
        <v>0.5</v>
      </c>
      <c r="AH165" s="548">
        <v>0</v>
      </c>
      <c r="AI165" s="548">
        <v>0</v>
      </c>
      <c r="AJ165" s="548">
        <v>0</v>
      </c>
      <c r="AK165" s="548">
        <v>0</v>
      </c>
      <c r="AL165" s="548">
        <v>0</v>
      </c>
      <c r="AM165" s="548">
        <f t="shared" si="154"/>
        <v>0.5</v>
      </c>
      <c r="AN165" s="491">
        <v>0.5</v>
      </c>
      <c r="AO165" s="481">
        <v>0</v>
      </c>
      <c r="AP165" s="481">
        <v>0</v>
      </c>
      <c r="AQ165" s="481">
        <v>0</v>
      </c>
      <c r="AR165" s="481">
        <v>0</v>
      </c>
      <c r="AS165" s="481">
        <v>0</v>
      </c>
      <c r="AT165" s="481">
        <v>0</v>
      </c>
      <c r="AU165" s="481">
        <f t="shared" si="155"/>
        <v>0.5</v>
      </c>
      <c r="AV165" s="491">
        <v>0.5</v>
      </c>
      <c r="AW165" s="548">
        <v>0</v>
      </c>
      <c r="AX165" s="548">
        <v>0</v>
      </c>
      <c r="AY165" s="548">
        <v>0</v>
      </c>
      <c r="AZ165" s="548">
        <v>0</v>
      </c>
      <c r="BA165" s="548">
        <v>0</v>
      </c>
      <c r="BB165" s="548">
        <v>0</v>
      </c>
      <c r="BC165" s="548">
        <f t="shared" si="157"/>
        <v>0.5</v>
      </c>
      <c r="BD165" s="42">
        <f t="shared" si="158"/>
        <v>1.5</v>
      </c>
      <c r="BE165" s="42">
        <f t="shared" si="159"/>
        <v>0</v>
      </c>
      <c r="BF165" s="42">
        <f t="shared" si="160"/>
        <v>0</v>
      </c>
      <c r="BG165" s="42">
        <f t="shared" si="161"/>
        <v>0</v>
      </c>
      <c r="BH165" s="42">
        <f t="shared" si="162"/>
        <v>0</v>
      </c>
      <c r="BI165" s="42">
        <f t="shared" si="142"/>
        <v>0.5</v>
      </c>
      <c r="BJ165" s="42">
        <f t="shared" si="163"/>
        <v>0</v>
      </c>
      <c r="BK165" s="42">
        <f t="shared" si="164"/>
        <v>2</v>
      </c>
      <c r="BL165" s="40">
        <f t="shared" si="135"/>
        <v>2</v>
      </c>
    </row>
    <row r="166" spans="1:64" ht="62.25" customHeight="1" x14ac:dyDescent="0.25">
      <c r="A166" s="298" t="s">
        <v>491</v>
      </c>
      <c r="B166" s="299" t="s">
        <v>489</v>
      </c>
      <c r="C166" s="1547"/>
      <c r="D166" s="1551"/>
      <c r="E166" s="1551"/>
      <c r="F166" s="1551"/>
      <c r="G166" s="1551"/>
      <c r="H166" s="1551"/>
      <c r="I166" s="1425"/>
      <c r="J166" s="1425"/>
      <c r="K166" s="1425" t="s">
        <v>531</v>
      </c>
      <c r="L166" s="301" t="s">
        <v>496</v>
      </c>
      <c r="M166" s="1425" t="s">
        <v>497</v>
      </c>
      <c r="N166" s="476" t="s">
        <v>2491</v>
      </c>
      <c r="O166" s="1425" t="s">
        <v>47</v>
      </c>
      <c r="P166" s="16" t="s">
        <v>532</v>
      </c>
      <c r="Q166" s="302" t="s">
        <v>533</v>
      </c>
      <c r="R166" s="303">
        <v>2015</v>
      </c>
      <c r="S166" s="303">
        <v>0</v>
      </c>
      <c r="T166" s="303">
        <v>0</v>
      </c>
      <c r="U166" s="303">
        <v>1</v>
      </c>
      <c r="V166" s="303">
        <v>0</v>
      </c>
      <c r="W166" s="303">
        <v>1</v>
      </c>
      <c r="X166" s="303">
        <v>2</v>
      </c>
      <c r="Y166" s="481">
        <v>0</v>
      </c>
      <c r="Z166" s="481">
        <v>0</v>
      </c>
      <c r="AA166" s="481">
        <v>0</v>
      </c>
      <c r="AB166" s="481">
        <v>0</v>
      </c>
      <c r="AC166" s="481">
        <v>0</v>
      </c>
      <c r="AD166" s="481"/>
      <c r="AE166" s="481">
        <v>0</v>
      </c>
      <c r="AF166" s="481">
        <f t="shared" si="153"/>
        <v>0</v>
      </c>
      <c r="AG166" s="491">
        <v>0.5</v>
      </c>
      <c r="AH166" s="548">
        <v>0</v>
      </c>
      <c r="AI166" s="548">
        <v>0</v>
      </c>
      <c r="AJ166" s="548">
        <v>0</v>
      </c>
      <c r="AK166" s="548">
        <v>0</v>
      </c>
      <c r="AL166" s="548">
        <v>0</v>
      </c>
      <c r="AM166" s="548">
        <f t="shared" si="154"/>
        <v>0.5</v>
      </c>
      <c r="AN166" s="481">
        <v>0</v>
      </c>
      <c r="AO166" s="481">
        <v>0</v>
      </c>
      <c r="AP166" s="481">
        <v>0</v>
      </c>
      <c r="AQ166" s="481">
        <v>0</v>
      </c>
      <c r="AR166" s="481">
        <v>0</v>
      </c>
      <c r="AS166" s="481">
        <v>0</v>
      </c>
      <c r="AT166" s="481">
        <v>0</v>
      </c>
      <c r="AU166" s="481">
        <f t="shared" si="155"/>
        <v>0</v>
      </c>
      <c r="AV166" s="491">
        <v>0.5</v>
      </c>
      <c r="AW166" s="548">
        <f t="shared" ref="AV166:AZ167" si="165">AO166*1.035</f>
        <v>0</v>
      </c>
      <c r="AX166" s="548">
        <f t="shared" si="165"/>
        <v>0</v>
      </c>
      <c r="AY166" s="548">
        <f t="shared" si="165"/>
        <v>0</v>
      </c>
      <c r="AZ166" s="548">
        <f t="shared" si="165"/>
        <v>0</v>
      </c>
      <c r="BA166" s="548"/>
      <c r="BB166" s="548">
        <v>0</v>
      </c>
      <c r="BC166" s="548">
        <f t="shared" si="157"/>
        <v>0.5</v>
      </c>
      <c r="BD166" s="42">
        <f t="shared" si="158"/>
        <v>1</v>
      </c>
      <c r="BE166" s="42">
        <f t="shared" si="159"/>
        <v>0</v>
      </c>
      <c r="BF166" s="42">
        <f t="shared" si="160"/>
        <v>0</v>
      </c>
      <c r="BG166" s="42">
        <f t="shared" si="161"/>
        <v>0</v>
      </c>
      <c r="BH166" s="42">
        <f t="shared" si="162"/>
        <v>0</v>
      </c>
      <c r="BI166" s="42">
        <f t="shared" si="142"/>
        <v>0</v>
      </c>
      <c r="BJ166" s="42">
        <f t="shared" si="163"/>
        <v>0</v>
      </c>
      <c r="BK166" s="42">
        <f t="shared" si="164"/>
        <v>1</v>
      </c>
      <c r="BL166" s="40">
        <f t="shared" si="135"/>
        <v>1</v>
      </c>
    </row>
    <row r="167" spans="1:64" ht="61.5" customHeight="1" x14ac:dyDescent="0.25">
      <c r="A167" s="298" t="s">
        <v>491</v>
      </c>
      <c r="B167" s="299" t="s">
        <v>489</v>
      </c>
      <c r="C167" s="1547"/>
      <c r="D167" s="1551"/>
      <c r="E167" s="1551"/>
      <c r="F167" s="1551"/>
      <c r="G167" s="1551"/>
      <c r="H167" s="1551"/>
      <c r="I167" s="1425"/>
      <c r="J167" s="1425"/>
      <c r="K167" s="1425" t="s">
        <v>534</v>
      </c>
      <c r="L167" s="301" t="s">
        <v>496</v>
      </c>
      <c r="M167" s="1425" t="s">
        <v>497</v>
      </c>
      <c r="N167" s="476" t="s">
        <v>2491</v>
      </c>
      <c r="O167" s="1425" t="s">
        <v>47</v>
      </c>
      <c r="P167" s="16" t="s">
        <v>535</v>
      </c>
      <c r="Q167" s="302" t="s">
        <v>536</v>
      </c>
      <c r="R167" s="303">
        <v>2015</v>
      </c>
      <c r="S167" s="303">
        <v>0</v>
      </c>
      <c r="T167" s="303">
        <v>3</v>
      </c>
      <c r="U167" s="303">
        <v>4</v>
      </c>
      <c r="V167" s="303">
        <v>4</v>
      </c>
      <c r="W167" s="303">
        <v>4</v>
      </c>
      <c r="X167" s="303">
        <v>15</v>
      </c>
      <c r="Y167" s="481">
        <v>0</v>
      </c>
      <c r="Z167" s="481">
        <v>0</v>
      </c>
      <c r="AA167" s="481">
        <v>0</v>
      </c>
      <c r="AB167" s="481">
        <v>0</v>
      </c>
      <c r="AC167" s="481">
        <v>0</v>
      </c>
      <c r="AD167" s="491">
        <v>0.5</v>
      </c>
      <c r="AE167" s="481">
        <v>0</v>
      </c>
      <c r="AF167" s="481">
        <f t="shared" si="153"/>
        <v>0.5</v>
      </c>
      <c r="AG167" s="491">
        <v>0.5</v>
      </c>
      <c r="AH167" s="548">
        <v>0</v>
      </c>
      <c r="AI167" s="548">
        <v>0</v>
      </c>
      <c r="AJ167" s="548">
        <v>0</v>
      </c>
      <c r="AK167" s="548">
        <v>0</v>
      </c>
      <c r="AL167" s="548">
        <v>0</v>
      </c>
      <c r="AM167" s="548">
        <f t="shared" si="154"/>
        <v>0.5</v>
      </c>
      <c r="AN167" s="491">
        <v>0.5</v>
      </c>
      <c r="AO167" s="481">
        <v>0</v>
      </c>
      <c r="AP167" s="481">
        <v>0</v>
      </c>
      <c r="AQ167" s="481">
        <v>0</v>
      </c>
      <c r="AR167" s="481">
        <v>0</v>
      </c>
      <c r="AS167" s="481">
        <v>0</v>
      </c>
      <c r="AT167" s="481">
        <v>0</v>
      </c>
      <c r="AU167" s="481">
        <f t="shared" si="155"/>
        <v>0.5</v>
      </c>
      <c r="AV167" s="548">
        <f t="shared" si="165"/>
        <v>0.51749999999999996</v>
      </c>
      <c r="AW167" s="548">
        <f t="shared" si="165"/>
        <v>0</v>
      </c>
      <c r="AX167" s="548">
        <f t="shared" si="165"/>
        <v>0</v>
      </c>
      <c r="AY167" s="548">
        <f t="shared" si="165"/>
        <v>0</v>
      </c>
      <c r="AZ167" s="548">
        <f t="shared" si="165"/>
        <v>0</v>
      </c>
      <c r="BA167" s="548">
        <f>AS167*1.035</f>
        <v>0</v>
      </c>
      <c r="BB167" s="548">
        <f>AT167*1.035</f>
        <v>0</v>
      </c>
      <c r="BC167" s="548">
        <f t="shared" si="157"/>
        <v>0.51749999999999996</v>
      </c>
      <c r="BD167" s="42">
        <f t="shared" si="158"/>
        <v>1.5175000000000001</v>
      </c>
      <c r="BE167" s="42">
        <f t="shared" si="159"/>
        <v>0</v>
      </c>
      <c r="BF167" s="42">
        <f t="shared" si="160"/>
        <v>0</v>
      </c>
      <c r="BG167" s="42">
        <f t="shared" si="161"/>
        <v>0</v>
      </c>
      <c r="BH167" s="42">
        <f t="shared" si="162"/>
        <v>0</v>
      </c>
      <c r="BI167" s="42">
        <f t="shared" si="142"/>
        <v>0.5</v>
      </c>
      <c r="BJ167" s="42">
        <f t="shared" si="163"/>
        <v>0</v>
      </c>
      <c r="BK167" s="42">
        <f t="shared" si="164"/>
        <v>2.0175000000000001</v>
      </c>
      <c r="BL167" s="40">
        <f t="shared" si="135"/>
        <v>2.0175000000000001</v>
      </c>
    </row>
    <row r="168" spans="1:64" ht="63" customHeight="1" x14ac:dyDescent="0.25">
      <c r="A168" s="298" t="s">
        <v>491</v>
      </c>
      <c r="B168" s="299" t="s">
        <v>489</v>
      </c>
      <c r="C168" s="1547"/>
      <c r="D168" s="1551"/>
      <c r="E168" s="1551"/>
      <c r="F168" s="1551"/>
      <c r="G168" s="1551"/>
      <c r="H168" s="1551"/>
      <c r="I168" s="1425"/>
      <c r="J168" s="1425"/>
      <c r="K168" s="1425" t="s">
        <v>537</v>
      </c>
      <c r="L168" s="301" t="s">
        <v>496</v>
      </c>
      <c r="M168" s="1425" t="s">
        <v>497</v>
      </c>
      <c r="N168" s="476" t="s">
        <v>2491</v>
      </c>
      <c r="O168" s="1425" t="s">
        <v>73</v>
      </c>
      <c r="P168" s="16" t="s">
        <v>538</v>
      </c>
      <c r="Q168" s="302" t="s">
        <v>539</v>
      </c>
      <c r="R168" s="303">
        <v>2015</v>
      </c>
      <c r="S168" s="303">
        <v>1</v>
      </c>
      <c r="T168" s="303">
        <v>1</v>
      </c>
      <c r="U168" s="303">
        <v>1</v>
      </c>
      <c r="V168" s="303">
        <v>1</v>
      </c>
      <c r="W168" s="303">
        <v>1</v>
      </c>
      <c r="X168" s="303">
        <v>1</v>
      </c>
      <c r="Y168" s="481">
        <v>0</v>
      </c>
      <c r="Z168" s="481">
        <v>0</v>
      </c>
      <c r="AA168" s="481">
        <v>0</v>
      </c>
      <c r="AB168" s="481">
        <v>0</v>
      </c>
      <c r="AC168" s="481">
        <v>0</v>
      </c>
      <c r="AD168" s="491">
        <v>18</v>
      </c>
      <c r="AE168" s="481">
        <v>0</v>
      </c>
      <c r="AF168" s="481">
        <f t="shared" si="153"/>
        <v>18</v>
      </c>
      <c r="AG168" s="491">
        <v>9</v>
      </c>
      <c r="AH168" s="548">
        <v>0</v>
      </c>
      <c r="AI168" s="548">
        <v>0</v>
      </c>
      <c r="AJ168" s="548">
        <v>0</v>
      </c>
      <c r="AK168" s="548">
        <v>0</v>
      </c>
      <c r="AL168" s="548">
        <v>0</v>
      </c>
      <c r="AM168" s="548">
        <f t="shared" si="154"/>
        <v>9</v>
      </c>
      <c r="AN168" s="491">
        <v>9</v>
      </c>
      <c r="AO168" s="481">
        <v>0</v>
      </c>
      <c r="AP168" s="481">
        <v>0</v>
      </c>
      <c r="AQ168" s="481">
        <v>0</v>
      </c>
      <c r="AR168" s="481">
        <v>0</v>
      </c>
      <c r="AS168" s="481">
        <v>0</v>
      </c>
      <c r="AT168" s="481">
        <v>0</v>
      </c>
      <c r="AU168" s="481">
        <f t="shared" si="155"/>
        <v>9</v>
      </c>
      <c r="AV168" s="491">
        <v>10</v>
      </c>
      <c r="AW168" s="548">
        <v>0</v>
      </c>
      <c r="AX168" s="548">
        <v>0</v>
      </c>
      <c r="AY168" s="548">
        <v>0</v>
      </c>
      <c r="AZ168" s="548">
        <v>0</v>
      </c>
      <c r="BA168" s="548"/>
      <c r="BB168" s="548">
        <v>0</v>
      </c>
      <c r="BC168" s="548">
        <f t="shared" si="157"/>
        <v>10</v>
      </c>
      <c r="BD168" s="42">
        <f t="shared" si="158"/>
        <v>28</v>
      </c>
      <c r="BE168" s="42">
        <f t="shared" si="159"/>
        <v>0</v>
      </c>
      <c r="BF168" s="42">
        <f t="shared" si="160"/>
        <v>0</v>
      </c>
      <c r="BG168" s="42">
        <f t="shared" si="161"/>
        <v>0</v>
      </c>
      <c r="BH168" s="42">
        <f t="shared" si="162"/>
        <v>0</v>
      </c>
      <c r="BI168" s="42">
        <f t="shared" si="142"/>
        <v>18</v>
      </c>
      <c r="BJ168" s="42">
        <f t="shared" si="163"/>
        <v>0</v>
      </c>
      <c r="BK168" s="42">
        <f t="shared" si="164"/>
        <v>46</v>
      </c>
      <c r="BL168" s="40">
        <f t="shared" si="135"/>
        <v>46</v>
      </c>
    </row>
    <row r="169" spans="1:64" ht="68.25" customHeight="1" x14ac:dyDescent="0.25">
      <c r="A169" s="298" t="s">
        <v>491</v>
      </c>
      <c r="B169" s="299" t="s">
        <v>489</v>
      </c>
      <c r="C169" s="1547"/>
      <c r="D169" s="1551"/>
      <c r="E169" s="1551"/>
      <c r="F169" s="1551"/>
      <c r="G169" s="1551"/>
      <c r="H169" s="1551"/>
      <c r="I169" s="1425"/>
      <c r="J169" s="1425"/>
      <c r="K169" s="1425" t="s">
        <v>540</v>
      </c>
      <c r="L169" s="301" t="s">
        <v>496</v>
      </c>
      <c r="M169" s="1425" t="s">
        <v>497</v>
      </c>
      <c r="N169" s="476" t="s">
        <v>2491</v>
      </c>
      <c r="O169" s="1425" t="s">
        <v>73</v>
      </c>
      <c r="P169" s="16" t="s">
        <v>541</v>
      </c>
      <c r="Q169" s="302" t="s">
        <v>542</v>
      </c>
      <c r="R169" s="303">
        <v>2015</v>
      </c>
      <c r="S169" s="303">
        <v>0</v>
      </c>
      <c r="T169" s="303">
        <v>1</v>
      </c>
      <c r="U169" s="303">
        <v>1</v>
      </c>
      <c r="V169" s="303">
        <v>1</v>
      </c>
      <c r="W169" s="303">
        <v>1</v>
      </c>
      <c r="X169" s="303">
        <v>1</v>
      </c>
      <c r="Y169" s="481"/>
      <c r="Z169" s="481"/>
      <c r="AA169" s="481"/>
      <c r="AB169" s="481"/>
      <c r="AC169" s="481"/>
      <c r="AD169" s="481">
        <v>30</v>
      </c>
      <c r="AE169" s="481"/>
      <c r="AF169" s="481">
        <f t="shared" si="153"/>
        <v>30</v>
      </c>
      <c r="AG169" s="491">
        <v>9.24</v>
      </c>
      <c r="AH169" s="548"/>
      <c r="AI169" s="548"/>
      <c r="AJ169" s="548"/>
      <c r="AK169" s="548"/>
      <c r="AL169" s="548"/>
      <c r="AM169" s="548">
        <f t="shared" si="154"/>
        <v>9.24</v>
      </c>
      <c r="AN169" s="491">
        <v>9</v>
      </c>
      <c r="AO169" s="481"/>
      <c r="AP169" s="481"/>
      <c r="AQ169" s="481"/>
      <c r="AR169" s="481"/>
      <c r="AS169" s="481">
        <v>0</v>
      </c>
      <c r="AT169" s="481"/>
      <c r="AU169" s="481">
        <f t="shared" si="155"/>
        <v>9</v>
      </c>
      <c r="AV169" s="491">
        <v>10.35</v>
      </c>
      <c r="AW169" s="548"/>
      <c r="AX169" s="548"/>
      <c r="AY169" s="548"/>
      <c r="AZ169" s="548"/>
      <c r="BA169" s="548"/>
      <c r="BB169" s="548"/>
      <c r="BC169" s="548">
        <f t="shared" si="157"/>
        <v>10.35</v>
      </c>
      <c r="BD169" s="42">
        <f t="shared" si="158"/>
        <v>28.590000000000003</v>
      </c>
      <c r="BE169" s="42">
        <f t="shared" si="159"/>
        <v>0</v>
      </c>
      <c r="BF169" s="42">
        <f t="shared" si="160"/>
        <v>0</v>
      </c>
      <c r="BG169" s="42">
        <f t="shared" si="161"/>
        <v>0</v>
      </c>
      <c r="BH169" s="42">
        <f t="shared" si="162"/>
        <v>0</v>
      </c>
      <c r="BI169" s="42">
        <f t="shared" si="142"/>
        <v>30</v>
      </c>
      <c r="BJ169" s="42">
        <f t="shared" si="163"/>
        <v>0</v>
      </c>
      <c r="BK169" s="42">
        <f t="shared" si="164"/>
        <v>58.59</v>
      </c>
      <c r="BL169" s="40">
        <f t="shared" si="135"/>
        <v>58.59</v>
      </c>
    </row>
    <row r="170" spans="1:64" ht="75" customHeight="1" x14ac:dyDescent="0.25">
      <c r="A170" s="298" t="s">
        <v>491</v>
      </c>
      <c r="B170" s="299" t="s">
        <v>489</v>
      </c>
      <c r="C170" s="1547"/>
      <c r="D170" s="1551"/>
      <c r="E170" s="1551"/>
      <c r="F170" s="1551"/>
      <c r="G170" s="1551"/>
      <c r="H170" s="1551"/>
      <c r="I170" s="1425"/>
      <c r="J170" s="1425"/>
      <c r="K170" s="1425" t="s">
        <v>543</v>
      </c>
      <c r="L170" s="301" t="s">
        <v>496</v>
      </c>
      <c r="M170" s="1425" t="s">
        <v>497</v>
      </c>
      <c r="N170" s="476" t="s">
        <v>2491</v>
      </c>
      <c r="O170" s="1425" t="s">
        <v>47</v>
      </c>
      <c r="P170" s="16" t="s">
        <v>544</v>
      </c>
      <c r="Q170" s="302" t="s">
        <v>545</v>
      </c>
      <c r="R170" s="303">
        <v>2015</v>
      </c>
      <c r="S170" s="303">
        <v>0</v>
      </c>
      <c r="T170" s="303">
        <v>3</v>
      </c>
      <c r="U170" s="303">
        <v>3</v>
      </c>
      <c r="V170" s="303">
        <v>3</v>
      </c>
      <c r="W170" s="303">
        <v>3</v>
      </c>
      <c r="X170" s="303">
        <v>12</v>
      </c>
      <c r="Y170" s="481">
        <v>0</v>
      </c>
      <c r="Z170" s="481">
        <v>0</v>
      </c>
      <c r="AA170" s="481">
        <v>0</v>
      </c>
      <c r="AB170" s="481">
        <v>0</v>
      </c>
      <c r="AC170" s="481">
        <v>0</v>
      </c>
      <c r="AD170" s="491">
        <v>0.5</v>
      </c>
      <c r="AE170" s="481">
        <v>0</v>
      </c>
      <c r="AF170" s="481">
        <f t="shared" si="153"/>
        <v>0.5</v>
      </c>
      <c r="AG170" s="491">
        <v>0.5</v>
      </c>
      <c r="AH170" s="548">
        <v>0</v>
      </c>
      <c r="AI170" s="548">
        <v>0</v>
      </c>
      <c r="AJ170" s="548">
        <v>0</v>
      </c>
      <c r="AK170" s="548">
        <v>0</v>
      </c>
      <c r="AL170" s="548">
        <v>0</v>
      </c>
      <c r="AM170" s="548">
        <f t="shared" si="154"/>
        <v>0.5</v>
      </c>
      <c r="AN170" s="491">
        <v>0.5</v>
      </c>
      <c r="AO170" s="481">
        <v>0</v>
      </c>
      <c r="AP170" s="481">
        <v>0</v>
      </c>
      <c r="AQ170" s="481">
        <v>0</v>
      </c>
      <c r="AR170" s="481">
        <v>0</v>
      </c>
      <c r="AS170" s="481">
        <v>0</v>
      </c>
      <c r="AT170" s="481">
        <v>0</v>
      </c>
      <c r="AU170" s="481">
        <f t="shared" si="155"/>
        <v>0.5</v>
      </c>
      <c r="AV170" s="491">
        <v>0.5</v>
      </c>
      <c r="AW170" s="548">
        <v>0</v>
      </c>
      <c r="AX170" s="548">
        <v>0</v>
      </c>
      <c r="AY170" s="548">
        <v>0</v>
      </c>
      <c r="AZ170" s="548">
        <v>0</v>
      </c>
      <c r="BA170" s="548">
        <v>0</v>
      </c>
      <c r="BB170" s="548">
        <v>0</v>
      </c>
      <c r="BC170" s="548">
        <f t="shared" si="157"/>
        <v>0.5</v>
      </c>
      <c r="BD170" s="42">
        <f t="shared" si="158"/>
        <v>1.5</v>
      </c>
      <c r="BE170" s="42">
        <f t="shared" si="159"/>
        <v>0</v>
      </c>
      <c r="BF170" s="42">
        <f t="shared" si="160"/>
        <v>0</v>
      </c>
      <c r="BG170" s="42">
        <f t="shared" si="161"/>
        <v>0</v>
      </c>
      <c r="BH170" s="42">
        <f t="shared" si="162"/>
        <v>0</v>
      </c>
      <c r="BI170" s="42">
        <f t="shared" si="142"/>
        <v>0.5</v>
      </c>
      <c r="BJ170" s="42">
        <f t="shared" si="163"/>
        <v>0</v>
      </c>
      <c r="BK170" s="42">
        <f t="shared" si="164"/>
        <v>2</v>
      </c>
      <c r="BL170" s="40">
        <f t="shared" si="135"/>
        <v>2</v>
      </c>
    </row>
    <row r="171" spans="1:64" ht="78" customHeight="1" x14ac:dyDescent="0.25">
      <c r="A171" s="298" t="s">
        <v>491</v>
      </c>
      <c r="B171" s="299" t="s">
        <v>489</v>
      </c>
      <c r="C171" s="1547"/>
      <c r="D171" s="1551"/>
      <c r="E171" s="1551"/>
      <c r="F171" s="1551"/>
      <c r="G171" s="1551"/>
      <c r="H171" s="1551"/>
      <c r="I171" s="1425"/>
      <c r="J171" s="1425"/>
      <c r="K171" s="1425" t="s">
        <v>546</v>
      </c>
      <c r="L171" s="301" t="s">
        <v>496</v>
      </c>
      <c r="M171" s="1425" t="s">
        <v>497</v>
      </c>
      <c r="N171" s="476" t="s">
        <v>2491</v>
      </c>
      <c r="O171" s="1425" t="s">
        <v>73</v>
      </c>
      <c r="P171" s="16" t="s">
        <v>547</v>
      </c>
      <c r="Q171" s="302" t="s">
        <v>548</v>
      </c>
      <c r="R171" s="303">
        <v>2015</v>
      </c>
      <c r="S171" s="303">
        <v>0</v>
      </c>
      <c r="T171" s="303">
        <v>1</v>
      </c>
      <c r="U171" s="303">
        <v>1</v>
      </c>
      <c r="V171" s="303">
        <v>1</v>
      </c>
      <c r="W171" s="303">
        <v>1</v>
      </c>
      <c r="X171" s="303">
        <v>1</v>
      </c>
      <c r="Y171" s="481">
        <v>0</v>
      </c>
      <c r="Z171" s="481">
        <v>0</v>
      </c>
      <c r="AA171" s="481">
        <v>0</v>
      </c>
      <c r="AB171" s="481">
        <v>0</v>
      </c>
      <c r="AC171" s="481">
        <v>0</v>
      </c>
      <c r="AD171" s="481">
        <v>10</v>
      </c>
      <c r="AE171" s="481">
        <v>0</v>
      </c>
      <c r="AF171" s="481">
        <f t="shared" si="153"/>
        <v>10</v>
      </c>
      <c r="AG171" s="491">
        <v>0.5</v>
      </c>
      <c r="AH171" s="548">
        <v>0</v>
      </c>
      <c r="AI171" s="548">
        <v>0</v>
      </c>
      <c r="AJ171" s="548">
        <v>0</v>
      </c>
      <c r="AK171" s="548">
        <v>0</v>
      </c>
      <c r="AL171" s="548">
        <v>0</v>
      </c>
      <c r="AM171" s="548">
        <f t="shared" si="154"/>
        <v>0.5</v>
      </c>
      <c r="AN171" s="491">
        <v>0.5</v>
      </c>
      <c r="AO171" s="481">
        <v>0</v>
      </c>
      <c r="AP171" s="481">
        <v>0</v>
      </c>
      <c r="AQ171" s="481">
        <v>0</v>
      </c>
      <c r="AR171" s="481">
        <v>0</v>
      </c>
      <c r="AS171" s="481">
        <v>0</v>
      </c>
      <c r="AT171" s="481">
        <v>0</v>
      </c>
      <c r="AU171" s="481">
        <f t="shared" si="155"/>
        <v>0.5</v>
      </c>
      <c r="AV171" s="491">
        <v>0.5</v>
      </c>
      <c r="AW171" s="548">
        <v>0</v>
      </c>
      <c r="AX171" s="548">
        <v>0</v>
      </c>
      <c r="AY171" s="548">
        <v>0</v>
      </c>
      <c r="AZ171" s="548">
        <v>0</v>
      </c>
      <c r="BA171" s="548"/>
      <c r="BB171" s="548">
        <v>0</v>
      </c>
      <c r="BC171" s="548">
        <f t="shared" si="157"/>
        <v>0.5</v>
      </c>
      <c r="BD171" s="42">
        <f t="shared" si="158"/>
        <v>1.5</v>
      </c>
      <c r="BE171" s="42">
        <f t="shared" si="159"/>
        <v>0</v>
      </c>
      <c r="BF171" s="42">
        <f t="shared" si="160"/>
        <v>0</v>
      </c>
      <c r="BG171" s="42">
        <f t="shared" si="161"/>
        <v>0</v>
      </c>
      <c r="BH171" s="42">
        <f t="shared" si="162"/>
        <v>0</v>
      </c>
      <c r="BI171" s="42">
        <f t="shared" si="142"/>
        <v>10</v>
      </c>
      <c r="BJ171" s="42">
        <f t="shared" si="163"/>
        <v>0</v>
      </c>
      <c r="BK171" s="42">
        <f t="shared" si="164"/>
        <v>11.5</v>
      </c>
      <c r="BL171" s="40">
        <f t="shared" si="135"/>
        <v>11.5</v>
      </c>
    </row>
    <row r="172" spans="1:64" ht="87.75" customHeight="1" x14ac:dyDescent="0.25">
      <c r="A172" s="298" t="s">
        <v>491</v>
      </c>
      <c r="B172" s="299" t="s">
        <v>489</v>
      </c>
      <c r="C172" s="1547"/>
      <c r="D172" s="1551"/>
      <c r="E172" s="1551"/>
      <c r="F172" s="1551"/>
      <c r="G172" s="1551"/>
      <c r="H172" s="1551"/>
      <c r="I172" s="1425"/>
      <c r="J172" s="1425"/>
      <c r="K172" s="1425" t="s">
        <v>549</v>
      </c>
      <c r="L172" s="301" t="s">
        <v>496</v>
      </c>
      <c r="M172" s="1425" t="s">
        <v>497</v>
      </c>
      <c r="N172" s="476" t="s">
        <v>2491</v>
      </c>
      <c r="O172" s="1425" t="s">
        <v>47</v>
      </c>
      <c r="P172" s="16" t="s">
        <v>550</v>
      </c>
      <c r="Q172" s="302" t="s">
        <v>551</v>
      </c>
      <c r="R172" s="303">
        <v>2015</v>
      </c>
      <c r="S172" s="303">
        <v>48</v>
      </c>
      <c r="T172" s="303">
        <v>24</v>
      </c>
      <c r="U172" s="303">
        <v>24</v>
      </c>
      <c r="V172" s="303">
        <v>24</v>
      </c>
      <c r="W172" s="303">
        <v>24</v>
      </c>
      <c r="X172" s="303">
        <v>96</v>
      </c>
      <c r="Y172" s="481">
        <v>0</v>
      </c>
      <c r="Z172" s="481">
        <v>0</v>
      </c>
      <c r="AA172" s="491">
        <v>7.63</v>
      </c>
      <c r="AB172" s="481">
        <v>0</v>
      </c>
      <c r="AC172" s="481">
        <v>0</v>
      </c>
      <c r="AD172" s="491">
        <v>0.5</v>
      </c>
      <c r="AE172" s="481">
        <v>0</v>
      </c>
      <c r="AF172" s="481">
        <f t="shared" si="153"/>
        <v>8.129999999999999</v>
      </c>
      <c r="AG172" s="491">
        <v>0.5</v>
      </c>
      <c r="AH172" s="548">
        <v>0</v>
      </c>
      <c r="AI172" s="548">
        <v>0</v>
      </c>
      <c r="AJ172" s="548">
        <v>0</v>
      </c>
      <c r="AK172" s="548">
        <v>0</v>
      </c>
      <c r="AL172" s="548">
        <v>0</v>
      </c>
      <c r="AM172" s="548">
        <f t="shared" si="154"/>
        <v>0.5</v>
      </c>
      <c r="AN172" s="491">
        <v>0.5</v>
      </c>
      <c r="AO172" s="481">
        <v>0</v>
      </c>
      <c r="AP172" s="481">
        <v>0</v>
      </c>
      <c r="AQ172" s="481">
        <v>0</v>
      </c>
      <c r="AR172" s="481">
        <v>0</v>
      </c>
      <c r="AS172" s="481">
        <v>0</v>
      </c>
      <c r="AT172" s="481">
        <v>0</v>
      </c>
      <c r="AU172" s="481">
        <f t="shared" si="155"/>
        <v>0.5</v>
      </c>
      <c r="AV172" s="491">
        <v>0.5</v>
      </c>
      <c r="AW172" s="548">
        <v>0</v>
      </c>
      <c r="AX172" s="548">
        <v>0</v>
      </c>
      <c r="AY172" s="548">
        <v>0</v>
      </c>
      <c r="AZ172" s="548">
        <v>0</v>
      </c>
      <c r="BA172" s="548"/>
      <c r="BB172" s="548">
        <v>0</v>
      </c>
      <c r="BC172" s="548">
        <f t="shared" si="157"/>
        <v>0.5</v>
      </c>
      <c r="BD172" s="42">
        <f t="shared" si="158"/>
        <v>1.5</v>
      </c>
      <c r="BE172" s="42">
        <f t="shared" si="159"/>
        <v>0</v>
      </c>
      <c r="BF172" s="42">
        <f t="shared" si="160"/>
        <v>7.63</v>
      </c>
      <c r="BG172" s="42">
        <f t="shared" si="161"/>
        <v>0</v>
      </c>
      <c r="BH172" s="42">
        <f t="shared" si="162"/>
        <v>0</v>
      </c>
      <c r="BI172" s="42">
        <f t="shared" si="142"/>
        <v>0.5</v>
      </c>
      <c r="BJ172" s="42">
        <f t="shared" si="163"/>
        <v>0</v>
      </c>
      <c r="BK172" s="42">
        <f t="shared" si="164"/>
        <v>9.629999999999999</v>
      </c>
      <c r="BL172" s="40">
        <f t="shared" si="135"/>
        <v>9.629999999999999</v>
      </c>
    </row>
    <row r="173" spans="1:64" ht="86.25" customHeight="1" x14ac:dyDescent="0.25">
      <c r="A173" s="298" t="s">
        <v>491</v>
      </c>
      <c r="B173" s="299" t="s">
        <v>489</v>
      </c>
      <c r="C173" s="1547"/>
      <c r="D173" s="1551"/>
      <c r="E173" s="1551"/>
      <c r="F173" s="1551"/>
      <c r="G173" s="1551"/>
      <c r="H173" s="1551"/>
      <c r="I173" s="1425"/>
      <c r="J173" s="1425"/>
      <c r="K173" s="1425" t="s">
        <v>552</v>
      </c>
      <c r="L173" s="301" t="s">
        <v>496</v>
      </c>
      <c r="M173" s="1425" t="s">
        <v>497</v>
      </c>
      <c r="N173" s="476" t="s">
        <v>2491</v>
      </c>
      <c r="O173" s="1425" t="s">
        <v>73</v>
      </c>
      <c r="P173" s="16" t="s">
        <v>553</v>
      </c>
      <c r="Q173" s="302" t="s">
        <v>554</v>
      </c>
      <c r="R173" s="303">
        <v>2015</v>
      </c>
      <c r="S173" s="303">
        <v>3</v>
      </c>
      <c r="T173" s="303">
        <v>3</v>
      </c>
      <c r="U173" s="303">
        <v>3</v>
      </c>
      <c r="V173" s="303">
        <v>3</v>
      </c>
      <c r="W173" s="303">
        <v>3</v>
      </c>
      <c r="X173" s="303">
        <v>3</v>
      </c>
      <c r="Y173" s="481"/>
      <c r="Z173" s="481"/>
      <c r="AA173" s="481"/>
      <c r="AB173" s="481"/>
      <c r="AC173" s="481"/>
      <c r="AD173" s="491">
        <v>0.5</v>
      </c>
      <c r="AE173" s="481"/>
      <c r="AF173" s="481">
        <f t="shared" si="153"/>
        <v>0.5</v>
      </c>
      <c r="AG173" s="491">
        <v>0.5</v>
      </c>
      <c r="AH173" s="548"/>
      <c r="AI173" s="548"/>
      <c r="AJ173" s="548"/>
      <c r="AK173" s="548"/>
      <c r="AL173" s="548"/>
      <c r="AM173" s="548">
        <f t="shared" si="154"/>
        <v>0.5</v>
      </c>
      <c r="AN173" s="491">
        <v>0.5</v>
      </c>
      <c r="AO173" s="481"/>
      <c r="AP173" s="481"/>
      <c r="AQ173" s="481"/>
      <c r="AR173" s="481"/>
      <c r="AS173" s="481"/>
      <c r="AT173" s="481"/>
      <c r="AU173" s="481">
        <f t="shared" si="155"/>
        <v>0.5</v>
      </c>
      <c r="AV173" s="491">
        <v>0.5</v>
      </c>
      <c r="AW173" s="548"/>
      <c r="AX173" s="548"/>
      <c r="AY173" s="548"/>
      <c r="AZ173" s="548"/>
      <c r="BA173" s="548"/>
      <c r="BB173" s="548"/>
      <c r="BC173" s="548">
        <f t="shared" si="157"/>
        <v>0.5</v>
      </c>
      <c r="BD173" s="42">
        <f t="shared" si="158"/>
        <v>1.5</v>
      </c>
      <c r="BE173" s="42">
        <f t="shared" si="159"/>
        <v>0</v>
      </c>
      <c r="BF173" s="42">
        <f t="shared" si="160"/>
        <v>0</v>
      </c>
      <c r="BG173" s="42">
        <f t="shared" si="161"/>
        <v>0</v>
      </c>
      <c r="BH173" s="42">
        <f t="shared" si="162"/>
        <v>0</v>
      </c>
      <c r="BI173" s="42">
        <f t="shared" si="142"/>
        <v>0.5</v>
      </c>
      <c r="BJ173" s="42">
        <f t="shared" si="163"/>
        <v>0</v>
      </c>
      <c r="BK173" s="42">
        <f t="shared" si="164"/>
        <v>2</v>
      </c>
      <c r="BL173" s="40">
        <f t="shared" si="135"/>
        <v>2</v>
      </c>
    </row>
    <row r="174" spans="1:64" ht="45.75" customHeight="1" x14ac:dyDescent="0.25">
      <c r="A174" s="298" t="s">
        <v>491</v>
      </c>
      <c r="B174" s="299" t="s">
        <v>489</v>
      </c>
      <c r="C174" s="1547"/>
      <c r="D174" s="1551"/>
      <c r="E174" s="1551"/>
      <c r="F174" s="1551"/>
      <c r="G174" s="1551"/>
      <c r="H174" s="1551"/>
      <c r="I174" s="1425"/>
      <c r="J174" s="1425"/>
      <c r="K174" s="1425" t="s">
        <v>555</v>
      </c>
      <c r="L174" s="301" t="s">
        <v>496</v>
      </c>
      <c r="M174" s="1425" t="s">
        <v>497</v>
      </c>
      <c r="N174" s="476" t="s">
        <v>2491</v>
      </c>
      <c r="O174" s="1425" t="s">
        <v>73</v>
      </c>
      <c r="P174" s="16" t="s">
        <v>556</v>
      </c>
      <c r="Q174" s="302" t="s">
        <v>557</v>
      </c>
      <c r="R174" s="303">
        <v>2015</v>
      </c>
      <c r="S174" s="303">
        <v>1</v>
      </c>
      <c r="T174" s="303">
        <v>1</v>
      </c>
      <c r="U174" s="303">
        <v>1</v>
      </c>
      <c r="V174" s="303">
        <v>1</v>
      </c>
      <c r="W174" s="303">
        <v>1</v>
      </c>
      <c r="X174" s="303">
        <v>1</v>
      </c>
      <c r="Y174" s="481">
        <v>0</v>
      </c>
      <c r="Z174" s="481">
        <v>0</v>
      </c>
      <c r="AA174" s="481">
        <v>0</v>
      </c>
      <c r="AB174" s="481">
        <v>0</v>
      </c>
      <c r="AC174" s="481">
        <v>0</v>
      </c>
      <c r="AD174" s="481">
        <v>5</v>
      </c>
      <c r="AE174" s="481">
        <v>0</v>
      </c>
      <c r="AF174" s="481">
        <f t="shared" si="153"/>
        <v>5</v>
      </c>
      <c r="AG174" s="491">
        <v>0.5</v>
      </c>
      <c r="AH174" s="548">
        <v>0</v>
      </c>
      <c r="AI174" s="548">
        <v>0</v>
      </c>
      <c r="AJ174" s="548">
        <v>0</v>
      </c>
      <c r="AK174" s="548">
        <v>0</v>
      </c>
      <c r="AL174" s="548">
        <v>0</v>
      </c>
      <c r="AM174" s="548">
        <f t="shared" si="154"/>
        <v>0.5</v>
      </c>
      <c r="AN174" s="491">
        <v>0.5</v>
      </c>
      <c r="AO174" s="481">
        <v>0</v>
      </c>
      <c r="AP174" s="481">
        <v>0</v>
      </c>
      <c r="AQ174" s="481">
        <v>0</v>
      </c>
      <c r="AR174" s="481">
        <v>0</v>
      </c>
      <c r="AS174" s="481">
        <v>0</v>
      </c>
      <c r="AT174" s="481">
        <v>0</v>
      </c>
      <c r="AU174" s="481">
        <f t="shared" si="155"/>
        <v>0.5</v>
      </c>
      <c r="AV174" s="491">
        <v>0.5</v>
      </c>
      <c r="AW174" s="548">
        <v>0</v>
      </c>
      <c r="AX174" s="548">
        <v>0</v>
      </c>
      <c r="AY174" s="548">
        <v>0</v>
      </c>
      <c r="AZ174" s="548">
        <v>0</v>
      </c>
      <c r="BA174" s="548"/>
      <c r="BB174" s="548">
        <v>0</v>
      </c>
      <c r="BC174" s="548">
        <f t="shared" si="157"/>
        <v>0.5</v>
      </c>
      <c r="BD174" s="42">
        <f t="shared" si="158"/>
        <v>1.5</v>
      </c>
      <c r="BE174" s="42">
        <f t="shared" si="159"/>
        <v>0</v>
      </c>
      <c r="BF174" s="42">
        <f t="shared" si="160"/>
        <v>0</v>
      </c>
      <c r="BG174" s="42">
        <f t="shared" si="161"/>
        <v>0</v>
      </c>
      <c r="BH174" s="42">
        <f t="shared" si="162"/>
        <v>0</v>
      </c>
      <c r="BI174" s="42">
        <f t="shared" si="142"/>
        <v>5</v>
      </c>
      <c r="BJ174" s="42">
        <f t="shared" si="163"/>
        <v>0</v>
      </c>
      <c r="BK174" s="42">
        <f t="shared" si="164"/>
        <v>6.5</v>
      </c>
      <c r="BL174" s="40">
        <f t="shared" si="135"/>
        <v>6.5</v>
      </c>
    </row>
    <row r="175" spans="1:64" ht="61.5" customHeight="1" x14ac:dyDescent="0.25">
      <c r="A175" s="298" t="s">
        <v>491</v>
      </c>
      <c r="B175" s="299" t="s">
        <v>489</v>
      </c>
      <c r="C175" s="1547"/>
      <c r="D175" s="1551"/>
      <c r="E175" s="1551"/>
      <c r="F175" s="1551"/>
      <c r="G175" s="1551"/>
      <c r="H175" s="1551"/>
      <c r="I175" s="1425"/>
      <c r="J175" s="1425"/>
      <c r="K175" s="1425" t="s">
        <v>558</v>
      </c>
      <c r="L175" s="301" t="s">
        <v>496</v>
      </c>
      <c r="M175" s="1425" t="s">
        <v>497</v>
      </c>
      <c r="N175" s="476" t="s">
        <v>2491</v>
      </c>
      <c r="O175" s="1425" t="s">
        <v>73</v>
      </c>
      <c r="P175" s="16" t="s">
        <v>559</v>
      </c>
      <c r="Q175" s="302" t="s">
        <v>560</v>
      </c>
      <c r="R175" s="303">
        <v>2015</v>
      </c>
      <c r="S175" s="303">
        <v>1</v>
      </c>
      <c r="T175" s="303">
        <v>1</v>
      </c>
      <c r="U175" s="303">
        <v>1</v>
      </c>
      <c r="V175" s="303">
        <v>1</v>
      </c>
      <c r="W175" s="303">
        <v>1</v>
      </c>
      <c r="X175" s="303">
        <v>1</v>
      </c>
      <c r="Y175" s="481">
        <v>4</v>
      </c>
      <c r="Z175" s="481"/>
      <c r="AA175" s="481"/>
      <c r="AB175" s="481"/>
      <c r="AC175" s="481"/>
      <c r="AD175" s="491">
        <v>0.5</v>
      </c>
      <c r="AE175" s="481"/>
      <c r="AF175" s="481">
        <f t="shared" si="153"/>
        <v>4.5</v>
      </c>
      <c r="AG175" s="548">
        <v>4</v>
      </c>
      <c r="AH175" s="548"/>
      <c r="AI175" s="548"/>
      <c r="AJ175" s="548"/>
      <c r="AK175" s="548"/>
      <c r="AL175" s="548"/>
      <c r="AM175" s="548">
        <f t="shared" si="154"/>
        <v>4</v>
      </c>
      <c r="AN175" s="481">
        <v>4</v>
      </c>
      <c r="AO175" s="481"/>
      <c r="AP175" s="481"/>
      <c r="AQ175" s="481"/>
      <c r="AR175" s="481"/>
      <c r="AS175" s="481"/>
      <c r="AT175" s="481"/>
      <c r="AU175" s="481">
        <f t="shared" si="155"/>
        <v>4</v>
      </c>
      <c r="AV175" s="548">
        <v>4</v>
      </c>
      <c r="AW175" s="548"/>
      <c r="AX175" s="548"/>
      <c r="AY175" s="548"/>
      <c r="AZ175" s="548"/>
      <c r="BA175" s="548"/>
      <c r="BB175" s="548"/>
      <c r="BC175" s="548">
        <f t="shared" si="157"/>
        <v>4</v>
      </c>
      <c r="BD175" s="42">
        <f t="shared" si="158"/>
        <v>16</v>
      </c>
      <c r="BE175" s="42">
        <f t="shared" si="159"/>
        <v>0</v>
      </c>
      <c r="BF175" s="42">
        <f t="shared" si="160"/>
        <v>0</v>
      </c>
      <c r="BG175" s="42">
        <f t="shared" si="161"/>
        <v>0</v>
      </c>
      <c r="BH175" s="42">
        <f t="shared" si="162"/>
        <v>0</v>
      </c>
      <c r="BI175" s="42">
        <f t="shared" si="142"/>
        <v>0.5</v>
      </c>
      <c r="BJ175" s="42">
        <f t="shared" si="163"/>
        <v>0</v>
      </c>
      <c r="BK175" s="42">
        <f t="shared" si="164"/>
        <v>16.5</v>
      </c>
      <c r="BL175" s="40">
        <f t="shared" si="135"/>
        <v>16.5</v>
      </c>
    </row>
    <row r="176" spans="1:64" ht="141" customHeight="1" x14ac:dyDescent="0.25">
      <c r="A176" s="298" t="s">
        <v>491</v>
      </c>
      <c r="B176" s="299" t="s">
        <v>489</v>
      </c>
      <c r="C176" s="1547"/>
      <c r="D176" s="1551"/>
      <c r="E176" s="1551"/>
      <c r="F176" s="1551"/>
      <c r="G176" s="1551"/>
      <c r="H176" s="1551"/>
      <c r="I176" s="1425"/>
      <c r="J176" s="1425"/>
      <c r="K176" s="1425" t="s">
        <v>561</v>
      </c>
      <c r="L176" s="301" t="s">
        <v>496</v>
      </c>
      <c r="M176" s="1425" t="s">
        <v>497</v>
      </c>
      <c r="N176" s="476" t="s">
        <v>2491</v>
      </c>
      <c r="O176" s="1425" t="s">
        <v>73</v>
      </c>
      <c r="P176" s="883" t="s">
        <v>562</v>
      </c>
      <c r="Q176" s="302" t="s">
        <v>563</v>
      </c>
      <c r="R176" s="303">
        <v>2015</v>
      </c>
      <c r="S176" s="303">
        <v>1</v>
      </c>
      <c r="T176" s="303">
        <v>1</v>
      </c>
      <c r="U176" s="303">
        <v>1</v>
      </c>
      <c r="V176" s="303">
        <v>1</v>
      </c>
      <c r="W176" s="303">
        <v>1</v>
      </c>
      <c r="X176" s="303">
        <v>1</v>
      </c>
      <c r="Y176" s="491">
        <v>29.37</v>
      </c>
      <c r="Z176" s="481"/>
      <c r="AA176" s="481">
        <v>36</v>
      </c>
      <c r="AB176" s="481"/>
      <c r="AC176" s="481"/>
      <c r="AD176" s="481">
        <v>100</v>
      </c>
      <c r="AE176" s="481"/>
      <c r="AF176" s="481">
        <f t="shared" si="153"/>
        <v>165.37</v>
      </c>
      <c r="AG176" s="491">
        <v>14</v>
      </c>
      <c r="AH176" s="548"/>
      <c r="AI176" s="548">
        <v>36</v>
      </c>
      <c r="AJ176" s="548"/>
      <c r="AK176" s="548"/>
      <c r="AL176" s="548"/>
      <c r="AM176" s="548">
        <f t="shared" si="154"/>
        <v>50</v>
      </c>
      <c r="AN176" s="491">
        <v>14</v>
      </c>
      <c r="AO176" s="481"/>
      <c r="AP176" s="481">
        <v>36</v>
      </c>
      <c r="AQ176" s="481"/>
      <c r="AR176" s="481"/>
      <c r="AS176" s="481">
        <v>0</v>
      </c>
      <c r="AT176" s="481"/>
      <c r="AU176" s="481">
        <f t="shared" si="155"/>
        <v>50</v>
      </c>
      <c r="AV176" s="491">
        <v>19</v>
      </c>
      <c r="AW176" s="548"/>
      <c r="AX176" s="548"/>
      <c r="AY176" s="548"/>
      <c r="AZ176" s="548"/>
      <c r="BA176" s="548"/>
      <c r="BB176" s="548"/>
      <c r="BC176" s="548">
        <f t="shared" si="157"/>
        <v>19</v>
      </c>
      <c r="BD176" s="42">
        <f t="shared" si="158"/>
        <v>76.37</v>
      </c>
      <c r="BE176" s="42">
        <f t="shared" si="159"/>
        <v>0</v>
      </c>
      <c r="BF176" s="42">
        <f t="shared" si="160"/>
        <v>108</v>
      </c>
      <c r="BG176" s="42">
        <f t="shared" si="161"/>
        <v>0</v>
      </c>
      <c r="BH176" s="42">
        <f t="shared" si="162"/>
        <v>0</v>
      </c>
      <c r="BI176" s="42">
        <f t="shared" si="142"/>
        <v>100</v>
      </c>
      <c r="BJ176" s="42">
        <f t="shared" si="163"/>
        <v>0</v>
      </c>
      <c r="BK176" s="42">
        <f t="shared" si="164"/>
        <v>284.37</v>
      </c>
      <c r="BL176" s="40">
        <f t="shared" si="135"/>
        <v>284.37</v>
      </c>
    </row>
    <row r="177" spans="1:64" ht="60" customHeight="1" x14ac:dyDescent="0.25">
      <c r="A177" s="298" t="s">
        <v>491</v>
      </c>
      <c r="B177" s="299" t="s">
        <v>489</v>
      </c>
      <c r="C177" s="1548"/>
      <c r="D177" s="1551"/>
      <c r="E177" s="1552"/>
      <c r="F177" s="1552"/>
      <c r="G177" s="1552"/>
      <c r="H177" s="1552"/>
      <c r="I177" s="1425"/>
      <c r="J177" s="1425"/>
      <c r="K177" s="1425" t="s">
        <v>564</v>
      </c>
      <c r="L177" s="301" t="s">
        <v>496</v>
      </c>
      <c r="M177" s="1425" t="s">
        <v>497</v>
      </c>
      <c r="N177" s="476" t="s">
        <v>2491</v>
      </c>
      <c r="O177" s="1425" t="s">
        <v>47</v>
      </c>
      <c r="P177" s="1201" t="s">
        <v>2493</v>
      </c>
      <c r="Q177" s="345" t="s">
        <v>566</v>
      </c>
      <c r="R177" s="303">
        <v>2015</v>
      </c>
      <c r="S177" s="303" t="s">
        <v>177</v>
      </c>
      <c r="T177" s="303">
        <v>0.5</v>
      </c>
      <c r="U177" s="303">
        <v>0.5</v>
      </c>
      <c r="V177" s="303">
        <v>1</v>
      </c>
      <c r="W177" s="303">
        <v>0</v>
      </c>
      <c r="X177" s="303">
        <v>2</v>
      </c>
      <c r="Y177" s="481">
        <v>16.27</v>
      </c>
      <c r="Z177" s="481"/>
      <c r="AA177" s="481"/>
      <c r="AB177" s="481"/>
      <c r="AC177" s="481"/>
      <c r="AD177" s="481">
        <v>31.26</v>
      </c>
      <c r="AE177" s="481"/>
      <c r="AF177" s="481">
        <f t="shared" si="153"/>
        <v>47.53</v>
      </c>
      <c r="AG177" s="548">
        <v>2</v>
      </c>
      <c r="AH177" s="548"/>
      <c r="AI177" s="548"/>
      <c r="AJ177" s="548"/>
      <c r="AK177" s="548"/>
      <c r="AL177" s="548"/>
      <c r="AM177" s="548">
        <f t="shared" si="154"/>
        <v>2</v>
      </c>
      <c r="AN177" s="481">
        <v>0</v>
      </c>
      <c r="AO177" s="481"/>
      <c r="AP177" s="481">
        <v>1</v>
      </c>
      <c r="AQ177" s="481"/>
      <c r="AR177" s="481"/>
      <c r="AS177" s="481"/>
      <c r="AT177" s="481"/>
      <c r="AU177" s="481">
        <f t="shared" si="155"/>
        <v>1</v>
      </c>
      <c r="AV177" s="548"/>
      <c r="AW177" s="548"/>
      <c r="AX177" s="548"/>
      <c r="AY177" s="548"/>
      <c r="AZ177" s="548"/>
      <c r="BA177" s="548"/>
      <c r="BB177" s="548"/>
      <c r="BC177" s="548">
        <f t="shared" si="157"/>
        <v>0</v>
      </c>
      <c r="BD177" s="42">
        <f t="shared" si="158"/>
        <v>18.27</v>
      </c>
      <c r="BE177" s="42">
        <f t="shared" si="159"/>
        <v>0</v>
      </c>
      <c r="BF177" s="42">
        <f t="shared" si="160"/>
        <v>1</v>
      </c>
      <c r="BG177" s="42">
        <f t="shared" si="161"/>
        <v>0</v>
      </c>
      <c r="BH177" s="42">
        <f t="shared" si="162"/>
        <v>0</v>
      </c>
      <c r="BI177" s="42">
        <f t="shared" si="142"/>
        <v>31.26</v>
      </c>
      <c r="BJ177" s="42">
        <f t="shared" si="163"/>
        <v>0</v>
      </c>
      <c r="BK177" s="42">
        <f t="shared" si="164"/>
        <v>50.53</v>
      </c>
      <c r="BL177" s="40">
        <f t="shared" si="135"/>
        <v>50.53</v>
      </c>
    </row>
    <row r="178" spans="1:64" ht="60" customHeight="1" x14ac:dyDescent="0.25">
      <c r="A178" s="1361"/>
      <c r="B178" s="299"/>
      <c r="C178" s="1424"/>
      <c r="D178" s="1552"/>
      <c r="E178" s="1427"/>
      <c r="F178" s="1427"/>
      <c r="G178" s="1427"/>
      <c r="H178" s="1427"/>
      <c r="I178" s="1425"/>
      <c r="J178" s="1425"/>
      <c r="K178" s="1425" t="s">
        <v>2494</v>
      </c>
      <c r="L178" s="301" t="s">
        <v>496</v>
      </c>
      <c r="M178" s="1425" t="s">
        <v>497</v>
      </c>
      <c r="N178" s="476" t="s">
        <v>2491</v>
      </c>
      <c r="O178" s="1425" t="s">
        <v>47</v>
      </c>
      <c r="P178" s="1201" t="s">
        <v>2495</v>
      </c>
      <c r="Q178" s="345" t="s">
        <v>2496</v>
      </c>
      <c r="R178" s="303"/>
      <c r="S178" s="303"/>
      <c r="T178" s="303"/>
      <c r="U178" s="303"/>
      <c r="V178" s="303"/>
      <c r="W178" s="303"/>
      <c r="X178" s="303"/>
      <c r="Y178" s="481"/>
      <c r="Z178" s="481"/>
      <c r="AA178" s="481"/>
      <c r="AB178" s="481"/>
      <c r="AC178" s="481"/>
      <c r="AD178" s="481"/>
      <c r="AE178" s="481"/>
      <c r="AF178" s="481"/>
      <c r="AG178" s="548"/>
      <c r="AH178" s="548"/>
      <c r="AI178" s="548"/>
      <c r="AJ178" s="548"/>
      <c r="AK178" s="548"/>
      <c r="AL178" s="548"/>
      <c r="AM178" s="548"/>
      <c r="AN178" s="481"/>
      <c r="AO178" s="481"/>
      <c r="AP178" s="481"/>
      <c r="AQ178" s="481"/>
      <c r="AR178" s="481"/>
      <c r="AS178" s="481"/>
      <c r="AT178" s="481"/>
      <c r="AU178" s="481"/>
      <c r="AV178" s="548"/>
      <c r="AW178" s="548"/>
      <c r="AX178" s="548"/>
      <c r="AY178" s="548"/>
      <c r="AZ178" s="548"/>
      <c r="BA178" s="548"/>
      <c r="BB178" s="548"/>
      <c r="BC178" s="548"/>
      <c r="BD178" s="42"/>
      <c r="BE178" s="42"/>
      <c r="BF178" s="42"/>
      <c r="BG178" s="42"/>
      <c r="BH178" s="42"/>
      <c r="BI178" s="42"/>
      <c r="BJ178" s="42"/>
      <c r="BK178" s="42"/>
    </row>
    <row r="179" spans="1:64" ht="43.5" customHeight="1" x14ac:dyDescent="0.25">
      <c r="A179" s="295" t="s">
        <v>491</v>
      </c>
      <c r="B179" s="154" t="s">
        <v>489</v>
      </c>
      <c r="C179" s="154"/>
      <c r="D179" s="2" t="s">
        <v>567</v>
      </c>
      <c r="E179" s="1"/>
      <c r="F179" s="1"/>
      <c r="G179" s="1"/>
      <c r="H179" s="1"/>
      <c r="I179" s="1"/>
      <c r="J179" s="1"/>
      <c r="K179" s="1"/>
      <c r="L179" s="1"/>
      <c r="M179" s="1"/>
      <c r="N179" s="1"/>
      <c r="O179" s="1"/>
      <c r="P179" s="22" t="s">
        <v>568</v>
      </c>
      <c r="Q179" s="22"/>
      <c r="R179" s="1"/>
      <c r="S179" s="1"/>
      <c r="T179" s="1"/>
      <c r="U179" s="1"/>
      <c r="V179" s="1"/>
      <c r="W179" s="1"/>
      <c r="X179" s="1"/>
      <c r="Y179" s="34">
        <f t="shared" ref="Y179:BK179" si="166">SUM(Y180:Y189)</f>
        <v>13</v>
      </c>
      <c r="Z179" s="34">
        <f t="shared" si="166"/>
        <v>0</v>
      </c>
      <c r="AA179" s="34">
        <f t="shared" si="166"/>
        <v>3</v>
      </c>
      <c r="AB179" s="34">
        <f t="shared" si="166"/>
        <v>0</v>
      </c>
      <c r="AC179" s="34">
        <f t="shared" si="166"/>
        <v>0</v>
      </c>
      <c r="AD179" s="34">
        <f t="shared" si="166"/>
        <v>8</v>
      </c>
      <c r="AE179" s="34">
        <f t="shared" si="166"/>
        <v>0</v>
      </c>
      <c r="AF179" s="34">
        <f t="shared" si="153"/>
        <v>24</v>
      </c>
      <c r="AG179" s="34">
        <f t="shared" si="166"/>
        <v>14</v>
      </c>
      <c r="AH179" s="34">
        <f t="shared" si="166"/>
        <v>0</v>
      </c>
      <c r="AI179" s="34">
        <f t="shared" si="166"/>
        <v>3</v>
      </c>
      <c r="AJ179" s="34">
        <f t="shared" si="166"/>
        <v>0</v>
      </c>
      <c r="AK179" s="34">
        <f t="shared" si="166"/>
        <v>0</v>
      </c>
      <c r="AL179" s="34">
        <f t="shared" si="166"/>
        <v>0</v>
      </c>
      <c r="AM179" s="34">
        <f t="shared" si="154"/>
        <v>17</v>
      </c>
      <c r="AN179" s="34">
        <f t="shared" si="166"/>
        <v>14</v>
      </c>
      <c r="AO179" s="34">
        <f t="shared" si="166"/>
        <v>0</v>
      </c>
      <c r="AP179" s="34">
        <f t="shared" si="166"/>
        <v>3</v>
      </c>
      <c r="AQ179" s="34">
        <f t="shared" si="166"/>
        <v>0</v>
      </c>
      <c r="AR179" s="34">
        <f t="shared" si="166"/>
        <v>0</v>
      </c>
      <c r="AS179" s="34">
        <f t="shared" si="166"/>
        <v>0</v>
      </c>
      <c r="AT179" s="34">
        <f t="shared" si="166"/>
        <v>0</v>
      </c>
      <c r="AU179" s="34">
        <f t="shared" si="155"/>
        <v>17</v>
      </c>
      <c r="AV179" s="34">
        <f t="shared" si="166"/>
        <v>14</v>
      </c>
      <c r="AW179" s="34">
        <f t="shared" si="166"/>
        <v>0</v>
      </c>
      <c r="AX179" s="34">
        <f t="shared" si="166"/>
        <v>3</v>
      </c>
      <c r="AY179" s="34">
        <f t="shared" si="166"/>
        <v>0</v>
      </c>
      <c r="AZ179" s="34">
        <f t="shared" si="166"/>
        <v>0</v>
      </c>
      <c r="BA179" s="34">
        <f t="shared" si="166"/>
        <v>0</v>
      </c>
      <c r="BB179" s="34">
        <f t="shared" si="166"/>
        <v>0</v>
      </c>
      <c r="BC179" s="34">
        <f t="shared" si="157"/>
        <v>17</v>
      </c>
      <c r="BD179" s="34">
        <f t="shared" si="166"/>
        <v>55</v>
      </c>
      <c r="BE179" s="34">
        <f t="shared" si="166"/>
        <v>0</v>
      </c>
      <c r="BF179" s="34">
        <f t="shared" si="166"/>
        <v>12</v>
      </c>
      <c r="BG179" s="34">
        <f t="shared" si="166"/>
        <v>0</v>
      </c>
      <c r="BH179" s="34">
        <f t="shared" si="166"/>
        <v>0</v>
      </c>
      <c r="BI179" s="34">
        <f t="shared" si="142"/>
        <v>8</v>
      </c>
      <c r="BJ179" s="34">
        <f t="shared" si="166"/>
        <v>0</v>
      </c>
      <c r="BK179" s="34">
        <f t="shared" si="166"/>
        <v>75</v>
      </c>
      <c r="BL179" s="40">
        <f t="shared" si="135"/>
        <v>75</v>
      </c>
    </row>
    <row r="180" spans="1:64" ht="68.25" customHeight="1" x14ac:dyDescent="0.25">
      <c r="A180" s="298" t="s">
        <v>491</v>
      </c>
      <c r="B180" s="299" t="s">
        <v>489</v>
      </c>
      <c r="C180" s="1546" t="s">
        <v>569</v>
      </c>
      <c r="D180" s="1550" t="s">
        <v>570</v>
      </c>
      <c r="E180" s="1550" t="s">
        <v>571</v>
      </c>
      <c r="F180" s="1550">
        <v>2015</v>
      </c>
      <c r="G180" s="1550" t="s">
        <v>177</v>
      </c>
      <c r="H180" s="1550">
        <v>10</v>
      </c>
      <c r="I180" s="1425"/>
      <c r="J180" s="1425"/>
      <c r="K180" s="1425" t="s">
        <v>572</v>
      </c>
      <c r="L180" s="301" t="s">
        <v>496</v>
      </c>
      <c r="M180" s="1425" t="s">
        <v>497</v>
      </c>
      <c r="N180" s="476" t="s">
        <v>2497</v>
      </c>
      <c r="O180" s="1425" t="s">
        <v>73</v>
      </c>
      <c r="P180" s="16" t="s">
        <v>573</v>
      </c>
      <c r="Q180" s="302" t="s">
        <v>574</v>
      </c>
      <c r="R180" s="303">
        <v>2015</v>
      </c>
      <c r="S180" s="303">
        <v>0</v>
      </c>
      <c r="T180" s="303">
        <v>1</v>
      </c>
      <c r="U180" s="303">
        <v>1</v>
      </c>
      <c r="V180" s="303">
        <v>1</v>
      </c>
      <c r="W180" s="303">
        <v>1</v>
      </c>
      <c r="X180" s="303">
        <v>1</v>
      </c>
      <c r="Y180" s="491">
        <v>3</v>
      </c>
      <c r="Z180" s="481"/>
      <c r="AA180" s="481"/>
      <c r="AB180" s="481"/>
      <c r="AC180" s="481"/>
      <c r="AD180" s="481"/>
      <c r="AE180" s="481"/>
      <c r="AF180" s="481">
        <f t="shared" si="153"/>
        <v>3</v>
      </c>
      <c r="AG180" s="491">
        <v>3</v>
      </c>
      <c r="AH180" s="548"/>
      <c r="AI180" s="548"/>
      <c r="AJ180" s="548"/>
      <c r="AK180" s="548"/>
      <c r="AL180" s="548"/>
      <c r="AM180" s="548">
        <f t="shared" si="154"/>
        <v>3</v>
      </c>
      <c r="AN180" s="491">
        <v>3</v>
      </c>
      <c r="AO180" s="481"/>
      <c r="AP180" s="481"/>
      <c r="AQ180" s="481"/>
      <c r="AR180" s="481"/>
      <c r="AS180" s="481"/>
      <c r="AT180" s="481"/>
      <c r="AU180" s="481">
        <f t="shared" si="155"/>
        <v>3</v>
      </c>
      <c r="AV180" s="491">
        <v>3</v>
      </c>
      <c r="AW180" s="548"/>
      <c r="AX180" s="548"/>
      <c r="AY180" s="548"/>
      <c r="AZ180" s="548"/>
      <c r="BA180" s="548"/>
      <c r="BB180" s="548"/>
      <c r="BC180" s="548">
        <f t="shared" si="157"/>
        <v>3</v>
      </c>
      <c r="BD180" s="42">
        <f t="shared" ref="BD180:BH184" si="167">+AV180+AN180+AG180+Y180</f>
        <v>12</v>
      </c>
      <c r="BE180" s="42">
        <f t="shared" si="167"/>
        <v>0</v>
      </c>
      <c r="BF180" s="42">
        <f t="shared" si="167"/>
        <v>0</v>
      </c>
      <c r="BG180" s="42">
        <f t="shared" si="167"/>
        <v>0</v>
      </c>
      <c r="BH180" s="42">
        <f t="shared" si="167"/>
        <v>0</v>
      </c>
      <c r="BI180" s="42">
        <f t="shared" si="142"/>
        <v>0</v>
      </c>
      <c r="BJ180" s="42">
        <f t="shared" ref="BJ180:BK184" si="168">+BB180+AT180+AL180+AE180</f>
        <v>0</v>
      </c>
      <c r="BK180" s="42">
        <f t="shared" si="168"/>
        <v>12</v>
      </c>
      <c r="BL180" s="40">
        <f t="shared" si="135"/>
        <v>12</v>
      </c>
    </row>
    <row r="181" spans="1:64" ht="84.75" customHeight="1" x14ac:dyDescent="0.25">
      <c r="A181" s="298" t="s">
        <v>491</v>
      </c>
      <c r="B181" s="299" t="s">
        <v>489</v>
      </c>
      <c r="C181" s="1547"/>
      <c r="D181" s="1551"/>
      <c r="E181" s="1551"/>
      <c r="F181" s="1551"/>
      <c r="G181" s="1551"/>
      <c r="H181" s="1551"/>
      <c r="I181" s="1425"/>
      <c r="J181" s="1425"/>
      <c r="K181" s="1425" t="s">
        <v>575</v>
      </c>
      <c r="L181" s="301" t="s">
        <v>496</v>
      </c>
      <c r="M181" s="1425" t="s">
        <v>497</v>
      </c>
      <c r="N181" s="476" t="s">
        <v>2497</v>
      </c>
      <c r="O181" s="1425" t="s">
        <v>47</v>
      </c>
      <c r="P181" s="16" t="s">
        <v>576</v>
      </c>
      <c r="Q181" s="302" t="s">
        <v>577</v>
      </c>
      <c r="R181" s="303">
        <v>2015</v>
      </c>
      <c r="S181" s="303">
        <v>0</v>
      </c>
      <c r="T181" s="303">
        <v>2</v>
      </c>
      <c r="U181" s="303">
        <v>2</v>
      </c>
      <c r="V181" s="303">
        <v>2</v>
      </c>
      <c r="W181" s="303">
        <v>2</v>
      </c>
      <c r="X181" s="303">
        <v>8</v>
      </c>
      <c r="Y181" s="491">
        <v>0.5</v>
      </c>
      <c r="Z181" s="481"/>
      <c r="AA181" s="481"/>
      <c r="AB181" s="481"/>
      <c r="AC181" s="481"/>
      <c r="AD181" s="481"/>
      <c r="AE181" s="481"/>
      <c r="AF181" s="481">
        <f t="shared" si="153"/>
        <v>0.5</v>
      </c>
      <c r="AG181" s="491">
        <v>0.5</v>
      </c>
      <c r="AH181" s="548"/>
      <c r="AI181" s="548"/>
      <c r="AJ181" s="548"/>
      <c r="AK181" s="548"/>
      <c r="AL181" s="548"/>
      <c r="AM181" s="548">
        <f t="shared" si="154"/>
        <v>0.5</v>
      </c>
      <c r="AN181" s="491">
        <v>0.5</v>
      </c>
      <c r="AO181" s="481"/>
      <c r="AP181" s="481"/>
      <c r="AQ181" s="481"/>
      <c r="AR181" s="481"/>
      <c r="AS181" s="481"/>
      <c r="AT181" s="481"/>
      <c r="AU181" s="481">
        <f t="shared" si="155"/>
        <v>0.5</v>
      </c>
      <c r="AV181" s="491">
        <v>0.5</v>
      </c>
      <c r="AW181" s="548"/>
      <c r="AX181" s="548"/>
      <c r="AY181" s="548"/>
      <c r="AZ181" s="548"/>
      <c r="BA181" s="548"/>
      <c r="BB181" s="548"/>
      <c r="BC181" s="548">
        <f t="shared" si="157"/>
        <v>0.5</v>
      </c>
      <c r="BD181" s="42">
        <f t="shared" si="167"/>
        <v>2</v>
      </c>
      <c r="BE181" s="42">
        <f t="shared" si="167"/>
        <v>0</v>
      </c>
      <c r="BF181" s="42">
        <f t="shared" si="167"/>
        <v>0</v>
      </c>
      <c r="BG181" s="42">
        <f t="shared" si="167"/>
        <v>0</v>
      </c>
      <c r="BH181" s="42">
        <f t="shared" si="167"/>
        <v>0</v>
      </c>
      <c r="BI181" s="42">
        <f t="shared" si="142"/>
        <v>0</v>
      </c>
      <c r="BJ181" s="42">
        <f t="shared" si="168"/>
        <v>0</v>
      </c>
      <c r="BK181" s="42">
        <f t="shared" si="168"/>
        <v>2</v>
      </c>
      <c r="BL181" s="40">
        <f t="shared" si="135"/>
        <v>2</v>
      </c>
    </row>
    <row r="182" spans="1:64" ht="90" customHeight="1" x14ac:dyDescent="0.25">
      <c r="A182" s="298" t="s">
        <v>491</v>
      </c>
      <c r="B182" s="299" t="s">
        <v>489</v>
      </c>
      <c r="C182" s="1547"/>
      <c r="D182" s="1551"/>
      <c r="E182" s="1551"/>
      <c r="F182" s="1551"/>
      <c r="G182" s="1551"/>
      <c r="H182" s="1551"/>
      <c r="I182" s="1425"/>
      <c r="J182" s="1425"/>
      <c r="K182" s="1425" t="s">
        <v>578</v>
      </c>
      <c r="L182" s="301" t="s">
        <v>496</v>
      </c>
      <c r="M182" s="1425" t="s">
        <v>497</v>
      </c>
      <c r="N182" s="476" t="s">
        <v>2497</v>
      </c>
      <c r="O182" s="1425" t="s">
        <v>47</v>
      </c>
      <c r="P182" s="1198" t="s">
        <v>2498</v>
      </c>
      <c r="Q182" s="302" t="s">
        <v>580</v>
      </c>
      <c r="R182" s="303">
        <v>2015</v>
      </c>
      <c r="S182" s="303">
        <v>0</v>
      </c>
      <c r="T182" s="303">
        <v>1</v>
      </c>
      <c r="U182" s="303">
        <v>1</v>
      </c>
      <c r="V182" s="303">
        <v>1</v>
      </c>
      <c r="W182" s="303">
        <v>1</v>
      </c>
      <c r="X182" s="303">
        <v>4</v>
      </c>
      <c r="Y182" s="491">
        <v>0.5</v>
      </c>
      <c r="Z182" s="481"/>
      <c r="AA182" s="481"/>
      <c r="AB182" s="481"/>
      <c r="AC182" s="481"/>
      <c r="AD182" s="481"/>
      <c r="AE182" s="481"/>
      <c r="AF182" s="481">
        <f t="shared" si="153"/>
        <v>0.5</v>
      </c>
      <c r="AG182" s="491">
        <v>0.5</v>
      </c>
      <c r="AH182" s="548"/>
      <c r="AI182" s="548"/>
      <c r="AJ182" s="548"/>
      <c r="AK182" s="548"/>
      <c r="AL182" s="548"/>
      <c r="AM182" s="548">
        <f t="shared" si="154"/>
        <v>0.5</v>
      </c>
      <c r="AN182" s="491">
        <v>0.5</v>
      </c>
      <c r="AO182" s="481"/>
      <c r="AP182" s="481"/>
      <c r="AQ182" s="481"/>
      <c r="AR182" s="481"/>
      <c r="AS182" s="481"/>
      <c r="AT182" s="481"/>
      <c r="AU182" s="481">
        <f t="shared" si="155"/>
        <v>0.5</v>
      </c>
      <c r="AV182" s="491">
        <v>0.5</v>
      </c>
      <c r="AW182" s="548"/>
      <c r="AX182" s="548"/>
      <c r="AY182" s="548"/>
      <c r="AZ182" s="548"/>
      <c r="BA182" s="548"/>
      <c r="BB182" s="548"/>
      <c r="BC182" s="548">
        <f t="shared" si="157"/>
        <v>0.5</v>
      </c>
      <c r="BD182" s="42">
        <f t="shared" si="167"/>
        <v>2</v>
      </c>
      <c r="BE182" s="42">
        <f t="shared" si="167"/>
        <v>0</v>
      </c>
      <c r="BF182" s="42">
        <f t="shared" si="167"/>
        <v>0</v>
      </c>
      <c r="BG182" s="42">
        <f t="shared" si="167"/>
        <v>0</v>
      </c>
      <c r="BH182" s="42">
        <f t="shared" si="167"/>
        <v>0</v>
      </c>
      <c r="BI182" s="42">
        <f t="shared" si="142"/>
        <v>0</v>
      </c>
      <c r="BJ182" s="42">
        <f t="shared" si="168"/>
        <v>0</v>
      </c>
      <c r="BK182" s="42">
        <f t="shared" si="168"/>
        <v>2</v>
      </c>
      <c r="BL182" s="40">
        <f t="shared" si="135"/>
        <v>2</v>
      </c>
    </row>
    <row r="183" spans="1:64" ht="57" customHeight="1" x14ac:dyDescent="0.25">
      <c r="A183" s="298" t="s">
        <v>491</v>
      </c>
      <c r="B183" s="299" t="s">
        <v>489</v>
      </c>
      <c r="C183" s="1547"/>
      <c r="D183" s="1551"/>
      <c r="E183" s="1551"/>
      <c r="F183" s="1551"/>
      <c r="G183" s="1551"/>
      <c r="H183" s="1551"/>
      <c r="I183" s="1425"/>
      <c r="J183" s="1425"/>
      <c r="K183" s="1425" t="s">
        <v>581</v>
      </c>
      <c r="L183" s="301" t="s">
        <v>496</v>
      </c>
      <c r="M183" s="1425" t="s">
        <v>497</v>
      </c>
      <c r="N183" s="476" t="s">
        <v>2497</v>
      </c>
      <c r="O183" s="1425" t="s">
        <v>47</v>
      </c>
      <c r="P183" s="16" t="s">
        <v>582</v>
      </c>
      <c r="Q183" s="302" t="s">
        <v>583</v>
      </c>
      <c r="R183" s="303">
        <v>2015</v>
      </c>
      <c r="S183" s="303">
        <v>0</v>
      </c>
      <c r="T183" s="303">
        <v>1</v>
      </c>
      <c r="U183" s="303">
        <v>1</v>
      </c>
      <c r="V183" s="303">
        <v>1</v>
      </c>
      <c r="W183" s="303">
        <v>1</v>
      </c>
      <c r="X183" s="303">
        <v>4</v>
      </c>
      <c r="Y183" s="481">
        <v>5</v>
      </c>
      <c r="Z183" s="481"/>
      <c r="AA183" s="481"/>
      <c r="AB183" s="481"/>
      <c r="AC183" s="481"/>
      <c r="AD183" s="481"/>
      <c r="AE183" s="481"/>
      <c r="AF183" s="481">
        <f t="shared" si="153"/>
        <v>5</v>
      </c>
      <c r="AG183" s="548">
        <v>2</v>
      </c>
      <c r="AH183" s="548"/>
      <c r="AI183" s="548"/>
      <c r="AJ183" s="548"/>
      <c r="AK183" s="548"/>
      <c r="AL183" s="548"/>
      <c r="AM183" s="548">
        <f t="shared" si="154"/>
        <v>2</v>
      </c>
      <c r="AN183" s="481">
        <v>2</v>
      </c>
      <c r="AO183" s="481"/>
      <c r="AP183" s="481"/>
      <c r="AQ183" s="481"/>
      <c r="AR183" s="481"/>
      <c r="AS183" s="481"/>
      <c r="AT183" s="481"/>
      <c r="AU183" s="481">
        <f t="shared" si="155"/>
        <v>2</v>
      </c>
      <c r="AV183" s="548">
        <v>2</v>
      </c>
      <c r="AW183" s="548"/>
      <c r="AX183" s="548"/>
      <c r="AY183" s="548"/>
      <c r="AZ183" s="548"/>
      <c r="BA183" s="548"/>
      <c r="BB183" s="548"/>
      <c r="BC183" s="548">
        <f t="shared" si="157"/>
        <v>2</v>
      </c>
      <c r="BD183" s="42">
        <f t="shared" si="167"/>
        <v>11</v>
      </c>
      <c r="BE183" s="42">
        <f t="shared" si="167"/>
        <v>0</v>
      </c>
      <c r="BF183" s="42">
        <f t="shared" si="167"/>
        <v>0</v>
      </c>
      <c r="BG183" s="42">
        <f t="shared" si="167"/>
        <v>0</v>
      </c>
      <c r="BH183" s="42">
        <f t="shared" si="167"/>
        <v>0</v>
      </c>
      <c r="BI183" s="42">
        <f t="shared" si="142"/>
        <v>0</v>
      </c>
      <c r="BJ183" s="42">
        <f t="shared" si="168"/>
        <v>0</v>
      </c>
      <c r="BK183" s="42">
        <f t="shared" si="168"/>
        <v>11</v>
      </c>
      <c r="BL183" s="40">
        <f t="shared" si="135"/>
        <v>11</v>
      </c>
    </row>
    <row r="184" spans="1:64" ht="72.75" customHeight="1" x14ac:dyDescent="0.25">
      <c r="A184" s="298" t="s">
        <v>491</v>
      </c>
      <c r="B184" s="299" t="s">
        <v>489</v>
      </c>
      <c r="C184" s="1547"/>
      <c r="D184" s="1551"/>
      <c r="E184" s="1551"/>
      <c r="F184" s="1551"/>
      <c r="G184" s="1551"/>
      <c r="H184" s="1551"/>
      <c r="I184" s="1425"/>
      <c r="J184" s="1425"/>
      <c r="K184" s="1425" t="s">
        <v>584</v>
      </c>
      <c r="L184" s="301" t="s">
        <v>496</v>
      </c>
      <c r="M184" s="1425" t="s">
        <v>497</v>
      </c>
      <c r="N184" s="476" t="s">
        <v>2497</v>
      </c>
      <c r="O184" s="1425" t="s">
        <v>73</v>
      </c>
      <c r="P184" s="16" t="s">
        <v>585</v>
      </c>
      <c r="Q184" s="302" t="s">
        <v>586</v>
      </c>
      <c r="R184" s="303">
        <v>2015</v>
      </c>
      <c r="S184" s="303">
        <v>0</v>
      </c>
      <c r="T184" s="303">
        <v>0</v>
      </c>
      <c r="U184" s="303">
        <v>1</v>
      </c>
      <c r="V184" s="303">
        <v>1</v>
      </c>
      <c r="W184" s="303">
        <v>1</v>
      </c>
      <c r="X184" s="303">
        <v>1</v>
      </c>
      <c r="Y184" s="491"/>
      <c r="Z184" s="481">
        <v>0</v>
      </c>
      <c r="AA184" s="481">
        <v>0</v>
      </c>
      <c r="AB184" s="481">
        <v>0</v>
      </c>
      <c r="AC184" s="481">
        <v>0</v>
      </c>
      <c r="AD184" s="481">
        <v>0</v>
      </c>
      <c r="AE184" s="481">
        <v>0</v>
      </c>
      <c r="AF184" s="481">
        <f t="shared" si="153"/>
        <v>0</v>
      </c>
      <c r="AG184" s="491">
        <v>3.5</v>
      </c>
      <c r="AH184" s="548">
        <v>0</v>
      </c>
      <c r="AI184" s="548">
        <v>2</v>
      </c>
      <c r="AJ184" s="548">
        <v>0</v>
      </c>
      <c r="AK184" s="548">
        <v>0</v>
      </c>
      <c r="AL184" s="548">
        <v>0</v>
      </c>
      <c r="AM184" s="548">
        <f t="shared" si="154"/>
        <v>5.5</v>
      </c>
      <c r="AN184" s="491">
        <v>3.5</v>
      </c>
      <c r="AO184" s="481">
        <v>0</v>
      </c>
      <c r="AP184" s="481">
        <v>2</v>
      </c>
      <c r="AQ184" s="481">
        <v>0</v>
      </c>
      <c r="AR184" s="481">
        <v>0</v>
      </c>
      <c r="AS184" s="481">
        <v>0</v>
      </c>
      <c r="AT184" s="481">
        <v>0</v>
      </c>
      <c r="AU184" s="481">
        <f t="shared" si="155"/>
        <v>5.5</v>
      </c>
      <c r="AV184" s="491">
        <v>4</v>
      </c>
      <c r="AW184" s="548">
        <v>0</v>
      </c>
      <c r="AX184" s="548">
        <v>2</v>
      </c>
      <c r="AY184" s="548">
        <v>0</v>
      </c>
      <c r="AZ184" s="548">
        <v>0</v>
      </c>
      <c r="BA184" s="548">
        <v>0</v>
      </c>
      <c r="BB184" s="548">
        <v>0</v>
      </c>
      <c r="BC184" s="548">
        <f t="shared" si="157"/>
        <v>6</v>
      </c>
      <c r="BD184" s="42">
        <f t="shared" si="167"/>
        <v>11</v>
      </c>
      <c r="BE184" s="42">
        <f t="shared" si="167"/>
        <v>0</v>
      </c>
      <c r="BF184" s="42">
        <f t="shared" si="167"/>
        <v>6</v>
      </c>
      <c r="BG184" s="42">
        <f t="shared" si="167"/>
        <v>0</v>
      </c>
      <c r="BH184" s="42">
        <f t="shared" si="167"/>
        <v>0</v>
      </c>
      <c r="BI184" s="42">
        <f t="shared" si="142"/>
        <v>0</v>
      </c>
      <c r="BJ184" s="42">
        <f t="shared" si="168"/>
        <v>0</v>
      </c>
      <c r="BK184" s="42">
        <f t="shared" si="168"/>
        <v>17</v>
      </c>
      <c r="BL184" s="40">
        <f t="shared" si="135"/>
        <v>17</v>
      </c>
    </row>
    <row r="185" spans="1:64" ht="84.75" customHeight="1" x14ac:dyDescent="0.25">
      <c r="A185" s="298" t="s">
        <v>491</v>
      </c>
      <c r="B185" s="299" t="s">
        <v>489</v>
      </c>
      <c r="C185" s="1547"/>
      <c r="D185" s="1551"/>
      <c r="E185" s="1551"/>
      <c r="F185" s="1551"/>
      <c r="G185" s="1551"/>
      <c r="H185" s="1551"/>
      <c r="I185" s="1425"/>
      <c r="J185" s="1425"/>
      <c r="K185" s="1425" t="s">
        <v>587</v>
      </c>
      <c r="L185" s="301" t="s">
        <v>496</v>
      </c>
      <c r="M185" s="1425" t="s">
        <v>497</v>
      </c>
      <c r="N185" s="476" t="s">
        <v>2497</v>
      </c>
      <c r="O185" s="1425" t="s">
        <v>73</v>
      </c>
      <c r="P185" s="16" t="s">
        <v>588</v>
      </c>
      <c r="Q185" s="302" t="s">
        <v>589</v>
      </c>
      <c r="R185" s="303">
        <v>2015</v>
      </c>
      <c r="S185" s="303">
        <v>0</v>
      </c>
      <c r="T185" s="303">
        <v>1</v>
      </c>
      <c r="U185" s="303">
        <v>1</v>
      </c>
      <c r="V185" s="303">
        <v>1</v>
      </c>
      <c r="W185" s="303">
        <v>1</v>
      </c>
      <c r="X185" s="303">
        <v>1</v>
      </c>
      <c r="Y185" s="491">
        <v>0.5</v>
      </c>
      <c r="Z185" s="481">
        <v>0</v>
      </c>
      <c r="AA185" s="481">
        <v>0</v>
      </c>
      <c r="AB185" s="481">
        <v>0</v>
      </c>
      <c r="AC185" s="481">
        <v>0</v>
      </c>
      <c r="AD185" s="481">
        <v>8</v>
      </c>
      <c r="AE185" s="481">
        <v>0</v>
      </c>
      <c r="AF185" s="481">
        <f t="shared" si="153"/>
        <v>8.5</v>
      </c>
      <c r="AG185" s="491">
        <v>0.5</v>
      </c>
      <c r="AH185" s="548">
        <v>0</v>
      </c>
      <c r="AI185" s="548">
        <v>0</v>
      </c>
      <c r="AJ185" s="548">
        <v>0</v>
      </c>
      <c r="AK185" s="548">
        <v>0</v>
      </c>
      <c r="AL185" s="548">
        <v>0</v>
      </c>
      <c r="AM185" s="548">
        <f t="shared" si="154"/>
        <v>0.5</v>
      </c>
      <c r="AN185" s="491">
        <v>0.5</v>
      </c>
      <c r="AO185" s="481">
        <v>0</v>
      </c>
      <c r="AP185" s="481">
        <v>0</v>
      </c>
      <c r="AQ185" s="481">
        <v>0</v>
      </c>
      <c r="AR185" s="481">
        <v>0</v>
      </c>
      <c r="AS185" s="481"/>
      <c r="AT185" s="481">
        <v>0</v>
      </c>
      <c r="AU185" s="481">
        <f t="shared" si="155"/>
        <v>0.5</v>
      </c>
      <c r="AV185" s="491">
        <v>0.5</v>
      </c>
      <c r="AW185" s="548">
        <v>0</v>
      </c>
      <c r="AX185" s="548">
        <v>0</v>
      </c>
      <c r="AY185" s="548">
        <v>0</v>
      </c>
      <c r="AZ185" s="548">
        <v>0</v>
      </c>
      <c r="BA185" s="548"/>
      <c r="BB185" s="548">
        <v>0</v>
      </c>
      <c r="BC185" s="548">
        <f t="shared" si="157"/>
        <v>0.5</v>
      </c>
      <c r="BD185" s="42">
        <f t="shared" ref="BD185:BD220" si="169">+AV185+AN185+AG185+Y185</f>
        <v>2</v>
      </c>
      <c r="BE185" s="42">
        <f t="shared" ref="BE185:BE220" si="170">+AW185+AO185+AH185+Z185</f>
        <v>0</v>
      </c>
      <c r="BF185" s="42">
        <f t="shared" ref="BF185:BF220" si="171">+AX185+AP185+AI185+AA185</f>
        <v>0</v>
      </c>
      <c r="BG185" s="42">
        <f t="shared" ref="BG185:BG220" si="172">+AY185+AQ185+AJ185+AB185</f>
        <v>0</v>
      </c>
      <c r="BH185" s="42">
        <f t="shared" ref="BH185:BH220" si="173">+AZ185+AR185+AK185+AC185</f>
        <v>0</v>
      </c>
      <c r="BI185" s="42">
        <f t="shared" si="142"/>
        <v>8</v>
      </c>
      <c r="BJ185" s="42">
        <f t="shared" ref="BJ185:BJ220" si="174">+BB185+AT185+AL185+AE185</f>
        <v>0</v>
      </c>
      <c r="BK185" s="42">
        <f t="shared" ref="BK185:BK220" si="175">+BC185+AU185+AM185+AF185</f>
        <v>10</v>
      </c>
      <c r="BL185" s="40">
        <f t="shared" si="135"/>
        <v>10</v>
      </c>
    </row>
    <row r="186" spans="1:64" ht="44.25" customHeight="1" x14ac:dyDescent="0.25">
      <c r="A186" s="298" t="s">
        <v>491</v>
      </c>
      <c r="B186" s="299" t="s">
        <v>489</v>
      </c>
      <c r="C186" s="1547"/>
      <c r="D186" s="1551"/>
      <c r="E186" s="1551"/>
      <c r="F186" s="1551"/>
      <c r="G186" s="1551"/>
      <c r="H186" s="1551"/>
      <c r="I186" s="1425"/>
      <c r="J186" s="1425"/>
      <c r="K186" s="1425" t="s">
        <v>590</v>
      </c>
      <c r="L186" s="301" t="s">
        <v>496</v>
      </c>
      <c r="M186" s="1425" t="s">
        <v>497</v>
      </c>
      <c r="N186" s="476" t="s">
        <v>2497</v>
      </c>
      <c r="O186" s="1425" t="s">
        <v>47</v>
      </c>
      <c r="P186" s="16" t="s">
        <v>591</v>
      </c>
      <c r="Q186" s="302" t="s">
        <v>592</v>
      </c>
      <c r="R186" s="303">
        <v>2015</v>
      </c>
      <c r="S186" s="303">
        <v>0</v>
      </c>
      <c r="T186" s="303">
        <v>0</v>
      </c>
      <c r="U186" s="303">
        <v>1</v>
      </c>
      <c r="V186" s="303">
        <v>1</v>
      </c>
      <c r="W186" s="303">
        <v>0</v>
      </c>
      <c r="X186" s="303">
        <v>2</v>
      </c>
      <c r="Y186" s="701"/>
      <c r="Z186" s="481"/>
      <c r="AA186" s="481"/>
      <c r="AB186" s="481"/>
      <c r="AC186" s="481"/>
      <c r="AD186" s="481"/>
      <c r="AE186" s="481"/>
      <c r="AF186" s="481">
        <f t="shared" si="153"/>
        <v>0</v>
      </c>
      <c r="AG186" s="491">
        <v>0.5</v>
      </c>
      <c r="AH186" s="548"/>
      <c r="AI186" s="548"/>
      <c r="AJ186" s="548"/>
      <c r="AK186" s="548"/>
      <c r="AL186" s="548"/>
      <c r="AM186" s="548">
        <f t="shared" si="154"/>
        <v>0.5</v>
      </c>
      <c r="AN186" s="491">
        <v>0.5</v>
      </c>
      <c r="AO186" s="481"/>
      <c r="AP186" s="481"/>
      <c r="AQ186" s="481"/>
      <c r="AR186" s="481"/>
      <c r="AS186" s="481"/>
      <c r="AT186" s="481"/>
      <c r="AU186" s="481">
        <f t="shared" si="155"/>
        <v>0.5</v>
      </c>
      <c r="AV186" s="548"/>
      <c r="AW186" s="548"/>
      <c r="AX186" s="548"/>
      <c r="AY186" s="548"/>
      <c r="AZ186" s="548"/>
      <c r="BA186" s="548"/>
      <c r="BB186" s="548"/>
      <c r="BC186" s="548">
        <f t="shared" si="157"/>
        <v>0</v>
      </c>
      <c r="BD186" s="42">
        <f t="shared" si="169"/>
        <v>1</v>
      </c>
      <c r="BE186" s="42">
        <f t="shared" si="170"/>
        <v>0</v>
      </c>
      <c r="BF186" s="42">
        <f t="shared" si="171"/>
        <v>0</v>
      </c>
      <c r="BG186" s="42">
        <f t="shared" si="172"/>
        <v>0</v>
      </c>
      <c r="BH186" s="42">
        <f t="shared" si="173"/>
        <v>0</v>
      </c>
      <c r="BI186" s="42">
        <f t="shared" si="142"/>
        <v>0</v>
      </c>
      <c r="BJ186" s="42">
        <f t="shared" si="174"/>
        <v>0</v>
      </c>
      <c r="BK186" s="42">
        <f t="shared" si="175"/>
        <v>1</v>
      </c>
      <c r="BL186" s="40">
        <f t="shared" si="135"/>
        <v>1</v>
      </c>
    </row>
    <row r="187" spans="1:64" ht="56.25" customHeight="1" x14ac:dyDescent="0.25">
      <c r="A187" s="298" t="s">
        <v>491</v>
      </c>
      <c r="B187" s="299" t="s">
        <v>489</v>
      </c>
      <c r="C187" s="1547"/>
      <c r="D187" s="1551"/>
      <c r="E187" s="1551"/>
      <c r="F187" s="1551"/>
      <c r="G187" s="1551"/>
      <c r="H187" s="1551"/>
      <c r="I187" s="1425"/>
      <c r="J187" s="1425"/>
      <c r="K187" s="1425" t="s">
        <v>593</v>
      </c>
      <c r="L187" s="301" t="s">
        <v>496</v>
      </c>
      <c r="M187" s="1425" t="s">
        <v>497</v>
      </c>
      <c r="N187" s="476" t="s">
        <v>2497</v>
      </c>
      <c r="O187" s="1425" t="s">
        <v>47</v>
      </c>
      <c r="P187" s="16" t="s">
        <v>594</v>
      </c>
      <c r="Q187" s="302" t="s">
        <v>595</v>
      </c>
      <c r="R187" s="303">
        <v>2015</v>
      </c>
      <c r="S187" s="303">
        <v>0</v>
      </c>
      <c r="T187" s="303">
        <v>1</v>
      </c>
      <c r="U187" s="303">
        <v>1</v>
      </c>
      <c r="V187" s="303">
        <v>1</v>
      </c>
      <c r="W187" s="303">
        <v>1</v>
      </c>
      <c r="X187" s="303">
        <v>4</v>
      </c>
      <c r="Y187" s="481"/>
      <c r="Z187" s="481"/>
      <c r="AA187" s="481">
        <v>3</v>
      </c>
      <c r="AB187" s="481"/>
      <c r="AC187" s="481"/>
      <c r="AD187" s="481"/>
      <c r="AE187" s="481"/>
      <c r="AF187" s="481">
        <f t="shared" si="153"/>
        <v>3</v>
      </c>
      <c r="AG187" s="548"/>
      <c r="AH187" s="548"/>
      <c r="AI187" s="548">
        <v>1</v>
      </c>
      <c r="AJ187" s="548"/>
      <c r="AK187" s="548"/>
      <c r="AL187" s="548"/>
      <c r="AM187" s="548">
        <f t="shared" si="154"/>
        <v>1</v>
      </c>
      <c r="AN187" s="481"/>
      <c r="AO187" s="481"/>
      <c r="AP187" s="481">
        <v>1</v>
      </c>
      <c r="AQ187" s="481"/>
      <c r="AR187" s="481"/>
      <c r="AS187" s="481"/>
      <c r="AT187" s="481"/>
      <c r="AU187" s="481">
        <f t="shared" si="155"/>
        <v>1</v>
      </c>
      <c r="AV187" s="548"/>
      <c r="AW187" s="548"/>
      <c r="AX187" s="548">
        <v>1</v>
      </c>
      <c r="AY187" s="548"/>
      <c r="AZ187" s="548"/>
      <c r="BA187" s="548"/>
      <c r="BB187" s="548"/>
      <c r="BC187" s="548">
        <f t="shared" si="157"/>
        <v>1</v>
      </c>
      <c r="BD187" s="42">
        <f t="shared" si="169"/>
        <v>0</v>
      </c>
      <c r="BE187" s="42">
        <f t="shared" si="170"/>
        <v>0</v>
      </c>
      <c r="BF187" s="42">
        <f t="shared" si="171"/>
        <v>6</v>
      </c>
      <c r="BG187" s="42">
        <f t="shared" si="172"/>
        <v>0</v>
      </c>
      <c r="BH187" s="42">
        <f t="shared" si="173"/>
        <v>0</v>
      </c>
      <c r="BI187" s="42">
        <f t="shared" si="142"/>
        <v>0</v>
      </c>
      <c r="BJ187" s="42">
        <f t="shared" si="174"/>
        <v>0</v>
      </c>
      <c r="BK187" s="42">
        <f t="shared" si="175"/>
        <v>6</v>
      </c>
      <c r="BL187" s="40">
        <f t="shared" si="135"/>
        <v>6</v>
      </c>
    </row>
    <row r="188" spans="1:64" ht="47.25" customHeight="1" x14ac:dyDescent="0.25">
      <c r="A188" s="298" t="s">
        <v>491</v>
      </c>
      <c r="B188" s="299" t="s">
        <v>489</v>
      </c>
      <c r="C188" s="1547"/>
      <c r="D188" s="1551"/>
      <c r="E188" s="1551"/>
      <c r="F188" s="1551"/>
      <c r="G188" s="1551"/>
      <c r="H188" s="1551"/>
      <c r="I188" s="1425"/>
      <c r="J188" s="1425"/>
      <c r="K188" s="1425" t="s">
        <v>596</v>
      </c>
      <c r="L188" s="301" t="s">
        <v>496</v>
      </c>
      <c r="M188" s="1425" t="s">
        <v>497</v>
      </c>
      <c r="N188" s="476" t="s">
        <v>2497</v>
      </c>
      <c r="O188" s="1425" t="s">
        <v>47</v>
      </c>
      <c r="P188" s="16" t="s">
        <v>597</v>
      </c>
      <c r="Q188" s="302" t="s">
        <v>598</v>
      </c>
      <c r="R188" s="303">
        <v>2015</v>
      </c>
      <c r="S188" s="303">
        <v>0</v>
      </c>
      <c r="T188" s="303">
        <v>3</v>
      </c>
      <c r="U188" s="303">
        <v>4</v>
      </c>
      <c r="V188" s="303">
        <v>4</v>
      </c>
      <c r="W188" s="303">
        <v>4</v>
      </c>
      <c r="X188" s="303">
        <v>15</v>
      </c>
      <c r="Y188" s="491">
        <v>0.5</v>
      </c>
      <c r="Z188" s="481"/>
      <c r="AA188" s="481"/>
      <c r="AB188" s="481"/>
      <c r="AC188" s="481"/>
      <c r="AD188" s="481"/>
      <c r="AE188" s="481"/>
      <c r="AF188" s="481">
        <f t="shared" si="153"/>
        <v>0.5</v>
      </c>
      <c r="AG188" s="491">
        <v>0.5</v>
      </c>
      <c r="AH188" s="548"/>
      <c r="AI188" s="548"/>
      <c r="AJ188" s="548"/>
      <c r="AK188" s="548"/>
      <c r="AL188" s="548"/>
      <c r="AM188" s="548">
        <f t="shared" si="154"/>
        <v>0.5</v>
      </c>
      <c r="AN188" s="491">
        <v>0.5</v>
      </c>
      <c r="AO188" s="481"/>
      <c r="AP188" s="481"/>
      <c r="AQ188" s="481"/>
      <c r="AR188" s="481"/>
      <c r="AS188" s="481"/>
      <c r="AT188" s="481"/>
      <c r="AU188" s="481">
        <f t="shared" si="155"/>
        <v>0.5</v>
      </c>
      <c r="AV188" s="491">
        <v>0.5</v>
      </c>
      <c r="AW188" s="548"/>
      <c r="AX188" s="548"/>
      <c r="AY188" s="548"/>
      <c r="AZ188" s="548"/>
      <c r="BA188" s="548"/>
      <c r="BB188" s="548"/>
      <c r="BC188" s="548">
        <f t="shared" si="157"/>
        <v>0.5</v>
      </c>
      <c r="BD188" s="42">
        <f t="shared" si="169"/>
        <v>2</v>
      </c>
      <c r="BE188" s="42">
        <f t="shared" si="170"/>
        <v>0</v>
      </c>
      <c r="BF188" s="42">
        <f t="shared" si="171"/>
        <v>0</v>
      </c>
      <c r="BG188" s="42">
        <f t="shared" si="172"/>
        <v>0</v>
      </c>
      <c r="BH188" s="42">
        <f t="shared" si="173"/>
        <v>0</v>
      </c>
      <c r="BI188" s="42">
        <f t="shared" si="142"/>
        <v>0</v>
      </c>
      <c r="BJ188" s="42">
        <f t="shared" si="174"/>
        <v>0</v>
      </c>
      <c r="BK188" s="42">
        <f t="shared" si="175"/>
        <v>2</v>
      </c>
      <c r="BL188" s="40">
        <f t="shared" si="135"/>
        <v>2</v>
      </c>
    </row>
    <row r="189" spans="1:64" ht="102.75" customHeight="1" x14ac:dyDescent="0.25">
      <c r="A189" s="298" t="s">
        <v>491</v>
      </c>
      <c r="B189" s="299" t="s">
        <v>489</v>
      </c>
      <c r="C189" s="1548"/>
      <c r="D189" s="1551"/>
      <c r="E189" s="1551"/>
      <c r="F189" s="1552"/>
      <c r="G189" s="1552"/>
      <c r="H189" s="1552"/>
      <c r="I189" s="1425"/>
      <c r="J189" s="1425"/>
      <c r="K189" s="1425" t="s">
        <v>599</v>
      </c>
      <c r="L189" s="301" t="s">
        <v>496</v>
      </c>
      <c r="M189" s="1425" t="s">
        <v>497</v>
      </c>
      <c r="N189" s="476" t="s">
        <v>2497</v>
      </c>
      <c r="O189" s="1425" t="s">
        <v>47</v>
      </c>
      <c r="P189" s="16" t="s">
        <v>600</v>
      </c>
      <c r="Q189" s="302" t="s">
        <v>601</v>
      </c>
      <c r="R189" s="303">
        <v>2015</v>
      </c>
      <c r="S189" s="303">
        <v>0</v>
      </c>
      <c r="T189" s="303">
        <v>1</v>
      </c>
      <c r="U189" s="303">
        <v>1</v>
      </c>
      <c r="V189" s="303">
        <v>1</v>
      </c>
      <c r="W189" s="303">
        <v>1</v>
      </c>
      <c r="X189" s="303">
        <v>4</v>
      </c>
      <c r="Y189" s="481">
        <v>3</v>
      </c>
      <c r="Z189" s="481"/>
      <c r="AA189" s="481"/>
      <c r="AB189" s="481"/>
      <c r="AC189" s="481"/>
      <c r="AD189" s="481"/>
      <c r="AE189" s="481"/>
      <c r="AF189" s="481">
        <f t="shared" si="153"/>
        <v>3</v>
      </c>
      <c r="AG189" s="548">
        <v>3</v>
      </c>
      <c r="AH189" s="548"/>
      <c r="AI189" s="548"/>
      <c r="AJ189" s="548"/>
      <c r="AK189" s="548"/>
      <c r="AL189" s="548"/>
      <c r="AM189" s="548">
        <f t="shared" si="154"/>
        <v>3</v>
      </c>
      <c r="AN189" s="481">
        <v>3</v>
      </c>
      <c r="AO189" s="481"/>
      <c r="AP189" s="481"/>
      <c r="AQ189" s="481"/>
      <c r="AR189" s="481"/>
      <c r="AS189" s="481"/>
      <c r="AT189" s="481"/>
      <c r="AU189" s="481">
        <f t="shared" si="155"/>
        <v>3</v>
      </c>
      <c r="AV189" s="548">
        <v>3</v>
      </c>
      <c r="AW189" s="548"/>
      <c r="AX189" s="548"/>
      <c r="AY189" s="548"/>
      <c r="AZ189" s="548"/>
      <c r="BA189" s="548"/>
      <c r="BB189" s="548"/>
      <c r="BC189" s="548">
        <f t="shared" si="157"/>
        <v>3</v>
      </c>
      <c r="BD189" s="42">
        <f t="shared" si="169"/>
        <v>12</v>
      </c>
      <c r="BE189" s="42">
        <f t="shared" si="170"/>
        <v>0</v>
      </c>
      <c r="BF189" s="42">
        <f t="shared" si="171"/>
        <v>0</v>
      </c>
      <c r="BG189" s="42">
        <f t="shared" si="172"/>
        <v>0</v>
      </c>
      <c r="BH189" s="42">
        <f t="shared" si="173"/>
        <v>0</v>
      </c>
      <c r="BI189" s="42">
        <f t="shared" si="142"/>
        <v>0</v>
      </c>
      <c r="BJ189" s="42">
        <f t="shared" si="174"/>
        <v>0</v>
      </c>
      <c r="BK189" s="42">
        <f t="shared" si="175"/>
        <v>12</v>
      </c>
      <c r="BL189" s="40">
        <f t="shared" si="135"/>
        <v>12</v>
      </c>
    </row>
    <row r="190" spans="1:64" s="484" customFormat="1" ht="102.75" customHeight="1" x14ac:dyDescent="0.25">
      <c r="A190" s="298" t="s">
        <v>491</v>
      </c>
      <c r="B190" s="299" t="s">
        <v>489</v>
      </c>
      <c r="C190" s="1366"/>
      <c r="D190" s="1552"/>
      <c r="E190" s="1552"/>
      <c r="F190" s="1367"/>
      <c r="G190" s="1367"/>
      <c r="H190" s="1367"/>
      <c r="I190" s="67"/>
      <c r="J190" s="67"/>
      <c r="K190" s="1425" t="s">
        <v>2499</v>
      </c>
      <c r="L190" s="301" t="s">
        <v>496</v>
      </c>
      <c r="M190" s="1425" t="s">
        <v>497</v>
      </c>
      <c r="N190" s="476" t="s">
        <v>2497</v>
      </c>
      <c r="O190" s="1425" t="s">
        <v>47</v>
      </c>
      <c r="P190" s="1364" t="s">
        <v>2500</v>
      </c>
      <c r="Q190" s="1364" t="s">
        <v>2501</v>
      </c>
      <c r="R190" s="67"/>
      <c r="S190" s="67"/>
      <c r="T190" s="67"/>
      <c r="U190" s="67"/>
      <c r="V190" s="67"/>
      <c r="W190" s="67"/>
      <c r="X190" s="67"/>
      <c r="Y190" s="1369"/>
      <c r="Z190" s="1369"/>
      <c r="AA190" s="1369"/>
      <c r="AB190" s="1369"/>
      <c r="AC190" s="1369"/>
      <c r="AD190" s="1369"/>
      <c r="AE190" s="1369"/>
      <c r="AF190" s="1369"/>
      <c r="AG190" s="1369"/>
      <c r="AH190" s="1369"/>
      <c r="AI190" s="1369"/>
      <c r="AJ190" s="1369"/>
      <c r="AK190" s="1369"/>
      <c r="AL190" s="1369"/>
      <c r="AM190" s="1369"/>
      <c r="AN190" s="1369"/>
      <c r="AO190" s="1369"/>
      <c r="AP190" s="1369"/>
      <c r="AQ190" s="1369"/>
      <c r="AR190" s="1369"/>
      <c r="AS190" s="1369"/>
      <c r="AT190" s="1369"/>
      <c r="AU190" s="1369"/>
      <c r="AV190" s="1369"/>
      <c r="AW190" s="1369"/>
      <c r="AX190" s="1369"/>
      <c r="AY190" s="1369"/>
      <c r="AZ190" s="1369"/>
      <c r="BA190" s="1369"/>
      <c r="BB190" s="1369"/>
      <c r="BC190" s="1369"/>
      <c r="BD190" s="1369"/>
      <c r="BE190" s="1369"/>
      <c r="BF190" s="1369"/>
      <c r="BG190" s="1369"/>
      <c r="BH190" s="1369"/>
      <c r="BI190" s="1369"/>
      <c r="BJ190" s="1369"/>
      <c r="BK190" s="1369"/>
      <c r="BL190" s="489"/>
    </row>
    <row r="191" spans="1:64" s="38" customFormat="1" ht="48.75" customHeight="1" x14ac:dyDescent="0.25">
      <c r="A191" s="295" t="s">
        <v>491</v>
      </c>
      <c r="B191" s="24" t="s">
        <v>489</v>
      </c>
      <c r="C191" s="51"/>
      <c r="D191" s="52" t="s">
        <v>602</v>
      </c>
      <c r="E191" s="53"/>
      <c r="F191" s="53"/>
      <c r="G191" s="53"/>
      <c r="H191" s="53"/>
      <c r="I191" s="53"/>
      <c r="J191" s="53"/>
      <c r="K191" s="53"/>
      <c r="L191" s="53"/>
      <c r="M191" s="53"/>
      <c r="N191" s="1"/>
      <c r="O191" s="53"/>
      <c r="P191" s="62" t="s">
        <v>603</v>
      </c>
      <c r="Q191" s="62"/>
      <c r="R191" s="53"/>
      <c r="S191" s="53"/>
      <c r="T191" s="53"/>
      <c r="U191" s="53"/>
      <c r="V191" s="53"/>
      <c r="W191" s="53"/>
      <c r="X191" s="53"/>
      <c r="Y191" s="54">
        <f t="shared" ref="Y191:BK191" si="176">SUM(Y192:Y198)</f>
        <v>4.2</v>
      </c>
      <c r="Z191" s="54">
        <f t="shared" si="176"/>
        <v>0</v>
      </c>
      <c r="AA191" s="54">
        <f t="shared" si="176"/>
        <v>5</v>
      </c>
      <c r="AB191" s="54">
        <f t="shared" si="176"/>
        <v>0</v>
      </c>
      <c r="AC191" s="54">
        <f t="shared" si="176"/>
        <v>0</v>
      </c>
      <c r="AD191" s="54">
        <f t="shared" si="176"/>
        <v>0</v>
      </c>
      <c r="AE191" s="54">
        <f t="shared" si="176"/>
        <v>0</v>
      </c>
      <c r="AF191" s="54">
        <f t="shared" si="176"/>
        <v>9.1999999999999993</v>
      </c>
      <c r="AG191" s="54">
        <f t="shared" si="176"/>
        <v>9.370000000000001</v>
      </c>
      <c r="AH191" s="54">
        <f t="shared" si="176"/>
        <v>0</v>
      </c>
      <c r="AI191" s="54">
        <f t="shared" si="176"/>
        <v>5.1749999999999998</v>
      </c>
      <c r="AJ191" s="54">
        <f t="shared" si="176"/>
        <v>0</v>
      </c>
      <c r="AK191" s="54">
        <f t="shared" si="176"/>
        <v>0</v>
      </c>
      <c r="AL191" s="54">
        <f t="shared" si="176"/>
        <v>0</v>
      </c>
      <c r="AM191" s="54">
        <f t="shared" si="176"/>
        <v>14.545</v>
      </c>
      <c r="AN191" s="54">
        <f t="shared" si="176"/>
        <v>14.5</v>
      </c>
      <c r="AO191" s="54">
        <f t="shared" si="176"/>
        <v>0</v>
      </c>
      <c r="AP191" s="54">
        <f t="shared" si="176"/>
        <v>5.3559999999999999</v>
      </c>
      <c r="AQ191" s="54">
        <f t="shared" si="176"/>
        <v>0</v>
      </c>
      <c r="AR191" s="54">
        <f t="shared" si="176"/>
        <v>0</v>
      </c>
      <c r="AS191" s="54">
        <f t="shared" si="176"/>
        <v>0</v>
      </c>
      <c r="AT191" s="54">
        <f t="shared" si="176"/>
        <v>0</v>
      </c>
      <c r="AU191" s="54">
        <f t="shared" si="176"/>
        <v>19.856000000000002</v>
      </c>
      <c r="AV191" s="54">
        <f t="shared" si="176"/>
        <v>4.66</v>
      </c>
      <c r="AW191" s="54">
        <f t="shared" si="176"/>
        <v>0</v>
      </c>
      <c r="AX191" s="54">
        <f t="shared" si="176"/>
        <v>5.54</v>
      </c>
      <c r="AY191" s="54">
        <f t="shared" si="176"/>
        <v>0</v>
      </c>
      <c r="AZ191" s="54">
        <f t="shared" si="176"/>
        <v>0</v>
      </c>
      <c r="BA191" s="54">
        <f t="shared" si="176"/>
        <v>0</v>
      </c>
      <c r="BB191" s="54">
        <f t="shared" si="176"/>
        <v>0</v>
      </c>
      <c r="BC191" s="54">
        <f t="shared" si="176"/>
        <v>10.199999999999999</v>
      </c>
      <c r="BD191" s="54">
        <f t="shared" si="176"/>
        <v>32.729999999999997</v>
      </c>
      <c r="BE191" s="54">
        <f t="shared" si="176"/>
        <v>0</v>
      </c>
      <c r="BF191" s="54">
        <f t="shared" si="176"/>
        <v>21.070999999999998</v>
      </c>
      <c r="BG191" s="54">
        <f t="shared" si="176"/>
        <v>0</v>
      </c>
      <c r="BH191" s="54">
        <f t="shared" si="176"/>
        <v>0</v>
      </c>
      <c r="BI191" s="54">
        <f t="shared" si="142"/>
        <v>0</v>
      </c>
      <c r="BJ191" s="54">
        <f t="shared" si="176"/>
        <v>0</v>
      </c>
      <c r="BK191" s="54">
        <f t="shared" si="176"/>
        <v>53.801000000000002</v>
      </c>
      <c r="BL191" s="40">
        <f t="shared" si="135"/>
        <v>53.801000000000002</v>
      </c>
    </row>
    <row r="192" spans="1:64" ht="66.75" customHeight="1" x14ac:dyDescent="0.25">
      <c r="A192" s="298" t="s">
        <v>491</v>
      </c>
      <c r="B192" s="299" t="s">
        <v>489</v>
      </c>
      <c r="C192" s="1546" t="s">
        <v>604</v>
      </c>
      <c r="D192" s="1549" t="s">
        <v>605</v>
      </c>
      <c r="E192" s="1549" t="s">
        <v>606</v>
      </c>
      <c r="F192" s="1549">
        <v>2015</v>
      </c>
      <c r="G192" s="1549" t="s">
        <v>177</v>
      </c>
      <c r="H192" s="1549">
        <v>12</v>
      </c>
      <c r="I192" s="1425"/>
      <c r="J192" s="1425"/>
      <c r="K192" s="1425" t="s">
        <v>607</v>
      </c>
      <c r="L192" s="301" t="s">
        <v>608</v>
      </c>
      <c r="M192" s="1425" t="s">
        <v>497</v>
      </c>
      <c r="N192" s="476" t="s">
        <v>2497</v>
      </c>
      <c r="O192" s="1425" t="s">
        <v>47</v>
      </c>
      <c r="P192" s="16" t="s">
        <v>609</v>
      </c>
      <c r="Q192" s="302" t="s">
        <v>610</v>
      </c>
      <c r="R192" s="303">
        <v>2015</v>
      </c>
      <c r="S192" s="303">
        <v>0</v>
      </c>
      <c r="T192" s="303">
        <v>0</v>
      </c>
      <c r="U192" s="303">
        <v>1</v>
      </c>
      <c r="V192" s="303">
        <v>1</v>
      </c>
      <c r="W192" s="303">
        <v>1</v>
      </c>
      <c r="X192" s="303">
        <v>1</v>
      </c>
      <c r="Y192" s="481"/>
      <c r="Z192" s="481"/>
      <c r="AA192" s="481"/>
      <c r="AB192" s="481"/>
      <c r="AC192" s="481"/>
      <c r="AD192" s="481"/>
      <c r="AE192" s="481"/>
      <c r="AF192" s="481">
        <f t="shared" si="153"/>
        <v>0</v>
      </c>
      <c r="AG192" s="491">
        <v>3</v>
      </c>
      <c r="AH192" s="548"/>
      <c r="AI192" s="548"/>
      <c r="AJ192" s="548"/>
      <c r="AK192" s="548"/>
      <c r="AL192" s="548"/>
      <c r="AM192" s="548">
        <f t="shared" si="154"/>
        <v>3</v>
      </c>
      <c r="AN192" s="481"/>
      <c r="AO192" s="481"/>
      <c r="AP192" s="481">
        <v>1</v>
      </c>
      <c r="AQ192" s="481"/>
      <c r="AR192" s="481"/>
      <c r="AS192" s="481"/>
      <c r="AT192" s="481"/>
      <c r="AU192" s="481">
        <f t="shared" si="155"/>
        <v>1</v>
      </c>
      <c r="AV192" s="548"/>
      <c r="AW192" s="548"/>
      <c r="AX192" s="548">
        <v>1</v>
      </c>
      <c r="AY192" s="548"/>
      <c r="AZ192" s="548"/>
      <c r="BA192" s="548"/>
      <c r="BB192" s="548"/>
      <c r="BC192" s="548">
        <f t="shared" si="157"/>
        <v>1</v>
      </c>
      <c r="BD192" s="42">
        <f t="shared" si="169"/>
        <v>3</v>
      </c>
      <c r="BE192" s="42">
        <f t="shared" si="170"/>
        <v>0</v>
      </c>
      <c r="BF192" s="42">
        <f t="shared" si="171"/>
        <v>2</v>
      </c>
      <c r="BG192" s="42">
        <f t="shared" si="172"/>
        <v>0</v>
      </c>
      <c r="BH192" s="42">
        <f t="shared" si="173"/>
        <v>0</v>
      </c>
      <c r="BI192" s="42">
        <f t="shared" si="142"/>
        <v>0</v>
      </c>
      <c r="BJ192" s="42">
        <f t="shared" si="174"/>
        <v>0</v>
      </c>
      <c r="BK192" s="42">
        <f t="shared" si="175"/>
        <v>5</v>
      </c>
      <c r="BL192" s="40">
        <f t="shared" si="135"/>
        <v>5</v>
      </c>
    </row>
    <row r="193" spans="1:64" ht="63.75" customHeight="1" x14ac:dyDescent="0.25">
      <c r="A193" s="298" t="s">
        <v>491</v>
      </c>
      <c r="B193" s="299" t="s">
        <v>489</v>
      </c>
      <c r="C193" s="1547"/>
      <c r="D193" s="1549"/>
      <c r="E193" s="1549"/>
      <c r="F193" s="1549"/>
      <c r="G193" s="1549"/>
      <c r="H193" s="1549"/>
      <c r="I193" s="1425"/>
      <c r="J193" s="1425"/>
      <c r="K193" s="1425" t="s">
        <v>611</v>
      </c>
      <c r="L193" s="301" t="s">
        <v>608</v>
      </c>
      <c r="M193" s="1425" t="s">
        <v>497</v>
      </c>
      <c r="N193" s="476" t="s">
        <v>2497</v>
      </c>
      <c r="O193" s="1425" t="s">
        <v>47</v>
      </c>
      <c r="P193" s="16" t="s">
        <v>612</v>
      </c>
      <c r="Q193" s="302" t="s">
        <v>613</v>
      </c>
      <c r="R193" s="303">
        <v>2015</v>
      </c>
      <c r="S193" s="303">
        <v>0</v>
      </c>
      <c r="T193" s="303">
        <v>1</v>
      </c>
      <c r="U193" s="303">
        <v>1</v>
      </c>
      <c r="V193" s="303">
        <v>1</v>
      </c>
      <c r="W193" s="303">
        <v>1</v>
      </c>
      <c r="X193" s="303">
        <v>4</v>
      </c>
      <c r="Y193" s="481">
        <v>2</v>
      </c>
      <c r="Z193" s="481"/>
      <c r="AA193" s="481">
        <v>3</v>
      </c>
      <c r="AB193" s="481"/>
      <c r="AC193" s="481"/>
      <c r="AD193" s="481"/>
      <c r="AE193" s="481"/>
      <c r="AF193" s="481">
        <f t="shared" si="153"/>
        <v>5</v>
      </c>
      <c r="AG193" s="548">
        <v>2</v>
      </c>
      <c r="AH193" s="548"/>
      <c r="AI193" s="548">
        <v>3</v>
      </c>
      <c r="AJ193" s="548"/>
      <c r="AK193" s="548"/>
      <c r="AL193" s="548"/>
      <c r="AM193" s="548">
        <f t="shared" si="154"/>
        <v>5</v>
      </c>
      <c r="AN193" s="481">
        <v>2</v>
      </c>
      <c r="AO193" s="481"/>
      <c r="AP193" s="481">
        <v>2.3559999999999999</v>
      </c>
      <c r="AQ193" s="481"/>
      <c r="AR193" s="481"/>
      <c r="AS193" s="481"/>
      <c r="AT193" s="481"/>
      <c r="AU193" s="481">
        <f t="shared" si="155"/>
        <v>4.3559999999999999</v>
      </c>
      <c r="AV193" s="491">
        <v>2.44</v>
      </c>
      <c r="AW193" s="548"/>
      <c r="AX193" s="548">
        <v>2</v>
      </c>
      <c r="AY193" s="548"/>
      <c r="AZ193" s="548"/>
      <c r="BA193" s="548"/>
      <c r="BB193" s="548"/>
      <c r="BC193" s="548">
        <f t="shared" si="157"/>
        <v>4.4399999999999995</v>
      </c>
      <c r="BD193" s="42">
        <f t="shared" ref="BD193:BH195" si="177">+AV193+AN193+AG193+Y193</f>
        <v>8.44</v>
      </c>
      <c r="BE193" s="42">
        <f t="shared" si="177"/>
        <v>0</v>
      </c>
      <c r="BF193" s="42">
        <f t="shared" si="177"/>
        <v>10.356</v>
      </c>
      <c r="BG193" s="42">
        <f t="shared" si="177"/>
        <v>0</v>
      </c>
      <c r="BH193" s="42">
        <f t="shared" si="177"/>
        <v>0</v>
      </c>
      <c r="BI193" s="42">
        <f t="shared" si="142"/>
        <v>0</v>
      </c>
      <c r="BJ193" s="42">
        <f t="shared" ref="BJ193:BK195" si="178">+BB193+AT193+AL193+AE193</f>
        <v>0</v>
      </c>
      <c r="BK193" s="42">
        <f t="shared" si="178"/>
        <v>18.795999999999999</v>
      </c>
      <c r="BL193" s="40">
        <f t="shared" si="135"/>
        <v>18.795999999999999</v>
      </c>
    </row>
    <row r="194" spans="1:64" ht="64.5" customHeight="1" x14ac:dyDescent="0.25">
      <c r="A194" s="298" t="s">
        <v>491</v>
      </c>
      <c r="B194" s="299" t="s">
        <v>489</v>
      </c>
      <c r="C194" s="1547"/>
      <c r="D194" s="1549"/>
      <c r="E194" s="1549"/>
      <c r="F194" s="1549"/>
      <c r="G194" s="1549"/>
      <c r="H194" s="1549"/>
      <c r="I194" s="1425"/>
      <c r="J194" s="1425"/>
      <c r="K194" s="1425" t="s">
        <v>614</v>
      </c>
      <c r="L194" s="301" t="s">
        <v>608</v>
      </c>
      <c r="M194" s="1425" t="s">
        <v>497</v>
      </c>
      <c r="N194" s="476" t="s">
        <v>2497</v>
      </c>
      <c r="O194" s="1425" t="s">
        <v>47</v>
      </c>
      <c r="P194" s="16" t="s">
        <v>615</v>
      </c>
      <c r="Q194" s="302" t="s">
        <v>616</v>
      </c>
      <c r="R194" s="303">
        <v>2015</v>
      </c>
      <c r="S194" s="303">
        <v>0</v>
      </c>
      <c r="T194" s="303">
        <v>0</v>
      </c>
      <c r="U194" s="303">
        <v>0</v>
      </c>
      <c r="V194" s="303">
        <v>1</v>
      </c>
      <c r="W194" s="303">
        <v>0</v>
      </c>
      <c r="X194" s="303">
        <v>1</v>
      </c>
      <c r="Y194" s="481"/>
      <c r="Z194" s="481"/>
      <c r="AA194" s="481"/>
      <c r="AB194" s="481"/>
      <c r="AC194" s="481"/>
      <c r="AD194" s="481"/>
      <c r="AE194" s="481"/>
      <c r="AF194" s="481">
        <f t="shared" si="153"/>
        <v>0</v>
      </c>
      <c r="AG194" s="548"/>
      <c r="AH194" s="548"/>
      <c r="AI194" s="548"/>
      <c r="AJ194" s="548"/>
      <c r="AK194" s="548"/>
      <c r="AL194" s="548"/>
      <c r="AM194" s="548">
        <f t="shared" si="154"/>
        <v>0</v>
      </c>
      <c r="AN194" s="481">
        <v>10</v>
      </c>
      <c r="AO194" s="481"/>
      <c r="AP194" s="481">
        <v>0</v>
      </c>
      <c r="AQ194" s="481"/>
      <c r="AR194" s="481"/>
      <c r="AS194" s="481"/>
      <c r="AT194" s="481"/>
      <c r="AU194" s="481">
        <f t="shared" si="155"/>
        <v>10</v>
      </c>
      <c r="AV194" s="548"/>
      <c r="AW194" s="548"/>
      <c r="AX194" s="548"/>
      <c r="AY194" s="548"/>
      <c r="AZ194" s="548"/>
      <c r="BA194" s="548"/>
      <c r="BB194" s="548"/>
      <c r="BC194" s="548">
        <f t="shared" si="157"/>
        <v>0</v>
      </c>
      <c r="BD194" s="42">
        <f t="shared" si="177"/>
        <v>10</v>
      </c>
      <c r="BE194" s="42">
        <f t="shared" si="177"/>
        <v>0</v>
      </c>
      <c r="BF194" s="42">
        <f t="shared" si="177"/>
        <v>0</v>
      </c>
      <c r="BG194" s="42">
        <f t="shared" si="177"/>
        <v>0</v>
      </c>
      <c r="BH194" s="42">
        <f t="shared" si="177"/>
        <v>0</v>
      </c>
      <c r="BI194" s="42">
        <f t="shared" si="142"/>
        <v>0</v>
      </c>
      <c r="BJ194" s="42">
        <f t="shared" si="178"/>
        <v>0</v>
      </c>
      <c r="BK194" s="42">
        <f t="shared" si="178"/>
        <v>10</v>
      </c>
      <c r="BL194" s="40">
        <f t="shared" si="135"/>
        <v>10</v>
      </c>
    </row>
    <row r="195" spans="1:64" ht="51" customHeight="1" x14ac:dyDescent="0.25">
      <c r="A195" s="298" t="s">
        <v>491</v>
      </c>
      <c r="B195" s="299" t="s">
        <v>489</v>
      </c>
      <c r="C195" s="1547"/>
      <c r="D195" s="1549"/>
      <c r="E195" s="1549"/>
      <c r="F195" s="1549"/>
      <c r="G195" s="1549"/>
      <c r="H195" s="1549"/>
      <c r="I195" s="1425"/>
      <c r="J195" s="1425"/>
      <c r="K195" s="1425" t="s">
        <v>617</v>
      </c>
      <c r="L195" s="301" t="s">
        <v>608</v>
      </c>
      <c r="M195" s="1425" t="s">
        <v>497</v>
      </c>
      <c r="N195" s="476" t="s">
        <v>2497</v>
      </c>
      <c r="O195" s="1425" t="s">
        <v>47</v>
      </c>
      <c r="P195" s="16" t="s">
        <v>618</v>
      </c>
      <c r="Q195" s="302" t="s">
        <v>377</v>
      </c>
      <c r="R195" s="303">
        <v>2015</v>
      </c>
      <c r="S195" s="303">
        <v>0</v>
      </c>
      <c r="T195" s="303">
        <v>0</v>
      </c>
      <c r="U195" s="303">
        <v>1</v>
      </c>
      <c r="V195" s="303">
        <v>0</v>
      </c>
      <c r="W195" s="303">
        <v>0</v>
      </c>
      <c r="X195" s="303">
        <v>1</v>
      </c>
      <c r="Y195" s="481"/>
      <c r="Z195" s="481"/>
      <c r="AA195" s="481"/>
      <c r="AB195" s="481"/>
      <c r="AC195" s="481"/>
      <c r="AD195" s="481"/>
      <c r="AE195" s="481"/>
      <c r="AF195" s="481">
        <f t="shared" si="153"/>
        <v>0</v>
      </c>
      <c r="AG195" s="491">
        <v>1</v>
      </c>
      <c r="AH195" s="548"/>
      <c r="AI195" s="548"/>
      <c r="AJ195" s="548"/>
      <c r="AK195" s="548"/>
      <c r="AL195" s="548"/>
      <c r="AM195" s="548">
        <f t="shared" si="154"/>
        <v>1</v>
      </c>
      <c r="AN195" s="481"/>
      <c r="AO195" s="481"/>
      <c r="AP195" s="481"/>
      <c r="AQ195" s="481"/>
      <c r="AR195" s="481"/>
      <c r="AS195" s="481"/>
      <c r="AT195" s="481"/>
      <c r="AU195" s="481">
        <f t="shared" si="155"/>
        <v>0</v>
      </c>
      <c r="AV195" s="548"/>
      <c r="AW195" s="548"/>
      <c r="AX195" s="548"/>
      <c r="AY195" s="548"/>
      <c r="AZ195" s="548"/>
      <c r="BA195" s="548"/>
      <c r="BB195" s="548"/>
      <c r="BC195" s="548">
        <f>SUM(AV195:BB195)</f>
        <v>0</v>
      </c>
      <c r="BD195" s="42">
        <f t="shared" si="177"/>
        <v>1</v>
      </c>
      <c r="BE195" s="42">
        <f t="shared" si="177"/>
        <v>0</v>
      </c>
      <c r="BF195" s="42">
        <f t="shared" si="177"/>
        <v>0</v>
      </c>
      <c r="BG195" s="42">
        <f t="shared" si="177"/>
        <v>0</v>
      </c>
      <c r="BH195" s="42">
        <f t="shared" si="177"/>
        <v>0</v>
      </c>
      <c r="BI195" s="42">
        <f>+AD195+AS195+BA195</f>
        <v>0</v>
      </c>
      <c r="BJ195" s="42">
        <f t="shared" si="178"/>
        <v>0</v>
      </c>
      <c r="BK195" s="42">
        <f t="shared" si="178"/>
        <v>1</v>
      </c>
      <c r="BL195" s="40">
        <f t="shared" si="135"/>
        <v>1</v>
      </c>
    </row>
    <row r="196" spans="1:64" ht="62.25" customHeight="1" x14ac:dyDescent="0.25">
      <c r="A196" s="298" t="s">
        <v>491</v>
      </c>
      <c r="B196" s="299" t="s">
        <v>489</v>
      </c>
      <c r="C196" s="1547"/>
      <c r="D196" s="1549"/>
      <c r="E196" s="1549"/>
      <c r="F196" s="1549"/>
      <c r="G196" s="1549"/>
      <c r="H196" s="1549"/>
      <c r="I196" s="1425"/>
      <c r="J196" s="1425"/>
      <c r="K196" s="1425" t="s">
        <v>619</v>
      </c>
      <c r="L196" s="301" t="s">
        <v>608</v>
      </c>
      <c r="M196" s="1425" t="s">
        <v>497</v>
      </c>
      <c r="N196" s="476" t="s">
        <v>2497</v>
      </c>
      <c r="O196" s="1425" t="s">
        <v>47</v>
      </c>
      <c r="P196" s="16" t="s">
        <v>620</v>
      </c>
      <c r="Q196" s="302" t="s">
        <v>621</v>
      </c>
      <c r="R196" s="303">
        <v>2015</v>
      </c>
      <c r="S196" s="303">
        <v>1</v>
      </c>
      <c r="T196" s="303">
        <v>1</v>
      </c>
      <c r="U196" s="303">
        <v>1</v>
      </c>
      <c r="V196" s="303">
        <v>1</v>
      </c>
      <c r="W196" s="303">
        <v>1</v>
      </c>
      <c r="X196" s="303">
        <v>4</v>
      </c>
      <c r="Y196" s="491">
        <v>1.2</v>
      </c>
      <c r="Z196" s="481"/>
      <c r="AA196" s="481">
        <v>2</v>
      </c>
      <c r="AB196" s="481"/>
      <c r="AC196" s="481"/>
      <c r="AD196" s="481"/>
      <c r="AE196" s="481"/>
      <c r="AF196" s="481">
        <f t="shared" si="153"/>
        <v>3.2</v>
      </c>
      <c r="AG196" s="548">
        <v>2.37</v>
      </c>
      <c r="AH196" s="548"/>
      <c r="AI196" s="548">
        <v>2.1749999999999998</v>
      </c>
      <c r="AJ196" s="548"/>
      <c r="AK196" s="548"/>
      <c r="AL196" s="548"/>
      <c r="AM196" s="548">
        <f t="shared" si="154"/>
        <v>4.5449999999999999</v>
      </c>
      <c r="AN196" s="491">
        <v>1.5</v>
      </c>
      <c r="AO196" s="481"/>
      <c r="AP196" s="481">
        <v>2</v>
      </c>
      <c r="AQ196" s="481"/>
      <c r="AR196" s="481"/>
      <c r="AS196" s="481"/>
      <c r="AT196" s="481"/>
      <c r="AU196" s="481">
        <f t="shared" si="155"/>
        <v>3.5</v>
      </c>
      <c r="AV196" s="548">
        <v>1.22</v>
      </c>
      <c r="AW196" s="548"/>
      <c r="AX196" s="548">
        <v>2.54</v>
      </c>
      <c r="AY196" s="548"/>
      <c r="AZ196" s="548"/>
      <c r="BA196" s="548"/>
      <c r="BB196" s="548"/>
      <c r="BC196" s="548">
        <f t="shared" si="157"/>
        <v>3.76</v>
      </c>
      <c r="BD196" s="42">
        <f t="shared" si="169"/>
        <v>6.29</v>
      </c>
      <c r="BE196" s="42">
        <f t="shared" si="170"/>
        <v>0</v>
      </c>
      <c r="BF196" s="42">
        <f t="shared" si="171"/>
        <v>8.7149999999999999</v>
      </c>
      <c r="BG196" s="42">
        <f t="shared" si="172"/>
        <v>0</v>
      </c>
      <c r="BH196" s="42">
        <f t="shared" si="173"/>
        <v>0</v>
      </c>
      <c r="BI196" s="42">
        <f t="shared" si="142"/>
        <v>0</v>
      </c>
      <c r="BJ196" s="42">
        <f t="shared" si="174"/>
        <v>0</v>
      </c>
      <c r="BK196" s="42">
        <f t="shared" si="175"/>
        <v>15.004999999999999</v>
      </c>
      <c r="BL196" s="40">
        <f t="shared" si="135"/>
        <v>15.005000000000001</v>
      </c>
    </row>
    <row r="197" spans="1:64" ht="55.5" customHeight="1" x14ac:dyDescent="0.25">
      <c r="A197" s="298" t="s">
        <v>491</v>
      </c>
      <c r="B197" s="299" t="s">
        <v>489</v>
      </c>
      <c r="C197" s="1547"/>
      <c r="D197" s="1549"/>
      <c r="E197" s="1549"/>
      <c r="F197" s="1549"/>
      <c r="G197" s="1549"/>
      <c r="H197" s="1549"/>
      <c r="I197" s="1425"/>
      <c r="J197" s="1425"/>
      <c r="K197" s="1425" t="s">
        <v>622</v>
      </c>
      <c r="L197" s="301" t="s">
        <v>608</v>
      </c>
      <c r="M197" s="1425" t="s">
        <v>497</v>
      </c>
      <c r="N197" s="476" t="s">
        <v>2497</v>
      </c>
      <c r="O197" s="1425" t="s">
        <v>73</v>
      </c>
      <c r="P197" s="16" t="s">
        <v>623</v>
      </c>
      <c r="Q197" s="302" t="s">
        <v>624</v>
      </c>
      <c r="R197" s="303">
        <v>2015</v>
      </c>
      <c r="S197" s="303">
        <v>2</v>
      </c>
      <c r="T197" s="303">
        <v>2</v>
      </c>
      <c r="U197" s="303">
        <v>2</v>
      </c>
      <c r="V197" s="303">
        <v>2</v>
      </c>
      <c r="W197" s="303">
        <v>2</v>
      </c>
      <c r="X197" s="303">
        <v>2</v>
      </c>
      <c r="Y197" s="491">
        <v>0.5</v>
      </c>
      <c r="Z197" s="481"/>
      <c r="AA197" s="481"/>
      <c r="AB197" s="481"/>
      <c r="AC197" s="481"/>
      <c r="AD197" s="481"/>
      <c r="AE197" s="481"/>
      <c r="AF197" s="481">
        <f t="shared" si="153"/>
        <v>0.5</v>
      </c>
      <c r="AG197" s="491">
        <v>0.5</v>
      </c>
      <c r="AH197" s="548"/>
      <c r="AI197" s="548"/>
      <c r="AJ197" s="548"/>
      <c r="AK197" s="548"/>
      <c r="AL197" s="548"/>
      <c r="AM197" s="548">
        <f t="shared" si="154"/>
        <v>0.5</v>
      </c>
      <c r="AN197" s="491">
        <v>0.5</v>
      </c>
      <c r="AO197" s="481"/>
      <c r="AP197" s="481"/>
      <c r="AQ197" s="481"/>
      <c r="AR197" s="481"/>
      <c r="AS197" s="481"/>
      <c r="AT197" s="481"/>
      <c r="AU197" s="481">
        <f t="shared" si="155"/>
        <v>0.5</v>
      </c>
      <c r="AV197" s="491">
        <v>0.5</v>
      </c>
      <c r="AW197" s="548"/>
      <c r="AX197" s="548"/>
      <c r="AY197" s="548"/>
      <c r="AZ197" s="548"/>
      <c r="BA197" s="548"/>
      <c r="BB197" s="548"/>
      <c r="BC197" s="548">
        <f t="shared" si="157"/>
        <v>0.5</v>
      </c>
      <c r="BD197" s="42">
        <f t="shared" si="169"/>
        <v>2</v>
      </c>
      <c r="BE197" s="42">
        <f t="shared" si="170"/>
        <v>0</v>
      </c>
      <c r="BF197" s="42">
        <f t="shared" si="171"/>
        <v>0</v>
      </c>
      <c r="BG197" s="42">
        <f t="shared" si="172"/>
        <v>0</v>
      </c>
      <c r="BH197" s="42">
        <f t="shared" si="173"/>
        <v>0</v>
      </c>
      <c r="BI197" s="42">
        <f t="shared" si="142"/>
        <v>0</v>
      </c>
      <c r="BJ197" s="42">
        <f t="shared" si="174"/>
        <v>0</v>
      </c>
      <c r="BK197" s="42">
        <f t="shared" si="175"/>
        <v>2</v>
      </c>
      <c r="BL197" s="40">
        <f t="shared" si="135"/>
        <v>2</v>
      </c>
    </row>
    <row r="198" spans="1:64" ht="49.5" customHeight="1" x14ac:dyDescent="0.25">
      <c r="A198" s="298" t="s">
        <v>491</v>
      </c>
      <c r="B198" s="299" t="s">
        <v>489</v>
      </c>
      <c r="C198" s="1548"/>
      <c r="D198" s="1549"/>
      <c r="E198" s="1549"/>
      <c r="F198" s="1549"/>
      <c r="G198" s="1549"/>
      <c r="H198" s="1549"/>
      <c r="I198" s="1425"/>
      <c r="J198" s="1425"/>
      <c r="K198" s="1425" t="s">
        <v>625</v>
      </c>
      <c r="L198" s="301" t="s">
        <v>608</v>
      </c>
      <c r="M198" s="1425" t="s">
        <v>497</v>
      </c>
      <c r="N198" s="476" t="s">
        <v>2497</v>
      </c>
      <c r="O198" s="1425" t="s">
        <v>73</v>
      </c>
      <c r="P198" s="16" t="s">
        <v>626</v>
      </c>
      <c r="Q198" s="302" t="s">
        <v>627</v>
      </c>
      <c r="R198" s="303">
        <v>2015</v>
      </c>
      <c r="S198" s="303">
        <v>0</v>
      </c>
      <c r="T198" s="303">
        <v>1</v>
      </c>
      <c r="U198" s="303">
        <v>1</v>
      </c>
      <c r="V198" s="303">
        <v>1</v>
      </c>
      <c r="W198" s="303">
        <v>1</v>
      </c>
      <c r="X198" s="303">
        <v>1</v>
      </c>
      <c r="Y198" s="491">
        <v>0.5</v>
      </c>
      <c r="Z198" s="481"/>
      <c r="AA198" s="481"/>
      <c r="AB198" s="481"/>
      <c r="AC198" s="481"/>
      <c r="AD198" s="481"/>
      <c r="AE198" s="481"/>
      <c r="AF198" s="481">
        <f t="shared" si="153"/>
        <v>0.5</v>
      </c>
      <c r="AG198" s="491">
        <v>0.5</v>
      </c>
      <c r="AH198" s="548"/>
      <c r="AI198" s="548"/>
      <c r="AJ198" s="548"/>
      <c r="AK198" s="548"/>
      <c r="AL198" s="548"/>
      <c r="AM198" s="548">
        <f t="shared" si="154"/>
        <v>0.5</v>
      </c>
      <c r="AN198" s="491">
        <v>0.5</v>
      </c>
      <c r="AO198" s="481"/>
      <c r="AP198" s="481"/>
      <c r="AQ198" s="481"/>
      <c r="AR198" s="481"/>
      <c r="AS198" s="481"/>
      <c r="AT198" s="481"/>
      <c r="AU198" s="481">
        <f t="shared" si="155"/>
        <v>0.5</v>
      </c>
      <c r="AV198" s="491">
        <v>0.5</v>
      </c>
      <c r="AW198" s="548"/>
      <c r="AX198" s="548"/>
      <c r="AY198" s="548"/>
      <c r="AZ198" s="548"/>
      <c r="BA198" s="548"/>
      <c r="BB198" s="548"/>
      <c r="BC198" s="548">
        <f t="shared" si="157"/>
        <v>0.5</v>
      </c>
      <c r="BD198" s="42">
        <f t="shared" si="169"/>
        <v>2</v>
      </c>
      <c r="BE198" s="42">
        <f t="shared" si="170"/>
        <v>0</v>
      </c>
      <c r="BF198" s="42">
        <f t="shared" si="171"/>
        <v>0</v>
      </c>
      <c r="BG198" s="42">
        <f t="shared" si="172"/>
        <v>0</v>
      </c>
      <c r="BH198" s="42">
        <f t="shared" si="173"/>
        <v>0</v>
      </c>
      <c r="BI198" s="42">
        <f t="shared" si="142"/>
        <v>0</v>
      </c>
      <c r="BJ198" s="42">
        <f t="shared" si="174"/>
        <v>0</v>
      </c>
      <c r="BK198" s="42">
        <f t="shared" si="175"/>
        <v>2</v>
      </c>
      <c r="BL198" s="40">
        <f t="shared" ref="BL198:BL260" si="179">AF198+AM198+AU198+BC198</f>
        <v>2</v>
      </c>
    </row>
    <row r="199" spans="1:64" ht="30.75" customHeight="1" x14ac:dyDescent="0.25">
      <c r="A199" s="295" t="s">
        <v>491</v>
      </c>
      <c r="B199" s="24" t="s">
        <v>489</v>
      </c>
      <c r="C199" s="6"/>
      <c r="D199" s="2" t="s">
        <v>628</v>
      </c>
      <c r="E199" s="1"/>
      <c r="F199" s="1"/>
      <c r="G199" s="1"/>
      <c r="H199" s="1"/>
      <c r="I199" s="1"/>
      <c r="J199" s="1"/>
      <c r="K199" s="1"/>
      <c r="L199" s="1"/>
      <c r="M199" s="1"/>
      <c r="N199" s="1"/>
      <c r="O199" s="1"/>
      <c r="P199" s="62" t="s">
        <v>629</v>
      </c>
      <c r="Q199" s="22"/>
      <c r="R199" s="1"/>
      <c r="S199" s="1"/>
      <c r="T199" s="1"/>
      <c r="U199" s="1"/>
      <c r="V199" s="1"/>
      <c r="W199" s="1"/>
      <c r="X199" s="1"/>
      <c r="Y199" s="34">
        <f t="shared" ref="Y199:BK199" si="180">SUM(Y200:Y209)</f>
        <v>0</v>
      </c>
      <c r="Z199" s="34">
        <f t="shared" si="180"/>
        <v>56</v>
      </c>
      <c r="AA199" s="34">
        <f t="shared" si="180"/>
        <v>0</v>
      </c>
      <c r="AB199" s="34">
        <f t="shared" si="180"/>
        <v>500</v>
      </c>
      <c r="AC199" s="34">
        <f t="shared" si="180"/>
        <v>0</v>
      </c>
      <c r="AD199" s="34">
        <f t="shared" si="180"/>
        <v>29.72</v>
      </c>
      <c r="AE199" s="34">
        <f t="shared" si="180"/>
        <v>0</v>
      </c>
      <c r="AF199" s="34">
        <f t="shared" si="180"/>
        <v>585.72</v>
      </c>
      <c r="AG199" s="34">
        <f t="shared" si="180"/>
        <v>0</v>
      </c>
      <c r="AH199" s="34">
        <f t="shared" si="180"/>
        <v>56</v>
      </c>
      <c r="AI199" s="34">
        <f>SUM(AI200:AI209)</f>
        <v>0</v>
      </c>
      <c r="AJ199" s="34">
        <f t="shared" si="180"/>
        <v>0</v>
      </c>
      <c r="AK199" s="34">
        <f t="shared" si="180"/>
        <v>0</v>
      </c>
      <c r="AL199" s="34">
        <f t="shared" si="180"/>
        <v>0</v>
      </c>
      <c r="AM199" s="34">
        <f t="shared" si="180"/>
        <v>56</v>
      </c>
      <c r="AN199" s="34">
        <f t="shared" si="180"/>
        <v>0</v>
      </c>
      <c r="AO199" s="34">
        <f t="shared" si="180"/>
        <v>56</v>
      </c>
      <c r="AP199" s="34">
        <f t="shared" si="180"/>
        <v>0</v>
      </c>
      <c r="AQ199" s="34">
        <f t="shared" si="180"/>
        <v>0</v>
      </c>
      <c r="AR199" s="34">
        <f t="shared" si="180"/>
        <v>0</v>
      </c>
      <c r="AS199" s="34">
        <f t="shared" si="180"/>
        <v>0</v>
      </c>
      <c r="AT199" s="34">
        <f t="shared" si="180"/>
        <v>0</v>
      </c>
      <c r="AU199" s="34">
        <f t="shared" si="180"/>
        <v>56</v>
      </c>
      <c r="AV199" s="34">
        <f t="shared" si="180"/>
        <v>0</v>
      </c>
      <c r="AW199" s="34">
        <f t="shared" si="180"/>
        <v>56</v>
      </c>
      <c r="AX199" s="34">
        <f t="shared" si="180"/>
        <v>0</v>
      </c>
      <c r="AY199" s="34">
        <f t="shared" si="180"/>
        <v>0</v>
      </c>
      <c r="AZ199" s="34">
        <f t="shared" si="180"/>
        <v>0</v>
      </c>
      <c r="BA199" s="34">
        <f t="shared" si="180"/>
        <v>0</v>
      </c>
      <c r="BB199" s="34">
        <f t="shared" si="180"/>
        <v>0</v>
      </c>
      <c r="BC199" s="34">
        <f t="shared" si="180"/>
        <v>56</v>
      </c>
      <c r="BD199" s="34">
        <f t="shared" si="180"/>
        <v>0</v>
      </c>
      <c r="BE199" s="34">
        <f t="shared" si="180"/>
        <v>224</v>
      </c>
      <c r="BF199" s="34">
        <f t="shared" si="180"/>
        <v>0</v>
      </c>
      <c r="BG199" s="34">
        <f t="shared" si="180"/>
        <v>500</v>
      </c>
      <c r="BH199" s="34">
        <f t="shared" si="180"/>
        <v>0</v>
      </c>
      <c r="BI199" s="34">
        <f t="shared" si="142"/>
        <v>29.72</v>
      </c>
      <c r="BJ199" s="34">
        <f t="shared" si="180"/>
        <v>0</v>
      </c>
      <c r="BK199" s="34">
        <f t="shared" si="180"/>
        <v>753.72</v>
      </c>
      <c r="BL199" s="40">
        <f t="shared" si="179"/>
        <v>753.72</v>
      </c>
    </row>
    <row r="200" spans="1:64" ht="49.5" customHeight="1" x14ac:dyDescent="0.25">
      <c r="A200" s="298" t="s">
        <v>491</v>
      </c>
      <c r="B200" s="299" t="s">
        <v>489</v>
      </c>
      <c r="C200" s="1546" t="s">
        <v>630</v>
      </c>
      <c r="D200" s="1549" t="s">
        <v>631</v>
      </c>
      <c r="E200" s="1549" t="s">
        <v>632</v>
      </c>
      <c r="F200" s="1549">
        <v>2015</v>
      </c>
      <c r="G200" s="1549" t="s">
        <v>177</v>
      </c>
      <c r="H200" s="1549">
        <v>35</v>
      </c>
      <c r="I200" s="1425"/>
      <c r="J200" s="1425"/>
      <c r="K200" s="1425" t="s">
        <v>633</v>
      </c>
      <c r="L200" s="301" t="s">
        <v>496</v>
      </c>
      <c r="M200" s="1425" t="s">
        <v>497</v>
      </c>
      <c r="N200" s="476" t="s">
        <v>2497</v>
      </c>
      <c r="O200" s="1425" t="s">
        <v>47</v>
      </c>
      <c r="P200" s="16" t="s">
        <v>634</v>
      </c>
      <c r="Q200" s="302" t="s">
        <v>635</v>
      </c>
      <c r="R200" s="303">
        <v>2015</v>
      </c>
      <c r="S200" s="303">
        <v>0</v>
      </c>
      <c r="T200" s="303">
        <v>2</v>
      </c>
      <c r="U200" s="303">
        <v>2</v>
      </c>
      <c r="V200" s="303">
        <v>2</v>
      </c>
      <c r="W200" s="303">
        <v>2</v>
      </c>
      <c r="X200" s="303">
        <v>8</v>
      </c>
      <c r="Y200" s="481"/>
      <c r="Z200" s="481">
        <v>2</v>
      </c>
      <c r="AA200" s="481"/>
      <c r="AB200" s="481"/>
      <c r="AC200" s="481"/>
      <c r="AD200" s="481"/>
      <c r="AE200" s="481"/>
      <c r="AF200" s="481">
        <f t="shared" si="153"/>
        <v>2</v>
      </c>
      <c r="AG200" s="548"/>
      <c r="AH200" s="491">
        <v>3.5</v>
      </c>
      <c r="AI200" s="548"/>
      <c r="AJ200" s="548"/>
      <c r="AK200" s="548"/>
      <c r="AL200" s="548"/>
      <c r="AM200" s="548">
        <f t="shared" si="154"/>
        <v>3.5</v>
      </c>
      <c r="AN200" s="481"/>
      <c r="AO200" s="481">
        <v>2</v>
      </c>
      <c r="AP200" s="481"/>
      <c r="AQ200" s="481"/>
      <c r="AR200" s="481"/>
      <c r="AS200" s="481"/>
      <c r="AT200" s="481"/>
      <c r="AU200" s="481">
        <f t="shared" si="155"/>
        <v>2</v>
      </c>
      <c r="AV200" s="548"/>
      <c r="AW200" s="491">
        <v>3.5</v>
      </c>
      <c r="AX200" s="548"/>
      <c r="AY200" s="548"/>
      <c r="AZ200" s="548"/>
      <c r="BA200" s="548"/>
      <c r="BB200" s="548"/>
      <c r="BC200" s="548">
        <f t="shared" si="157"/>
        <v>3.5</v>
      </c>
      <c r="BD200" s="42">
        <f t="shared" si="169"/>
        <v>0</v>
      </c>
      <c r="BE200" s="42">
        <f t="shared" si="170"/>
        <v>11</v>
      </c>
      <c r="BF200" s="42">
        <f t="shared" si="171"/>
        <v>0</v>
      </c>
      <c r="BG200" s="42">
        <f t="shared" si="172"/>
        <v>0</v>
      </c>
      <c r="BH200" s="42">
        <f t="shared" si="173"/>
        <v>0</v>
      </c>
      <c r="BI200" s="42">
        <f t="shared" si="142"/>
        <v>0</v>
      </c>
      <c r="BJ200" s="42">
        <f t="shared" si="174"/>
        <v>0</v>
      </c>
      <c r="BK200" s="42">
        <f t="shared" si="175"/>
        <v>11</v>
      </c>
      <c r="BL200" s="40">
        <f t="shared" si="179"/>
        <v>11</v>
      </c>
    </row>
    <row r="201" spans="1:64" ht="45.75" customHeight="1" x14ac:dyDescent="0.25">
      <c r="A201" s="298" t="s">
        <v>491</v>
      </c>
      <c r="B201" s="299" t="s">
        <v>489</v>
      </c>
      <c r="C201" s="1547"/>
      <c r="D201" s="1549"/>
      <c r="E201" s="1549"/>
      <c r="F201" s="1549"/>
      <c r="G201" s="1549"/>
      <c r="H201" s="1549"/>
      <c r="I201" s="1425"/>
      <c r="J201" s="1425"/>
      <c r="K201" s="1425" t="s">
        <v>636</v>
      </c>
      <c r="L201" s="301" t="s">
        <v>496</v>
      </c>
      <c r="M201" s="1425" t="s">
        <v>497</v>
      </c>
      <c r="N201" s="476" t="s">
        <v>2497</v>
      </c>
      <c r="O201" s="1425" t="s">
        <v>47</v>
      </c>
      <c r="P201" s="16" t="s">
        <v>637</v>
      </c>
      <c r="Q201" s="302" t="s">
        <v>638</v>
      </c>
      <c r="R201" s="303">
        <v>2015</v>
      </c>
      <c r="S201" s="303">
        <v>0</v>
      </c>
      <c r="T201" s="303">
        <v>0.5</v>
      </c>
      <c r="U201" s="303">
        <v>0.5</v>
      </c>
      <c r="V201" s="303">
        <v>0</v>
      </c>
      <c r="W201" s="303">
        <v>0</v>
      </c>
      <c r="X201" s="303">
        <v>1</v>
      </c>
      <c r="Y201" s="481"/>
      <c r="Z201" s="481">
        <v>0</v>
      </c>
      <c r="AA201" s="481"/>
      <c r="AB201" s="481"/>
      <c r="AC201" s="481"/>
      <c r="AD201" s="481">
        <v>20</v>
      </c>
      <c r="AE201" s="481"/>
      <c r="AF201" s="481">
        <f t="shared" si="153"/>
        <v>20</v>
      </c>
      <c r="AG201" s="548"/>
      <c r="AH201" s="548">
        <v>3</v>
      </c>
      <c r="AI201" s="548"/>
      <c r="AJ201" s="548"/>
      <c r="AK201" s="548"/>
      <c r="AL201" s="548"/>
      <c r="AM201" s="548">
        <f t="shared" si="154"/>
        <v>3</v>
      </c>
      <c r="AN201" s="481"/>
      <c r="AO201" s="481">
        <v>0</v>
      </c>
      <c r="AP201" s="481"/>
      <c r="AQ201" s="481"/>
      <c r="AR201" s="481"/>
      <c r="AS201" s="481"/>
      <c r="AT201" s="481"/>
      <c r="AU201" s="481">
        <f t="shared" si="155"/>
        <v>0</v>
      </c>
      <c r="AV201" s="548"/>
      <c r="AW201" s="548">
        <v>0</v>
      </c>
      <c r="AX201" s="548"/>
      <c r="AY201" s="548"/>
      <c r="AZ201" s="548"/>
      <c r="BA201" s="548"/>
      <c r="BB201" s="548"/>
      <c r="BC201" s="548">
        <f t="shared" si="157"/>
        <v>0</v>
      </c>
      <c r="BD201" s="42">
        <f t="shared" si="169"/>
        <v>0</v>
      </c>
      <c r="BE201" s="42">
        <f t="shared" si="170"/>
        <v>3</v>
      </c>
      <c r="BF201" s="42">
        <f t="shared" si="171"/>
        <v>0</v>
      </c>
      <c r="BG201" s="42">
        <f t="shared" si="172"/>
        <v>0</v>
      </c>
      <c r="BH201" s="42">
        <f t="shared" si="173"/>
        <v>0</v>
      </c>
      <c r="BI201" s="42">
        <f t="shared" si="142"/>
        <v>20</v>
      </c>
      <c r="BJ201" s="42">
        <f t="shared" si="174"/>
        <v>0</v>
      </c>
      <c r="BK201" s="42">
        <f t="shared" si="175"/>
        <v>23</v>
      </c>
      <c r="BL201" s="40">
        <f t="shared" si="179"/>
        <v>23</v>
      </c>
    </row>
    <row r="202" spans="1:64" ht="46.5" customHeight="1" x14ac:dyDescent="0.25">
      <c r="A202" s="298" t="s">
        <v>491</v>
      </c>
      <c r="B202" s="299" t="s">
        <v>489</v>
      </c>
      <c r="C202" s="1547"/>
      <c r="D202" s="1549"/>
      <c r="E202" s="1549"/>
      <c r="F202" s="1549"/>
      <c r="G202" s="1549"/>
      <c r="H202" s="1549"/>
      <c r="I202" s="1425"/>
      <c r="J202" s="1425"/>
      <c r="K202" s="1425" t="s">
        <v>639</v>
      </c>
      <c r="L202" s="301" t="s">
        <v>496</v>
      </c>
      <c r="M202" s="1425" t="s">
        <v>497</v>
      </c>
      <c r="N202" s="476" t="s">
        <v>2497</v>
      </c>
      <c r="O202" s="1425" t="s">
        <v>47</v>
      </c>
      <c r="P202" s="16" t="s">
        <v>640</v>
      </c>
      <c r="Q202" s="302" t="s">
        <v>641</v>
      </c>
      <c r="R202" s="303">
        <v>2015</v>
      </c>
      <c r="S202" s="303">
        <v>0</v>
      </c>
      <c r="T202" s="303">
        <v>1</v>
      </c>
      <c r="U202" s="303">
        <v>0</v>
      </c>
      <c r="V202" s="303">
        <v>1</v>
      </c>
      <c r="W202" s="303">
        <v>0</v>
      </c>
      <c r="X202" s="303">
        <v>2</v>
      </c>
      <c r="Y202" s="481"/>
      <c r="Z202" s="481">
        <v>1.5</v>
      </c>
      <c r="AA202" s="481"/>
      <c r="AB202" s="481"/>
      <c r="AC202" s="481"/>
      <c r="AD202" s="481"/>
      <c r="AE202" s="481"/>
      <c r="AF202" s="481">
        <f t="shared" si="153"/>
        <v>1.5</v>
      </c>
      <c r="AG202" s="548"/>
      <c r="AH202" s="491"/>
      <c r="AI202" s="548"/>
      <c r="AJ202" s="548"/>
      <c r="AK202" s="548"/>
      <c r="AL202" s="548"/>
      <c r="AM202" s="548">
        <f t="shared" si="154"/>
        <v>0</v>
      </c>
      <c r="AN202" s="481"/>
      <c r="AO202" s="481">
        <v>1.5</v>
      </c>
      <c r="AP202" s="481"/>
      <c r="AQ202" s="481"/>
      <c r="AR202" s="481"/>
      <c r="AS202" s="481"/>
      <c r="AT202" s="481"/>
      <c r="AU202" s="481">
        <f t="shared" si="155"/>
        <v>1.5</v>
      </c>
      <c r="AV202" s="548"/>
      <c r="AW202" s="491"/>
      <c r="AX202" s="548"/>
      <c r="AY202" s="548"/>
      <c r="AZ202" s="548"/>
      <c r="BA202" s="548"/>
      <c r="BB202" s="548"/>
      <c r="BC202" s="548">
        <f t="shared" si="157"/>
        <v>0</v>
      </c>
      <c r="BD202" s="42">
        <f t="shared" si="169"/>
        <v>0</v>
      </c>
      <c r="BE202" s="42">
        <f t="shared" si="170"/>
        <v>3</v>
      </c>
      <c r="BF202" s="42">
        <f t="shared" si="171"/>
        <v>0</v>
      </c>
      <c r="BG202" s="42">
        <f t="shared" si="172"/>
        <v>0</v>
      </c>
      <c r="BH202" s="42">
        <f t="shared" si="173"/>
        <v>0</v>
      </c>
      <c r="BI202" s="42">
        <f t="shared" si="142"/>
        <v>0</v>
      </c>
      <c r="BJ202" s="42">
        <f t="shared" si="174"/>
        <v>0</v>
      </c>
      <c r="BK202" s="42">
        <f t="shared" si="175"/>
        <v>3</v>
      </c>
      <c r="BL202" s="40">
        <f t="shared" si="179"/>
        <v>3</v>
      </c>
    </row>
    <row r="203" spans="1:64" ht="45" customHeight="1" x14ac:dyDescent="0.25">
      <c r="A203" s="298" t="s">
        <v>491</v>
      </c>
      <c r="B203" s="299" t="s">
        <v>489</v>
      </c>
      <c r="C203" s="1547"/>
      <c r="D203" s="1549"/>
      <c r="E203" s="1549"/>
      <c r="F203" s="1549"/>
      <c r="G203" s="1549"/>
      <c r="H203" s="1549"/>
      <c r="I203" s="1425"/>
      <c r="J203" s="1425"/>
      <c r="K203" s="1425" t="s">
        <v>642</v>
      </c>
      <c r="L203" s="301" t="s">
        <v>496</v>
      </c>
      <c r="M203" s="1425" t="s">
        <v>497</v>
      </c>
      <c r="N203" s="476" t="s">
        <v>2497</v>
      </c>
      <c r="O203" s="1425" t="s">
        <v>47</v>
      </c>
      <c r="P203" s="16" t="s">
        <v>643</v>
      </c>
      <c r="Q203" s="302" t="s">
        <v>644</v>
      </c>
      <c r="R203" s="303">
        <v>2015</v>
      </c>
      <c r="S203" s="303">
        <v>0</v>
      </c>
      <c r="T203" s="303">
        <v>1</v>
      </c>
      <c r="U203" s="303">
        <v>1</v>
      </c>
      <c r="V203" s="303">
        <v>1</v>
      </c>
      <c r="W203" s="303">
        <v>1</v>
      </c>
      <c r="X203" s="303">
        <v>4</v>
      </c>
      <c r="Y203" s="481"/>
      <c r="Z203" s="481">
        <v>5</v>
      </c>
      <c r="AA203" s="481"/>
      <c r="AB203" s="481"/>
      <c r="AC203" s="481"/>
      <c r="AD203" s="481"/>
      <c r="AE203" s="481"/>
      <c r="AF203" s="481">
        <f t="shared" si="153"/>
        <v>5</v>
      </c>
      <c r="AG203" s="548"/>
      <c r="AH203" s="548">
        <v>2</v>
      </c>
      <c r="AI203" s="548"/>
      <c r="AJ203" s="548"/>
      <c r="AK203" s="548"/>
      <c r="AL203" s="548"/>
      <c r="AM203" s="548">
        <f t="shared" si="154"/>
        <v>2</v>
      </c>
      <c r="AN203" s="481"/>
      <c r="AO203" s="481">
        <v>5</v>
      </c>
      <c r="AP203" s="481"/>
      <c r="AQ203" s="481"/>
      <c r="AR203" s="481"/>
      <c r="AS203" s="481"/>
      <c r="AT203" s="481"/>
      <c r="AU203" s="481">
        <f t="shared" si="155"/>
        <v>5</v>
      </c>
      <c r="AV203" s="548"/>
      <c r="AW203" s="548">
        <v>5</v>
      </c>
      <c r="AX203" s="548"/>
      <c r="AY203" s="548"/>
      <c r="AZ203" s="548"/>
      <c r="BA203" s="548"/>
      <c r="BB203" s="548"/>
      <c r="BC203" s="548">
        <f t="shared" si="157"/>
        <v>5</v>
      </c>
      <c r="BD203" s="42">
        <f t="shared" si="169"/>
        <v>0</v>
      </c>
      <c r="BE203" s="42">
        <f t="shared" si="170"/>
        <v>17</v>
      </c>
      <c r="BF203" s="42">
        <f t="shared" si="171"/>
        <v>0</v>
      </c>
      <c r="BG203" s="42">
        <f t="shared" si="172"/>
        <v>0</v>
      </c>
      <c r="BH203" s="42">
        <f t="shared" si="173"/>
        <v>0</v>
      </c>
      <c r="BI203" s="42">
        <f t="shared" si="142"/>
        <v>0</v>
      </c>
      <c r="BJ203" s="42">
        <f t="shared" si="174"/>
        <v>0</v>
      </c>
      <c r="BK203" s="42">
        <f t="shared" si="175"/>
        <v>17</v>
      </c>
      <c r="BL203" s="40">
        <f t="shared" si="179"/>
        <v>17</v>
      </c>
    </row>
    <row r="204" spans="1:64" ht="56.25" customHeight="1" x14ac:dyDescent="0.25">
      <c r="A204" s="298" t="s">
        <v>491</v>
      </c>
      <c r="B204" s="299" t="s">
        <v>489</v>
      </c>
      <c r="C204" s="1547"/>
      <c r="D204" s="1549"/>
      <c r="E204" s="1549"/>
      <c r="F204" s="1549"/>
      <c r="G204" s="1549"/>
      <c r="H204" s="1549"/>
      <c r="I204" s="1425"/>
      <c r="J204" s="1425"/>
      <c r="K204" s="1425" t="s">
        <v>645</v>
      </c>
      <c r="L204" s="301" t="s">
        <v>496</v>
      </c>
      <c r="M204" s="1425" t="s">
        <v>497</v>
      </c>
      <c r="N204" s="476" t="s">
        <v>2497</v>
      </c>
      <c r="O204" s="1425" t="s">
        <v>73</v>
      </c>
      <c r="P204" s="16" t="s">
        <v>646</v>
      </c>
      <c r="Q204" s="302" t="s">
        <v>647</v>
      </c>
      <c r="R204" s="303">
        <v>2015</v>
      </c>
      <c r="S204" s="303">
        <v>0</v>
      </c>
      <c r="T204" s="303">
        <v>4</v>
      </c>
      <c r="U204" s="303">
        <v>4</v>
      </c>
      <c r="V204" s="303">
        <v>4</v>
      </c>
      <c r="W204" s="303">
        <v>4</v>
      </c>
      <c r="X204" s="303">
        <v>4</v>
      </c>
      <c r="Y204" s="481"/>
      <c r="Z204" s="481">
        <v>16</v>
      </c>
      <c r="AA204" s="481"/>
      <c r="AB204" s="481"/>
      <c r="AC204" s="481"/>
      <c r="AD204" s="481"/>
      <c r="AE204" s="481"/>
      <c r="AF204" s="481">
        <f t="shared" si="153"/>
        <v>16</v>
      </c>
      <c r="AG204" s="548"/>
      <c r="AH204" s="548">
        <v>16</v>
      </c>
      <c r="AI204" s="548"/>
      <c r="AJ204" s="548"/>
      <c r="AK204" s="548"/>
      <c r="AL204" s="548"/>
      <c r="AM204" s="548">
        <f t="shared" si="154"/>
        <v>16</v>
      </c>
      <c r="AN204" s="481"/>
      <c r="AO204" s="481">
        <v>16</v>
      </c>
      <c r="AP204" s="481"/>
      <c r="AQ204" s="481"/>
      <c r="AR204" s="481"/>
      <c r="AS204" s="481"/>
      <c r="AT204" s="481"/>
      <c r="AU204" s="481">
        <f t="shared" si="155"/>
        <v>16</v>
      </c>
      <c r="AV204" s="548"/>
      <c r="AW204" s="548">
        <v>16</v>
      </c>
      <c r="AX204" s="548"/>
      <c r="AY204" s="548"/>
      <c r="AZ204" s="548"/>
      <c r="BA204" s="548"/>
      <c r="BB204" s="548"/>
      <c r="BC204" s="548">
        <f t="shared" si="157"/>
        <v>16</v>
      </c>
      <c r="BD204" s="42">
        <f t="shared" si="169"/>
        <v>0</v>
      </c>
      <c r="BE204" s="42">
        <f t="shared" si="170"/>
        <v>64</v>
      </c>
      <c r="BF204" s="42">
        <f t="shared" si="171"/>
        <v>0</v>
      </c>
      <c r="BG204" s="42">
        <f t="shared" si="172"/>
        <v>0</v>
      </c>
      <c r="BH204" s="42">
        <f t="shared" si="173"/>
        <v>0</v>
      </c>
      <c r="BI204" s="42">
        <f t="shared" si="142"/>
        <v>0</v>
      </c>
      <c r="BJ204" s="42">
        <f t="shared" si="174"/>
        <v>0</v>
      </c>
      <c r="BK204" s="42">
        <f t="shared" si="175"/>
        <v>64</v>
      </c>
      <c r="BL204" s="40">
        <f t="shared" si="179"/>
        <v>64</v>
      </c>
    </row>
    <row r="205" spans="1:64" ht="52.5" customHeight="1" x14ac:dyDescent="0.25">
      <c r="A205" s="298" t="s">
        <v>491</v>
      </c>
      <c r="B205" s="299" t="s">
        <v>489</v>
      </c>
      <c r="C205" s="1547"/>
      <c r="D205" s="1549"/>
      <c r="E205" s="1549"/>
      <c r="F205" s="1549"/>
      <c r="G205" s="1549"/>
      <c r="H205" s="1549"/>
      <c r="I205" s="1425" t="s">
        <v>53</v>
      </c>
      <c r="J205" s="1425"/>
      <c r="K205" s="1425" t="s">
        <v>648</v>
      </c>
      <c r="L205" s="301" t="s">
        <v>496</v>
      </c>
      <c r="M205" s="1425" t="s">
        <v>497</v>
      </c>
      <c r="N205" s="476" t="s">
        <v>2497</v>
      </c>
      <c r="O205" s="1425" t="s">
        <v>47</v>
      </c>
      <c r="P205" s="16" t="s">
        <v>649</v>
      </c>
      <c r="Q205" s="302" t="s">
        <v>650</v>
      </c>
      <c r="R205" s="303">
        <v>2015</v>
      </c>
      <c r="S205" s="303">
        <v>0</v>
      </c>
      <c r="T205" s="303">
        <v>0.5</v>
      </c>
      <c r="U205" s="303">
        <v>0.5</v>
      </c>
      <c r="V205" s="303">
        <v>0</v>
      </c>
      <c r="W205" s="303">
        <v>0</v>
      </c>
      <c r="X205" s="303">
        <v>1</v>
      </c>
      <c r="Y205" s="481"/>
      <c r="Z205" s="481"/>
      <c r="AA205" s="481"/>
      <c r="AB205" s="481">
        <v>500</v>
      </c>
      <c r="AC205" s="481"/>
      <c r="AD205" s="481"/>
      <c r="AE205" s="481"/>
      <c r="AF205" s="481">
        <f t="shared" si="153"/>
        <v>500</v>
      </c>
      <c r="AG205" s="548"/>
      <c r="AH205" s="548">
        <v>2</v>
      </c>
      <c r="AI205" s="548"/>
      <c r="AJ205" s="548">
        <v>0</v>
      </c>
      <c r="AK205" s="548"/>
      <c r="AL205" s="548"/>
      <c r="AM205" s="548">
        <f t="shared" si="154"/>
        <v>2</v>
      </c>
      <c r="AN205" s="481"/>
      <c r="AO205" s="481"/>
      <c r="AP205" s="481"/>
      <c r="AQ205" s="481">
        <v>0</v>
      </c>
      <c r="AR205" s="481"/>
      <c r="AS205" s="481"/>
      <c r="AT205" s="481"/>
      <c r="AU205" s="481">
        <f t="shared" si="155"/>
        <v>0</v>
      </c>
      <c r="AV205" s="548"/>
      <c r="AW205" s="548"/>
      <c r="AX205" s="548"/>
      <c r="AY205" s="548">
        <v>0</v>
      </c>
      <c r="AZ205" s="548"/>
      <c r="BA205" s="548"/>
      <c r="BB205" s="548"/>
      <c r="BC205" s="548">
        <f t="shared" si="157"/>
        <v>0</v>
      </c>
      <c r="BD205" s="42">
        <f t="shared" si="169"/>
        <v>0</v>
      </c>
      <c r="BE205" s="42">
        <f t="shared" si="170"/>
        <v>2</v>
      </c>
      <c r="BF205" s="42">
        <f t="shared" si="171"/>
        <v>0</v>
      </c>
      <c r="BG205" s="42">
        <f t="shared" si="172"/>
        <v>500</v>
      </c>
      <c r="BH205" s="42">
        <f t="shared" si="173"/>
        <v>0</v>
      </c>
      <c r="BI205" s="42">
        <f t="shared" ref="BI205:BI267" si="181">+AD205+AS205+BA205</f>
        <v>0</v>
      </c>
      <c r="BJ205" s="42">
        <f t="shared" si="174"/>
        <v>0</v>
      </c>
      <c r="BK205" s="42">
        <f t="shared" si="175"/>
        <v>502</v>
      </c>
      <c r="BL205" s="40">
        <f t="shared" si="179"/>
        <v>502</v>
      </c>
    </row>
    <row r="206" spans="1:64" ht="47.25" customHeight="1" x14ac:dyDescent="0.25">
      <c r="A206" s="298" t="s">
        <v>491</v>
      </c>
      <c r="B206" s="299" t="s">
        <v>489</v>
      </c>
      <c r="C206" s="1547"/>
      <c r="D206" s="1549"/>
      <c r="E206" s="1549"/>
      <c r="F206" s="1549"/>
      <c r="G206" s="1549"/>
      <c r="H206" s="1549"/>
      <c r="I206" s="1425"/>
      <c r="J206" s="1425"/>
      <c r="K206" s="1425" t="s">
        <v>651</v>
      </c>
      <c r="L206" s="301" t="s">
        <v>496</v>
      </c>
      <c r="M206" s="1425" t="s">
        <v>497</v>
      </c>
      <c r="N206" s="476" t="s">
        <v>2497</v>
      </c>
      <c r="O206" s="1425" t="s">
        <v>73</v>
      </c>
      <c r="P206" s="71" t="s">
        <v>652</v>
      </c>
      <c r="Q206" s="302" t="s">
        <v>653</v>
      </c>
      <c r="R206" s="303">
        <v>2015</v>
      </c>
      <c r="S206" s="303">
        <v>0</v>
      </c>
      <c r="T206" s="303">
        <v>1</v>
      </c>
      <c r="U206" s="303">
        <v>1</v>
      </c>
      <c r="V206" s="303">
        <v>1</v>
      </c>
      <c r="W206" s="303">
        <v>1</v>
      </c>
      <c r="X206" s="303">
        <v>1</v>
      </c>
      <c r="Y206" s="481"/>
      <c r="Z206" s="481">
        <v>1</v>
      </c>
      <c r="AA206" s="481"/>
      <c r="AB206" s="481"/>
      <c r="AC206" s="481"/>
      <c r="AD206" s="481">
        <v>3.72</v>
      </c>
      <c r="AE206" s="481"/>
      <c r="AF206" s="481">
        <f t="shared" si="153"/>
        <v>4.7200000000000006</v>
      </c>
      <c r="AG206" s="548"/>
      <c r="AH206" s="548">
        <v>1</v>
      </c>
      <c r="AI206" s="548"/>
      <c r="AJ206" s="548"/>
      <c r="AK206" s="548"/>
      <c r="AL206" s="548"/>
      <c r="AM206" s="548">
        <f t="shared" si="154"/>
        <v>1</v>
      </c>
      <c r="AN206" s="481"/>
      <c r="AO206" s="481">
        <v>1</v>
      </c>
      <c r="AP206" s="481"/>
      <c r="AQ206" s="481"/>
      <c r="AR206" s="481"/>
      <c r="AS206" s="481"/>
      <c r="AT206" s="481"/>
      <c r="AU206" s="481">
        <f t="shared" si="155"/>
        <v>1</v>
      </c>
      <c r="AV206" s="548"/>
      <c r="AW206" s="548">
        <v>1</v>
      </c>
      <c r="AX206" s="548"/>
      <c r="AY206" s="548"/>
      <c r="AZ206" s="548"/>
      <c r="BA206" s="548"/>
      <c r="BB206" s="548"/>
      <c r="BC206" s="548">
        <f t="shared" si="157"/>
        <v>1</v>
      </c>
      <c r="BD206" s="42">
        <f t="shared" si="169"/>
        <v>0</v>
      </c>
      <c r="BE206" s="42">
        <f t="shared" si="170"/>
        <v>4</v>
      </c>
      <c r="BF206" s="42">
        <f t="shared" si="171"/>
        <v>0</v>
      </c>
      <c r="BG206" s="42">
        <f t="shared" si="172"/>
        <v>0</v>
      </c>
      <c r="BH206" s="42">
        <f t="shared" si="173"/>
        <v>0</v>
      </c>
      <c r="BI206" s="42">
        <f t="shared" si="181"/>
        <v>3.72</v>
      </c>
      <c r="BJ206" s="42">
        <f t="shared" si="174"/>
        <v>0</v>
      </c>
      <c r="BK206" s="42">
        <f t="shared" si="175"/>
        <v>7.7200000000000006</v>
      </c>
      <c r="BL206" s="40">
        <f t="shared" si="179"/>
        <v>7.7200000000000006</v>
      </c>
    </row>
    <row r="207" spans="1:64" ht="50.25" customHeight="1" x14ac:dyDescent="0.25">
      <c r="A207" s="298" t="s">
        <v>491</v>
      </c>
      <c r="B207" s="299" t="s">
        <v>489</v>
      </c>
      <c r="C207" s="1547"/>
      <c r="D207" s="1549"/>
      <c r="E207" s="1549"/>
      <c r="F207" s="1549"/>
      <c r="G207" s="1549"/>
      <c r="H207" s="1549"/>
      <c r="I207" s="1425"/>
      <c r="J207" s="1425"/>
      <c r="K207" s="1425" t="s">
        <v>654</v>
      </c>
      <c r="L207" s="301" t="s">
        <v>496</v>
      </c>
      <c r="M207" s="1425" t="s">
        <v>497</v>
      </c>
      <c r="N207" s="476" t="s">
        <v>2497</v>
      </c>
      <c r="O207" s="1425" t="s">
        <v>47</v>
      </c>
      <c r="P207" s="71" t="s">
        <v>655</v>
      </c>
      <c r="Q207" s="302" t="s">
        <v>656</v>
      </c>
      <c r="R207" s="303">
        <v>2015</v>
      </c>
      <c r="S207" s="303">
        <v>0</v>
      </c>
      <c r="T207" s="303">
        <v>2</v>
      </c>
      <c r="U207" s="303">
        <v>2</v>
      </c>
      <c r="V207" s="303">
        <v>2</v>
      </c>
      <c r="W207" s="303">
        <v>2</v>
      </c>
      <c r="X207" s="303">
        <v>8</v>
      </c>
      <c r="Y207" s="481"/>
      <c r="Z207" s="481">
        <v>4</v>
      </c>
      <c r="AA207" s="481"/>
      <c r="AB207" s="481"/>
      <c r="AC207" s="481"/>
      <c r="AD207" s="481">
        <v>6</v>
      </c>
      <c r="AE207" s="481"/>
      <c r="AF207" s="481">
        <f t="shared" si="153"/>
        <v>10</v>
      </c>
      <c r="AG207" s="548"/>
      <c r="AH207" s="548">
        <v>4</v>
      </c>
      <c r="AI207" s="548"/>
      <c r="AJ207" s="548"/>
      <c r="AK207" s="548"/>
      <c r="AL207" s="548"/>
      <c r="AM207" s="548">
        <f t="shared" si="154"/>
        <v>4</v>
      </c>
      <c r="AN207" s="481"/>
      <c r="AO207" s="481">
        <v>4</v>
      </c>
      <c r="AP207" s="481"/>
      <c r="AQ207" s="481"/>
      <c r="AR207" s="481"/>
      <c r="AS207" s="481"/>
      <c r="AT207" s="481"/>
      <c r="AU207" s="481">
        <f t="shared" si="155"/>
        <v>4</v>
      </c>
      <c r="AV207" s="548"/>
      <c r="AW207" s="548">
        <v>4</v>
      </c>
      <c r="AX207" s="548"/>
      <c r="AY207" s="548"/>
      <c r="AZ207" s="548"/>
      <c r="BA207" s="548"/>
      <c r="BB207" s="548"/>
      <c r="BC207" s="548">
        <f t="shared" si="157"/>
        <v>4</v>
      </c>
      <c r="BD207" s="42">
        <f t="shared" si="169"/>
        <v>0</v>
      </c>
      <c r="BE207" s="42">
        <f t="shared" si="170"/>
        <v>16</v>
      </c>
      <c r="BF207" s="42">
        <f t="shared" si="171"/>
        <v>0</v>
      </c>
      <c r="BG207" s="42">
        <f t="shared" si="172"/>
        <v>0</v>
      </c>
      <c r="BH207" s="42">
        <f t="shared" si="173"/>
        <v>0</v>
      </c>
      <c r="BI207" s="42">
        <f t="shared" si="181"/>
        <v>6</v>
      </c>
      <c r="BJ207" s="42">
        <f t="shared" si="174"/>
        <v>0</v>
      </c>
      <c r="BK207" s="42">
        <f t="shared" si="175"/>
        <v>22</v>
      </c>
      <c r="BL207" s="40">
        <f t="shared" si="179"/>
        <v>22</v>
      </c>
    </row>
    <row r="208" spans="1:64" ht="39.75" customHeight="1" x14ac:dyDescent="0.25">
      <c r="A208" s="298" t="s">
        <v>491</v>
      </c>
      <c r="B208" s="299" t="s">
        <v>489</v>
      </c>
      <c r="C208" s="1547"/>
      <c r="D208" s="1549"/>
      <c r="E208" s="1549"/>
      <c r="F208" s="1549"/>
      <c r="G208" s="1549"/>
      <c r="H208" s="1549"/>
      <c r="I208" s="1425"/>
      <c r="J208" s="1425"/>
      <c r="K208" s="1425" t="s">
        <v>657</v>
      </c>
      <c r="L208" s="301" t="s">
        <v>496</v>
      </c>
      <c r="M208" s="1425" t="s">
        <v>497</v>
      </c>
      <c r="N208" s="476" t="s">
        <v>2497</v>
      </c>
      <c r="O208" s="1425" t="s">
        <v>73</v>
      </c>
      <c r="P208" s="71" t="s">
        <v>658</v>
      </c>
      <c r="Q208" s="302" t="s">
        <v>659</v>
      </c>
      <c r="R208" s="303">
        <v>2015</v>
      </c>
      <c r="S208" s="303">
        <v>1</v>
      </c>
      <c r="T208" s="303">
        <v>1</v>
      </c>
      <c r="U208" s="303">
        <v>1</v>
      </c>
      <c r="V208" s="303">
        <v>1</v>
      </c>
      <c r="W208" s="303">
        <v>1</v>
      </c>
      <c r="X208" s="303">
        <v>1</v>
      </c>
      <c r="Y208" s="481"/>
      <c r="Z208" s="481">
        <v>12</v>
      </c>
      <c r="AA208" s="481"/>
      <c r="AB208" s="481"/>
      <c r="AC208" s="481"/>
      <c r="AD208" s="481"/>
      <c r="AE208" s="481"/>
      <c r="AF208" s="481">
        <f t="shared" si="153"/>
        <v>12</v>
      </c>
      <c r="AG208" s="548"/>
      <c r="AH208" s="548">
        <v>10</v>
      </c>
      <c r="AI208" s="548"/>
      <c r="AJ208" s="548"/>
      <c r="AK208" s="548"/>
      <c r="AL208" s="548"/>
      <c r="AM208" s="548">
        <f t="shared" si="154"/>
        <v>10</v>
      </c>
      <c r="AN208" s="481"/>
      <c r="AO208" s="481">
        <v>12</v>
      </c>
      <c r="AP208" s="481"/>
      <c r="AQ208" s="481"/>
      <c r="AR208" s="481"/>
      <c r="AS208" s="481"/>
      <c r="AT208" s="481"/>
      <c r="AU208" s="481">
        <f t="shared" si="155"/>
        <v>12</v>
      </c>
      <c r="AV208" s="548"/>
      <c r="AW208" s="548">
        <v>12</v>
      </c>
      <c r="AX208" s="548"/>
      <c r="AY208" s="548"/>
      <c r="AZ208" s="548"/>
      <c r="BA208" s="548"/>
      <c r="BB208" s="548"/>
      <c r="BC208" s="548">
        <f t="shared" si="157"/>
        <v>12</v>
      </c>
      <c r="BD208" s="42">
        <f t="shared" si="169"/>
        <v>0</v>
      </c>
      <c r="BE208" s="42">
        <f t="shared" si="170"/>
        <v>46</v>
      </c>
      <c r="BF208" s="42">
        <f t="shared" si="171"/>
        <v>0</v>
      </c>
      <c r="BG208" s="42">
        <f t="shared" si="172"/>
        <v>0</v>
      </c>
      <c r="BH208" s="42">
        <f t="shared" si="173"/>
        <v>0</v>
      </c>
      <c r="BI208" s="42">
        <f t="shared" si="181"/>
        <v>0</v>
      </c>
      <c r="BJ208" s="42">
        <f t="shared" si="174"/>
        <v>0</v>
      </c>
      <c r="BK208" s="42">
        <f t="shared" si="175"/>
        <v>46</v>
      </c>
      <c r="BL208" s="40">
        <f t="shared" si="179"/>
        <v>46</v>
      </c>
    </row>
    <row r="209" spans="1:64" ht="39.75" customHeight="1" x14ac:dyDescent="0.25">
      <c r="A209" s="298" t="s">
        <v>491</v>
      </c>
      <c r="B209" s="299" t="s">
        <v>489</v>
      </c>
      <c r="C209" s="1548"/>
      <c r="D209" s="1549"/>
      <c r="E209" s="1549"/>
      <c r="F209" s="1549"/>
      <c r="G209" s="1549"/>
      <c r="H209" s="1549"/>
      <c r="I209" s="1425"/>
      <c r="J209" s="1425"/>
      <c r="K209" s="1425" t="s">
        <v>660</v>
      </c>
      <c r="L209" s="301" t="s">
        <v>496</v>
      </c>
      <c r="M209" s="1425" t="s">
        <v>497</v>
      </c>
      <c r="N209" s="476" t="s">
        <v>2497</v>
      </c>
      <c r="O209" s="1425" t="s">
        <v>73</v>
      </c>
      <c r="P209" s="71" t="s">
        <v>661</v>
      </c>
      <c r="Q209" s="302" t="s">
        <v>659</v>
      </c>
      <c r="R209" s="303">
        <v>2015</v>
      </c>
      <c r="S209" s="303">
        <v>1</v>
      </c>
      <c r="T209" s="303">
        <v>1</v>
      </c>
      <c r="U209" s="303">
        <v>1</v>
      </c>
      <c r="V209" s="303">
        <v>1</v>
      </c>
      <c r="W209" s="303">
        <v>1</v>
      </c>
      <c r="X209" s="303">
        <v>1</v>
      </c>
      <c r="Y209" s="481"/>
      <c r="Z209" s="481">
        <v>14.5</v>
      </c>
      <c r="AA209" s="481"/>
      <c r="AB209" s="481"/>
      <c r="AC209" s="481"/>
      <c r="AD209" s="481"/>
      <c r="AE209" s="481"/>
      <c r="AF209" s="481">
        <f t="shared" si="153"/>
        <v>14.5</v>
      </c>
      <c r="AG209" s="548"/>
      <c r="AH209" s="548">
        <v>14.5</v>
      </c>
      <c r="AI209" s="548"/>
      <c r="AJ209" s="548"/>
      <c r="AK209" s="548"/>
      <c r="AL209" s="548"/>
      <c r="AM209" s="548">
        <f t="shared" si="154"/>
        <v>14.5</v>
      </c>
      <c r="AN209" s="481"/>
      <c r="AO209" s="481">
        <v>14.5</v>
      </c>
      <c r="AP209" s="481"/>
      <c r="AQ209" s="481"/>
      <c r="AR209" s="481"/>
      <c r="AS209" s="481"/>
      <c r="AT209" s="481"/>
      <c r="AU209" s="481">
        <f t="shared" si="155"/>
        <v>14.5</v>
      </c>
      <c r="AV209" s="548"/>
      <c r="AW209" s="548">
        <v>14.5</v>
      </c>
      <c r="AX209" s="548"/>
      <c r="AY209" s="548"/>
      <c r="AZ209" s="548"/>
      <c r="BA209" s="548"/>
      <c r="BB209" s="548"/>
      <c r="BC209" s="548">
        <f t="shared" si="157"/>
        <v>14.5</v>
      </c>
      <c r="BD209" s="42">
        <f t="shared" si="169"/>
        <v>0</v>
      </c>
      <c r="BE209" s="42">
        <f t="shared" si="170"/>
        <v>58</v>
      </c>
      <c r="BF209" s="42">
        <f t="shared" si="171"/>
        <v>0</v>
      </c>
      <c r="BG209" s="42">
        <f t="shared" si="172"/>
        <v>0</v>
      </c>
      <c r="BH209" s="42">
        <f t="shared" si="173"/>
        <v>0</v>
      </c>
      <c r="BI209" s="42">
        <f t="shared" si="181"/>
        <v>0</v>
      </c>
      <c r="BJ209" s="42">
        <f t="shared" si="174"/>
        <v>0</v>
      </c>
      <c r="BK209" s="42">
        <f t="shared" si="175"/>
        <v>58</v>
      </c>
      <c r="BL209" s="40">
        <f t="shared" si="179"/>
        <v>58</v>
      </c>
    </row>
    <row r="210" spans="1:64" ht="33" customHeight="1" x14ac:dyDescent="0.25">
      <c r="A210" s="295" t="s">
        <v>491</v>
      </c>
      <c r="B210" s="24" t="s">
        <v>489</v>
      </c>
      <c r="C210" s="6"/>
      <c r="D210" s="2" t="s">
        <v>662</v>
      </c>
      <c r="E210" s="1"/>
      <c r="F210" s="1"/>
      <c r="G210" s="1"/>
      <c r="H210" s="1"/>
      <c r="I210" s="1"/>
      <c r="J210" s="1"/>
      <c r="K210" s="1"/>
      <c r="L210" s="1"/>
      <c r="M210" s="1"/>
      <c r="N210" s="1"/>
      <c r="O210" s="1"/>
      <c r="P210" s="22" t="s">
        <v>663</v>
      </c>
      <c r="Q210" s="22"/>
      <c r="R210" s="1"/>
      <c r="S210" s="1"/>
      <c r="T210" s="1"/>
      <c r="U210" s="1"/>
      <c r="V210" s="1"/>
      <c r="W210" s="1"/>
      <c r="X210" s="1"/>
      <c r="Y210" s="34">
        <f>SUM(Y211:Y218)</f>
        <v>10</v>
      </c>
      <c r="Z210" s="34">
        <f t="shared" ref="Z210:BK210" si="182">SUM(Z211:Z218)</f>
        <v>0</v>
      </c>
      <c r="AA210" s="34">
        <f t="shared" si="182"/>
        <v>2.66</v>
      </c>
      <c r="AB210" s="34">
        <f t="shared" si="182"/>
        <v>0</v>
      </c>
      <c r="AC210" s="34">
        <f t="shared" si="182"/>
        <v>0</v>
      </c>
      <c r="AD210" s="34">
        <f t="shared" si="182"/>
        <v>0</v>
      </c>
      <c r="AE210" s="34">
        <f t="shared" si="182"/>
        <v>0</v>
      </c>
      <c r="AF210" s="34">
        <f t="shared" si="182"/>
        <v>12.66</v>
      </c>
      <c r="AG210" s="34">
        <f t="shared" si="182"/>
        <v>10</v>
      </c>
      <c r="AH210" s="34">
        <f t="shared" si="182"/>
        <v>0</v>
      </c>
      <c r="AI210" s="34">
        <f t="shared" si="182"/>
        <v>2.66</v>
      </c>
      <c r="AJ210" s="34">
        <f t="shared" si="182"/>
        <v>0</v>
      </c>
      <c r="AK210" s="34">
        <f t="shared" si="182"/>
        <v>0</v>
      </c>
      <c r="AL210" s="34">
        <f t="shared" si="182"/>
        <v>0</v>
      </c>
      <c r="AM210" s="34">
        <f t="shared" si="182"/>
        <v>12.66</v>
      </c>
      <c r="AN210" s="34">
        <f t="shared" si="182"/>
        <v>10</v>
      </c>
      <c r="AO210" s="34">
        <f t="shared" si="182"/>
        <v>0</v>
      </c>
      <c r="AP210" s="34">
        <f t="shared" si="182"/>
        <v>2.66</v>
      </c>
      <c r="AQ210" s="34">
        <f t="shared" si="182"/>
        <v>0</v>
      </c>
      <c r="AR210" s="34">
        <f t="shared" si="182"/>
        <v>0</v>
      </c>
      <c r="AS210" s="34">
        <f t="shared" si="182"/>
        <v>0</v>
      </c>
      <c r="AT210" s="34">
        <f t="shared" si="182"/>
        <v>0</v>
      </c>
      <c r="AU210" s="34">
        <f t="shared" si="182"/>
        <v>12.66</v>
      </c>
      <c r="AV210" s="34">
        <f t="shared" si="182"/>
        <v>10</v>
      </c>
      <c r="AW210" s="34">
        <f t="shared" si="182"/>
        <v>0</v>
      </c>
      <c r="AX210" s="34">
        <f t="shared" si="182"/>
        <v>2.66</v>
      </c>
      <c r="AY210" s="34">
        <f t="shared" si="182"/>
        <v>0</v>
      </c>
      <c r="AZ210" s="34">
        <f t="shared" si="182"/>
        <v>0</v>
      </c>
      <c r="BA210" s="34">
        <f t="shared" si="182"/>
        <v>0</v>
      </c>
      <c r="BB210" s="34">
        <f t="shared" si="182"/>
        <v>0</v>
      </c>
      <c r="BC210" s="34">
        <f t="shared" si="182"/>
        <v>12.66</v>
      </c>
      <c r="BD210" s="34">
        <f t="shared" si="182"/>
        <v>40</v>
      </c>
      <c r="BE210" s="34">
        <f t="shared" si="182"/>
        <v>0</v>
      </c>
      <c r="BF210" s="34">
        <f t="shared" si="182"/>
        <v>10.64</v>
      </c>
      <c r="BG210" s="34">
        <f t="shared" si="182"/>
        <v>0</v>
      </c>
      <c r="BH210" s="34">
        <f t="shared" si="182"/>
        <v>0</v>
      </c>
      <c r="BI210" s="34">
        <f t="shared" si="181"/>
        <v>0</v>
      </c>
      <c r="BJ210" s="34">
        <f t="shared" si="182"/>
        <v>0</v>
      </c>
      <c r="BK210" s="34">
        <f t="shared" si="182"/>
        <v>50.64</v>
      </c>
      <c r="BL210" s="40">
        <f t="shared" si="179"/>
        <v>50.64</v>
      </c>
    </row>
    <row r="211" spans="1:64" ht="61.5" customHeight="1" x14ac:dyDescent="0.25">
      <c r="A211" s="298" t="s">
        <v>491</v>
      </c>
      <c r="B211" s="299" t="s">
        <v>489</v>
      </c>
      <c r="C211" s="1546" t="s">
        <v>664</v>
      </c>
      <c r="D211" s="1550" t="s">
        <v>665</v>
      </c>
      <c r="E211" s="1550" t="s">
        <v>252</v>
      </c>
      <c r="F211" s="1549">
        <v>2015</v>
      </c>
      <c r="G211" s="1562">
        <v>11672</v>
      </c>
      <c r="H211" s="1562">
        <v>13500</v>
      </c>
      <c r="I211" s="1428"/>
      <c r="J211" s="1428"/>
      <c r="K211" s="1428" t="s">
        <v>666</v>
      </c>
      <c r="L211" s="301" t="s">
        <v>496</v>
      </c>
      <c r="M211" s="1425" t="s">
        <v>497</v>
      </c>
      <c r="N211" s="476" t="s">
        <v>2497</v>
      </c>
      <c r="O211" s="1425" t="s">
        <v>73</v>
      </c>
      <c r="P211" s="16" t="s">
        <v>667</v>
      </c>
      <c r="Q211" s="302" t="s">
        <v>668</v>
      </c>
      <c r="R211" s="303">
        <v>2015</v>
      </c>
      <c r="S211" s="303">
        <v>0</v>
      </c>
      <c r="T211" s="303">
        <v>1</v>
      </c>
      <c r="U211" s="303">
        <v>1</v>
      </c>
      <c r="V211" s="303">
        <v>1</v>
      </c>
      <c r="W211" s="303">
        <v>1</v>
      </c>
      <c r="X211" s="303">
        <v>1</v>
      </c>
      <c r="Y211" s="481"/>
      <c r="Z211" s="481"/>
      <c r="AA211" s="481">
        <v>2.66</v>
      </c>
      <c r="AB211" s="481"/>
      <c r="AC211" s="481"/>
      <c r="AD211" s="481"/>
      <c r="AE211" s="481"/>
      <c r="AF211" s="481">
        <f t="shared" si="153"/>
        <v>2.66</v>
      </c>
      <c r="AG211" s="548"/>
      <c r="AH211" s="548"/>
      <c r="AI211" s="548">
        <v>2.66</v>
      </c>
      <c r="AJ211" s="548"/>
      <c r="AK211" s="548"/>
      <c r="AL211" s="548"/>
      <c r="AM211" s="548">
        <f t="shared" si="154"/>
        <v>2.66</v>
      </c>
      <c r="AN211" s="481"/>
      <c r="AO211" s="481"/>
      <c r="AP211" s="481">
        <v>2.66</v>
      </c>
      <c r="AQ211" s="481"/>
      <c r="AR211" s="481"/>
      <c r="AS211" s="481"/>
      <c r="AT211" s="481"/>
      <c r="AU211" s="481">
        <f t="shared" si="155"/>
        <v>2.66</v>
      </c>
      <c r="AV211" s="548"/>
      <c r="AW211" s="548"/>
      <c r="AX211" s="548">
        <v>2.66</v>
      </c>
      <c r="AY211" s="548"/>
      <c r="AZ211" s="548"/>
      <c r="BA211" s="548"/>
      <c r="BB211" s="548"/>
      <c r="BC211" s="548">
        <f t="shared" si="157"/>
        <v>2.66</v>
      </c>
      <c r="BD211" s="42">
        <f t="shared" si="169"/>
        <v>0</v>
      </c>
      <c r="BE211" s="42">
        <f t="shared" si="170"/>
        <v>0</v>
      </c>
      <c r="BF211" s="42">
        <f t="shared" si="171"/>
        <v>10.64</v>
      </c>
      <c r="BG211" s="42">
        <f t="shared" si="172"/>
        <v>0</v>
      </c>
      <c r="BH211" s="42">
        <f t="shared" si="173"/>
        <v>0</v>
      </c>
      <c r="BI211" s="42">
        <f t="shared" si="181"/>
        <v>0</v>
      </c>
      <c r="BJ211" s="42">
        <f t="shared" si="174"/>
        <v>0</v>
      </c>
      <c r="BK211" s="42">
        <f t="shared" si="175"/>
        <v>10.64</v>
      </c>
      <c r="BL211" s="40">
        <f t="shared" si="179"/>
        <v>10.64</v>
      </c>
    </row>
    <row r="212" spans="1:64" ht="62.25" customHeight="1" x14ac:dyDescent="0.25">
      <c r="A212" s="298" t="s">
        <v>491</v>
      </c>
      <c r="B212" s="299" t="s">
        <v>489</v>
      </c>
      <c r="C212" s="1547"/>
      <c r="D212" s="1551"/>
      <c r="E212" s="1551"/>
      <c r="F212" s="1549"/>
      <c r="G212" s="1549"/>
      <c r="H212" s="1549"/>
      <c r="I212" s="1425"/>
      <c r="J212" s="1425"/>
      <c r="K212" s="1428" t="s">
        <v>669</v>
      </c>
      <c r="L212" s="301" t="s">
        <v>496</v>
      </c>
      <c r="M212" s="1425" t="s">
        <v>497</v>
      </c>
      <c r="N212" s="476" t="s">
        <v>2497</v>
      </c>
      <c r="O212" s="1425" t="s">
        <v>47</v>
      </c>
      <c r="P212" s="16" t="s">
        <v>670</v>
      </c>
      <c r="Q212" s="302" t="s">
        <v>337</v>
      </c>
      <c r="R212" s="303">
        <v>2015</v>
      </c>
      <c r="S212" s="303">
        <v>0</v>
      </c>
      <c r="T212" s="303">
        <v>1</v>
      </c>
      <c r="U212" s="303">
        <v>0</v>
      </c>
      <c r="V212" s="303">
        <v>1</v>
      </c>
      <c r="W212" s="303">
        <v>0</v>
      </c>
      <c r="X212" s="303">
        <v>2</v>
      </c>
      <c r="Y212" s="491">
        <v>2</v>
      </c>
      <c r="Z212" s="481"/>
      <c r="AA212" s="481"/>
      <c r="AB212" s="481"/>
      <c r="AC212" s="481"/>
      <c r="AD212" s="481"/>
      <c r="AE212" s="481"/>
      <c r="AF212" s="481">
        <f t="shared" si="153"/>
        <v>2</v>
      </c>
      <c r="AG212" s="548"/>
      <c r="AH212" s="548"/>
      <c r="AI212" s="548"/>
      <c r="AJ212" s="548"/>
      <c r="AK212" s="548"/>
      <c r="AL212" s="548"/>
      <c r="AM212" s="548">
        <f t="shared" si="154"/>
        <v>0</v>
      </c>
      <c r="AN212" s="491">
        <v>0.5</v>
      </c>
      <c r="AO212" s="481"/>
      <c r="AP212" s="481"/>
      <c r="AQ212" s="481"/>
      <c r="AR212" s="481"/>
      <c r="AS212" s="481"/>
      <c r="AT212" s="481"/>
      <c r="AU212" s="481">
        <f t="shared" si="155"/>
        <v>0.5</v>
      </c>
      <c r="AV212" s="548"/>
      <c r="AW212" s="548"/>
      <c r="AX212" s="548"/>
      <c r="AY212" s="548"/>
      <c r="AZ212" s="548"/>
      <c r="BA212" s="548"/>
      <c r="BB212" s="548"/>
      <c r="BC212" s="548">
        <f t="shared" si="157"/>
        <v>0</v>
      </c>
      <c r="BD212" s="42">
        <f t="shared" si="169"/>
        <v>2.5</v>
      </c>
      <c r="BE212" s="42">
        <f t="shared" si="170"/>
        <v>0</v>
      </c>
      <c r="BF212" s="42">
        <f t="shared" si="171"/>
        <v>0</v>
      </c>
      <c r="BG212" s="42">
        <f t="shared" si="172"/>
        <v>0</v>
      </c>
      <c r="BH212" s="42">
        <f t="shared" si="173"/>
        <v>0</v>
      </c>
      <c r="BI212" s="42">
        <f t="shared" si="181"/>
        <v>0</v>
      </c>
      <c r="BJ212" s="42">
        <f t="shared" si="174"/>
        <v>0</v>
      </c>
      <c r="BK212" s="42">
        <f t="shared" si="175"/>
        <v>2.5</v>
      </c>
      <c r="BL212" s="40">
        <f t="shared" si="179"/>
        <v>2.5</v>
      </c>
    </row>
    <row r="213" spans="1:64" ht="65.25" customHeight="1" x14ac:dyDescent="0.25">
      <c r="A213" s="298" t="s">
        <v>491</v>
      </c>
      <c r="B213" s="299" t="s">
        <v>489</v>
      </c>
      <c r="C213" s="1547"/>
      <c r="D213" s="1551"/>
      <c r="E213" s="1551"/>
      <c r="F213" s="1549"/>
      <c r="G213" s="1549"/>
      <c r="H213" s="1549"/>
      <c r="I213" s="1425"/>
      <c r="J213" s="1425"/>
      <c r="K213" s="1428" t="s">
        <v>671</v>
      </c>
      <c r="L213" s="301" t="s">
        <v>496</v>
      </c>
      <c r="M213" s="1425" t="s">
        <v>497</v>
      </c>
      <c r="N213" s="476" t="s">
        <v>2497</v>
      </c>
      <c r="O213" s="1425" t="s">
        <v>47</v>
      </c>
      <c r="P213" s="16" t="s">
        <v>672</v>
      </c>
      <c r="Q213" s="302" t="s">
        <v>673</v>
      </c>
      <c r="R213" s="303">
        <v>2015</v>
      </c>
      <c r="S213" s="303">
        <v>0</v>
      </c>
      <c r="T213" s="303">
        <v>0</v>
      </c>
      <c r="U213" s="303">
        <v>1</v>
      </c>
      <c r="V213" s="303">
        <v>1</v>
      </c>
      <c r="W213" s="303">
        <v>0</v>
      </c>
      <c r="X213" s="303">
        <v>2</v>
      </c>
      <c r="Y213" s="481"/>
      <c r="Z213" s="481"/>
      <c r="AA213" s="481"/>
      <c r="AB213" s="481"/>
      <c r="AC213" s="481"/>
      <c r="AD213" s="481"/>
      <c r="AE213" s="481"/>
      <c r="AF213" s="481">
        <f t="shared" si="153"/>
        <v>0</v>
      </c>
      <c r="AG213" s="491">
        <v>1</v>
      </c>
      <c r="AH213" s="548"/>
      <c r="AI213" s="548"/>
      <c r="AJ213" s="548"/>
      <c r="AK213" s="548"/>
      <c r="AL213" s="548"/>
      <c r="AM213" s="548">
        <f t="shared" si="154"/>
        <v>1</v>
      </c>
      <c r="AN213" s="491">
        <v>0.5</v>
      </c>
      <c r="AO213" s="481"/>
      <c r="AP213" s="481"/>
      <c r="AQ213" s="481"/>
      <c r="AR213" s="481"/>
      <c r="AS213" s="481"/>
      <c r="AT213" s="481"/>
      <c r="AU213" s="481">
        <f t="shared" si="155"/>
        <v>0.5</v>
      </c>
      <c r="AV213" s="548"/>
      <c r="AW213" s="548"/>
      <c r="AX213" s="548"/>
      <c r="AY213" s="548"/>
      <c r="AZ213" s="548"/>
      <c r="BA213" s="548"/>
      <c r="BB213" s="548"/>
      <c r="BC213" s="548">
        <f t="shared" si="157"/>
        <v>0</v>
      </c>
      <c r="BD213" s="42">
        <f t="shared" si="169"/>
        <v>1.5</v>
      </c>
      <c r="BE213" s="42">
        <f t="shared" si="170"/>
        <v>0</v>
      </c>
      <c r="BF213" s="42">
        <f t="shared" si="171"/>
        <v>0</v>
      </c>
      <c r="BG213" s="42">
        <f t="shared" si="172"/>
        <v>0</v>
      </c>
      <c r="BH213" s="42">
        <f t="shared" si="173"/>
        <v>0</v>
      </c>
      <c r="BI213" s="42">
        <f t="shared" si="181"/>
        <v>0</v>
      </c>
      <c r="BJ213" s="42">
        <f t="shared" si="174"/>
        <v>0</v>
      </c>
      <c r="BK213" s="42">
        <f t="shared" si="175"/>
        <v>1.5</v>
      </c>
      <c r="BL213" s="40">
        <f t="shared" si="179"/>
        <v>1.5</v>
      </c>
    </row>
    <row r="214" spans="1:64" ht="60" customHeight="1" x14ac:dyDescent="0.25">
      <c r="A214" s="298" t="s">
        <v>491</v>
      </c>
      <c r="B214" s="299" t="s">
        <v>489</v>
      </c>
      <c r="C214" s="1547"/>
      <c r="D214" s="1551"/>
      <c r="E214" s="1551"/>
      <c r="F214" s="1549"/>
      <c r="G214" s="1549"/>
      <c r="H214" s="1549"/>
      <c r="I214" s="1425"/>
      <c r="J214" s="1425"/>
      <c r="K214" s="1428" t="s">
        <v>674</v>
      </c>
      <c r="L214" s="301" t="s">
        <v>496</v>
      </c>
      <c r="M214" s="1425" t="s">
        <v>497</v>
      </c>
      <c r="N214" s="476" t="s">
        <v>2497</v>
      </c>
      <c r="O214" s="1425" t="s">
        <v>47</v>
      </c>
      <c r="P214" s="16" t="s">
        <v>675</v>
      </c>
      <c r="Q214" s="302" t="s">
        <v>676</v>
      </c>
      <c r="R214" s="303">
        <v>2015</v>
      </c>
      <c r="S214" s="303">
        <v>0</v>
      </c>
      <c r="T214" s="303">
        <v>1</v>
      </c>
      <c r="U214" s="303">
        <v>0</v>
      </c>
      <c r="V214" s="303">
        <v>1</v>
      </c>
      <c r="W214" s="303">
        <v>0</v>
      </c>
      <c r="X214" s="303">
        <v>2</v>
      </c>
      <c r="Y214" s="491">
        <v>5</v>
      </c>
      <c r="Z214" s="481"/>
      <c r="AA214" s="481"/>
      <c r="AB214" s="481"/>
      <c r="AC214" s="481"/>
      <c r="AD214" s="481"/>
      <c r="AE214" s="481"/>
      <c r="AF214" s="481">
        <f t="shared" si="153"/>
        <v>5</v>
      </c>
      <c r="AG214" s="548"/>
      <c r="AH214" s="548"/>
      <c r="AI214" s="548"/>
      <c r="AJ214" s="548"/>
      <c r="AK214" s="548"/>
      <c r="AL214" s="548"/>
      <c r="AM214" s="548">
        <f t="shared" si="154"/>
        <v>0</v>
      </c>
      <c r="AN214" s="491">
        <v>0.5</v>
      </c>
      <c r="AO214" s="481"/>
      <c r="AP214" s="481"/>
      <c r="AQ214" s="481"/>
      <c r="AR214" s="481"/>
      <c r="AS214" s="481"/>
      <c r="AT214" s="481"/>
      <c r="AU214" s="481">
        <f t="shared" si="155"/>
        <v>0.5</v>
      </c>
      <c r="AV214" s="548"/>
      <c r="AW214" s="548"/>
      <c r="AX214" s="548"/>
      <c r="AY214" s="548"/>
      <c r="AZ214" s="548"/>
      <c r="BA214" s="548"/>
      <c r="BB214" s="548"/>
      <c r="BC214" s="548">
        <f t="shared" si="157"/>
        <v>0</v>
      </c>
      <c r="BD214" s="42">
        <f t="shared" si="169"/>
        <v>5.5</v>
      </c>
      <c r="BE214" s="42">
        <f t="shared" si="170"/>
        <v>0</v>
      </c>
      <c r="BF214" s="42">
        <f t="shared" si="171"/>
        <v>0</v>
      </c>
      <c r="BG214" s="42">
        <f t="shared" si="172"/>
        <v>0</v>
      </c>
      <c r="BH214" s="42">
        <f t="shared" si="173"/>
        <v>0</v>
      </c>
      <c r="BI214" s="42">
        <f t="shared" si="181"/>
        <v>0</v>
      </c>
      <c r="BJ214" s="42">
        <f t="shared" si="174"/>
        <v>0</v>
      </c>
      <c r="BK214" s="42">
        <f t="shared" si="175"/>
        <v>5.5</v>
      </c>
      <c r="BL214" s="40">
        <f t="shared" si="179"/>
        <v>5.5</v>
      </c>
    </row>
    <row r="215" spans="1:64" ht="54" customHeight="1" x14ac:dyDescent="0.25">
      <c r="A215" s="298" t="s">
        <v>491</v>
      </c>
      <c r="B215" s="299" t="s">
        <v>489</v>
      </c>
      <c r="C215" s="1547"/>
      <c r="D215" s="1551"/>
      <c r="E215" s="1551"/>
      <c r="F215" s="1549"/>
      <c r="G215" s="1549"/>
      <c r="H215" s="1549"/>
      <c r="I215" s="1425"/>
      <c r="J215" s="1425"/>
      <c r="K215" s="1428" t="s">
        <v>677</v>
      </c>
      <c r="L215" s="301" t="s">
        <v>496</v>
      </c>
      <c r="M215" s="1425" t="s">
        <v>497</v>
      </c>
      <c r="N215" s="476" t="s">
        <v>2497</v>
      </c>
      <c r="O215" s="1425" t="s">
        <v>47</v>
      </c>
      <c r="P215" s="16" t="s">
        <v>678</v>
      </c>
      <c r="Q215" s="302" t="s">
        <v>679</v>
      </c>
      <c r="R215" s="303">
        <v>2015</v>
      </c>
      <c r="S215" s="303">
        <v>0</v>
      </c>
      <c r="T215" s="303">
        <v>0</v>
      </c>
      <c r="U215" s="303">
        <v>1</v>
      </c>
      <c r="V215" s="303">
        <v>0</v>
      </c>
      <c r="W215" s="303">
        <v>1</v>
      </c>
      <c r="X215" s="303">
        <v>2</v>
      </c>
      <c r="Y215" s="481"/>
      <c r="Z215" s="481"/>
      <c r="AA215" s="481"/>
      <c r="AB215" s="481"/>
      <c r="AC215" s="481"/>
      <c r="AD215" s="481"/>
      <c r="AE215" s="481"/>
      <c r="AF215" s="481">
        <f t="shared" si="153"/>
        <v>0</v>
      </c>
      <c r="AG215" s="491">
        <v>1</v>
      </c>
      <c r="AH215" s="548"/>
      <c r="AI215" s="548"/>
      <c r="AJ215" s="548"/>
      <c r="AK215" s="548"/>
      <c r="AL215" s="548"/>
      <c r="AM215" s="548">
        <f t="shared" si="154"/>
        <v>1</v>
      </c>
      <c r="AN215" s="481"/>
      <c r="AO215" s="481"/>
      <c r="AP215" s="481"/>
      <c r="AQ215" s="481"/>
      <c r="AR215" s="481"/>
      <c r="AS215" s="481"/>
      <c r="AT215" s="481"/>
      <c r="AU215" s="481">
        <f t="shared" si="155"/>
        <v>0</v>
      </c>
      <c r="AV215" s="491">
        <v>8</v>
      </c>
      <c r="AW215" s="548"/>
      <c r="AX215" s="548"/>
      <c r="AY215" s="548"/>
      <c r="AZ215" s="548"/>
      <c r="BA215" s="548"/>
      <c r="BB215" s="548"/>
      <c r="BC215" s="548">
        <f t="shared" si="157"/>
        <v>8</v>
      </c>
      <c r="BD215" s="42">
        <f t="shared" si="169"/>
        <v>9</v>
      </c>
      <c r="BE215" s="42">
        <f t="shared" si="170"/>
        <v>0</v>
      </c>
      <c r="BF215" s="42">
        <f t="shared" si="171"/>
        <v>0</v>
      </c>
      <c r="BG215" s="42">
        <f t="shared" si="172"/>
        <v>0</v>
      </c>
      <c r="BH215" s="42">
        <f t="shared" si="173"/>
        <v>0</v>
      </c>
      <c r="BI215" s="42">
        <f t="shared" si="181"/>
        <v>0</v>
      </c>
      <c r="BJ215" s="42">
        <f t="shared" si="174"/>
        <v>0</v>
      </c>
      <c r="BK215" s="42">
        <f t="shared" si="175"/>
        <v>9</v>
      </c>
      <c r="BL215" s="40">
        <f t="shared" si="179"/>
        <v>9</v>
      </c>
    </row>
    <row r="216" spans="1:64" ht="58.5" customHeight="1" x14ac:dyDescent="0.25">
      <c r="A216" s="298" t="s">
        <v>491</v>
      </c>
      <c r="B216" s="299" t="s">
        <v>489</v>
      </c>
      <c r="C216" s="1547"/>
      <c r="D216" s="1551"/>
      <c r="E216" s="1551"/>
      <c r="F216" s="1549"/>
      <c r="G216" s="1549"/>
      <c r="H216" s="1549"/>
      <c r="I216" s="1425"/>
      <c r="J216" s="1425"/>
      <c r="K216" s="1428" t="s">
        <v>680</v>
      </c>
      <c r="L216" s="301" t="s">
        <v>496</v>
      </c>
      <c r="M216" s="1425" t="s">
        <v>497</v>
      </c>
      <c r="N216" s="476" t="s">
        <v>2497</v>
      </c>
      <c r="O216" s="1425" t="s">
        <v>73</v>
      </c>
      <c r="P216" s="16" t="s">
        <v>681</v>
      </c>
      <c r="Q216" s="302" t="s">
        <v>682</v>
      </c>
      <c r="R216" s="303">
        <v>2015</v>
      </c>
      <c r="S216" s="303">
        <v>0</v>
      </c>
      <c r="T216" s="303">
        <v>1</v>
      </c>
      <c r="U216" s="303">
        <v>1</v>
      </c>
      <c r="V216" s="303">
        <v>1</v>
      </c>
      <c r="W216" s="303">
        <v>1</v>
      </c>
      <c r="X216" s="303">
        <v>1</v>
      </c>
      <c r="Y216" s="481">
        <v>3</v>
      </c>
      <c r="Z216" s="481"/>
      <c r="AA216" s="481"/>
      <c r="AB216" s="481"/>
      <c r="AC216" s="481"/>
      <c r="AD216" s="481"/>
      <c r="AE216" s="481"/>
      <c r="AF216" s="481">
        <f t="shared" si="153"/>
        <v>3</v>
      </c>
      <c r="AG216" s="548">
        <v>2</v>
      </c>
      <c r="AH216" s="548"/>
      <c r="AI216" s="548"/>
      <c r="AJ216" s="548"/>
      <c r="AK216" s="548"/>
      <c r="AL216" s="548"/>
      <c r="AM216" s="548">
        <f t="shared" si="154"/>
        <v>2</v>
      </c>
      <c r="AN216" s="481">
        <v>2</v>
      </c>
      <c r="AO216" s="481"/>
      <c r="AP216" s="481"/>
      <c r="AQ216" s="481"/>
      <c r="AR216" s="481"/>
      <c r="AS216" s="481"/>
      <c r="AT216" s="481"/>
      <c r="AU216" s="481">
        <f t="shared" si="155"/>
        <v>2</v>
      </c>
      <c r="AV216" s="548">
        <v>2</v>
      </c>
      <c r="AW216" s="548"/>
      <c r="AX216" s="548"/>
      <c r="AY216" s="548"/>
      <c r="AZ216" s="548"/>
      <c r="BA216" s="548"/>
      <c r="BB216" s="548"/>
      <c r="BC216" s="548">
        <f t="shared" si="157"/>
        <v>2</v>
      </c>
      <c r="BD216" s="42">
        <f t="shared" si="169"/>
        <v>9</v>
      </c>
      <c r="BE216" s="42">
        <f t="shared" si="170"/>
        <v>0</v>
      </c>
      <c r="BF216" s="42">
        <f t="shared" si="171"/>
        <v>0</v>
      </c>
      <c r="BG216" s="42">
        <f t="shared" si="172"/>
        <v>0</v>
      </c>
      <c r="BH216" s="42">
        <f t="shared" si="173"/>
        <v>0</v>
      </c>
      <c r="BI216" s="42">
        <f t="shared" si="181"/>
        <v>0</v>
      </c>
      <c r="BJ216" s="42">
        <f t="shared" si="174"/>
        <v>0</v>
      </c>
      <c r="BK216" s="42">
        <f t="shared" si="175"/>
        <v>9</v>
      </c>
      <c r="BL216" s="40">
        <f t="shared" si="179"/>
        <v>9</v>
      </c>
    </row>
    <row r="217" spans="1:64" s="38" customFormat="1" ht="54.75" customHeight="1" x14ac:dyDescent="0.25">
      <c r="A217" s="298" t="s">
        <v>491</v>
      </c>
      <c r="B217" s="299" t="s">
        <v>489</v>
      </c>
      <c r="C217" s="1547"/>
      <c r="D217" s="1551"/>
      <c r="E217" s="1551"/>
      <c r="F217" s="1549"/>
      <c r="G217" s="1549"/>
      <c r="H217" s="1549"/>
      <c r="I217" s="1432"/>
      <c r="J217" s="1432"/>
      <c r="K217" s="1428" t="s">
        <v>683</v>
      </c>
      <c r="L217" s="301" t="s">
        <v>496</v>
      </c>
      <c r="M217" s="1425" t="s">
        <v>497</v>
      </c>
      <c r="N217" s="476" t="s">
        <v>2497</v>
      </c>
      <c r="O217" s="1425" t="s">
        <v>47</v>
      </c>
      <c r="P217" s="71" t="s">
        <v>684</v>
      </c>
      <c r="Q217" s="345" t="s">
        <v>685</v>
      </c>
      <c r="R217" s="346">
        <v>2015</v>
      </c>
      <c r="S217" s="346">
        <v>0</v>
      </c>
      <c r="T217" s="346">
        <v>0</v>
      </c>
      <c r="U217" s="346">
        <v>1</v>
      </c>
      <c r="V217" s="346">
        <v>1</v>
      </c>
      <c r="W217" s="346">
        <v>0</v>
      </c>
      <c r="X217" s="346">
        <v>2</v>
      </c>
      <c r="Y217" s="492"/>
      <c r="Z217" s="579"/>
      <c r="AA217" s="579"/>
      <c r="AB217" s="579"/>
      <c r="AC217" s="579"/>
      <c r="AD217" s="579"/>
      <c r="AE217" s="579"/>
      <c r="AF217" s="579">
        <f t="shared" si="153"/>
        <v>0</v>
      </c>
      <c r="AG217" s="492">
        <v>6</v>
      </c>
      <c r="AH217" s="589"/>
      <c r="AI217" s="589"/>
      <c r="AJ217" s="589"/>
      <c r="AK217" s="589"/>
      <c r="AL217" s="589"/>
      <c r="AM217" s="589">
        <f t="shared" si="154"/>
        <v>6</v>
      </c>
      <c r="AN217" s="492">
        <v>6</v>
      </c>
      <c r="AO217" s="579"/>
      <c r="AP217" s="579"/>
      <c r="AQ217" s="579"/>
      <c r="AR217" s="579"/>
      <c r="AS217" s="579"/>
      <c r="AT217" s="579"/>
      <c r="AU217" s="579">
        <f t="shared" si="155"/>
        <v>6</v>
      </c>
      <c r="AV217" s="492"/>
      <c r="AW217" s="589"/>
      <c r="AX217" s="589"/>
      <c r="AY217" s="589"/>
      <c r="AZ217" s="589"/>
      <c r="BA217" s="589"/>
      <c r="BB217" s="589"/>
      <c r="BC217" s="589">
        <f t="shared" si="157"/>
        <v>0</v>
      </c>
      <c r="BD217" s="61">
        <f t="shared" si="169"/>
        <v>12</v>
      </c>
      <c r="BE217" s="61">
        <f t="shared" si="170"/>
        <v>0</v>
      </c>
      <c r="BF217" s="61">
        <f t="shared" si="171"/>
        <v>0</v>
      </c>
      <c r="BG217" s="61">
        <f t="shared" si="172"/>
        <v>0</v>
      </c>
      <c r="BH217" s="61">
        <f t="shared" si="173"/>
        <v>0</v>
      </c>
      <c r="BI217" s="61">
        <f t="shared" si="181"/>
        <v>0</v>
      </c>
      <c r="BJ217" s="61">
        <f t="shared" si="174"/>
        <v>0</v>
      </c>
      <c r="BK217" s="61">
        <f t="shared" si="175"/>
        <v>12</v>
      </c>
      <c r="BL217" s="40">
        <f t="shared" si="179"/>
        <v>12</v>
      </c>
    </row>
    <row r="218" spans="1:64" ht="51" customHeight="1" x14ac:dyDescent="0.25">
      <c r="A218" s="298" t="s">
        <v>491</v>
      </c>
      <c r="B218" s="299" t="s">
        <v>489</v>
      </c>
      <c r="C218" s="1547"/>
      <c r="D218" s="1551"/>
      <c r="E218" s="1551"/>
      <c r="F218" s="1549"/>
      <c r="G218" s="1549"/>
      <c r="H218" s="1549"/>
      <c r="I218" s="1425"/>
      <c r="J218" s="1425"/>
      <c r="K218" s="1428" t="s">
        <v>686</v>
      </c>
      <c r="L218" s="301" t="s">
        <v>496</v>
      </c>
      <c r="M218" s="1425" t="s">
        <v>497</v>
      </c>
      <c r="N218" s="476" t="s">
        <v>2497</v>
      </c>
      <c r="O218" s="1425" t="s">
        <v>47</v>
      </c>
      <c r="P218" s="16" t="s">
        <v>687</v>
      </c>
      <c r="Q218" s="302" t="s">
        <v>688</v>
      </c>
      <c r="R218" s="303">
        <v>2015</v>
      </c>
      <c r="S218" s="303">
        <v>0</v>
      </c>
      <c r="T218" s="303">
        <v>0</v>
      </c>
      <c r="U218" s="303">
        <v>0</v>
      </c>
      <c r="V218" s="303">
        <v>1</v>
      </c>
      <c r="W218" s="303">
        <v>0</v>
      </c>
      <c r="X218" s="303">
        <v>1</v>
      </c>
      <c r="Y218" s="481">
        <v>0</v>
      </c>
      <c r="Z218" s="481"/>
      <c r="AA218" s="481"/>
      <c r="AB218" s="481"/>
      <c r="AC218" s="481"/>
      <c r="AD218" s="481"/>
      <c r="AE218" s="481"/>
      <c r="AF218" s="481">
        <f t="shared" si="153"/>
        <v>0</v>
      </c>
      <c r="AG218" s="548">
        <v>0</v>
      </c>
      <c r="AH218" s="548"/>
      <c r="AI218" s="548"/>
      <c r="AJ218" s="548"/>
      <c r="AK218" s="548"/>
      <c r="AL218" s="548"/>
      <c r="AM218" s="548">
        <f t="shared" si="154"/>
        <v>0</v>
      </c>
      <c r="AN218" s="491">
        <v>0.5</v>
      </c>
      <c r="AO218" s="481"/>
      <c r="AP218" s="481"/>
      <c r="AQ218" s="481"/>
      <c r="AR218" s="481"/>
      <c r="AS218" s="481"/>
      <c r="AT218" s="481"/>
      <c r="AU218" s="481">
        <f t="shared" si="155"/>
        <v>0.5</v>
      </c>
      <c r="AV218" s="548">
        <v>0</v>
      </c>
      <c r="AW218" s="548"/>
      <c r="AX218" s="548"/>
      <c r="AY218" s="548"/>
      <c r="AZ218" s="548"/>
      <c r="BA218" s="548"/>
      <c r="BB218" s="548"/>
      <c r="BC218" s="548">
        <f t="shared" si="157"/>
        <v>0</v>
      </c>
      <c r="BD218" s="42">
        <f t="shared" si="169"/>
        <v>0.5</v>
      </c>
      <c r="BE218" s="42">
        <f t="shared" si="170"/>
        <v>0</v>
      </c>
      <c r="BF218" s="42">
        <f t="shared" si="171"/>
        <v>0</v>
      </c>
      <c r="BG218" s="42">
        <f t="shared" si="172"/>
        <v>0</v>
      </c>
      <c r="BH218" s="42">
        <f t="shared" si="173"/>
        <v>0</v>
      </c>
      <c r="BI218" s="42">
        <f t="shared" si="181"/>
        <v>0</v>
      </c>
      <c r="BJ218" s="42">
        <f t="shared" si="174"/>
        <v>0</v>
      </c>
      <c r="BK218" s="42">
        <f t="shared" si="175"/>
        <v>0.5</v>
      </c>
      <c r="BL218" s="40">
        <f t="shared" si="179"/>
        <v>0.5</v>
      </c>
    </row>
    <row r="219" spans="1:64" s="37" customFormat="1" ht="36" customHeight="1" x14ac:dyDescent="0.25">
      <c r="A219" s="298" t="s">
        <v>491</v>
      </c>
      <c r="B219" s="299" t="s">
        <v>489</v>
      </c>
      <c r="C219" s="1547"/>
      <c r="D219" s="1551"/>
      <c r="E219" s="1551"/>
      <c r="F219" s="1549"/>
      <c r="G219" s="1549"/>
      <c r="H219" s="1549"/>
      <c r="I219" s="476"/>
      <c r="J219" s="476"/>
      <c r="K219" s="1428"/>
      <c r="L219" s="476"/>
      <c r="M219" s="476"/>
      <c r="N219" s="476"/>
      <c r="O219" s="476"/>
      <c r="P219" s="62" t="s">
        <v>689</v>
      </c>
      <c r="Q219" s="22"/>
      <c r="R219" s="1"/>
      <c r="S219" s="1"/>
      <c r="T219" s="1"/>
      <c r="U219" s="1"/>
      <c r="V219" s="1"/>
      <c r="W219" s="1"/>
      <c r="X219" s="1"/>
      <c r="Y219" s="34">
        <f>SUM(Y220:Y224)</f>
        <v>0</v>
      </c>
      <c r="Z219" s="34">
        <f t="shared" ref="Z219:BK219" si="183">SUM(Z220:Z224)</f>
        <v>0</v>
      </c>
      <c r="AA219" s="34">
        <f t="shared" si="183"/>
        <v>3</v>
      </c>
      <c r="AB219" s="34">
        <f t="shared" si="183"/>
        <v>0</v>
      </c>
      <c r="AC219" s="34">
        <f t="shared" si="183"/>
        <v>0</v>
      </c>
      <c r="AD219" s="34">
        <f t="shared" si="183"/>
        <v>0</v>
      </c>
      <c r="AE219" s="34">
        <f t="shared" si="183"/>
        <v>0</v>
      </c>
      <c r="AF219" s="34">
        <f t="shared" si="183"/>
        <v>3</v>
      </c>
      <c r="AG219" s="34">
        <f t="shared" si="183"/>
        <v>0</v>
      </c>
      <c r="AH219" s="34">
        <f t="shared" si="183"/>
        <v>0</v>
      </c>
      <c r="AI219" s="34">
        <f t="shared" si="183"/>
        <v>3</v>
      </c>
      <c r="AJ219" s="34">
        <f t="shared" si="183"/>
        <v>0</v>
      </c>
      <c r="AK219" s="34">
        <f t="shared" si="183"/>
        <v>0</v>
      </c>
      <c r="AL219" s="34">
        <f t="shared" si="183"/>
        <v>0</v>
      </c>
      <c r="AM219" s="34">
        <f t="shared" si="183"/>
        <v>3</v>
      </c>
      <c r="AN219" s="34">
        <f t="shared" si="183"/>
        <v>0</v>
      </c>
      <c r="AO219" s="34">
        <f t="shared" si="183"/>
        <v>0</v>
      </c>
      <c r="AP219" s="34">
        <f t="shared" si="183"/>
        <v>3</v>
      </c>
      <c r="AQ219" s="34">
        <f t="shared" si="183"/>
        <v>0</v>
      </c>
      <c r="AR219" s="34">
        <f t="shared" si="183"/>
        <v>0</v>
      </c>
      <c r="AS219" s="34">
        <f t="shared" si="183"/>
        <v>0</v>
      </c>
      <c r="AT219" s="34">
        <f t="shared" si="183"/>
        <v>0</v>
      </c>
      <c r="AU219" s="34">
        <f t="shared" si="183"/>
        <v>3</v>
      </c>
      <c r="AV219" s="34">
        <f t="shared" si="183"/>
        <v>0</v>
      </c>
      <c r="AW219" s="34">
        <f t="shared" si="183"/>
        <v>0</v>
      </c>
      <c r="AX219" s="34">
        <f t="shared" si="183"/>
        <v>3</v>
      </c>
      <c r="AY219" s="34">
        <f t="shared" si="183"/>
        <v>0</v>
      </c>
      <c r="AZ219" s="34">
        <f t="shared" si="183"/>
        <v>0</v>
      </c>
      <c r="BA219" s="34">
        <f t="shared" si="183"/>
        <v>0</v>
      </c>
      <c r="BB219" s="34">
        <f t="shared" si="183"/>
        <v>0</v>
      </c>
      <c r="BC219" s="34">
        <f t="shared" si="183"/>
        <v>3</v>
      </c>
      <c r="BD219" s="34">
        <f t="shared" si="183"/>
        <v>0</v>
      </c>
      <c r="BE219" s="34">
        <f t="shared" si="183"/>
        <v>0</v>
      </c>
      <c r="BF219" s="34">
        <f t="shared" si="183"/>
        <v>12</v>
      </c>
      <c r="BG219" s="34">
        <f t="shared" si="183"/>
        <v>0</v>
      </c>
      <c r="BH219" s="34">
        <f t="shared" si="183"/>
        <v>0</v>
      </c>
      <c r="BI219" s="34">
        <f t="shared" si="181"/>
        <v>0</v>
      </c>
      <c r="BJ219" s="34">
        <f t="shared" si="183"/>
        <v>0</v>
      </c>
      <c r="BK219" s="34">
        <f t="shared" si="183"/>
        <v>12</v>
      </c>
      <c r="BL219" s="40">
        <f t="shared" si="179"/>
        <v>12</v>
      </c>
    </row>
    <row r="220" spans="1:64" ht="60" customHeight="1" x14ac:dyDescent="0.25">
      <c r="A220" s="298" t="s">
        <v>491</v>
      </c>
      <c r="B220" s="299" t="s">
        <v>489</v>
      </c>
      <c r="C220" s="1547"/>
      <c r="D220" s="1551"/>
      <c r="E220" s="1551"/>
      <c r="F220" s="1549"/>
      <c r="G220" s="1549"/>
      <c r="H220" s="1549"/>
      <c r="I220" s="1425"/>
      <c r="J220" s="1425"/>
      <c r="K220" s="1428" t="s">
        <v>690</v>
      </c>
      <c r="L220" s="301" t="s">
        <v>496</v>
      </c>
      <c r="M220" s="1425" t="s">
        <v>497</v>
      </c>
      <c r="N220" s="476" t="s">
        <v>2497</v>
      </c>
      <c r="O220" s="1425" t="s">
        <v>47</v>
      </c>
      <c r="P220" s="16" t="s">
        <v>691</v>
      </c>
      <c r="Q220" s="302" t="s">
        <v>337</v>
      </c>
      <c r="R220" s="303">
        <v>2015</v>
      </c>
      <c r="S220" s="303">
        <v>0</v>
      </c>
      <c r="T220" s="303">
        <v>1</v>
      </c>
      <c r="U220" s="303">
        <v>1</v>
      </c>
      <c r="V220" s="303">
        <v>1</v>
      </c>
      <c r="W220" s="303">
        <v>1</v>
      </c>
      <c r="X220" s="303">
        <v>4</v>
      </c>
      <c r="Y220" s="481"/>
      <c r="Z220" s="481"/>
      <c r="AA220" s="491">
        <v>1</v>
      </c>
      <c r="AB220" s="481"/>
      <c r="AC220" s="481"/>
      <c r="AD220" s="481"/>
      <c r="AE220" s="481"/>
      <c r="AF220" s="481">
        <f t="shared" si="153"/>
        <v>1</v>
      </c>
      <c r="AG220" s="548"/>
      <c r="AH220" s="548"/>
      <c r="AI220" s="491">
        <v>0.6</v>
      </c>
      <c r="AJ220" s="548"/>
      <c r="AK220" s="548"/>
      <c r="AL220" s="548"/>
      <c r="AM220" s="548">
        <f t="shared" si="154"/>
        <v>0.6</v>
      </c>
      <c r="AN220" s="481"/>
      <c r="AO220" s="481"/>
      <c r="AP220" s="491">
        <v>1</v>
      </c>
      <c r="AQ220" s="481"/>
      <c r="AR220" s="481"/>
      <c r="AS220" s="481"/>
      <c r="AT220" s="481"/>
      <c r="AU220" s="481">
        <f t="shared" si="155"/>
        <v>1</v>
      </c>
      <c r="AV220" s="548"/>
      <c r="AW220" s="548"/>
      <c r="AX220" s="491">
        <v>1</v>
      </c>
      <c r="AY220" s="548"/>
      <c r="AZ220" s="548"/>
      <c r="BA220" s="548"/>
      <c r="BB220" s="548"/>
      <c r="BC220" s="548">
        <f t="shared" si="157"/>
        <v>1</v>
      </c>
      <c r="BD220" s="42">
        <f t="shared" si="169"/>
        <v>0</v>
      </c>
      <c r="BE220" s="42">
        <f t="shared" si="170"/>
        <v>0</v>
      </c>
      <c r="BF220" s="42">
        <f t="shared" si="171"/>
        <v>3.6</v>
      </c>
      <c r="BG220" s="42">
        <f t="shared" si="172"/>
        <v>0</v>
      </c>
      <c r="BH220" s="42">
        <f t="shared" si="173"/>
        <v>0</v>
      </c>
      <c r="BI220" s="42">
        <f t="shared" si="181"/>
        <v>0</v>
      </c>
      <c r="BJ220" s="42">
        <f t="shared" si="174"/>
        <v>0</v>
      </c>
      <c r="BK220" s="42">
        <f t="shared" si="175"/>
        <v>3.6</v>
      </c>
      <c r="BL220" s="40">
        <f t="shared" si="179"/>
        <v>3.6</v>
      </c>
    </row>
    <row r="221" spans="1:64" ht="65.25" customHeight="1" x14ac:dyDescent="0.25">
      <c r="A221" s="298" t="s">
        <v>491</v>
      </c>
      <c r="B221" s="299" t="s">
        <v>489</v>
      </c>
      <c r="C221" s="1547"/>
      <c r="D221" s="1551"/>
      <c r="E221" s="1551"/>
      <c r="F221" s="1549"/>
      <c r="G221" s="1549"/>
      <c r="H221" s="1549"/>
      <c r="I221" s="1425"/>
      <c r="J221" s="1425"/>
      <c r="K221" s="1428" t="s">
        <v>692</v>
      </c>
      <c r="L221" s="301" t="s">
        <v>496</v>
      </c>
      <c r="M221" s="1425" t="s">
        <v>497</v>
      </c>
      <c r="N221" s="476" t="s">
        <v>2497</v>
      </c>
      <c r="O221" s="1425" t="s">
        <v>47</v>
      </c>
      <c r="P221" s="16" t="s">
        <v>693</v>
      </c>
      <c r="Q221" s="302" t="s">
        <v>337</v>
      </c>
      <c r="R221" s="303">
        <v>2015</v>
      </c>
      <c r="S221" s="303">
        <v>0</v>
      </c>
      <c r="T221" s="303">
        <v>1</v>
      </c>
      <c r="U221" s="303">
        <v>1</v>
      </c>
      <c r="V221" s="303">
        <v>1</v>
      </c>
      <c r="W221" s="303">
        <v>1</v>
      </c>
      <c r="X221" s="303">
        <v>4</v>
      </c>
      <c r="Y221" s="481"/>
      <c r="Z221" s="481"/>
      <c r="AA221" s="491">
        <v>1</v>
      </c>
      <c r="AB221" s="481"/>
      <c r="AC221" s="481"/>
      <c r="AD221" s="481"/>
      <c r="AE221" s="481"/>
      <c r="AF221" s="481">
        <f t="shared" ref="AF221:AF258" si="184">SUM(Y221:AE221)</f>
        <v>1</v>
      </c>
      <c r="AG221" s="548"/>
      <c r="AH221" s="548"/>
      <c r="AI221" s="491">
        <v>0.6</v>
      </c>
      <c r="AJ221" s="548"/>
      <c r="AK221" s="548"/>
      <c r="AL221" s="548"/>
      <c r="AM221" s="548">
        <f t="shared" ref="AM221:AM258" si="185">SUM(AG221:AL221)</f>
        <v>0.6</v>
      </c>
      <c r="AN221" s="481"/>
      <c r="AO221" s="481"/>
      <c r="AP221" s="491">
        <v>1</v>
      </c>
      <c r="AQ221" s="481"/>
      <c r="AR221" s="481"/>
      <c r="AS221" s="481"/>
      <c r="AT221" s="481"/>
      <c r="AU221" s="481">
        <f t="shared" ref="AU221:AU258" si="186">SUM(AN221:AT221)</f>
        <v>1</v>
      </c>
      <c r="AV221" s="548"/>
      <c r="AW221" s="548"/>
      <c r="AX221" s="491">
        <v>1</v>
      </c>
      <c r="AY221" s="548"/>
      <c r="AZ221" s="548"/>
      <c r="BA221" s="548"/>
      <c r="BB221" s="548"/>
      <c r="BC221" s="548">
        <f t="shared" ref="BC221:BC258" si="187">SUM(AV221:BB221)</f>
        <v>1</v>
      </c>
      <c r="BD221" s="42">
        <f t="shared" ref="BD221:BD236" si="188">+AV221+AN221+AG221+Y221</f>
        <v>0</v>
      </c>
      <c r="BE221" s="42">
        <f t="shared" ref="BE221:BE236" si="189">+AW221+AO221+AH221+Z221</f>
        <v>0</v>
      </c>
      <c r="BF221" s="42">
        <f t="shared" ref="BF221:BF236" si="190">+AX221+AP221+AI221+AA221</f>
        <v>3.6</v>
      </c>
      <c r="BG221" s="42">
        <f t="shared" ref="BG221:BG236" si="191">+AY221+AQ221+AJ221+AB221</f>
        <v>0</v>
      </c>
      <c r="BH221" s="42">
        <f t="shared" ref="BH221:BH236" si="192">+AZ221+AR221+AK221+AC221</f>
        <v>0</v>
      </c>
      <c r="BI221" s="42">
        <f t="shared" si="181"/>
        <v>0</v>
      </c>
      <c r="BJ221" s="42">
        <f t="shared" ref="BJ221:BJ236" si="193">+BB221+AT221+AL221+AE221</f>
        <v>0</v>
      </c>
      <c r="BK221" s="42">
        <f t="shared" ref="BK221:BK236" si="194">+BC221+AU221+AM221+AF221</f>
        <v>3.6</v>
      </c>
      <c r="BL221" s="40">
        <f t="shared" si="179"/>
        <v>3.6</v>
      </c>
    </row>
    <row r="222" spans="1:64" ht="60" customHeight="1" x14ac:dyDescent="0.25">
      <c r="A222" s="298" t="s">
        <v>491</v>
      </c>
      <c r="B222" s="299" t="s">
        <v>489</v>
      </c>
      <c r="C222" s="1547"/>
      <c r="D222" s="1551"/>
      <c r="E222" s="1551"/>
      <c r="F222" s="1549"/>
      <c r="G222" s="1549"/>
      <c r="H222" s="1549"/>
      <c r="I222" s="1425"/>
      <c r="J222" s="1425"/>
      <c r="K222" s="1428" t="s">
        <v>694</v>
      </c>
      <c r="L222" s="301" t="s">
        <v>496</v>
      </c>
      <c r="M222" s="1425" t="s">
        <v>497</v>
      </c>
      <c r="N222" s="476" t="s">
        <v>2497</v>
      </c>
      <c r="O222" s="1425" t="s">
        <v>47</v>
      </c>
      <c r="P222" s="16" t="s">
        <v>695</v>
      </c>
      <c r="Q222" s="302" t="s">
        <v>696</v>
      </c>
      <c r="R222" s="303">
        <v>2015</v>
      </c>
      <c r="S222" s="303">
        <v>0</v>
      </c>
      <c r="T222" s="303">
        <v>0</v>
      </c>
      <c r="U222" s="303">
        <v>1</v>
      </c>
      <c r="V222" s="303">
        <v>0</v>
      </c>
      <c r="W222" s="303">
        <v>0</v>
      </c>
      <c r="X222" s="303">
        <v>1</v>
      </c>
      <c r="Y222" s="481"/>
      <c r="Z222" s="481"/>
      <c r="AA222" s="481"/>
      <c r="AB222" s="481"/>
      <c r="AC222" s="481"/>
      <c r="AD222" s="481"/>
      <c r="AE222" s="481"/>
      <c r="AF222" s="481">
        <f t="shared" si="184"/>
        <v>0</v>
      </c>
      <c r="AG222" s="548"/>
      <c r="AH222" s="548"/>
      <c r="AI222" s="491">
        <v>0.6</v>
      </c>
      <c r="AJ222" s="548"/>
      <c r="AK222" s="548"/>
      <c r="AL222" s="548"/>
      <c r="AM222" s="548">
        <f t="shared" si="185"/>
        <v>0.6</v>
      </c>
      <c r="AN222" s="481"/>
      <c r="AO222" s="481"/>
      <c r="AP222" s="481"/>
      <c r="AQ222" s="481"/>
      <c r="AR222" s="481"/>
      <c r="AS222" s="481"/>
      <c r="AT222" s="481"/>
      <c r="AU222" s="481">
        <f t="shared" si="186"/>
        <v>0</v>
      </c>
      <c r="AV222" s="548"/>
      <c r="AW222" s="548"/>
      <c r="AX222" s="548"/>
      <c r="AY222" s="548"/>
      <c r="AZ222" s="548"/>
      <c r="BA222" s="548"/>
      <c r="BB222" s="548"/>
      <c r="BC222" s="548">
        <f t="shared" si="187"/>
        <v>0</v>
      </c>
      <c r="BD222" s="42">
        <f t="shared" si="188"/>
        <v>0</v>
      </c>
      <c r="BE222" s="42">
        <f t="shared" si="189"/>
        <v>0</v>
      </c>
      <c r="BF222" s="42">
        <f t="shared" si="190"/>
        <v>0.6</v>
      </c>
      <c r="BG222" s="42">
        <f t="shared" si="191"/>
        <v>0</v>
      </c>
      <c r="BH222" s="42">
        <f t="shared" si="192"/>
        <v>0</v>
      </c>
      <c r="BI222" s="42">
        <f t="shared" si="181"/>
        <v>0</v>
      </c>
      <c r="BJ222" s="42">
        <f t="shared" si="193"/>
        <v>0</v>
      </c>
      <c r="BK222" s="42">
        <f t="shared" si="194"/>
        <v>0.6</v>
      </c>
      <c r="BL222" s="40">
        <f t="shared" si="179"/>
        <v>0.6</v>
      </c>
    </row>
    <row r="223" spans="1:64" ht="24.75" customHeight="1" x14ac:dyDescent="0.25">
      <c r="A223" s="298" t="s">
        <v>491</v>
      </c>
      <c r="B223" s="299" t="s">
        <v>489</v>
      </c>
      <c r="C223" s="1547"/>
      <c r="D223" s="1551"/>
      <c r="E223" s="1551"/>
      <c r="F223" s="1549"/>
      <c r="G223" s="1549"/>
      <c r="H223" s="1549"/>
      <c r="I223" s="1425"/>
      <c r="J223" s="1425"/>
      <c r="K223" s="1428" t="s">
        <v>697</v>
      </c>
      <c r="L223" s="301" t="s">
        <v>496</v>
      </c>
      <c r="M223" s="1425" t="s">
        <v>497</v>
      </c>
      <c r="N223" s="476" t="s">
        <v>2497</v>
      </c>
      <c r="O223" s="1425" t="s">
        <v>47</v>
      </c>
      <c r="P223" s="1199" t="s">
        <v>698</v>
      </c>
      <c r="Q223" s="1199" t="s">
        <v>699</v>
      </c>
      <c r="R223" s="1463">
        <v>2015</v>
      </c>
      <c r="S223" s="1463">
        <v>0</v>
      </c>
      <c r="T223" s="1463">
        <v>0</v>
      </c>
      <c r="U223" s="1463">
        <v>1</v>
      </c>
      <c r="V223" s="1463">
        <v>0</v>
      </c>
      <c r="W223" s="1463">
        <v>0</v>
      </c>
      <c r="X223" s="1463">
        <v>1</v>
      </c>
      <c r="Y223" s="1353"/>
      <c r="Z223" s="1353"/>
      <c r="AA223" s="1353"/>
      <c r="AB223" s="1353"/>
      <c r="AC223" s="1353"/>
      <c r="AD223" s="1353"/>
      <c r="AE223" s="1353"/>
      <c r="AF223" s="1353">
        <f t="shared" si="184"/>
        <v>0</v>
      </c>
      <c r="AG223" s="1353"/>
      <c r="AH223" s="1353"/>
      <c r="AI223" s="1353">
        <v>0.6</v>
      </c>
      <c r="AJ223" s="1353"/>
      <c r="AK223" s="1353"/>
      <c r="AL223" s="1353"/>
      <c r="AM223" s="1353">
        <f t="shared" si="185"/>
        <v>0.6</v>
      </c>
      <c r="AN223" s="1353"/>
      <c r="AO223" s="1353"/>
      <c r="AP223" s="1353"/>
      <c r="AQ223" s="1353"/>
      <c r="AR223" s="1353"/>
      <c r="AS223" s="1353"/>
      <c r="AT223" s="1353"/>
      <c r="AU223" s="1353">
        <f t="shared" si="186"/>
        <v>0</v>
      </c>
      <c r="AV223" s="548"/>
      <c r="AW223" s="548"/>
      <c r="AX223" s="491"/>
      <c r="AY223" s="548"/>
      <c r="AZ223" s="548"/>
      <c r="BA223" s="548"/>
      <c r="BB223" s="548"/>
      <c r="BC223" s="548">
        <f t="shared" si="187"/>
        <v>0</v>
      </c>
      <c r="BD223" s="42">
        <f t="shared" si="188"/>
        <v>0</v>
      </c>
      <c r="BE223" s="42">
        <f t="shared" si="189"/>
        <v>0</v>
      </c>
      <c r="BF223" s="42">
        <f t="shared" si="190"/>
        <v>0.6</v>
      </c>
      <c r="BG223" s="42">
        <f t="shared" si="191"/>
        <v>0</v>
      </c>
      <c r="BH223" s="42">
        <f t="shared" si="192"/>
        <v>0</v>
      </c>
      <c r="BI223" s="42">
        <f t="shared" si="181"/>
        <v>0</v>
      </c>
      <c r="BJ223" s="42">
        <f t="shared" si="193"/>
        <v>0</v>
      </c>
      <c r="BK223" s="42">
        <f t="shared" si="194"/>
        <v>0.6</v>
      </c>
      <c r="BL223" s="40">
        <f t="shared" si="179"/>
        <v>0.6</v>
      </c>
    </row>
    <row r="224" spans="1:64" ht="110.25" customHeight="1" x14ac:dyDescent="0.25">
      <c r="A224" s="298" t="s">
        <v>491</v>
      </c>
      <c r="B224" s="299" t="s">
        <v>489</v>
      </c>
      <c r="C224" s="1547"/>
      <c r="D224" s="1551"/>
      <c r="E224" s="1551"/>
      <c r="F224" s="1549"/>
      <c r="G224" s="1549"/>
      <c r="H224" s="1549"/>
      <c r="I224" s="1425"/>
      <c r="J224" s="1425"/>
      <c r="K224" s="1428" t="s">
        <v>700</v>
      </c>
      <c r="L224" s="301" t="s">
        <v>496</v>
      </c>
      <c r="M224" s="1425" t="s">
        <v>497</v>
      </c>
      <c r="N224" s="476" t="s">
        <v>2497</v>
      </c>
      <c r="O224" s="1425" t="s">
        <v>47</v>
      </c>
      <c r="P224" s="16" t="s">
        <v>701</v>
      </c>
      <c r="Q224" s="302" t="s">
        <v>702</v>
      </c>
      <c r="R224" s="303">
        <v>2015</v>
      </c>
      <c r="S224" s="303">
        <v>0</v>
      </c>
      <c r="T224" s="303">
        <v>2</v>
      </c>
      <c r="U224" s="303">
        <v>2</v>
      </c>
      <c r="V224" s="303">
        <v>2</v>
      </c>
      <c r="W224" s="303">
        <v>2</v>
      </c>
      <c r="X224" s="303">
        <v>8</v>
      </c>
      <c r="Y224" s="481"/>
      <c r="Z224" s="481"/>
      <c r="AA224" s="491">
        <v>1</v>
      </c>
      <c r="AB224" s="481"/>
      <c r="AC224" s="481"/>
      <c r="AD224" s="481"/>
      <c r="AE224" s="481"/>
      <c r="AF224" s="481">
        <f t="shared" si="184"/>
        <v>1</v>
      </c>
      <c r="AG224" s="548"/>
      <c r="AH224" s="548"/>
      <c r="AI224" s="491">
        <v>0.6</v>
      </c>
      <c r="AJ224" s="548"/>
      <c r="AK224" s="548"/>
      <c r="AL224" s="548"/>
      <c r="AM224" s="548">
        <f t="shared" si="185"/>
        <v>0.6</v>
      </c>
      <c r="AN224" s="481"/>
      <c r="AO224" s="481"/>
      <c r="AP224" s="491">
        <v>1</v>
      </c>
      <c r="AQ224" s="481"/>
      <c r="AR224" s="481"/>
      <c r="AS224" s="481"/>
      <c r="AT224" s="481"/>
      <c r="AU224" s="481">
        <f t="shared" si="186"/>
        <v>1</v>
      </c>
      <c r="AV224" s="548"/>
      <c r="AW224" s="548"/>
      <c r="AX224" s="491">
        <v>1</v>
      </c>
      <c r="AY224" s="548"/>
      <c r="AZ224" s="548"/>
      <c r="BA224" s="548"/>
      <c r="BB224" s="548"/>
      <c r="BC224" s="548">
        <f t="shared" si="187"/>
        <v>1</v>
      </c>
      <c r="BD224" s="42">
        <f t="shared" si="188"/>
        <v>0</v>
      </c>
      <c r="BE224" s="42">
        <f t="shared" si="189"/>
        <v>0</v>
      </c>
      <c r="BF224" s="42">
        <f t="shared" si="190"/>
        <v>3.6</v>
      </c>
      <c r="BG224" s="42">
        <f t="shared" si="191"/>
        <v>0</v>
      </c>
      <c r="BH224" s="42">
        <f t="shared" si="192"/>
        <v>0</v>
      </c>
      <c r="BI224" s="42">
        <f t="shared" si="181"/>
        <v>0</v>
      </c>
      <c r="BJ224" s="42">
        <f t="shared" si="193"/>
        <v>0</v>
      </c>
      <c r="BK224" s="42">
        <f t="shared" si="194"/>
        <v>3.6</v>
      </c>
      <c r="BL224" s="40">
        <f t="shared" si="179"/>
        <v>3.6</v>
      </c>
    </row>
    <row r="225" spans="1:64" ht="45.75" customHeight="1" x14ac:dyDescent="0.25">
      <c r="A225" s="298" t="s">
        <v>491</v>
      </c>
      <c r="B225" s="299" t="s">
        <v>489</v>
      </c>
      <c r="C225" s="1547"/>
      <c r="D225" s="1551"/>
      <c r="E225" s="1551"/>
      <c r="F225" s="1549"/>
      <c r="G225" s="1549"/>
      <c r="H225" s="1549"/>
      <c r="I225" s="1425"/>
      <c r="J225" s="1425"/>
      <c r="K225" s="1428"/>
      <c r="L225" s="1425"/>
      <c r="M225" s="1425"/>
      <c r="N225" s="476"/>
      <c r="O225" s="1425"/>
      <c r="P225" s="22" t="s">
        <v>703</v>
      </c>
      <c r="Q225" s="25"/>
      <c r="R225" s="17"/>
      <c r="S225" s="17"/>
      <c r="T225" s="17"/>
      <c r="U225" s="17"/>
      <c r="V225" s="17"/>
      <c r="W225" s="17"/>
      <c r="X225" s="17"/>
      <c r="Y225" s="34">
        <f>SUM(Y226:Y232)</f>
        <v>20</v>
      </c>
      <c r="Z225" s="34">
        <f t="shared" ref="Z225:BK225" si="195">SUM(Z226:Z232)</f>
        <v>0</v>
      </c>
      <c r="AA225" s="34">
        <f t="shared" si="195"/>
        <v>20</v>
      </c>
      <c r="AB225" s="34">
        <f t="shared" si="195"/>
        <v>0</v>
      </c>
      <c r="AC225" s="34">
        <f t="shared" si="195"/>
        <v>0</v>
      </c>
      <c r="AD225" s="34">
        <f t="shared" si="195"/>
        <v>0</v>
      </c>
      <c r="AE225" s="34">
        <f t="shared" si="195"/>
        <v>0</v>
      </c>
      <c r="AF225" s="34">
        <f t="shared" si="195"/>
        <v>40</v>
      </c>
      <c r="AG225" s="34">
        <f t="shared" si="195"/>
        <v>20</v>
      </c>
      <c r="AH225" s="34">
        <f t="shared" si="195"/>
        <v>0</v>
      </c>
      <c r="AI225" s="34">
        <f t="shared" si="195"/>
        <v>20</v>
      </c>
      <c r="AJ225" s="34">
        <f t="shared" si="195"/>
        <v>0</v>
      </c>
      <c r="AK225" s="34">
        <f t="shared" si="195"/>
        <v>0</v>
      </c>
      <c r="AL225" s="34">
        <f t="shared" si="195"/>
        <v>0</v>
      </c>
      <c r="AM225" s="34">
        <f t="shared" si="195"/>
        <v>40</v>
      </c>
      <c r="AN225" s="34">
        <f t="shared" si="195"/>
        <v>20</v>
      </c>
      <c r="AO225" s="34">
        <f t="shared" si="195"/>
        <v>0</v>
      </c>
      <c r="AP225" s="34">
        <f t="shared" si="195"/>
        <v>20</v>
      </c>
      <c r="AQ225" s="34">
        <f t="shared" si="195"/>
        <v>0</v>
      </c>
      <c r="AR225" s="34">
        <f t="shared" si="195"/>
        <v>0</v>
      </c>
      <c r="AS225" s="34">
        <f t="shared" si="195"/>
        <v>0</v>
      </c>
      <c r="AT225" s="34">
        <f t="shared" si="195"/>
        <v>0</v>
      </c>
      <c r="AU225" s="34">
        <f t="shared" si="195"/>
        <v>40</v>
      </c>
      <c r="AV225" s="34">
        <f t="shared" si="195"/>
        <v>20</v>
      </c>
      <c r="AW225" s="34">
        <f t="shared" si="195"/>
        <v>0</v>
      </c>
      <c r="AX225" s="34">
        <f t="shared" si="195"/>
        <v>20</v>
      </c>
      <c r="AY225" s="34">
        <f t="shared" si="195"/>
        <v>0</v>
      </c>
      <c r="AZ225" s="34">
        <f t="shared" si="195"/>
        <v>0</v>
      </c>
      <c r="BA225" s="34">
        <f t="shared" si="195"/>
        <v>0</v>
      </c>
      <c r="BB225" s="34">
        <f t="shared" si="195"/>
        <v>0</v>
      </c>
      <c r="BC225" s="34">
        <f t="shared" si="195"/>
        <v>40</v>
      </c>
      <c r="BD225" s="34">
        <f t="shared" si="195"/>
        <v>80</v>
      </c>
      <c r="BE225" s="34">
        <f t="shared" si="195"/>
        <v>0</v>
      </c>
      <c r="BF225" s="34">
        <f t="shared" si="195"/>
        <v>80</v>
      </c>
      <c r="BG225" s="34">
        <f t="shared" si="195"/>
        <v>0</v>
      </c>
      <c r="BH225" s="34">
        <f t="shared" si="195"/>
        <v>0</v>
      </c>
      <c r="BI225" s="34">
        <f t="shared" si="181"/>
        <v>0</v>
      </c>
      <c r="BJ225" s="34">
        <f t="shared" si="195"/>
        <v>0</v>
      </c>
      <c r="BK225" s="34">
        <f t="shared" si="195"/>
        <v>160</v>
      </c>
      <c r="BL225" s="40">
        <f t="shared" si="179"/>
        <v>160</v>
      </c>
    </row>
    <row r="226" spans="1:64" ht="60" customHeight="1" x14ac:dyDescent="0.25">
      <c r="A226" s="298" t="s">
        <v>491</v>
      </c>
      <c r="B226" s="299" t="s">
        <v>489</v>
      </c>
      <c r="C226" s="1547"/>
      <c r="D226" s="1551"/>
      <c r="E226" s="1551"/>
      <c r="F226" s="1549"/>
      <c r="G226" s="1549"/>
      <c r="H226" s="1549"/>
      <c r="I226" s="1425"/>
      <c r="J226" s="1425"/>
      <c r="K226" s="1428" t="s">
        <v>704</v>
      </c>
      <c r="L226" s="301" t="s">
        <v>496</v>
      </c>
      <c r="M226" s="1425" t="s">
        <v>497</v>
      </c>
      <c r="N226" s="476" t="s">
        <v>2497</v>
      </c>
      <c r="O226" s="1425" t="s">
        <v>47</v>
      </c>
      <c r="P226" s="16" t="s">
        <v>705</v>
      </c>
      <c r="Q226" s="302" t="s">
        <v>706</v>
      </c>
      <c r="R226" s="303">
        <v>2015</v>
      </c>
      <c r="S226" s="303">
        <v>0</v>
      </c>
      <c r="T226" s="303">
        <v>1</v>
      </c>
      <c r="U226" s="303">
        <v>1</v>
      </c>
      <c r="V226" s="303">
        <v>1</v>
      </c>
      <c r="W226" s="303">
        <v>1</v>
      </c>
      <c r="X226" s="303">
        <v>4</v>
      </c>
      <c r="Y226" s="491">
        <v>20</v>
      </c>
      <c r="Z226" s="481"/>
      <c r="AA226" s="481"/>
      <c r="AB226" s="481"/>
      <c r="AC226" s="481"/>
      <c r="AD226" s="481"/>
      <c r="AE226" s="481"/>
      <c r="AF226" s="481">
        <f t="shared" si="184"/>
        <v>20</v>
      </c>
      <c r="AG226" s="491">
        <v>20</v>
      </c>
      <c r="AH226" s="548"/>
      <c r="AI226" s="548"/>
      <c r="AJ226" s="548"/>
      <c r="AK226" s="548"/>
      <c r="AL226" s="548"/>
      <c r="AM226" s="548">
        <f t="shared" si="185"/>
        <v>20</v>
      </c>
      <c r="AN226" s="491">
        <v>20</v>
      </c>
      <c r="AO226" s="481">
        <v>0</v>
      </c>
      <c r="AP226" s="481">
        <v>0</v>
      </c>
      <c r="AQ226" s="481">
        <v>0</v>
      </c>
      <c r="AR226" s="481">
        <v>0</v>
      </c>
      <c r="AS226" s="481">
        <v>0</v>
      </c>
      <c r="AT226" s="481">
        <v>0</v>
      </c>
      <c r="AU226" s="481">
        <f t="shared" si="186"/>
        <v>20</v>
      </c>
      <c r="AV226" s="491">
        <v>20</v>
      </c>
      <c r="AW226" s="548"/>
      <c r="AX226" s="548"/>
      <c r="AY226" s="548"/>
      <c r="AZ226" s="548"/>
      <c r="BA226" s="548"/>
      <c r="BB226" s="548"/>
      <c r="BC226" s="548">
        <f t="shared" si="187"/>
        <v>20</v>
      </c>
      <c r="BD226" s="42">
        <f t="shared" si="188"/>
        <v>80</v>
      </c>
      <c r="BE226" s="42">
        <f t="shared" si="189"/>
        <v>0</v>
      </c>
      <c r="BF226" s="42">
        <f t="shared" si="190"/>
        <v>0</v>
      </c>
      <c r="BG226" s="42">
        <f t="shared" si="191"/>
        <v>0</v>
      </c>
      <c r="BH226" s="42">
        <f t="shared" si="192"/>
        <v>0</v>
      </c>
      <c r="BI226" s="42">
        <f t="shared" si="181"/>
        <v>0</v>
      </c>
      <c r="BJ226" s="42">
        <f t="shared" si="193"/>
        <v>0</v>
      </c>
      <c r="BK226" s="42">
        <f t="shared" si="194"/>
        <v>80</v>
      </c>
      <c r="BL226" s="40">
        <f t="shared" si="179"/>
        <v>80</v>
      </c>
    </row>
    <row r="227" spans="1:64" ht="76.5" customHeight="1" x14ac:dyDescent="0.25">
      <c r="A227" s="298" t="s">
        <v>491</v>
      </c>
      <c r="B227" s="299" t="s">
        <v>489</v>
      </c>
      <c r="C227" s="1547"/>
      <c r="D227" s="1551"/>
      <c r="E227" s="1551"/>
      <c r="F227" s="1549"/>
      <c r="G227" s="1549"/>
      <c r="H227" s="1549"/>
      <c r="I227" s="1425"/>
      <c r="J227" s="1425"/>
      <c r="K227" s="1428" t="s">
        <v>707</v>
      </c>
      <c r="L227" s="301" t="s">
        <v>496</v>
      </c>
      <c r="M227" s="1425" t="s">
        <v>497</v>
      </c>
      <c r="N227" s="476" t="s">
        <v>2497</v>
      </c>
      <c r="O227" s="1425" t="s">
        <v>47</v>
      </c>
      <c r="P227" s="16" t="s">
        <v>708</v>
      </c>
      <c r="Q227" s="302" t="s">
        <v>709</v>
      </c>
      <c r="R227" s="303">
        <v>2015</v>
      </c>
      <c r="S227" s="303">
        <v>0</v>
      </c>
      <c r="T227" s="303">
        <v>1</v>
      </c>
      <c r="U227" s="303">
        <v>1</v>
      </c>
      <c r="V227" s="303">
        <v>0</v>
      </c>
      <c r="W227" s="303">
        <v>0</v>
      </c>
      <c r="X227" s="303">
        <v>2</v>
      </c>
      <c r="Y227" s="481"/>
      <c r="Z227" s="481"/>
      <c r="AA227" s="481">
        <v>0.5</v>
      </c>
      <c r="AB227" s="481"/>
      <c r="AC227" s="481"/>
      <c r="AD227" s="481"/>
      <c r="AE227" s="481"/>
      <c r="AF227" s="481">
        <f t="shared" si="184"/>
        <v>0.5</v>
      </c>
      <c r="AG227" s="548"/>
      <c r="AH227" s="548"/>
      <c r="AI227" s="548">
        <v>0.5</v>
      </c>
      <c r="AJ227" s="548"/>
      <c r="AK227" s="548"/>
      <c r="AL227" s="548"/>
      <c r="AM227" s="548">
        <f t="shared" si="185"/>
        <v>0.5</v>
      </c>
      <c r="AN227" s="481"/>
      <c r="AO227" s="481"/>
      <c r="AP227" s="481"/>
      <c r="AQ227" s="481"/>
      <c r="AR227" s="481"/>
      <c r="AS227" s="481"/>
      <c r="AT227" s="481"/>
      <c r="AU227" s="481">
        <f t="shared" si="186"/>
        <v>0</v>
      </c>
      <c r="AV227" s="481"/>
      <c r="AW227" s="548"/>
      <c r="AX227" s="491"/>
      <c r="AY227" s="548"/>
      <c r="AZ227" s="548"/>
      <c r="BA227" s="548"/>
      <c r="BB227" s="548"/>
      <c r="BC227" s="548">
        <f t="shared" si="187"/>
        <v>0</v>
      </c>
      <c r="BD227" s="42">
        <f t="shared" si="188"/>
        <v>0</v>
      </c>
      <c r="BE227" s="42">
        <f t="shared" si="189"/>
        <v>0</v>
      </c>
      <c r="BF227" s="42">
        <f t="shared" si="190"/>
        <v>1</v>
      </c>
      <c r="BG227" s="42">
        <f t="shared" si="191"/>
        <v>0</v>
      </c>
      <c r="BH227" s="42">
        <f t="shared" si="192"/>
        <v>0</v>
      </c>
      <c r="BI227" s="42">
        <f t="shared" si="181"/>
        <v>0</v>
      </c>
      <c r="BJ227" s="42">
        <f t="shared" si="193"/>
        <v>0</v>
      </c>
      <c r="BK227" s="42">
        <f t="shared" si="194"/>
        <v>1</v>
      </c>
      <c r="BL227" s="40">
        <f t="shared" si="179"/>
        <v>1</v>
      </c>
    </row>
    <row r="228" spans="1:64" ht="57.75" customHeight="1" x14ac:dyDescent="0.25">
      <c r="A228" s="298" t="s">
        <v>491</v>
      </c>
      <c r="B228" s="299" t="s">
        <v>489</v>
      </c>
      <c r="C228" s="1547"/>
      <c r="D228" s="1551"/>
      <c r="E228" s="1551"/>
      <c r="F228" s="1549"/>
      <c r="G228" s="1549"/>
      <c r="H228" s="1549"/>
      <c r="I228" s="1425"/>
      <c r="J228" s="1425"/>
      <c r="K228" s="1428" t="s">
        <v>710</v>
      </c>
      <c r="L228" s="301" t="s">
        <v>496</v>
      </c>
      <c r="M228" s="1425" t="s">
        <v>497</v>
      </c>
      <c r="N228" s="476" t="s">
        <v>2497</v>
      </c>
      <c r="O228" s="1425" t="s">
        <v>47</v>
      </c>
      <c r="P228" s="71" t="s">
        <v>711</v>
      </c>
      <c r="Q228" s="302" t="s">
        <v>712</v>
      </c>
      <c r="R228" s="303">
        <v>2015</v>
      </c>
      <c r="S228" s="303">
        <v>0</v>
      </c>
      <c r="T228" s="303">
        <v>0</v>
      </c>
      <c r="U228" s="303">
        <v>0</v>
      </c>
      <c r="V228" s="303">
        <v>1</v>
      </c>
      <c r="W228" s="303">
        <v>0</v>
      </c>
      <c r="X228" s="303">
        <v>1</v>
      </c>
      <c r="Y228" s="491"/>
      <c r="Z228" s="481"/>
      <c r="AA228" s="481"/>
      <c r="AB228" s="481"/>
      <c r="AC228" s="481"/>
      <c r="AD228" s="481"/>
      <c r="AE228" s="481"/>
      <c r="AF228" s="481">
        <f t="shared" si="184"/>
        <v>0</v>
      </c>
      <c r="AG228" s="491"/>
      <c r="AH228" s="548"/>
      <c r="AI228" s="491"/>
      <c r="AJ228" s="548"/>
      <c r="AK228" s="548"/>
      <c r="AL228" s="548"/>
      <c r="AM228" s="548">
        <f t="shared" si="185"/>
        <v>0</v>
      </c>
      <c r="AN228" s="491"/>
      <c r="AO228" s="481"/>
      <c r="AP228" s="481">
        <v>10</v>
      </c>
      <c r="AQ228" s="481"/>
      <c r="AR228" s="481"/>
      <c r="AS228" s="481"/>
      <c r="AT228" s="481"/>
      <c r="AU228" s="481">
        <f t="shared" si="186"/>
        <v>10</v>
      </c>
      <c r="AV228" s="491"/>
      <c r="AW228" s="548"/>
      <c r="AX228" s="491"/>
      <c r="AY228" s="548"/>
      <c r="AZ228" s="548"/>
      <c r="BA228" s="548"/>
      <c r="BB228" s="548"/>
      <c r="BC228" s="548">
        <f t="shared" si="187"/>
        <v>0</v>
      </c>
      <c r="BD228" s="42">
        <f t="shared" si="188"/>
        <v>0</v>
      </c>
      <c r="BE228" s="42">
        <f t="shared" si="189"/>
        <v>0</v>
      </c>
      <c r="BF228" s="42">
        <f t="shared" si="190"/>
        <v>10</v>
      </c>
      <c r="BG228" s="42">
        <f t="shared" si="191"/>
        <v>0</v>
      </c>
      <c r="BH228" s="42">
        <f t="shared" si="192"/>
        <v>0</v>
      </c>
      <c r="BI228" s="42">
        <f t="shared" si="181"/>
        <v>0</v>
      </c>
      <c r="BJ228" s="42">
        <f t="shared" si="193"/>
        <v>0</v>
      </c>
      <c r="BK228" s="42">
        <f t="shared" si="194"/>
        <v>10</v>
      </c>
      <c r="BL228" s="40">
        <f t="shared" si="179"/>
        <v>10</v>
      </c>
    </row>
    <row r="229" spans="1:64" ht="45" customHeight="1" x14ac:dyDescent="0.25">
      <c r="A229" s="298" t="s">
        <v>491</v>
      </c>
      <c r="B229" s="299" t="s">
        <v>489</v>
      </c>
      <c r="C229" s="1547"/>
      <c r="D229" s="1551"/>
      <c r="E229" s="1551"/>
      <c r="F229" s="1549"/>
      <c r="G229" s="1549"/>
      <c r="H229" s="1549"/>
      <c r="I229" s="1425"/>
      <c r="J229" s="1425"/>
      <c r="K229" s="1428" t="s">
        <v>713</v>
      </c>
      <c r="L229" s="301" t="s">
        <v>496</v>
      </c>
      <c r="M229" s="1425" t="s">
        <v>497</v>
      </c>
      <c r="N229" s="476" t="s">
        <v>2497</v>
      </c>
      <c r="O229" s="1425" t="s">
        <v>47</v>
      </c>
      <c r="P229" s="1201" t="s">
        <v>2502</v>
      </c>
      <c r="Q229" s="302" t="s">
        <v>656</v>
      </c>
      <c r="R229" s="303">
        <v>2015</v>
      </c>
      <c r="S229" s="303">
        <v>0</v>
      </c>
      <c r="T229" s="303">
        <v>1</v>
      </c>
      <c r="U229" s="303">
        <v>1</v>
      </c>
      <c r="V229" s="303">
        <v>1</v>
      </c>
      <c r="W229" s="303">
        <v>1</v>
      </c>
      <c r="X229" s="303">
        <v>4</v>
      </c>
      <c r="Y229" s="481"/>
      <c r="Z229" s="481"/>
      <c r="AA229" s="491">
        <v>19.5</v>
      </c>
      <c r="AB229" s="481"/>
      <c r="AC229" s="481"/>
      <c r="AD229" s="481"/>
      <c r="AE229" s="481"/>
      <c r="AF229" s="481">
        <f t="shared" si="184"/>
        <v>19.5</v>
      </c>
      <c r="AG229" s="548"/>
      <c r="AH229" s="548"/>
      <c r="AI229" s="491">
        <v>17.5</v>
      </c>
      <c r="AJ229" s="548"/>
      <c r="AK229" s="548"/>
      <c r="AL229" s="548"/>
      <c r="AM229" s="548">
        <f t="shared" si="185"/>
        <v>17.5</v>
      </c>
      <c r="AN229" s="481"/>
      <c r="AO229" s="481"/>
      <c r="AP229" s="481">
        <v>9</v>
      </c>
      <c r="AQ229" s="481"/>
      <c r="AR229" s="481"/>
      <c r="AS229" s="481"/>
      <c r="AT229" s="481"/>
      <c r="AU229" s="481">
        <f t="shared" si="186"/>
        <v>9</v>
      </c>
      <c r="AV229" s="548"/>
      <c r="AW229" s="548"/>
      <c r="AX229" s="548">
        <v>15</v>
      </c>
      <c r="AY229" s="548"/>
      <c r="AZ229" s="548"/>
      <c r="BA229" s="548"/>
      <c r="BB229" s="548"/>
      <c r="BC229" s="548">
        <f t="shared" si="187"/>
        <v>15</v>
      </c>
      <c r="BD229" s="42">
        <f t="shared" si="188"/>
        <v>0</v>
      </c>
      <c r="BE229" s="42">
        <f t="shared" si="189"/>
        <v>0</v>
      </c>
      <c r="BF229" s="42">
        <f t="shared" si="190"/>
        <v>61</v>
      </c>
      <c r="BG229" s="42">
        <f t="shared" si="191"/>
        <v>0</v>
      </c>
      <c r="BH229" s="42">
        <f t="shared" si="192"/>
        <v>0</v>
      </c>
      <c r="BI229" s="42">
        <f t="shared" si="181"/>
        <v>0</v>
      </c>
      <c r="BJ229" s="42">
        <f t="shared" si="193"/>
        <v>0</v>
      </c>
      <c r="BK229" s="42">
        <f t="shared" si="194"/>
        <v>61</v>
      </c>
      <c r="BL229" s="40">
        <f t="shared" si="179"/>
        <v>61</v>
      </c>
    </row>
    <row r="230" spans="1:64" ht="47.25" customHeight="1" x14ac:dyDescent="0.25">
      <c r="A230" s="298" t="s">
        <v>491</v>
      </c>
      <c r="B230" s="299" t="s">
        <v>489</v>
      </c>
      <c r="C230" s="1547"/>
      <c r="D230" s="1551"/>
      <c r="E230" s="1551"/>
      <c r="F230" s="1549"/>
      <c r="G230" s="1549"/>
      <c r="H230" s="1549"/>
      <c r="I230" s="1425"/>
      <c r="J230" s="1425"/>
      <c r="K230" s="1428" t="s">
        <v>715</v>
      </c>
      <c r="L230" s="301" t="s">
        <v>496</v>
      </c>
      <c r="M230" s="1425" t="s">
        <v>497</v>
      </c>
      <c r="N230" s="476" t="s">
        <v>2497</v>
      </c>
      <c r="O230" s="1425" t="s">
        <v>47</v>
      </c>
      <c r="P230" s="71" t="s">
        <v>716</v>
      </c>
      <c r="Q230" s="302" t="s">
        <v>717</v>
      </c>
      <c r="R230" s="303">
        <v>2015</v>
      </c>
      <c r="S230" s="303">
        <v>0</v>
      </c>
      <c r="T230" s="303">
        <v>0</v>
      </c>
      <c r="U230" s="303">
        <v>0</v>
      </c>
      <c r="V230" s="303">
        <v>1</v>
      </c>
      <c r="W230" s="303">
        <v>0</v>
      </c>
      <c r="X230" s="303">
        <v>1</v>
      </c>
      <c r="Y230" s="481"/>
      <c r="Z230" s="481"/>
      <c r="AA230" s="491"/>
      <c r="AB230" s="481"/>
      <c r="AC230" s="481"/>
      <c r="AD230" s="481"/>
      <c r="AE230" s="481"/>
      <c r="AF230" s="481">
        <f t="shared" si="184"/>
        <v>0</v>
      </c>
      <c r="AG230" s="548"/>
      <c r="AH230" s="548"/>
      <c r="AI230" s="491"/>
      <c r="AJ230" s="548"/>
      <c r="AK230" s="548"/>
      <c r="AL230" s="548"/>
      <c r="AM230" s="548">
        <f t="shared" si="185"/>
        <v>0</v>
      </c>
      <c r="AN230" s="481"/>
      <c r="AO230" s="481"/>
      <c r="AP230" s="491">
        <v>1</v>
      </c>
      <c r="AQ230" s="481"/>
      <c r="AR230" s="481"/>
      <c r="AS230" s="481"/>
      <c r="AT230" s="481"/>
      <c r="AU230" s="481">
        <f t="shared" si="186"/>
        <v>1</v>
      </c>
      <c r="AV230" s="548"/>
      <c r="AW230" s="548"/>
      <c r="AX230" s="491"/>
      <c r="AY230" s="548"/>
      <c r="AZ230" s="548"/>
      <c r="BA230" s="548"/>
      <c r="BB230" s="548"/>
      <c r="BC230" s="548">
        <f t="shared" si="187"/>
        <v>0</v>
      </c>
      <c r="BD230" s="42">
        <f t="shared" si="188"/>
        <v>0</v>
      </c>
      <c r="BE230" s="42">
        <f t="shared" si="189"/>
        <v>0</v>
      </c>
      <c r="BF230" s="42">
        <f t="shared" si="190"/>
        <v>1</v>
      </c>
      <c r="BG230" s="42">
        <f t="shared" si="191"/>
        <v>0</v>
      </c>
      <c r="BH230" s="42">
        <f t="shared" si="192"/>
        <v>0</v>
      </c>
      <c r="BI230" s="42">
        <f t="shared" si="181"/>
        <v>0</v>
      </c>
      <c r="BJ230" s="42">
        <f t="shared" si="193"/>
        <v>0</v>
      </c>
      <c r="BK230" s="42">
        <f t="shared" si="194"/>
        <v>1</v>
      </c>
      <c r="BL230" s="40">
        <f t="shared" si="179"/>
        <v>1</v>
      </c>
    </row>
    <row r="231" spans="1:64" ht="50.25" customHeight="1" x14ac:dyDescent="0.25">
      <c r="A231" s="298" t="s">
        <v>491</v>
      </c>
      <c r="B231" s="299" t="s">
        <v>489</v>
      </c>
      <c r="C231" s="1547"/>
      <c r="D231" s="1551"/>
      <c r="E231" s="1551"/>
      <c r="F231" s="1549"/>
      <c r="G231" s="1549"/>
      <c r="H231" s="1549"/>
      <c r="I231" s="1425"/>
      <c r="J231" s="1425"/>
      <c r="K231" s="1428" t="s">
        <v>718</v>
      </c>
      <c r="L231" s="301" t="s">
        <v>496</v>
      </c>
      <c r="M231" s="1425" t="s">
        <v>497</v>
      </c>
      <c r="N231" s="476" t="s">
        <v>2497</v>
      </c>
      <c r="O231" s="1425" t="s">
        <v>47</v>
      </c>
      <c r="P231" s="71" t="s">
        <v>719</v>
      </c>
      <c r="Q231" s="302" t="s">
        <v>720</v>
      </c>
      <c r="R231" s="303">
        <v>2015</v>
      </c>
      <c r="S231" s="303">
        <v>0</v>
      </c>
      <c r="T231" s="303">
        <v>0</v>
      </c>
      <c r="U231" s="303">
        <v>1</v>
      </c>
      <c r="V231" s="303">
        <v>0</v>
      </c>
      <c r="W231" s="303">
        <v>0</v>
      </c>
      <c r="X231" s="303">
        <v>1</v>
      </c>
      <c r="Y231" s="481"/>
      <c r="Z231" s="481"/>
      <c r="AA231" s="491"/>
      <c r="AB231" s="481"/>
      <c r="AC231" s="481"/>
      <c r="AD231" s="481"/>
      <c r="AE231" s="481"/>
      <c r="AF231" s="481">
        <f t="shared" si="184"/>
        <v>0</v>
      </c>
      <c r="AG231" s="548"/>
      <c r="AH231" s="548"/>
      <c r="AI231" s="491">
        <v>1</v>
      </c>
      <c r="AJ231" s="548"/>
      <c r="AK231" s="548"/>
      <c r="AL231" s="548"/>
      <c r="AM231" s="548">
        <f t="shared" si="185"/>
        <v>1</v>
      </c>
      <c r="AN231" s="481"/>
      <c r="AO231" s="481"/>
      <c r="AP231" s="481"/>
      <c r="AQ231" s="481"/>
      <c r="AR231" s="481"/>
      <c r="AS231" s="481"/>
      <c r="AT231" s="481"/>
      <c r="AU231" s="481">
        <f t="shared" si="186"/>
        <v>0</v>
      </c>
      <c r="AV231" s="548"/>
      <c r="AW231" s="548"/>
      <c r="AX231" s="548"/>
      <c r="AY231" s="548"/>
      <c r="AZ231" s="548"/>
      <c r="BA231" s="548"/>
      <c r="BB231" s="548"/>
      <c r="BC231" s="548">
        <f t="shared" si="187"/>
        <v>0</v>
      </c>
      <c r="BD231" s="42">
        <f t="shared" si="188"/>
        <v>0</v>
      </c>
      <c r="BE231" s="42">
        <f t="shared" si="189"/>
        <v>0</v>
      </c>
      <c r="BF231" s="42">
        <f t="shared" si="190"/>
        <v>1</v>
      </c>
      <c r="BG231" s="42">
        <f t="shared" si="191"/>
        <v>0</v>
      </c>
      <c r="BH231" s="42">
        <f t="shared" si="192"/>
        <v>0</v>
      </c>
      <c r="BI231" s="42">
        <f t="shared" si="181"/>
        <v>0</v>
      </c>
      <c r="BJ231" s="42">
        <f t="shared" si="193"/>
        <v>0</v>
      </c>
      <c r="BK231" s="42">
        <f t="shared" si="194"/>
        <v>1</v>
      </c>
      <c r="BL231" s="40">
        <f t="shared" si="179"/>
        <v>1</v>
      </c>
    </row>
    <row r="232" spans="1:64" ht="71.25" customHeight="1" x14ac:dyDescent="0.25">
      <c r="A232" s="298" t="s">
        <v>491</v>
      </c>
      <c r="B232" s="299" t="s">
        <v>489</v>
      </c>
      <c r="C232" s="1547"/>
      <c r="D232" s="1551"/>
      <c r="E232" s="1551"/>
      <c r="F232" s="1549"/>
      <c r="G232" s="1549"/>
      <c r="H232" s="1549"/>
      <c r="I232" s="1425"/>
      <c r="J232" s="1425"/>
      <c r="K232" s="1428" t="s">
        <v>721</v>
      </c>
      <c r="L232" s="301" t="s">
        <v>496</v>
      </c>
      <c r="M232" s="1425" t="s">
        <v>497</v>
      </c>
      <c r="N232" s="476" t="s">
        <v>2497</v>
      </c>
      <c r="O232" s="1425" t="s">
        <v>47</v>
      </c>
      <c r="P232" s="16" t="s">
        <v>722</v>
      </c>
      <c r="Q232" s="302" t="s">
        <v>699</v>
      </c>
      <c r="R232" s="303">
        <v>2015</v>
      </c>
      <c r="S232" s="303">
        <v>0</v>
      </c>
      <c r="T232" s="303">
        <v>0</v>
      </c>
      <c r="U232" s="303">
        <v>1</v>
      </c>
      <c r="V232" s="303">
        <v>0</v>
      </c>
      <c r="W232" s="303">
        <v>1</v>
      </c>
      <c r="X232" s="303">
        <v>2</v>
      </c>
      <c r="Y232" s="481"/>
      <c r="Z232" s="481"/>
      <c r="AA232" s="481"/>
      <c r="AB232" s="481"/>
      <c r="AC232" s="481"/>
      <c r="AD232" s="481"/>
      <c r="AE232" s="481"/>
      <c r="AF232" s="481">
        <f t="shared" si="184"/>
        <v>0</v>
      </c>
      <c r="AG232" s="548"/>
      <c r="AH232" s="548"/>
      <c r="AI232" s="491">
        <v>1</v>
      </c>
      <c r="AJ232" s="548"/>
      <c r="AK232" s="548"/>
      <c r="AL232" s="548"/>
      <c r="AM232" s="548">
        <f t="shared" si="185"/>
        <v>1</v>
      </c>
      <c r="AN232" s="481"/>
      <c r="AO232" s="481"/>
      <c r="AP232" s="481"/>
      <c r="AQ232" s="481"/>
      <c r="AR232" s="481"/>
      <c r="AS232" s="481"/>
      <c r="AT232" s="481"/>
      <c r="AU232" s="481">
        <f t="shared" si="186"/>
        <v>0</v>
      </c>
      <c r="AV232" s="548"/>
      <c r="AW232" s="548"/>
      <c r="AX232" s="491">
        <v>5</v>
      </c>
      <c r="AY232" s="548"/>
      <c r="AZ232" s="548"/>
      <c r="BA232" s="548"/>
      <c r="BB232" s="548"/>
      <c r="BC232" s="548">
        <f t="shared" si="187"/>
        <v>5</v>
      </c>
      <c r="BD232" s="42">
        <f t="shared" si="188"/>
        <v>0</v>
      </c>
      <c r="BE232" s="42">
        <f t="shared" si="189"/>
        <v>0</v>
      </c>
      <c r="BF232" s="42">
        <f t="shared" si="190"/>
        <v>6</v>
      </c>
      <c r="BG232" s="42">
        <f t="shared" si="191"/>
        <v>0</v>
      </c>
      <c r="BH232" s="42">
        <f t="shared" si="192"/>
        <v>0</v>
      </c>
      <c r="BI232" s="42">
        <f t="shared" si="181"/>
        <v>0</v>
      </c>
      <c r="BJ232" s="42">
        <f t="shared" si="193"/>
        <v>0</v>
      </c>
      <c r="BK232" s="42">
        <f t="shared" si="194"/>
        <v>6</v>
      </c>
      <c r="BL232" s="40">
        <f t="shared" si="179"/>
        <v>6</v>
      </c>
    </row>
    <row r="233" spans="1:64" ht="48.75" customHeight="1" x14ac:dyDescent="0.25">
      <c r="A233" s="298" t="s">
        <v>491</v>
      </c>
      <c r="B233" s="299" t="s">
        <v>489</v>
      </c>
      <c r="C233" s="1547"/>
      <c r="D233" s="1551"/>
      <c r="E233" s="1551"/>
      <c r="F233" s="1549"/>
      <c r="G233" s="1549"/>
      <c r="H233" s="1549"/>
      <c r="I233" s="1425"/>
      <c r="J233" s="1425"/>
      <c r="K233" s="476"/>
      <c r="L233" s="1425"/>
      <c r="M233" s="1425"/>
      <c r="N233" s="476"/>
      <c r="O233" s="1425"/>
      <c r="P233" s="62" t="s">
        <v>723</v>
      </c>
      <c r="Q233" s="25"/>
      <c r="R233" s="17"/>
      <c r="S233" s="17"/>
      <c r="T233" s="17"/>
      <c r="U233" s="17"/>
      <c r="V233" s="17"/>
      <c r="W233" s="17"/>
      <c r="X233" s="17"/>
      <c r="Y233" s="43">
        <f>SUM(Y234:Y239)</f>
        <v>34</v>
      </c>
      <c r="Z233" s="43">
        <f t="shared" ref="Z233:BK233" si="196">SUM(Z234:Z239)</f>
        <v>0</v>
      </c>
      <c r="AA233" s="43">
        <f t="shared" si="196"/>
        <v>18</v>
      </c>
      <c r="AB233" s="43">
        <f t="shared" si="196"/>
        <v>0</v>
      </c>
      <c r="AC233" s="43">
        <f t="shared" si="196"/>
        <v>0</v>
      </c>
      <c r="AD233" s="43">
        <f t="shared" si="196"/>
        <v>10</v>
      </c>
      <c r="AE233" s="43">
        <f t="shared" si="196"/>
        <v>0</v>
      </c>
      <c r="AF233" s="43">
        <f t="shared" si="196"/>
        <v>62</v>
      </c>
      <c r="AG233" s="43">
        <f t="shared" si="196"/>
        <v>34</v>
      </c>
      <c r="AH233" s="43">
        <f t="shared" si="196"/>
        <v>0</v>
      </c>
      <c r="AI233" s="43">
        <f t="shared" si="196"/>
        <v>18</v>
      </c>
      <c r="AJ233" s="43">
        <f t="shared" si="196"/>
        <v>0</v>
      </c>
      <c r="AK233" s="43">
        <f t="shared" si="196"/>
        <v>0</v>
      </c>
      <c r="AL233" s="43">
        <f t="shared" si="196"/>
        <v>0</v>
      </c>
      <c r="AM233" s="43">
        <f t="shared" si="196"/>
        <v>52</v>
      </c>
      <c r="AN233" s="43">
        <f t="shared" si="196"/>
        <v>34</v>
      </c>
      <c r="AO233" s="43">
        <f t="shared" si="196"/>
        <v>0</v>
      </c>
      <c r="AP233" s="43">
        <f t="shared" si="196"/>
        <v>18</v>
      </c>
      <c r="AQ233" s="43">
        <f t="shared" si="196"/>
        <v>0</v>
      </c>
      <c r="AR233" s="43">
        <f t="shared" si="196"/>
        <v>0</v>
      </c>
      <c r="AS233" s="43">
        <f t="shared" si="196"/>
        <v>0</v>
      </c>
      <c r="AT233" s="43">
        <f t="shared" si="196"/>
        <v>0</v>
      </c>
      <c r="AU233" s="43">
        <f t="shared" si="196"/>
        <v>52</v>
      </c>
      <c r="AV233" s="43">
        <f t="shared" si="196"/>
        <v>34</v>
      </c>
      <c r="AW233" s="43">
        <f t="shared" si="196"/>
        <v>0</v>
      </c>
      <c r="AX233" s="43">
        <f t="shared" si="196"/>
        <v>18</v>
      </c>
      <c r="AY233" s="43">
        <f t="shared" si="196"/>
        <v>0</v>
      </c>
      <c r="AZ233" s="43">
        <f t="shared" si="196"/>
        <v>0</v>
      </c>
      <c r="BA233" s="43">
        <f t="shared" si="196"/>
        <v>0</v>
      </c>
      <c r="BB233" s="43">
        <f t="shared" si="196"/>
        <v>0</v>
      </c>
      <c r="BC233" s="43">
        <f t="shared" si="196"/>
        <v>52</v>
      </c>
      <c r="BD233" s="43">
        <f t="shared" si="196"/>
        <v>136</v>
      </c>
      <c r="BE233" s="43">
        <f t="shared" si="196"/>
        <v>0</v>
      </c>
      <c r="BF233" s="43">
        <f t="shared" si="196"/>
        <v>72</v>
      </c>
      <c r="BG233" s="43">
        <f t="shared" si="196"/>
        <v>0</v>
      </c>
      <c r="BH233" s="43">
        <f t="shared" si="196"/>
        <v>0</v>
      </c>
      <c r="BI233" s="43">
        <f t="shared" si="181"/>
        <v>10</v>
      </c>
      <c r="BJ233" s="43">
        <f t="shared" si="196"/>
        <v>0</v>
      </c>
      <c r="BK233" s="43">
        <f t="shared" si="196"/>
        <v>218</v>
      </c>
      <c r="BL233" s="40">
        <f t="shared" si="179"/>
        <v>218</v>
      </c>
    </row>
    <row r="234" spans="1:64" ht="58.5" customHeight="1" x14ac:dyDescent="0.25">
      <c r="A234" s="298" t="s">
        <v>491</v>
      </c>
      <c r="B234" s="299" t="s">
        <v>489</v>
      </c>
      <c r="C234" s="1547"/>
      <c r="D234" s="1551"/>
      <c r="E234" s="1551"/>
      <c r="F234" s="1549"/>
      <c r="G234" s="1549"/>
      <c r="H234" s="1549"/>
      <c r="I234" s="1425"/>
      <c r="J234" s="1425"/>
      <c r="K234" s="1428" t="s">
        <v>724</v>
      </c>
      <c r="L234" s="301" t="s">
        <v>496</v>
      </c>
      <c r="M234" s="1425" t="s">
        <v>497</v>
      </c>
      <c r="N234" s="476" t="s">
        <v>2497</v>
      </c>
      <c r="O234" s="1425" t="s">
        <v>47</v>
      </c>
      <c r="P234" s="16" t="s">
        <v>725</v>
      </c>
      <c r="Q234" s="302" t="s">
        <v>726</v>
      </c>
      <c r="R234" s="303">
        <v>2015</v>
      </c>
      <c r="S234" s="303">
        <v>0</v>
      </c>
      <c r="T234" s="303">
        <v>2</v>
      </c>
      <c r="U234" s="303">
        <v>2</v>
      </c>
      <c r="V234" s="303">
        <v>2</v>
      </c>
      <c r="W234" s="303">
        <v>2</v>
      </c>
      <c r="X234" s="303">
        <v>8</v>
      </c>
      <c r="Y234" s="481"/>
      <c r="Z234" s="481"/>
      <c r="AA234" s="491">
        <v>5</v>
      </c>
      <c r="AB234" s="481"/>
      <c r="AC234" s="481"/>
      <c r="AD234" s="481"/>
      <c r="AE234" s="481"/>
      <c r="AF234" s="481">
        <f t="shared" si="184"/>
        <v>5</v>
      </c>
      <c r="AG234" s="548"/>
      <c r="AH234" s="548"/>
      <c r="AI234" s="491">
        <v>5</v>
      </c>
      <c r="AJ234" s="548"/>
      <c r="AK234" s="548"/>
      <c r="AL234" s="548"/>
      <c r="AM234" s="548">
        <f t="shared" si="185"/>
        <v>5</v>
      </c>
      <c r="AN234" s="481"/>
      <c r="AO234" s="481"/>
      <c r="AP234" s="491">
        <v>5</v>
      </c>
      <c r="AQ234" s="481"/>
      <c r="AR234" s="481"/>
      <c r="AS234" s="481"/>
      <c r="AT234" s="481"/>
      <c r="AU234" s="481">
        <f t="shared" si="186"/>
        <v>5</v>
      </c>
      <c r="AV234" s="548"/>
      <c r="AW234" s="548"/>
      <c r="AX234" s="491">
        <v>10</v>
      </c>
      <c r="AY234" s="548"/>
      <c r="AZ234" s="548"/>
      <c r="BA234" s="548"/>
      <c r="BB234" s="548"/>
      <c r="BC234" s="548">
        <f t="shared" si="187"/>
        <v>10</v>
      </c>
      <c r="BD234" s="42">
        <f t="shared" si="188"/>
        <v>0</v>
      </c>
      <c r="BE234" s="42">
        <f t="shared" si="189"/>
        <v>0</v>
      </c>
      <c r="BF234" s="42">
        <f t="shared" si="190"/>
        <v>25</v>
      </c>
      <c r="BG234" s="42">
        <f t="shared" si="191"/>
        <v>0</v>
      </c>
      <c r="BH234" s="42">
        <f t="shared" si="192"/>
        <v>0</v>
      </c>
      <c r="BI234" s="42">
        <f t="shared" si="181"/>
        <v>0</v>
      </c>
      <c r="BJ234" s="42">
        <f t="shared" si="193"/>
        <v>0</v>
      </c>
      <c r="BK234" s="42">
        <f t="shared" si="194"/>
        <v>25</v>
      </c>
      <c r="BL234" s="40">
        <f t="shared" si="179"/>
        <v>25</v>
      </c>
    </row>
    <row r="235" spans="1:64" ht="67.5" customHeight="1" x14ac:dyDescent="0.25">
      <c r="A235" s="298" t="s">
        <v>491</v>
      </c>
      <c r="B235" s="299"/>
      <c r="C235" s="1547"/>
      <c r="D235" s="1551"/>
      <c r="E235" s="1551"/>
      <c r="F235" s="1549"/>
      <c r="G235" s="1549"/>
      <c r="H235" s="1549"/>
      <c r="I235" s="1425"/>
      <c r="J235" s="1425"/>
      <c r="K235" s="1428" t="s">
        <v>727</v>
      </c>
      <c r="L235" s="301" t="s">
        <v>496</v>
      </c>
      <c r="M235" s="1425" t="s">
        <v>497</v>
      </c>
      <c r="N235" s="476"/>
      <c r="O235" s="1425" t="s">
        <v>47</v>
      </c>
      <c r="P235" s="16" t="s">
        <v>1108</v>
      </c>
      <c r="Q235" s="302" t="s">
        <v>729</v>
      </c>
      <c r="R235" s="303">
        <v>2015</v>
      </c>
      <c r="S235" s="303">
        <v>0</v>
      </c>
      <c r="T235" s="303">
        <v>0</v>
      </c>
      <c r="U235" s="303">
        <v>1</v>
      </c>
      <c r="V235" s="303">
        <v>0</v>
      </c>
      <c r="W235" s="303">
        <v>0</v>
      </c>
      <c r="X235" s="303">
        <v>1</v>
      </c>
      <c r="Y235" s="481"/>
      <c r="Z235" s="481"/>
      <c r="AA235" s="491"/>
      <c r="AB235" s="481"/>
      <c r="AC235" s="481"/>
      <c r="AD235" s="481"/>
      <c r="AE235" s="481"/>
      <c r="AF235" s="481">
        <f t="shared" si="184"/>
        <v>0</v>
      </c>
      <c r="AG235" s="548"/>
      <c r="AH235" s="548"/>
      <c r="AI235" s="491">
        <v>5</v>
      </c>
      <c r="AJ235" s="548"/>
      <c r="AK235" s="548"/>
      <c r="AL235" s="548"/>
      <c r="AM235" s="548">
        <f t="shared" si="185"/>
        <v>5</v>
      </c>
      <c r="AN235" s="481"/>
      <c r="AO235" s="481"/>
      <c r="AP235" s="491"/>
      <c r="AQ235" s="481"/>
      <c r="AR235" s="481"/>
      <c r="AS235" s="481"/>
      <c r="AT235" s="481"/>
      <c r="AU235" s="481">
        <f t="shared" si="186"/>
        <v>0</v>
      </c>
      <c r="AV235" s="548"/>
      <c r="AW235" s="548"/>
      <c r="AX235" s="548"/>
      <c r="AY235" s="548"/>
      <c r="AZ235" s="548"/>
      <c r="BA235" s="548"/>
      <c r="BB235" s="548"/>
      <c r="BC235" s="548">
        <f t="shared" si="187"/>
        <v>0</v>
      </c>
      <c r="BD235" s="42">
        <f t="shared" si="188"/>
        <v>0</v>
      </c>
      <c r="BE235" s="42">
        <f t="shared" si="189"/>
        <v>0</v>
      </c>
      <c r="BF235" s="42">
        <f t="shared" si="190"/>
        <v>5</v>
      </c>
      <c r="BG235" s="42">
        <f t="shared" si="191"/>
        <v>0</v>
      </c>
      <c r="BH235" s="42">
        <f t="shared" si="192"/>
        <v>0</v>
      </c>
      <c r="BI235" s="42">
        <f t="shared" si="181"/>
        <v>0</v>
      </c>
      <c r="BJ235" s="42">
        <f t="shared" si="193"/>
        <v>0</v>
      </c>
      <c r="BK235" s="42">
        <f t="shared" si="194"/>
        <v>5</v>
      </c>
      <c r="BL235" s="40">
        <f t="shared" si="179"/>
        <v>5</v>
      </c>
    </row>
    <row r="236" spans="1:64" ht="46.5" customHeight="1" x14ac:dyDescent="0.25">
      <c r="A236" s="298" t="s">
        <v>491</v>
      </c>
      <c r="B236" s="299" t="s">
        <v>489</v>
      </c>
      <c r="C236" s="1547"/>
      <c r="D236" s="1551"/>
      <c r="E236" s="1551"/>
      <c r="F236" s="1549"/>
      <c r="G236" s="1549"/>
      <c r="H236" s="1549"/>
      <c r="I236" s="1425"/>
      <c r="J236" s="1425"/>
      <c r="K236" s="1428" t="s">
        <v>730</v>
      </c>
      <c r="L236" s="301" t="s">
        <v>496</v>
      </c>
      <c r="M236" s="1425" t="s">
        <v>497</v>
      </c>
      <c r="N236" s="476" t="s">
        <v>2497</v>
      </c>
      <c r="O236" s="1425" t="s">
        <v>47</v>
      </c>
      <c r="P236" s="16" t="s">
        <v>731</v>
      </c>
      <c r="Q236" s="302" t="s">
        <v>732</v>
      </c>
      <c r="R236" s="303">
        <v>2015</v>
      </c>
      <c r="S236" s="303">
        <v>0</v>
      </c>
      <c r="T236" s="303">
        <v>0</v>
      </c>
      <c r="U236" s="303">
        <v>0</v>
      </c>
      <c r="V236" s="303">
        <v>1</v>
      </c>
      <c r="W236" s="303">
        <v>0</v>
      </c>
      <c r="X236" s="303">
        <v>1</v>
      </c>
      <c r="Y236" s="481"/>
      <c r="Z236" s="481"/>
      <c r="AA236" s="481"/>
      <c r="AB236" s="481"/>
      <c r="AC236" s="481"/>
      <c r="AD236" s="481"/>
      <c r="AE236" s="481"/>
      <c r="AF236" s="481">
        <f t="shared" si="184"/>
        <v>0</v>
      </c>
      <c r="AG236" s="548"/>
      <c r="AH236" s="548"/>
      <c r="AI236" s="548"/>
      <c r="AJ236" s="548"/>
      <c r="AK236" s="548"/>
      <c r="AL236" s="548"/>
      <c r="AM236" s="548">
        <f t="shared" si="185"/>
        <v>0</v>
      </c>
      <c r="AN236" s="481"/>
      <c r="AO236" s="481"/>
      <c r="AP236" s="491">
        <v>5</v>
      </c>
      <c r="AQ236" s="481"/>
      <c r="AR236" s="481"/>
      <c r="AS236" s="481"/>
      <c r="AT236" s="481"/>
      <c r="AU236" s="481">
        <f t="shared" si="186"/>
        <v>5</v>
      </c>
      <c r="AV236" s="548"/>
      <c r="AW236" s="548"/>
      <c r="AX236" s="548"/>
      <c r="AY236" s="548"/>
      <c r="AZ236" s="548"/>
      <c r="BA236" s="548"/>
      <c r="BB236" s="548"/>
      <c r="BC236" s="548">
        <f t="shared" si="187"/>
        <v>0</v>
      </c>
      <c r="BD236" s="42">
        <f t="shared" si="188"/>
        <v>0</v>
      </c>
      <c r="BE236" s="42">
        <f t="shared" si="189"/>
        <v>0</v>
      </c>
      <c r="BF236" s="42">
        <f t="shared" si="190"/>
        <v>5</v>
      </c>
      <c r="BG236" s="42">
        <f t="shared" si="191"/>
        <v>0</v>
      </c>
      <c r="BH236" s="42">
        <f t="shared" si="192"/>
        <v>0</v>
      </c>
      <c r="BI236" s="42">
        <f t="shared" si="181"/>
        <v>0</v>
      </c>
      <c r="BJ236" s="42">
        <f t="shared" si="193"/>
        <v>0</v>
      </c>
      <c r="BK236" s="42">
        <f t="shared" si="194"/>
        <v>5</v>
      </c>
      <c r="BL236" s="40">
        <f t="shared" si="179"/>
        <v>5</v>
      </c>
    </row>
    <row r="237" spans="1:64" ht="51" customHeight="1" x14ac:dyDescent="0.25">
      <c r="A237" s="298" t="s">
        <v>491</v>
      </c>
      <c r="B237" s="299" t="s">
        <v>489</v>
      </c>
      <c r="C237" s="1547"/>
      <c r="D237" s="1551"/>
      <c r="E237" s="1551"/>
      <c r="F237" s="1549"/>
      <c r="G237" s="1549"/>
      <c r="H237" s="1549"/>
      <c r="I237" s="1425"/>
      <c r="J237" s="1425"/>
      <c r="K237" s="1428" t="s">
        <v>733</v>
      </c>
      <c r="L237" s="301" t="s">
        <v>496</v>
      </c>
      <c r="M237" s="1425" t="s">
        <v>497</v>
      </c>
      <c r="N237" s="476" t="s">
        <v>2497</v>
      </c>
      <c r="O237" s="1425" t="s">
        <v>47</v>
      </c>
      <c r="P237" s="16" t="s">
        <v>734</v>
      </c>
      <c r="Q237" s="302" t="s">
        <v>735</v>
      </c>
      <c r="R237" s="303">
        <v>2015</v>
      </c>
      <c r="S237" s="303">
        <v>0</v>
      </c>
      <c r="T237" s="303">
        <v>0.5</v>
      </c>
      <c r="U237" s="303">
        <v>0.5</v>
      </c>
      <c r="V237" s="303">
        <v>0</v>
      </c>
      <c r="W237" s="303">
        <v>0</v>
      </c>
      <c r="X237" s="303">
        <v>1</v>
      </c>
      <c r="Y237" s="481"/>
      <c r="Z237" s="481"/>
      <c r="AA237" s="491">
        <v>5</v>
      </c>
      <c r="AB237" s="481"/>
      <c r="AC237" s="481"/>
      <c r="AD237" s="481"/>
      <c r="AE237" s="481"/>
      <c r="AF237" s="481">
        <f t="shared" si="184"/>
        <v>5</v>
      </c>
      <c r="AG237" s="548"/>
      <c r="AH237" s="548"/>
      <c r="AI237" s="548">
        <v>0.5</v>
      </c>
      <c r="AJ237" s="548"/>
      <c r="AK237" s="548"/>
      <c r="AL237" s="548"/>
      <c r="AM237" s="548">
        <f t="shared" si="185"/>
        <v>0.5</v>
      </c>
      <c r="AN237" s="481"/>
      <c r="AO237" s="481"/>
      <c r="AP237" s="481"/>
      <c r="AQ237" s="481"/>
      <c r="AR237" s="481"/>
      <c r="AS237" s="481"/>
      <c r="AT237" s="481"/>
      <c r="AU237" s="481">
        <f t="shared" si="186"/>
        <v>0</v>
      </c>
      <c r="AV237" s="548"/>
      <c r="AW237" s="548"/>
      <c r="AX237" s="491"/>
      <c r="AY237" s="548"/>
      <c r="AZ237" s="548"/>
      <c r="BA237" s="548"/>
      <c r="BB237" s="548"/>
      <c r="BC237" s="548">
        <f t="shared" si="187"/>
        <v>0</v>
      </c>
      <c r="BD237" s="42">
        <f>+AV237+AN237+AG237+Y237</f>
        <v>0</v>
      </c>
      <c r="BE237" s="42">
        <f>+AW237+AO237+AH237+Z237</f>
        <v>0</v>
      </c>
      <c r="BF237" s="42">
        <f>+AX237+AP237+AI237+AA237</f>
        <v>5.5</v>
      </c>
      <c r="BG237" s="42">
        <f>+AY237+AQ237+AJ237+AB237</f>
        <v>0</v>
      </c>
      <c r="BH237" s="42">
        <f>+AZ237+AR237+AK237+AC237</f>
        <v>0</v>
      </c>
      <c r="BI237" s="42">
        <f t="shared" si="181"/>
        <v>0</v>
      </c>
      <c r="BJ237" s="42">
        <f t="shared" ref="BJ237:BK239" si="197">+BB237+AT237+AL237+AE237</f>
        <v>0</v>
      </c>
      <c r="BK237" s="42">
        <f t="shared" si="197"/>
        <v>5.5</v>
      </c>
      <c r="BL237" s="40">
        <f t="shared" si="179"/>
        <v>5.5</v>
      </c>
    </row>
    <row r="238" spans="1:64" ht="45" customHeight="1" x14ac:dyDescent="0.25">
      <c r="A238" s="298" t="s">
        <v>491</v>
      </c>
      <c r="B238" s="299" t="s">
        <v>489</v>
      </c>
      <c r="C238" s="1547"/>
      <c r="D238" s="1551"/>
      <c r="E238" s="1551"/>
      <c r="F238" s="1549"/>
      <c r="G238" s="1549"/>
      <c r="H238" s="1549"/>
      <c r="I238" s="1425"/>
      <c r="J238" s="1425"/>
      <c r="K238" s="1428" t="s">
        <v>736</v>
      </c>
      <c r="L238" s="301" t="s">
        <v>496</v>
      </c>
      <c r="M238" s="1425" t="s">
        <v>497</v>
      </c>
      <c r="N238" s="476" t="s">
        <v>2497</v>
      </c>
      <c r="O238" s="1425" t="s">
        <v>73</v>
      </c>
      <c r="P238" s="71" t="s">
        <v>737</v>
      </c>
      <c r="Q238" s="302" t="s">
        <v>738</v>
      </c>
      <c r="R238" s="303">
        <v>2015</v>
      </c>
      <c r="S238" s="303">
        <v>1</v>
      </c>
      <c r="T238" s="303">
        <v>1</v>
      </c>
      <c r="U238" s="303">
        <v>1</v>
      </c>
      <c r="V238" s="303">
        <v>1</v>
      </c>
      <c r="W238" s="303">
        <v>1</v>
      </c>
      <c r="X238" s="303">
        <v>1</v>
      </c>
      <c r="Y238" s="481">
        <v>1</v>
      </c>
      <c r="Z238" s="481"/>
      <c r="AA238" s="481"/>
      <c r="AB238" s="481"/>
      <c r="AC238" s="481"/>
      <c r="AD238" s="481">
        <v>10</v>
      </c>
      <c r="AE238" s="481"/>
      <c r="AF238" s="481">
        <f t="shared" si="184"/>
        <v>11</v>
      </c>
      <c r="AG238" s="548">
        <v>1</v>
      </c>
      <c r="AH238" s="548"/>
      <c r="AI238" s="548"/>
      <c r="AJ238" s="548"/>
      <c r="AK238" s="548"/>
      <c r="AL238" s="548"/>
      <c r="AM238" s="548">
        <f t="shared" si="185"/>
        <v>1</v>
      </c>
      <c r="AN238" s="481">
        <v>1</v>
      </c>
      <c r="AO238" s="481"/>
      <c r="AP238" s="481"/>
      <c r="AQ238" s="481"/>
      <c r="AR238" s="481"/>
      <c r="AS238" s="481"/>
      <c r="AT238" s="481"/>
      <c r="AU238" s="481">
        <f t="shared" si="186"/>
        <v>1</v>
      </c>
      <c r="AV238" s="548">
        <v>1</v>
      </c>
      <c r="AW238" s="548"/>
      <c r="AX238" s="548"/>
      <c r="AY238" s="548"/>
      <c r="AZ238" s="548"/>
      <c r="BA238" s="548"/>
      <c r="BB238" s="548"/>
      <c r="BC238" s="548">
        <f t="shared" si="187"/>
        <v>1</v>
      </c>
      <c r="BD238" s="42">
        <f t="shared" ref="BD238:BH239" si="198">+AV238+AN238+AG238+Y238</f>
        <v>4</v>
      </c>
      <c r="BE238" s="42">
        <f t="shared" si="198"/>
        <v>0</v>
      </c>
      <c r="BF238" s="42">
        <f t="shared" si="198"/>
        <v>0</v>
      </c>
      <c r="BG238" s="42">
        <f t="shared" si="198"/>
        <v>0</v>
      </c>
      <c r="BH238" s="42">
        <f t="shared" si="198"/>
        <v>0</v>
      </c>
      <c r="BI238" s="42">
        <f t="shared" si="181"/>
        <v>10</v>
      </c>
      <c r="BJ238" s="42">
        <f t="shared" si="197"/>
        <v>0</v>
      </c>
      <c r="BK238" s="42">
        <f t="shared" si="197"/>
        <v>14</v>
      </c>
      <c r="BL238" s="40">
        <f t="shared" si="179"/>
        <v>14</v>
      </c>
    </row>
    <row r="239" spans="1:64" ht="35.25" customHeight="1" x14ac:dyDescent="0.25">
      <c r="A239" s="298" t="s">
        <v>491</v>
      </c>
      <c r="B239" s="299" t="s">
        <v>489</v>
      </c>
      <c r="C239" s="1548"/>
      <c r="D239" s="1551"/>
      <c r="E239" s="1551"/>
      <c r="F239" s="1549"/>
      <c r="G239" s="1549"/>
      <c r="H239" s="1549"/>
      <c r="I239" s="1425"/>
      <c r="J239" s="1425"/>
      <c r="K239" s="1428" t="s">
        <v>739</v>
      </c>
      <c r="L239" s="301" t="s">
        <v>740</v>
      </c>
      <c r="M239" s="1425" t="s">
        <v>497</v>
      </c>
      <c r="N239" s="476" t="s">
        <v>2497</v>
      </c>
      <c r="O239" s="1425" t="s">
        <v>73</v>
      </c>
      <c r="P239" s="71" t="s">
        <v>741</v>
      </c>
      <c r="Q239" s="302" t="s">
        <v>742</v>
      </c>
      <c r="R239" s="303">
        <v>2015</v>
      </c>
      <c r="S239" s="303">
        <v>1</v>
      </c>
      <c r="T239" s="303">
        <v>1</v>
      </c>
      <c r="U239" s="303">
        <v>1</v>
      </c>
      <c r="V239" s="303">
        <v>1</v>
      </c>
      <c r="W239" s="303">
        <v>1</v>
      </c>
      <c r="X239" s="303">
        <v>1</v>
      </c>
      <c r="Y239" s="481">
        <v>33</v>
      </c>
      <c r="Z239" s="481"/>
      <c r="AA239" s="481">
        <v>8</v>
      </c>
      <c r="AB239" s="481"/>
      <c r="AC239" s="481"/>
      <c r="AD239" s="481"/>
      <c r="AE239" s="481"/>
      <c r="AF239" s="481">
        <f t="shared" si="184"/>
        <v>41</v>
      </c>
      <c r="AG239" s="548">
        <v>33</v>
      </c>
      <c r="AH239" s="548"/>
      <c r="AI239" s="548">
        <v>7.5</v>
      </c>
      <c r="AJ239" s="548"/>
      <c r="AK239" s="548"/>
      <c r="AL239" s="548"/>
      <c r="AM239" s="548">
        <f t="shared" si="185"/>
        <v>40.5</v>
      </c>
      <c r="AN239" s="481">
        <v>33</v>
      </c>
      <c r="AO239" s="481"/>
      <c r="AP239" s="481">
        <v>8</v>
      </c>
      <c r="AQ239" s="481"/>
      <c r="AR239" s="481"/>
      <c r="AS239" s="481"/>
      <c r="AT239" s="481"/>
      <c r="AU239" s="481">
        <f t="shared" si="186"/>
        <v>41</v>
      </c>
      <c r="AV239" s="548">
        <v>33</v>
      </c>
      <c r="AW239" s="548"/>
      <c r="AX239" s="548">
        <v>8</v>
      </c>
      <c r="AY239" s="548"/>
      <c r="AZ239" s="548"/>
      <c r="BA239" s="548"/>
      <c r="BB239" s="548"/>
      <c r="BC239" s="548">
        <f t="shared" si="187"/>
        <v>41</v>
      </c>
      <c r="BD239" s="42">
        <f t="shared" si="198"/>
        <v>132</v>
      </c>
      <c r="BE239" s="42">
        <f t="shared" si="198"/>
        <v>0</v>
      </c>
      <c r="BF239" s="42">
        <f t="shared" si="198"/>
        <v>31.5</v>
      </c>
      <c r="BG239" s="42">
        <f t="shared" si="198"/>
        <v>0</v>
      </c>
      <c r="BH239" s="42">
        <f t="shared" si="198"/>
        <v>0</v>
      </c>
      <c r="BI239" s="42">
        <f t="shared" si="181"/>
        <v>0</v>
      </c>
      <c r="BJ239" s="42">
        <f t="shared" si="197"/>
        <v>0</v>
      </c>
      <c r="BK239" s="42">
        <f t="shared" si="197"/>
        <v>163.5</v>
      </c>
      <c r="BL239" s="40">
        <f t="shared" si="179"/>
        <v>163.5</v>
      </c>
    </row>
    <row r="240" spans="1:64" s="484" customFormat="1" ht="35.25" customHeight="1" x14ac:dyDescent="0.25">
      <c r="A240" s="1370" t="s">
        <v>491</v>
      </c>
      <c r="B240" s="1365" t="s">
        <v>489</v>
      </c>
      <c r="C240" s="1366"/>
      <c r="D240" s="1552"/>
      <c r="E240" s="1552"/>
      <c r="F240" s="67"/>
      <c r="G240" s="67"/>
      <c r="H240" s="67"/>
      <c r="I240" s="67"/>
      <c r="J240" s="67"/>
      <c r="K240" s="1371" t="s">
        <v>2503</v>
      </c>
      <c r="L240" s="1368" t="s">
        <v>740</v>
      </c>
      <c r="M240" s="67" t="s">
        <v>497</v>
      </c>
      <c r="N240" s="485" t="s">
        <v>2497</v>
      </c>
      <c r="O240" s="67" t="s">
        <v>73</v>
      </c>
      <c r="P240" s="908" t="s">
        <v>2504</v>
      </c>
      <c r="Q240" s="1364" t="s">
        <v>2505</v>
      </c>
      <c r="R240" s="67"/>
      <c r="S240" s="67"/>
      <c r="T240" s="67"/>
      <c r="U240" s="67"/>
      <c r="V240" s="67"/>
      <c r="W240" s="67"/>
      <c r="X240" s="67"/>
      <c r="Y240" s="1369"/>
      <c r="Z240" s="1369"/>
      <c r="AA240" s="1369"/>
      <c r="AB240" s="1369"/>
      <c r="AC240" s="1369"/>
      <c r="AD240" s="1369"/>
      <c r="AE240" s="1369"/>
      <c r="AF240" s="1369"/>
      <c r="AG240" s="1369"/>
      <c r="AH240" s="1369"/>
      <c r="AI240" s="1369"/>
      <c r="AJ240" s="1369"/>
      <c r="AK240" s="1369"/>
      <c r="AL240" s="1369"/>
      <c r="AM240" s="1369"/>
      <c r="AN240" s="1369"/>
      <c r="AO240" s="1369"/>
      <c r="AP240" s="1369"/>
      <c r="AQ240" s="1369"/>
      <c r="AR240" s="1369"/>
      <c r="AS240" s="1369"/>
      <c r="AT240" s="1369"/>
      <c r="AU240" s="1369"/>
      <c r="AV240" s="1369"/>
      <c r="AW240" s="1369"/>
      <c r="AX240" s="1369"/>
      <c r="AY240" s="1369"/>
      <c r="AZ240" s="1369"/>
      <c r="BA240" s="1369"/>
      <c r="BB240" s="1369"/>
      <c r="BC240" s="1369"/>
      <c r="BD240" s="1369"/>
      <c r="BE240" s="1369"/>
      <c r="BF240" s="1369"/>
      <c r="BG240" s="1369"/>
      <c r="BH240" s="1369"/>
      <c r="BI240" s="1369"/>
      <c r="BJ240" s="1369"/>
      <c r="BK240" s="1369"/>
      <c r="BL240" s="489"/>
    </row>
    <row r="241" spans="1:64" x14ac:dyDescent="0.25">
      <c r="A241" s="295" t="s">
        <v>491</v>
      </c>
      <c r="B241" s="14" t="s">
        <v>489</v>
      </c>
      <c r="C241" s="6"/>
      <c r="D241" s="2" t="s">
        <v>743</v>
      </c>
      <c r="E241" s="1"/>
      <c r="F241" s="1"/>
      <c r="G241" s="1"/>
      <c r="H241" s="1"/>
      <c r="I241" s="1"/>
      <c r="J241" s="1"/>
      <c r="K241" s="1"/>
      <c r="L241" s="1"/>
      <c r="M241" s="1"/>
      <c r="N241" s="1"/>
      <c r="O241" s="1"/>
      <c r="P241" s="22"/>
      <c r="Q241" s="22"/>
      <c r="R241" s="1"/>
      <c r="S241" s="1"/>
      <c r="T241" s="1"/>
      <c r="U241" s="1"/>
      <c r="V241" s="1"/>
      <c r="W241" s="1"/>
      <c r="X241" s="1"/>
      <c r="Y241" s="34">
        <f>SUM(Y242:Y258)</f>
        <v>31</v>
      </c>
      <c r="Z241" s="34">
        <f t="shared" ref="Z241:BK241" si="199">SUM(Z242:Z258)</f>
        <v>0</v>
      </c>
      <c r="AA241" s="34">
        <f t="shared" si="199"/>
        <v>16.399999999999999</v>
      </c>
      <c r="AB241" s="34">
        <f t="shared" si="199"/>
        <v>0</v>
      </c>
      <c r="AC241" s="34">
        <f t="shared" si="199"/>
        <v>0</v>
      </c>
      <c r="AD241" s="34">
        <f t="shared" si="199"/>
        <v>0</v>
      </c>
      <c r="AE241" s="34">
        <f t="shared" si="199"/>
        <v>0</v>
      </c>
      <c r="AF241" s="34">
        <f t="shared" si="199"/>
        <v>47.4</v>
      </c>
      <c r="AG241" s="34">
        <f t="shared" si="199"/>
        <v>24.2</v>
      </c>
      <c r="AH241" s="34">
        <f t="shared" si="199"/>
        <v>0</v>
      </c>
      <c r="AI241" s="34">
        <f t="shared" si="199"/>
        <v>24.83</v>
      </c>
      <c r="AJ241" s="34">
        <f t="shared" si="199"/>
        <v>0</v>
      </c>
      <c r="AK241" s="34">
        <f t="shared" si="199"/>
        <v>0</v>
      </c>
      <c r="AL241" s="34">
        <f t="shared" si="199"/>
        <v>0</v>
      </c>
      <c r="AM241" s="34">
        <f t="shared" si="199"/>
        <v>49.03</v>
      </c>
      <c r="AN241" s="34">
        <f t="shared" si="199"/>
        <v>25</v>
      </c>
      <c r="AO241" s="34">
        <f t="shared" si="199"/>
        <v>0</v>
      </c>
      <c r="AP241" s="34">
        <f t="shared" si="199"/>
        <v>25.7</v>
      </c>
      <c r="AQ241" s="34">
        <f t="shared" si="199"/>
        <v>0</v>
      </c>
      <c r="AR241" s="34">
        <f t="shared" si="199"/>
        <v>0</v>
      </c>
      <c r="AS241" s="34">
        <f t="shared" si="199"/>
        <v>0</v>
      </c>
      <c r="AT241" s="34">
        <f t="shared" si="199"/>
        <v>0</v>
      </c>
      <c r="AU241" s="34">
        <f t="shared" si="199"/>
        <v>50.7</v>
      </c>
      <c r="AV241" s="34">
        <f t="shared" si="199"/>
        <v>25</v>
      </c>
      <c r="AW241" s="34">
        <f t="shared" si="199"/>
        <v>0</v>
      </c>
      <c r="AX241" s="34">
        <f t="shared" si="199"/>
        <v>26.6</v>
      </c>
      <c r="AY241" s="34">
        <f t="shared" si="199"/>
        <v>0</v>
      </c>
      <c r="AZ241" s="34">
        <f t="shared" si="199"/>
        <v>0</v>
      </c>
      <c r="BA241" s="34">
        <f t="shared" si="199"/>
        <v>0</v>
      </c>
      <c r="BB241" s="34">
        <f t="shared" si="199"/>
        <v>0</v>
      </c>
      <c r="BC241" s="34">
        <f t="shared" si="199"/>
        <v>51.6</v>
      </c>
      <c r="BD241" s="34">
        <f t="shared" si="199"/>
        <v>105.2</v>
      </c>
      <c r="BE241" s="34">
        <f t="shared" si="199"/>
        <v>0</v>
      </c>
      <c r="BF241" s="34">
        <f t="shared" si="199"/>
        <v>83.33</v>
      </c>
      <c r="BG241" s="34">
        <f t="shared" si="199"/>
        <v>0</v>
      </c>
      <c r="BH241" s="34">
        <f t="shared" si="199"/>
        <v>0</v>
      </c>
      <c r="BI241" s="34">
        <f t="shared" si="181"/>
        <v>0</v>
      </c>
      <c r="BJ241" s="34">
        <f t="shared" si="199"/>
        <v>0</v>
      </c>
      <c r="BK241" s="34">
        <f t="shared" si="199"/>
        <v>188.52999999999997</v>
      </c>
      <c r="BL241" s="40">
        <f t="shared" si="179"/>
        <v>198.73</v>
      </c>
    </row>
    <row r="242" spans="1:64" ht="45" customHeight="1" x14ac:dyDescent="0.25">
      <c r="A242" s="298" t="s">
        <v>491</v>
      </c>
      <c r="B242" s="299" t="s">
        <v>489</v>
      </c>
      <c r="C242" s="1546" t="s">
        <v>745</v>
      </c>
      <c r="D242" s="1550" t="s">
        <v>746</v>
      </c>
      <c r="E242" s="1550" t="s">
        <v>747</v>
      </c>
      <c r="F242" s="1550">
        <v>2015</v>
      </c>
      <c r="G242" s="1550">
        <v>1</v>
      </c>
      <c r="H242" s="1550">
        <v>1</v>
      </c>
      <c r="I242" s="1425"/>
      <c r="J242" s="1425"/>
      <c r="K242" s="1425" t="s">
        <v>748</v>
      </c>
      <c r="L242" s="301" t="s">
        <v>496</v>
      </c>
      <c r="M242" s="1425" t="s">
        <v>497</v>
      </c>
      <c r="N242" s="476" t="s">
        <v>2497</v>
      </c>
      <c r="O242" s="1425" t="s">
        <v>47</v>
      </c>
      <c r="P242" s="16" t="s">
        <v>749</v>
      </c>
      <c r="Q242" s="302" t="s">
        <v>750</v>
      </c>
      <c r="R242" s="303">
        <v>2015</v>
      </c>
      <c r="S242" s="303">
        <v>4</v>
      </c>
      <c r="T242" s="303">
        <v>4</v>
      </c>
      <c r="U242" s="303">
        <v>4</v>
      </c>
      <c r="V242" s="303">
        <v>4</v>
      </c>
      <c r="W242" s="303">
        <v>4</v>
      </c>
      <c r="X242" s="303">
        <v>16</v>
      </c>
      <c r="Y242" s="579">
        <v>6.5</v>
      </c>
      <c r="Z242" s="579"/>
      <c r="AA242" s="579"/>
      <c r="AB242" s="579"/>
      <c r="AC242" s="579"/>
      <c r="AD242" s="579"/>
      <c r="AE242" s="579"/>
      <c r="AF242" s="481">
        <f t="shared" si="184"/>
        <v>6.5</v>
      </c>
      <c r="AG242" s="492">
        <v>2.5</v>
      </c>
      <c r="AH242" s="589"/>
      <c r="AI242" s="589"/>
      <c r="AJ242" s="589"/>
      <c r="AK242" s="589"/>
      <c r="AL242" s="589"/>
      <c r="AM242" s="548">
        <f t="shared" si="185"/>
        <v>2.5</v>
      </c>
      <c r="AN242" s="492">
        <v>4</v>
      </c>
      <c r="AO242" s="579"/>
      <c r="AP242" s="579"/>
      <c r="AQ242" s="579"/>
      <c r="AR242" s="579"/>
      <c r="AS242" s="579"/>
      <c r="AT242" s="579"/>
      <c r="AU242" s="481">
        <f t="shared" si="186"/>
        <v>4</v>
      </c>
      <c r="AV242" s="492">
        <v>4.5</v>
      </c>
      <c r="AW242" s="589"/>
      <c r="AX242" s="589"/>
      <c r="AY242" s="589"/>
      <c r="AZ242" s="589"/>
      <c r="BA242" s="589"/>
      <c r="BB242" s="589"/>
      <c r="BC242" s="548">
        <f t="shared" si="187"/>
        <v>4.5</v>
      </c>
      <c r="BD242" s="61">
        <f t="shared" ref="BD242:BH243" si="200">+AV242+AN242+AG242+Y242</f>
        <v>17.5</v>
      </c>
      <c r="BE242" s="61">
        <f t="shared" si="200"/>
        <v>0</v>
      </c>
      <c r="BF242" s="61">
        <f t="shared" si="200"/>
        <v>0</v>
      </c>
      <c r="BG242" s="61">
        <f t="shared" si="200"/>
        <v>0</v>
      </c>
      <c r="BH242" s="61">
        <f t="shared" si="200"/>
        <v>0</v>
      </c>
      <c r="BI242" s="61">
        <f t="shared" si="181"/>
        <v>0</v>
      </c>
      <c r="BJ242" s="61">
        <f t="shared" ref="BJ242:BK248" si="201">+BB242+AT242+AL242+AE242</f>
        <v>0</v>
      </c>
      <c r="BK242" s="42">
        <f t="shared" si="201"/>
        <v>17.5</v>
      </c>
      <c r="BL242" s="40">
        <f t="shared" si="179"/>
        <v>17.5</v>
      </c>
    </row>
    <row r="243" spans="1:64" ht="43.5" customHeight="1" x14ac:dyDescent="0.25">
      <c r="A243" s="298" t="s">
        <v>491</v>
      </c>
      <c r="B243" s="299" t="s">
        <v>489</v>
      </c>
      <c r="C243" s="1547"/>
      <c r="D243" s="1551"/>
      <c r="E243" s="1551"/>
      <c r="F243" s="1551"/>
      <c r="G243" s="1551"/>
      <c r="H243" s="1551"/>
      <c r="I243" s="1425"/>
      <c r="J243" s="1425"/>
      <c r="K243" s="1425" t="s">
        <v>751</v>
      </c>
      <c r="L243" s="301" t="s">
        <v>496</v>
      </c>
      <c r="M243" s="1425" t="s">
        <v>497</v>
      </c>
      <c r="N243" s="476" t="s">
        <v>2497</v>
      </c>
      <c r="O243" s="1425" t="s">
        <v>73</v>
      </c>
      <c r="P243" s="16" t="s">
        <v>752</v>
      </c>
      <c r="Q243" s="302" t="s">
        <v>753</v>
      </c>
      <c r="R243" s="303">
        <v>2015</v>
      </c>
      <c r="S243" s="303">
        <v>1</v>
      </c>
      <c r="T243" s="303">
        <v>1</v>
      </c>
      <c r="U243" s="303">
        <v>1</v>
      </c>
      <c r="V243" s="303">
        <v>1</v>
      </c>
      <c r="W243" s="303">
        <v>1</v>
      </c>
      <c r="X243" s="303">
        <v>1</v>
      </c>
      <c r="Y243" s="579"/>
      <c r="Z243" s="579"/>
      <c r="AA243" s="579">
        <v>11.6</v>
      </c>
      <c r="AB243" s="579"/>
      <c r="AC243" s="579"/>
      <c r="AD243" s="579"/>
      <c r="AE243" s="579"/>
      <c r="AF243" s="481">
        <f t="shared" si="184"/>
        <v>11.6</v>
      </c>
      <c r="AG243" s="492">
        <v>0.5</v>
      </c>
      <c r="AH243" s="589"/>
      <c r="AI243" s="589">
        <v>12</v>
      </c>
      <c r="AJ243" s="589"/>
      <c r="AK243" s="589"/>
      <c r="AL243" s="589"/>
      <c r="AM243" s="548">
        <f t="shared" si="185"/>
        <v>12.5</v>
      </c>
      <c r="AN243" s="579"/>
      <c r="AO243" s="579"/>
      <c r="AP243" s="579">
        <v>12.5</v>
      </c>
      <c r="AQ243" s="579"/>
      <c r="AR243" s="579"/>
      <c r="AS243" s="579"/>
      <c r="AT243" s="579"/>
      <c r="AU243" s="481">
        <f t="shared" si="186"/>
        <v>12.5</v>
      </c>
      <c r="AV243" s="589"/>
      <c r="AW243" s="589"/>
      <c r="AX243" s="589">
        <v>13</v>
      </c>
      <c r="AY243" s="589"/>
      <c r="AZ243" s="589"/>
      <c r="BA243" s="589"/>
      <c r="BB243" s="589"/>
      <c r="BC243" s="548">
        <f t="shared" si="187"/>
        <v>13</v>
      </c>
      <c r="BD243" s="61">
        <f t="shared" si="200"/>
        <v>0.5</v>
      </c>
      <c r="BE243" s="61">
        <f t="shared" si="200"/>
        <v>0</v>
      </c>
      <c r="BF243" s="61">
        <f t="shared" si="200"/>
        <v>49.1</v>
      </c>
      <c r="BG243" s="61">
        <f t="shared" si="200"/>
        <v>0</v>
      </c>
      <c r="BH243" s="61">
        <f t="shared" si="200"/>
        <v>0</v>
      </c>
      <c r="BI243" s="61">
        <f t="shared" si="181"/>
        <v>0</v>
      </c>
      <c r="BJ243" s="61">
        <f t="shared" si="201"/>
        <v>0</v>
      </c>
      <c r="BK243" s="42">
        <f t="shared" si="201"/>
        <v>49.6</v>
      </c>
      <c r="BL243" s="40">
        <f t="shared" si="179"/>
        <v>49.6</v>
      </c>
    </row>
    <row r="244" spans="1:64" ht="29.25" customHeight="1" x14ac:dyDescent="0.25">
      <c r="A244" s="298" t="s">
        <v>491</v>
      </c>
      <c r="B244" s="299" t="s">
        <v>489</v>
      </c>
      <c r="C244" s="1547"/>
      <c r="D244" s="1551"/>
      <c r="E244" s="1551"/>
      <c r="F244" s="1551"/>
      <c r="G244" s="1551"/>
      <c r="H244" s="1551"/>
      <c r="I244" s="1425"/>
      <c r="J244" s="1425"/>
      <c r="K244" s="1425" t="s">
        <v>754</v>
      </c>
      <c r="L244" s="301" t="s">
        <v>496</v>
      </c>
      <c r="M244" s="1425" t="s">
        <v>497</v>
      </c>
      <c r="N244" s="476" t="s">
        <v>2497</v>
      </c>
      <c r="O244" s="1425" t="s">
        <v>73</v>
      </c>
      <c r="P244" s="16" t="s">
        <v>755</v>
      </c>
      <c r="Q244" s="302" t="s">
        <v>756</v>
      </c>
      <c r="R244" s="303">
        <v>2015</v>
      </c>
      <c r="S244" s="303">
        <v>0</v>
      </c>
      <c r="T244" s="303">
        <v>2</v>
      </c>
      <c r="U244" s="303">
        <v>2</v>
      </c>
      <c r="V244" s="303">
        <v>2</v>
      </c>
      <c r="W244" s="303">
        <v>2</v>
      </c>
      <c r="X244" s="303">
        <v>2</v>
      </c>
      <c r="Y244" s="492">
        <v>8</v>
      </c>
      <c r="Z244" s="579"/>
      <c r="AA244" s="579"/>
      <c r="AB244" s="579"/>
      <c r="AC244" s="579"/>
      <c r="AD244" s="579"/>
      <c r="AE244" s="579"/>
      <c r="AF244" s="481">
        <f t="shared" si="184"/>
        <v>8</v>
      </c>
      <c r="AG244" s="492">
        <v>0.5</v>
      </c>
      <c r="AH244" s="589"/>
      <c r="AI244" s="589"/>
      <c r="AJ244" s="589"/>
      <c r="AK244" s="589"/>
      <c r="AL244" s="589"/>
      <c r="AM244" s="548">
        <f t="shared" si="185"/>
        <v>0.5</v>
      </c>
      <c r="AN244" s="492">
        <v>0.5</v>
      </c>
      <c r="AO244" s="579"/>
      <c r="AP244" s="579"/>
      <c r="AQ244" s="579"/>
      <c r="AR244" s="579"/>
      <c r="AS244" s="579"/>
      <c r="AT244" s="579"/>
      <c r="AU244" s="481">
        <f t="shared" si="186"/>
        <v>0.5</v>
      </c>
      <c r="AV244" s="492">
        <v>0.5</v>
      </c>
      <c r="AW244" s="589"/>
      <c r="AX244" s="589"/>
      <c r="AY244" s="589"/>
      <c r="AZ244" s="589"/>
      <c r="BA244" s="589"/>
      <c r="BB244" s="589"/>
      <c r="BC244" s="548">
        <f t="shared" si="187"/>
        <v>0.5</v>
      </c>
      <c r="BD244" s="61">
        <f t="shared" ref="BD244:BH248" si="202">+AV244+AN244+AG244+Y244</f>
        <v>9.5</v>
      </c>
      <c r="BE244" s="61">
        <f t="shared" si="202"/>
        <v>0</v>
      </c>
      <c r="BF244" s="61">
        <f t="shared" si="202"/>
        <v>0</v>
      </c>
      <c r="BG244" s="61">
        <f t="shared" si="202"/>
        <v>0</v>
      </c>
      <c r="BH244" s="61">
        <f t="shared" si="202"/>
        <v>0</v>
      </c>
      <c r="BI244" s="61">
        <f t="shared" si="181"/>
        <v>0</v>
      </c>
      <c r="BJ244" s="61">
        <f t="shared" si="201"/>
        <v>0</v>
      </c>
      <c r="BK244" s="42">
        <f t="shared" si="201"/>
        <v>9.5</v>
      </c>
      <c r="BL244" s="40">
        <f t="shared" si="179"/>
        <v>9.5</v>
      </c>
    </row>
    <row r="245" spans="1:64" ht="33" customHeight="1" x14ac:dyDescent="0.25">
      <c r="A245" s="298" t="s">
        <v>491</v>
      </c>
      <c r="B245" s="299" t="s">
        <v>489</v>
      </c>
      <c r="C245" s="1547"/>
      <c r="D245" s="1551"/>
      <c r="E245" s="1551"/>
      <c r="F245" s="1551"/>
      <c r="G245" s="1551"/>
      <c r="H245" s="1551"/>
      <c r="I245" s="1425"/>
      <c r="J245" s="1425"/>
      <c r="K245" s="1425" t="s">
        <v>757</v>
      </c>
      <c r="L245" s="301" t="s">
        <v>496</v>
      </c>
      <c r="M245" s="1425" t="s">
        <v>497</v>
      </c>
      <c r="N245" s="476" t="s">
        <v>2497</v>
      </c>
      <c r="O245" s="1425" t="s">
        <v>73</v>
      </c>
      <c r="P245" s="16" t="s">
        <v>758</v>
      </c>
      <c r="Q245" s="302" t="s">
        <v>759</v>
      </c>
      <c r="R245" s="303">
        <v>2015</v>
      </c>
      <c r="S245" s="303">
        <v>0</v>
      </c>
      <c r="T245" s="303">
        <v>2</v>
      </c>
      <c r="U245" s="303">
        <v>2</v>
      </c>
      <c r="V245" s="303">
        <v>2</v>
      </c>
      <c r="W245" s="303">
        <v>2</v>
      </c>
      <c r="X245" s="303">
        <v>2</v>
      </c>
      <c r="Y245" s="579"/>
      <c r="Z245" s="579"/>
      <c r="AA245" s="492">
        <v>2.8</v>
      </c>
      <c r="AB245" s="579"/>
      <c r="AC245" s="579"/>
      <c r="AD245" s="579"/>
      <c r="AE245" s="579"/>
      <c r="AF245" s="481">
        <f t="shared" si="184"/>
        <v>2.8</v>
      </c>
      <c r="AG245" s="492">
        <v>0.5</v>
      </c>
      <c r="AH245" s="589"/>
      <c r="AI245" s="589"/>
      <c r="AJ245" s="589"/>
      <c r="AK245" s="589"/>
      <c r="AL245" s="589"/>
      <c r="AM245" s="548">
        <f t="shared" si="185"/>
        <v>0.5</v>
      </c>
      <c r="AN245" s="492">
        <v>0.5</v>
      </c>
      <c r="AO245" s="579"/>
      <c r="AP245" s="579"/>
      <c r="AQ245" s="579"/>
      <c r="AR245" s="579"/>
      <c r="AS245" s="579"/>
      <c r="AT245" s="579"/>
      <c r="AU245" s="481">
        <f t="shared" si="186"/>
        <v>0.5</v>
      </c>
      <c r="AV245" s="492">
        <v>0.5</v>
      </c>
      <c r="AW245" s="589"/>
      <c r="AX245" s="589"/>
      <c r="AY245" s="589"/>
      <c r="AZ245" s="589"/>
      <c r="BA245" s="589"/>
      <c r="BB245" s="589"/>
      <c r="BC245" s="548">
        <f t="shared" si="187"/>
        <v>0.5</v>
      </c>
      <c r="BD245" s="61">
        <f t="shared" si="202"/>
        <v>1.5</v>
      </c>
      <c r="BE245" s="61">
        <f t="shared" si="202"/>
        <v>0</v>
      </c>
      <c r="BF245" s="61">
        <f t="shared" si="202"/>
        <v>2.8</v>
      </c>
      <c r="BG245" s="61">
        <f t="shared" si="202"/>
        <v>0</v>
      </c>
      <c r="BH245" s="61">
        <f t="shared" si="202"/>
        <v>0</v>
      </c>
      <c r="BI245" s="61">
        <f t="shared" si="181"/>
        <v>0</v>
      </c>
      <c r="BJ245" s="61">
        <f t="shared" si="201"/>
        <v>0</v>
      </c>
      <c r="BK245" s="42">
        <f t="shared" si="201"/>
        <v>4.3</v>
      </c>
      <c r="BL245" s="40">
        <f t="shared" si="179"/>
        <v>4.3</v>
      </c>
    </row>
    <row r="246" spans="1:64" ht="27.75" customHeight="1" x14ac:dyDescent="0.25">
      <c r="A246" s="298" t="s">
        <v>491</v>
      </c>
      <c r="B246" s="299" t="s">
        <v>489</v>
      </c>
      <c r="C246" s="1547"/>
      <c r="D246" s="1551"/>
      <c r="E246" s="1551"/>
      <c r="F246" s="1551"/>
      <c r="G246" s="1551"/>
      <c r="H246" s="1551"/>
      <c r="I246" s="1425"/>
      <c r="J246" s="1425"/>
      <c r="K246" s="1425" t="s">
        <v>760</v>
      </c>
      <c r="L246" s="301" t="s">
        <v>496</v>
      </c>
      <c r="M246" s="1425" t="s">
        <v>497</v>
      </c>
      <c r="N246" s="476" t="s">
        <v>2497</v>
      </c>
      <c r="O246" s="1425" t="s">
        <v>47</v>
      </c>
      <c r="P246" s="16" t="s">
        <v>761</v>
      </c>
      <c r="Q246" s="302" t="s">
        <v>762</v>
      </c>
      <c r="R246" s="303">
        <v>2015</v>
      </c>
      <c r="S246" s="303">
        <v>0</v>
      </c>
      <c r="T246" s="303">
        <v>0</v>
      </c>
      <c r="U246" s="303">
        <v>1</v>
      </c>
      <c r="V246" s="303">
        <v>1</v>
      </c>
      <c r="W246" s="303">
        <v>0</v>
      </c>
      <c r="X246" s="303">
        <v>2</v>
      </c>
      <c r="Y246" s="579"/>
      <c r="Z246" s="579"/>
      <c r="AA246" s="579"/>
      <c r="AB246" s="579"/>
      <c r="AC246" s="579"/>
      <c r="AD246" s="579"/>
      <c r="AE246" s="579"/>
      <c r="AF246" s="481">
        <f t="shared" si="184"/>
        <v>0</v>
      </c>
      <c r="AG246" s="492">
        <v>0.5</v>
      </c>
      <c r="AH246" s="589"/>
      <c r="AI246" s="589"/>
      <c r="AJ246" s="589"/>
      <c r="AK246" s="589"/>
      <c r="AL246" s="589"/>
      <c r="AM246" s="548">
        <f t="shared" si="185"/>
        <v>0.5</v>
      </c>
      <c r="AN246" s="492">
        <v>0.5</v>
      </c>
      <c r="AO246" s="579"/>
      <c r="AP246" s="579"/>
      <c r="AQ246" s="579"/>
      <c r="AR246" s="579"/>
      <c r="AS246" s="579"/>
      <c r="AT246" s="579"/>
      <c r="AU246" s="481">
        <f t="shared" si="186"/>
        <v>0.5</v>
      </c>
      <c r="AV246" s="589"/>
      <c r="AW246" s="589"/>
      <c r="AX246" s="589"/>
      <c r="AY246" s="589"/>
      <c r="AZ246" s="589"/>
      <c r="BA246" s="589"/>
      <c r="BB246" s="589"/>
      <c r="BC246" s="548">
        <f t="shared" si="187"/>
        <v>0</v>
      </c>
      <c r="BD246" s="61">
        <f t="shared" si="202"/>
        <v>1</v>
      </c>
      <c r="BE246" s="61">
        <f t="shared" si="202"/>
        <v>0</v>
      </c>
      <c r="BF246" s="61">
        <f t="shared" si="202"/>
        <v>0</v>
      </c>
      <c r="BG246" s="61">
        <f t="shared" si="202"/>
        <v>0</v>
      </c>
      <c r="BH246" s="61">
        <f t="shared" si="202"/>
        <v>0</v>
      </c>
      <c r="BI246" s="61">
        <f t="shared" si="181"/>
        <v>0</v>
      </c>
      <c r="BJ246" s="61">
        <f t="shared" si="201"/>
        <v>0</v>
      </c>
      <c r="BK246" s="42">
        <f t="shared" si="201"/>
        <v>1</v>
      </c>
      <c r="BL246" s="40">
        <f t="shared" si="179"/>
        <v>1</v>
      </c>
    </row>
    <row r="247" spans="1:64" ht="36.75" customHeight="1" x14ac:dyDescent="0.25">
      <c r="A247" s="298" t="s">
        <v>491</v>
      </c>
      <c r="B247" s="299" t="s">
        <v>489</v>
      </c>
      <c r="C247" s="1547"/>
      <c r="D247" s="1551"/>
      <c r="E247" s="1551"/>
      <c r="F247" s="1551"/>
      <c r="G247" s="1551"/>
      <c r="H247" s="1551"/>
      <c r="I247" s="1425"/>
      <c r="J247" s="1425"/>
      <c r="K247" s="1425" t="s">
        <v>763</v>
      </c>
      <c r="L247" s="301" t="s">
        <v>496</v>
      </c>
      <c r="M247" s="1425" t="s">
        <v>497</v>
      </c>
      <c r="N247" s="476" t="s">
        <v>2497</v>
      </c>
      <c r="O247" s="1425" t="s">
        <v>47</v>
      </c>
      <c r="P247" s="16" t="s">
        <v>764</v>
      </c>
      <c r="Q247" s="302" t="s">
        <v>765</v>
      </c>
      <c r="R247" s="303">
        <v>2015</v>
      </c>
      <c r="S247" s="303">
        <v>0</v>
      </c>
      <c r="T247" s="303">
        <v>0</v>
      </c>
      <c r="U247" s="303">
        <v>1</v>
      </c>
      <c r="V247" s="303">
        <v>1</v>
      </c>
      <c r="W247" s="303">
        <v>1</v>
      </c>
      <c r="X247" s="303">
        <v>3</v>
      </c>
      <c r="Y247" s="579"/>
      <c r="Z247" s="579"/>
      <c r="AA247" s="579"/>
      <c r="AB247" s="579"/>
      <c r="AC247" s="579"/>
      <c r="AD247" s="579"/>
      <c r="AE247" s="579"/>
      <c r="AF247" s="481">
        <f t="shared" si="184"/>
        <v>0</v>
      </c>
      <c r="AG247" s="492">
        <v>0.5</v>
      </c>
      <c r="AH247" s="589"/>
      <c r="AI247" s="589"/>
      <c r="AJ247" s="589"/>
      <c r="AK247" s="589"/>
      <c r="AL247" s="589"/>
      <c r="AM247" s="548">
        <f t="shared" si="185"/>
        <v>0.5</v>
      </c>
      <c r="AN247" s="492">
        <v>0.5</v>
      </c>
      <c r="AO247" s="579"/>
      <c r="AP247" s="579"/>
      <c r="AQ247" s="579"/>
      <c r="AR247" s="579"/>
      <c r="AS247" s="579"/>
      <c r="AT247" s="579"/>
      <c r="AU247" s="481">
        <f t="shared" si="186"/>
        <v>0.5</v>
      </c>
      <c r="AV247" s="492">
        <v>0.5</v>
      </c>
      <c r="AW247" s="589"/>
      <c r="AX247" s="589"/>
      <c r="AY247" s="589"/>
      <c r="AZ247" s="589"/>
      <c r="BA247" s="589"/>
      <c r="BB247" s="589"/>
      <c r="BC247" s="548">
        <f t="shared" si="187"/>
        <v>0.5</v>
      </c>
      <c r="BD247" s="61">
        <f t="shared" si="202"/>
        <v>1.5</v>
      </c>
      <c r="BE247" s="61">
        <f t="shared" si="202"/>
        <v>0</v>
      </c>
      <c r="BF247" s="61">
        <f t="shared" si="202"/>
        <v>0</v>
      </c>
      <c r="BG247" s="61">
        <f t="shared" si="202"/>
        <v>0</v>
      </c>
      <c r="BH247" s="61">
        <f t="shared" si="202"/>
        <v>0</v>
      </c>
      <c r="BI247" s="61">
        <f t="shared" si="181"/>
        <v>0</v>
      </c>
      <c r="BJ247" s="61">
        <f t="shared" si="201"/>
        <v>0</v>
      </c>
      <c r="BK247" s="42">
        <f t="shared" si="201"/>
        <v>1.5</v>
      </c>
      <c r="BL247" s="40">
        <f t="shared" si="179"/>
        <v>1.5</v>
      </c>
    </row>
    <row r="248" spans="1:64" ht="39" customHeight="1" x14ac:dyDescent="0.25">
      <c r="A248" s="298" t="s">
        <v>491</v>
      </c>
      <c r="B248" s="299" t="s">
        <v>489</v>
      </c>
      <c r="C248" s="1547"/>
      <c r="D248" s="1551"/>
      <c r="E248" s="1551"/>
      <c r="F248" s="1551"/>
      <c r="G248" s="1551"/>
      <c r="H248" s="1551"/>
      <c r="I248" s="1425"/>
      <c r="J248" s="1425"/>
      <c r="K248" s="1425" t="s">
        <v>766</v>
      </c>
      <c r="L248" s="301" t="s">
        <v>496</v>
      </c>
      <c r="M248" s="1425" t="s">
        <v>497</v>
      </c>
      <c r="N248" s="476" t="s">
        <v>2497</v>
      </c>
      <c r="O248" s="1425" t="s">
        <v>47</v>
      </c>
      <c r="P248" s="16" t="s">
        <v>767</v>
      </c>
      <c r="Q248" s="302" t="s">
        <v>768</v>
      </c>
      <c r="R248" s="303">
        <v>2015</v>
      </c>
      <c r="S248" s="303">
        <v>0</v>
      </c>
      <c r="T248" s="303">
        <v>0</v>
      </c>
      <c r="U248" s="303">
        <v>1</v>
      </c>
      <c r="V248" s="303">
        <v>1</v>
      </c>
      <c r="W248" s="303">
        <v>1</v>
      </c>
      <c r="X248" s="303">
        <v>3</v>
      </c>
      <c r="Y248" s="492"/>
      <c r="Z248" s="579"/>
      <c r="AA248" s="492"/>
      <c r="AB248" s="579"/>
      <c r="AC248" s="579"/>
      <c r="AD248" s="579"/>
      <c r="AE248" s="579"/>
      <c r="AF248" s="481">
        <f t="shared" si="184"/>
        <v>0</v>
      </c>
      <c r="AG248" s="589">
        <v>8.6999999999999993</v>
      </c>
      <c r="AH248" s="589"/>
      <c r="AI248" s="589">
        <v>7.63</v>
      </c>
      <c r="AJ248" s="589"/>
      <c r="AK248" s="589"/>
      <c r="AL248" s="589"/>
      <c r="AM248" s="548">
        <f t="shared" si="185"/>
        <v>16.329999999999998</v>
      </c>
      <c r="AN248" s="579">
        <v>9</v>
      </c>
      <c r="AO248" s="579"/>
      <c r="AP248" s="579">
        <v>7.7</v>
      </c>
      <c r="AQ248" s="579"/>
      <c r="AR248" s="579"/>
      <c r="AS248" s="579"/>
      <c r="AT248" s="579"/>
      <c r="AU248" s="481">
        <f t="shared" si="186"/>
        <v>16.7</v>
      </c>
      <c r="AV248" s="589">
        <v>9</v>
      </c>
      <c r="AW248" s="589"/>
      <c r="AX248" s="589">
        <v>8.1</v>
      </c>
      <c r="AY248" s="589"/>
      <c r="AZ248" s="589"/>
      <c r="BA248" s="589"/>
      <c r="BB248" s="589"/>
      <c r="BC248" s="548">
        <f t="shared" si="187"/>
        <v>17.100000000000001</v>
      </c>
      <c r="BD248" s="61">
        <f t="shared" si="202"/>
        <v>26.7</v>
      </c>
      <c r="BE248" s="61">
        <f t="shared" si="202"/>
        <v>0</v>
      </c>
      <c r="BF248" s="61">
        <f t="shared" si="202"/>
        <v>23.43</v>
      </c>
      <c r="BG248" s="61">
        <f t="shared" si="202"/>
        <v>0</v>
      </c>
      <c r="BH248" s="61">
        <f t="shared" si="202"/>
        <v>0</v>
      </c>
      <c r="BI248" s="61">
        <f t="shared" si="181"/>
        <v>0</v>
      </c>
      <c r="BJ248" s="61">
        <f t="shared" si="201"/>
        <v>0</v>
      </c>
      <c r="BK248" s="42">
        <f t="shared" si="201"/>
        <v>50.129999999999995</v>
      </c>
      <c r="BL248" s="40">
        <f t="shared" si="179"/>
        <v>50.13</v>
      </c>
    </row>
    <row r="249" spans="1:64" ht="51.75" customHeight="1" x14ac:dyDescent="0.25">
      <c r="A249" s="298" t="s">
        <v>491</v>
      </c>
      <c r="B249" s="299" t="s">
        <v>489</v>
      </c>
      <c r="C249" s="1547"/>
      <c r="D249" s="1551"/>
      <c r="E249" s="1551"/>
      <c r="F249" s="1551"/>
      <c r="G249" s="1551"/>
      <c r="H249" s="1551"/>
      <c r="I249" s="1425"/>
      <c r="J249" s="1425"/>
      <c r="K249" s="1425" t="s">
        <v>769</v>
      </c>
      <c r="L249" s="301" t="s">
        <v>496</v>
      </c>
      <c r="M249" s="1425" t="s">
        <v>497</v>
      </c>
      <c r="N249" s="476" t="s">
        <v>2497</v>
      </c>
      <c r="O249" s="1425" t="s">
        <v>47</v>
      </c>
      <c r="P249" s="16" t="s">
        <v>770</v>
      </c>
      <c r="Q249" s="302" t="s">
        <v>771</v>
      </c>
      <c r="R249" s="303">
        <v>2015</v>
      </c>
      <c r="S249" s="303">
        <v>0</v>
      </c>
      <c r="T249" s="303">
        <v>0</v>
      </c>
      <c r="U249" s="303">
        <v>1</v>
      </c>
      <c r="V249" s="303">
        <v>1</v>
      </c>
      <c r="W249" s="303">
        <v>1</v>
      </c>
      <c r="X249" s="303">
        <v>3</v>
      </c>
      <c r="Y249" s="579"/>
      <c r="Z249" s="579"/>
      <c r="AA249" s="579"/>
      <c r="AB249" s="579"/>
      <c r="AC249" s="579"/>
      <c r="AD249" s="579"/>
      <c r="AE249" s="579"/>
      <c r="AF249" s="481">
        <f t="shared" si="184"/>
        <v>0</v>
      </c>
      <c r="AG249" s="589"/>
      <c r="AH249" s="589"/>
      <c r="AI249" s="589">
        <v>3.2</v>
      </c>
      <c r="AJ249" s="589"/>
      <c r="AK249" s="589"/>
      <c r="AL249" s="589"/>
      <c r="AM249" s="548">
        <f t="shared" si="185"/>
        <v>3.2</v>
      </c>
      <c r="AN249" s="579"/>
      <c r="AO249" s="579"/>
      <c r="AP249" s="579">
        <v>3.5</v>
      </c>
      <c r="AQ249" s="579"/>
      <c r="AR249" s="579"/>
      <c r="AS249" s="579"/>
      <c r="AT249" s="579"/>
      <c r="AU249" s="481">
        <f t="shared" si="186"/>
        <v>3.5</v>
      </c>
      <c r="AV249" s="589"/>
      <c r="AW249" s="589"/>
      <c r="AX249" s="589">
        <v>3.5</v>
      </c>
      <c r="AY249" s="589"/>
      <c r="AZ249" s="589"/>
      <c r="BA249" s="589"/>
      <c r="BB249" s="589"/>
      <c r="BC249" s="548">
        <f t="shared" si="187"/>
        <v>3.5</v>
      </c>
      <c r="BD249" s="61"/>
      <c r="BE249" s="61"/>
      <c r="BF249" s="61"/>
      <c r="BG249" s="61"/>
      <c r="BH249" s="61"/>
      <c r="BI249" s="61">
        <f t="shared" si="181"/>
        <v>0</v>
      </c>
      <c r="BJ249" s="61"/>
      <c r="BK249" s="42"/>
      <c r="BL249" s="40">
        <f t="shared" si="179"/>
        <v>10.199999999999999</v>
      </c>
    </row>
    <row r="250" spans="1:64" ht="44.25" customHeight="1" x14ac:dyDescent="0.25">
      <c r="A250" s="298" t="s">
        <v>491</v>
      </c>
      <c r="B250" s="299" t="s">
        <v>489</v>
      </c>
      <c r="C250" s="1547"/>
      <c r="D250" s="1551"/>
      <c r="E250" s="1551"/>
      <c r="F250" s="1551"/>
      <c r="G250" s="1551"/>
      <c r="H250" s="1551"/>
      <c r="I250" s="1425"/>
      <c r="J250" s="1425"/>
      <c r="K250" s="1425" t="s">
        <v>772</v>
      </c>
      <c r="L250" s="301" t="s">
        <v>496</v>
      </c>
      <c r="M250" s="1425" t="s">
        <v>497</v>
      </c>
      <c r="N250" s="476" t="s">
        <v>2497</v>
      </c>
      <c r="O250" s="1425" t="s">
        <v>47</v>
      </c>
      <c r="P250" s="16" t="s">
        <v>773</v>
      </c>
      <c r="Q250" s="302" t="s">
        <v>699</v>
      </c>
      <c r="R250" s="303">
        <v>2015</v>
      </c>
      <c r="S250" s="303">
        <v>0</v>
      </c>
      <c r="T250" s="303">
        <v>0</v>
      </c>
      <c r="U250" s="303">
        <v>1</v>
      </c>
      <c r="V250" s="303">
        <v>0</v>
      </c>
      <c r="W250" s="303">
        <v>0</v>
      </c>
      <c r="X250" s="303">
        <v>1</v>
      </c>
      <c r="Y250" s="579"/>
      <c r="Z250" s="579"/>
      <c r="AA250" s="579"/>
      <c r="AB250" s="579"/>
      <c r="AC250" s="579"/>
      <c r="AD250" s="579"/>
      <c r="AE250" s="579"/>
      <c r="AF250" s="481">
        <f t="shared" si="184"/>
        <v>0</v>
      </c>
      <c r="AG250" s="492">
        <v>0.5</v>
      </c>
      <c r="AH250" s="589"/>
      <c r="AI250" s="589"/>
      <c r="AJ250" s="589"/>
      <c r="AK250" s="589"/>
      <c r="AL250" s="589"/>
      <c r="AM250" s="548">
        <f t="shared" si="185"/>
        <v>0.5</v>
      </c>
      <c r="AN250" s="579"/>
      <c r="AO250" s="579"/>
      <c r="AP250" s="579"/>
      <c r="AQ250" s="579"/>
      <c r="AR250" s="579"/>
      <c r="AS250" s="579"/>
      <c r="AT250" s="579"/>
      <c r="AU250" s="481">
        <f t="shared" si="186"/>
        <v>0</v>
      </c>
      <c r="AV250" s="589"/>
      <c r="AW250" s="589"/>
      <c r="AX250" s="589"/>
      <c r="AY250" s="589"/>
      <c r="AZ250" s="589"/>
      <c r="BA250" s="589"/>
      <c r="BB250" s="589"/>
      <c r="BC250" s="548">
        <f t="shared" si="187"/>
        <v>0</v>
      </c>
      <c r="BD250" s="61">
        <f t="shared" ref="BD250:BD274" si="203">+AV250+AN250+AG250+Y250</f>
        <v>0.5</v>
      </c>
      <c r="BE250" s="61">
        <f t="shared" ref="BE250:BE274" si="204">+AW250+AO250+AH250+Z250</f>
        <v>0</v>
      </c>
      <c r="BF250" s="61">
        <f t="shared" ref="BF250:BF274" si="205">+AX250+AP250+AI250+AA250</f>
        <v>0</v>
      </c>
      <c r="BG250" s="61">
        <f t="shared" ref="BG250:BG274" si="206">+AY250+AQ250+AJ250+AB250</f>
        <v>0</v>
      </c>
      <c r="BH250" s="61">
        <f t="shared" ref="BH250:BH274" si="207">+AZ250+AR250+AK250+AC250</f>
        <v>0</v>
      </c>
      <c r="BI250" s="61">
        <f t="shared" si="181"/>
        <v>0</v>
      </c>
      <c r="BJ250" s="61">
        <f t="shared" ref="BJ250:BJ274" si="208">+BB250+AT250+AL250+AE250</f>
        <v>0</v>
      </c>
      <c r="BK250" s="42">
        <f t="shared" ref="BK250:BK274" si="209">+BC250+AU250+AM250+AF250</f>
        <v>0.5</v>
      </c>
      <c r="BL250" s="40">
        <f t="shared" si="179"/>
        <v>0.5</v>
      </c>
    </row>
    <row r="251" spans="1:64" ht="42.75" customHeight="1" x14ac:dyDescent="0.25">
      <c r="A251" s="298" t="s">
        <v>491</v>
      </c>
      <c r="B251" s="299" t="s">
        <v>489</v>
      </c>
      <c r="C251" s="1547"/>
      <c r="D251" s="1551"/>
      <c r="E251" s="1551"/>
      <c r="F251" s="1551"/>
      <c r="G251" s="1551"/>
      <c r="H251" s="1551"/>
      <c r="I251" s="1425"/>
      <c r="J251" s="1425"/>
      <c r="K251" s="1425" t="s">
        <v>774</v>
      </c>
      <c r="L251" s="301" t="s">
        <v>496</v>
      </c>
      <c r="M251" s="1425" t="s">
        <v>497</v>
      </c>
      <c r="N251" s="476" t="s">
        <v>2497</v>
      </c>
      <c r="O251" s="1425" t="s">
        <v>47</v>
      </c>
      <c r="P251" s="16" t="s">
        <v>775</v>
      </c>
      <c r="Q251" s="302" t="s">
        <v>776</v>
      </c>
      <c r="R251" s="303">
        <v>2015</v>
      </c>
      <c r="S251" s="303">
        <v>1</v>
      </c>
      <c r="T251" s="303">
        <v>1</v>
      </c>
      <c r="U251" s="303">
        <v>1</v>
      </c>
      <c r="V251" s="303">
        <v>1</v>
      </c>
      <c r="W251" s="303">
        <v>1</v>
      </c>
      <c r="X251" s="303">
        <v>4</v>
      </c>
      <c r="Y251" s="579">
        <v>1.5</v>
      </c>
      <c r="Z251" s="579"/>
      <c r="AA251" s="579"/>
      <c r="AB251" s="579"/>
      <c r="AC251" s="579"/>
      <c r="AD251" s="579"/>
      <c r="AE251" s="579"/>
      <c r="AF251" s="481">
        <f t="shared" si="184"/>
        <v>1.5</v>
      </c>
      <c r="AG251" s="589">
        <v>1.5</v>
      </c>
      <c r="AH251" s="589"/>
      <c r="AI251" s="589"/>
      <c r="AJ251" s="589"/>
      <c r="AK251" s="589"/>
      <c r="AL251" s="589"/>
      <c r="AM251" s="548">
        <f t="shared" si="185"/>
        <v>1.5</v>
      </c>
      <c r="AN251" s="579">
        <v>1.5</v>
      </c>
      <c r="AO251" s="579"/>
      <c r="AP251" s="579"/>
      <c r="AQ251" s="579"/>
      <c r="AR251" s="579"/>
      <c r="AS251" s="579"/>
      <c r="AT251" s="579"/>
      <c r="AU251" s="481">
        <f t="shared" si="186"/>
        <v>1.5</v>
      </c>
      <c r="AV251" s="589">
        <v>1.5</v>
      </c>
      <c r="AW251" s="589"/>
      <c r="AX251" s="589"/>
      <c r="AY251" s="589"/>
      <c r="AZ251" s="589"/>
      <c r="BA251" s="589"/>
      <c r="BB251" s="589"/>
      <c r="BC251" s="548">
        <f t="shared" si="187"/>
        <v>1.5</v>
      </c>
      <c r="BD251" s="61">
        <f t="shared" si="203"/>
        <v>6</v>
      </c>
      <c r="BE251" s="61">
        <f t="shared" si="204"/>
        <v>0</v>
      </c>
      <c r="BF251" s="61">
        <f t="shared" si="205"/>
        <v>0</v>
      </c>
      <c r="BG251" s="61">
        <f t="shared" si="206"/>
        <v>0</v>
      </c>
      <c r="BH251" s="61">
        <f t="shared" si="207"/>
        <v>0</v>
      </c>
      <c r="BI251" s="61">
        <f t="shared" si="181"/>
        <v>0</v>
      </c>
      <c r="BJ251" s="61">
        <f t="shared" si="208"/>
        <v>0</v>
      </c>
      <c r="BK251" s="42">
        <f t="shared" si="209"/>
        <v>6</v>
      </c>
      <c r="BL251" s="40">
        <f t="shared" si="179"/>
        <v>6</v>
      </c>
    </row>
    <row r="252" spans="1:64" ht="60.75" customHeight="1" x14ac:dyDescent="0.25">
      <c r="A252" s="298" t="s">
        <v>491</v>
      </c>
      <c r="B252" s="299" t="s">
        <v>489</v>
      </c>
      <c r="C252" s="1547"/>
      <c r="D252" s="1551"/>
      <c r="E252" s="1551"/>
      <c r="F252" s="1551"/>
      <c r="G252" s="1551"/>
      <c r="H252" s="1551"/>
      <c r="I252" s="1425"/>
      <c r="J252" s="1425"/>
      <c r="K252" s="1425" t="s">
        <v>777</v>
      </c>
      <c r="L252" s="301" t="s">
        <v>496</v>
      </c>
      <c r="M252" s="1425" t="s">
        <v>497</v>
      </c>
      <c r="N252" s="476" t="s">
        <v>2497</v>
      </c>
      <c r="O252" s="1425" t="s">
        <v>73</v>
      </c>
      <c r="P252" s="16" t="s">
        <v>778</v>
      </c>
      <c r="Q252" s="302" t="s">
        <v>779</v>
      </c>
      <c r="R252" s="303">
        <v>2015</v>
      </c>
      <c r="S252" s="303">
        <v>0</v>
      </c>
      <c r="T252" s="303">
        <v>1</v>
      </c>
      <c r="U252" s="303">
        <v>1</v>
      </c>
      <c r="V252" s="303">
        <v>1</v>
      </c>
      <c r="W252" s="303">
        <v>1</v>
      </c>
      <c r="X252" s="303">
        <v>1</v>
      </c>
      <c r="Y252" s="492">
        <v>2.63</v>
      </c>
      <c r="Z252" s="579"/>
      <c r="AA252" s="579"/>
      <c r="AB252" s="579"/>
      <c r="AC252" s="579"/>
      <c r="AD252" s="579"/>
      <c r="AE252" s="579"/>
      <c r="AF252" s="481">
        <f t="shared" si="184"/>
        <v>2.63</v>
      </c>
      <c r="AG252" s="492">
        <v>0.5</v>
      </c>
      <c r="AH252" s="589"/>
      <c r="AI252" s="589"/>
      <c r="AJ252" s="589"/>
      <c r="AK252" s="589"/>
      <c r="AL252" s="589"/>
      <c r="AM252" s="548">
        <f t="shared" si="185"/>
        <v>0.5</v>
      </c>
      <c r="AN252" s="492">
        <v>0.5</v>
      </c>
      <c r="AO252" s="579"/>
      <c r="AP252" s="579"/>
      <c r="AQ252" s="579"/>
      <c r="AR252" s="579"/>
      <c r="AS252" s="579"/>
      <c r="AT252" s="579"/>
      <c r="AU252" s="481">
        <f t="shared" si="186"/>
        <v>0.5</v>
      </c>
      <c r="AV252" s="492">
        <v>0.5</v>
      </c>
      <c r="AW252" s="589"/>
      <c r="AX252" s="589"/>
      <c r="AY252" s="589"/>
      <c r="AZ252" s="589"/>
      <c r="BA252" s="589"/>
      <c r="BB252" s="589"/>
      <c r="BC252" s="548">
        <f t="shared" si="187"/>
        <v>0.5</v>
      </c>
      <c r="BD252" s="61">
        <f t="shared" si="203"/>
        <v>4.13</v>
      </c>
      <c r="BE252" s="61">
        <f t="shared" si="204"/>
        <v>0</v>
      </c>
      <c r="BF252" s="61">
        <f t="shared" si="205"/>
        <v>0</v>
      </c>
      <c r="BG252" s="61">
        <f t="shared" si="206"/>
        <v>0</v>
      </c>
      <c r="BH252" s="61">
        <f t="shared" si="207"/>
        <v>0</v>
      </c>
      <c r="BI252" s="61">
        <f t="shared" si="181"/>
        <v>0</v>
      </c>
      <c r="BJ252" s="61">
        <f t="shared" si="208"/>
        <v>0</v>
      </c>
      <c r="BK252" s="42">
        <f t="shared" si="209"/>
        <v>4.13</v>
      </c>
      <c r="BL252" s="40">
        <f t="shared" si="179"/>
        <v>4.13</v>
      </c>
    </row>
    <row r="253" spans="1:64" ht="42" customHeight="1" x14ac:dyDescent="0.25">
      <c r="A253" s="298" t="s">
        <v>491</v>
      </c>
      <c r="B253" s="299" t="s">
        <v>489</v>
      </c>
      <c r="C253" s="1547"/>
      <c r="D253" s="1551"/>
      <c r="E253" s="1551"/>
      <c r="F253" s="1551"/>
      <c r="G253" s="1551"/>
      <c r="H253" s="1551"/>
      <c r="I253" s="1425"/>
      <c r="J253" s="1425"/>
      <c r="K253" s="1425" t="s">
        <v>780</v>
      </c>
      <c r="L253" s="301" t="s">
        <v>496</v>
      </c>
      <c r="M253" s="1425" t="s">
        <v>497</v>
      </c>
      <c r="N253" s="476" t="s">
        <v>2497</v>
      </c>
      <c r="O253" s="1425" t="s">
        <v>73</v>
      </c>
      <c r="P253" s="16" t="s">
        <v>781</v>
      </c>
      <c r="Q253" s="302" t="s">
        <v>782</v>
      </c>
      <c r="R253" s="303">
        <v>2015</v>
      </c>
      <c r="S253" s="303">
        <v>1</v>
      </c>
      <c r="T253" s="303">
        <v>1</v>
      </c>
      <c r="U253" s="303">
        <v>1</v>
      </c>
      <c r="V253" s="303">
        <v>1</v>
      </c>
      <c r="W253" s="303">
        <v>1</v>
      </c>
      <c r="X253" s="303">
        <v>1</v>
      </c>
      <c r="Y253" s="579">
        <v>1.37</v>
      </c>
      <c r="Z253" s="579"/>
      <c r="AA253" s="579"/>
      <c r="AB253" s="579"/>
      <c r="AC253" s="579"/>
      <c r="AD253" s="579"/>
      <c r="AE253" s="579"/>
      <c r="AF253" s="481">
        <f t="shared" si="184"/>
        <v>1.37</v>
      </c>
      <c r="AG253" s="492">
        <v>1</v>
      </c>
      <c r="AH253" s="589"/>
      <c r="AI253" s="589"/>
      <c r="AJ253" s="589"/>
      <c r="AK253" s="589"/>
      <c r="AL253" s="589"/>
      <c r="AM253" s="548">
        <f t="shared" si="185"/>
        <v>1</v>
      </c>
      <c r="AN253" s="579">
        <v>1.5</v>
      </c>
      <c r="AO253" s="579"/>
      <c r="AP253" s="579"/>
      <c r="AQ253" s="579"/>
      <c r="AR253" s="579"/>
      <c r="AS253" s="579"/>
      <c r="AT253" s="579"/>
      <c r="AU253" s="481">
        <f t="shared" si="186"/>
        <v>1.5</v>
      </c>
      <c r="AV253" s="589">
        <v>1.5</v>
      </c>
      <c r="AW253" s="589"/>
      <c r="AX253" s="589"/>
      <c r="AY253" s="589"/>
      <c r="AZ253" s="589"/>
      <c r="BA253" s="589"/>
      <c r="BB253" s="589"/>
      <c r="BC253" s="548">
        <f t="shared" si="187"/>
        <v>1.5</v>
      </c>
      <c r="BD253" s="61">
        <f t="shared" si="203"/>
        <v>5.37</v>
      </c>
      <c r="BE253" s="61">
        <f t="shared" si="204"/>
        <v>0</v>
      </c>
      <c r="BF253" s="61">
        <f t="shared" si="205"/>
        <v>0</v>
      </c>
      <c r="BG253" s="61">
        <f t="shared" si="206"/>
        <v>0</v>
      </c>
      <c r="BH253" s="61">
        <f t="shared" si="207"/>
        <v>0</v>
      </c>
      <c r="BI253" s="61">
        <f t="shared" si="181"/>
        <v>0</v>
      </c>
      <c r="BJ253" s="61">
        <f t="shared" si="208"/>
        <v>0</v>
      </c>
      <c r="BK253" s="42">
        <f t="shared" si="209"/>
        <v>5.37</v>
      </c>
      <c r="BL253" s="40">
        <f t="shared" si="179"/>
        <v>5.37</v>
      </c>
    </row>
    <row r="254" spans="1:64" ht="39.75" customHeight="1" x14ac:dyDescent="0.25">
      <c r="A254" s="298" t="s">
        <v>491</v>
      </c>
      <c r="B254" s="299" t="s">
        <v>489</v>
      </c>
      <c r="C254" s="1547"/>
      <c r="D254" s="1551"/>
      <c r="E254" s="1551"/>
      <c r="F254" s="1551"/>
      <c r="G254" s="1551"/>
      <c r="H254" s="1551"/>
      <c r="I254" s="1425"/>
      <c r="J254" s="1425"/>
      <c r="K254" s="1425" t="s">
        <v>783</v>
      </c>
      <c r="L254" s="301" t="s">
        <v>496</v>
      </c>
      <c r="M254" s="1425" t="s">
        <v>497</v>
      </c>
      <c r="N254" s="476" t="s">
        <v>2497</v>
      </c>
      <c r="O254" s="1425" t="s">
        <v>47</v>
      </c>
      <c r="P254" s="16" t="s">
        <v>784</v>
      </c>
      <c r="Q254" s="302" t="s">
        <v>720</v>
      </c>
      <c r="R254" s="303">
        <v>2015</v>
      </c>
      <c r="S254" s="303">
        <v>0</v>
      </c>
      <c r="T254" s="303">
        <v>0</v>
      </c>
      <c r="U254" s="303">
        <v>1</v>
      </c>
      <c r="V254" s="303">
        <v>0</v>
      </c>
      <c r="W254" s="303">
        <v>0</v>
      </c>
      <c r="X254" s="303">
        <v>1</v>
      </c>
      <c r="Y254" s="579"/>
      <c r="Z254" s="579"/>
      <c r="AA254" s="492"/>
      <c r="AB254" s="579"/>
      <c r="AC254" s="579"/>
      <c r="AD254" s="579"/>
      <c r="AE254" s="579"/>
      <c r="AF254" s="481">
        <f t="shared" si="184"/>
        <v>0</v>
      </c>
      <c r="AG254" s="492">
        <v>0.5</v>
      </c>
      <c r="AH254" s="589"/>
      <c r="AI254" s="588"/>
      <c r="AJ254" s="589"/>
      <c r="AK254" s="589"/>
      <c r="AL254" s="589"/>
      <c r="AM254" s="548">
        <f t="shared" si="185"/>
        <v>0.5</v>
      </c>
      <c r="AN254" s="579"/>
      <c r="AO254" s="579"/>
      <c r="AP254" s="482"/>
      <c r="AQ254" s="579"/>
      <c r="AR254" s="579"/>
      <c r="AS254" s="579"/>
      <c r="AT254" s="579"/>
      <c r="AU254" s="481">
        <f t="shared" si="186"/>
        <v>0</v>
      </c>
      <c r="AV254" s="589"/>
      <c r="AW254" s="589"/>
      <c r="AX254" s="588"/>
      <c r="AY254" s="589"/>
      <c r="AZ254" s="589"/>
      <c r="BA254" s="589"/>
      <c r="BB254" s="589"/>
      <c r="BC254" s="548">
        <f t="shared" si="187"/>
        <v>0</v>
      </c>
      <c r="BD254" s="61">
        <f t="shared" si="203"/>
        <v>0.5</v>
      </c>
      <c r="BE254" s="61">
        <f t="shared" si="204"/>
        <v>0</v>
      </c>
      <c r="BF254" s="29">
        <f t="shared" si="205"/>
        <v>0</v>
      </c>
      <c r="BG254" s="61">
        <f t="shared" si="206"/>
        <v>0</v>
      </c>
      <c r="BH254" s="61">
        <f t="shared" si="207"/>
        <v>0</v>
      </c>
      <c r="BI254" s="61">
        <f t="shared" si="181"/>
        <v>0</v>
      </c>
      <c r="BJ254" s="61">
        <f t="shared" si="208"/>
        <v>0</v>
      </c>
      <c r="BK254" s="42">
        <f t="shared" si="209"/>
        <v>0.5</v>
      </c>
      <c r="BL254" s="40">
        <f t="shared" si="179"/>
        <v>0.5</v>
      </c>
    </row>
    <row r="255" spans="1:64" ht="46.5" customHeight="1" x14ac:dyDescent="0.25">
      <c r="A255" s="298" t="s">
        <v>491</v>
      </c>
      <c r="B255" s="299" t="s">
        <v>489</v>
      </c>
      <c r="C255" s="1547"/>
      <c r="D255" s="1551"/>
      <c r="E255" s="1551"/>
      <c r="F255" s="1551"/>
      <c r="G255" s="1551"/>
      <c r="H255" s="1551"/>
      <c r="I255" s="1425"/>
      <c r="J255" s="1425"/>
      <c r="K255" s="1425" t="s">
        <v>785</v>
      </c>
      <c r="L255" s="301" t="s">
        <v>496</v>
      </c>
      <c r="M255" s="1425" t="s">
        <v>497</v>
      </c>
      <c r="N255" s="476" t="s">
        <v>2497</v>
      </c>
      <c r="O255" s="1425" t="s">
        <v>73</v>
      </c>
      <c r="P255" s="16" t="s">
        <v>786</v>
      </c>
      <c r="Q255" s="302" t="s">
        <v>787</v>
      </c>
      <c r="R255" s="303">
        <v>2015</v>
      </c>
      <c r="S255" s="303">
        <v>1</v>
      </c>
      <c r="T255" s="303">
        <v>1</v>
      </c>
      <c r="U255" s="303">
        <v>1</v>
      </c>
      <c r="V255" s="303">
        <v>1</v>
      </c>
      <c r="W255" s="303">
        <v>1</v>
      </c>
      <c r="X255" s="303">
        <v>1</v>
      </c>
      <c r="Y255" s="579">
        <v>2</v>
      </c>
      <c r="Z255" s="579"/>
      <c r="AA255" s="579"/>
      <c r="AB255" s="579"/>
      <c r="AC255" s="579"/>
      <c r="AD255" s="579"/>
      <c r="AE255" s="579"/>
      <c r="AF255" s="481">
        <f t="shared" si="184"/>
        <v>2</v>
      </c>
      <c r="AG255" s="589">
        <v>2</v>
      </c>
      <c r="AH255" s="589"/>
      <c r="AI255" s="589"/>
      <c r="AJ255" s="589"/>
      <c r="AK255" s="589"/>
      <c r="AL255" s="589"/>
      <c r="AM255" s="548">
        <f t="shared" si="185"/>
        <v>2</v>
      </c>
      <c r="AN255" s="579">
        <v>2</v>
      </c>
      <c r="AO255" s="579"/>
      <c r="AP255" s="579"/>
      <c r="AQ255" s="579"/>
      <c r="AR255" s="579"/>
      <c r="AS255" s="579"/>
      <c r="AT255" s="579"/>
      <c r="AU255" s="481">
        <f t="shared" si="186"/>
        <v>2</v>
      </c>
      <c r="AV255" s="589">
        <v>2</v>
      </c>
      <c r="AW255" s="589"/>
      <c r="AX255" s="589"/>
      <c r="AY255" s="589"/>
      <c r="AZ255" s="589"/>
      <c r="BA255" s="589"/>
      <c r="BB255" s="589"/>
      <c r="BC255" s="548">
        <f t="shared" si="187"/>
        <v>2</v>
      </c>
      <c r="BD255" s="61">
        <f t="shared" si="203"/>
        <v>8</v>
      </c>
      <c r="BE255" s="61">
        <f t="shared" si="204"/>
        <v>0</v>
      </c>
      <c r="BF255" s="61">
        <f t="shared" si="205"/>
        <v>0</v>
      </c>
      <c r="BG255" s="61">
        <f t="shared" si="206"/>
        <v>0</v>
      </c>
      <c r="BH255" s="61">
        <f t="shared" si="207"/>
        <v>0</v>
      </c>
      <c r="BI255" s="61">
        <f t="shared" si="181"/>
        <v>0</v>
      </c>
      <c r="BJ255" s="61">
        <f t="shared" si="208"/>
        <v>0</v>
      </c>
      <c r="BK255" s="42">
        <f t="shared" si="209"/>
        <v>8</v>
      </c>
      <c r="BL255" s="40">
        <f t="shared" si="179"/>
        <v>8</v>
      </c>
    </row>
    <row r="256" spans="1:64" ht="48" customHeight="1" x14ac:dyDescent="0.25">
      <c r="A256" s="298" t="s">
        <v>491</v>
      </c>
      <c r="B256" s="299" t="s">
        <v>489</v>
      </c>
      <c r="C256" s="1547"/>
      <c r="D256" s="1551"/>
      <c r="E256" s="1551"/>
      <c r="F256" s="1551"/>
      <c r="G256" s="1551"/>
      <c r="H256" s="1551"/>
      <c r="I256" s="1425"/>
      <c r="J256" s="1425"/>
      <c r="K256" s="1425" t="s">
        <v>788</v>
      </c>
      <c r="L256" s="301" t="s">
        <v>496</v>
      </c>
      <c r="M256" s="1425" t="s">
        <v>497</v>
      </c>
      <c r="N256" s="476" t="s">
        <v>2497</v>
      </c>
      <c r="O256" s="1425" t="s">
        <v>73</v>
      </c>
      <c r="P256" s="16" t="s">
        <v>789</v>
      </c>
      <c r="Q256" s="302" t="s">
        <v>790</v>
      </c>
      <c r="R256" s="303">
        <v>2015</v>
      </c>
      <c r="S256" s="303">
        <v>1</v>
      </c>
      <c r="T256" s="303">
        <v>1</v>
      </c>
      <c r="U256" s="303">
        <v>1</v>
      </c>
      <c r="V256" s="303">
        <v>1</v>
      </c>
      <c r="W256" s="303">
        <v>1</v>
      </c>
      <c r="X256" s="303">
        <v>1</v>
      </c>
      <c r="Y256" s="579">
        <v>3</v>
      </c>
      <c r="Z256" s="579"/>
      <c r="AA256" s="579">
        <v>2</v>
      </c>
      <c r="AB256" s="579"/>
      <c r="AC256" s="579"/>
      <c r="AD256" s="579"/>
      <c r="AE256" s="579"/>
      <c r="AF256" s="481">
        <f t="shared" si="184"/>
        <v>5</v>
      </c>
      <c r="AG256" s="589">
        <v>3</v>
      </c>
      <c r="AH256" s="589"/>
      <c r="AI256" s="589">
        <v>2</v>
      </c>
      <c r="AJ256" s="589"/>
      <c r="AK256" s="589"/>
      <c r="AL256" s="589"/>
      <c r="AM256" s="548">
        <f t="shared" si="185"/>
        <v>5</v>
      </c>
      <c r="AN256" s="579">
        <v>3</v>
      </c>
      <c r="AO256" s="579"/>
      <c r="AP256" s="579">
        <v>2</v>
      </c>
      <c r="AQ256" s="579"/>
      <c r="AR256" s="579"/>
      <c r="AS256" s="579"/>
      <c r="AT256" s="579"/>
      <c r="AU256" s="481">
        <f t="shared" si="186"/>
        <v>5</v>
      </c>
      <c r="AV256" s="589">
        <v>3</v>
      </c>
      <c r="AW256" s="589"/>
      <c r="AX256" s="589">
        <v>2</v>
      </c>
      <c r="AY256" s="589"/>
      <c r="AZ256" s="589"/>
      <c r="BA256" s="589"/>
      <c r="BB256" s="589"/>
      <c r="BC256" s="548">
        <f t="shared" si="187"/>
        <v>5</v>
      </c>
      <c r="BD256" s="61">
        <f t="shared" si="203"/>
        <v>12</v>
      </c>
      <c r="BE256" s="61">
        <f t="shared" si="204"/>
        <v>0</v>
      </c>
      <c r="BF256" s="61">
        <f t="shared" si="205"/>
        <v>8</v>
      </c>
      <c r="BG256" s="61">
        <f t="shared" si="206"/>
        <v>0</v>
      </c>
      <c r="BH256" s="61">
        <f t="shared" si="207"/>
        <v>0</v>
      </c>
      <c r="BI256" s="61">
        <f t="shared" si="181"/>
        <v>0</v>
      </c>
      <c r="BJ256" s="61">
        <f t="shared" si="208"/>
        <v>0</v>
      </c>
      <c r="BK256" s="42">
        <f t="shared" si="209"/>
        <v>20</v>
      </c>
      <c r="BL256" s="40">
        <f t="shared" si="179"/>
        <v>20</v>
      </c>
    </row>
    <row r="257" spans="1:64" ht="32.25" customHeight="1" x14ac:dyDescent="0.25">
      <c r="A257" s="298" t="s">
        <v>491</v>
      </c>
      <c r="B257" s="299" t="s">
        <v>489</v>
      </c>
      <c r="C257" s="1547"/>
      <c r="D257" s="1551"/>
      <c r="E257" s="1551"/>
      <c r="F257" s="1551"/>
      <c r="G257" s="1551"/>
      <c r="H257" s="1551"/>
      <c r="I257" s="1425"/>
      <c r="J257" s="1425"/>
      <c r="K257" s="1425" t="s">
        <v>791</v>
      </c>
      <c r="L257" s="301" t="s">
        <v>496</v>
      </c>
      <c r="M257" s="1425" t="s">
        <v>497</v>
      </c>
      <c r="N257" s="476" t="s">
        <v>2497</v>
      </c>
      <c r="O257" s="1425" t="s">
        <v>47</v>
      </c>
      <c r="P257" s="16" t="s">
        <v>792</v>
      </c>
      <c r="Q257" s="302" t="s">
        <v>793</v>
      </c>
      <c r="R257" s="303">
        <v>2015</v>
      </c>
      <c r="S257" s="303">
        <v>1</v>
      </c>
      <c r="T257" s="303">
        <v>1</v>
      </c>
      <c r="U257" s="303">
        <v>1</v>
      </c>
      <c r="V257" s="303">
        <v>1</v>
      </c>
      <c r="W257" s="303">
        <v>1</v>
      </c>
      <c r="X257" s="303">
        <v>4</v>
      </c>
      <c r="Y257" s="492">
        <v>5</v>
      </c>
      <c r="Z257" s="579"/>
      <c r="AA257" s="579"/>
      <c r="AB257" s="579"/>
      <c r="AC257" s="579"/>
      <c r="AD257" s="579"/>
      <c r="AE257" s="579"/>
      <c r="AF257" s="481">
        <f t="shared" si="184"/>
        <v>5</v>
      </c>
      <c r="AG257" s="492">
        <v>0.5</v>
      </c>
      <c r="AH257" s="589"/>
      <c r="AI257" s="589"/>
      <c r="AJ257" s="589"/>
      <c r="AK257" s="589"/>
      <c r="AL257" s="589"/>
      <c r="AM257" s="548">
        <f t="shared" si="185"/>
        <v>0.5</v>
      </c>
      <c r="AN257" s="492">
        <v>0.5</v>
      </c>
      <c r="AO257" s="579"/>
      <c r="AP257" s="579"/>
      <c r="AQ257" s="579"/>
      <c r="AR257" s="579"/>
      <c r="AS257" s="579"/>
      <c r="AT257" s="579"/>
      <c r="AU257" s="481">
        <f t="shared" si="186"/>
        <v>0.5</v>
      </c>
      <c r="AV257" s="492">
        <v>1.5</v>
      </c>
      <c r="AW257" s="589"/>
      <c r="AX257" s="589"/>
      <c r="AY257" s="589"/>
      <c r="AZ257" s="589"/>
      <c r="BA257" s="589"/>
      <c r="BB257" s="589"/>
      <c r="BC257" s="548">
        <f t="shared" si="187"/>
        <v>1.5</v>
      </c>
      <c r="BD257" s="61">
        <f t="shared" si="203"/>
        <v>7.5</v>
      </c>
      <c r="BE257" s="61">
        <f t="shared" si="204"/>
        <v>0</v>
      </c>
      <c r="BF257" s="61">
        <f t="shared" si="205"/>
        <v>0</v>
      </c>
      <c r="BG257" s="61">
        <f t="shared" si="206"/>
        <v>0</v>
      </c>
      <c r="BH257" s="61">
        <f t="shared" si="207"/>
        <v>0</v>
      </c>
      <c r="BI257" s="61">
        <f t="shared" si="181"/>
        <v>0</v>
      </c>
      <c r="BJ257" s="61">
        <f t="shared" si="208"/>
        <v>0</v>
      </c>
      <c r="BK257" s="42">
        <f t="shared" si="209"/>
        <v>7.5</v>
      </c>
      <c r="BL257" s="40">
        <f t="shared" si="179"/>
        <v>7.5</v>
      </c>
    </row>
    <row r="258" spans="1:64" ht="47.25" customHeight="1" x14ac:dyDescent="0.25">
      <c r="A258" s="298" t="s">
        <v>491</v>
      </c>
      <c r="B258" s="299" t="s">
        <v>489</v>
      </c>
      <c r="C258" s="1548"/>
      <c r="D258" s="1552"/>
      <c r="E258" s="1552"/>
      <c r="F258" s="1552"/>
      <c r="G258" s="1552"/>
      <c r="H258" s="1552"/>
      <c r="I258" s="1425"/>
      <c r="J258" s="1425"/>
      <c r="K258" s="1425" t="s">
        <v>794</v>
      </c>
      <c r="L258" s="301" t="s">
        <v>496</v>
      </c>
      <c r="M258" s="1425" t="s">
        <v>497</v>
      </c>
      <c r="N258" s="476" t="s">
        <v>2497</v>
      </c>
      <c r="O258" s="1425" t="s">
        <v>47</v>
      </c>
      <c r="P258" s="16" t="s">
        <v>795</v>
      </c>
      <c r="Q258" s="302" t="s">
        <v>796</v>
      </c>
      <c r="R258" s="303">
        <v>2015</v>
      </c>
      <c r="S258" s="303">
        <v>0</v>
      </c>
      <c r="T258" s="303">
        <v>1</v>
      </c>
      <c r="U258" s="303">
        <v>0</v>
      </c>
      <c r="V258" s="303">
        <v>0</v>
      </c>
      <c r="W258" s="303">
        <v>0</v>
      </c>
      <c r="X258" s="303">
        <v>1</v>
      </c>
      <c r="Y258" s="481">
        <v>1</v>
      </c>
      <c r="Z258" s="481"/>
      <c r="AA258" s="481"/>
      <c r="AB258" s="481"/>
      <c r="AC258" s="481"/>
      <c r="AD258" s="481"/>
      <c r="AE258" s="481"/>
      <c r="AF258" s="481">
        <f t="shared" si="184"/>
        <v>1</v>
      </c>
      <c r="AG258" s="548">
        <v>1</v>
      </c>
      <c r="AH258" s="548"/>
      <c r="AI258" s="548"/>
      <c r="AJ258" s="548"/>
      <c r="AK258" s="548"/>
      <c r="AL258" s="548"/>
      <c r="AM258" s="548">
        <f t="shared" si="185"/>
        <v>1</v>
      </c>
      <c r="AN258" s="481">
        <v>1</v>
      </c>
      <c r="AO258" s="481"/>
      <c r="AP258" s="481"/>
      <c r="AQ258" s="481"/>
      <c r="AR258" s="481"/>
      <c r="AS258" s="481"/>
      <c r="AT258" s="481"/>
      <c r="AU258" s="481">
        <f t="shared" si="186"/>
        <v>1</v>
      </c>
      <c r="AV258" s="491"/>
      <c r="AW258" s="548"/>
      <c r="AX258" s="548"/>
      <c r="AY258" s="548"/>
      <c r="AZ258" s="548"/>
      <c r="BA258" s="548"/>
      <c r="BB258" s="548"/>
      <c r="BC258" s="548">
        <f t="shared" si="187"/>
        <v>0</v>
      </c>
      <c r="BD258" s="42">
        <f>+AV258+AN258+AG258+Y258</f>
        <v>3</v>
      </c>
      <c r="BE258" s="42">
        <f>+AW258+AO258+AH258+Z258</f>
        <v>0</v>
      </c>
      <c r="BF258" s="42">
        <f>+AX258+AP258+AI258+AA258</f>
        <v>0</v>
      </c>
      <c r="BG258" s="42">
        <f>+AY258+AQ258+AJ258+AB258</f>
        <v>0</v>
      </c>
      <c r="BH258" s="42">
        <f>+AZ258+AR258+AK258+AC258</f>
        <v>0</v>
      </c>
      <c r="BI258" s="42">
        <f t="shared" si="181"/>
        <v>0</v>
      </c>
      <c r="BJ258" s="42">
        <f>+BB258+AT258+AL258+AE258</f>
        <v>0</v>
      </c>
      <c r="BK258" s="42">
        <f>+BC258+AU258+AM258+AF258</f>
        <v>3</v>
      </c>
      <c r="BL258" s="40">
        <f t="shared" si="179"/>
        <v>3</v>
      </c>
    </row>
    <row r="259" spans="1:64" ht="15" customHeight="1" x14ac:dyDescent="0.25">
      <c r="A259" s="1563" t="s">
        <v>797</v>
      </c>
      <c r="B259" s="1563"/>
      <c r="C259" s="1563"/>
      <c r="D259" s="1563"/>
      <c r="E259" s="1563"/>
      <c r="F259" s="1563"/>
      <c r="G259" s="1563"/>
      <c r="H259" s="1563"/>
      <c r="I259" s="1563"/>
      <c r="J259" s="1563"/>
      <c r="K259" s="1563"/>
      <c r="L259" s="1563"/>
      <c r="M259" s="1563"/>
      <c r="N259" s="1564"/>
      <c r="O259" s="8"/>
      <c r="P259" s="20"/>
      <c r="Q259" s="20"/>
      <c r="R259" s="8"/>
      <c r="S259" s="8"/>
      <c r="T259" s="8"/>
      <c r="U259" s="65"/>
      <c r="V259" s="65"/>
      <c r="W259" s="65"/>
      <c r="X259" s="65"/>
      <c r="Y259" s="36">
        <f t="shared" ref="Y259:AE259" si="210">+Y260+Y291+Y326+Y349</f>
        <v>472.3</v>
      </c>
      <c r="Z259" s="36">
        <f t="shared" si="210"/>
        <v>43.2</v>
      </c>
      <c r="AA259" s="36">
        <f t="shared" si="210"/>
        <v>412.6</v>
      </c>
      <c r="AB259" s="36">
        <f t="shared" si="210"/>
        <v>219</v>
      </c>
      <c r="AC259" s="36">
        <f t="shared" si="210"/>
        <v>0</v>
      </c>
      <c r="AD259" s="36">
        <f t="shared" si="210"/>
        <v>848</v>
      </c>
      <c r="AE259" s="36">
        <f t="shared" si="210"/>
        <v>650</v>
      </c>
      <c r="AF259" s="36">
        <f>SUM(Y259:AE259)</f>
        <v>2645.1</v>
      </c>
      <c r="AG259" s="36">
        <f t="shared" ref="AG259:AL259" si="211">+AG260+AG291+AG326+AG349</f>
        <v>254</v>
      </c>
      <c r="AH259" s="36">
        <f t="shared" si="211"/>
        <v>354.9</v>
      </c>
      <c r="AI259" s="36">
        <f t="shared" si="211"/>
        <v>394</v>
      </c>
      <c r="AJ259" s="36">
        <f t="shared" si="211"/>
        <v>225</v>
      </c>
      <c r="AK259" s="36">
        <f t="shared" si="211"/>
        <v>0</v>
      </c>
      <c r="AL259" s="36">
        <f t="shared" si="211"/>
        <v>2976</v>
      </c>
      <c r="AM259" s="36">
        <f>SUM(AG259:AL259)</f>
        <v>4203.8999999999996</v>
      </c>
      <c r="AN259" s="36">
        <f>+AN260+AN291+AN326+AN349</f>
        <v>531</v>
      </c>
      <c r="AO259" s="36">
        <f>+AO260+AO291+AO326+AO349</f>
        <v>46.7</v>
      </c>
      <c r="AP259" s="36">
        <f>+AP260+AP291+AP326+AP349+AP286</f>
        <v>443</v>
      </c>
      <c r="AQ259" s="36">
        <f>+AQ260+AQ291+AQ326+AQ349</f>
        <v>1400</v>
      </c>
      <c r="AR259" s="36">
        <f>+AR260+AR291+AR326+AR349</f>
        <v>0</v>
      </c>
      <c r="AS259" s="36">
        <f>+AS260+AS291+AS326+AS349</f>
        <v>0</v>
      </c>
      <c r="AT259" s="36">
        <f>+AT260+AT291+AT326+AT349</f>
        <v>703.04000000000008</v>
      </c>
      <c r="AU259" s="36">
        <f>SUM(AN259:AT259)</f>
        <v>3123.74</v>
      </c>
      <c r="AV259" s="36">
        <f t="shared" ref="AV259:BB259" si="212">+AV260+AV291+AV326+AV349</f>
        <v>373.2</v>
      </c>
      <c r="AW259" s="36">
        <f t="shared" si="212"/>
        <v>48.6</v>
      </c>
      <c r="AX259" s="36">
        <f t="shared" si="212"/>
        <v>453.2</v>
      </c>
      <c r="AY259" s="36">
        <f t="shared" si="212"/>
        <v>1500</v>
      </c>
      <c r="AZ259" s="36">
        <f t="shared" si="212"/>
        <v>0</v>
      </c>
      <c r="BA259" s="36">
        <f t="shared" si="212"/>
        <v>0</v>
      </c>
      <c r="BB259" s="36">
        <f t="shared" si="212"/>
        <v>731.16160000000013</v>
      </c>
      <c r="BC259" s="36">
        <f>SUM(AV259:BB259)</f>
        <v>3106.1616000000004</v>
      </c>
      <c r="BD259" s="36">
        <f t="shared" si="203"/>
        <v>1630.5</v>
      </c>
      <c r="BE259" s="36">
        <f t="shared" si="204"/>
        <v>493.4</v>
      </c>
      <c r="BF259" s="36">
        <f t="shared" si="205"/>
        <v>1702.8000000000002</v>
      </c>
      <c r="BG259" s="36">
        <f t="shared" si="206"/>
        <v>3344</v>
      </c>
      <c r="BH259" s="36">
        <f t="shared" si="207"/>
        <v>0</v>
      </c>
      <c r="BI259" s="36">
        <f t="shared" si="181"/>
        <v>848</v>
      </c>
      <c r="BJ259" s="36">
        <f t="shared" si="208"/>
        <v>5060.2016000000003</v>
      </c>
      <c r="BK259" s="36">
        <f t="shared" si="209"/>
        <v>13078.901599999999</v>
      </c>
      <c r="BL259" s="40">
        <f t="shared" si="179"/>
        <v>13078.901600000001</v>
      </c>
    </row>
    <row r="260" spans="1:64" ht="20.399999999999999" x14ac:dyDescent="0.25">
      <c r="A260" s="290"/>
      <c r="B260" s="1565" t="s">
        <v>798</v>
      </c>
      <c r="C260" s="1566"/>
      <c r="D260" s="1566"/>
      <c r="E260" s="1566"/>
      <c r="F260" s="1566"/>
      <c r="G260" s="1566"/>
      <c r="H260" s="1566"/>
      <c r="I260" s="1566"/>
      <c r="J260" s="1566"/>
      <c r="K260" s="1566"/>
      <c r="L260" s="1566"/>
      <c r="M260" s="1567"/>
      <c r="N260" s="597"/>
      <c r="O260" s="597"/>
      <c r="P260" s="598"/>
      <c r="Q260" s="598"/>
      <c r="R260" s="597"/>
      <c r="S260" s="597"/>
      <c r="T260" s="597"/>
      <c r="U260" s="599"/>
      <c r="V260" s="599"/>
      <c r="W260" s="599"/>
      <c r="X260" s="599"/>
      <c r="Y260" s="600">
        <f t="shared" ref="Y260:AE260" si="213">+Y261+Y273</f>
        <v>24.5</v>
      </c>
      <c r="Z260" s="600">
        <f t="shared" si="213"/>
        <v>0</v>
      </c>
      <c r="AA260" s="600">
        <f t="shared" si="213"/>
        <v>5</v>
      </c>
      <c r="AB260" s="600">
        <f t="shared" si="213"/>
        <v>0</v>
      </c>
      <c r="AC260" s="600">
        <f t="shared" si="213"/>
        <v>0</v>
      </c>
      <c r="AD260" s="600">
        <f t="shared" si="213"/>
        <v>0</v>
      </c>
      <c r="AE260" s="600">
        <f t="shared" si="213"/>
        <v>0</v>
      </c>
      <c r="AF260" s="600">
        <f t="shared" ref="AF260:AF285" si="214">SUM(Y260:AE260)</f>
        <v>29.5</v>
      </c>
      <c r="AG260" s="600">
        <f t="shared" ref="AG260:AL260" si="215">+AG261+AG273</f>
        <v>65</v>
      </c>
      <c r="AH260" s="600">
        <f t="shared" si="215"/>
        <v>0</v>
      </c>
      <c r="AI260" s="600">
        <f>+AI261+AI273+AI286</f>
        <v>5</v>
      </c>
      <c r="AJ260" s="600">
        <f t="shared" si="215"/>
        <v>0</v>
      </c>
      <c r="AK260" s="600">
        <f t="shared" si="215"/>
        <v>0</v>
      </c>
      <c r="AL260" s="600">
        <f t="shared" si="215"/>
        <v>0</v>
      </c>
      <c r="AM260" s="600">
        <f t="shared" ref="AM260:AM285" si="216">SUM(AG260:AL260)</f>
        <v>70</v>
      </c>
      <c r="AN260" s="600">
        <f t="shared" ref="AN260:AT260" si="217">+AN261+AN273</f>
        <v>50</v>
      </c>
      <c r="AO260" s="600">
        <f t="shared" si="217"/>
        <v>0</v>
      </c>
      <c r="AP260" s="600">
        <f t="shared" si="217"/>
        <v>4.5</v>
      </c>
      <c r="AQ260" s="600">
        <f t="shared" si="217"/>
        <v>0</v>
      </c>
      <c r="AR260" s="600">
        <f t="shared" si="217"/>
        <v>0</v>
      </c>
      <c r="AS260" s="600">
        <f t="shared" si="217"/>
        <v>0</v>
      </c>
      <c r="AT260" s="600">
        <f t="shared" si="217"/>
        <v>0</v>
      </c>
      <c r="AU260" s="600">
        <f t="shared" ref="AU260:AU285" si="218">SUM(AN260:AT260)</f>
        <v>54.5</v>
      </c>
      <c r="AV260" s="600">
        <f t="shared" ref="AV260:BB260" si="219">+AV261+AV273</f>
        <v>50</v>
      </c>
      <c r="AW260" s="600">
        <f t="shared" si="219"/>
        <v>0</v>
      </c>
      <c r="AX260" s="600">
        <f>+AX261+AX273+AX286</f>
        <v>5.5</v>
      </c>
      <c r="AY260" s="600">
        <f t="shared" si="219"/>
        <v>0</v>
      </c>
      <c r="AZ260" s="600">
        <f t="shared" si="219"/>
        <v>0</v>
      </c>
      <c r="BA260" s="600">
        <f t="shared" si="219"/>
        <v>0</v>
      </c>
      <c r="BB260" s="600">
        <f t="shared" si="219"/>
        <v>0</v>
      </c>
      <c r="BC260" s="600">
        <f t="shared" ref="BC260:BC285" si="220">SUM(AV260:BB260)</f>
        <v>55.5</v>
      </c>
      <c r="BD260" s="33">
        <f t="shared" si="203"/>
        <v>189.5</v>
      </c>
      <c r="BE260" s="33">
        <f t="shared" si="204"/>
        <v>0</v>
      </c>
      <c r="BF260" s="33">
        <f t="shared" si="205"/>
        <v>20</v>
      </c>
      <c r="BG260" s="33">
        <f t="shared" si="206"/>
        <v>0</v>
      </c>
      <c r="BH260" s="33">
        <f t="shared" si="207"/>
        <v>0</v>
      </c>
      <c r="BI260" s="33">
        <f t="shared" si="181"/>
        <v>0</v>
      </c>
      <c r="BJ260" s="33">
        <f t="shared" si="208"/>
        <v>0</v>
      </c>
      <c r="BK260" s="33">
        <f t="shared" si="209"/>
        <v>209.5</v>
      </c>
      <c r="BL260" s="40">
        <f t="shared" si="179"/>
        <v>209.5</v>
      </c>
    </row>
    <row r="261" spans="1:64" ht="33.75" customHeight="1" x14ac:dyDescent="0.25">
      <c r="A261" s="296"/>
      <c r="B261" s="24" t="s">
        <v>798</v>
      </c>
      <c r="C261" s="6"/>
      <c r="D261" s="2" t="s">
        <v>799</v>
      </c>
      <c r="E261" s="1"/>
      <c r="F261" s="1"/>
      <c r="G261" s="1"/>
      <c r="H261" s="1"/>
      <c r="I261" s="1"/>
      <c r="J261" s="1"/>
      <c r="K261" s="1"/>
      <c r="L261" s="1"/>
      <c r="M261" s="1"/>
      <c r="N261" s="1"/>
      <c r="O261" s="1"/>
      <c r="P261" s="22"/>
      <c r="Q261" s="22"/>
      <c r="R261" s="1"/>
      <c r="S261" s="1"/>
      <c r="T261" s="1"/>
      <c r="U261" s="49"/>
      <c r="V261" s="49"/>
      <c r="W261" s="49"/>
      <c r="X261" s="49"/>
      <c r="Y261" s="34">
        <f t="shared" ref="Y261:AE261" si="221">SUM(Y262:Y272)</f>
        <v>20</v>
      </c>
      <c r="Z261" s="34">
        <f t="shared" si="221"/>
        <v>0</v>
      </c>
      <c r="AA261" s="34">
        <f t="shared" si="221"/>
        <v>4</v>
      </c>
      <c r="AB261" s="34">
        <f t="shared" si="221"/>
        <v>0</v>
      </c>
      <c r="AC261" s="34">
        <f t="shared" si="221"/>
        <v>0</v>
      </c>
      <c r="AD261" s="34">
        <f t="shared" si="221"/>
        <v>0</v>
      </c>
      <c r="AE261" s="34">
        <f t="shared" si="221"/>
        <v>0</v>
      </c>
      <c r="AF261" s="34">
        <f t="shared" si="214"/>
        <v>24</v>
      </c>
      <c r="AG261" s="34">
        <f t="shared" ref="AG261:AL261" si="222">SUM(AG262:AG272)</f>
        <v>55</v>
      </c>
      <c r="AH261" s="34">
        <f t="shared" si="222"/>
        <v>0</v>
      </c>
      <c r="AI261" s="34">
        <f t="shared" si="222"/>
        <v>4</v>
      </c>
      <c r="AJ261" s="34">
        <f t="shared" si="222"/>
        <v>0</v>
      </c>
      <c r="AK261" s="34">
        <f t="shared" si="222"/>
        <v>0</v>
      </c>
      <c r="AL261" s="34">
        <f t="shared" si="222"/>
        <v>0</v>
      </c>
      <c r="AM261" s="34">
        <f t="shared" si="216"/>
        <v>59</v>
      </c>
      <c r="AN261" s="34">
        <f t="shared" ref="AN261:AT261" si="223">SUM(AN262:AN272)</f>
        <v>40</v>
      </c>
      <c r="AO261" s="34">
        <f t="shared" si="223"/>
        <v>0</v>
      </c>
      <c r="AP261" s="34">
        <f t="shared" si="223"/>
        <v>0</v>
      </c>
      <c r="AQ261" s="34">
        <f t="shared" si="223"/>
        <v>0</v>
      </c>
      <c r="AR261" s="34">
        <f t="shared" si="223"/>
        <v>0</v>
      </c>
      <c r="AS261" s="34">
        <f t="shared" si="223"/>
        <v>0</v>
      </c>
      <c r="AT261" s="34">
        <f t="shared" si="223"/>
        <v>0</v>
      </c>
      <c r="AU261" s="34">
        <f t="shared" si="218"/>
        <v>40</v>
      </c>
      <c r="AV261" s="34">
        <f t="shared" ref="AV261:BB261" si="224">SUM(AV262:AV272)</f>
        <v>40</v>
      </c>
      <c r="AW261" s="34">
        <f t="shared" si="224"/>
        <v>0</v>
      </c>
      <c r="AX261" s="34">
        <f t="shared" si="224"/>
        <v>0</v>
      </c>
      <c r="AY261" s="34">
        <f t="shared" si="224"/>
        <v>0</v>
      </c>
      <c r="AZ261" s="34">
        <f t="shared" si="224"/>
        <v>0</v>
      </c>
      <c r="BA261" s="34">
        <f t="shared" si="224"/>
        <v>0</v>
      </c>
      <c r="BB261" s="34">
        <f t="shared" si="224"/>
        <v>0</v>
      </c>
      <c r="BC261" s="34">
        <f t="shared" si="220"/>
        <v>40</v>
      </c>
      <c r="BD261" s="34">
        <f t="shared" si="203"/>
        <v>155</v>
      </c>
      <c r="BE261" s="34">
        <f t="shared" si="204"/>
        <v>0</v>
      </c>
      <c r="BF261" s="34">
        <f t="shared" si="205"/>
        <v>8</v>
      </c>
      <c r="BG261" s="34">
        <f t="shared" si="206"/>
        <v>0</v>
      </c>
      <c r="BH261" s="34">
        <f t="shared" si="207"/>
        <v>0</v>
      </c>
      <c r="BI261" s="34">
        <f t="shared" si="181"/>
        <v>0</v>
      </c>
      <c r="BJ261" s="34">
        <f t="shared" si="208"/>
        <v>0</v>
      </c>
      <c r="BK261" s="34">
        <f t="shared" si="209"/>
        <v>163</v>
      </c>
      <c r="BL261" s="40">
        <f t="shared" ref="BL261:BL323" si="225">AF261+AM261+AU261+BC261</f>
        <v>163</v>
      </c>
    </row>
    <row r="262" spans="1:64" ht="66" customHeight="1" x14ac:dyDescent="0.25">
      <c r="A262" s="298" t="s">
        <v>800</v>
      </c>
      <c r="B262" s="299" t="s">
        <v>801</v>
      </c>
      <c r="C262" s="1546" t="s">
        <v>802</v>
      </c>
      <c r="D262" s="1549" t="s">
        <v>803</v>
      </c>
      <c r="E262" s="1549" t="s">
        <v>804</v>
      </c>
      <c r="F262" s="1549">
        <v>2015</v>
      </c>
      <c r="G262" s="1549">
        <v>696</v>
      </c>
      <c r="H262" s="1549">
        <v>800</v>
      </c>
      <c r="I262" s="1425"/>
      <c r="J262" s="1425"/>
      <c r="K262" s="1425" t="s">
        <v>805</v>
      </c>
      <c r="L262" s="301" t="s">
        <v>806</v>
      </c>
      <c r="M262" s="1425" t="s">
        <v>497</v>
      </c>
      <c r="N262" s="476" t="s">
        <v>2497</v>
      </c>
      <c r="O262" s="1425" t="s">
        <v>47</v>
      </c>
      <c r="P262" s="16" t="s">
        <v>807</v>
      </c>
      <c r="Q262" s="302" t="s">
        <v>808</v>
      </c>
      <c r="R262" s="303">
        <v>2015</v>
      </c>
      <c r="S262" s="303">
        <v>0</v>
      </c>
      <c r="T262" s="303">
        <v>0</v>
      </c>
      <c r="U262" s="572">
        <v>1</v>
      </c>
      <c r="V262" s="572">
        <v>0</v>
      </c>
      <c r="W262" s="572">
        <v>0</v>
      </c>
      <c r="X262" s="572">
        <v>1</v>
      </c>
      <c r="Y262" s="481"/>
      <c r="Z262" s="481"/>
      <c r="AA262" s="481"/>
      <c r="AB262" s="481"/>
      <c r="AC262" s="481"/>
      <c r="AD262" s="481"/>
      <c r="AE262" s="481"/>
      <c r="AF262" s="481">
        <f t="shared" si="214"/>
        <v>0</v>
      </c>
      <c r="AG262" s="491">
        <v>12</v>
      </c>
      <c r="AH262" s="548"/>
      <c r="AI262" s="491">
        <v>4</v>
      </c>
      <c r="AJ262" s="548"/>
      <c r="AK262" s="548"/>
      <c r="AL262" s="548"/>
      <c r="AM262" s="548">
        <f t="shared" si="216"/>
        <v>16</v>
      </c>
      <c r="AN262" s="481"/>
      <c r="AO262" s="481"/>
      <c r="AP262" s="481"/>
      <c r="AQ262" s="481"/>
      <c r="AR262" s="481"/>
      <c r="AS262" s="481"/>
      <c r="AT262" s="481"/>
      <c r="AU262" s="481">
        <f t="shared" si="218"/>
        <v>0</v>
      </c>
      <c r="AV262" s="548"/>
      <c r="AW262" s="548"/>
      <c r="AX262" s="548"/>
      <c r="AY262" s="548"/>
      <c r="AZ262" s="548"/>
      <c r="BA262" s="548"/>
      <c r="BB262" s="548"/>
      <c r="BC262" s="548">
        <f t="shared" si="220"/>
        <v>0</v>
      </c>
      <c r="BD262" s="42">
        <f t="shared" si="203"/>
        <v>12</v>
      </c>
      <c r="BE262" s="42">
        <f t="shared" si="204"/>
        <v>0</v>
      </c>
      <c r="BF262" s="42">
        <f t="shared" si="205"/>
        <v>4</v>
      </c>
      <c r="BG262" s="42">
        <f t="shared" si="206"/>
        <v>0</v>
      </c>
      <c r="BH262" s="42">
        <f t="shared" si="207"/>
        <v>0</v>
      </c>
      <c r="BI262" s="42">
        <f t="shared" si="181"/>
        <v>0</v>
      </c>
      <c r="BJ262" s="42">
        <f t="shared" si="208"/>
        <v>0</v>
      </c>
      <c r="BK262" s="42">
        <f t="shared" si="209"/>
        <v>16</v>
      </c>
      <c r="BL262" s="40">
        <f t="shared" si="225"/>
        <v>16</v>
      </c>
    </row>
    <row r="263" spans="1:64" ht="53.25" customHeight="1" x14ac:dyDescent="0.25">
      <c r="A263" s="298" t="s">
        <v>800</v>
      </c>
      <c r="B263" s="299" t="s">
        <v>801</v>
      </c>
      <c r="C263" s="1547"/>
      <c r="D263" s="1549"/>
      <c r="E263" s="1549"/>
      <c r="F263" s="1549"/>
      <c r="G263" s="1549"/>
      <c r="H263" s="1549"/>
      <c r="I263" s="1425"/>
      <c r="J263" s="1425"/>
      <c r="K263" s="1425" t="s">
        <v>809</v>
      </c>
      <c r="L263" s="301" t="s">
        <v>806</v>
      </c>
      <c r="M263" s="1425" t="s">
        <v>497</v>
      </c>
      <c r="N263" s="476" t="s">
        <v>2497</v>
      </c>
      <c r="O263" s="1425" t="s">
        <v>47</v>
      </c>
      <c r="P263" s="16" t="s">
        <v>810</v>
      </c>
      <c r="Q263" s="302" t="s">
        <v>811</v>
      </c>
      <c r="R263" s="303">
        <v>2015</v>
      </c>
      <c r="S263" s="303">
        <v>0</v>
      </c>
      <c r="T263" s="303">
        <v>0</v>
      </c>
      <c r="U263" s="572">
        <v>1</v>
      </c>
      <c r="V263" s="572">
        <v>0</v>
      </c>
      <c r="W263" s="572">
        <v>0</v>
      </c>
      <c r="X263" s="572">
        <v>1</v>
      </c>
      <c r="Y263" s="481"/>
      <c r="Z263" s="481"/>
      <c r="AA263" s="481"/>
      <c r="AB263" s="481"/>
      <c r="AC263" s="481"/>
      <c r="AD263" s="481"/>
      <c r="AE263" s="481"/>
      <c r="AF263" s="481">
        <f t="shared" si="214"/>
        <v>0</v>
      </c>
      <c r="AG263" s="491">
        <v>0.5</v>
      </c>
      <c r="AH263" s="548"/>
      <c r="AI263" s="548"/>
      <c r="AJ263" s="548"/>
      <c r="AK263" s="548"/>
      <c r="AL263" s="548"/>
      <c r="AM263" s="548">
        <f t="shared" si="216"/>
        <v>0.5</v>
      </c>
      <c r="AN263" s="481"/>
      <c r="AO263" s="481"/>
      <c r="AP263" s="481"/>
      <c r="AQ263" s="481"/>
      <c r="AR263" s="481"/>
      <c r="AS263" s="481"/>
      <c r="AT263" s="481"/>
      <c r="AU263" s="481">
        <f t="shared" si="218"/>
        <v>0</v>
      </c>
      <c r="AV263" s="548"/>
      <c r="AW263" s="548"/>
      <c r="AX263" s="548"/>
      <c r="AY263" s="548"/>
      <c r="AZ263" s="548"/>
      <c r="BA263" s="548"/>
      <c r="BB263" s="548"/>
      <c r="BC263" s="548">
        <f t="shared" si="220"/>
        <v>0</v>
      </c>
      <c r="BD263" s="42">
        <f t="shared" si="203"/>
        <v>0.5</v>
      </c>
      <c r="BE263" s="42">
        <f t="shared" si="204"/>
        <v>0</v>
      </c>
      <c r="BF263" s="42">
        <f t="shared" si="205"/>
        <v>0</v>
      </c>
      <c r="BG263" s="42">
        <f t="shared" si="206"/>
        <v>0</v>
      </c>
      <c r="BH263" s="42">
        <f t="shared" si="207"/>
        <v>0</v>
      </c>
      <c r="BI263" s="42">
        <f t="shared" si="181"/>
        <v>0</v>
      </c>
      <c r="BJ263" s="42">
        <f t="shared" si="208"/>
        <v>0</v>
      </c>
      <c r="BK263" s="42">
        <f t="shared" si="209"/>
        <v>0.5</v>
      </c>
      <c r="BL263" s="40">
        <f t="shared" si="225"/>
        <v>0.5</v>
      </c>
    </row>
    <row r="264" spans="1:64" ht="53.25" customHeight="1" x14ac:dyDescent="0.25">
      <c r="A264" s="298" t="s">
        <v>800</v>
      </c>
      <c r="B264" s="299" t="s">
        <v>801</v>
      </c>
      <c r="C264" s="1547"/>
      <c r="D264" s="1549"/>
      <c r="E264" s="1549"/>
      <c r="F264" s="1549"/>
      <c r="G264" s="1549"/>
      <c r="H264" s="1549"/>
      <c r="I264" s="1425"/>
      <c r="J264" s="1425"/>
      <c r="K264" s="1425" t="s">
        <v>812</v>
      </c>
      <c r="L264" s="301" t="s">
        <v>806</v>
      </c>
      <c r="M264" s="1425" t="s">
        <v>497</v>
      </c>
      <c r="N264" s="476" t="s">
        <v>2497</v>
      </c>
      <c r="O264" s="1425" t="s">
        <v>47</v>
      </c>
      <c r="P264" s="16" t="s">
        <v>813</v>
      </c>
      <c r="Q264" s="302" t="s">
        <v>814</v>
      </c>
      <c r="R264" s="303">
        <v>2015</v>
      </c>
      <c r="S264" s="303">
        <v>0</v>
      </c>
      <c r="T264" s="303">
        <v>0</v>
      </c>
      <c r="U264" s="572">
        <v>1</v>
      </c>
      <c r="V264" s="572">
        <v>0</v>
      </c>
      <c r="W264" s="572">
        <v>0</v>
      </c>
      <c r="X264" s="572">
        <v>1</v>
      </c>
      <c r="Y264" s="481"/>
      <c r="Z264" s="481"/>
      <c r="AA264" s="481"/>
      <c r="AB264" s="481"/>
      <c r="AC264" s="481"/>
      <c r="AD264" s="481"/>
      <c r="AE264" s="481"/>
      <c r="AF264" s="481">
        <f t="shared" si="214"/>
        <v>0</v>
      </c>
      <c r="AG264" s="548">
        <v>10</v>
      </c>
      <c r="AH264" s="548"/>
      <c r="AI264" s="548"/>
      <c r="AJ264" s="548"/>
      <c r="AK264" s="548"/>
      <c r="AL264" s="548"/>
      <c r="AM264" s="548">
        <f t="shared" si="216"/>
        <v>10</v>
      </c>
      <c r="AN264" s="481"/>
      <c r="AO264" s="481"/>
      <c r="AP264" s="481"/>
      <c r="AQ264" s="481"/>
      <c r="AR264" s="481"/>
      <c r="AS264" s="481"/>
      <c r="AT264" s="481"/>
      <c r="AU264" s="481">
        <f t="shared" si="218"/>
        <v>0</v>
      </c>
      <c r="AV264" s="548"/>
      <c r="AW264" s="548"/>
      <c r="AX264" s="548"/>
      <c r="AY264" s="548"/>
      <c r="AZ264" s="548"/>
      <c r="BA264" s="548"/>
      <c r="BB264" s="548"/>
      <c r="BC264" s="548">
        <f t="shared" si="220"/>
        <v>0</v>
      </c>
      <c r="BD264" s="42">
        <f t="shared" si="203"/>
        <v>10</v>
      </c>
      <c r="BE264" s="42">
        <f t="shared" si="204"/>
        <v>0</v>
      </c>
      <c r="BF264" s="42">
        <f t="shared" si="205"/>
        <v>0</v>
      </c>
      <c r="BG264" s="42">
        <f t="shared" si="206"/>
        <v>0</v>
      </c>
      <c r="BH264" s="42">
        <f t="shared" si="207"/>
        <v>0</v>
      </c>
      <c r="BI264" s="42">
        <f t="shared" si="181"/>
        <v>0</v>
      </c>
      <c r="BJ264" s="42">
        <f t="shared" si="208"/>
        <v>0</v>
      </c>
      <c r="BK264" s="42">
        <f t="shared" si="209"/>
        <v>10</v>
      </c>
      <c r="BL264" s="40">
        <f t="shared" si="225"/>
        <v>10</v>
      </c>
    </row>
    <row r="265" spans="1:64" ht="45.75" customHeight="1" x14ac:dyDescent="0.25">
      <c r="A265" s="298" t="s">
        <v>800</v>
      </c>
      <c r="B265" s="299" t="s">
        <v>801</v>
      </c>
      <c r="C265" s="1547"/>
      <c r="D265" s="1549"/>
      <c r="E265" s="1549"/>
      <c r="F265" s="1549"/>
      <c r="G265" s="1549"/>
      <c r="H265" s="1549"/>
      <c r="I265" s="1425"/>
      <c r="J265" s="1425"/>
      <c r="K265" s="1425" t="s">
        <v>815</v>
      </c>
      <c r="L265" s="301" t="s">
        <v>806</v>
      </c>
      <c r="M265" s="1425" t="s">
        <v>497</v>
      </c>
      <c r="N265" s="476" t="s">
        <v>2497</v>
      </c>
      <c r="O265" s="1425" t="s">
        <v>47</v>
      </c>
      <c r="P265" s="16" t="s">
        <v>816</v>
      </c>
      <c r="Q265" s="302" t="s">
        <v>817</v>
      </c>
      <c r="R265" s="303">
        <v>2015</v>
      </c>
      <c r="S265" s="303">
        <v>0</v>
      </c>
      <c r="T265" s="303">
        <v>0</v>
      </c>
      <c r="U265" s="572">
        <v>1</v>
      </c>
      <c r="V265" s="572">
        <v>1</v>
      </c>
      <c r="W265" s="572">
        <v>0</v>
      </c>
      <c r="X265" s="572">
        <v>2</v>
      </c>
      <c r="Y265" s="481"/>
      <c r="Z265" s="481"/>
      <c r="AA265" s="481"/>
      <c r="AB265" s="481"/>
      <c r="AC265" s="481"/>
      <c r="AD265" s="481"/>
      <c r="AE265" s="481"/>
      <c r="AF265" s="481">
        <f t="shared" si="214"/>
        <v>0</v>
      </c>
      <c r="AG265" s="491">
        <v>0.5</v>
      </c>
      <c r="AH265" s="548"/>
      <c r="AI265" s="548"/>
      <c r="AJ265" s="548"/>
      <c r="AK265" s="548"/>
      <c r="AL265" s="548"/>
      <c r="AM265" s="548">
        <f t="shared" si="216"/>
        <v>0.5</v>
      </c>
      <c r="AN265" s="481">
        <v>5</v>
      </c>
      <c r="AO265" s="481"/>
      <c r="AP265" s="481"/>
      <c r="AQ265" s="481"/>
      <c r="AR265" s="481"/>
      <c r="AS265" s="481"/>
      <c r="AT265" s="481"/>
      <c r="AU265" s="481">
        <f t="shared" si="218"/>
        <v>5</v>
      </c>
      <c r="AV265" s="548"/>
      <c r="AW265" s="548"/>
      <c r="AX265" s="548"/>
      <c r="AY265" s="548"/>
      <c r="AZ265" s="548"/>
      <c r="BA265" s="548"/>
      <c r="BB265" s="548"/>
      <c r="BC265" s="548">
        <f t="shared" si="220"/>
        <v>0</v>
      </c>
      <c r="BD265" s="42">
        <f t="shared" si="203"/>
        <v>5.5</v>
      </c>
      <c r="BE265" s="42">
        <f t="shared" si="204"/>
        <v>0</v>
      </c>
      <c r="BF265" s="42">
        <f t="shared" si="205"/>
        <v>0</v>
      </c>
      <c r="BG265" s="42">
        <f t="shared" si="206"/>
        <v>0</v>
      </c>
      <c r="BH265" s="42">
        <f t="shared" si="207"/>
        <v>0</v>
      </c>
      <c r="BI265" s="42">
        <f t="shared" si="181"/>
        <v>0</v>
      </c>
      <c r="BJ265" s="42">
        <f t="shared" si="208"/>
        <v>0</v>
      </c>
      <c r="BK265" s="42">
        <f t="shared" si="209"/>
        <v>5.5</v>
      </c>
      <c r="BL265" s="40">
        <f t="shared" si="225"/>
        <v>5.5</v>
      </c>
    </row>
    <row r="266" spans="1:64" ht="47.25" customHeight="1" x14ac:dyDescent="0.25">
      <c r="A266" s="298" t="s">
        <v>800</v>
      </c>
      <c r="B266" s="299" t="s">
        <v>801</v>
      </c>
      <c r="C266" s="1547"/>
      <c r="D266" s="1549"/>
      <c r="E266" s="1549"/>
      <c r="F266" s="1549"/>
      <c r="G266" s="1549"/>
      <c r="H266" s="1549"/>
      <c r="I266" s="1425"/>
      <c r="J266" s="1425"/>
      <c r="K266" s="1425" t="s">
        <v>818</v>
      </c>
      <c r="L266" s="301" t="s">
        <v>806</v>
      </c>
      <c r="M266" s="1425" t="s">
        <v>497</v>
      </c>
      <c r="N266" s="476" t="s">
        <v>2497</v>
      </c>
      <c r="O266" s="1425" t="s">
        <v>47</v>
      </c>
      <c r="P266" s="16" t="s">
        <v>819</v>
      </c>
      <c r="Q266" s="302" t="s">
        <v>820</v>
      </c>
      <c r="R266" s="303">
        <v>2015</v>
      </c>
      <c r="S266" s="303">
        <v>0</v>
      </c>
      <c r="T266" s="303">
        <v>0</v>
      </c>
      <c r="U266" s="572">
        <v>5</v>
      </c>
      <c r="V266" s="572">
        <v>5</v>
      </c>
      <c r="W266" s="572">
        <v>10</v>
      </c>
      <c r="X266" s="572">
        <v>20</v>
      </c>
      <c r="Y266" s="481"/>
      <c r="Z266" s="481"/>
      <c r="AA266" s="481"/>
      <c r="AB266" s="481"/>
      <c r="AC266" s="481"/>
      <c r="AD266" s="481"/>
      <c r="AE266" s="481"/>
      <c r="AF266" s="481">
        <f t="shared" si="214"/>
        <v>0</v>
      </c>
      <c r="AG266" s="548">
        <v>10</v>
      </c>
      <c r="AH266" s="548"/>
      <c r="AI266" s="548"/>
      <c r="AJ266" s="548"/>
      <c r="AK266" s="548"/>
      <c r="AL266" s="548"/>
      <c r="AM266" s="548">
        <f t="shared" si="216"/>
        <v>10</v>
      </c>
      <c r="AN266" s="491">
        <v>7</v>
      </c>
      <c r="AO266" s="481"/>
      <c r="AP266" s="481"/>
      <c r="AQ266" s="481"/>
      <c r="AR266" s="481"/>
      <c r="AS266" s="481"/>
      <c r="AT266" s="481"/>
      <c r="AU266" s="481">
        <f t="shared" si="218"/>
        <v>7</v>
      </c>
      <c r="AV266" s="548">
        <v>10</v>
      </c>
      <c r="AW266" s="548"/>
      <c r="AX266" s="548"/>
      <c r="AY266" s="548"/>
      <c r="AZ266" s="548"/>
      <c r="BA266" s="548"/>
      <c r="BB266" s="548"/>
      <c r="BC266" s="548">
        <f t="shared" si="220"/>
        <v>10</v>
      </c>
      <c r="BD266" s="42">
        <f t="shared" si="203"/>
        <v>27</v>
      </c>
      <c r="BE266" s="42">
        <f t="shared" si="204"/>
        <v>0</v>
      </c>
      <c r="BF266" s="42">
        <f t="shared" si="205"/>
        <v>0</v>
      </c>
      <c r="BG266" s="42">
        <f t="shared" si="206"/>
        <v>0</v>
      </c>
      <c r="BH266" s="42">
        <f t="shared" si="207"/>
        <v>0</v>
      </c>
      <c r="BI266" s="42">
        <f t="shared" si="181"/>
        <v>0</v>
      </c>
      <c r="BJ266" s="42">
        <f t="shared" si="208"/>
        <v>0</v>
      </c>
      <c r="BK266" s="42">
        <f t="shared" si="209"/>
        <v>27</v>
      </c>
      <c r="BL266" s="40">
        <f t="shared" si="225"/>
        <v>27</v>
      </c>
    </row>
    <row r="267" spans="1:64" ht="51" customHeight="1" x14ac:dyDescent="0.25">
      <c r="A267" s="298" t="s">
        <v>800</v>
      </c>
      <c r="B267" s="299" t="s">
        <v>801</v>
      </c>
      <c r="C267" s="1547"/>
      <c r="D267" s="1549"/>
      <c r="E267" s="1549"/>
      <c r="F267" s="1549"/>
      <c r="G267" s="1549"/>
      <c r="H267" s="1549"/>
      <c r="I267" s="1425"/>
      <c r="J267" s="1425"/>
      <c r="K267" s="1425" t="s">
        <v>821</v>
      </c>
      <c r="L267" s="301" t="s">
        <v>806</v>
      </c>
      <c r="M267" s="1425" t="s">
        <v>497</v>
      </c>
      <c r="N267" s="476" t="s">
        <v>2497</v>
      </c>
      <c r="O267" s="1425" t="s">
        <v>47</v>
      </c>
      <c r="P267" s="16" t="s">
        <v>822</v>
      </c>
      <c r="Q267" s="302" t="s">
        <v>823</v>
      </c>
      <c r="R267" s="303">
        <v>2015</v>
      </c>
      <c r="S267" s="303" t="s">
        <v>177</v>
      </c>
      <c r="T267" s="303">
        <v>500</v>
      </c>
      <c r="U267" s="572">
        <v>500</v>
      </c>
      <c r="V267" s="572">
        <v>500</v>
      </c>
      <c r="W267" s="572">
        <v>500</v>
      </c>
      <c r="X267" s="572">
        <v>2000</v>
      </c>
      <c r="Y267" s="481">
        <v>10</v>
      </c>
      <c r="Z267" s="481"/>
      <c r="AA267" s="481"/>
      <c r="AB267" s="481"/>
      <c r="AC267" s="481"/>
      <c r="AD267" s="481"/>
      <c r="AE267" s="481"/>
      <c r="AF267" s="481">
        <f t="shared" si="214"/>
        <v>10</v>
      </c>
      <c r="AG267" s="548">
        <v>10</v>
      </c>
      <c r="AH267" s="548"/>
      <c r="AI267" s="548"/>
      <c r="AJ267" s="548"/>
      <c r="AK267" s="548"/>
      <c r="AL267" s="548"/>
      <c r="AM267" s="548">
        <f t="shared" si="216"/>
        <v>10</v>
      </c>
      <c r="AN267" s="481">
        <v>10</v>
      </c>
      <c r="AO267" s="481"/>
      <c r="AP267" s="481"/>
      <c r="AQ267" s="481"/>
      <c r="AR267" s="481"/>
      <c r="AS267" s="481"/>
      <c r="AT267" s="481"/>
      <c r="AU267" s="481">
        <f t="shared" si="218"/>
        <v>10</v>
      </c>
      <c r="AV267" s="548">
        <v>10</v>
      </c>
      <c r="AW267" s="548"/>
      <c r="AX267" s="548"/>
      <c r="AY267" s="548"/>
      <c r="AZ267" s="548"/>
      <c r="BA267" s="548"/>
      <c r="BB267" s="548"/>
      <c r="BC267" s="548">
        <f t="shared" si="220"/>
        <v>10</v>
      </c>
      <c r="BD267" s="42">
        <f t="shared" si="203"/>
        <v>40</v>
      </c>
      <c r="BE267" s="42">
        <f t="shared" si="204"/>
        <v>0</v>
      </c>
      <c r="BF267" s="42">
        <f t="shared" si="205"/>
        <v>0</v>
      </c>
      <c r="BG267" s="42">
        <f t="shared" si="206"/>
        <v>0</v>
      </c>
      <c r="BH267" s="42">
        <f t="shared" si="207"/>
        <v>0</v>
      </c>
      <c r="BI267" s="42">
        <f t="shared" si="181"/>
        <v>0</v>
      </c>
      <c r="BJ267" s="42">
        <f t="shared" si="208"/>
        <v>0</v>
      </c>
      <c r="BK267" s="42">
        <f t="shared" si="209"/>
        <v>40</v>
      </c>
      <c r="BL267" s="40">
        <f t="shared" si="225"/>
        <v>40</v>
      </c>
    </row>
    <row r="268" spans="1:64" ht="49.5" customHeight="1" x14ac:dyDescent="0.25">
      <c r="A268" s="298" t="s">
        <v>800</v>
      </c>
      <c r="B268" s="299" t="s">
        <v>801</v>
      </c>
      <c r="C268" s="1547"/>
      <c r="D268" s="1549"/>
      <c r="E268" s="1549"/>
      <c r="F268" s="1549"/>
      <c r="G268" s="1549"/>
      <c r="H268" s="1549"/>
      <c r="I268" s="1425"/>
      <c r="J268" s="1425"/>
      <c r="K268" s="1425" t="s">
        <v>824</v>
      </c>
      <c r="L268" s="301" t="s">
        <v>806</v>
      </c>
      <c r="M268" s="1425" t="s">
        <v>497</v>
      </c>
      <c r="N268" s="476" t="s">
        <v>2497</v>
      </c>
      <c r="O268" s="1425" t="s">
        <v>47</v>
      </c>
      <c r="P268" s="16" t="s">
        <v>825</v>
      </c>
      <c r="Q268" s="302" t="s">
        <v>826</v>
      </c>
      <c r="R268" s="303">
        <v>2015</v>
      </c>
      <c r="S268" s="303">
        <v>0</v>
      </c>
      <c r="T268" s="303">
        <v>1</v>
      </c>
      <c r="U268" s="572">
        <v>1</v>
      </c>
      <c r="V268" s="572">
        <v>1</v>
      </c>
      <c r="W268" s="572">
        <v>1</v>
      </c>
      <c r="X268" s="572">
        <v>4</v>
      </c>
      <c r="Y268" s="481"/>
      <c r="Z268" s="481"/>
      <c r="AA268" s="491">
        <v>1</v>
      </c>
      <c r="AB268" s="481"/>
      <c r="AC268" s="481"/>
      <c r="AD268" s="481"/>
      <c r="AE268" s="481"/>
      <c r="AF268" s="481">
        <f t="shared" si="214"/>
        <v>1</v>
      </c>
      <c r="AG268" s="491">
        <v>0.5</v>
      </c>
      <c r="AH268" s="548"/>
      <c r="AI268" s="548"/>
      <c r="AJ268" s="548"/>
      <c r="AK268" s="548"/>
      <c r="AL268" s="548"/>
      <c r="AM268" s="548">
        <f t="shared" si="216"/>
        <v>0.5</v>
      </c>
      <c r="AN268" s="491">
        <v>1</v>
      </c>
      <c r="AO268" s="481"/>
      <c r="AP268" s="481"/>
      <c r="AQ268" s="481"/>
      <c r="AR268" s="481"/>
      <c r="AS268" s="481"/>
      <c r="AT268" s="481"/>
      <c r="AU268" s="481">
        <f t="shared" si="218"/>
        <v>1</v>
      </c>
      <c r="AV268" s="548">
        <v>5</v>
      </c>
      <c r="AW268" s="548"/>
      <c r="AX268" s="548"/>
      <c r="AY268" s="548"/>
      <c r="AZ268" s="548"/>
      <c r="BA268" s="548"/>
      <c r="BB268" s="548"/>
      <c r="BC268" s="548">
        <f t="shared" si="220"/>
        <v>5</v>
      </c>
      <c r="BD268" s="42">
        <f t="shared" si="203"/>
        <v>6.5</v>
      </c>
      <c r="BE268" s="42">
        <f t="shared" si="204"/>
        <v>0</v>
      </c>
      <c r="BF268" s="42">
        <f t="shared" si="205"/>
        <v>1</v>
      </c>
      <c r="BG268" s="42">
        <f t="shared" si="206"/>
        <v>0</v>
      </c>
      <c r="BH268" s="42">
        <f t="shared" si="207"/>
        <v>0</v>
      </c>
      <c r="BI268" s="42">
        <f t="shared" ref="BI268:BI333" si="226">+AD268+AS268+BA268</f>
        <v>0</v>
      </c>
      <c r="BJ268" s="42">
        <f t="shared" si="208"/>
        <v>0</v>
      </c>
      <c r="BK268" s="42">
        <f t="shared" si="209"/>
        <v>7.5</v>
      </c>
      <c r="BL268" s="40">
        <f t="shared" si="225"/>
        <v>7.5</v>
      </c>
    </row>
    <row r="269" spans="1:64" ht="51.75" customHeight="1" x14ac:dyDescent="0.25">
      <c r="A269" s="298" t="s">
        <v>800</v>
      </c>
      <c r="B269" s="299" t="s">
        <v>801</v>
      </c>
      <c r="C269" s="1547"/>
      <c r="D269" s="1549"/>
      <c r="E269" s="1549"/>
      <c r="F269" s="1549"/>
      <c r="G269" s="1549"/>
      <c r="H269" s="1549"/>
      <c r="I269" s="1425"/>
      <c r="J269" s="1425"/>
      <c r="K269" s="1425" t="s">
        <v>827</v>
      </c>
      <c r="L269" s="301" t="s">
        <v>806</v>
      </c>
      <c r="M269" s="1425" t="s">
        <v>497</v>
      </c>
      <c r="N269" s="476" t="s">
        <v>2497</v>
      </c>
      <c r="O269" s="1425" t="s">
        <v>47</v>
      </c>
      <c r="P269" s="16" t="s">
        <v>828</v>
      </c>
      <c r="Q269" s="302" t="s">
        <v>829</v>
      </c>
      <c r="R269" s="303">
        <v>2015</v>
      </c>
      <c r="S269" s="303">
        <v>0</v>
      </c>
      <c r="T269" s="303">
        <v>1</v>
      </c>
      <c r="U269" s="572">
        <v>1</v>
      </c>
      <c r="V269" s="572">
        <v>1</v>
      </c>
      <c r="W269" s="572">
        <v>1</v>
      </c>
      <c r="X269" s="572">
        <v>4</v>
      </c>
      <c r="Y269" s="481"/>
      <c r="Z269" s="481"/>
      <c r="AA269" s="491">
        <v>1</v>
      </c>
      <c r="AB269" s="481"/>
      <c r="AC269" s="481"/>
      <c r="AD269" s="481"/>
      <c r="AE269" s="481"/>
      <c r="AF269" s="481">
        <f t="shared" si="214"/>
        <v>1</v>
      </c>
      <c r="AG269" s="491">
        <v>0.5</v>
      </c>
      <c r="AH269" s="548"/>
      <c r="AI269" s="548"/>
      <c r="AJ269" s="548"/>
      <c r="AK269" s="548"/>
      <c r="AL269" s="548"/>
      <c r="AM269" s="548">
        <f t="shared" si="216"/>
        <v>0.5</v>
      </c>
      <c r="AN269" s="491">
        <v>1</v>
      </c>
      <c r="AO269" s="481"/>
      <c r="AP269" s="481"/>
      <c r="AQ269" s="481"/>
      <c r="AR269" s="481"/>
      <c r="AS269" s="481"/>
      <c r="AT269" s="481"/>
      <c r="AU269" s="481">
        <f t="shared" si="218"/>
        <v>1</v>
      </c>
      <c r="AV269" s="491">
        <v>1</v>
      </c>
      <c r="AW269" s="548"/>
      <c r="AX269" s="548"/>
      <c r="AY269" s="548"/>
      <c r="AZ269" s="548"/>
      <c r="BA269" s="548"/>
      <c r="BB269" s="548"/>
      <c r="BC269" s="548">
        <f t="shared" si="220"/>
        <v>1</v>
      </c>
      <c r="BD269" s="42">
        <f t="shared" si="203"/>
        <v>2.5</v>
      </c>
      <c r="BE269" s="42">
        <f t="shared" si="204"/>
        <v>0</v>
      </c>
      <c r="BF269" s="42">
        <f t="shared" si="205"/>
        <v>1</v>
      </c>
      <c r="BG269" s="42">
        <f t="shared" si="206"/>
        <v>0</v>
      </c>
      <c r="BH269" s="42">
        <f t="shared" si="207"/>
        <v>0</v>
      </c>
      <c r="BI269" s="42">
        <f t="shared" si="226"/>
        <v>0</v>
      </c>
      <c r="BJ269" s="42">
        <f t="shared" si="208"/>
        <v>0</v>
      </c>
      <c r="BK269" s="42">
        <f t="shared" si="209"/>
        <v>3.5</v>
      </c>
      <c r="BL269" s="40">
        <f t="shared" si="225"/>
        <v>3.5</v>
      </c>
    </row>
    <row r="270" spans="1:64" ht="53.25" customHeight="1" x14ac:dyDescent="0.25">
      <c r="A270" s="298" t="s">
        <v>800</v>
      </c>
      <c r="B270" s="299" t="s">
        <v>801</v>
      </c>
      <c r="C270" s="1547"/>
      <c r="D270" s="1549"/>
      <c r="E270" s="1549"/>
      <c r="F270" s="1549"/>
      <c r="G270" s="1549"/>
      <c r="H270" s="1549"/>
      <c r="I270" s="1425"/>
      <c r="J270" s="1425"/>
      <c r="K270" s="1425" t="s">
        <v>830</v>
      </c>
      <c r="L270" s="301" t="s">
        <v>806</v>
      </c>
      <c r="M270" s="1425" t="s">
        <v>497</v>
      </c>
      <c r="N270" s="476" t="s">
        <v>2497</v>
      </c>
      <c r="O270" s="1425" t="s">
        <v>73</v>
      </c>
      <c r="P270" s="16" t="s">
        <v>831</v>
      </c>
      <c r="Q270" s="302" t="s">
        <v>832</v>
      </c>
      <c r="R270" s="303">
        <v>2015</v>
      </c>
      <c r="S270" s="303">
        <v>2</v>
      </c>
      <c r="T270" s="303">
        <v>3</v>
      </c>
      <c r="U270" s="572">
        <v>3</v>
      </c>
      <c r="V270" s="572">
        <v>3</v>
      </c>
      <c r="W270" s="572">
        <v>3</v>
      </c>
      <c r="X270" s="572">
        <v>3</v>
      </c>
      <c r="Y270" s="481">
        <v>10</v>
      </c>
      <c r="Z270" s="481"/>
      <c r="AA270" s="481"/>
      <c r="AB270" s="481"/>
      <c r="AC270" s="481"/>
      <c r="AD270" s="481"/>
      <c r="AE270" s="481"/>
      <c r="AF270" s="481">
        <f t="shared" si="214"/>
        <v>10</v>
      </c>
      <c r="AG270" s="548">
        <v>10</v>
      </c>
      <c r="AH270" s="548"/>
      <c r="AI270" s="548"/>
      <c r="AJ270" s="548"/>
      <c r="AK270" s="548"/>
      <c r="AL270" s="548"/>
      <c r="AM270" s="548">
        <f t="shared" si="216"/>
        <v>10</v>
      </c>
      <c r="AN270" s="481">
        <v>10</v>
      </c>
      <c r="AO270" s="481"/>
      <c r="AP270" s="481"/>
      <c r="AQ270" s="481"/>
      <c r="AR270" s="481"/>
      <c r="AS270" s="481"/>
      <c r="AT270" s="481"/>
      <c r="AU270" s="481">
        <f t="shared" si="218"/>
        <v>10</v>
      </c>
      <c r="AV270" s="548">
        <v>10</v>
      </c>
      <c r="AW270" s="548"/>
      <c r="AX270" s="548"/>
      <c r="AY270" s="548"/>
      <c r="AZ270" s="548"/>
      <c r="BA270" s="548"/>
      <c r="BB270" s="548"/>
      <c r="BC270" s="548">
        <f t="shared" si="220"/>
        <v>10</v>
      </c>
      <c r="BD270" s="42">
        <f t="shared" si="203"/>
        <v>40</v>
      </c>
      <c r="BE270" s="42">
        <f t="shared" si="204"/>
        <v>0</v>
      </c>
      <c r="BF270" s="42">
        <f t="shared" si="205"/>
        <v>0</v>
      </c>
      <c r="BG270" s="42">
        <f t="shared" si="206"/>
        <v>0</v>
      </c>
      <c r="BH270" s="42">
        <f t="shared" si="207"/>
        <v>0</v>
      </c>
      <c r="BI270" s="42">
        <f t="shared" si="226"/>
        <v>0</v>
      </c>
      <c r="BJ270" s="42">
        <f t="shared" si="208"/>
        <v>0</v>
      </c>
      <c r="BK270" s="42">
        <f t="shared" si="209"/>
        <v>40</v>
      </c>
      <c r="BL270" s="40">
        <f t="shared" si="225"/>
        <v>40</v>
      </c>
    </row>
    <row r="271" spans="1:64" ht="45.75" customHeight="1" x14ac:dyDescent="0.25">
      <c r="A271" s="298" t="s">
        <v>800</v>
      </c>
      <c r="B271" s="299" t="s">
        <v>801</v>
      </c>
      <c r="C271" s="1547"/>
      <c r="D271" s="1549"/>
      <c r="E271" s="1549"/>
      <c r="F271" s="1549"/>
      <c r="G271" s="1549"/>
      <c r="H271" s="1549"/>
      <c r="I271" s="1425"/>
      <c r="J271" s="1425"/>
      <c r="K271" s="1425" t="s">
        <v>833</v>
      </c>
      <c r="L271" s="301" t="s">
        <v>806</v>
      </c>
      <c r="M271" s="1425" t="s">
        <v>497</v>
      </c>
      <c r="N271" s="476" t="s">
        <v>2497</v>
      </c>
      <c r="O271" s="1425" t="s">
        <v>47</v>
      </c>
      <c r="P271" s="16" t="s">
        <v>834</v>
      </c>
      <c r="Q271" s="302" t="s">
        <v>835</v>
      </c>
      <c r="R271" s="303">
        <v>2015</v>
      </c>
      <c r="S271" s="303">
        <v>1</v>
      </c>
      <c r="T271" s="303">
        <v>1</v>
      </c>
      <c r="U271" s="572">
        <v>1</v>
      </c>
      <c r="V271" s="572">
        <v>1</v>
      </c>
      <c r="W271" s="572">
        <v>1</v>
      </c>
      <c r="X271" s="572">
        <v>4</v>
      </c>
      <c r="Y271" s="481"/>
      <c r="Z271" s="481"/>
      <c r="AA271" s="491">
        <v>1</v>
      </c>
      <c r="AB271" s="481"/>
      <c r="AC271" s="481"/>
      <c r="AD271" s="481"/>
      <c r="AE271" s="481"/>
      <c r="AF271" s="481">
        <f t="shared" si="214"/>
        <v>1</v>
      </c>
      <c r="AG271" s="491">
        <v>0.5</v>
      </c>
      <c r="AH271" s="548"/>
      <c r="AI271" s="548"/>
      <c r="AJ271" s="548"/>
      <c r="AK271" s="548"/>
      <c r="AL271" s="548"/>
      <c r="AM271" s="548">
        <f t="shared" si="216"/>
        <v>0.5</v>
      </c>
      <c r="AN271" s="491">
        <v>1</v>
      </c>
      <c r="AO271" s="481"/>
      <c r="AP271" s="481"/>
      <c r="AQ271" s="481"/>
      <c r="AR271" s="481"/>
      <c r="AS271" s="481"/>
      <c r="AT271" s="481"/>
      <c r="AU271" s="481">
        <f t="shared" si="218"/>
        <v>1</v>
      </c>
      <c r="AV271" s="491">
        <v>1</v>
      </c>
      <c r="AW271" s="548"/>
      <c r="AX271" s="548"/>
      <c r="AY271" s="548"/>
      <c r="AZ271" s="548"/>
      <c r="BA271" s="548"/>
      <c r="BB271" s="548"/>
      <c r="BC271" s="548">
        <f t="shared" si="220"/>
        <v>1</v>
      </c>
      <c r="BD271" s="42">
        <f t="shared" si="203"/>
        <v>2.5</v>
      </c>
      <c r="BE271" s="42">
        <f t="shared" si="204"/>
        <v>0</v>
      </c>
      <c r="BF271" s="42">
        <f t="shared" si="205"/>
        <v>1</v>
      </c>
      <c r="BG271" s="42">
        <f t="shared" si="206"/>
        <v>0</v>
      </c>
      <c r="BH271" s="42">
        <f t="shared" si="207"/>
        <v>0</v>
      </c>
      <c r="BI271" s="42">
        <f t="shared" si="226"/>
        <v>0</v>
      </c>
      <c r="BJ271" s="42">
        <f t="shared" si="208"/>
        <v>0</v>
      </c>
      <c r="BK271" s="42">
        <f t="shared" si="209"/>
        <v>3.5</v>
      </c>
      <c r="BL271" s="40">
        <f t="shared" si="225"/>
        <v>3.5</v>
      </c>
    </row>
    <row r="272" spans="1:64" ht="47.25" customHeight="1" x14ac:dyDescent="0.25">
      <c r="A272" s="298" t="s">
        <v>800</v>
      </c>
      <c r="B272" s="299" t="s">
        <v>801</v>
      </c>
      <c r="C272" s="1548"/>
      <c r="D272" s="1549"/>
      <c r="E272" s="1549"/>
      <c r="F272" s="1549"/>
      <c r="G272" s="1549"/>
      <c r="H272" s="1549"/>
      <c r="I272" s="1425"/>
      <c r="J272" s="1425"/>
      <c r="K272" s="1425" t="s">
        <v>836</v>
      </c>
      <c r="L272" s="301" t="s">
        <v>806</v>
      </c>
      <c r="M272" s="1425" t="s">
        <v>497</v>
      </c>
      <c r="N272" s="476" t="s">
        <v>2497</v>
      </c>
      <c r="O272" s="1425" t="s">
        <v>73</v>
      </c>
      <c r="P272" s="16" t="s">
        <v>837</v>
      </c>
      <c r="Q272" s="302" t="s">
        <v>838</v>
      </c>
      <c r="R272" s="303">
        <v>2015</v>
      </c>
      <c r="S272" s="303">
        <v>1</v>
      </c>
      <c r="T272" s="303">
        <v>1</v>
      </c>
      <c r="U272" s="572">
        <v>1</v>
      </c>
      <c r="V272" s="572">
        <v>1</v>
      </c>
      <c r="W272" s="572">
        <v>1</v>
      </c>
      <c r="X272" s="572">
        <v>1</v>
      </c>
      <c r="Y272" s="481"/>
      <c r="Z272" s="481"/>
      <c r="AA272" s="491">
        <v>1</v>
      </c>
      <c r="AB272" s="481"/>
      <c r="AC272" s="481"/>
      <c r="AD272" s="481"/>
      <c r="AE272" s="481"/>
      <c r="AF272" s="481">
        <f t="shared" si="214"/>
        <v>1</v>
      </c>
      <c r="AG272" s="491">
        <v>0.5</v>
      </c>
      <c r="AH272" s="548"/>
      <c r="AI272" s="548"/>
      <c r="AJ272" s="548"/>
      <c r="AK272" s="548"/>
      <c r="AL272" s="548"/>
      <c r="AM272" s="548">
        <f t="shared" si="216"/>
        <v>0.5</v>
      </c>
      <c r="AN272" s="481">
        <v>5</v>
      </c>
      <c r="AO272" s="481"/>
      <c r="AP272" s="481"/>
      <c r="AQ272" s="481"/>
      <c r="AR272" s="481"/>
      <c r="AS272" s="481"/>
      <c r="AT272" s="481"/>
      <c r="AU272" s="481">
        <f t="shared" si="218"/>
        <v>5</v>
      </c>
      <c r="AV272" s="491">
        <v>3</v>
      </c>
      <c r="AW272" s="548"/>
      <c r="AX272" s="548"/>
      <c r="AY272" s="548"/>
      <c r="AZ272" s="548"/>
      <c r="BA272" s="548"/>
      <c r="BB272" s="548"/>
      <c r="BC272" s="548">
        <f t="shared" si="220"/>
        <v>3</v>
      </c>
      <c r="BD272" s="42">
        <f t="shared" si="203"/>
        <v>8.5</v>
      </c>
      <c r="BE272" s="42">
        <f t="shared" si="204"/>
        <v>0</v>
      </c>
      <c r="BF272" s="42">
        <f t="shared" si="205"/>
        <v>1</v>
      </c>
      <c r="BG272" s="42">
        <f t="shared" si="206"/>
        <v>0</v>
      </c>
      <c r="BH272" s="42">
        <f t="shared" si="207"/>
        <v>0</v>
      </c>
      <c r="BI272" s="42">
        <f t="shared" si="226"/>
        <v>0</v>
      </c>
      <c r="BJ272" s="42">
        <f t="shared" si="208"/>
        <v>0</v>
      </c>
      <c r="BK272" s="42">
        <f t="shared" si="209"/>
        <v>9.5</v>
      </c>
      <c r="BL272" s="40">
        <f t="shared" si="225"/>
        <v>9.5</v>
      </c>
    </row>
    <row r="273" spans="1:64" ht="66" x14ac:dyDescent="0.25">
      <c r="A273" s="295" t="s">
        <v>800</v>
      </c>
      <c r="B273" s="24" t="s">
        <v>798</v>
      </c>
      <c r="C273" s="6"/>
      <c r="D273" s="2" t="s">
        <v>839</v>
      </c>
      <c r="E273" s="1"/>
      <c r="F273" s="1"/>
      <c r="G273" s="1"/>
      <c r="H273" s="1"/>
      <c r="I273" s="1"/>
      <c r="J273" s="1"/>
      <c r="K273" s="1"/>
      <c r="L273" s="1"/>
      <c r="M273" s="1"/>
      <c r="N273" s="1"/>
      <c r="O273" s="1"/>
      <c r="P273" s="22"/>
      <c r="Q273" s="22"/>
      <c r="R273" s="1"/>
      <c r="S273" s="1"/>
      <c r="T273" s="1"/>
      <c r="U273" s="49"/>
      <c r="V273" s="49"/>
      <c r="W273" s="49"/>
      <c r="X273" s="49"/>
      <c r="Y273" s="34">
        <f t="shared" ref="Y273:AE273" si="227">SUM(Y274:Y285)</f>
        <v>4.5</v>
      </c>
      <c r="Z273" s="34">
        <f t="shared" si="227"/>
        <v>0</v>
      </c>
      <c r="AA273" s="34">
        <f t="shared" si="227"/>
        <v>1</v>
      </c>
      <c r="AB273" s="34">
        <f t="shared" si="227"/>
        <v>0</v>
      </c>
      <c r="AC273" s="34">
        <f t="shared" si="227"/>
        <v>0</v>
      </c>
      <c r="AD273" s="34">
        <f t="shared" si="227"/>
        <v>0</v>
      </c>
      <c r="AE273" s="34">
        <f t="shared" si="227"/>
        <v>0</v>
      </c>
      <c r="AF273" s="34">
        <f t="shared" si="214"/>
        <v>5.5</v>
      </c>
      <c r="AG273" s="34">
        <f t="shared" ref="AG273:AL273" si="228">SUM(AG274:AG285)</f>
        <v>10</v>
      </c>
      <c r="AH273" s="34">
        <f t="shared" si="228"/>
        <v>0</v>
      </c>
      <c r="AI273" s="34">
        <f t="shared" si="228"/>
        <v>0</v>
      </c>
      <c r="AJ273" s="34">
        <f t="shared" si="228"/>
        <v>0</v>
      </c>
      <c r="AK273" s="34">
        <f t="shared" si="228"/>
        <v>0</v>
      </c>
      <c r="AL273" s="34">
        <f t="shared" si="228"/>
        <v>0</v>
      </c>
      <c r="AM273" s="34">
        <f t="shared" si="216"/>
        <v>10</v>
      </c>
      <c r="AN273" s="34">
        <f t="shared" ref="AN273:AT273" si="229">SUM(AN274:AN285)</f>
        <v>10</v>
      </c>
      <c r="AO273" s="34">
        <f t="shared" si="229"/>
        <v>0</v>
      </c>
      <c r="AP273" s="34">
        <f t="shared" si="229"/>
        <v>4.5</v>
      </c>
      <c r="AQ273" s="34">
        <f t="shared" si="229"/>
        <v>0</v>
      </c>
      <c r="AR273" s="34">
        <f t="shared" si="229"/>
        <v>0</v>
      </c>
      <c r="AS273" s="34">
        <f t="shared" si="229"/>
        <v>0</v>
      </c>
      <c r="AT273" s="34">
        <f t="shared" si="229"/>
        <v>0</v>
      </c>
      <c r="AU273" s="34">
        <f t="shared" si="218"/>
        <v>14.5</v>
      </c>
      <c r="AV273" s="34">
        <f t="shared" ref="AV273:BB273" si="230">SUM(AV274:AV285)</f>
        <v>10</v>
      </c>
      <c r="AW273" s="34">
        <f t="shared" si="230"/>
        <v>0</v>
      </c>
      <c r="AX273" s="34">
        <f t="shared" si="230"/>
        <v>5</v>
      </c>
      <c r="AY273" s="34">
        <f t="shared" si="230"/>
        <v>0</v>
      </c>
      <c r="AZ273" s="34">
        <f t="shared" si="230"/>
        <v>0</v>
      </c>
      <c r="BA273" s="34">
        <f t="shared" si="230"/>
        <v>0</v>
      </c>
      <c r="BB273" s="34">
        <f t="shared" si="230"/>
        <v>0</v>
      </c>
      <c r="BC273" s="34">
        <f t="shared" si="220"/>
        <v>15</v>
      </c>
      <c r="BD273" s="34">
        <f t="shared" si="203"/>
        <v>34.5</v>
      </c>
      <c r="BE273" s="34">
        <f t="shared" si="204"/>
        <v>0</v>
      </c>
      <c r="BF273" s="34">
        <f t="shared" si="205"/>
        <v>10.5</v>
      </c>
      <c r="BG273" s="34">
        <f t="shared" si="206"/>
        <v>0</v>
      </c>
      <c r="BH273" s="34">
        <f t="shared" si="207"/>
        <v>0</v>
      </c>
      <c r="BI273" s="34">
        <f t="shared" si="226"/>
        <v>0</v>
      </c>
      <c r="BJ273" s="34">
        <f t="shared" si="208"/>
        <v>0</v>
      </c>
      <c r="BK273" s="34">
        <f t="shared" si="209"/>
        <v>45</v>
      </c>
      <c r="BL273" s="40">
        <f t="shared" si="225"/>
        <v>45</v>
      </c>
    </row>
    <row r="274" spans="1:64" ht="57.75" customHeight="1" x14ac:dyDescent="0.25">
      <c r="A274" s="298" t="s">
        <v>800</v>
      </c>
      <c r="B274" s="299" t="s">
        <v>801</v>
      </c>
      <c r="C274" s="1546" t="s">
        <v>840</v>
      </c>
      <c r="D274" s="1549" t="s">
        <v>841</v>
      </c>
      <c r="E274" s="1549" t="s">
        <v>842</v>
      </c>
      <c r="F274" s="1549">
        <v>2015</v>
      </c>
      <c r="G274" s="1562">
        <v>20000</v>
      </c>
      <c r="H274" s="1562">
        <v>22000</v>
      </c>
      <c r="I274" s="1428"/>
      <c r="J274" s="1428"/>
      <c r="K274" s="1428" t="s">
        <v>843</v>
      </c>
      <c r="L274" s="301" t="s">
        <v>806</v>
      </c>
      <c r="M274" s="1425" t="s">
        <v>45</v>
      </c>
      <c r="N274" s="476" t="s">
        <v>46</v>
      </c>
      <c r="O274" s="1425" t="s">
        <v>47</v>
      </c>
      <c r="P274" s="16" t="s">
        <v>844</v>
      </c>
      <c r="Q274" s="302" t="s">
        <v>845</v>
      </c>
      <c r="R274" s="303">
        <v>2015</v>
      </c>
      <c r="S274" s="303">
        <v>0</v>
      </c>
      <c r="T274" s="303">
        <v>0</v>
      </c>
      <c r="U274" s="572">
        <v>0</v>
      </c>
      <c r="V274" s="572">
        <v>1</v>
      </c>
      <c r="W274" s="572">
        <v>1</v>
      </c>
      <c r="X274" s="572">
        <v>1</v>
      </c>
      <c r="Y274" s="481"/>
      <c r="Z274" s="481"/>
      <c r="AA274" s="481"/>
      <c r="AB274" s="481"/>
      <c r="AC274" s="481"/>
      <c r="AD274" s="481"/>
      <c r="AE274" s="481"/>
      <c r="AF274" s="481">
        <f t="shared" si="214"/>
        <v>0</v>
      </c>
      <c r="AG274" s="548"/>
      <c r="AH274" s="548"/>
      <c r="AI274" s="548"/>
      <c r="AJ274" s="548"/>
      <c r="AK274" s="548"/>
      <c r="AL274" s="548"/>
      <c r="AM274" s="31">
        <f t="shared" si="216"/>
        <v>0</v>
      </c>
      <c r="AN274" s="491">
        <v>0.5</v>
      </c>
      <c r="AO274" s="481"/>
      <c r="AP274" s="481"/>
      <c r="AQ274" s="481"/>
      <c r="AR274" s="481"/>
      <c r="AS274" s="481"/>
      <c r="AT274" s="481"/>
      <c r="AU274" s="481">
        <f t="shared" si="218"/>
        <v>0.5</v>
      </c>
      <c r="AV274" s="491">
        <v>0.5</v>
      </c>
      <c r="AW274" s="548"/>
      <c r="AX274" s="548"/>
      <c r="AY274" s="548"/>
      <c r="AZ274" s="548"/>
      <c r="BA274" s="548"/>
      <c r="BB274" s="548"/>
      <c r="BC274" s="548">
        <f t="shared" si="220"/>
        <v>0.5</v>
      </c>
      <c r="BD274" s="42">
        <f t="shared" si="203"/>
        <v>1</v>
      </c>
      <c r="BE274" s="42">
        <f t="shared" si="204"/>
        <v>0</v>
      </c>
      <c r="BF274" s="42">
        <f t="shared" si="205"/>
        <v>0</v>
      </c>
      <c r="BG274" s="42">
        <f t="shared" si="206"/>
        <v>0</v>
      </c>
      <c r="BH274" s="42">
        <f t="shared" si="207"/>
        <v>0</v>
      </c>
      <c r="BI274" s="42">
        <f t="shared" si="226"/>
        <v>0</v>
      </c>
      <c r="BJ274" s="42">
        <f t="shared" si="208"/>
        <v>0</v>
      </c>
      <c r="BK274" s="42">
        <f t="shared" si="209"/>
        <v>1</v>
      </c>
      <c r="BL274" s="40">
        <f t="shared" si="225"/>
        <v>1</v>
      </c>
    </row>
    <row r="275" spans="1:64" ht="49.5" customHeight="1" x14ac:dyDescent="0.25">
      <c r="A275" s="298" t="s">
        <v>800</v>
      </c>
      <c r="B275" s="299" t="s">
        <v>801</v>
      </c>
      <c r="C275" s="1547"/>
      <c r="D275" s="1549"/>
      <c r="E275" s="1549"/>
      <c r="F275" s="1549"/>
      <c r="G275" s="1549"/>
      <c r="H275" s="1549"/>
      <c r="I275" s="1425"/>
      <c r="J275" s="1425"/>
      <c r="K275" s="1428" t="s">
        <v>846</v>
      </c>
      <c r="L275" s="301" t="s">
        <v>806</v>
      </c>
      <c r="M275" s="1425" t="s">
        <v>45</v>
      </c>
      <c r="N275" s="476" t="s">
        <v>46</v>
      </c>
      <c r="O275" s="1425" t="s">
        <v>47</v>
      </c>
      <c r="P275" s="16" t="s">
        <v>847</v>
      </c>
      <c r="Q275" s="302" t="s">
        <v>337</v>
      </c>
      <c r="R275" s="303">
        <v>2015</v>
      </c>
      <c r="S275" s="303">
        <v>0</v>
      </c>
      <c r="T275" s="303">
        <v>1</v>
      </c>
      <c r="U275" s="572">
        <v>2</v>
      </c>
      <c r="V275" s="572">
        <v>3</v>
      </c>
      <c r="W275" s="572">
        <v>2</v>
      </c>
      <c r="X275" s="572">
        <v>8</v>
      </c>
      <c r="Y275" s="481">
        <v>0</v>
      </c>
      <c r="Z275" s="481"/>
      <c r="AA275" s="491">
        <v>1</v>
      </c>
      <c r="AB275" s="481"/>
      <c r="AC275" s="481"/>
      <c r="AD275" s="481"/>
      <c r="AE275" s="481"/>
      <c r="AF275" s="481">
        <f t="shared" si="214"/>
        <v>1</v>
      </c>
      <c r="AG275" s="491">
        <v>5</v>
      </c>
      <c r="AH275" s="548"/>
      <c r="AI275" s="548"/>
      <c r="AJ275" s="548"/>
      <c r="AK275" s="548"/>
      <c r="AL275" s="548"/>
      <c r="AM275" s="31">
        <f t="shared" si="216"/>
        <v>5</v>
      </c>
      <c r="AN275" s="491">
        <v>5</v>
      </c>
      <c r="AO275" s="481"/>
      <c r="AP275" s="481"/>
      <c r="AQ275" s="481"/>
      <c r="AR275" s="481"/>
      <c r="AS275" s="481"/>
      <c r="AT275" s="481"/>
      <c r="AU275" s="481">
        <f t="shared" si="218"/>
        <v>5</v>
      </c>
      <c r="AV275" s="491">
        <v>5</v>
      </c>
      <c r="AW275" s="548"/>
      <c r="AX275" s="548"/>
      <c r="AY275" s="548"/>
      <c r="AZ275" s="548"/>
      <c r="BA275" s="548"/>
      <c r="BB275" s="548"/>
      <c r="BC275" s="548">
        <f t="shared" si="220"/>
        <v>5</v>
      </c>
      <c r="BD275" s="42">
        <f t="shared" ref="BD275:BD308" si="231">+AV275+AN275+AG275+Y275</f>
        <v>15</v>
      </c>
      <c r="BE275" s="42">
        <f t="shared" ref="BE275:BE308" si="232">+AW275+AO275+AH275+Z275</f>
        <v>0</v>
      </c>
      <c r="BF275" s="42">
        <f t="shared" ref="BF275:BF308" si="233">+AX275+AP275+AI275+AA275</f>
        <v>1</v>
      </c>
      <c r="BG275" s="42">
        <f t="shared" ref="BG275:BG308" si="234">+AY275+AQ275+AJ275+AB275</f>
        <v>0</v>
      </c>
      <c r="BH275" s="42">
        <f t="shared" ref="BH275:BH308" si="235">+AZ275+AR275+AK275+AC275</f>
        <v>0</v>
      </c>
      <c r="BI275" s="42">
        <f t="shared" si="226"/>
        <v>0</v>
      </c>
      <c r="BJ275" s="42">
        <f t="shared" ref="BJ275:BJ308" si="236">+BB275+AT275+AL275+AE275</f>
        <v>0</v>
      </c>
      <c r="BK275" s="42">
        <f t="shared" ref="BK275:BK308" si="237">+BC275+AU275+AM275+AF275</f>
        <v>16</v>
      </c>
      <c r="BL275" s="40">
        <f t="shared" si="225"/>
        <v>16</v>
      </c>
    </row>
    <row r="276" spans="1:64" ht="35.25" customHeight="1" x14ac:dyDescent="0.25">
      <c r="A276" s="298" t="s">
        <v>800</v>
      </c>
      <c r="B276" s="299" t="s">
        <v>801</v>
      </c>
      <c r="C276" s="1547"/>
      <c r="D276" s="1549"/>
      <c r="E276" s="1549"/>
      <c r="F276" s="1549"/>
      <c r="G276" s="1549"/>
      <c r="H276" s="1549"/>
      <c r="I276" s="1425"/>
      <c r="J276" s="1425"/>
      <c r="K276" s="1428" t="s">
        <v>848</v>
      </c>
      <c r="L276" s="301" t="s">
        <v>806</v>
      </c>
      <c r="M276" s="1425" t="s">
        <v>45</v>
      </c>
      <c r="N276" s="476" t="s">
        <v>46</v>
      </c>
      <c r="O276" s="1425" t="s">
        <v>47</v>
      </c>
      <c r="P276" s="1198" t="s">
        <v>2506</v>
      </c>
      <c r="Q276" s="302" t="s">
        <v>2507</v>
      </c>
      <c r="R276" s="303">
        <v>2015</v>
      </c>
      <c r="S276" s="303">
        <v>0</v>
      </c>
      <c r="T276" s="303">
        <v>0</v>
      </c>
      <c r="U276" s="572">
        <v>0</v>
      </c>
      <c r="V276" s="572">
        <v>1</v>
      </c>
      <c r="W276" s="572">
        <v>1</v>
      </c>
      <c r="X276" s="572">
        <v>2</v>
      </c>
      <c r="Y276" s="481"/>
      <c r="Z276" s="481"/>
      <c r="AA276" s="481"/>
      <c r="AB276" s="481"/>
      <c r="AC276" s="481"/>
      <c r="AD276" s="481"/>
      <c r="AE276" s="481"/>
      <c r="AF276" s="481">
        <f t="shared" si="214"/>
        <v>0</v>
      </c>
      <c r="AG276" s="548"/>
      <c r="AH276" s="548"/>
      <c r="AI276" s="548"/>
      <c r="AJ276" s="548"/>
      <c r="AK276" s="548"/>
      <c r="AL276" s="548"/>
      <c r="AM276" s="31">
        <f t="shared" si="216"/>
        <v>0</v>
      </c>
      <c r="AN276" s="491">
        <v>0.5</v>
      </c>
      <c r="AO276" s="481"/>
      <c r="AP276" s="481"/>
      <c r="AQ276" s="481"/>
      <c r="AR276" s="481"/>
      <c r="AS276" s="481"/>
      <c r="AT276" s="481"/>
      <c r="AU276" s="481">
        <f t="shared" si="218"/>
        <v>0.5</v>
      </c>
      <c r="AV276" s="491">
        <v>0.5</v>
      </c>
      <c r="AW276" s="548"/>
      <c r="AX276" s="548"/>
      <c r="AY276" s="548"/>
      <c r="AZ276" s="548"/>
      <c r="BA276" s="548"/>
      <c r="BB276" s="548"/>
      <c r="BC276" s="548">
        <f t="shared" si="220"/>
        <v>0.5</v>
      </c>
      <c r="BD276" s="42">
        <f t="shared" si="231"/>
        <v>1</v>
      </c>
      <c r="BE276" s="42">
        <f t="shared" si="232"/>
        <v>0</v>
      </c>
      <c r="BF276" s="42">
        <f t="shared" si="233"/>
        <v>0</v>
      </c>
      <c r="BG276" s="42">
        <f t="shared" si="234"/>
        <v>0</v>
      </c>
      <c r="BH276" s="42">
        <f t="shared" si="235"/>
        <v>0</v>
      </c>
      <c r="BI276" s="42">
        <f t="shared" si="226"/>
        <v>0</v>
      </c>
      <c r="BJ276" s="42">
        <f t="shared" si="236"/>
        <v>0</v>
      </c>
      <c r="BK276" s="42">
        <f t="shared" si="237"/>
        <v>1</v>
      </c>
      <c r="BL276" s="40">
        <f t="shared" si="225"/>
        <v>1</v>
      </c>
    </row>
    <row r="277" spans="1:64" ht="51" customHeight="1" x14ac:dyDescent="0.25">
      <c r="A277" s="298" t="s">
        <v>800</v>
      </c>
      <c r="B277" s="299" t="s">
        <v>801</v>
      </c>
      <c r="C277" s="1547"/>
      <c r="D277" s="1549"/>
      <c r="E277" s="1549"/>
      <c r="F277" s="1549"/>
      <c r="G277" s="1549"/>
      <c r="H277" s="1549"/>
      <c r="I277" s="1425"/>
      <c r="J277" s="1425"/>
      <c r="K277" s="1428" t="s">
        <v>851</v>
      </c>
      <c r="L277" s="301" t="s">
        <v>806</v>
      </c>
      <c r="M277" s="1425" t="s">
        <v>45</v>
      </c>
      <c r="N277" s="476" t="s">
        <v>46</v>
      </c>
      <c r="O277" s="1425" t="s">
        <v>47</v>
      </c>
      <c r="P277" s="1198" t="s">
        <v>2508</v>
      </c>
      <c r="Q277" s="302" t="s">
        <v>853</v>
      </c>
      <c r="R277" s="303">
        <v>2015</v>
      </c>
      <c r="S277" s="303">
        <v>0</v>
      </c>
      <c r="T277" s="303">
        <v>0</v>
      </c>
      <c r="U277" s="572">
        <v>0</v>
      </c>
      <c r="V277" s="572">
        <v>2</v>
      </c>
      <c r="W277" s="572">
        <v>2</v>
      </c>
      <c r="X277" s="572">
        <v>4</v>
      </c>
      <c r="Y277" s="481"/>
      <c r="Z277" s="481"/>
      <c r="AA277" s="481"/>
      <c r="AB277" s="481"/>
      <c r="AC277" s="481"/>
      <c r="AD277" s="481"/>
      <c r="AE277" s="481"/>
      <c r="AF277" s="481">
        <f t="shared" si="214"/>
        <v>0</v>
      </c>
      <c r="AG277" s="548"/>
      <c r="AH277" s="548"/>
      <c r="AI277" s="548"/>
      <c r="AJ277" s="548"/>
      <c r="AK277" s="548"/>
      <c r="AL277" s="548"/>
      <c r="AM277" s="31">
        <f t="shared" si="216"/>
        <v>0</v>
      </c>
      <c r="AN277" s="491">
        <v>0.5</v>
      </c>
      <c r="AO277" s="481"/>
      <c r="AP277" s="481"/>
      <c r="AQ277" s="481"/>
      <c r="AR277" s="481"/>
      <c r="AS277" s="481"/>
      <c r="AT277" s="481"/>
      <c r="AU277" s="481">
        <f t="shared" si="218"/>
        <v>0.5</v>
      </c>
      <c r="AV277" s="491">
        <v>0.5</v>
      </c>
      <c r="AW277" s="548"/>
      <c r="AX277" s="548"/>
      <c r="AY277" s="548"/>
      <c r="AZ277" s="548"/>
      <c r="BA277" s="548"/>
      <c r="BB277" s="548"/>
      <c r="BC277" s="548">
        <f t="shared" si="220"/>
        <v>0.5</v>
      </c>
      <c r="BD277" s="42">
        <f t="shared" si="231"/>
        <v>1</v>
      </c>
      <c r="BE277" s="42">
        <f t="shared" si="232"/>
        <v>0</v>
      </c>
      <c r="BF277" s="42">
        <f t="shared" si="233"/>
        <v>0</v>
      </c>
      <c r="BG277" s="42">
        <f t="shared" si="234"/>
        <v>0</v>
      </c>
      <c r="BH277" s="42">
        <f t="shared" si="235"/>
        <v>0</v>
      </c>
      <c r="BI277" s="42">
        <f t="shared" si="226"/>
        <v>0</v>
      </c>
      <c r="BJ277" s="42">
        <f t="shared" si="236"/>
        <v>0</v>
      </c>
      <c r="BK277" s="42">
        <f t="shared" si="237"/>
        <v>1</v>
      </c>
      <c r="BL277" s="40">
        <f t="shared" si="225"/>
        <v>1</v>
      </c>
    </row>
    <row r="278" spans="1:64" ht="35.25" customHeight="1" x14ac:dyDescent="0.25">
      <c r="A278" s="298" t="s">
        <v>800</v>
      </c>
      <c r="B278" s="299" t="s">
        <v>801</v>
      </c>
      <c r="C278" s="1547"/>
      <c r="D278" s="1549"/>
      <c r="E278" s="1549"/>
      <c r="F278" s="1549"/>
      <c r="G278" s="1549"/>
      <c r="H278" s="1549"/>
      <c r="I278" s="1425"/>
      <c r="J278" s="1425"/>
      <c r="K278" s="1428" t="s">
        <v>854</v>
      </c>
      <c r="L278" s="301" t="s">
        <v>806</v>
      </c>
      <c r="M278" s="1425" t="s">
        <v>45</v>
      </c>
      <c r="N278" s="476" t="s">
        <v>46</v>
      </c>
      <c r="O278" s="1425" t="s">
        <v>47</v>
      </c>
      <c r="P278" s="16" t="s">
        <v>855</v>
      </c>
      <c r="Q278" s="302" t="s">
        <v>856</v>
      </c>
      <c r="R278" s="303">
        <v>2015</v>
      </c>
      <c r="S278" s="303">
        <v>0</v>
      </c>
      <c r="T278" s="303">
        <v>0</v>
      </c>
      <c r="U278" s="572">
        <v>2</v>
      </c>
      <c r="V278" s="572">
        <v>1</v>
      </c>
      <c r="W278" s="572">
        <v>1</v>
      </c>
      <c r="X278" s="572">
        <v>4</v>
      </c>
      <c r="Y278" s="481"/>
      <c r="Z278" s="481"/>
      <c r="AA278" s="481"/>
      <c r="AB278" s="481"/>
      <c r="AC278" s="481"/>
      <c r="AD278" s="481"/>
      <c r="AE278" s="481"/>
      <c r="AF278" s="481">
        <f t="shared" si="214"/>
        <v>0</v>
      </c>
      <c r="AG278" s="491">
        <v>1</v>
      </c>
      <c r="AH278" s="548"/>
      <c r="AI278" s="548"/>
      <c r="AJ278" s="548"/>
      <c r="AK278" s="548"/>
      <c r="AL278" s="548"/>
      <c r="AM278" s="31">
        <f t="shared" si="216"/>
        <v>1</v>
      </c>
      <c r="AN278" s="491">
        <v>0.5</v>
      </c>
      <c r="AO278" s="481"/>
      <c r="AP278" s="481"/>
      <c r="AQ278" s="481"/>
      <c r="AR278" s="481"/>
      <c r="AS278" s="481"/>
      <c r="AT278" s="481"/>
      <c r="AU278" s="481">
        <f t="shared" si="218"/>
        <v>0.5</v>
      </c>
      <c r="AV278" s="491">
        <v>0.5</v>
      </c>
      <c r="AW278" s="548"/>
      <c r="AX278" s="548"/>
      <c r="AY278" s="548"/>
      <c r="AZ278" s="548"/>
      <c r="BA278" s="548"/>
      <c r="BB278" s="548"/>
      <c r="BC278" s="548">
        <f t="shared" si="220"/>
        <v>0.5</v>
      </c>
      <c r="BD278" s="42">
        <f t="shared" si="231"/>
        <v>2</v>
      </c>
      <c r="BE278" s="42">
        <f t="shared" si="232"/>
        <v>0</v>
      </c>
      <c r="BF278" s="42">
        <f t="shared" si="233"/>
        <v>0</v>
      </c>
      <c r="BG278" s="42">
        <f t="shared" si="234"/>
        <v>0</v>
      </c>
      <c r="BH278" s="42">
        <f t="shared" si="235"/>
        <v>0</v>
      </c>
      <c r="BI278" s="42">
        <f t="shared" si="226"/>
        <v>0</v>
      </c>
      <c r="BJ278" s="42">
        <f t="shared" si="236"/>
        <v>0</v>
      </c>
      <c r="BK278" s="42">
        <f t="shared" si="237"/>
        <v>2</v>
      </c>
      <c r="BL278" s="40">
        <f t="shared" si="225"/>
        <v>2</v>
      </c>
    </row>
    <row r="279" spans="1:64" ht="33.75" customHeight="1" x14ac:dyDescent="0.25">
      <c r="A279" s="298" t="s">
        <v>800</v>
      </c>
      <c r="B279" s="299" t="s">
        <v>801</v>
      </c>
      <c r="C279" s="1547"/>
      <c r="D279" s="1549"/>
      <c r="E279" s="1549"/>
      <c r="F279" s="1549"/>
      <c r="G279" s="1549"/>
      <c r="H279" s="1549"/>
      <c r="I279" s="1425"/>
      <c r="J279" s="1425"/>
      <c r="K279" s="1428" t="s">
        <v>857</v>
      </c>
      <c r="L279" s="301" t="s">
        <v>806</v>
      </c>
      <c r="M279" s="1425" t="s">
        <v>45</v>
      </c>
      <c r="N279" s="476" t="s">
        <v>46</v>
      </c>
      <c r="O279" s="1425" t="s">
        <v>47</v>
      </c>
      <c r="P279" s="1198" t="s">
        <v>2509</v>
      </c>
      <c r="Q279" s="302" t="s">
        <v>2510</v>
      </c>
      <c r="R279" s="303">
        <v>2015</v>
      </c>
      <c r="S279" s="303">
        <v>0</v>
      </c>
      <c r="T279" s="303">
        <v>0</v>
      </c>
      <c r="U279" s="572">
        <v>0</v>
      </c>
      <c r="V279" s="572">
        <v>1</v>
      </c>
      <c r="W279" s="572">
        <v>0</v>
      </c>
      <c r="X279" s="572">
        <v>1</v>
      </c>
      <c r="Y279" s="481"/>
      <c r="Z279" s="481"/>
      <c r="AA279" s="481"/>
      <c r="AB279" s="481"/>
      <c r="AC279" s="481"/>
      <c r="AD279" s="481"/>
      <c r="AE279" s="481"/>
      <c r="AF279" s="481">
        <f t="shared" si="214"/>
        <v>0</v>
      </c>
      <c r="AG279" s="548"/>
      <c r="AH279" s="548"/>
      <c r="AI279" s="548"/>
      <c r="AJ279" s="548"/>
      <c r="AK279" s="548"/>
      <c r="AL279" s="548"/>
      <c r="AM279" s="31">
        <f t="shared" si="216"/>
        <v>0</v>
      </c>
      <c r="AN279" s="491">
        <v>0.5</v>
      </c>
      <c r="AO279" s="481"/>
      <c r="AP279" s="481"/>
      <c r="AQ279" s="481"/>
      <c r="AR279" s="481"/>
      <c r="AS279" s="481"/>
      <c r="AT279" s="481"/>
      <c r="AU279" s="481">
        <f t="shared" si="218"/>
        <v>0.5</v>
      </c>
      <c r="AV279" s="491">
        <v>0</v>
      </c>
      <c r="AW279" s="548"/>
      <c r="AX279" s="548"/>
      <c r="AY279" s="548"/>
      <c r="AZ279" s="548"/>
      <c r="BA279" s="548"/>
      <c r="BB279" s="548"/>
      <c r="BC279" s="548">
        <f t="shared" si="220"/>
        <v>0</v>
      </c>
      <c r="BD279" s="42">
        <f t="shared" si="231"/>
        <v>0.5</v>
      </c>
      <c r="BE279" s="42">
        <f t="shared" si="232"/>
        <v>0</v>
      </c>
      <c r="BF279" s="42">
        <f t="shared" si="233"/>
        <v>0</v>
      </c>
      <c r="BG279" s="42">
        <f t="shared" si="234"/>
        <v>0</v>
      </c>
      <c r="BH279" s="42">
        <f t="shared" si="235"/>
        <v>0</v>
      </c>
      <c r="BI279" s="42">
        <f t="shared" si="226"/>
        <v>0</v>
      </c>
      <c r="BJ279" s="42">
        <f t="shared" si="236"/>
        <v>0</v>
      </c>
      <c r="BK279" s="42">
        <f t="shared" si="237"/>
        <v>0.5</v>
      </c>
      <c r="BL279" s="40">
        <f t="shared" si="225"/>
        <v>0.5</v>
      </c>
    </row>
    <row r="280" spans="1:64" ht="33" customHeight="1" x14ac:dyDescent="0.25">
      <c r="A280" s="298" t="s">
        <v>800</v>
      </c>
      <c r="B280" s="299" t="s">
        <v>801</v>
      </c>
      <c r="C280" s="1547"/>
      <c r="D280" s="1549"/>
      <c r="E280" s="1549"/>
      <c r="F280" s="1549"/>
      <c r="G280" s="1549"/>
      <c r="H280" s="1549"/>
      <c r="I280" s="1425"/>
      <c r="J280" s="1425"/>
      <c r="K280" s="1428" t="s">
        <v>860</v>
      </c>
      <c r="L280" s="301" t="s">
        <v>806</v>
      </c>
      <c r="M280" s="1425" t="s">
        <v>45</v>
      </c>
      <c r="N280" s="476" t="s">
        <v>46</v>
      </c>
      <c r="O280" s="1425" t="s">
        <v>47</v>
      </c>
      <c r="P280" s="16" t="s">
        <v>861</v>
      </c>
      <c r="Q280" s="302" t="s">
        <v>862</v>
      </c>
      <c r="R280" s="303">
        <v>2015</v>
      </c>
      <c r="S280" s="303">
        <v>0</v>
      </c>
      <c r="T280" s="303">
        <v>0</v>
      </c>
      <c r="U280" s="572">
        <v>0</v>
      </c>
      <c r="V280" s="572">
        <v>1</v>
      </c>
      <c r="W280" s="572">
        <v>1</v>
      </c>
      <c r="X280" s="572">
        <v>2</v>
      </c>
      <c r="Y280" s="481"/>
      <c r="Z280" s="481"/>
      <c r="AA280" s="481"/>
      <c r="AB280" s="481"/>
      <c r="AC280" s="481"/>
      <c r="AD280" s="481"/>
      <c r="AE280" s="481"/>
      <c r="AF280" s="481">
        <f t="shared" si="214"/>
        <v>0</v>
      </c>
      <c r="AG280" s="548"/>
      <c r="AH280" s="548"/>
      <c r="AI280" s="548"/>
      <c r="AJ280" s="548"/>
      <c r="AK280" s="548"/>
      <c r="AL280" s="548"/>
      <c r="AM280" s="31">
        <f t="shared" si="216"/>
        <v>0</v>
      </c>
      <c r="AN280" s="491">
        <v>0.5</v>
      </c>
      <c r="AO280" s="481"/>
      <c r="AP280" s="481"/>
      <c r="AQ280" s="481"/>
      <c r="AR280" s="481"/>
      <c r="AS280" s="481"/>
      <c r="AT280" s="481"/>
      <c r="AU280" s="481">
        <f t="shared" si="218"/>
        <v>0.5</v>
      </c>
      <c r="AV280" s="491">
        <v>1</v>
      </c>
      <c r="AW280" s="548"/>
      <c r="AX280" s="548"/>
      <c r="AY280" s="548"/>
      <c r="AZ280" s="548"/>
      <c r="BA280" s="548"/>
      <c r="BB280" s="548"/>
      <c r="BC280" s="548">
        <f t="shared" si="220"/>
        <v>1</v>
      </c>
      <c r="BD280" s="42">
        <f t="shared" si="231"/>
        <v>1.5</v>
      </c>
      <c r="BE280" s="42">
        <f t="shared" si="232"/>
        <v>0</v>
      </c>
      <c r="BF280" s="42">
        <f t="shared" si="233"/>
        <v>0</v>
      </c>
      <c r="BG280" s="42">
        <f t="shared" si="234"/>
        <v>0</v>
      </c>
      <c r="BH280" s="42">
        <f t="shared" si="235"/>
        <v>0</v>
      </c>
      <c r="BI280" s="42">
        <f t="shared" si="226"/>
        <v>0</v>
      </c>
      <c r="BJ280" s="42">
        <f t="shared" si="236"/>
        <v>0</v>
      </c>
      <c r="BK280" s="42">
        <f t="shared" si="237"/>
        <v>1.5</v>
      </c>
      <c r="BL280" s="40">
        <f t="shared" si="225"/>
        <v>1.5</v>
      </c>
    </row>
    <row r="281" spans="1:64" ht="36.75" customHeight="1" x14ac:dyDescent="0.25">
      <c r="A281" s="298" t="s">
        <v>800</v>
      </c>
      <c r="B281" s="299" t="s">
        <v>801</v>
      </c>
      <c r="C281" s="1547"/>
      <c r="D281" s="1549"/>
      <c r="E281" s="1549"/>
      <c r="F281" s="1549"/>
      <c r="G281" s="1549"/>
      <c r="H281" s="1549"/>
      <c r="I281" s="1425"/>
      <c r="J281" s="1425"/>
      <c r="K281" s="1428" t="s">
        <v>863</v>
      </c>
      <c r="L281" s="301" t="s">
        <v>806</v>
      </c>
      <c r="M281" s="1425" t="s">
        <v>45</v>
      </c>
      <c r="N281" s="476" t="s">
        <v>46</v>
      </c>
      <c r="O281" s="1425" t="s">
        <v>47</v>
      </c>
      <c r="P281" s="16" t="s">
        <v>864</v>
      </c>
      <c r="Q281" s="302" t="s">
        <v>865</v>
      </c>
      <c r="R281" s="303">
        <v>2015</v>
      </c>
      <c r="S281" s="303">
        <v>0</v>
      </c>
      <c r="T281" s="303">
        <v>0</v>
      </c>
      <c r="U281" s="572">
        <v>0</v>
      </c>
      <c r="V281" s="572">
        <v>1</v>
      </c>
      <c r="W281" s="572">
        <v>1</v>
      </c>
      <c r="X281" s="572">
        <v>2</v>
      </c>
      <c r="Y281" s="481"/>
      <c r="Z281" s="481"/>
      <c r="AA281" s="481"/>
      <c r="AB281" s="481"/>
      <c r="AC281" s="481"/>
      <c r="AD281" s="481"/>
      <c r="AE281" s="481"/>
      <c r="AF281" s="481">
        <f t="shared" si="214"/>
        <v>0</v>
      </c>
      <c r="AG281" s="548"/>
      <c r="AH281" s="548"/>
      <c r="AI281" s="548"/>
      <c r="AJ281" s="548"/>
      <c r="AK281" s="548"/>
      <c r="AL281" s="548"/>
      <c r="AM281" s="31">
        <f t="shared" si="216"/>
        <v>0</v>
      </c>
      <c r="AN281" s="491">
        <v>0.5</v>
      </c>
      <c r="AO281" s="481"/>
      <c r="AP281" s="481"/>
      <c r="AQ281" s="481"/>
      <c r="AR281" s="481"/>
      <c r="AS281" s="481"/>
      <c r="AT281" s="481"/>
      <c r="AU281" s="481">
        <f t="shared" si="218"/>
        <v>0.5</v>
      </c>
      <c r="AV281" s="491">
        <v>0.5</v>
      </c>
      <c r="AW281" s="548"/>
      <c r="AX281" s="548"/>
      <c r="AY281" s="548"/>
      <c r="AZ281" s="548"/>
      <c r="BA281" s="548"/>
      <c r="BB281" s="548"/>
      <c r="BC281" s="548">
        <f t="shared" si="220"/>
        <v>0.5</v>
      </c>
      <c r="BD281" s="42">
        <f t="shared" si="231"/>
        <v>1</v>
      </c>
      <c r="BE281" s="42">
        <f t="shared" si="232"/>
        <v>0</v>
      </c>
      <c r="BF281" s="42">
        <f t="shared" si="233"/>
        <v>0</v>
      </c>
      <c r="BG281" s="42">
        <f t="shared" si="234"/>
        <v>0</v>
      </c>
      <c r="BH281" s="42">
        <f t="shared" si="235"/>
        <v>0</v>
      </c>
      <c r="BI281" s="42">
        <f t="shared" si="226"/>
        <v>0</v>
      </c>
      <c r="BJ281" s="42">
        <f t="shared" si="236"/>
        <v>0</v>
      </c>
      <c r="BK281" s="42">
        <f t="shared" si="237"/>
        <v>1</v>
      </c>
      <c r="BL281" s="40">
        <f t="shared" si="225"/>
        <v>1</v>
      </c>
    </row>
    <row r="282" spans="1:64" ht="35.25" customHeight="1" x14ac:dyDescent="0.25">
      <c r="A282" s="298" t="s">
        <v>800</v>
      </c>
      <c r="B282" s="299" t="s">
        <v>801</v>
      </c>
      <c r="C282" s="1547"/>
      <c r="D282" s="1549"/>
      <c r="E282" s="1549"/>
      <c r="F282" s="1549"/>
      <c r="G282" s="1549"/>
      <c r="H282" s="1549"/>
      <c r="I282" s="1425"/>
      <c r="J282" s="1425"/>
      <c r="K282" s="1428" t="s">
        <v>866</v>
      </c>
      <c r="L282" s="301" t="s">
        <v>806</v>
      </c>
      <c r="M282" s="1425" t="s">
        <v>45</v>
      </c>
      <c r="N282" s="476" t="s">
        <v>46</v>
      </c>
      <c r="O282" s="1425" t="s">
        <v>47</v>
      </c>
      <c r="P282" s="16" t="s">
        <v>867</v>
      </c>
      <c r="Q282" s="302" t="s">
        <v>868</v>
      </c>
      <c r="R282" s="303">
        <v>2015</v>
      </c>
      <c r="S282" s="303">
        <v>0</v>
      </c>
      <c r="T282" s="303">
        <v>0</v>
      </c>
      <c r="U282" s="572">
        <v>1</v>
      </c>
      <c r="V282" s="572">
        <v>1</v>
      </c>
      <c r="W282" s="572">
        <v>1</v>
      </c>
      <c r="X282" s="572">
        <v>1</v>
      </c>
      <c r="Y282" s="481"/>
      <c r="Z282" s="481"/>
      <c r="AA282" s="481"/>
      <c r="AB282" s="481"/>
      <c r="AC282" s="481"/>
      <c r="AD282" s="481"/>
      <c r="AE282" s="481"/>
      <c r="AF282" s="481">
        <f t="shared" si="214"/>
        <v>0</v>
      </c>
      <c r="AG282" s="491">
        <v>1</v>
      </c>
      <c r="AH282" s="548"/>
      <c r="AI282" s="548"/>
      <c r="AJ282" s="548"/>
      <c r="AK282" s="548"/>
      <c r="AL282" s="548"/>
      <c r="AM282" s="31">
        <f t="shared" si="216"/>
        <v>1</v>
      </c>
      <c r="AN282" s="491">
        <v>0.5</v>
      </c>
      <c r="AO282" s="481"/>
      <c r="AP282" s="481"/>
      <c r="AQ282" s="481"/>
      <c r="AR282" s="481"/>
      <c r="AS282" s="481"/>
      <c r="AT282" s="481"/>
      <c r="AU282" s="481">
        <f t="shared" si="218"/>
        <v>0.5</v>
      </c>
      <c r="AV282" s="491">
        <v>0.5</v>
      </c>
      <c r="AW282" s="548"/>
      <c r="AX282" s="548"/>
      <c r="AY282" s="548"/>
      <c r="AZ282" s="548"/>
      <c r="BA282" s="548"/>
      <c r="BB282" s="548"/>
      <c r="BC282" s="548">
        <f t="shared" si="220"/>
        <v>0.5</v>
      </c>
      <c r="BD282" s="42">
        <f t="shared" si="231"/>
        <v>2</v>
      </c>
      <c r="BE282" s="42">
        <f t="shared" si="232"/>
        <v>0</v>
      </c>
      <c r="BF282" s="42">
        <f t="shared" si="233"/>
        <v>0</v>
      </c>
      <c r="BG282" s="42">
        <f t="shared" si="234"/>
        <v>0</v>
      </c>
      <c r="BH282" s="42">
        <f t="shared" si="235"/>
        <v>0</v>
      </c>
      <c r="BI282" s="42">
        <f t="shared" si="226"/>
        <v>0</v>
      </c>
      <c r="BJ282" s="42">
        <f t="shared" si="236"/>
        <v>0</v>
      </c>
      <c r="BK282" s="42">
        <f t="shared" si="237"/>
        <v>2</v>
      </c>
      <c r="BL282" s="40">
        <f t="shared" si="225"/>
        <v>2</v>
      </c>
    </row>
    <row r="283" spans="1:64" ht="33" customHeight="1" x14ac:dyDescent="0.25">
      <c r="A283" s="298" t="s">
        <v>800</v>
      </c>
      <c r="B283" s="299" t="s">
        <v>801</v>
      </c>
      <c r="C283" s="1547"/>
      <c r="D283" s="1549"/>
      <c r="E283" s="1549"/>
      <c r="F283" s="1549"/>
      <c r="G283" s="1549"/>
      <c r="H283" s="1549"/>
      <c r="I283" s="1425"/>
      <c r="J283" s="1425"/>
      <c r="K283" s="1428" t="s">
        <v>869</v>
      </c>
      <c r="L283" s="301" t="s">
        <v>806</v>
      </c>
      <c r="M283" s="1425" t="s">
        <v>45</v>
      </c>
      <c r="N283" s="476" t="s">
        <v>46</v>
      </c>
      <c r="O283" s="1425" t="s">
        <v>47</v>
      </c>
      <c r="P283" s="16" t="s">
        <v>870</v>
      </c>
      <c r="Q283" s="302" t="s">
        <v>871</v>
      </c>
      <c r="R283" s="303">
        <v>2015</v>
      </c>
      <c r="S283" s="303">
        <v>0</v>
      </c>
      <c r="T283" s="303">
        <v>1</v>
      </c>
      <c r="U283" s="572">
        <v>1</v>
      </c>
      <c r="V283" s="572">
        <v>1</v>
      </c>
      <c r="W283" s="572">
        <v>1</v>
      </c>
      <c r="X283" s="572">
        <v>4</v>
      </c>
      <c r="Y283" s="491">
        <v>4.5</v>
      </c>
      <c r="Z283" s="481"/>
      <c r="AA283" s="481"/>
      <c r="AB283" s="481"/>
      <c r="AC283" s="481"/>
      <c r="AD283" s="481"/>
      <c r="AE283" s="481"/>
      <c r="AF283" s="481">
        <f t="shared" si="214"/>
        <v>4.5</v>
      </c>
      <c r="AG283" s="491">
        <v>1</v>
      </c>
      <c r="AH283" s="548"/>
      <c r="AI283" s="548"/>
      <c r="AJ283" s="548"/>
      <c r="AK283" s="548"/>
      <c r="AL283" s="548"/>
      <c r="AM283" s="31">
        <f t="shared" si="216"/>
        <v>1</v>
      </c>
      <c r="AN283" s="491">
        <v>0.5</v>
      </c>
      <c r="AO283" s="481"/>
      <c r="AP283" s="481"/>
      <c r="AQ283" s="481"/>
      <c r="AR283" s="481"/>
      <c r="AS283" s="481"/>
      <c r="AT283" s="481"/>
      <c r="AU283" s="481">
        <f t="shared" si="218"/>
        <v>0.5</v>
      </c>
      <c r="AV283" s="491">
        <v>0.5</v>
      </c>
      <c r="AW283" s="548"/>
      <c r="AX283" s="548"/>
      <c r="AY283" s="548"/>
      <c r="AZ283" s="548"/>
      <c r="BA283" s="548"/>
      <c r="BB283" s="548"/>
      <c r="BC283" s="548">
        <f t="shared" si="220"/>
        <v>0.5</v>
      </c>
      <c r="BD283" s="42">
        <f t="shared" si="231"/>
        <v>6.5</v>
      </c>
      <c r="BE283" s="42">
        <f t="shared" si="232"/>
        <v>0</v>
      </c>
      <c r="BF283" s="42">
        <f t="shared" si="233"/>
        <v>0</v>
      </c>
      <c r="BG283" s="42">
        <f t="shared" si="234"/>
        <v>0</v>
      </c>
      <c r="BH283" s="42">
        <f t="shared" si="235"/>
        <v>0</v>
      </c>
      <c r="BI283" s="42">
        <f t="shared" si="226"/>
        <v>0</v>
      </c>
      <c r="BJ283" s="42">
        <f t="shared" si="236"/>
        <v>0</v>
      </c>
      <c r="BK283" s="42">
        <f t="shared" si="237"/>
        <v>6.5</v>
      </c>
      <c r="BL283" s="40">
        <f t="shared" si="225"/>
        <v>6.5</v>
      </c>
    </row>
    <row r="284" spans="1:64" ht="30.75" customHeight="1" x14ac:dyDescent="0.25">
      <c r="A284" s="298" t="s">
        <v>800</v>
      </c>
      <c r="B284" s="299" t="s">
        <v>801</v>
      </c>
      <c r="C284" s="1547"/>
      <c r="D284" s="1549"/>
      <c r="E284" s="1549"/>
      <c r="F284" s="1549"/>
      <c r="G284" s="1549"/>
      <c r="H284" s="1549"/>
      <c r="I284" s="1425"/>
      <c r="J284" s="1425"/>
      <c r="K284" s="1428" t="s">
        <v>872</v>
      </c>
      <c r="L284" s="301" t="s">
        <v>806</v>
      </c>
      <c r="M284" s="1425" t="s">
        <v>45</v>
      </c>
      <c r="N284" s="476" t="s">
        <v>46</v>
      </c>
      <c r="O284" s="1425" t="s">
        <v>47</v>
      </c>
      <c r="P284" s="16" t="s">
        <v>873</v>
      </c>
      <c r="Q284" s="302" t="s">
        <v>874</v>
      </c>
      <c r="R284" s="303">
        <v>2015</v>
      </c>
      <c r="S284" s="303">
        <v>0</v>
      </c>
      <c r="T284" s="303">
        <v>0</v>
      </c>
      <c r="U284" s="572">
        <v>30</v>
      </c>
      <c r="V284" s="572">
        <v>30</v>
      </c>
      <c r="W284" s="572"/>
      <c r="X284" s="572">
        <v>60</v>
      </c>
      <c r="Y284" s="491"/>
      <c r="Z284" s="481"/>
      <c r="AA284" s="481"/>
      <c r="AB284" s="481"/>
      <c r="AC284" s="481"/>
      <c r="AD284" s="481"/>
      <c r="AE284" s="481"/>
      <c r="AF284" s="481">
        <f t="shared" si="214"/>
        <v>0</v>
      </c>
      <c r="AG284" s="491">
        <v>1</v>
      </c>
      <c r="AH284" s="548"/>
      <c r="AI284" s="548"/>
      <c r="AJ284" s="548"/>
      <c r="AK284" s="548"/>
      <c r="AL284" s="548"/>
      <c r="AM284" s="31">
        <f t="shared" si="216"/>
        <v>1</v>
      </c>
      <c r="AN284" s="481"/>
      <c r="AO284" s="481"/>
      <c r="AP284" s="491">
        <v>4.5</v>
      </c>
      <c r="AQ284" s="481"/>
      <c r="AR284" s="481"/>
      <c r="AS284" s="481"/>
      <c r="AT284" s="481"/>
      <c r="AU284" s="481">
        <f t="shared" si="218"/>
        <v>4.5</v>
      </c>
      <c r="AV284" s="481"/>
      <c r="AW284" s="548"/>
      <c r="AX284" s="491">
        <v>5</v>
      </c>
      <c r="AY284" s="548"/>
      <c r="AZ284" s="548"/>
      <c r="BA284" s="548"/>
      <c r="BB284" s="548"/>
      <c r="BC284" s="548">
        <f t="shared" si="220"/>
        <v>5</v>
      </c>
      <c r="BD284" s="42">
        <f t="shared" si="231"/>
        <v>1</v>
      </c>
      <c r="BE284" s="42">
        <f t="shared" si="232"/>
        <v>0</v>
      </c>
      <c r="BF284" s="42">
        <f t="shared" si="233"/>
        <v>9.5</v>
      </c>
      <c r="BG284" s="42">
        <f t="shared" si="234"/>
        <v>0</v>
      </c>
      <c r="BH284" s="42">
        <f t="shared" si="235"/>
        <v>0</v>
      </c>
      <c r="BI284" s="42">
        <f t="shared" si="226"/>
        <v>0</v>
      </c>
      <c r="BJ284" s="42">
        <f t="shared" si="236"/>
        <v>0</v>
      </c>
      <c r="BK284" s="42">
        <f t="shared" si="237"/>
        <v>10.5</v>
      </c>
      <c r="BL284" s="40">
        <f t="shared" si="225"/>
        <v>10.5</v>
      </c>
    </row>
    <row r="285" spans="1:64" ht="39.75" customHeight="1" x14ac:dyDescent="0.25">
      <c r="A285" s="298" t="s">
        <v>800</v>
      </c>
      <c r="B285" s="299" t="s">
        <v>801</v>
      </c>
      <c r="C285" s="1548"/>
      <c r="D285" s="1549"/>
      <c r="E285" s="1549"/>
      <c r="F285" s="1549"/>
      <c r="G285" s="1549"/>
      <c r="H285" s="1549"/>
      <c r="I285" s="1425"/>
      <c r="J285" s="1425"/>
      <c r="K285" s="1428" t="s">
        <v>875</v>
      </c>
      <c r="L285" s="301" t="s">
        <v>806</v>
      </c>
      <c r="M285" s="1425" t="s">
        <v>45</v>
      </c>
      <c r="N285" s="476" t="s">
        <v>46</v>
      </c>
      <c r="O285" s="1425" t="s">
        <v>73</v>
      </c>
      <c r="P285" s="16" t="s">
        <v>876</v>
      </c>
      <c r="Q285" s="302" t="s">
        <v>877</v>
      </c>
      <c r="R285" s="303">
        <v>2015</v>
      </c>
      <c r="S285" s="303">
        <v>0</v>
      </c>
      <c r="T285" s="303">
        <v>0</v>
      </c>
      <c r="U285" s="572">
        <v>1</v>
      </c>
      <c r="V285" s="572">
        <v>1</v>
      </c>
      <c r="W285" s="572">
        <v>1</v>
      </c>
      <c r="X285" s="572">
        <v>1</v>
      </c>
      <c r="Y285" s="491"/>
      <c r="Z285" s="481"/>
      <c r="AA285" s="481"/>
      <c r="AB285" s="481"/>
      <c r="AC285" s="481"/>
      <c r="AD285" s="481"/>
      <c r="AE285" s="481"/>
      <c r="AF285" s="481">
        <f t="shared" si="214"/>
        <v>0</v>
      </c>
      <c r="AG285" s="491">
        <v>1</v>
      </c>
      <c r="AH285" s="548"/>
      <c r="AI285" s="548"/>
      <c r="AJ285" s="548"/>
      <c r="AK285" s="548"/>
      <c r="AL285" s="548"/>
      <c r="AM285" s="31">
        <f t="shared" si="216"/>
        <v>1</v>
      </c>
      <c r="AN285" s="491">
        <v>0.5</v>
      </c>
      <c r="AO285" s="481"/>
      <c r="AP285" s="481"/>
      <c r="AQ285" s="481"/>
      <c r="AR285" s="481"/>
      <c r="AS285" s="481"/>
      <c r="AT285" s="481"/>
      <c r="AU285" s="481">
        <f t="shared" si="218"/>
        <v>0.5</v>
      </c>
      <c r="AV285" s="491">
        <v>0.5</v>
      </c>
      <c r="AW285" s="548"/>
      <c r="AX285" s="548"/>
      <c r="AY285" s="548"/>
      <c r="AZ285" s="548"/>
      <c r="BA285" s="548"/>
      <c r="BB285" s="548"/>
      <c r="BC285" s="548">
        <f t="shared" si="220"/>
        <v>0.5</v>
      </c>
      <c r="BD285" s="42">
        <f t="shared" si="231"/>
        <v>2</v>
      </c>
      <c r="BE285" s="42">
        <f t="shared" si="232"/>
        <v>0</v>
      </c>
      <c r="BF285" s="42">
        <f t="shared" si="233"/>
        <v>0</v>
      </c>
      <c r="BG285" s="42">
        <f t="shared" si="234"/>
        <v>0</v>
      </c>
      <c r="BH285" s="42">
        <f t="shared" si="235"/>
        <v>0</v>
      </c>
      <c r="BI285" s="42">
        <f t="shared" si="226"/>
        <v>0</v>
      </c>
      <c r="BJ285" s="42">
        <f t="shared" si="236"/>
        <v>0</v>
      </c>
      <c r="BK285" s="42">
        <f t="shared" si="237"/>
        <v>2</v>
      </c>
      <c r="BL285" s="40">
        <f t="shared" si="225"/>
        <v>2</v>
      </c>
    </row>
    <row r="286" spans="1:64" ht="66" x14ac:dyDescent="0.25">
      <c r="A286" s="295" t="s">
        <v>800</v>
      </c>
      <c r="B286" s="24" t="s">
        <v>798</v>
      </c>
      <c r="C286" s="6"/>
      <c r="D286" s="2" t="s">
        <v>878</v>
      </c>
      <c r="E286" s="1"/>
      <c r="F286" s="1"/>
      <c r="G286" s="1"/>
      <c r="H286" s="1"/>
      <c r="I286" s="1"/>
      <c r="J286" s="1"/>
      <c r="K286" s="1"/>
      <c r="L286" s="1"/>
      <c r="M286" s="1"/>
      <c r="N286" s="1"/>
      <c r="O286" s="1"/>
      <c r="P286" s="22"/>
      <c r="Q286" s="22"/>
      <c r="R286" s="1"/>
      <c r="S286" s="1"/>
      <c r="T286" s="1"/>
      <c r="U286" s="49"/>
      <c r="V286" s="49"/>
      <c r="W286" s="49"/>
      <c r="X286" s="49"/>
      <c r="Y286" s="497"/>
      <c r="Z286" s="497">
        <f>SUM(Z291:Z301)</f>
        <v>0</v>
      </c>
      <c r="AA286" s="497"/>
      <c r="AB286" s="497">
        <f>SUM(AB291:AB301)</f>
        <v>0</v>
      </c>
      <c r="AC286" s="497">
        <f>SUM(AC291:AC301)</f>
        <v>0</v>
      </c>
      <c r="AD286" s="497"/>
      <c r="AE286" s="497"/>
      <c r="AF286" s="497">
        <f>SUM(Y286:AE286)</f>
        <v>0</v>
      </c>
      <c r="AG286" s="34"/>
      <c r="AH286" s="34">
        <f>SUM(AH291:AH301)</f>
        <v>0</v>
      </c>
      <c r="AI286" s="34">
        <f>SUM(AI287:AI290)</f>
        <v>1</v>
      </c>
      <c r="AJ286" s="34"/>
      <c r="AK286" s="34">
        <f>SUM(AK291:AK301)</f>
        <v>0</v>
      </c>
      <c r="AL286" s="34">
        <f>SUM(AL291:AL301)</f>
        <v>400</v>
      </c>
      <c r="AM286" s="34">
        <f>SUM(AG286:AL286)</f>
        <v>401</v>
      </c>
      <c r="AN286" s="34"/>
      <c r="AO286" s="34">
        <f>SUM(AO291:AO301)</f>
        <v>0</v>
      </c>
      <c r="AP286" s="34">
        <f>SUM(AP287:AP290)</f>
        <v>1</v>
      </c>
      <c r="AQ286" s="34"/>
      <c r="AR286" s="34">
        <f>SUM(AR291:AR301)</f>
        <v>0</v>
      </c>
      <c r="AS286" s="34">
        <f>SUM(AS291:AS301)</f>
        <v>0</v>
      </c>
      <c r="AT286" s="34">
        <f>SUM(AT291:AT301)</f>
        <v>0</v>
      </c>
      <c r="AU286" s="34">
        <f>SUM(AN286:AT286)</f>
        <v>1</v>
      </c>
      <c r="AV286" s="34"/>
      <c r="AW286" s="34">
        <f>SUM(AW291:AW301)</f>
        <v>0</v>
      </c>
      <c r="AX286" s="34">
        <f>SUM(AX287:AX290)</f>
        <v>0.5</v>
      </c>
      <c r="AY286" s="34">
        <f>SUM(AY291:AY301)</f>
        <v>0</v>
      </c>
      <c r="AZ286" s="34">
        <f>SUM(AZ291:AZ301)</f>
        <v>0</v>
      </c>
      <c r="BA286" s="34">
        <f>SUM(BA291:BA301)</f>
        <v>0</v>
      </c>
      <c r="BB286" s="34">
        <f>SUM(BB291:BB301)</f>
        <v>0</v>
      </c>
      <c r="BC286" s="34">
        <f>SUM(AV286:BB286)</f>
        <v>0.5</v>
      </c>
      <c r="BD286" s="34">
        <f t="shared" si="231"/>
        <v>0</v>
      </c>
      <c r="BE286" s="34">
        <f t="shared" si="232"/>
        <v>0</v>
      </c>
      <c r="BF286" s="34">
        <f t="shared" si="233"/>
        <v>2.5</v>
      </c>
      <c r="BG286" s="34">
        <f t="shared" si="234"/>
        <v>0</v>
      </c>
      <c r="BH286" s="34">
        <f t="shared" si="235"/>
        <v>0</v>
      </c>
      <c r="BI286" s="34">
        <f>+AD286+AS286+BA286</f>
        <v>0</v>
      </c>
      <c r="BJ286" s="34">
        <f t="shared" si="236"/>
        <v>400</v>
      </c>
      <c r="BK286" s="34">
        <f t="shared" si="237"/>
        <v>402.5</v>
      </c>
      <c r="BL286" s="40">
        <f t="shared" si="225"/>
        <v>402.5</v>
      </c>
    </row>
    <row r="287" spans="1:64" ht="66.75" customHeight="1" x14ac:dyDescent="0.25">
      <c r="A287" s="373" t="s">
        <v>800</v>
      </c>
      <c r="B287" s="299" t="s">
        <v>801</v>
      </c>
      <c r="C287" s="1546" t="s">
        <v>879</v>
      </c>
      <c r="D287" s="1550" t="s">
        <v>880</v>
      </c>
      <c r="E287" s="1550" t="s">
        <v>881</v>
      </c>
      <c r="F287" s="1550">
        <v>2015</v>
      </c>
      <c r="G287" s="1550">
        <v>0</v>
      </c>
      <c r="H287" s="1550">
        <v>1</v>
      </c>
      <c r="I287" s="476"/>
      <c r="J287" s="476"/>
      <c r="K287" s="1428" t="s">
        <v>882</v>
      </c>
      <c r="L287" s="301" t="s">
        <v>883</v>
      </c>
      <c r="M287" s="1425" t="s">
        <v>497</v>
      </c>
      <c r="N287" s="476" t="s">
        <v>2497</v>
      </c>
      <c r="O287" s="1425" t="s">
        <v>47</v>
      </c>
      <c r="P287" s="16" t="s">
        <v>2511</v>
      </c>
      <c r="Q287" s="302" t="s">
        <v>146</v>
      </c>
      <c r="R287" s="303">
        <v>2015</v>
      </c>
      <c r="S287" s="303">
        <v>0</v>
      </c>
      <c r="T287" s="303">
        <v>1</v>
      </c>
      <c r="U287" s="303">
        <v>0</v>
      </c>
      <c r="V287" s="303">
        <v>0</v>
      </c>
      <c r="W287" s="303">
        <v>0</v>
      </c>
      <c r="X287" s="572">
        <v>1</v>
      </c>
      <c r="Y287" s="582">
        <v>0.5</v>
      </c>
      <c r="Z287" s="582"/>
      <c r="AA287" s="582"/>
      <c r="AB287" s="582"/>
      <c r="AC287" s="582"/>
      <c r="AD287" s="582"/>
      <c r="AE287" s="582"/>
      <c r="AF287" s="582">
        <v>0.5</v>
      </c>
      <c r="AG287" s="31"/>
      <c r="AH287" s="31"/>
      <c r="AI287" s="31"/>
      <c r="AJ287" s="31"/>
      <c r="AK287" s="31"/>
      <c r="AL287" s="31"/>
      <c r="AM287" s="31"/>
      <c r="AN287" s="582"/>
      <c r="AO287" s="582"/>
      <c r="AP287" s="491"/>
      <c r="AQ287" s="582"/>
      <c r="AR287" s="582"/>
      <c r="AS287" s="582"/>
      <c r="AT287" s="582"/>
      <c r="AU287" s="582"/>
      <c r="AV287" s="31"/>
      <c r="AW287" s="31"/>
      <c r="AX287" s="31"/>
      <c r="AY287" s="31"/>
      <c r="AZ287" s="31"/>
      <c r="BA287" s="31"/>
      <c r="BB287" s="31"/>
      <c r="BC287" s="31"/>
      <c r="BD287" s="32"/>
      <c r="BE287" s="32"/>
      <c r="BF287" s="32"/>
      <c r="BG287" s="32"/>
      <c r="BH287" s="32"/>
      <c r="BI287" s="32"/>
      <c r="BJ287" s="32"/>
      <c r="BK287" s="32"/>
      <c r="BL287" s="40">
        <v>0.5</v>
      </c>
    </row>
    <row r="288" spans="1:64" ht="52.5" customHeight="1" x14ac:dyDescent="0.25">
      <c r="A288" s="373" t="s">
        <v>800</v>
      </c>
      <c r="B288" s="299" t="s">
        <v>801</v>
      </c>
      <c r="C288" s="1547"/>
      <c r="D288" s="1551"/>
      <c r="E288" s="1551"/>
      <c r="F288" s="1551"/>
      <c r="G288" s="1551"/>
      <c r="H288" s="1551"/>
      <c r="I288" s="476"/>
      <c r="J288" s="476"/>
      <c r="K288" s="1428" t="s">
        <v>885</v>
      </c>
      <c r="L288" s="301" t="s">
        <v>883</v>
      </c>
      <c r="M288" s="1425" t="s">
        <v>497</v>
      </c>
      <c r="N288" s="476" t="s">
        <v>2497</v>
      </c>
      <c r="O288" s="1425" t="s">
        <v>47</v>
      </c>
      <c r="P288" s="16" t="s">
        <v>2512</v>
      </c>
      <c r="Q288" s="302" t="s">
        <v>887</v>
      </c>
      <c r="R288" s="303">
        <v>2015</v>
      </c>
      <c r="S288" s="303">
        <v>0</v>
      </c>
      <c r="T288" s="303">
        <v>0</v>
      </c>
      <c r="U288" s="303">
        <v>1</v>
      </c>
      <c r="V288" s="303">
        <v>0</v>
      </c>
      <c r="W288" s="303">
        <v>0</v>
      </c>
      <c r="X288" s="572">
        <v>1</v>
      </c>
      <c r="Y288" s="582"/>
      <c r="Z288" s="582"/>
      <c r="AA288" s="582"/>
      <c r="AB288" s="582"/>
      <c r="AC288" s="582"/>
      <c r="AD288" s="582"/>
      <c r="AE288" s="582"/>
      <c r="AF288" s="582"/>
      <c r="AG288" s="31"/>
      <c r="AH288" s="31"/>
      <c r="AI288" s="491">
        <v>0.5</v>
      </c>
      <c r="AJ288" s="31"/>
      <c r="AK288" s="31"/>
      <c r="AL288" s="31"/>
      <c r="AM288" s="31">
        <f>SUM(AG288:AL288)</f>
        <v>0.5</v>
      </c>
      <c r="AN288" s="582"/>
      <c r="AO288" s="582"/>
      <c r="AP288" s="582"/>
      <c r="AQ288" s="582"/>
      <c r="AR288" s="582"/>
      <c r="AS288" s="582"/>
      <c r="AT288" s="582"/>
      <c r="AU288" s="582"/>
      <c r="AV288" s="31"/>
      <c r="AW288" s="31"/>
      <c r="AX288" s="31"/>
      <c r="AY288" s="31"/>
      <c r="AZ288" s="31"/>
      <c r="BA288" s="31"/>
      <c r="BB288" s="31"/>
      <c r="BC288" s="31"/>
      <c r="BD288" s="32"/>
      <c r="BE288" s="32"/>
      <c r="BF288" s="32"/>
      <c r="BG288" s="32"/>
      <c r="BH288" s="32"/>
      <c r="BI288" s="32"/>
      <c r="BJ288" s="32"/>
      <c r="BK288" s="32"/>
      <c r="BL288" s="40">
        <f t="shared" si="225"/>
        <v>0.5</v>
      </c>
    </row>
    <row r="289" spans="1:64" ht="47.25" customHeight="1" x14ac:dyDescent="0.25">
      <c r="A289" s="298" t="s">
        <v>800</v>
      </c>
      <c r="B289" s="299" t="s">
        <v>801</v>
      </c>
      <c r="C289" s="1547"/>
      <c r="D289" s="1551"/>
      <c r="E289" s="1551"/>
      <c r="F289" s="1551"/>
      <c r="G289" s="1551"/>
      <c r="H289" s="1551"/>
      <c r="I289" s="1425"/>
      <c r="J289" s="1425"/>
      <c r="K289" s="1428" t="s">
        <v>888</v>
      </c>
      <c r="L289" s="301" t="s">
        <v>883</v>
      </c>
      <c r="M289" s="1425" t="s">
        <v>497</v>
      </c>
      <c r="N289" s="476" t="s">
        <v>2497</v>
      </c>
      <c r="O289" s="1425" t="s">
        <v>47</v>
      </c>
      <c r="P289" s="16" t="s">
        <v>889</v>
      </c>
      <c r="Q289" s="302" t="s">
        <v>890</v>
      </c>
      <c r="R289" s="303">
        <v>2015</v>
      </c>
      <c r="S289" s="303">
        <v>0</v>
      </c>
      <c r="T289" s="303">
        <v>0</v>
      </c>
      <c r="U289" s="303">
        <v>0</v>
      </c>
      <c r="V289" s="303">
        <v>1</v>
      </c>
      <c r="W289" s="303">
        <v>0</v>
      </c>
      <c r="X289" s="572">
        <v>1</v>
      </c>
      <c r="Y289" s="481"/>
      <c r="Z289" s="481"/>
      <c r="AA289" s="481"/>
      <c r="AB289" s="481"/>
      <c r="AC289" s="481"/>
      <c r="AD289" s="481"/>
      <c r="AE289" s="481"/>
      <c r="AF289" s="481">
        <f>SUM(Y289:AE289)</f>
        <v>0</v>
      </c>
      <c r="AG289" s="548"/>
      <c r="AH289" s="548"/>
      <c r="AI289" s="548"/>
      <c r="AJ289" s="548"/>
      <c r="AK289" s="548"/>
      <c r="AL289" s="548"/>
      <c r="AM289" s="548">
        <f>SUM(AG289:AL289)</f>
        <v>0</v>
      </c>
      <c r="AN289" s="481"/>
      <c r="AO289" s="481"/>
      <c r="AP289" s="491">
        <v>0.5</v>
      </c>
      <c r="AQ289" s="481"/>
      <c r="AR289" s="481"/>
      <c r="AS289" s="481"/>
      <c r="AT289" s="481"/>
      <c r="AU289" s="481">
        <f>SUM(AN289:AT289)</f>
        <v>0.5</v>
      </c>
      <c r="AV289" s="548"/>
      <c r="AW289" s="548"/>
      <c r="AX289" s="548"/>
      <c r="AY289" s="548"/>
      <c r="AZ289" s="548"/>
      <c r="BA289" s="548"/>
      <c r="BB289" s="548"/>
      <c r="BC289" s="548">
        <f>SUM(AV289:BB289)</f>
        <v>0</v>
      </c>
      <c r="BD289" s="42">
        <f>+AV289+AN289+AG289+Y289</f>
        <v>0</v>
      </c>
      <c r="BE289" s="42">
        <f>+AW289+AO289+AH289+Z289</f>
        <v>0</v>
      </c>
      <c r="BF289" s="42">
        <f>+AX289+AP289+AI289+AA289</f>
        <v>0.5</v>
      </c>
      <c r="BG289" s="42">
        <f>+AY289+AQ289+AJ289+AB289</f>
        <v>0</v>
      </c>
      <c r="BH289" s="42">
        <f>+AZ289+AR289+AK289+AC289</f>
        <v>0</v>
      </c>
      <c r="BI289" s="42">
        <f>+AD289+AS289+BA289</f>
        <v>0</v>
      </c>
      <c r="BJ289" s="42">
        <f>+BB289+AT289+AL289+AE289</f>
        <v>0</v>
      </c>
      <c r="BK289" s="42">
        <f>+BC289+AU289+AM289+AF289</f>
        <v>0.5</v>
      </c>
      <c r="BL289" s="40">
        <f t="shared" si="225"/>
        <v>0.5</v>
      </c>
    </row>
    <row r="290" spans="1:64" ht="97.5" customHeight="1" x14ac:dyDescent="0.25">
      <c r="A290" s="373" t="s">
        <v>800</v>
      </c>
      <c r="B290" s="299" t="s">
        <v>801</v>
      </c>
      <c r="C290" s="1547"/>
      <c r="D290" s="1552"/>
      <c r="E290" s="1552"/>
      <c r="F290" s="1552"/>
      <c r="G290" s="1552"/>
      <c r="H290" s="1552"/>
      <c r="I290" s="476"/>
      <c r="J290" s="476"/>
      <c r="K290" s="1428" t="s">
        <v>891</v>
      </c>
      <c r="L290" s="301" t="s">
        <v>883</v>
      </c>
      <c r="M290" s="1425" t="s">
        <v>497</v>
      </c>
      <c r="N290" s="476" t="s">
        <v>2497</v>
      </c>
      <c r="O290" s="1425" t="s">
        <v>47</v>
      </c>
      <c r="P290" s="16" t="s">
        <v>2513</v>
      </c>
      <c r="Q290" s="302" t="s">
        <v>893</v>
      </c>
      <c r="R290" s="303">
        <v>2015</v>
      </c>
      <c r="S290" s="303">
        <v>0</v>
      </c>
      <c r="T290" s="303">
        <v>0</v>
      </c>
      <c r="U290" s="303">
        <v>1</v>
      </c>
      <c r="V290" s="303">
        <v>1</v>
      </c>
      <c r="W290" s="303">
        <v>2</v>
      </c>
      <c r="X290" s="572">
        <v>4</v>
      </c>
      <c r="Y290" s="582"/>
      <c r="Z290" s="582"/>
      <c r="AA290" s="582"/>
      <c r="AB290" s="582"/>
      <c r="AC290" s="582"/>
      <c r="AD290" s="582"/>
      <c r="AE290" s="582"/>
      <c r="AF290" s="582"/>
      <c r="AG290" s="31"/>
      <c r="AH290" s="31"/>
      <c r="AI290" s="491">
        <v>0.5</v>
      </c>
      <c r="AJ290" s="31"/>
      <c r="AK290" s="31"/>
      <c r="AL290" s="31"/>
      <c r="AM290" s="31">
        <f>SUM(AG290:AL290)</f>
        <v>0.5</v>
      </c>
      <c r="AN290" s="582"/>
      <c r="AO290" s="582"/>
      <c r="AP290" s="582">
        <v>0.5</v>
      </c>
      <c r="AQ290" s="582"/>
      <c r="AR290" s="582"/>
      <c r="AS290" s="582"/>
      <c r="AT290" s="582"/>
      <c r="AU290" s="582"/>
      <c r="AV290" s="31"/>
      <c r="AW290" s="31"/>
      <c r="AX290" s="491">
        <v>0.5</v>
      </c>
      <c r="AY290" s="31"/>
      <c r="AZ290" s="31"/>
      <c r="BA290" s="31"/>
      <c r="BB290" s="31"/>
      <c r="BC290" s="31"/>
      <c r="BD290" s="32"/>
      <c r="BE290" s="32"/>
      <c r="BF290" s="32"/>
      <c r="BG290" s="32"/>
      <c r="BH290" s="32"/>
      <c r="BI290" s="32"/>
      <c r="BJ290" s="32"/>
      <c r="BK290" s="32"/>
      <c r="BL290" s="40">
        <f t="shared" si="225"/>
        <v>0.5</v>
      </c>
    </row>
    <row r="291" spans="1:64" ht="20.399999999999999" x14ac:dyDescent="0.25">
      <c r="A291" s="290"/>
      <c r="B291" s="1565" t="s">
        <v>894</v>
      </c>
      <c r="C291" s="1566"/>
      <c r="D291" s="1566"/>
      <c r="E291" s="1566"/>
      <c r="F291" s="1566"/>
      <c r="G291" s="1566"/>
      <c r="H291" s="1566"/>
      <c r="I291" s="1566"/>
      <c r="J291" s="1566"/>
      <c r="K291" s="1566"/>
      <c r="L291" s="1566"/>
      <c r="M291" s="1567"/>
      <c r="N291" s="597"/>
      <c r="O291" s="597"/>
      <c r="P291" s="598"/>
      <c r="Q291" s="598"/>
      <c r="R291" s="597"/>
      <c r="S291" s="597"/>
      <c r="T291" s="597"/>
      <c r="U291" s="599"/>
      <c r="V291" s="599"/>
      <c r="W291" s="599"/>
      <c r="X291" s="599"/>
      <c r="Y291" s="600">
        <f>+Y292</f>
        <v>50</v>
      </c>
      <c r="Z291" s="600">
        <f t="shared" ref="Z291:AE291" si="238">+Z292</f>
        <v>0</v>
      </c>
      <c r="AA291" s="600">
        <f t="shared" si="238"/>
        <v>111</v>
      </c>
      <c r="AB291" s="600">
        <f t="shared" si="238"/>
        <v>0</v>
      </c>
      <c r="AC291" s="600">
        <f t="shared" si="238"/>
        <v>0</v>
      </c>
      <c r="AD291" s="600">
        <f t="shared" si="238"/>
        <v>79.7</v>
      </c>
      <c r="AE291" s="600">
        <f t="shared" si="238"/>
        <v>0</v>
      </c>
      <c r="AF291" s="600">
        <f t="shared" ref="AF291:AF301" si="239">SUM(Y291:AE291)</f>
        <v>240.7</v>
      </c>
      <c r="AG291" s="600">
        <f t="shared" ref="AG291:AL291" si="240">+AG292</f>
        <v>70</v>
      </c>
      <c r="AH291" s="600">
        <f t="shared" si="240"/>
        <v>0</v>
      </c>
      <c r="AI291" s="600">
        <f t="shared" si="240"/>
        <v>103</v>
      </c>
      <c r="AJ291" s="600">
        <f t="shared" si="240"/>
        <v>100</v>
      </c>
      <c r="AK291" s="600">
        <f t="shared" si="240"/>
        <v>0</v>
      </c>
      <c r="AL291" s="600">
        <f t="shared" si="240"/>
        <v>200</v>
      </c>
      <c r="AM291" s="600">
        <f t="shared" ref="AM291:AM300" si="241">SUM(AG291:AL291)</f>
        <v>473</v>
      </c>
      <c r="AN291" s="600">
        <f t="shared" ref="AN291:AT291" si="242">+AN292</f>
        <v>81</v>
      </c>
      <c r="AO291" s="600">
        <f t="shared" si="242"/>
        <v>0</v>
      </c>
      <c r="AP291" s="600">
        <f t="shared" si="242"/>
        <v>120</v>
      </c>
      <c r="AQ291" s="600">
        <f t="shared" si="242"/>
        <v>200</v>
      </c>
      <c r="AR291" s="600">
        <f t="shared" si="242"/>
        <v>0</v>
      </c>
      <c r="AS291" s="600">
        <f t="shared" si="242"/>
        <v>0</v>
      </c>
      <c r="AT291" s="600">
        <f t="shared" si="242"/>
        <v>0</v>
      </c>
      <c r="AU291" s="600">
        <f t="shared" ref="AU291:AU301" si="243">SUM(AN291:AT291)</f>
        <v>401</v>
      </c>
      <c r="AV291" s="600">
        <f t="shared" ref="AV291:BB291" si="244">+AV292</f>
        <v>112</v>
      </c>
      <c r="AW291" s="600">
        <f t="shared" si="244"/>
        <v>0</v>
      </c>
      <c r="AX291" s="600">
        <f t="shared" si="244"/>
        <v>125</v>
      </c>
      <c r="AY291" s="600">
        <f t="shared" si="244"/>
        <v>0</v>
      </c>
      <c r="AZ291" s="600">
        <f t="shared" si="244"/>
        <v>0</v>
      </c>
      <c r="BA291" s="600">
        <f t="shared" si="244"/>
        <v>0</v>
      </c>
      <c r="BB291" s="600">
        <f t="shared" si="244"/>
        <v>0</v>
      </c>
      <c r="BC291" s="600">
        <f t="shared" ref="BC291:BC301" si="245">SUM(AV291:BB291)</f>
        <v>237</v>
      </c>
      <c r="BD291" s="33">
        <f t="shared" si="231"/>
        <v>313</v>
      </c>
      <c r="BE291" s="33">
        <f t="shared" si="232"/>
        <v>0</v>
      </c>
      <c r="BF291" s="33">
        <f t="shared" si="233"/>
        <v>459</v>
      </c>
      <c r="BG291" s="33">
        <f t="shared" si="234"/>
        <v>300</v>
      </c>
      <c r="BH291" s="33">
        <f t="shared" si="235"/>
        <v>0</v>
      </c>
      <c r="BI291" s="33">
        <f t="shared" si="226"/>
        <v>79.7</v>
      </c>
      <c r="BJ291" s="33">
        <f t="shared" si="236"/>
        <v>200</v>
      </c>
      <c r="BK291" s="33">
        <f t="shared" si="237"/>
        <v>1351.7</v>
      </c>
      <c r="BL291" s="40">
        <f t="shared" si="225"/>
        <v>1351.7</v>
      </c>
    </row>
    <row r="292" spans="1:64" ht="39.6" x14ac:dyDescent="0.25">
      <c r="A292" s="296"/>
      <c r="B292" s="154" t="s">
        <v>894</v>
      </c>
      <c r="C292" s="6"/>
      <c r="D292" s="2" t="s">
        <v>895</v>
      </c>
      <c r="E292" s="1"/>
      <c r="F292" s="1"/>
      <c r="G292" s="1"/>
      <c r="H292" s="1"/>
      <c r="I292" s="1"/>
      <c r="J292" s="1"/>
      <c r="K292" s="1"/>
      <c r="L292" s="1"/>
      <c r="M292" s="1"/>
      <c r="N292" s="1"/>
      <c r="O292" s="1"/>
      <c r="P292" s="22"/>
      <c r="Q292" s="22"/>
      <c r="R292" s="1"/>
      <c r="S292" s="1"/>
      <c r="T292" s="1"/>
      <c r="U292" s="49"/>
      <c r="V292" s="49"/>
      <c r="W292" s="49"/>
      <c r="X292" s="49"/>
      <c r="Y292" s="34">
        <f t="shared" ref="Y292:AE292" si="246">SUM(Y293:Y325)</f>
        <v>50</v>
      </c>
      <c r="Z292" s="34">
        <f t="shared" si="246"/>
        <v>0</v>
      </c>
      <c r="AA292" s="34">
        <f t="shared" si="246"/>
        <v>111</v>
      </c>
      <c r="AB292" s="34">
        <f t="shared" si="246"/>
        <v>0</v>
      </c>
      <c r="AC292" s="34">
        <f t="shared" si="246"/>
        <v>0</v>
      </c>
      <c r="AD292" s="34">
        <f t="shared" si="246"/>
        <v>79.7</v>
      </c>
      <c r="AE292" s="34">
        <f t="shared" si="246"/>
        <v>0</v>
      </c>
      <c r="AF292" s="34">
        <f t="shared" si="239"/>
        <v>240.7</v>
      </c>
      <c r="AG292" s="34">
        <f t="shared" ref="AG292:AL292" si="247">SUM(AG293:AG325)</f>
        <v>70</v>
      </c>
      <c r="AH292" s="34">
        <f t="shared" si="247"/>
        <v>0</v>
      </c>
      <c r="AI292" s="34">
        <f t="shared" si="247"/>
        <v>103</v>
      </c>
      <c r="AJ292" s="34">
        <f t="shared" si="247"/>
        <v>100</v>
      </c>
      <c r="AK292" s="34">
        <f t="shared" si="247"/>
        <v>0</v>
      </c>
      <c r="AL292" s="34">
        <f t="shared" si="247"/>
        <v>200</v>
      </c>
      <c r="AM292" s="34">
        <f t="shared" si="241"/>
        <v>473</v>
      </c>
      <c r="AN292" s="34">
        <f t="shared" ref="AN292:AT292" si="248">SUM(AN293:AN325)</f>
        <v>81</v>
      </c>
      <c r="AO292" s="34">
        <f t="shared" si="248"/>
        <v>0</v>
      </c>
      <c r="AP292" s="34">
        <f t="shared" si="248"/>
        <v>120</v>
      </c>
      <c r="AQ292" s="34">
        <f t="shared" si="248"/>
        <v>200</v>
      </c>
      <c r="AR292" s="34">
        <f t="shared" si="248"/>
        <v>0</v>
      </c>
      <c r="AS292" s="34">
        <f t="shared" si="248"/>
        <v>0</v>
      </c>
      <c r="AT292" s="34">
        <f t="shared" si="248"/>
        <v>0</v>
      </c>
      <c r="AU292" s="34">
        <f t="shared" si="243"/>
        <v>401</v>
      </c>
      <c r="AV292" s="34">
        <f t="shared" ref="AV292:BB292" si="249">SUM(AV293:AV325)</f>
        <v>112</v>
      </c>
      <c r="AW292" s="34">
        <f t="shared" si="249"/>
        <v>0</v>
      </c>
      <c r="AX292" s="34">
        <f t="shared" si="249"/>
        <v>125</v>
      </c>
      <c r="AY292" s="34">
        <f t="shared" si="249"/>
        <v>0</v>
      </c>
      <c r="AZ292" s="34">
        <f t="shared" si="249"/>
        <v>0</v>
      </c>
      <c r="BA292" s="34">
        <f t="shared" si="249"/>
        <v>0</v>
      </c>
      <c r="BB292" s="34">
        <f t="shared" si="249"/>
        <v>0</v>
      </c>
      <c r="BC292" s="34">
        <f t="shared" si="245"/>
        <v>237</v>
      </c>
      <c r="BD292" s="34">
        <f t="shared" si="231"/>
        <v>313</v>
      </c>
      <c r="BE292" s="34">
        <f t="shared" si="232"/>
        <v>0</v>
      </c>
      <c r="BF292" s="34">
        <f t="shared" si="233"/>
        <v>459</v>
      </c>
      <c r="BG292" s="34">
        <f t="shared" si="234"/>
        <v>300</v>
      </c>
      <c r="BH292" s="34">
        <f t="shared" si="235"/>
        <v>0</v>
      </c>
      <c r="BI292" s="34">
        <f t="shared" si="226"/>
        <v>79.7</v>
      </c>
      <c r="BJ292" s="34">
        <f t="shared" si="236"/>
        <v>200</v>
      </c>
      <c r="BK292" s="34">
        <f t="shared" si="237"/>
        <v>1351.7</v>
      </c>
      <c r="BL292" s="40">
        <f t="shared" si="225"/>
        <v>1351.7</v>
      </c>
    </row>
    <row r="293" spans="1:64" ht="28.5" customHeight="1" x14ac:dyDescent="0.25">
      <c r="A293" s="298" t="s">
        <v>896</v>
      </c>
      <c r="B293" s="299" t="s">
        <v>894</v>
      </c>
      <c r="C293" s="1546" t="s">
        <v>897</v>
      </c>
      <c r="D293" s="1549" t="s">
        <v>898</v>
      </c>
      <c r="E293" s="1549" t="s">
        <v>899</v>
      </c>
      <c r="F293" s="1549">
        <v>2015</v>
      </c>
      <c r="G293" s="1562">
        <v>3803</v>
      </c>
      <c r="H293" s="1562">
        <v>4200</v>
      </c>
      <c r="I293" s="1428" t="s">
        <v>53</v>
      </c>
      <c r="J293" s="1428"/>
      <c r="K293" s="1428" t="s">
        <v>900</v>
      </c>
      <c r="L293" s="301" t="s">
        <v>901</v>
      </c>
      <c r="M293" s="1425" t="s">
        <v>902</v>
      </c>
      <c r="N293" s="476" t="s">
        <v>2514</v>
      </c>
      <c r="O293" s="1425" t="s">
        <v>73</v>
      </c>
      <c r="P293" s="16" t="s">
        <v>904</v>
      </c>
      <c r="Q293" s="302" t="s">
        <v>905</v>
      </c>
      <c r="R293" s="303">
        <v>2015</v>
      </c>
      <c r="S293" s="303">
        <v>0</v>
      </c>
      <c r="T293" s="303">
        <v>0</v>
      </c>
      <c r="U293" s="572">
        <v>0</v>
      </c>
      <c r="V293" s="572">
        <v>0.5</v>
      </c>
      <c r="W293" s="572">
        <v>0.5</v>
      </c>
      <c r="X293" s="572">
        <v>1</v>
      </c>
      <c r="Y293" s="481"/>
      <c r="Z293" s="481"/>
      <c r="AA293" s="481"/>
      <c r="AB293" s="481"/>
      <c r="AC293" s="481"/>
      <c r="AD293" s="481"/>
      <c r="AE293" s="481"/>
      <c r="AF293" s="481">
        <f t="shared" si="239"/>
        <v>0</v>
      </c>
      <c r="AG293" s="42"/>
      <c r="AH293" s="548"/>
      <c r="AI293" s="548"/>
      <c r="AJ293" s="588"/>
      <c r="AK293" s="548"/>
      <c r="AL293" s="548"/>
      <c r="AM293" s="548">
        <f t="shared" si="241"/>
        <v>0</v>
      </c>
      <c r="AN293" s="481"/>
      <c r="AO293" s="481"/>
      <c r="AP293" s="481"/>
      <c r="AQ293" s="481">
        <v>200</v>
      </c>
      <c r="AR293" s="481"/>
      <c r="AS293" s="481"/>
      <c r="AT293" s="481"/>
      <c r="AU293" s="481">
        <f t="shared" si="243"/>
        <v>200</v>
      </c>
      <c r="AV293" s="491">
        <v>3</v>
      </c>
      <c r="AW293" s="548"/>
      <c r="AX293" s="548"/>
      <c r="AY293" s="588"/>
      <c r="AZ293" s="548"/>
      <c r="BA293" s="548"/>
      <c r="BB293" s="548"/>
      <c r="BC293" s="548">
        <f t="shared" si="245"/>
        <v>3</v>
      </c>
      <c r="BD293" s="42">
        <f t="shared" si="231"/>
        <v>3</v>
      </c>
      <c r="BE293" s="42">
        <f t="shared" si="232"/>
        <v>0</v>
      </c>
      <c r="BF293" s="42">
        <f t="shared" si="233"/>
        <v>0</v>
      </c>
      <c r="BG293" s="29">
        <f t="shared" si="234"/>
        <v>200</v>
      </c>
      <c r="BH293" s="42">
        <f t="shared" si="235"/>
        <v>0</v>
      </c>
      <c r="BI293" s="42">
        <f t="shared" si="226"/>
        <v>0</v>
      </c>
      <c r="BJ293" s="42">
        <f t="shared" si="236"/>
        <v>0</v>
      </c>
      <c r="BK293" s="42">
        <f t="shared" si="237"/>
        <v>203</v>
      </c>
      <c r="BL293" s="40">
        <f t="shared" si="225"/>
        <v>203</v>
      </c>
    </row>
    <row r="294" spans="1:64" ht="30.75" customHeight="1" x14ac:dyDescent="0.25">
      <c r="A294" s="298" t="s">
        <v>896</v>
      </c>
      <c r="B294" s="299" t="s">
        <v>894</v>
      </c>
      <c r="C294" s="1547"/>
      <c r="D294" s="1549"/>
      <c r="E294" s="1549"/>
      <c r="F294" s="1549"/>
      <c r="G294" s="1549"/>
      <c r="H294" s="1549"/>
      <c r="I294" s="1425"/>
      <c r="J294" s="1425"/>
      <c r="K294" s="1428" t="s">
        <v>906</v>
      </c>
      <c r="L294" s="301" t="s">
        <v>901</v>
      </c>
      <c r="M294" s="1425" t="s">
        <v>902</v>
      </c>
      <c r="N294" s="476" t="s">
        <v>2514</v>
      </c>
      <c r="O294" s="1425" t="s">
        <v>47</v>
      </c>
      <c r="P294" s="16" t="s">
        <v>907</v>
      </c>
      <c r="Q294" s="302" t="s">
        <v>908</v>
      </c>
      <c r="R294" s="303">
        <v>2015</v>
      </c>
      <c r="S294" s="303">
        <v>0</v>
      </c>
      <c r="T294" s="303">
        <v>0</v>
      </c>
      <c r="U294" s="572">
        <v>5</v>
      </c>
      <c r="V294" s="572">
        <v>5</v>
      </c>
      <c r="W294" s="572">
        <v>4</v>
      </c>
      <c r="X294" s="572">
        <v>14</v>
      </c>
      <c r="Y294" s="481"/>
      <c r="Z294" s="481"/>
      <c r="AA294" s="481"/>
      <c r="AB294" s="481"/>
      <c r="AC294" s="481"/>
      <c r="AD294" s="481"/>
      <c r="AE294" s="481"/>
      <c r="AF294" s="481">
        <f t="shared" si="239"/>
        <v>0</v>
      </c>
      <c r="AG294" s="491">
        <v>2</v>
      </c>
      <c r="AH294" s="548"/>
      <c r="AI294" s="548">
        <v>10</v>
      </c>
      <c r="AJ294" s="548"/>
      <c r="AK294" s="548"/>
      <c r="AL294" s="548"/>
      <c r="AM294" s="548">
        <f t="shared" si="241"/>
        <v>12</v>
      </c>
      <c r="AN294" s="491">
        <v>2</v>
      </c>
      <c r="AO294" s="481"/>
      <c r="AP294" s="481"/>
      <c r="AQ294" s="481"/>
      <c r="AR294" s="481"/>
      <c r="AS294" s="481"/>
      <c r="AT294" s="481"/>
      <c r="AU294" s="481">
        <f t="shared" si="243"/>
        <v>2</v>
      </c>
      <c r="AV294" s="491">
        <v>3</v>
      </c>
      <c r="AW294" s="548"/>
      <c r="AX294" s="548"/>
      <c r="AY294" s="548"/>
      <c r="AZ294" s="548"/>
      <c r="BA294" s="548"/>
      <c r="BB294" s="548"/>
      <c r="BC294" s="548">
        <f t="shared" si="245"/>
        <v>3</v>
      </c>
      <c r="BD294" s="42">
        <f t="shared" si="231"/>
        <v>7</v>
      </c>
      <c r="BE294" s="42">
        <f t="shared" si="232"/>
        <v>0</v>
      </c>
      <c r="BF294" s="42">
        <f t="shared" si="233"/>
        <v>10</v>
      </c>
      <c r="BG294" s="42">
        <f t="shared" si="234"/>
        <v>0</v>
      </c>
      <c r="BH294" s="42">
        <f t="shared" si="235"/>
        <v>0</v>
      </c>
      <c r="BI294" s="42">
        <f t="shared" si="226"/>
        <v>0</v>
      </c>
      <c r="BJ294" s="42">
        <f t="shared" si="236"/>
        <v>0</v>
      </c>
      <c r="BK294" s="42">
        <f t="shared" si="237"/>
        <v>17</v>
      </c>
      <c r="BL294" s="40">
        <f t="shared" si="225"/>
        <v>17</v>
      </c>
    </row>
    <row r="295" spans="1:64" ht="33.75" customHeight="1" x14ac:dyDescent="0.25">
      <c r="A295" s="298" t="s">
        <v>896</v>
      </c>
      <c r="B295" s="299" t="s">
        <v>894</v>
      </c>
      <c r="C295" s="1547"/>
      <c r="D295" s="1549"/>
      <c r="E295" s="1549"/>
      <c r="F295" s="1549"/>
      <c r="G295" s="1549"/>
      <c r="H295" s="1549"/>
      <c r="I295" s="1425"/>
      <c r="J295" s="1425"/>
      <c r="K295" s="1428" t="s">
        <v>909</v>
      </c>
      <c r="L295" s="301" t="s">
        <v>901</v>
      </c>
      <c r="M295" s="1425" t="s">
        <v>902</v>
      </c>
      <c r="N295" s="476" t="s">
        <v>2514</v>
      </c>
      <c r="O295" s="1425" t="s">
        <v>47</v>
      </c>
      <c r="P295" s="16" t="s">
        <v>910</v>
      </c>
      <c r="Q295" s="302" t="s">
        <v>911</v>
      </c>
      <c r="R295" s="303">
        <v>2015</v>
      </c>
      <c r="S295" s="303">
        <v>0</v>
      </c>
      <c r="T295" s="303">
        <v>0</v>
      </c>
      <c r="U295" s="572">
        <v>1</v>
      </c>
      <c r="V295" s="572">
        <v>1</v>
      </c>
      <c r="W295" s="572">
        <v>1</v>
      </c>
      <c r="X295" s="572">
        <v>3</v>
      </c>
      <c r="Y295" s="481"/>
      <c r="Z295" s="481"/>
      <c r="AA295" s="481"/>
      <c r="AB295" s="481"/>
      <c r="AC295" s="481"/>
      <c r="AD295" s="481"/>
      <c r="AE295" s="481"/>
      <c r="AF295" s="481">
        <f t="shared" si="239"/>
        <v>0</v>
      </c>
      <c r="AG295" s="491">
        <v>2</v>
      </c>
      <c r="AH295" s="548"/>
      <c r="AI295" s="548"/>
      <c r="AJ295" s="548"/>
      <c r="AK295" s="548"/>
      <c r="AL295" s="548"/>
      <c r="AM295" s="548">
        <f t="shared" si="241"/>
        <v>2</v>
      </c>
      <c r="AN295" s="491">
        <v>2</v>
      </c>
      <c r="AO295" s="481"/>
      <c r="AP295" s="481"/>
      <c r="AQ295" s="481"/>
      <c r="AR295" s="481"/>
      <c r="AS295" s="481"/>
      <c r="AT295" s="481"/>
      <c r="AU295" s="481">
        <f t="shared" si="243"/>
        <v>2</v>
      </c>
      <c r="AV295" s="491">
        <v>3</v>
      </c>
      <c r="AW295" s="548"/>
      <c r="AX295" s="548"/>
      <c r="AY295" s="548"/>
      <c r="AZ295" s="548"/>
      <c r="BA295" s="548"/>
      <c r="BB295" s="548"/>
      <c r="BC295" s="548">
        <f t="shared" si="245"/>
        <v>3</v>
      </c>
      <c r="BD295" s="42">
        <f t="shared" si="231"/>
        <v>7</v>
      </c>
      <c r="BE295" s="42">
        <f t="shared" si="232"/>
        <v>0</v>
      </c>
      <c r="BF295" s="42">
        <f t="shared" si="233"/>
        <v>0</v>
      </c>
      <c r="BG295" s="42">
        <f t="shared" si="234"/>
        <v>0</v>
      </c>
      <c r="BH295" s="42">
        <f t="shared" si="235"/>
        <v>0</v>
      </c>
      <c r="BI295" s="42">
        <f t="shared" si="226"/>
        <v>0</v>
      </c>
      <c r="BJ295" s="42">
        <f t="shared" si="236"/>
        <v>0</v>
      </c>
      <c r="BK295" s="42">
        <f t="shared" si="237"/>
        <v>7</v>
      </c>
      <c r="BL295" s="40">
        <f t="shared" si="225"/>
        <v>7</v>
      </c>
    </row>
    <row r="296" spans="1:64" ht="33" customHeight="1" x14ac:dyDescent="0.25">
      <c r="A296" s="298" t="s">
        <v>896</v>
      </c>
      <c r="B296" s="299" t="s">
        <v>894</v>
      </c>
      <c r="C296" s="1547"/>
      <c r="D296" s="1549"/>
      <c r="E296" s="1549"/>
      <c r="F296" s="1549"/>
      <c r="G296" s="1549"/>
      <c r="H296" s="1549"/>
      <c r="I296" s="1425"/>
      <c r="J296" s="1425"/>
      <c r="K296" s="1428" t="s">
        <v>912</v>
      </c>
      <c r="L296" s="301" t="s">
        <v>901</v>
      </c>
      <c r="M296" s="1425" t="s">
        <v>902</v>
      </c>
      <c r="N296" s="476" t="s">
        <v>2514</v>
      </c>
      <c r="O296" s="1425" t="s">
        <v>47</v>
      </c>
      <c r="P296" s="16" t="s">
        <v>913</v>
      </c>
      <c r="Q296" s="302" t="s">
        <v>914</v>
      </c>
      <c r="R296" s="303">
        <v>2015</v>
      </c>
      <c r="S296" s="303">
        <v>0</v>
      </c>
      <c r="T296" s="303">
        <v>1</v>
      </c>
      <c r="U296" s="572">
        <v>1</v>
      </c>
      <c r="V296" s="572">
        <v>1</v>
      </c>
      <c r="W296" s="572">
        <v>1</v>
      </c>
      <c r="X296" s="572">
        <v>4</v>
      </c>
      <c r="Y296" s="579">
        <v>1</v>
      </c>
      <c r="Z296" s="481"/>
      <c r="AA296" s="481">
        <v>0</v>
      </c>
      <c r="AB296" s="481"/>
      <c r="AC296" s="481"/>
      <c r="AD296" s="481"/>
      <c r="AE296" s="481"/>
      <c r="AF296" s="481">
        <f t="shared" si="239"/>
        <v>1</v>
      </c>
      <c r="AG296" s="42">
        <v>1</v>
      </c>
      <c r="AH296" s="548"/>
      <c r="AI296" s="548"/>
      <c r="AJ296" s="548"/>
      <c r="AK296" s="548"/>
      <c r="AL296" s="548"/>
      <c r="AM296" s="548">
        <f t="shared" si="241"/>
        <v>1</v>
      </c>
      <c r="AN296" s="42">
        <v>1</v>
      </c>
      <c r="AO296" s="481"/>
      <c r="AP296" s="481"/>
      <c r="AQ296" s="481"/>
      <c r="AR296" s="481"/>
      <c r="AS296" s="481"/>
      <c r="AT296" s="481"/>
      <c r="AU296" s="481">
        <f t="shared" si="243"/>
        <v>1</v>
      </c>
      <c r="AV296" s="548">
        <v>1</v>
      </c>
      <c r="AW296" s="548"/>
      <c r="AX296" s="548"/>
      <c r="AY296" s="548"/>
      <c r="AZ296" s="548"/>
      <c r="BA296" s="548"/>
      <c r="BB296" s="548"/>
      <c r="BC296" s="548">
        <f t="shared" si="245"/>
        <v>1</v>
      </c>
      <c r="BD296" s="42">
        <f t="shared" si="231"/>
        <v>4</v>
      </c>
      <c r="BE296" s="42">
        <f t="shared" si="232"/>
        <v>0</v>
      </c>
      <c r="BF296" s="42">
        <f t="shared" si="233"/>
        <v>0</v>
      </c>
      <c r="BG296" s="42">
        <f t="shared" si="234"/>
        <v>0</v>
      </c>
      <c r="BH296" s="42">
        <f t="shared" si="235"/>
        <v>0</v>
      </c>
      <c r="BI296" s="42">
        <f t="shared" si="226"/>
        <v>0</v>
      </c>
      <c r="BJ296" s="42">
        <f t="shared" si="236"/>
        <v>0</v>
      </c>
      <c r="BK296" s="42">
        <f t="shared" si="237"/>
        <v>4</v>
      </c>
      <c r="BL296" s="40">
        <f t="shared" si="225"/>
        <v>4</v>
      </c>
    </row>
    <row r="297" spans="1:64" ht="36.75" customHeight="1" x14ac:dyDescent="0.25">
      <c r="A297" s="298" t="s">
        <v>896</v>
      </c>
      <c r="B297" s="299" t="s">
        <v>894</v>
      </c>
      <c r="C297" s="1547"/>
      <c r="D297" s="1549"/>
      <c r="E297" s="1549"/>
      <c r="F297" s="1549"/>
      <c r="G297" s="1549"/>
      <c r="H297" s="1549"/>
      <c r="I297" s="1425"/>
      <c r="J297" s="1425"/>
      <c r="K297" s="1428" t="s">
        <v>915</v>
      </c>
      <c r="L297" s="301" t="s">
        <v>901</v>
      </c>
      <c r="M297" s="1425" t="s">
        <v>902</v>
      </c>
      <c r="N297" s="476" t="s">
        <v>2514</v>
      </c>
      <c r="O297" s="1425" t="s">
        <v>47</v>
      </c>
      <c r="P297" s="16" t="s">
        <v>916</v>
      </c>
      <c r="Q297" s="302" t="s">
        <v>917</v>
      </c>
      <c r="R297" s="303">
        <v>2015</v>
      </c>
      <c r="S297" s="303">
        <v>0</v>
      </c>
      <c r="T297" s="303">
        <v>0</v>
      </c>
      <c r="U297" s="572">
        <v>33</v>
      </c>
      <c r="V297" s="572">
        <v>33</v>
      </c>
      <c r="W297" s="572">
        <v>34</v>
      </c>
      <c r="X297" s="572">
        <v>100</v>
      </c>
      <c r="Y297" s="481"/>
      <c r="Z297" s="481"/>
      <c r="AA297" s="481"/>
      <c r="AB297" s="481"/>
      <c r="AC297" s="481"/>
      <c r="AD297" s="481"/>
      <c r="AE297" s="481"/>
      <c r="AF297" s="481">
        <f t="shared" si="239"/>
        <v>0</v>
      </c>
      <c r="AG297" s="491">
        <v>5</v>
      </c>
      <c r="AH297" s="548"/>
      <c r="AI297" s="548"/>
      <c r="AJ297" s="548"/>
      <c r="AK297" s="548"/>
      <c r="AL297" s="548"/>
      <c r="AM297" s="548">
        <f t="shared" si="241"/>
        <v>5</v>
      </c>
      <c r="AN297" s="491">
        <v>5</v>
      </c>
      <c r="AO297" s="481"/>
      <c r="AP297" s="481"/>
      <c r="AQ297" s="481"/>
      <c r="AR297" s="481"/>
      <c r="AS297" s="481"/>
      <c r="AT297" s="481"/>
      <c r="AU297" s="481">
        <f t="shared" si="243"/>
        <v>5</v>
      </c>
      <c r="AV297" s="491">
        <v>7</v>
      </c>
      <c r="AW297" s="548"/>
      <c r="AX297" s="548"/>
      <c r="AY297" s="548"/>
      <c r="AZ297" s="548"/>
      <c r="BA297" s="548"/>
      <c r="BB297" s="548"/>
      <c r="BC297" s="548">
        <f t="shared" si="245"/>
        <v>7</v>
      </c>
      <c r="BD297" s="42">
        <f t="shared" si="231"/>
        <v>17</v>
      </c>
      <c r="BE297" s="42">
        <f t="shared" si="232"/>
        <v>0</v>
      </c>
      <c r="BF297" s="42">
        <f t="shared" si="233"/>
        <v>0</v>
      </c>
      <c r="BG297" s="42">
        <f t="shared" si="234"/>
        <v>0</v>
      </c>
      <c r="BH297" s="42">
        <f t="shared" si="235"/>
        <v>0</v>
      </c>
      <c r="BI297" s="42">
        <f t="shared" si="226"/>
        <v>0</v>
      </c>
      <c r="BJ297" s="42">
        <f t="shared" si="236"/>
        <v>0</v>
      </c>
      <c r="BK297" s="42">
        <f t="shared" si="237"/>
        <v>17</v>
      </c>
      <c r="BL297" s="40">
        <f t="shared" si="225"/>
        <v>17</v>
      </c>
    </row>
    <row r="298" spans="1:64" ht="53.25" customHeight="1" x14ac:dyDescent="0.25">
      <c r="A298" s="298" t="s">
        <v>896</v>
      </c>
      <c r="B298" s="299" t="s">
        <v>894</v>
      </c>
      <c r="C298" s="1547"/>
      <c r="D298" s="1549"/>
      <c r="E298" s="1549"/>
      <c r="F298" s="1549"/>
      <c r="G298" s="1549"/>
      <c r="H298" s="1549"/>
      <c r="I298" s="1425"/>
      <c r="J298" s="1425"/>
      <c r="K298" s="1428" t="s">
        <v>918</v>
      </c>
      <c r="L298" s="301" t="s">
        <v>901</v>
      </c>
      <c r="M298" s="1425" t="s">
        <v>902</v>
      </c>
      <c r="N298" s="476" t="s">
        <v>2514</v>
      </c>
      <c r="O298" s="1425" t="s">
        <v>73</v>
      </c>
      <c r="P298" s="16" t="s">
        <v>919</v>
      </c>
      <c r="Q298" s="302" t="s">
        <v>194</v>
      </c>
      <c r="R298" s="303">
        <v>2015</v>
      </c>
      <c r="S298" s="303">
        <v>0</v>
      </c>
      <c r="T298" s="303">
        <v>1</v>
      </c>
      <c r="U298" s="572">
        <v>1</v>
      </c>
      <c r="V298" s="572">
        <v>1</v>
      </c>
      <c r="W298" s="572">
        <v>1</v>
      </c>
      <c r="X298" s="572">
        <v>1</v>
      </c>
      <c r="Y298" s="481">
        <v>10</v>
      </c>
      <c r="Z298" s="481"/>
      <c r="AA298" s="481">
        <v>30</v>
      </c>
      <c r="AB298" s="481"/>
      <c r="AC298" s="481"/>
      <c r="AD298" s="481">
        <v>20.7</v>
      </c>
      <c r="AE298" s="481"/>
      <c r="AF298" s="481">
        <f t="shared" si="239"/>
        <v>60.7</v>
      </c>
      <c r="AG298" s="491">
        <v>5</v>
      </c>
      <c r="AH298" s="548"/>
      <c r="AI298" s="548">
        <v>30</v>
      </c>
      <c r="AJ298" s="548"/>
      <c r="AK298" s="548"/>
      <c r="AL298" s="548"/>
      <c r="AM298" s="548">
        <f t="shared" si="241"/>
        <v>35</v>
      </c>
      <c r="AN298" s="491">
        <v>5</v>
      </c>
      <c r="AO298" s="481"/>
      <c r="AP298" s="481">
        <v>30</v>
      </c>
      <c r="AQ298" s="481"/>
      <c r="AR298" s="481"/>
      <c r="AS298" s="481"/>
      <c r="AT298" s="481"/>
      <c r="AU298" s="481">
        <f t="shared" si="243"/>
        <v>35</v>
      </c>
      <c r="AV298" s="548">
        <v>10</v>
      </c>
      <c r="AW298" s="548"/>
      <c r="AX298" s="548">
        <v>30</v>
      </c>
      <c r="AY298" s="548"/>
      <c r="AZ298" s="548"/>
      <c r="BA298" s="548"/>
      <c r="BB298" s="548"/>
      <c r="BC298" s="548">
        <f t="shared" si="245"/>
        <v>40</v>
      </c>
      <c r="BD298" s="42">
        <f t="shared" si="231"/>
        <v>30</v>
      </c>
      <c r="BE298" s="42">
        <f t="shared" si="232"/>
        <v>0</v>
      </c>
      <c r="BF298" s="42">
        <f t="shared" si="233"/>
        <v>120</v>
      </c>
      <c r="BG298" s="42">
        <f t="shared" si="234"/>
        <v>0</v>
      </c>
      <c r="BH298" s="42">
        <f t="shared" si="235"/>
        <v>0</v>
      </c>
      <c r="BI298" s="42">
        <f t="shared" si="226"/>
        <v>20.7</v>
      </c>
      <c r="BJ298" s="42">
        <f t="shared" si="236"/>
        <v>0</v>
      </c>
      <c r="BK298" s="42">
        <f t="shared" si="237"/>
        <v>170.7</v>
      </c>
      <c r="BL298" s="40">
        <f t="shared" si="225"/>
        <v>170.7</v>
      </c>
    </row>
    <row r="299" spans="1:64" ht="43.5" customHeight="1" x14ac:dyDescent="0.25">
      <c r="A299" s="298" t="s">
        <v>896</v>
      </c>
      <c r="B299" s="299" t="s">
        <v>894</v>
      </c>
      <c r="C299" s="1547"/>
      <c r="D299" s="1549"/>
      <c r="E299" s="1549"/>
      <c r="F299" s="1549"/>
      <c r="G299" s="1549"/>
      <c r="H299" s="1549"/>
      <c r="I299" s="1425"/>
      <c r="J299" s="1425"/>
      <c r="K299" s="1428" t="s">
        <v>920</v>
      </c>
      <c r="L299" s="301" t="s">
        <v>901</v>
      </c>
      <c r="M299" s="1425" t="s">
        <v>902</v>
      </c>
      <c r="N299" s="476" t="s">
        <v>2514</v>
      </c>
      <c r="O299" s="1425" t="s">
        <v>47</v>
      </c>
      <c r="P299" s="16" t="s">
        <v>921</v>
      </c>
      <c r="Q299" s="302" t="s">
        <v>71</v>
      </c>
      <c r="R299" s="303">
        <v>2015</v>
      </c>
      <c r="S299" s="303">
        <v>0</v>
      </c>
      <c r="T299" s="303">
        <v>6</v>
      </c>
      <c r="U299" s="572">
        <v>6</v>
      </c>
      <c r="V299" s="572">
        <v>6</v>
      </c>
      <c r="W299" s="572">
        <v>7</v>
      </c>
      <c r="X299" s="572">
        <v>25</v>
      </c>
      <c r="Y299" s="481">
        <v>2</v>
      </c>
      <c r="Z299" s="481"/>
      <c r="AA299" s="481">
        <v>3</v>
      </c>
      <c r="AB299" s="481"/>
      <c r="AC299" s="481"/>
      <c r="AD299" s="481"/>
      <c r="AE299" s="481"/>
      <c r="AF299" s="481">
        <f t="shared" si="239"/>
        <v>5</v>
      </c>
      <c r="AG299" s="42">
        <v>2</v>
      </c>
      <c r="AH299" s="548"/>
      <c r="AI299" s="548"/>
      <c r="AJ299" s="548"/>
      <c r="AK299" s="548"/>
      <c r="AL299" s="548"/>
      <c r="AM299" s="548">
        <f t="shared" si="241"/>
        <v>2</v>
      </c>
      <c r="AN299" s="42">
        <v>2</v>
      </c>
      <c r="AO299" s="481"/>
      <c r="AP299" s="481">
        <v>3</v>
      </c>
      <c r="AQ299" s="481"/>
      <c r="AR299" s="481"/>
      <c r="AS299" s="481"/>
      <c r="AT299" s="481"/>
      <c r="AU299" s="481">
        <f t="shared" si="243"/>
        <v>5</v>
      </c>
      <c r="AV299" s="548">
        <v>2</v>
      </c>
      <c r="AW299" s="548"/>
      <c r="AX299" s="548">
        <v>3</v>
      </c>
      <c r="AY299" s="548"/>
      <c r="AZ299" s="548"/>
      <c r="BA299" s="548"/>
      <c r="BB299" s="548"/>
      <c r="BC299" s="548">
        <f t="shared" si="245"/>
        <v>5</v>
      </c>
      <c r="BD299" s="42">
        <f t="shared" si="231"/>
        <v>8</v>
      </c>
      <c r="BE299" s="42">
        <f t="shared" si="232"/>
        <v>0</v>
      </c>
      <c r="BF299" s="42">
        <f t="shared" si="233"/>
        <v>9</v>
      </c>
      <c r="BG299" s="42">
        <f t="shared" si="234"/>
        <v>0</v>
      </c>
      <c r="BH299" s="42">
        <f t="shared" si="235"/>
        <v>0</v>
      </c>
      <c r="BI299" s="42">
        <f t="shared" si="226"/>
        <v>0</v>
      </c>
      <c r="BJ299" s="42">
        <f t="shared" si="236"/>
        <v>0</v>
      </c>
      <c r="BK299" s="42">
        <f t="shared" si="237"/>
        <v>17</v>
      </c>
      <c r="BL299" s="40">
        <f t="shared" si="225"/>
        <v>17</v>
      </c>
    </row>
    <row r="300" spans="1:64" ht="61.5" customHeight="1" x14ac:dyDescent="0.25">
      <c r="A300" s="298" t="s">
        <v>896</v>
      </c>
      <c r="B300" s="299" t="s">
        <v>894</v>
      </c>
      <c r="C300" s="1547"/>
      <c r="D300" s="1549"/>
      <c r="E300" s="1549"/>
      <c r="F300" s="1549"/>
      <c r="G300" s="1549"/>
      <c r="H300" s="1549"/>
      <c r="I300" s="1425"/>
      <c r="J300" s="1425"/>
      <c r="K300" s="1428" t="s">
        <v>922</v>
      </c>
      <c r="L300" s="301" t="s">
        <v>901</v>
      </c>
      <c r="M300" s="1425" t="s">
        <v>902</v>
      </c>
      <c r="N300" s="476" t="s">
        <v>2514</v>
      </c>
      <c r="O300" s="1425" t="s">
        <v>47</v>
      </c>
      <c r="P300" s="16" t="s">
        <v>923</v>
      </c>
      <c r="Q300" s="302" t="s">
        <v>924</v>
      </c>
      <c r="R300" s="303">
        <v>2015</v>
      </c>
      <c r="S300" s="303">
        <v>400</v>
      </c>
      <c r="T300" s="303">
        <v>200</v>
      </c>
      <c r="U300" s="572">
        <v>200</v>
      </c>
      <c r="V300" s="572">
        <v>200</v>
      </c>
      <c r="W300" s="572">
        <v>200</v>
      </c>
      <c r="X300" s="572">
        <v>800</v>
      </c>
      <c r="Y300" s="579">
        <v>12</v>
      </c>
      <c r="Z300" s="583"/>
      <c r="AA300" s="583">
        <v>0</v>
      </c>
      <c r="AB300" s="481"/>
      <c r="AC300" s="481"/>
      <c r="AD300" s="481"/>
      <c r="AE300" s="481"/>
      <c r="AF300" s="481">
        <f t="shared" si="239"/>
        <v>12</v>
      </c>
      <c r="AG300" s="491">
        <v>5</v>
      </c>
      <c r="AH300" s="548"/>
      <c r="AI300" s="548"/>
      <c r="AJ300" s="548"/>
      <c r="AK300" s="548"/>
      <c r="AL300" s="548"/>
      <c r="AM300" s="548">
        <f t="shared" si="241"/>
        <v>5</v>
      </c>
      <c r="AN300" s="491">
        <v>5</v>
      </c>
      <c r="AO300" s="481"/>
      <c r="AP300" s="481"/>
      <c r="AQ300" s="481"/>
      <c r="AR300" s="481"/>
      <c r="AS300" s="481"/>
      <c r="AT300" s="481"/>
      <c r="AU300" s="481">
        <f t="shared" si="243"/>
        <v>5</v>
      </c>
      <c r="AV300" s="548">
        <v>12</v>
      </c>
      <c r="AW300" s="548"/>
      <c r="AX300" s="548"/>
      <c r="AY300" s="548"/>
      <c r="AZ300" s="548"/>
      <c r="BA300" s="548"/>
      <c r="BB300" s="548"/>
      <c r="BC300" s="548">
        <f t="shared" si="245"/>
        <v>12</v>
      </c>
      <c r="BD300" s="42">
        <f t="shared" si="231"/>
        <v>34</v>
      </c>
      <c r="BE300" s="42">
        <f t="shared" si="232"/>
        <v>0</v>
      </c>
      <c r="BF300" s="42">
        <f t="shared" si="233"/>
        <v>0</v>
      </c>
      <c r="BG300" s="42">
        <f t="shared" si="234"/>
        <v>0</v>
      </c>
      <c r="BH300" s="42">
        <f t="shared" si="235"/>
        <v>0</v>
      </c>
      <c r="BI300" s="42">
        <f t="shared" si="226"/>
        <v>0</v>
      </c>
      <c r="BJ300" s="42">
        <f t="shared" si="236"/>
        <v>0</v>
      </c>
      <c r="BK300" s="42">
        <f t="shared" si="237"/>
        <v>34</v>
      </c>
      <c r="BL300" s="40">
        <f t="shared" si="225"/>
        <v>34</v>
      </c>
    </row>
    <row r="301" spans="1:64" ht="62.25" customHeight="1" x14ac:dyDescent="0.25">
      <c r="A301" s="298" t="s">
        <v>896</v>
      </c>
      <c r="B301" s="299" t="s">
        <v>894</v>
      </c>
      <c r="C301" s="1547"/>
      <c r="D301" s="1549"/>
      <c r="E301" s="1549"/>
      <c r="F301" s="1549"/>
      <c r="G301" s="1549"/>
      <c r="H301" s="1549"/>
      <c r="I301" s="1425"/>
      <c r="J301" s="1425"/>
      <c r="K301" s="1428" t="s">
        <v>925</v>
      </c>
      <c r="L301" s="301" t="s">
        <v>901</v>
      </c>
      <c r="M301" s="1425" t="s">
        <v>902</v>
      </c>
      <c r="N301" s="476" t="s">
        <v>2514</v>
      </c>
      <c r="O301" s="1425" t="s">
        <v>47</v>
      </c>
      <c r="P301" s="16" t="s">
        <v>926</v>
      </c>
      <c r="Q301" s="302" t="s">
        <v>927</v>
      </c>
      <c r="R301" s="303">
        <v>2015</v>
      </c>
      <c r="S301" s="303" t="s">
        <v>177</v>
      </c>
      <c r="T301" s="303">
        <v>500</v>
      </c>
      <c r="U301" s="572">
        <v>500</v>
      </c>
      <c r="V301" s="572">
        <v>500</v>
      </c>
      <c r="W301" s="572">
        <v>500</v>
      </c>
      <c r="X301" s="572">
        <v>2000</v>
      </c>
      <c r="Y301" s="481">
        <v>10</v>
      </c>
      <c r="Z301" s="481"/>
      <c r="AA301" s="481">
        <v>10</v>
      </c>
      <c r="AB301" s="481"/>
      <c r="AC301" s="481"/>
      <c r="AD301" s="481"/>
      <c r="AE301" s="481"/>
      <c r="AF301" s="481">
        <f t="shared" si="239"/>
        <v>20</v>
      </c>
      <c r="AG301" s="491">
        <v>5</v>
      </c>
      <c r="AH301" s="548"/>
      <c r="AI301" s="491"/>
      <c r="AJ301" s="548"/>
      <c r="AK301" s="548"/>
      <c r="AL301" s="548"/>
      <c r="AM301" s="548">
        <f>SUM(AG301:AL301)</f>
        <v>5</v>
      </c>
      <c r="AN301" s="491">
        <v>5</v>
      </c>
      <c r="AO301" s="481"/>
      <c r="AP301" s="491">
        <v>9</v>
      </c>
      <c r="AQ301" s="481"/>
      <c r="AR301" s="481"/>
      <c r="AS301" s="481"/>
      <c r="AT301" s="481"/>
      <c r="AU301" s="481">
        <f t="shared" si="243"/>
        <v>14</v>
      </c>
      <c r="AV301" s="491">
        <v>7</v>
      </c>
      <c r="AW301" s="548"/>
      <c r="AX301" s="491">
        <v>9</v>
      </c>
      <c r="AY301" s="548"/>
      <c r="AZ301" s="548"/>
      <c r="BA301" s="548"/>
      <c r="BB301" s="548"/>
      <c r="BC301" s="548">
        <f t="shared" si="245"/>
        <v>16</v>
      </c>
      <c r="BD301" s="42">
        <f t="shared" si="231"/>
        <v>27</v>
      </c>
      <c r="BE301" s="42">
        <f t="shared" si="232"/>
        <v>0</v>
      </c>
      <c r="BF301" s="42">
        <f t="shared" si="233"/>
        <v>28</v>
      </c>
      <c r="BG301" s="42">
        <f t="shared" si="234"/>
        <v>0</v>
      </c>
      <c r="BH301" s="42">
        <f t="shared" si="235"/>
        <v>0</v>
      </c>
      <c r="BI301" s="42">
        <f t="shared" si="226"/>
        <v>0</v>
      </c>
      <c r="BJ301" s="42">
        <f t="shared" si="236"/>
        <v>0</v>
      </c>
      <c r="BK301" s="42">
        <f t="shared" si="237"/>
        <v>55</v>
      </c>
      <c r="BL301" s="40">
        <f t="shared" si="225"/>
        <v>55</v>
      </c>
    </row>
    <row r="302" spans="1:64" ht="39.75" customHeight="1" x14ac:dyDescent="0.25">
      <c r="A302" s="298" t="s">
        <v>896</v>
      </c>
      <c r="B302" s="299" t="s">
        <v>894</v>
      </c>
      <c r="C302" s="1547"/>
      <c r="D302" s="1549"/>
      <c r="E302" s="1549"/>
      <c r="F302" s="1549"/>
      <c r="G302" s="1549"/>
      <c r="H302" s="1549"/>
      <c r="I302" s="1425"/>
      <c r="J302" s="1425"/>
      <c r="K302" s="1428" t="s">
        <v>928</v>
      </c>
      <c r="L302" s="301" t="s">
        <v>901</v>
      </c>
      <c r="M302" s="1425" t="s">
        <v>902</v>
      </c>
      <c r="N302" s="476" t="s">
        <v>2514</v>
      </c>
      <c r="O302" s="1425" t="s">
        <v>47</v>
      </c>
      <c r="P302" s="16" t="s">
        <v>929</v>
      </c>
      <c r="Q302" s="302" t="s">
        <v>930</v>
      </c>
      <c r="R302" s="303">
        <v>2015</v>
      </c>
      <c r="S302" s="303" t="s">
        <v>177</v>
      </c>
      <c r="T302" s="303">
        <v>250</v>
      </c>
      <c r="U302" s="572">
        <v>250</v>
      </c>
      <c r="V302" s="572">
        <v>250</v>
      </c>
      <c r="W302" s="572">
        <v>250</v>
      </c>
      <c r="X302" s="572">
        <v>1000</v>
      </c>
      <c r="Y302" s="481">
        <v>5</v>
      </c>
      <c r="Z302" s="481"/>
      <c r="AA302" s="481">
        <v>10</v>
      </c>
      <c r="AB302" s="481"/>
      <c r="AC302" s="481"/>
      <c r="AD302" s="481"/>
      <c r="AE302" s="481"/>
      <c r="AF302" s="481">
        <f t="shared" ref="AF302:AF325" si="250">SUM(Y302:AE302)</f>
        <v>15</v>
      </c>
      <c r="AG302" s="491">
        <v>3</v>
      </c>
      <c r="AH302" s="548"/>
      <c r="AI302" s="491"/>
      <c r="AJ302" s="548"/>
      <c r="AK302" s="548"/>
      <c r="AL302" s="548"/>
      <c r="AM302" s="548">
        <f t="shared" ref="AM302:AM325" si="251">SUM(AG302:AL302)</f>
        <v>3</v>
      </c>
      <c r="AN302" s="42">
        <v>5</v>
      </c>
      <c r="AO302" s="481"/>
      <c r="AP302" s="491">
        <v>9</v>
      </c>
      <c r="AQ302" s="481"/>
      <c r="AR302" s="481"/>
      <c r="AS302" s="481"/>
      <c r="AT302" s="481"/>
      <c r="AU302" s="481">
        <f t="shared" ref="AU302:AU325" si="252">SUM(AN302:AT302)</f>
        <v>14</v>
      </c>
      <c r="AV302" s="548">
        <v>5</v>
      </c>
      <c r="AW302" s="548"/>
      <c r="AX302" s="548">
        <v>10</v>
      </c>
      <c r="AY302" s="548"/>
      <c r="AZ302" s="548"/>
      <c r="BA302" s="548"/>
      <c r="BB302" s="548"/>
      <c r="BC302" s="548">
        <f t="shared" ref="BC302:BC325" si="253">SUM(AV302:BB302)</f>
        <v>15</v>
      </c>
      <c r="BD302" s="42">
        <f t="shared" si="231"/>
        <v>18</v>
      </c>
      <c r="BE302" s="42">
        <f t="shared" si="232"/>
        <v>0</v>
      </c>
      <c r="BF302" s="42">
        <f t="shared" si="233"/>
        <v>29</v>
      </c>
      <c r="BG302" s="42">
        <f t="shared" si="234"/>
        <v>0</v>
      </c>
      <c r="BH302" s="42">
        <f t="shared" si="235"/>
        <v>0</v>
      </c>
      <c r="BI302" s="42">
        <f t="shared" si="226"/>
        <v>0</v>
      </c>
      <c r="BJ302" s="42">
        <f t="shared" si="236"/>
        <v>0</v>
      </c>
      <c r="BK302" s="42">
        <f t="shared" si="237"/>
        <v>47</v>
      </c>
      <c r="BL302" s="40">
        <f t="shared" si="225"/>
        <v>47</v>
      </c>
    </row>
    <row r="303" spans="1:64" ht="36.75" customHeight="1" x14ac:dyDescent="0.25">
      <c r="A303" s="298" t="s">
        <v>896</v>
      </c>
      <c r="B303" s="299" t="s">
        <v>894</v>
      </c>
      <c r="C303" s="1547"/>
      <c r="D303" s="1549"/>
      <c r="E303" s="1549"/>
      <c r="F303" s="1549"/>
      <c r="G303" s="1549"/>
      <c r="H303" s="1549"/>
      <c r="I303" s="1425"/>
      <c r="J303" s="1425"/>
      <c r="K303" s="1428" t="s">
        <v>931</v>
      </c>
      <c r="L303" s="301" t="s">
        <v>901</v>
      </c>
      <c r="M303" s="1425" t="s">
        <v>902</v>
      </c>
      <c r="N303" s="476" t="s">
        <v>2514</v>
      </c>
      <c r="O303" s="1425" t="s">
        <v>47</v>
      </c>
      <c r="P303" s="16" t="s">
        <v>932</v>
      </c>
      <c r="Q303" s="302" t="s">
        <v>933</v>
      </c>
      <c r="R303" s="303">
        <v>2015</v>
      </c>
      <c r="S303" s="303">
        <v>0</v>
      </c>
      <c r="T303" s="303">
        <v>6</v>
      </c>
      <c r="U303" s="572">
        <v>6</v>
      </c>
      <c r="V303" s="572">
        <v>6</v>
      </c>
      <c r="W303" s="572">
        <v>6</v>
      </c>
      <c r="X303" s="572">
        <v>24</v>
      </c>
      <c r="Y303" s="481">
        <v>0</v>
      </c>
      <c r="Z303" s="481"/>
      <c r="AA303" s="481">
        <v>10</v>
      </c>
      <c r="AB303" s="481"/>
      <c r="AC303" s="481"/>
      <c r="AD303" s="481">
        <v>0</v>
      </c>
      <c r="AE303" s="481"/>
      <c r="AF303" s="481">
        <f t="shared" si="250"/>
        <v>10</v>
      </c>
      <c r="AG303" s="42">
        <v>2</v>
      </c>
      <c r="AH303" s="548"/>
      <c r="AI303" s="491"/>
      <c r="AJ303" s="548"/>
      <c r="AK303" s="548"/>
      <c r="AL303" s="548"/>
      <c r="AM303" s="548">
        <f t="shared" si="251"/>
        <v>2</v>
      </c>
      <c r="AN303" s="42"/>
      <c r="AO303" s="481"/>
      <c r="AP303" s="491">
        <v>9</v>
      </c>
      <c r="AQ303" s="481"/>
      <c r="AR303" s="481"/>
      <c r="AS303" s="481"/>
      <c r="AT303" s="481"/>
      <c r="AU303" s="481">
        <f t="shared" si="252"/>
        <v>9</v>
      </c>
      <c r="AV303" s="548"/>
      <c r="AW303" s="548"/>
      <c r="AX303" s="548">
        <v>10</v>
      </c>
      <c r="AY303" s="548"/>
      <c r="AZ303" s="548"/>
      <c r="BA303" s="548"/>
      <c r="BB303" s="548"/>
      <c r="BC303" s="548">
        <f t="shared" si="253"/>
        <v>10</v>
      </c>
      <c r="BD303" s="42">
        <f t="shared" si="231"/>
        <v>2</v>
      </c>
      <c r="BE303" s="42">
        <f t="shared" si="232"/>
        <v>0</v>
      </c>
      <c r="BF303" s="42">
        <f t="shared" si="233"/>
        <v>29</v>
      </c>
      <c r="BG303" s="42">
        <f t="shared" si="234"/>
        <v>0</v>
      </c>
      <c r="BH303" s="42">
        <f t="shared" si="235"/>
        <v>0</v>
      </c>
      <c r="BI303" s="42">
        <f t="shared" si="226"/>
        <v>0</v>
      </c>
      <c r="BJ303" s="42">
        <f t="shared" si="236"/>
        <v>0</v>
      </c>
      <c r="BK303" s="42">
        <f t="shared" si="237"/>
        <v>31</v>
      </c>
      <c r="BL303" s="40">
        <f t="shared" si="225"/>
        <v>31</v>
      </c>
    </row>
    <row r="304" spans="1:64" ht="46.5" customHeight="1" x14ac:dyDescent="0.25">
      <c r="A304" s="298" t="s">
        <v>896</v>
      </c>
      <c r="B304" s="299" t="s">
        <v>894</v>
      </c>
      <c r="C304" s="1547"/>
      <c r="D304" s="1549"/>
      <c r="E304" s="1549"/>
      <c r="F304" s="1549"/>
      <c r="G304" s="1549"/>
      <c r="H304" s="1549"/>
      <c r="I304" s="1425"/>
      <c r="J304" s="1425"/>
      <c r="K304" s="1428" t="s">
        <v>934</v>
      </c>
      <c r="L304" s="301" t="s">
        <v>901</v>
      </c>
      <c r="M304" s="1425" t="s">
        <v>902</v>
      </c>
      <c r="N304" s="476" t="s">
        <v>2514</v>
      </c>
      <c r="O304" s="1425" t="s">
        <v>47</v>
      </c>
      <c r="P304" s="16" t="s">
        <v>935</v>
      </c>
      <c r="Q304" s="302" t="s">
        <v>936</v>
      </c>
      <c r="R304" s="303">
        <v>2015</v>
      </c>
      <c r="S304" s="303">
        <v>0</v>
      </c>
      <c r="T304" s="303">
        <v>10</v>
      </c>
      <c r="U304" s="572">
        <v>10</v>
      </c>
      <c r="V304" s="572">
        <v>10</v>
      </c>
      <c r="W304" s="572">
        <v>10</v>
      </c>
      <c r="X304" s="572">
        <v>40</v>
      </c>
      <c r="Y304" s="481">
        <v>0</v>
      </c>
      <c r="Z304" s="481"/>
      <c r="AA304" s="481"/>
      <c r="AB304" s="481"/>
      <c r="AC304" s="481"/>
      <c r="AD304" s="481">
        <v>4</v>
      </c>
      <c r="AE304" s="481"/>
      <c r="AF304" s="481">
        <f t="shared" si="250"/>
        <v>4</v>
      </c>
      <c r="AG304" s="491">
        <v>1.5</v>
      </c>
      <c r="AH304" s="548"/>
      <c r="AI304" s="42"/>
      <c r="AJ304" s="548"/>
      <c r="AK304" s="548"/>
      <c r="AL304" s="548"/>
      <c r="AM304" s="548">
        <f t="shared" si="251"/>
        <v>1.5</v>
      </c>
      <c r="AN304" s="42">
        <v>4</v>
      </c>
      <c r="AO304" s="481"/>
      <c r="AP304" s="42"/>
      <c r="AQ304" s="481"/>
      <c r="AR304" s="481"/>
      <c r="AS304" s="481"/>
      <c r="AT304" s="481"/>
      <c r="AU304" s="481">
        <f t="shared" si="252"/>
        <v>4</v>
      </c>
      <c r="AV304" s="548">
        <v>4</v>
      </c>
      <c r="AW304" s="548"/>
      <c r="AX304" s="548"/>
      <c r="AY304" s="548"/>
      <c r="AZ304" s="548"/>
      <c r="BA304" s="548"/>
      <c r="BB304" s="548"/>
      <c r="BC304" s="548">
        <f t="shared" si="253"/>
        <v>4</v>
      </c>
      <c r="BD304" s="42">
        <f t="shared" si="231"/>
        <v>9.5</v>
      </c>
      <c r="BE304" s="42">
        <f t="shared" si="232"/>
        <v>0</v>
      </c>
      <c r="BF304" s="42">
        <f t="shared" si="233"/>
        <v>0</v>
      </c>
      <c r="BG304" s="42">
        <f t="shared" si="234"/>
        <v>0</v>
      </c>
      <c r="BH304" s="42">
        <f t="shared" si="235"/>
        <v>0</v>
      </c>
      <c r="BI304" s="42">
        <f t="shared" si="226"/>
        <v>4</v>
      </c>
      <c r="BJ304" s="42">
        <f t="shared" si="236"/>
        <v>0</v>
      </c>
      <c r="BK304" s="42">
        <f t="shared" si="237"/>
        <v>13.5</v>
      </c>
      <c r="BL304" s="40">
        <f t="shared" si="225"/>
        <v>13.5</v>
      </c>
    </row>
    <row r="305" spans="1:64" ht="22.5" customHeight="1" x14ac:dyDescent="0.25">
      <c r="A305" s="298" t="s">
        <v>896</v>
      </c>
      <c r="B305" s="299" t="s">
        <v>894</v>
      </c>
      <c r="C305" s="1547"/>
      <c r="D305" s="1549"/>
      <c r="E305" s="1549"/>
      <c r="F305" s="1549"/>
      <c r="G305" s="1549"/>
      <c r="H305" s="1549"/>
      <c r="I305" s="1425"/>
      <c r="J305" s="1425"/>
      <c r="K305" s="1428" t="s">
        <v>937</v>
      </c>
      <c r="L305" s="301" t="s">
        <v>901</v>
      </c>
      <c r="M305" s="1425" t="s">
        <v>902</v>
      </c>
      <c r="N305" s="476" t="s">
        <v>2514</v>
      </c>
      <c r="O305" s="1425" t="s">
        <v>47</v>
      </c>
      <c r="P305" s="16" t="s">
        <v>938</v>
      </c>
      <c r="Q305" s="302" t="s">
        <v>939</v>
      </c>
      <c r="R305" s="303">
        <v>2015</v>
      </c>
      <c r="S305" s="303">
        <v>0</v>
      </c>
      <c r="T305" s="303">
        <v>25</v>
      </c>
      <c r="U305" s="572">
        <v>25</v>
      </c>
      <c r="V305" s="572">
        <v>25</v>
      </c>
      <c r="W305" s="572">
        <v>25</v>
      </c>
      <c r="X305" s="572">
        <v>100</v>
      </c>
      <c r="Y305" s="491">
        <v>4</v>
      </c>
      <c r="Z305" s="481"/>
      <c r="AA305" s="481">
        <v>10</v>
      </c>
      <c r="AB305" s="481"/>
      <c r="AC305" s="481"/>
      <c r="AD305" s="481"/>
      <c r="AE305" s="481"/>
      <c r="AF305" s="481">
        <f t="shared" si="250"/>
        <v>14</v>
      </c>
      <c r="AG305" s="491">
        <v>3</v>
      </c>
      <c r="AH305" s="548"/>
      <c r="AI305" s="491"/>
      <c r="AJ305" s="548"/>
      <c r="AK305" s="548"/>
      <c r="AL305" s="548"/>
      <c r="AM305" s="548">
        <f t="shared" si="251"/>
        <v>3</v>
      </c>
      <c r="AN305" s="491">
        <v>3</v>
      </c>
      <c r="AO305" s="481"/>
      <c r="AP305" s="491">
        <v>9</v>
      </c>
      <c r="AQ305" s="481"/>
      <c r="AR305" s="481"/>
      <c r="AS305" s="481"/>
      <c r="AT305" s="481"/>
      <c r="AU305" s="481">
        <f t="shared" si="252"/>
        <v>12</v>
      </c>
      <c r="AV305" s="548">
        <v>5</v>
      </c>
      <c r="AW305" s="548"/>
      <c r="AX305" s="548">
        <v>10</v>
      </c>
      <c r="AY305" s="548"/>
      <c r="AZ305" s="548"/>
      <c r="BA305" s="548"/>
      <c r="BB305" s="548"/>
      <c r="BC305" s="548">
        <f t="shared" si="253"/>
        <v>15</v>
      </c>
      <c r="BD305" s="42">
        <f t="shared" si="231"/>
        <v>15</v>
      </c>
      <c r="BE305" s="42">
        <f t="shared" si="232"/>
        <v>0</v>
      </c>
      <c r="BF305" s="42">
        <f t="shared" si="233"/>
        <v>29</v>
      </c>
      <c r="BG305" s="42">
        <f t="shared" si="234"/>
        <v>0</v>
      </c>
      <c r="BH305" s="42">
        <f t="shared" si="235"/>
        <v>0</v>
      </c>
      <c r="BI305" s="42">
        <f t="shared" si="226"/>
        <v>0</v>
      </c>
      <c r="BJ305" s="42">
        <f t="shared" si="236"/>
        <v>0</v>
      </c>
      <c r="BK305" s="42">
        <f t="shared" si="237"/>
        <v>44</v>
      </c>
      <c r="BL305" s="40">
        <f t="shared" si="225"/>
        <v>44</v>
      </c>
    </row>
    <row r="306" spans="1:64" ht="41.25" customHeight="1" x14ac:dyDescent="0.25">
      <c r="A306" s="298" t="s">
        <v>896</v>
      </c>
      <c r="B306" s="299" t="s">
        <v>894</v>
      </c>
      <c r="C306" s="1547"/>
      <c r="D306" s="1549"/>
      <c r="E306" s="1549"/>
      <c r="F306" s="1549"/>
      <c r="G306" s="1549"/>
      <c r="H306" s="1549"/>
      <c r="I306" s="1425"/>
      <c r="J306" s="1425"/>
      <c r="K306" s="1428" t="s">
        <v>940</v>
      </c>
      <c r="L306" s="301" t="s">
        <v>901</v>
      </c>
      <c r="M306" s="1425" t="s">
        <v>902</v>
      </c>
      <c r="N306" s="476" t="s">
        <v>2514</v>
      </c>
      <c r="O306" s="1425" t="s">
        <v>47</v>
      </c>
      <c r="P306" s="16" t="s">
        <v>941</v>
      </c>
      <c r="Q306" s="302" t="s">
        <v>942</v>
      </c>
      <c r="R306" s="303">
        <v>2015</v>
      </c>
      <c r="S306" s="303">
        <v>0</v>
      </c>
      <c r="T306" s="303">
        <v>50</v>
      </c>
      <c r="U306" s="572">
        <v>50</v>
      </c>
      <c r="V306" s="572">
        <v>50</v>
      </c>
      <c r="W306" s="572">
        <v>50</v>
      </c>
      <c r="X306" s="572">
        <v>200</v>
      </c>
      <c r="Y306" s="584"/>
      <c r="Z306" s="481"/>
      <c r="AA306" s="481">
        <v>10</v>
      </c>
      <c r="AB306" s="481"/>
      <c r="AC306" s="481"/>
      <c r="AD306" s="481"/>
      <c r="AE306" s="481"/>
      <c r="AF306" s="481">
        <f t="shared" si="250"/>
        <v>10</v>
      </c>
      <c r="AG306" s="548"/>
      <c r="AH306" s="548"/>
      <c r="AI306" s="491">
        <v>5</v>
      </c>
      <c r="AJ306" s="548"/>
      <c r="AK306" s="548"/>
      <c r="AL306" s="548"/>
      <c r="AM306" s="548">
        <f t="shared" si="251"/>
        <v>5</v>
      </c>
      <c r="AN306" s="42"/>
      <c r="AO306" s="481"/>
      <c r="AP306" s="491">
        <v>9</v>
      </c>
      <c r="AQ306" s="481"/>
      <c r="AR306" s="481"/>
      <c r="AS306" s="481"/>
      <c r="AT306" s="481"/>
      <c r="AU306" s="481">
        <f t="shared" si="252"/>
        <v>9</v>
      </c>
      <c r="AV306" s="548"/>
      <c r="AW306" s="548"/>
      <c r="AX306" s="548">
        <v>10</v>
      </c>
      <c r="AY306" s="548"/>
      <c r="AZ306" s="548"/>
      <c r="BA306" s="548"/>
      <c r="BB306" s="548"/>
      <c r="BC306" s="548">
        <f t="shared" si="253"/>
        <v>10</v>
      </c>
      <c r="BD306" s="42">
        <f t="shared" si="231"/>
        <v>0</v>
      </c>
      <c r="BE306" s="42">
        <f t="shared" si="232"/>
        <v>0</v>
      </c>
      <c r="BF306" s="42">
        <f t="shared" si="233"/>
        <v>34</v>
      </c>
      <c r="BG306" s="42">
        <f t="shared" si="234"/>
        <v>0</v>
      </c>
      <c r="BH306" s="42">
        <f t="shared" si="235"/>
        <v>0</v>
      </c>
      <c r="BI306" s="42">
        <f t="shared" si="226"/>
        <v>0</v>
      </c>
      <c r="BJ306" s="42">
        <f t="shared" si="236"/>
        <v>0</v>
      </c>
      <c r="BK306" s="42">
        <f t="shared" si="237"/>
        <v>34</v>
      </c>
      <c r="BL306" s="40">
        <f t="shared" si="225"/>
        <v>34</v>
      </c>
    </row>
    <row r="307" spans="1:64" ht="46.5" customHeight="1" x14ac:dyDescent="0.25">
      <c r="A307" s="298" t="s">
        <v>896</v>
      </c>
      <c r="B307" s="299" t="s">
        <v>894</v>
      </c>
      <c r="C307" s="1547"/>
      <c r="D307" s="1549"/>
      <c r="E307" s="1549"/>
      <c r="F307" s="1549"/>
      <c r="G307" s="1549"/>
      <c r="H307" s="1549"/>
      <c r="I307" s="1425"/>
      <c r="J307" s="1425"/>
      <c r="K307" s="1428" t="s">
        <v>943</v>
      </c>
      <c r="L307" s="301" t="s">
        <v>901</v>
      </c>
      <c r="M307" s="1425" t="s">
        <v>902</v>
      </c>
      <c r="N307" s="476" t="s">
        <v>2514</v>
      </c>
      <c r="O307" s="1425" t="s">
        <v>47</v>
      </c>
      <c r="P307" s="1198" t="s">
        <v>2515</v>
      </c>
      <c r="Q307" s="302" t="s">
        <v>945</v>
      </c>
      <c r="R307" s="303">
        <v>2015</v>
      </c>
      <c r="S307" s="303">
        <v>1</v>
      </c>
      <c r="T307" s="303">
        <v>2</v>
      </c>
      <c r="U307" s="572">
        <v>2</v>
      </c>
      <c r="V307" s="572">
        <v>2</v>
      </c>
      <c r="W307" s="572">
        <v>2</v>
      </c>
      <c r="X307" s="572">
        <v>2</v>
      </c>
      <c r="Y307" s="584"/>
      <c r="Z307" s="481"/>
      <c r="AA307" s="481">
        <v>0</v>
      </c>
      <c r="AB307" s="481"/>
      <c r="AC307" s="481"/>
      <c r="AD307" s="481">
        <v>50</v>
      </c>
      <c r="AE307" s="481"/>
      <c r="AF307" s="481">
        <f t="shared" si="250"/>
        <v>50</v>
      </c>
      <c r="AG307" s="548"/>
      <c r="AH307" s="548"/>
      <c r="AI307" s="491">
        <v>15</v>
      </c>
      <c r="AJ307" s="548"/>
      <c r="AK307" s="548"/>
      <c r="AL307" s="548"/>
      <c r="AM307" s="548">
        <f t="shared" si="251"/>
        <v>15</v>
      </c>
      <c r="AN307" s="42"/>
      <c r="AO307" s="481"/>
      <c r="AP307" s="481">
        <v>20</v>
      </c>
      <c r="AQ307" s="481"/>
      <c r="AR307" s="481"/>
      <c r="AS307" s="481"/>
      <c r="AT307" s="481"/>
      <c r="AU307" s="481">
        <f t="shared" si="252"/>
        <v>20</v>
      </c>
      <c r="AV307" s="548"/>
      <c r="AW307" s="548"/>
      <c r="AX307" s="548">
        <v>20</v>
      </c>
      <c r="AY307" s="548"/>
      <c r="AZ307" s="548"/>
      <c r="BA307" s="548"/>
      <c r="BB307" s="548"/>
      <c r="BC307" s="548">
        <f t="shared" si="253"/>
        <v>20</v>
      </c>
      <c r="BD307" s="42">
        <f t="shared" si="231"/>
        <v>0</v>
      </c>
      <c r="BE307" s="42">
        <f t="shared" si="232"/>
        <v>0</v>
      </c>
      <c r="BF307" s="42">
        <f t="shared" si="233"/>
        <v>55</v>
      </c>
      <c r="BG307" s="42">
        <f t="shared" si="234"/>
        <v>0</v>
      </c>
      <c r="BH307" s="42">
        <f t="shared" si="235"/>
        <v>0</v>
      </c>
      <c r="BI307" s="42">
        <f t="shared" si="226"/>
        <v>50</v>
      </c>
      <c r="BJ307" s="42">
        <f t="shared" si="236"/>
        <v>0</v>
      </c>
      <c r="BK307" s="42">
        <f t="shared" si="237"/>
        <v>105</v>
      </c>
      <c r="BL307" s="40">
        <f t="shared" si="225"/>
        <v>105</v>
      </c>
    </row>
    <row r="308" spans="1:64" ht="39" customHeight="1" x14ac:dyDescent="0.25">
      <c r="A308" s="298" t="s">
        <v>896</v>
      </c>
      <c r="B308" s="299" t="s">
        <v>894</v>
      </c>
      <c r="C308" s="1547"/>
      <c r="D308" s="1549"/>
      <c r="E308" s="1549"/>
      <c r="F308" s="1549"/>
      <c r="G308" s="1549"/>
      <c r="H308" s="1549"/>
      <c r="I308" s="1425"/>
      <c r="J308" s="1425"/>
      <c r="K308" s="1428" t="s">
        <v>946</v>
      </c>
      <c r="L308" s="301" t="s">
        <v>901</v>
      </c>
      <c r="M308" s="1425" t="s">
        <v>902</v>
      </c>
      <c r="N308" s="476" t="s">
        <v>2514</v>
      </c>
      <c r="O308" s="1425" t="s">
        <v>47</v>
      </c>
      <c r="P308" s="1198" t="s">
        <v>2516</v>
      </c>
      <c r="Q308" s="302" t="s">
        <v>2517</v>
      </c>
      <c r="R308" s="303">
        <v>2015</v>
      </c>
      <c r="S308" s="303">
        <v>0</v>
      </c>
      <c r="T308" s="303">
        <v>0</v>
      </c>
      <c r="U308" s="572">
        <v>0</v>
      </c>
      <c r="V308" s="572">
        <v>1</v>
      </c>
      <c r="W308" s="572">
        <v>1</v>
      </c>
      <c r="X308" s="572">
        <v>2</v>
      </c>
      <c r="Y308" s="481"/>
      <c r="Z308" s="481"/>
      <c r="AA308" s="481"/>
      <c r="AB308" s="481"/>
      <c r="AC308" s="481"/>
      <c r="AD308" s="481"/>
      <c r="AE308" s="481"/>
      <c r="AF308" s="481">
        <f t="shared" si="250"/>
        <v>0</v>
      </c>
      <c r="AG308" s="548">
        <v>0</v>
      </c>
      <c r="AH308" s="548"/>
      <c r="AI308" s="548"/>
      <c r="AJ308" s="548"/>
      <c r="AK308" s="548"/>
      <c r="AL308" s="548"/>
      <c r="AM308" s="548">
        <f t="shared" si="251"/>
        <v>0</v>
      </c>
      <c r="AN308" s="42">
        <v>3</v>
      </c>
      <c r="AO308" s="481"/>
      <c r="AP308" s="481"/>
      <c r="AQ308" s="481"/>
      <c r="AR308" s="481"/>
      <c r="AS308" s="481"/>
      <c r="AT308" s="481"/>
      <c r="AU308" s="481">
        <f t="shared" si="252"/>
        <v>3</v>
      </c>
      <c r="AV308" s="548">
        <v>3</v>
      </c>
      <c r="AW308" s="548"/>
      <c r="AX308" s="548"/>
      <c r="AY308" s="548"/>
      <c r="AZ308" s="548"/>
      <c r="BA308" s="548"/>
      <c r="BB308" s="548"/>
      <c r="BC308" s="548">
        <f t="shared" si="253"/>
        <v>3</v>
      </c>
      <c r="BD308" s="42">
        <f t="shared" si="231"/>
        <v>6</v>
      </c>
      <c r="BE308" s="42">
        <f t="shared" si="232"/>
        <v>0</v>
      </c>
      <c r="BF308" s="42">
        <f t="shared" si="233"/>
        <v>0</v>
      </c>
      <c r="BG308" s="42">
        <f t="shared" si="234"/>
        <v>0</v>
      </c>
      <c r="BH308" s="42">
        <f t="shared" si="235"/>
        <v>0</v>
      </c>
      <c r="BI308" s="42">
        <f t="shared" si="226"/>
        <v>0</v>
      </c>
      <c r="BJ308" s="42">
        <f t="shared" si="236"/>
        <v>0</v>
      </c>
      <c r="BK308" s="42">
        <f t="shared" si="237"/>
        <v>6</v>
      </c>
      <c r="BL308" s="40">
        <f t="shared" si="225"/>
        <v>6</v>
      </c>
    </row>
    <row r="309" spans="1:64" ht="33" customHeight="1" x14ac:dyDescent="0.25">
      <c r="A309" s="298" t="s">
        <v>896</v>
      </c>
      <c r="B309" s="299" t="s">
        <v>894</v>
      </c>
      <c r="C309" s="1547"/>
      <c r="D309" s="1549"/>
      <c r="E309" s="1549"/>
      <c r="F309" s="1549"/>
      <c r="G309" s="1549"/>
      <c r="H309" s="1549"/>
      <c r="I309" s="1425"/>
      <c r="J309" s="1425"/>
      <c r="K309" s="1428" t="s">
        <v>949</v>
      </c>
      <c r="L309" s="301" t="s">
        <v>901</v>
      </c>
      <c r="M309" s="1425" t="s">
        <v>902</v>
      </c>
      <c r="N309" s="476" t="s">
        <v>2514</v>
      </c>
      <c r="O309" s="1425" t="s">
        <v>47</v>
      </c>
      <c r="P309" s="16" t="s">
        <v>950</v>
      </c>
      <c r="Q309" s="302" t="s">
        <v>951</v>
      </c>
      <c r="R309" s="303">
        <v>2015</v>
      </c>
      <c r="S309" s="303">
        <v>0</v>
      </c>
      <c r="T309" s="303">
        <v>0</v>
      </c>
      <c r="U309" s="572">
        <v>1</v>
      </c>
      <c r="V309" s="572">
        <v>1</v>
      </c>
      <c r="W309" s="572">
        <v>1</v>
      </c>
      <c r="X309" s="572">
        <v>1</v>
      </c>
      <c r="Y309" s="481"/>
      <c r="Z309" s="481"/>
      <c r="AA309" s="481"/>
      <c r="AB309" s="481"/>
      <c r="AC309" s="481"/>
      <c r="AD309" s="481"/>
      <c r="AE309" s="481"/>
      <c r="AF309" s="481">
        <f t="shared" si="250"/>
        <v>0</v>
      </c>
      <c r="AG309" s="548"/>
      <c r="AH309" s="548"/>
      <c r="AI309" s="491">
        <v>5</v>
      </c>
      <c r="AJ309" s="548"/>
      <c r="AK309" s="548"/>
      <c r="AL309" s="548"/>
      <c r="AM309" s="548">
        <f t="shared" si="251"/>
        <v>5</v>
      </c>
      <c r="AN309" s="491">
        <v>2</v>
      </c>
      <c r="AO309" s="481"/>
      <c r="AP309" s="481"/>
      <c r="AQ309" s="481"/>
      <c r="AR309" s="481"/>
      <c r="AS309" s="481"/>
      <c r="AT309" s="481"/>
      <c r="AU309" s="481">
        <f t="shared" si="252"/>
        <v>2</v>
      </c>
      <c r="AV309" s="491">
        <v>7</v>
      </c>
      <c r="AW309" s="548"/>
      <c r="AX309" s="548"/>
      <c r="AY309" s="548"/>
      <c r="AZ309" s="548"/>
      <c r="BA309" s="548"/>
      <c r="BB309" s="548"/>
      <c r="BC309" s="548">
        <f t="shared" si="253"/>
        <v>7</v>
      </c>
      <c r="BD309" s="42">
        <f t="shared" ref="BD309:BD341" si="254">+AV309+AN309+AG309+Y309</f>
        <v>9</v>
      </c>
      <c r="BE309" s="42">
        <f t="shared" ref="BE309:BE341" si="255">+AW309+AO309+AH309+Z309</f>
        <v>0</v>
      </c>
      <c r="BF309" s="42">
        <f t="shared" ref="BF309:BF341" si="256">+AX309+AP309+AI309+AA309</f>
        <v>5</v>
      </c>
      <c r="BG309" s="42">
        <f t="shared" ref="BG309:BG341" si="257">+AY309+AQ309+AJ309+AB309</f>
        <v>0</v>
      </c>
      <c r="BH309" s="42">
        <f t="shared" ref="BH309:BH341" si="258">+AZ309+AR309+AK309+AC309</f>
        <v>0</v>
      </c>
      <c r="BI309" s="42">
        <f t="shared" si="226"/>
        <v>0</v>
      </c>
      <c r="BJ309" s="42">
        <f t="shared" ref="BJ309:BJ341" si="259">+BB309+AT309+AL309+AE309</f>
        <v>0</v>
      </c>
      <c r="BK309" s="42">
        <f t="shared" ref="BK309:BK341" si="260">+BC309+AU309+AM309+AF309</f>
        <v>14</v>
      </c>
      <c r="BL309" s="40">
        <f t="shared" si="225"/>
        <v>14</v>
      </c>
    </row>
    <row r="310" spans="1:64" ht="42" customHeight="1" x14ac:dyDescent="0.25">
      <c r="A310" s="298" t="s">
        <v>896</v>
      </c>
      <c r="B310" s="299" t="s">
        <v>894</v>
      </c>
      <c r="C310" s="1547"/>
      <c r="D310" s="1549"/>
      <c r="E310" s="1549"/>
      <c r="F310" s="1549"/>
      <c r="G310" s="1549"/>
      <c r="H310" s="1549"/>
      <c r="I310" s="1425"/>
      <c r="J310" s="1425"/>
      <c r="K310" s="1428" t="s">
        <v>952</v>
      </c>
      <c r="L310" s="301" t="s">
        <v>901</v>
      </c>
      <c r="M310" s="1425" t="s">
        <v>902</v>
      </c>
      <c r="N310" s="476" t="s">
        <v>2514</v>
      </c>
      <c r="O310" s="1425" t="s">
        <v>47</v>
      </c>
      <c r="P310" s="16" t="s">
        <v>2518</v>
      </c>
      <c r="Q310" s="302" t="s">
        <v>954</v>
      </c>
      <c r="R310" s="303">
        <v>2015</v>
      </c>
      <c r="S310" s="303">
        <v>0</v>
      </c>
      <c r="T310" s="303">
        <v>0</v>
      </c>
      <c r="U310" s="572">
        <v>1</v>
      </c>
      <c r="V310" s="572">
        <v>1</v>
      </c>
      <c r="W310" s="572">
        <v>1</v>
      </c>
      <c r="X310" s="572">
        <v>3</v>
      </c>
      <c r="Y310" s="481"/>
      <c r="Z310" s="481"/>
      <c r="AA310" s="481"/>
      <c r="AB310" s="481"/>
      <c r="AC310" s="481"/>
      <c r="AD310" s="481"/>
      <c r="AE310" s="481"/>
      <c r="AF310" s="481">
        <f t="shared" si="250"/>
        <v>0</v>
      </c>
      <c r="AG310" s="491">
        <v>5</v>
      </c>
      <c r="AH310" s="548"/>
      <c r="AI310" s="548"/>
      <c r="AJ310" s="548"/>
      <c r="AK310" s="548"/>
      <c r="AL310" s="548"/>
      <c r="AM310" s="548">
        <f t="shared" si="251"/>
        <v>5</v>
      </c>
      <c r="AN310" s="491">
        <v>8</v>
      </c>
      <c r="AO310" s="481"/>
      <c r="AP310" s="481"/>
      <c r="AQ310" s="481"/>
      <c r="AR310" s="481"/>
      <c r="AS310" s="481"/>
      <c r="AT310" s="481"/>
      <c r="AU310" s="481">
        <f t="shared" si="252"/>
        <v>8</v>
      </c>
      <c r="AV310" s="548">
        <v>10</v>
      </c>
      <c r="AW310" s="548"/>
      <c r="AX310" s="548"/>
      <c r="AY310" s="548"/>
      <c r="AZ310" s="548"/>
      <c r="BA310" s="548"/>
      <c r="BB310" s="548"/>
      <c r="BC310" s="548">
        <f t="shared" si="253"/>
        <v>10</v>
      </c>
      <c r="BD310" s="42">
        <f t="shared" si="254"/>
        <v>23</v>
      </c>
      <c r="BE310" s="42">
        <f t="shared" si="255"/>
        <v>0</v>
      </c>
      <c r="BF310" s="42">
        <f t="shared" si="256"/>
        <v>0</v>
      </c>
      <c r="BG310" s="42">
        <f t="shared" si="257"/>
        <v>0</v>
      </c>
      <c r="BH310" s="42">
        <f t="shared" si="258"/>
        <v>0</v>
      </c>
      <c r="BI310" s="42">
        <f t="shared" si="226"/>
        <v>0</v>
      </c>
      <c r="BJ310" s="42">
        <f t="shared" si="259"/>
        <v>0</v>
      </c>
      <c r="BK310" s="42">
        <f t="shared" si="260"/>
        <v>23</v>
      </c>
      <c r="BL310" s="40">
        <f t="shared" si="225"/>
        <v>23</v>
      </c>
    </row>
    <row r="311" spans="1:64" ht="21" customHeight="1" x14ac:dyDescent="0.25">
      <c r="A311" s="298" t="s">
        <v>896</v>
      </c>
      <c r="B311" s="299" t="s">
        <v>894</v>
      </c>
      <c r="C311" s="1547"/>
      <c r="D311" s="1549"/>
      <c r="E311" s="1549"/>
      <c r="F311" s="1549"/>
      <c r="G311" s="1549"/>
      <c r="H311" s="1549"/>
      <c r="I311" s="1425"/>
      <c r="J311" s="1425"/>
      <c r="K311" s="1428" t="s">
        <v>955</v>
      </c>
      <c r="L311" s="301" t="s">
        <v>901</v>
      </c>
      <c r="M311" s="1425" t="s">
        <v>902</v>
      </c>
      <c r="N311" s="476" t="s">
        <v>2514</v>
      </c>
      <c r="O311" s="1425" t="s">
        <v>47</v>
      </c>
      <c r="P311" s="16" t="s">
        <v>956</v>
      </c>
      <c r="Q311" s="302" t="s">
        <v>957</v>
      </c>
      <c r="R311" s="303">
        <v>2015</v>
      </c>
      <c r="S311" s="303">
        <v>0</v>
      </c>
      <c r="T311" s="303">
        <v>1</v>
      </c>
      <c r="U311" s="572">
        <v>1</v>
      </c>
      <c r="V311" s="572">
        <v>1</v>
      </c>
      <c r="W311" s="572">
        <v>1</v>
      </c>
      <c r="X311" s="572">
        <v>4</v>
      </c>
      <c r="Y311" s="491">
        <v>0.5</v>
      </c>
      <c r="Z311" s="481"/>
      <c r="AA311" s="481"/>
      <c r="AB311" s="481"/>
      <c r="AC311" s="481"/>
      <c r="AD311" s="481"/>
      <c r="AE311" s="481"/>
      <c r="AF311" s="481">
        <f t="shared" si="250"/>
        <v>0.5</v>
      </c>
      <c r="AG311" s="491">
        <v>0.5</v>
      </c>
      <c r="AH311" s="548"/>
      <c r="AI311" s="548"/>
      <c r="AJ311" s="548"/>
      <c r="AK311" s="548"/>
      <c r="AL311" s="548"/>
      <c r="AM311" s="548">
        <f t="shared" si="251"/>
        <v>0.5</v>
      </c>
      <c r="AN311" s="491">
        <v>0.5</v>
      </c>
      <c r="AO311" s="481"/>
      <c r="AP311" s="481"/>
      <c r="AQ311" s="481"/>
      <c r="AR311" s="481"/>
      <c r="AS311" s="481"/>
      <c r="AT311" s="481"/>
      <c r="AU311" s="481">
        <f t="shared" si="252"/>
        <v>0.5</v>
      </c>
      <c r="AV311" s="491">
        <v>1</v>
      </c>
      <c r="AW311" s="548"/>
      <c r="AX311" s="548"/>
      <c r="AY311" s="548"/>
      <c r="AZ311" s="548"/>
      <c r="BA311" s="548"/>
      <c r="BB311" s="548"/>
      <c r="BC311" s="548">
        <f t="shared" si="253"/>
        <v>1</v>
      </c>
      <c r="BD311" s="42">
        <f t="shared" si="254"/>
        <v>2.5</v>
      </c>
      <c r="BE311" s="42">
        <f t="shared" si="255"/>
        <v>0</v>
      </c>
      <c r="BF311" s="42">
        <f t="shared" si="256"/>
        <v>0</v>
      </c>
      <c r="BG311" s="42">
        <f t="shared" si="257"/>
        <v>0</v>
      </c>
      <c r="BH311" s="42">
        <f t="shared" si="258"/>
        <v>0</v>
      </c>
      <c r="BI311" s="42">
        <f t="shared" si="226"/>
        <v>0</v>
      </c>
      <c r="BJ311" s="42">
        <f t="shared" si="259"/>
        <v>0</v>
      </c>
      <c r="BK311" s="42">
        <f t="shared" si="260"/>
        <v>2.5</v>
      </c>
      <c r="BL311" s="40">
        <f t="shared" si="225"/>
        <v>2.5</v>
      </c>
    </row>
    <row r="312" spans="1:64" ht="57" customHeight="1" x14ac:dyDescent="0.25">
      <c r="A312" s="298" t="s">
        <v>896</v>
      </c>
      <c r="B312" s="299" t="s">
        <v>894</v>
      </c>
      <c r="C312" s="1547"/>
      <c r="D312" s="1549"/>
      <c r="E312" s="1549"/>
      <c r="F312" s="1549"/>
      <c r="G312" s="1549"/>
      <c r="H312" s="1549"/>
      <c r="I312" s="1425" t="s">
        <v>53</v>
      </c>
      <c r="J312" s="1425"/>
      <c r="K312" s="1428" t="s">
        <v>958</v>
      </c>
      <c r="L312" s="301" t="s">
        <v>901</v>
      </c>
      <c r="M312" s="1425" t="s">
        <v>902</v>
      </c>
      <c r="N312" s="476" t="s">
        <v>2514</v>
      </c>
      <c r="O312" s="1425" t="s">
        <v>47</v>
      </c>
      <c r="P312" s="16" t="s">
        <v>959</v>
      </c>
      <c r="Q312" s="302" t="s">
        <v>960</v>
      </c>
      <c r="R312" s="303">
        <v>2015</v>
      </c>
      <c r="S312" s="303">
        <v>0</v>
      </c>
      <c r="T312" s="303">
        <v>0</v>
      </c>
      <c r="U312" s="572">
        <v>1</v>
      </c>
      <c r="V312" s="572">
        <v>1</v>
      </c>
      <c r="W312" s="572">
        <v>1</v>
      </c>
      <c r="X312" s="572">
        <v>1</v>
      </c>
      <c r="Y312" s="481"/>
      <c r="Z312" s="481"/>
      <c r="AA312" s="481"/>
      <c r="AB312" s="481"/>
      <c r="AC312" s="481"/>
      <c r="AD312" s="481"/>
      <c r="AE312" s="481"/>
      <c r="AF312" s="481">
        <f t="shared" si="250"/>
        <v>0</v>
      </c>
      <c r="AG312" s="548"/>
      <c r="AH312" s="548"/>
      <c r="AI312" s="548"/>
      <c r="AJ312" s="548">
        <v>100</v>
      </c>
      <c r="AK312" s="548"/>
      <c r="AL312" s="548"/>
      <c r="AM312" s="548">
        <f t="shared" si="251"/>
        <v>100</v>
      </c>
      <c r="AN312" s="491">
        <v>0.5</v>
      </c>
      <c r="AO312" s="481"/>
      <c r="AP312" s="481"/>
      <c r="AQ312" s="481"/>
      <c r="AR312" s="481"/>
      <c r="AS312" s="481"/>
      <c r="AT312" s="481"/>
      <c r="AU312" s="481">
        <f t="shared" si="252"/>
        <v>0.5</v>
      </c>
      <c r="AV312" s="491">
        <v>1</v>
      </c>
      <c r="AW312" s="548"/>
      <c r="AX312" s="548"/>
      <c r="AY312" s="548"/>
      <c r="AZ312" s="548"/>
      <c r="BA312" s="548"/>
      <c r="BB312" s="548"/>
      <c r="BC312" s="548">
        <f t="shared" si="253"/>
        <v>1</v>
      </c>
      <c r="BD312" s="42">
        <f t="shared" si="254"/>
        <v>1.5</v>
      </c>
      <c r="BE312" s="42">
        <f t="shared" si="255"/>
        <v>0</v>
      </c>
      <c r="BF312" s="42">
        <f t="shared" si="256"/>
        <v>0</v>
      </c>
      <c r="BG312" s="42">
        <f t="shared" si="257"/>
        <v>100</v>
      </c>
      <c r="BH312" s="42">
        <f t="shared" si="258"/>
        <v>0</v>
      </c>
      <c r="BI312" s="42">
        <f t="shared" si="226"/>
        <v>0</v>
      </c>
      <c r="BJ312" s="42">
        <f t="shared" si="259"/>
        <v>0</v>
      </c>
      <c r="BK312" s="42">
        <f t="shared" si="260"/>
        <v>101.5</v>
      </c>
      <c r="BL312" s="40">
        <f t="shared" si="225"/>
        <v>101.5</v>
      </c>
    </row>
    <row r="313" spans="1:64" ht="55.5" customHeight="1" x14ac:dyDescent="0.25">
      <c r="A313" s="298" t="s">
        <v>896</v>
      </c>
      <c r="B313" s="299" t="s">
        <v>894</v>
      </c>
      <c r="C313" s="1547"/>
      <c r="D313" s="1549"/>
      <c r="E313" s="1549"/>
      <c r="F313" s="1549"/>
      <c r="G313" s="1549"/>
      <c r="H313" s="1549"/>
      <c r="I313" s="1425" t="s">
        <v>53</v>
      </c>
      <c r="J313" s="1425"/>
      <c r="K313" s="1428" t="s">
        <v>961</v>
      </c>
      <c r="L313" s="301" t="s">
        <v>901</v>
      </c>
      <c r="M313" s="1425" t="s">
        <v>902</v>
      </c>
      <c r="N313" s="476" t="s">
        <v>2514</v>
      </c>
      <c r="O313" s="1425" t="s">
        <v>47</v>
      </c>
      <c r="P313" s="16" t="s">
        <v>962</v>
      </c>
      <c r="Q313" s="302" t="s">
        <v>963</v>
      </c>
      <c r="R313" s="303">
        <v>2015</v>
      </c>
      <c r="S313" s="303">
        <v>0</v>
      </c>
      <c r="T313" s="303">
        <v>1</v>
      </c>
      <c r="U313" s="572">
        <v>1</v>
      </c>
      <c r="V313" s="572">
        <v>1</v>
      </c>
      <c r="W313" s="572">
        <v>1</v>
      </c>
      <c r="X313" s="572">
        <v>1</v>
      </c>
      <c r="Y313" s="491">
        <v>0.5</v>
      </c>
      <c r="Z313" s="481"/>
      <c r="AA313" s="481"/>
      <c r="AB313" s="481"/>
      <c r="AC313" s="481"/>
      <c r="AD313" s="481"/>
      <c r="AE313" s="481"/>
      <c r="AF313" s="481">
        <f t="shared" si="250"/>
        <v>0.5</v>
      </c>
      <c r="AG313" s="491">
        <v>0.5</v>
      </c>
      <c r="AH313" s="548"/>
      <c r="AI313" s="548"/>
      <c r="AJ313" s="548"/>
      <c r="AK313" s="548"/>
      <c r="AL313" s="548"/>
      <c r="AM313" s="548">
        <f t="shared" si="251"/>
        <v>0.5</v>
      </c>
      <c r="AN313" s="491">
        <v>0.5</v>
      </c>
      <c r="AO313" s="481"/>
      <c r="AP313" s="481"/>
      <c r="AQ313" s="481"/>
      <c r="AR313" s="481"/>
      <c r="AS313" s="481"/>
      <c r="AT313" s="481"/>
      <c r="AU313" s="481">
        <f t="shared" si="252"/>
        <v>0.5</v>
      </c>
      <c r="AV313" s="491">
        <v>1</v>
      </c>
      <c r="AW313" s="548"/>
      <c r="AX313" s="548"/>
      <c r="AY313" s="548"/>
      <c r="AZ313" s="548"/>
      <c r="BA313" s="548"/>
      <c r="BB313" s="548"/>
      <c r="BC313" s="548">
        <f t="shared" si="253"/>
        <v>1</v>
      </c>
      <c r="BD313" s="42">
        <f t="shared" si="254"/>
        <v>2.5</v>
      </c>
      <c r="BE313" s="42">
        <f t="shared" si="255"/>
        <v>0</v>
      </c>
      <c r="BF313" s="42">
        <f t="shared" si="256"/>
        <v>0</v>
      </c>
      <c r="BG313" s="42">
        <f t="shared" si="257"/>
        <v>0</v>
      </c>
      <c r="BH313" s="42">
        <f t="shared" si="258"/>
        <v>0</v>
      </c>
      <c r="BI313" s="42">
        <f t="shared" si="226"/>
        <v>0</v>
      </c>
      <c r="BJ313" s="42">
        <f t="shared" si="259"/>
        <v>0</v>
      </c>
      <c r="BK313" s="42">
        <f t="shared" si="260"/>
        <v>2.5</v>
      </c>
      <c r="BL313" s="40">
        <f t="shared" si="225"/>
        <v>2.5</v>
      </c>
    </row>
    <row r="314" spans="1:64" ht="57" customHeight="1" x14ac:dyDescent="0.25">
      <c r="A314" s="298" t="s">
        <v>896</v>
      </c>
      <c r="B314" s="299" t="s">
        <v>894</v>
      </c>
      <c r="C314" s="1547"/>
      <c r="D314" s="1549"/>
      <c r="E314" s="1549"/>
      <c r="F314" s="1549"/>
      <c r="G314" s="1549"/>
      <c r="H314" s="1549"/>
      <c r="I314" s="1425"/>
      <c r="J314" s="1425"/>
      <c r="K314" s="1428" t="s">
        <v>964</v>
      </c>
      <c r="L314" s="301" t="s">
        <v>901</v>
      </c>
      <c r="M314" s="1425" t="s">
        <v>902</v>
      </c>
      <c r="N314" s="476" t="s">
        <v>2514</v>
      </c>
      <c r="O314" s="1425" t="s">
        <v>47</v>
      </c>
      <c r="P314" s="16" t="s">
        <v>965</v>
      </c>
      <c r="Q314" s="302" t="s">
        <v>966</v>
      </c>
      <c r="R314" s="303">
        <v>2015</v>
      </c>
      <c r="S314" s="303">
        <v>0</v>
      </c>
      <c r="T314" s="303">
        <v>1</v>
      </c>
      <c r="U314" s="572">
        <v>2</v>
      </c>
      <c r="V314" s="572">
        <v>2</v>
      </c>
      <c r="W314" s="572">
        <v>2</v>
      </c>
      <c r="X314" s="572">
        <v>2</v>
      </c>
      <c r="Y314" s="482"/>
      <c r="Z314" s="481"/>
      <c r="AA314" s="481"/>
      <c r="AB314" s="481"/>
      <c r="AC314" s="481"/>
      <c r="AD314" s="481">
        <v>5</v>
      </c>
      <c r="AE314" s="482"/>
      <c r="AF314" s="481">
        <f t="shared" si="250"/>
        <v>5</v>
      </c>
      <c r="AG314" s="491">
        <v>2.5</v>
      </c>
      <c r="AH314" s="548"/>
      <c r="AI314" s="548"/>
      <c r="AJ314" s="548"/>
      <c r="AK314" s="548"/>
      <c r="AL314" s="548"/>
      <c r="AM314" s="548">
        <f t="shared" si="251"/>
        <v>2.5</v>
      </c>
      <c r="AN314" s="491">
        <v>3</v>
      </c>
      <c r="AO314" s="481"/>
      <c r="AP314" s="481"/>
      <c r="AQ314" s="481"/>
      <c r="AR314" s="481"/>
      <c r="AS314" s="481"/>
      <c r="AT314" s="481"/>
      <c r="AU314" s="481">
        <f t="shared" si="252"/>
        <v>3</v>
      </c>
      <c r="AV314" s="491">
        <v>3</v>
      </c>
      <c r="AW314" s="548"/>
      <c r="AX314" s="548"/>
      <c r="AY314" s="548"/>
      <c r="AZ314" s="548"/>
      <c r="BA314" s="548"/>
      <c r="BB314" s="548"/>
      <c r="BC314" s="548">
        <f t="shared" si="253"/>
        <v>3</v>
      </c>
      <c r="BD314" s="42">
        <f t="shared" si="254"/>
        <v>8.5</v>
      </c>
      <c r="BE314" s="42">
        <f t="shared" si="255"/>
        <v>0</v>
      </c>
      <c r="BF314" s="42">
        <f t="shared" si="256"/>
        <v>0</v>
      </c>
      <c r="BG314" s="42">
        <f t="shared" si="257"/>
        <v>0</v>
      </c>
      <c r="BH314" s="42">
        <f t="shared" si="258"/>
        <v>0</v>
      </c>
      <c r="BI314" s="42">
        <f t="shared" si="226"/>
        <v>5</v>
      </c>
      <c r="BJ314" s="42">
        <f t="shared" si="259"/>
        <v>0</v>
      </c>
      <c r="BK314" s="42">
        <f t="shared" si="260"/>
        <v>13.5</v>
      </c>
      <c r="BL314" s="40">
        <f t="shared" si="225"/>
        <v>13.5</v>
      </c>
    </row>
    <row r="315" spans="1:64" ht="69.75" customHeight="1" x14ac:dyDescent="0.25">
      <c r="A315" s="298" t="s">
        <v>896</v>
      </c>
      <c r="B315" s="299" t="s">
        <v>894</v>
      </c>
      <c r="C315" s="1547"/>
      <c r="D315" s="1549"/>
      <c r="E315" s="1549"/>
      <c r="F315" s="1549"/>
      <c r="G315" s="1549"/>
      <c r="H315" s="1549"/>
      <c r="I315" s="1425"/>
      <c r="J315" s="379"/>
      <c r="K315" s="1428" t="s">
        <v>967</v>
      </c>
      <c r="L315" s="301" t="s">
        <v>901</v>
      </c>
      <c r="M315" s="1425" t="s">
        <v>902</v>
      </c>
      <c r="N315" s="476" t="s">
        <v>2514</v>
      </c>
      <c r="O315" s="1425" t="s">
        <v>47</v>
      </c>
      <c r="P315" s="16" t="s">
        <v>968</v>
      </c>
      <c r="Q315" s="348" t="s">
        <v>966</v>
      </c>
      <c r="R315" s="303">
        <v>2015</v>
      </c>
      <c r="S315" s="303">
        <v>0</v>
      </c>
      <c r="T315" s="303">
        <v>0.5</v>
      </c>
      <c r="U315" s="572">
        <v>0.5</v>
      </c>
      <c r="V315" s="572">
        <v>0</v>
      </c>
      <c r="W315" s="572">
        <v>0</v>
      </c>
      <c r="X315" s="572">
        <v>1</v>
      </c>
      <c r="Y315" s="481"/>
      <c r="Z315" s="481"/>
      <c r="AA315" s="491">
        <v>0.5</v>
      </c>
      <c r="AB315" s="481"/>
      <c r="AC315" s="481"/>
      <c r="AD315" s="481"/>
      <c r="AE315" s="481"/>
      <c r="AF315" s="481">
        <f t="shared" si="250"/>
        <v>0.5</v>
      </c>
      <c r="AG315" s="491">
        <v>0.5</v>
      </c>
      <c r="AH315" s="548"/>
      <c r="AI315" s="548"/>
      <c r="AJ315" s="548"/>
      <c r="AK315" s="548"/>
      <c r="AL315" s="548"/>
      <c r="AM315" s="548">
        <f t="shared" si="251"/>
        <v>0.5</v>
      </c>
      <c r="AN315" s="491"/>
      <c r="AO315" s="481"/>
      <c r="AP315" s="481"/>
      <c r="AQ315" s="481"/>
      <c r="AR315" s="481"/>
      <c r="AS315" s="481"/>
      <c r="AT315" s="481"/>
      <c r="AU315" s="481">
        <f t="shared" si="252"/>
        <v>0</v>
      </c>
      <c r="AV315" s="491"/>
      <c r="AW315" s="548"/>
      <c r="AX315" s="548"/>
      <c r="AY315" s="548"/>
      <c r="AZ315" s="548"/>
      <c r="BA315" s="548"/>
      <c r="BB315" s="548"/>
      <c r="BC315" s="548">
        <f t="shared" si="253"/>
        <v>0</v>
      </c>
      <c r="BD315" s="42">
        <f t="shared" si="254"/>
        <v>0.5</v>
      </c>
      <c r="BE315" s="42">
        <f t="shared" si="255"/>
        <v>0</v>
      </c>
      <c r="BF315" s="42">
        <f t="shared" si="256"/>
        <v>0.5</v>
      </c>
      <c r="BG315" s="42">
        <f t="shared" si="257"/>
        <v>0</v>
      </c>
      <c r="BH315" s="42">
        <f t="shared" si="258"/>
        <v>0</v>
      </c>
      <c r="BI315" s="42">
        <f t="shared" si="226"/>
        <v>0</v>
      </c>
      <c r="BJ315" s="42">
        <f t="shared" si="259"/>
        <v>0</v>
      </c>
      <c r="BK315" s="42">
        <f t="shared" si="260"/>
        <v>1</v>
      </c>
      <c r="BL315" s="40">
        <f t="shared" si="225"/>
        <v>1</v>
      </c>
    </row>
    <row r="316" spans="1:64" ht="69" customHeight="1" x14ac:dyDescent="0.25">
      <c r="A316" s="298" t="s">
        <v>896</v>
      </c>
      <c r="B316" s="299" t="s">
        <v>894</v>
      </c>
      <c r="C316" s="1547"/>
      <c r="D316" s="1549"/>
      <c r="E316" s="1549"/>
      <c r="F316" s="1549"/>
      <c r="G316" s="1549"/>
      <c r="H316" s="1549"/>
      <c r="I316" s="1425"/>
      <c r="J316" s="379"/>
      <c r="K316" s="1428" t="s">
        <v>969</v>
      </c>
      <c r="L316" s="301" t="s">
        <v>970</v>
      </c>
      <c r="M316" s="1425" t="s">
        <v>902</v>
      </c>
      <c r="N316" s="476" t="s">
        <v>2514</v>
      </c>
      <c r="O316" s="1425" t="s">
        <v>47</v>
      </c>
      <c r="P316" s="1511" t="s">
        <v>971</v>
      </c>
      <c r="Q316" s="348" t="s">
        <v>972</v>
      </c>
      <c r="R316" s="303" t="s">
        <v>973</v>
      </c>
      <c r="S316" s="303">
        <v>750</v>
      </c>
      <c r="T316" s="303">
        <v>0</v>
      </c>
      <c r="U316" s="303">
        <v>600</v>
      </c>
      <c r="V316" s="303">
        <v>0</v>
      </c>
      <c r="W316" s="572">
        <v>0</v>
      </c>
      <c r="X316" s="572">
        <v>600</v>
      </c>
      <c r="Y316" s="481"/>
      <c r="Z316" s="481"/>
      <c r="AA316" s="481">
        <v>0</v>
      </c>
      <c r="AB316" s="481"/>
      <c r="AC316" s="481"/>
      <c r="AD316" s="481"/>
      <c r="AE316" s="481"/>
      <c r="AF316" s="481">
        <f t="shared" si="250"/>
        <v>0</v>
      </c>
      <c r="AG316" s="491">
        <v>4.5</v>
      </c>
      <c r="AH316" s="548"/>
      <c r="AI316" s="548"/>
      <c r="AJ316" s="548"/>
      <c r="AK316" s="548"/>
      <c r="AL316" s="491">
        <v>200</v>
      </c>
      <c r="AM316" s="548">
        <f t="shared" si="251"/>
        <v>204.5</v>
      </c>
      <c r="AN316" s="491"/>
      <c r="AO316" s="481"/>
      <c r="AP316" s="481"/>
      <c r="AQ316" s="481"/>
      <c r="AR316" s="481"/>
      <c r="AS316" s="481"/>
      <c r="AT316" s="481"/>
      <c r="AU316" s="481">
        <f t="shared" si="252"/>
        <v>0</v>
      </c>
      <c r="AV316" s="491"/>
      <c r="AW316" s="548"/>
      <c r="AX316" s="548"/>
      <c r="AY316" s="548"/>
      <c r="AZ316" s="548"/>
      <c r="BA316" s="548"/>
      <c r="BB316" s="548"/>
      <c r="BC316" s="548">
        <f t="shared" si="253"/>
        <v>0</v>
      </c>
      <c r="BD316" s="42">
        <f t="shared" si="254"/>
        <v>4.5</v>
      </c>
      <c r="BE316" s="42">
        <f t="shared" si="255"/>
        <v>0</v>
      </c>
      <c r="BF316" s="42">
        <f t="shared" si="256"/>
        <v>0</v>
      </c>
      <c r="BG316" s="42">
        <f t="shared" si="257"/>
        <v>0</v>
      </c>
      <c r="BH316" s="42">
        <f t="shared" si="258"/>
        <v>0</v>
      </c>
      <c r="BI316" s="42">
        <f t="shared" si="226"/>
        <v>0</v>
      </c>
      <c r="BJ316" s="42">
        <f t="shared" si="259"/>
        <v>200</v>
      </c>
      <c r="BK316" s="42">
        <f t="shared" si="260"/>
        <v>204.5</v>
      </c>
      <c r="BL316" s="40">
        <f t="shared" si="225"/>
        <v>204.5</v>
      </c>
    </row>
    <row r="317" spans="1:64" ht="64.5" customHeight="1" x14ac:dyDescent="0.25">
      <c r="A317" s="298" t="s">
        <v>896</v>
      </c>
      <c r="B317" s="299" t="s">
        <v>894</v>
      </c>
      <c r="C317" s="1547"/>
      <c r="D317" s="1549"/>
      <c r="E317" s="1549"/>
      <c r="F317" s="1549"/>
      <c r="G317" s="1549"/>
      <c r="H317" s="1549"/>
      <c r="I317" s="1425"/>
      <c r="J317" s="379"/>
      <c r="K317" s="1428" t="s">
        <v>974</v>
      </c>
      <c r="L317" s="301" t="s">
        <v>901</v>
      </c>
      <c r="M317" s="1425" t="s">
        <v>902</v>
      </c>
      <c r="N317" s="476" t="s">
        <v>2514</v>
      </c>
      <c r="O317" s="1425" t="s">
        <v>47</v>
      </c>
      <c r="P317" s="16" t="s">
        <v>975</v>
      </c>
      <c r="Q317" s="348" t="s">
        <v>976</v>
      </c>
      <c r="R317" s="303" t="s">
        <v>973</v>
      </c>
      <c r="S317" s="303">
        <v>450</v>
      </c>
      <c r="T317" s="303">
        <v>0</v>
      </c>
      <c r="U317" s="572">
        <v>0</v>
      </c>
      <c r="V317" s="572">
        <v>50</v>
      </c>
      <c r="W317" s="572">
        <v>50</v>
      </c>
      <c r="X317" s="572">
        <v>100</v>
      </c>
      <c r="Y317" s="481"/>
      <c r="Z317" s="481"/>
      <c r="AA317" s="481"/>
      <c r="AB317" s="481"/>
      <c r="AC317" s="481"/>
      <c r="AD317" s="481"/>
      <c r="AE317" s="481"/>
      <c r="AF317" s="481">
        <f t="shared" si="250"/>
        <v>0</v>
      </c>
      <c r="AG317" s="548"/>
      <c r="AH317" s="548"/>
      <c r="AI317" s="548"/>
      <c r="AJ317" s="548"/>
      <c r="AK317" s="548"/>
      <c r="AL317" s="548"/>
      <c r="AM317" s="548">
        <f t="shared" si="251"/>
        <v>0</v>
      </c>
      <c r="AN317" s="491">
        <v>4</v>
      </c>
      <c r="AO317" s="481"/>
      <c r="AP317" s="481"/>
      <c r="AQ317" s="481"/>
      <c r="AR317" s="481"/>
      <c r="AS317" s="481"/>
      <c r="AT317" s="481"/>
      <c r="AU317" s="481">
        <f t="shared" si="252"/>
        <v>4</v>
      </c>
      <c r="AV317" s="548">
        <v>6</v>
      </c>
      <c r="AW317" s="548"/>
      <c r="AX317" s="548"/>
      <c r="AY317" s="548"/>
      <c r="AZ317" s="548"/>
      <c r="BA317" s="548"/>
      <c r="BB317" s="548"/>
      <c r="BC317" s="548">
        <f t="shared" si="253"/>
        <v>6</v>
      </c>
      <c r="BD317" s="42">
        <f t="shared" si="254"/>
        <v>10</v>
      </c>
      <c r="BE317" s="42">
        <f t="shared" si="255"/>
        <v>0</v>
      </c>
      <c r="BF317" s="42">
        <f t="shared" si="256"/>
        <v>0</v>
      </c>
      <c r="BG317" s="42">
        <f t="shared" si="257"/>
        <v>0</v>
      </c>
      <c r="BH317" s="42">
        <f t="shared" si="258"/>
        <v>0</v>
      </c>
      <c r="BI317" s="42">
        <f t="shared" si="226"/>
        <v>0</v>
      </c>
      <c r="BJ317" s="42">
        <f t="shared" si="259"/>
        <v>0</v>
      </c>
      <c r="BK317" s="42">
        <f t="shared" si="260"/>
        <v>10</v>
      </c>
      <c r="BL317" s="40">
        <f t="shared" si="225"/>
        <v>10</v>
      </c>
    </row>
    <row r="318" spans="1:64" ht="39.75" customHeight="1" x14ac:dyDescent="0.25">
      <c r="A318" s="298" t="s">
        <v>896</v>
      </c>
      <c r="B318" s="299" t="s">
        <v>894</v>
      </c>
      <c r="C318" s="1547"/>
      <c r="D318" s="1549"/>
      <c r="E318" s="1549"/>
      <c r="F318" s="1549"/>
      <c r="G318" s="1549"/>
      <c r="H318" s="1549"/>
      <c r="I318" s="1425"/>
      <c r="J318" s="379"/>
      <c r="K318" s="1428" t="s">
        <v>977</v>
      </c>
      <c r="L318" s="301" t="s">
        <v>901</v>
      </c>
      <c r="M318" s="1425" t="s">
        <v>902</v>
      </c>
      <c r="N318" s="476" t="s">
        <v>2514</v>
      </c>
      <c r="O318" s="1425" t="s">
        <v>47</v>
      </c>
      <c r="P318" s="16" t="s">
        <v>978</v>
      </c>
      <c r="Q318" s="348" t="s">
        <v>979</v>
      </c>
      <c r="R318" s="303">
        <v>2015</v>
      </c>
      <c r="S318" s="303">
        <v>0</v>
      </c>
      <c r="T318" s="303">
        <v>0</v>
      </c>
      <c r="U318" s="572">
        <v>5</v>
      </c>
      <c r="V318" s="572">
        <v>3</v>
      </c>
      <c r="W318" s="572">
        <v>2</v>
      </c>
      <c r="X318" s="572">
        <v>10</v>
      </c>
      <c r="Y318" s="481"/>
      <c r="Z318" s="481"/>
      <c r="AA318" s="481"/>
      <c r="AB318" s="481"/>
      <c r="AC318" s="481"/>
      <c r="AD318" s="481"/>
      <c r="AE318" s="481"/>
      <c r="AF318" s="481">
        <f t="shared" si="250"/>
        <v>0</v>
      </c>
      <c r="AG318" s="548">
        <v>5</v>
      </c>
      <c r="AH318" s="548"/>
      <c r="AI318" s="548"/>
      <c r="AJ318" s="548"/>
      <c r="AK318" s="548"/>
      <c r="AL318" s="548"/>
      <c r="AM318" s="548">
        <f t="shared" si="251"/>
        <v>5</v>
      </c>
      <c r="AN318" s="42">
        <v>5</v>
      </c>
      <c r="AO318" s="481"/>
      <c r="AP318" s="481"/>
      <c r="AQ318" s="481"/>
      <c r="AR318" s="481"/>
      <c r="AS318" s="481"/>
      <c r="AT318" s="481"/>
      <c r="AU318" s="481">
        <f t="shared" si="252"/>
        <v>5</v>
      </c>
      <c r="AV318" s="491">
        <v>1</v>
      </c>
      <c r="AW318" s="548"/>
      <c r="AX318" s="548"/>
      <c r="AY318" s="548"/>
      <c r="AZ318" s="548"/>
      <c r="BA318" s="548"/>
      <c r="BB318" s="548"/>
      <c r="BC318" s="548">
        <f t="shared" si="253"/>
        <v>1</v>
      </c>
      <c r="BD318" s="42">
        <f t="shared" si="254"/>
        <v>11</v>
      </c>
      <c r="BE318" s="42">
        <f t="shared" si="255"/>
        <v>0</v>
      </c>
      <c r="BF318" s="42">
        <f t="shared" si="256"/>
        <v>0</v>
      </c>
      <c r="BG318" s="42">
        <f t="shared" si="257"/>
        <v>0</v>
      </c>
      <c r="BH318" s="42">
        <f t="shared" si="258"/>
        <v>0</v>
      </c>
      <c r="BI318" s="42">
        <f t="shared" si="226"/>
        <v>0</v>
      </c>
      <c r="BJ318" s="42">
        <f t="shared" si="259"/>
        <v>0</v>
      </c>
      <c r="BK318" s="42">
        <f t="shared" si="260"/>
        <v>11</v>
      </c>
      <c r="BL318" s="40">
        <f t="shared" si="225"/>
        <v>11</v>
      </c>
    </row>
    <row r="319" spans="1:64" ht="77.25" customHeight="1" x14ac:dyDescent="0.25">
      <c r="A319" s="298" t="s">
        <v>896</v>
      </c>
      <c r="B319" s="299" t="s">
        <v>894</v>
      </c>
      <c r="C319" s="1547"/>
      <c r="D319" s="1549"/>
      <c r="E319" s="1549"/>
      <c r="F319" s="1549"/>
      <c r="G319" s="1549"/>
      <c r="H319" s="1549"/>
      <c r="I319" s="1425"/>
      <c r="J319" s="379"/>
      <c r="K319" s="1428" t="s">
        <v>980</v>
      </c>
      <c r="L319" s="301" t="s">
        <v>901</v>
      </c>
      <c r="M319" s="1425" t="s">
        <v>902</v>
      </c>
      <c r="N319" s="476" t="s">
        <v>2514</v>
      </c>
      <c r="O319" s="1425" t="s">
        <v>47</v>
      </c>
      <c r="P319" s="16" t="s">
        <v>981</v>
      </c>
      <c r="Q319" s="348" t="s">
        <v>982</v>
      </c>
      <c r="R319" s="303">
        <v>2015</v>
      </c>
      <c r="S319" s="303">
        <v>0</v>
      </c>
      <c r="T319" s="303">
        <v>0</v>
      </c>
      <c r="U319" s="572">
        <v>1</v>
      </c>
      <c r="V319" s="572">
        <v>1</v>
      </c>
      <c r="W319" s="572">
        <v>1</v>
      </c>
      <c r="X319" s="572">
        <v>1</v>
      </c>
      <c r="Y319" s="481">
        <v>0</v>
      </c>
      <c r="Z319" s="481"/>
      <c r="AA319" s="481"/>
      <c r="AB319" s="481"/>
      <c r="AC319" s="481"/>
      <c r="AD319" s="481"/>
      <c r="AE319" s="481"/>
      <c r="AF319" s="481">
        <f t="shared" si="250"/>
        <v>0</v>
      </c>
      <c r="AG319" s="491">
        <v>3</v>
      </c>
      <c r="AH319" s="548"/>
      <c r="AI319" s="548"/>
      <c r="AJ319" s="548"/>
      <c r="AK319" s="548"/>
      <c r="AL319" s="548"/>
      <c r="AM319" s="548">
        <f t="shared" si="251"/>
        <v>3</v>
      </c>
      <c r="AN319" s="491">
        <v>0.5</v>
      </c>
      <c r="AO319" s="481"/>
      <c r="AP319" s="481"/>
      <c r="AQ319" s="481"/>
      <c r="AR319" s="481"/>
      <c r="AS319" s="481"/>
      <c r="AT319" s="481"/>
      <c r="AU319" s="481">
        <f t="shared" si="252"/>
        <v>0.5</v>
      </c>
      <c r="AV319" s="491">
        <v>1</v>
      </c>
      <c r="AW319" s="548"/>
      <c r="AX319" s="548"/>
      <c r="AY319" s="548"/>
      <c r="AZ319" s="548"/>
      <c r="BA319" s="548"/>
      <c r="BB319" s="548"/>
      <c r="BC319" s="548">
        <f>SUM(AV319:BB319)</f>
        <v>1</v>
      </c>
      <c r="BD319" s="42">
        <f>+AV319+AN319+AG319+Y319</f>
        <v>4.5</v>
      </c>
      <c r="BE319" s="42">
        <f>+AW319+AO319+AH319+Z319</f>
        <v>0</v>
      </c>
      <c r="BF319" s="42">
        <f>+AX319+AP319+AI319+AA319</f>
        <v>0</v>
      </c>
      <c r="BG319" s="42">
        <f>+AY319+AQ319+AJ319+AB319</f>
        <v>0</v>
      </c>
      <c r="BH319" s="42">
        <f>+AZ319+AR319+AK319+AC319</f>
        <v>0</v>
      </c>
      <c r="BI319" s="42">
        <f>+AD319+AS319+BA319</f>
        <v>0</v>
      </c>
      <c r="BJ319" s="42">
        <f>+BB319+AT319+AL319+AE319</f>
        <v>0</v>
      </c>
      <c r="BK319" s="42">
        <f>+BC319+AU319+AM319+AF319</f>
        <v>4.5</v>
      </c>
      <c r="BL319" s="40">
        <f t="shared" si="225"/>
        <v>4.5</v>
      </c>
    </row>
    <row r="320" spans="1:64" ht="53.25" customHeight="1" x14ac:dyDescent="0.25">
      <c r="A320" s="298" t="s">
        <v>896</v>
      </c>
      <c r="B320" s="299" t="s">
        <v>894</v>
      </c>
      <c r="C320" s="1547"/>
      <c r="D320" s="1549"/>
      <c r="E320" s="1549"/>
      <c r="F320" s="1549"/>
      <c r="G320" s="1549"/>
      <c r="H320" s="1549"/>
      <c r="I320" s="1425"/>
      <c r="J320" s="379"/>
      <c r="K320" s="1428" t="s">
        <v>983</v>
      </c>
      <c r="L320" s="301" t="s">
        <v>901</v>
      </c>
      <c r="M320" s="1425" t="s">
        <v>902</v>
      </c>
      <c r="N320" s="476" t="s">
        <v>2514</v>
      </c>
      <c r="O320" s="1425" t="s">
        <v>47</v>
      </c>
      <c r="P320" s="16" t="s">
        <v>984</v>
      </c>
      <c r="Q320" s="348" t="s">
        <v>985</v>
      </c>
      <c r="R320" s="303">
        <v>2015</v>
      </c>
      <c r="S320" s="303">
        <v>1</v>
      </c>
      <c r="T320" s="303">
        <v>0</v>
      </c>
      <c r="U320" s="572">
        <v>0</v>
      </c>
      <c r="V320" s="572">
        <v>1</v>
      </c>
      <c r="W320" s="572">
        <v>0</v>
      </c>
      <c r="X320" s="572">
        <v>1</v>
      </c>
      <c r="Y320" s="481"/>
      <c r="Z320" s="481"/>
      <c r="AA320" s="481"/>
      <c r="AB320" s="481"/>
      <c r="AC320" s="481"/>
      <c r="AD320" s="481"/>
      <c r="AE320" s="481"/>
      <c r="AF320" s="481">
        <f t="shared" si="250"/>
        <v>0</v>
      </c>
      <c r="AG320" s="548"/>
      <c r="AH320" s="548"/>
      <c r="AI320" s="548"/>
      <c r="AJ320" s="548"/>
      <c r="AK320" s="548"/>
      <c r="AL320" s="548"/>
      <c r="AM320" s="548">
        <f t="shared" si="251"/>
        <v>0</v>
      </c>
      <c r="AN320" s="491">
        <v>4</v>
      </c>
      <c r="AO320" s="481"/>
      <c r="AP320" s="481"/>
      <c r="AQ320" s="481"/>
      <c r="AR320" s="481"/>
      <c r="AS320" s="481"/>
      <c r="AT320" s="481"/>
      <c r="AU320" s="481">
        <f t="shared" si="252"/>
        <v>4</v>
      </c>
      <c r="AV320" s="548"/>
      <c r="AW320" s="548"/>
      <c r="AX320" s="548"/>
      <c r="AY320" s="548"/>
      <c r="AZ320" s="548"/>
      <c r="BA320" s="548"/>
      <c r="BB320" s="548"/>
      <c r="BC320" s="548">
        <f t="shared" si="253"/>
        <v>0</v>
      </c>
      <c r="BD320" s="42">
        <f t="shared" si="254"/>
        <v>4</v>
      </c>
      <c r="BE320" s="42">
        <f t="shared" si="255"/>
        <v>0</v>
      </c>
      <c r="BF320" s="42">
        <f t="shared" si="256"/>
        <v>0</v>
      </c>
      <c r="BG320" s="42">
        <f t="shared" si="257"/>
        <v>0</v>
      </c>
      <c r="BH320" s="42">
        <f t="shared" si="258"/>
        <v>0</v>
      </c>
      <c r="BI320" s="42">
        <f t="shared" si="226"/>
        <v>0</v>
      </c>
      <c r="BJ320" s="42">
        <f t="shared" si="259"/>
        <v>0</v>
      </c>
      <c r="BK320" s="42">
        <f t="shared" si="260"/>
        <v>4</v>
      </c>
      <c r="BL320" s="40">
        <f t="shared" si="225"/>
        <v>4</v>
      </c>
    </row>
    <row r="321" spans="1:64" ht="54" customHeight="1" x14ac:dyDescent="0.25">
      <c r="A321" s="298" t="s">
        <v>896</v>
      </c>
      <c r="B321" s="299" t="s">
        <v>894</v>
      </c>
      <c r="C321" s="1547"/>
      <c r="D321" s="1549"/>
      <c r="E321" s="1549"/>
      <c r="F321" s="1549"/>
      <c r="G321" s="1549"/>
      <c r="H321" s="1549"/>
      <c r="I321" s="1425"/>
      <c r="J321" s="379"/>
      <c r="K321" s="1428" t="s">
        <v>986</v>
      </c>
      <c r="L321" s="301" t="s">
        <v>901</v>
      </c>
      <c r="M321" s="1425" t="s">
        <v>902</v>
      </c>
      <c r="N321" s="476" t="s">
        <v>2514</v>
      </c>
      <c r="O321" s="1425" t="s">
        <v>73</v>
      </c>
      <c r="P321" s="1198" t="s">
        <v>2519</v>
      </c>
      <c r="Q321" s="348" t="s">
        <v>539</v>
      </c>
      <c r="R321" s="303">
        <v>2015</v>
      </c>
      <c r="S321" s="303">
        <v>1</v>
      </c>
      <c r="T321" s="303">
        <v>1</v>
      </c>
      <c r="U321" s="572">
        <v>1</v>
      </c>
      <c r="V321" s="572">
        <v>1</v>
      </c>
      <c r="W321" s="572">
        <v>1</v>
      </c>
      <c r="X321" s="572">
        <v>1</v>
      </c>
      <c r="Y321" s="481">
        <v>0</v>
      </c>
      <c r="Z321" s="481"/>
      <c r="AA321" s="491">
        <v>4.5</v>
      </c>
      <c r="AB321" s="481"/>
      <c r="AC321" s="481"/>
      <c r="AD321" s="481">
        <v>0</v>
      </c>
      <c r="AE321" s="481"/>
      <c r="AF321" s="481">
        <f t="shared" si="250"/>
        <v>4.5</v>
      </c>
      <c r="AG321" s="491">
        <v>2</v>
      </c>
      <c r="AH321" s="548"/>
      <c r="AI321" s="548">
        <v>0</v>
      </c>
      <c r="AJ321" s="548"/>
      <c r="AK321" s="548"/>
      <c r="AL321" s="548"/>
      <c r="AM321" s="548">
        <f t="shared" si="251"/>
        <v>2</v>
      </c>
      <c r="AN321" s="491">
        <v>0.5</v>
      </c>
      <c r="AO321" s="481"/>
      <c r="AP321" s="481">
        <v>0</v>
      </c>
      <c r="AQ321" s="481"/>
      <c r="AR321" s="481"/>
      <c r="AS321" s="481"/>
      <c r="AT321" s="481"/>
      <c r="AU321" s="481">
        <f t="shared" si="252"/>
        <v>0.5</v>
      </c>
      <c r="AV321" s="491">
        <v>1</v>
      </c>
      <c r="AW321" s="548"/>
      <c r="AX321" s="548">
        <v>0</v>
      </c>
      <c r="AY321" s="548"/>
      <c r="AZ321" s="548"/>
      <c r="BA321" s="548"/>
      <c r="BB321" s="548"/>
      <c r="BC321" s="548">
        <f t="shared" si="253"/>
        <v>1</v>
      </c>
      <c r="BD321" s="42">
        <f t="shared" si="254"/>
        <v>3.5</v>
      </c>
      <c r="BE321" s="42">
        <f t="shared" si="255"/>
        <v>0</v>
      </c>
      <c r="BF321" s="42">
        <f t="shared" si="256"/>
        <v>4.5</v>
      </c>
      <c r="BG321" s="42">
        <f t="shared" si="257"/>
        <v>0</v>
      </c>
      <c r="BH321" s="42">
        <f t="shared" si="258"/>
        <v>0</v>
      </c>
      <c r="BI321" s="42">
        <f t="shared" si="226"/>
        <v>0</v>
      </c>
      <c r="BJ321" s="42">
        <f t="shared" si="259"/>
        <v>0</v>
      </c>
      <c r="BK321" s="42">
        <f t="shared" si="260"/>
        <v>8</v>
      </c>
      <c r="BL321" s="40">
        <f t="shared" si="225"/>
        <v>8</v>
      </c>
    </row>
    <row r="322" spans="1:64" s="1356" customFormat="1" ht="54" customHeight="1" x14ac:dyDescent="0.25">
      <c r="A322" s="1347" t="s">
        <v>896</v>
      </c>
      <c r="B322" s="1348" t="s">
        <v>894</v>
      </c>
      <c r="C322" s="1547"/>
      <c r="D322" s="1549"/>
      <c r="E322" s="1549"/>
      <c r="F322" s="1549"/>
      <c r="G322" s="1549"/>
      <c r="H322" s="1549"/>
      <c r="I322" s="1463"/>
      <c r="J322" s="1349"/>
      <c r="K322" s="1350" t="s">
        <v>988</v>
      </c>
      <c r="L322" s="1351" t="s">
        <v>901</v>
      </c>
      <c r="M322" s="1463" t="s">
        <v>902</v>
      </c>
      <c r="N322" s="1352" t="s">
        <v>2514</v>
      </c>
      <c r="O322" s="1463" t="s">
        <v>47</v>
      </c>
      <c r="P322" s="1199" t="s">
        <v>2520</v>
      </c>
      <c r="Q322" s="1307" t="s">
        <v>990</v>
      </c>
      <c r="R322" s="1463">
        <v>2015</v>
      </c>
      <c r="S322" s="1463">
        <v>0</v>
      </c>
      <c r="T322" s="1463">
        <v>0</v>
      </c>
      <c r="U322" s="715">
        <v>1</v>
      </c>
      <c r="V322" s="715">
        <v>1</v>
      </c>
      <c r="W322" s="715">
        <v>1</v>
      </c>
      <c r="X322" s="715">
        <v>1</v>
      </c>
      <c r="Y322" s="1353"/>
      <c r="Z322" s="1353"/>
      <c r="AA322" s="1354">
        <v>0</v>
      </c>
      <c r="AB322" s="1353"/>
      <c r="AC322" s="1353"/>
      <c r="AD322" s="1353"/>
      <c r="AE322" s="1353"/>
      <c r="AF322" s="1353"/>
      <c r="AG322" s="1353"/>
      <c r="AH322" s="1353"/>
      <c r="AI322" s="1353">
        <v>19</v>
      </c>
      <c r="AJ322" s="1353"/>
      <c r="AK322" s="1353"/>
      <c r="AL322" s="1353"/>
      <c r="AM322" s="1353">
        <f>SUM(AG322:AL322)</f>
        <v>19</v>
      </c>
      <c r="AN322" s="1353">
        <v>0.5</v>
      </c>
      <c r="AO322" s="1353"/>
      <c r="AP322" s="1353"/>
      <c r="AQ322" s="1353"/>
      <c r="AR322" s="1353"/>
      <c r="AS322" s="1353"/>
      <c r="AT322" s="1353"/>
      <c r="AU322" s="1353">
        <f>SUM(AN322:AT322)</f>
        <v>0.5</v>
      </c>
      <c r="AV322" s="1353">
        <v>5</v>
      </c>
      <c r="AW322" s="1353"/>
      <c r="AX322" s="1353"/>
      <c r="AY322" s="1353"/>
      <c r="AZ322" s="1353"/>
      <c r="BA322" s="1353"/>
      <c r="BB322" s="1353"/>
      <c r="BC322" s="1353">
        <f>SUM(AV322:BB322)</f>
        <v>5</v>
      </c>
      <c r="BD322" s="1353"/>
      <c r="BE322" s="1353"/>
      <c r="BF322" s="1353"/>
      <c r="BG322" s="1353"/>
      <c r="BH322" s="1353"/>
      <c r="BI322" s="1353"/>
      <c r="BJ322" s="1353"/>
      <c r="BK322" s="1353"/>
      <c r="BL322" s="1355">
        <f t="shared" si="225"/>
        <v>24.5</v>
      </c>
    </row>
    <row r="323" spans="1:64" ht="62.25" customHeight="1" x14ac:dyDescent="0.25">
      <c r="A323" s="298" t="s">
        <v>896</v>
      </c>
      <c r="B323" s="299" t="s">
        <v>894</v>
      </c>
      <c r="C323" s="1547"/>
      <c r="D323" s="1549"/>
      <c r="E323" s="1549"/>
      <c r="F323" s="1549"/>
      <c r="G323" s="1549"/>
      <c r="H323" s="1549"/>
      <c r="I323" s="1425"/>
      <c r="J323" s="379"/>
      <c r="K323" s="1428" t="s">
        <v>991</v>
      </c>
      <c r="L323" s="301" t="s">
        <v>901</v>
      </c>
      <c r="M323" s="1425" t="s">
        <v>902</v>
      </c>
      <c r="N323" s="476" t="s">
        <v>2514</v>
      </c>
      <c r="O323" s="1425" t="s">
        <v>47</v>
      </c>
      <c r="P323" s="16" t="s">
        <v>992</v>
      </c>
      <c r="Q323" s="348" t="s">
        <v>993</v>
      </c>
      <c r="R323" s="303">
        <v>2015</v>
      </c>
      <c r="S323" s="303">
        <v>0</v>
      </c>
      <c r="T323" s="303">
        <v>5</v>
      </c>
      <c r="U323" s="572">
        <v>5</v>
      </c>
      <c r="V323" s="572">
        <v>5</v>
      </c>
      <c r="W323" s="572">
        <v>5</v>
      </c>
      <c r="X323" s="572">
        <v>20</v>
      </c>
      <c r="Y323" s="481"/>
      <c r="Z323" s="481"/>
      <c r="AA323" s="481">
        <v>3</v>
      </c>
      <c r="AB323" s="481"/>
      <c r="AC323" s="481"/>
      <c r="AD323" s="481"/>
      <c r="AE323" s="481"/>
      <c r="AF323" s="481">
        <f t="shared" si="250"/>
        <v>3</v>
      </c>
      <c r="AG323" s="548"/>
      <c r="AH323" s="548"/>
      <c r="AI323" s="548">
        <v>3</v>
      </c>
      <c r="AJ323" s="548"/>
      <c r="AK323" s="548"/>
      <c r="AL323" s="548"/>
      <c r="AM323" s="548">
        <f t="shared" si="251"/>
        <v>3</v>
      </c>
      <c r="AN323" s="481"/>
      <c r="AO323" s="481"/>
      <c r="AP323" s="481">
        <v>3</v>
      </c>
      <c r="AQ323" s="481"/>
      <c r="AR323" s="481"/>
      <c r="AS323" s="481"/>
      <c r="AT323" s="481"/>
      <c r="AU323" s="481">
        <f t="shared" si="252"/>
        <v>3</v>
      </c>
      <c r="AV323" s="548"/>
      <c r="AW323" s="548"/>
      <c r="AX323" s="548">
        <v>13</v>
      </c>
      <c r="AY323" s="548"/>
      <c r="AZ323" s="548"/>
      <c r="BA323" s="548"/>
      <c r="BB323" s="548"/>
      <c r="BC323" s="548">
        <f>SUM(AV323:BB323)</f>
        <v>13</v>
      </c>
      <c r="BD323" s="42">
        <f>+AV323+AN323+AG323+Y323</f>
        <v>0</v>
      </c>
      <c r="BE323" s="42">
        <f>+AW323+AO323+AH323+Z323</f>
        <v>0</v>
      </c>
      <c r="BF323" s="42">
        <f>+AX323+AP323+AI323+AA323</f>
        <v>22</v>
      </c>
      <c r="BG323" s="42">
        <f>+AY323+AQ323+AJ323+AB323</f>
        <v>0</v>
      </c>
      <c r="BH323" s="42">
        <f>+AZ323+AR323+AK323+AC323</f>
        <v>0</v>
      </c>
      <c r="BI323" s="42">
        <f t="shared" si="226"/>
        <v>0</v>
      </c>
      <c r="BJ323" s="42">
        <f>+BB323+AT323+AL323+AE323</f>
        <v>0</v>
      </c>
      <c r="BK323" s="42">
        <f>+BC323+AU323+AM323+AF323</f>
        <v>22</v>
      </c>
      <c r="BL323" s="40">
        <f t="shared" si="225"/>
        <v>22</v>
      </c>
    </row>
    <row r="324" spans="1:64" ht="54.75" customHeight="1" x14ac:dyDescent="0.25">
      <c r="A324" s="298" t="s">
        <v>896</v>
      </c>
      <c r="B324" s="299" t="s">
        <v>894</v>
      </c>
      <c r="C324" s="1547"/>
      <c r="D324" s="1549"/>
      <c r="E324" s="1549"/>
      <c r="F324" s="1549"/>
      <c r="G324" s="1549"/>
      <c r="H324" s="1549"/>
      <c r="I324" s="1425"/>
      <c r="J324" s="379"/>
      <c r="K324" s="1428" t="s">
        <v>994</v>
      </c>
      <c r="L324" s="301" t="s">
        <v>901</v>
      </c>
      <c r="M324" s="1425" t="s">
        <v>902</v>
      </c>
      <c r="N324" s="476" t="s">
        <v>2514</v>
      </c>
      <c r="O324" s="1425" t="s">
        <v>47</v>
      </c>
      <c r="P324" s="16" t="s">
        <v>995</v>
      </c>
      <c r="Q324" s="348" t="s">
        <v>996</v>
      </c>
      <c r="R324" s="303">
        <v>2015</v>
      </c>
      <c r="S324" s="303">
        <v>0</v>
      </c>
      <c r="T324" s="303">
        <v>10</v>
      </c>
      <c r="U324" s="572">
        <v>10</v>
      </c>
      <c r="V324" s="572">
        <v>10</v>
      </c>
      <c r="W324" s="572">
        <v>0</v>
      </c>
      <c r="X324" s="572">
        <v>30</v>
      </c>
      <c r="Y324" s="481">
        <v>5</v>
      </c>
      <c r="Z324" s="481"/>
      <c r="AA324" s="481">
        <v>10</v>
      </c>
      <c r="AB324" s="481"/>
      <c r="AC324" s="481"/>
      <c r="AD324" s="481"/>
      <c r="AE324" s="481"/>
      <c r="AF324" s="481">
        <f t="shared" si="250"/>
        <v>15</v>
      </c>
      <c r="AG324" s="548">
        <v>10</v>
      </c>
      <c r="AH324" s="548"/>
      <c r="AI324" s="491">
        <v>8</v>
      </c>
      <c r="AJ324" s="548"/>
      <c r="AK324" s="548"/>
      <c r="AL324" s="548"/>
      <c r="AM324" s="548">
        <f t="shared" si="251"/>
        <v>18</v>
      </c>
      <c r="AN324" s="481">
        <v>10</v>
      </c>
      <c r="AO324" s="481"/>
      <c r="AP324" s="491">
        <v>9</v>
      </c>
      <c r="AQ324" s="481"/>
      <c r="AR324" s="481"/>
      <c r="AS324" s="481"/>
      <c r="AT324" s="481"/>
      <c r="AU324" s="481">
        <f t="shared" si="252"/>
        <v>19</v>
      </c>
      <c r="AV324" s="548"/>
      <c r="AW324" s="548"/>
      <c r="AX324" s="548">
        <v>0</v>
      </c>
      <c r="AY324" s="548"/>
      <c r="AZ324" s="548"/>
      <c r="BA324" s="548"/>
      <c r="BB324" s="548"/>
      <c r="BC324" s="548">
        <f t="shared" si="253"/>
        <v>0</v>
      </c>
      <c r="BD324" s="42">
        <f t="shared" si="254"/>
        <v>25</v>
      </c>
      <c r="BE324" s="42">
        <f t="shared" si="255"/>
        <v>0</v>
      </c>
      <c r="BF324" s="42">
        <f t="shared" si="256"/>
        <v>27</v>
      </c>
      <c r="BG324" s="42">
        <f t="shared" si="257"/>
        <v>0</v>
      </c>
      <c r="BH324" s="42">
        <f t="shared" si="258"/>
        <v>0</v>
      </c>
      <c r="BI324" s="42">
        <f t="shared" si="226"/>
        <v>0</v>
      </c>
      <c r="BJ324" s="42">
        <f t="shared" si="259"/>
        <v>0</v>
      </c>
      <c r="BK324" s="42">
        <f t="shared" si="260"/>
        <v>52</v>
      </c>
      <c r="BL324" s="40">
        <f t="shared" ref="BL324:BL382" si="261">AF324+AM324+AU324+BC324</f>
        <v>52</v>
      </c>
    </row>
    <row r="325" spans="1:64" ht="34.5" customHeight="1" x14ac:dyDescent="0.25">
      <c r="A325" s="298" t="s">
        <v>896</v>
      </c>
      <c r="B325" s="299" t="s">
        <v>894</v>
      </c>
      <c r="C325" s="1548"/>
      <c r="D325" s="1549"/>
      <c r="E325" s="1549"/>
      <c r="F325" s="1549"/>
      <c r="G325" s="1549"/>
      <c r="H325" s="1549"/>
      <c r="I325" s="1425"/>
      <c r="J325" s="1425"/>
      <c r="K325" s="1428" t="s">
        <v>997</v>
      </c>
      <c r="L325" s="301" t="s">
        <v>901</v>
      </c>
      <c r="M325" s="1425" t="s">
        <v>902</v>
      </c>
      <c r="N325" s="476" t="s">
        <v>2514</v>
      </c>
      <c r="O325" s="1425" t="s">
        <v>47</v>
      </c>
      <c r="P325" s="883" t="s">
        <v>998</v>
      </c>
      <c r="Q325" s="348" t="s">
        <v>996</v>
      </c>
      <c r="R325" s="303">
        <v>2015</v>
      </c>
      <c r="S325" s="303">
        <v>19</v>
      </c>
      <c r="T325" s="303">
        <v>10</v>
      </c>
      <c r="U325" s="572">
        <v>10</v>
      </c>
      <c r="V325" s="572">
        <v>10</v>
      </c>
      <c r="W325" s="572">
        <v>10</v>
      </c>
      <c r="X325" s="572">
        <v>40</v>
      </c>
      <c r="Y325" s="701"/>
      <c r="Z325" s="701"/>
      <c r="AA325" s="701">
        <v>10</v>
      </c>
      <c r="AB325" s="701"/>
      <c r="AC325" s="701"/>
      <c r="AD325" s="701"/>
      <c r="AE325" s="701"/>
      <c r="AF325" s="701">
        <f t="shared" si="250"/>
        <v>10</v>
      </c>
      <c r="AG325" s="548"/>
      <c r="AH325" s="548"/>
      <c r="AI325" s="491">
        <v>8</v>
      </c>
      <c r="AJ325" s="548"/>
      <c r="AK325" s="548"/>
      <c r="AL325" s="548"/>
      <c r="AM325" s="548">
        <f t="shared" si="251"/>
        <v>8</v>
      </c>
      <c r="AN325" s="481"/>
      <c r="AO325" s="481"/>
      <c r="AP325" s="481">
        <v>10</v>
      </c>
      <c r="AQ325" s="481"/>
      <c r="AR325" s="481"/>
      <c r="AS325" s="481"/>
      <c r="AT325" s="481"/>
      <c r="AU325" s="481">
        <f t="shared" si="252"/>
        <v>10</v>
      </c>
      <c r="AV325" s="548">
        <v>10</v>
      </c>
      <c r="AW325" s="548"/>
      <c r="AX325" s="548">
        <v>10</v>
      </c>
      <c r="AY325" s="548"/>
      <c r="AZ325" s="548"/>
      <c r="BA325" s="548"/>
      <c r="BB325" s="548"/>
      <c r="BC325" s="548">
        <f t="shared" si="253"/>
        <v>20</v>
      </c>
      <c r="BD325" s="42">
        <f t="shared" si="254"/>
        <v>10</v>
      </c>
      <c r="BE325" s="42">
        <f t="shared" si="255"/>
        <v>0</v>
      </c>
      <c r="BF325" s="42">
        <f t="shared" si="256"/>
        <v>38</v>
      </c>
      <c r="BG325" s="42">
        <f t="shared" si="257"/>
        <v>0</v>
      </c>
      <c r="BH325" s="42">
        <f t="shared" si="258"/>
        <v>0</v>
      </c>
      <c r="BI325" s="42">
        <f t="shared" si="226"/>
        <v>0</v>
      </c>
      <c r="BJ325" s="42">
        <f t="shared" si="259"/>
        <v>0</v>
      </c>
      <c r="BK325" s="42">
        <f t="shared" si="260"/>
        <v>48</v>
      </c>
      <c r="BL325" s="40">
        <f t="shared" si="261"/>
        <v>48</v>
      </c>
    </row>
    <row r="326" spans="1:64" ht="20.399999999999999" x14ac:dyDescent="0.25">
      <c r="A326" s="420"/>
      <c r="B326" s="1565" t="s">
        <v>1000</v>
      </c>
      <c r="C326" s="1566"/>
      <c r="D326" s="1566"/>
      <c r="E326" s="1566"/>
      <c r="F326" s="1566"/>
      <c r="G326" s="1566"/>
      <c r="H326" s="1566"/>
      <c r="I326" s="1566"/>
      <c r="J326" s="1566"/>
      <c r="K326" s="1566"/>
      <c r="L326" s="1566"/>
      <c r="M326" s="1567"/>
      <c r="N326" s="597"/>
      <c r="O326" s="597"/>
      <c r="P326" s="598"/>
      <c r="Q326" s="598"/>
      <c r="R326" s="597"/>
      <c r="S326" s="597"/>
      <c r="T326" s="597"/>
      <c r="U326" s="599"/>
      <c r="V326" s="599"/>
      <c r="W326" s="599"/>
      <c r="X326" s="599"/>
      <c r="Y326" s="600">
        <f>+Y327</f>
        <v>387.8</v>
      </c>
      <c r="Z326" s="600">
        <f t="shared" ref="Z326:BK326" si="262">+Z327</f>
        <v>0</v>
      </c>
      <c r="AA326" s="600">
        <f t="shared" si="262"/>
        <v>290.60000000000002</v>
      </c>
      <c r="AB326" s="600">
        <f t="shared" si="262"/>
        <v>0</v>
      </c>
      <c r="AC326" s="600">
        <f t="shared" si="262"/>
        <v>0</v>
      </c>
      <c r="AD326" s="600">
        <f t="shared" si="262"/>
        <v>648</v>
      </c>
      <c r="AE326" s="600">
        <f t="shared" si="262"/>
        <v>0</v>
      </c>
      <c r="AF326" s="600">
        <f t="shared" si="262"/>
        <v>1326.4</v>
      </c>
      <c r="AG326" s="600">
        <f t="shared" si="262"/>
        <v>109</v>
      </c>
      <c r="AH326" s="600">
        <f t="shared" si="262"/>
        <v>310</v>
      </c>
      <c r="AI326" s="600">
        <f t="shared" si="262"/>
        <v>250</v>
      </c>
      <c r="AJ326" s="600">
        <f t="shared" si="262"/>
        <v>125</v>
      </c>
      <c r="AK326" s="600">
        <f t="shared" si="262"/>
        <v>0</v>
      </c>
      <c r="AL326" s="600">
        <f t="shared" si="262"/>
        <v>2100</v>
      </c>
      <c r="AM326" s="600">
        <f t="shared" si="262"/>
        <v>2894</v>
      </c>
      <c r="AN326" s="600">
        <f t="shared" si="262"/>
        <v>390</v>
      </c>
      <c r="AO326" s="600">
        <f t="shared" si="262"/>
        <v>0</v>
      </c>
      <c r="AP326" s="600">
        <f t="shared" si="262"/>
        <v>311</v>
      </c>
      <c r="AQ326" s="600">
        <f t="shared" si="262"/>
        <v>1200</v>
      </c>
      <c r="AR326" s="600">
        <f t="shared" si="262"/>
        <v>0</v>
      </c>
      <c r="AS326" s="600">
        <f t="shared" si="262"/>
        <v>0</v>
      </c>
      <c r="AT326" s="600">
        <f t="shared" si="262"/>
        <v>0</v>
      </c>
      <c r="AU326" s="600">
        <f t="shared" si="262"/>
        <v>1901</v>
      </c>
      <c r="AV326" s="600">
        <f t="shared" si="262"/>
        <v>200</v>
      </c>
      <c r="AW326" s="600">
        <f t="shared" si="262"/>
        <v>0</v>
      </c>
      <c r="AX326" s="600">
        <f t="shared" si="262"/>
        <v>316</v>
      </c>
      <c r="AY326" s="600">
        <f t="shared" si="262"/>
        <v>200</v>
      </c>
      <c r="AZ326" s="600">
        <f t="shared" si="262"/>
        <v>0</v>
      </c>
      <c r="BA326" s="600">
        <f t="shared" si="262"/>
        <v>0</v>
      </c>
      <c r="BB326" s="600">
        <f t="shared" si="262"/>
        <v>0</v>
      </c>
      <c r="BC326" s="600">
        <f t="shared" si="262"/>
        <v>716</v>
      </c>
      <c r="BD326" s="33">
        <f t="shared" si="262"/>
        <v>1086.8</v>
      </c>
      <c r="BE326" s="33">
        <f t="shared" si="262"/>
        <v>310</v>
      </c>
      <c r="BF326" s="33">
        <f t="shared" si="262"/>
        <v>1167.5999999999999</v>
      </c>
      <c r="BG326" s="33">
        <f t="shared" si="262"/>
        <v>1525</v>
      </c>
      <c r="BH326" s="33">
        <f t="shared" si="262"/>
        <v>0</v>
      </c>
      <c r="BI326" s="33">
        <f t="shared" si="226"/>
        <v>648</v>
      </c>
      <c r="BJ326" s="33">
        <f t="shared" si="262"/>
        <v>2100</v>
      </c>
      <c r="BK326" s="33">
        <f t="shared" si="262"/>
        <v>6837.4</v>
      </c>
      <c r="BL326" s="40">
        <f t="shared" si="261"/>
        <v>6837.4</v>
      </c>
    </row>
    <row r="327" spans="1:64" ht="39.6" x14ac:dyDescent="0.25">
      <c r="A327" s="603"/>
      <c r="B327" s="154" t="s">
        <v>999</v>
      </c>
      <c r="C327" s="6"/>
      <c r="D327" s="2" t="s">
        <v>1001</v>
      </c>
      <c r="E327" s="1"/>
      <c r="F327" s="1"/>
      <c r="G327" s="1"/>
      <c r="H327" s="1"/>
      <c r="I327" s="1"/>
      <c r="J327" s="1"/>
      <c r="K327" s="1"/>
      <c r="L327" s="1"/>
      <c r="M327" s="1"/>
      <c r="N327" s="1"/>
      <c r="O327" s="1"/>
      <c r="P327" s="22"/>
      <c r="Q327" s="22"/>
      <c r="R327" s="1"/>
      <c r="S327" s="1"/>
      <c r="T327" s="1"/>
      <c r="U327" s="49"/>
      <c r="V327" s="49"/>
      <c r="W327" s="49"/>
      <c r="X327" s="49"/>
      <c r="Y327" s="34">
        <f t="shared" ref="Y327:AE327" si="263">SUM(Y328:Y348)</f>
        <v>387.8</v>
      </c>
      <c r="Z327" s="34">
        <f t="shared" si="263"/>
        <v>0</v>
      </c>
      <c r="AA327" s="34">
        <f t="shared" si="263"/>
        <v>290.60000000000002</v>
      </c>
      <c r="AB327" s="34">
        <f t="shared" si="263"/>
        <v>0</v>
      </c>
      <c r="AC327" s="34">
        <f t="shared" si="263"/>
        <v>0</v>
      </c>
      <c r="AD327" s="34">
        <f t="shared" si="263"/>
        <v>648</v>
      </c>
      <c r="AE327" s="34">
        <f t="shared" si="263"/>
        <v>0</v>
      </c>
      <c r="AF327" s="34">
        <f>SUM(Y327:AE327)</f>
        <v>1326.4</v>
      </c>
      <c r="AG327" s="34">
        <f t="shared" ref="AG327:AL327" si="264">SUM(AG328:AG348)</f>
        <v>109</v>
      </c>
      <c r="AH327" s="34">
        <f t="shared" si="264"/>
        <v>310</v>
      </c>
      <c r="AI327" s="34">
        <f t="shared" si="264"/>
        <v>250</v>
      </c>
      <c r="AJ327" s="34">
        <f t="shared" si="264"/>
        <v>125</v>
      </c>
      <c r="AK327" s="34">
        <f t="shared" si="264"/>
        <v>0</v>
      </c>
      <c r="AL327" s="34">
        <f t="shared" si="264"/>
        <v>2100</v>
      </c>
      <c r="AM327" s="34">
        <f>SUM(AG327:AL327)</f>
        <v>2894</v>
      </c>
      <c r="AN327" s="34">
        <f t="shared" ref="AN327:AT327" si="265">SUM(AN328:AN348)</f>
        <v>390</v>
      </c>
      <c r="AO327" s="34">
        <f t="shared" si="265"/>
        <v>0</v>
      </c>
      <c r="AP327" s="34">
        <f t="shared" si="265"/>
        <v>311</v>
      </c>
      <c r="AQ327" s="34">
        <f t="shared" si="265"/>
        <v>1200</v>
      </c>
      <c r="AR327" s="34">
        <f t="shared" si="265"/>
        <v>0</v>
      </c>
      <c r="AS327" s="34">
        <f t="shared" si="265"/>
        <v>0</v>
      </c>
      <c r="AT327" s="34">
        <f t="shared" si="265"/>
        <v>0</v>
      </c>
      <c r="AU327" s="34">
        <f>SUM(AN327:AT327)</f>
        <v>1901</v>
      </c>
      <c r="AV327" s="34">
        <f t="shared" ref="AV327:BB327" si="266">SUM(AV328:AV348)</f>
        <v>200</v>
      </c>
      <c r="AW327" s="34">
        <f t="shared" si="266"/>
        <v>0</v>
      </c>
      <c r="AX327" s="34">
        <f t="shared" si="266"/>
        <v>316</v>
      </c>
      <c r="AY327" s="34">
        <f t="shared" si="266"/>
        <v>200</v>
      </c>
      <c r="AZ327" s="34">
        <f t="shared" si="266"/>
        <v>0</v>
      </c>
      <c r="BA327" s="34">
        <f t="shared" si="266"/>
        <v>0</v>
      </c>
      <c r="BB327" s="34">
        <f t="shared" si="266"/>
        <v>0</v>
      </c>
      <c r="BC327" s="34">
        <f>SUM(AV327:BB327)</f>
        <v>716</v>
      </c>
      <c r="BD327" s="34">
        <f t="shared" si="254"/>
        <v>1086.8</v>
      </c>
      <c r="BE327" s="34">
        <f t="shared" si="255"/>
        <v>310</v>
      </c>
      <c r="BF327" s="34">
        <f t="shared" si="256"/>
        <v>1167.5999999999999</v>
      </c>
      <c r="BG327" s="34">
        <f t="shared" si="257"/>
        <v>1525</v>
      </c>
      <c r="BH327" s="34">
        <f t="shared" si="258"/>
        <v>0</v>
      </c>
      <c r="BI327" s="34">
        <f t="shared" si="226"/>
        <v>648</v>
      </c>
      <c r="BJ327" s="34">
        <f t="shared" si="259"/>
        <v>2100</v>
      </c>
      <c r="BK327" s="34">
        <f t="shared" si="260"/>
        <v>6837.4</v>
      </c>
      <c r="BL327" s="40">
        <f t="shared" si="261"/>
        <v>6837.4</v>
      </c>
    </row>
    <row r="328" spans="1:64" ht="52.5" customHeight="1" x14ac:dyDescent="0.25">
      <c r="A328" s="298" t="s">
        <v>1002</v>
      </c>
      <c r="B328" s="299" t="s">
        <v>999</v>
      </c>
      <c r="C328" s="1546" t="s">
        <v>1003</v>
      </c>
      <c r="D328" s="1550" t="s">
        <v>1004</v>
      </c>
      <c r="E328" s="1550" t="s">
        <v>1005</v>
      </c>
      <c r="F328" s="1550">
        <v>2015</v>
      </c>
      <c r="G328" s="1550">
        <v>98</v>
      </c>
      <c r="H328" s="1550">
        <v>98</v>
      </c>
      <c r="I328" s="1425"/>
      <c r="J328" s="1425"/>
      <c r="K328" s="1425" t="s">
        <v>1006</v>
      </c>
      <c r="L328" s="301" t="s">
        <v>179</v>
      </c>
      <c r="M328" s="1425" t="s">
        <v>1007</v>
      </c>
      <c r="N328" s="1425" t="s">
        <v>1008</v>
      </c>
      <c r="O328" s="1425" t="s">
        <v>73</v>
      </c>
      <c r="P328" s="16" t="s">
        <v>1009</v>
      </c>
      <c r="Q328" s="302" t="s">
        <v>1010</v>
      </c>
      <c r="R328" s="303">
        <v>2015</v>
      </c>
      <c r="S328" s="303">
        <v>0</v>
      </c>
      <c r="T328" s="303">
        <v>0</v>
      </c>
      <c r="U328" s="572">
        <v>1</v>
      </c>
      <c r="V328" s="572">
        <v>1</v>
      </c>
      <c r="W328" s="572">
        <v>1</v>
      </c>
      <c r="X328" s="572">
        <v>1</v>
      </c>
      <c r="Y328" s="481"/>
      <c r="Z328" s="481"/>
      <c r="AA328" s="481"/>
      <c r="AB328" s="481"/>
      <c r="AC328" s="481"/>
      <c r="AD328" s="481"/>
      <c r="AE328" s="481"/>
      <c r="AF328" s="481">
        <f t="shared" ref="AF328:AF348" si="267">SUBTOTAL(9,Y328:AE328)</f>
        <v>0</v>
      </c>
      <c r="AG328" s="548"/>
      <c r="AH328" s="481">
        <v>10</v>
      </c>
      <c r="AI328" s="548"/>
      <c r="AJ328" s="548"/>
      <c r="AK328" s="548"/>
      <c r="AL328" s="548"/>
      <c r="AM328" s="548">
        <f>SUM(AG328:AL328)</f>
        <v>10</v>
      </c>
      <c r="AN328" s="491">
        <v>10</v>
      </c>
      <c r="AO328" s="481"/>
      <c r="AP328" s="481"/>
      <c r="AQ328" s="481"/>
      <c r="AR328" s="481"/>
      <c r="AS328" s="481"/>
      <c r="AT328" s="481"/>
      <c r="AU328" s="481">
        <f>SUM(AN328:AT328)</f>
        <v>10</v>
      </c>
      <c r="AV328" s="491">
        <v>10</v>
      </c>
      <c r="AW328" s="548"/>
      <c r="AX328" s="548"/>
      <c r="AY328" s="548"/>
      <c r="AZ328" s="548"/>
      <c r="BA328" s="548"/>
      <c r="BB328" s="548"/>
      <c r="BC328" s="548">
        <f>SUM(AV328:BB328)</f>
        <v>10</v>
      </c>
      <c r="BD328" s="42">
        <f t="shared" si="254"/>
        <v>20</v>
      </c>
      <c r="BE328" s="42">
        <f t="shared" si="255"/>
        <v>10</v>
      </c>
      <c r="BF328" s="42">
        <f t="shared" si="256"/>
        <v>0</v>
      </c>
      <c r="BG328" s="42">
        <f t="shared" si="257"/>
        <v>0</v>
      </c>
      <c r="BH328" s="42">
        <f t="shared" si="258"/>
        <v>0</v>
      </c>
      <c r="BI328" s="42">
        <f t="shared" si="226"/>
        <v>0</v>
      </c>
      <c r="BJ328" s="42">
        <f t="shared" si="259"/>
        <v>0</v>
      </c>
      <c r="BK328" s="42">
        <f t="shared" si="260"/>
        <v>30</v>
      </c>
      <c r="BL328" s="40">
        <f t="shared" si="261"/>
        <v>30</v>
      </c>
    </row>
    <row r="329" spans="1:64" ht="49.5" customHeight="1" x14ac:dyDescent="0.25">
      <c r="A329" s="298" t="s">
        <v>1002</v>
      </c>
      <c r="B329" s="299" t="s">
        <v>999</v>
      </c>
      <c r="C329" s="1547"/>
      <c r="D329" s="1551"/>
      <c r="E329" s="1551"/>
      <c r="F329" s="1551"/>
      <c r="G329" s="1551"/>
      <c r="H329" s="1551"/>
      <c r="I329" s="1425"/>
      <c r="J329" s="1425"/>
      <c r="K329" s="1425" t="s">
        <v>1011</v>
      </c>
      <c r="L329" s="301" t="s">
        <v>179</v>
      </c>
      <c r="M329" s="1425" t="s">
        <v>1007</v>
      </c>
      <c r="N329" s="1425" t="s">
        <v>1008</v>
      </c>
      <c r="O329" s="1425" t="s">
        <v>47</v>
      </c>
      <c r="P329" s="16" t="s">
        <v>1012</v>
      </c>
      <c r="Q329" s="302" t="s">
        <v>1013</v>
      </c>
      <c r="R329" s="303">
        <v>2015</v>
      </c>
      <c r="S329" s="303">
        <v>0</v>
      </c>
      <c r="T329" s="303">
        <v>1</v>
      </c>
      <c r="U329" s="572">
        <v>1</v>
      </c>
      <c r="V329" s="572">
        <v>1</v>
      </c>
      <c r="W329" s="572">
        <v>1</v>
      </c>
      <c r="X329" s="572">
        <v>4</v>
      </c>
      <c r="Y329" s="491">
        <v>10</v>
      </c>
      <c r="Z329" s="481"/>
      <c r="AA329" s="584"/>
      <c r="AB329" s="481"/>
      <c r="AC329" s="481"/>
      <c r="AD329" s="481"/>
      <c r="AE329" s="481"/>
      <c r="AF329" s="481">
        <f t="shared" si="267"/>
        <v>10</v>
      </c>
      <c r="AG329" s="548"/>
      <c r="AH329" s="491">
        <v>10</v>
      </c>
      <c r="AI329" s="548"/>
      <c r="AJ329" s="548"/>
      <c r="AK329" s="548"/>
      <c r="AL329" s="548"/>
      <c r="AM329" s="548">
        <f t="shared" ref="AM329:AM348" si="268">SUM(AG329:AL329)</f>
        <v>10</v>
      </c>
      <c r="AN329" s="491">
        <v>10</v>
      </c>
      <c r="AO329" s="481"/>
      <c r="AP329" s="481"/>
      <c r="AQ329" s="481"/>
      <c r="AR329" s="481"/>
      <c r="AS329" s="481"/>
      <c r="AT329" s="481"/>
      <c r="AU329" s="481">
        <f t="shared" ref="AU329:AU348" si="269">SUM(AN329:AT329)</f>
        <v>10</v>
      </c>
      <c r="AV329" s="491">
        <v>15</v>
      </c>
      <c r="AW329" s="548"/>
      <c r="AX329" s="548"/>
      <c r="AY329" s="548"/>
      <c r="AZ329" s="548"/>
      <c r="BA329" s="548"/>
      <c r="BB329" s="548"/>
      <c r="BC329" s="548">
        <f>SUM(AV329:BB329)</f>
        <v>15</v>
      </c>
      <c r="BD329" s="42">
        <f t="shared" si="254"/>
        <v>35</v>
      </c>
      <c r="BE329" s="42">
        <f t="shared" si="255"/>
        <v>10</v>
      </c>
      <c r="BF329" s="42">
        <f t="shared" si="256"/>
        <v>0</v>
      </c>
      <c r="BG329" s="42">
        <f t="shared" si="257"/>
        <v>0</v>
      </c>
      <c r="BH329" s="42">
        <f t="shared" si="258"/>
        <v>0</v>
      </c>
      <c r="BI329" s="42">
        <f t="shared" si="226"/>
        <v>0</v>
      </c>
      <c r="BJ329" s="42">
        <f t="shared" si="259"/>
        <v>0</v>
      </c>
      <c r="BK329" s="42">
        <f t="shared" si="260"/>
        <v>45</v>
      </c>
      <c r="BL329" s="40">
        <f t="shared" si="261"/>
        <v>45</v>
      </c>
    </row>
    <row r="330" spans="1:64" ht="57.75" customHeight="1" x14ac:dyDescent="0.25">
      <c r="A330" s="298" t="s">
        <v>1002</v>
      </c>
      <c r="B330" s="299" t="s">
        <v>999</v>
      </c>
      <c r="C330" s="1547"/>
      <c r="D330" s="1551"/>
      <c r="E330" s="1551"/>
      <c r="F330" s="1551"/>
      <c r="G330" s="1551"/>
      <c r="H330" s="1551"/>
      <c r="I330" s="1425"/>
      <c r="J330" s="1425"/>
      <c r="K330" s="1425" t="s">
        <v>1014</v>
      </c>
      <c r="L330" s="301" t="s">
        <v>179</v>
      </c>
      <c r="M330" s="1425" t="s">
        <v>1007</v>
      </c>
      <c r="N330" s="1425" t="s">
        <v>1008</v>
      </c>
      <c r="O330" s="1425" t="s">
        <v>47</v>
      </c>
      <c r="P330" s="16" t="s">
        <v>1015</v>
      </c>
      <c r="Q330" s="302" t="s">
        <v>1016</v>
      </c>
      <c r="R330" s="303">
        <v>2015</v>
      </c>
      <c r="S330" s="303">
        <v>0</v>
      </c>
      <c r="T330" s="303">
        <v>0</v>
      </c>
      <c r="U330" s="572">
        <v>1</v>
      </c>
      <c r="V330" s="572">
        <v>0</v>
      </c>
      <c r="W330" s="572">
        <v>0</v>
      </c>
      <c r="X330" s="572">
        <v>1</v>
      </c>
      <c r="Y330" s="481"/>
      <c r="Z330" s="481"/>
      <c r="AA330" s="584"/>
      <c r="AB330" s="481"/>
      <c r="AC330" s="481"/>
      <c r="AD330" s="481"/>
      <c r="AE330" s="481"/>
      <c r="AF330" s="481">
        <f t="shared" si="267"/>
        <v>0</v>
      </c>
      <c r="AG330" s="548"/>
      <c r="AH330" s="481">
        <v>10</v>
      </c>
      <c r="AI330" s="548"/>
      <c r="AJ330" s="591"/>
      <c r="AK330" s="548"/>
      <c r="AL330" s="548"/>
      <c r="AM330" s="548">
        <f t="shared" si="268"/>
        <v>10</v>
      </c>
      <c r="AN330" s="481"/>
      <c r="AO330" s="481"/>
      <c r="AP330" s="481"/>
      <c r="AQ330" s="481"/>
      <c r="AR330" s="481"/>
      <c r="AS330" s="481"/>
      <c r="AT330" s="481"/>
      <c r="AU330" s="481">
        <f t="shared" si="269"/>
        <v>0</v>
      </c>
      <c r="AV330" s="548"/>
      <c r="AW330" s="548"/>
      <c r="AX330" s="548"/>
      <c r="AY330" s="548"/>
      <c r="AZ330" s="548"/>
      <c r="BA330" s="548"/>
      <c r="BB330" s="548"/>
      <c r="BC330" s="548">
        <f t="shared" ref="BC330:BC348" si="270">SUM(AV330:BB330)</f>
        <v>0</v>
      </c>
      <c r="BD330" s="42"/>
      <c r="BE330" s="42"/>
      <c r="BF330" s="42"/>
      <c r="BG330" s="42"/>
      <c r="BH330" s="42"/>
      <c r="BI330" s="42">
        <f t="shared" si="226"/>
        <v>0</v>
      </c>
      <c r="BJ330" s="42"/>
      <c r="BK330" s="42"/>
      <c r="BL330" s="40">
        <f t="shared" si="261"/>
        <v>10</v>
      </c>
    </row>
    <row r="331" spans="1:64" ht="41.25" customHeight="1" x14ac:dyDescent="0.25">
      <c r="A331" s="298" t="s">
        <v>1002</v>
      </c>
      <c r="B331" s="299" t="s">
        <v>999</v>
      </c>
      <c r="C331" s="1547"/>
      <c r="D331" s="1551"/>
      <c r="E331" s="1551"/>
      <c r="F331" s="1551"/>
      <c r="G331" s="1551"/>
      <c r="H331" s="1551"/>
      <c r="I331" s="1425" t="s">
        <v>53</v>
      </c>
      <c r="J331" s="1425"/>
      <c r="K331" s="1425" t="s">
        <v>1017</v>
      </c>
      <c r="L331" s="301" t="s">
        <v>179</v>
      </c>
      <c r="M331" s="1425" t="s">
        <v>1007</v>
      </c>
      <c r="N331" s="1425" t="s">
        <v>1008</v>
      </c>
      <c r="O331" s="1425" t="s">
        <v>73</v>
      </c>
      <c r="P331" s="16" t="s">
        <v>1018</v>
      </c>
      <c r="Q331" s="302" t="s">
        <v>835</v>
      </c>
      <c r="R331" s="303">
        <v>2015</v>
      </c>
      <c r="S331" s="303">
        <v>0</v>
      </c>
      <c r="T331" s="303">
        <v>1</v>
      </c>
      <c r="U331" s="572">
        <v>1</v>
      </c>
      <c r="V331" s="572">
        <v>1</v>
      </c>
      <c r="W331" s="572">
        <v>1</v>
      </c>
      <c r="X331" s="572">
        <v>1</v>
      </c>
      <c r="Y331" s="491">
        <v>20</v>
      </c>
      <c r="Z331" s="481"/>
      <c r="AA331" s="584"/>
      <c r="AB331" s="481"/>
      <c r="AC331" s="481"/>
      <c r="AD331" s="481"/>
      <c r="AE331" s="481"/>
      <c r="AF331" s="481">
        <f t="shared" si="267"/>
        <v>20</v>
      </c>
      <c r="AG331" s="548"/>
      <c r="AH331" s="491">
        <v>20</v>
      </c>
      <c r="AI331" s="548"/>
      <c r="AJ331" s="588"/>
      <c r="AK331" s="548"/>
      <c r="AL331" s="548"/>
      <c r="AM331" s="548">
        <f t="shared" si="268"/>
        <v>20</v>
      </c>
      <c r="AN331" s="491">
        <v>20</v>
      </c>
      <c r="AO331" s="481"/>
      <c r="AP331" s="481"/>
      <c r="AQ331" s="481"/>
      <c r="AR331" s="481"/>
      <c r="AS331" s="481"/>
      <c r="AT331" s="481"/>
      <c r="AU331" s="481">
        <f t="shared" si="269"/>
        <v>20</v>
      </c>
      <c r="AV331" s="491">
        <v>15</v>
      </c>
      <c r="AW331" s="548"/>
      <c r="AX331" s="548"/>
      <c r="AY331" s="491"/>
      <c r="AZ331" s="548"/>
      <c r="BA331" s="548"/>
      <c r="BB331" s="548"/>
      <c r="BC331" s="548">
        <f t="shared" si="270"/>
        <v>15</v>
      </c>
      <c r="BD331" s="42">
        <f t="shared" si="254"/>
        <v>55</v>
      </c>
      <c r="BE331" s="42">
        <f t="shared" si="255"/>
        <v>20</v>
      </c>
      <c r="BF331" s="42">
        <f t="shared" si="256"/>
        <v>0</v>
      </c>
      <c r="BG331" s="42">
        <f t="shared" si="257"/>
        <v>0</v>
      </c>
      <c r="BH331" s="42">
        <f t="shared" si="258"/>
        <v>0</v>
      </c>
      <c r="BI331" s="42">
        <f t="shared" si="226"/>
        <v>0</v>
      </c>
      <c r="BJ331" s="42">
        <f t="shared" si="259"/>
        <v>0</v>
      </c>
      <c r="BK331" s="42">
        <f t="shared" si="260"/>
        <v>75</v>
      </c>
      <c r="BL331" s="40">
        <f t="shared" si="261"/>
        <v>75</v>
      </c>
    </row>
    <row r="332" spans="1:64" ht="53.25" customHeight="1" x14ac:dyDescent="0.25">
      <c r="A332" s="298" t="s">
        <v>1002</v>
      </c>
      <c r="B332" s="299" t="s">
        <v>999</v>
      </c>
      <c r="C332" s="1547"/>
      <c r="D332" s="1551"/>
      <c r="E332" s="1551"/>
      <c r="F332" s="1551"/>
      <c r="G332" s="1551"/>
      <c r="H332" s="1551"/>
      <c r="I332" s="1425"/>
      <c r="J332" s="1425"/>
      <c r="K332" s="1425" t="s">
        <v>1019</v>
      </c>
      <c r="L332" s="301" t="s">
        <v>179</v>
      </c>
      <c r="M332" s="1425" t="s">
        <v>1007</v>
      </c>
      <c r="N332" s="1425" t="s">
        <v>1008</v>
      </c>
      <c r="O332" s="1425" t="s">
        <v>73</v>
      </c>
      <c r="P332" s="16" t="s">
        <v>1020</v>
      </c>
      <c r="Q332" s="302" t="s">
        <v>1021</v>
      </c>
      <c r="R332" s="303">
        <v>2015</v>
      </c>
      <c r="S332" s="303">
        <v>0</v>
      </c>
      <c r="T332" s="303">
        <v>3</v>
      </c>
      <c r="U332" s="572">
        <v>3</v>
      </c>
      <c r="V332" s="572">
        <v>3</v>
      </c>
      <c r="W332" s="572">
        <v>3</v>
      </c>
      <c r="X332" s="572">
        <v>3</v>
      </c>
      <c r="Y332" s="491">
        <v>10</v>
      </c>
      <c r="Z332" s="481"/>
      <c r="AA332" s="481"/>
      <c r="AB332" s="481"/>
      <c r="AC332" s="481"/>
      <c r="AD332" s="481"/>
      <c r="AE332" s="481"/>
      <c r="AF332" s="481">
        <f t="shared" si="267"/>
        <v>10</v>
      </c>
      <c r="AG332" s="548"/>
      <c r="AH332" s="491">
        <v>10</v>
      </c>
      <c r="AI332" s="548"/>
      <c r="AJ332" s="548"/>
      <c r="AK332" s="548"/>
      <c r="AL332" s="548"/>
      <c r="AM332" s="548">
        <f t="shared" si="268"/>
        <v>10</v>
      </c>
      <c r="AN332" s="491">
        <v>10</v>
      </c>
      <c r="AO332" s="481"/>
      <c r="AP332" s="481"/>
      <c r="AQ332" s="481"/>
      <c r="AR332" s="481"/>
      <c r="AS332" s="481"/>
      <c r="AT332" s="481"/>
      <c r="AU332" s="481">
        <f t="shared" si="269"/>
        <v>10</v>
      </c>
      <c r="AV332" s="491">
        <v>5</v>
      </c>
      <c r="AW332" s="548"/>
      <c r="AX332" s="548"/>
      <c r="AY332" s="548"/>
      <c r="AZ332" s="548"/>
      <c r="BA332" s="548"/>
      <c r="BB332" s="548"/>
      <c r="BC332" s="548">
        <f t="shared" si="270"/>
        <v>5</v>
      </c>
      <c r="BD332" s="42">
        <f t="shared" si="254"/>
        <v>25</v>
      </c>
      <c r="BE332" s="42">
        <f t="shared" si="255"/>
        <v>10</v>
      </c>
      <c r="BF332" s="42">
        <f t="shared" si="256"/>
        <v>0</v>
      </c>
      <c r="BG332" s="42">
        <f t="shared" si="257"/>
        <v>0</v>
      </c>
      <c r="BH332" s="42">
        <f t="shared" si="258"/>
        <v>0</v>
      </c>
      <c r="BI332" s="42">
        <f t="shared" si="226"/>
        <v>0</v>
      </c>
      <c r="BJ332" s="42">
        <f t="shared" si="259"/>
        <v>0</v>
      </c>
      <c r="BK332" s="42">
        <f t="shared" si="260"/>
        <v>35</v>
      </c>
      <c r="BL332" s="40">
        <f t="shared" si="261"/>
        <v>35</v>
      </c>
    </row>
    <row r="333" spans="1:64" ht="66" customHeight="1" x14ac:dyDescent="0.25">
      <c r="A333" s="298" t="s">
        <v>1002</v>
      </c>
      <c r="B333" s="299" t="s">
        <v>999</v>
      </c>
      <c r="C333" s="1547"/>
      <c r="D333" s="1551"/>
      <c r="E333" s="1551"/>
      <c r="F333" s="1551"/>
      <c r="G333" s="1551"/>
      <c r="H333" s="1551"/>
      <c r="I333" s="1425"/>
      <c r="J333" s="1425"/>
      <c r="K333" s="1425" t="s">
        <v>1022</v>
      </c>
      <c r="L333" s="301" t="s">
        <v>179</v>
      </c>
      <c r="M333" s="1425" t="s">
        <v>1007</v>
      </c>
      <c r="N333" s="1425" t="s">
        <v>1008</v>
      </c>
      <c r="O333" s="1425" t="s">
        <v>73</v>
      </c>
      <c r="P333" s="16" t="s">
        <v>1023</v>
      </c>
      <c r="Q333" s="302" t="s">
        <v>1024</v>
      </c>
      <c r="R333" s="303">
        <v>2015</v>
      </c>
      <c r="S333" s="303">
        <v>0</v>
      </c>
      <c r="T333" s="303">
        <v>1</v>
      </c>
      <c r="U333" s="572">
        <v>1</v>
      </c>
      <c r="V333" s="572">
        <v>1</v>
      </c>
      <c r="W333" s="572">
        <v>1</v>
      </c>
      <c r="X333" s="572">
        <v>1</v>
      </c>
      <c r="Y333" s="491">
        <v>20</v>
      </c>
      <c r="Z333" s="481"/>
      <c r="AA333" s="481"/>
      <c r="AB333" s="481"/>
      <c r="AC333" s="481"/>
      <c r="AD333" s="481"/>
      <c r="AE333" s="481"/>
      <c r="AF333" s="481">
        <f t="shared" si="267"/>
        <v>20</v>
      </c>
      <c r="AG333" s="548"/>
      <c r="AH333" s="491">
        <v>20</v>
      </c>
      <c r="AI333" s="548"/>
      <c r="AJ333" s="548"/>
      <c r="AK333" s="548"/>
      <c r="AL333" s="548"/>
      <c r="AM333" s="548">
        <f t="shared" si="268"/>
        <v>20</v>
      </c>
      <c r="AN333" s="491">
        <v>20</v>
      </c>
      <c r="AO333" s="481"/>
      <c r="AP333" s="481"/>
      <c r="AQ333" s="481"/>
      <c r="AR333" s="481"/>
      <c r="AS333" s="481"/>
      <c r="AT333" s="481"/>
      <c r="AU333" s="481">
        <f t="shared" si="269"/>
        <v>20</v>
      </c>
      <c r="AV333" s="491">
        <v>15</v>
      </c>
      <c r="AW333" s="548"/>
      <c r="AX333" s="548"/>
      <c r="AY333" s="548"/>
      <c r="AZ333" s="548"/>
      <c r="BA333" s="548"/>
      <c r="BB333" s="548"/>
      <c r="BC333" s="548">
        <f t="shared" si="270"/>
        <v>15</v>
      </c>
      <c r="BD333" s="42">
        <f t="shared" si="254"/>
        <v>55</v>
      </c>
      <c r="BE333" s="42">
        <f t="shared" si="255"/>
        <v>20</v>
      </c>
      <c r="BF333" s="42">
        <f t="shared" si="256"/>
        <v>0</v>
      </c>
      <c r="BG333" s="42">
        <f t="shared" si="257"/>
        <v>0</v>
      </c>
      <c r="BH333" s="42">
        <f t="shared" si="258"/>
        <v>0</v>
      </c>
      <c r="BI333" s="42">
        <f t="shared" si="226"/>
        <v>0</v>
      </c>
      <c r="BJ333" s="42">
        <f t="shared" si="259"/>
        <v>0</v>
      </c>
      <c r="BK333" s="42">
        <f t="shared" si="260"/>
        <v>75</v>
      </c>
      <c r="BL333" s="40">
        <f t="shared" si="261"/>
        <v>75</v>
      </c>
    </row>
    <row r="334" spans="1:64" ht="111.75" customHeight="1" x14ac:dyDescent="0.25">
      <c r="A334" s="298" t="s">
        <v>1002</v>
      </c>
      <c r="B334" s="299" t="s">
        <v>999</v>
      </c>
      <c r="C334" s="1547"/>
      <c r="D334" s="1551"/>
      <c r="E334" s="1551"/>
      <c r="F334" s="1551"/>
      <c r="G334" s="1551"/>
      <c r="H334" s="1551"/>
      <c r="I334" s="1425"/>
      <c r="J334" s="1425"/>
      <c r="K334" s="1425" t="s">
        <v>1025</v>
      </c>
      <c r="L334" s="301" t="s">
        <v>179</v>
      </c>
      <c r="M334" s="1425" t="s">
        <v>1007</v>
      </c>
      <c r="N334" s="1425" t="s">
        <v>1008</v>
      </c>
      <c r="O334" s="1425" t="s">
        <v>47</v>
      </c>
      <c r="P334" s="71" t="s">
        <v>1026</v>
      </c>
      <c r="Q334" s="302" t="s">
        <v>1027</v>
      </c>
      <c r="R334" s="303">
        <v>2015</v>
      </c>
      <c r="S334" s="303">
        <v>0</v>
      </c>
      <c r="T334" s="303">
        <v>0.5</v>
      </c>
      <c r="U334" s="572">
        <v>0.5</v>
      </c>
      <c r="V334" s="572">
        <v>0</v>
      </c>
      <c r="W334" s="572">
        <v>0</v>
      </c>
      <c r="X334" s="572">
        <v>1</v>
      </c>
      <c r="Y334" s="491">
        <v>70</v>
      </c>
      <c r="Z334" s="481"/>
      <c r="AA334" s="481"/>
      <c r="AB334" s="481"/>
      <c r="AC334" s="481"/>
      <c r="AD334" s="481"/>
      <c r="AE334" s="481"/>
      <c r="AF334" s="481">
        <f t="shared" si="267"/>
        <v>70</v>
      </c>
      <c r="AG334" s="548"/>
      <c r="AH334" s="491">
        <v>70</v>
      </c>
      <c r="AI334" s="548"/>
      <c r="AJ334" s="548"/>
      <c r="AK334" s="548"/>
      <c r="AL334" s="548"/>
      <c r="AM334" s="548">
        <f t="shared" si="268"/>
        <v>70</v>
      </c>
      <c r="AN334" s="481"/>
      <c r="AO334" s="481"/>
      <c r="AP334" s="481"/>
      <c r="AQ334" s="481"/>
      <c r="AR334" s="481"/>
      <c r="AS334" s="481"/>
      <c r="AT334" s="481"/>
      <c r="AU334" s="481">
        <f t="shared" si="269"/>
        <v>0</v>
      </c>
      <c r="AV334" s="548"/>
      <c r="AW334" s="548"/>
      <c r="AX334" s="548"/>
      <c r="AY334" s="548"/>
      <c r="AZ334" s="548"/>
      <c r="BA334" s="548"/>
      <c r="BB334" s="548"/>
      <c r="BC334" s="548">
        <f t="shared" si="270"/>
        <v>0</v>
      </c>
      <c r="BD334" s="42">
        <f t="shared" si="254"/>
        <v>70</v>
      </c>
      <c r="BE334" s="42">
        <f t="shared" si="255"/>
        <v>70</v>
      </c>
      <c r="BF334" s="42">
        <f t="shared" si="256"/>
        <v>0</v>
      </c>
      <c r="BG334" s="42">
        <f t="shared" si="257"/>
        <v>0</v>
      </c>
      <c r="BH334" s="42">
        <f t="shared" si="258"/>
        <v>0</v>
      </c>
      <c r="BI334" s="42">
        <f t="shared" ref="BI334:BI395" si="271">+AD334+AS334+BA334</f>
        <v>0</v>
      </c>
      <c r="BJ334" s="42">
        <f t="shared" si="259"/>
        <v>0</v>
      </c>
      <c r="BK334" s="42">
        <f t="shared" si="260"/>
        <v>140</v>
      </c>
      <c r="BL334" s="40">
        <f t="shared" si="261"/>
        <v>140</v>
      </c>
    </row>
    <row r="335" spans="1:64" ht="78" customHeight="1" x14ac:dyDescent="0.25">
      <c r="A335" s="298" t="s">
        <v>1002</v>
      </c>
      <c r="B335" s="299" t="s">
        <v>999</v>
      </c>
      <c r="C335" s="1547"/>
      <c r="D335" s="1551"/>
      <c r="E335" s="1551"/>
      <c r="F335" s="1551"/>
      <c r="G335" s="1551"/>
      <c r="H335" s="1551"/>
      <c r="I335" s="1425"/>
      <c r="J335" s="1425"/>
      <c r="K335" s="1425" t="s">
        <v>1028</v>
      </c>
      <c r="L335" s="301" t="s">
        <v>179</v>
      </c>
      <c r="M335" s="1425" t="s">
        <v>1007</v>
      </c>
      <c r="N335" s="1425" t="s">
        <v>1008</v>
      </c>
      <c r="O335" s="1425" t="s">
        <v>47</v>
      </c>
      <c r="P335" s="16" t="s">
        <v>1029</v>
      </c>
      <c r="Q335" s="302" t="s">
        <v>1030</v>
      </c>
      <c r="R335" s="303">
        <v>2015</v>
      </c>
      <c r="S335" s="303">
        <v>0</v>
      </c>
      <c r="T335" s="303">
        <v>0</v>
      </c>
      <c r="U335" s="572">
        <v>1</v>
      </c>
      <c r="V335" s="572">
        <v>0</v>
      </c>
      <c r="W335" s="498">
        <v>1</v>
      </c>
      <c r="X335" s="572">
        <v>2</v>
      </c>
      <c r="Y335" s="481"/>
      <c r="Z335" s="481"/>
      <c r="AA335" s="481"/>
      <c r="AB335" s="481"/>
      <c r="AC335" s="481"/>
      <c r="AD335" s="481"/>
      <c r="AE335" s="481"/>
      <c r="AF335" s="481">
        <f t="shared" si="267"/>
        <v>0</v>
      </c>
      <c r="AG335" s="548"/>
      <c r="AH335" s="481">
        <v>10</v>
      </c>
      <c r="AI335" s="548"/>
      <c r="AJ335" s="548"/>
      <c r="AK335" s="548"/>
      <c r="AL335" s="548"/>
      <c r="AM335" s="548">
        <f t="shared" si="268"/>
        <v>10</v>
      </c>
      <c r="AN335" s="481"/>
      <c r="AO335" s="481"/>
      <c r="AP335" s="481"/>
      <c r="AQ335" s="481"/>
      <c r="AR335" s="481"/>
      <c r="AS335" s="481"/>
      <c r="AT335" s="481"/>
      <c r="AU335" s="481">
        <f t="shared" si="269"/>
        <v>0</v>
      </c>
      <c r="AV335" s="491">
        <v>50</v>
      </c>
      <c r="AW335" s="548"/>
      <c r="AX335" s="548"/>
      <c r="AY335" s="548"/>
      <c r="AZ335" s="548"/>
      <c r="BA335" s="548"/>
      <c r="BB335" s="548"/>
      <c r="BC335" s="548">
        <f t="shared" si="270"/>
        <v>50</v>
      </c>
      <c r="BD335" s="42">
        <f t="shared" si="254"/>
        <v>50</v>
      </c>
      <c r="BE335" s="42">
        <f t="shared" si="255"/>
        <v>10</v>
      </c>
      <c r="BF335" s="42">
        <f t="shared" si="256"/>
        <v>0</v>
      </c>
      <c r="BG335" s="42">
        <f t="shared" si="257"/>
        <v>0</v>
      </c>
      <c r="BH335" s="42">
        <f t="shared" si="258"/>
        <v>0</v>
      </c>
      <c r="BI335" s="42">
        <f t="shared" si="271"/>
        <v>0</v>
      </c>
      <c r="BJ335" s="42">
        <f t="shared" si="259"/>
        <v>0</v>
      </c>
      <c r="BK335" s="42">
        <f t="shared" si="260"/>
        <v>60</v>
      </c>
      <c r="BL335" s="40">
        <f t="shared" si="261"/>
        <v>60</v>
      </c>
    </row>
    <row r="336" spans="1:64" ht="76.5" customHeight="1" x14ac:dyDescent="0.25">
      <c r="A336" s="298" t="s">
        <v>1002</v>
      </c>
      <c r="B336" s="299" t="s">
        <v>999</v>
      </c>
      <c r="C336" s="1547"/>
      <c r="D336" s="1551"/>
      <c r="E336" s="1551"/>
      <c r="F336" s="1551"/>
      <c r="G336" s="1551"/>
      <c r="H336" s="1551"/>
      <c r="I336" s="1425"/>
      <c r="J336" s="1425"/>
      <c r="K336" s="1425" t="s">
        <v>1031</v>
      </c>
      <c r="L336" s="301" t="s">
        <v>179</v>
      </c>
      <c r="M336" s="1425" t="s">
        <v>1007</v>
      </c>
      <c r="N336" s="1425" t="s">
        <v>1008</v>
      </c>
      <c r="O336" s="1425" t="s">
        <v>47</v>
      </c>
      <c r="P336" s="16" t="s">
        <v>1032</v>
      </c>
      <c r="Q336" s="302" t="s">
        <v>1033</v>
      </c>
      <c r="R336" s="303">
        <v>2015</v>
      </c>
      <c r="S336" s="303">
        <v>0</v>
      </c>
      <c r="T336" s="303">
        <v>100</v>
      </c>
      <c r="U336" s="572">
        <v>200</v>
      </c>
      <c r="V336" s="572">
        <v>200</v>
      </c>
      <c r="W336" s="572">
        <v>200</v>
      </c>
      <c r="X336" s="66">
        <v>700</v>
      </c>
      <c r="Y336" s="491">
        <v>20</v>
      </c>
      <c r="Z336" s="481"/>
      <c r="AA336" s="481"/>
      <c r="AB336" s="481"/>
      <c r="AC336" s="481"/>
      <c r="AD336" s="481"/>
      <c r="AE336" s="481"/>
      <c r="AF336" s="481">
        <f t="shared" si="267"/>
        <v>20</v>
      </c>
      <c r="AG336" s="548"/>
      <c r="AH336" s="491">
        <v>20</v>
      </c>
      <c r="AI336" s="548"/>
      <c r="AJ336" s="548"/>
      <c r="AK336" s="548"/>
      <c r="AL336" s="548"/>
      <c r="AM336" s="548">
        <f t="shared" si="268"/>
        <v>20</v>
      </c>
      <c r="AN336" s="491">
        <v>50</v>
      </c>
      <c r="AO336" s="481"/>
      <c r="AP336" s="481"/>
      <c r="AQ336" s="481"/>
      <c r="AR336" s="481"/>
      <c r="AS336" s="481"/>
      <c r="AT336" s="481"/>
      <c r="AU336" s="481">
        <f t="shared" si="269"/>
        <v>50</v>
      </c>
      <c r="AV336" s="491">
        <v>20</v>
      </c>
      <c r="AW336" s="548"/>
      <c r="AX336" s="548"/>
      <c r="AY336" s="548"/>
      <c r="AZ336" s="548"/>
      <c r="BA336" s="548"/>
      <c r="BB336" s="548"/>
      <c r="BC336" s="548">
        <f t="shared" si="270"/>
        <v>20</v>
      </c>
      <c r="BD336" s="42">
        <f t="shared" si="254"/>
        <v>90</v>
      </c>
      <c r="BE336" s="42">
        <f t="shared" si="255"/>
        <v>20</v>
      </c>
      <c r="BF336" s="42">
        <f t="shared" si="256"/>
        <v>0</v>
      </c>
      <c r="BG336" s="42">
        <f t="shared" si="257"/>
        <v>0</v>
      </c>
      <c r="BH336" s="42">
        <f t="shared" si="258"/>
        <v>0</v>
      </c>
      <c r="BI336" s="42">
        <f t="shared" si="271"/>
        <v>0</v>
      </c>
      <c r="BJ336" s="42">
        <f t="shared" si="259"/>
        <v>0</v>
      </c>
      <c r="BK336" s="42">
        <f t="shared" si="260"/>
        <v>110</v>
      </c>
      <c r="BL336" s="40">
        <f t="shared" si="261"/>
        <v>110</v>
      </c>
    </row>
    <row r="337" spans="1:64" ht="72" customHeight="1" x14ac:dyDescent="0.25">
      <c r="A337" s="298" t="s">
        <v>1002</v>
      </c>
      <c r="B337" s="299" t="s">
        <v>999</v>
      </c>
      <c r="C337" s="1547"/>
      <c r="D337" s="1551"/>
      <c r="E337" s="1551"/>
      <c r="F337" s="1551"/>
      <c r="G337" s="1551"/>
      <c r="H337" s="1551"/>
      <c r="I337" s="1425"/>
      <c r="J337" s="1425"/>
      <c r="K337" s="1425" t="s">
        <v>1034</v>
      </c>
      <c r="L337" s="301" t="s">
        <v>179</v>
      </c>
      <c r="M337" s="1425" t="s">
        <v>1007</v>
      </c>
      <c r="N337" s="1425" t="s">
        <v>1008</v>
      </c>
      <c r="O337" s="1425" t="s">
        <v>73</v>
      </c>
      <c r="P337" s="16" t="s">
        <v>1035</v>
      </c>
      <c r="Q337" s="302" t="s">
        <v>1036</v>
      </c>
      <c r="R337" s="303">
        <v>2015</v>
      </c>
      <c r="S337" s="303">
        <v>0</v>
      </c>
      <c r="T337" s="303">
        <v>17</v>
      </c>
      <c r="U337" s="572">
        <v>17</v>
      </c>
      <c r="V337" s="572">
        <v>17</v>
      </c>
      <c r="W337" s="572">
        <v>17</v>
      </c>
      <c r="X337" s="572">
        <v>17</v>
      </c>
      <c r="Y337" s="491">
        <v>100</v>
      </c>
      <c r="Z337" s="481"/>
      <c r="AA337" s="481"/>
      <c r="AB337" s="481"/>
      <c r="AC337" s="481"/>
      <c r="AD337" s="481"/>
      <c r="AE337" s="481"/>
      <c r="AF337" s="481">
        <f t="shared" si="267"/>
        <v>100</v>
      </c>
      <c r="AG337" s="548"/>
      <c r="AH337" s="491">
        <v>120</v>
      </c>
      <c r="AI337" s="548"/>
      <c r="AJ337" s="548"/>
      <c r="AK337" s="548"/>
      <c r="AL337" s="548"/>
      <c r="AM337" s="548">
        <f t="shared" si="268"/>
        <v>120</v>
      </c>
      <c r="AN337" s="491">
        <v>130</v>
      </c>
      <c r="AO337" s="481"/>
      <c r="AP337" s="481"/>
      <c r="AQ337" s="481"/>
      <c r="AR337" s="481"/>
      <c r="AS337" s="481"/>
      <c r="AT337" s="481"/>
      <c r="AU337" s="481">
        <f t="shared" si="269"/>
        <v>130</v>
      </c>
      <c r="AV337" s="491">
        <v>60</v>
      </c>
      <c r="AW337" s="548"/>
      <c r="AX337" s="548"/>
      <c r="AY337" s="548"/>
      <c r="AZ337" s="548"/>
      <c r="BA337" s="548"/>
      <c r="BB337" s="548"/>
      <c r="BC337" s="548">
        <f t="shared" si="270"/>
        <v>60</v>
      </c>
      <c r="BD337" s="42">
        <f t="shared" si="254"/>
        <v>290</v>
      </c>
      <c r="BE337" s="42">
        <f t="shared" si="255"/>
        <v>120</v>
      </c>
      <c r="BF337" s="42">
        <f t="shared" si="256"/>
        <v>0</v>
      </c>
      <c r="BG337" s="42">
        <f t="shared" si="257"/>
        <v>0</v>
      </c>
      <c r="BH337" s="42">
        <f t="shared" si="258"/>
        <v>0</v>
      </c>
      <c r="BI337" s="42">
        <f t="shared" si="271"/>
        <v>0</v>
      </c>
      <c r="BJ337" s="42">
        <f t="shared" si="259"/>
        <v>0</v>
      </c>
      <c r="BK337" s="42">
        <f t="shared" si="260"/>
        <v>410</v>
      </c>
      <c r="BL337" s="40">
        <f t="shared" si="261"/>
        <v>410</v>
      </c>
    </row>
    <row r="338" spans="1:64" ht="40.5" customHeight="1" x14ac:dyDescent="0.25">
      <c r="A338" s="298" t="s">
        <v>1002</v>
      </c>
      <c r="B338" s="299" t="s">
        <v>999</v>
      </c>
      <c r="C338" s="1547"/>
      <c r="D338" s="1551"/>
      <c r="E338" s="1551"/>
      <c r="F338" s="1551"/>
      <c r="G338" s="1551"/>
      <c r="H338" s="1551"/>
      <c r="I338" s="1425"/>
      <c r="J338" s="1425"/>
      <c r="K338" s="1425" t="s">
        <v>1037</v>
      </c>
      <c r="L338" s="301" t="s">
        <v>179</v>
      </c>
      <c r="M338" s="1425" t="s">
        <v>1007</v>
      </c>
      <c r="N338" s="1425" t="s">
        <v>1008</v>
      </c>
      <c r="O338" s="1425" t="s">
        <v>73</v>
      </c>
      <c r="P338" s="16" t="s">
        <v>1038</v>
      </c>
      <c r="Q338" s="302" t="s">
        <v>1039</v>
      </c>
      <c r="R338" s="303">
        <v>2015</v>
      </c>
      <c r="S338" s="303">
        <v>1</v>
      </c>
      <c r="T338" s="303">
        <v>1</v>
      </c>
      <c r="U338" s="572">
        <v>1</v>
      </c>
      <c r="V338" s="572">
        <v>1</v>
      </c>
      <c r="W338" s="572">
        <v>1</v>
      </c>
      <c r="X338" s="572">
        <v>1</v>
      </c>
      <c r="Y338" s="491">
        <v>10</v>
      </c>
      <c r="Z338" s="481"/>
      <c r="AA338" s="481"/>
      <c r="AB338" s="481"/>
      <c r="AC338" s="481"/>
      <c r="AD338" s="481"/>
      <c r="AE338" s="481"/>
      <c r="AF338" s="481">
        <f t="shared" si="267"/>
        <v>10</v>
      </c>
      <c r="AG338" s="548"/>
      <c r="AH338" s="491">
        <v>10</v>
      </c>
      <c r="AI338" s="548"/>
      <c r="AJ338" s="548"/>
      <c r="AK338" s="548"/>
      <c r="AL338" s="548"/>
      <c r="AM338" s="548">
        <f t="shared" si="268"/>
        <v>10</v>
      </c>
      <c r="AN338" s="491">
        <v>10</v>
      </c>
      <c r="AO338" s="481"/>
      <c r="AP338" s="481"/>
      <c r="AQ338" s="481"/>
      <c r="AR338" s="481"/>
      <c r="AS338" s="481"/>
      <c r="AT338" s="481"/>
      <c r="AU338" s="481">
        <f t="shared" si="269"/>
        <v>10</v>
      </c>
      <c r="AV338" s="491">
        <v>10</v>
      </c>
      <c r="AW338" s="548"/>
      <c r="AX338" s="548"/>
      <c r="AY338" s="548"/>
      <c r="AZ338" s="548"/>
      <c r="BA338" s="548"/>
      <c r="BB338" s="548"/>
      <c r="BC338" s="548">
        <f t="shared" si="270"/>
        <v>10</v>
      </c>
      <c r="BD338" s="42">
        <f t="shared" si="254"/>
        <v>30</v>
      </c>
      <c r="BE338" s="42">
        <f t="shared" si="255"/>
        <v>10</v>
      </c>
      <c r="BF338" s="42">
        <f t="shared" si="256"/>
        <v>0</v>
      </c>
      <c r="BG338" s="42">
        <f t="shared" si="257"/>
        <v>0</v>
      </c>
      <c r="BH338" s="42">
        <f t="shared" si="258"/>
        <v>0</v>
      </c>
      <c r="BI338" s="42">
        <f t="shared" si="271"/>
        <v>0</v>
      </c>
      <c r="BJ338" s="42">
        <f t="shared" si="259"/>
        <v>0</v>
      </c>
      <c r="BK338" s="42">
        <f t="shared" si="260"/>
        <v>40</v>
      </c>
      <c r="BL338" s="40">
        <f t="shared" si="261"/>
        <v>40</v>
      </c>
    </row>
    <row r="339" spans="1:64" ht="57.75" customHeight="1" x14ac:dyDescent="0.25">
      <c r="A339" s="298" t="s">
        <v>1002</v>
      </c>
      <c r="B339" s="299" t="s">
        <v>999</v>
      </c>
      <c r="C339" s="1547"/>
      <c r="D339" s="1551"/>
      <c r="E339" s="1551"/>
      <c r="F339" s="1551"/>
      <c r="G339" s="1551"/>
      <c r="H339" s="1551"/>
      <c r="I339" s="1425"/>
      <c r="J339" s="1425"/>
      <c r="K339" s="1425" t="s">
        <v>1040</v>
      </c>
      <c r="L339" s="301" t="s">
        <v>179</v>
      </c>
      <c r="M339" s="1425" t="s">
        <v>1041</v>
      </c>
      <c r="N339" s="1425" t="s">
        <v>2521</v>
      </c>
      <c r="O339" s="1425" t="s">
        <v>47</v>
      </c>
      <c r="P339" s="16" t="s">
        <v>1042</v>
      </c>
      <c r="Q339" s="302" t="s">
        <v>1043</v>
      </c>
      <c r="R339" s="303">
        <v>2015</v>
      </c>
      <c r="S339" s="303">
        <v>1</v>
      </c>
      <c r="T339" s="303">
        <v>1</v>
      </c>
      <c r="U339" s="572">
        <v>1</v>
      </c>
      <c r="V339" s="572">
        <v>1</v>
      </c>
      <c r="W339" s="572">
        <v>1</v>
      </c>
      <c r="X339" s="572">
        <v>4</v>
      </c>
      <c r="Y339" s="491">
        <v>30</v>
      </c>
      <c r="Z339" s="481"/>
      <c r="AA339" s="482"/>
      <c r="AB339" s="481"/>
      <c r="AC339" s="481"/>
      <c r="AD339" s="481"/>
      <c r="AE339" s="481"/>
      <c r="AF339" s="481">
        <f t="shared" si="267"/>
        <v>30</v>
      </c>
      <c r="AG339" s="548">
        <v>15</v>
      </c>
      <c r="AH339" s="548"/>
      <c r="AI339" s="491">
        <v>40</v>
      </c>
      <c r="AJ339" s="548"/>
      <c r="AK339" s="548"/>
      <c r="AL339" s="548"/>
      <c r="AM339" s="548">
        <f t="shared" si="268"/>
        <v>55</v>
      </c>
      <c r="AN339" s="491">
        <v>30</v>
      </c>
      <c r="AO339" s="481"/>
      <c r="AP339" s="481"/>
      <c r="AQ339" s="481"/>
      <c r="AR339" s="481"/>
      <c r="AS339" s="481"/>
      <c r="AT339" s="481"/>
      <c r="AU339" s="481">
        <f t="shared" si="269"/>
        <v>30</v>
      </c>
      <c r="AV339" s="548"/>
      <c r="AW339" s="548"/>
      <c r="AX339" s="548">
        <v>30</v>
      </c>
      <c r="AY339" s="548"/>
      <c r="AZ339" s="548"/>
      <c r="BA339" s="548"/>
      <c r="BB339" s="548"/>
      <c r="BC339" s="548">
        <f t="shared" si="270"/>
        <v>30</v>
      </c>
      <c r="BD339" s="42">
        <f t="shared" si="254"/>
        <v>75</v>
      </c>
      <c r="BE339" s="42">
        <f t="shared" si="255"/>
        <v>0</v>
      </c>
      <c r="BF339" s="42">
        <f t="shared" si="256"/>
        <v>70</v>
      </c>
      <c r="BG339" s="42">
        <f t="shared" si="257"/>
        <v>0</v>
      </c>
      <c r="BH339" s="42">
        <f t="shared" si="258"/>
        <v>0</v>
      </c>
      <c r="BI339" s="42">
        <f t="shared" si="271"/>
        <v>0</v>
      </c>
      <c r="BJ339" s="42">
        <f t="shared" si="259"/>
        <v>0</v>
      </c>
      <c r="BK339" s="42">
        <f t="shared" si="260"/>
        <v>145</v>
      </c>
      <c r="BL339" s="40">
        <f t="shared" si="261"/>
        <v>145</v>
      </c>
    </row>
    <row r="340" spans="1:64" ht="63" customHeight="1" x14ac:dyDescent="0.25">
      <c r="A340" s="298" t="s">
        <v>1002</v>
      </c>
      <c r="B340" s="299" t="s">
        <v>999</v>
      </c>
      <c r="C340" s="1547"/>
      <c r="D340" s="1551"/>
      <c r="E340" s="1551"/>
      <c r="F340" s="1551"/>
      <c r="G340" s="1551"/>
      <c r="H340" s="1551"/>
      <c r="I340" s="1425" t="s">
        <v>53</v>
      </c>
      <c r="J340" s="1425"/>
      <c r="K340" s="1425" t="s">
        <v>1044</v>
      </c>
      <c r="L340" s="301" t="s">
        <v>179</v>
      </c>
      <c r="M340" s="1425" t="s">
        <v>1041</v>
      </c>
      <c r="N340" s="1425" t="s">
        <v>2521</v>
      </c>
      <c r="O340" s="1425" t="s">
        <v>47</v>
      </c>
      <c r="P340" s="16" t="s">
        <v>1045</v>
      </c>
      <c r="Q340" s="302" t="s">
        <v>1046</v>
      </c>
      <c r="R340" s="303">
        <v>2015</v>
      </c>
      <c r="S340" s="303">
        <v>0</v>
      </c>
      <c r="T340" s="684">
        <v>0</v>
      </c>
      <c r="U340" s="572">
        <v>1</v>
      </c>
      <c r="V340" s="572">
        <v>0</v>
      </c>
      <c r="W340" s="572">
        <v>0</v>
      </c>
      <c r="X340" s="572">
        <v>1</v>
      </c>
      <c r="Y340" s="481"/>
      <c r="Z340" s="481"/>
      <c r="AA340" s="481"/>
      <c r="AB340" s="481"/>
      <c r="AC340" s="481"/>
      <c r="AD340" s="481"/>
      <c r="AE340" s="481"/>
      <c r="AF340" s="481">
        <f t="shared" si="267"/>
        <v>0</v>
      </c>
      <c r="AG340" s="548">
        <v>15</v>
      </c>
      <c r="AH340" s="548"/>
      <c r="AI340" s="548"/>
      <c r="AJ340" s="548"/>
      <c r="AK340" s="548"/>
      <c r="AL340" s="548">
        <v>1000</v>
      </c>
      <c r="AM340" s="548">
        <f>SUM(AG340:AL340)</f>
        <v>1015</v>
      </c>
      <c r="AN340" s="481"/>
      <c r="AO340" s="481"/>
      <c r="AP340" s="481"/>
      <c r="AQ340" s="481"/>
      <c r="AR340" s="481"/>
      <c r="AS340" s="481"/>
      <c r="AT340" s="481"/>
      <c r="AU340" s="481">
        <f t="shared" si="269"/>
        <v>0</v>
      </c>
      <c r="AV340" s="548"/>
      <c r="AW340" s="548"/>
      <c r="AX340" s="548"/>
      <c r="AY340" s="548"/>
      <c r="AZ340" s="548"/>
      <c r="BA340" s="548"/>
      <c r="BB340" s="548"/>
      <c r="BC340" s="548">
        <f t="shared" si="270"/>
        <v>0</v>
      </c>
      <c r="BD340" s="42">
        <f t="shared" si="254"/>
        <v>15</v>
      </c>
      <c r="BE340" s="42">
        <f t="shared" si="255"/>
        <v>0</v>
      </c>
      <c r="BF340" s="42">
        <f t="shared" si="256"/>
        <v>0</v>
      </c>
      <c r="BG340" s="42">
        <f t="shared" si="257"/>
        <v>0</v>
      </c>
      <c r="BH340" s="42">
        <f t="shared" si="258"/>
        <v>0</v>
      </c>
      <c r="BI340" s="42">
        <f t="shared" si="271"/>
        <v>0</v>
      </c>
      <c r="BJ340" s="42">
        <f t="shared" si="259"/>
        <v>1000</v>
      </c>
      <c r="BK340" s="42">
        <f t="shared" si="260"/>
        <v>1015</v>
      </c>
      <c r="BL340" s="40">
        <f t="shared" si="261"/>
        <v>1015</v>
      </c>
    </row>
    <row r="341" spans="1:64" ht="58.5" customHeight="1" x14ac:dyDescent="0.25">
      <c r="A341" s="298" t="s">
        <v>1002</v>
      </c>
      <c r="B341" s="299" t="s">
        <v>999</v>
      </c>
      <c r="C341" s="1547"/>
      <c r="D341" s="1551"/>
      <c r="E341" s="1551"/>
      <c r="F341" s="1551"/>
      <c r="G341" s="1551"/>
      <c r="H341" s="1551"/>
      <c r="I341" s="1425" t="s">
        <v>53</v>
      </c>
      <c r="J341" s="1425"/>
      <c r="K341" s="1425" t="s">
        <v>1047</v>
      </c>
      <c r="L341" s="301" t="s">
        <v>179</v>
      </c>
      <c r="M341" s="1425" t="s">
        <v>1041</v>
      </c>
      <c r="N341" s="1425" t="s">
        <v>2521</v>
      </c>
      <c r="O341" s="1425" t="s">
        <v>47</v>
      </c>
      <c r="P341" s="16" t="s">
        <v>1048</v>
      </c>
      <c r="Q341" s="302" t="s">
        <v>1049</v>
      </c>
      <c r="R341" s="303">
        <v>2015</v>
      </c>
      <c r="S341" s="303">
        <v>0</v>
      </c>
      <c r="T341" s="303">
        <v>0.5</v>
      </c>
      <c r="U341" s="685">
        <v>0.5</v>
      </c>
      <c r="V341" s="572">
        <v>0</v>
      </c>
      <c r="W341" s="572">
        <v>0</v>
      </c>
      <c r="X341" s="572">
        <v>1</v>
      </c>
      <c r="Y341" s="491">
        <v>2.8</v>
      </c>
      <c r="Z341" s="481"/>
      <c r="AA341" s="481"/>
      <c r="AB341" s="481"/>
      <c r="AC341" s="481"/>
      <c r="AD341" s="481"/>
      <c r="AE341" s="481"/>
      <c r="AF341" s="481">
        <f t="shared" si="267"/>
        <v>2.8</v>
      </c>
      <c r="AG341" s="548">
        <v>4</v>
      </c>
      <c r="AH341" s="548"/>
      <c r="AI341" s="548"/>
      <c r="AJ341" s="548"/>
      <c r="AK341" s="548"/>
      <c r="AL341" s="548">
        <v>400</v>
      </c>
      <c r="AM341" s="548">
        <f t="shared" si="268"/>
        <v>404</v>
      </c>
      <c r="AN341" s="481"/>
      <c r="AO341" s="481"/>
      <c r="AP341" s="481"/>
      <c r="AQ341" s="481"/>
      <c r="AR341" s="481"/>
      <c r="AS341" s="481"/>
      <c r="AT341" s="481"/>
      <c r="AU341" s="481">
        <f t="shared" si="269"/>
        <v>0</v>
      </c>
      <c r="AV341" s="548"/>
      <c r="AW341" s="548"/>
      <c r="AX341" s="548"/>
      <c r="AY341" s="548"/>
      <c r="AZ341" s="548"/>
      <c r="BA341" s="548"/>
      <c r="BB341" s="548"/>
      <c r="BC341" s="548">
        <f t="shared" si="270"/>
        <v>0</v>
      </c>
      <c r="BD341" s="42">
        <f t="shared" si="254"/>
        <v>6.8</v>
      </c>
      <c r="BE341" s="42">
        <f t="shared" si="255"/>
        <v>0</v>
      </c>
      <c r="BF341" s="42">
        <f t="shared" si="256"/>
        <v>0</v>
      </c>
      <c r="BG341" s="42">
        <f t="shared" si="257"/>
        <v>0</v>
      </c>
      <c r="BH341" s="42">
        <f t="shared" si="258"/>
        <v>0</v>
      </c>
      <c r="BI341" s="42">
        <f t="shared" si="271"/>
        <v>0</v>
      </c>
      <c r="BJ341" s="42">
        <f t="shared" si="259"/>
        <v>400</v>
      </c>
      <c r="BK341" s="42">
        <f t="shared" si="260"/>
        <v>406.8</v>
      </c>
      <c r="BL341" s="40">
        <f t="shared" si="261"/>
        <v>406.8</v>
      </c>
    </row>
    <row r="342" spans="1:64" ht="70.5" customHeight="1" x14ac:dyDescent="0.25">
      <c r="A342" s="298" t="s">
        <v>1002</v>
      </c>
      <c r="B342" s="299" t="s">
        <v>999</v>
      </c>
      <c r="C342" s="1547"/>
      <c r="D342" s="1551"/>
      <c r="E342" s="1551"/>
      <c r="F342" s="1551"/>
      <c r="G342" s="1551"/>
      <c r="H342" s="1551"/>
      <c r="I342" s="1425" t="s">
        <v>53</v>
      </c>
      <c r="J342" s="1425"/>
      <c r="K342" s="1425" t="s">
        <v>1050</v>
      </c>
      <c r="L342" s="301" t="s">
        <v>179</v>
      </c>
      <c r="M342" s="1425" t="s">
        <v>1041</v>
      </c>
      <c r="N342" s="1425" t="s">
        <v>2521</v>
      </c>
      <c r="O342" s="1425" t="s">
        <v>47</v>
      </c>
      <c r="P342" s="16" t="s">
        <v>2522</v>
      </c>
      <c r="Q342" s="302" t="s">
        <v>1052</v>
      </c>
      <c r="R342" s="303">
        <v>2015</v>
      </c>
      <c r="S342" s="303">
        <v>0</v>
      </c>
      <c r="T342" s="303">
        <v>7000</v>
      </c>
      <c r="U342" s="572">
        <v>9000</v>
      </c>
      <c r="V342" s="572">
        <v>9000</v>
      </c>
      <c r="W342" s="572">
        <v>9000</v>
      </c>
      <c r="X342" s="572">
        <v>34000</v>
      </c>
      <c r="Y342" s="491">
        <v>30</v>
      </c>
      <c r="Z342" s="481"/>
      <c r="AA342" s="481">
        <v>80</v>
      </c>
      <c r="AB342" s="481"/>
      <c r="AC342" s="481"/>
      <c r="AD342" s="481">
        <v>648</v>
      </c>
      <c r="AE342" s="481"/>
      <c r="AF342" s="481">
        <f t="shared" si="267"/>
        <v>758</v>
      </c>
      <c r="AG342" s="491">
        <v>20</v>
      </c>
      <c r="AH342" s="548"/>
      <c r="AI342" s="491">
        <v>30</v>
      </c>
      <c r="AJ342" s="588"/>
      <c r="AK342" s="548"/>
      <c r="AL342" s="548">
        <v>700</v>
      </c>
      <c r="AM342" s="548">
        <f t="shared" si="268"/>
        <v>750</v>
      </c>
      <c r="AN342" s="491">
        <v>20</v>
      </c>
      <c r="AO342" s="481"/>
      <c r="AP342" s="481">
        <v>80</v>
      </c>
      <c r="AQ342" s="481">
        <v>1000</v>
      </c>
      <c r="AR342" s="481"/>
      <c r="AS342" s="481"/>
      <c r="AT342" s="481"/>
      <c r="AU342" s="481">
        <f t="shared" si="269"/>
        <v>1100</v>
      </c>
      <c r="AV342" s="491"/>
      <c r="AW342" s="548"/>
      <c r="AX342" s="491">
        <v>50</v>
      </c>
      <c r="AY342" s="491">
        <v>100</v>
      </c>
      <c r="AZ342" s="548"/>
      <c r="BA342" s="548"/>
      <c r="BB342" s="548"/>
      <c r="BC342" s="548">
        <f t="shared" si="270"/>
        <v>150</v>
      </c>
      <c r="BD342" s="42">
        <f t="shared" ref="BD342:BD371" si="272">+AV342+AN342+AG342+Y342</f>
        <v>70</v>
      </c>
      <c r="BE342" s="42">
        <f t="shared" ref="BE342:BE371" si="273">+AW342+AO342+AH342+Z342</f>
        <v>0</v>
      </c>
      <c r="BF342" s="42">
        <f t="shared" ref="BF342:BF371" si="274">+AX342+AP342+AI342+AA342</f>
        <v>240</v>
      </c>
      <c r="BG342" s="42">
        <f t="shared" ref="BG342:BG371" si="275">+AY342+AQ342+AJ342+AB342</f>
        <v>1100</v>
      </c>
      <c r="BH342" s="42">
        <f t="shared" ref="BH342:BH371" si="276">+AZ342+AR342+AK342+AC342</f>
        <v>0</v>
      </c>
      <c r="BI342" s="42">
        <f t="shared" si="271"/>
        <v>648</v>
      </c>
      <c r="BJ342" s="42">
        <f t="shared" ref="BJ342:BJ371" si="277">+BB342+AT342+AL342+AE342</f>
        <v>700</v>
      </c>
      <c r="BK342" s="42">
        <f t="shared" ref="BK342:BK371" si="278">+BC342+AU342+AM342+AF342</f>
        <v>2758</v>
      </c>
      <c r="BL342" s="40">
        <f t="shared" si="261"/>
        <v>2758</v>
      </c>
    </row>
    <row r="343" spans="1:64" ht="69.75" customHeight="1" x14ac:dyDescent="0.25">
      <c r="A343" s="298" t="s">
        <v>1002</v>
      </c>
      <c r="B343" s="299" t="s">
        <v>999</v>
      </c>
      <c r="C343" s="1547"/>
      <c r="D343" s="1551"/>
      <c r="E343" s="1551"/>
      <c r="F343" s="1551"/>
      <c r="G343" s="1551"/>
      <c r="H343" s="1551"/>
      <c r="I343" s="1425" t="s">
        <v>53</v>
      </c>
      <c r="J343" s="1425"/>
      <c r="K343" s="1425" t="s">
        <v>1053</v>
      </c>
      <c r="L343" s="301" t="s">
        <v>179</v>
      </c>
      <c r="M343" s="1425" t="s">
        <v>1041</v>
      </c>
      <c r="N343" s="1425" t="s">
        <v>2521</v>
      </c>
      <c r="O343" s="1425" t="s">
        <v>47</v>
      </c>
      <c r="P343" s="16" t="s">
        <v>1054</v>
      </c>
      <c r="Q343" s="302" t="s">
        <v>1055</v>
      </c>
      <c r="R343" s="303">
        <v>2015</v>
      </c>
      <c r="S343" s="303">
        <v>0</v>
      </c>
      <c r="T343" s="303">
        <v>400</v>
      </c>
      <c r="U343" s="572">
        <v>400</v>
      </c>
      <c r="V343" s="572">
        <v>400</v>
      </c>
      <c r="W343" s="572">
        <v>400</v>
      </c>
      <c r="X343" s="572">
        <v>1200</v>
      </c>
      <c r="Y343" s="491">
        <v>15</v>
      </c>
      <c r="Z343" s="481"/>
      <c r="AA343" s="481"/>
      <c r="AB343" s="481"/>
      <c r="AC343" s="481"/>
      <c r="AD343" s="481"/>
      <c r="AE343" s="481"/>
      <c r="AF343" s="481">
        <f t="shared" si="267"/>
        <v>15</v>
      </c>
      <c r="AG343" s="548">
        <v>15</v>
      </c>
      <c r="AH343" s="548"/>
      <c r="AI343" s="548">
        <v>20</v>
      </c>
      <c r="AJ343" s="548">
        <v>75</v>
      </c>
      <c r="AK343" s="548"/>
      <c r="AL343" s="548"/>
      <c r="AM343" s="548">
        <f t="shared" si="268"/>
        <v>110</v>
      </c>
      <c r="AN343" s="491">
        <v>15</v>
      </c>
      <c r="AO343" s="481"/>
      <c r="AP343" s="481"/>
      <c r="AQ343" s="481"/>
      <c r="AR343" s="481"/>
      <c r="AS343" s="481"/>
      <c r="AT343" s="481"/>
      <c r="AU343" s="481">
        <f t="shared" si="269"/>
        <v>15</v>
      </c>
      <c r="AV343" s="548"/>
      <c r="AW343" s="548"/>
      <c r="AX343" s="491">
        <v>50</v>
      </c>
      <c r="AY343" s="548"/>
      <c r="AZ343" s="548"/>
      <c r="BA343" s="548"/>
      <c r="BB343" s="548"/>
      <c r="BC343" s="548">
        <f t="shared" si="270"/>
        <v>50</v>
      </c>
      <c r="BD343" s="42">
        <f t="shared" si="272"/>
        <v>45</v>
      </c>
      <c r="BE343" s="42">
        <f t="shared" si="273"/>
        <v>0</v>
      </c>
      <c r="BF343" s="42">
        <f t="shared" si="274"/>
        <v>70</v>
      </c>
      <c r="BG343" s="42">
        <f t="shared" si="275"/>
        <v>75</v>
      </c>
      <c r="BH343" s="42">
        <f t="shared" si="276"/>
        <v>0</v>
      </c>
      <c r="BI343" s="42">
        <f t="shared" si="271"/>
        <v>0</v>
      </c>
      <c r="BJ343" s="42">
        <f t="shared" si="277"/>
        <v>0</v>
      </c>
      <c r="BK343" s="42">
        <f t="shared" si="278"/>
        <v>190</v>
      </c>
      <c r="BL343" s="40">
        <f t="shared" si="261"/>
        <v>190</v>
      </c>
    </row>
    <row r="344" spans="1:64" ht="57" customHeight="1" x14ac:dyDescent="0.25">
      <c r="A344" s="298" t="s">
        <v>1002</v>
      </c>
      <c r="B344" s="299" t="s">
        <v>999</v>
      </c>
      <c r="C344" s="1547"/>
      <c r="D344" s="1551"/>
      <c r="E344" s="1551"/>
      <c r="F344" s="1551"/>
      <c r="G344" s="1551"/>
      <c r="H344" s="1551"/>
      <c r="I344" s="1425"/>
      <c r="J344" s="1425"/>
      <c r="K344" s="1425" t="s">
        <v>1056</v>
      </c>
      <c r="L344" s="301" t="s">
        <v>179</v>
      </c>
      <c r="M344" s="1425" t="s">
        <v>1041</v>
      </c>
      <c r="N344" s="1425" t="s">
        <v>2521</v>
      </c>
      <c r="O344" s="1425" t="s">
        <v>47</v>
      </c>
      <c r="P344" s="16" t="s">
        <v>1057</v>
      </c>
      <c r="Q344" s="302" t="s">
        <v>1058</v>
      </c>
      <c r="R344" s="303">
        <v>2015</v>
      </c>
      <c r="S344" s="303">
        <v>0</v>
      </c>
      <c r="T344" s="303">
        <v>125</v>
      </c>
      <c r="U344" s="572">
        <v>125</v>
      </c>
      <c r="V344" s="572">
        <v>125</v>
      </c>
      <c r="W344" s="572">
        <v>125</v>
      </c>
      <c r="X344" s="572">
        <v>500</v>
      </c>
      <c r="Y344" s="491">
        <v>10</v>
      </c>
      <c r="Z344" s="481"/>
      <c r="AA344" s="481">
        <v>170.6</v>
      </c>
      <c r="AB344" s="481"/>
      <c r="AC344" s="481"/>
      <c r="AD344" s="481"/>
      <c r="AE344" s="481"/>
      <c r="AF344" s="481">
        <f t="shared" si="267"/>
        <v>180.6</v>
      </c>
      <c r="AG344" s="491"/>
      <c r="AH344" s="548"/>
      <c r="AI344" s="491">
        <v>50</v>
      </c>
      <c r="AJ344" s="548"/>
      <c r="AK344" s="548"/>
      <c r="AL344" s="548"/>
      <c r="AM344" s="548">
        <f t="shared" si="268"/>
        <v>50</v>
      </c>
      <c r="AN344" s="491">
        <v>15</v>
      </c>
      <c r="AO344" s="481"/>
      <c r="AP344" s="481">
        <v>170</v>
      </c>
      <c r="AQ344" s="481"/>
      <c r="AR344" s="481"/>
      <c r="AS344" s="481"/>
      <c r="AT344" s="481"/>
      <c r="AU344" s="481">
        <f t="shared" si="269"/>
        <v>185</v>
      </c>
      <c r="AV344" s="491"/>
      <c r="AW344" s="548"/>
      <c r="AX344" s="491">
        <v>50</v>
      </c>
      <c r="AY344" s="491">
        <v>100</v>
      </c>
      <c r="AZ344" s="548"/>
      <c r="BA344" s="548"/>
      <c r="BB344" s="548"/>
      <c r="BC344" s="548">
        <f t="shared" si="270"/>
        <v>150</v>
      </c>
      <c r="BD344" s="42">
        <f t="shared" si="272"/>
        <v>25</v>
      </c>
      <c r="BE344" s="42">
        <f t="shared" si="273"/>
        <v>0</v>
      </c>
      <c r="BF344" s="42">
        <f t="shared" si="274"/>
        <v>440.6</v>
      </c>
      <c r="BG344" s="42">
        <f t="shared" si="275"/>
        <v>100</v>
      </c>
      <c r="BH344" s="42">
        <f t="shared" si="276"/>
        <v>0</v>
      </c>
      <c r="BI344" s="42">
        <f t="shared" si="271"/>
        <v>0</v>
      </c>
      <c r="BJ344" s="42">
        <f t="shared" si="277"/>
        <v>0</v>
      </c>
      <c r="BK344" s="42">
        <f t="shared" si="278"/>
        <v>565.6</v>
      </c>
      <c r="BL344" s="40">
        <f t="shared" si="261"/>
        <v>565.6</v>
      </c>
    </row>
    <row r="345" spans="1:64" ht="80.25" customHeight="1" x14ac:dyDescent="0.25">
      <c r="A345" s="298" t="s">
        <v>1002</v>
      </c>
      <c r="B345" s="299" t="s">
        <v>999</v>
      </c>
      <c r="C345" s="1547"/>
      <c r="D345" s="1551"/>
      <c r="E345" s="1551"/>
      <c r="F345" s="1551"/>
      <c r="G345" s="1551"/>
      <c r="H345" s="1551"/>
      <c r="I345" s="1425" t="s">
        <v>53</v>
      </c>
      <c r="J345" s="1425"/>
      <c r="K345" s="1425" t="s">
        <v>1059</v>
      </c>
      <c r="L345" s="301" t="s">
        <v>179</v>
      </c>
      <c r="M345" s="1425" t="s">
        <v>1041</v>
      </c>
      <c r="N345" s="1425" t="s">
        <v>2521</v>
      </c>
      <c r="O345" s="1425" t="s">
        <v>47</v>
      </c>
      <c r="P345" s="1198" t="s">
        <v>2523</v>
      </c>
      <c r="Q345" s="302" t="s">
        <v>1061</v>
      </c>
      <c r="R345" s="303">
        <v>2015</v>
      </c>
      <c r="S345" s="303">
        <v>0</v>
      </c>
      <c r="T345" s="303">
        <v>300</v>
      </c>
      <c r="U345" s="572">
        <v>700</v>
      </c>
      <c r="V345" s="572">
        <v>1000</v>
      </c>
      <c r="W345" s="572">
        <v>1000</v>
      </c>
      <c r="X345" s="572">
        <v>3000</v>
      </c>
      <c r="Y345" s="491">
        <v>10</v>
      </c>
      <c r="Z345" s="481"/>
      <c r="AA345" s="481"/>
      <c r="AB345" s="481"/>
      <c r="AC345" s="481"/>
      <c r="AD345" s="481"/>
      <c r="AE345" s="481"/>
      <c r="AF345" s="481">
        <f t="shared" si="267"/>
        <v>10</v>
      </c>
      <c r="AG345" s="548">
        <v>15</v>
      </c>
      <c r="AH345" s="548"/>
      <c r="AI345" s="491">
        <v>10</v>
      </c>
      <c r="AJ345" s="588"/>
      <c r="AK345" s="548"/>
      <c r="AL345" s="548"/>
      <c r="AM345" s="548">
        <f t="shared" si="268"/>
        <v>25</v>
      </c>
      <c r="AN345" s="491">
        <v>15</v>
      </c>
      <c r="AO345" s="481"/>
      <c r="AP345" s="481"/>
      <c r="AQ345" s="481">
        <v>150</v>
      </c>
      <c r="AR345" s="481"/>
      <c r="AS345" s="481"/>
      <c r="AT345" s="481"/>
      <c r="AU345" s="481">
        <f t="shared" si="269"/>
        <v>165</v>
      </c>
      <c r="AV345" s="548"/>
      <c r="AW345" s="548"/>
      <c r="AX345" s="491">
        <v>35</v>
      </c>
      <c r="AY345" s="548"/>
      <c r="AZ345" s="548"/>
      <c r="BA345" s="548"/>
      <c r="BB345" s="548"/>
      <c r="BC345" s="548">
        <f t="shared" si="270"/>
        <v>35</v>
      </c>
      <c r="BD345" s="42">
        <f t="shared" si="272"/>
        <v>40</v>
      </c>
      <c r="BE345" s="42">
        <f t="shared" si="273"/>
        <v>0</v>
      </c>
      <c r="BF345" s="42">
        <f t="shared" si="274"/>
        <v>45</v>
      </c>
      <c r="BG345" s="42">
        <f t="shared" si="275"/>
        <v>150</v>
      </c>
      <c r="BH345" s="42">
        <f t="shared" si="276"/>
        <v>0</v>
      </c>
      <c r="BI345" s="42">
        <f t="shared" si="271"/>
        <v>0</v>
      </c>
      <c r="BJ345" s="42">
        <f t="shared" si="277"/>
        <v>0</v>
      </c>
      <c r="BK345" s="42">
        <f t="shared" si="278"/>
        <v>235</v>
      </c>
      <c r="BL345" s="40">
        <f t="shared" si="261"/>
        <v>235</v>
      </c>
    </row>
    <row r="346" spans="1:64" ht="64.5" customHeight="1" x14ac:dyDescent="0.25">
      <c r="A346" s="298" t="s">
        <v>1002</v>
      </c>
      <c r="B346" s="299" t="s">
        <v>999</v>
      </c>
      <c r="C346" s="1547"/>
      <c r="D346" s="1551"/>
      <c r="E346" s="1551"/>
      <c r="F346" s="1551"/>
      <c r="G346" s="1551"/>
      <c r="H346" s="1551"/>
      <c r="I346" s="1425" t="s">
        <v>53</v>
      </c>
      <c r="J346" s="1425"/>
      <c r="K346" s="1425" t="s">
        <v>1062</v>
      </c>
      <c r="L346" s="301" t="s">
        <v>179</v>
      </c>
      <c r="M346" s="1425" t="s">
        <v>1041</v>
      </c>
      <c r="N346" s="1425" t="s">
        <v>2521</v>
      </c>
      <c r="O346" s="1425" t="s">
        <v>47</v>
      </c>
      <c r="P346" s="1198" t="s">
        <v>2524</v>
      </c>
      <c r="Q346" s="302" t="s">
        <v>1064</v>
      </c>
      <c r="R346" s="303">
        <v>2015</v>
      </c>
      <c r="S346" s="303">
        <v>0</v>
      </c>
      <c r="T346" s="303">
        <v>20</v>
      </c>
      <c r="U346" s="572">
        <v>20</v>
      </c>
      <c r="V346" s="572">
        <v>40</v>
      </c>
      <c r="W346" s="572">
        <v>40</v>
      </c>
      <c r="X346" s="572">
        <v>120</v>
      </c>
      <c r="Y346" s="491">
        <v>10</v>
      </c>
      <c r="Z346" s="481"/>
      <c r="AA346" s="481"/>
      <c r="AB346" s="481"/>
      <c r="AC346" s="481"/>
      <c r="AD346" s="481"/>
      <c r="AE346" s="481"/>
      <c r="AF346" s="481">
        <f t="shared" si="267"/>
        <v>10</v>
      </c>
      <c r="AG346" s="548">
        <v>15</v>
      </c>
      <c r="AH346" s="548"/>
      <c r="AI346" s="491">
        <v>20</v>
      </c>
      <c r="AJ346" s="548">
        <v>25</v>
      </c>
      <c r="AK346" s="548"/>
      <c r="AL346" s="548"/>
      <c r="AM346" s="548">
        <f t="shared" si="268"/>
        <v>60</v>
      </c>
      <c r="AN346" s="491">
        <v>15</v>
      </c>
      <c r="AO346" s="481"/>
      <c r="AP346" s="481">
        <v>21</v>
      </c>
      <c r="AQ346" s="481"/>
      <c r="AR346" s="481"/>
      <c r="AS346" s="481"/>
      <c r="AT346" s="481"/>
      <c r="AU346" s="481">
        <f t="shared" si="269"/>
        <v>36</v>
      </c>
      <c r="AV346" s="548"/>
      <c r="AW346" s="548"/>
      <c r="AX346" s="548">
        <v>21</v>
      </c>
      <c r="AY346" s="548"/>
      <c r="AZ346" s="548"/>
      <c r="BA346" s="548"/>
      <c r="BB346" s="548"/>
      <c r="BC346" s="548">
        <f t="shared" si="270"/>
        <v>21</v>
      </c>
      <c r="BD346" s="42">
        <f t="shared" si="272"/>
        <v>40</v>
      </c>
      <c r="BE346" s="42">
        <f t="shared" si="273"/>
        <v>0</v>
      </c>
      <c r="BF346" s="42">
        <f t="shared" si="274"/>
        <v>62</v>
      </c>
      <c r="BG346" s="42">
        <f t="shared" si="275"/>
        <v>25</v>
      </c>
      <c r="BH346" s="42">
        <f t="shared" si="276"/>
        <v>0</v>
      </c>
      <c r="BI346" s="42">
        <f t="shared" si="271"/>
        <v>0</v>
      </c>
      <c r="BJ346" s="42">
        <f t="shared" si="277"/>
        <v>0</v>
      </c>
      <c r="BK346" s="42">
        <f t="shared" si="278"/>
        <v>127</v>
      </c>
      <c r="BL346" s="40">
        <f t="shared" si="261"/>
        <v>127</v>
      </c>
    </row>
    <row r="347" spans="1:64" ht="76.5" customHeight="1" x14ac:dyDescent="0.25">
      <c r="A347" s="298" t="s">
        <v>1002</v>
      </c>
      <c r="B347" s="299" t="s">
        <v>999</v>
      </c>
      <c r="C347" s="1547"/>
      <c r="D347" s="1551"/>
      <c r="E347" s="1551"/>
      <c r="F347" s="1551"/>
      <c r="G347" s="1551"/>
      <c r="H347" s="1551"/>
      <c r="I347" s="1425" t="s">
        <v>53</v>
      </c>
      <c r="J347" s="1425"/>
      <c r="K347" s="1425" t="s">
        <v>1065</v>
      </c>
      <c r="L347" s="301" t="s">
        <v>179</v>
      </c>
      <c r="M347" s="1425" t="s">
        <v>1041</v>
      </c>
      <c r="N347" s="1425" t="s">
        <v>2521</v>
      </c>
      <c r="O347" s="1425" t="s">
        <v>47</v>
      </c>
      <c r="P347" s="1198" t="s">
        <v>2525</v>
      </c>
      <c r="Q347" s="302" t="s">
        <v>1067</v>
      </c>
      <c r="R347" s="303">
        <v>2015</v>
      </c>
      <c r="S347" s="303">
        <v>0</v>
      </c>
      <c r="T347" s="303">
        <v>1</v>
      </c>
      <c r="U347" s="572">
        <v>1</v>
      </c>
      <c r="V347" s="572">
        <v>1</v>
      </c>
      <c r="W347" s="572">
        <v>1</v>
      </c>
      <c r="X347" s="572">
        <v>4</v>
      </c>
      <c r="Y347" s="491">
        <v>10</v>
      </c>
      <c r="Z347" s="481"/>
      <c r="AA347" s="481">
        <v>40</v>
      </c>
      <c r="AB347" s="481"/>
      <c r="AC347" s="481"/>
      <c r="AD347" s="481"/>
      <c r="AE347" s="481"/>
      <c r="AF347" s="481">
        <f t="shared" si="267"/>
        <v>50</v>
      </c>
      <c r="AG347" s="548">
        <v>10</v>
      </c>
      <c r="AH347" s="548"/>
      <c r="AI347" s="491">
        <v>30</v>
      </c>
      <c r="AJ347" s="548">
        <v>25</v>
      </c>
      <c r="AK347" s="548"/>
      <c r="AL347" s="548"/>
      <c r="AM347" s="548">
        <f t="shared" si="268"/>
        <v>65</v>
      </c>
      <c r="AN347" s="491">
        <v>10</v>
      </c>
      <c r="AO347" s="481"/>
      <c r="AP347" s="481">
        <v>40</v>
      </c>
      <c r="AQ347" s="481">
        <v>50</v>
      </c>
      <c r="AR347" s="481"/>
      <c r="AS347" s="481"/>
      <c r="AT347" s="481"/>
      <c r="AU347" s="481">
        <f t="shared" si="269"/>
        <v>100</v>
      </c>
      <c r="AV347" s="548"/>
      <c r="AW347" s="548"/>
      <c r="AX347" s="548">
        <v>45</v>
      </c>
      <c r="AY347" s="548"/>
      <c r="AZ347" s="548"/>
      <c r="BA347" s="548"/>
      <c r="BB347" s="548"/>
      <c r="BC347" s="548">
        <f t="shared" si="270"/>
        <v>45</v>
      </c>
      <c r="BD347" s="42">
        <f t="shared" si="272"/>
        <v>30</v>
      </c>
      <c r="BE347" s="42">
        <f t="shared" si="273"/>
        <v>0</v>
      </c>
      <c r="BF347" s="42">
        <f t="shared" si="274"/>
        <v>155</v>
      </c>
      <c r="BG347" s="42">
        <f t="shared" si="275"/>
        <v>75</v>
      </c>
      <c r="BH347" s="42">
        <f t="shared" si="276"/>
        <v>0</v>
      </c>
      <c r="BI347" s="42">
        <f t="shared" si="271"/>
        <v>0</v>
      </c>
      <c r="BJ347" s="42">
        <f t="shared" si="277"/>
        <v>0</v>
      </c>
      <c r="BK347" s="42">
        <f t="shared" si="278"/>
        <v>260</v>
      </c>
      <c r="BL347" s="40">
        <f t="shared" si="261"/>
        <v>260</v>
      </c>
    </row>
    <row r="348" spans="1:64" ht="83.25" customHeight="1" x14ac:dyDescent="0.25">
      <c r="A348" s="298" t="s">
        <v>1002</v>
      </c>
      <c r="B348" s="299" t="s">
        <v>999</v>
      </c>
      <c r="C348" s="1548"/>
      <c r="D348" s="1552"/>
      <c r="E348" s="1552"/>
      <c r="F348" s="1552"/>
      <c r="G348" s="1552"/>
      <c r="H348" s="1552"/>
      <c r="I348" s="1425" t="s">
        <v>53</v>
      </c>
      <c r="J348" s="1425"/>
      <c r="K348" s="1425" t="s">
        <v>1068</v>
      </c>
      <c r="L348" s="301" t="s">
        <v>179</v>
      </c>
      <c r="M348" s="1425" t="s">
        <v>1041</v>
      </c>
      <c r="N348" s="1425" t="s">
        <v>2521</v>
      </c>
      <c r="O348" s="1425" t="s">
        <v>47</v>
      </c>
      <c r="P348" s="1198" t="s">
        <v>2526</v>
      </c>
      <c r="Q348" s="302" t="s">
        <v>1070</v>
      </c>
      <c r="R348" s="303">
        <v>2015</v>
      </c>
      <c r="S348" s="303">
        <v>0</v>
      </c>
      <c r="T348" s="303">
        <v>250</v>
      </c>
      <c r="U348" s="572">
        <v>250</v>
      </c>
      <c r="V348" s="572">
        <v>250</v>
      </c>
      <c r="W348" s="572">
        <v>250</v>
      </c>
      <c r="X348" s="572">
        <v>1000</v>
      </c>
      <c r="Y348" s="491">
        <v>10</v>
      </c>
      <c r="Z348" s="481"/>
      <c r="AA348" s="481"/>
      <c r="AB348" s="481"/>
      <c r="AC348" s="481"/>
      <c r="AD348" s="481"/>
      <c r="AE348" s="481"/>
      <c r="AF348" s="481">
        <f t="shared" si="267"/>
        <v>10</v>
      </c>
      <c r="AG348" s="548"/>
      <c r="AH348" s="548"/>
      <c r="AI348" s="491">
        <v>50</v>
      </c>
      <c r="AJ348" s="548"/>
      <c r="AK348" s="548"/>
      <c r="AL348" s="548"/>
      <c r="AM348" s="548">
        <f t="shared" si="268"/>
        <v>50</v>
      </c>
      <c r="AN348" s="491">
        <v>10</v>
      </c>
      <c r="AO348" s="481"/>
      <c r="AP348" s="481"/>
      <c r="AQ348" s="481"/>
      <c r="AR348" s="481"/>
      <c r="AS348" s="481"/>
      <c r="AT348" s="481"/>
      <c r="AU348" s="481">
        <f t="shared" si="269"/>
        <v>10</v>
      </c>
      <c r="AV348" s="548"/>
      <c r="AW348" s="548"/>
      <c r="AX348" s="491">
        <v>35</v>
      </c>
      <c r="AY348" s="548"/>
      <c r="AZ348" s="548"/>
      <c r="BA348" s="548"/>
      <c r="BB348" s="548"/>
      <c r="BC348" s="548">
        <f t="shared" si="270"/>
        <v>35</v>
      </c>
      <c r="BD348" s="42">
        <f t="shared" si="272"/>
        <v>20</v>
      </c>
      <c r="BE348" s="42">
        <f t="shared" si="273"/>
        <v>0</v>
      </c>
      <c r="BF348" s="42">
        <f t="shared" si="274"/>
        <v>85</v>
      </c>
      <c r="BG348" s="42">
        <f t="shared" si="275"/>
        <v>0</v>
      </c>
      <c r="BH348" s="42">
        <f t="shared" si="276"/>
        <v>0</v>
      </c>
      <c r="BI348" s="42">
        <f t="shared" si="271"/>
        <v>0</v>
      </c>
      <c r="BJ348" s="42">
        <f t="shared" si="277"/>
        <v>0</v>
      </c>
      <c r="BK348" s="42">
        <f t="shared" si="278"/>
        <v>105</v>
      </c>
      <c r="BL348" s="40">
        <f t="shared" si="261"/>
        <v>105</v>
      </c>
    </row>
    <row r="349" spans="1:64" ht="20.399999999999999" x14ac:dyDescent="0.25">
      <c r="A349" s="420"/>
      <c r="B349" s="1565" t="s">
        <v>1071</v>
      </c>
      <c r="C349" s="1566"/>
      <c r="D349" s="1566"/>
      <c r="E349" s="1566"/>
      <c r="F349" s="1566"/>
      <c r="G349" s="1566"/>
      <c r="H349" s="1566"/>
      <c r="I349" s="1566"/>
      <c r="J349" s="1566"/>
      <c r="K349" s="1566"/>
      <c r="L349" s="1566"/>
      <c r="M349" s="1567"/>
      <c r="N349" s="597"/>
      <c r="O349" s="597"/>
      <c r="P349" s="598"/>
      <c r="Q349" s="598"/>
      <c r="R349" s="597"/>
      <c r="S349" s="597"/>
      <c r="T349" s="597"/>
      <c r="U349" s="599"/>
      <c r="V349" s="599"/>
      <c r="W349" s="599"/>
      <c r="X349" s="599"/>
      <c r="Y349" s="600">
        <f t="shared" ref="Y349:AE349" si="279">+Y350+Y353</f>
        <v>10</v>
      </c>
      <c r="Z349" s="600">
        <f t="shared" si="279"/>
        <v>43.2</v>
      </c>
      <c r="AA349" s="600">
        <f t="shared" si="279"/>
        <v>6</v>
      </c>
      <c r="AB349" s="600">
        <f t="shared" si="279"/>
        <v>219</v>
      </c>
      <c r="AC349" s="600">
        <f t="shared" si="279"/>
        <v>0</v>
      </c>
      <c r="AD349" s="600">
        <f t="shared" si="279"/>
        <v>120.3</v>
      </c>
      <c r="AE349" s="600">
        <f t="shared" si="279"/>
        <v>650</v>
      </c>
      <c r="AF349" s="600">
        <f t="shared" ref="AF349:AF355" si="280">SUM(Y349:AE349)</f>
        <v>1048.5</v>
      </c>
      <c r="AG349" s="600">
        <f t="shared" ref="AG349:AL349" si="281">+AG350+AG353</f>
        <v>10</v>
      </c>
      <c r="AH349" s="600">
        <f t="shared" si="281"/>
        <v>44.9</v>
      </c>
      <c r="AI349" s="600">
        <f t="shared" si="281"/>
        <v>36</v>
      </c>
      <c r="AJ349" s="600">
        <f t="shared" si="281"/>
        <v>0</v>
      </c>
      <c r="AK349" s="600">
        <f t="shared" si="281"/>
        <v>0</v>
      </c>
      <c r="AL349" s="600">
        <f t="shared" si="281"/>
        <v>676</v>
      </c>
      <c r="AM349" s="600">
        <f t="shared" ref="AM349:AM355" si="282">SUM(AG349:AL349)</f>
        <v>766.9</v>
      </c>
      <c r="AN349" s="600">
        <f t="shared" ref="AN349:AT349" si="283">+AN350+AN353</f>
        <v>10</v>
      </c>
      <c r="AO349" s="600">
        <f t="shared" si="283"/>
        <v>46.7</v>
      </c>
      <c r="AP349" s="600">
        <f t="shared" si="283"/>
        <v>6.5</v>
      </c>
      <c r="AQ349" s="600">
        <f t="shared" si="283"/>
        <v>0</v>
      </c>
      <c r="AR349" s="600">
        <f t="shared" si="283"/>
        <v>0</v>
      </c>
      <c r="AS349" s="600">
        <f t="shared" si="283"/>
        <v>0</v>
      </c>
      <c r="AT349" s="600">
        <f t="shared" si="283"/>
        <v>703.04000000000008</v>
      </c>
      <c r="AU349" s="600">
        <f t="shared" ref="AU349:AU355" si="284">SUM(AN349:AT349)</f>
        <v>766.24000000000012</v>
      </c>
      <c r="AV349" s="600">
        <f t="shared" ref="AV349:BB349" si="285">+AV350+AV353</f>
        <v>11.2</v>
      </c>
      <c r="AW349" s="600">
        <f t="shared" si="285"/>
        <v>48.6</v>
      </c>
      <c r="AX349" s="600">
        <f t="shared" si="285"/>
        <v>6.7</v>
      </c>
      <c r="AY349" s="600">
        <f t="shared" si="285"/>
        <v>1300</v>
      </c>
      <c r="AZ349" s="600">
        <f t="shared" si="285"/>
        <v>0</v>
      </c>
      <c r="BA349" s="600">
        <f t="shared" si="285"/>
        <v>0</v>
      </c>
      <c r="BB349" s="600">
        <f t="shared" si="285"/>
        <v>731.16160000000013</v>
      </c>
      <c r="BC349" s="600">
        <f t="shared" ref="BC349:BC355" si="286">SUM(AV349:BB349)</f>
        <v>2097.6616000000004</v>
      </c>
      <c r="BD349" s="33">
        <f t="shared" si="272"/>
        <v>41.2</v>
      </c>
      <c r="BE349" s="33">
        <f t="shared" si="273"/>
        <v>183.40000000000003</v>
      </c>
      <c r="BF349" s="33">
        <f t="shared" si="274"/>
        <v>55.2</v>
      </c>
      <c r="BG349" s="33">
        <f t="shared" si="275"/>
        <v>1519</v>
      </c>
      <c r="BH349" s="33">
        <f t="shared" si="276"/>
        <v>0</v>
      </c>
      <c r="BI349" s="33">
        <f t="shared" si="271"/>
        <v>120.3</v>
      </c>
      <c r="BJ349" s="33">
        <f t="shared" si="277"/>
        <v>2760.2016000000003</v>
      </c>
      <c r="BK349" s="33">
        <f t="shared" si="278"/>
        <v>4679.3016000000007</v>
      </c>
      <c r="BL349" s="40">
        <f t="shared" si="261"/>
        <v>4679.3016000000007</v>
      </c>
    </row>
    <row r="350" spans="1:64" ht="66" x14ac:dyDescent="0.25">
      <c r="A350" s="603"/>
      <c r="B350" s="299" t="s">
        <v>2527</v>
      </c>
      <c r="C350" s="2"/>
      <c r="D350" s="2" t="s">
        <v>1072</v>
      </c>
      <c r="E350" s="1"/>
      <c r="F350" s="1"/>
      <c r="G350" s="1"/>
      <c r="H350" s="1"/>
      <c r="I350" s="1"/>
      <c r="J350" s="1"/>
      <c r="K350" s="1"/>
      <c r="L350" s="1"/>
      <c r="M350" s="1"/>
      <c r="N350" s="1"/>
      <c r="O350" s="1"/>
      <c r="P350" s="22"/>
      <c r="Q350" s="22"/>
      <c r="R350" s="1"/>
      <c r="S350" s="1"/>
      <c r="T350" s="1"/>
      <c r="U350" s="49"/>
      <c r="V350" s="49"/>
      <c r="W350" s="49"/>
      <c r="X350" s="49"/>
      <c r="Y350" s="34">
        <f t="shared" ref="Y350:AE350" si="287">SUM(Y351:Y352)</f>
        <v>10</v>
      </c>
      <c r="Z350" s="34">
        <f t="shared" si="287"/>
        <v>43.2</v>
      </c>
      <c r="AA350" s="34">
        <f t="shared" si="287"/>
        <v>6</v>
      </c>
      <c r="AB350" s="34">
        <f t="shared" si="287"/>
        <v>219</v>
      </c>
      <c r="AC350" s="34">
        <f t="shared" si="287"/>
        <v>0</v>
      </c>
      <c r="AD350" s="34">
        <f t="shared" si="287"/>
        <v>120.3</v>
      </c>
      <c r="AE350" s="34">
        <f t="shared" si="287"/>
        <v>650</v>
      </c>
      <c r="AF350" s="34">
        <f t="shared" si="280"/>
        <v>1048.5</v>
      </c>
      <c r="AG350" s="34">
        <f t="shared" ref="AG350:AL350" si="288">SUM(AG351:AG352)</f>
        <v>10</v>
      </c>
      <c r="AH350" s="34">
        <f t="shared" si="288"/>
        <v>30</v>
      </c>
      <c r="AI350" s="34">
        <f t="shared" si="288"/>
        <v>36</v>
      </c>
      <c r="AJ350" s="34">
        <f t="shared" si="288"/>
        <v>0</v>
      </c>
      <c r="AK350" s="34">
        <f t="shared" si="288"/>
        <v>0</v>
      </c>
      <c r="AL350" s="34">
        <f t="shared" si="288"/>
        <v>676</v>
      </c>
      <c r="AM350" s="34">
        <f t="shared" si="282"/>
        <v>752</v>
      </c>
      <c r="AN350" s="34">
        <f t="shared" ref="AN350:AT350" si="289">SUM(AN351:AN352)</f>
        <v>10</v>
      </c>
      <c r="AO350" s="34">
        <f t="shared" si="289"/>
        <v>40</v>
      </c>
      <c r="AP350" s="34">
        <f t="shared" si="289"/>
        <v>6.5</v>
      </c>
      <c r="AQ350" s="34">
        <f t="shared" si="289"/>
        <v>0</v>
      </c>
      <c r="AR350" s="34">
        <f t="shared" si="289"/>
        <v>0</v>
      </c>
      <c r="AS350" s="34">
        <f t="shared" si="289"/>
        <v>0</v>
      </c>
      <c r="AT350" s="34">
        <f t="shared" si="289"/>
        <v>703.04000000000008</v>
      </c>
      <c r="AU350" s="34">
        <f t="shared" si="284"/>
        <v>759.54000000000008</v>
      </c>
      <c r="AV350" s="34">
        <f t="shared" ref="AV350:BB350" si="290">SUM(AV351:AV352)</f>
        <v>11.2</v>
      </c>
      <c r="AW350" s="34">
        <f t="shared" si="290"/>
        <v>48.6</v>
      </c>
      <c r="AX350" s="34">
        <f t="shared" si="290"/>
        <v>6.7</v>
      </c>
      <c r="AY350" s="34">
        <f t="shared" si="290"/>
        <v>500</v>
      </c>
      <c r="AZ350" s="34">
        <f t="shared" si="290"/>
        <v>0</v>
      </c>
      <c r="BA350" s="34">
        <f t="shared" si="290"/>
        <v>0</v>
      </c>
      <c r="BB350" s="34">
        <f t="shared" si="290"/>
        <v>731.16160000000013</v>
      </c>
      <c r="BC350" s="34">
        <f t="shared" si="286"/>
        <v>1297.6616000000001</v>
      </c>
      <c r="BD350" s="34">
        <f t="shared" si="272"/>
        <v>41.2</v>
      </c>
      <c r="BE350" s="34">
        <f t="shared" si="273"/>
        <v>161.80000000000001</v>
      </c>
      <c r="BF350" s="34">
        <f t="shared" si="274"/>
        <v>55.2</v>
      </c>
      <c r="BG350" s="34">
        <f t="shared" si="275"/>
        <v>719</v>
      </c>
      <c r="BH350" s="34">
        <f t="shared" si="276"/>
        <v>0</v>
      </c>
      <c r="BI350" s="34">
        <f t="shared" si="271"/>
        <v>120.3</v>
      </c>
      <c r="BJ350" s="34">
        <f t="shared" si="277"/>
        <v>2760.2016000000003</v>
      </c>
      <c r="BK350" s="34">
        <f t="shared" si="278"/>
        <v>3857.7016000000003</v>
      </c>
      <c r="BL350" s="40">
        <f t="shared" si="261"/>
        <v>3857.7016000000003</v>
      </c>
    </row>
    <row r="351" spans="1:64" ht="50.25" customHeight="1" x14ac:dyDescent="0.25">
      <c r="A351" s="298" t="s">
        <v>1073</v>
      </c>
      <c r="B351" s="299" t="s">
        <v>2527</v>
      </c>
      <c r="C351" s="1429" t="s">
        <v>1074</v>
      </c>
      <c r="D351" s="1425" t="s">
        <v>1075</v>
      </c>
      <c r="E351" s="1425" t="s">
        <v>1076</v>
      </c>
      <c r="F351" s="1425">
        <v>2005</v>
      </c>
      <c r="G351" s="1425">
        <v>92.6</v>
      </c>
      <c r="H351" s="1425">
        <v>94</v>
      </c>
      <c r="I351" s="1425" t="s">
        <v>53</v>
      </c>
      <c r="J351" s="1425"/>
      <c r="K351" s="1425" t="s">
        <v>1077</v>
      </c>
      <c r="L351" s="301" t="s">
        <v>1078</v>
      </c>
      <c r="M351" s="1425" t="s">
        <v>1041</v>
      </c>
      <c r="N351" s="1425" t="s">
        <v>2521</v>
      </c>
      <c r="O351" s="1425" t="s">
        <v>47</v>
      </c>
      <c r="P351" s="16" t="s">
        <v>1079</v>
      </c>
      <c r="Q351" s="302" t="s">
        <v>1080</v>
      </c>
      <c r="R351" s="303">
        <v>2015</v>
      </c>
      <c r="S351" s="303">
        <v>0</v>
      </c>
      <c r="T351" s="303">
        <v>100</v>
      </c>
      <c r="U351" s="572">
        <v>50</v>
      </c>
      <c r="V351" s="572">
        <v>50</v>
      </c>
      <c r="W351" s="572">
        <v>100</v>
      </c>
      <c r="X351" s="572">
        <v>300</v>
      </c>
      <c r="Y351" s="481">
        <v>10</v>
      </c>
      <c r="Z351" s="481">
        <v>43.2</v>
      </c>
      <c r="AA351" s="481">
        <v>6</v>
      </c>
      <c r="AB351" s="481">
        <v>219</v>
      </c>
      <c r="AC351" s="481"/>
      <c r="AD351" s="481">
        <f>52+68.3</f>
        <v>120.3</v>
      </c>
      <c r="AE351" s="481"/>
      <c r="AF351" s="481">
        <f t="shared" si="280"/>
        <v>398.5</v>
      </c>
      <c r="AG351" s="548">
        <v>10</v>
      </c>
      <c r="AH351" s="491">
        <v>30</v>
      </c>
      <c r="AI351" s="548">
        <v>6</v>
      </c>
      <c r="AJ351" s="592"/>
      <c r="AK351" s="548"/>
      <c r="AL351" s="548"/>
      <c r="AM351" s="548">
        <f t="shared" si="282"/>
        <v>46</v>
      </c>
      <c r="AN351" s="481">
        <v>10</v>
      </c>
      <c r="AO351" s="491">
        <v>40</v>
      </c>
      <c r="AP351" s="481">
        <v>6.5</v>
      </c>
      <c r="AQ351" s="481"/>
      <c r="AR351" s="481"/>
      <c r="AS351" s="481"/>
      <c r="AT351" s="481"/>
      <c r="AU351" s="481">
        <f t="shared" si="284"/>
        <v>56.5</v>
      </c>
      <c r="AV351" s="548">
        <v>11.2</v>
      </c>
      <c r="AW351" s="548">
        <v>48.6</v>
      </c>
      <c r="AX351" s="548">
        <v>6.7</v>
      </c>
      <c r="AY351" s="548">
        <v>500</v>
      </c>
      <c r="AZ351" s="548"/>
      <c r="BA351" s="548"/>
      <c r="BB351" s="548"/>
      <c r="BC351" s="548">
        <f t="shared" si="286"/>
        <v>566.5</v>
      </c>
      <c r="BD351" s="42">
        <f t="shared" si="272"/>
        <v>41.2</v>
      </c>
      <c r="BE351" s="42">
        <f t="shared" si="273"/>
        <v>161.80000000000001</v>
      </c>
      <c r="BF351" s="42">
        <f t="shared" si="274"/>
        <v>25.2</v>
      </c>
      <c r="BG351" s="42">
        <f t="shared" si="275"/>
        <v>719</v>
      </c>
      <c r="BH351" s="42">
        <f t="shared" si="276"/>
        <v>0</v>
      </c>
      <c r="BI351" s="42">
        <f t="shared" si="271"/>
        <v>120.3</v>
      </c>
      <c r="BJ351" s="42">
        <f t="shared" si="277"/>
        <v>0</v>
      </c>
      <c r="BK351" s="42">
        <f t="shared" si="278"/>
        <v>1067.5</v>
      </c>
      <c r="BL351" s="40">
        <f t="shared" si="261"/>
        <v>1067.5</v>
      </c>
    </row>
    <row r="352" spans="1:64" ht="54.75" customHeight="1" x14ac:dyDescent="0.25">
      <c r="A352" s="298" t="s">
        <v>1073</v>
      </c>
      <c r="B352" s="299" t="s">
        <v>2527</v>
      </c>
      <c r="C352" s="1429" t="s">
        <v>1081</v>
      </c>
      <c r="D352" s="1425" t="s">
        <v>1082</v>
      </c>
      <c r="E352" s="1425" t="s">
        <v>1083</v>
      </c>
      <c r="F352" s="1425">
        <v>2005</v>
      </c>
      <c r="G352" s="1425">
        <v>95</v>
      </c>
      <c r="H352" s="1425">
        <v>95</v>
      </c>
      <c r="I352" s="1425"/>
      <c r="J352" s="1425"/>
      <c r="K352" s="1425" t="s">
        <v>1084</v>
      </c>
      <c r="L352" s="301" t="s">
        <v>1078</v>
      </c>
      <c r="M352" s="1425" t="s">
        <v>1041</v>
      </c>
      <c r="N352" s="1425" t="s">
        <v>2521</v>
      </c>
      <c r="O352" s="1425" t="s">
        <v>73</v>
      </c>
      <c r="P352" s="16" t="s">
        <v>1085</v>
      </c>
      <c r="Q352" s="302" t="s">
        <v>1086</v>
      </c>
      <c r="R352" s="303">
        <v>2015</v>
      </c>
      <c r="S352" s="303">
        <v>0</v>
      </c>
      <c r="T352" s="303">
        <v>1</v>
      </c>
      <c r="U352" s="572">
        <v>1</v>
      </c>
      <c r="V352" s="572">
        <v>1</v>
      </c>
      <c r="W352" s="572">
        <v>1</v>
      </c>
      <c r="X352" s="572">
        <v>1</v>
      </c>
      <c r="Y352" s="481"/>
      <c r="Z352" s="481"/>
      <c r="AA352" s="481"/>
      <c r="AB352" s="481"/>
      <c r="AC352" s="481"/>
      <c r="AD352" s="481"/>
      <c r="AE352" s="481">
        <v>650</v>
      </c>
      <c r="AF352" s="481">
        <f t="shared" si="280"/>
        <v>650</v>
      </c>
      <c r="AG352" s="548"/>
      <c r="AH352" s="548"/>
      <c r="AI352" s="548">
        <v>30</v>
      </c>
      <c r="AJ352" s="548"/>
      <c r="AK352" s="548"/>
      <c r="AL352" s="548">
        <f>+AE352*1.04</f>
        <v>676</v>
      </c>
      <c r="AM352" s="548">
        <f t="shared" si="282"/>
        <v>706</v>
      </c>
      <c r="AN352" s="481"/>
      <c r="AO352" s="481"/>
      <c r="AP352" s="481"/>
      <c r="AQ352" s="481"/>
      <c r="AR352" s="481"/>
      <c r="AS352" s="481"/>
      <c r="AT352" s="481">
        <f>+AL352*1.04</f>
        <v>703.04000000000008</v>
      </c>
      <c r="AU352" s="481">
        <f t="shared" si="284"/>
        <v>703.04000000000008</v>
      </c>
      <c r="AV352" s="548"/>
      <c r="AW352" s="548"/>
      <c r="AX352" s="548"/>
      <c r="AY352" s="548"/>
      <c r="AZ352" s="548"/>
      <c r="BA352" s="548"/>
      <c r="BB352" s="548">
        <f>+AT352*1.04</f>
        <v>731.16160000000013</v>
      </c>
      <c r="BC352" s="548">
        <f t="shared" si="286"/>
        <v>731.16160000000013</v>
      </c>
      <c r="BD352" s="42">
        <f t="shared" si="272"/>
        <v>0</v>
      </c>
      <c r="BE352" s="42">
        <f t="shared" si="273"/>
        <v>0</v>
      </c>
      <c r="BF352" s="42">
        <f t="shared" si="274"/>
        <v>30</v>
      </c>
      <c r="BG352" s="42">
        <f t="shared" si="275"/>
        <v>0</v>
      </c>
      <c r="BH352" s="42">
        <f t="shared" si="276"/>
        <v>0</v>
      </c>
      <c r="BI352" s="42">
        <f t="shared" si="271"/>
        <v>0</v>
      </c>
      <c r="BJ352" s="42">
        <f t="shared" si="277"/>
        <v>2760.2016000000003</v>
      </c>
      <c r="BK352" s="42">
        <f t="shared" si="278"/>
        <v>2790.2016000000003</v>
      </c>
      <c r="BL352" s="40">
        <f t="shared" si="261"/>
        <v>2790.2016000000003</v>
      </c>
    </row>
    <row r="353" spans="1:64" ht="66" x14ac:dyDescent="0.25">
      <c r="A353" s="295" t="s">
        <v>1073</v>
      </c>
      <c r="B353" s="299" t="s">
        <v>2527</v>
      </c>
      <c r="C353" s="2"/>
      <c r="D353" s="2" t="s">
        <v>1087</v>
      </c>
      <c r="E353" s="1"/>
      <c r="F353" s="1"/>
      <c r="G353" s="1"/>
      <c r="H353" s="1"/>
      <c r="I353" s="1"/>
      <c r="J353" s="1"/>
      <c r="K353" s="1"/>
      <c r="L353" s="1"/>
      <c r="M353" s="1"/>
      <c r="N353" s="1"/>
      <c r="O353" s="1"/>
      <c r="P353" s="22"/>
      <c r="Q353" s="22"/>
      <c r="R353" s="1"/>
      <c r="S353" s="1"/>
      <c r="T353" s="1"/>
      <c r="U353" s="49"/>
      <c r="V353" s="49"/>
      <c r="W353" s="49"/>
      <c r="X353" s="49"/>
      <c r="Y353" s="34">
        <f>SUM(Y354)</f>
        <v>0</v>
      </c>
      <c r="Z353" s="34">
        <f t="shared" ref="Z353:AE353" si="291">SUM(Z354)</f>
        <v>0</v>
      </c>
      <c r="AA353" s="34">
        <f t="shared" si="291"/>
        <v>0</v>
      </c>
      <c r="AB353" s="34">
        <f t="shared" si="291"/>
        <v>0</v>
      </c>
      <c r="AC353" s="34">
        <f t="shared" si="291"/>
        <v>0</v>
      </c>
      <c r="AD353" s="34">
        <f t="shared" si="291"/>
        <v>0</v>
      </c>
      <c r="AE353" s="34">
        <f t="shared" si="291"/>
        <v>0</v>
      </c>
      <c r="AF353" s="34">
        <f t="shared" si="280"/>
        <v>0</v>
      </c>
      <c r="AG353" s="34">
        <f t="shared" ref="AG353:AL353" si="292">SUM(AG354)</f>
        <v>0</v>
      </c>
      <c r="AH353" s="34">
        <f t="shared" si="292"/>
        <v>14.9</v>
      </c>
      <c r="AI353" s="34">
        <v>0</v>
      </c>
      <c r="AJ353" s="34">
        <f t="shared" si="292"/>
        <v>0</v>
      </c>
      <c r="AK353" s="34">
        <f t="shared" si="292"/>
        <v>0</v>
      </c>
      <c r="AL353" s="34">
        <f t="shared" si="292"/>
        <v>0</v>
      </c>
      <c r="AM353" s="34">
        <f t="shared" si="282"/>
        <v>14.9</v>
      </c>
      <c r="AN353" s="34">
        <f t="shared" ref="AN353:AT353" si="293">SUM(AN354)</f>
        <v>0</v>
      </c>
      <c r="AO353" s="34">
        <f t="shared" si="293"/>
        <v>6.7</v>
      </c>
      <c r="AP353" s="34">
        <f t="shared" si="293"/>
        <v>0</v>
      </c>
      <c r="AQ353" s="34">
        <f t="shared" si="293"/>
        <v>0</v>
      </c>
      <c r="AR353" s="34">
        <f t="shared" si="293"/>
        <v>0</v>
      </c>
      <c r="AS353" s="34">
        <f t="shared" si="293"/>
        <v>0</v>
      </c>
      <c r="AT353" s="34">
        <f t="shared" si="293"/>
        <v>0</v>
      </c>
      <c r="AU353" s="34">
        <f t="shared" si="284"/>
        <v>6.7</v>
      </c>
      <c r="AV353" s="34">
        <f t="shared" ref="AV353:BB353" si="294">SUM(AV354)</f>
        <v>0</v>
      </c>
      <c r="AW353" s="34">
        <f t="shared" si="294"/>
        <v>0</v>
      </c>
      <c r="AX353" s="34">
        <f t="shared" si="294"/>
        <v>0</v>
      </c>
      <c r="AY353" s="34">
        <f t="shared" si="294"/>
        <v>800</v>
      </c>
      <c r="AZ353" s="34">
        <f t="shared" si="294"/>
        <v>0</v>
      </c>
      <c r="BA353" s="34">
        <f t="shared" si="294"/>
        <v>0</v>
      </c>
      <c r="BB353" s="34">
        <f t="shared" si="294"/>
        <v>0</v>
      </c>
      <c r="BC353" s="34">
        <f t="shared" si="286"/>
        <v>800</v>
      </c>
      <c r="BD353" s="34">
        <f t="shared" si="272"/>
        <v>0</v>
      </c>
      <c r="BE353" s="34">
        <f t="shared" si="273"/>
        <v>21.6</v>
      </c>
      <c r="BF353" s="34">
        <f t="shared" si="274"/>
        <v>0</v>
      </c>
      <c r="BG353" s="34">
        <f t="shared" si="275"/>
        <v>800</v>
      </c>
      <c r="BH353" s="34">
        <f t="shared" si="276"/>
        <v>0</v>
      </c>
      <c r="BI353" s="34">
        <f t="shared" si="271"/>
        <v>0</v>
      </c>
      <c r="BJ353" s="34">
        <f t="shared" si="277"/>
        <v>0</v>
      </c>
      <c r="BK353" s="34">
        <f t="shared" si="278"/>
        <v>821.6</v>
      </c>
      <c r="BL353" s="40">
        <f t="shared" si="261"/>
        <v>821.6</v>
      </c>
    </row>
    <row r="354" spans="1:64" ht="49.5" customHeight="1" x14ac:dyDescent="0.25">
      <c r="A354" s="298" t="s">
        <v>1073</v>
      </c>
      <c r="B354" s="299" t="s">
        <v>2527</v>
      </c>
      <c r="C354" s="1429" t="s">
        <v>1088</v>
      </c>
      <c r="D354" s="1425" t="s">
        <v>1089</v>
      </c>
      <c r="E354" s="1425" t="s">
        <v>1090</v>
      </c>
      <c r="F354" s="1425">
        <v>2005</v>
      </c>
      <c r="G354" s="1425">
        <v>87.9</v>
      </c>
      <c r="H354" s="1425">
        <v>90</v>
      </c>
      <c r="I354" s="1425" t="s">
        <v>53</v>
      </c>
      <c r="J354" s="1425"/>
      <c r="K354" s="1425" t="s">
        <v>1091</v>
      </c>
      <c r="L354" s="301" t="s">
        <v>1078</v>
      </c>
      <c r="M354" s="1425" t="s">
        <v>1041</v>
      </c>
      <c r="N354" s="1425" t="s">
        <v>2521</v>
      </c>
      <c r="O354" s="1425" t="s">
        <v>47</v>
      </c>
      <c r="P354" s="16" t="s">
        <v>1092</v>
      </c>
      <c r="Q354" s="302" t="s">
        <v>1093</v>
      </c>
      <c r="R354" s="303">
        <v>2015</v>
      </c>
      <c r="S354" s="303">
        <v>0</v>
      </c>
      <c r="T354" s="303">
        <v>0</v>
      </c>
      <c r="U354" s="572">
        <v>100</v>
      </c>
      <c r="V354" s="572">
        <v>200</v>
      </c>
      <c r="W354" s="572">
        <v>200</v>
      </c>
      <c r="X354" s="572">
        <v>500</v>
      </c>
      <c r="Y354" s="481"/>
      <c r="Z354" s="481"/>
      <c r="AA354" s="481"/>
      <c r="AB354" s="481"/>
      <c r="AC354" s="481"/>
      <c r="AD354" s="481"/>
      <c r="AE354" s="481"/>
      <c r="AF354" s="481">
        <f t="shared" si="280"/>
        <v>0</v>
      </c>
      <c r="AG354" s="548"/>
      <c r="AH354" s="491">
        <v>14.9</v>
      </c>
      <c r="AI354" s="548"/>
      <c r="AJ354" s="592"/>
      <c r="AK354" s="548"/>
      <c r="AL354" s="548"/>
      <c r="AM354" s="548">
        <f t="shared" si="282"/>
        <v>14.9</v>
      </c>
      <c r="AN354" s="481"/>
      <c r="AO354" s="491">
        <v>6.7</v>
      </c>
      <c r="AP354" s="481"/>
      <c r="AQ354" s="481"/>
      <c r="AR354" s="481"/>
      <c r="AS354" s="481"/>
      <c r="AT354" s="481"/>
      <c r="AU354" s="481">
        <f t="shared" si="284"/>
        <v>6.7</v>
      </c>
      <c r="AV354" s="548"/>
      <c r="AW354" s="548"/>
      <c r="AX354" s="548"/>
      <c r="AY354" s="548">
        <v>800</v>
      </c>
      <c r="AZ354" s="548"/>
      <c r="BA354" s="548"/>
      <c r="BB354" s="548"/>
      <c r="BC354" s="548">
        <f t="shared" si="286"/>
        <v>800</v>
      </c>
      <c r="BD354" s="42">
        <f t="shared" si="272"/>
        <v>0</v>
      </c>
      <c r="BE354" s="42">
        <f t="shared" si="273"/>
        <v>21.6</v>
      </c>
      <c r="BF354" s="42">
        <f t="shared" si="274"/>
        <v>0</v>
      </c>
      <c r="BG354" s="42">
        <f t="shared" si="275"/>
        <v>800</v>
      </c>
      <c r="BH354" s="42">
        <f t="shared" si="276"/>
        <v>0</v>
      </c>
      <c r="BI354" s="42">
        <f t="shared" si="271"/>
        <v>0</v>
      </c>
      <c r="BJ354" s="42">
        <f t="shared" si="277"/>
        <v>0</v>
      </c>
      <c r="BK354" s="42">
        <f t="shared" si="278"/>
        <v>821.6</v>
      </c>
      <c r="BL354" s="40">
        <f t="shared" si="261"/>
        <v>821.6</v>
      </c>
    </row>
    <row r="355" spans="1:64" ht="22.8" x14ac:dyDescent="0.25">
      <c r="A355" s="604"/>
      <c r="B355" s="1571" t="s">
        <v>1094</v>
      </c>
      <c r="C355" s="1572"/>
      <c r="D355" s="1572"/>
      <c r="E355" s="1572"/>
      <c r="F355" s="1572"/>
      <c r="G355" s="1572"/>
      <c r="H355" s="1572"/>
      <c r="I355" s="1572"/>
      <c r="J355" s="1572"/>
      <c r="K355" s="1572"/>
      <c r="L355" s="1572"/>
      <c r="M355" s="1572"/>
      <c r="N355" s="1573"/>
      <c r="O355" s="8"/>
      <c r="P355" s="20"/>
      <c r="Q355" s="20"/>
      <c r="R355" s="8"/>
      <c r="S355" s="8"/>
      <c r="T355" s="8"/>
      <c r="U355" s="65"/>
      <c r="V355" s="65"/>
      <c r="W355" s="65"/>
      <c r="X355" s="65"/>
      <c r="Y355" s="36">
        <f t="shared" ref="Y355:AE355" si="295">+Y356+Y367+Y394+Y407</f>
        <v>337.4</v>
      </c>
      <c r="Z355" s="36">
        <f t="shared" si="295"/>
        <v>400.9</v>
      </c>
      <c r="AA355" s="36">
        <f t="shared" si="295"/>
        <v>565.6</v>
      </c>
      <c r="AB355" s="497">
        <f t="shared" si="295"/>
        <v>0</v>
      </c>
      <c r="AC355" s="36">
        <f t="shared" si="295"/>
        <v>0</v>
      </c>
      <c r="AD355" s="36">
        <f t="shared" si="295"/>
        <v>752.7</v>
      </c>
      <c r="AE355" s="36">
        <f t="shared" si="295"/>
        <v>850</v>
      </c>
      <c r="AF355" s="36">
        <f t="shared" si="280"/>
        <v>2906.6000000000004</v>
      </c>
      <c r="AG355" s="36">
        <f t="shared" ref="AG355:AL355" si="296">+AG356+AG367+AG394+AG407</f>
        <v>335</v>
      </c>
      <c r="AH355" s="36">
        <f t="shared" si="296"/>
        <v>378</v>
      </c>
      <c r="AI355" s="36">
        <f t="shared" si="296"/>
        <v>652</v>
      </c>
      <c r="AJ355" s="36">
        <f t="shared" si="296"/>
        <v>0</v>
      </c>
      <c r="AK355" s="36">
        <f t="shared" si="296"/>
        <v>0</v>
      </c>
      <c r="AL355" s="36">
        <f t="shared" si="296"/>
        <v>1800</v>
      </c>
      <c r="AM355" s="36">
        <f t="shared" si="282"/>
        <v>3165</v>
      </c>
      <c r="AN355" s="36">
        <f t="shared" ref="AN355:AT355" si="297">+AN356+AN367+AN394+AN407</f>
        <v>332.4</v>
      </c>
      <c r="AO355" s="36">
        <f t="shared" si="297"/>
        <v>399.5</v>
      </c>
      <c r="AP355" s="36">
        <f t="shared" si="297"/>
        <v>552</v>
      </c>
      <c r="AQ355" s="36">
        <f t="shared" si="297"/>
        <v>0</v>
      </c>
      <c r="AR355" s="36">
        <f t="shared" si="297"/>
        <v>0</v>
      </c>
      <c r="AS355" s="36">
        <f t="shared" si="297"/>
        <v>0</v>
      </c>
      <c r="AT355" s="36">
        <f t="shared" si="297"/>
        <v>0</v>
      </c>
      <c r="AU355" s="36">
        <f t="shared" si="284"/>
        <v>1283.9000000000001</v>
      </c>
      <c r="AV355" s="36">
        <f t="shared" ref="AV355:BB355" si="298">+AV356+AV367+AV394+AV407</f>
        <v>348</v>
      </c>
      <c r="AW355" s="36">
        <f t="shared" si="298"/>
        <v>392</v>
      </c>
      <c r="AX355" s="36">
        <f t="shared" si="298"/>
        <v>572</v>
      </c>
      <c r="AY355" s="36">
        <f t="shared" si="298"/>
        <v>0</v>
      </c>
      <c r="AZ355" s="36">
        <f t="shared" si="298"/>
        <v>0</v>
      </c>
      <c r="BA355" s="36">
        <f t="shared" si="298"/>
        <v>0</v>
      </c>
      <c r="BB355" s="36">
        <f t="shared" si="298"/>
        <v>0</v>
      </c>
      <c r="BC355" s="36">
        <f t="shared" si="286"/>
        <v>1312</v>
      </c>
      <c r="BD355" s="36">
        <f t="shared" si="272"/>
        <v>1352.8</v>
      </c>
      <c r="BE355" s="36">
        <f t="shared" si="273"/>
        <v>1570.4</v>
      </c>
      <c r="BF355" s="36">
        <f t="shared" si="274"/>
        <v>2341.6</v>
      </c>
      <c r="BG355" s="36">
        <f t="shared" si="275"/>
        <v>0</v>
      </c>
      <c r="BH355" s="36">
        <f t="shared" si="276"/>
        <v>0</v>
      </c>
      <c r="BI355" s="36">
        <f t="shared" si="271"/>
        <v>752.7</v>
      </c>
      <c r="BJ355" s="36">
        <f t="shared" si="277"/>
        <v>2650</v>
      </c>
      <c r="BK355" s="36">
        <f t="shared" si="278"/>
        <v>8667.5</v>
      </c>
      <c r="BL355" s="40">
        <f t="shared" si="261"/>
        <v>8667.5</v>
      </c>
    </row>
    <row r="356" spans="1:64" ht="20.399999999999999" x14ac:dyDescent="0.25">
      <c r="A356" s="420"/>
      <c r="B356" s="1565" t="s">
        <v>1095</v>
      </c>
      <c r="C356" s="1566"/>
      <c r="D356" s="1566"/>
      <c r="E356" s="1566"/>
      <c r="F356" s="1566"/>
      <c r="G356" s="1566"/>
      <c r="H356" s="1566"/>
      <c r="I356" s="1566"/>
      <c r="J356" s="1566"/>
      <c r="K356" s="1566"/>
      <c r="L356" s="1566"/>
      <c r="M356" s="1567"/>
      <c r="N356" s="597"/>
      <c r="O356" s="597"/>
      <c r="P356" s="598"/>
      <c r="Q356" s="598"/>
      <c r="R356" s="597"/>
      <c r="S356" s="597"/>
      <c r="T356" s="597"/>
      <c r="U356" s="599"/>
      <c r="V356" s="599"/>
      <c r="W356" s="599"/>
      <c r="X356" s="599"/>
      <c r="Y356" s="600">
        <f>+Y357</f>
        <v>20</v>
      </c>
      <c r="Z356" s="600">
        <f t="shared" ref="Z356:AE356" si="299">+Z357</f>
        <v>50.9</v>
      </c>
      <c r="AA356" s="600">
        <f t="shared" si="299"/>
        <v>29</v>
      </c>
      <c r="AB356" s="600">
        <f t="shared" si="299"/>
        <v>0</v>
      </c>
      <c r="AC356" s="600">
        <f t="shared" si="299"/>
        <v>0</v>
      </c>
      <c r="AD356" s="600">
        <f t="shared" si="299"/>
        <v>126</v>
      </c>
      <c r="AE356" s="600">
        <f t="shared" si="299"/>
        <v>850</v>
      </c>
      <c r="AF356" s="600">
        <f t="shared" ref="AF356:AF364" si="300">SUM(Y356:AE356)</f>
        <v>1075.9000000000001</v>
      </c>
      <c r="AG356" s="600">
        <f t="shared" ref="AG356:AL356" si="301">+AG357</f>
        <v>20</v>
      </c>
      <c r="AH356" s="600">
        <f t="shared" si="301"/>
        <v>53</v>
      </c>
      <c r="AI356" s="600">
        <f t="shared" si="301"/>
        <v>40</v>
      </c>
      <c r="AJ356" s="600">
        <f t="shared" si="301"/>
        <v>0</v>
      </c>
      <c r="AK356" s="600">
        <f t="shared" si="301"/>
        <v>0</v>
      </c>
      <c r="AL356" s="600">
        <f t="shared" si="301"/>
        <v>1500</v>
      </c>
      <c r="AM356" s="600">
        <f>SUM(AG356:AL356)</f>
        <v>1613</v>
      </c>
      <c r="AN356" s="600">
        <f t="shared" ref="AN356:AT356" si="302">+AN357</f>
        <v>21.4</v>
      </c>
      <c r="AO356" s="600">
        <f t="shared" si="302"/>
        <v>54.5</v>
      </c>
      <c r="AP356" s="600">
        <f t="shared" si="302"/>
        <v>31</v>
      </c>
      <c r="AQ356" s="600">
        <f t="shared" si="302"/>
        <v>0</v>
      </c>
      <c r="AR356" s="600">
        <f t="shared" si="302"/>
        <v>0</v>
      </c>
      <c r="AS356" s="600">
        <f t="shared" si="302"/>
        <v>0</v>
      </c>
      <c r="AT356" s="600">
        <f t="shared" si="302"/>
        <v>0</v>
      </c>
      <c r="AU356" s="600">
        <f>SUM(AN356:AT356)</f>
        <v>106.9</v>
      </c>
      <c r="AV356" s="600">
        <f t="shared" ref="AV356:BB356" si="303">+AV357</f>
        <v>22</v>
      </c>
      <c r="AW356" s="600">
        <f t="shared" si="303"/>
        <v>57</v>
      </c>
      <c r="AX356" s="600">
        <f t="shared" si="303"/>
        <v>32</v>
      </c>
      <c r="AY356" s="600">
        <f t="shared" si="303"/>
        <v>0</v>
      </c>
      <c r="AZ356" s="600">
        <f t="shared" si="303"/>
        <v>0</v>
      </c>
      <c r="BA356" s="600">
        <f t="shared" si="303"/>
        <v>0</v>
      </c>
      <c r="BB356" s="600">
        <f t="shared" si="303"/>
        <v>0</v>
      </c>
      <c r="BC356" s="600">
        <f>SUM(AV356:BB356)</f>
        <v>111</v>
      </c>
      <c r="BD356" s="33">
        <f t="shared" si="272"/>
        <v>83.4</v>
      </c>
      <c r="BE356" s="33">
        <f t="shared" si="273"/>
        <v>215.4</v>
      </c>
      <c r="BF356" s="33">
        <f t="shared" si="274"/>
        <v>132</v>
      </c>
      <c r="BG356" s="33">
        <f t="shared" si="275"/>
        <v>0</v>
      </c>
      <c r="BH356" s="33">
        <f t="shared" si="276"/>
        <v>0</v>
      </c>
      <c r="BI356" s="33">
        <f t="shared" si="271"/>
        <v>126</v>
      </c>
      <c r="BJ356" s="33">
        <f t="shared" si="277"/>
        <v>2350</v>
      </c>
      <c r="BK356" s="33">
        <f t="shared" si="278"/>
        <v>2906.8</v>
      </c>
      <c r="BL356" s="40">
        <f t="shared" si="261"/>
        <v>2906.8</v>
      </c>
    </row>
    <row r="357" spans="1:64" ht="39.6" x14ac:dyDescent="0.25">
      <c r="A357" s="603"/>
      <c r="B357" s="24" t="s">
        <v>1095</v>
      </c>
      <c r="C357" s="6"/>
      <c r="D357" s="2" t="s">
        <v>1096</v>
      </c>
      <c r="E357" s="1"/>
      <c r="F357" s="1"/>
      <c r="G357" s="1"/>
      <c r="H357" s="1"/>
      <c r="I357" s="1"/>
      <c r="J357" s="1"/>
      <c r="K357" s="1"/>
      <c r="L357" s="1"/>
      <c r="M357" s="1"/>
      <c r="N357" s="1"/>
      <c r="O357" s="1"/>
      <c r="P357" s="22"/>
      <c r="Q357" s="22"/>
      <c r="R357" s="1"/>
      <c r="S357" s="1"/>
      <c r="T357" s="1"/>
      <c r="U357" s="49"/>
      <c r="V357" s="49"/>
      <c r="W357" s="49"/>
      <c r="X357" s="49"/>
      <c r="Y357" s="34">
        <f t="shared" ref="Y357:AE357" si="304">SUM(Y358:Y365)</f>
        <v>20</v>
      </c>
      <c r="Z357" s="34">
        <f t="shared" si="304"/>
        <v>50.9</v>
      </c>
      <c r="AA357" s="34">
        <f t="shared" si="304"/>
        <v>29</v>
      </c>
      <c r="AB357" s="34">
        <f t="shared" si="304"/>
        <v>0</v>
      </c>
      <c r="AC357" s="34">
        <f t="shared" si="304"/>
        <v>0</v>
      </c>
      <c r="AD357" s="34">
        <f t="shared" si="304"/>
        <v>126</v>
      </c>
      <c r="AE357" s="34">
        <f t="shared" si="304"/>
        <v>850</v>
      </c>
      <c r="AF357" s="34">
        <f t="shared" si="300"/>
        <v>1075.9000000000001</v>
      </c>
      <c r="AG357" s="34">
        <f>SUM(AG358:AG366)</f>
        <v>20</v>
      </c>
      <c r="AH357" s="34">
        <f>SUM(AH358:AH365)</f>
        <v>53</v>
      </c>
      <c r="AI357" s="34">
        <f>SUM(AI358:AI365)</f>
        <v>40</v>
      </c>
      <c r="AJ357" s="34">
        <f>SUM(AJ358:AJ365)</f>
        <v>0</v>
      </c>
      <c r="AK357" s="34">
        <f>SUM(AK358:AK365)</f>
        <v>0</v>
      </c>
      <c r="AL357" s="34">
        <f>SUM(AL358:AL365)</f>
        <v>1500</v>
      </c>
      <c r="AM357" s="34">
        <f>SUM(AG357:AL357)</f>
        <v>1613</v>
      </c>
      <c r="AN357" s="34">
        <f t="shared" ref="AN357:AT357" si="305">SUM(AN358:AN365)</f>
        <v>21.4</v>
      </c>
      <c r="AO357" s="34">
        <f t="shared" si="305"/>
        <v>54.5</v>
      </c>
      <c r="AP357" s="34">
        <f t="shared" si="305"/>
        <v>31</v>
      </c>
      <c r="AQ357" s="34">
        <f t="shared" si="305"/>
        <v>0</v>
      </c>
      <c r="AR357" s="34">
        <f t="shared" si="305"/>
        <v>0</v>
      </c>
      <c r="AS357" s="34">
        <f t="shared" si="305"/>
        <v>0</v>
      </c>
      <c r="AT357" s="34">
        <f t="shared" si="305"/>
        <v>0</v>
      </c>
      <c r="AU357" s="34">
        <f>SUM(AN357:AT357)</f>
        <v>106.9</v>
      </c>
      <c r="AV357" s="34">
        <f t="shared" ref="AV357:BB357" si="306">SUM(AV358:AV365)</f>
        <v>22</v>
      </c>
      <c r="AW357" s="34">
        <f t="shared" si="306"/>
        <v>57</v>
      </c>
      <c r="AX357" s="34">
        <f t="shared" si="306"/>
        <v>32</v>
      </c>
      <c r="AY357" s="34">
        <f t="shared" si="306"/>
        <v>0</v>
      </c>
      <c r="AZ357" s="34">
        <f t="shared" si="306"/>
        <v>0</v>
      </c>
      <c r="BA357" s="34">
        <f t="shared" si="306"/>
        <v>0</v>
      </c>
      <c r="BB357" s="34">
        <f t="shared" si="306"/>
        <v>0</v>
      </c>
      <c r="BC357" s="34">
        <f>SUM(AV357:BB357)</f>
        <v>111</v>
      </c>
      <c r="BD357" s="34">
        <f t="shared" si="272"/>
        <v>83.4</v>
      </c>
      <c r="BE357" s="34">
        <f t="shared" si="273"/>
        <v>215.4</v>
      </c>
      <c r="BF357" s="34">
        <f t="shared" si="274"/>
        <v>132</v>
      </c>
      <c r="BG357" s="34">
        <f t="shared" si="275"/>
        <v>0</v>
      </c>
      <c r="BH357" s="34">
        <f t="shared" si="276"/>
        <v>0</v>
      </c>
      <c r="BI357" s="34">
        <f t="shared" si="271"/>
        <v>126</v>
      </c>
      <c r="BJ357" s="34">
        <f t="shared" si="277"/>
        <v>2350</v>
      </c>
      <c r="BK357" s="34">
        <f t="shared" si="278"/>
        <v>2906.8</v>
      </c>
      <c r="BL357" s="40">
        <f t="shared" si="261"/>
        <v>2906.8</v>
      </c>
    </row>
    <row r="358" spans="1:64" ht="78" customHeight="1" x14ac:dyDescent="0.25">
      <c r="A358" s="298" t="s">
        <v>1097</v>
      </c>
      <c r="B358" s="299" t="s">
        <v>1095</v>
      </c>
      <c r="C358" s="1546" t="s">
        <v>1098</v>
      </c>
      <c r="D358" s="1549" t="s">
        <v>1099</v>
      </c>
      <c r="E358" s="1549" t="s">
        <v>1100</v>
      </c>
      <c r="F358" s="1549">
        <v>2015</v>
      </c>
      <c r="G358" s="1549" t="s">
        <v>177</v>
      </c>
      <c r="H358" s="1549">
        <v>80</v>
      </c>
      <c r="I358" s="1425" t="s">
        <v>53</v>
      </c>
      <c r="J358" s="1425"/>
      <c r="K358" s="1425" t="s">
        <v>1101</v>
      </c>
      <c r="L358" s="301" t="s">
        <v>179</v>
      </c>
      <c r="M358" s="1425" t="s">
        <v>1102</v>
      </c>
      <c r="N358" s="1425" t="s">
        <v>2484</v>
      </c>
      <c r="O358" s="1425" t="s">
        <v>47</v>
      </c>
      <c r="P358" s="16" t="s">
        <v>1104</v>
      </c>
      <c r="Q358" s="302" t="s">
        <v>1105</v>
      </c>
      <c r="R358" s="303">
        <v>2015</v>
      </c>
      <c r="S358" s="303">
        <v>0</v>
      </c>
      <c r="T358" s="303">
        <v>1</v>
      </c>
      <c r="U358" s="572">
        <v>1</v>
      </c>
      <c r="V358" s="572">
        <v>1</v>
      </c>
      <c r="W358" s="572">
        <v>1</v>
      </c>
      <c r="X358" s="572">
        <f t="shared" ref="X358:X363" si="307">SUBTOTAL(9,T358:W358)</f>
        <v>4</v>
      </c>
      <c r="Y358" s="481"/>
      <c r="Z358" s="481"/>
      <c r="AA358" s="481"/>
      <c r="AB358" s="481"/>
      <c r="AC358" s="481"/>
      <c r="AD358" s="481">
        <v>22.1</v>
      </c>
      <c r="AE358" s="481"/>
      <c r="AF358" s="481">
        <f t="shared" si="300"/>
        <v>22.1</v>
      </c>
      <c r="AG358" s="548"/>
      <c r="AH358" s="548"/>
      <c r="AI358" s="548"/>
      <c r="AJ358" s="548"/>
      <c r="AK358" s="548"/>
      <c r="AL358" s="548">
        <v>1000</v>
      </c>
      <c r="AM358" s="548">
        <f>SUM(AG358:AL358)</f>
        <v>1000</v>
      </c>
      <c r="AN358" s="481">
        <v>21.4</v>
      </c>
      <c r="AO358" s="481"/>
      <c r="AP358" s="481">
        <v>31</v>
      </c>
      <c r="AQ358" s="481"/>
      <c r="AR358" s="481"/>
      <c r="AS358" s="481"/>
      <c r="AT358" s="481"/>
      <c r="AU358" s="481">
        <f>SUM(AN358:AT358)</f>
        <v>52.4</v>
      </c>
      <c r="AV358" s="548">
        <v>22</v>
      </c>
      <c r="AW358" s="548">
        <v>57</v>
      </c>
      <c r="AX358" s="491">
        <v>20</v>
      </c>
      <c r="AY358" s="548"/>
      <c r="AZ358" s="548"/>
      <c r="BA358" s="548"/>
      <c r="BB358" s="548"/>
      <c r="BC358" s="548">
        <f>SUM(AV358:BB358)</f>
        <v>99</v>
      </c>
      <c r="BD358" s="42">
        <f t="shared" si="272"/>
        <v>43.4</v>
      </c>
      <c r="BE358" s="42">
        <f t="shared" si="273"/>
        <v>57</v>
      </c>
      <c r="BF358" s="42">
        <f t="shared" si="274"/>
        <v>51</v>
      </c>
      <c r="BG358" s="42">
        <f t="shared" si="275"/>
        <v>0</v>
      </c>
      <c r="BH358" s="42">
        <f t="shared" si="276"/>
        <v>0</v>
      </c>
      <c r="BI358" s="42">
        <f t="shared" si="271"/>
        <v>22.1</v>
      </c>
      <c r="BJ358" s="42">
        <f t="shared" si="277"/>
        <v>1000</v>
      </c>
      <c r="BK358" s="42">
        <f t="shared" si="278"/>
        <v>1173.5</v>
      </c>
      <c r="BL358" s="40">
        <f t="shared" si="261"/>
        <v>1173.5</v>
      </c>
    </row>
    <row r="359" spans="1:64" ht="64.5" customHeight="1" x14ac:dyDescent="0.25">
      <c r="A359" s="298" t="s">
        <v>1097</v>
      </c>
      <c r="B359" s="299" t="s">
        <v>1095</v>
      </c>
      <c r="C359" s="1547"/>
      <c r="D359" s="1549"/>
      <c r="E359" s="1549"/>
      <c r="F359" s="1549"/>
      <c r="G359" s="1549"/>
      <c r="H359" s="1549"/>
      <c r="I359" s="1425" t="s">
        <v>1106</v>
      </c>
      <c r="J359" s="1425"/>
      <c r="K359" s="1425" t="s">
        <v>1107</v>
      </c>
      <c r="L359" s="301" t="s">
        <v>179</v>
      </c>
      <c r="M359" s="1425" t="s">
        <v>1102</v>
      </c>
      <c r="N359" s="1425" t="s">
        <v>2484</v>
      </c>
      <c r="O359" s="1425" t="s">
        <v>47</v>
      </c>
      <c r="P359" s="16" t="s">
        <v>1108</v>
      </c>
      <c r="Q359" s="302" t="s">
        <v>1109</v>
      </c>
      <c r="R359" s="303">
        <v>2015</v>
      </c>
      <c r="S359" s="303">
        <v>1</v>
      </c>
      <c r="T359" s="303">
        <v>1</v>
      </c>
      <c r="U359" s="572">
        <v>1</v>
      </c>
      <c r="V359" s="572">
        <v>1</v>
      </c>
      <c r="W359" s="572">
        <v>0</v>
      </c>
      <c r="X359" s="572">
        <f t="shared" si="307"/>
        <v>3</v>
      </c>
      <c r="Y359" s="481"/>
      <c r="Z359" s="481">
        <v>50.9</v>
      </c>
      <c r="AA359" s="481"/>
      <c r="AB359" s="481"/>
      <c r="AC359" s="481"/>
      <c r="AD359" s="481">
        <f>17.8+81.1</f>
        <v>98.899999999999991</v>
      </c>
      <c r="AE359" s="481"/>
      <c r="AF359" s="481">
        <f t="shared" si="300"/>
        <v>149.79999999999998</v>
      </c>
      <c r="AG359" s="548"/>
      <c r="AH359" s="491">
        <v>52</v>
      </c>
      <c r="AI359" s="548"/>
      <c r="AJ359" s="548"/>
      <c r="AK359" s="548"/>
      <c r="AL359" s="548"/>
      <c r="AM359" s="548">
        <f t="shared" ref="AM359:AM364" si="308">SUM(AG359:AL359)</f>
        <v>52</v>
      </c>
      <c r="AN359" s="481"/>
      <c r="AO359" s="491">
        <v>40</v>
      </c>
      <c r="AP359" s="481"/>
      <c r="AQ359" s="481"/>
      <c r="AR359" s="481"/>
      <c r="AS359" s="481"/>
      <c r="AT359" s="481"/>
      <c r="AU359" s="481">
        <f t="shared" ref="AU359:AU364" si="309">SUM(AN359:AT359)</f>
        <v>40</v>
      </c>
      <c r="AV359" s="548"/>
      <c r="AW359" s="548"/>
      <c r="AX359" s="548"/>
      <c r="AY359" s="548"/>
      <c r="AZ359" s="548"/>
      <c r="BA359" s="548"/>
      <c r="BB359" s="548"/>
      <c r="BC359" s="548">
        <f t="shared" ref="BC359:BC364" si="310">SUM(AV359:BB359)</f>
        <v>0</v>
      </c>
      <c r="BD359" s="42">
        <f t="shared" si="272"/>
        <v>0</v>
      </c>
      <c r="BE359" s="42">
        <f t="shared" si="273"/>
        <v>142.9</v>
      </c>
      <c r="BF359" s="42">
        <f t="shared" si="274"/>
        <v>0</v>
      </c>
      <c r="BG359" s="42">
        <f t="shared" si="275"/>
        <v>0</v>
      </c>
      <c r="BH359" s="42">
        <f t="shared" si="276"/>
        <v>0</v>
      </c>
      <c r="BI359" s="42">
        <f t="shared" si="271"/>
        <v>98.899999999999991</v>
      </c>
      <c r="BJ359" s="42">
        <f t="shared" si="277"/>
        <v>0</v>
      </c>
      <c r="BK359" s="42">
        <f t="shared" si="278"/>
        <v>241.79999999999998</v>
      </c>
      <c r="BL359" s="40">
        <f t="shared" si="261"/>
        <v>241.79999999999998</v>
      </c>
    </row>
    <row r="360" spans="1:64" ht="54" customHeight="1" x14ac:dyDescent="0.25">
      <c r="A360" s="298" t="s">
        <v>1097</v>
      </c>
      <c r="B360" s="299" t="s">
        <v>1095</v>
      </c>
      <c r="C360" s="1547"/>
      <c r="D360" s="1549"/>
      <c r="E360" s="1549"/>
      <c r="F360" s="1549"/>
      <c r="G360" s="1549"/>
      <c r="H360" s="1549"/>
      <c r="I360" s="1425" t="s">
        <v>53</v>
      </c>
      <c r="J360" s="1425"/>
      <c r="K360" s="1425" t="s">
        <v>1110</v>
      </c>
      <c r="L360" s="301" t="s">
        <v>179</v>
      </c>
      <c r="M360" s="1425" t="s">
        <v>1102</v>
      </c>
      <c r="N360" s="1425" t="s">
        <v>2484</v>
      </c>
      <c r="O360" s="1425" t="s">
        <v>47</v>
      </c>
      <c r="P360" s="16" t="s">
        <v>1111</v>
      </c>
      <c r="Q360" s="302" t="s">
        <v>1112</v>
      </c>
      <c r="R360" s="303">
        <v>2015</v>
      </c>
      <c r="S360" s="303">
        <v>0</v>
      </c>
      <c r="T360" s="303">
        <v>0</v>
      </c>
      <c r="U360" s="572">
        <v>1</v>
      </c>
      <c r="V360" s="572">
        <v>0</v>
      </c>
      <c r="W360" s="572">
        <v>0</v>
      </c>
      <c r="X360" s="572">
        <f t="shared" si="307"/>
        <v>1</v>
      </c>
      <c r="Y360" s="481"/>
      <c r="Z360" s="481"/>
      <c r="AA360" s="481"/>
      <c r="AB360" s="481"/>
      <c r="AC360" s="481"/>
      <c r="AD360" s="481"/>
      <c r="AE360" s="481"/>
      <c r="AF360" s="481">
        <f t="shared" si="300"/>
        <v>0</v>
      </c>
      <c r="AG360" s="548"/>
      <c r="AH360" s="548">
        <v>1</v>
      </c>
      <c r="AI360" s="548"/>
      <c r="AJ360" s="548"/>
      <c r="AK360" s="548"/>
      <c r="AL360" s="548"/>
      <c r="AM360" s="548">
        <f t="shared" si="308"/>
        <v>1</v>
      </c>
      <c r="AN360" s="481"/>
      <c r="AO360" s="481"/>
      <c r="AP360" s="481"/>
      <c r="AQ360" s="481"/>
      <c r="AR360" s="481"/>
      <c r="AS360" s="481"/>
      <c r="AT360" s="481"/>
      <c r="AU360" s="481">
        <f t="shared" si="309"/>
        <v>0</v>
      </c>
      <c r="AV360" s="548"/>
      <c r="AW360" s="548"/>
      <c r="AX360" s="548"/>
      <c r="AY360" s="548"/>
      <c r="AZ360" s="548"/>
      <c r="BA360" s="548"/>
      <c r="BB360" s="548"/>
      <c r="BC360" s="548">
        <f t="shared" si="310"/>
        <v>0</v>
      </c>
      <c r="BD360" s="42">
        <f t="shared" si="272"/>
        <v>0</v>
      </c>
      <c r="BE360" s="42">
        <f t="shared" si="273"/>
        <v>1</v>
      </c>
      <c r="BF360" s="42">
        <f t="shared" si="274"/>
        <v>0</v>
      </c>
      <c r="BG360" s="42">
        <f t="shared" si="275"/>
        <v>0</v>
      </c>
      <c r="BH360" s="42">
        <f t="shared" si="276"/>
        <v>0</v>
      </c>
      <c r="BI360" s="42">
        <f t="shared" si="271"/>
        <v>0</v>
      </c>
      <c r="BJ360" s="42">
        <f t="shared" si="277"/>
        <v>0</v>
      </c>
      <c r="BK360" s="42">
        <f t="shared" si="278"/>
        <v>1</v>
      </c>
      <c r="BL360" s="40">
        <f t="shared" si="261"/>
        <v>1</v>
      </c>
    </row>
    <row r="361" spans="1:64" ht="64.5" customHeight="1" x14ac:dyDescent="0.25">
      <c r="A361" s="298" t="s">
        <v>1097</v>
      </c>
      <c r="B361" s="299" t="s">
        <v>1095</v>
      </c>
      <c r="C361" s="1547"/>
      <c r="D361" s="1549"/>
      <c r="E361" s="1549"/>
      <c r="F361" s="1549"/>
      <c r="G361" s="1549"/>
      <c r="H361" s="1549"/>
      <c r="I361" s="1425" t="s">
        <v>53</v>
      </c>
      <c r="J361" s="1425"/>
      <c r="K361" s="1425" t="s">
        <v>1113</v>
      </c>
      <c r="L361" s="301" t="s">
        <v>179</v>
      </c>
      <c r="M361" s="1425" t="s">
        <v>1102</v>
      </c>
      <c r="N361" s="1425" t="s">
        <v>2484</v>
      </c>
      <c r="O361" s="1425" t="s">
        <v>47</v>
      </c>
      <c r="P361" s="16" t="s">
        <v>1114</v>
      </c>
      <c r="Q361" s="302" t="s">
        <v>1115</v>
      </c>
      <c r="R361" s="303">
        <v>2015</v>
      </c>
      <c r="S361" s="303">
        <v>0</v>
      </c>
      <c r="T361" s="303">
        <v>1</v>
      </c>
      <c r="U361" s="572">
        <v>0</v>
      </c>
      <c r="V361" s="572">
        <v>0</v>
      </c>
      <c r="W361" s="572">
        <v>0</v>
      </c>
      <c r="X361" s="572">
        <f t="shared" si="307"/>
        <v>1</v>
      </c>
      <c r="Y361" s="481">
        <v>20</v>
      </c>
      <c r="Z361" s="481"/>
      <c r="AA361" s="481"/>
      <c r="AB361" s="481"/>
      <c r="AC361" s="481"/>
      <c r="AD361" s="481">
        <v>5</v>
      </c>
      <c r="AE361" s="481"/>
      <c r="AF361" s="481">
        <f t="shared" si="300"/>
        <v>25</v>
      </c>
      <c r="AG361" s="548"/>
      <c r="AH361" s="548"/>
      <c r="AI361" s="548"/>
      <c r="AJ361" s="548"/>
      <c r="AK361" s="548"/>
      <c r="AL361" s="548"/>
      <c r="AM361" s="548">
        <f t="shared" si="308"/>
        <v>0</v>
      </c>
      <c r="AN361" s="481"/>
      <c r="AO361" s="481"/>
      <c r="AP361" s="481"/>
      <c r="AQ361" s="481"/>
      <c r="AR361" s="481"/>
      <c r="AS361" s="481"/>
      <c r="AT361" s="481"/>
      <c r="AU361" s="481">
        <f t="shared" si="309"/>
        <v>0</v>
      </c>
      <c r="AV361" s="548"/>
      <c r="AW361" s="548"/>
      <c r="AX361" s="548"/>
      <c r="AY361" s="548"/>
      <c r="AZ361" s="548"/>
      <c r="BA361" s="548"/>
      <c r="BB361" s="548"/>
      <c r="BC361" s="548">
        <f t="shared" si="310"/>
        <v>0</v>
      </c>
      <c r="BD361" s="42">
        <f t="shared" si="272"/>
        <v>20</v>
      </c>
      <c r="BE361" s="42">
        <f t="shared" si="273"/>
        <v>0</v>
      </c>
      <c r="BF361" s="42">
        <f t="shared" si="274"/>
        <v>0</v>
      </c>
      <c r="BG361" s="42">
        <f t="shared" si="275"/>
        <v>0</v>
      </c>
      <c r="BH361" s="42">
        <f t="shared" si="276"/>
        <v>0</v>
      </c>
      <c r="BI361" s="42">
        <f t="shared" si="271"/>
        <v>5</v>
      </c>
      <c r="BJ361" s="42">
        <f t="shared" si="277"/>
        <v>0</v>
      </c>
      <c r="BK361" s="42">
        <f t="shared" si="278"/>
        <v>25</v>
      </c>
      <c r="BL361" s="40">
        <f t="shared" si="261"/>
        <v>25</v>
      </c>
    </row>
    <row r="362" spans="1:64" ht="45.75" customHeight="1" x14ac:dyDescent="0.25">
      <c r="A362" s="298" t="s">
        <v>1097</v>
      </c>
      <c r="B362" s="299" t="s">
        <v>1095</v>
      </c>
      <c r="C362" s="1547"/>
      <c r="D362" s="1549"/>
      <c r="E362" s="1549"/>
      <c r="F362" s="1549"/>
      <c r="G362" s="1549"/>
      <c r="H362" s="1549"/>
      <c r="I362" s="1425" t="s">
        <v>53</v>
      </c>
      <c r="J362" s="1425"/>
      <c r="K362" s="1425" t="s">
        <v>1116</v>
      </c>
      <c r="L362" s="301" t="s">
        <v>179</v>
      </c>
      <c r="M362" s="1425" t="s">
        <v>1102</v>
      </c>
      <c r="N362" s="1425" t="s">
        <v>2484</v>
      </c>
      <c r="O362" s="1425" t="s">
        <v>47</v>
      </c>
      <c r="P362" s="16" t="s">
        <v>1117</v>
      </c>
      <c r="Q362" s="302" t="s">
        <v>1118</v>
      </c>
      <c r="R362" s="303">
        <v>2015</v>
      </c>
      <c r="S362" s="303">
        <v>0</v>
      </c>
      <c r="T362" s="303">
        <v>0</v>
      </c>
      <c r="U362" s="572">
        <v>1</v>
      </c>
      <c r="V362" s="572">
        <v>0</v>
      </c>
      <c r="W362" s="572">
        <v>0</v>
      </c>
      <c r="X362" s="572">
        <f t="shared" si="307"/>
        <v>1</v>
      </c>
      <c r="Y362" s="481"/>
      <c r="Z362" s="481"/>
      <c r="AA362" s="481"/>
      <c r="AB362" s="481"/>
      <c r="AC362" s="481"/>
      <c r="AD362" s="481"/>
      <c r="AE362" s="481"/>
      <c r="AF362" s="481">
        <f t="shared" si="300"/>
        <v>0</v>
      </c>
      <c r="AG362" s="491">
        <v>10</v>
      </c>
      <c r="AH362" s="548"/>
      <c r="AI362" s="548"/>
      <c r="AJ362" s="548"/>
      <c r="AK362" s="548"/>
      <c r="AL362" s="548">
        <v>500</v>
      </c>
      <c r="AM362" s="548">
        <f t="shared" si="308"/>
        <v>510</v>
      </c>
      <c r="AN362" s="481"/>
      <c r="AO362" s="481"/>
      <c r="AP362" s="481"/>
      <c r="AQ362" s="481"/>
      <c r="AR362" s="481"/>
      <c r="AS362" s="481"/>
      <c r="AT362" s="481"/>
      <c r="AU362" s="481">
        <f t="shared" si="309"/>
        <v>0</v>
      </c>
      <c r="AV362" s="548"/>
      <c r="AW362" s="548"/>
      <c r="AX362" s="548"/>
      <c r="AY362" s="548"/>
      <c r="AZ362" s="548"/>
      <c r="BA362" s="548"/>
      <c r="BB362" s="548"/>
      <c r="BC362" s="548">
        <f t="shared" si="310"/>
        <v>0</v>
      </c>
      <c r="BD362" s="42">
        <f t="shared" si="272"/>
        <v>10</v>
      </c>
      <c r="BE362" s="42">
        <f t="shared" si="273"/>
        <v>0</v>
      </c>
      <c r="BF362" s="42">
        <f t="shared" si="274"/>
        <v>0</v>
      </c>
      <c r="BG362" s="42">
        <f t="shared" si="275"/>
        <v>0</v>
      </c>
      <c r="BH362" s="42">
        <f t="shared" si="276"/>
        <v>0</v>
      </c>
      <c r="BI362" s="42">
        <f t="shared" si="271"/>
        <v>0</v>
      </c>
      <c r="BJ362" s="42">
        <f t="shared" si="277"/>
        <v>500</v>
      </c>
      <c r="BK362" s="42">
        <f t="shared" si="278"/>
        <v>510</v>
      </c>
      <c r="BL362" s="40">
        <f t="shared" si="261"/>
        <v>510</v>
      </c>
    </row>
    <row r="363" spans="1:64" ht="58.5" customHeight="1" x14ac:dyDescent="0.25">
      <c r="A363" s="298" t="s">
        <v>1097</v>
      </c>
      <c r="B363" s="299" t="s">
        <v>1095</v>
      </c>
      <c r="C363" s="1547"/>
      <c r="D363" s="1549"/>
      <c r="E363" s="1549"/>
      <c r="F363" s="1549"/>
      <c r="G363" s="1549"/>
      <c r="H363" s="1549"/>
      <c r="I363" s="1425"/>
      <c r="J363" s="1425"/>
      <c r="K363" s="1425" t="s">
        <v>1119</v>
      </c>
      <c r="L363" s="301" t="s">
        <v>179</v>
      </c>
      <c r="M363" s="1425" t="s">
        <v>1102</v>
      </c>
      <c r="N363" s="1425" t="s">
        <v>2484</v>
      </c>
      <c r="O363" s="1425" t="s">
        <v>47</v>
      </c>
      <c r="P363" s="16" t="s">
        <v>1120</v>
      </c>
      <c r="Q363" s="302" t="s">
        <v>1121</v>
      </c>
      <c r="R363" s="303">
        <v>2015</v>
      </c>
      <c r="S363" s="303">
        <v>0</v>
      </c>
      <c r="T363" s="303">
        <v>0.5</v>
      </c>
      <c r="U363" s="572">
        <v>0.5</v>
      </c>
      <c r="V363" s="572">
        <v>0</v>
      </c>
      <c r="W363" s="572">
        <v>0</v>
      </c>
      <c r="X363" s="572">
        <f t="shared" si="307"/>
        <v>1</v>
      </c>
      <c r="Y363" s="481"/>
      <c r="Z363" s="481"/>
      <c r="AA363" s="481">
        <v>29</v>
      </c>
      <c r="AB363" s="481"/>
      <c r="AC363" s="481"/>
      <c r="AD363" s="481"/>
      <c r="AE363" s="481">
        <v>850</v>
      </c>
      <c r="AF363" s="481">
        <f t="shared" si="300"/>
        <v>879</v>
      </c>
      <c r="AG363" s="548"/>
      <c r="AH363" s="548"/>
      <c r="AI363" s="548">
        <v>10</v>
      </c>
      <c r="AJ363" s="548"/>
      <c r="AK363" s="548"/>
      <c r="AL363" s="548"/>
      <c r="AM363" s="548">
        <f t="shared" si="308"/>
        <v>10</v>
      </c>
      <c r="AN363" s="481"/>
      <c r="AO363" s="481"/>
      <c r="AP363" s="481"/>
      <c r="AQ363" s="481"/>
      <c r="AR363" s="481"/>
      <c r="AS363" s="481"/>
      <c r="AT363" s="481"/>
      <c r="AU363" s="481">
        <f t="shared" si="309"/>
        <v>0</v>
      </c>
      <c r="AV363" s="548"/>
      <c r="AW363" s="548"/>
      <c r="AX363" s="548"/>
      <c r="AY363" s="548"/>
      <c r="AZ363" s="548"/>
      <c r="BA363" s="548"/>
      <c r="BB363" s="548"/>
      <c r="BC363" s="548">
        <f t="shared" si="310"/>
        <v>0</v>
      </c>
      <c r="BD363" s="42">
        <f t="shared" si="272"/>
        <v>0</v>
      </c>
      <c r="BE363" s="42">
        <f t="shared" si="273"/>
        <v>0</v>
      </c>
      <c r="BF363" s="42">
        <f t="shared" si="274"/>
        <v>39</v>
      </c>
      <c r="BG363" s="42">
        <f t="shared" si="275"/>
        <v>0</v>
      </c>
      <c r="BH363" s="42">
        <f t="shared" si="276"/>
        <v>0</v>
      </c>
      <c r="BI363" s="42">
        <f t="shared" si="271"/>
        <v>0</v>
      </c>
      <c r="BJ363" s="42">
        <f t="shared" si="277"/>
        <v>850</v>
      </c>
      <c r="BK363" s="42">
        <f t="shared" si="278"/>
        <v>889</v>
      </c>
      <c r="BL363" s="40">
        <f t="shared" si="261"/>
        <v>889</v>
      </c>
    </row>
    <row r="364" spans="1:64" ht="43.5" customHeight="1" x14ac:dyDescent="0.25">
      <c r="A364" s="298" t="s">
        <v>1097</v>
      </c>
      <c r="B364" s="299" t="s">
        <v>1095</v>
      </c>
      <c r="C364" s="1547"/>
      <c r="D364" s="1549"/>
      <c r="E364" s="1549"/>
      <c r="F364" s="1549"/>
      <c r="G364" s="1549"/>
      <c r="H364" s="1549"/>
      <c r="I364" s="1425"/>
      <c r="J364" s="1425"/>
      <c r="K364" s="1425" t="s">
        <v>1122</v>
      </c>
      <c r="L364" s="301" t="s">
        <v>179</v>
      </c>
      <c r="M364" s="1425" t="s">
        <v>1102</v>
      </c>
      <c r="N364" s="1425" t="s">
        <v>2484</v>
      </c>
      <c r="O364" s="1425" t="s">
        <v>47</v>
      </c>
      <c r="P364" s="16" t="s">
        <v>1123</v>
      </c>
      <c r="Q364" s="302" t="s">
        <v>1124</v>
      </c>
      <c r="R364" s="303">
        <v>2015</v>
      </c>
      <c r="S364" s="303">
        <v>0</v>
      </c>
      <c r="T364" s="303">
        <v>0</v>
      </c>
      <c r="U364" s="572">
        <v>2</v>
      </c>
      <c r="V364" s="572">
        <v>2</v>
      </c>
      <c r="W364" s="572">
        <v>2</v>
      </c>
      <c r="X364" s="572">
        <v>6</v>
      </c>
      <c r="Y364" s="481"/>
      <c r="Z364" s="481"/>
      <c r="AA364" s="481"/>
      <c r="AB364" s="481"/>
      <c r="AC364" s="481"/>
      <c r="AD364" s="481"/>
      <c r="AE364" s="481"/>
      <c r="AF364" s="481">
        <f t="shared" si="300"/>
        <v>0</v>
      </c>
      <c r="AG364" s="548"/>
      <c r="AH364" s="548"/>
      <c r="AI364" s="491">
        <v>10</v>
      </c>
      <c r="AJ364" s="548"/>
      <c r="AK364" s="548"/>
      <c r="AL364" s="548"/>
      <c r="AM364" s="548">
        <f t="shared" si="308"/>
        <v>10</v>
      </c>
      <c r="AN364" s="481"/>
      <c r="AO364" s="491">
        <v>14.5</v>
      </c>
      <c r="AP364" s="481"/>
      <c r="AQ364" s="481"/>
      <c r="AR364" s="481"/>
      <c r="AS364" s="481"/>
      <c r="AT364" s="481"/>
      <c r="AU364" s="481">
        <f t="shared" si="309"/>
        <v>14.5</v>
      </c>
      <c r="AV364" s="548"/>
      <c r="AW364" s="548"/>
      <c r="AX364" s="491">
        <v>12</v>
      </c>
      <c r="AY364" s="548"/>
      <c r="AZ364" s="548"/>
      <c r="BA364" s="548"/>
      <c r="BB364" s="548"/>
      <c r="BC364" s="548">
        <f t="shared" si="310"/>
        <v>12</v>
      </c>
      <c r="BD364" s="42">
        <f>+AV364+AN364+AG364+Y364</f>
        <v>0</v>
      </c>
      <c r="BE364" s="42">
        <f>+AW364+AO364+AH364+Z364</f>
        <v>14.5</v>
      </c>
      <c r="BF364" s="42">
        <f>+AX364+AP364+AI364+AA364</f>
        <v>22</v>
      </c>
      <c r="BG364" s="42">
        <f>+AY364+AQ364+AJ364+AB364</f>
        <v>0</v>
      </c>
      <c r="BH364" s="42">
        <f>+AZ364+AR364+AK364+AC364</f>
        <v>0</v>
      </c>
      <c r="BI364" s="42">
        <f>+AD364+AS364+BA364</f>
        <v>0</v>
      </c>
      <c r="BJ364" s="42">
        <f t="shared" ref="BJ364:BK366" si="311">+BB364+AT364+AL364+AE364</f>
        <v>0</v>
      </c>
      <c r="BK364" s="42">
        <f t="shared" si="311"/>
        <v>36.5</v>
      </c>
      <c r="BL364" s="40">
        <f t="shared" si="261"/>
        <v>36.5</v>
      </c>
    </row>
    <row r="365" spans="1:64" ht="41.25" customHeight="1" x14ac:dyDescent="0.25">
      <c r="A365" s="298" t="s">
        <v>1097</v>
      </c>
      <c r="B365" s="299" t="s">
        <v>1095</v>
      </c>
      <c r="C365" s="1547"/>
      <c r="D365" s="1549"/>
      <c r="E365" s="1549"/>
      <c r="F365" s="1549"/>
      <c r="G365" s="1549"/>
      <c r="H365" s="1549"/>
      <c r="I365" s="1425"/>
      <c r="J365" s="1425"/>
      <c r="K365" s="1425" t="s">
        <v>1125</v>
      </c>
      <c r="L365" s="301" t="s">
        <v>179</v>
      </c>
      <c r="M365" s="1425" t="s">
        <v>1102</v>
      </c>
      <c r="N365" s="1425" t="s">
        <v>2484</v>
      </c>
      <c r="O365" s="1425" t="s">
        <v>47</v>
      </c>
      <c r="P365" s="16" t="s">
        <v>1127</v>
      </c>
      <c r="Q365" s="302" t="s">
        <v>1128</v>
      </c>
      <c r="R365" s="303">
        <v>2015</v>
      </c>
      <c r="S365" s="303">
        <v>0</v>
      </c>
      <c r="T365" s="303">
        <v>0</v>
      </c>
      <c r="U365" s="572">
        <v>1</v>
      </c>
      <c r="V365" s="572">
        <v>0</v>
      </c>
      <c r="W365" s="572">
        <v>0</v>
      </c>
      <c r="X365" s="572">
        <f>SUBTOTAL(9,T365:W365)</f>
        <v>1</v>
      </c>
      <c r="Y365" s="481"/>
      <c r="Z365" s="481"/>
      <c r="AA365" s="481"/>
      <c r="AB365" s="481"/>
      <c r="AC365" s="481"/>
      <c r="AD365" s="481"/>
      <c r="AE365" s="481"/>
      <c r="AF365" s="481">
        <f>SUM(Y365:AE365)</f>
        <v>0</v>
      </c>
      <c r="AG365" s="548"/>
      <c r="AH365" s="548"/>
      <c r="AI365" s="491">
        <v>20</v>
      </c>
      <c r="AJ365" s="548"/>
      <c r="AK365" s="548"/>
      <c r="AL365" s="548"/>
      <c r="AM365" s="548">
        <f>SUM(AG365:AL365)</f>
        <v>20</v>
      </c>
      <c r="AN365" s="481"/>
      <c r="AO365" s="481"/>
      <c r="AP365" s="481"/>
      <c r="AQ365" s="481"/>
      <c r="AR365" s="481"/>
      <c r="AS365" s="481"/>
      <c r="AT365" s="481"/>
      <c r="AU365" s="481">
        <f>SUM(AN365:AT365)</f>
        <v>0</v>
      </c>
      <c r="AV365" s="548"/>
      <c r="AW365" s="548"/>
      <c r="AX365" s="548"/>
      <c r="AY365" s="548"/>
      <c r="AZ365" s="548"/>
      <c r="BA365" s="548"/>
      <c r="BB365" s="548"/>
      <c r="BC365" s="548">
        <f>SUM(AV365:BB365)</f>
        <v>0</v>
      </c>
      <c r="BD365" s="42">
        <f t="shared" ref="BD365:BH366" si="312">+AV365+AN365+AG365+Y365</f>
        <v>0</v>
      </c>
      <c r="BE365" s="42">
        <f t="shared" si="312"/>
        <v>0</v>
      </c>
      <c r="BF365" s="42">
        <f t="shared" si="312"/>
        <v>20</v>
      </c>
      <c r="BG365" s="42">
        <f t="shared" si="312"/>
        <v>0</v>
      </c>
      <c r="BH365" s="42">
        <f t="shared" si="312"/>
        <v>0</v>
      </c>
      <c r="BI365" s="42">
        <f>+AD365+AS365+BA365</f>
        <v>0</v>
      </c>
      <c r="BJ365" s="42">
        <f t="shared" si="311"/>
        <v>0</v>
      </c>
      <c r="BK365" s="42">
        <f t="shared" si="311"/>
        <v>20</v>
      </c>
      <c r="BL365" s="40">
        <f t="shared" si="261"/>
        <v>20</v>
      </c>
    </row>
    <row r="366" spans="1:64" ht="96" customHeight="1" x14ac:dyDescent="0.25">
      <c r="A366" s="298" t="s">
        <v>1097</v>
      </c>
      <c r="B366" s="299" t="s">
        <v>1095</v>
      </c>
      <c r="C366" s="1548"/>
      <c r="D366" s="1549"/>
      <c r="E366" s="1549"/>
      <c r="F366" s="1549"/>
      <c r="G366" s="1549"/>
      <c r="H366" s="1549"/>
      <c r="I366" s="1425"/>
      <c r="J366" s="1425"/>
      <c r="K366" s="1425" t="s">
        <v>1129</v>
      </c>
      <c r="L366" s="301" t="s">
        <v>179</v>
      </c>
      <c r="M366" s="1425" t="s">
        <v>1102</v>
      </c>
      <c r="N366" s="1425" t="s">
        <v>2484</v>
      </c>
      <c r="O366" s="1425" t="s">
        <v>47</v>
      </c>
      <c r="P366" s="1198" t="s">
        <v>2528</v>
      </c>
      <c r="Q366" s="302" t="s">
        <v>2529</v>
      </c>
      <c r="R366" s="303">
        <v>2015</v>
      </c>
      <c r="S366" s="303">
        <v>0</v>
      </c>
      <c r="T366" s="303">
        <v>0</v>
      </c>
      <c r="U366" s="572">
        <v>1</v>
      </c>
      <c r="V366" s="572">
        <v>0</v>
      </c>
      <c r="W366" s="572">
        <v>0</v>
      </c>
      <c r="X366" s="572">
        <v>1</v>
      </c>
      <c r="Y366" s="481"/>
      <c r="Z366" s="481"/>
      <c r="AA366" s="481"/>
      <c r="AB366" s="481"/>
      <c r="AC366" s="481"/>
      <c r="AD366" s="481"/>
      <c r="AE366" s="481"/>
      <c r="AF366" s="481">
        <f>SUM(Y366:AE366)</f>
        <v>0</v>
      </c>
      <c r="AG366" s="491">
        <v>10</v>
      </c>
      <c r="AH366" s="548"/>
      <c r="AI366" s="548"/>
      <c r="AJ366" s="548"/>
      <c r="AK366" s="548"/>
      <c r="AL366" s="548"/>
      <c r="AM366" s="548">
        <f>SUM(AG366:AL366)</f>
        <v>10</v>
      </c>
      <c r="AN366" s="481"/>
      <c r="AO366" s="481"/>
      <c r="AP366" s="481"/>
      <c r="AQ366" s="481"/>
      <c r="AR366" s="481"/>
      <c r="AS366" s="481"/>
      <c r="AT366" s="481"/>
      <c r="AU366" s="481">
        <f>SUM(AN366:AT366)</f>
        <v>0</v>
      </c>
      <c r="AV366" s="548"/>
      <c r="AW366" s="548"/>
      <c r="AX366" s="548"/>
      <c r="AY366" s="548"/>
      <c r="AZ366" s="548"/>
      <c r="BA366" s="548"/>
      <c r="BB366" s="548"/>
      <c r="BC366" s="548">
        <f>SUM(AV366:BB366)</f>
        <v>0</v>
      </c>
      <c r="BD366" s="42">
        <f t="shared" si="312"/>
        <v>10</v>
      </c>
      <c r="BE366" s="42">
        <f t="shared" si="312"/>
        <v>0</v>
      </c>
      <c r="BF366" s="42">
        <f t="shared" si="312"/>
        <v>0</v>
      </c>
      <c r="BG366" s="42">
        <f t="shared" si="312"/>
        <v>0</v>
      </c>
      <c r="BH366" s="42">
        <f t="shared" si="312"/>
        <v>0</v>
      </c>
      <c r="BI366" s="42">
        <f>+AD366+AS366+BA366</f>
        <v>0</v>
      </c>
      <c r="BJ366" s="42">
        <f t="shared" si="311"/>
        <v>0</v>
      </c>
      <c r="BK366" s="42">
        <f t="shared" si="311"/>
        <v>10</v>
      </c>
      <c r="BL366" s="40">
        <f t="shared" si="261"/>
        <v>10</v>
      </c>
    </row>
    <row r="367" spans="1:64" ht="22.8" x14ac:dyDescent="0.25">
      <c r="A367" s="420"/>
      <c r="B367" s="1568" t="s">
        <v>1133</v>
      </c>
      <c r="C367" s="1569"/>
      <c r="D367" s="1569"/>
      <c r="E367" s="1569"/>
      <c r="F367" s="1569"/>
      <c r="G367" s="1569"/>
      <c r="H367" s="1569"/>
      <c r="I367" s="1569"/>
      <c r="J367" s="1569"/>
      <c r="K367" s="1569"/>
      <c r="L367" s="1569"/>
      <c r="M367" s="1570"/>
      <c r="N367" s="597"/>
      <c r="O367" s="597"/>
      <c r="P367" s="598"/>
      <c r="Q367" s="598"/>
      <c r="R367" s="597"/>
      <c r="S367" s="597"/>
      <c r="T367" s="597"/>
      <c r="U367" s="599"/>
      <c r="V367" s="599"/>
      <c r="W367" s="599"/>
      <c r="X367" s="599"/>
      <c r="Y367" s="600">
        <f>+Y368</f>
        <v>259.5</v>
      </c>
      <c r="Z367" s="600">
        <f t="shared" ref="Z367:BK367" si="313">+Z368</f>
        <v>0</v>
      </c>
      <c r="AA367" s="600">
        <f t="shared" si="313"/>
        <v>439.6</v>
      </c>
      <c r="AB367" s="600">
        <f t="shared" si="313"/>
        <v>0</v>
      </c>
      <c r="AC367" s="600">
        <f t="shared" si="313"/>
        <v>0</v>
      </c>
      <c r="AD367" s="600">
        <f t="shared" si="313"/>
        <v>23.7</v>
      </c>
      <c r="AE367" s="600">
        <f t="shared" si="313"/>
        <v>0</v>
      </c>
      <c r="AF367" s="600">
        <f t="shared" si="313"/>
        <v>722.80000000000007</v>
      </c>
      <c r="AG367" s="600">
        <f t="shared" si="313"/>
        <v>269</v>
      </c>
      <c r="AH367" s="600">
        <f t="shared" si="313"/>
        <v>0</v>
      </c>
      <c r="AI367" s="600">
        <f t="shared" si="313"/>
        <v>501</v>
      </c>
      <c r="AJ367" s="600">
        <f t="shared" si="313"/>
        <v>0</v>
      </c>
      <c r="AK367" s="600">
        <f t="shared" si="313"/>
        <v>0</v>
      </c>
      <c r="AL367" s="600">
        <f t="shared" si="313"/>
        <v>300</v>
      </c>
      <c r="AM367" s="600">
        <f t="shared" si="313"/>
        <v>1070</v>
      </c>
      <c r="AN367" s="600">
        <f t="shared" si="313"/>
        <v>280</v>
      </c>
      <c r="AO367" s="600">
        <f t="shared" si="313"/>
        <v>0</v>
      </c>
      <c r="AP367" s="600">
        <f t="shared" si="313"/>
        <v>474</v>
      </c>
      <c r="AQ367" s="600">
        <f t="shared" si="313"/>
        <v>0</v>
      </c>
      <c r="AR367" s="600">
        <f t="shared" si="313"/>
        <v>0</v>
      </c>
      <c r="AS367" s="600">
        <f t="shared" si="313"/>
        <v>0</v>
      </c>
      <c r="AT367" s="600">
        <f t="shared" si="313"/>
        <v>0</v>
      </c>
      <c r="AU367" s="600">
        <f t="shared" si="313"/>
        <v>754</v>
      </c>
      <c r="AV367" s="600">
        <f t="shared" si="313"/>
        <v>280</v>
      </c>
      <c r="AW367" s="600">
        <f t="shared" si="313"/>
        <v>0</v>
      </c>
      <c r="AX367" s="600">
        <f t="shared" si="313"/>
        <v>493</v>
      </c>
      <c r="AY367" s="600">
        <f t="shared" si="313"/>
        <v>0</v>
      </c>
      <c r="AZ367" s="600">
        <f t="shared" si="313"/>
        <v>0</v>
      </c>
      <c r="BA367" s="600">
        <f t="shared" si="313"/>
        <v>0</v>
      </c>
      <c r="BB367" s="600">
        <f t="shared" si="313"/>
        <v>0</v>
      </c>
      <c r="BC367" s="600">
        <f t="shared" si="313"/>
        <v>773</v>
      </c>
      <c r="BD367" s="33">
        <f t="shared" si="313"/>
        <v>1088.5</v>
      </c>
      <c r="BE367" s="33">
        <f t="shared" si="313"/>
        <v>0</v>
      </c>
      <c r="BF367" s="33">
        <f t="shared" si="313"/>
        <v>1907.6</v>
      </c>
      <c r="BG367" s="33">
        <f t="shared" si="313"/>
        <v>0</v>
      </c>
      <c r="BH367" s="33">
        <f t="shared" si="313"/>
        <v>0</v>
      </c>
      <c r="BI367" s="33">
        <f t="shared" si="271"/>
        <v>23.7</v>
      </c>
      <c r="BJ367" s="33">
        <f t="shared" si="313"/>
        <v>300</v>
      </c>
      <c r="BK367" s="33">
        <f t="shared" si="313"/>
        <v>3319.8</v>
      </c>
      <c r="BL367" s="40">
        <f t="shared" si="261"/>
        <v>3319.8</v>
      </c>
    </row>
    <row r="368" spans="1:64" x14ac:dyDescent="0.25">
      <c r="A368" s="603"/>
      <c r="B368" s="155" t="s">
        <v>1132</v>
      </c>
      <c r="C368" s="155"/>
      <c r="D368" s="2" t="s">
        <v>1134</v>
      </c>
      <c r="E368" s="1"/>
      <c r="F368" s="1"/>
      <c r="G368" s="1"/>
      <c r="H368" s="1"/>
      <c r="I368" s="1"/>
      <c r="J368" s="1"/>
      <c r="K368" s="1"/>
      <c r="L368" s="1"/>
      <c r="M368" s="1"/>
      <c r="N368" s="1"/>
      <c r="O368" s="1"/>
      <c r="P368" s="22"/>
      <c r="Q368" s="22"/>
      <c r="R368" s="1"/>
      <c r="S368" s="1"/>
      <c r="T368" s="1"/>
      <c r="U368" s="49"/>
      <c r="V368" s="49"/>
      <c r="W368" s="49"/>
      <c r="X368" s="49"/>
      <c r="Y368" s="34">
        <f t="shared" ref="Y368:AE368" si="314">SUM(Y369:Y393)</f>
        <v>259.5</v>
      </c>
      <c r="Z368" s="34">
        <f t="shared" si="314"/>
        <v>0</v>
      </c>
      <c r="AA368" s="34">
        <f t="shared" si="314"/>
        <v>439.6</v>
      </c>
      <c r="AB368" s="34">
        <f t="shared" si="314"/>
        <v>0</v>
      </c>
      <c r="AC368" s="34">
        <f t="shared" si="314"/>
        <v>0</v>
      </c>
      <c r="AD368" s="34">
        <f t="shared" si="314"/>
        <v>23.7</v>
      </c>
      <c r="AE368" s="34">
        <f t="shared" si="314"/>
        <v>0</v>
      </c>
      <c r="AF368" s="34">
        <f>SUM(Y368:AE368)</f>
        <v>722.80000000000007</v>
      </c>
      <c r="AG368" s="34">
        <f t="shared" ref="AG368:AL368" si="315">SUM(AG369:AG393)</f>
        <v>269</v>
      </c>
      <c r="AH368" s="34">
        <f t="shared" si="315"/>
        <v>0</v>
      </c>
      <c r="AI368" s="34">
        <f t="shared" si="315"/>
        <v>501</v>
      </c>
      <c r="AJ368" s="34">
        <f t="shared" si="315"/>
        <v>0</v>
      </c>
      <c r="AK368" s="34">
        <f t="shared" si="315"/>
        <v>0</v>
      </c>
      <c r="AL368" s="34">
        <f t="shared" si="315"/>
        <v>300</v>
      </c>
      <c r="AM368" s="34">
        <f t="shared" ref="AM368:AM374" si="316">SUM(AG368:AL368)</f>
        <v>1070</v>
      </c>
      <c r="AN368" s="34">
        <f t="shared" ref="AN368:AT368" si="317">SUM(AN369:AN393)</f>
        <v>280</v>
      </c>
      <c r="AO368" s="34">
        <f t="shared" si="317"/>
        <v>0</v>
      </c>
      <c r="AP368" s="34">
        <f t="shared" si="317"/>
        <v>474</v>
      </c>
      <c r="AQ368" s="34">
        <f t="shared" si="317"/>
        <v>0</v>
      </c>
      <c r="AR368" s="34">
        <f t="shared" si="317"/>
        <v>0</v>
      </c>
      <c r="AS368" s="34">
        <f t="shared" si="317"/>
        <v>0</v>
      </c>
      <c r="AT368" s="34">
        <f t="shared" si="317"/>
        <v>0</v>
      </c>
      <c r="AU368" s="34">
        <f t="shared" ref="AU368:AU374" si="318">SUM(AN368:AT368)</f>
        <v>754</v>
      </c>
      <c r="AV368" s="34">
        <f t="shared" ref="AV368:BB368" si="319">SUM(AV369:AV393)</f>
        <v>280</v>
      </c>
      <c r="AW368" s="34">
        <f t="shared" si="319"/>
        <v>0</v>
      </c>
      <c r="AX368" s="34">
        <f t="shared" si="319"/>
        <v>493</v>
      </c>
      <c r="AY368" s="34">
        <f t="shared" si="319"/>
        <v>0</v>
      </c>
      <c r="AZ368" s="34">
        <f t="shared" si="319"/>
        <v>0</v>
      </c>
      <c r="BA368" s="34">
        <f t="shared" si="319"/>
        <v>0</v>
      </c>
      <c r="BB368" s="34">
        <f t="shared" si="319"/>
        <v>0</v>
      </c>
      <c r="BC368" s="34">
        <f t="shared" ref="BC368:BC374" si="320">SUM(AV368:BB368)</f>
        <v>773</v>
      </c>
      <c r="BD368" s="34">
        <f>+Y368+AG368+AN368+AV368</f>
        <v>1088.5</v>
      </c>
      <c r="BE368" s="34">
        <f t="shared" si="273"/>
        <v>0</v>
      </c>
      <c r="BF368" s="34">
        <f t="shared" si="274"/>
        <v>1907.6</v>
      </c>
      <c r="BG368" s="34">
        <f t="shared" si="275"/>
        <v>0</v>
      </c>
      <c r="BH368" s="34">
        <f t="shared" si="276"/>
        <v>0</v>
      </c>
      <c r="BI368" s="34">
        <f t="shared" si="271"/>
        <v>23.7</v>
      </c>
      <c r="BJ368" s="34">
        <f t="shared" si="277"/>
        <v>300</v>
      </c>
      <c r="BK368" s="34">
        <f t="shared" si="278"/>
        <v>3319.8</v>
      </c>
      <c r="BL368" s="40">
        <f t="shared" si="261"/>
        <v>3319.8</v>
      </c>
    </row>
    <row r="369" spans="1:64" ht="45" customHeight="1" x14ac:dyDescent="0.3">
      <c r="A369" s="298" t="s">
        <v>1135</v>
      </c>
      <c r="B369" s="299" t="s">
        <v>1132</v>
      </c>
      <c r="C369" s="1546" t="s">
        <v>1136</v>
      </c>
      <c r="D369" s="1549" t="s">
        <v>1137</v>
      </c>
      <c r="E369" s="1549" t="s">
        <v>1138</v>
      </c>
      <c r="F369" s="1549">
        <v>2015</v>
      </c>
      <c r="G369" s="1549">
        <v>75.61</v>
      </c>
      <c r="H369" s="1549">
        <v>78</v>
      </c>
      <c r="I369" s="1425"/>
      <c r="J369" s="1425"/>
      <c r="K369" s="1425" t="s">
        <v>1139</v>
      </c>
      <c r="L369" s="301" t="s">
        <v>1140</v>
      </c>
      <c r="M369" s="1425" t="s">
        <v>1141</v>
      </c>
      <c r="N369" s="476" t="s">
        <v>2530</v>
      </c>
      <c r="O369" s="1425" t="s">
        <v>47</v>
      </c>
      <c r="P369" s="16" t="s">
        <v>1142</v>
      </c>
      <c r="Q369" s="302" t="s">
        <v>522</v>
      </c>
      <c r="R369" s="303">
        <v>2015</v>
      </c>
      <c r="S369" s="303">
        <v>2</v>
      </c>
      <c r="T369" s="303">
        <v>2</v>
      </c>
      <c r="U369" s="572">
        <v>2</v>
      </c>
      <c r="V369" s="572">
        <v>2</v>
      </c>
      <c r="W369" s="572">
        <v>2</v>
      </c>
      <c r="X369" s="572">
        <f>SUBTOTAL(9,T369:W369)</f>
        <v>8</v>
      </c>
      <c r="Y369" s="481">
        <f>259.5-217.2</f>
        <v>42.300000000000011</v>
      </c>
      <c r="Z369" s="481"/>
      <c r="AA369" s="481"/>
      <c r="AB369" s="481"/>
      <c r="AC369" s="481"/>
      <c r="AD369" s="481"/>
      <c r="AE369" s="481"/>
      <c r="AF369">
        <f>AE369*1000</f>
        <v>0</v>
      </c>
      <c r="AG369" s="548">
        <v>49</v>
      </c>
      <c r="AH369" s="548"/>
      <c r="AI369" s="548"/>
      <c r="AJ369" s="548"/>
      <c r="AK369" s="548"/>
      <c r="AL369" s="548"/>
      <c r="AM369" s="548">
        <f t="shared" si="316"/>
        <v>49</v>
      </c>
      <c r="AN369" s="481">
        <v>50</v>
      </c>
      <c r="AO369" s="481"/>
      <c r="AP369" s="481"/>
      <c r="AQ369" s="481"/>
      <c r="AR369" s="481"/>
      <c r="AS369" s="481"/>
      <c r="AT369" s="481"/>
      <c r="AU369" s="481">
        <f t="shared" si="318"/>
        <v>50</v>
      </c>
      <c r="AV369" s="548">
        <v>50</v>
      </c>
      <c r="AW369" s="548"/>
      <c r="AX369" s="548"/>
      <c r="AY369" s="548"/>
      <c r="AZ369" s="548"/>
      <c r="BA369" s="548"/>
      <c r="BB369" s="548"/>
      <c r="BC369" s="548">
        <f t="shared" si="320"/>
        <v>50</v>
      </c>
      <c r="BD369" s="42">
        <f t="shared" si="272"/>
        <v>191.3</v>
      </c>
      <c r="BE369" s="42">
        <f t="shared" si="273"/>
        <v>0</v>
      </c>
      <c r="BF369" s="42">
        <f t="shared" si="274"/>
        <v>0</v>
      </c>
      <c r="BG369" s="42">
        <f t="shared" si="275"/>
        <v>0</v>
      </c>
      <c r="BH369" s="42">
        <f t="shared" si="276"/>
        <v>0</v>
      </c>
      <c r="BI369" s="42">
        <f t="shared" si="271"/>
        <v>0</v>
      </c>
      <c r="BJ369" s="42">
        <f t="shared" si="277"/>
        <v>0</v>
      </c>
      <c r="BK369" s="42">
        <f t="shared" si="278"/>
        <v>149</v>
      </c>
      <c r="BL369" s="40">
        <f t="shared" si="261"/>
        <v>149</v>
      </c>
    </row>
    <row r="370" spans="1:64" ht="44.25" customHeight="1" x14ac:dyDescent="0.3">
      <c r="A370" s="298" t="s">
        <v>1135</v>
      </c>
      <c r="B370" s="299" t="s">
        <v>1132</v>
      </c>
      <c r="C370" s="1547"/>
      <c r="D370" s="1549"/>
      <c r="E370" s="1549"/>
      <c r="F370" s="1549"/>
      <c r="G370" s="1549"/>
      <c r="H370" s="1549"/>
      <c r="I370" s="1425"/>
      <c r="J370" s="1425"/>
      <c r="K370" s="1425" t="s">
        <v>1143</v>
      </c>
      <c r="L370" s="301" t="s">
        <v>1140</v>
      </c>
      <c r="M370" s="1425" t="s">
        <v>1141</v>
      </c>
      <c r="N370" s="476" t="s">
        <v>2530</v>
      </c>
      <c r="O370" s="1425" t="s">
        <v>47</v>
      </c>
      <c r="P370" s="16" t="s">
        <v>1144</v>
      </c>
      <c r="Q370" s="302" t="s">
        <v>1145</v>
      </c>
      <c r="R370" s="303">
        <v>2015</v>
      </c>
      <c r="S370" s="303">
        <v>2</v>
      </c>
      <c r="T370" s="303">
        <v>1</v>
      </c>
      <c r="U370" s="572">
        <v>0</v>
      </c>
      <c r="V370" s="572">
        <v>1</v>
      </c>
      <c r="W370" s="572">
        <v>0</v>
      </c>
      <c r="X370" s="572">
        <f t="shared" ref="X370:X393" si="321">SUBTOTAL(9,T370:W370)</f>
        <v>2</v>
      </c>
      <c r="Y370" s="491">
        <v>15</v>
      </c>
      <c r="Z370" s="481"/>
      <c r="AA370" s="481"/>
      <c r="AB370" s="481"/>
      <c r="AC370" s="481"/>
      <c r="AD370" s="481"/>
      <c r="AE370" s="481"/>
      <c r="AF370">
        <f t="shared" ref="AF370:AF379" si="322">AE370*1000</f>
        <v>0</v>
      </c>
      <c r="AG370" s="548"/>
      <c r="AH370" s="548"/>
      <c r="AI370" s="548"/>
      <c r="AJ370" s="548"/>
      <c r="AK370" s="548"/>
      <c r="AL370" s="548"/>
      <c r="AM370" s="548">
        <f t="shared" si="316"/>
        <v>0</v>
      </c>
      <c r="AN370" s="491">
        <v>1</v>
      </c>
      <c r="AO370" s="481"/>
      <c r="AP370" s="481"/>
      <c r="AQ370" s="481"/>
      <c r="AR370" s="481"/>
      <c r="AS370" s="481"/>
      <c r="AT370" s="481"/>
      <c r="AU370" s="481">
        <f t="shared" si="318"/>
        <v>1</v>
      </c>
      <c r="AV370" s="548"/>
      <c r="AW370" s="548"/>
      <c r="AX370" s="548"/>
      <c r="AY370" s="548"/>
      <c r="AZ370" s="548"/>
      <c r="BA370" s="548"/>
      <c r="BB370" s="548"/>
      <c r="BC370" s="548">
        <f t="shared" si="320"/>
        <v>0</v>
      </c>
      <c r="BD370" s="42">
        <f t="shared" si="272"/>
        <v>16</v>
      </c>
      <c r="BE370" s="42">
        <f t="shared" si="273"/>
        <v>0</v>
      </c>
      <c r="BF370" s="42">
        <f t="shared" si="274"/>
        <v>0</v>
      </c>
      <c r="BG370" s="42">
        <f t="shared" si="275"/>
        <v>0</v>
      </c>
      <c r="BH370" s="42">
        <f t="shared" si="276"/>
        <v>0</v>
      </c>
      <c r="BI370" s="42">
        <f t="shared" si="271"/>
        <v>0</v>
      </c>
      <c r="BJ370" s="42">
        <f t="shared" si="277"/>
        <v>0</v>
      </c>
      <c r="BK370" s="42">
        <f t="shared" si="278"/>
        <v>1</v>
      </c>
      <c r="BL370" s="40">
        <f t="shared" si="261"/>
        <v>1</v>
      </c>
    </row>
    <row r="371" spans="1:64" ht="41.25" customHeight="1" x14ac:dyDescent="0.3">
      <c r="A371" s="298" t="s">
        <v>1135</v>
      </c>
      <c r="B371" s="299" t="s">
        <v>1132</v>
      </c>
      <c r="C371" s="1547"/>
      <c r="D371" s="1549"/>
      <c r="E371" s="1549"/>
      <c r="F371" s="1549"/>
      <c r="G371" s="1549"/>
      <c r="H371" s="1549"/>
      <c r="I371" s="1425"/>
      <c r="J371" s="1425"/>
      <c r="K371" s="1425" t="s">
        <v>1146</v>
      </c>
      <c r="L371" s="301" t="s">
        <v>1140</v>
      </c>
      <c r="M371" s="1425" t="s">
        <v>1141</v>
      </c>
      <c r="N371" s="476" t="s">
        <v>2530</v>
      </c>
      <c r="O371" s="1425" t="s">
        <v>47</v>
      </c>
      <c r="P371" s="16" t="s">
        <v>1147</v>
      </c>
      <c r="Q371" s="302" t="s">
        <v>367</v>
      </c>
      <c r="R371" s="303">
        <v>2015</v>
      </c>
      <c r="S371" s="303">
        <v>0</v>
      </c>
      <c r="T371" s="303">
        <v>1</v>
      </c>
      <c r="U371" s="572">
        <v>0</v>
      </c>
      <c r="V371" s="572">
        <v>1</v>
      </c>
      <c r="W371" s="572">
        <v>0</v>
      </c>
      <c r="X371" s="572">
        <f t="shared" si="321"/>
        <v>2</v>
      </c>
      <c r="Y371" s="491">
        <v>10</v>
      </c>
      <c r="Z371" s="481"/>
      <c r="AA371" s="481"/>
      <c r="AB371" s="481"/>
      <c r="AC371" s="481"/>
      <c r="AD371" s="481"/>
      <c r="AE371" s="481"/>
      <c r="AF371">
        <f t="shared" si="322"/>
        <v>0</v>
      </c>
      <c r="AG371" s="548"/>
      <c r="AH371" s="548"/>
      <c r="AI371" s="548"/>
      <c r="AJ371" s="548"/>
      <c r="AK371" s="548"/>
      <c r="AL371" s="548"/>
      <c r="AM371" s="548">
        <f t="shared" si="316"/>
        <v>0</v>
      </c>
      <c r="AN371" s="491">
        <v>1</v>
      </c>
      <c r="AO371" s="481"/>
      <c r="AP371" s="481"/>
      <c r="AQ371" s="481"/>
      <c r="AR371" s="481"/>
      <c r="AS371" s="481"/>
      <c r="AT371" s="481"/>
      <c r="AU371" s="481">
        <f t="shared" si="318"/>
        <v>1</v>
      </c>
      <c r="AV371" s="548"/>
      <c r="AW371" s="548"/>
      <c r="AX371" s="548"/>
      <c r="AY371" s="548"/>
      <c r="AZ371" s="548"/>
      <c r="BA371" s="548"/>
      <c r="BB371" s="548"/>
      <c r="BC371" s="548">
        <f t="shared" si="320"/>
        <v>0</v>
      </c>
      <c r="BD371" s="42">
        <f t="shared" si="272"/>
        <v>11</v>
      </c>
      <c r="BE371" s="42">
        <f t="shared" si="273"/>
        <v>0</v>
      </c>
      <c r="BF371" s="42">
        <f t="shared" si="274"/>
        <v>0</v>
      </c>
      <c r="BG371" s="42">
        <f t="shared" si="275"/>
        <v>0</v>
      </c>
      <c r="BH371" s="42">
        <f t="shared" si="276"/>
        <v>0</v>
      </c>
      <c r="BI371" s="42">
        <f t="shared" si="271"/>
        <v>0</v>
      </c>
      <c r="BJ371" s="42">
        <f t="shared" si="277"/>
        <v>0</v>
      </c>
      <c r="BK371" s="42">
        <f t="shared" si="278"/>
        <v>1</v>
      </c>
      <c r="BL371" s="40">
        <f t="shared" si="261"/>
        <v>1</v>
      </c>
    </row>
    <row r="372" spans="1:64" ht="43.5" customHeight="1" x14ac:dyDescent="0.3">
      <c r="A372" s="298" t="s">
        <v>1135</v>
      </c>
      <c r="B372" s="299" t="s">
        <v>1132</v>
      </c>
      <c r="C372" s="1547"/>
      <c r="D372" s="1549"/>
      <c r="E372" s="1549"/>
      <c r="F372" s="1549"/>
      <c r="G372" s="1549"/>
      <c r="H372" s="1549"/>
      <c r="I372" s="1425"/>
      <c r="J372" s="1425"/>
      <c r="K372" s="1425" t="s">
        <v>1148</v>
      </c>
      <c r="L372" s="301" t="s">
        <v>1140</v>
      </c>
      <c r="M372" s="1425" t="s">
        <v>1141</v>
      </c>
      <c r="N372" s="476" t="s">
        <v>2530</v>
      </c>
      <c r="O372" s="1425" t="s">
        <v>73</v>
      </c>
      <c r="P372" s="16" t="s">
        <v>1149</v>
      </c>
      <c r="Q372" s="302" t="s">
        <v>1150</v>
      </c>
      <c r="R372" s="303">
        <v>2015</v>
      </c>
      <c r="S372" s="303">
        <v>2</v>
      </c>
      <c r="T372" s="303">
        <v>3</v>
      </c>
      <c r="U372" s="572">
        <v>3</v>
      </c>
      <c r="V372" s="572">
        <v>3</v>
      </c>
      <c r="W372" s="572">
        <v>3</v>
      </c>
      <c r="X372" s="572">
        <v>3</v>
      </c>
      <c r="Y372" s="491">
        <v>25</v>
      </c>
      <c r="Z372" s="481"/>
      <c r="AA372" s="481"/>
      <c r="AB372" s="481"/>
      <c r="AC372" s="481"/>
      <c r="AD372" s="481"/>
      <c r="AE372" s="481"/>
      <c r="AF372">
        <f t="shared" si="322"/>
        <v>0</v>
      </c>
      <c r="AG372" s="491">
        <v>1</v>
      </c>
      <c r="AH372" s="548"/>
      <c r="AI372" s="548"/>
      <c r="AJ372" s="548"/>
      <c r="AK372" s="548"/>
      <c r="AL372" s="548"/>
      <c r="AM372" s="548">
        <f t="shared" si="316"/>
        <v>1</v>
      </c>
      <c r="AN372" s="491">
        <v>1</v>
      </c>
      <c r="AO372" s="481"/>
      <c r="AP372" s="481"/>
      <c r="AQ372" s="481"/>
      <c r="AR372" s="481"/>
      <c r="AS372" s="481"/>
      <c r="AT372" s="481"/>
      <c r="AU372" s="481">
        <f t="shared" si="318"/>
        <v>1</v>
      </c>
      <c r="AV372" s="491">
        <v>1</v>
      </c>
      <c r="AW372" s="548"/>
      <c r="AX372" s="548"/>
      <c r="AY372" s="548"/>
      <c r="AZ372" s="548"/>
      <c r="BA372" s="548"/>
      <c r="BB372" s="548"/>
      <c r="BC372" s="548">
        <f t="shared" si="320"/>
        <v>1</v>
      </c>
      <c r="BD372" s="42">
        <f t="shared" ref="BD372:BD389" si="323">+AV372+AN372+AG372+Y372</f>
        <v>28</v>
      </c>
      <c r="BE372" s="42">
        <f t="shared" ref="BE372:BE389" si="324">+AW372+AO372+AH372+Z372</f>
        <v>0</v>
      </c>
      <c r="BF372" s="42">
        <f t="shared" ref="BF372:BF389" si="325">+AX372+AP372+AI372+AA372</f>
        <v>0</v>
      </c>
      <c r="BG372" s="42">
        <f t="shared" ref="BG372:BG389" si="326">+AY372+AQ372+AJ372+AB372</f>
        <v>0</v>
      </c>
      <c r="BH372" s="42">
        <f t="shared" ref="BH372:BH389" si="327">+AZ372+AR372+AK372+AC372</f>
        <v>0</v>
      </c>
      <c r="BI372" s="42">
        <f t="shared" si="271"/>
        <v>0</v>
      </c>
      <c r="BJ372" s="42">
        <f t="shared" ref="BJ372:BJ389" si="328">+BB372+AT372+AL372+AE372</f>
        <v>0</v>
      </c>
      <c r="BK372" s="42">
        <f t="shared" ref="BK372:BK389" si="329">+BC372+AU372+AM372+AF372</f>
        <v>3</v>
      </c>
      <c r="BL372" s="40">
        <f t="shared" si="261"/>
        <v>3</v>
      </c>
    </row>
    <row r="373" spans="1:64" ht="45.75" customHeight="1" x14ac:dyDescent="0.3">
      <c r="A373" s="298" t="s">
        <v>1135</v>
      </c>
      <c r="B373" s="299" t="s">
        <v>1132</v>
      </c>
      <c r="C373" s="1547"/>
      <c r="D373" s="1549"/>
      <c r="E373" s="1549"/>
      <c r="F373" s="1549"/>
      <c r="G373" s="1549"/>
      <c r="H373" s="1549"/>
      <c r="I373" s="1425" t="s">
        <v>1106</v>
      </c>
      <c r="J373" s="1425"/>
      <c r="K373" s="1425" t="s">
        <v>1151</v>
      </c>
      <c r="L373" s="301" t="s">
        <v>1140</v>
      </c>
      <c r="M373" s="1425" t="s">
        <v>1102</v>
      </c>
      <c r="N373" s="1425" t="s">
        <v>2484</v>
      </c>
      <c r="O373" s="1425" t="s">
        <v>47</v>
      </c>
      <c r="P373" s="16" t="s">
        <v>1152</v>
      </c>
      <c r="Q373" s="302" t="s">
        <v>1153</v>
      </c>
      <c r="R373" s="303">
        <v>2015</v>
      </c>
      <c r="S373" s="303">
        <v>0</v>
      </c>
      <c r="T373" s="303">
        <v>0</v>
      </c>
      <c r="U373" s="572">
        <v>1</v>
      </c>
      <c r="V373" s="572">
        <v>0</v>
      </c>
      <c r="W373" s="572">
        <v>0</v>
      </c>
      <c r="X373" s="572">
        <f t="shared" si="321"/>
        <v>1</v>
      </c>
      <c r="Y373" s="491"/>
      <c r="Z373" s="481"/>
      <c r="AA373" s="481"/>
      <c r="AB373" s="481"/>
      <c r="AC373" s="481"/>
      <c r="AD373" s="481"/>
      <c r="AE373" s="481"/>
      <c r="AF373">
        <f t="shared" si="322"/>
        <v>0</v>
      </c>
      <c r="AG373" s="491">
        <v>1</v>
      </c>
      <c r="AH373" s="548"/>
      <c r="AI373" s="548"/>
      <c r="AJ373" s="548"/>
      <c r="AK373" s="548"/>
      <c r="AL373" s="548">
        <v>300</v>
      </c>
      <c r="AM373" s="548">
        <f t="shared" si="316"/>
        <v>301</v>
      </c>
      <c r="AN373" s="481"/>
      <c r="AO373" s="481"/>
      <c r="AP373" s="481"/>
      <c r="AQ373" s="481"/>
      <c r="AR373" s="481"/>
      <c r="AS373" s="481"/>
      <c r="AT373" s="481"/>
      <c r="AU373" s="481">
        <f t="shared" si="318"/>
        <v>0</v>
      </c>
      <c r="AV373" s="548"/>
      <c r="AW373" s="548"/>
      <c r="AX373" s="548"/>
      <c r="AY373" s="548"/>
      <c r="AZ373" s="548"/>
      <c r="BA373" s="548"/>
      <c r="BB373" s="548"/>
      <c r="BC373" s="548">
        <f t="shared" si="320"/>
        <v>0</v>
      </c>
      <c r="BD373" s="42">
        <f t="shared" si="323"/>
        <v>1</v>
      </c>
      <c r="BE373" s="42">
        <f t="shared" si="324"/>
        <v>0</v>
      </c>
      <c r="BF373" s="42">
        <f t="shared" si="325"/>
        <v>0</v>
      </c>
      <c r="BG373" s="42">
        <f t="shared" si="326"/>
        <v>0</v>
      </c>
      <c r="BH373" s="42">
        <f t="shared" si="327"/>
        <v>0</v>
      </c>
      <c r="BI373" s="42">
        <f t="shared" si="271"/>
        <v>0</v>
      </c>
      <c r="BJ373" s="42">
        <f t="shared" si="328"/>
        <v>300</v>
      </c>
      <c r="BK373" s="42">
        <f t="shared" si="329"/>
        <v>301</v>
      </c>
      <c r="BL373" s="40">
        <f t="shared" si="261"/>
        <v>301</v>
      </c>
    </row>
    <row r="374" spans="1:64" ht="66.75" customHeight="1" x14ac:dyDescent="0.3">
      <c r="A374" s="298" t="s">
        <v>1135</v>
      </c>
      <c r="B374" s="299" t="s">
        <v>1132</v>
      </c>
      <c r="C374" s="1547"/>
      <c r="D374" s="1549"/>
      <c r="E374" s="1549"/>
      <c r="F374" s="1549"/>
      <c r="G374" s="1549"/>
      <c r="H374" s="1549"/>
      <c r="I374" s="1425"/>
      <c r="J374" s="1425"/>
      <c r="K374" s="1425" t="s">
        <v>1154</v>
      </c>
      <c r="L374" s="301" t="s">
        <v>1140</v>
      </c>
      <c r="M374" s="1425" t="s">
        <v>497</v>
      </c>
      <c r="N374" s="476" t="s">
        <v>2497</v>
      </c>
      <c r="O374" s="1425" t="s">
        <v>47</v>
      </c>
      <c r="P374" s="16" t="s">
        <v>1155</v>
      </c>
      <c r="Q374" s="302" t="s">
        <v>1156</v>
      </c>
      <c r="R374" s="303">
        <v>2015</v>
      </c>
      <c r="S374" s="303">
        <v>0</v>
      </c>
      <c r="T374" s="303">
        <v>1</v>
      </c>
      <c r="U374" s="572">
        <v>0</v>
      </c>
      <c r="V374" s="572">
        <v>0</v>
      </c>
      <c r="W374" s="572">
        <v>0</v>
      </c>
      <c r="X374" s="572">
        <f t="shared" si="321"/>
        <v>1</v>
      </c>
      <c r="Y374" s="481"/>
      <c r="Z374" s="481"/>
      <c r="AA374" s="481">
        <v>50</v>
      </c>
      <c r="AB374" s="481"/>
      <c r="AC374" s="481"/>
      <c r="AD374" s="481"/>
      <c r="AE374" s="481"/>
      <c r="AF374">
        <f t="shared" si="322"/>
        <v>0</v>
      </c>
      <c r="AG374" s="548"/>
      <c r="AH374" s="548"/>
      <c r="AI374" s="548"/>
      <c r="AJ374" s="548"/>
      <c r="AK374" s="548"/>
      <c r="AL374" s="548"/>
      <c r="AM374" s="548">
        <f t="shared" si="316"/>
        <v>0</v>
      </c>
      <c r="AN374" s="481"/>
      <c r="AO374" s="481"/>
      <c r="AP374" s="481"/>
      <c r="AQ374" s="481"/>
      <c r="AR374" s="481"/>
      <c r="AS374" s="481"/>
      <c r="AT374" s="481"/>
      <c r="AU374" s="481">
        <f t="shared" si="318"/>
        <v>0</v>
      </c>
      <c r="AV374" s="548"/>
      <c r="AW374" s="548"/>
      <c r="AX374" s="548"/>
      <c r="AY374" s="548"/>
      <c r="AZ374" s="548"/>
      <c r="BA374" s="548"/>
      <c r="BB374" s="548"/>
      <c r="BC374" s="548">
        <f t="shared" si="320"/>
        <v>0</v>
      </c>
      <c r="BD374" s="42">
        <f t="shared" si="323"/>
        <v>0</v>
      </c>
      <c r="BE374" s="42">
        <f t="shared" si="324"/>
        <v>0</v>
      </c>
      <c r="BF374" s="42">
        <f t="shared" si="325"/>
        <v>50</v>
      </c>
      <c r="BG374" s="42">
        <f t="shared" si="326"/>
        <v>0</v>
      </c>
      <c r="BH374" s="42">
        <f t="shared" si="327"/>
        <v>0</v>
      </c>
      <c r="BI374" s="42">
        <f t="shared" si="271"/>
        <v>0</v>
      </c>
      <c r="BJ374" s="42">
        <f t="shared" si="328"/>
        <v>0</v>
      </c>
      <c r="BK374" s="42">
        <f t="shared" si="329"/>
        <v>0</v>
      </c>
      <c r="BL374" s="40">
        <f t="shared" si="261"/>
        <v>0</v>
      </c>
    </row>
    <row r="375" spans="1:64" ht="83.25" customHeight="1" x14ac:dyDescent="0.3">
      <c r="A375" s="298" t="s">
        <v>1135</v>
      </c>
      <c r="B375" s="299" t="s">
        <v>1132</v>
      </c>
      <c r="C375" s="1547"/>
      <c r="D375" s="1549"/>
      <c r="E375" s="1549"/>
      <c r="F375" s="1549"/>
      <c r="G375" s="1549"/>
      <c r="H375" s="1549"/>
      <c r="I375" s="1425"/>
      <c r="J375" s="1425"/>
      <c r="K375" s="1425" t="s">
        <v>1157</v>
      </c>
      <c r="L375" s="301" t="s">
        <v>1140</v>
      </c>
      <c r="M375" s="1425" t="s">
        <v>497</v>
      </c>
      <c r="N375" s="476" t="s">
        <v>2497</v>
      </c>
      <c r="O375" s="1425" t="s">
        <v>73</v>
      </c>
      <c r="P375" s="16" t="s">
        <v>1159</v>
      </c>
      <c r="Q375" s="302" t="s">
        <v>1160</v>
      </c>
      <c r="R375" s="303">
        <v>2015</v>
      </c>
      <c r="S375" s="303">
        <v>1</v>
      </c>
      <c r="T375" s="303">
        <v>1</v>
      </c>
      <c r="U375" s="572">
        <v>1</v>
      </c>
      <c r="V375" s="572">
        <v>1</v>
      </c>
      <c r="W375" s="572">
        <v>1</v>
      </c>
      <c r="X375" s="572">
        <v>1</v>
      </c>
      <c r="Y375" s="491">
        <v>18.5</v>
      </c>
      <c r="Z375" s="481"/>
      <c r="AA375" s="481">
        <f>80+5+59+35.6</f>
        <v>179.6</v>
      </c>
      <c r="AB375" s="481"/>
      <c r="AC375" s="481"/>
      <c r="AD375" s="481">
        <v>23.7</v>
      </c>
      <c r="AE375" s="481"/>
      <c r="AF375">
        <f t="shared" si="322"/>
        <v>0</v>
      </c>
      <c r="AG375" s="548">
        <v>70</v>
      </c>
      <c r="AH375" s="548"/>
      <c r="AI375" s="491">
        <v>265</v>
      </c>
      <c r="AJ375" s="548"/>
      <c r="AK375" s="548"/>
      <c r="AL375" s="548"/>
      <c r="AM375" s="548">
        <f>SUM(AG375:AL375)</f>
        <v>335</v>
      </c>
      <c r="AN375" s="481">
        <v>80</v>
      </c>
      <c r="AO375" s="481"/>
      <c r="AP375" s="481">
        <v>200</v>
      </c>
      <c r="AQ375" s="481"/>
      <c r="AR375" s="481"/>
      <c r="AS375" s="481"/>
      <c r="AT375" s="481"/>
      <c r="AU375" s="481">
        <f>SUM(AN375:AT375)</f>
        <v>280</v>
      </c>
      <c r="AV375" s="548">
        <v>80</v>
      </c>
      <c r="AW375" s="548"/>
      <c r="AX375" s="548">
        <v>210</v>
      </c>
      <c r="AY375" s="548"/>
      <c r="AZ375" s="548"/>
      <c r="BA375" s="548"/>
      <c r="BB375" s="548"/>
      <c r="BC375" s="548">
        <f>SUM(AV375:BB375)</f>
        <v>290</v>
      </c>
      <c r="BD375" s="42">
        <f t="shared" si="323"/>
        <v>248.5</v>
      </c>
      <c r="BE375" s="42">
        <f t="shared" si="324"/>
        <v>0</v>
      </c>
      <c r="BF375" s="42">
        <f t="shared" si="325"/>
        <v>854.6</v>
      </c>
      <c r="BG375" s="42">
        <f t="shared" si="326"/>
        <v>0</v>
      </c>
      <c r="BH375" s="42">
        <f t="shared" si="327"/>
        <v>0</v>
      </c>
      <c r="BI375" s="42">
        <f t="shared" si="271"/>
        <v>23.7</v>
      </c>
      <c r="BJ375" s="42">
        <f t="shared" si="328"/>
        <v>0</v>
      </c>
      <c r="BK375" s="42">
        <f t="shared" si="329"/>
        <v>905</v>
      </c>
      <c r="BL375" s="40">
        <f t="shared" si="261"/>
        <v>905</v>
      </c>
    </row>
    <row r="376" spans="1:64" ht="43.5" customHeight="1" x14ac:dyDescent="0.3">
      <c r="A376" s="298" t="s">
        <v>1135</v>
      </c>
      <c r="B376" s="299" t="s">
        <v>1132</v>
      </c>
      <c r="C376" s="1547"/>
      <c r="D376" s="1549"/>
      <c r="E376" s="1549"/>
      <c r="F376" s="1549"/>
      <c r="G376" s="1549"/>
      <c r="H376" s="1549"/>
      <c r="I376" s="1425"/>
      <c r="J376" s="1425"/>
      <c r="K376" s="1425" t="s">
        <v>1161</v>
      </c>
      <c r="L376" s="301" t="s">
        <v>1140</v>
      </c>
      <c r="M376" s="1425" t="s">
        <v>497</v>
      </c>
      <c r="N376" s="476" t="s">
        <v>2497</v>
      </c>
      <c r="O376" s="1425" t="s">
        <v>47</v>
      </c>
      <c r="P376" s="16" t="s">
        <v>1162</v>
      </c>
      <c r="Q376" s="302" t="s">
        <v>1163</v>
      </c>
      <c r="R376" s="303">
        <v>2015</v>
      </c>
      <c r="S376" s="303">
        <v>4</v>
      </c>
      <c r="T376" s="303">
        <v>1</v>
      </c>
      <c r="U376" s="572">
        <v>1</v>
      </c>
      <c r="V376" s="572">
        <v>1</v>
      </c>
      <c r="W376" s="572">
        <v>1</v>
      </c>
      <c r="X376" s="572">
        <f t="shared" si="321"/>
        <v>4</v>
      </c>
      <c r="Y376" s="491">
        <v>0.5</v>
      </c>
      <c r="Z376" s="481"/>
      <c r="AA376" s="481"/>
      <c r="AB376" s="481"/>
      <c r="AC376" s="481"/>
      <c r="AD376" s="481"/>
      <c r="AE376" s="481"/>
      <c r="AF376">
        <f t="shared" si="322"/>
        <v>0</v>
      </c>
      <c r="AG376" s="491">
        <v>1</v>
      </c>
      <c r="AH376" s="548"/>
      <c r="AI376" s="548"/>
      <c r="AJ376" s="548"/>
      <c r="AK376" s="548"/>
      <c r="AL376" s="548"/>
      <c r="AM376" s="548">
        <f>SUM(AG376:AL376)</f>
        <v>1</v>
      </c>
      <c r="AN376" s="491">
        <v>1</v>
      </c>
      <c r="AO376" s="481"/>
      <c r="AP376" s="481"/>
      <c r="AQ376" s="481"/>
      <c r="AR376" s="481"/>
      <c r="AS376" s="481"/>
      <c r="AT376" s="481"/>
      <c r="AU376" s="481">
        <f>SUM(AN376:AT376)</f>
        <v>1</v>
      </c>
      <c r="AV376" s="491">
        <v>1</v>
      </c>
      <c r="AW376" s="548"/>
      <c r="AX376" s="548"/>
      <c r="AY376" s="548"/>
      <c r="AZ376" s="548"/>
      <c r="BA376" s="548"/>
      <c r="BB376" s="548"/>
      <c r="BC376" s="548">
        <f>SUM(AV376:BB376)</f>
        <v>1</v>
      </c>
      <c r="BD376" s="42">
        <f t="shared" si="323"/>
        <v>3.5</v>
      </c>
      <c r="BE376" s="42">
        <f t="shared" si="324"/>
        <v>0</v>
      </c>
      <c r="BF376" s="42">
        <f t="shared" si="325"/>
        <v>0</v>
      </c>
      <c r="BG376" s="42">
        <f t="shared" si="326"/>
        <v>0</v>
      </c>
      <c r="BH376" s="42">
        <f t="shared" si="327"/>
        <v>0</v>
      </c>
      <c r="BI376" s="42">
        <f t="shared" si="271"/>
        <v>0</v>
      </c>
      <c r="BJ376" s="42">
        <f t="shared" si="328"/>
        <v>0</v>
      </c>
      <c r="BK376" s="42">
        <f t="shared" si="329"/>
        <v>3</v>
      </c>
      <c r="BL376" s="40">
        <f t="shared" si="261"/>
        <v>3</v>
      </c>
    </row>
    <row r="377" spans="1:64" ht="39.75" customHeight="1" x14ac:dyDescent="0.3">
      <c r="A377" s="298" t="s">
        <v>1135</v>
      </c>
      <c r="B377" s="299" t="s">
        <v>1132</v>
      </c>
      <c r="C377" s="1547"/>
      <c r="D377" s="1549"/>
      <c r="E377" s="1549"/>
      <c r="F377" s="1549"/>
      <c r="G377" s="1549"/>
      <c r="H377" s="1549"/>
      <c r="I377" s="1425"/>
      <c r="J377" s="1425"/>
      <c r="K377" s="1425" t="s">
        <v>1164</v>
      </c>
      <c r="L377" s="301" t="s">
        <v>1140</v>
      </c>
      <c r="M377" s="1425" t="s">
        <v>497</v>
      </c>
      <c r="N377" s="476" t="s">
        <v>2497</v>
      </c>
      <c r="O377" s="1425" t="s">
        <v>73</v>
      </c>
      <c r="P377" s="16" t="s">
        <v>1165</v>
      </c>
      <c r="Q377" s="302" t="s">
        <v>1166</v>
      </c>
      <c r="R377" s="303">
        <v>2015</v>
      </c>
      <c r="S377" s="303" t="s">
        <v>177</v>
      </c>
      <c r="T377" s="303">
        <v>100</v>
      </c>
      <c r="U377" s="572">
        <v>100</v>
      </c>
      <c r="V377" s="572">
        <v>100</v>
      </c>
      <c r="W377" s="572">
        <v>100</v>
      </c>
      <c r="X377" s="572">
        <v>100</v>
      </c>
      <c r="Y377" s="491">
        <v>1</v>
      </c>
      <c r="Z377" s="481"/>
      <c r="AA377" s="481"/>
      <c r="AB377" s="481"/>
      <c r="AC377" s="481"/>
      <c r="AD377" s="481"/>
      <c r="AE377" s="481"/>
      <c r="AF377">
        <f t="shared" si="322"/>
        <v>0</v>
      </c>
      <c r="AG377" s="491">
        <v>1</v>
      </c>
      <c r="AH377" s="548"/>
      <c r="AI377" s="548">
        <v>15</v>
      </c>
      <c r="AJ377" s="548"/>
      <c r="AK377" s="548"/>
      <c r="AL377" s="548"/>
      <c r="AM377" s="548">
        <f>SUM(AG377:AL377)</f>
        <v>16</v>
      </c>
      <c r="AN377" s="491">
        <v>1</v>
      </c>
      <c r="AO377" s="481"/>
      <c r="AP377" s="481"/>
      <c r="AQ377" s="481"/>
      <c r="AR377" s="481"/>
      <c r="AS377" s="481"/>
      <c r="AT377" s="481"/>
      <c r="AU377" s="481">
        <f>SUM(AN377:AT377)</f>
        <v>1</v>
      </c>
      <c r="AV377" s="491">
        <v>1</v>
      </c>
      <c r="AW377" s="548"/>
      <c r="AX377" s="548"/>
      <c r="AY377" s="548"/>
      <c r="AZ377" s="548"/>
      <c r="BA377" s="548"/>
      <c r="BB377" s="548"/>
      <c r="BC377" s="548">
        <f>SUM(AV377:BB377)</f>
        <v>1</v>
      </c>
      <c r="BD377" s="42">
        <f t="shared" si="323"/>
        <v>4</v>
      </c>
      <c r="BE377" s="42">
        <f t="shared" si="324"/>
        <v>0</v>
      </c>
      <c r="BF377" s="42">
        <f t="shared" si="325"/>
        <v>15</v>
      </c>
      <c r="BG377" s="42">
        <f t="shared" si="326"/>
        <v>0</v>
      </c>
      <c r="BH377" s="42">
        <f t="shared" si="327"/>
        <v>0</v>
      </c>
      <c r="BI377" s="42">
        <f t="shared" si="271"/>
        <v>0</v>
      </c>
      <c r="BJ377" s="42">
        <f t="shared" si="328"/>
        <v>0</v>
      </c>
      <c r="BK377" s="42">
        <f t="shared" si="329"/>
        <v>18</v>
      </c>
      <c r="BL377" s="40">
        <f t="shared" si="261"/>
        <v>18</v>
      </c>
    </row>
    <row r="378" spans="1:64" ht="38.25" customHeight="1" x14ac:dyDescent="0.3">
      <c r="A378" s="298" t="s">
        <v>1135</v>
      </c>
      <c r="B378" s="299" t="s">
        <v>1132</v>
      </c>
      <c r="C378" s="1547"/>
      <c r="D378" s="1549"/>
      <c r="E378" s="1549"/>
      <c r="F378" s="1549"/>
      <c r="G378" s="1549"/>
      <c r="H378" s="1549"/>
      <c r="I378" s="1425"/>
      <c r="J378" s="1425"/>
      <c r="K378" s="1425" t="s">
        <v>1167</v>
      </c>
      <c r="L378" s="301" t="s">
        <v>1140</v>
      </c>
      <c r="M378" s="1425" t="s">
        <v>497</v>
      </c>
      <c r="N378" s="476" t="s">
        <v>2497</v>
      </c>
      <c r="O378" s="1425" t="s">
        <v>73</v>
      </c>
      <c r="P378" s="16" t="s">
        <v>1169</v>
      </c>
      <c r="Q378" s="302" t="s">
        <v>1170</v>
      </c>
      <c r="R378" s="303">
        <v>2015</v>
      </c>
      <c r="S378" s="303">
        <v>1</v>
      </c>
      <c r="T378" s="303">
        <v>1</v>
      </c>
      <c r="U378" s="572">
        <v>1</v>
      </c>
      <c r="V378" s="572">
        <v>1</v>
      </c>
      <c r="W378" s="572">
        <v>1</v>
      </c>
      <c r="X378" s="572">
        <v>1</v>
      </c>
      <c r="Y378" s="481"/>
      <c r="Z378" s="481"/>
      <c r="AA378" s="481">
        <v>20</v>
      </c>
      <c r="AB378" s="481"/>
      <c r="AC378" s="481"/>
      <c r="AD378" s="481"/>
      <c r="AE378" s="481"/>
      <c r="AF378">
        <f t="shared" si="322"/>
        <v>0</v>
      </c>
      <c r="AG378" s="548"/>
      <c r="AH378" s="548"/>
      <c r="AI378" s="491">
        <v>25</v>
      </c>
      <c r="AJ378" s="548"/>
      <c r="AK378" s="548"/>
      <c r="AL378" s="548"/>
      <c r="AM378" s="548">
        <f>SUM(AG378:AL378)</f>
        <v>25</v>
      </c>
      <c r="AN378" s="481"/>
      <c r="AO378" s="481"/>
      <c r="AP378" s="481">
        <v>40</v>
      </c>
      <c r="AQ378" s="481"/>
      <c r="AR378" s="481"/>
      <c r="AS378" s="481"/>
      <c r="AT378" s="481"/>
      <c r="AU378" s="481">
        <f>SUM(AN378:AT378)</f>
        <v>40</v>
      </c>
      <c r="AV378" s="548"/>
      <c r="AW378" s="548"/>
      <c r="AX378" s="548">
        <v>40</v>
      </c>
      <c r="AY378" s="548"/>
      <c r="AZ378" s="548"/>
      <c r="BA378" s="548"/>
      <c r="BB378" s="548"/>
      <c r="BC378" s="548">
        <f>SUM(AV378:BB378)</f>
        <v>40</v>
      </c>
      <c r="BD378" s="42">
        <f t="shared" si="323"/>
        <v>0</v>
      </c>
      <c r="BE378" s="42">
        <f t="shared" si="324"/>
        <v>0</v>
      </c>
      <c r="BF378" s="42">
        <f t="shared" si="325"/>
        <v>125</v>
      </c>
      <c r="BG378" s="42">
        <f t="shared" si="326"/>
        <v>0</v>
      </c>
      <c r="BH378" s="42">
        <f t="shared" si="327"/>
        <v>0</v>
      </c>
      <c r="BI378" s="42">
        <f t="shared" si="271"/>
        <v>0</v>
      </c>
      <c r="BJ378" s="42">
        <f t="shared" si="328"/>
        <v>0</v>
      </c>
      <c r="BK378" s="42">
        <f t="shared" si="329"/>
        <v>105</v>
      </c>
      <c r="BL378" s="40">
        <f t="shared" si="261"/>
        <v>105</v>
      </c>
    </row>
    <row r="379" spans="1:64" ht="44.25" customHeight="1" x14ac:dyDescent="0.3">
      <c r="A379" s="298" t="s">
        <v>1135</v>
      </c>
      <c r="B379" s="299" t="s">
        <v>1132</v>
      </c>
      <c r="C379" s="1547"/>
      <c r="D379" s="1549"/>
      <c r="E379" s="1549"/>
      <c r="F379" s="1549"/>
      <c r="G379" s="1549"/>
      <c r="H379" s="1549"/>
      <c r="I379" s="1425" t="s">
        <v>53</v>
      </c>
      <c r="J379" s="1425"/>
      <c r="K379" s="1425" t="s">
        <v>1171</v>
      </c>
      <c r="L379" s="301" t="s">
        <v>1140</v>
      </c>
      <c r="M379" s="1425" t="s">
        <v>1102</v>
      </c>
      <c r="N379" s="1425" t="s">
        <v>2484</v>
      </c>
      <c r="O379" s="1425" t="s">
        <v>47</v>
      </c>
      <c r="P379" s="16" t="s">
        <v>1173</v>
      </c>
      <c r="Q379" s="302" t="s">
        <v>1174</v>
      </c>
      <c r="R379" s="303">
        <v>2015</v>
      </c>
      <c r="S379" s="303">
        <v>0</v>
      </c>
      <c r="T379" s="303">
        <v>0</v>
      </c>
      <c r="U379" s="572">
        <v>1</v>
      </c>
      <c r="V379" s="572">
        <v>0</v>
      </c>
      <c r="W379" s="572">
        <v>0</v>
      </c>
      <c r="X379" s="572">
        <f t="shared" si="321"/>
        <v>1</v>
      </c>
      <c r="Y379" s="481"/>
      <c r="Z379" s="481"/>
      <c r="AA379" s="491"/>
      <c r="AB379" s="481"/>
      <c r="AC379" s="481"/>
      <c r="AD379" s="481"/>
      <c r="AE379" s="481"/>
      <c r="AF379">
        <f t="shared" si="322"/>
        <v>0</v>
      </c>
      <c r="AG379" s="548"/>
      <c r="AH379" s="548"/>
      <c r="AI379" s="491">
        <v>96</v>
      </c>
      <c r="AJ379" s="548"/>
      <c r="AK379" s="548"/>
      <c r="AL379" s="548"/>
      <c r="AM379" s="548">
        <f>SUM(AG379:AL379)</f>
        <v>96</v>
      </c>
      <c r="AN379" s="481"/>
      <c r="AO379" s="481"/>
      <c r="AP379" s="481"/>
      <c r="AQ379" s="481"/>
      <c r="AR379" s="481"/>
      <c r="AS379" s="481"/>
      <c r="AT379" s="481"/>
      <c r="AU379" s="481"/>
      <c r="AV379" s="548"/>
      <c r="AW379" s="548"/>
      <c r="AX379" s="548"/>
      <c r="AY379" s="548"/>
      <c r="AZ379" s="548"/>
      <c r="BA379" s="548"/>
      <c r="BB379" s="548"/>
      <c r="BC379" s="548"/>
      <c r="BD379" s="42">
        <f t="shared" si="323"/>
        <v>0</v>
      </c>
      <c r="BE379" s="42">
        <f t="shared" si="324"/>
        <v>0</v>
      </c>
      <c r="BF379" s="42">
        <f t="shared" si="325"/>
        <v>96</v>
      </c>
      <c r="BG379" s="42">
        <f t="shared" si="326"/>
        <v>0</v>
      </c>
      <c r="BH379" s="42">
        <f t="shared" si="327"/>
        <v>0</v>
      </c>
      <c r="BI379" s="42">
        <f t="shared" si="271"/>
        <v>0</v>
      </c>
      <c r="BJ379" s="42">
        <f t="shared" si="328"/>
        <v>0</v>
      </c>
      <c r="BK379" s="42">
        <f t="shared" si="329"/>
        <v>96</v>
      </c>
      <c r="BL379" s="40">
        <f t="shared" si="261"/>
        <v>96</v>
      </c>
    </row>
    <row r="380" spans="1:64" ht="47.25" customHeight="1" x14ac:dyDescent="0.25">
      <c r="A380" s="298" t="s">
        <v>1135</v>
      </c>
      <c r="B380" s="299" t="s">
        <v>1132</v>
      </c>
      <c r="C380" s="1547"/>
      <c r="D380" s="1549"/>
      <c r="E380" s="1549"/>
      <c r="F380" s="1549"/>
      <c r="G380" s="1549"/>
      <c r="H380" s="1549"/>
      <c r="I380" s="1425"/>
      <c r="J380" s="1425"/>
      <c r="K380" s="1425" t="s">
        <v>1175</v>
      </c>
      <c r="L380" s="301" t="s">
        <v>1140</v>
      </c>
      <c r="M380" s="1425" t="s">
        <v>1102</v>
      </c>
      <c r="N380" s="1425" t="s">
        <v>2484</v>
      </c>
      <c r="O380" s="1425" t="s">
        <v>73</v>
      </c>
      <c r="P380" s="16" t="s">
        <v>1176</v>
      </c>
      <c r="Q380" s="302" t="s">
        <v>1177</v>
      </c>
      <c r="R380" s="303">
        <v>2015</v>
      </c>
      <c r="S380" s="303">
        <v>0</v>
      </c>
      <c r="T380" s="303">
        <v>2</v>
      </c>
      <c r="U380" s="572">
        <v>2</v>
      </c>
      <c r="V380" s="572">
        <v>2</v>
      </c>
      <c r="W380" s="572">
        <v>2</v>
      </c>
      <c r="X380" s="572">
        <v>2</v>
      </c>
      <c r="Y380" s="481">
        <v>70</v>
      </c>
      <c r="Z380" s="481"/>
      <c r="AA380" s="481"/>
      <c r="AB380" s="481"/>
      <c r="AC380" s="481"/>
      <c r="AD380" s="481"/>
      <c r="AE380" s="481"/>
      <c r="AF380" s="481">
        <f t="shared" ref="AF380:AF394" si="330">SUM(Y380:AE380)</f>
        <v>70</v>
      </c>
      <c r="AG380" s="548">
        <v>40</v>
      </c>
      <c r="AH380" s="548"/>
      <c r="AI380" s="548"/>
      <c r="AJ380" s="548"/>
      <c r="AK380" s="548"/>
      <c r="AL380" s="548"/>
      <c r="AM380" s="548">
        <f t="shared" ref="AM380:AM389" si="331">SUM(AG380:AL380)</f>
        <v>40</v>
      </c>
      <c r="AN380" s="481">
        <v>40</v>
      </c>
      <c r="AO380" s="481"/>
      <c r="AP380" s="481"/>
      <c r="AQ380" s="481"/>
      <c r="AR380" s="481"/>
      <c r="AS380" s="481"/>
      <c r="AT380" s="481"/>
      <c r="AU380" s="481">
        <f t="shared" ref="AU380:AU394" si="332">SUM(AN380:AT380)</f>
        <v>40</v>
      </c>
      <c r="AV380" s="548">
        <v>40</v>
      </c>
      <c r="AW380" s="548"/>
      <c r="AX380" s="548"/>
      <c r="AY380" s="548"/>
      <c r="AZ380" s="548"/>
      <c r="BA380" s="548"/>
      <c r="BB380" s="548"/>
      <c r="BC380" s="548">
        <f t="shared" ref="BC380:BC394" si="333">SUM(AV380:BB380)</f>
        <v>40</v>
      </c>
      <c r="BD380" s="42">
        <f t="shared" si="323"/>
        <v>190</v>
      </c>
      <c r="BE380" s="42">
        <f t="shared" si="324"/>
        <v>0</v>
      </c>
      <c r="BF380" s="42">
        <f t="shared" si="325"/>
        <v>0</v>
      </c>
      <c r="BG380" s="42">
        <f t="shared" si="326"/>
        <v>0</v>
      </c>
      <c r="BH380" s="42">
        <f t="shared" si="327"/>
        <v>0</v>
      </c>
      <c r="BI380" s="42">
        <f t="shared" si="271"/>
        <v>0</v>
      </c>
      <c r="BJ380" s="42">
        <f t="shared" si="328"/>
        <v>0</v>
      </c>
      <c r="BK380" s="42">
        <f t="shared" si="329"/>
        <v>190</v>
      </c>
      <c r="BL380" s="40">
        <f t="shared" si="261"/>
        <v>190</v>
      </c>
    </row>
    <row r="381" spans="1:64" ht="66.75" customHeight="1" x14ac:dyDescent="0.25">
      <c r="A381" s="298" t="s">
        <v>1135</v>
      </c>
      <c r="B381" s="299" t="s">
        <v>1132</v>
      </c>
      <c r="C381" s="1547"/>
      <c r="D381" s="1549"/>
      <c r="E381" s="1549"/>
      <c r="F381" s="1549"/>
      <c r="G381" s="1549"/>
      <c r="H381" s="1549"/>
      <c r="I381" s="1425"/>
      <c r="J381" s="1425"/>
      <c r="K381" s="1425" t="s">
        <v>1178</v>
      </c>
      <c r="L381" s="301" t="s">
        <v>1140</v>
      </c>
      <c r="M381" s="1425" t="s">
        <v>497</v>
      </c>
      <c r="N381" s="476" t="s">
        <v>2497</v>
      </c>
      <c r="O381" s="1425" t="s">
        <v>47</v>
      </c>
      <c r="P381" s="1198" t="s">
        <v>2531</v>
      </c>
      <c r="Q381" s="1300" t="s">
        <v>2532</v>
      </c>
      <c r="R381" s="303">
        <v>2015</v>
      </c>
      <c r="S381" s="303">
        <v>64</v>
      </c>
      <c r="T381" s="303">
        <v>65</v>
      </c>
      <c r="U381" s="572">
        <v>67</v>
      </c>
      <c r="V381" s="572">
        <v>70</v>
      </c>
      <c r="W381" s="572">
        <v>70</v>
      </c>
      <c r="X381" s="572">
        <v>70</v>
      </c>
      <c r="Y381" s="481"/>
      <c r="Z381" s="481"/>
      <c r="AA381" s="491">
        <v>20</v>
      </c>
      <c r="AB381" s="481"/>
      <c r="AC381" s="481"/>
      <c r="AD381" s="481"/>
      <c r="AE381" s="481"/>
      <c r="AF381" s="481">
        <f t="shared" si="330"/>
        <v>20</v>
      </c>
      <c r="AG381" s="491">
        <v>1</v>
      </c>
      <c r="AH381" s="548"/>
      <c r="AI381" s="548"/>
      <c r="AJ381" s="548"/>
      <c r="AK381" s="548"/>
      <c r="AL381" s="548"/>
      <c r="AM381" s="548">
        <f t="shared" si="331"/>
        <v>1</v>
      </c>
      <c r="AN381" s="481"/>
      <c r="AO381" s="481"/>
      <c r="AP381" s="481">
        <v>74</v>
      </c>
      <c r="AQ381" s="481"/>
      <c r="AR381" s="481"/>
      <c r="AS381" s="481"/>
      <c r="AT381" s="481"/>
      <c r="AU381" s="481">
        <f t="shared" si="332"/>
        <v>74</v>
      </c>
      <c r="AV381" s="491">
        <v>1</v>
      </c>
      <c r="AW381" s="548"/>
      <c r="AX381" s="548"/>
      <c r="AY381" s="548"/>
      <c r="AZ381" s="548"/>
      <c r="BA381" s="548"/>
      <c r="BB381" s="548"/>
      <c r="BC381" s="548">
        <f t="shared" si="333"/>
        <v>1</v>
      </c>
      <c r="BD381" s="42">
        <f t="shared" si="323"/>
        <v>2</v>
      </c>
      <c r="BE381" s="42">
        <f t="shared" si="324"/>
        <v>0</v>
      </c>
      <c r="BF381" s="42">
        <f t="shared" si="325"/>
        <v>94</v>
      </c>
      <c r="BG381" s="42">
        <f t="shared" si="326"/>
        <v>0</v>
      </c>
      <c r="BH381" s="42">
        <f t="shared" si="327"/>
        <v>0</v>
      </c>
      <c r="BI381" s="42">
        <f t="shared" si="271"/>
        <v>0</v>
      </c>
      <c r="BJ381" s="42">
        <f t="shared" si="328"/>
        <v>0</v>
      </c>
      <c r="BK381" s="42">
        <f t="shared" si="329"/>
        <v>96</v>
      </c>
      <c r="BL381" s="40">
        <f t="shared" si="261"/>
        <v>96</v>
      </c>
    </row>
    <row r="382" spans="1:64" ht="54.75" customHeight="1" x14ac:dyDescent="0.25">
      <c r="A382" s="298" t="s">
        <v>1135</v>
      </c>
      <c r="B382" s="299" t="s">
        <v>1132</v>
      </c>
      <c r="C382" s="1547"/>
      <c r="D382" s="1549"/>
      <c r="E382" s="1549"/>
      <c r="F382" s="1549"/>
      <c r="G382" s="1549"/>
      <c r="H382" s="1549"/>
      <c r="I382" s="1425"/>
      <c r="J382" s="1425"/>
      <c r="K382" s="1425" t="s">
        <v>1181</v>
      </c>
      <c r="L382" s="301" t="s">
        <v>1140</v>
      </c>
      <c r="M382" s="1425" t="s">
        <v>497</v>
      </c>
      <c r="N382" s="476" t="s">
        <v>2497</v>
      </c>
      <c r="O382" s="1425" t="s">
        <v>47</v>
      </c>
      <c r="P382" s="16" t="s">
        <v>1184</v>
      </c>
      <c r="Q382" s="302" t="s">
        <v>1185</v>
      </c>
      <c r="R382" s="303">
        <v>2015</v>
      </c>
      <c r="S382" s="303">
        <v>1</v>
      </c>
      <c r="T382" s="303">
        <v>1</v>
      </c>
      <c r="U382" s="572">
        <v>1</v>
      </c>
      <c r="V382" s="572">
        <v>1</v>
      </c>
      <c r="W382" s="572">
        <v>1</v>
      </c>
      <c r="X382" s="572">
        <f t="shared" si="321"/>
        <v>4</v>
      </c>
      <c r="Y382" s="481">
        <f>20.2+57</f>
        <v>77.2</v>
      </c>
      <c r="Z382" s="481"/>
      <c r="AA382" s="491">
        <v>20</v>
      </c>
      <c r="AB382" s="481"/>
      <c r="AC382" s="481"/>
      <c r="AD382" s="481"/>
      <c r="AE382" s="481"/>
      <c r="AF382" s="481">
        <f t="shared" si="330"/>
        <v>97.2</v>
      </c>
      <c r="AG382" s="491">
        <v>87</v>
      </c>
      <c r="AH382" s="548"/>
      <c r="AI382" s="491">
        <v>50</v>
      </c>
      <c r="AJ382" s="548"/>
      <c r="AK382" s="548"/>
      <c r="AL382" s="548"/>
      <c r="AM382" s="548">
        <f t="shared" si="331"/>
        <v>137</v>
      </c>
      <c r="AN382" s="491">
        <v>90</v>
      </c>
      <c r="AO382" s="481"/>
      <c r="AP382" s="481">
        <v>120</v>
      </c>
      <c r="AQ382" s="481"/>
      <c r="AR382" s="481"/>
      <c r="AS382" s="481"/>
      <c r="AT382" s="481"/>
      <c r="AU382" s="481">
        <f t="shared" si="332"/>
        <v>210</v>
      </c>
      <c r="AV382" s="491">
        <v>94</v>
      </c>
      <c r="AW382" s="548"/>
      <c r="AX382" s="548">
        <v>120</v>
      </c>
      <c r="AY382" s="548"/>
      <c r="AZ382" s="548"/>
      <c r="BA382" s="548"/>
      <c r="BB382" s="548"/>
      <c r="BC382" s="548">
        <f t="shared" si="333"/>
        <v>214</v>
      </c>
      <c r="BD382" s="42">
        <f t="shared" si="323"/>
        <v>348.2</v>
      </c>
      <c r="BE382" s="42">
        <f t="shared" si="324"/>
        <v>0</v>
      </c>
      <c r="BF382" s="42">
        <f t="shared" si="325"/>
        <v>310</v>
      </c>
      <c r="BG382" s="42">
        <f t="shared" si="326"/>
        <v>0</v>
      </c>
      <c r="BH382" s="42">
        <f t="shared" si="327"/>
        <v>0</v>
      </c>
      <c r="BI382" s="42">
        <f t="shared" si="271"/>
        <v>0</v>
      </c>
      <c r="BJ382" s="42">
        <f t="shared" si="328"/>
        <v>0</v>
      </c>
      <c r="BK382" s="42">
        <f t="shared" si="329"/>
        <v>658.2</v>
      </c>
      <c r="BL382" s="40">
        <f t="shared" si="261"/>
        <v>658.2</v>
      </c>
    </row>
    <row r="383" spans="1:64" ht="72" customHeight="1" x14ac:dyDescent="0.25">
      <c r="A383" s="298" t="s">
        <v>1135</v>
      </c>
      <c r="B383" s="299" t="s">
        <v>1132</v>
      </c>
      <c r="C383" s="1547"/>
      <c r="D383" s="1549"/>
      <c r="E383" s="1549"/>
      <c r="F383" s="1549"/>
      <c r="G383" s="1549"/>
      <c r="H383" s="1549"/>
      <c r="I383" s="1425"/>
      <c r="J383" s="1425"/>
      <c r="K383" s="1425" t="s">
        <v>1186</v>
      </c>
      <c r="L383" s="301" t="s">
        <v>1140</v>
      </c>
      <c r="M383" s="1425" t="s">
        <v>1102</v>
      </c>
      <c r="N383" s="1425" t="s">
        <v>2484</v>
      </c>
      <c r="O383" s="1425" t="s">
        <v>73</v>
      </c>
      <c r="P383" s="1301" t="s">
        <v>2533</v>
      </c>
      <c r="Q383" s="1300" t="s">
        <v>2533</v>
      </c>
      <c r="R383" s="303">
        <v>2015</v>
      </c>
      <c r="S383" s="303">
        <v>97.65</v>
      </c>
      <c r="T383" s="303">
        <v>90</v>
      </c>
      <c r="U383" s="572">
        <v>90</v>
      </c>
      <c r="V383" s="572">
        <v>90</v>
      </c>
      <c r="W383" s="572">
        <v>90</v>
      </c>
      <c r="X383" s="572">
        <v>90</v>
      </c>
      <c r="Y383" s="481"/>
      <c r="Z383" s="481"/>
      <c r="AA383" s="491">
        <v>130</v>
      </c>
      <c r="AB383" s="481"/>
      <c r="AC383" s="481"/>
      <c r="AD383" s="481"/>
      <c r="AE383" s="481"/>
      <c r="AF383" s="481">
        <f t="shared" si="330"/>
        <v>130</v>
      </c>
      <c r="AG383" s="491">
        <v>1</v>
      </c>
      <c r="AH383" s="548"/>
      <c r="AI383" s="548">
        <v>35</v>
      </c>
      <c r="AJ383" s="548"/>
      <c r="AK383" s="548"/>
      <c r="AL383" s="548"/>
      <c r="AM383" s="548">
        <f t="shared" si="331"/>
        <v>36</v>
      </c>
      <c r="AN383" s="481"/>
      <c r="AO383" s="481"/>
      <c r="AP383" s="481">
        <v>20</v>
      </c>
      <c r="AQ383" s="481"/>
      <c r="AR383" s="481"/>
      <c r="AS383" s="481"/>
      <c r="AT383" s="481"/>
      <c r="AU383" s="481">
        <f t="shared" si="332"/>
        <v>20</v>
      </c>
      <c r="AV383" s="548"/>
      <c r="AW383" s="548"/>
      <c r="AX383" s="548">
        <v>50</v>
      </c>
      <c r="AY383" s="548"/>
      <c r="AZ383" s="548"/>
      <c r="BA383" s="548"/>
      <c r="BB383" s="548"/>
      <c r="BC383" s="548">
        <f t="shared" si="333"/>
        <v>50</v>
      </c>
      <c r="BD383" s="42">
        <f t="shared" si="323"/>
        <v>1</v>
      </c>
      <c r="BE383" s="42">
        <f t="shared" si="324"/>
        <v>0</v>
      </c>
      <c r="BF383" s="42">
        <f t="shared" si="325"/>
        <v>235</v>
      </c>
      <c r="BG383" s="42">
        <f t="shared" si="326"/>
        <v>0</v>
      </c>
      <c r="BH383" s="42">
        <f t="shared" si="327"/>
        <v>0</v>
      </c>
      <c r="BI383" s="42">
        <f t="shared" si="271"/>
        <v>0</v>
      </c>
      <c r="BJ383" s="42">
        <f t="shared" si="328"/>
        <v>0</v>
      </c>
      <c r="BK383" s="42">
        <f t="shared" si="329"/>
        <v>236</v>
      </c>
      <c r="BL383" s="40">
        <f t="shared" ref="BL383:BL446" si="334">AF383+AM383+AU383+BC383</f>
        <v>236</v>
      </c>
    </row>
    <row r="384" spans="1:64" ht="60" customHeight="1" x14ac:dyDescent="0.25">
      <c r="A384" s="298" t="s">
        <v>1135</v>
      </c>
      <c r="B384" s="299" t="s">
        <v>1132</v>
      </c>
      <c r="C384" s="1547"/>
      <c r="D384" s="1549"/>
      <c r="E384" s="1549"/>
      <c r="F384" s="1549"/>
      <c r="G384" s="1549"/>
      <c r="H384" s="1549"/>
      <c r="I384" s="1425"/>
      <c r="J384" s="1425"/>
      <c r="K384" s="1425" t="s">
        <v>1189</v>
      </c>
      <c r="L384" s="301" t="s">
        <v>1140</v>
      </c>
      <c r="M384" s="1425" t="s">
        <v>1102</v>
      </c>
      <c r="N384" s="1425" t="s">
        <v>2484</v>
      </c>
      <c r="O384" s="1425" t="s">
        <v>73</v>
      </c>
      <c r="P384" s="1301" t="s">
        <v>2534</v>
      </c>
      <c r="Q384" s="1300" t="s">
        <v>2535</v>
      </c>
      <c r="R384" s="303">
        <v>2015</v>
      </c>
      <c r="S384" s="303">
        <v>0</v>
      </c>
      <c r="T384" s="303">
        <v>1</v>
      </c>
      <c r="U384" s="572">
        <v>1</v>
      </c>
      <c r="V384" s="572">
        <v>1</v>
      </c>
      <c r="W384" s="572">
        <v>1</v>
      </c>
      <c r="X384" s="572">
        <v>1</v>
      </c>
      <c r="Y384" s="481"/>
      <c r="Z384" s="481"/>
      <c r="AA384" s="491">
        <v>6</v>
      </c>
      <c r="AB384" s="481"/>
      <c r="AC384" s="481"/>
      <c r="AD384" s="481"/>
      <c r="AE384" s="481"/>
      <c r="AF384" s="481">
        <f t="shared" si="330"/>
        <v>6</v>
      </c>
      <c r="AG384" s="491">
        <v>1</v>
      </c>
      <c r="AH384" s="548"/>
      <c r="AI384" s="548"/>
      <c r="AJ384" s="548"/>
      <c r="AK384" s="548"/>
      <c r="AL384" s="548"/>
      <c r="AM384" s="548">
        <f t="shared" si="331"/>
        <v>1</v>
      </c>
      <c r="AN384" s="491">
        <v>1</v>
      </c>
      <c r="AO384" s="481"/>
      <c r="AP384" s="481"/>
      <c r="AQ384" s="481"/>
      <c r="AR384" s="481"/>
      <c r="AS384" s="481"/>
      <c r="AT384" s="481"/>
      <c r="AU384" s="481">
        <f t="shared" si="332"/>
        <v>1</v>
      </c>
      <c r="AV384" s="548"/>
      <c r="AW384" s="548"/>
      <c r="AX384" s="548">
        <v>53</v>
      </c>
      <c r="AY384" s="548"/>
      <c r="AZ384" s="548"/>
      <c r="BA384" s="548"/>
      <c r="BB384" s="548"/>
      <c r="BC384" s="548">
        <f t="shared" si="333"/>
        <v>53</v>
      </c>
      <c r="BD384" s="42">
        <f t="shared" si="323"/>
        <v>2</v>
      </c>
      <c r="BE384" s="42">
        <f t="shared" si="324"/>
        <v>0</v>
      </c>
      <c r="BF384" s="42">
        <f t="shared" si="325"/>
        <v>59</v>
      </c>
      <c r="BG384" s="42">
        <f t="shared" si="326"/>
        <v>0</v>
      </c>
      <c r="BH384" s="42">
        <f t="shared" si="327"/>
        <v>0</v>
      </c>
      <c r="BI384" s="42">
        <f t="shared" si="271"/>
        <v>0</v>
      </c>
      <c r="BJ384" s="42">
        <f t="shared" si="328"/>
        <v>0</v>
      </c>
      <c r="BK384" s="42">
        <f t="shared" si="329"/>
        <v>61</v>
      </c>
      <c r="BL384" s="40">
        <f t="shared" si="334"/>
        <v>61</v>
      </c>
    </row>
    <row r="385" spans="1:64" ht="57" customHeight="1" x14ac:dyDescent="0.25">
      <c r="A385" s="298" t="s">
        <v>1135</v>
      </c>
      <c r="B385" s="299" t="s">
        <v>1132</v>
      </c>
      <c r="C385" s="1547"/>
      <c r="D385" s="1549"/>
      <c r="E385" s="1549"/>
      <c r="F385" s="1549"/>
      <c r="G385" s="1549"/>
      <c r="H385" s="1549"/>
      <c r="I385" s="1425"/>
      <c r="J385" s="1425"/>
      <c r="K385" s="1425" t="s">
        <v>1192</v>
      </c>
      <c r="L385" s="301" t="s">
        <v>1140</v>
      </c>
      <c r="M385" s="1425" t="s">
        <v>497</v>
      </c>
      <c r="N385" s="476" t="s">
        <v>2497</v>
      </c>
      <c r="O385" s="1425" t="s">
        <v>47</v>
      </c>
      <c r="P385" s="16" t="s">
        <v>1193</v>
      </c>
      <c r="Q385" s="302" t="s">
        <v>966</v>
      </c>
      <c r="R385" s="303">
        <v>2015</v>
      </c>
      <c r="S385" s="303">
        <v>0</v>
      </c>
      <c r="T385" s="303">
        <v>0</v>
      </c>
      <c r="U385" s="572">
        <v>0</v>
      </c>
      <c r="V385" s="572">
        <v>1</v>
      </c>
      <c r="W385" s="572">
        <v>1</v>
      </c>
      <c r="X385" s="572">
        <f t="shared" si="321"/>
        <v>2</v>
      </c>
      <c r="Y385" s="481"/>
      <c r="Z385" s="481"/>
      <c r="AA385" s="481"/>
      <c r="AB385" s="481"/>
      <c r="AC385" s="481"/>
      <c r="AD385" s="481"/>
      <c r="AE385" s="481"/>
      <c r="AF385" s="481">
        <f t="shared" si="330"/>
        <v>0</v>
      </c>
      <c r="AG385" s="548"/>
      <c r="AH385" s="548"/>
      <c r="AI385" s="548"/>
      <c r="AJ385" s="548"/>
      <c r="AK385" s="548"/>
      <c r="AL385" s="548"/>
      <c r="AM385" s="548">
        <f t="shared" si="331"/>
        <v>0</v>
      </c>
      <c r="AN385" s="491">
        <v>1</v>
      </c>
      <c r="AO385" s="481"/>
      <c r="AP385" s="481"/>
      <c r="AQ385" s="481"/>
      <c r="AR385" s="481"/>
      <c r="AS385" s="481"/>
      <c r="AT385" s="481"/>
      <c r="AU385" s="481">
        <f t="shared" si="332"/>
        <v>1</v>
      </c>
      <c r="AV385" s="491">
        <v>1</v>
      </c>
      <c r="AW385" s="548"/>
      <c r="AX385" s="548"/>
      <c r="AY385" s="548"/>
      <c r="AZ385" s="548"/>
      <c r="BA385" s="548"/>
      <c r="BB385" s="548"/>
      <c r="BC385" s="548">
        <f t="shared" si="333"/>
        <v>1</v>
      </c>
      <c r="BD385" s="42">
        <f t="shared" si="323"/>
        <v>2</v>
      </c>
      <c r="BE385" s="42">
        <f t="shared" si="324"/>
        <v>0</v>
      </c>
      <c r="BF385" s="42">
        <f t="shared" si="325"/>
        <v>0</v>
      </c>
      <c r="BG385" s="42">
        <f t="shared" si="326"/>
        <v>0</v>
      </c>
      <c r="BH385" s="42">
        <f t="shared" si="327"/>
        <v>0</v>
      </c>
      <c r="BI385" s="42">
        <f t="shared" si="271"/>
        <v>0</v>
      </c>
      <c r="BJ385" s="42">
        <f t="shared" si="328"/>
        <v>0</v>
      </c>
      <c r="BK385" s="42">
        <f t="shared" si="329"/>
        <v>2</v>
      </c>
      <c r="BL385" s="40">
        <f t="shared" si="334"/>
        <v>2</v>
      </c>
    </row>
    <row r="386" spans="1:64" ht="66" customHeight="1" x14ac:dyDescent="0.25">
      <c r="A386" s="298" t="s">
        <v>1135</v>
      </c>
      <c r="B386" s="299" t="s">
        <v>1132</v>
      </c>
      <c r="C386" s="1547"/>
      <c r="D386" s="1549"/>
      <c r="E386" s="1549"/>
      <c r="F386" s="1549"/>
      <c r="G386" s="1549"/>
      <c r="H386" s="1549"/>
      <c r="I386" s="1425"/>
      <c r="J386" s="1425"/>
      <c r="K386" s="1425" t="s">
        <v>1194</v>
      </c>
      <c r="L386" s="301" t="s">
        <v>1140</v>
      </c>
      <c r="M386" s="1425" t="s">
        <v>497</v>
      </c>
      <c r="N386" s="1425" t="s">
        <v>2497</v>
      </c>
      <c r="O386" s="1425" t="s">
        <v>47</v>
      </c>
      <c r="P386" s="16" t="s">
        <v>1195</v>
      </c>
      <c r="Q386" s="302" t="s">
        <v>1196</v>
      </c>
      <c r="R386" s="303">
        <v>2015</v>
      </c>
      <c r="S386" s="303">
        <v>0</v>
      </c>
      <c r="T386" s="303">
        <v>1</v>
      </c>
      <c r="U386" s="572">
        <v>0</v>
      </c>
      <c r="V386" s="572">
        <v>1</v>
      </c>
      <c r="W386" s="572">
        <v>0</v>
      </c>
      <c r="X386" s="572">
        <f t="shared" si="321"/>
        <v>2</v>
      </c>
      <c r="Y386" s="481"/>
      <c r="Z386" s="481"/>
      <c r="AA386" s="491"/>
      <c r="AB386" s="481"/>
      <c r="AC386" s="481"/>
      <c r="AD386" s="481"/>
      <c r="AE386" s="481"/>
      <c r="AF386" s="481">
        <f t="shared" si="330"/>
        <v>0</v>
      </c>
      <c r="AG386" s="548">
        <v>0.5</v>
      </c>
      <c r="AH386" s="548"/>
      <c r="AI386" s="548"/>
      <c r="AJ386" s="548"/>
      <c r="AK386" s="548"/>
      <c r="AL386" s="548"/>
      <c r="AM386" s="548">
        <f t="shared" si="331"/>
        <v>0.5</v>
      </c>
      <c r="AN386" s="491">
        <v>1</v>
      </c>
      <c r="AO386" s="481"/>
      <c r="AP386" s="481"/>
      <c r="AQ386" s="481"/>
      <c r="AR386" s="481"/>
      <c r="AS386" s="481"/>
      <c r="AT386" s="481"/>
      <c r="AU386" s="481">
        <f t="shared" si="332"/>
        <v>1</v>
      </c>
      <c r="AV386" s="548"/>
      <c r="AW386" s="548"/>
      <c r="AX386" s="548"/>
      <c r="AY386" s="548"/>
      <c r="AZ386" s="548"/>
      <c r="BA386" s="548"/>
      <c r="BB386" s="548"/>
      <c r="BC386" s="548">
        <f t="shared" si="333"/>
        <v>0</v>
      </c>
      <c r="BD386" s="42">
        <f t="shared" si="323"/>
        <v>1.5</v>
      </c>
      <c r="BE386" s="42">
        <f t="shared" si="324"/>
        <v>0</v>
      </c>
      <c r="BF386" s="42">
        <f t="shared" si="325"/>
        <v>0</v>
      </c>
      <c r="BG386" s="42">
        <f t="shared" si="326"/>
        <v>0</v>
      </c>
      <c r="BH386" s="42">
        <f t="shared" si="327"/>
        <v>0</v>
      </c>
      <c r="BI386" s="42">
        <f t="shared" si="271"/>
        <v>0</v>
      </c>
      <c r="BJ386" s="42">
        <f t="shared" si="328"/>
        <v>0</v>
      </c>
      <c r="BK386" s="42">
        <f t="shared" si="329"/>
        <v>1.5</v>
      </c>
      <c r="BL386" s="40">
        <f t="shared" si="334"/>
        <v>1.5</v>
      </c>
    </row>
    <row r="387" spans="1:64" ht="75.75" customHeight="1" x14ac:dyDescent="0.25">
      <c r="A387" s="298" t="s">
        <v>1135</v>
      </c>
      <c r="B387" s="299" t="s">
        <v>1132</v>
      </c>
      <c r="C387" s="1547"/>
      <c r="D387" s="1549"/>
      <c r="E387" s="1549"/>
      <c r="F387" s="1549"/>
      <c r="G387" s="1549"/>
      <c r="H387" s="1549"/>
      <c r="I387" s="1425"/>
      <c r="J387" s="1425"/>
      <c r="K387" s="1425" t="s">
        <v>1197</v>
      </c>
      <c r="L387" s="301" t="s">
        <v>1140</v>
      </c>
      <c r="M387" s="1425" t="s">
        <v>1102</v>
      </c>
      <c r="N387" s="1425" t="s">
        <v>2484</v>
      </c>
      <c r="O387" s="1425" t="s">
        <v>47</v>
      </c>
      <c r="P387" s="1198" t="s">
        <v>2536</v>
      </c>
      <c r="Q387" s="302" t="s">
        <v>2537</v>
      </c>
      <c r="R387" s="303">
        <v>2015</v>
      </c>
      <c r="S387" s="303">
        <v>1</v>
      </c>
      <c r="T387" s="303">
        <v>1</v>
      </c>
      <c r="U387" s="572">
        <v>1</v>
      </c>
      <c r="V387" s="572">
        <v>1</v>
      </c>
      <c r="W387" s="572">
        <v>1</v>
      </c>
      <c r="X387" s="572">
        <f t="shared" si="321"/>
        <v>4</v>
      </c>
      <c r="Y387" s="481"/>
      <c r="Z387" s="481"/>
      <c r="AA387" s="481">
        <v>10.5</v>
      </c>
      <c r="AB387" s="481"/>
      <c r="AC387" s="481"/>
      <c r="AD387" s="481"/>
      <c r="AE387" s="481"/>
      <c r="AF387" s="481">
        <f t="shared" si="330"/>
        <v>10.5</v>
      </c>
      <c r="AG387" s="548">
        <v>9.5</v>
      </c>
      <c r="AH387" s="548"/>
      <c r="AI387" s="548"/>
      <c r="AJ387" s="548"/>
      <c r="AK387" s="548"/>
      <c r="AL387" s="548"/>
      <c r="AM387" s="548">
        <f t="shared" si="331"/>
        <v>9.5</v>
      </c>
      <c r="AN387" s="481">
        <v>10</v>
      </c>
      <c r="AO387" s="481"/>
      <c r="AP387" s="481">
        <v>10</v>
      </c>
      <c r="AQ387" s="481"/>
      <c r="AR387" s="481"/>
      <c r="AS387" s="481"/>
      <c r="AT387" s="481"/>
      <c r="AU387" s="481">
        <f t="shared" si="332"/>
        <v>20</v>
      </c>
      <c r="AV387" s="548">
        <v>10</v>
      </c>
      <c r="AW387" s="548"/>
      <c r="AX387" s="548">
        <v>10</v>
      </c>
      <c r="AY387" s="548"/>
      <c r="AZ387" s="548"/>
      <c r="BA387" s="548"/>
      <c r="BB387" s="548"/>
      <c r="BC387" s="548">
        <f t="shared" si="333"/>
        <v>20</v>
      </c>
      <c r="BD387" s="42">
        <f t="shared" si="323"/>
        <v>29.5</v>
      </c>
      <c r="BE387" s="42">
        <f t="shared" si="324"/>
        <v>0</v>
      </c>
      <c r="BF387" s="42">
        <f t="shared" si="325"/>
        <v>30.5</v>
      </c>
      <c r="BG387" s="42">
        <f t="shared" si="326"/>
        <v>0</v>
      </c>
      <c r="BH387" s="42">
        <f t="shared" si="327"/>
        <v>0</v>
      </c>
      <c r="BI387" s="42">
        <f t="shared" si="271"/>
        <v>0</v>
      </c>
      <c r="BJ387" s="42">
        <f t="shared" si="328"/>
        <v>0</v>
      </c>
      <c r="BK387" s="42">
        <f t="shared" si="329"/>
        <v>60</v>
      </c>
      <c r="BL387" s="40">
        <f t="shared" si="334"/>
        <v>60</v>
      </c>
    </row>
    <row r="388" spans="1:64" ht="62.25" customHeight="1" x14ac:dyDescent="0.25">
      <c r="A388" s="298" t="s">
        <v>1135</v>
      </c>
      <c r="B388" s="299" t="s">
        <v>1132</v>
      </c>
      <c r="C388" s="1547"/>
      <c r="D388" s="1549"/>
      <c r="E388" s="1549"/>
      <c r="F388" s="1549"/>
      <c r="G388" s="1549"/>
      <c r="H388" s="1549"/>
      <c r="I388" s="1425"/>
      <c r="J388" s="1425"/>
      <c r="K388" s="1425" t="s">
        <v>1200</v>
      </c>
      <c r="L388" s="301" t="s">
        <v>1140</v>
      </c>
      <c r="M388" s="1425" t="s">
        <v>497</v>
      </c>
      <c r="N388" s="476" t="s">
        <v>2497</v>
      </c>
      <c r="O388" s="1425" t="s">
        <v>47</v>
      </c>
      <c r="P388" s="1301" t="s">
        <v>2538</v>
      </c>
      <c r="Q388" s="302" t="s">
        <v>2539</v>
      </c>
      <c r="R388" s="303">
        <v>2015</v>
      </c>
      <c r="S388" s="303">
        <v>0</v>
      </c>
      <c r="T388" s="303">
        <v>0</v>
      </c>
      <c r="U388" s="572">
        <v>1</v>
      </c>
      <c r="V388" s="572">
        <v>1</v>
      </c>
      <c r="W388" s="572">
        <v>0</v>
      </c>
      <c r="X388" s="572">
        <f t="shared" si="321"/>
        <v>2</v>
      </c>
      <c r="Y388" s="481"/>
      <c r="Z388" s="481"/>
      <c r="AA388" s="481">
        <v>0</v>
      </c>
      <c r="AB388" s="481"/>
      <c r="AC388" s="481"/>
      <c r="AD388" s="481"/>
      <c r="AE388" s="481"/>
      <c r="AF388" s="481">
        <f t="shared" si="330"/>
        <v>0</v>
      </c>
      <c r="AG388" s="491">
        <v>1</v>
      </c>
      <c r="AH388" s="548"/>
      <c r="AI388" s="548"/>
      <c r="AJ388" s="548"/>
      <c r="AK388" s="548"/>
      <c r="AL388" s="548"/>
      <c r="AM388" s="548">
        <f t="shared" si="331"/>
        <v>1</v>
      </c>
      <c r="AN388" s="481"/>
      <c r="AO388" s="481"/>
      <c r="AP388" s="481">
        <v>10</v>
      </c>
      <c r="AQ388" s="481"/>
      <c r="AR388" s="481"/>
      <c r="AS388" s="481"/>
      <c r="AT388" s="481"/>
      <c r="AU388" s="481">
        <f t="shared" si="332"/>
        <v>10</v>
      </c>
      <c r="AV388" s="548"/>
      <c r="AW388" s="548"/>
      <c r="AX388" s="491"/>
      <c r="AY388" s="548"/>
      <c r="AZ388" s="548"/>
      <c r="BA388" s="548"/>
      <c r="BB388" s="548"/>
      <c r="BC388" s="548">
        <f t="shared" si="333"/>
        <v>0</v>
      </c>
      <c r="BD388" s="42">
        <f t="shared" si="323"/>
        <v>1</v>
      </c>
      <c r="BE388" s="42">
        <f t="shared" si="324"/>
        <v>0</v>
      </c>
      <c r="BF388" s="42">
        <f t="shared" si="325"/>
        <v>10</v>
      </c>
      <c r="BG388" s="42">
        <f t="shared" si="326"/>
        <v>0</v>
      </c>
      <c r="BH388" s="42">
        <f t="shared" si="327"/>
        <v>0</v>
      </c>
      <c r="BI388" s="42">
        <f t="shared" si="271"/>
        <v>0</v>
      </c>
      <c r="BJ388" s="42">
        <f t="shared" si="328"/>
        <v>0</v>
      </c>
      <c r="BK388" s="42">
        <f t="shared" si="329"/>
        <v>11</v>
      </c>
      <c r="BL388" s="40">
        <f t="shared" si="334"/>
        <v>11</v>
      </c>
    </row>
    <row r="389" spans="1:64" ht="58.5" customHeight="1" x14ac:dyDescent="0.25">
      <c r="A389" s="298" t="s">
        <v>1135</v>
      </c>
      <c r="B389" s="299" t="s">
        <v>1132</v>
      </c>
      <c r="C389" s="1547"/>
      <c r="D389" s="1549"/>
      <c r="E389" s="1549"/>
      <c r="F389" s="1549"/>
      <c r="G389" s="1549"/>
      <c r="H389" s="1549"/>
      <c r="I389" s="1425"/>
      <c r="J389" s="1425"/>
      <c r="K389" s="1425" t="s">
        <v>1203</v>
      </c>
      <c r="L389" s="301" t="s">
        <v>1140</v>
      </c>
      <c r="M389" s="1425" t="s">
        <v>497</v>
      </c>
      <c r="N389" s="476" t="s">
        <v>2497</v>
      </c>
      <c r="O389" s="1425" t="s">
        <v>47</v>
      </c>
      <c r="P389" s="16" t="s">
        <v>1204</v>
      </c>
      <c r="Q389" s="302" t="s">
        <v>1205</v>
      </c>
      <c r="R389" s="303">
        <v>2015</v>
      </c>
      <c r="S389" s="303">
        <v>0</v>
      </c>
      <c r="T389" s="303">
        <v>1</v>
      </c>
      <c r="U389" s="572">
        <v>1</v>
      </c>
      <c r="V389" s="572">
        <v>1</v>
      </c>
      <c r="W389" s="572">
        <v>1</v>
      </c>
      <c r="X389" s="572">
        <f t="shared" si="321"/>
        <v>4</v>
      </c>
      <c r="Y389" s="481"/>
      <c r="Z389" s="481"/>
      <c r="AA389" s="491">
        <v>1.5</v>
      </c>
      <c r="AB389" s="481"/>
      <c r="AC389" s="481"/>
      <c r="AD389" s="481"/>
      <c r="AE389" s="481"/>
      <c r="AF389" s="481">
        <f t="shared" si="330"/>
        <v>1.5</v>
      </c>
      <c r="AG389" s="491">
        <v>1</v>
      </c>
      <c r="AH389" s="548"/>
      <c r="AI389" s="548"/>
      <c r="AJ389" s="548"/>
      <c r="AK389" s="548"/>
      <c r="AL389" s="548"/>
      <c r="AM389" s="548">
        <f t="shared" si="331"/>
        <v>1</v>
      </c>
      <c r="AN389" s="491">
        <v>1</v>
      </c>
      <c r="AO389" s="481"/>
      <c r="AP389" s="481"/>
      <c r="AQ389" s="481"/>
      <c r="AR389" s="481"/>
      <c r="AS389" s="481"/>
      <c r="AT389" s="481"/>
      <c r="AU389" s="481">
        <f t="shared" si="332"/>
        <v>1</v>
      </c>
      <c r="AV389" s="548"/>
      <c r="AW389" s="548"/>
      <c r="AX389" s="491">
        <v>10</v>
      </c>
      <c r="AY389" s="548"/>
      <c r="AZ389" s="548"/>
      <c r="BA389" s="548"/>
      <c r="BB389" s="548"/>
      <c r="BC389" s="548">
        <f t="shared" si="333"/>
        <v>10</v>
      </c>
      <c r="BD389" s="42">
        <f t="shared" si="323"/>
        <v>2</v>
      </c>
      <c r="BE389" s="42">
        <f t="shared" si="324"/>
        <v>0</v>
      </c>
      <c r="BF389" s="42">
        <f t="shared" si="325"/>
        <v>11.5</v>
      </c>
      <c r="BG389" s="42">
        <f t="shared" si="326"/>
        <v>0</v>
      </c>
      <c r="BH389" s="42">
        <f t="shared" si="327"/>
        <v>0</v>
      </c>
      <c r="BI389" s="42">
        <f t="shared" si="271"/>
        <v>0</v>
      </c>
      <c r="BJ389" s="42">
        <f t="shared" si="328"/>
        <v>0</v>
      </c>
      <c r="BK389" s="42">
        <f t="shared" si="329"/>
        <v>13.5</v>
      </c>
      <c r="BL389" s="40">
        <f t="shared" si="334"/>
        <v>13.5</v>
      </c>
    </row>
    <row r="390" spans="1:64" ht="69.75" customHeight="1" x14ac:dyDescent="0.25">
      <c r="A390" s="298" t="s">
        <v>1135</v>
      </c>
      <c r="B390" s="299" t="s">
        <v>1132</v>
      </c>
      <c r="C390" s="1547"/>
      <c r="D390" s="1549"/>
      <c r="E390" s="1549"/>
      <c r="F390" s="1549"/>
      <c r="G390" s="1549"/>
      <c r="H390" s="1549"/>
      <c r="I390" s="1425"/>
      <c r="J390" s="1425"/>
      <c r="K390" s="1425" t="s">
        <v>1206</v>
      </c>
      <c r="L390" s="301" t="s">
        <v>1140</v>
      </c>
      <c r="M390" s="1425" t="s">
        <v>1102</v>
      </c>
      <c r="N390" s="1425" t="s">
        <v>2484</v>
      </c>
      <c r="O390" s="1425" t="s">
        <v>47</v>
      </c>
      <c r="P390" s="16" t="s">
        <v>1207</v>
      </c>
      <c r="Q390" s="302" t="s">
        <v>1208</v>
      </c>
      <c r="R390" s="303">
        <v>2015</v>
      </c>
      <c r="S390" s="303">
        <v>0</v>
      </c>
      <c r="T390" s="303">
        <v>0</v>
      </c>
      <c r="U390" s="572">
        <v>1</v>
      </c>
      <c r="V390" s="572">
        <v>0</v>
      </c>
      <c r="W390" s="572">
        <v>1</v>
      </c>
      <c r="X390" s="572">
        <v>2</v>
      </c>
      <c r="Y390" s="481"/>
      <c r="Z390" s="481"/>
      <c r="AA390" s="481"/>
      <c r="AB390" s="481"/>
      <c r="AC390" s="481"/>
      <c r="AD390" s="481"/>
      <c r="AE390" s="481"/>
      <c r="AF390" s="481"/>
      <c r="AG390" s="491">
        <v>1</v>
      </c>
      <c r="AH390" s="548"/>
      <c r="AI390" s="548">
        <v>15</v>
      </c>
      <c r="AJ390" s="548"/>
      <c r="AK390" s="548"/>
      <c r="AL390" s="548"/>
      <c r="AM390" s="548">
        <f t="shared" ref="AM390:AM395" si="335">SUM(AG390:AL390)</f>
        <v>16</v>
      </c>
      <c r="AN390" s="481"/>
      <c r="AO390" s="481"/>
      <c r="AP390" s="481"/>
      <c r="AQ390" s="481"/>
      <c r="AR390" s="481"/>
      <c r="AS390" s="481"/>
      <c r="AT390" s="481"/>
      <c r="AU390" s="481"/>
      <c r="AV390" s="491">
        <v>1</v>
      </c>
      <c r="AW390" s="548"/>
      <c r="AX390" s="548"/>
      <c r="AY390" s="548"/>
      <c r="AZ390" s="548"/>
      <c r="BA390" s="548"/>
      <c r="BB390" s="548"/>
      <c r="BC390" s="548">
        <f>SUM(AV390:BB390)</f>
        <v>1</v>
      </c>
      <c r="BD390" s="42"/>
      <c r="BE390" s="42"/>
      <c r="BF390" s="42"/>
      <c r="BG390" s="42"/>
      <c r="BH390" s="42"/>
      <c r="BI390" s="42">
        <f t="shared" si="271"/>
        <v>0</v>
      </c>
      <c r="BJ390" s="42"/>
      <c r="BK390" s="42"/>
      <c r="BL390" s="40">
        <f t="shared" si="334"/>
        <v>17</v>
      </c>
    </row>
    <row r="391" spans="1:64" ht="17.25" customHeight="1" x14ac:dyDescent="0.25">
      <c r="A391" s="298" t="s">
        <v>1135</v>
      </c>
      <c r="B391" s="299" t="s">
        <v>1132</v>
      </c>
      <c r="C391" s="1547"/>
      <c r="D391" s="1549"/>
      <c r="E391" s="1549"/>
      <c r="F391" s="1549"/>
      <c r="G391" s="1549"/>
      <c r="H391" s="1549"/>
      <c r="I391" s="1425"/>
      <c r="J391" s="1425"/>
      <c r="K391" s="1425" t="s">
        <v>1209</v>
      </c>
      <c r="L391" s="301" t="s">
        <v>1140</v>
      </c>
      <c r="M391" s="1425" t="s">
        <v>497</v>
      </c>
      <c r="N391" s="476" t="s">
        <v>2497</v>
      </c>
      <c r="O391" s="1425" t="s">
        <v>47</v>
      </c>
      <c r="P391" s="1199" t="s">
        <v>1210</v>
      </c>
      <c r="Q391" s="1199" t="s">
        <v>1211</v>
      </c>
      <c r="R391" s="1463">
        <v>2015</v>
      </c>
      <c r="S391" s="1463">
        <v>0</v>
      </c>
      <c r="T391" s="1463">
        <v>1</v>
      </c>
      <c r="U391" s="715">
        <v>1</v>
      </c>
      <c r="V391" s="715">
        <v>0</v>
      </c>
      <c r="W391" s="715">
        <v>0</v>
      </c>
      <c r="X391" s="715">
        <f t="shared" si="321"/>
        <v>2</v>
      </c>
      <c r="Y391" s="1353"/>
      <c r="Z391" s="1353"/>
      <c r="AA391" s="1353">
        <v>1</v>
      </c>
      <c r="AB391" s="1353"/>
      <c r="AC391" s="1353"/>
      <c r="AD391" s="1353"/>
      <c r="AE391" s="1353"/>
      <c r="AF391" s="1353">
        <f t="shared" si="330"/>
        <v>1</v>
      </c>
      <c r="AG391" s="1353">
        <v>1</v>
      </c>
      <c r="AH391" s="1353"/>
      <c r="AI391" s="1353"/>
      <c r="AJ391" s="1353"/>
      <c r="AK391" s="1353"/>
      <c r="AL391" s="1353"/>
      <c r="AM391" s="1353">
        <f t="shared" si="335"/>
        <v>1</v>
      </c>
      <c r="AN391" s="1353"/>
      <c r="AO391" s="1353"/>
      <c r="AP391" s="1353"/>
      <c r="AQ391" s="1353"/>
      <c r="AR391" s="1353"/>
      <c r="AS391" s="1353"/>
      <c r="AT391" s="1353"/>
      <c r="AU391" s="1353">
        <f t="shared" si="332"/>
        <v>0</v>
      </c>
      <c r="AV391" s="548"/>
      <c r="AW391" s="548"/>
      <c r="AX391" s="548"/>
      <c r="AY391" s="548"/>
      <c r="AZ391" s="548"/>
      <c r="BA391" s="548"/>
      <c r="BB391" s="548"/>
      <c r="BC391" s="548">
        <f t="shared" si="333"/>
        <v>0</v>
      </c>
      <c r="BD391" s="42">
        <f t="shared" ref="BD391:BD424" si="336">+AV391+AN391+AG391+Y391</f>
        <v>1</v>
      </c>
      <c r="BE391" s="42">
        <f t="shared" ref="BE391:BE424" si="337">+AW391+AO391+AH391+Z391</f>
        <v>0</v>
      </c>
      <c r="BF391" s="42">
        <f t="shared" ref="BF391:BF424" si="338">+AX391+AP391+AI391+AA391</f>
        <v>1</v>
      </c>
      <c r="BG391" s="42">
        <f t="shared" ref="BG391:BG424" si="339">+AY391+AQ391+AJ391+AB391</f>
        <v>0</v>
      </c>
      <c r="BH391" s="42">
        <f t="shared" ref="BH391:BH424" si="340">+AZ391+AR391+AK391+AC391</f>
        <v>0</v>
      </c>
      <c r="BI391" s="42">
        <f t="shared" si="271"/>
        <v>0</v>
      </c>
      <c r="BJ391" s="42">
        <f t="shared" ref="BJ391:BJ424" si="341">+BB391+AT391+AL391+AE391</f>
        <v>0</v>
      </c>
      <c r="BK391" s="42">
        <f t="shared" ref="BK391:BK424" si="342">+BC391+AU391+AM391+AF391</f>
        <v>2</v>
      </c>
      <c r="BL391" s="40">
        <f t="shared" si="334"/>
        <v>2</v>
      </c>
    </row>
    <row r="392" spans="1:64" ht="65.25" customHeight="1" x14ac:dyDescent="0.25">
      <c r="A392" s="298" t="s">
        <v>1135</v>
      </c>
      <c r="B392" s="299" t="s">
        <v>1132</v>
      </c>
      <c r="C392" s="1547"/>
      <c r="D392" s="1549"/>
      <c r="E392" s="1549"/>
      <c r="F392" s="1549"/>
      <c r="G392" s="1549"/>
      <c r="H392" s="1549"/>
      <c r="I392" s="1425"/>
      <c r="J392" s="1425"/>
      <c r="K392" s="1425" t="s">
        <v>1212</v>
      </c>
      <c r="L392" s="301" t="s">
        <v>1140</v>
      </c>
      <c r="M392" s="1425" t="s">
        <v>497</v>
      </c>
      <c r="N392" s="476" t="s">
        <v>2497</v>
      </c>
      <c r="O392" s="1425" t="s">
        <v>47</v>
      </c>
      <c r="P392" s="16" t="s">
        <v>1213</v>
      </c>
      <c r="Q392" s="302" t="s">
        <v>1016</v>
      </c>
      <c r="R392" s="303">
        <v>2015</v>
      </c>
      <c r="S392" s="303">
        <v>0</v>
      </c>
      <c r="T392" s="303">
        <v>0</v>
      </c>
      <c r="U392" s="572">
        <v>1</v>
      </c>
      <c r="V392" s="572">
        <v>0</v>
      </c>
      <c r="W392" s="572">
        <v>0</v>
      </c>
      <c r="X392" s="572">
        <f>SUBTOTAL(9,T392:W392)</f>
        <v>1</v>
      </c>
      <c r="Y392" s="481"/>
      <c r="Z392" s="481"/>
      <c r="AA392" s="491">
        <v>1</v>
      </c>
      <c r="AB392" s="481"/>
      <c r="AC392" s="481"/>
      <c r="AD392" s="481"/>
      <c r="AE392" s="481"/>
      <c r="AF392" s="481">
        <f>SUM(Y392:AE392)</f>
        <v>1</v>
      </c>
      <c r="AG392" s="491">
        <v>1</v>
      </c>
      <c r="AH392" s="548"/>
      <c r="AI392" s="548"/>
      <c r="AJ392" s="548"/>
      <c r="AK392" s="548"/>
      <c r="AL392" s="548"/>
      <c r="AM392" s="548">
        <f t="shared" si="335"/>
        <v>1</v>
      </c>
      <c r="AN392" s="481"/>
      <c r="AO392" s="481"/>
      <c r="AP392" s="481"/>
      <c r="AQ392" s="481"/>
      <c r="AR392" s="481"/>
      <c r="AS392" s="481"/>
      <c r="AT392" s="481"/>
      <c r="AU392" s="481">
        <f>SUM(AN392:AT392)</f>
        <v>0</v>
      </c>
      <c r="AV392" s="548"/>
      <c r="AW392" s="548"/>
      <c r="AX392" s="548"/>
      <c r="AY392" s="548"/>
      <c r="AZ392" s="548"/>
      <c r="BA392" s="548"/>
      <c r="BB392" s="548"/>
      <c r="BC392" s="548">
        <f>SUM(AV392:BB392)</f>
        <v>0</v>
      </c>
      <c r="BD392" s="42">
        <f>+AV392+AN392+AG392+Y392</f>
        <v>1</v>
      </c>
      <c r="BE392" s="42">
        <f>+AW392+AO392+AH392+Z392</f>
        <v>0</v>
      </c>
      <c r="BF392" s="42">
        <f>+AX392+AP392+AI392+AA392</f>
        <v>1</v>
      </c>
      <c r="BG392" s="42">
        <f>+AY392+AQ392+AJ392+AB392</f>
        <v>0</v>
      </c>
      <c r="BH392" s="42">
        <f>+AZ392+AR392+AK392+AC392</f>
        <v>0</v>
      </c>
      <c r="BI392" s="42">
        <f t="shared" si="271"/>
        <v>0</v>
      </c>
      <c r="BJ392" s="42">
        <f>+BB392+AT392+AL392+AE392</f>
        <v>0</v>
      </c>
      <c r="BK392" s="42">
        <f>+BC392+AU392+AM392+AF392</f>
        <v>2</v>
      </c>
      <c r="BL392" s="40">
        <f t="shared" si="334"/>
        <v>2</v>
      </c>
    </row>
    <row r="393" spans="1:64" ht="65.25" customHeight="1" x14ac:dyDescent="0.25">
      <c r="A393" s="298" t="s">
        <v>1135</v>
      </c>
      <c r="B393" s="299" t="s">
        <v>1132</v>
      </c>
      <c r="C393" s="1548"/>
      <c r="D393" s="1549"/>
      <c r="E393" s="1549"/>
      <c r="F393" s="1549"/>
      <c r="G393" s="1549"/>
      <c r="H393" s="1549"/>
      <c r="I393" s="1425"/>
      <c r="J393" s="1425"/>
      <c r="K393" s="1425" t="s">
        <v>1214</v>
      </c>
      <c r="L393" s="301" t="s">
        <v>1140</v>
      </c>
      <c r="M393" s="1425" t="s">
        <v>497</v>
      </c>
      <c r="N393" s="476" t="s">
        <v>2497</v>
      </c>
      <c r="O393" s="1425" t="s">
        <v>47</v>
      </c>
      <c r="P393" s="16" t="s">
        <v>1215</v>
      </c>
      <c r="Q393" s="302" t="s">
        <v>1216</v>
      </c>
      <c r="R393" s="303">
        <v>2015</v>
      </c>
      <c r="S393" s="303">
        <v>0</v>
      </c>
      <c r="T393" s="303">
        <v>1</v>
      </c>
      <c r="U393" s="572">
        <v>1</v>
      </c>
      <c r="V393" s="572">
        <v>0</v>
      </c>
      <c r="W393" s="572">
        <v>0</v>
      </c>
      <c r="X393" s="572">
        <f t="shared" si="321"/>
        <v>2</v>
      </c>
      <c r="Y393" s="481"/>
      <c r="Z393" s="481"/>
      <c r="AA393" s="481"/>
      <c r="AB393" s="481"/>
      <c r="AC393" s="481"/>
      <c r="AD393" s="481"/>
      <c r="AE393" s="481"/>
      <c r="AF393" s="481">
        <f t="shared" si="330"/>
        <v>0</v>
      </c>
      <c r="AG393" s="491">
        <v>1</v>
      </c>
      <c r="AH393" s="548"/>
      <c r="AI393" s="548"/>
      <c r="AJ393" s="548"/>
      <c r="AK393" s="548"/>
      <c r="AL393" s="548"/>
      <c r="AM393" s="548">
        <f t="shared" si="335"/>
        <v>1</v>
      </c>
      <c r="AN393" s="491">
        <v>1</v>
      </c>
      <c r="AO393" s="481"/>
      <c r="AP393" s="481"/>
      <c r="AQ393" s="481"/>
      <c r="AR393" s="481"/>
      <c r="AS393" s="481"/>
      <c r="AT393" s="481"/>
      <c r="AU393" s="481">
        <f t="shared" si="332"/>
        <v>1</v>
      </c>
      <c r="AV393" s="548"/>
      <c r="AW393" s="548"/>
      <c r="AX393" s="548"/>
      <c r="AY393" s="548"/>
      <c r="AZ393" s="548"/>
      <c r="BA393" s="548"/>
      <c r="BB393" s="548"/>
      <c r="BC393" s="548">
        <f t="shared" si="333"/>
        <v>0</v>
      </c>
      <c r="BD393" s="42">
        <f t="shared" si="336"/>
        <v>2</v>
      </c>
      <c r="BE393" s="42">
        <f t="shared" si="337"/>
        <v>0</v>
      </c>
      <c r="BF393" s="42">
        <f t="shared" si="338"/>
        <v>0</v>
      </c>
      <c r="BG393" s="42">
        <f t="shared" si="339"/>
        <v>0</v>
      </c>
      <c r="BH393" s="42">
        <f t="shared" si="340"/>
        <v>0</v>
      </c>
      <c r="BI393" s="42">
        <f t="shared" si="271"/>
        <v>0</v>
      </c>
      <c r="BJ393" s="42">
        <f t="shared" si="341"/>
        <v>0</v>
      </c>
      <c r="BK393" s="42">
        <f t="shared" si="342"/>
        <v>2</v>
      </c>
      <c r="BL393" s="40">
        <f t="shared" si="334"/>
        <v>2</v>
      </c>
    </row>
    <row r="394" spans="1:64" ht="20.399999999999999" x14ac:dyDescent="0.25">
      <c r="A394" s="420"/>
      <c r="B394" s="1565" t="s">
        <v>1217</v>
      </c>
      <c r="C394" s="1566"/>
      <c r="D394" s="1566"/>
      <c r="E394" s="1566"/>
      <c r="F394" s="1566"/>
      <c r="G394" s="1566"/>
      <c r="H394" s="1566"/>
      <c r="I394" s="1566"/>
      <c r="J394" s="1566"/>
      <c r="K394" s="1566"/>
      <c r="L394" s="1566"/>
      <c r="M394" s="1567"/>
      <c r="N394" s="597"/>
      <c r="O394" s="597"/>
      <c r="P394" s="598"/>
      <c r="Q394" s="598"/>
      <c r="R394" s="597"/>
      <c r="S394" s="597"/>
      <c r="T394" s="597"/>
      <c r="U394" s="599"/>
      <c r="V394" s="599"/>
      <c r="W394" s="599"/>
      <c r="X394" s="599"/>
      <c r="Y394" s="600">
        <f>+Y395</f>
        <v>3</v>
      </c>
      <c r="Z394" s="600">
        <f t="shared" ref="Z394:AE394" si="343">+Z395</f>
        <v>0</v>
      </c>
      <c r="AA394" s="600">
        <f t="shared" si="343"/>
        <v>47</v>
      </c>
      <c r="AB394" s="600">
        <f t="shared" si="343"/>
        <v>0</v>
      </c>
      <c r="AC394" s="600">
        <f t="shared" si="343"/>
        <v>0</v>
      </c>
      <c r="AD394" s="600">
        <f t="shared" si="343"/>
        <v>0</v>
      </c>
      <c r="AE394" s="600">
        <f t="shared" si="343"/>
        <v>0</v>
      </c>
      <c r="AF394" s="600">
        <f t="shared" si="330"/>
        <v>50</v>
      </c>
      <c r="AG394" s="600">
        <f t="shared" ref="AG394:AL394" si="344">+AG395</f>
        <v>3</v>
      </c>
      <c r="AH394" s="600">
        <f t="shared" si="344"/>
        <v>0</v>
      </c>
      <c r="AI394" s="600">
        <f t="shared" si="344"/>
        <v>56</v>
      </c>
      <c r="AJ394" s="600">
        <f t="shared" si="344"/>
        <v>0</v>
      </c>
      <c r="AK394" s="600">
        <f t="shared" si="344"/>
        <v>0</v>
      </c>
      <c r="AL394" s="600">
        <f t="shared" si="344"/>
        <v>0</v>
      </c>
      <c r="AM394" s="600">
        <f t="shared" si="335"/>
        <v>59</v>
      </c>
      <c r="AN394" s="600">
        <f t="shared" ref="AN394:AT394" si="345">+AN395</f>
        <v>3</v>
      </c>
      <c r="AO394" s="600">
        <f t="shared" si="345"/>
        <v>0</v>
      </c>
      <c r="AP394" s="600">
        <f t="shared" si="345"/>
        <v>47</v>
      </c>
      <c r="AQ394" s="600">
        <f t="shared" si="345"/>
        <v>0</v>
      </c>
      <c r="AR394" s="600">
        <f t="shared" si="345"/>
        <v>0</v>
      </c>
      <c r="AS394" s="600">
        <f t="shared" si="345"/>
        <v>0</v>
      </c>
      <c r="AT394" s="600">
        <f t="shared" si="345"/>
        <v>0</v>
      </c>
      <c r="AU394" s="600">
        <f t="shared" si="332"/>
        <v>50</v>
      </c>
      <c r="AV394" s="600">
        <f t="shared" ref="AV394:BB394" si="346">+AV395</f>
        <v>3</v>
      </c>
      <c r="AW394" s="600">
        <f t="shared" si="346"/>
        <v>0</v>
      </c>
      <c r="AX394" s="600">
        <f t="shared" si="346"/>
        <v>47</v>
      </c>
      <c r="AY394" s="600">
        <f t="shared" si="346"/>
        <v>0</v>
      </c>
      <c r="AZ394" s="600">
        <f t="shared" si="346"/>
        <v>0</v>
      </c>
      <c r="BA394" s="600">
        <f t="shared" si="346"/>
        <v>0</v>
      </c>
      <c r="BB394" s="600">
        <f t="shared" si="346"/>
        <v>0</v>
      </c>
      <c r="BC394" s="600">
        <f t="shared" si="333"/>
        <v>50</v>
      </c>
      <c r="BD394" s="33">
        <f t="shared" si="336"/>
        <v>12</v>
      </c>
      <c r="BE394" s="33">
        <f t="shared" si="337"/>
        <v>0</v>
      </c>
      <c r="BF394" s="33">
        <f t="shared" si="338"/>
        <v>197</v>
      </c>
      <c r="BG394" s="33">
        <f t="shared" si="339"/>
        <v>0</v>
      </c>
      <c r="BH394" s="33">
        <f t="shared" si="340"/>
        <v>0</v>
      </c>
      <c r="BI394" s="33">
        <f t="shared" si="271"/>
        <v>0</v>
      </c>
      <c r="BJ394" s="33">
        <f t="shared" si="341"/>
        <v>0</v>
      </c>
      <c r="BK394" s="33">
        <f t="shared" si="342"/>
        <v>209</v>
      </c>
      <c r="BL394" s="40">
        <f t="shared" si="334"/>
        <v>209</v>
      </c>
    </row>
    <row r="395" spans="1:64" x14ac:dyDescent="0.25">
      <c r="A395" s="603"/>
      <c r="B395" s="155" t="s">
        <v>1218</v>
      </c>
      <c r="C395" s="155"/>
      <c r="D395" s="2" t="s">
        <v>1219</v>
      </c>
      <c r="E395" s="1"/>
      <c r="F395" s="1"/>
      <c r="G395" s="1"/>
      <c r="H395" s="1"/>
      <c r="I395" s="1"/>
      <c r="J395" s="1"/>
      <c r="K395" s="1"/>
      <c r="L395" s="1"/>
      <c r="M395" s="1"/>
      <c r="N395" s="1"/>
      <c r="O395" s="1"/>
      <c r="P395" s="22"/>
      <c r="Q395" s="22"/>
      <c r="R395" s="1"/>
      <c r="S395" s="1"/>
      <c r="T395" s="1"/>
      <c r="U395" s="49"/>
      <c r="V395" s="49"/>
      <c r="W395" s="49"/>
      <c r="X395" s="49"/>
      <c r="Y395" s="34">
        <f>SUM(Y396:Y406)</f>
        <v>3</v>
      </c>
      <c r="Z395" s="34">
        <f t="shared" ref="Z395:BC395" si="347">SUM(Z396:Z406)</f>
        <v>0</v>
      </c>
      <c r="AA395" s="34">
        <f t="shared" si="347"/>
        <v>47</v>
      </c>
      <c r="AB395" s="34">
        <f t="shared" si="347"/>
        <v>0</v>
      </c>
      <c r="AC395" s="34">
        <f t="shared" si="347"/>
        <v>0</v>
      </c>
      <c r="AD395" s="34">
        <f t="shared" si="347"/>
        <v>0</v>
      </c>
      <c r="AE395" s="34">
        <f t="shared" si="347"/>
        <v>0</v>
      </c>
      <c r="AF395" s="34">
        <f t="shared" si="347"/>
        <v>50</v>
      </c>
      <c r="AG395" s="34">
        <f t="shared" si="347"/>
        <v>3</v>
      </c>
      <c r="AH395" s="34">
        <f t="shared" si="347"/>
        <v>0</v>
      </c>
      <c r="AI395" s="34">
        <f>SUM(AI396:AI406)</f>
        <v>56</v>
      </c>
      <c r="AJ395" s="34">
        <f t="shared" si="347"/>
        <v>0</v>
      </c>
      <c r="AK395" s="34">
        <f t="shared" si="347"/>
        <v>0</v>
      </c>
      <c r="AL395" s="34">
        <f t="shared" si="347"/>
        <v>0</v>
      </c>
      <c r="AM395" s="34">
        <f t="shared" si="335"/>
        <v>59</v>
      </c>
      <c r="AN395" s="34">
        <f t="shared" si="347"/>
        <v>3</v>
      </c>
      <c r="AO395" s="34">
        <f t="shared" si="347"/>
        <v>0</v>
      </c>
      <c r="AP395" s="34">
        <f t="shared" si="347"/>
        <v>47</v>
      </c>
      <c r="AQ395" s="34">
        <f t="shared" si="347"/>
        <v>0</v>
      </c>
      <c r="AR395" s="34">
        <f t="shared" si="347"/>
        <v>0</v>
      </c>
      <c r="AS395" s="34">
        <f t="shared" si="347"/>
        <v>0</v>
      </c>
      <c r="AT395" s="34">
        <f t="shared" si="347"/>
        <v>0</v>
      </c>
      <c r="AU395" s="34">
        <f t="shared" si="347"/>
        <v>50</v>
      </c>
      <c r="AV395" s="34">
        <f t="shared" si="347"/>
        <v>3</v>
      </c>
      <c r="AW395" s="34">
        <f t="shared" si="347"/>
        <v>0</v>
      </c>
      <c r="AX395" s="34">
        <f t="shared" si="347"/>
        <v>47</v>
      </c>
      <c r="AY395" s="34">
        <f t="shared" si="347"/>
        <v>0</v>
      </c>
      <c r="AZ395" s="34">
        <f t="shared" si="347"/>
        <v>0</v>
      </c>
      <c r="BA395" s="34">
        <f t="shared" si="347"/>
        <v>0</v>
      </c>
      <c r="BB395" s="34">
        <f t="shared" si="347"/>
        <v>0</v>
      </c>
      <c r="BC395" s="34">
        <f t="shared" si="347"/>
        <v>50</v>
      </c>
      <c r="BD395" s="34">
        <f t="shared" si="336"/>
        <v>12</v>
      </c>
      <c r="BE395" s="34">
        <f t="shared" si="337"/>
        <v>0</v>
      </c>
      <c r="BF395" s="34">
        <f t="shared" si="338"/>
        <v>197</v>
      </c>
      <c r="BG395" s="34">
        <f t="shared" si="339"/>
        <v>0</v>
      </c>
      <c r="BH395" s="34">
        <f t="shared" si="340"/>
        <v>0</v>
      </c>
      <c r="BI395" s="34">
        <f t="shared" si="271"/>
        <v>0</v>
      </c>
      <c r="BJ395" s="34">
        <f t="shared" si="341"/>
        <v>0</v>
      </c>
      <c r="BK395" s="34">
        <f t="shared" si="342"/>
        <v>209</v>
      </c>
      <c r="BL395" s="40">
        <f t="shared" si="334"/>
        <v>209</v>
      </c>
    </row>
    <row r="396" spans="1:64" ht="40.5" customHeight="1" x14ac:dyDescent="0.25">
      <c r="A396" s="298" t="s">
        <v>1220</v>
      </c>
      <c r="B396" s="299" t="s">
        <v>1218</v>
      </c>
      <c r="C396" s="1546" t="s">
        <v>1221</v>
      </c>
      <c r="D396" s="1549" t="s">
        <v>1222</v>
      </c>
      <c r="E396" s="1549" t="s">
        <v>1223</v>
      </c>
      <c r="F396" s="1549">
        <v>2015</v>
      </c>
      <c r="G396" s="1549" t="s">
        <v>177</v>
      </c>
      <c r="H396" s="1549">
        <v>70</v>
      </c>
      <c r="I396" s="1425"/>
      <c r="J396" s="1425"/>
      <c r="K396" s="1425" t="s">
        <v>1224</v>
      </c>
      <c r="L396" s="301" t="s">
        <v>1140</v>
      </c>
      <c r="M396" s="1425" t="s">
        <v>1225</v>
      </c>
      <c r="N396" s="1425" t="s">
        <v>2497</v>
      </c>
      <c r="O396" s="1425" t="s">
        <v>47</v>
      </c>
      <c r="P396" s="16" t="s">
        <v>1227</v>
      </c>
      <c r="Q396" s="302" t="s">
        <v>1228</v>
      </c>
      <c r="R396" s="303">
        <v>2015</v>
      </c>
      <c r="S396" s="303">
        <v>0</v>
      </c>
      <c r="T396" s="303">
        <v>1</v>
      </c>
      <c r="U396" s="303">
        <v>1</v>
      </c>
      <c r="V396" s="303">
        <v>1</v>
      </c>
      <c r="W396" s="303">
        <v>1</v>
      </c>
      <c r="X396" s="303">
        <v>4</v>
      </c>
      <c r="Y396" s="481">
        <v>0</v>
      </c>
      <c r="Z396" s="481">
        <v>0</v>
      </c>
      <c r="AA396" s="584">
        <v>7</v>
      </c>
      <c r="AB396" s="481">
        <v>0</v>
      </c>
      <c r="AC396" s="481">
        <v>0</v>
      </c>
      <c r="AD396" s="481">
        <v>0</v>
      </c>
      <c r="AE396" s="481">
        <v>0</v>
      </c>
      <c r="AF396" s="481">
        <f t="shared" ref="AF396:AF406" si="348">SUM(Y396:AE396)</f>
        <v>7</v>
      </c>
      <c r="AG396" s="548">
        <v>0</v>
      </c>
      <c r="AH396" s="548">
        <v>0</v>
      </c>
      <c r="AI396" s="592">
        <v>7</v>
      </c>
      <c r="AJ396" s="548">
        <v>0</v>
      </c>
      <c r="AK396" s="548">
        <v>0</v>
      </c>
      <c r="AL396" s="548">
        <v>0</v>
      </c>
      <c r="AM396" s="548">
        <f t="shared" ref="AM396:AM404" si="349">SUM(AG396:AL396)</f>
        <v>7</v>
      </c>
      <c r="AN396" s="481">
        <v>0</v>
      </c>
      <c r="AO396" s="481">
        <v>0</v>
      </c>
      <c r="AP396" s="584">
        <v>7</v>
      </c>
      <c r="AQ396" s="481">
        <v>0</v>
      </c>
      <c r="AR396" s="481">
        <v>0</v>
      </c>
      <c r="AS396" s="481">
        <v>0</v>
      </c>
      <c r="AT396" s="481">
        <v>0</v>
      </c>
      <c r="AU396" s="481">
        <f t="shared" ref="AU396:AU406" si="350">SUM(AN396:AT396)</f>
        <v>7</v>
      </c>
      <c r="AV396" s="548">
        <v>0</v>
      </c>
      <c r="AW396" s="548">
        <v>0</v>
      </c>
      <c r="AX396" s="592">
        <v>7</v>
      </c>
      <c r="AY396" s="548">
        <v>0</v>
      </c>
      <c r="AZ396" s="548">
        <v>0</v>
      </c>
      <c r="BA396" s="548">
        <v>0</v>
      </c>
      <c r="BB396" s="548">
        <v>0</v>
      </c>
      <c r="BC396" s="548">
        <f t="shared" ref="BC396:BC406" si="351">SUM(AV396:BB396)</f>
        <v>7</v>
      </c>
      <c r="BD396" s="42">
        <f t="shared" si="336"/>
        <v>0</v>
      </c>
      <c r="BE396" s="42">
        <f t="shared" si="337"/>
        <v>0</v>
      </c>
      <c r="BF396" s="35">
        <f t="shared" si="338"/>
        <v>28</v>
      </c>
      <c r="BG396" s="42">
        <f t="shared" si="339"/>
        <v>0</v>
      </c>
      <c r="BH396" s="42">
        <f t="shared" si="340"/>
        <v>0</v>
      </c>
      <c r="BI396" s="42">
        <f t="shared" ref="BI396:BI462" si="352">+AD396+AS396+BA396</f>
        <v>0</v>
      </c>
      <c r="BJ396" s="42">
        <f t="shared" si="341"/>
        <v>0</v>
      </c>
      <c r="BK396" s="42">
        <f t="shared" si="342"/>
        <v>28</v>
      </c>
      <c r="BL396" s="40">
        <f t="shared" si="334"/>
        <v>28</v>
      </c>
    </row>
    <row r="397" spans="1:64" ht="54.75" customHeight="1" x14ac:dyDescent="0.25">
      <c r="A397" s="298" t="s">
        <v>1220</v>
      </c>
      <c r="B397" s="299" t="s">
        <v>1218</v>
      </c>
      <c r="C397" s="1547"/>
      <c r="D397" s="1549"/>
      <c r="E397" s="1549"/>
      <c r="F397" s="1549"/>
      <c r="G397" s="1549"/>
      <c r="H397" s="1549"/>
      <c r="I397" s="1425"/>
      <c r="J397" s="1425"/>
      <c r="K397" s="1425" t="s">
        <v>1229</v>
      </c>
      <c r="L397" s="301" t="s">
        <v>1140</v>
      </c>
      <c r="M397" s="1425" t="s">
        <v>1225</v>
      </c>
      <c r="N397" s="1425" t="s">
        <v>2497</v>
      </c>
      <c r="O397" s="1425" t="s">
        <v>47</v>
      </c>
      <c r="P397" s="1198" t="s">
        <v>2540</v>
      </c>
      <c r="Q397" s="302" t="s">
        <v>1231</v>
      </c>
      <c r="R397" s="303">
        <v>2015</v>
      </c>
      <c r="S397" s="303">
        <v>0</v>
      </c>
      <c r="T397" s="303">
        <v>1</v>
      </c>
      <c r="U397" s="303">
        <v>1</v>
      </c>
      <c r="V397" s="303">
        <v>1</v>
      </c>
      <c r="W397" s="303">
        <v>1</v>
      </c>
      <c r="X397" s="303">
        <v>4</v>
      </c>
      <c r="Y397" s="481">
        <v>0</v>
      </c>
      <c r="Z397" s="481">
        <v>0</v>
      </c>
      <c r="AA397" s="500">
        <v>5</v>
      </c>
      <c r="AB397" s="481">
        <v>0</v>
      </c>
      <c r="AC397" s="481">
        <v>0</v>
      </c>
      <c r="AD397" s="481">
        <v>0</v>
      </c>
      <c r="AE397" s="481">
        <v>0</v>
      </c>
      <c r="AF397" s="481">
        <f t="shared" si="348"/>
        <v>5</v>
      </c>
      <c r="AG397" s="491">
        <v>1</v>
      </c>
      <c r="AH397" s="548">
        <v>0</v>
      </c>
      <c r="AI397" s="592">
        <v>0</v>
      </c>
      <c r="AJ397" s="548">
        <v>0</v>
      </c>
      <c r="AK397" s="548">
        <v>0</v>
      </c>
      <c r="AL397" s="548">
        <v>0</v>
      </c>
      <c r="AM397" s="548">
        <f t="shared" si="349"/>
        <v>1</v>
      </c>
      <c r="AN397" s="493">
        <v>1</v>
      </c>
      <c r="AO397" s="481">
        <v>0</v>
      </c>
      <c r="AP397" s="584">
        <v>0</v>
      </c>
      <c r="AQ397" s="481">
        <v>0</v>
      </c>
      <c r="AR397" s="481">
        <v>0</v>
      </c>
      <c r="AS397" s="481">
        <v>0</v>
      </c>
      <c r="AT397" s="481">
        <v>0</v>
      </c>
      <c r="AU397" s="481">
        <f t="shared" si="350"/>
        <v>1</v>
      </c>
      <c r="AV397" s="493">
        <v>1</v>
      </c>
      <c r="AW397" s="548">
        <v>0</v>
      </c>
      <c r="AX397" s="592">
        <v>0</v>
      </c>
      <c r="AY397" s="548">
        <v>0</v>
      </c>
      <c r="AZ397" s="548">
        <v>0</v>
      </c>
      <c r="BA397" s="548">
        <v>0</v>
      </c>
      <c r="BB397" s="548">
        <v>0</v>
      </c>
      <c r="BC397" s="548">
        <f t="shared" si="351"/>
        <v>1</v>
      </c>
      <c r="BD397" s="42">
        <f t="shared" si="336"/>
        <v>3</v>
      </c>
      <c r="BE397" s="42">
        <f t="shared" si="337"/>
        <v>0</v>
      </c>
      <c r="BF397" s="35">
        <f t="shared" si="338"/>
        <v>5</v>
      </c>
      <c r="BG397" s="42">
        <f t="shared" si="339"/>
        <v>0</v>
      </c>
      <c r="BH397" s="42">
        <f t="shared" si="340"/>
        <v>0</v>
      </c>
      <c r="BI397" s="42">
        <f t="shared" si="352"/>
        <v>0</v>
      </c>
      <c r="BJ397" s="42">
        <f t="shared" si="341"/>
        <v>0</v>
      </c>
      <c r="BK397" s="42">
        <f t="shared" si="342"/>
        <v>8</v>
      </c>
      <c r="BL397" s="40">
        <f t="shared" si="334"/>
        <v>8</v>
      </c>
    </row>
    <row r="398" spans="1:64" ht="90.75" customHeight="1" x14ac:dyDescent="0.25">
      <c r="A398" s="298" t="s">
        <v>1220</v>
      </c>
      <c r="B398" s="299" t="s">
        <v>1218</v>
      </c>
      <c r="C398" s="1547"/>
      <c r="D398" s="1549"/>
      <c r="E398" s="1549"/>
      <c r="F398" s="1549"/>
      <c r="G398" s="1549"/>
      <c r="H398" s="1549"/>
      <c r="I398" s="1425"/>
      <c r="J398" s="1425"/>
      <c r="K398" s="1425" t="s">
        <v>1232</v>
      </c>
      <c r="L398" s="301" t="s">
        <v>1140</v>
      </c>
      <c r="M398" s="1425" t="s">
        <v>1225</v>
      </c>
      <c r="N398" s="1425" t="s">
        <v>2497</v>
      </c>
      <c r="O398" s="1425" t="s">
        <v>73</v>
      </c>
      <c r="P398" s="16" t="s">
        <v>1233</v>
      </c>
      <c r="Q398" s="302" t="s">
        <v>1234</v>
      </c>
      <c r="R398" s="303">
        <v>2015</v>
      </c>
      <c r="S398" s="303">
        <v>1</v>
      </c>
      <c r="T398" s="303">
        <v>1</v>
      </c>
      <c r="U398" s="303">
        <v>1</v>
      </c>
      <c r="V398" s="303">
        <v>1</v>
      </c>
      <c r="W398" s="303">
        <v>1</v>
      </c>
      <c r="X398" s="303">
        <v>1</v>
      </c>
      <c r="Y398" s="481"/>
      <c r="Z398" s="481"/>
      <c r="AA398" s="500">
        <v>5</v>
      </c>
      <c r="AB398" s="481"/>
      <c r="AC398" s="481"/>
      <c r="AD398" s="481"/>
      <c r="AE398" s="481"/>
      <c r="AF398" s="481">
        <f t="shared" si="348"/>
        <v>5</v>
      </c>
      <c r="AG398" s="548"/>
      <c r="AH398" s="548"/>
      <c r="AI398" s="592">
        <v>10</v>
      </c>
      <c r="AJ398" s="548"/>
      <c r="AK398" s="548"/>
      <c r="AL398" s="548"/>
      <c r="AM398" s="548">
        <f t="shared" si="349"/>
        <v>10</v>
      </c>
      <c r="AN398" s="481"/>
      <c r="AO398" s="481"/>
      <c r="AP398" s="584">
        <v>10</v>
      </c>
      <c r="AQ398" s="481"/>
      <c r="AR398" s="481"/>
      <c r="AS398" s="481"/>
      <c r="AT398" s="481"/>
      <c r="AU398" s="481">
        <f t="shared" si="350"/>
        <v>10</v>
      </c>
      <c r="AV398" s="548"/>
      <c r="AW398" s="548"/>
      <c r="AX398" s="592">
        <v>10</v>
      </c>
      <c r="AY398" s="548"/>
      <c r="AZ398" s="548"/>
      <c r="BA398" s="548"/>
      <c r="BB398" s="548"/>
      <c r="BC398" s="548">
        <f t="shared" si="351"/>
        <v>10</v>
      </c>
      <c r="BD398" s="42">
        <f t="shared" si="336"/>
        <v>0</v>
      </c>
      <c r="BE398" s="42">
        <f t="shared" si="337"/>
        <v>0</v>
      </c>
      <c r="BF398" s="35">
        <f t="shared" si="338"/>
        <v>35</v>
      </c>
      <c r="BG398" s="42">
        <f t="shared" si="339"/>
        <v>0</v>
      </c>
      <c r="BH398" s="42">
        <f t="shared" si="340"/>
        <v>0</v>
      </c>
      <c r="BI398" s="42">
        <f t="shared" si="352"/>
        <v>0</v>
      </c>
      <c r="BJ398" s="42">
        <f t="shared" si="341"/>
        <v>0</v>
      </c>
      <c r="BK398" s="42">
        <f t="shared" si="342"/>
        <v>35</v>
      </c>
      <c r="BL398" s="40">
        <f t="shared" si="334"/>
        <v>35</v>
      </c>
    </row>
    <row r="399" spans="1:64" ht="117.75" customHeight="1" x14ac:dyDescent="0.25">
      <c r="A399" s="298" t="s">
        <v>1220</v>
      </c>
      <c r="B399" s="299" t="s">
        <v>1218</v>
      </c>
      <c r="C399" s="1547"/>
      <c r="D399" s="1549"/>
      <c r="E399" s="1549"/>
      <c r="F399" s="1549"/>
      <c r="G399" s="1549"/>
      <c r="H399" s="1549"/>
      <c r="I399" s="1425"/>
      <c r="J399" s="1425"/>
      <c r="K399" s="1425" t="s">
        <v>1235</v>
      </c>
      <c r="L399" s="301" t="s">
        <v>1140</v>
      </c>
      <c r="M399" s="1425" t="s">
        <v>1225</v>
      </c>
      <c r="N399" s="1425" t="s">
        <v>2497</v>
      </c>
      <c r="O399" s="1425" t="s">
        <v>47</v>
      </c>
      <c r="P399" s="1301" t="s">
        <v>2541</v>
      </c>
      <c r="Q399" s="302" t="s">
        <v>2542</v>
      </c>
      <c r="R399" s="303">
        <v>2015</v>
      </c>
      <c r="S399" s="303">
        <v>1</v>
      </c>
      <c r="T399" s="303">
        <v>1</v>
      </c>
      <c r="U399" s="303">
        <v>1</v>
      </c>
      <c r="V399" s="303">
        <v>1</v>
      </c>
      <c r="W399" s="303">
        <v>1</v>
      </c>
      <c r="X399" s="303">
        <v>4</v>
      </c>
      <c r="Y399" s="483">
        <v>0</v>
      </c>
      <c r="Z399" s="483">
        <v>0</v>
      </c>
      <c r="AA399" s="500">
        <v>2.5</v>
      </c>
      <c r="AB399" s="483">
        <v>0</v>
      </c>
      <c r="AC399" s="483">
        <v>0</v>
      </c>
      <c r="AD399" s="483">
        <v>0</v>
      </c>
      <c r="AE399" s="483">
        <v>0</v>
      </c>
      <c r="AF399" s="481">
        <f t="shared" si="348"/>
        <v>2.5</v>
      </c>
      <c r="AG399" s="493">
        <v>1</v>
      </c>
      <c r="AH399" s="587">
        <v>0</v>
      </c>
      <c r="AI399" s="592">
        <v>0</v>
      </c>
      <c r="AJ399" s="587">
        <v>0</v>
      </c>
      <c r="AK399" s="587">
        <v>0</v>
      </c>
      <c r="AL399" s="587">
        <v>0</v>
      </c>
      <c r="AM399" s="587">
        <f t="shared" si="349"/>
        <v>1</v>
      </c>
      <c r="AN399" s="493">
        <v>1</v>
      </c>
      <c r="AO399" s="483">
        <v>0</v>
      </c>
      <c r="AP399" s="584">
        <v>0</v>
      </c>
      <c r="AQ399" s="483">
        <v>0</v>
      </c>
      <c r="AR399" s="483">
        <v>0</v>
      </c>
      <c r="AS399" s="483">
        <v>0</v>
      </c>
      <c r="AT399" s="483">
        <v>0</v>
      </c>
      <c r="AU399" s="483">
        <f t="shared" si="350"/>
        <v>1</v>
      </c>
      <c r="AV399" s="493">
        <v>1</v>
      </c>
      <c r="AW399" s="587">
        <v>0</v>
      </c>
      <c r="AX399" s="592">
        <v>0</v>
      </c>
      <c r="AY399" s="587">
        <v>0</v>
      </c>
      <c r="AZ399" s="587">
        <v>0</v>
      </c>
      <c r="BA399" s="587">
        <v>0</v>
      </c>
      <c r="BB399" s="587">
        <v>0</v>
      </c>
      <c r="BC399" s="587">
        <f t="shared" si="351"/>
        <v>1</v>
      </c>
      <c r="BD399" s="44">
        <f t="shared" si="336"/>
        <v>3</v>
      </c>
      <c r="BE399" s="44">
        <f t="shared" si="337"/>
        <v>0</v>
      </c>
      <c r="BF399" s="35">
        <f t="shared" si="338"/>
        <v>2.5</v>
      </c>
      <c r="BG399" s="44">
        <f t="shared" si="339"/>
        <v>0</v>
      </c>
      <c r="BH399" s="44">
        <f t="shared" si="340"/>
        <v>0</v>
      </c>
      <c r="BI399" s="44">
        <f t="shared" si="352"/>
        <v>0</v>
      </c>
      <c r="BJ399" s="44">
        <f t="shared" si="341"/>
        <v>0</v>
      </c>
      <c r="BK399" s="44">
        <f t="shared" si="342"/>
        <v>5.5</v>
      </c>
      <c r="BL399" s="40">
        <f t="shared" si="334"/>
        <v>5.5</v>
      </c>
    </row>
    <row r="400" spans="1:64" ht="55.5" customHeight="1" x14ac:dyDescent="0.25">
      <c r="A400" s="298" t="s">
        <v>1220</v>
      </c>
      <c r="B400" s="299" t="s">
        <v>1218</v>
      </c>
      <c r="C400" s="1547"/>
      <c r="D400" s="1549"/>
      <c r="E400" s="1549"/>
      <c r="F400" s="1549"/>
      <c r="G400" s="1549"/>
      <c r="H400" s="1549"/>
      <c r="I400" s="1425"/>
      <c r="J400" s="1425"/>
      <c r="K400" s="1425" t="s">
        <v>1237</v>
      </c>
      <c r="L400" s="301" t="s">
        <v>1140</v>
      </c>
      <c r="M400" s="1425" t="s">
        <v>1225</v>
      </c>
      <c r="N400" s="1425" t="s">
        <v>2497</v>
      </c>
      <c r="O400" s="1425" t="s">
        <v>47</v>
      </c>
      <c r="P400" s="16" t="s">
        <v>1238</v>
      </c>
      <c r="Q400" s="302" t="s">
        <v>1239</v>
      </c>
      <c r="R400" s="303">
        <v>2015</v>
      </c>
      <c r="S400" s="303">
        <v>0</v>
      </c>
      <c r="T400" s="303">
        <v>1</v>
      </c>
      <c r="U400" s="303">
        <v>1</v>
      </c>
      <c r="V400" s="303">
        <v>1</v>
      </c>
      <c r="W400" s="303">
        <v>1</v>
      </c>
      <c r="X400" s="303">
        <v>4</v>
      </c>
      <c r="Y400" s="481">
        <v>0</v>
      </c>
      <c r="Z400" s="481">
        <v>0</v>
      </c>
      <c r="AA400" s="500">
        <v>0.5</v>
      </c>
      <c r="AB400" s="481">
        <v>0</v>
      </c>
      <c r="AC400" s="481">
        <v>0</v>
      </c>
      <c r="AD400" s="481">
        <v>0</v>
      </c>
      <c r="AE400" s="481">
        <v>0</v>
      </c>
      <c r="AF400" s="481">
        <f t="shared" si="348"/>
        <v>0.5</v>
      </c>
      <c r="AG400" s="491">
        <v>0.5</v>
      </c>
      <c r="AH400" s="548">
        <v>0</v>
      </c>
      <c r="AI400" s="592">
        <v>0</v>
      </c>
      <c r="AJ400" s="548">
        <v>0</v>
      </c>
      <c r="AK400" s="548">
        <v>0</v>
      </c>
      <c r="AL400" s="548">
        <v>0</v>
      </c>
      <c r="AM400" s="548">
        <f t="shared" si="349"/>
        <v>0.5</v>
      </c>
      <c r="AN400" s="481">
        <v>0</v>
      </c>
      <c r="AO400" s="481">
        <v>0</v>
      </c>
      <c r="AP400" s="493">
        <v>1</v>
      </c>
      <c r="AQ400" s="481">
        <v>0</v>
      </c>
      <c r="AR400" s="481">
        <v>0</v>
      </c>
      <c r="AS400" s="481">
        <v>0</v>
      </c>
      <c r="AT400" s="481">
        <v>0</v>
      </c>
      <c r="AU400" s="481">
        <f t="shared" si="350"/>
        <v>1</v>
      </c>
      <c r="AV400" s="548">
        <v>0</v>
      </c>
      <c r="AW400" s="548">
        <v>0</v>
      </c>
      <c r="AX400" s="493">
        <v>1</v>
      </c>
      <c r="AY400" s="548">
        <v>0</v>
      </c>
      <c r="AZ400" s="548">
        <v>0</v>
      </c>
      <c r="BA400" s="548">
        <v>0</v>
      </c>
      <c r="BB400" s="548">
        <v>0</v>
      </c>
      <c r="BC400" s="548">
        <f t="shared" si="351"/>
        <v>1</v>
      </c>
      <c r="BD400" s="42">
        <f t="shared" si="336"/>
        <v>0.5</v>
      </c>
      <c r="BE400" s="42">
        <f t="shared" si="337"/>
        <v>0</v>
      </c>
      <c r="BF400" s="35">
        <f t="shared" si="338"/>
        <v>2.5</v>
      </c>
      <c r="BG400" s="42">
        <f t="shared" si="339"/>
        <v>0</v>
      </c>
      <c r="BH400" s="42">
        <f t="shared" si="340"/>
        <v>0</v>
      </c>
      <c r="BI400" s="42">
        <f t="shared" si="352"/>
        <v>0</v>
      </c>
      <c r="BJ400" s="42">
        <f t="shared" si="341"/>
        <v>0</v>
      </c>
      <c r="BK400" s="42">
        <f t="shared" si="342"/>
        <v>3</v>
      </c>
      <c r="BL400" s="40">
        <f t="shared" si="334"/>
        <v>3</v>
      </c>
    </row>
    <row r="401" spans="1:64" ht="20.25" customHeight="1" x14ac:dyDescent="0.25">
      <c r="A401" s="298" t="s">
        <v>1220</v>
      </c>
      <c r="B401" s="299" t="s">
        <v>1218</v>
      </c>
      <c r="C401" s="1547"/>
      <c r="D401" s="1549"/>
      <c r="E401" s="1549"/>
      <c r="F401" s="1549"/>
      <c r="G401" s="1549"/>
      <c r="H401" s="1549"/>
      <c r="I401" s="1425"/>
      <c r="J401" s="1425"/>
      <c r="K401" s="1425" t="s">
        <v>1240</v>
      </c>
      <c r="L401" s="301" t="s">
        <v>1140</v>
      </c>
      <c r="M401" s="1425" t="s">
        <v>1225</v>
      </c>
      <c r="N401" s="1425" t="s">
        <v>2497</v>
      </c>
      <c r="O401" s="1425" t="s">
        <v>47</v>
      </c>
      <c r="P401" s="1199" t="s">
        <v>1241</v>
      </c>
      <c r="Q401" s="1199" t="s">
        <v>1242</v>
      </c>
      <c r="R401" s="1463">
        <v>2015</v>
      </c>
      <c r="S401" s="1463">
        <v>0</v>
      </c>
      <c r="T401" s="1463">
        <v>1</v>
      </c>
      <c r="U401" s="1463">
        <v>1</v>
      </c>
      <c r="V401" s="1463">
        <v>1</v>
      </c>
      <c r="W401" s="1463">
        <v>1</v>
      </c>
      <c r="X401" s="1463">
        <v>4</v>
      </c>
      <c r="Y401" s="1353">
        <v>0</v>
      </c>
      <c r="Z401" s="1353">
        <v>0</v>
      </c>
      <c r="AA401" s="1357">
        <v>2</v>
      </c>
      <c r="AB401" s="1353">
        <v>0</v>
      </c>
      <c r="AC401" s="1353">
        <v>0</v>
      </c>
      <c r="AD401" s="1353">
        <v>0</v>
      </c>
      <c r="AE401" s="1353">
        <v>0</v>
      </c>
      <c r="AF401" s="1353">
        <f t="shared" si="348"/>
        <v>2</v>
      </c>
      <c r="AG401" s="1353">
        <v>0</v>
      </c>
      <c r="AH401" s="1353">
        <v>0</v>
      </c>
      <c r="AI401" s="1358">
        <v>1</v>
      </c>
      <c r="AJ401" s="1353">
        <v>0</v>
      </c>
      <c r="AK401" s="1353">
        <v>0</v>
      </c>
      <c r="AL401" s="1353">
        <v>0</v>
      </c>
      <c r="AM401" s="1353">
        <f t="shared" si="349"/>
        <v>1</v>
      </c>
      <c r="AN401" s="1353">
        <v>0</v>
      </c>
      <c r="AO401" s="1353">
        <v>0</v>
      </c>
      <c r="AP401" s="1358">
        <v>1</v>
      </c>
      <c r="AQ401" s="1353">
        <v>0</v>
      </c>
      <c r="AR401" s="1353">
        <v>0</v>
      </c>
      <c r="AS401" s="1353">
        <v>0</v>
      </c>
      <c r="AT401" s="1353">
        <v>0</v>
      </c>
      <c r="AU401" s="1353">
        <f t="shared" si="350"/>
        <v>1</v>
      </c>
      <c r="AV401" s="548">
        <v>0</v>
      </c>
      <c r="AW401" s="548">
        <v>0</v>
      </c>
      <c r="AX401" s="493">
        <v>1</v>
      </c>
      <c r="AY401" s="548">
        <v>0</v>
      </c>
      <c r="AZ401" s="548">
        <v>0</v>
      </c>
      <c r="BA401" s="548">
        <v>0</v>
      </c>
      <c r="BB401" s="548">
        <v>0</v>
      </c>
      <c r="BC401" s="548">
        <f t="shared" si="351"/>
        <v>1</v>
      </c>
      <c r="BD401" s="42">
        <f t="shared" si="336"/>
        <v>0</v>
      </c>
      <c r="BE401" s="42">
        <f t="shared" si="337"/>
        <v>0</v>
      </c>
      <c r="BF401" s="35">
        <f t="shared" si="338"/>
        <v>5</v>
      </c>
      <c r="BG401" s="42">
        <f t="shared" si="339"/>
        <v>0</v>
      </c>
      <c r="BH401" s="42">
        <f t="shared" si="340"/>
        <v>0</v>
      </c>
      <c r="BI401" s="42">
        <f t="shared" si="352"/>
        <v>0</v>
      </c>
      <c r="BJ401" s="42">
        <f t="shared" si="341"/>
        <v>0</v>
      </c>
      <c r="BK401" s="42">
        <f t="shared" si="342"/>
        <v>5</v>
      </c>
      <c r="BL401" s="40">
        <f t="shared" si="334"/>
        <v>5</v>
      </c>
    </row>
    <row r="402" spans="1:64" ht="36" customHeight="1" x14ac:dyDescent="0.25">
      <c r="A402" s="298" t="s">
        <v>1220</v>
      </c>
      <c r="B402" s="299" t="s">
        <v>1218</v>
      </c>
      <c r="C402" s="1547"/>
      <c r="D402" s="1549"/>
      <c r="E402" s="1549"/>
      <c r="F402" s="1549"/>
      <c r="G402" s="1549"/>
      <c r="H402" s="1549"/>
      <c r="I402" s="1425"/>
      <c r="J402" s="1425"/>
      <c r="K402" s="1425" t="s">
        <v>1243</v>
      </c>
      <c r="L402" s="301" t="s">
        <v>1140</v>
      </c>
      <c r="M402" s="1425" t="s">
        <v>1225</v>
      </c>
      <c r="N402" s="1425" t="s">
        <v>2497</v>
      </c>
      <c r="O402" s="1425" t="s">
        <v>47</v>
      </c>
      <c r="P402" s="16" t="s">
        <v>1244</v>
      </c>
      <c r="Q402" s="302" t="s">
        <v>1245</v>
      </c>
      <c r="R402" s="303">
        <v>2015</v>
      </c>
      <c r="S402" s="303">
        <v>0</v>
      </c>
      <c r="T402" s="303">
        <v>0</v>
      </c>
      <c r="U402" s="303">
        <v>1</v>
      </c>
      <c r="V402" s="303">
        <v>0</v>
      </c>
      <c r="W402" s="303">
        <v>0</v>
      </c>
      <c r="X402" s="303">
        <v>1</v>
      </c>
      <c r="Y402" s="481">
        <v>0</v>
      </c>
      <c r="Z402" s="481">
        <v>0</v>
      </c>
      <c r="AA402" s="584">
        <v>0</v>
      </c>
      <c r="AB402" s="481">
        <v>0</v>
      </c>
      <c r="AC402" s="481">
        <v>0</v>
      </c>
      <c r="AD402" s="481">
        <v>0</v>
      </c>
      <c r="AE402" s="481">
        <v>0</v>
      </c>
      <c r="AF402" s="481">
        <f t="shared" si="348"/>
        <v>0</v>
      </c>
      <c r="AG402" s="548">
        <v>0</v>
      </c>
      <c r="AH402" s="548">
        <v>0</v>
      </c>
      <c r="AI402" s="493">
        <v>1</v>
      </c>
      <c r="AJ402" s="548">
        <v>0</v>
      </c>
      <c r="AK402" s="548">
        <v>0</v>
      </c>
      <c r="AL402" s="548">
        <v>0</v>
      </c>
      <c r="AM402" s="548">
        <f t="shared" si="349"/>
        <v>1</v>
      </c>
      <c r="AN402" s="481">
        <v>0</v>
      </c>
      <c r="AO402" s="481">
        <v>0</v>
      </c>
      <c r="AP402" s="584">
        <v>0</v>
      </c>
      <c r="AQ402" s="481">
        <v>0</v>
      </c>
      <c r="AR402" s="481">
        <v>0</v>
      </c>
      <c r="AS402" s="481">
        <v>0</v>
      </c>
      <c r="AT402" s="481">
        <v>0</v>
      </c>
      <c r="AU402" s="481">
        <f t="shared" si="350"/>
        <v>0</v>
      </c>
      <c r="AV402" s="548">
        <v>0</v>
      </c>
      <c r="AW402" s="548">
        <v>0</v>
      </c>
      <c r="AX402" s="592">
        <v>0</v>
      </c>
      <c r="AY402" s="548">
        <v>0</v>
      </c>
      <c r="AZ402" s="548">
        <v>0</v>
      </c>
      <c r="BA402" s="548">
        <v>0</v>
      </c>
      <c r="BB402" s="548">
        <v>0</v>
      </c>
      <c r="BC402" s="548">
        <f t="shared" si="351"/>
        <v>0</v>
      </c>
      <c r="BD402" s="42">
        <f t="shared" si="336"/>
        <v>0</v>
      </c>
      <c r="BE402" s="42">
        <f t="shared" si="337"/>
        <v>0</v>
      </c>
      <c r="BF402" s="35">
        <f t="shared" si="338"/>
        <v>1</v>
      </c>
      <c r="BG402" s="42">
        <f t="shared" si="339"/>
        <v>0</v>
      </c>
      <c r="BH402" s="42">
        <f t="shared" si="340"/>
        <v>0</v>
      </c>
      <c r="BI402" s="42">
        <f t="shared" si="352"/>
        <v>0</v>
      </c>
      <c r="BJ402" s="42">
        <f t="shared" si="341"/>
        <v>0</v>
      </c>
      <c r="BK402" s="42">
        <f t="shared" si="342"/>
        <v>1</v>
      </c>
      <c r="BL402" s="40">
        <f t="shared" si="334"/>
        <v>1</v>
      </c>
    </row>
    <row r="403" spans="1:64" ht="49.5" customHeight="1" x14ac:dyDescent="0.25">
      <c r="A403" s="298" t="s">
        <v>1220</v>
      </c>
      <c r="B403" s="299" t="s">
        <v>1218</v>
      </c>
      <c r="C403" s="1547"/>
      <c r="D403" s="1549"/>
      <c r="E403" s="1549"/>
      <c r="F403" s="1549"/>
      <c r="G403" s="1549"/>
      <c r="H403" s="1549"/>
      <c r="I403" s="1425"/>
      <c r="J403" s="1425"/>
      <c r="K403" s="1425" t="s">
        <v>1246</v>
      </c>
      <c r="L403" s="301" t="s">
        <v>1140</v>
      </c>
      <c r="M403" s="1425" t="s">
        <v>1225</v>
      </c>
      <c r="N403" s="1425" t="s">
        <v>2497</v>
      </c>
      <c r="O403" s="1425" t="s">
        <v>47</v>
      </c>
      <c r="P403" s="16" t="s">
        <v>1247</v>
      </c>
      <c r="Q403" s="302" t="s">
        <v>1248</v>
      </c>
      <c r="R403" s="303">
        <v>2015</v>
      </c>
      <c r="S403" s="303">
        <v>0</v>
      </c>
      <c r="T403" s="303">
        <v>0</v>
      </c>
      <c r="U403" s="303">
        <v>40</v>
      </c>
      <c r="V403" s="303">
        <v>40</v>
      </c>
      <c r="W403" s="303">
        <v>40</v>
      </c>
      <c r="X403" s="303">
        <v>120</v>
      </c>
      <c r="Y403" s="481"/>
      <c r="Z403" s="481"/>
      <c r="AA403" s="500"/>
      <c r="AB403" s="481"/>
      <c r="AC403" s="481"/>
      <c r="AD403" s="481"/>
      <c r="AE403" s="481"/>
      <c r="AF403" s="481">
        <f t="shared" si="348"/>
        <v>0</v>
      </c>
      <c r="AG403" s="548"/>
      <c r="AH403" s="548"/>
      <c r="AI403" s="500">
        <v>7</v>
      </c>
      <c r="AJ403" s="548"/>
      <c r="AK403" s="548"/>
      <c r="AL403" s="548"/>
      <c r="AM403" s="548">
        <f t="shared" si="349"/>
        <v>7</v>
      </c>
      <c r="AN403" s="481"/>
      <c r="AO403" s="481"/>
      <c r="AP403" s="500">
        <v>7</v>
      </c>
      <c r="AQ403" s="481"/>
      <c r="AR403" s="481"/>
      <c r="AS403" s="481"/>
      <c r="AT403" s="481"/>
      <c r="AU403" s="481">
        <f t="shared" si="350"/>
        <v>7</v>
      </c>
      <c r="AV403" s="548"/>
      <c r="AW403" s="548"/>
      <c r="AX403" s="500">
        <v>7</v>
      </c>
      <c r="AY403" s="548"/>
      <c r="AZ403" s="548"/>
      <c r="BA403" s="548"/>
      <c r="BB403" s="548"/>
      <c r="BC403" s="548">
        <f t="shared" si="351"/>
        <v>7</v>
      </c>
      <c r="BD403" s="42">
        <f t="shared" si="336"/>
        <v>0</v>
      </c>
      <c r="BE403" s="42">
        <f t="shared" si="337"/>
        <v>0</v>
      </c>
      <c r="BF403" s="35">
        <f t="shared" si="338"/>
        <v>21</v>
      </c>
      <c r="BG403" s="42">
        <f t="shared" si="339"/>
        <v>0</v>
      </c>
      <c r="BH403" s="42">
        <f t="shared" si="340"/>
        <v>0</v>
      </c>
      <c r="BI403" s="42">
        <f t="shared" si="352"/>
        <v>0</v>
      </c>
      <c r="BJ403" s="42">
        <f t="shared" si="341"/>
        <v>0</v>
      </c>
      <c r="BK403" s="42">
        <f t="shared" si="342"/>
        <v>21</v>
      </c>
      <c r="BL403" s="40">
        <f t="shared" si="334"/>
        <v>21</v>
      </c>
    </row>
    <row r="404" spans="1:64" ht="48.75" customHeight="1" x14ac:dyDescent="0.25">
      <c r="A404" s="298" t="s">
        <v>1220</v>
      </c>
      <c r="B404" s="299" t="s">
        <v>1218</v>
      </c>
      <c r="C404" s="1547"/>
      <c r="D404" s="1549"/>
      <c r="E404" s="1549"/>
      <c r="F404" s="1549"/>
      <c r="G404" s="1549"/>
      <c r="H404" s="1549"/>
      <c r="I404" s="1425"/>
      <c r="J404" s="1425"/>
      <c r="K404" s="1425" t="s">
        <v>1249</v>
      </c>
      <c r="L404" s="301" t="s">
        <v>1140</v>
      </c>
      <c r="M404" s="1425" t="s">
        <v>1225</v>
      </c>
      <c r="N404" s="1425" t="s">
        <v>2497</v>
      </c>
      <c r="O404" s="1425" t="s">
        <v>47</v>
      </c>
      <c r="P404" s="16" t="s">
        <v>1250</v>
      </c>
      <c r="Q404" s="302" t="s">
        <v>1251</v>
      </c>
      <c r="R404" s="303">
        <v>2015</v>
      </c>
      <c r="S404" s="303">
        <v>1</v>
      </c>
      <c r="T404" s="303">
        <v>1</v>
      </c>
      <c r="U404" s="303">
        <v>1</v>
      </c>
      <c r="V404" s="303">
        <v>1</v>
      </c>
      <c r="W404" s="303">
        <v>1</v>
      </c>
      <c r="X404" s="303">
        <v>4</v>
      </c>
      <c r="Y404" s="481">
        <v>0</v>
      </c>
      <c r="Z404" s="481">
        <v>0</v>
      </c>
      <c r="AA404" s="500">
        <v>5</v>
      </c>
      <c r="AB404" s="481">
        <v>0</v>
      </c>
      <c r="AC404" s="481">
        <v>0</v>
      </c>
      <c r="AD404" s="481">
        <v>0</v>
      </c>
      <c r="AE404" s="481">
        <v>0</v>
      </c>
      <c r="AF404" s="481">
        <f t="shared" si="348"/>
        <v>5</v>
      </c>
      <c r="AG404" s="548">
        <v>0</v>
      </c>
      <c r="AH404" s="548">
        <v>0</v>
      </c>
      <c r="AI404" s="493">
        <v>10</v>
      </c>
      <c r="AJ404" s="548">
        <v>0</v>
      </c>
      <c r="AK404" s="548">
        <v>0</v>
      </c>
      <c r="AL404" s="548">
        <v>0</v>
      </c>
      <c r="AM404" s="548">
        <f t="shared" si="349"/>
        <v>10</v>
      </c>
      <c r="AN404" s="481">
        <v>0</v>
      </c>
      <c r="AO404" s="481">
        <v>0</v>
      </c>
      <c r="AP404" s="493">
        <v>1</v>
      </c>
      <c r="AQ404" s="481">
        <v>0</v>
      </c>
      <c r="AR404" s="481">
        <v>0</v>
      </c>
      <c r="AS404" s="481">
        <v>0</v>
      </c>
      <c r="AT404" s="481">
        <v>0</v>
      </c>
      <c r="AU404" s="481">
        <f t="shared" si="350"/>
        <v>1</v>
      </c>
      <c r="AV404" s="548">
        <v>0</v>
      </c>
      <c r="AW404" s="548">
        <v>0</v>
      </c>
      <c r="AX404" s="493">
        <v>1</v>
      </c>
      <c r="AY404" s="548">
        <v>0</v>
      </c>
      <c r="AZ404" s="548">
        <v>0</v>
      </c>
      <c r="BA404" s="548">
        <v>0</v>
      </c>
      <c r="BB404" s="548">
        <v>0</v>
      </c>
      <c r="BC404" s="548">
        <f t="shared" si="351"/>
        <v>1</v>
      </c>
      <c r="BD404" s="42">
        <f t="shared" si="336"/>
        <v>0</v>
      </c>
      <c r="BE404" s="42">
        <f t="shared" si="337"/>
        <v>0</v>
      </c>
      <c r="BF404" s="35">
        <f t="shared" si="338"/>
        <v>17</v>
      </c>
      <c r="BG404" s="42">
        <f t="shared" si="339"/>
        <v>0</v>
      </c>
      <c r="BH404" s="42">
        <f t="shared" si="340"/>
        <v>0</v>
      </c>
      <c r="BI404" s="42">
        <f t="shared" si="352"/>
        <v>0</v>
      </c>
      <c r="BJ404" s="42">
        <f t="shared" si="341"/>
        <v>0</v>
      </c>
      <c r="BK404" s="42">
        <f t="shared" si="342"/>
        <v>17</v>
      </c>
      <c r="BL404" s="40">
        <f t="shared" si="334"/>
        <v>17</v>
      </c>
    </row>
    <row r="405" spans="1:64" ht="12.75" customHeight="1" x14ac:dyDescent="0.25">
      <c r="A405" s="298" t="s">
        <v>1220</v>
      </c>
      <c r="B405" s="299" t="s">
        <v>1218</v>
      </c>
      <c r="C405" s="1547"/>
      <c r="D405" s="1549"/>
      <c r="E405" s="1549"/>
      <c r="F405" s="1549"/>
      <c r="G405" s="1549"/>
      <c r="H405" s="1549"/>
      <c r="I405" s="1425"/>
      <c r="J405" s="1425"/>
      <c r="K405" s="1425" t="s">
        <v>1252</v>
      </c>
      <c r="L405" s="301" t="s">
        <v>1140</v>
      </c>
      <c r="M405" s="1425" t="s">
        <v>1225</v>
      </c>
      <c r="N405" s="1425" t="s">
        <v>2497</v>
      </c>
      <c r="O405" s="1425" t="s">
        <v>73</v>
      </c>
      <c r="P405" s="1199" t="s">
        <v>1253</v>
      </c>
      <c r="Q405" s="1199" t="s">
        <v>1254</v>
      </c>
      <c r="R405" s="1463">
        <v>2015</v>
      </c>
      <c r="S405" s="1463">
        <v>1</v>
      </c>
      <c r="T405" s="1463">
        <v>1</v>
      </c>
      <c r="U405" s="1463">
        <v>1</v>
      </c>
      <c r="V405" s="1463">
        <v>1</v>
      </c>
      <c r="W405" s="1463">
        <v>1</v>
      </c>
      <c r="X405" s="1463">
        <v>1</v>
      </c>
      <c r="Y405" s="1353"/>
      <c r="Z405" s="1353"/>
      <c r="AA405" s="1357">
        <v>20</v>
      </c>
      <c r="AB405" s="1353"/>
      <c r="AC405" s="1353"/>
      <c r="AD405" s="1353"/>
      <c r="AE405" s="1353"/>
      <c r="AF405" s="1353">
        <f t="shared" si="348"/>
        <v>20</v>
      </c>
      <c r="AG405" s="1353"/>
      <c r="AH405" s="1353"/>
      <c r="AI405" s="1357">
        <v>20</v>
      </c>
      <c r="AJ405" s="1353"/>
      <c r="AK405" s="1353"/>
      <c r="AL405" s="1353"/>
      <c r="AM405" s="1353">
        <f>SUM(AG405:AL405)</f>
        <v>20</v>
      </c>
      <c r="AN405" s="1353"/>
      <c r="AO405" s="1353"/>
      <c r="AP405" s="1357">
        <v>20</v>
      </c>
      <c r="AQ405" s="1353"/>
      <c r="AR405" s="481"/>
      <c r="AS405" s="481"/>
      <c r="AT405" s="481"/>
      <c r="AU405" s="481">
        <f t="shared" si="350"/>
        <v>20</v>
      </c>
      <c r="AV405" s="548"/>
      <c r="AW405" s="548"/>
      <c r="AX405" s="592">
        <v>20</v>
      </c>
      <c r="AY405" s="548"/>
      <c r="AZ405" s="548"/>
      <c r="BA405" s="548"/>
      <c r="BB405" s="548"/>
      <c r="BC405" s="548">
        <f t="shared" si="351"/>
        <v>20</v>
      </c>
      <c r="BD405" s="42">
        <f t="shared" si="336"/>
        <v>0</v>
      </c>
      <c r="BE405" s="42">
        <f t="shared" si="337"/>
        <v>0</v>
      </c>
      <c r="BF405" s="35">
        <f t="shared" si="338"/>
        <v>80</v>
      </c>
      <c r="BG405" s="42">
        <f t="shared" si="339"/>
        <v>0</v>
      </c>
      <c r="BH405" s="42">
        <f t="shared" si="340"/>
        <v>0</v>
      </c>
      <c r="BI405" s="42">
        <f t="shared" si="352"/>
        <v>0</v>
      </c>
      <c r="BJ405" s="42">
        <f t="shared" si="341"/>
        <v>0</v>
      </c>
      <c r="BK405" s="42">
        <f t="shared" si="342"/>
        <v>80</v>
      </c>
      <c r="BL405" s="40">
        <f t="shared" si="334"/>
        <v>80</v>
      </c>
    </row>
    <row r="406" spans="1:64" ht="49.5" customHeight="1" x14ac:dyDescent="0.25">
      <c r="A406" s="298" t="s">
        <v>1220</v>
      </c>
      <c r="B406" s="299" t="s">
        <v>1218</v>
      </c>
      <c r="C406" s="1548"/>
      <c r="D406" s="1549"/>
      <c r="E406" s="1549"/>
      <c r="F406" s="1549"/>
      <c r="G406" s="1549"/>
      <c r="H406" s="1549"/>
      <c r="I406" s="1425"/>
      <c r="J406" s="1425"/>
      <c r="K406" s="1425" t="s">
        <v>1255</v>
      </c>
      <c r="L406" s="301" t="s">
        <v>1140</v>
      </c>
      <c r="M406" s="1425" t="s">
        <v>1225</v>
      </c>
      <c r="N406" s="1425" t="s">
        <v>2497</v>
      </c>
      <c r="O406" s="1425" t="s">
        <v>47</v>
      </c>
      <c r="P406" s="16" t="s">
        <v>1256</v>
      </c>
      <c r="Q406" s="302" t="s">
        <v>1257</v>
      </c>
      <c r="R406" s="303">
        <v>2015</v>
      </c>
      <c r="S406" s="303">
        <v>0</v>
      </c>
      <c r="T406" s="303">
        <v>1</v>
      </c>
      <c r="U406" s="303">
        <v>1</v>
      </c>
      <c r="V406" s="303">
        <v>1</v>
      </c>
      <c r="W406" s="303">
        <v>1</v>
      </c>
      <c r="X406" s="303">
        <v>4</v>
      </c>
      <c r="Y406" s="481">
        <v>3</v>
      </c>
      <c r="Z406" s="481"/>
      <c r="AA406" s="584">
        <v>0</v>
      </c>
      <c r="AB406" s="481"/>
      <c r="AC406" s="481"/>
      <c r="AD406" s="481"/>
      <c r="AE406" s="481"/>
      <c r="AF406" s="481">
        <f t="shared" si="348"/>
        <v>3</v>
      </c>
      <c r="AG406" s="491">
        <v>0.5</v>
      </c>
      <c r="AH406" s="548"/>
      <c r="AI406" s="592">
        <v>0</v>
      </c>
      <c r="AJ406" s="548"/>
      <c r="AK406" s="548"/>
      <c r="AL406" s="548"/>
      <c r="AM406" s="548">
        <f>SUM(AG406:AL406)</f>
        <v>0.5</v>
      </c>
      <c r="AN406" s="491">
        <v>1</v>
      </c>
      <c r="AO406" s="481"/>
      <c r="AP406" s="584">
        <v>0</v>
      </c>
      <c r="AQ406" s="481"/>
      <c r="AR406" s="481"/>
      <c r="AS406" s="481"/>
      <c r="AT406" s="481"/>
      <c r="AU406" s="481">
        <f t="shared" si="350"/>
        <v>1</v>
      </c>
      <c r="AV406" s="491">
        <v>1</v>
      </c>
      <c r="AW406" s="548"/>
      <c r="AX406" s="592">
        <v>0</v>
      </c>
      <c r="AY406" s="548"/>
      <c r="AZ406" s="548"/>
      <c r="BA406" s="548"/>
      <c r="BB406" s="548"/>
      <c r="BC406" s="548">
        <f t="shared" si="351"/>
        <v>1</v>
      </c>
      <c r="BD406" s="42">
        <f t="shared" si="336"/>
        <v>5.5</v>
      </c>
      <c r="BE406" s="42">
        <f t="shared" si="337"/>
        <v>0</v>
      </c>
      <c r="BF406" s="35">
        <f t="shared" si="338"/>
        <v>0</v>
      </c>
      <c r="BG406" s="42">
        <f t="shared" si="339"/>
        <v>0</v>
      </c>
      <c r="BH406" s="42">
        <f t="shared" si="340"/>
        <v>0</v>
      </c>
      <c r="BI406" s="42">
        <f t="shared" si="352"/>
        <v>0</v>
      </c>
      <c r="BJ406" s="42">
        <f t="shared" si="341"/>
        <v>0</v>
      </c>
      <c r="BK406" s="42">
        <f t="shared" si="342"/>
        <v>5.5</v>
      </c>
      <c r="BL406" s="40">
        <f t="shared" si="334"/>
        <v>5.5</v>
      </c>
    </row>
    <row r="407" spans="1:64" ht="20.399999999999999" x14ac:dyDescent="0.25">
      <c r="A407" s="420"/>
      <c r="B407" s="1565" t="s">
        <v>1258</v>
      </c>
      <c r="C407" s="1566"/>
      <c r="D407" s="1566"/>
      <c r="E407" s="1566"/>
      <c r="F407" s="1566"/>
      <c r="G407" s="1566"/>
      <c r="H407" s="1566"/>
      <c r="I407" s="1566"/>
      <c r="J407" s="1566"/>
      <c r="K407" s="1566"/>
      <c r="L407" s="1566"/>
      <c r="M407" s="1567"/>
      <c r="N407" s="597"/>
      <c r="O407" s="597"/>
      <c r="P407" s="598"/>
      <c r="Q407" s="598"/>
      <c r="R407" s="597"/>
      <c r="S407" s="597"/>
      <c r="T407" s="597"/>
      <c r="U407" s="599"/>
      <c r="V407" s="599"/>
      <c r="W407" s="599"/>
      <c r="X407" s="599"/>
      <c r="Y407" s="600">
        <f t="shared" ref="Y407:BC407" si="353">+Y408+Y424</f>
        <v>54.9</v>
      </c>
      <c r="Z407" s="600">
        <f t="shared" si="353"/>
        <v>350</v>
      </c>
      <c r="AA407" s="600">
        <f t="shared" si="353"/>
        <v>50</v>
      </c>
      <c r="AB407" s="600">
        <f t="shared" si="353"/>
        <v>0</v>
      </c>
      <c r="AC407" s="600">
        <f t="shared" si="353"/>
        <v>0</v>
      </c>
      <c r="AD407" s="600">
        <f t="shared" si="353"/>
        <v>603</v>
      </c>
      <c r="AE407" s="600">
        <f t="shared" si="353"/>
        <v>0</v>
      </c>
      <c r="AF407" s="600">
        <f t="shared" si="353"/>
        <v>1057.9000000000001</v>
      </c>
      <c r="AG407" s="600">
        <f t="shared" si="353"/>
        <v>43</v>
      </c>
      <c r="AH407" s="600">
        <f t="shared" si="353"/>
        <v>325</v>
      </c>
      <c r="AI407" s="600">
        <f t="shared" si="353"/>
        <v>55</v>
      </c>
      <c r="AJ407" s="600">
        <f t="shared" si="353"/>
        <v>0</v>
      </c>
      <c r="AK407" s="600">
        <f t="shared" si="353"/>
        <v>0</v>
      </c>
      <c r="AL407" s="600">
        <f t="shared" si="353"/>
        <v>0</v>
      </c>
      <c r="AM407" s="600">
        <f t="shared" si="353"/>
        <v>423</v>
      </c>
      <c r="AN407" s="600">
        <f t="shared" si="353"/>
        <v>28</v>
      </c>
      <c r="AO407" s="600">
        <f t="shared" si="353"/>
        <v>345</v>
      </c>
      <c r="AP407" s="600">
        <f t="shared" si="353"/>
        <v>0</v>
      </c>
      <c r="AQ407" s="600">
        <f t="shared" si="353"/>
        <v>0</v>
      </c>
      <c r="AR407" s="600">
        <f t="shared" si="353"/>
        <v>0</v>
      </c>
      <c r="AS407" s="600">
        <f t="shared" si="353"/>
        <v>0</v>
      </c>
      <c r="AT407" s="600">
        <f t="shared" si="353"/>
        <v>0</v>
      </c>
      <c r="AU407" s="600">
        <f t="shared" si="353"/>
        <v>373</v>
      </c>
      <c r="AV407" s="600">
        <f t="shared" si="353"/>
        <v>43</v>
      </c>
      <c r="AW407" s="600">
        <f t="shared" si="353"/>
        <v>335</v>
      </c>
      <c r="AX407" s="600">
        <f t="shared" si="353"/>
        <v>0</v>
      </c>
      <c r="AY407" s="600">
        <f t="shared" si="353"/>
        <v>0</v>
      </c>
      <c r="AZ407" s="600">
        <f t="shared" si="353"/>
        <v>0</v>
      </c>
      <c r="BA407" s="600">
        <f t="shared" si="353"/>
        <v>0</v>
      </c>
      <c r="BB407" s="600">
        <f t="shared" si="353"/>
        <v>0</v>
      </c>
      <c r="BC407" s="600">
        <f t="shared" si="353"/>
        <v>378</v>
      </c>
      <c r="BD407" s="33">
        <f t="shared" si="336"/>
        <v>168.9</v>
      </c>
      <c r="BE407" s="33">
        <f t="shared" si="337"/>
        <v>1355</v>
      </c>
      <c r="BF407" s="33">
        <f t="shared" si="338"/>
        <v>105</v>
      </c>
      <c r="BG407" s="33">
        <f t="shared" si="339"/>
        <v>0</v>
      </c>
      <c r="BH407" s="33">
        <f t="shared" si="340"/>
        <v>0</v>
      </c>
      <c r="BI407" s="33">
        <f t="shared" si="352"/>
        <v>603</v>
      </c>
      <c r="BJ407" s="33">
        <f t="shared" si="341"/>
        <v>0</v>
      </c>
      <c r="BK407" s="33">
        <f t="shared" si="342"/>
        <v>2231.9</v>
      </c>
      <c r="BL407" s="40">
        <f t="shared" si="334"/>
        <v>2231.9</v>
      </c>
    </row>
    <row r="408" spans="1:64" x14ac:dyDescent="0.25">
      <c r="A408" s="603"/>
      <c r="B408" s="155" t="s">
        <v>1259</v>
      </c>
      <c r="C408" s="155"/>
      <c r="D408" s="2" t="s">
        <v>1260</v>
      </c>
      <c r="E408" s="1"/>
      <c r="F408" s="1"/>
      <c r="G408" s="1"/>
      <c r="H408" s="1"/>
      <c r="I408" s="1"/>
      <c r="J408" s="1"/>
      <c r="K408" s="1"/>
      <c r="L408" s="1"/>
      <c r="M408" s="1"/>
      <c r="N408" s="1"/>
      <c r="O408" s="1"/>
      <c r="P408" s="22"/>
      <c r="Q408" s="22"/>
      <c r="R408" s="1"/>
      <c r="S408" s="1"/>
      <c r="T408" s="1"/>
      <c r="U408" s="49"/>
      <c r="V408" s="49"/>
      <c r="W408" s="49"/>
      <c r="X408" s="49"/>
      <c r="Y408" s="34">
        <f t="shared" ref="Y408:BC408" si="354">SUM(Y409:Y422)</f>
        <v>29.9</v>
      </c>
      <c r="Z408" s="34">
        <f t="shared" si="354"/>
        <v>45</v>
      </c>
      <c r="AA408" s="34">
        <f t="shared" si="354"/>
        <v>50</v>
      </c>
      <c r="AB408" s="34">
        <f t="shared" si="354"/>
        <v>0</v>
      </c>
      <c r="AC408" s="34">
        <f t="shared" si="354"/>
        <v>0</v>
      </c>
      <c r="AD408" s="34">
        <f t="shared" si="354"/>
        <v>603</v>
      </c>
      <c r="AE408" s="34">
        <f t="shared" si="354"/>
        <v>0</v>
      </c>
      <c r="AF408" s="34">
        <f t="shared" si="354"/>
        <v>727.9</v>
      </c>
      <c r="AG408" s="34">
        <f t="shared" si="354"/>
        <v>16</v>
      </c>
      <c r="AH408" s="34">
        <f t="shared" si="354"/>
        <v>280</v>
      </c>
      <c r="AI408" s="34">
        <f t="shared" si="354"/>
        <v>30</v>
      </c>
      <c r="AJ408" s="34">
        <f t="shared" si="354"/>
        <v>0</v>
      </c>
      <c r="AK408" s="34">
        <f t="shared" si="354"/>
        <v>0</v>
      </c>
      <c r="AL408" s="34">
        <f t="shared" si="354"/>
        <v>0</v>
      </c>
      <c r="AM408" s="34">
        <f t="shared" si="354"/>
        <v>326</v>
      </c>
      <c r="AN408" s="34">
        <f t="shared" si="354"/>
        <v>16</v>
      </c>
      <c r="AO408" s="34">
        <f t="shared" si="354"/>
        <v>285</v>
      </c>
      <c r="AP408" s="34">
        <f t="shared" si="354"/>
        <v>0</v>
      </c>
      <c r="AQ408" s="34">
        <f t="shared" si="354"/>
        <v>0</v>
      </c>
      <c r="AR408" s="34">
        <f t="shared" si="354"/>
        <v>0</v>
      </c>
      <c r="AS408" s="34">
        <f t="shared" si="354"/>
        <v>0</v>
      </c>
      <c r="AT408" s="34">
        <f t="shared" si="354"/>
        <v>0</v>
      </c>
      <c r="AU408" s="34">
        <f t="shared" si="354"/>
        <v>301</v>
      </c>
      <c r="AV408" s="34">
        <f t="shared" si="354"/>
        <v>31</v>
      </c>
      <c r="AW408" s="34">
        <f t="shared" si="354"/>
        <v>275</v>
      </c>
      <c r="AX408" s="34">
        <f t="shared" si="354"/>
        <v>0</v>
      </c>
      <c r="AY408" s="34">
        <f t="shared" si="354"/>
        <v>0</v>
      </c>
      <c r="AZ408" s="34">
        <f t="shared" si="354"/>
        <v>0</v>
      </c>
      <c r="BA408" s="34">
        <f t="shared" si="354"/>
        <v>0</v>
      </c>
      <c r="BB408" s="34">
        <f t="shared" si="354"/>
        <v>0</v>
      </c>
      <c r="BC408" s="34">
        <f t="shared" si="354"/>
        <v>306</v>
      </c>
      <c r="BD408" s="34">
        <f t="shared" si="336"/>
        <v>92.9</v>
      </c>
      <c r="BE408" s="34">
        <f t="shared" si="337"/>
        <v>885</v>
      </c>
      <c r="BF408" s="34">
        <f t="shared" si="338"/>
        <v>80</v>
      </c>
      <c r="BG408" s="34">
        <f t="shared" si="339"/>
        <v>0</v>
      </c>
      <c r="BH408" s="34">
        <f t="shared" si="340"/>
        <v>0</v>
      </c>
      <c r="BI408" s="34">
        <f t="shared" si="352"/>
        <v>603</v>
      </c>
      <c r="BJ408" s="34">
        <f t="shared" si="341"/>
        <v>0</v>
      </c>
      <c r="BK408" s="34">
        <f t="shared" si="342"/>
        <v>1660.9</v>
      </c>
      <c r="BL408" s="40">
        <f t="shared" si="334"/>
        <v>1660.9</v>
      </c>
    </row>
    <row r="409" spans="1:64" ht="46.5" customHeight="1" x14ac:dyDescent="0.25">
      <c r="A409" s="298" t="s">
        <v>1261</v>
      </c>
      <c r="B409" s="299" t="s">
        <v>1259</v>
      </c>
      <c r="C409" s="1546" t="s">
        <v>1262</v>
      </c>
      <c r="D409" s="1550" t="s">
        <v>1263</v>
      </c>
      <c r="E409" s="1550" t="s">
        <v>1264</v>
      </c>
      <c r="F409" s="1550">
        <v>2015</v>
      </c>
      <c r="G409" s="1550">
        <v>6.49</v>
      </c>
      <c r="H409" s="1550" t="s">
        <v>1265</v>
      </c>
      <c r="I409" s="1425"/>
      <c r="J409" s="1425"/>
      <c r="K409" s="1425" t="s">
        <v>1266</v>
      </c>
      <c r="L409" s="301" t="s">
        <v>1140</v>
      </c>
      <c r="M409" s="1425" t="s">
        <v>497</v>
      </c>
      <c r="N409" s="476" t="s">
        <v>2497</v>
      </c>
      <c r="O409" s="1425" t="s">
        <v>73</v>
      </c>
      <c r="P409" s="16" t="s">
        <v>1267</v>
      </c>
      <c r="Q409" s="302" t="s">
        <v>1268</v>
      </c>
      <c r="R409" s="303">
        <v>2015</v>
      </c>
      <c r="S409" s="303">
        <v>0</v>
      </c>
      <c r="T409" s="303">
        <v>1</v>
      </c>
      <c r="U409" s="303">
        <v>1</v>
      </c>
      <c r="V409" s="303">
        <v>1</v>
      </c>
      <c r="W409" s="303">
        <v>1</v>
      </c>
      <c r="X409" s="303">
        <v>1</v>
      </c>
      <c r="Y409" s="481">
        <v>0</v>
      </c>
      <c r="Z409" s="482"/>
      <c r="AA409" s="481">
        <v>0</v>
      </c>
      <c r="AB409" s="481">
        <v>0</v>
      </c>
      <c r="AC409" s="481">
        <v>0</v>
      </c>
      <c r="AD409" s="481">
        <v>147</v>
      </c>
      <c r="AE409" s="481">
        <v>0</v>
      </c>
      <c r="AF409" s="481">
        <f t="shared" ref="AF409:AF433" si="355">SUM(Y409:AE409)</f>
        <v>147</v>
      </c>
      <c r="AG409" s="548">
        <v>0</v>
      </c>
      <c r="AH409" s="548">
        <v>250</v>
      </c>
      <c r="AI409" s="548">
        <v>0</v>
      </c>
      <c r="AJ409" s="548">
        <v>0</v>
      </c>
      <c r="AK409" s="548">
        <v>0</v>
      </c>
      <c r="AL409" s="548">
        <v>0</v>
      </c>
      <c r="AM409" s="548">
        <f t="shared" ref="AM409:AM422" si="356">SUM(AG409:AL409)</f>
        <v>250</v>
      </c>
      <c r="AN409" s="481">
        <v>0</v>
      </c>
      <c r="AO409" s="481">
        <v>200</v>
      </c>
      <c r="AP409" s="481">
        <v>0</v>
      </c>
      <c r="AQ409" s="481">
        <v>0</v>
      </c>
      <c r="AR409" s="481">
        <v>0</v>
      </c>
      <c r="AS409" s="481">
        <v>0</v>
      </c>
      <c r="AT409" s="481">
        <v>0</v>
      </c>
      <c r="AU409" s="481">
        <f t="shared" ref="AU409:AU420" si="357">SUM(AN409:AT409)</f>
        <v>200</v>
      </c>
      <c r="AV409" s="548"/>
      <c r="AW409" s="548">
        <v>200</v>
      </c>
      <c r="AX409" s="548"/>
      <c r="AY409" s="548"/>
      <c r="AZ409" s="548"/>
      <c r="BA409" s="548"/>
      <c r="BB409" s="548"/>
      <c r="BC409" s="548">
        <f t="shared" ref="BC409:BC433" si="358">SUM(AV409:BB409)</f>
        <v>200</v>
      </c>
      <c r="BD409" s="42">
        <f t="shared" si="336"/>
        <v>0</v>
      </c>
      <c r="BE409" s="42">
        <f t="shared" si="337"/>
        <v>650</v>
      </c>
      <c r="BF409" s="42">
        <f t="shared" si="338"/>
        <v>0</v>
      </c>
      <c r="BG409" s="42">
        <f t="shared" si="339"/>
        <v>0</v>
      </c>
      <c r="BH409" s="42">
        <f t="shared" si="340"/>
        <v>0</v>
      </c>
      <c r="BI409" s="42">
        <f t="shared" si="352"/>
        <v>147</v>
      </c>
      <c r="BJ409" s="42">
        <f t="shared" si="341"/>
        <v>0</v>
      </c>
      <c r="BK409" s="42">
        <f t="shared" si="342"/>
        <v>797</v>
      </c>
      <c r="BL409" s="40">
        <f t="shared" si="334"/>
        <v>797</v>
      </c>
    </row>
    <row r="410" spans="1:64" ht="43.5" customHeight="1" x14ac:dyDescent="0.25">
      <c r="A410" s="298" t="s">
        <v>1261</v>
      </c>
      <c r="B410" s="299" t="s">
        <v>1259</v>
      </c>
      <c r="C410" s="1547"/>
      <c r="D410" s="1551"/>
      <c r="E410" s="1551"/>
      <c r="F410" s="1551"/>
      <c r="G410" s="1551"/>
      <c r="H410" s="1551"/>
      <c r="I410" s="1425"/>
      <c r="J410" s="1425"/>
      <c r="K410" s="1425" t="s">
        <v>1269</v>
      </c>
      <c r="L410" s="301" t="s">
        <v>1140</v>
      </c>
      <c r="M410" s="1425" t="s">
        <v>497</v>
      </c>
      <c r="N410" s="476" t="s">
        <v>2497</v>
      </c>
      <c r="O410" s="1425" t="s">
        <v>73</v>
      </c>
      <c r="P410" s="16" t="s">
        <v>1270</v>
      </c>
      <c r="Q410" s="302" t="s">
        <v>1271</v>
      </c>
      <c r="R410" s="303">
        <v>2015</v>
      </c>
      <c r="S410" s="303">
        <v>0</v>
      </c>
      <c r="T410" s="303">
        <v>12</v>
      </c>
      <c r="U410" s="303">
        <v>12</v>
      </c>
      <c r="V410" s="303">
        <v>12</v>
      </c>
      <c r="W410" s="303">
        <v>12</v>
      </c>
      <c r="X410" s="303">
        <v>12</v>
      </c>
      <c r="Y410" s="481">
        <v>0</v>
      </c>
      <c r="Z410" s="491">
        <v>7.5</v>
      </c>
      <c r="AA410" s="481">
        <v>0</v>
      </c>
      <c r="AB410" s="481">
        <v>0</v>
      </c>
      <c r="AC410" s="481">
        <v>0</v>
      </c>
      <c r="AD410" s="481">
        <v>0</v>
      </c>
      <c r="AE410" s="481">
        <v>0</v>
      </c>
      <c r="AF410" s="481">
        <f t="shared" si="355"/>
        <v>7.5</v>
      </c>
      <c r="AG410" s="491">
        <v>0.5</v>
      </c>
      <c r="AH410" s="548">
        <v>0</v>
      </c>
      <c r="AI410" s="548">
        <v>0</v>
      </c>
      <c r="AJ410" s="548">
        <v>0</v>
      </c>
      <c r="AK410" s="548">
        <v>0</v>
      </c>
      <c r="AL410" s="548">
        <v>0</v>
      </c>
      <c r="AM410" s="548">
        <f t="shared" si="356"/>
        <v>0.5</v>
      </c>
      <c r="AN410" s="481">
        <v>0</v>
      </c>
      <c r="AO410" s="491">
        <v>1</v>
      </c>
      <c r="AP410" s="481">
        <v>0</v>
      </c>
      <c r="AQ410" s="481">
        <v>0</v>
      </c>
      <c r="AR410" s="481">
        <v>0</v>
      </c>
      <c r="AS410" s="481">
        <v>0</v>
      </c>
      <c r="AT410" s="481">
        <v>0</v>
      </c>
      <c r="AU410" s="481">
        <f t="shared" si="357"/>
        <v>1</v>
      </c>
      <c r="AV410" s="491">
        <v>1</v>
      </c>
      <c r="AW410" s="548"/>
      <c r="AX410" s="548"/>
      <c r="AY410" s="548"/>
      <c r="AZ410" s="548"/>
      <c r="BA410" s="548"/>
      <c r="BB410" s="548"/>
      <c r="BC410" s="548">
        <f t="shared" si="358"/>
        <v>1</v>
      </c>
      <c r="BD410" s="42">
        <f t="shared" si="336"/>
        <v>1.5</v>
      </c>
      <c r="BE410" s="42">
        <f t="shared" si="337"/>
        <v>8.5</v>
      </c>
      <c r="BF410" s="42">
        <f t="shared" si="338"/>
        <v>0</v>
      </c>
      <c r="BG410" s="42">
        <f t="shared" si="339"/>
        <v>0</v>
      </c>
      <c r="BH410" s="42">
        <f t="shared" si="340"/>
        <v>0</v>
      </c>
      <c r="BI410" s="42">
        <f t="shared" si="352"/>
        <v>0</v>
      </c>
      <c r="BJ410" s="42">
        <f t="shared" si="341"/>
        <v>0</v>
      </c>
      <c r="BK410" s="42">
        <f t="shared" si="342"/>
        <v>10</v>
      </c>
      <c r="BL410" s="40">
        <f t="shared" si="334"/>
        <v>10</v>
      </c>
    </row>
    <row r="411" spans="1:64" ht="47.25" customHeight="1" x14ac:dyDescent="0.25">
      <c r="A411" s="298" t="s">
        <v>1261</v>
      </c>
      <c r="B411" s="299" t="s">
        <v>1259</v>
      </c>
      <c r="C411" s="1547"/>
      <c r="D411" s="1551"/>
      <c r="E411" s="1551"/>
      <c r="F411" s="1551"/>
      <c r="G411" s="1551"/>
      <c r="H411" s="1551"/>
      <c r="I411" s="1425"/>
      <c r="J411" s="1425"/>
      <c r="K411" s="1425" t="s">
        <v>1272</v>
      </c>
      <c r="L411" s="301" t="s">
        <v>1140</v>
      </c>
      <c r="M411" s="1425" t="s">
        <v>497</v>
      </c>
      <c r="N411" s="476" t="s">
        <v>2497</v>
      </c>
      <c r="O411" s="1425" t="s">
        <v>47</v>
      </c>
      <c r="P411" s="16" t="s">
        <v>1273</v>
      </c>
      <c r="Q411" s="302" t="s">
        <v>1274</v>
      </c>
      <c r="R411" s="303">
        <v>2015</v>
      </c>
      <c r="S411" s="303">
        <v>0</v>
      </c>
      <c r="T411" s="303">
        <v>1</v>
      </c>
      <c r="U411" s="303">
        <v>1</v>
      </c>
      <c r="V411" s="303">
        <v>1</v>
      </c>
      <c r="W411" s="303">
        <v>1</v>
      </c>
      <c r="X411" s="303">
        <v>4</v>
      </c>
      <c r="Y411" s="481">
        <v>0</v>
      </c>
      <c r="Z411" s="491">
        <v>7.5</v>
      </c>
      <c r="AA411" s="481">
        <v>0</v>
      </c>
      <c r="AB411" s="481">
        <v>0</v>
      </c>
      <c r="AC411" s="481">
        <v>0</v>
      </c>
      <c r="AD411" s="481">
        <v>0</v>
      </c>
      <c r="AE411" s="481">
        <v>0</v>
      </c>
      <c r="AF411" s="481">
        <f t="shared" si="355"/>
        <v>7.5</v>
      </c>
      <c r="AG411" s="491">
        <v>0.5</v>
      </c>
      <c r="AH411" s="548">
        <v>0</v>
      </c>
      <c r="AI411" s="548">
        <v>0</v>
      </c>
      <c r="AJ411" s="548">
        <v>0</v>
      </c>
      <c r="AK411" s="548">
        <v>0</v>
      </c>
      <c r="AL411" s="548">
        <v>0</v>
      </c>
      <c r="AM411" s="548">
        <f t="shared" si="356"/>
        <v>0.5</v>
      </c>
      <c r="AN411" s="481">
        <v>0</v>
      </c>
      <c r="AO411" s="491">
        <v>1</v>
      </c>
      <c r="AP411" s="481">
        <v>0</v>
      </c>
      <c r="AQ411" s="481">
        <v>0</v>
      </c>
      <c r="AR411" s="481">
        <v>0</v>
      </c>
      <c r="AS411" s="481">
        <v>0</v>
      </c>
      <c r="AT411" s="481">
        <v>0</v>
      </c>
      <c r="AU411" s="481">
        <f t="shared" si="357"/>
        <v>1</v>
      </c>
      <c r="AV411" s="491">
        <v>1</v>
      </c>
      <c r="AW411" s="548"/>
      <c r="AX411" s="548"/>
      <c r="AY411" s="548"/>
      <c r="AZ411" s="548"/>
      <c r="BA411" s="548"/>
      <c r="BB411" s="548"/>
      <c r="BC411" s="548">
        <f t="shared" si="358"/>
        <v>1</v>
      </c>
      <c r="BD411" s="42">
        <f t="shared" si="336"/>
        <v>1.5</v>
      </c>
      <c r="BE411" s="42">
        <f t="shared" si="337"/>
        <v>8.5</v>
      </c>
      <c r="BF411" s="42">
        <f t="shared" si="338"/>
        <v>0</v>
      </c>
      <c r="BG411" s="42">
        <f t="shared" si="339"/>
        <v>0</v>
      </c>
      <c r="BH411" s="42">
        <f t="shared" si="340"/>
        <v>0</v>
      </c>
      <c r="BI411" s="42">
        <f t="shared" si="352"/>
        <v>0</v>
      </c>
      <c r="BJ411" s="42">
        <f t="shared" si="341"/>
        <v>0</v>
      </c>
      <c r="BK411" s="42">
        <f t="shared" si="342"/>
        <v>10</v>
      </c>
      <c r="BL411" s="40">
        <f t="shared" si="334"/>
        <v>10</v>
      </c>
    </row>
    <row r="412" spans="1:64" ht="45.75" customHeight="1" x14ac:dyDescent="0.25">
      <c r="A412" s="298" t="s">
        <v>1261</v>
      </c>
      <c r="B412" s="299" t="s">
        <v>1259</v>
      </c>
      <c r="C412" s="1547"/>
      <c r="D412" s="1551"/>
      <c r="E412" s="1551"/>
      <c r="F412" s="1551"/>
      <c r="G412" s="1551"/>
      <c r="H412" s="1551"/>
      <c r="I412" s="1425"/>
      <c r="J412" s="1425"/>
      <c r="K412" s="1425" t="s">
        <v>1275</v>
      </c>
      <c r="L412" s="301" t="s">
        <v>1140</v>
      </c>
      <c r="M412" s="1425" t="s">
        <v>497</v>
      </c>
      <c r="N412" s="476" t="s">
        <v>2497</v>
      </c>
      <c r="O412" s="1425" t="s">
        <v>73</v>
      </c>
      <c r="P412" s="16" t="s">
        <v>1276</v>
      </c>
      <c r="Q412" s="302" t="s">
        <v>1277</v>
      </c>
      <c r="R412" s="303">
        <v>2015</v>
      </c>
      <c r="S412" s="303">
        <v>0</v>
      </c>
      <c r="T412" s="303">
        <v>2</v>
      </c>
      <c r="U412" s="303">
        <v>2</v>
      </c>
      <c r="V412" s="303">
        <v>2</v>
      </c>
      <c r="W412" s="303">
        <v>2</v>
      </c>
      <c r="X412" s="303">
        <v>2</v>
      </c>
      <c r="Y412" s="491">
        <v>9</v>
      </c>
      <c r="Z412" s="481">
        <v>0</v>
      </c>
      <c r="AA412" s="481">
        <v>0</v>
      </c>
      <c r="AB412" s="481">
        <v>0</v>
      </c>
      <c r="AC412" s="481">
        <v>0</v>
      </c>
      <c r="AD412" s="481">
        <v>0</v>
      </c>
      <c r="AE412" s="481">
        <v>0</v>
      </c>
      <c r="AF412" s="481">
        <f t="shared" si="355"/>
        <v>9</v>
      </c>
      <c r="AG412" s="491">
        <v>0.5</v>
      </c>
      <c r="AH412" s="548">
        <v>0</v>
      </c>
      <c r="AI412" s="548">
        <v>0</v>
      </c>
      <c r="AJ412" s="548">
        <v>0</v>
      </c>
      <c r="AK412" s="548">
        <v>0</v>
      </c>
      <c r="AL412" s="548">
        <v>0</v>
      </c>
      <c r="AM412" s="548">
        <f t="shared" si="356"/>
        <v>0.5</v>
      </c>
      <c r="AN412" s="481">
        <v>0</v>
      </c>
      <c r="AO412" s="491">
        <v>1</v>
      </c>
      <c r="AP412" s="481">
        <v>0</v>
      </c>
      <c r="AQ412" s="481">
        <v>0</v>
      </c>
      <c r="AR412" s="481">
        <v>0</v>
      </c>
      <c r="AS412" s="481">
        <v>0</v>
      </c>
      <c r="AT412" s="481">
        <v>0</v>
      </c>
      <c r="AU412" s="481">
        <f t="shared" si="357"/>
        <v>1</v>
      </c>
      <c r="AV412" s="491">
        <v>1</v>
      </c>
      <c r="AW412" s="548">
        <v>0</v>
      </c>
      <c r="AX412" s="548">
        <v>0</v>
      </c>
      <c r="AY412" s="548">
        <v>0</v>
      </c>
      <c r="AZ412" s="548">
        <v>0</v>
      </c>
      <c r="BA412" s="548">
        <v>0</v>
      </c>
      <c r="BB412" s="548">
        <v>0</v>
      </c>
      <c r="BC412" s="548">
        <f t="shared" si="358"/>
        <v>1</v>
      </c>
      <c r="BD412" s="42">
        <f t="shared" si="336"/>
        <v>10.5</v>
      </c>
      <c r="BE412" s="42">
        <f t="shared" si="337"/>
        <v>1</v>
      </c>
      <c r="BF412" s="42">
        <f t="shared" si="338"/>
        <v>0</v>
      </c>
      <c r="BG412" s="42">
        <f t="shared" si="339"/>
        <v>0</v>
      </c>
      <c r="BH412" s="42">
        <f t="shared" si="340"/>
        <v>0</v>
      </c>
      <c r="BI412" s="42">
        <f t="shared" si="352"/>
        <v>0</v>
      </c>
      <c r="BJ412" s="42">
        <f t="shared" si="341"/>
        <v>0</v>
      </c>
      <c r="BK412" s="42">
        <f t="shared" si="342"/>
        <v>11.5</v>
      </c>
      <c r="BL412" s="40">
        <f t="shared" si="334"/>
        <v>11.5</v>
      </c>
    </row>
    <row r="413" spans="1:64" ht="51.75" customHeight="1" x14ac:dyDescent="0.25">
      <c r="A413" s="298" t="s">
        <v>1261</v>
      </c>
      <c r="B413" s="299" t="s">
        <v>1259</v>
      </c>
      <c r="C413" s="1547"/>
      <c r="D413" s="1551"/>
      <c r="E413" s="1551"/>
      <c r="F413" s="1551"/>
      <c r="G413" s="1551"/>
      <c r="H413" s="1551"/>
      <c r="I413" s="1425"/>
      <c r="J413" s="1425"/>
      <c r="K413" s="1425" t="s">
        <v>1278</v>
      </c>
      <c r="L413" s="301" t="s">
        <v>1140</v>
      </c>
      <c r="M413" s="1425" t="s">
        <v>497</v>
      </c>
      <c r="N413" s="476" t="s">
        <v>2543</v>
      </c>
      <c r="O413" s="1425" t="s">
        <v>73</v>
      </c>
      <c r="P413" s="16" t="s">
        <v>1279</v>
      </c>
      <c r="Q413" s="302" t="s">
        <v>1280</v>
      </c>
      <c r="R413" s="303">
        <v>2015</v>
      </c>
      <c r="S413" s="303">
        <v>0</v>
      </c>
      <c r="T413" s="303">
        <v>6</v>
      </c>
      <c r="U413" s="303">
        <v>6</v>
      </c>
      <c r="V413" s="303">
        <v>6</v>
      </c>
      <c r="W413" s="303">
        <v>6</v>
      </c>
      <c r="X413" s="303">
        <v>6</v>
      </c>
      <c r="Y413" s="491">
        <v>0.9</v>
      </c>
      <c r="Z413" s="481">
        <v>0</v>
      </c>
      <c r="AA413" s="481">
        <v>0</v>
      </c>
      <c r="AB413" s="481">
        <v>0</v>
      </c>
      <c r="AC413" s="481">
        <v>0</v>
      </c>
      <c r="AD413" s="481">
        <v>0</v>
      </c>
      <c r="AE413" s="481">
        <v>0</v>
      </c>
      <c r="AF413" s="481">
        <f t="shared" si="355"/>
        <v>0.9</v>
      </c>
      <c r="AG413" s="491">
        <v>0.5</v>
      </c>
      <c r="AH413" s="548">
        <v>0</v>
      </c>
      <c r="AI413" s="548">
        <v>10</v>
      </c>
      <c r="AJ413" s="548">
        <v>0</v>
      </c>
      <c r="AK413" s="548">
        <v>0</v>
      </c>
      <c r="AL413" s="548">
        <v>0</v>
      </c>
      <c r="AM413" s="548">
        <f t="shared" si="356"/>
        <v>10.5</v>
      </c>
      <c r="AN413" s="481">
        <v>0</v>
      </c>
      <c r="AO413" s="491">
        <v>1</v>
      </c>
      <c r="AP413" s="481">
        <v>0</v>
      </c>
      <c r="AQ413" s="481">
        <v>0</v>
      </c>
      <c r="AR413" s="481">
        <v>0</v>
      </c>
      <c r="AS413" s="481">
        <v>0</v>
      </c>
      <c r="AT413" s="481">
        <v>0</v>
      </c>
      <c r="AU413" s="481">
        <f t="shared" si="357"/>
        <v>1</v>
      </c>
      <c r="AV413" s="491">
        <v>1</v>
      </c>
      <c r="AW413" s="548">
        <v>0</v>
      </c>
      <c r="AX413" s="548">
        <v>0</v>
      </c>
      <c r="AY413" s="548">
        <v>0</v>
      </c>
      <c r="AZ413" s="548">
        <v>0</v>
      </c>
      <c r="BA413" s="548">
        <v>0</v>
      </c>
      <c r="BB413" s="548">
        <v>0</v>
      </c>
      <c r="BC413" s="548">
        <f t="shared" si="358"/>
        <v>1</v>
      </c>
      <c r="BD413" s="42">
        <f t="shared" si="336"/>
        <v>2.4</v>
      </c>
      <c r="BE413" s="42">
        <f t="shared" si="337"/>
        <v>1</v>
      </c>
      <c r="BF413" s="42">
        <f t="shared" si="338"/>
        <v>10</v>
      </c>
      <c r="BG413" s="42">
        <f t="shared" si="339"/>
        <v>0</v>
      </c>
      <c r="BH413" s="42">
        <f t="shared" si="340"/>
        <v>0</v>
      </c>
      <c r="BI413" s="42">
        <f t="shared" si="352"/>
        <v>0</v>
      </c>
      <c r="BJ413" s="42">
        <f t="shared" si="341"/>
        <v>0</v>
      </c>
      <c r="BK413" s="42">
        <f t="shared" si="342"/>
        <v>13.4</v>
      </c>
      <c r="BL413" s="40">
        <f t="shared" si="334"/>
        <v>13.4</v>
      </c>
    </row>
    <row r="414" spans="1:64" s="38" customFormat="1" ht="44.25" customHeight="1" x14ac:dyDescent="0.25">
      <c r="A414" s="298" t="s">
        <v>1261</v>
      </c>
      <c r="B414" s="299" t="s">
        <v>1259</v>
      </c>
      <c r="C414" s="1547"/>
      <c r="D414" s="1551"/>
      <c r="E414" s="1551"/>
      <c r="F414" s="1551"/>
      <c r="G414" s="1551"/>
      <c r="H414" s="1551"/>
      <c r="I414" s="1432"/>
      <c r="J414" s="1432"/>
      <c r="K414" s="1425" t="s">
        <v>1281</v>
      </c>
      <c r="L414" s="301" t="s">
        <v>1140</v>
      </c>
      <c r="M414" s="1425" t="s">
        <v>497</v>
      </c>
      <c r="N414" s="476" t="s">
        <v>2497</v>
      </c>
      <c r="O414" s="1425" t="s">
        <v>73</v>
      </c>
      <c r="P414" s="1201" t="s">
        <v>2544</v>
      </c>
      <c r="Q414" s="1201" t="s">
        <v>2545</v>
      </c>
      <c r="R414" s="346">
        <v>2015</v>
      </c>
      <c r="S414" s="346">
        <v>0</v>
      </c>
      <c r="T414" s="346">
        <v>10</v>
      </c>
      <c r="U414" s="346">
        <v>10</v>
      </c>
      <c r="V414" s="346">
        <v>10</v>
      </c>
      <c r="W414" s="346">
        <v>10</v>
      </c>
      <c r="X414" s="346">
        <v>10</v>
      </c>
      <c r="Y414" s="579">
        <v>0</v>
      </c>
      <c r="Z414" s="579">
        <v>8</v>
      </c>
      <c r="AA414" s="579">
        <v>0</v>
      </c>
      <c r="AB414" s="579">
        <v>0</v>
      </c>
      <c r="AC414" s="579">
        <v>0</v>
      </c>
      <c r="AD414" s="579">
        <v>0</v>
      </c>
      <c r="AE414" s="579">
        <v>0</v>
      </c>
      <c r="AF414" s="579">
        <f t="shared" si="355"/>
        <v>8</v>
      </c>
      <c r="AG414" s="589">
        <v>8</v>
      </c>
      <c r="AH414" s="589">
        <v>0</v>
      </c>
      <c r="AI414" s="589">
        <v>0</v>
      </c>
      <c r="AJ414" s="589">
        <v>0</v>
      </c>
      <c r="AK414" s="589">
        <v>0</v>
      </c>
      <c r="AL414" s="589">
        <v>0</v>
      </c>
      <c r="AM414" s="589">
        <f t="shared" si="356"/>
        <v>8</v>
      </c>
      <c r="AN414" s="579">
        <v>8</v>
      </c>
      <c r="AO414" s="579">
        <v>0</v>
      </c>
      <c r="AP414" s="579">
        <v>0</v>
      </c>
      <c r="AQ414" s="579">
        <v>0</v>
      </c>
      <c r="AR414" s="579">
        <v>0</v>
      </c>
      <c r="AS414" s="579">
        <v>0</v>
      </c>
      <c r="AT414" s="579">
        <v>0</v>
      </c>
      <c r="AU414" s="579">
        <f t="shared" si="357"/>
        <v>8</v>
      </c>
      <c r="AV414" s="589">
        <v>8</v>
      </c>
      <c r="AW414" s="589">
        <v>0</v>
      </c>
      <c r="AX414" s="589">
        <v>0</v>
      </c>
      <c r="AY414" s="589">
        <v>0</v>
      </c>
      <c r="AZ414" s="589">
        <v>0</v>
      </c>
      <c r="BA414" s="589">
        <v>0</v>
      </c>
      <c r="BB414" s="589">
        <v>0</v>
      </c>
      <c r="BC414" s="589">
        <f t="shared" si="358"/>
        <v>8</v>
      </c>
      <c r="BD414" s="61">
        <f t="shared" si="336"/>
        <v>24</v>
      </c>
      <c r="BE414" s="61">
        <f t="shared" si="337"/>
        <v>8</v>
      </c>
      <c r="BF414" s="61">
        <f t="shared" si="338"/>
        <v>0</v>
      </c>
      <c r="BG414" s="61">
        <f t="shared" si="339"/>
        <v>0</v>
      </c>
      <c r="BH414" s="61">
        <f t="shared" si="340"/>
        <v>0</v>
      </c>
      <c r="BI414" s="61">
        <f t="shared" si="352"/>
        <v>0</v>
      </c>
      <c r="BJ414" s="61">
        <f t="shared" si="341"/>
        <v>0</v>
      </c>
      <c r="BK414" s="61">
        <f t="shared" si="342"/>
        <v>32</v>
      </c>
      <c r="BL414" s="40">
        <f t="shared" si="334"/>
        <v>32</v>
      </c>
    </row>
    <row r="415" spans="1:64" ht="56.25" customHeight="1" x14ac:dyDescent="0.25">
      <c r="A415" s="298" t="s">
        <v>1261</v>
      </c>
      <c r="B415" s="299" t="s">
        <v>1259</v>
      </c>
      <c r="C415" s="1547"/>
      <c r="D415" s="1551"/>
      <c r="E415" s="1551"/>
      <c r="F415" s="1551"/>
      <c r="G415" s="1551"/>
      <c r="H415" s="1551"/>
      <c r="I415" s="1425"/>
      <c r="J415" s="1425"/>
      <c r="K415" s="1425" t="s">
        <v>1284</v>
      </c>
      <c r="L415" s="301" t="s">
        <v>1140</v>
      </c>
      <c r="M415" s="1425" t="s">
        <v>497</v>
      </c>
      <c r="N415" s="476" t="s">
        <v>2497</v>
      </c>
      <c r="O415" s="1425" t="s">
        <v>73</v>
      </c>
      <c r="P415" s="16" t="s">
        <v>1285</v>
      </c>
      <c r="Q415" s="302" t="s">
        <v>1286</v>
      </c>
      <c r="R415" s="303">
        <v>2015</v>
      </c>
      <c r="S415" s="303">
        <v>1</v>
      </c>
      <c r="T415" s="303">
        <v>1</v>
      </c>
      <c r="U415" s="303">
        <v>1</v>
      </c>
      <c r="V415" s="303">
        <v>1</v>
      </c>
      <c r="W415" s="303">
        <v>1</v>
      </c>
      <c r="X415" s="303">
        <v>1</v>
      </c>
      <c r="Y415" s="481">
        <v>20</v>
      </c>
      <c r="Z415" s="481">
        <v>4</v>
      </c>
      <c r="AA415" s="481">
        <v>0</v>
      </c>
      <c r="AB415" s="481">
        <v>0</v>
      </c>
      <c r="AC415" s="481">
        <v>0</v>
      </c>
      <c r="AD415" s="481">
        <v>306</v>
      </c>
      <c r="AE415" s="481">
        <v>0</v>
      </c>
      <c r="AF415" s="481">
        <f t="shared" si="355"/>
        <v>330</v>
      </c>
      <c r="AG415" s="548">
        <v>0</v>
      </c>
      <c r="AH415" s="548">
        <v>10</v>
      </c>
      <c r="AI415" s="548">
        <v>0</v>
      </c>
      <c r="AJ415" s="548">
        <v>0</v>
      </c>
      <c r="AK415" s="548">
        <v>0</v>
      </c>
      <c r="AL415" s="548">
        <v>0</v>
      </c>
      <c r="AM415" s="548">
        <f t="shared" si="356"/>
        <v>10</v>
      </c>
      <c r="AN415" s="481">
        <v>0</v>
      </c>
      <c r="AO415" s="481">
        <v>10</v>
      </c>
      <c r="AP415" s="481">
        <v>0</v>
      </c>
      <c r="AQ415" s="481">
        <v>0</v>
      </c>
      <c r="AR415" s="481">
        <v>0</v>
      </c>
      <c r="AS415" s="481">
        <v>0</v>
      </c>
      <c r="AT415" s="481">
        <v>0</v>
      </c>
      <c r="AU415" s="481">
        <f t="shared" si="357"/>
        <v>10</v>
      </c>
      <c r="AV415" s="548">
        <v>0</v>
      </c>
      <c r="AW415" s="548">
        <v>10</v>
      </c>
      <c r="AX415" s="548">
        <v>0</v>
      </c>
      <c r="AY415" s="548">
        <v>0</v>
      </c>
      <c r="AZ415" s="548">
        <v>0</v>
      </c>
      <c r="BA415" s="548">
        <v>0</v>
      </c>
      <c r="BB415" s="548">
        <v>0</v>
      </c>
      <c r="BC415" s="548">
        <f t="shared" si="358"/>
        <v>10</v>
      </c>
      <c r="BD415" s="42">
        <f t="shared" si="336"/>
        <v>20</v>
      </c>
      <c r="BE415" s="42">
        <f t="shared" si="337"/>
        <v>34</v>
      </c>
      <c r="BF415" s="42">
        <f t="shared" si="338"/>
        <v>0</v>
      </c>
      <c r="BG415" s="42">
        <f t="shared" si="339"/>
        <v>0</v>
      </c>
      <c r="BH415" s="42">
        <f t="shared" si="340"/>
        <v>0</v>
      </c>
      <c r="BI415" s="42">
        <f t="shared" si="352"/>
        <v>306</v>
      </c>
      <c r="BJ415" s="42">
        <f t="shared" si="341"/>
        <v>0</v>
      </c>
      <c r="BK415" s="42">
        <f t="shared" si="342"/>
        <v>360</v>
      </c>
      <c r="BL415" s="40">
        <f t="shared" si="334"/>
        <v>360</v>
      </c>
    </row>
    <row r="416" spans="1:64" ht="36" customHeight="1" x14ac:dyDescent="0.25">
      <c r="A416" s="298" t="s">
        <v>1261</v>
      </c>
      <c r="B416" s="299" t="s">
        <v>1259</v>
      </c>
      <c r="C416" s="1547"/>
      <c r="D416" s="1551"/>
      <c r="E416" s="1551"/>
      <c r="F416" s="1551"/>
      <c r="G416" s="1551"/>
      <c r="H416" s="1551"/>
      <c r="I416" s="1425"/>
      <c r="J416" s="1425"/>
      <c r="K416" s="1425" t="s">
        <v>1287</v>
      </c>
      <c r="L416" s="301" t="s">
        <v>1140</v>
      </c>
      <c r="M416" s="1425" t="s">
        <v>497</v>
      </c>
      <c r="N416" s="476" t="s">
        <v>2497</v>
      </c>
      <c r="O416" s="1425" t="s">
        <v>47</v>
      </c>
      <c r="P416" s="1198" t="s">
        <v>2546</v>
      </c>
      <c r="Q416" s="1198" t="s">
        <v>2547</v>
      </c>
      <c r="R416" s="303">
        <v>2015</v>
      </c>
      <c r="S416" s="303">
        <v>0</v>
      </c>
      <c r="T416" s="303">
        <v>4</v>
      </c>
      <c r="U416" s="303">
        <v>0</v>
      </c>
      <c r="V416" s="303">
        <v>3</v>
      </c>
      <c r="W416" s="303">
        <v>3</v>
      </c>
      <c r="X416" s="303">
        <v>10</v>
      </c>
      <c r="Y416" s="481">
        <v>0</v>
      </c>
      <c r="Z416" s="482"/>
      <c r="AA416" s="481">
        <v>0</v>
      </c>
      <c r="AB416" s="481">
        <v>0</v>
      </c>
      <c r="AC416" s="481">
        <v>0</v>
      </c>
      <c r="AD416" s="481">
        <v>150</v>
      </c>
      <c r="AE416" s="481">
        <v>0</v>
      </c>
      <c r="AF416" s="481">
        <f t="shared" si="355"/>
        <v>150</v>
      </c>
      <c r="AG416" s="548">
        <v>0</v>
      </c>
      <c r="AH416" s="548">
        <v>0</v>
      </c>
      <c r="AI416" s="548">
        <v>0</v>
      </c>
      <c r="AJ416" s="548">
        <v>0</v>
      </c>
      <c r="AK416" s="548">
        <v>0</v>
      </c>
      <c r="AL416" s="548">
        <v>0</v>
      </c>
      <c r="AM416" s="548">
        <f t="shared" si="356"/>
        <v>0</v>
      </c>
      <c r="AN416" s="481">
        <v>0</v>
      </c>
      <c r="AO416" s="481">
        <v>55</v>
      </c>
      <c r="AP416" s="481">
        <v>0</v>
      </c>
      <c r="AQ416" s="481">
        <v>0</v>
      </c>
      <c r="AR416" s="481">
        <v>0</v>
      </c>
      <c r="AS416" s="481">
        <v>0</v>
      </c>
      <c r="AT416" s="481">
        <v>0</v>
      </c>
      <c r="AU416" s="481">
        <f t="shared" si="357"/>
        <v>55</v>
      </c>
      <c r="AV416" s="548">
        <v>0</v>
      </c>
      <c r="AW416" s="548">
        <v>60</v>
      </c>
      <c r="AX416" s="548">
        <v>0</v>
      </c>
      <c r="AY416" s="548">
        <v>0</v>
      </c>
      <c r="AZ416" s="548">
        <v>0</v>
      </c>
      <c r="BA416" s="548">
        <v>0</v>
      </c>
      <c r="BB416" s="548">
        <v>0</v>
      </c>
      <c r="BC416" s="548">
        <f t="shared" si="358"/>
        <v>60</v>
      </c>
      <c r="BD416" s="42">
        <f t="shared" si="336"/>
        <v>0</v>
      </c>
      <c r="BE416" s="42">
        <f t="shared" si="337"/>
        <v>115</v>
      </c>
      <c r="BF416" s="42">
        <f t="shared" si="338"/>
        <v>0</v>
      </c>
      <c r="BG416" s="42">
        <f t="shared" si="339"/>
        <v>0</v>
      </c>
      <c r="BH416" s="42">
        <f t="shared" si="340"/>
        <v>0</v>
      </c>
      <c r="BI416" s="42">
        <f t="shared" si="352"/>
        <v>150</v>
      </c>
      <c r="BJ416" s="42">
        <f t="shared" si="341"/>
        <v>0</v>
      </c>
      <c r="BK416" s="42">
        <f t="shared" si="342"/>
        <v>265</v>
      </c>
      <c r="BL416" s="40">
        <f t="shared" si="334"/>
        <v>265</v>
      </c>
    </row>
    <row r="417" spans="1:64" ht="43.5" customHeight="1" x14ac:dyDescent="0.25">
      <c r="A417" s="298" t="s">
        <v>1261</v>
      </c>
      <c r="B417" s="299" t="s">
        <v>1259</v>
      </c>
      <c r="C417" s="1547"/>
      <c r="D417" s="1551"/>
      <c r="E417" s="1551"/>
      <c r="F417" s="1551"/>
      <c r="G417" s="1551"/>
      <c r="H417" s="1551"/>
      <c r="I417" s="1425"/>
      <c r="J417" s="1425"/>
      <c r="K417" s="1425" t="s">
        <v>1290</v>
      </c>
      <c r="L417" s="301" t="s">
        <v>1140</v>
      </c>
      <c r="M417" s="1425" t="s">
        <v>497</v>
      </c>
      <c r="N417" s="476" t="s">
        <v>2497</v>
      </c>
      <c r="O417" s="1425" t="s">
        <v>47</v>
      </c>
      <c r="P417" s="16" t="s">
        <v>1291</v>
      </c>
      <c r="Q417" s="302" t="s">
        <v>1292</v>
      </c>
      <c r="R417" s="303">
        <v>2015</v>
      </c>
      <c r="S417" s="303">
        <v>0</v>
      </c>
      <c r="T417" s="303">
        <v>0</v>
      </c>
      <c r="U417" s="303">
        <v>1</v>
      </c>
      <c r="V417" s="303">
        <v>0</v>
      </c>
      <c r="W417" s="303">
        <v>0</v>
      </c>
      <c r="X417" s="303">
        <v>1</v>
      </c>
      <c r="Y417" s="481">
        <v>0</v>
      </c>
      <c r="Z417" s="482"/>
      <c r="AA417" s="481">
        <v>0</v>
      </c>
      <c r="AB417" s="491"/>
      <c r="AC417" s="481">
        <v>0</v>
      </c>
      <c r="AD417" s="481"/>
      <c r="AE417" s="481">
        <v>0</v>
      </c>
      <c r="AF417" s="481">
        <f t="shared" si="355"/>
        <v>0</v>
      </c>
      <c r="AG417" s="548">
        <v>0</v>
      </c>
      <c r="AH417" s="548">
        <v>2</v>
      </c>
      <c r="AI417" s="548">
        <v>0</v>
      </c>
      <c r="AJ417" s="548">
        <v>0</v>
      </c>
      <c r="AK417" s="548">
        <v>0</v>
      </c>
      <c r="AL417" s="548">
        <v>0</v>
      </c>
      <c r="AM417" s="548">
        <f t="shared" si="356"/>
        <v>2</v>
      </c>
      <c r="AN417" s="481">
        <v>0</v>
      </c>
      <c r="AO417" s="481">
        <v>0</v>
      </c>
      <c r="AP417" s="481">
        <v>0</v>
      </c>
      <c r="AQ417" s="481">
        <v>0</v>
      </c>
      <c r="AR417" s="481">
        <v>0</v>
      </c>
      <c r="AS417" s="481">
        <v>0</v>
      </c>
      <c r="AT417" s="481">
        <v>0</v>
      </c>
      <c r="AU417" s="481">
        <f t="shared" si="357"/>
        <v>0</v>
      </c>
      <c r="AV417" s="548">
        <v>0</v>
      </c>
      <c r="AW417" s="548">
        <v>0</v>
      </c>
      <c r="AX417" s="548">
        <v>0</v>
      </c>
      <c r="AY417" s="548">
        <v>0</v>
      </c>
      <c r="AZ417" s="548">
        <v>0</v>
      </c>
      <c r="BA417" s="548">
        <v>0</v>
      </c>
      <c r="BB417" s="548">
        <v>0</v>
      </c>
      <c r="BC417" s="548">
        <f t="shared" si="358"/>
        <v>0</v>
      </c>
      <c r="BD417" s="42">
        <f t="shared" si="336"/>
        <v>0</v>
      </c>
      <c r="BE417" s="42">
        <f t="shared" si="337"/>
        <v>2</v>
      </c>
      <c r="BF417" s="42">
        <f t="shared" si="338"/>
        <v>0</v>
      </c>
      <c r="BG417" s="42">
        <f t="shared" si="339"/>
        <v>0</v>
      </c>
      <c r="BH417" s="42">
        <f t="shared" si="340"/>
        <v>0</v>
      </c>
      <c r="BI417" s="42">
        <f t="shared" si="352"/>
        <v>0</v>
      </c>
      <c r="BJ417" s="42">
        <f t="shared" si="341"/>
        <v>0</v>
      </c>
      <c r="BK417" s="42">
        <f t="shared" si="342"/>
        <v>2</v>
      </c>
      <c r="BL417" s="40">
        <f t="shared" si="334"/>
        <v>2</v>
      </c>
    </row>
    <row r="418" spans="1:64" ht="37.5" customHeight="1" x14ac:dyDescent="0.25">
      <c r="A418" s="298" t="s">
        <v>1261</v>
      </c>
      <c r="B418" s="299" t="s">
        <v>1259</v>
      </c>
      <c r="C418" s="1547"/>
      <c r="D418" s="1551"/>
      <c r="E418" s="1551"/>
      <c r="F418" s="1551"/>
      <c r="G418" s="1551"/>
      <c r="H418" s="1551"/>
      <c r="I418" s="1425"/>
      <c r="J418" s="1425"/>
      <c r="K418" s="1425" t="s">
        <v>1293</v>
      </c>
      <c r="L418" s="301" t="s">
        <v>1140</v>
      </c>
      <c r="M418" s="1425" t="s">
        <v>497</v>
      </c>
      <c r="N418" s="476" t="s">
        <v>2497</v>
      </c>
      <c r="O418" s="1425" t="s">
        <v>73</v>
      </c>
      <c r="P418" s="16" t="s">
        <v>1294</v>
      </c>
      <c r="Q418" s="302" t="s">
        <v>1295</v>
      </c>
      <c r="R418" s="303">
        <v>2015</v>
      </c>
      <c r="S418" s="303">
        <v>0</v>
      </c>
      <c r="T418" s="303">
        <v>1</v>
      </c>
      <c r="U418" s="303">
        <v>1</v>
      </c>
      <c r="V418" s="303">
        <v>1</v>
      </c>
      <c r="W418" s="303">
        <v>1</v>
      </c>
      <c r="X418" s="303">
        <v>1</v>
      </c>
      <c r="Y418" s="481">
        <v>0</v>
      </c>
      <c r="Z418" s="481">
        <v>5</v>
      </c>
      <c r="AA418" s="481">
        <v>0</v>
      </c>
      <c r="AB418" s="481">
        <v>0</v>
      </c>
      <c r="AC418" s="481">
        <v>0</v>
      </c>
      <c r="AD418" s="481">
        <v>0</v>
      </c>
      <c r="AE418" s="481">
        <v>0</v>
      </c>
      <c r="AF418" s="481">
        <f t="shared" si="355"/>
        <v>5</v>
      </c>
      <c r="AG418" s="548">
        <v>0</v>
      </c>
      <c r="AH418" s="548">
        <v>3</v>
      </c>
      <c r="AI418" s="548">
        <v>0</v>
      </c>
      <c r="AJ418" s="548">
        <v>0</v>
      </c>
      <c r="AK418" s="548">
        <v>0</v>
      </c>
      <c r="AL418" s="548">
        <v>0</v>
      </c>
      <c r="AM418" s="548">
        <f t="shared" si="356"/>
        <v>3</v>
      </c>
      <c r="AN418" s="481">
        <v>0</v>
      </c>
      <c r="AO418" s="481">
        <v>5</v>
      </c>
      <c r="AP418" s="481">
        <v>0</v>
      </c>
      <c r="AQ418" s="481">
        <v>0</v>
      </c>
      <c r="AR418" s="481">
        <v>0</v>
      </c>
      <c r="AS418" s="481">
        <v>0</v>
      </c>
      <c r="AT418" s="481">
        <v>0</v>
      </c>
      <c r="AU418" s="481">
        <f t="shared" si="357"/>
        <v>5</v>
      </c>
      <c r="AV418" s="548">
        <v>0</v>
      </c>
      <c r="AW418" s="548">
        <v>5</v>
      </c>
      <c r="AX418" s="548">
        <v>0</v>
      </c>
      <c r="AY418" s="548">
        <v>0</v>
      </c>
      <c r="AZ418" s="548">
        <v>0</v>
      </c>
      <c r="BA418" s="548">
        <v>0</v>
      </c>
      <c r="BB418" s="548">
        <v>0</v>
      </c>
      <c r="BC418" s="548">
        <f t="shared" si="358"/>
        <v>5</v>
      </c>
      <c r="BD418" s="42">
        <f t="shared" si="336"/>
        <v>0</v>
      </c>
      <c r="BE418" s="42">
        <f t="shared" si="337"/>
        <v>18</v>
      </c>
      <c r="BF418" s="42">
        <f t="shared" si="338"/>
        <v>0</v>
      </c>
      <c r="BG418" s="42">
        <f t="shared" si="339"/>
        <v>0</v>
      </c>
      <c r="BH418" s="42">
        <f t="shared" si="340"/>
        <v>0</v>
      </c>
      <c r="BI418" s="42">
        <f t="shared" si="352"/>
        <v>0</v>
      </c>
      <c r="BJ418" s="42">
        <f t="shared" si="341"/>
        <v>0</v>
      </c>
      <c r="BK418" s="42">
        <f t="shared" si="342"/>
        <v>18</v>
      </c>
      <c r="BL418" s="40">
        <f t="shared" si="334"/>
        <v>18</v>
      </c>
    </row>
    <row r="419" spans="1:64" ht="43.5" customHeight="1" x14ac:dyDescent="0.25">
      <c r="A419" s="298" t="s">
        <v>1261</v>
      </c>
      <c r="B419" s="299" t="s">
        <v>1259</v>
      </c>
      <c r="C419" s="1547"/>
      <c r="D419" s="1551"/>
      <c r="E419" s="1551"/>
      <c r="F419" s="1551"/>
      <c r="G419" s="1551"/>
      <c r="H419" s="1551"/>
      <c r="I419" s="1425"/>
      <c r="J419" s="1425"/>
      <c r="K419" s="1425" t="s">
        <v>1296</v>
      </c>
      <c r="L419" s="301" t="s">
        <v>1140</v>
      </c>
      <c r="M419" s="1425" t="s">
        <v>497</v>
      </c>
      <c r="N419" s="476" t="s">
        <v>2497</v>
      </c>
      <c r="O419" s="1425" t="s">
        <v>73</v>
      </c>
      <c r="P419" s="16" t="s">
        <v>1297</v>
      </c>
      <c r="Q419" s="302" t="s">
        <v>1298</v>
      </c>
      <c r="R419" s="303">
        <v>2015</v>
      </c>
      <c r="S419" s="303">
        <v>0</v>
      </c>
      <c r="T419" s="303">
        <v>4</v>
      </c>
      <c r="U419" s="303">
        <v>4</v>
      </c>
      <c r="V419" s="303">
        <v>4</v>
      </c>
      <c r="W419" s="303">
        <v>4</v>
      </c>
      <c r="X419" s="303">
        <v>4</v>
      </c>
      <c r="Y419" s="481">
        <v>0</v>
      </c>
      <c r="Z419" s="491">
        <v>5</v>
      </c>
      <c r="AA419" s="481">
        <v>0</v>
      </c>
      <c r="AB419" s="481">
        <v>0</v>
      </c>
      <c r="AC419" s="481">
        <v>0</v>
      </c>
      <c r="AD419" s="481">
        <v>0</v>
      </c>
      <c r="AE419" s="481">
        <v>0</v>
      </c>
      <c r="AF419" s="481">
        <f t="shared" si="355"/>
        <v>5</v>
      </c>
      <c r="AG419" s="491">
        <v>0.5</v>
      </c>
      <c r="AH419" s="548">
        <v>0</v>
      </c>
      <c r="AI419" s="548">
        <v>0</v>
      </c>
      <c r="AJ419" s="548">
        <v>0</v>
      </c>
      <c r="AK419" s="548">
        <v>0</v>
      </c>
      <c r="AL419" s="548">
        <v>0</v>
      </c>
      <c r="AM419" s="548">
        <f t="shared" si="356"/>
        <v>0.5</v>
      </c>
      <c r="AN419" s="481">
        <v>0</v>
      </c>
      <c r="AO419" s="491">
        <v>1</v>
      </c>
      <c r="AP419" s="481">
        <v>0</v>
      </c>
      <c r="AQ419" s="481">
        <v>0</v>
      </c>
      <c r="AR419" s="481">
        <v>0</v>
      </c>
      <c r="AS419" s="481">
        <v>0</v>
      </c>
      <c r="AT419" s="481">
        <v>0</v>
      </c>
      <c r="AU419" s="481">
        <f t="shared" si="357"/>
        <v>1</v>
      </c>
      <c r="AV419" s="491">
        <v>1</v>
      </c>
      <c r="AW419" s="548">
        <v>0</v>
      </c>
      <c r="AX419" s="548">
        <v>0</v>
      </c>
      <c r="AY419" s="548">
        <v>0</v>
      </c>
      <c r="AZ419" s="548">
        <v>0</v>
      </c>
      <c r="BA419" s="548">
        <v>0</v>
      </c>
      <c r="BB419" s="548">
        <v>0</v>
      </c>
      <c r="BC419" s="548">
        <f t="shared" si="358"/>
        <v>1</v>
      </c>
      <c r="BD419" s="42">
        <f t="shared" si="336"/>
        <v>1.5</v>
      </c>
      <c r="BE419" s="42">
        <f t="shared" si="337"/>
        <v>6</v>
      </c>
      <c r="BF419" s="42">
        <f t="shared" si="338"/>
        <v>0</v>
      </c>
      <c r="BG419" s="42">
        <f t="shared" si="339"/>
        <v>0</v>
      </c>
      <c r="BH419" s="42">
        <f t="shared" si="340"/>
        <v>0</v>
      </c>
      <c r="BI419" s="42">
        <f t="shared" si="352"/>
        <v>0</v>
      </c>
      <c r="BJ419" s="42">
        <f t="shared" si="341"/>
        <v>0</v>
      </c>
      <c r="BK419" s="42">
        <f t="shared" si="342"/>
        <v>7.5</v>
      </c>
      <c r="BL419" s="40">
        <f t="shared" si="334"/>
        <v>7.5</v>
      </c>
    </row>
    <row r="420" spans="1:64" ht="45.75" customHeight="1" x14ac:dyDescent="0.25">
      <c r="A420" s="298" t="s">
        <v>1261</v>
      </c>
      <c r="B420" s="299" t="s">
        <v>1259</v>
      </c>
      <c r="C420" s="1547"/>
      <c r="D420" s="1551"/>
      <c r="E420" s="1551"/>
      <c r="F420" s="1551"/>
      <c r="G420" s="1551"/>
      <c r="H420" s="1551"/>
      <c r="I420" s="1425"/>
      <c r="J420" s="1425"/>
      <c r="K420" s="1425" t="s">
        <v>1299</v>
      </c>
      <c r="L420" s="301" t="s">
        <v>1140</v>
      </c>
      <c r="M420" s="1425" t="s">
        <v>497</v>
      </c>
      <c r="N420" s="476" t="s">
        <v>2543</v>
      </c>
      <c r="O420" s="1425" t="s">
        <v>47</v>
      </c>
      <c r="P420" s="16" t="s">
        <v>1300</v>
      </c>
      <c r="Q420" s="302" t="s">
        <v>1301</v>
      </c>
      <c r="R420" s="303">
        <v>2015</v>
      </c>
      <c r="S420" s="303">
        <v>0</v>
      </c>
      <c r="T420" s="303">
        <v>2</v>
      </c>
      <c r="U420" s="303">
        <v>2</v>
      </c>
      <c r="V420" s="303">
        <v>2</v>
      </c>
      <c r="W420" s="303">
        <v>2</v>
      </c>
      <c r="X420" s="303">
        <v>8</v>
      </c>
      <c r="Y420" s="481">
        <v>0</v>
      </c>
      <c r="Z420" s="481">
        <v>8</v>
      </c>
      <c r="AA420" s="481">
        <v>0</v>
      </c>
      <c r="AB420" s="481">
        <v>0</v>
      </c>
      <c r="AC420" s="481">
        <v>0</v>
      </c>
      <c r="AD420" s="481">
        <v>0</v>
      </c>
      <c r="AE420" s="481">
        <v>0</v>
      </c>
      <c r="AF420" s="481">
        <f t="shared" si="355"/>
        <v>8</v>
      </c>
      <c r="AG420" s="491">
        <v>5</v>
      </c>
      <c r="AH420" s="548">
        <v>0</v>
      </c>
      <c r="AI420" s="548">
        <v>0</v>
      </c>
      <c r="AJ420" s="548">
        <v>0</v>
      </c>
      <c r="AK420" s="548">
        <v>0</v>
      </c>
      <c r="AL420" s="548">
        <v>0</v>
      </c>
      <c r="AM420" s="548">
        <f t="shared" si="356"/>
        <v>5</v>
      </c>
      <c r="AN420" s="481">
        <v>8</v>
      </c>
      <c r="AO420" s="481">
        <v>0</v>
      </c>
      <c r="AP420" s="481">
        <v>0</v>
      </c>
      <c r="AQ420" s="481">
        <v>0</v>
      </c>
      <c r="AR420" s="481">
        <v>0</v>
      </c>
      <c r="AS420" s="481">
        <v>0</v>
      </c>
      <c r="AT420" s="481">
        <v>0</v>
      </c>
      <c r="AU420" s="481">
        <f t="shared" si="357"/>
        <v>8</v>
      </c>
      <c r="AV420" s="548">
        <v>8</v>
      </c>
      <c r="AW420" s="548">
        <v>0</v>
      </c>
      <c r="AX420" s="548">
        <v>0</v>
      </c>
      <c r="AY420" s="548">
        <v>0</v>
      </c>
      <c r="AZ420" s="548">
        <v>0</v>
      </c>
      <c r="BA420" s="548">
        <v>0</v>
      </c>
      <c r="BB420" s="548">
        <v>0</v>
      </c>
      <c r="BC420" s="548">
        <f t="shared" si="358"/>
        <v>8</v>
      </c>
      <c r="BD420" s="42">
        <f t="shared" si="336"/>
        <v>21</v>
      </c>
      <c r="BE420" s="42">
        <f t="shared" si="337"/>
        <v>8</v>
      </c>
      <c r="BF420" s="42">
        <f t="shared" si="338"/>
        <v>0</v>
      </c>
      <c r="BG420" s="42">
        <f t="shared" si="339"/>
        <v>0</v>
      </c>
      <c r="BH420" s="42">
        <f t="shared" si="340"/>
        <v>0</v>
      </c>
      <c r="BI420" s="42">
        <f t="shared" si="352"/>
        <v>0</v>
      </c>
      <c r="BJ420" s="42">
        <f t="shared" si="341"/>
        <v>0</v>
      </c>
      <c r="BK420" s="42">
        <f t="shared" si="342"/>
        <v>29</v>
      </c>
      <c r="BL420" s="40">
        <f t="shared" si="334"/>
        <v>29</v>
      </c>
    </row>
    <row r="421" spans="1:64" ht="47.25" customHeight="1" x14ac:dyDescent="0.25">
      <c r="A421" s="298" t="s">
        <v>1261</v>
      </c>
      <c r="B421" s="299" t="s">
        <v>1259</v>
      </c>
      <c r="C421" s="1547"/>
      <c r="D421" s="1551"/>
      <c r="E421" s="1551"/>
      <c r="F421" s="1551"/>
      <c r="G421" s="1551"/>
      <c r="H421" s="1551"/>
      <c r="I421" s="1425"/>
      <c r="J421" s="1425"/>
      <c r="K421" s="1425" t="s">
        <v>1302</v>
      </c>
      <c r="L421" s="301" t="s">
        <v>1140</v>
      </c>
      <c r="M421" s="1425" t="s">
        <v>497</v>
      </c>
      <c r="N421" s="476" t="s">
        <v>2497</v>
      </c>
      <c r="O421" s="1425" t="s">
        <v>47</v>
      </c>
      <c r="P421" s="16" t="s">
        <v>1303</v>
      </c>
      <c r="Q421" s="302" t="s">
        <v>1304</v>
      </c>
      <c r="R421" s="303">
        <v>2015</v>
      </c>
      <c r="S421" s="303">
        <v>0</v>
      </c>
      <c r="T421" s="303">
        <v>0</v>
      </c>
      <c r="U421" s="303">
        <v>1</v>
      </c>
      <c r="V421" s="303">
        <v>0</v>
      </c>
      <c r="W421" s="303">
        <v>0</v>
      </c>
      <c r="X421" s="303">
        <v>1</v>
      </c>
      <c r="Y421" s="481">
        <v>0</v>
      </c>
      <c r="Z421" s="491"/>
      <c r="AA421" s="481">
        <v>0</v>
      </c>
      <c r="AB421" s="481">
        <v>0</v>
      </c>
      <c r="AC421" s="481">
        <v>0</v>
      </c>
      <c r="AD421" s="481">
        <v>0</v>
      </c>
      <c r="AE421" s="481">
        <v>0</v>
      </c>
      <c r="AF421" s="481">
        <f t="shared" si="355"/>
        <v>0</v>
      </c>
      <c r="AG421" s="548">
        <v>0</v>
      </c>
      <c r="AH421" s="548">
        <v>15</v>
      </c>
      <c r="AI421" s="548">
        <v>0</v>
      </c>
      <c r="AJ421" s="548">
        <v>0</v>
      </c>
      <c r="AK421" s="548">
        <v>0</v>
      </c>
      <c r="AL421" s="548">
        <v>0</v>
      </c>
      <c r="AM421" s="548">
        <f t="shared" si="356"/>
        <v>15</v>
      </c>
      <c r="AN421" s="481">
        <v>0</v>
      </c>
      <c r="AO421" s="491"/>
      <c r="AP421" s="481">
        <v>0</v>
      </c>
      <c r="AQ421" s="481">
        <v>0</v>
      </c>
      <c r="AR421" s="481">
        <v>0</v>
      </c>
      <c r="AS421" s="481">
        <v>0</v>
      </c>
      <c r="AT421" s="481">
        <v>0</v>
      </c>
      <c r="AU421" s="481">
        <v>0</v>
      </c>
      <c r="AV421" s="491"/>
      <c r="AW421" s="548">
        <v>0</v>
      </c>
      <c r="AX421" s="548">
        <v>0</v>
      </c>
      <c r="AY421" s="548">
        <v>0</v>
      </c>
      <c r="AZ421" s="548">
        <v>0</v>
      </c>
      <c r="BA421" s="548">
        <v>0</v>
      </c>
      <c r="BB421" s="548">
        <v>0</v>
      </c>
      <c r="BC421" s="548">
        <f t="shared" si="358"/>
        <v>0</v>
      </c>
      <c r="BD421" s="42">
        <f t="shared" si="336"/>
        <v>0</v>
      </c>
      <c r="BE421" s="42">
        <f t="shared" si="337"/>
        <v>15</v>
      </c>
      <c r="BF421" s="42">
        <f t="shared" si="338"/>
        <v>0</v>
      </c>
      <c r="BG421" s="42">
        <f t="shared" si="339"/>
        <v>0</v>
      </c>
      <c r="BH421" s="42">
        <f t="shared" si="340"/>
        <v>0</v>
      </c>
      <c r="BI421" s="42">
        <f t="shared" si="352"/>
        <v>0</v>
      </c>
      <c r="BJ421" s="42">
        <f t="shared" si="341"/>
        <v>0</v>
      </c>
      <c r="BK421" s="42">
        <f t="shared" si="342"/>
        <v>15</v>
      </c>
      <c r="BL421" s="40">
        <f t="shared" si="334"/>
        <v>15</v>
      </c>
    </row>
    <row r="422" spans="1:64" ht="45" customHeight="1" x14ac:dyDescent="0.25">
      <c r="A422" s="298" t="s">
        <v>1261</v>
      </c>
      <c r="B422" s="299" t="s">
        <v>1259</v>
      </c>
      <c r="C422" s="1548"/>
      <c r="D422" s="1551"/>
      <c r="E422" s="1551"/>
      <c r="F422" s="1552"/>
      <c r="G422" s="1552"/>
      <c r="H422" s="1552"/>
      <c r="I422" s="1425"/>
      <c r="J422" s="1425"/>
      <c r="K422" s="1425" t="s">
        <v>1305</v>
      </c>
      <c r="L422" s="301" t="s">
        <v>1140</v>
      </c>
      <c r="M422" s="1425" t="s">
        <v>497</v>
      </c>
      <c r="N422" s="476" t="s">
        <v>2497</v>
      </c>
      <c r="O422" s="1425" t="s">
        <v>73</v>
      </c>
      <c r="P422" s="16" t="s">
        <v>1306</v>
      </c>
      <c r="Q422" s="302" t="s">
        <v>787</v>
      </c>
      <c r="R422" s="303">
        <v>2015</v>
      </c>
      <c r="S422" s="303">
        <v>0</v>
      </c>
      <c r="T422" s="303">
        <v>1</v>
      </c>
      <c r="U422" s="303">
        <v>1</v>
      </c>
      <c r="V422" s="303">
        <v>1</v>
      </c>
      <c r="W422" s="303">
        <v>1</v>
      </c>
      <c r="X422" s="303">
        <v>1</v>
      </c>
      <c r="Y422" s="481">
        <v>0</v>
      </c>
      <c r="Z422" s="481">
        <v>0</v>
      </c>
      <c r="AA422" s="481">
        <v>50</v>
      </c>
      <c r="AB422" s="481">
        <v>0</v>
      </c>
      <c r="AC422" s="481">
        <v>0</v>
      </c>
      <c r="AD422" s="481">
        <v>0</v>
      </c>
      <c r="AE422" s="481">
        <v>0</v>
      </c>
      <c r="AF422" s="481">
        <f t="shared" si="355"/>
        <v>50</v>
      </c>
      <c r="AG422" s="491">
        <v>0.5</v>
      </c>
      <c r="AH422" s="548">
        <v>0</v>
      </c>
      <c r="AI422" s="548">
        <v>20</v>
      </c>
      <c r="AJ422" s="548">
        <v>0</v>
      </c>
      <c r="AK422" s="548">
        <v>0</v>
      </c>
      <c r="AL422" s="548">
        <v>0</v>
      </c>
      <c r="AM422" s="548">
        <f t="shared" si="356"/>
        <v>20.5</v>
      </c>
      <c r="AN422" s="481">
        <v>0</v>
      </c>
      <c r="AO422" s="491">
        <v>10</v>
      </c>
      <c r="AP422" s="481">
        <v>0</v>
      </c>
      <c r="AQ422" s="481">
        <v>0</v>
      </c>
      <c r="AR422" s="481">
        <v>0</v>
      </c>
      <c r="AS422" s="481">
        <v>0</v>
      </c>
      <c r="AT422" s="481">
        <v>0</v>
      </c>
      <c r="AU422" s="481">
        <f t="shared" ref="AU422:AU433" si="359">SUM(AN422:AT422)</f>
        <v>10</v>
      </c>
      <c r="AV422" s="491">
        <v>10</v>
      </c>
      <c r="AW422" s="548">
        <v>0</v>
      </c>
      <c r="AX422" s="548">
        <v>0</v>
      </c>
      <c r="AY422" s="548">
        <v>0</v>
      </c>
      <c r="AZ422" s="548">
        <v>0</v>
      </c>
      <c r="BA422" s="548">
        <v>0</v>
      </c>
      <c r="BB422" s="548">
        <v>0</v>
      </c>
      <c r="BC422" s="548">
        <f t="shared" si="358"/>
        <v>10</v>
      </c>
      <c r="BD422" s="42">
        <f t="shared" si="336"/>
        <v>10.5</v>
      </c>
      <c r="BE422" s="42">
        <f t="shared" si="337"/>
        <v>10</v>
      </c>
      <c r="BF422" s="42">
        <f t="shared" si="338"/>
        <v>70</v>
      </c>
      <c r="BG422" s="42">
        <f t="shared" si="339"/>
        <v>0</v>
      </c>
      <c r="BH422" s="42">
        <f t="shared" si="340"/>
        <v>0</v>
      </c>
      <c r="BI422" s="42">
        <f t="shared" si="352"/>
        <v>0</v>
      </c>
      <c r="BJ422" s="42">
        <f t="shared" si="341"/>
        <v>0</v>
      </c>
      <c r="BK422" s="42">
        <f t="shared" si="342"/>
        <v>90.5</v>
      </c>
      <c r="BL422" s="40">
        <f t="shared" si="334"/>
        <v>90.5</v>
      </c>
    </row>
    <row r="423" spans="1:64" s="484" customFormat="1" ht="45" customHeight="1" x14ac:dyDescent="0.25">
      <c r="A423" s="1370" t="s">
        <v>1261</v>
      </c>
      <c r="B423" s="1365" t="s">
        <v>1259</v>
      </c>
      <c r="C423" s="1366"/>
      <c r="D423" s="1552"/>
      <c r="E423" s="1552"/>
      <c r="F423" s="1367"/>
      <c r="G423" s="1367"/>
      <c r="H423" s="1367"/>
      <c r="I423" s="67"/>
      <c r="J423" s="67"/>
      <c r="K423" s="67" t="s">
        <v>2548</v>
      </c>
      <c r="L423" s="1368" t="s">
        <v>1140</v>
      </c>
      <c r="M423" s="67" t="s">
        <v>497</v>
      </c>
      <c r="N423" s="485" t="s">
        <v>2497</v>
      </c>
      <c r="O423" s="67" t="s">
        <v>73</v>
      </c>
      <c r="P423" s="1364" t="s">
        <v>2549</v>
      </c>
      <c r="Q423" s="1364" t="s">
        <v>2550</v>
      </c>
      <c r="R423" s="67"/>
      <c r="S423" s="67"/>
      <c r="T423" s="67"/>
      <c r="U423" s="67"/>
      <c r="V423" s="67"/>
      <c r="W423" s="67"/>
      <c r="X423" s="67"/>
      <c r="Y423" s="1369"/>
      <c r="Z423" s="1369"/>
      <c r="AA423" s="1369"/>
      <c r="AB423" s="1369"/>
      <c r="AC423" s="1369"/>
      <c r="AD423" s="1369"/>
      <c r="AE423" s="1369"/>
      <c r="AF423" s="1369"/>
      <c r="AG423" s="1369"/>
      <c r="AH423" s="1369"/>
      <c r="AI423" s="1369"/>
      <c r="AJ423" s="1369"/>
      <c r="AK423" s="1369"/>
      <c r="AL423" s="1369"/>
      <c r="AM423" s="1369"/>
      <c r="AN423" s="1369"/>
      <c r="AO423" s="1369"/>
      <c r="AP423" s="1369"/>
      <c r="AQ423" s="1369"/>
      <c r="AR423" s="1369"/>
      <c r="AS423" s="1369"/>
      <c r="AT423" s="1369"/>
      <c r="AU423" s="1369"/>
      <c r="AV423" s="1369"/>
      <c r="AW423" s="1369"/>
      <c r="AX423" s="1369"/>
      <c r="AY423" s="1369"/>
      <c r="AZ423" s="1369"/>
      <c r="BA423" s="1369"/>
      <c r="BB423" s="1369"/>
      <c r="BC423" s="1369"/>
      <c r="BD423" s="1369"/>
      <c r="BE423" s="1369"/>
      <c r="BF423" s="1369"/>
      <c r="BG423" s="1369"/>
      <c r="BH423" s="1369"/>
      <c r="BI423" s="1369"/>
      <c r="BJ423" s="1369"/>
      <c r="BK423" s="1369"/>
      <c r="BL423" s="489"/>
    </row>
    <row r="424" spans="1:64" ht="12" customHeight="1" x14ac:dyDescent="0.25">
      <c r="A424" s="295" t="s">
        <v>1261</v>
      </c>
      <c r="B424" s="24" t="s">
        <v>1259</v>
      </c>
      <c r="C424" s="2"/>
      <c r="D424" s="2" t="s">
        <v>1307</v>
      </c>
      <c r="E424" s="1"/>
      <c r="F424" s="1"/>
      <c r="G424" s="1"/>
      <c r="H424" s="1"/>
      <c r="I424" s="1"/>
      <c r="J424" s="1"/>
      <c r="K424" s="1"/>
      <c r="L424" s="1"/>
      <c r="M424" s="1"/>
      <c r="N424" s="1"/>
      <c r="O424" s="1"/>
      <c r="P424" s="22"/>
      <c r="Q424" s="22"/>
      <c r="R424" s="1"/>
      <c r="S424" s="1"/>
      <c r="T424" s="1"/>
      <c r="U424" s="1"/>
      <c r="V424" s="1"/>
      <c r="W424" s="1"/>
      <c r="X424" s="1"/>
      <c r="Y424" s="34">
        <f t="shared" ref="Y424:BC424" si="360">SUM(Y425:Y437)</f>
        <v>25</v>
      </c>
      <c r="Z424" s="34">
        <f t="shared" si="360"/>
        <v>305</v>
      </c>
      <c r="AA424" s="34">
        <f t="shared" si="360"/>
        <v>0</v>
      </c>
      <c r="AB424" s="34">
        <f t="shared" si="360"/>
        <v>0</v>
      </c>
      <c r="AC424" s="34">
        <f t="shared" si="360"/>
        <v>0</v>
      </c>
      <c r="AD424" s="34">
        <f t="shared" si="360"/>
        <v>0</v>
      </c>
      <c r="AE424" s="34">
        <f t="shared" si="360"/>
        <v>0</v>
      </c>
      <c r="AF424" s="34">
        <f t="shared" si="360"/>
        <v>330</v>
      </c>
      <c r="AG424" s="34">
        <f t="shared" si="360"/>
        <v>27</v>
      </c>
      <c r="AH424" s="34">
        <f t="shared" si="360"/>
        <v>45</v>
      </c>
      <c r="AI424" s="34">
        <f t="shared" si="360"/>
        <v>25</v>
      </c>
      <c r="AJ424" s="34">
        <f t="shared" si="360"/>
        <v>0</v>
      </c>
      <c r="AK424" s="34">
        <f t="shared" si="360"/>
        <v>0</v>
      </c>
      <c r="AL424" s="34">
        <f t="shared" si="360"/>
        <v>0</v>
      </c>
      <c r="AM424" s="34">
        <f t="shared" si="360"/>
        <v>97</v>
      </c>
      <c r="AN424" s="34">
        <f t="shared" si="360"/>
        <v>12</v>
      </c>
      <c r="AO424" s="34">
        <f t="shared" si="360"/>
        <v>60</v>
      </c>
      <c r="AP424" s="34">
        <f t="shared" si="360"/>
        <v>0</v>
      </c>
      <c r="AQ424" s="34">
        <f t="shared" si="360"/>
        <v>0</v>
      </c>
      <c r="AR424" s="34">
        <f t="shared" si="360"/>
        <v>0</v>
      </c>
      <c r="AS424" s="34">
        <f t="shared" si="360"/>
        <v>0</v>
      </c>
      <c r="AT424" s="34">
        <f t="shared" si="360"/>
        <v>0</v>
      </c>
      <c r="AU424" s="34">
        <f t="shared" si="360"/>
        <v>72</v>
      </c>
      <c r="AV424" s="34">
        <f t="shared" si="360"/>
        <v>12</v>
      </c>
      <c r="AW424" s="34">
        <f t="shared" si="360"/>
        <v>60</v>
      </c>
      <c r="AX424" s="34">
        <f t="shared" si="360"/>
        <v>0</v>
      </c>
      <c r="AY424" s="34">
        <f t="shared" si="360"/>
        <v>0</v>
      </c>
      <c r="AZ424" s="34">
        <f t="shared" si="360"/>
        <v>0</v>
      </c>
      <c r="BA424" s="34">
        <f t="shared" si="360"/>
        <v>0</v>
      </c>
      <c r="BB424" s="34">
        <f t="shared" si="360"/>
        <v>0</v>
      </c>
      <c r="BC424" s="34">
        <f t="shared" si="360"/>
        <v>72</v>
      </c>
      <c r="BD424" s="34">
        <f t="shared" si="336"/>
        <v>76</v>
      </c>
      <c r="BE424" s="34">
        <f t="shared" si="337"/>
        <v>470</v>
      </c>
      <c r="BF424" s="34">
        <f t="shared" si="338"/>
        <v>25</v>
      </c>
      <c r="BG424" s="34">
        <f t="shared" si="339"/>
        <v>0</v>
      </c>
      <c r="BH424" s="34">
        <f t="shared" si="340"/>
        <v>0</v>
      </c>
      <c r="BI424" s="34">
        <f t="shared" si="352"/>
        <v>0</v>
      </c>
      <c r="BJ424" s="34">
        <f t="shared" si="341"/>
        <v>0</v>
      </c>
      <c r="BK424" s="34">
        <f t="shared" si="342"/>
        <v>571</v>
      </c>
      <c r="BL424" s="40">
        <f t="shared" si="334"/>
        <v>571</v>
      </c>
    </row>
    <row r="425" spans="1:64" ht="50.25" customHeight="1" x14ac:dyDescent="0.25">
      <c r="A425" s="298" t="s">
        <v>1261</v>
      </c>
      <c r="B425" s="299" t="s">
        <v>1259</v>
      </c>
      <c r="C425" s="1546" t="s">
        <v>1308</v>
      </c>
      <c r="D425" s="1549" t="s">
        <v>1309</v>
      </c>
      <c r="E425" s="1549" t="s">
        <v>1310</v>
      </c>
      <c r="F425" s="1549">
        <v>2015</v>
      </c>
      <c r="G425" s="1549" t="s">
        <v>1311</v>
      </c>
      <c r="H425" s="1549">
        <v>270</v>
      </c>
      <c r="I425" s="1425"/>
      <c r="J425" s="1425"/>
      <c r="K425" s="1425" t="s">
        <v>1312</v>
      </c>
      <c r="L425" s="301" t="s">
        <v>1140</v>
      </c>
      <c r="M425" s="1425" t="s">
        <v>497</v>
      </c>
      <c r="N425" s="476" t="s">
        <v>2497</v>
      </c>
      <c r="O425" s="1425" t="s">
        <v>47</v>
      </c>
      <c r="P425" s="16" t="s">
        <v>1313</v>
      </c>
      <c r="Q425" s="302" t="s">
        <v>1314</v>
      </c>
      <c r="R425" s="303">
        <v>2015</v>
      </c>
      <c r="S425" s="303">
        <v>0</v>
      </c>
      <c r="T425" s="303">
        <v>0</v>
      </c>
      <c r="U425" s="303">
        <v>6</v>
      </c>
      <c r="V425" s="303">
        <v>2</v>
      </c>
      <c r="W425" s="303">
        <v>2</v>
      </c>
      <c r="X425" s="303">
        <v>10</v>
      </c>
      <c r="Y425" s="481">
        <v>0</v>
      </c>
      <c r="Z425" s="481"/>
      <c r="AA425" s="481">
        <v>0</v>
      </c>
      <c r="AB425" s="481">
        <v>0</v>
      </c>
      <c r="AC425" s="481">
        <v>0</v>
      </c>
      <c r="AD425" s="481">
        <v>0</v>
      </c>
      <c r="AE425" s="481">
        <v>0</v>
      </c>
      <c r="AF425" s="481">
        <f t="shared" si="355"/>
        <v>0</v>
      </c>
      <c r="AG425" s="548">
        <v>0</v>
      </c>
      <c r="AH425" s="491">
        <v>1</v>
      </c>
      <c r="AI425" s="548">
        <v>5</v>
      </c>
      <c r="AJ425" s="548">
        <v>0</v>
      </c>
      <c r="AK425" s="548">
        <v>0</v>
      </c>
      <c r="AL425" s="548">
        <v>0</v>
      </c>
      <c r="AM425" s="548">
        <f t="shared" ref="AM425:AM433" si="361">SUM(AG425:AL425)</f>
        <v>6</v>
      </c>
      <c r="AN425" s="481">
        <v>0</v>
      </c>
      <c r="AO425" s="491">
        <v>1</v>
      </c>
      <c r="AP425" s="481">
        <v>0</v>
      </c>
      <c r="AQ425" s="481">
        <v>0</v>
      </c>
      <c r="AR425" s="481">
        <v>0</v>
      </c>
      <c r="AS425" s="481">
        <v>0</v>
      </c>
      <c r="AT425" s="481">
        <v>0</v>
      </c>
      <c r="AU425" s="481">
        <f t="shared" si="359"/>
        <v>1</v>
      </c>
      <c r="AV425" s="548">
        <v>2</v>
      </c>
      <c r="AW425" s="548">
        <v>0</v>
      </c>
      <c r="AX425" s="548">
        <v>0</v>
      </c>
      <c r="AY425" s="548">
        <v>0</v>
      </c>
      <c r="AZ425" s="548">
        <v>0</v>
      </c>
      <c r="BA425" s="548">
        <v>0</v>
      </c>
      <c r="BB425" s="548">
        <v>0</v>
      </c>
      <c r="BC425" s="548">
        <f t="shared" si="358"/>
        <v>2</v>
      </c>
      <c r="BD425" s="42">
        <f t="shared" ref="BD425:BD458" si="362">+AV425+AN425+AG425+Y425</f>
        <v>2</v>
      </c>
      <c r="BE425" s="42">
        <f t="shared" ref="BE425:BE458" si="363">+AW425+AO425+AH425+Z425</f>
        <v>2</v>
      </c>
      <c r="BF425" s="42">
        <f t="shared" ref="BF425:BF458" si="364">+AX425+AP425+AI425+AA425</f>
        <v>5</v>
      </c>
      <c r="BG425" s="42">
        <f t="shared" ref="BG425:BG458" si="365">+AY425+AQ425+AJ425+AB425</f>
        <v>0</v>
      </c>
      <c r="BH425" s="42">
        <f t="shared" ref="BH425:BH458" si="366">+AZ425+AR425+AK425+AC425</f>
        <v>0</v>
      </c>
      <c r="BI425" s="42">
        <f t="shared" si="352"/>
        <v>0</v>
      </c>
      <c r="BJ425" s="42">
        <f t="shared" ref="BJ425:BJ458" si="367">+BB425+AT425+AL425+AE425</f>
        <v>0</v>
      </c>
      <c r="BK425" s="42">
        <f t="shared" ref="BK425:BK458" si="368">+BC425+AU425+AM425+AF425</f>
        <v>9</v>
      </c>
      <c r="BL425" s="40">
        <f t="shared" si="334"/>
        <v>9</v>
      </c>
    </row>
    <row r="426" spans="1:64" ht="62.25" customHeight="1" x14ac:dyDescent="0.25">
      <c r="A426" s="298" t="s">
        <v>1261</v>
      </c>
      <c r="B426" s="299" t="s">
        <v>1259</v>
      </c>
      <c r="C426" s="1547"/>
      <c r="D426" s="1549"/>
      <c r="E426" s="1549"/>
      <c r="F426" s="1549"/>
      <c r="G426" s="1549"/>
      <c r="H426" s="1549"/>
      <c r="I426" s="1425"/>
      <c r="J426" s="1425"/>
      <c r="K426" s="1425" t="s">
        <v>1315</v>
      </c>
      <c r="L426" s="301" t="s">
        <v>1140</v>
      </c>
      <c r="M426" s="1425" t="s">
        <v>497</v>
      </c>
      <c r="N426" s="476" t="s">
        <v>2497</v>
      </c>
      <c r="O426" s="1425" t="s">
        <v>73</v>
      </c>
      <c r="P426" s="16" t="s">
        <v>1316</v>
      </c>
      <c r="Q426" s="302" t="s">
        <v>1317</v>
      </c>
      <c r="R426" s="303">
        <v>2015</v>
      </c>
      <c r="S426" s="303">
        <v>1</v>
      </c>
      <c r="T426" s="303">
        <v>1</v>
      </c>
      <c r="U426" s="303">
        <v>1</v>
      </c>
      <c r="V426" s="303">
        <v>1</v>
      </c>
      <c r="W426" s="303">
        <v>1</v>
      </c>
      <c r="X426" s="303">
        <v>1</v>
      </c>
      <c r="Y426" s="491">
        <v>1</v>
      </c>
      <c r="Z426" s="481">
        <v>200</v>
      </c>
      <c r="AA426" s="481"/>
      <c r="AB426" s="481"/>
      <c r="AC426" s="481"/>
      <c r="AD426" s="481"/>
      <c r="AE426" s="481"/>
      <c r="AF426" s="481">
        <f t="shared" si="355"/>
        <v>201</v>
      </c>
      <c r="AG426" s="548"/>
      <c r="AH426" s="491">
        <v>1</v>
      </c>
      <c r="AI426" s="548"/>
      <c r="AJ426" s="548"/>
      <c r="AK426" s="548"/>
      <c r="AL426" s="548"/>
      <c r="AM426" s="548">
        <f t="shared" si="361"/>
        <v>1</v>
      </c>
      <c r="AN426" s="481"/>
      <c r="AO426" s="491">
        <v>1</v>
      </c>
      <c r="AP426" s="481"/>
      <c r="AQ426" s="481"/>
      <c r="AR426" s="481"/>
      <c r="AS426" s="481"/>
      <c r="AT426" s="481"/>
      <c r="AU426" s="481">
        <f t="shared" si="359"/>
        <v>1</v>
      </c>
      <c r="AV426" s="548"/>
      <c r="AW426" s="491">
        <v>1</v>
      </c>
      <c r="AX426" s="548"/>
      <c r="AY426" s="548"/>
      <c r="AZ426" s="548"/>
      <c r="BA426" s="548"/>
      <c r="BB426" s="548"/>
      <c r="BC426" s="548">
        <f>SUM(AV426:BB426)</f>
        <v>1</v>
      </c>
      <c r="BD426" s="42">
        <f>SUM(AW426:BC426)</f>
        <v>2</v>
      </c>
      <c r="BE426" s="42">
        <f t="shared" si="363"/>
        <v>203</v>
      </c>
      <c r="BF426" s="42">
        <f t="shared" si="364"/>
        <v>0</v>
      </c>
      <c r="BG426" s="42">
        <f t="shared" si="365"/>
        <v>0</v>
      </c>
      <c r="BH426" s="42">
        <f t="shared" si="366"/>
        <v>0</v>
      </c>
      <c r="BI426" s="42">
        <f>+BA426+AS426+AL426+AD426</f>
        <v>0</v>
      </c>
      <c r="BJ426" s="42">
        <f>+AE426+AT426+BB426</f>
        <v>0</v>
      </c>
      <c r="BK426" s="42">
        <f t="shared" si="368"/>
        <v>204</v>
      </c>
      <c r="BL426" s="40">
        <f t="shared" si="334"/>
        <v>204</v>
      </c>
    </row>
    <row r="427" spans="1:64" ht="60" customHeight="1" x14ac:dyDescent="0.25">
      <c r="A427" s="298" t="s">
        <v>1261</v>
      </c>
      <c r="B427" s="299" t="s">
        <v>1259</v>
      </c>
      <c r="C427" s="1547"/>
      <c r="D427" s="1549"/>
      <c r="E427" s="1549"/>
      <c r="F427" s="1549"/>
      <c r="G427" s="1549"/>
      <c r="H427" s="1549"/>
      <c r="I427" s="1425"/>
      <c r="J427" s="1425"/>
      <c r="K427" s="1425" t="s">
        <v>1318</v>
      </c>
      <c r="L427" s="301" t="s">
        <v>1140</v>
      </c>
      <c r="M427" s="1425" t="s">
        <v>497</v>
      </c>
      <c r="N427" s="476" t="s">
        <v>2543</v>
      </c>
      <c r="O427" s="1425" t="s">
        <v>73</v>
      </c>
      <c r="P427" s="16" t="s">
        <v>1319</v>
      </c>
      <c r="Q427" s="302" t="s">
        <v>1320</v>
      </c>
      <c r="R427" s="303">
        <v>2015</v>
      </c>
      <c r="S427" s="303">
        <v>0</v>
      </c>
      <c r="T427" s="303">
        <v>1</v>
      </c>
      <c r="U427" s="303">
        <v>1</v>
      </c>
      <c r="V427" s="303">
        <v>1</v>
      </c>
      <c r="W427" s="303">
        <v>1</v>
      </c>
      <c r="X427" s="303">
        <v>1</v>
      </c>
      <c r="Y427" s="481">
        <v>1</v>
      </c>
      <c r="Z427" s="481">
        <v>0</v>
      </c>
      <c r="AA427" s="481">
        <v>0</v>
      </c>
      <c r="AB427" s="481">
        <v>0</v>
      </c>
      <c r="AC427" s="481">
        <v>0</v>
      </c>
      <c r="AD427" s="481">
        <v>0</v>
      </c>
      <c r="AE427" s="481">
        <v>0</v>
      </c>
      <c r="AF427" s="481">
        <f t="shared" si="355"/>
        <v>1</v>
      </c>
      <c r="AG427" s="548">
        <v>4</v>
      </c>
      <c r="AH427" s="548">
        <v>0</v>
      </c>
      <c r="AI427" s="548">
        <v>0</v>
      </c>
      <c r="AJ427" s="548">
        <v>0</v>
      </c>
      <c r="AK427" s="548">
        <v>0</v>
      </c>
      <c r="AL427" s="548">
        <v>0</v>
      </c>
      <c r="AM427" s="548">
        <f t="shared" si="361"/>
        <v>4</v>
      </c>
      <c r="AN427" s="481">
        <v>4</v>
      </c>
      <c r="AO427" s="481">
        <v>0</v>
      </c>
      <c r="AP427" s="481">
        <v>0</v>
      </c>
      <c r="AQ427" s="481">
        <v>0</v>
      </c>
      <c r="AR427" s="481">
        <v>0</v>
      </c>
      <c r="AS427" s="481">
        <v>0</v>
      </c>
      <c r="AT427" s="481">
        <v>0</v>
      </c>
      <c r="AU427" s="481">
        <f t="shared" si="359"/>
        <v>4</v>
      </c>
      <c r="AV427" s="548">
        <v>2</v>
      </c>
      <c r="AW427" s="548">
        <v>0</v>
      </c>
      <c r="AX427" s="548">
        <v>0</v>
      </c>
      <c r="AY427" s="548">
        <v>0</v>
      </c>
      <c r="AZ427" s="548">
        <v>0</v>
      </c>
      <c r="BA427" s="548">
        <v>0</v>
      </c>
      <c r="BB427" s="548">
        <v>0</v>
      </c>
      <c r="BC427" s="548">
        <f t="shared" si="358"/>
        <v>2</v>
      </c>
      <c r="BD427" s="42">
        <f t="shared" si="362"/>
        <v>11</v>
      </c>
      <c r="BE427" s="42">
        <f t="shared" si="363"/>
        <v>0</v>
      </c>
      <c r="BF427" s="42">
        <f t="shared" si="364"/>
        <v>0</v>
      </c>
      <c r="BG427" s="42">
        <f t="shared" si="365"/>
        <v>0</v>
      </c>
      <c r="BH427" s="42">
        <f t="shared" si="366"/>
        <v>0</v>
      </c>
      <c r="BI427" s="42">
        <f t="shared" si="352"/>
        <v>0</v>
      </c>
      <c r="BJ427" s="42">
        <f t="shared" si="367"/>
        <v>0</v>
      </c>
      <c r="BK427" s="42">
        <f t="shared" si="368"/>
        <v>11</v>
      </c>
      <c r="BL427" s="40">
        <f t="shared" si="334"/>
        <v>11</v>
      </c>
    </row>
    <row r="428" spans="1:64" ht="37.5" customHeight="1" x14ac:dyDescent="0.25">
      <c r="A428" s="298" t="s">
        <v>1261</v>
      </c>
      <c r="B428" s="299" t="s">
        <v>1259</v>
      </c>
      <c r="C428" s="1547"/>
      <c r="D428" s="1549"/>
      <c r="E428" s="1549"/>
      <c r="F428" s="1549"/>
      <c r="G428" s="1549"/>
      <c r="H428" s="1549"/>
      <c r="I428" s="1425"/>
      <c r="J428" s="1425"/>
      <c r="K428" s="1425" t="s">
        <v>1321</v>
      </c>
      <c r="L428" s="301" t="s">
        <v>1140</v>
      </c>
      <c r="M428" s="1425" t="s">
        <v>497</v>
      </c>
      <c r="N428" s="476" t="s">
        <v>2491</v>
      </c>
      <c r="O428" s="1425" t="s">
        <v>73</v>
      </c>
      <c r="P428" s="16" t="s">
        <v>1322</v>
      </c>
      <c r="Q428" s="302" t="s">
        <v>1323</v>
      </c>
      <c r="R428" s="303">
        <v>2015</v>
      </c>
      <c r="S428" s="303">
        <v>1</v>
      </c>
      <c r="T428" s="303">
        <v>1</v>
      </c>
      <c r="U428" s="303">
        <v>1</v>
      </c>
      <c r="V428" s="303">
        <v>1</v>
      </c>
      <c r="W428" s="303">
        <v>1</v>
      </c>
      <c r="X428" s="303">
        <v>1</v>
      </c>
      <c r="Y428" s="491">
        <v>3</v>
      </c>
      <c r="Z428" s="481">
        <v>0</v>
      </c>
      <c r="AA428" s="481">
        <v>0</v>
      </c>
      <c r="AB428" s="481">
        <v>0</v>
      </c>
      <c r="AC428" s="481">
        <v>0</v>
      </c>
      <c r="AD428" s="481">
        <v>0</v>
      </c>
      <c r="AE428" s="481">
        <v>0</v>
      </c>
      <c r="AF428" s="481">
        <f t="shared" si="355"/>
        <v>3</v>
      </c>
      <c r="AG428" s="548">
        <v>6</v>
      </c>
      <c r="AH428" s="548">
        <v>0</v>
      </c>
      <c r="AI428" s="548">
        <v>0</v>
      </c>
      <c r="AJ428" s="548">
        <v>0</v>
      </c>
      <c r="AK428" s="548">
        <v>0</v>
      </c>
      <c r="AL428" s="548">
        <v>0</v>
      </c>
      <c r="AM428" s="548">
        <f t="shared" si="361"/>
        <v>6</v>
      </c>
      <c r="AN428" s="481">
        <v>6</v>
      </c>
      <c r="AO428" s="481">
        <v>0</v>
      </c>
      <c r="AP428" s="481">
        <v>0</v>
      </c>
      <c r="AQ428" s="481">
        <v>0</v>
      </c>
      <c r="AR428" s="481">
        <v>0</v>
      </c>
      <c r="AS428" s="481">
        <v>0</v>
      </c>
      <c r="AT428" s="481">
        <v>0</v>
      </c>
      <c r="AU428" s="481">
        <f t="shared" si="359"/>
        <v>6</v>
      </c>
      <c r="AV428" s="548">
        <v>6</v>
      </c>
      <c r="AW428" s="548">
        <v>0</v>
      </c>
      <c r="AX428" s="548">
        <v>0</v>
      </c>
      <c r="AY428" s="548">
        <v>0</v>
      </c>
      <c r="AZ428" s="548">
        <v>0</v>
      </c>
      <c r="BA428" s="548">
        <v>0</v>
      </c>
      <c r="BB428" s="548">
        <v>0</v>
      </c>
      <c r="BC428" s="548">
        <f t="shared" si="358"/>
        <v>6</v>
      </c>
      <c r="BD428" s="42">
        <f t="shared" si="362"/>
        <v>21</v>
      </c>
      <c r="BE428" s="42">
        <f t="shared" si="363"/>
        <v>0</v>
      </c>
      <c r="BF428" s="42">
        <f t="shared" si="364"/>
        <v>0</v>
      </c>
      <c r="BG428" s="42">
        <f t="shared" si="365"/>
        <v>0</v>
      </c>
      <c r="BH428" s="42">
        <f t="shared" si="366"/>
        <v>0</v>
      </c>
      <c r="BI428" s="42">
        <f t="shared" si="352"/>
        <v>0</v>
      </c>
      <c r="BJ428" s="42">
        <f t="shared" si="367"/>
        <v>0</v>
      </c>
      <c r="BK428" s="42">
        <f t="shared" si="368"/>
        <v>21</v>
      </c>
      <c r="BL428" s="40">
        <f t="shared" si="334"/>
        <v>21</v>
      </c>
    </row>
    <row r="429" spans="1:64" ht="37.5" customHeight="1" x14ac:dyDescent="0.25">
      <c r="A429" s="298" t="s">
        <v>1261</v>
      </c>
      <c r="B429" s="299" t="s">
        <v>1259</v>
      </c>
      <c r="C429" s="1547"/>
      <c r="D429" s="1549"/>
      <c r="E429" s="1549"/>
      <c r="F429" s="1549"/>
      <c r="G429" s="1549"/>
      <c r="H429" s="1549"/>
      <c r="I429" s="1425"/>
      <c r="J429" s="1425"/>
      <c r="K429" s="1425" t="s">
        <v>1324</v>
      </c>
      <c r="L429" s="301" t="s">
        <v>1140</v>
      </c>
      <c r="M429" s="1425" t="s">
        <v>497</v>
      </c>
      <c r="N429" s="476" t="s">
        <v>2491</v>
      </c>
      <c r="O429" s="1425" t="s">
        <v>73</v>
      </c>
      <c r="P429" s="71" t="s">
        <v>1325</v>
      </c>
      <c r="Q429" s="302" t="s">
        <v>1326</v>
      </c>
      <c r="R429" s="303">
        <v>2015</v>
      </c>
      <c r="S429" s="303">
        <v>0</v>
      </c>
      <c r="T429" s="303">
        <v>1</v>
      </c>
      <c r="U429" s="303">
        <v>1</v>
      </c>
      <c r="V429" s="303">
        <v>1</v>
      </c>
      <c r="W429" s="303">
        <v>1</v>
      </c>
      <c r="X429" s="303">
        <v>1</v>
      </c>
      <c r="Y429" s="481">
        <v>6</v>
      </c>
      <c r="Z429" s="481"/>
      <c r="AA429" s="481"/>
      <c r="AB429" s="481"/>
      <c r="AC429" s="481"/>
      <c r="AD429" s="481"/>
      <c r="AE429" s="481"/>
      <c r="AF429" s="481">
        <f t="shared" si="355"/>
        <v>6</v>
      </c>
      <c r="AG429" s="548"/>
      <c r="AH429" s="491">
        <v>1</v>
      </c>
      <c r="AI429" s="548">
        <v>5</v>
      </c>
      <c r="AJ429" s="548"/>
      <c r="AK429" s="548"/>
      <c r="AL429" s="548"/>
      <c r="AM429" s="548">
        <f t="shared" si="361"/>
        <v>6</v>
      </c>
      <c r="AN429" s="481"/>
      <c r="AO429" s="491">
        <v>1</v>
      </c>
      <c r="AP429" s="481"/>
      <c r="AQ429" s="481"/>
      <c r="AR429" s="481"/>
      <c r="AS429" s="481"/>
      <c r="AT429" s="481"/>
      <c r="AU429" s="481">
        <f t="shared" si="359"/>
        <v>1</v>
      </c>
      <c r="AV429" s="548"/>
      <c r="AW429" s="491">
        <v>1</v>
      </c>
      <c r="AX429" s="548"/>
      <c r="AY429" s="548"/>
      <c r="AZ429" s="548"/>
      <c r="BA429" s="548"/>
      <c r="BB429" s="548"/>
      <c r="BC429" s="548">
        <f t="shared" si="358"/>
        <v>1</v>
      </c>
      <c r="BD429" s="42">
        <f t="shared" si="362"/>
        <v>6</v>
      </c>
      <c r="BE429" s="42">
        <f t="shared" si="363"/>
        <v>3</v>
      </c>
      <c r="BF429" s="42">
        <f t="shared" si="364"/>
        <v>5</v>
      </c>
      <c r="BG429" s="42">
        <f t="shared" si="365"/>
        <v>0</v>
      </c>
      <c r="BH429" s="42">
        <f t="shared" si="366"/>
        <v>0</v>
      </c>
      <c r="BI429" s="42">
        <f t="shared" si="352"/>
        <v>0</v>
      </c>
      <c r="BJ429" s="42">
        <f t="shared" si="367"/>
        <v>0</v>
      </c>
      <c r="BK429" s="42">
        <f t="shared" si="368"/>
        <v>14</v>
      </c>
      <c r="BL429" s="40">
        <f t="shared" si="334"/>
        <v>14</v>
      </c>
    </row>
    <row r="430" spans="1:64" ht="39" customHeight="1" x14ac:dyDescent="0.25">
      <c r="A430" s="298" t="s">
        <v>1261</v>
      </c>
      <c r="B430" s="299" t="s">
        <v>1259</v>
      </c>
      <c r="C430" s="1547"/>
      <c r="D430" s="1549"/>
      <c r="E430" s="1549"/>
      <c r="F430" s="1549"/>
      <c r="G430" s="1549"/>
      <c r="H430" s="1549"/>
      <c r="I430" s="1425"/>
      <c r="J430" s="1425"/>
      <c r="K430" s="1425" t="s">
        <v>1327</v>
      </c>
      <c r="L430" s="301" t="s">
        <v>1140</v>
      </c>
      <c r="M430" s="1425" t="s">
        <v>497</v>
      </c>
      <c r="N430" s="476" t="s">
        <v>2543</v>
      </c>
      <c r="O430" s="1425" t="s">
        <v>73</v>
      </c>
      <c r="P430" s="16" t="s">
        <v>1328</v>
      </c>
      <c r="Q430" s="302" t="s">
        <v>1329</v>
      </c>
      <c r="R430" s="303">
        <v>2015</v>
      </c>
      <c r="S430" s="303">
        <v>0</v>
      </c>
      <c r="T430" s="303">
        <v>1</v>
      </c>
      <c r="U430" s="303">
        <v>1</v>
      </c>
      <c r="V430" s="303">
        <v>1</v>
      </c>
      <c r="W430" s="303">
        <v>1</v>
      </c>
      <c r="X430" s="303">
        <v>1</v>
      </c>
      <c r="Y430" s="481">
        <v>2</v>
      </c>
      <c r="Z430" s="481"/>
      <c r="AA430" s="481"/>
      <c r="AB430" s="481"/>
      <c r="AC430" s="481"/>
      <c r="AD430" s="481"/>
      <c r="AE430" s="481"/>
      <c r="AF430" s="481">
        <f t="shared" si="355"/>
        <v>2</v>
      </c>
      <c r="AG430" s="548">
        <v>2</v>
      </c>
      <c r="AH430" s="548"/>
      <c r="AI430" s="548"/>
      <c r="AJ430" s="548"/>
      <c r="AK430" s="548"/>
      <c r="AL430" s="548"/>
      <c r="AM430" s="548">
        <f t="shared" si="361"/>
        <v>2</v>
      </c>
      <c r="AN430" s="481">
        <v>2</v>
      </c>
      <c r="AO430" s="481"/>
      <c r="AP430" s="481"/>
      <c r="AQ430" s="481"/>
      <c r="AR430" s="481"/>
      <c r="AS430" s="481"/>
      <c r="AT430" s="481"/>
      <c r="AU430" s="481">
        <f t="shared" si="359"/>
        <v>2</v>
      </c>
      <c r="AV430" s="548">
        <v>2</v>
      </c>
      <c r="AW430" s="548"/>
      <c r="AX430" s="548"/>
      <c r="AY430" s="548"/>
      <c r="AZ430" s="548"/>
      <c r="BA430" s="548"/>
      <c r="BB430" s="548"/>
      <c r="BC430" s="548">
        <f t="shared" si="358"/>
        <v>2</v>
      </c>
      <c r="BD430" s="42">
        <f t="shared" si="362"/>
        <v>8</v>
      </c>
      <c r="BE430" s="42">
        <f t="shared" si="363"/>
        <v>0</v>
      </c>
      <c r="BF430" s="42">
        <f t="shared" si="364"/>
        <v>0</v>
      </c>
      <c r="BG430" s="42">
        <f t="shared" si="365"/>
        <v>0</v>
      </c>
      <c r="BH430" s="42">
        <f t="shared" si="366"/>
        <v>0</v>
      </c>
      <c r="BI430" s="42">
        <f t="shared" si="352"/>
        <v>0</v>
      </c>
      <c r="BJ430" s="42">
        <f t="shared" si="367"/>
        <v>0</v>
      </c>
      <c r="BK430" s="42">
        <f t="shared" si="368"/>
        <v>8</v>
      </c>
      <c r="BL430" s="40">
        <f t="shared" si="334"/>
        <v>8</v>
      </c>
    </row>
    <row r="431" spans="1:64" ht="49.5" customHeight="1" x14ac:dyDescent="0.25">
      <c r="A431" s="298" t="s">
        <v>1261</v>
      </c>
      <c r="B431" s="299" t="s">
        <v>1259</v>
      </c>
      <c r="C431" s="1547"/>
      <c r="D431" s="1549"/>
      <c r="E431" s="1549"/>
      <c r="F431" s="1549"/>
      <c r="G431" s="1549"/>
      <c r="H431" s="1549"/>
      <c r="I431" s="1425"/>
      <c r="J431" s="1425"/>
      <c r="K431" s="1425" t="s">
        <v>1330</v>
      </c>
      <c r="L431" s="301" t="s">
        <v>1140</v>
      </c>
      <c r="M431" s="1425" t="s">
        <v>497</v>
      </c>
      <c r="N431" s="476" t="s">
        <v>2543</v>
      </c>
      <c r="O431" s="1425" t="s">
        <v>47</v>
      </c>
      <c r="P431" s="16" t="s">
        <v>2551</v>
      </c>
      <c r="Q431" s="302" t="s">
        <v>337</v>
      </c>
      <c r="R431" s="303">
        <v>2015</v>
      </c>
      <c r="S431" s="303">
        <v>0</v>
      </c>
      <c r="T431" s="303">
        <v>1</v>
      </c>
      <c r="U431" s="303">
        <v>1</v>
      </c>
      <c r="V431" s="303">
        <v>1</v>
      </c>
      <c r="W431" s="303">
        <v>1</v>
      </c>
      <c r="X431" s="303">
        <v>4</v>
      </c>
      <c r="Y431" s="491">
        <v>1</v>
      </c>
      <c r="Z431" s="481"/>
      <c r="AA431" s="481"/>
      <c r="AB431" s="481"/>
      <c r="AC431" s="481"/>
      <c r="AD431" s="481"/>
      <c r="AE431" s="481"/>
      <c r="AF431" s="481">
        <f t="shared" si="355"/>
        <v>1</v>
      </c>
      <c r="AG431" s="548"/>
      <c r="AH431" s="491">
        <v>1</v>
      </c>
      <c r="AI431" s="548"/>
      <c r="AJ431" s="548"/>
      <c r="AK431" s="548"/>
      <c r="AL431" s="548"/>
      <c r="AM431" s="548">
        <f t="shared" si="361"/>
        <v>1</v>
      </c>
      <c r="AN431" s="481"/>
      <c r="AO431" s="491">
        <v>1</v>
      </c>
      <c r="AP431" s="481"/>
      <c r="AQ431" s="481"/>
      <c r="AR431" s="481"/>
      <c r="AS431" s="481"/>
      <c r="AT431" s="481"/>
      <c r="AU431" s="481">
        <f t="shared" si="359"/>
        <v>1</v>
      </c>
      <c r="AV431" s="548"/>
      <c r="AW431" s="491">
        <v>1</v>
      </c>
      <c r="AX431" s="548"/>
      <c r="AY431" s="548"/>
      <c r="AZ431" s="548"/>
      <c r="BA431" s="548"/>
      <c r="BB431" s="548"/>
      <c r="BC431" s="548">
        <f t="shared" si="358"/>
        <v>1</v>
      </c>
      <c r="BD431" s="42">
        <f t="shared" si="362"/>
        <v>1</v>
      </c>
      <c r="BE431" s="42">
        <f t="shared" si="363"/>
        <v>3</v>
      </c>
      <c r="BF431" s="42">
        <f t="shared" si="364"/>
        <v>0</v>
      </c>
      <c r="BG431" s="42">
        <f t="shared" si="365"/>
        <v>0</v>
      </c>
      <c r="BH431" s="42">
        <f t="shared" si="366"/>
        <v>0</v>
      </c>
      <c r="BI431" s="42">
        <f t="shared" si="352"/>
        <v>0</v>
      </c>
      <c r="BJ431" s="42">
        <f t="shared" si="367"/>
        <v>0</v>
      </c>
      <c r="BK431" s="42">
        <f t="shared" si="368"/>
        <v>4</v>
      </c>
      <c r="BL431" s="40">
        <f t="shared" si="334"/>
        <v>4</v>
      </c>
    </row>
    <row r="432" spans="1:64" ht="57.75" customHeight="1" x14ac:dyDescent="0.25">
      <c r="A432" s="298" t="s">
        <v>1261</v>
      </c>
      <c r="B432" s="299" t="s">
        <v>1259</v>
      </c>
      <c r="C432" s="1547"/>
      <c r="D432" s="1549"/>
      <c r="E432" s="1549"/>
      <c r="F432" s="1549"/>
      <c r="G432" s="1549"/>
      <c r="H432" s="1549"/>
      <c r="I432" s="1425"/>
      <c r="J432" s="1425"/>
      <c r="K432" s="1425" t="s">
        <v>1332</v>
      </c>
      <c r="L432" s="301" t="s">
        <v>1140</v>
      </c>
      <c r="M432" s="1425" t="s">
        <v>497</v>
      </c>
      <c r="N432" s="476" t="s">
        <v>2497</v>
      </c>
      <c r="O432" s="1425" t="s">
        <v>73</v>
      </c>
      <c r="P432" s="16" t="s">
        <v>1333</v>
      </c>
      <c r="Q432" s="302" t="s">
        <v>188</v>
      </c>
      <c r="R432" s="303">
        <v>2015</v>
      </c>
      <c r="S432" s="303">
        <v>0</v>
      </c>
      <c r="T432" s="303">
        <v>1</v>
      </c>
      <c r="U432" s="303">
        <v>1</v>
      </c>
      <c r="V432" s="303">
        <v>1</v>
      </c>
      <c r="W432" s="303">
        <v>1</v>
      </c>
      <c r="X432" s="303">
        <v>1</v>
      </c>
      <c r="Y432" s="481"/>
      <c r="Z432" s="481">
        <v>50</v>
      </c>
      <c r="AA432" s="481"/>
      <c r="AB432" s="481"/>
      <c r="AC432" s="481"/>
      <c r="AD432" s="481"/>
      <c r="AE432" s="481"/>
      <c r="AF432" s="481">
        <f t="shared" si="355"/>
        <v>50</v>
      </c>
      <c r="AG432" s="548"/>
      <c r="AH432" s="548">
        <v>20</v>
      </c>
      <c r="AI432" s="548"/>
      <c r="AJ432" s="548"/>
      <c r="AK432" s="548"/>
      <c r="AL432" s="548"/>
      <c r="AM432" s="548">
        <f t="shared" si="361"/>
        <v>20</v>
      </c>
      <c r="AN432" s="481"/>
      <c r="AO432" s="481">
        <v>20</v>
      </c>
      <c r="AP432" s="481"/>
      <c r="AQ432" s="481"/>
      <c r="AR432" s="481"/>
      <c r="AS432" s="481"/>
      <c r="AT432" s="481"/>
      <c r="AU432" s="481">
        <f t="shared" si="359"/>
        <v>20</v>
      </c>
      <c r="AV432" s="548"/>
      <c r="AW432" s="548">
        <v>20</v>
      </c>
      <c r="AX432" s="548"/>
      <c r="AY432" s="548"/>
      <c r="AZ432" s="548"/>
      <c r="BA432" s="548"/>
      <c r="BB432" s="548"/>
      <c r="BC432" s="548">
        <f t="shared" si="358"/>
        <v>20</v>
      </c>
      <c r="BD432" s="42">
        <f t="shared" si="362"/>
        <v>0</v>
      </c>
      <c r="BE432" s="42">
        <f t="shared" si="363"/>
        <v>110</v>
      </c>
      <c r="BF432" s="42">
        <f t="shared" si="364"/>
        <v>0</v>
      </c>
      <c r="BG432" s="42">
        <f t="shared" si="365"/>
        <v>0</v>
      </c>
      <c r="BH432" s="42">
        <f t="shared" si="366"/>
        <v>0</v>
      </c>
      <c r="BI432" s="42">
        <f t="shared" si="352"/>
        <v>0</v>
      </c>
      <c r="BJ432" s="42">
        <f t="shared" si="367"/>
        <v>0</v>
      </c>
      <c r="BK432" s="42">
        <f t="shared" si="368"/>
        <v>110</v>
      </c>
      <c r="BL432" s="40">
        <f t="shared" si="334"/>
        <v>110</v>
      </c>
    </row>
    <row r="433" spans="1:64" ht="90" customHeight="1" x14ac:dyDescent="0.25">
      <c r="A433" s="298" t="s">
        <v>1261</v>
      </c>
      <c r="B433" s="299" t="s">
        <v>1259</v>
      </c>
      <c r="C433" s="1547"/>
      <c r="D433" s="1549"/>
      <c r="E433" s="1549"/>
      <c r="F433" s="1549"/>
      <c r="G433" s="1549"/>
      <c r="H433" s="1549"/>
      <c r="I433" s="1425"/>
      <c r="J433" s="1425"/>
      <c r="K433" s="1425" t="s">
        <v>1334</v>
      </c>
      <c r="L433" s="301" t="s">
        <v>1140</v>
      </c>
      <c r="M433" s="1425" t="s">
        <v>497</v>
      </c>
      <c r="N433" s="476" t="s">
        <v>2497</v>
      </c>
      <c r="O433" s="1425" t="s">
        <v>73</v>
      </c>
      <c r="P433" s="16" t="s">
        <v>1335</v>
      </c>
      <c r="Q433" s="302" t="s">
        <v>1336</v>
      </c>
      <c r="R433" s="303">
        <v>2015</v>
      </c>
      <c r="S433" s="303">
        <v>0</v>
      </c>
      <c r="T433" s="303">
        <v>1</v>
      </c>
      <c r="U433" s="303">
        <v>1</v>
      </c>
      <c r="V433" s="303">
        <v>1</v>
      </c>
      <c r="W433" s="303">
        <v>1</v>
      </c>
      <c r="X433" s="303">
        <v>1</v>
      </c>
      <c r="Y433" s="481">
        <v>10</v>
      </c>
      <c r="Z433" s="481"/>
      <c r="AA433" s="481"/>
      <c r="AB433" s="481"/>
      <c r="AC433" s="481"/>
      <c r="AD433" s="481"/>
      <c r="AE433" s="481"/>
      <c r="AF433" s="481">
        <f t="shared" si="355"/>
        <v>10</v>
      </c>
      <c r="AG433" s="548"/>
      <c r="AH433" s="491">
        <v>1</v>
      </c>
      <c r="AI433" s="548">
        <v>10</v>
      </c>
      <c r="AJ433" s="548"/>
      <c r="AK433" s="548"/>
      <c r="AL433" s="548"/>
      <c r="AM433" s="548">
        <f t="shared" si="361"/>
        <v>11</v>
      </c>
      <c r="AN433" s="481"/>
      <c r="AO433" s="491">
        <v>1</v>
      </c>
      <c r="AP433" s="481"/>
      <c r="AQ433" s="481"/>
      <c r="AR433" s="481"/>
      <c r="AS433" s="481"/>
      <c r="AT433" s="481"/>
      <c r="AU433" s="481">
        <f t="shared" si="359"/>
        <v>1</v>
      </c>
      <c r="AV433" s="548"/>
      <c r="AW433" s="491">
        <v>1</v>
      </c>
      <c r="AX433" s="548"/>
      <c r="AY433" s="548"/>
      <c r="AZ433" s="548"/>
      <c r="BA433" s="548"/>
      <c r="BB433" s="548"/>
      <c r="BC433" s="548">
        <f t="shared" si="358"/>
        <v>1</v>
      </c>
      <c r="BD433" s="42">
        <f t="shared" si="362"/>
        <v>10</v>
      </c>
      <c r="BE433" s="42">
        <f t="shared" si="363"/>
        <v>3</v>
      </c>
      <c r="BF433" s="42">
        <f t="shared" si="364"/>
        <v>10</v>
      </c>
      <c r="BG433" s="42">
        <f t="shared" si="365"/>
        <v>0</v>
      </c>
      <c r="BH433" s="42">
        <f t="shared" si="366"/>
        <v>0</v>
      </c>
      <c r="BI433" s="42">
        <f t="shared" si="352"/>
        <v>0</v>
      </c>
      <c r="BJ433" s="42">
        <f t="shared" si="367"/>
        <v>0</v>
      </c>
      <c r="BK433" s="42">
        <f t="shared" si="368"/>
        <v>23</v>
      </c>
      <c r="BL433" s="40">
        <f t="shared" si="334"/>
        <v>23</v>
      </c>
    </row>
    <row r="434" spans="1:64" ht="53.25" customHeight="1" x14ac:dyDescent="0.25">
      <c r="A434" s="298" t="s">
        <v>1261</v>
      </c>
      <c r="B434" s="299" t="s">
        <v>1259</v>
      </c>
      <c r="C434" s="1547"/>
      <c r="D434" s="1549"/>
      <c r="E434" s="1549"/>
      <c r="F434" s="1549"/>
      <c r="G434" s="1549"/>
      <c r="H434" s="1549"/>
      <c r="I434" s="1425"/>
      <c r="J434" s="1425"/>
      <c r="K434" s="1425" t="s">
        <v>1337</v>
      </c>
      <c r="L434" s="301" t="s">
        <v>1140</v>
      </c>
      <c r="M434" s="1425" t="s">
        <v>497</v>
      </c>
      <c r="N434" s="476" t="s">
        <v>2543</v>
      </c>
      <c r="O434" s="1425" t="s">
        <v>73</v>
      </c>
      <c r="P434" s="71" t="s">
        <v>1338</v>
      </c>
      <c r="Q434" s="302" t="s">
        <v>1339</v>
      </c>
      <c r="R434" s="303">
        <v>2015</v>
      </c>
      <c r="S434" s="303">
        <v>1</v>
      </c>
      <c r="T434" s="303">
        <v>1</v>
      </c>
      <c r="U434" s="303">
        <v>1</v>
      </c>
      <c r="V434" s="303">
        <v>1</v>
      </c>
      <c r="W434" s="303">
        <v>1</v>
      </c>
      <c r="X434" s="303">
        <v>1</v>
      </c>
      <c r="Y434" s="481"/>
      <c r="Z434" s="481">
        <v>15</v>
      </c>
      <c r="AA434" s="481"/>
      <c r="AB434" s="481"/>
      <c r="AC434" s="481"/>
      <c r="AD434" s="481"/>
      <c r="AE434" s="481"/>
      <c r="AF434" s="481">
        <f>SUM(Y434:AE434)</f>
        <v>15</v>
      </c>
      <c r="AG434" s="548">
        <v>15</v>
      </c>
      <c r="AH434" s="548"/>
      <c r="AI434" s="548"/>
      <c r="AJ434" s="548"/>
      <c r="AK434" s="548"/>
      <c r="AL434" s="548"/>
      <c r="AM434" s="548">
        <f>SUM(AG434:AL434)</f>
        <v>15</v>
      </c>
      <c r="AN434" s="481"/>
      <c r="AO434" s="481">
        <v>15</v>
      </c>
      <c r="AP434" s="481"/>
      <c r="AQ434" s="481"/>
      <c r="AR434" s="481"/>
      <c r="AS434" s="481"/>
      <c r="AT434" s="481"/>
      <c r="AU434" s="481">
        <f>SUM(AN434:AT434)</f>
        <v>15</v>
      </c>
      <c r="AV434" s="548"/>
      <c r="AW434" s="548">
        <v>15</v>
      </c>
      <c r="AX434" s="548"/>
      <c r="AY434" s="548"/>
      <c r="AZ434" s="548"/>
      <c r="BA434" s="548"/>
      <c r="BB434" s="548"/>
      <c r="BC434" s="548">
        <f>SUM(AV434:BB434)</f>
        <v>15</v>
      </c>
      <c r="BD434" s="42">
        <f t="shared" si="362"/>
        <v>15</v>
      </c>
      <c r="BE434" s="42">
        <f t="shared" si="363"/>
        <v>45</v>
      </c>
      <c r="BF434" s="42">
        <f t="shared" si="364"/>
        <v>0</v>
      </c>
      <c r="BG434" s="42">
        <f t="shared" si="365"/>
        <v>0</v>
      </c>
      <c r="BH434" s="42">
        <f t="shared" si="366"/>
        <v>0</v>
      </c>
      <c r="BI434" s="42">
        <f t="shared" si="352"/>
        <v>0</v>
      </c>
      <c r="BJ434" s="42">
        <f t="shared" si="367"/>
        <v>0</v>
      </c>
      <c r="BK434" s="42">
        <f t="shared" si="368"/>
        <v>60</v>
      </c>
      <c r="BL434" s="40">
        <f t="shared" si="334"/>
        <v>60</v>
      </c>
    </row>
    <row r="435" spans="1:64" ht="63" customHeight="1" x14ac:dyDescent="0.25">
      <c r="A435" s="298" t="s">
        <v>1261</v>
      </c>
      <c r="B435" s="299" t="s">
        <v>1259</v>
      </c>
      <c r="C435" s="1547"/>
      <c r="D435" s="1549"/>
      <c r="E435" s="1549"/>
      <c r="F435" s="1549"/>
      <c r="G435" s="1549"/>
      <c r="H435" s="1549"/>
      <c r="I435" s="1425"/>
      <c r="J435" s="1425"/>
      <c r="K435" s="1425" t="s">
        <v>1340</v>
      </c>
      <c r="L435" s="301" t="s">
        <v>1140</v>
      </c>
      <c r="M435" s="1425" t="s">
        <v>497</v>
      </c>
      <c r="N435" s="476" t="s">
        <v>2497</v>
      </c>
      <c r="O435" s="1425" t="s">
        <v>47</v>
      </c>
      <c r="P435" s="16" t="s">
        <v>1341</v>
      </c>
      <c r="Q435" s="302" t="s">
        <v>1342</v>
      </c>
      <c r="R435" s="303">
        <v>2015</v>
      </c>
      <c r="S435" s="303">
        <v>0</v>
      </c>
      <c r="T435" s="303">
        <v>2</v>
      </c>
      <c r="U435" s="303">
        <v>2</v>
      </c>
      <c r="V435" s="303">
        <v>2</v>
      </c>
      <c r="W435" s="303">
        <v>2</v>
      </c>
      <c r="X435" s="303">
        <v>8</v>
      </c>
      <c r="Y435" s="481"/>
      <c r="Z435" s="481">
        <v>40</v>
      </c>
      <c r="AA435" s="481"/>
      <c r="AB435" s="481"/>
      <c r="AC435" s="481"/>
      <c r="AD435" s="481"/>
      <c r="AE435" s="481"/>
      <c r="AF435" s="481">
        <f>SUM(Y435:AE435)</f>
        <v>40</v>
      </c>
      <c r="AG435" s="548"/>
      <c r="AH435" s="491">
        <v>18</v>
      </c>
      <c r="AI435" s="548"/>
      <c r="AJ435" s="548"/>
      <c r="AK435" s="548"/>
      <c r="AL435" s="548"/>
      <c r="AM435" s="548">
        <f>SUM(AG435:AL435)</f>
        <v>18</v>
      </c>
      <c r="AN435" s="481"/>
      <c r="AO435" s="491">
        <v>19</v>
      </c>
      <c r="AP435" s="481"/>
      <c r="AQ435" s="481"/>
      <c r="AR435" s="481"/>
      <c r="AS435" s="481"/>
      <c r="AT435" s="481"/>
      <c r="AU435" s="481">
        <f>SUM(AN435:AT435)</f>
        <v>19</v>
      </c>
      <c r="AV435" s="548"/>
      <c r="AW435" s="491">
        <v>20</v>
      </c>
      <c r="AX435" s="548"/>
      <c r="AY435" s="548"/>
      <c r="AZ435" s="548"/>
      <c r="BA435" s="548"/>
      <c r="BB435" s="548"/>
      <c r="BC435" s="548">
        <f>SUM(AV435:BB435)</f>
        <v>20</v>
      </c>
      <c r="BD435" s="42">
        <f t="shared" ref="BD435:BH436" si="369">+AV435+AN435+AG435+Y435</f>
        <v>0</v>
      </c>
      <c r="BE435" s="42">
        <f t="shared" si="369"/>
        <v>97</v>
      </c>
      <c r="BF435" s="42">
        <f t="shared" si="369"/>
        <v>0</v>
      </c>
      <c r="BG435" s="42">
        <f t="shared" si="369"/>
        <v>0</v>
      </c>
      <c r="BH435" s="42">
        <f t="shared" si="369"/>
        <v>0</v>
      </c>
      <c r="BI435" s="42">
        <f>+AD435+AS435+BA435</f>
        <v>0</v>
      </c>
      <c r="BJ435" s="42">
        <f>+BB435+AT435+AL435+AE435</f>
        <v>0</v>
      </c>
      <c r="BK435" s="42">
        <f>+BC435+AU435+AM435+AF435</f>
        <v>97</v>
      </c>
      <c r="BL435" s="40">
        <f t="shared" si="334"/>
        <v>97</v>
      </c>
    </row>
    <row r="436" spans="1:64" ht="60.75" customHeight="1" x14ac:dyDescent="0.25">
      <c r="A436" s="298" t="s">
        <v>1261</v>
      </c>
      <c r="B436" s="299" t="s">
        <v>1259</v>
      </c>
      <c r="C436" s="1547"/>
      <c r="D436" s="1549"/>
      <c r="E436" s="1549"/>
      <c r="F436" s="1549"/>
      <c r="G436" s="1549"/>
      <c r="H436" s="1549"/>
      <c r="I436" s="1425"/>
      <c r="J436" s="1425"/>
      <c r="K436" s="1425" t="s">
        <v>1343</v>
      </c>
      <c r="L436" s="301" t="s">
        <v>1140</v>
      </c>
      <c r="M436" s="1425" t="s">
        <v>497</v>
      </c>
      <c r="N436" s="476" t="s">
        <v>2543</v>
      </c>
      <c r="O436" s="1425" t="s">
        <v>47</v>
      </c>
      <c r="P436" s="71" t="s">
        <v>1344</v>
      </c>
      <c r="Q436" s="302" t="s">
        <v>1345</v>
      </c>
      <c r="R436" s="303">
        <v>2015</v>
      </c>
      <c r="S436" s="303" t="s">
        <v>177</v>
      </c>
      <c r="T436" s="303">
        <v>12</v>
      </c>
      <c r="U436" s="303">
        <v>12</v>
      </c>
      <c r="V436" s="303">
        <v>12</v>
      </c>
      <c r="W436" s="303">
        <v>12</v>
      </c>
      <c r="X436" s="303">
        <v>48</v>
      </c>
      <c r="Y436" s="491">
        <v>1</v>
      </c>
      <c r="Z436" s="481"/>
      <c r="AA436" s="481"/>
      <c r="AB436" s="481"/>
      <c r="AC436" s="481"/>
      <c r="AD436" s="481"/>
      <c r="AE436" s="481"/>
      <c r="AF436" s="481">
        <f>SUM(Y436:AE436)</f>
        <v>1</v>
      </c>
      <c r="AG436" s="548"/>
      <c r="AH436" s="491">
        <v>1</v>
      </c>
      <c r="AI436" s="548">
        <v>5</v>
      </c>
      <c r="AJ436" s="548"/>
      <c r="AK436" s="548"/>
      <c r="AL436" s="548"/>
      <c r="AM436" s="548">
        <f>SUM(AG436:AL436)</f>
        <v>6</v>
      </c>
      <c r="AN436" s="481"/>
      <c r="AO436" s="491">
        <v>1</v>
      </c>
      <c r="AP436" s="481"/>
      <c r="AQ436" s="481"/>
      <c r="AR436" s="481"/>
      <c r="AS436" s="481"/>
      <c r="AT436" s="481"/>
      <c r="AU436" s="481">
        <f>SUM(AN436:AT436)</f>
        <v>1</v>
      </c>
      <c r="AV436" s="548"/>
      <c r="AW436" s="491">
        <v>1</v>
      </c>
      <c r="AX436" s="548"/>
      <c r="AY436" s="548"/>
      <c r="AZ436" s="548"/>
      <c r="BA436" s="548"/>
      <c r="BB436" s="548"/>
      <c r="BC436" s="548">
        <f>SUM(AV436:BB436)</f>
        <v>1</v>
      </c>
      <c r="BD436" s="42">
        <f t="shared" si="369"/>
        <v>1</v>
      </c>
      <c r="BE436" s="42">
        <f t="shared" si="369"/>
        <v>3</v>
      </c>
      <c r="BF436" s="42">
        <f t="shared" si="369"/>
        <v>5</v>
      </c>
      <c r="BG436" s="42">
        <f t="shared" si="369"/>
        <v>0</v>
      </c>
      <c r="BH436" s="42">
        <f t="shared" si="369"/>
        <v>0</v>
      </c>
      <c r="BI436" s="42">
        <f>+AD436+AS436+BA436</f>
        <v>0</v>
      </c>
      <c r="BJ436" s="42">
        <f>+BB436+AT436+AL436+AE436</f>
        <v>0</v>
      </c>
      <c r="BK436" s="42">
        <f>+BC436+AU436+AM436+AF436</f>
        <v>9</v>
      </c>
      <c r="BL436" s="40">
        <f t="shared" si="334"/>
        <v>9</v>
      </c>
    </row>
    <row r="437" spans="1:64" ht="57.75" customHeight="1" x14ac:dyDescent="0.25">
      <c r="A437" s="298" t="s">
        <v>1261</v>
      </c>
      <c r="B437" s="299" t="s">
        <v>1259</v>
      </c>
      <c r="C437" s="1548"/>
      <c r="D437" s="1549"/>
      <c r="E437" s="1549"/>
      <c r="F437" s="1549"/>
      <c r="G437" s="1549"/>
      <c r="H437" s="1549"/>
      <c r="I437" s="1425"/>
      <c r="J437" s="1425"/>
      <c r="K437" s="1425" t="s">
        <v>1346</v>
      </c>
      <c r="L437" s="301" t="s">
        <v>1140</v>
      </c>
      <c r="M437" s="1425" t="s">
        <v>497</v>
      </c>
      <c r="N437" s="476" t="s">
        <v>2543</v>
      </c>
      <c r="O437" s="1425" t="s">
        <v>47</v>
      </c>
      <c r="P437" s="16" t="s">
        <v>1347</v>
      </c>
      <c r="Q437" s="302" t="s">
        <v>1348</v>
      </c>
      <c r="R437" s="303">
        <v>2015</v>
      </c>
      <c r="S437" s="303">
        <v>0</v>
      </c>
      <c r="T437" s="303">
        <v>0</v>
      </c>
      <c r="U437" s="303">
        <v>1</v>
      </c>
      <c r="V437" s="303">
        <v>0</v>
      </c>
      <c r="W437" s="303">
        <v>0</v>
      </c>
      <c r="X437" s="303">
        <v>1</v>
      </c>
      <c r="Y437" s="481"/>
      <c r="Z437" s="481"/>
      <c r="AA437" s="481"/>
      <c r="AB437" s="481"/>
      <c r="AC437" s="481"/>
      <c r="AD437" s="481"/>
      <c r="AE437" s="481"/>
      <c r="AF437" s="481">
        <f>SUM(Y437:AE437)</f>
        <v>0</v>
      </c>
      <c r="AG437" s="548"/>
      <c r="AH437" s="491">
        <v>1</v>
      </c>
      <c r="AI437" s="548"/>
      <c r="AJ437" s="548"/>
      <c r="AK437" s="548"/>
      <c r="AL437" s="548"/>
      <c r="AM437" s="548">
        <f>SUM(AG437:AL437)</f>
        <v>1</v>
      </c>
      <c r="AN437" s="481"/>
      <c r="AO437" s="481"/>
      <c r="AP437" s="481"/>
      <c r="AQ437" s="481"/>
      <c r="AR437" s="481"/>
      <c r="AS437" s="481"/>
      <c r="AT437" s="481"/>
      <c r="AU437" s="481">
        <f>SUM(AN437:AT437)</f>
        <v>0</v>
      </c>
      <c r="AV437" s="548"/>
      <c r="AW437" s="548"/>
      <c r="AX437" s="548"/>
      <c r="AY437" s="548"/>
      <c r="AZ437" s="548"/>
      <c r="BA437" s="548"/>
      <c r="BB437" s="548"/>
      <c r="BC437" s="548">
        <f>SUM(AV437:BB437)</f>
        <v>0</v>
      </c>
      <c r="BD437" s="42">
        <f t="shared" si="362"/>
        <v>0</v>
      </c>
      <c r="BE437" s="42">
        <f t="shared" si="363"/>
        <v>1</v>
      </c>
      <c r="BF437" s="42">
        <f t="shared" si="364"/>
        <v>0</v>
      </c>
      <c r="BG437" s="42">
        <f t="shared" si="365"/>
        <v>0</v>
      </c>
      <c r="BH437" s="42">
        <f t="shared" si="366"/>
        <v>0</v>
      </c>
      <c r="BI437" s="42">
        <f t="shared" si="352"/>
        <v>0</v>
      </c>
      <c r="BJ437" s="42">
        <f t="shared" si="367"/>
        <v>0</v>
      </c>
      <c r="BK437" s="42">
        <f t="shared" si="368"/>
        <v>1</v>
      </c>
      <c r="BL437" s="40">
        <f t="shared" si="334"/>
        <v>1</v>
      </c>
    </row>
    <row r="438" spans="1:64" ht="22.8" x14ac:dyDescent="0.25">
      <c r="A438" s="604"/>
      <c r="B438" s="1571" t="s">
        <v>1349</v>
      </c>
      <c r="C438" s="1572"/>
      <c r="D438" s="1572"/>
      <c r="E438" s="1572"/>
      <c r="F438" s="1572"/>
      <c r="G438" s="1572"/>
      <c r="H438" s="1572"/>
      <c r="I438" s="1572"/>
      <c r="J438" s="1572"/>
      <c r="K438" s="1572"/>
      <c r="L438" s="1572"/>
      <c r="M438" s="1573"/>
      <c r="N438" s="8"/>
      <c r="O438" s="8"/>
      <c r="P438" s="20"/>
      <c r="Q438" s="20"/>
      <c r="R438" s="8"/>
      <c r="S438" s="8"/>
      <c r="T438" s="8"/>
      <c r="U438" s="65"/>
      <c r="V438" s="65"/>
      <c r="W438" s="65"/>
      <c r="X438" s="65"/>
      <c r="Y438" s="36">
        <f t="shared" ref="Y438:AE438" si="370">+Y439+Y473</f>
        <v>249.2</v>
      </c>
      <c r="Z438" s="36">
        <f t="shared" si="370"/>
        <v>108</v>
      </c>
      <c r="AA438" s="36">
        <f t="shared" si="370"/>
        <v>27.299999999999997</v>
      </c>
      <c r="AB438" s="36">
        <f t="shared" si="370"/>
        <v>0</v>
      </c>
      <c r="AC438" s="36">
        <f t="shared" si="370"/>
        <v>0</v>
      </c>
      <c r="AD438" s="36">
        <f t="shared" si="370"/>
        <v>69.599999999999994</v>
      </c>
      <c r="AE438" s="36">
        <f t="shared" si="370"/>
        <v>0</v>
      </c>
      <c r="AF438" s="36">
        <f>SUM(Y438:AE438)</f>
        <v>454.1</v>
      </c>
      <c r="AG438" s="36">
        <f t="shared" ref="AG438:AL438" si="371">+AG439+AG473</f>
        <v>302</v>
      </c>
      <c r="AH438" s="36">
        <f t="shared" si="371"/>
        <v>113</v>
      </c>
      <c r="AI438" s="36">
        <f t="shared" si="371"/>
        <v>97.9</v>
      </c>
      <c r="AJ438" s="36">
        <f t="shared" si="371"/>
        <v>0</v>
      </c>
      <c r="AK438" s="36">
        <f t="shared" si="371"/>
        <v>0</v>
      </c>
      <c r="AL438" s="36">
        <f t="shared" si="371"/>
        <v>100</v>
      </c>
      <c r="AM438" s="36">
        <f>SUM(AG438:AL438)</f>
        <v>612.9</v>
      </c>
      <c r="AN438" s="36">
        <f t="shared" ref="AN438:AT438" si="372">+AN439+AN473</f>
        <v>291</v>
      </c>
      <c r="AO438" s="36">
        <f t="shared" si="372"/>
        <v>112</v>
      </c>
      <c r="AP438" s="36">
        <f t="shared" si="372"/>
        <v>28.8</v>
      </c>
      <c r="AQ438" s="36">
        <f t="shared" si="372"/>
        <v>0</v>
      </c>
      <c r="AR438" s="36">
        <f t="shared" si="372"/>
        <v>0</v>
      </c>
      <c r="AS438" s="36">
        <f t="shared" si="372"/>
        <v>0</v>
      </c>
      <c r="AT438" s="36">
        <f t="shared" si="372"/>
        <v>0</v>
      </c>
      <c r="AU438" s="36">
        <f>SUM(AN438:AT438)</f>
        <v>431.8</v>
      </c>
      <c r="AV438" s="36">
        <f t="shared" ref="AV438:BB438" si="373">+AV439+AV473</f>
        <v>347</v>
      </c>
      <c r="AW438" s="36">
        <f t="shared" si="373"/>
        <v>100</v>
      </c>
      <c r="AX438" s="36">
        <f t="shared" si="373"/>
        <v>29</v>
      </c>
      <c r="AY438" s="36">
        <f t="shared" si="373"/>
        <v>0</v>
      </c>
      <c r="AZ438" s="36">
        <f t="shared" si="373"/>
        <v>0</v>
      </c>
      <c r="BA438" s="36">
        <f t="shared" si="373"/>
        <v>0</v>
      </c>
      <c r="BB438" s="36">
        <f t="shared" si="373"/>
        <v>0</v>
      </c>
      <c r="BC438" s="36">
        <f>SUM(AV438:BB438)</f>
        <v>476</v>
      </c>
      <c r="BD438" s="36">
        <f t="shared" si="362"/>
        <v>1189.2</v>
      </c>
      <c r="BE438" s="36">
        <f t="shared" si="363"/>
        <v>433</v>
      </c>
      <c r="BF438" s="36">
        <f t="shared" si="364"/>
        <v>183</v>
      </c>
      <c r="BG438" s="36">
        <f t="shared" si="365"/>
        <v>0</v>
      </c>
      <c r="BH438" s="36">
        <f t="shared" si="366"/>
        <v>0</v>
      </c>
      <c r="BI438" s="36">
        <f t="shared" si="352"/>
        <v>69.599999999999994</v>
      </c>
      <c r="BJ438" s="36">
        <f t="shared" si="367"/>
        <v>100</v>
      </c>
      <c r="BK438" s="36">
        <f t="shared" si="368"/>
        <v>1974.7999999999997</v>
      </c>
      <c r="BL438" s="40">
        <f t="shared" si="334"/>
        <v>1974.8</v>
      </c>
    </row>
    <row r="439" spans="1:64" ht="20.399999999999999" x14ac:dyDescent="0.25">
      <c r="A439" s="420"/>
      <c r="B439" s="1565" t="s">
        <v>1350</v>
      </c>
      <c r="C439" s="1566"/>
      <c r="D439" s="1566"/>
      <c r="E439" s="1566"/>
      <c r="F439" s="1566"/>
      <c r="G439" s="1566"/>
      <c r="H439" s="1566"/>
      <c r="I439" s="1566"/>
      <c r="J439" s="1566"/>
      <c r="K439" s="1566"/>
      <c r="L439" s="1566"/>
      <c r="M439" s="1567"/>
      <c r="N439" s="597"/>
      <c r="O439" s="597"/>
      <c r="P439" s="598"/>
      <c r="Q439" s="598"/>
      <c r="R439" s="597"/>
      <c r="S439" s="597"/>
      <c r="T439" s="597"/>
      <c r="U439" s="599"/>
      <c r="V439" s="599"/>
      <c r="W439" s="599"/>
      <c r="X439" s="599"/>
      <c r="Y439" s="600">
        <f>+Y440</f>
        <v>73.5</v>
      </c>
      <c r="Z439" s="600">
        <f t="shared" ref="Z439:AE439" si="374">+Z440</f>
        <v>108</v>
      </c>
      <c r="AA439" s="600">
        <f t="shared" si="374"/>
        <v>11.7</v>
      </c>
      <c r="AB439" s="600">
        <f t="shared" si="374"/>
        <v>0</v>
      </c>
      <c r="AC439" s="600">
        <f t="shared" si="374"/>
        <v>0</v>
      </c>
      <c r="AD439" s="600">
        <f t="shared" si="374"/>
        <v>54.8</v>
      </c>
      <c r="AE439" s="600">
        <f t="shared" si="374"/>
        <v>0</v>
      </c>
      <c r="AF439" s="600">
        <f t="shared" ref="AF439:AF470" si="375">SUM(Y439:AE439)</f>
        <v>248</v>
      </c>
      <c r="AG439" s="600">
        <f t="shared" ref="AG439:AL439" si="376">+AG440</f>
        <v>120</v>
      </c>
      <c r="AH439" s="600">
        <f t="shared" si="376"/>
        <v>113</v>
      </c>
      <c r="AI439" s="600">
        <f t="shared" si="376"/>
        <v>59.9</v>
      </c>
      <c r="AJ439" s="600">
        <f t="shared" si="376"/>
        <v>0</v>
      </c>
      <c r="AK439" s="600">
        <f t="shared" si="376"/>
        <v>0</v>
      </c>
      <c r="AL439" s="600">
        <f t="shared" si="376"/>
        <v>100</v>
      </c>
      <c r="AM439" s="600">
        <f t="shared" ref="AM439:AM451" si="377">SUM(AG439:AL439)</f>
        <v>392.9</v>
      </c>
      <c r="AN439" s="600">
        <f t="shared" ref="AN439:AT439" si="378">+AN440</f>
        <v>101</v>
      </c>
      <c r="AO439" s="600">
        <f t="shared" si="378"/>
        <v>112</v>
      </c>
      <c r="AP439" s="600">
        <f t="shared" si="378"/>
        <v>12</v>
      </c>
      <c r="AQ439" s="600">
        <f t="shared" si="378"/>
        <v>0</v>
      </c>
      <c r="AR439" s="600">
        <f t="shared" si="378"/>
        <v>0</v>
      </c>
      <c r="AS439" s="600">
        <f t="shared" si="378"/>
        <v>0</v>
      </c>
      <c r="AT439" s="600">
        <f t="shared" si="378"/>
        <v>0</v>
      </c>
      <c r="AU439" s="600">
        <f t="shared" ref="AU439:AU465" si="379">SUM(AN439:AT439)</f>
        <v>225</v>
      </c>
      <c r="AV439" s="600">
        <f t="shared" ref="AV439:BB439" si="380">+AV440</f>
        <v>150</v>
      </c>
      <c r="AW439" s="600">
        <f t="shared" si="380"/>
        <v>100</v>
      </c>
      <c r="AX439" s="600">
        <f t="shared" si="380"/>
        <v>12</v>
      </c>
      <c r="AY439" s="600">
        <f t="shared" si="380"/>
        <v>0</v>
      </c>
      <c r="AZ439" s="600">
        <f t="shared" si="380"/>
        <v>0</v>
      </c>
      <c r="BA439" s="600">
        <f t="shared" si="380"/>
        <v>0</v>
      </c>
      <c r="BB439" s="600">
        <f t="shared" si="380"/>
        <v>0</v>
      </c>
      <c r="BC439" s="600">
        <f t="shared" ref="BC439:BC465" si="381">SUM(AV439:BB439)</f>
        <v>262</v>
      </c>
      <c r="BD439" s="33">
        <f t="shared" si="362"/>
        <v>444.5</v>
      </c>
      <c r="BE439" s="33">
        <f t="shared" si="363"/>
        <v>433</v>
      </c>
      <c r="BF439" s="33">
        <f t="shared" si="364"/>
        <v>95.600000000000009</v>
      </c>
      <c r="BG439" s="33">
        <f t="shared" si="365"/>
        <v>0</v>
      </c>
      <c r="BH439" s="33">
        <f t="shared" si="366"/>
        <v>0</v>
      </c>
      <c r="BI439" s="33">
        <f t="shared" si="352"/>
        <v>54.8</v>
      </c>
      <c r="BJ439" s="33">
        <f t="shared" si="367"/>
        <v>100</v>
      </c>
      <c r="BK439" s="33">
        <f t="shared" si="368"/>
        <v>1127.9000000000001</v>
      </c>
      <c r="BL439" s="40">
        <f t="shared" si="334"/>
        <v>1127.9000000000001</v>
      </c>
    </row>
    <row r="440" spans="1:64" x14ac:dyDescent="0.25">
      <c r="A440" s="603"/>
      <c r="B440" s="155" t="s">
        <v>1351</v>
      </c>
      <c r="C440" s="155"/>
      <c r="D440" s="2" t="s">
        <v>1352</v>
      </c>
      <c r="E440" s="1"/>
      <c r="F440" s="1"/>
      <c r="G440" s="1"/>
      <c r="H440" s="1"/>
      <c r="I440" s="1"/>
      <c r="J440" s="1"/>
      <c r="K440" s="1"/>
      <c r="L440" s="1"/>
      <c r="M440" s="1"/>
      <c r="N440" s="1"/>
      <c r="O440" s="1"/>
      <c r="P440" s="22"/>
      <c r="Q440" s="22"/>
      <c r="R440" s="1"/>
      <c r="S440" s="1"/>
      <c r="T440" s="1"/>
      <c r="U440" s="49"/>
      <c r="V440" s="49"/>
      <c r="W440" s="49"/>
      <c r="X440" s="49"/>
      <c r="Y440" s="34">
        <f t="shared" ref="Y440:AE440" si="382">SUM(Y441:Y470)</f>
        <v>73.5</v>
      </c>
      <c r="Z440" s="34">
        <f t="shared" si="382"/>
        <v>108</v>
      </c>
      <c r="AA440" s="34">
        <f t="shared" si="382"/>
        <v>11.7</v>
      </c>
      <c r="AB440" s="34">
        <f t="shared" si="382"/>
        <v>0</v>
      </c>
      <c r="AC440" s="34">
        <f t="shared" si="382"/>
        <v>0</v>
      </c>
      <c r="AD440" s="34">
        <f t="shared" si="382"/>
        <v>54.8</v>
      </c>
      <c r="AE440" s="34">
        <f t="shared" si="382"/>
        <v>0</v>
      </c>
      <c r="AF440" s="34">
        <f t="shared" si="375"/>
        <v>248</v>
      </c>
      <c r="AG440" s="34">
        <f t="shared" ref="AG440:AL440" si="383">SUM(AG441:AG470)</f>
        <v>120</v>
      </c>
      <c r="AH440" s="34">
        <f>SUM(AH441:AH472)</f>
        <v>113</v>
      </c>
      <c r="AI440" s="34">
        <f t="shared" si="383"/>
        <v>59.9</v>
      </c>
      <c r="AJ440" s="34">
        <f t="shared" si="383"/>
        <v>0</v>
      </c>
      <c r="AK440" s="34">
        <f t="shared" si="383"/>
        <v>0</v>
      </c>
      <c r="AL440" s="34">
        <f t="shared" si="383"/>
        <v>100</v>
      </c>
      <c r="AM440" s="34">
        <f t="shared" si="377"/>
        <v>392.9</v>
      </c>
      <c r="AN440" s="34">
        <f t="shared" ref="AN440:AT440" si="384">SUM(AN441:AN470)</f>
        <v>101</v>
      </c>
      <c r="AO440" s="34">
        <f t="shared" si="384"/>
        <v>112</v>
      </c>
      <c r="AP440" s="34">
        <f t="shared" si="384"/>
        <v>12</v>
      </c>
      <c r="AQ440" s="34">
        <f t="shared" si="384"/>
        <v>0</v>
      </c>
      <c r="AR440" s="34">
        <f t="shared" si="384"/>
        <v>0</v>
      </c>
      <c r="AS440" s="34">
        <f t="shared" si="384"/>
        <v>0</v>
      </c>
      <c r="AT440" s="34">
        <f t="shared" si="384"/>
        <v>0</v>
      </c>
      <c r="AU440" s="34">
        <f t="shared" si="379"/>
        <v>225</v>
      </c>
      <c r="AV440" s="34">
        <f t="shared" ref="AV440:BB440" si="385">SUM(AV441:AV470)</f>
        <v>150</v>
      </c>
      <c r="AW440" s="34">
        <f t="shared" si="385"/>
        <v>100</v>
      </c>
      <c r="AX440" s="34">
        <f t="shared" si="385"/>
        <v>12</v>
      </c>
      <c r="AY440" s="34">
        <f t="shared" si="385"/>
        <v>0</v>
      </c>
      <c r="AZ440" s="34">
        <f t="shared" si="385"/>
        <v>0</v>
      </c>
      <c r="BA440" s="34">
        <f t="shared" si="385"/>
        <v>0</v>
      </c>
      <c r="BB440" s="34">
        <f t="shared" si="385"/>
        <v>0</v>
      </c>
      <c r="BC440" s="34">
        <f t="shared" si="381"/>
        <v>262</v>
      </c>
      <c r="BD440" s="34">
        <f t="shared" si="362"/>
        <v>444.5</v>
      </c>
      <c r="BE440" s="34">
        <f t="shared" si="363"/>
        <v>433</v>
      </c>
      <c r="BF440" s="34">
        <f t="shared" si="364"/>
        <v>95.600000000000009</v>
      </c>
      <c r="BG440" s="34">
        <f t="shared" si="365"/>
        <v>0</v>
      </c>
      <c r="BH440" s="34">
        <f t="shared" si="366"/>
        <v>0</v>
      </c>
      <c r="BI440" s="34">
        <f t="shared" si="352"/>
        <v>54.8</v>
      </c>
      <c r="BJ440" s="34">
        <f t="shared" si="367"/>
        <v>100</v>
      </c>
      <c r="BK440" s="34">
        <f t="shared" si="368"/>
        <v>1127.9000000000001</v>
      </c>
      <c r="BL440" s="40">
        <f t="shared" si="334"/>
        <v>1127.9000000000001</v>
      </c>
    </row>
    <row r="441" spans="1:64" ht="50.25" customHeight="1" x14ac:dyDescent="0.25">
      <c r="A441" s="298" t="s">
        <v>1353</v>
      </c>
      <c r="B441" s="299" t="s">
        <v>1351</v>
      </c>
      <c r="C441" s="1546" t="s">
        <v>1354</v>
      </c>
      <c r="D441" s="1550" t="s">
        <v>1355</v>
      </c>
      <c r="E441" s="1550" t="s">
        <v>1356</v>
      </c>
      <c r="F441" s="1550">
        <v>2015</v>
      </c>
      <c r="G441" s="1550">
        <v>12676</v>
      </c>
      <c r="H441" s="1550">
        <v>14000</v>
      </c>
      <c r="I441" s="1428"/>
      <c r="J441" s="1428"/>
      <c r="K441" s="1428" t="s">
        <v>1357</v>
      </c>
      <c r="L441" s="301" t="s">
        <v>1358</v>
      </c>
      <c r="M441" s="1425" t="s">
        <v>902</v>
      </c>
      <c r="N441" s="476" t="s">
        <v>2514</v>
      </c>
      <c r="O441" s="1425" t="s">
        <v>47</v>
      </c>
      <c r="P441" s="16" t="s">
        <v>1359</v>
      </c>
      <c r="Q441" s="302" t="s">
        <v>1360</v>
      </c>
      <c r="R441" s="303">
        <v>2015</v>
      </c>
      <c r="S441" s="303">
        <v>195</v>
      </c>
      <c r="T441" s="303">
        <v>10</v>
      </c>
      <c r="U441" s="572">
        <v>10</v>
      </c>
      <c r="V441" s="572">
        <v>10</v>
      </c>
      <c r="W441" s="572">
        <v>14</v>
      </c>
      <c r="X441" s="572">
        <v>44</v>
      </c>
      <c r="Y441" s="481"/>
      <c r="Z441" s="491">
        <v>1</v>
      </c>
      <c r="AA441" s="481"/>
      <c r="AB441" s="481"/>
      <c r="AC441" s="481"/>
      <c r="AD441" s="481"/>
      <c r="AE441" s="481"/>
      <c r="AF441" s="481">
        <f t="shared" si="375"/>
        <v>1</v>
      </c>
      <c r="AG441" s="548"/>
      <c r="AH441" s="491">
        <v>1</v>
      </c>
      <c r="AI441" s="548">
        <v>5</v>
      </c>
      <c r="AJ441" s="548"/>
      <c r="AK441" s="548"/>
      <c r="AL441" s="548"/>
      <c r="AM441" s="548">
        <f t="shared" si="377"/>
        <v>6</v>
      </c>
      <c r="AN441" s="481"/>
      <c r="AO441" s="491">
        <v>1</v>
      </c>
      <c r="AP441" s="481"/>
      <c r="AQ441" s="481"/>
      <c r="AR441" s="481"/>
      <c r="AS441" s="481"/>
      <c r="AT441" s="481"/>
      <c r="AU441" s="481">
        <f t="shared" si="379"/>
        <v>1</v>
      </c>
      <c r="AV441" s="548"/>
      <c r="AW441" s="491">
        <v>10</v>
      </c>
      <c r="AX441" s="548"/>
      <c r="AY441" s="548"/>
      <c r="AZ441" s="548"/>
      <c r="BA441" s="548"/>
      <c r="BB441" s="548"/>
      <c r="BC441" s="548">
        <f t="shared" si="381"/>
        <v>10</v>
      </c>
      <c r="BD441" s="42">
        <f t="shared" si="362"/>
        <v>0</v>
      </c>
      <c r="BE441" s="42">
        <f t="shared" si="363"/>
        <v>13</v>
      </c>
      <c r="BF441" s="42">
        <f t="shared" si="364"/>
        <v>5</v>
      </c>
      <c r="BG441" s="42">
        <f t="shared" si="365"/>
        <v>0</v>
      </c>
      <c r="BH441" s="42">
        <f t="shared" si="366"/>
        <v>0</v>
      </c>
      <c r="BI441" s="42">
        <f t="shared" si="352"/>
        <v>0</v>
      </c>
      <c r="BJ441" s="42">
        <f t="shared" si="367"/>
        <v>0</v>
      </c>
      <c r="BK441" s="42">
        <f t="shared" si="368"/>
        <v>18</v>
      </c>
      <c r="BL441" s="40">
        <f t="shared" si="334"/>
        <v>18</v>
      </c>
    </row>
    <row r="442" spans="1:64" ht="79.5" customHeight="1" x14ac:dyDescent="0.25">
      <c r="A442" s="298" t="s">
        <v>1353</v>
      </c>
      <c r="B442" s="299" t="s">
        <v>1351</v>
      </c>
      <c r="C442" s="1547"/>
      <c r="D442" s="1551"/>
      <c r="E442" s="1551"/>
      <c r="F442" s="1551"/>
      <c r="G442" s="1551"/>
      <c r="H442" s="1551"/>
      <c r="I442" s="1425" t="s">
        <v>53</v>
      </c>
      <c r="J442" s="1425"/>
      <c r="K442" s="1428" t="s">
        <v>1361</v>
      </c>
      <c r="L442" s="301" t="s">
        <v>1358</v>
      </c>
      <c r="M442" s="1425" t="s">
        <v>902</v>
      </c>
      <c r="N442" s="476" t="s">
        <v>2514</v>
      </c>
      <c r="O442" s="1425" t="s">
        <v>47</v>
      </c>
      <c r="P442" s="16" t="s">
        <v>1362</v>
      </c>
      <c r="Q442" s="302" t="s">
        <v>1363</v>
      </c>
      <c r="R442" s="303">
        <v>2015</v>
      </c>
      <c r="S442" s="303">
        <v>0</v>
      </c>
      <c r="T442" s="303">
        <v>3</v>
      </c>
      <c r="U442" s="572">
        <v>3</v>
      </c>
      <c r="V442" s="572">
        <v>3</v>
      </c>
      <c r="W442" s="572">
        <v>3</v>
      </c>
      <c r="X442" s="572">
        <v>12</v>
      </c>
      <c r="Y442" s="481"/>
      <c r="Z442" s="491">
        <v>23</v>
      </c>
      <c r="AA442" s="481"/>
      <c r="AB442" s="481"/>
      <c r="AC442" s="481"/>
      <c r="AD442" s="481"/>
      <c r="AE442" s="481"/>
      <c r="AF442" s="481">
        <f t="shared" si="375"/>
        <v>23</v>
      </c>
      <c r="AG442" s="548"/>
      <c r="AH442" s="491">
        <v>23</v>
      </c>
      <c r="AI442" s="548"/>
      <c r="AJ442" s="548"/>
      <c r="AK442" s="548"/>
      <c r="AL442" s="548"/>
      <c r="AM442" s="548">
        <f t="shared" si="377"/>
        <v>23</v>
      </c>
      <c r="AN442" s="481"/>
      <c r="AO442" s="491">
        <v>20</v>
      </c>
      <c r="AP442" s="481"/>
      <c r="AQ442" s="481"/>
      <c r="AR442" s="481"/>
      <c r="AS442" s="481"/>
      <c r="AT442" s="481"/>
      <c r="AU442" s="481">
        <f t="shared" si="379"/>
        <v>20</v>
      </c>
      <c r="AV442" s="548"/>
      <c r="AW442" s="491">
        <v>20</v>
      </c>
      <c r="AX442" s="548"/>
      <c r="AY442" s="548"/>
      <c r="AZ442" s="548"/>
      <c r="BA442" s="548"/>
      <c r="BB442" s="548"/>
      <c r="BC442" s="548">
        <f t="shared" si="381"/>
        <v>20</v>
      </c>
      <c r="BD442" s="42">
        <f t="shared" si="362"/>
        <v>0</v>
      </c>
      <c r="BE442" s="42">
        <f t="shared" si="363"/>
        <v>86</v>
      </c>
      <c r="BF442" s="42">
        <f t="shared" si="364"/>
        <v>0</v>
      </c>
      <c r="BG442" s="42">
        <f t="shared" si="365"/>
        <v>0</v>
      </c>
      <c r="BH442" s="42">
        <f t="shared" si="366"/>
        <v>0</v>
      </c>
      <c r="BI442" s="42">
        <f t="shared" si="352"/>
        <v>0</v>
      </c>
      <c r="BJ442" s="42">
        <f t="shared" si="367"/>
        <v>0</v>
      </c>
      <c r="BK442" s="42">
        <f t="shared" si="368"/>
        <v>86</v>
      </c>
      <c r="BL442" s="40">
        <f t="shared" si="334"/>
        <v>86</v>
      </c>
    </row>
    <row r="443" spans="1:64" ht="90" customHeight="1" x14ac:dyDescent="0.25">
      <c r="A443" s="298" t="s">
        <v>1353</v>
      </c>
      <c r="B443" s="299" t="s">
        <v>1351</v>
      </c>
      <c r="C443" s="1547"/>
      <c r="D443" s="1551"/>
      <c r="E443" s="1551"/>
      <c r="F443" s="1551"/>
      <c r="G443" s="1551"/>
      <c r="H443" s="1551"/>
      <c r="I443" s="1425"/>
      <c r="J443" s="1425"/>
      <c r="K443" s="1428" t="s">
        <v>1364</v>
      </c>
      <c r="L443" s="301" t="s">
        <v>1358</v>
      </c>
      <c r="M443" s="1425" t="s">
        <v>902</v>
      </c>
      <c r="N443" s="476" t="s">
        <v>2514</v>
      </c>
      <c r="O443" s="1425" t="s">
        <v>47</v>
      </c>
      <c r="P443" s="16" t="s">
        <v>1365</v>
      </c>
      <c r="Q443" s="302" t="s">
        <v>1366</v>
      </c>
      <c r="R443" s="303">
        <v>2015</v>
      </c>
      <c r="S443" s="303">
        <v>0</v>
      </c>
      <c r="T443" s="303">
        <v>0</v>
      </c>
      <c r="U443" s="572">
        <v>1</v>
      </c>
      <c r="V443" s="572">
        <v>1</v>
      </c>
      <c r="W443" s="572">
        <v>1</v>
      </c>
      <c r="X443" s="572">
        <v>3</v>
      </c>
      <c r="Y443" s="481"/>
      <c r="Z443" s="481"/>
      <c r="AA443" s="481"/>
      <c r="AB443" s="481"/>
      <c r="AC443" s="481"/>
      <c r="AD443" s="481"/>
      <c r="AE443" s="481"/>
      <c r="AF443" s="481">
        <f t="shared" si="375"/>
        <v>0</v>
      </c>
      <c r="AG443" s="548">
        <v>3</v>
      </c>
      <c r="AH443" s="548"/>
      <c r="AI443" s="548">
        <v>3</v>
      </c>
      <c r="AJ443" s="548"/>
      <c r="AK443" s="548"/>
      <c r="AL443" s="548"/>
      <c r="AM443" s="548">
        <f t="shared" si="377"/>
        <v>6</v>
      </c>
      <c r="AN443" s="481">
        <v>3</v>
      </c>
      <c r="AO443" s="481"/>
      <c r="AP443" s="481"/>
      <c r="AQ443" s="481"/>
      <c r="AR443" s="481"/>
      <c r="AS443" s="481"/>
      <c r="AT443" s="481"/>
      <c r="AU443" s="481">
        <f t="shared" si="379"/>
        <v>3</v>
      </c>
      <c r="AV443" s="548">
        <v>3</v>
      </c>
      <c r="AW443" s="548"/>
      <c r="AX443" s="548"/>
      <c r="AY443" s="548"/>
      <c r="AZ443" s="548"/>
      <c r="BA443" s="548"/>
      <c r="BB443" s="548"/>
      <c r="BC443" s="548">
        <f t="shared" si="381"/>
        <v>3</v>
      </c>
      <c r="BD443" s="42">
        <f t="shared" si="362"/>
        <v>9</v>
      </c>
      <c r="BE443" s="42">
        <f t="shared" si="363"/>
        <v>0</v>
      </c>
      <c r="BF443" s="42">
        <f t="shared" si="364"/>
        <v>3</v>
      </c>
      <c r="BG443" s="42">
        <f t="shared" si="365"/>
        <v>0</v>
      </c>
      <c r="BH443" s="42">
        <f t="shared" si="366"/>
        <v>0</v>
      </c>
      <c r="BI443" s="42">
        <f t="shared" si="352"/>
        <v>0</v>
      </c>
      <c r="BJ443" s="42">
        <f t="shared" si="367"/>
        <v>0</v>
      </c>
      <c r="BK443" s="42">
        <f t="shared" si="368"/>
        <v>12</v>
      </c>
      <c r="BL443" s="40">
        <f t="shared" si="334"/>
        <v>12</v>
      </c>
    </row>
    <row r="444" spans="1:64" ht="47.25" customHeight="1" x14ac:dyDescent="0.25">
      <c r="A444" s="298" t="s">
        <v>1353</v>
      </c>
      <c r="B444" s="299" t="s">
        <v>1351</v>
      </c>
      <c r="C444" s="1547"/>
      <c r="D444" s="1551"/>
      <c r="E444" s="1551"/>
      <c r="F444" s="1551"/>
      <c r="G444" s="1551"/>
      <c r="H444" s="1551"/>
      <c r="I444" s="1425"/>
      <c r="J444" s="1425"/>
      <c r="K444" s="1428" t="s">
        <v>1367</v>
      </c>
      <c r="L444" s="301" t="s">
        <v>1358</v>
      </c>
      <c r="M444" s="1425" t="s">
        <v>902</v>
      </c>
      <c r="N444" s="476" t="s">
        <v>2514</v>
      </c>
      <c r="O444" s="1425" t="s">
        <v>47</v>
      </c>
      <c r="P444" s="16" t="s">
        <v>1368</v>
      </c>
      <c r="Q444" s="302" t="s">
        <v>1369</v>
      </c>
      <c r="R444" s="303">
        <v>2015</v>
      </c>
      <c r="S444" s="303">
        <v>0</v>
      </c>
      <c r="T444" s="303">
        <v>0</v>
      </c>
      <c r="U444" s="572">
        <v>0</v>
      </c>
      <c r="V444" s="572">
        <v>0.5</v>
      </c>
      <c r="W444" s="572">
        <v>0.5</v>
      </c>
      <c r="X444" s="572">
        <v>1</v>
      </c>
      <c r="Y444" s="481"/>
      <c r="Z444" s="481"/>
      <c r="AA444" s="481"/>
      <c r="AB444" s="481"/>
      <c r="AC444" s="481"/>
      <c r="AD444" s="481"/>
      <c r="AE444" s="481"/>
      <c r="AF444" s="481">
        <f t="shared" si="375"/>
        <v>0</v>
      </c>
      <c r="AG444" s="548"/>
      <c r="AH444" s="548"/>
      <c r="AI444" s="548"/>
      <c r="AJ444" s="548"/>
      <c r="AK444" s="548"/>
      <c r="AL444" s="548"/>
      <c r="AM444" s="548">
        <f t="shared" si="377"/>
        <v>0</v>
      </c>
      <c r="AN444" s="481"/>
      <c r="AO444" s="481">
        <v>4</v>
      </c>
      <c r="AP444" s="481"/>
      <c r="AQ444" s="481"/>
      <c r="AR444" s="481"/>
      <c r="AS444" s="481"/>
      <c r="AT444" s="481"/>
      <c r="AU444" s="481">
        <f t="shared" si="379"/>
        <v>4</v>
      </c>
      <c r="AV444" s="491">
        <v>2</v>
      </c>
      <c r="AW444" s="548"/>
      <c r="AX444" s="548"/>
      <c r="AY444" s="548"/>
      <c r="AZ444" s="548"/>
      <c r="BA444" s="548"/>
      <c r="BB444" s="548"/>
      <c r="BC444" s="548">
        <f t="shared" si="381"/>
        <v>2</v>
      </c>
      <c r="BD444" s="42">
        <f t="shared" si="362"/>
        <v>2</v>
      </c>
      <c r="BE444" s="42">
        <f t="shared" si="363"/>
        <v>4</v>
      </c>
      <c r="BF444" s="42">
        <f t="shared" si="364"/>
        <v>0</v>
      </c>
      <c r="BG444" s="42">
        <f t="shared" si="365"/>
        <v>0</v>
      </c>
      <c r="BH444" s="42">
        <f t="shared" si="366"/>
        <v>0</v>
      </c>
      <c r="BI444" s="42">
        <f t="shared" si="352"/>
        <v>0</v>
      </c>
      <c r="BJ444" s="42">
        <f t="shared" si="367"/>
        <v>0</v>
      </c>
      <c r="BK444" s="42">
        <f t="shared" si="368"/>
        <v>6</v>
      </c>
      <c r="BL444" s="40">
        <f t="shared" si="334"/>
        <v>6</v>
      </c>
    </row>
    <row r="445" spans="1:64" ht="69.75" customHeight="1" x14ac:dyDescent="0.25">
      <c r="A445" s="298" t="s">
        <v>1353</v>
      </c>
      <c r="B445" s="299" t="s">
        <v>1351</v>
      </c>
      <c r="C445" s="1547"/>
      <c r="D445" s="1551"/>
      <c r="E445" s="1551"/>
      <c r="F445" s="1551"/>
      <c r="G445" s="1551"/>
      <c r="H445" s="1551"/>
      <c r="I445" s="1425"/>
      <c r="J445" s="1425"/>
      <c r="K445" s="1428" t="s">
        <v>1370</v>
      </c>
      <c r="L445" s="301" t="s">
        <v>1358</v>
      </c>
      <c r="M445" s="1425" t="s">
        <v>902</v>
      </c>
      <c r="N445" s="476" t="s">
        <v>2514</v>
      </c>
      <c r="O445" s="1425" t="s">
        <v>47</v>
      </c>
      <c r="P445" s="16" t="s">
        <v>1371</v>
      </c>
      <c r="Q445" s="302" t="s">
        <v>1372</v>
      </c>
      <c r="R445" s="303">
        <v>2015</v>
      </c>
      <c r="S445" s="303">
        <v>0</v>
      </c>
      <c r="T445" s="303">
        <v>3000</v>
      </c>
      <c r="U445" s="572">
        <v>3000</v>
      </c>
      <c r="V445" s="572">
        <v>3000</v>
      </c>
      <c r="W445" s="572">
        <v>3000</v>
      </c>
      <c r="X445" s="572">
        <v>12000</v>
      </c>
      <c r="Y445" s="481">
        <v>10</v>
      </c>
      <c r="Z445" s="482"/>
      <c r="AA445" s="481"/>
      <c r="AB445" s="481"/>
      <c r="AC445" s="481"/>
      <c r="AD445" s="481">
        <v>10</v>
      </c>
      <c r="AE445" s="481"/>
      <c r="AF445" s="481">
        <f t="shared" si="375"/>
        <v>20</v>
      </c>
      <c r="AG445" s="491">
        <v>5</v>
      </c>
      <c r="AH445" s="491">
        <v>6</v>
      </c>
      <c r="AI445" s="548"/>
      <c r="AJ445" s="548"/>
      <c r="AK445" s="548"/>
      <c r="AL445" s="548"/>
      <c r="AM445" s="548">
        <f t="shared" si="377"/>
        <v>11</v>
      </c>
      <c r="AN445" s="491">
        <v>5</v>
      </c>
      <c r="AO445" s="491">
        <v>5</v>
      </c>
      <c r="AP445" s="481"/>
      <c r="AQ445" s="481"/>
      <c r="AR445" s="481"/>
      <c r="AS445" s="481"/>
      <c r="AT445" s="481"/>
      <c r="AU445" s="481">
        <f t="shared" si="379"/>
        <v>10</v>
      </c>
      <c r="AV445" s="548">
        <v>10</v>
      </c>
      <c r="AW445" s="548">
        <v>10</v>
      </c>
      <c r="AX445" s="548"/>
      <c r="AY445" s="548"/>
      <c r="AZ445" s="548"/>
      <c r="BA445" s="548"/>
      <c r="BB445" s="548"/>
      <c r="BC445" s="548">
        <f t="shared" si="381"/>
        <v>20</v>
      </c>
      <c r="BD445" s="42">
        <f t="shared" si="362"/>
        <v>30</v>
      </c>
      <c r="BE445" s="42">
        <f t="shared" si="363"/>
        <v>21</v>
      </c>
      <c r="BF445" s="42">
        <f t="shared" si="364"/>
        <v>0</v>
      </c>
      <c r="BG445" s="42">
        <f t="shared" si="365"/>
        <v>0</v>
      </c>
      <c r="BH445" s="42">
        <f t="shared" si="366"/>
        <v>0</v>
      </c>
      <c r="BI445" s="42">
        <f t="shared" si="352"/>
        <v>10</v>
      </c>
      <c r="BJ445" s="42">
        <f t="shared" si="367"/>
        <v>0</v>
      </c>
      <c r="BK445" s="42">
        <f t="shared" si="368"/>
        <v>61</v>
      </c>
      <c r="BL445" s="40">
        <f t="shared" si="334"/>
        <v>61</v>
      </c>
    </row>
    <row r="446" spans="1:64" ht="59.25" customHeight="1" x14ac:dyDescent="0.25">
      <c r="A446" s="298" t="s">
        <v>1353</v>
      </c>
      <c r="B446" s="299" t="s">
        <v>1351</v>
      </c>
      <c r="C446" s="1547"/>
      <c r="D446" s="1551"/>
      <c r="E446" s="1551"/>
      <c r="F446" s="1551"/>
      <c r="G446" s="1551"/>
      <c r="H446" s="1551"/>
      <c r="I446" s="1425"/>
      <c r="J446" s="1425"/>
      <c r="K446" s="1428" t="s">
        <v>1373</v>
      </c>
      <c r="L446" s="301" t="s">
        <v>1358</v>
      </c>
      <c r="M446" s="1425" t="s">
        <v>902</v>
      </c>
      <c r="N446" s="476" t="s">
        <v>2514</v>
      </c>
      <c r="O446" s="1425" t="s">
        <v>47</v>
      </c>
      <c r="P446" s="16" t="s">
        <v>2552</v>
      </c>
      <c r="Q446" s="302" t="s">
        <v>1375</v>
      </c>
      <c r="R446" s="303">
        <v>2015</v>
      </c>
      <c r="S446" s="303">
        <v>0</v>
      </c>
      <c r="T446" s="303">
        <v>10</v>
      </c>
      <c r="U446" s="572">
        <v>10</v>
      </c>
      <c r="V446" s="572">
        <v>10</v>
      </c>
      <c r="W446" s="572">
        <v>10</v>
      </c>
      <c r="X446" s="572">
        <v>40</v>
      </c>
      <c r="Y446" s="481">
        <v>4</v>
      </c>
      <c r="Z446" s="481">
        <v>5</v>
      </c>
      <c r="AA446" s="481"/>
      <c r="AB446" s="481"/>
      <c r="AC446" s="481"/>
      <c r="AD446" s="481"/>
      <c r="AE446" s="481"/>
      <c r="AF446" s="481">
        <f t="shared" si="375"/>
        <v>9</v>
      </c>
      <c r="AG446" s="548">
        <v>4</v>
      </c>
      <c r="AH446" s="548">
        <v>5</v>
      </c>
      <c r="AI446" s="548"/>
      <c r="AJ446" s="548"/>
      <c r="AK446" s="548"/>
      <c r="AL446" s="548"/>
      <c r="AM446" s="548">
        <f t="shared" si="377"/>
        <v>9</v>
      </c>
      <c r="AN446" s="481">
        <v>4</v>
      </c>
      <c r="AO446" s="481">
        <v>5</v>
      </c>
      <c r="AP446" s="481"/>
      <c r="AQ446" s="481"/>
      <c r="AR446" s="481"/>
      <c r="AS446" s="481"/>
      <c r="AT446" s="481"/>
      <c r="AU446" s="481">
        <f t="shared" si="379"/>
        <v>9</v>
      </c>
      <c r="AV446" s="548">
        <v>4</v>
      </c>
      <c r="AW446" s="548">
        <v>5</v>
      </c>
      <c r="AX446" s="548"/>
      <c r="AY446" s="548"/>
      <c r="AZ446" s="548"/>
      <c r="BA446" s="548"/>
      <c r="BB446" s="548"/>
      <c r="BC446" s="548">
        <f t="shared" si="381"/>
        <v>9</v>
      </c>
      <c r="BD446" s="42">
        <f t="shared" si="362"/>
        <v>16</v>
      </c>
      <c r="BE446" s="42">
        <f t="shared" si="363"/>
        <v>20</v>
      </c>
      <c r="BF446" s="42">
        <f t="shared" si="364"/>
        <v>0</v>
      </c>
      <c r="BG446" s="42">
        <f t="shared" si="365"/>
        <v>0</v>
      </c>
      <c r="BH446" s="42">
        <f t="shared" si="366"/>
        <v>0</v>
      </c>
      <c r="BI446" s="42">
        <f t="shared" si="352"/>
        <v>0</v>
      </c>
      <c r="BJ446" s="42">
        <f t="shared" si="367"/>
        <v>0</v>
      </c>
      <c r="BK446" s="42">
        <f t="shared" si="368"/>
        <v>36</v>
      </c>
      <c r="BL446" s="40">
        <f t="shared" si="334"/>
        <v>36</v>
      </c>
    </row>
    <row r="447" spans="1:64" ht="79.5" customHeight="1" x14ac:dyDescent="0.25">
      <c r="A447" s="298" t="s">
        <v>1353</v>
      </c>
      <c r="B447" s="299" t="s">
        <v>1351</v>
      </c>
      <c r="C447" s="1547"/>
      <c r="D447" s="1551"/>
      <c r="E447" s="1551"/>
      <c r="F447" s="1551"/>
      <c r="G447" s="1551"/>
      <c r="H447" s="1551"/>
      <c r="I447" s="1425"/>
      <c r="J447" s="1425"/>
      <c r="K447" s="1428" t="s">
        <v>1376</v>
      </c>
      <c r="L447" s="301" t="s">
        <v>1358</v>
      </c>
      <c r="M447" s="1425" t="s">
        <v>902</v>
      </c>
      <c r="N447" s="476" t="s">
        <v>2514</v>
      </c>
      <c r="O447" s="1425" t="s">
        <v>73</v>
      </c>
      <c r="P447" s="16" t="s">
        <v>1377</v>
      </c>
      <c r="Q447" s="302" t="s">
        <v>1378</v>
      </c>
      <c r="R447" s="303">
        <v>2015</v>
      </c>
      <c r="S447" s="303">
        <v>0</v>
      </c>
      <c r="T447" s="303">
        <v>4</v>
      </c>
      <c r="U447" s="572">
        <v>4</v>
      </c>
      <c r="V447" s="572">
        <v>4</v>
      </c>
      <c r="W447" s="572">
        <v>4</v>
      </c>
      <c r="X447" s="572">
        <v>16</v>
      </c>
      <c r="Y447" s="481"/>
      <c r="Z447" s="481">
        <v>5</v>
      </c>
      <c r="AA447" s="481"/>
      <c r="AB447" s="481"/>
      <c r="AC447" s="481"/>
      <c r="AD447" s="481"/>
      <c r="AE447" s="481"/>
      <c r="AF447" s="481">
        <f t="shared" si="375"/>
        <v>5</v>
      </c>
      <c r="AG447" s="548"/>
      <c r="AH447" s="548">
        <v>5</v>
      </c>
      <c r="AI447" s="548"/>
      <c r="AJ447" s="548"/>
      <c r="AK447" s="548"/>
      <c r="AL447" s="548"/>
      <c r="AM447" s="548">
        <f t="shared" si="377"/>
        <v>5</v>
      </c>
      <c r="AN447" s="481"/>
      <c r="AO447" s="481">
        <v>5</v>
      </c>
      <c r="AP447" s="481"/>
      <c r="AQ447" s="481"/>
      <c r="AR447" s="481"/>
      <c r="AS447" s="481"/>
      <c r="AT447" s="481"/>
      <c r="AU447" s="481">
        <f t="shared" si="379"/>
        <v>5</v>
      </c>
      <c r="AV447" s="548"/>
      <c r="AW447" s="548">
        <v>5</v>
      </c>
      <c r="AX447" s="548"/>
      <c r="AY447" s="548"/>
      <c r="AZ447" s="548"/>
      <c r="BA447" s="548"/>
      <c r="BB447" s="548"/>
      <c r="BC447" s="548">
        <f t="shared" si="381"/>
        <v>5</v>
      </c>
      <c r="BD447" s="42">
        <f t="shared" si="362"/>
        <v>0</v>
      </c>
      <c r="BE447" s="42">
        <f t="shared" si="363"/>
        <v>20</v>
      </c>
      <c r="BF447" s="42">
        <f t="shared" si="364"/>
        <v>0</v>
      </c>
      <c r="BG447" s="42">
        <f t="shared" si="365"/>
        <v>0</v>
      </c>
      <c r="BH447" s="42">
        <f t="shared" si="366"/>
        <v>0</v>
      </c>
      <c r="BI447" s="42">
        <f t="shared" si="352"/>
        <v>0</v>
      </c>
      <c r="BJ447" s="42">
        <f t="shared" si="367"/>
        <v>0</v>
      </c>
      <c r="BK447" s="42">
        <f t="shared" si="368"/>
        <v>20</v>
      </c>
      <c r="BL447" s="40">
        <f t="shared" ref="BL447:BL490" si="386">AF447+AM447+AU447+BC447</f>
        <v>20</v>
      </c>
    </row>
    <row r="448" spans="1:64" ht="68.25" customHeight="1" x14ac:dyDescent="0.25">
      <c r="A448" s="298" t="s">
        <v>1353</v>
      </c>
      <c r="B448" s="299" t="s">
        <v>1351</v>
      </c>
      <c r="C448" s="1547"/>
      <c r="D448" s="1551"/>
      <c r="E448" s="1551"/>
      <c r="F448" s="1551"/>
      <c r="G448" s="1551"/>
      <c r="H448" s="1551"/>
      <c r="I448" s="1425"/>
      <c r="J448" s="1425"/>
      <c r="K448" s="1428" t="s">
        <v>1379</v>
      </c>
      <c r="L448" s="301" t="s">
        <v>1358</v>
      </c>
      <c r="M448" s="1425" t="s">
        <v>902</v>
      </c>
      <c r="N448" s="476" t="s">
        <v>2514</v>
      </c>
      <c r="O448" s="1425" t="s">
        <v>47</v>
      </c>
      <c r="P448" s="16" t="s">
        <v>1380</v>
      </c>
      <c r="Q448" s="302" t="s">
        <v>1381</v>
      </c>
      <c r="R448" s="303">
        <v>2015</v>
      </c>
      <c r="S448" s="303">
        <v>0</v>
      </c>
      <c r="T448" s="303">
        <v>0</v>
      </c>
      <c r="U448" s="572">
        <v>0</v>
      </c>
      <c r="V448" s="572">
        <v>10</v>
      </c>
      <c r="W448" s="572">
        <v>10</v>
      </c>
      <c r="X448" s="572">
        <v>20</v>
      </c>
      <c r="Y448" s="481"/>
      <c r="Z448" s="481"/>
      <c r="AA448" s="481"/>
      <c r="AB448" s="481"/>
      <c r="AC448" s="481"/>
      <c r="AD448" s="481"/>
      <c r="AE448" s="481"/>
      <c r="AF448" s="481">
        <f t="shared" si="375"/>
        <v>0</v>
      </c>
      <c r="AG448" s="548"/>
      <c r="AH448" s="548"/>
      <c r="AI448" s="548"/>
      <c r="AJ448" s="548"/>
      <c r="AK448" s="548"/>
      <c r="AL448" s="548"/>
      <c r="AM448" s="548">
        <f t="shared" si="377"/>
        <v>0</v>
      </c>
      <c r="AN448" s="481"/>
      <c r="AO448" s="481">
        <v>5</v>
      </c>
      <c r="AP448" s="481"/>
      <c r="AQ448" s="481"/>
      <c r="AR448" s="481"/>
      <c r="AS448" s="481"/>
      <c r="AT448" s="481"/>
      <c r="AU448" s="481">
        <f t="shared" si="379"/>
        <v>5</v>
      </c>
      <c r="AV448" s="548"/>
      <c r="AW448" s="548">
        <v>5</v>
      </c>
      <c r="AX448" s="548"/>
      <c r="AY448" s="548"/>
      <c r="AZ448" s="548"/>
      <c r="BA448" s="548"/>
      <c r="BB448" s="548"/>
      <c r="BC448" s="548">
        <f t="shared" si="381"/>
        <v>5</v>
      </c>
      <c r="BD448" s="42">
        <f t="shared" si="362"/>
        <v>0</v>
      </c>
      <c r="BE448" s="42">
        <f t="shared" si="363"/>
        <v>10</v>
      </c>
      <c r="BF448" s="42">
        <f t="shared" si="364"/>
        <v>0</v>
      </c>
      <c r="BG448" s="42">
        <f t="shared" si="365"/>
        <v>0</v>
      </c>
      <c r="BH448" s="42">
        <f t="shared" si="366"/>
        <v>0</v>
      </c>
      <c r="BI448" s="42">
        <f t="shared" si="352"/>
        <v>0</v>
      </c>
      <c r="BJ448" s="42">
        <f t="shared" si="367"/>
        <v>0</v>
      </c>
      <c r="BK448" s="42">
        <f t="shared" si="368"/>
        <v>10</v>
      </c>
      <c r="BL448" s="40">
        <f t="shared" si="386"/>
        <v>10</v>
      </c>
    </row>
    <row r="449" spans="1:66" ht="73.5" customHeight="1" x14ac:dyDescent="0.25">
      <c r="A449" s="298" t="s">
        <v>1353</v>
      </c>
      <c r="B449" s="299" t="s">
        <v>1351</v>
      </c>
      <c r="C449" s="1547"/>
      <c r="D449" s="1551"/>
      <c r="E449" s="1551"/>
      <c r="F449" s="1551"/>
      <c r="G449" s="1551"/>
      <c r="H449" s="1551"/>
      <c r="I449" s="1425"/>
      <c r="J449" s="1425"/>
      <c r="K449" s="1428" t="s">
        <v>1382</v>
      </c>
      <c r="L449" s="301" t="s">
        <v>1358</v>
      </c>
      <c r="M449" s="1425" t="s">
        <v>902</v>
      </c>
      <c r="N449" s="476" t="s">
        <v>2514</v>
      </c>
      <c r="O449" s="1425" t="s">
        <v>47</v>
      </c>
      <c r="P449" s="16" t="s">
        <v>1383</v>
      </c>
      <c r="Q449" s="302" t="s">
        <v>1384</v>
      </c>
      <c r="R449" s="303">
        <v>2015</v>
      </c>
      <c r="S449" s="303">
        <v>0</v>
      </c>
      <c r="T449" s="303">
        <v>0</v>
      </c>
      <c r="U449" s="572">
        <v>1</v>
      </c>
      <c r="V449" s="572">
        <v>1</v>
      </c>
      <c r="W449" s="572">
        <v>1</v>
      </c>
      <c r="X449" s="572">
        <v>1</v>
      </c>
      <c r="Y449" s="481"/>
      <c r="Z449" s="481"/>
      <c r="AA449" s="481"/>
      <c r="AB449" s="481"/>
      <c r="AC449" s="481"/>
      <c r="AD449" s="481"/>
      <c r="AE449" s="481"/>
      <c r="AF449" s="481">
        <f t="shared" si="375"/>
        <v>0</v>
      </c>
      <c r="AG449" s="548"/>
      <c r="AH449" s="548">
        <v>2</v>
      </c>
      <c r="AI449" s="548"/>
      <c r="AJ449" s="548"/>
      <c r="AK449" s="548"/>
      <c r="AL449" s="548"/>
      <c r="AM449" s="548">
        <f t="shared" si="377"/>
        <v>2</v>
      </c>
      <c r="AN449" s="481"/>
      <c r="AO449" s="481">
        <v>2</v>
      </c>
      <c r="AP449" s="481"/>
      <c r="AQ449" s="481"/>
      <c r="AR449" s="481"/>
      <c r="AS449" s="481"/>
      <c r="AT449" s="481"/>
      <c r="AU449" s="481">
        <f t="shared" si="379"/>
        <v>2</v>
      </c>
      <c r="AV449" s="548"/>
      <c r="AW449" s="548">
        <v>2</v>
      </c>
      <c r="AX449" s="548"/>
      <c r="AY449" s="548"/>
      <c r="AZ449" s="548"/>
      <c r="BA449" s="548"/>
      <c r="BB449" s="548"/>
      <c r="BC449" s="548">
        <f t="shared" si="381"/>
        <v>2</v>
      </c>
      <c r="BD449" s="42">
        <f t="shared" si="362"/>
        <v>0</v>
      </c>
      <c r="BE449" s="42">
        <f t="shared" si="363"/>
        <v>6</v>
      </c>
      <c r="BF449" s="42">
        <f t="shared" si="364"/>
        <v>0</v>
      </c>
      <c r="BG449" s="42">
        <f t="shared" si="365"/>
        <v>0</v>
      </c>
      <c r="BH449" s="42">
        <f t="shared" si="366"/>
        <v>0</v>
      </c>
      <c r="BI449" s="42">
        <f t="shared" si="352"/>
        <v>0</v>
      </c>
      <c r="BJ449" s="42">
        <f t="shared" si="367"/>
        <v>0</v>
      </c>
      <c r="BK449" s="42">
        <f t="shared" si="368"/>
        <v>6</v>
      </c>
      <c r="BL449" s="40">
        <f t="shared" si="386"/>
        <v>6</v>
      </c>
    </row>
    <row r="450" spans="1:66" ht="67.5" customHeight="1" x14ac:dyDescent="0.25">
      <c r="A450" s="298" t="s">
        <v>1353</v>
      </c>
      <c r="B450" s="299" t="s">
        <v>1351</v>
      </c>
      <c r="C450" s="1547"/>
      <c r="D450" s="1551"/>
      <c r="E450" s="1551"/>
      <c r="F450" s="1551"/>
      <c r="G450" s="1551"/>
      <c r="H450" s="1551"/>
      <c r="I450" s="1425"/>
      <c r="J450" s="1425"/>
      <c r="K450" s="1428" t="s">
        <v>1385</v>
      </c>
      <c r="L450" s="301" t="s">
        <v>1358</v>
      </c>
      <c r="M450" s="1425" t="s">
        <v>902</v>
      </c>
      <c r="N450" s="476" t="s">
        <v>2514</v>
      </c>
      <c r="O450" s="1425" t="s">
        <v>47</v>
      </c>
      <c r="P450" s="16" t="s">
        <v>1386</v>
      </c>
      <c r="Q450" s="302" t="s">
        <v>1387</v>
      </c>
      <c r="R450" s="303">
        <v>2015</v>
      </c>
      <c r="S450" s="303">
        <v>0</v>
      </c>
      <c r="T450" s="303">
        <v>1</v>
      </c>
      <c r="U450" s="572">
        <v>1</v>
      </c>
      <c r="V450" s="572">
        <v>1</v>
      </c>
      <c r="W450" s="572">
        <v>1</v>
      </c>
      <c r="X450" s="572">
        <v>4</v>
      </c>
      <c r="Y450" s="481"/>
      <c r="Z450" s="481">
        <v>2</v>
      </c>
      <c r="AA450" s="481"/>
      <c r="AB450" s="481"/>
      <c r="AC450" s="481"/>
      <c r="AD450" s="481"/>
      <c r="AE450" s="481"/>
      <c r="AF450" s="481">
        <f t="shared" si="375"/>
        <v>2</v>
      </c>
      <c r="AG450" s="548"/>
      <c r="AH450" s="548">
        <v>2</v>
      </c>
      <c r="AI450" s="548"/>
      <c r="AJ450" s="548"/>
      <c r="AK450" s="548"/>
      <c r="AL450" s="548"/>
      <c r="AM450" s="548">
        <f t="shared" si="377"/>
        <v>2</v>
      </c>
      <c r="AN450" s="481"/>
      <c r="AO450" s="481">
        <v>2</v>
      </c>
      <c r="AP450" s="481"/>
      <c r="AQ450" s="481"/>
      <c r="AR450" s="481"/>
      <c r="AS450" s="481"/>
      <c r="AT450" s="481"/>
      <c r="AU450" s="481">
        <f t="shared" si="379"/>
        <v>2</v>
      </c>
      <c r="AV450" s="548"/>
      <c r="AW450" s="548">
        <v>2</v>
      </c>
      <c r="AX450" s="548"/>
      <c r="AY450" s="548"/>
      <c r="AZ450" s="548"/>
      <c r="BA450" s="548"/>
      <c r="BB450" s="548"/>
      <c r="BC450" s="548">
        <f t="shared" si="381"/>
        <v>2</v>
      </c>
      <c r="BD450" s="42">
        <f t="shared" si="362"/>
        <v>0</v>
      </c>
      <c r="BE450" s="42">
        <f t="shared" si="363"/>
        <v>8</v>
      </c>
      <c r="BF450" s="42">
        <f t="shared" si="364"/>
        <v>0</v>
      </c>
      <c r="BG450" s="42">
        <f t="shared" si="365"/>
        <v>0</v>
      </c>
      <c r="BH450" s="42">
        <f t="shared" si="366"/>
        <v>0</v>
      </c>
      <c r="BI450" s="42">
        <f t="shared" si="352"/>
        <v>0</v>
      </c>
      <c r="BJ450" s="42">
        <f t="shared" si="367"/>
        <v>0</v>
      </c>
      <c r="BK450" s="42">
        <f t="shared" si="368"/>
        <v>8</v>
      </c>
      <c r="BL450" s="40">
        <f t="shared" si="386"/>
        <v>8</v>
      </c>
    </row>
    <row r="451" spans="1:66" ht="54.75" customHeight="1" x14ac:dyDescent="0.25">
      <c r="A451" s="298" t="s">
        <v>1353</v>
      </c>
      <c r="B451" s="299" t="s">
        <v>1351</v>
      </c>
      <c r="C451" s="1547"/>
      <c r="D451" s="1551"/>
      <c r="E451" s="1551"/>
      <c r="F451" s="1551"/>
      <c r="G451" s="1551"/>
      <c r="H451" s="1551"/>
      <c r="I451" s="1425"/>
      <c r="J451" s="1425"/>
      <c r="K451" s="1428" t="s">
        <v>1388</v>
      </c>
      <c r="L451" s="301" t="s">
        <v>1358</v>
      </c>
      <c r="M451" s="1425" t="s">
        <v>902</v>
      </c>
      <c r="N451" s="476" t="s">
        <v>2514</v>
      </c>
      <c r="O451" s="1425" t="s">
        <v>47</v>
      </c>
      <c r="P451" s="16" t="s">
        <v>1389</v>
      </c>
      <c r="Q451" s="302" t="s">
        <v>1390</v>
      </c>
      <c r="R451" s="303">
        <v>2015</v>
      </c>
      <c r="S451" s="303">
        <v>0</v>
      </c>
      <c r="T451" s="303">
        <v>0</v>
      </c>
      <c r="U451" s="572">
        <v>1</v>
      </c>
      <c r="V451" s="572">
        <v>1</v>
      </c>
      <c r="W451" s="572">
        <v>1</v>
      </c>
      <c r="X451" s="572">
        <v>1</v>
      </c>
      <c r="Y451" s="481"/>
      <c r="Z451" s="481"/>
      <c r="AA451" s="481"/>
      <c r="AB451" s="481"/>
      <c r="AC451" s="481"/>
      <c r="AD451" s="481"/>
      <c r="AE451" s="481"/>
      <c r="AF451" s="481">
        <f>SUBTOTAL(9,Y451:AE451)</f>
        <v>0</v>
      </c>
      <c r="AG451" s="491">
        <v>13</v>
      </c>
      <c r="AH451" s="548"/>
      <c r="AI451" s="491">
        <v>6</v>
      </c>
      <c r="AJ451" s="548"/>
      <c r="AK451" s="548"/>
      <c r="AL451" s="548"/>
      <c r="AM451" s="548">
        <f t="shared" si="377"/>
        <v>19</v>
      </c>
      <c r="AN451" s="481"/>
      <c r="AO451" s="491">
        <v>1</v>
      </c>
      <c r="AP451" s="481"/>
      <c r="AQ451" s="481"/>
      <c r="AR451" s="481"/>
      <c r="AS451" s="481"/>
      <c r="AT451" s="481"/>
      <c r="AU451" s="481">
        <f>SUM(AN451:AT451)</f>
        <v>1</v>
      </c>
      <c r="AV451" s="491">
        <v>4</v>
      </c>
      <c r="AW451" s="548"/>
      <c r="AX451" s="548"/>
      <c r="AY451" s="548"/>
      <c r="AZ451" s="548"/>
      <c r="BA451" s="548"/>
      <c r="BB451" s="548"/>
      <c r="BC451" s="548">
        <f>SUM(AV451:BB451)</f>
        <v>4</v>
      </c>
      <c r="BD451" s="42">
        <f>+AV451+AN451+AG451+Y451</f>
        <v>17</v>
      </c>
      <c r="BE451" s="42">
        <f>+AW451+AO451+AH451+Z451</f>
        <v>1</v>
      </c>
      <c r="BF451" s="42">
        <f>+AX451+AP451+AI451+AA451</f>
        <v>6</v>
      </c>
      <c r="BG451" s="42">
        <f>+AY451+AQ451+AJ451+AB451</f>
        <v>0</v>
      </c>
      <c r="BH451" s="42">
        <f>+AZ451+AR451+AK451+AC451</f>
        <v>0</v>
      </c>
      <c r="BI451" s="42">
        <f>+AD451+AS451+BA451</f>
        <v>0</v>
      </c>
      <c r="BJ451" s="42">
        <f>+BB451+AT451+AL451+AE451</f>
        <v>0</v>
      </c>
      <c r="BK451" s="42">
        <f>+BC451+AU451+AM451+AF451</f>
        <v>24</v>
      </c>
      <c r="BL451" s="40">
        <f t="shared" si="386"/>
        <v>24</v>
      </c>
    </row>
    <row r="452" spans="1:66" ht="54" customHeight="1" x14ac:dyDescent="0.25">
      <c r="A452" s="298" t="s">
        <v>1353</v>
      </c>
      <c r="B452" s="299" t="s">
        <v>1351</v>
      </c>
      <c r="C452" s="1547"/>
      <c r="D452" s="1551"/>
      <c r="E452" s="1551"/>
      <c r="F452" s="1551"/>
      <c r="G452" s="1551"/>
      <c r="H452" s="1551"/>
      <c r="I452" s="1425"/>
      <c r="J452" s="1425"/>
      <c r="K452" s="1428" t="s">
        <v>1391</v>
      </c>
      <c r="L452" s="301" t="s">
        <v>1358</v>
      </c>
      <c r="M452" s="1425" t="s">
        <v>902</v>
      </c>
      <c r="N452" s="476" t="s">
        <v>2514</v>
      </c>
      <c r="O452" s="1425" t="s">
        <v>47</v>
      </c>
      <c r="P452" s="16" t="s">
        <v>1392</v>
      </c>
      <c r="Q452" s="302" t="s">
        <v>1393</v>
      </c>
      <c r="R452" s="303">
        <v>2015</v>
      </c>
      <c r="S452" s="303">
        <v>0</v>
      </c>
      <c r="T452" s="303">
        <v>0</v>
      </c>
      <c r="U452" s="572">
        <v>0</v>
      </c>
      <c r="V452" s="572">
        <v>1</v>
      </c>
      <c r="W452" s="572">
        <v>1</v>
      </c>
      <c r="X452" s="572">
        <v>1</v>
      </c>
      <c r="Y452" s="481"/>
      <c r="Z452" s="481"/>
      <c r="AA452" s="481"/>
      <c r="AB452" s="481"/>
      <c r="AC452" s="481"/>
      <c r="AD452" s="481"/>
      <c r="AE452" s="481"/>
      <c r="AF452" s="481">
        <f t="shared" si="375"/>
        <v>0</v>
      </c>
      <c r="AG452" s="548"/>
      <c r="AH452" s="548"/>
      <c r="AI452" s="548"/>
      <c r="AJ452" s="548"/>
      <c r="AK452" s="548"/>
      <c r="AL452" s="548"/>
      <c r="AM452" s="548">
        <f t="shared" ref="AM452:AM465" si="387">SUM(AG452:AL452)</f>
        <v>0</v>
      </c>
      <c r="AN452" s="491">
        <v>15</v>
      </c>
      <c r="AO452" s="481"/>
      <c r="AP452" s="481"/>
      <c r="AQ452" s="481"/>
      <c r="AR452" s="481"/>
      <c r="AS452" s="481"/>
      <c r="AT452" s="481"/>
      <c r="AU452" s="481">
        <f t="shared" si="379"/>
        <v>15</v>
      </c>
      <c r="AV452" s="491">
        <v>5</v>
      </c>
      <c r="AW452" s="548"/>
      <c r="AX452" s="548"/>
      <c r="AY452" s="548"/>
      <c r="AZ452" s="548"/>
      <c r="BA452" s="548"/>
      <c r="BB452" s="548"/>
      <c r="BC452" s="548">
        <f t="shared" si="381"/>
        <v>5</v>
      </c>
      <c r="BD452" s="42">
        <f t="shared" si="362"/>
        <v>20</v>
      </c>
      <c r="BE452" s="42">
        <f t="shared" si="363"/>
        <v>0</v>
      </c>
      <c r="BF452" s="42">
        <f t="shared" si="364"/>
        <v>0</v>
      </c>
      <c r="BG452" s="42">
        <f t="shared" si="365"/>
        <v>0</v>
      </c>
      <c r="BH452" s="42">
        <f t="shared" si="366"/>
        <v>0</v>
      </c>
      <c r="BI452" s="42">
        <f t="shared" si="352"/>
        <v>0</v>
      </c>
      <c r="BJ452" s="42">
        <f t="shared" si="367"/>
        <v>0</v>
      </c>
      <c r="BK452" s="42">
        <f t="shared" si="368"/>
        <v>20</v>
      </c>
      <c r="BL452" s="40">
        <f t="shared" si="386"/>
        <v>20</v>
      </c>
    </row>
    <row r="453" spans="1:66" ht="55.5" customHeight="1" x14ac:dyDescent="0.25">
      <c r="A453" s="298" t="s">
        <v>1353</v>
      </c>
      <c r="B453" s="299" t="s">
        <v>1351</v>
      </c>
      <c r="C453" s="1547"/>
      <c r="D453" s="1551"/>
      <c r="E453" s="1551"/>
      <c r="F453" s="1551"/>
      <c r="G453" s="1551"/>
      <c r="H453" s="1551"/>
      <c r="I453" s="1425"/>
      <c r="J453" s="1425"/>
      <c r="K453" s="1428" t="s">
        <v>1394</v>
      </c>
      <c r="L453" s="301" t="s">
        <v>1358</v>
      </c>
      <c r="M453" s="1425" t="s">
        <v>902</v>
      </c>
      <c r="N453" s="476" t="s">
        <v>2514</v>
      </c>
      <c r="O453" s="1425" t="s">
        <v>47</v>
      </c>
      <c r="P453" s="16" t="s">
        <v>1395</v>
      </c>
      <c r="Q453" s="302" t="s">
        <v>337</v>
      </c>
      <c r="R453" s="303">
        <v>2015</v>
      </c>
      <c r="S453" s="303">
        <v>0</v>
      </c>
      <c r="T453" s="303">
        <v>2</v>
      </c>
      <c r="U453" s="572">
        <v>2</v>
      </c>
      <c r="V453" s="572">
        <v>2</v>
      </c>
      <c r="W453" s="572">
        <v>2</v>
      </c>
      <c r="X453" s="572">
        <v>8</v>
      </c>
      <c r="Y453" s="481"/>
      <c r="Z453" s="481">
        <v>5</v>
      </c>
      <c r="AA453" s="481"/>
      <c r="AB453" s="481"/>
      <c r="AC453" s="481"/>
      <c r="AD453" s="481"/>
      <c r="AE453" s="481"/>
      <c r="AF453" s="481">
        <f t="shared" si="375"/>
        <v>5</v>
      </c>
      <c r="AG453" s="548"/>
      <c r="AH453" s="548">
        <v>5</v>
      </c>
      <c r="AI453" s="548"/>
      <c r="AJ453" s="548"/>
      <c r="AK453" s="548"/>
      <c r="AL453" s="548"/>
      <c r="AM453" s="548">
        <f t="shared" si="387"/>
        <v>5</v>
      </c>
      <c r="AN453" s="481"/>
      <c r="AO453" s="481">
        <v>5</v>
      </c>
      <c r="AP453" s="481"/>
      <c r="AQ453" s="481"/>
      <c r="AR453" s="481"/>
      <c r="AS453" s="481"/>
      <c r="AT453" s="481"/>
      <c r="AU453" s="481">
        <f t="shared" si="379"/>
        <v>5</v>
      </c>
      <c r="AV453" s="548"/>
      <c r="AW453" s="548">
        <v>5</v>
      </c>
      <c r="AX453" s="548"/>
      <c r="AY453" s="548"/>
      <c r="AZ453" s="548"/>
      <c r="BA453" s="548"/>
      <c r="BB453" s="548"/>
      <c r="BC453" s="548">
        <f t="shared" si="381"/>
        <v>5</v>
      </c>
      <c r="BD453" s="42">
        <f t="shared" si="362"/>
        <v>0</v>
      </c>
      <c r="BE453" s="42">
        <f t="shared" si="363"/>
        <v>20</v>
      </c>
      <c r="BF453" s="42">
        <f t="shared" si="364"/>
        <v>0</v>
      </c>
      <c r="BG453" s="42">
        <f t="shared" si="365"/>
        <v>0</v>
      </c>
      <c r="BH453" s="42">
        <f t="shared" si="366"/>
        <v>0</v>
      </c>
      <c r="BI453" s="42">
        <f t="shared" si="352"/>
        <v>0</v>
      </c>
      <c r="BJ453" s="42">
        <f t="shared" si="367"/>
        <v>0</v>
      </c>
      <c r="BK453" s="42">
        <f t="shared" si="368"/>
        <v>20</v>
      </c>
      <c r="BL453" s="40">
        <f t="shared" si="386"/>
        <v>20</v>
      </c>
    </row>
    <row r="454" spans="1:66" ht="55.5" customHeight="1" x14ac:dyDescent="0.25">
      <c r="A454" s="298" t="s">
        <v>1353</v>
      </c>
      <c r="B454" s="299" t="s">
        <v>1351</v>
      </c>
      <c r="C454" s="1547"/>
      <c r="D454" s="1551"/>
      <c r="E454" s="1551"/>
      <c r="F454" s="1551"/>
      <c r="G454" s="1551"/>
      <c r="H454" s="1551"/>
      <c r="I454" s="1425"/>
      <c r="J454" s="1425"/>
      <c r="K454" s="1428" t="s">
        <v>1396</v>
      </c>
      <c r="L454" s="301" t="s">
        <v>1358</v>
      </c>
      <c r="M454" s="1425" t="s">
        <v>902</v>
      </c>
      <c r="N454" s="476" t="s">
        <v>2514</v>
      </c>
      <c r="O454" s="1425" t="s">
        <v>47</v>
      </c>
      <c r="P454" s="16" t="s">
        <v>1397</v>
      </c>
      <c r="Q454" s="302" t="s">
        <v>337</v>
      </c>
      <c r="R454" s="303">
        <v>2015</v>
      </c>
      <c r="S454" s="303">
        <v>0</v>
      </c>
      <c r="T454" s="303">
        <v>4</v>
      </c>
      <c r="U454" s="572">
        <v>4</v>
      </c>
      <c r="V454" s="572">
        <v>1</v>
      </c>
      <c r="W454" s="572">
        <v>1</v>
      </c>
      <c r="X454" s="572">
        <v>10</v>
      </c>
      <c r="Y454" s="481">
        <v>6</v>
      </c>
      <c r="Z454" s="481"/>
      <c r="AA454" s="481"/>
      <c r="AB454" s="481"/>
      <c r="AC454" s="481"/>
      <c r="AD454" s="481"/>
      <c r="AE454" s="481"/>
      <c r="AF454" s="481">
        <f t="shared" si="375"/>
        <v>6</v>
      </c>
      <c r="AG454" s="548">
        <v>3</v>
      </c>
      <c r="AH454" s="548">
        <v>3</v>
      </c>
      <c r="AI454" s="548"/>
      <c r="AJ454" s="548"/>
      <c r="AK454" s="548"/>
      <c r="AL454" s="548"/>
      <c r="AM454" s="548">
        <f t="shared" si="387"/>
        <v>6</v>
      </c>
      <c r="AN454" s="481">
        <v>3</v>
      </c>
      <c r="AO454" s="481">
        <v>3</v>
      </c>
      <c r="AP454" s="481"/>
      <c r="AQ454" s="481"/>
      <c r="AR454" s="481"/>
      <c r="AS454" s="481"/>
      <c r="AT454" s="481"/>
      <c r="AU454" s="481">
        <f t="shared" si="379"/>
        <v>6</v>
      </c>
      <c r="AV454" s="548">
        <v>3</v>
      </c>
      <c r="AW454" s="548">
        <v>3</v>
      </c>
      <c r="AX454" s="548"/>
      <c r="AY454" s="548"/>
      <c r="AZ454" s="548"/>
      <c r="BA454" s="548"/>
      <c r="BB454" s="548"/>
      <c r="BC454" s="548">
        <f t="shared" si="381"/>
        <v>6</v>
      </c>
      <c r="BD454" s="42">
        <f t="shared" si="362"/>
        <v>15</v>
      </c>
      <c r="BE454" s="42">
        <f t="shared" si="363"/>
        <v>9</v>
      </c>
      <c r="BF454" s="42">
        <f t="shared" si="364"/>
        <v>0</v>
      </c>
      <c r="BG454" s="42">
        <f t="shared" si="365"/>
        <v>0</v>
      </c>
      <c r="BH454" s="42">
        <f t="shared" si="366"/>
        <v>0</v>
      </c>
      <c r="BI454" s="42">
        <f t="shared" si="352"/>
        <v>0</v>
      </c>
      <c r="BJ454" s="42">
        <f t="shared" si="367"/>
        <v>0</v>
      </c>
      <c r="BK454" s="42">
        <f t="shared" si="368"/>
        <v>24</v>
      </c>
      <c r="BL454" s="40">
        <f t="shared" si="386"/>
        <v>24</v>
      </c>
    </row>
    <row r="455" spans="1:66" ht="57" customHeight="1" x14ac:dyDescent="0.25">
      <c r="A455" s="298" t="s">
        <v>1353</v>
      </c>
      <c r="B455" s="299" t="s">
        <v>1351</v>
      </c>
      <c r="C455" s="1547"/>
      <c r="D455" s="1551"/>
      <c r="E455" s="1551"/>
      <c r="F455" s="1551"/>
      <c r="G455" s="1551"/>
      <c r="H455" s="1551"/>
      <c r="I455" s="1425"/>
      <c r="J455" s="1425"/>
      <c r="K455" s="1428" t="s">
        <v>1398</v>
      </c>
      <c r="L455" s="301" t="s">
        <v>1358</v>
      </c>
      <c r="M455" s="1425" t="s">
        <v>902</v>
      </c>
      <c r="N455" s="476" t="s">
        <v>2514</v>
      </c>
      <c r="O455" s="1425" t="s">
        <v>47</v>
      </c>
      <c r="P455" s="16" t="s">
        <v>1399</v>
      </c>
      <c r="Q455" s="302" t="s">
        <v>957</v>
      </c>
      <c r="R455" s="303">
        <v>2015</v>
      </c>
      <c r="S455" s="303">
        <v>0</v>
      </c>
      <c r="T455" s="303">
        <v>1</v>
      </c>
      <c r="U455" s="572">
        <v>1</v>
      </c>
      <c r="V455" s="572">
        <v>1</v>
      </c>
      <c r="W455" s="572">
        <v>1</v>
      </c>
      <c r="X455" s="572">
        <v>4</v>
      </c>
      <c r="Y455" s="491">
        <v>1</v>
      </c>
      <c r="Z455" s="481"/>
      <c r="AA455" s="481"/>
      <c r="AB455" s="481"/>
      <c r="AC455" s="481"/>
      <c r="AD455" s="481"/>
      <c r="AE455" s="481"/>
      <c r="AF455" s="481">
        <f t="shared" si="375"/>
        <v>1</v>
      </c>
      <c r="AG455" s="548"/>
      <c r="AH455" s="491">
        <v>1</v>
      </c>
      <c r="AI455" s="548"/>
      <c r="AJ455" s="548"/>
      <c r="AK455" s="548"/>
      <c r="AL455" s="548"/>
      <c r="AM455" s="548">
        <f t="shared" si="387"/>
        <v>1</v>
      </c>
      <c r="AN455" s="481"/>
      <c r="AO455" s="491">
        <v>1</v>
      </c>
      <c r="AP455" s="481"/>
      <c r="AQ455" s="481"/>
      <c r="AR455" s="481"/>
      <c r="AS455" s="481"/>
      <c r="AT455" s="481"/>
      <c r="AU455" s="481">
        <f t="shared" si="379"/>
        <v>1</v>
      </c>
      <c r="AV455" s="491">
        <v>1</v>
      </c>
      <c r="AW455" s="548"/>
      <c r="AX455" s="548"/>
      <c r="AY455" s="548"/>
      <c r="AZ455" s="548"/>
      <c r="BA455" s="548"/>
      <c r="BB455" s="548"/>
      <c r="BC455" s="548">
        <f t="shared" si="381"/>
        <v>1</v>
      </c>
      <c r="BD455" s="42">
        <f t="shared" si="362"/>
        <v>2</v>
      </c>
      <c r="BE455" s="42">
        <f t="shared" si="363"/>
        <v>2</v>
      </c>
      <c r="BF455" s="42">
        <f t="shared" si="364"/>
        <v>0</v>
      </c>
      <c r="BG455" s="42">
        <f t="shared" si="365"/>
        <v>0</v>
      </c>
      <c r="BH455" s="42">
        <f t="shared" si="366"/>
        <v>0</v>
      </c>
      <c r="BI455" s="42">
        <f t="shared" si="352"/>
        <v>0</v>
      </c>
      <c r="BJ455" s="42">
        <f t="shared" si="367"/>
        <v>0</v>
      </c>
      <c r="BK455" s="42">
        <f t="shared" si="368"/>
        <v>4</v>
      </c>
      <c r="BL455" s="40">
        <f t="shared" si="386"/>
        <v>4</v>
      </c>
    </row>
    <row r="456" spans="1:66" ht="65.25" customHeight="1" x14ac:dyDescent="0.25">
      <c r="A456" s="298" t="s">
        <v>1353</v>
      </c>
      <c r="B456" s="299" t="s">
        <v>1351</v>
      </c>
      <c r="C456" s="1547"/>
      <c r="D456" s="1551"/>
      <c r="E456" s="1551"/>
      <c r="F456" s="1551"/>
      <c r="G456" s="1551"/>
      <c r="H456" s="1551"/>
      <c r="I456" s="1425"/>
      <c r="J456" s="1425"/>
      <c r="K456" s="1428" t="s">
        <v>1400</v>
      </c>
      <c r="L456" s="301" t="s">
        <v>1358</v>
      </c>
      <c r="M456" s="1425" t="s">
        <v>902</v>
      </c>
      <c r="N456" s="476" t="s">
        <v>2514</v>
      </c>
      <c r="O456" s="1425" t="s">
        <v>47</v>
      </c>
      <c r="P456" s="16" t="s">
        <v>1401</v>
      </c>
      <c r="Q456" s="302" t="s">
        <v>1402</v>
      </c>
      <c r="R456" s="303">
        <v>2015</v>
      </c>
      <c r="S456" s="303">
        <v>0</v>
      </c>
      <c r="T456" s="303">
        <v>0</v>
      </c>
      <c r="U456" s="572">
        <v>1</v>
      </c>
      <c r="V456" s="572">
        <v>1</v>
      </c>
      <c r="W456" s="572">
        <v>1</v>
      </c>
      <c r="X456" s="572">
        <v>1</v>
      </c>
      <c r="Y456" s="481"/>
      <c r="Z456" s="481"/>
      <c r="AA456" s="481"/>
      <c r="AB456" s="481"/>
      <c r="AC456" s="481"/>
      <c r="AD456" s="481"/>
      <c r="AE456" s="481"/>
      <c r="AF456" s="481">
        <f t="shared" si="375"/>
        <v>0</v>
      </c>
      <c r="AG456" s="548"/>
      <c r="AH456" s="491">
        <v>1</v>
      </c>
      <c r="AI456" s="548">
        <v>3</v>
      </c>
      <c r="AJ456" s="548"/>
      <c r="AK456" s="548"/>
      <c r="AL456" s="548"/>
      <c r="AM456" s="548">
        <f t="shared" si="387"/>
        <v>4</v>
      </c>
      <c r="AN456" s="481"/>
      <c r="AO456" s="491">
        <v>1</v>
      </c>
      <c r="AP456" s="481"/>
      <c r="AQ456" s="481"/>
      <c r="AR456" s="481"/>
      <c r="AS456" s="481"/>
      <c r="AT456" s="481"/>
      <c r="AU456" s="481">
        <f t="shared" si="379"/>
        <v>1</v>
      </c>
      <c r="AV456" s="491">
        <v>1</v>
      </c>
      <c r="AW456" s="548"/>
      <c r="AX456" s="548"/>
      <c r="AY456" s="548"/>
      <c r="AZ456" s="548"/>
      <c r="BA456" s="548"/>
      <c r="BB456" s="548"/>
      <c r="BC456" s="548">
        <f t="shared" si="381"/>
        <v>1</v>
      </c>
      <c r="BD456" s="42">
        <f t="shared" si="362"/>
        <v>1</v>
      </c>
      <c r="BE456" s="42">
        <f t="shared" si="363"/>
        <v>2</v>
      </c>
      <c r="BF456" s="42">
        <f t="shared" si="364"/>
        <v>3</v>
      </c>
      <c r="BG456" s="42">
        <f t="shared" si="365"/>
        <v>0</v>
      </c>
      <c r="BH456" s="42">
        <f t="shared" si="366"/>
        <v>0</v>
      </c>
      <c r="BI456" s="42">
        <f t="shared" si="352"/>
        <v>0</v>
      </c>
      <c r="BJ456" s="42">
        <f t="shared" si="367"/>
        <v>0</v>
      </c>
      <c r="BK456" s="42">
        <f t="shared" si="368"/>
        <v>6</v>
      </c>
      <c r="BL456" s="40">
        <f t="shared" si="386"/>
        <v>6</v>
      </c>
    </row>
    <row r="457" spans="1:66" ht="56.25" customHeight="1" x14ac:dyDescent="0.25">
      <c r="A457" s="298" t="s">
        <v>1353</v>
      </c>
      <c r="B457" s="299" t="s">
        <v>1351</v>
      </c>
      <c r="C457" s="1547"/>
      <c r="D457" s="1551"/>
      <c r="E457" s="1551"/>
      <c r="F457" s="1551"/>
      <c r="G457" s="1551"/>
      <c r="H457" s="1551"/>
      <c r="I457" s="1425"/>
      <c r="J457" s="1425"/>
      <c r="K457" s="1428" t="s">
        <v>1403</v>
      </c>
      <c r="L457" s="301" t="s">
        <v>1358</v>
      </c>
      <c r="M457" s="1425" t="s">
        <v>902</v>
      </c>
      <c r="N457" s="476" t="s">
        <v>2514</v>
      </c>
      <c r="O457" s="1425" t="s">
        <v>47</v>
      </c>
      <c r="P457" s="16" t="s">
        <v>1404</v>
      </c>
      <c r="Q457" s="302" t="s">
        <v>1405</v>
      </c>
      <c r="R457" s="303">
        <v>2015</v>
      </c>
      <c r="S457" s="303">
        <v>0</v>
      </c>
      <c r="T457" s="303">
        <v>0</v>
      </c>
      <c r="U457" s="572">
        <v>1</v>
      </c>
      <c r="V457" s="572">
        <v>1</v>
      </c>
      <c r="W457" s="572">
        <v>1</v>
      </c>
      <c r="X457" s="572">
        <v>1</v>
      </c>
      <c r="Y457" s="481"/>
      <c r="Z457" s="481"/>
      <c r="AA457" s="481"/>
      <c r="AB457" s="481"/>
      <c r="AC457" s="481"/>
      <c r="AD457" s="481"/>
      <c r="AE457" s="481"/>
      <c r="AF457" s="481">
        <f t="shared" si="375"/>
        <v>0</v>
      </c>
      <c r="AG457" s="548"/>
      <c r="AH457" s="548"/>
      <c r="AI457" s="491">
        <v>5</v>
      </c>
      <c r="AJ457" s="548"/>
      <c r="AK457" s="548"/>
      <c r="AL457" s="548"/>
      <c r="AM457" s="548">
        <f t="shared" si="387"/>
        <v>5</v>
      </c>
      <c r="AN457" s="481"/>
      <c r="AO457" s="491">
        <v>1</v>
      </c>
      <c r="AP457" s="481"/>
      <c r="AQ457" s="481"/>
      <c r="AR457" s="481"/>
      <c r="AS457" s="481"/>
      <c r="AT457" s="481"/>
      <c r="AU457" s="481">
        <f t="shared" si="379"/>
        <v>1</v>
      </c>
      <c r="AV457" s="491">
        <v>3</v>
      </c>
      <c r="AW457" s="548"/>
      <c r="AX457" s="548"/>
      <c r="AY457" s="548"/>
      <c r="AZ457" s="548"/>
      <c r="BA457" s="548"/>
      <c r="BB457" s="548"/>
      <c r="BC457" s="548">
        <f>SUM(AV457:BB457)</f>
        <v>3</v>
      </c>
      <c r="BD457" s="42">
        <f>+AV457+AN457+AG457+Y457</f>
        <v>3</v>
      </c>
      <c r="BE457" s="42">
        <f>+AW457+AO457+AH457+Z457</f>
        <v>1</v>
      </c>
      <c r="BF457" s="42">
        <f>+AX457+AP457+AI457+AA457</f>
        <v>5</v>
      </c>
      <c r="BG457" s="42">
        <f>+AY457+AQ457+AJ457+AB457</f>
        <v>0</v>
      </c>
      <c r="BH457" s="42">
        <f>+AZ457+AR457+AK457+AC457</f>
        <v>0</v>
      </c>
      <c r="BI457" s="42">
        <f>+AD457+AS457+BA457</f>
        <v>0</v>
      </c>
      <c r="BJ457" s="42">
        <f>+BB457+AT457+AL457+AE457</f>
        <v>0</v>
      </c>
      <c r="BK457" s="42">
        <f>+BC457+AU457+AM457+AF457</f>
        <v>9</v>
      </c>
      <c r="BL457" s="40">
        <f t="shared" si="386"/>
        <v>9</v>
      </c>
    </row>
    <row r="458" spans="1:66" ht="66.75" customHeight="1" x14ac:dyDescent="0.25">
      <c r="A458" s="298" t="s">
        <v>1353</v>
      </c>
      <c r="B458" s="299" t="s">
        <v>1351</v>
      </c>
      <c r="C458" s="1547"/>
      <c r="D458" s="1551"/>
      <c r="E458" s="1551"/>
      <c r="F458" s="1551"/>
      <c r="G458" s="1551"/>
      <c r="H458" s="1551"/>
      <c r="I458" s="1425"/>
      <c r="J458" s="1425"/>
      <c r="K458" s="1428" t="s">
        <v>1406</v>
      </c>
      <c r="L458" s="301" t="s">
        <v>1358</v>
      </c>
      <c r="M458" s="1425" t="s">
        <v>902</v>
      </c>
      <c r="N458" s="476" t="s">
        <v>2514</v>
      </c>
      <c r="O458" s="1425" t="s">
        <v>47</v>
      </c>
      <c r="P458" s="16" t="s">
        <v>1407</v>
      </c>
      <c r="Q458" s="302" t="s">
        <v>1408</v>
      </c>
      <c r="R458" s="303">
        <v>2015</v>
      </c>
      <c r="S458" s="303">
        <v>0</v>
      </c>
      <c r="T458" s="303">
        <v>0</v>
      </c>
      <c r="U458" s="572">
        <v>50</v>
      </c>
      <c r="V458" s="572">
        <v>50</v>
      </c>
      <c r="W458" s="572">
        <v>50</v>
      </c>
      <c r="X458" s="572">
        <v>150</v>
      </c>
      <c r="Y458" s="481"/>
      <c r="Z458" s="481"/>
      <c r="AA458" s="481"/>
      <c r="AB458" s="481"/>
      <c r="AC458" s="481"/>
      <c r="AD458" s="481"/>
      <c r="AE458" s="481"/>
      <c r="AF458" s="481">
        <f t="shared" si="375"/>
        <v>0</v>
      </c>
      <c r="AG458" s="491">
        <v>13</v>
      </c>
      <c r="AH458" s="548"/>
      <c r="AI458" s="548"/>
      <c r="AJ458" s="548"/>
      <c r="AK458" s="548"/>
      <c r="AL458" s="548">
        <v>100</v>
      </c>
      <c r="AM458" s="548">
        <f t="shared" si="387"/>
        <v>113</v>
      </c>
      <c r="AN458" s="491">
        <v>10</v>
      </c>
      <c r="AO458" s="481"/>
      <c r="AP458" s="481"/>
      <c r="AQ458" s="481"/>
      <c r="AR458" s="481"/>
      <c r="AS458" s="481"/>
      <c r="AT458" s="481"/>
      <c r="AU458" s="481">
        <f t="shared" si="379"/>
        <v>10</v>
      </c>
      <c r="AV458" s="548">
        <v>20</v>
      </c>
      <c r="AW458" s="548"/>
      <c r="AX458" s="548"/>
      <c r="AY458" s="548"/>
      <c r="AZ458" s="548"/>
      <c r="BA458" s="548"/>
      <c r="BB458" s="491"/>
      <c r="BC458" s="548">
        <f t="shared" si="381"/>
        <v>20</v>
      </c>
      <c r="BD458" s="42">
        <f t="shared" si="362"/>
        <v>43</v>
      </c>
      <c r="BE458" s="42">
        <f t="shared" si="363"/>
        <v>0</v>
      </c>
      <c r="BF458" s="42">
        <f t="shared" si="364"/>
        <v>0</v>
      </c>
      <c r="BG458" s="42">
        <f t="shared" si="365"/>
        <v>0</v>
      </c>
      <c r="BH458" s="42">
        <f t="shared" si="366"/>
        <v>0</v>
      </c>
      <c r="BI458" s="42">
        <f t="shared" si="352"/>
        <v>0</v>
      </c>
      <c r="BJ458" s="42">
        <f t="shared" si="367"/>
        <v>100</v>
      </c>
      <c r="BK458" s="42">
        <f t="shared" si="368"/>
        <v>143</v>
      </c>
      <c r="BL458" s="40">
        <f t="shared" si="386"/>
        <v>143</v>
      </c>
    </row>
    <row r="459" spans="1:66" ht="60" customHeight="1" x14ac:dyDescent="0.25">
      <c r="A459" s="298" t="s">
        <v>1353</v>
      </c>
      <c r="B459" s="299" t="s">
        <v>1351</v>
      </c>
      <c r="C459" s="1547"/>
      <c r="D459" s="1551"/>
      <c r="E459" s="1551"/>
      <c r="F459" s="1551"/>
      <c r="G459" s="1551"/>
      <c r="H459" s="1551"/>
      <c r="I459" s="1425"/>
      <c r="J459" s="1425"/>
      <c r="K459" s="1428" t="s">
        <v>1409</v>
      </c>
      <c r="L459" s="301" t="s">
        <v>1358</v>
      </c>
      <c r="M459" s="1425" t="s">
        <v>902</v>
      </c>
      <c r="N459" s="476" t="s">
        <v>2514</v>
      </c>
      <c r="O459" s="1425" t="s">
        <v>47</v>
      </c>
      <c r="P459" s="70" t="s">
        <v>1410</v>
      </c>
      <c r="Q459" s="350" t="s">
        <v>966</v>
      </c>
      <c r="R459" s="303">
        <v>2015</v>
      </c>
      <c r="S459" s="303">
        <v>0</v>
      </c>
      <c r="T459" s="303">
        <v>1</v>
      </c>
      <c r="U459" s="572">
        <v>2</v>
      </c>
      <c r="V459" s="572">
        <v>2</v>
      </c>
      <c r="W459" s="572">
        <v>2</v>
      </c>
      <c r="X459" s="572">
        <v>2</v>
      </c>
      <c r="Y459" s="481"/>
      <c r="Z459" s="481">
        <v>2</v>
      </c>
      <c r="AA459" s="481"/>
      <c r="AB459" s="481"/>
      <c r="AC459" s="481"/>
      <c r="AD459" s="481"/>
      <c r="AE459" s="481"/>
      <c r="AF459" s="481">
        <f t="shared" si="375"/>
        <v>2</v>
      </c>
      <c r="AG459" s="548"/>
      <c r="AH459" s="548">
        <v>2</v>
      </c>
      <c r="AI459" s="548"/>
      <c r="AJ459" s="548"/>
      <c r="AK459" s="548"/>
      <c r="AL459" s="548"/>
      <c r="AM459" s="548">
        <f t="shared" si="387"/>
        <v>2</v>
      </c>
      <c r="AN459" s="491">
        <v>1</v>
      </c>
      <c r="AO459" s="481"/>
      <c r="AP459" s="481"/>
      <c r="AQ459" s="481"/>
      <c r="AR459" s="481"/>
      <c r="AS459" s="481"/>
      <c r="AT459" s="481"/>
      <c r="AU459" s="481">
        <f t="shared" si="379"/>
        <v>1</v>
      </c>
      <c r="AV459" s="491">
        <v>2</v>
      </c>
      <c r="AW459" s="548"/>
      <c r="AX459" s="548"/>
      <c r="AY459" s="548"/>
      <c r="AZ459" s="548"/>
      <c r="BA459" s="548"/>
      <c r="BB459" s="548"/>
      <c r="BC459" s="548">
        <f t="shared" si="381"/>
        <v>2</v>
      </c>
      <c r="BD459" s="42">
        <f t="shared" ref="BD459:BD476" si="388">+AV459+AN459+AG459+Y459</f>
        <v>3</v>
      </c>
      <c r="BE459" s="42">
        <f t="shared" ref="BE459:BE476" si="389">+AW459+AO459+AH459+Z459</f>
        <v>4</v>
      </c>
      <c r="BF459" s="42">
        <f t="shared" ref="BF459:BF476" si="390">+AX459+AP459+AI459+AA459</f>
        <v>0</v>
      </c>
      <c r="BG459" s="42">
        <f t="shared" ref="BG459:BG476" si="391">+AY459+AQ459+AJ459+AB459</f>
        <v>0</v>
      </c>
      <c r="BH459" s="42">
        <f t="shared" ref="BH459:BH476" si="392">+AZ459+AR459+AK459+AC459</f>
        <v>0</v>
      </c>
      <c r="BI459" s="42">
        <f t="shared" si="352"/>
        <v>0</v>
      </c>
      <c r="BJ459" s="42">
        <f t="shared" ref="BJ459:BJ476" si="393">+BB459+AT459+AL459+AE459</f>
        <v>0</v>
      </c>
      <c r="BK459" s="42">
        <f t="shared" ref="BK459:BK476" si="394">+BC459+AU459+AM459+AF459</f>
        <v>7</v>
      </c>
      <c r="BL459" s="40">
        <f t="shared" si="386"/>
        <v>7</v>
      </c>
    </row>
    <row r="460" spans="1:66" ht="40.5" customHeight="1" x14ac:dyDescent="0.25">
      <c r="A460" s="298" t="s">
        <v>1353</v>
      </c>
      <c r="B460" s="299" t="s">
        <v>1351</v>
      </c>
      <c r="C460" s="1547"/>
      <c r="D460" s="1551"/>
      <c r="E460" s="1551"/>
      <c r="F460" s="1551"/>
      <c r="G460" s="1551"/>
      <c r="H460" s="1551"/>
      <c r="I460" s="1425"/>
      <c r="J460" s="379"/>
      <c r="K460" s="1428" t="s">
        <v>1411</v>
      </c>
      <c r="L460" s="301" t="s">
        <v>1358</v>
      </c>
      <c r="M460" s="1425" t="s">
        <v>902</v>
      </c>
      <c r="N460" s="476" t="s">
        <v>2514</v>
      </c>
      <c r="O460" s="1425" t="s">
        <v>47</v>
      </c>
      <c r="P460" s="16" t="s">
        <v>1412</v>
      </c>
      <c r="Q460" s="302" t="s">
        <v>960</v>
      </c>
      <c r="R460" s="351">
        <v>2015</v>
      </c>
      <c r="S460" s="303">
        <v>0</v>
      </c>
      <c r="T460" s="303">
        <v>0</v>
      </c>
      <c r="U460" s="572">
        <v>0</v>
      </c>
      <c r="V460" s="572">
        <v>100</v>
      </c>
      <c r="W460" s="572">
        <v>100</v>
      </c>
      <c r="X460" s="572">
        <v>200</v>
      </c>
      <c r="Y460" s="481"/>
      <c r="Z460" s="481"/>
      <c r="AA460" s="481"/>
      <c r="AB460" s="481"/>
      <c r="AC460" s="481"/>
      <c r="AD460" s="481"/>
      <c r="AE460" s="481"/>
      <c r="AF460" s="481">
        <f t="shared" si="375"/>
        <v>0</v>
      </c>
      <c r="AG460" s="548"/>
      <c r="AH460" s="548"/>
      <c r="AI460" s="548"/>
      <c r="AJ460" s="548"/>
      <c r="AK460" s="548"/>
      <c r="AL460" s="548"/>
      <c r="AM460" s="548">
        <f t="shared" si="387"/>
        <v>0</v>
      </c>
      <c r="AN460" s="491">
        <v>19</v>
      </c>
      <c r="AO460" s="481"/>
      <c r="AP460" s="481"/>
      <c r="AQ460" s="481"/>
      <c r="AR460" s="481"/>
      <c r="AS460" s="481"/>
      <c r="AT460" s="481"/>
      <c r="AU460" s="481">
        <f t="shared" si="379"/>
        <v>19</v>
      </c>
      <c r="AV460" s="548">
        <v>30</v>
      </c>
      <c r="AW460" s="548"/>
      <c r="AX460" s="548"/>
      <c r="AY460" s="548"/>
      <c r="AZ460" s="548"/>
      <c r="BA460" s="548"/>
      <c r="BB460" s="548"/>
      <c r="BC460" s="548">
        <f t="shared" si="381"/>
        <v>30</v>
      </c>
      <c r="BD460" s="42">
        <f t="shared" si="388"/>
        <v>49</v>
      </c>
      <c r="BE460" s="42">
        <f t="shared" si="389"/>
        <v>0</v>
      </c>
      <c r="BF460" s="42">
        <f t="shared" si="390"/>
        <v>0</v>
      </c>
      <c r="BG460" s="42">
        <f t="shared" si="391"/>
        <v>0</v>
      </c>
      <c r="BH460" s="42">
        <f t="shared" si="392"/>
        <v>0</v>
      </c>
      <c r="BI460" s="42">
        <f t="shared" si="352"/>
        <v>0</v>
      </c>
      <c r="BJ460" s="42">
        <f t="shared" si="393"/>
        <v>0</v>
      </c>
      <c r="BK460" s="42">
        <f t="shared" si="394"/>
        <v>49</v>
      </c>
      <c r="BL460" s="40">
        <f t="shared" si="386"/>
        <v>49</v>
      </c>
    </row>
    <row r="461" spans="1:66" ht="54.75" customHeight="1" x14ac:dyDescent="0.25">
      <c r="A461" s="298" t="s">
        <v>1353</v>
      </c>
      <c r="B461" s="299" t="s">
        <v>1351</v>
      </c>
      <c r="C461" s="1547"/>
      <c r="D461" s="1551"/>
      <c r="E461" s="1551"/>
      <c r="F461" s="1551"/>
      <c r="G461" s="1551"/>
      <c r="H461" s="1551"/>
      <c r="I461" s="1425"/>
      <c r="J461" s="379"/>
      <c r="K461" s="1428" t="s">
        <v>1413</v>
      </c>
      <c r="L461" s="301" t="s">
        <v>1358</v>
      </c>
      <c r="M461" s="1425" t="s">
        <v>902</v>
      </c>
      <c r="N461" s="476" t="s">
        <v>2514</v>
      </c>
      <c r="O461" s="1425" t="s">
        <v>47</v>
      </c>
      <c r="P461" s="16" t="s">
        <v>1414</v>
      </c>
      <c r="Q461" s="302" t="s">
        <v>1415</v>
      </c>
      <c r="R461" s="351">
        <v>2015</v>
      </c>
      <c r="S461" s="303" t="s">
        <v>177</v>
      </c>
      <c r="T461" s="303">
        <v>10</v>
      </c>
      <c r="U461" s="572">
        <v>10</v>
      </c>
      <c r="V461" s="572">
        <v>10</v>
      </c>
      <c r="W461" s="572">
        <v>10</v>
      </c>
      <c r="X461" s="572">
        <v>40</v>
      </c>
      <c r="Y461" s="481">
        <v>32</v>
      </c>
      <c r="Z461" s="481">
        <v>18</v>
      </c>
      <c r="AA461" s="481"/>
      <c r="AB461" s="481"/>
      <c r="AC461" s="481"/>
      <c r="AD461" s="481"/>
      <c r="AE461" s="481"/>
      <c r="AF461" s="481">
        <f t="shared" si="375"/>
        <v>50</v>
      </c>
      <c r="AG461" s="548"/>
      <c r="AH461" s="491">
        <v>1</v>
      </c>
      <c r="AI461" s="548">
        <v>26.9</v>
      </c>
      <c r="AJ461" s="548"/>
      <c r="AK461" s="548"/>
      <c r="AL461" s="548"/>
      <c r="AM461" s="548">
        <f t="shared" si="387"/>
        <v>27.9</v>
      </c>
      <c r="AN461" s="481"/>
      <c r="AO461" s="481">
        <v>0</v>
      </c>
      <c r="AP461" s="491">
        <v>2</v>
      </c>
      <c r="AQ461" s="481"/>
      <c r="AR461" s="481"/>
      <c r="AS461" s="481"/>
      <c r="AT461" s="481"/>
      <c r="AU461" s="481">
        <f t="shared" si="379"/>
        <v>2</v>
      </c>
      <c r="AV461" s="491">
        <v>3</v>
      </c>
      <c r="AW461" s="548"/>
      <c r="AX461" s="548"/>
      <c r="AY461" s="548"/>
      <c r="AZ461" s="548"/>
      <c r="BA461" s="548"/>
      <c r="BB461" s="548"/>
      <c r="BC461" s="548">
        <f t="shared" si="381"/>
        <v>3</v>
      </c>
      <c r="BD461" s="42">
        <f t="shared" si="388"/>
        <v>35</v>
      </c>
      <c r="BE461" s="42">
        <f t="shared" si="389"/>
        <v>19</v>
      </c>
      <c r="BF461" s="42">
        <f t="shared" si="390"/>
        <v>28.9</v>
      </c>
      <c r="BG461" s="42">
        <f t="shared" si="391"/>
        <v>0</v>
      </c>
      <c r="BH461" s="42">
        <f t="shared" si="392"/>
        <v>0</v>
      </c>
      <c r="BI461" s="42">
        <f t="shared" si="352"/>
        <v>0</v>
      </c>
      <c r="BJ461" s="42">
        <f t="shared" si="393"/>
        <v>0</v>
      </c>
      <c r="BK461" s="42">
        <f t="shared" si="394"/>
        <v>82.9</v>
      </c>
      <c r="BL461" s="40">
        <f t="shared" si="386"/>
        <v>82.9</v>
      </c>
    </row>
    <row r="462" spans="1:66" ht="51.75" customHeight="1" x14ac:dyDescent="0.25">
      <c r="A462" s="298" t="s">
        <v>1353</v>
      </c>
      <c r="B462" s="299" t="s">
        <v>1351</v>
      </c>
      <c r="C462" s="1547"/>
      <c r="D462" s="1551"/>
      <c r="E462" s="1551"/>
      <c r="F462" s="1551"/>
      <c r="G462" s="1551"/>
      <c r="H462" s="1551"/>
      <c r="I462" s="1425"/>
      <c r="J462" s="379"/>
      <c r="K462" s="1428" t="s">
        <v>1416</v>
      </c>
      <c r="L462" s="301" t="s">
        <v>1358</v>
      </c>
      <c r="M462" s="1425" t="s">
        <v>902</v>
      </c>
      <c r="N462" s="476" t="s">
        <v>2514</v>
      </c>
      <c r="O462" s="1425" t="s">
        <v>47</v>
      </c>
      <c r="P462" s="16" t="s">
        <v>1417</v>
      </c>
      <c r="Q462" s="302" t="s">
        <v>1418</v>
      </c>
      <c r="R462" s="351">
        <v>2015</v>
      </c>
      <c r="S462" s="303">
        <v>0</v>
      </c>
      <c r="T462" s="303">
        <v>0</v>
      </c>
      <c r="U462" s="572">
        <v>1</v>
      </c>
      <c r="V462" s="572">
        <v>0</v>
      </c>
      <c r="W462" s="572">
        <v>0</v>
      </c>
      <c r="X462" s="572">
        <v>1</v>
      </c>
      <c r="Y462" s="481"/>
      <c r="Z462" s="481"/>
      <c r="AA462" s="481"/>
      <c r="AB462" s="481"/>
      <c r="AC462" s="481"/>
      <c r="AD462" s="481"/>
      <c r="AE462" s="481"/>
      <c r="AF462" s="481">
        <f t="shared" si="375"/>
        <v>0</v>
      </c>
      <c r="AG462" s="548"/>
      <c r="AH462" s="491">
        <v>1</v>
      </c>
      <c r="AI462" s="548">
        <v>3</v>
      </c>
      <c r="AJ462" s="548"/>
      <c r="AK462" s="548"/>
      <c r="AL462" s="548"/>
      <c r="AM462" s="548">
        <f t="shared" si="387"/>
        <v>4</v>
      </c>
      <c r="AN462" s="481"/>
      <c r="AO462" s="481"/>
      <c r="AP462" s="481"/>
      <c r="AQ462" s="481"/>
      <c r="AR462" s="481"/>
      <c r="AS462" s="481"/>
      <c r="AT462" s="481"/>
      <c r="AU462" s="481">
        <f t="shared" si="379"/>
        <v>0</v>
      </c>
      <c r="AV462" s="548"/>
      <c r="AW462" s="548"/>
      <c r="AX462" s="548"/>
      <c r="AY462" s="548"/>
      <c r="AZ462" s="548"/>
      <c r="BA462" s="548"/>
      <c r="BB462" s="548"/>
      <c r="BC462" s="548">
        <f t="shared" si="381"/>
        <v>0</v>
      </c>
      <c r="BD462" s="42">
        <f t="shared" si="388"/>
        <v>0</v>
      </c>
      <c r="BE462" s="42">
        <f t="shared" si="389"/>
        <v>1</v>
      </c>
      <c r="BF462" s="42">
        <f t="shared" si="390"/>
        <v>3</v>
      </c>
      <c r="BG462" s="42">
        <f t="shared" si="391"/>
        <v>0</v>
      </c>
      <c r="BH462" s="42">
        <f t="shared" si="392"/>
        <v>0</v>
      </c>
      <c r="BI462" s="42">
        <f t="shared" si="352"/>
        <v>0</v>
      </c>
      <c r="BJ462" s="42">
        <f t="shared" si="393"/>
        <v>0</v>
      </c>
      <c r="BK462" s="42">
        <f t="shared" si="394"/>
        <v>4</v>
      </c>
      <c r="BL462" s="40">
        <f t="shared" si="386"/>
        <v>4</v>
      </c>
    </row>
    <row r="463" spans="1:66" ht="58.5" customHeight="1" x14ac:dyDescent="0.25">
      <c r="A463" s="298" t="s">
        <v>1353</v>
      </c>
      <c r="B463" s="299" t="s">
        <v>1351</v>
      </c>
      <c r="C463" s="1547"/>
      <c r="D463" s="1551"/>
      <c r="E463" s="1551"/>
      <c r="F463" s="1551"/>
      <c r="G463" s="1551"/>
      <c r="H463" s="1551"/>
      <c r="I463" s="1425" t="s">
        <v>53</v>
      </c>
      <c r="J463" s="379"/>
      <c r="K463" s="1428" t="s">
        <v>1419</v>
      </c>
      <c r="L463" s="301" t="s">
        <v>1358</v>
      </c>
      <c r="M463" s="1425" t="s">
        <v>902</v>
      </c>
      <c r="N463" s="476" t="s">
        <v>2514</v>
      </c>
      <c r="O463" s="1425" t="s">
        <v>47</v>
      </c>
      <c r="P463" s="16" t="s">
        <v>1420</v>
      </c>
      <c r="Q463" s="302" t="s">
        <v>1421</v>
      </c>
      <c r="R463" s="351" t="s">
        <v>1422</v>
      </c>
      <c r="S463" s="303">
        <v>260</v>
      </c>
      <c r="T463" s="303">
        <v>80</v>
      </c>
      <c r="U463" s="572">
        <v>80</v>
      </c>
      <c r="V463" s="572">
        <v>80</v>
      </c>
      <c r="W463" s="572">
        <v>80</v>
      </c>
      <c r="X463" s="572">
        <v>320</v>
      </c>
      <c r="Y463" s="491">
        <v>14.5</v>
      </c>
      <c r="Z463" s="481">
        <v>40</v>
      </c>
      <c r="AA463" s="481">
        <v>11.7</v>
      </c>
      <c r="AB463" s="481"/>
      <c r="AC463" s="481"/>
      <c r="AD463" s="481">
        <v>35.799999999999997</v>
      </c>
      <c r="AE463" s="481"/>
      <c r="AF463" s="481">
        <f t="shared" si="375"/>
        <v>102</v>
      </c>
      <c r="AG463" s="548">
        <v>35</v>
      </c>
      <c r="AH463" s="491">
        <v>52</v>
      </c>
      <c r="AI463" s="491">
        <v>5</v>
      </c>
      <c r="AJ463" s="548"/>
      <c r="AK463" s="548"/>
      <c r="AL463" s="548"/>
      <c r="AM463" s="548">
        <f t="shared" si="387"/>
        <v>92</v>
      </c>
      <c r="AN463" s="491">
        <v>20</v>
      </c>
      <c r="AO463" s="491">
        <v>50</v>
      </c>
      <c r="AP463" s="491">
        <v>10</v>
      </c>
      <c r="AQ463" s="481"/>
      <c r="AR463" s="481"/>
      <c r="AS463" s="481"/>
      <c r="AT463" s="481"/>
      <c r="AU463" s="481">
        <f t="shared" si="379"/>
        <v>80</v>
      </c>
      <c r="AV463" s="548">
        <v>35</v>
      </c>
      <c r="AW463" s="491">
        <v>33</v>
      </c>
      <c r="AX463" s="548">
        <v>12</v>
      </c>
      <c r="AY463" s="548"/>
      <c r="AZ463" s="548"/>
      <c r="BA463" s="548"/>
      <c r="BB463" s="548"/>
      <c r="BC463" s="548">
        <f t="shared" si="381"/>
        <v>80</v>
      </c>
      <c r="BD463" s="42">
        <f t="shared" si="388"/>
        <v>104.5</v>
      </c>
      <c r="BE463" s="42">
        <f t="shared" si="389"/>
        <v>175</v>
      </c>
      <c r="BF463" s="42">
        <f t="shared" si="390"/>
        <v>38.700000000000003</v>
      </c>
      <c r="BG463" s="42">
        <f t="shared" si="391"/>
        <v>0</v>
      </c>
      <c r="BH463" s="42">
        <f t="shared" si="392"/>
        <v>0</v>
      </c>
      <c r="BI463" s="42">
        <f t="shared" ref="BI463:BI489" si="395">+AD463+AS463+BA463</f>
        <v>35.799999999999997</v>
      </c>
      <c r="BJ463" s="42">
        <f t="shared" si="393"/>
        <v>0</v>
      </c>
      <c r="BK463" s="42">
        <f t="shared" si="394"/>
        <v>354</v>
      </c>
      <c r="BL463" s="40">
        <f t="shared" si="386"/>
        <v>354</v>
      </c>
      <c r="BN463" s="222"/>
    </row>
    <row r="464" spans="1:66" ht="63.75" customHeight="1" x14ac:dyDescent="0.25">
      <c r="A464" s="298" t="s">
        <v>1353</v>
      </c>
      <c r="B464" s="299" t="s">
        <v>1351</v>
      </c>
      <c r="C464" s="1547"/>
      <c r="D464" s="1551"/>
      <c r="E464" s="1551"/>
      <c r="F464" s="1551"/>
      <c r="G464" s="1551"/>
      <c r="H464" s="1551"/>
      <c r="I464" s="1425"/>
      <c r="J464" s="379"/>
      <c r="K464" s="1428" t="s">
        <v>1423</v>
      </c>
      <c r="L464" s="301" t="s">
        <v>1358</v>
      </c>
      <c r="M464" s="1425" t="s">
        <v>902</v>
      </c>
      <c r="N464" s="476" t="s">
        <v>2514</v>
      </c>
      <c r="O464" s="1425" t="s">
        <v>47</v>
      </c>
      <c r="P464" s="16" t="s">
        <v>1424</v>
      </c>
      <c r="Q464" s="302" t="s">
        <v>1425</v>
      </c>
      <c r="R464" s="351">
        <v>2015</v>
      </c>
      <c r="S464" s="303">
        <v>0</v>
      </c>
      <c r="T464" s="303">
        <v>0</v>
      </c>
      <c r="U464" s="572">
        <v>1</v>
      </c>
      <c r="V464" s="572">
        <v>1</v>
      </c>
      <c r="W464" s="572">
        <v>1</v>
      </c>
      <c r="X464" s="572">
        <v>1</v>
      </c>
      <c r="Y464" s="481"/>
      <c r="Z464" s="481"/>
      <c r="AA464" s="481"/>
      <c r="AB464" s="481"/>
      <c r="AC464" s="481"/>
      <c r="AD464" s="481"/>
      <c r="AE464" s="481"/>
      <c r="AF464" s="481">
        <f t="shared" si="375"/>
        <v>0</v>
      </c>
      <c r="AG464" s="548">
        <v>23</v>
      </c>
      <c r="AH464" s="491">
        <v>1</v>
      </c>
      <c r="AI464" s="548"/>
      <c r="AJ464" s="548"/>
      <c r="AK464" s="548"/>
      <c r="AL464" s="548"/>
      <c r="AM464" s="548">
        <f t="shared" si="387"/>
        <v>24</v>
      </c>
      <c r="AN464" s="481"/>
      <c r="AO464" s="491">
        <v>1</v>
      </c>
      <c r="AP464" s="481"/>
      <c r="AQ464" s="481"/>
      <c r="AR464" s="481"/>
      <c r="AS464" s="481"/>
      <c r="AT464" s="481"/>
      <c r="AU464" s="481">
        <f t="shared" si="379"/>
        <v>1</v>
      </c>
      <c r="AV464" s="491">
        <v>2</v>
      </c>
      <c r="AW464" s="548"/>
      <c r="AX464" s="548"/>
      <c r="AY464" s="548"/>
      <c r="AZ464" s="548"/>
      <c r="BA464" s="548"/>
      <c r="BB464" s="548"/>
      <c r="BC464" s="548">
        <f t="shared" si="381"/>
        <v>2</v>
      </c>
      <c r="BD464" s="42">
        <f t="shared" si="388"/>
        <v>25</v>
      </c>
      <c r="BE464" s="42">
        <f t="shared" si="389"/>
        <v>2</v>
      </c>
      <c r="BF464" s="42">
        <f t="shared" si="390"/>
        <v>0</v>
      </c>
      <c r="BG464" s="42">
        <f t="shared" si="391"/>
        <v>0</v>
      </c>
      <c r="BH464" s="42">
        <f t="shared" si="392"/>
        <v>0</v>
      </c>
      <c r="BI464" s="42">
        <f t="shared" si="395"/>
        <v>0</v>
      </c>
      <c r="BJ464" s="42">
        <f t="shared" si="393"/>
        <v>0</v>
      </c>
      <c r="BK464" s="42">
        <f t="shared" si="394"/>
        <v>27</v>
      </c>
      <c r="BL464" s="40">
        <f t="shared" si="386"/>
        <v>27</v>
      </c>
    </row>
    <row r="465" spans="1:64" ht="60" customHeight="1" x14ac:dyDescent="0.25">
      <c r="A465" s="298" t="s">
        <v>1353</v>
      </c>
      <c r="B465" s="299" t="s">
        <v>1351</v>
      </c>
      <c r="C465" s="1547"/>
      <c r="D465" s="1551"/>
      <c r="E465" s="1551"/>
      <c r="F465" s="1551"/>
      <c r="G465" s="1551"/>
      <c r="H465" s="1551"/>
      <c r="I465" s="1425"/>
      <c r="J465" s="379"/>
      <c r="K465" s="1428" t="s">
        <v>1426</v>
      </c>
      <c r="L465" s="301" t="s">
        <v>1358</v>
      </c>
      <c r="M465" s="1425" t="s">
        <v>902</v>
      </c>
      <c r="N465" s="476" t="s">
        <v>2514</v>
      </c>
      <c r="O465" s="1425" t="s">
        <v>47</v>
      </c>
      <c r="P465" s="16" t="s">
        <v>1427</v>
      </c>
      <c r="Q465" s="302" t="s">
        <v>914</v>
      </c>
      <c r="R465" s="351">
        <v>2015</v>
      </c>
      <c r="S465" s="303">
        <v>0</v>
      </c>
      <c r="T465" s="303">
        <v>1</v>
      </c>
      <c r="U465" s="572">
        <v>1</v>
      </c>
      <c r="V465" s="572">
        <v>0</v>
      </c>
      <c r="W465" s="572">
        <v>0</v>
      </c>
      <c r="X465" s="572">
        <v>2</v>
      </c>
      <c r="Y465" s="481"/>
      <c r="Z465" s="481">
        <v>2</v>
      </c>
      <c r="AA465" s="481"/>
      <c r="AB465" s="481"/>
      <c r="AC465" s="481"/>
      <c r="AD465" s="481"/>
      <c r="AE465" s="481"/>
      <c r="AF465" s="481">
        <f t="shared" si="375"/>
        <v>2</v>
      </c>
      <c r="AG465" s="548">
        <v>2</v>
      </c>
      <c r="AH465" s="548"/>
      <c r="AI465" s="548"/>
      <c r="AJ465" s="548"/>
      <c r="AK465" s="548"/>
      <c r="AL465" s="548"/>
      <c r="AM465" s="548">
        <f t="shared" si="387"/>
        <v>2</v>
      </c>
      <c r="AN465" s="481"/>
      <c r="AO465" s="481"/>
      <c r="AP465" s="481"/>
      <c r="AQ465" s="481"/>
      <c r="AR465" s="481"/>
      <c r="AS465" s="481"/>
      <c r="AT465" s="481"/>
      <c r="AU465" s="481">
        <f t="shared" si="379"/>
        <v>0</v>
      </c>
      <c r="AV465" s="548"/>
      <c r="AW465" s="548"/>
      <c r="AX465" s="548"/>
      <c r="AY465" s="548"/>
      <c r="AZ465" s="548"/>
      <c r="BA465" s="548"/>
      <c r="BB465" s="548"/>
      <c r="BC465" s="548">
        <f t="shared" si="381"/>
        <v>0</v>
      </c>
      <c r="BD465" s="42">
        <f t="shared" si="388"/>
        <v>2</v>
      </c>
      <c r="BE465" s="42">
        <f t="shared" si="389"/>
        <v>2</v>
      </c>
      <c r="BF465" s="42">
        <f t="shared" si="390"/>
        <v>0</v>
      </c>
      <c r="BG465" s="42">
        <f t="shared" si="391"/>
        <v>0</v>
      </c>
      <c r="BH465" s="42">
        <f t="shared" si="392"/>
        <v>0</v>
      </c>
      <c r="BI465" s="42">
        <f t="shared" si="395"/>
        <v>0</v>
      </c>
      <c r="BJ465" s="42">
        <f t="shared" si="393"/>
        <v>0</v>
      </c>
      <c r="BK465" s="42">
        <f t="shared" si="394"/>
        <v>4</v>
      </c>
      <c r="BL465" s="40">
        <f t="shared" si="386"/>
        <v>4</v>
      </c>
    </row>
    <row r="466" spans="1:64" ht="51.75" customHeight="1" x14ac:dyDescent="0.25">
      <c r="A466" s="298" t="s">
        <v>1353</v>
      </c>
      <c r="B466" s="299" t="s">
        <v>1351</v>
      </c>
      <c r="C466" s="1547"/>
      <c r="D466" s="1551"/>
      <c r="E466" s="1551"/>
      <c r="F466" s="1551"/>
      <c r="G466" s="1551"/>
      <c r="H466" s="1551"/>
      <c r="I466" s="1425"/>
      <c r="J466" s="379"/>
      <c r="K466" s="1428" t="s">
        <v>1428</v>
      </c>
      <c r="L466" s="301" t="s">
        <v>1358</v>
      </c>
      <c r="M466" s="1425" t="s">
        <v>902</v>
      </c>
      <c r="N466" s="476" t="s">
        <v>2514</v>
      </c>
      <c r="O466" s="1425" t="s">
        <v>47</v>
      </c>
      <c r="P466" s="16" t="s">
        <v>1429</v>
      </c>
      <c r="Q466" s="302" t="s">
        <v>1430</v>
      </c>
      <c r="R466" s="351">
        <v>2015</v>
      </c>
      <c r="S466" s="303">
        <v>0</v>
      </c>
      <c r="T466" s="303">
        <v>1</v>
      </c>
      <c r="U466" s="572">
        <v>1</v>
      </c>
      <c r="V466" s="572">
        <v>1</v>
      </c>
      <c r="W466" s="572">
        <v>1</v>
      </c>
      <c r="X466" s="572">
        <v>4</v>
      </c>
      <c r="Y466" s="481"/>
      <c r="Z466" s="584">
        <v>5</v>
      </c>
      <c r="AA466" s="481"/>
      <c r="AB466" s="481"/>
      <c r="AC466" s="481"/>
      <c r="AD466" s="481">
        <v>0</v>
      </c>
      <c r="AE466" s="481"/>
      <c r="AF466" s="481">
        <f t="shared" si="375"/>
        <v>5</v>
      </c>
      <c r="AG466" s="548">
        <v>5</v>
      </c>
      <c r="AH466" s="548"/>
      <c r="AI466" s="548"/>
      <c r="AJ466" s="548"/>
      <c r="AK466" s="548"/>
      <c r="AL466" s="548"/>
      <c r="AM466" s="548">
        <f t="shared" ref="AM466:AM471" si="396">SUM(AG466:AL466)</f>
        <v>5</v>
      </c>
      <c r="AN466" s="481">
        <v>5</v>
      </c>
      <c r="AO466" s="481"/>
      <c r="AP466" s="481"/>
      <c r="AQ466" s="481"/>
      <c r="AR466" s="481"/>
      <c r="AS466" s="481"/>
      <c r="AT466" s="481"/>
      <c r="AU466" s="481">
        <f>SUM(AN466:AT466)</f>
        <v>5</v>
      </c>
      <c r="AV466" s="548">
        <v>5</v>
      </c>
      <c r="AW466" s="548"/>
      <c r="AX466" s="548"/>
      <c r="AY466" s="548"/>
      <c r="AZ466" s="548"/>
      <c r="BA466" s="548"/>
      <c r="BB466" s="548"/>
      <c r="BC466" s="548">
        <f>SUM(AV466:BB466)</f>
        <v>5</v>
      </c>
      <c r="BD466" s="42">
        <f t="shared" si="388"/>
        <v>15</v>
      </c>
      <c r="BE466" s="42">
        <f t="shared" si="389"/>
        <v>5</v>
      </c>
      <c r="BF466" s="42">
        <f t="shared" si="390"/>
        <v>0</v>
      </c>
      <c r="BG466" s="42">
        <f t="shared" si="391"/>
        <v>0</v>
      </c>
      <c r="BH466" s="42">
        <f t="shared" si="392"/>
        <v>0</v>
      </c>
      <c r="BI466" s="42">
        <f t="shared" si="395"/>
        <v>0</v>
      </c>
      <c r="BJ466" s="42">
        <f t="shared" si="393"/>
        <v>0</v>
      </c>
      <c r="BK466" s="42">
        <f t="shared" si="394"/>
        <v>20</v>
      </c>
      <c r="BL466" s="40">
        <f t="shared" si="386"/>
        <v>20</v>
      </c>
    </row>
    <row r="467" spans="1:64" ht="60.75" customHeight="1" x14ac:dyDescent="0.25">
      <c r="A467" s="298" t="s">
        <v>1353</v>
      </c>
      <c r="B467" s="299" t="s">
        <v>1351</v>
      </c>
      <c r="C467" s="1547"/>
      <c r="D467" s="1551"/>
      <c r="E467" s="1551"/>
      <c r="F467" s="1551"/>
      <c r="G467" s="1551"/>
      <c r="H467" s="1551"/>
      <c r="I467" s="1425"/>
      <c r="J467" s="379"/>
      <c r="K467" s="1428" t="s">
        <v>1431</v>
      </c>
      <c r="L467" s="301" t="s">
        <v>1358</v>
      </c>
      <c r="M467" s="1425" t="s">
        <v>902</v>
      </c>
      <c r="N467" s="476" t="s">
        <v>2514</v>
      </c>
      <c r="O467" s="1425" t="s">
        <v>47</v>
      </c>
      <c r="P467" s="16" t="s">
        <v>1432</v>
      </c>
      <c r="Q467" s="302" t="s">
        <v>1433</v>
      </c>
      <c r="R467" s="351" t="s">
        <v>1434</v>
      </c>
      <c r="S467" s="303">
        <v>30000</v>
      </c>
      <c r="T467" s="303">
        <v>0</v>
      </c>
      <c r="U467" s="572">
        <v>4000</v>
      </c>
      <c r="V467" s="572">
        <v>4000</v>
      </c>
      <c r="W467" s="572">
        <v>4000</v>
      </c>
      <c r="X467" s="572">
        <v>12000</v>
      </c>
      <c r="Y467" s="481"/>
      <c r="Z467" s="584"/>
      <c r="AA467" s="481"/>
      <c r="AB467" s="481"/>
      <c r="AC467" s="481"/>
      <c r="AD467" s="481"/>
      <c r="AE467" s="481"/>
      <c r="AF467" s="481">
        <f t="shared" si="375"/>
        <v>0</v>
      </c>
      <c r="AG467" s="548">
        <v>10</v>
      </c>
      <c r="AH467" s="548"/>
      <c r="AI467" s="548"/>
      <c r="AJ467" s="548"/>
      <c r="AK467" s="548"/>
      <c r="AL467" s="548"/>
      <c r="AM467" s="548">
        <f t="shared" si="396"/>
        <v>10</v>
      </c>
      <c r="AN467" s="491">
        <v>11</v>
      </c>
      <c r="AO467" s="481"/>
      <c r="AP467" s="481"/>
      <c r="AQ467" s="481"/>
      <c r="AR467" s="481"/>
      <c r="AS467" s="481"/>
      <c r="AT467" s="481"/>
      <c r="AU467" s="481">
        <f>SUM(AN467:AT467)</f>
        <v>11</v>
      </c>
      <c r="AV467" s="548">
        <v>10</v>
      </c>
      <c r="AW467" s="548"/>
      <c r="AX467" s="548"/>
      <c r="AY467" s="548"/>
      <c r="AZ467" s="548"/>
      <c r="BA467" s="548"/>
      <c r="BB467" s="548"/>
      <c r="BC467" s="548">
        <f>SUM(AV467:BB467)</f>
        <v>10</v>
      </c>
      <c r="BD467" s="42">
        <f t="shared" si="388"/>
        <v>31</v>
      </c>
      <c r="BE467" s="42">
        <f t="shared" si="389"/>
        <v>0</v>
      </c>
      <c r="BF467" s="42">
        <f t="shared" si="390"/>
        <v>0</v>
      </c>
      <c r="BG467" s="42">
        <f t="shared" si="391"/>
        <v>0</v>
      </c>
      <c r="BH467" s="42">
        <f t="shared" si="392"/>
        <v>0</v>
      </c>
      <c r="BI467" s="42">
        <f t="shared" si="395"/>
        <v>0</v>
      </c>
      <c r="BJ467" s="42">
        <f t="shared" si="393"/>
        <v>0</v>
      </c>
      <c r="BK467" s="42">
        <f t="shared" si="394"/>
        <v>31</v>
      </c>
      <c r="BL467" s="40">
        <f t="shared" si="386"/>
        <v>31</v>
      </c>
    </row>
    <row r="468" spans="1:64" ht="37.5" customHeight="1" x14ac:dyDescent="0.25">
      <c r="A468" s="298" t="s">
        <v>1353</v>
      </c>
      <c r="B468" s="299" t="s">
        <v>1351</v>
      </c>
      <c r="C468" s="1547"/>
      <c r="D468" s="1551"/>
      <c r="E468" s="1551"/>
      <c r="F468" s="1551"/>
      <c r="G468" s="1551"/>
      <c r="H468" s="1551"/>
      <c r="I468" s="1425"/>
      <c r="J468" s="379"/>
      <c r="K468" s="1428" t="s">
        <v>1435</v>
      </c>
      <c r="L468" s="301" t="s">
        <v>1358</v>
      </c>
      <c r="M468" s="1425" t="s">
        <v>902</v>
      </c>
      <c r="N468" s="476" t="s">
        <v>2514</v>
      </c>
      <c r="O468" s="1425" t="s">
        <v>47</v>
      </c>
      <c r="P468" s="1198" t="s">
        <v>2553</v>
      </c>
      <c r="Q468" s="302" t="s">
        <v>1437</v>
      </c>
      <c r="R468" s="351">
        <v>2015</v>
      </c>
      <c r="S468" s="303">
        <v>0</v>
      </c>
      <c r="T468" s="303">
        <v>1</v>
      </c>
      <c r="U468" s="572">
        <v>1</v>
      </c>
      <c r="V468" s="572">
        <v>1</v>
      </c>
      <c r="W468" s="572">
        <v>1</v>
      </c>
      <c r="X468" s="572">
        <v>4</v>
      </c>
      <c r="Y468" s="491">
        <v>1</v>
      </c>
      <c r="Z468" s="584"/>
      <c r="AA468" s="481"/>
      <c r="AB468" s="481"/>
      <c r="AC468" s="481"/>
      <c r="AD468" s="481"/>
      <c r="AE468" s="481"/>
      <c r="AF468" s="481">
        <f t="shared" si="375"/>
        <v>1</v>
      </c>
      <c r="AG468" s="548"/>
      <c r="AH468" s="491">
        <v>1</v>
      </c>
      <c r="AI468" s="548"/>
      <c r="AJ468" s="548"/>
      <c r="AK468" s="548"/>
      <c r="AL468" s="548"/>
      <c r="AM468" s="548">
        <f t="shared" si="396"/>
        <v>1</v>
      </c>
      <c r="AN468" s="491">
        <v>1</v>
      </c>
      <c r="AO468" s="481"/>
      <c r="AP468" s="481"/>
      <c r="AQ468" s="481"/>
      <c r="AR468" s="481"/>
      <c r="AS468" s="481"/>
      <c r="AT468" s="481"/>
      <c r="AU468" s="481">
        <f>SUM(AN468:AT468)</f>
        <v>1</v>
      </c>
      <c r="AV468" s="491">
        <v>3</v>
      </c>
      <c r="AW468" s="548"/>
      <c r="AX468" s="548"/>
      <c r="AY468" s="548"/>
      <c r="AZ468" s="548"/>
      <c r="BA468" s="548"/>
      <c r="BB468" s="548"/>
      <c r="BC468" s="548">
        <f>SUM(AV468:BB468)</f>
        <v>3</v>
      </c>
      <c r="BD468" s="42">
        <f>+AV468+AN468+AG468+Y468</f>
        <v>5</v>
      </c>
      <c r="BE468" s="42">
        <f>+AW468+AO468+AH468+Z468</f>
        <v>1</v>
      </c>
      <c r="BF468" s="42">
        <f>+AX468+AP468+AI468+AA468</f>
        <v>0</v>
      </c>
      <c r="BG468" s="42">
        <f>+AY468+AQ468+AJ468+AB468</f>
        <v>0</v>
      </c>
      <c r="BH468" s="42">
        <f>+AZ468+AR468+AK468+AC468</f>
        <v>0</v>
      </c>
      <c r="BI468" s="42">
        <f>+AD468+AS468+BA468</f>
        <v>0</v>
      </c>
      <c r="BJ468" s="42">
        <f>+BB468+AT468+AL468+AE468</f>
        <v>0</v>
      </c>
      <c r="BK468" s="42">
        <f>+BC468+AU468+AM468+AF468</f>
        <v>6</v>
      </c>
      <c r="BL468" s="40">
        <f t="shared" si="386"/>
        <v>6</v>
      </c>
    </row>
    <row r="469" spans="1:64" ht="49.5" customHeight="1" x14ac:dyDescent="0.25">
      <c r="A469" s="298" t="s">
        <v>1353</v>
      </c>
      <c r="B469" s="299" t="s">
        <v>1351</v>
      </c>
      <c r="C469" s="1547"/>
      <c r="D469" s="1551"/>
      <c r="E469" s="1551"/>
      <c r="F469" s="1551"/>
      <c r="G469" s="1551"/>
      <c r="H469" s="1551"/>
      <c r="I469" s="1425"/>
      <c r="J469" s="379"/>
      <c r="K469" s="1428" t="s">
        <v>1438</v>
      </c>
      <c r="L469" s="301" t="s">
        <v>1358</v>
      </c>
      <c r="M469" s="1425" t="s">
        <v>902</v>
      </c>
      <c r="N469" s="476" t="s">
        <v>2514</v>
      </c>
      <c r="O469" s="1425" t="s">
        <v>47</v>
      </c>
      <c r="P469" s="16" t="s">
        <v>1439</v>
      </c>
      <c r="Q469" s="302" t="s">
        <v>914</v>
      </c>
      <c r="R469" s="351">
        <v>2015</v>
      </c>
      <c r="S469" s="303">
        <v>0</v>
      </c>
      <c r="T469" s="303">
        <v>1</v>
      </c>
      <c r="U469" s="572">
        <v>1</v>
      </c>
      <c r="V469" s="572">
        <v>1</v>
      </c>
      <c r="W469" s="572">
        <v>1</v>
      </c>
      <c r="X469" s="572">
        <v>4</v>
      </c>
      <c r="Y469" s="481"/>
      <c r="Z469" s="584"/>
      <c r="AA469" s="481"/>
      <c r="AB469" s="481"/>
      <c r="AC469" s="481"/>
      <c r="AD469" s="481">
        <v>2</v>
      </c>
      <c r="AE469" s="481"/>
      <c r="AF469" s="481">
        <f t="shared" si="375"/>
        <v>2</v>
      </c>
      <c r="AG469" s="548">
        <v>2</v>
      </c>
      <c r="AH469" s="548"/>
      <c r="AI469" s="548"/>
      <c r="AJ469" s="548"/>
      <c r="AK469" s="548"/>
      <c r="AL469" s="548"/>
      <c r="AM469" s="548">
        <f t="shared" si="396"/>
        <v>2</v>
      </c>
      <c r="AN469" s="481">
        <v>2</v>
      </c>
      <c r="AO469" s="481"/>
      <c r="AP469" s="481"/>
      <c r="AQ469" s="481"/>
      <c r="AR469" s="481"/>
      <c r="AS469" s="481"/>
      <c r="AT469" s="481"/>
      <c r="AU469" s="481">
        <f>SUM(AN469:AT469)</f>
        <v>2</v>
      </c>
      <c r="AV469" s="548">
        <v>2</v>
      </c>
      <c r="AW469" s="548"/>
      <c r="AX469" s="548"/>
      <c r="AY469" s="548"/>
      <c r="AZ469" s="548"/>
      <c r="BA469" s="548"/>
      <c r="BB469" s="548"/>
      <c r="BC469" s="548">
        <f>SUM(AV469:BB469)</f>
        <v>2</v>
      </c>
      <c r="BD469" s="42">
        <v>2</v>
      </c>
      <c r="BE469" s="42"/>
      <c r="BF469" s="42"/>
      <c r="BG469" s="42"/>
      <c r="BH469" s="42"/>
      <c r="BI469" s="42"/>
      <c r="BJ469" s="42"/>
      <c r="BK469" s="42">
        <f>+BC469+AU469+AM469+AF469</f>
        <v>8</v>
      </c>
      <c r="BL469" s="40">
        <f t="shared" si="386"/>
        <v>8</v>
      </c>
    </row>
    <row r="470" spans="1:64" ht="42" customHeight="1" x14ac:dyDescent="0.25">
      <c r="A470" s="298" t="s">
        <v>1353</v>
      </c>
      <c r="B470" s="299" t="s">
        <v>1351</v>
      </c>
      <c r="C470" s="1548"/>
      <c r="D470" s="1552"/>
      <c r="E470" s="1552"/>
      <c r="F470" s="1552"/>
      <c r="G470" s="1552"/>
      <c r="H470" s="1552"/>
      <c r="I470" s="1425"/>
      <c r="J470" s="379"/>
      <c r="K470" s="1428" t="s">
        <v>1440</v>
      </c>
      <c r="L470" s="301" t="s">
        <v>1358</v>
      </c>
      <c r="M470" s="1425" t="s">
        <v>902</v>
      </c>
      <c r="N470" s="476" t="s">
        <v>2514</v>
      </c>
      <c r="O470" s="1425" t="s">
        <v>47</v>
      </c>
      <c r="P470" s="16" t="s">
        <v>1441</v>
      </c>
      <c r="Q470" s="302" t="s">
        <v>71</v>
      </c>
      <c r="R470" s="351">
        <v>2015</v>
      </c>
      <c r="S470" s="303">
        <v>0</v>
      </c>
      <c r="T470" s="303">
        <v>1</v>
      </c>
      <c r="U470" s="572">
        <v>1</v>
      </c>
      <c r="V470" s="572">
        <v>1</v>
      </c>
      <c r="W470" s="572">
        <v>1</v>
      </c>
      <c r="X470" s="572">
        <v>4</v>
      </c>
      <c r="Y470" s="481">
        <v>5</v>
      </c>
      <c r="Z470" s="584"/>
      <c r="AA470" s="481"/>
      <c r="AB470" s="481"/>
      <c r="AC470" s="481"/>
      <c r="AD470" s="481">
        <v>7</v>
      </c>
      <c r="AE470" s="481"/>
      <c r="AF470" s="481">
        <f t="shared" si="375"/>
        <v>12</v>
      </c>
      <c r="AG470" s="548">
        <v>2</v>
      </c>
      <c r="AH470" s="548"/>
      <c r="AI470" s="548">
        <v>3</v>
      </c>
      <c r="AJ470" s="548"/>
      <c r="AK470" s="548"/>
      <c r="AL470" s="548"/>
      <c r="AM470" s="548">
        <f t="shared" si="396"/>
        <v>5</v>
      </c>
      <c r="AN470" s="481">
        <v>2</v>
      </c>
      <c r="AO470" s="481"/>
      <c r="AP470" s="481"/>
      <c r="AQ470" s="481"/>
      <c r="AR470" s="481"/>
      <c r="AS470" s="481"/>
      <c r="AT470" s="481"/>
      <c r="AU470" s="481">
        <f>SUM(AN470:AT470)</f>
        <v>2</v>
      </c>
      <c r="AV470" s="548">
        <v>2</v>
      </c>
      <c r="AW470" s="548"/>
      <c r="AX470" s="548"/>
      <c r="AY470" s="548"/>
      <c r="AZ470" s="548"/>
      <c r="BA470" s="548"/>
      <c r="BB470" s="548"/>
      <c r="BC470" s="548">
        <f>SUM(AV470:BB470)</f>
        <v>2</v>
      </c>
      <c r="BD470" s="42">
        <f t="shared" si="388"/>
        <v>11</v>
      </c>
      <c r="BE470" s="42">
        <f t="shared" si="389"/>
        <v>0</v>
      </c>
      <c r="BF470" s="42">
        <f t="shared" si="390"/>
        <v>3</v>
      </c>
      <c r="BG470" s="42">
        <f t="shared" si="391"/>
        <v>0</v>
      </c>
      <c r="BH470" s="42">
        <f t="shared" si="392"/>
        <v>0</v>
      </c>
      <c r="BI470" s="42">
        <f t="shared" si="395"/>
        <v>7</v>
      </c>
      <c r="BJ470" s="42">
        <f t="shared" si="393"/>
        <v>0</v>
      </c>
      <c r="BK470" s="42">
        <f t="shared" si="394"/>
        <v>21</v>
      </c>
      <c r="BL470" s="40">
        <f t="shared" si="386"/>
        <v>21</v>
      </c>
    </row>
    <row r="471" spans="1:64" ht="49.5" customHeight="1" x14ac:dyDescent="0.25">
      <c r="A471" s="298" t="s">
        <v>1353</v>
      </c>
      <c r="B471" s="299" t="s">
        <v>1351</v>
      </c>
      <c r="C471" s="1424"/>
      <c r="D471" s="1427"/>
      <c r="E471" s="1427"/>
      <c r="F471" s="1427"/>
      <c r="G471" s="1427"/>
      <c r="H471" s="1427"/>
      <c r="I471" s="1425"/>
      <c r="J471" s="379"/>
      <c r="K471" s="1428" t="s">
        <v>1442</v>
      </c>
      <c r="L471" s="301" t="s">
        <v>1358</v>
      </c>
      <c r="M471" s="1425" t="s">
        <v>902</v>
      </c>
      <c r="N471" s="476" t="s">
        <v>2514</v>
      </c>
      <c r="O471" s="1425" t="s">
        <v>47</v>
      </c>
      <c r="P471" s="16" t="s">
        <v>1443</v>
      </c>
      <c r="Q471" s="352" t="s">
        <v>2554</v>
      </c>
      <c r="R471" s="351">
        <v>2015</v>
      </c>
      <c r="S471" s="303">
        <v>0</v>
      </c>
      <c r="T471" s="303">
        <v>0</v>
      </c>
      <c r="U471" s="572">
        <v>1</v>
      </c>
      <c r="V471" s="572">
        <v>0</v>
      </c>
      <c r="W471" s="572">
        <v>0</v>
      </c>
      <c r="X471" s="572">
        <v>1</v>
      </c>
      <c r="Y471" s="481"/>
      <c r="Z471" s="584"/>
      <c r="AA471" s="481"/>
      <c r="AB471" s="481"/>
      <c r="AC471" s="481"/>
      <c r="AD471" s="481"/>
      <c r="AE471" s="481"/>
      <c r="AF471" s="481"/>
      <c r="AG471" s="548"/>
      <c r="AH471" s="491">
        <v>1</v>
      </c>
      <c r="AI471" s="548"/>
      <c r="AJ471" s="548"/>
      <c r="AK471" s="548"/>
      <c r="AL471" s="548"/>
      <c r="AM471" s="548">
        <f t="shared" si="396"/>
        <v>1</v>
      </c>
      <c r="AN471" s="481"/>
      <c r="AO471" s="481"/>
      <c r="AP471" s="481"/>
      <c r="AQ471" s="481"/>
      <c r="AR471" s="481"/>
      <c r="AS471" s="481"/>
      <c r="AT471" s="481"/>
      <c r="AU471" s="481"/>
      <c r="AV471" s="548"/>
      <c r="AW471" s="548"/>
      <c r="AX471" s="548"/>
      <c r="AY471" s="548"/>
      <c r="AZ471" s="548"/>
      <c r="BA471" s="548"/>
      <c r="BB471" s="548"/>
      <c r="BC471" s="548"/>
      <c r="BD471" s="42"/>
      <c r="BE471" s="42"/>
      <c r="BF471" s="42"/>
      <c r="BG471" s="42"/>
      <c r="BH471" s="42"/>
      <c r="BI471" s="42"/>
      <c r="BJ471" s="42"/>
      <c r="BK471" s="42"/>
      <c r="BL471" s="40">
        <f t="shared" si="386"/>
        <v>1</v>
      </c>
    </row>
    <row r="472" spans="1:64" ht="46.5" customHeight="1" x14ac:dyDescent="0.25">
      <c r="A472" s="811" t="s">
        <v>1353</v>
      </c>
      <c r="B472" s="812" t="s">
        <v>1351</v>
      </c>
      <c r="C472" s="813"/>
      <c r="D472" s="814"/>
      <c r="E472" s="814"/>
      <c r="F472" s="814"/>
      <c r="G472" s="814"/>
      <c r="H472" s="814"/>
      <c r="I472" s="815"/>
      <c r="J472" s="816"/>
      <c r="K472" s="817" t="s">
        <v>1445</v>
      </c>
      <c r="L472" s="818" t="s">
        <v>1358</v>
      </c>
      <c r="M472" s="815" t="s">
        <v>902</v>
      </c>
      <c r="N472" s="819" t="s">
        <v>2514</v>
      </c>
      <c r="O472" s="815" t="s">
        <v>47</v>
      </c>
      <c r="P472" s="820" t="s">
        <v>1446</v>
      </c>
      <c r="Q472" s="821" t="s">
        <v>1447</v>
      </c>
      <c r="R472" s="822">
        <v>2015</v>
      </c>
      <c r="S472" s="815">
        <v>0</v>
      </c>
      <c r="T472" s="815">
        <v>0</v>
      </c>
      <c r="U472" s="823">
        <v>0</v>
      </c>
      <c r="V472" s="823">
        <v>1</v>
      </c>
      <c r="W472" s="823">
        <v>0</v>
      </c>
      <c r="X472" s="823">
        <v>1</v>
      </c>
      <c r="Y472" s="824"/>
      <c r="Z472" s="825"/>
      <c r="AA472" s="824"/>
      <c r="AB472" s="824"/>
      <c r="AC472" s="824"/>
      <c r="AD472" s="824"/>
      <c r="AE472" s="824"/>
      <c r="AF472" s="824"/>
      <c r="AG472" s="824"/>
      <c r="AH472" s="824"/>
      <c r="AI472" s="824"/>
      <c r="AJ472" s="824"/>
      <c r="AK472" s="824"/>
      <c r="AL472" s="824"/>
      <c r="AM472" s="824"/>
      <c r="AN472" s="824"/>
      <c r="AO472" s="824">
        <v>1</v>
      </c>
      <c r="AP472" s="824"/>
      <c r="AQ472" s="824"/>
      <c r="AR472" s="824"/>
      <c r="AS472" s="824"/>
      <c r="AT472" s="824"/>
      <c r="AU472" s="824">
        <f>SUM(AN472:AT472)</f>
        <v>1</v>
      </c>
      <c r="AV472" s="824"/>
      <c r="AW472" s="824"/>
      <c r="AX472" s="824"/>
      <c r="AY472" s="824"/>
      <c r="AZ472" s="824"/>
      <c r="BA472" s="824"/>
      <c r="BB472" s="824"/>
      <c r="BC472" s="824"/>
      <c r="BD472" s="824"/>
      <c r="BE472" s="824"/>
      <c r="BF472" s="824"/>
      <c r="BG472" s="824"/>
      <c r="BH472" s="824"/>
      <c r="BI472" s="824"/>
      <c r="BJ472" s="824"/>
      <c r="BK472" s="824"/>
      <c r="BL472" s="40">
        <f t="shared" si="386"/>
        <v>1</v>
      </c>
    </row>
    <row r="473" spans="1:64" ht="20.399999999999999" x14ac:dyDescent="0.25">
      <c r="A473" s="420"/>
      <c r="B473" s="1565" t="s">
        <v>1448</v>
      </c>
      <c r="C473" s="1566"/>
      <c r="D473" s="1566"/>
      <c r="E473" s="1566"/>
      <c r="F473" s="1566"/>
      <c r="G473" s="1566"/>
      <c r="H473" s="1566"/>
      <c r="I473" s="1566"/>
      <c r="J473" s="1566"/>
      <c r="K473" s="1566"/>
      <c r="L473" s="1566"/>
      <c r="M473" s="1567"/>
      <c r="N473" s="381"/>
      <c r="O473" s="381"/>
      <c r="P473" s="383"/>
      <c r="Q473" s="383"/>
      <c r="R473" s="597"/>
      <c r="S473" s="597"/>
      <c r="T473" s="597"/>
      <c r="U473" s="599"/>
      <c r="V473" s="599"/>
      <c r="W473" s="599"/>
      <c r="X473" s="599"/>
      <c r="Y473" s="600">
        <f>+Y474+Y482</f>
        <v>175.7</v>
      </c>
      <c r="Z473" s="600">
        <f t="shared" ref="Z473:AE473" si="397">+Z474+Z482</f>
        <v>0</v>
      </c>
      <c r="AA473" s="600">
        <f t="shared" si="397"/>
        <v>15.6</v>
      </c>
      <c r="AB473" s="600">
        <f t="shared" si="397"/>
        <v>0</v>
      </c>
      <c r="AC473" s="600">
        <f t="shared" si="397"/>
        <v>0</v>
      </c>
      <c r="AD473" s="600">
        <f t="shared" si="397"/>
        <v>14.8</v>
      </c>
      <c r="AE473" s="600">
        <f t="shared" si="397"/>
        <v>0</v>
      </c>
      <c r="AF473" s="600">
        <f t="shared" ref="AF473:AF489" si="398">SUM(Y473:AE473)</f>
        <v>206.1</v>
      </c>
      <c r="AG473" s="600">
        <f t="shared" ref="AG473:AL473" si="399">+AG474+AG482</f>
        <v>182</v>
      </c>
      <c r="AH473" s="600">
        <f t="shared" si="399"/>
        <v>0</v>
      </c>
      <c r="AI473" s="600">
        <f t="shared" si="399"/>
        <v>38</v>
      </c>
      <c r="AJ473" s="600">
        <f t="shared" si="399"/>
        <v>0</v>
      </c>
      <c r="AK473" s="600">
        <f t="shared" si="399"/>
        <v>0</v>
      </c>
      <c r="AL473" s="600">
        <f t="shared" si="399"/>
        <v>0</v>
      </c>
      <c r="AM473" s="600">
        <f>SUM(AG473:AL473)</f>
        <v>220</v>
      </c>
      <c r="AN473" s="600">
        <f t="shared" ref="AN473:AT473" si="400">+AN474+AN482</f>
        <v>190</v>
      </c>
      <c r="AO473" s="600">
        <f t="shared" si="400"/>
        <v>0</v>
      </c>
      <c r="AP473" s="600">
        <f t="shared" si="400"/>
        <v>16.8</v>
      </c>
      <c r="AQ473" s="600">
        <f t="shared" si="400"/>
        <v>0</v>
      </c>
      <c r="AR473" s="600">
        <f t="shared" si="400"/>
        <v>0</v>
      </c>
      <c r="AS473" s="600">
        <f t="shared" si="400"/>
        <v>0</v>
      </c>
      <c r="AT473" s="600">
        <f t="shared" si="400"/>
        <v>0</v>
      </c>
      <c r="AU473" s="600">
        <f t="shared" ref="AU473:AU489" si="401">SUM(AN473:AT473)</f>
        <v>206.8</v>
      </c>
      <c r="AV473" s="600">
        <f t="shared" ref="AV473:BB473" si="402">+AV474+AV482</f>
        <v>197</v>
      </c>
      <c r="AW473" s="600">
        <f t="shared" si="402"/>
        <v>0</v>
      </c>
      <c r="AX473" s="600">
        <f t="shared" si="402"/>
        <v>17</v>
      </c>
      <c r="AY473" s="600">
        <f t="shared" si="402"/>
        <v>0</v>
      </c>
      <c r="AZ473" s="600">
        <f t="shared" si="402"/>
        <v>0</v>
      </c>
      <c r="BA473" s="600">
        <f t="shared" si="402"/>
        <v>0</v>
      </c>
      <c r="BB473" s="600">
        <f t="shared" si="402"/>
        <v>0</v>
      </c>
      <c r="BC473" s="600">
        <f t="shared" ref="BC473:BC489" si="403">SUM(AV473:BB473)</f>
        <v>214</v>
      </c>
      <c r="BD473" s="33">
        <f t="shared" si="388"/>
        <v>744.7</v>
      </c>
      <c r="BE473" s="33">
        <f t="shared" si="389"/>
        <v>0</v>
      </c>
      <c r="BF473" s="33">
        <f t="shared" si="390"/>
        <v>87.399999999999991</v>
      </c>
      <c r="BG473" s="33">
        <f t="shared" si="391"/>
        <v>0</v>
      </c>
      <c r="BH473" s="33">
        <f t="shared" si="392"/>
        <v>0</v>
      </c>
      <c r="BI473" s="33">
        <f t="shared" si="395"/>
        <v>14.8</v>
      </c>
      <c r="BJ473" s="33">
        <f t="shared" si="393"/>
        <v>0</v>
      </c>
      <c r="BK473" s="33">
        <f t="shared" si="394"/>
        <v>846.9</v>
      </c>
      <c r="BL473" s="40">
        <f t="shared" si="386"/>
        <v>846.90000000000009</v>
      </c>
    </row>
    <row r="474" spans="1:64" ht="26.25" customHeight="1" x14ac:dyDescent="0.25">
      <c r="A474" s="603"/>
      <c r="B474" s="154" t="s">
        <v>1448</v>
      </c>
      <c r="C474" s="154"/>
      <c r="D474" s="2" t="s">
        <v>1449</v>
      </c>
      <c r="E474" s="1"/>
      <c r="F474" s="1"/>
      <c r="G474" s="1"/>
      <c r="H474" s="1"/>
      <c r="I474" s="1"/>
      <c r="J474" s="1"/>
      <c r="K474" s="1"/>
      <c r="L474" s="1"/>
      <c r="M474" s="1"/>
      <c r="N474" s="1"/>
      <c r="O474" s="1"/>
      <c r="P474" s="22"/>
      <c r="Q474" s="22"/>
      <c r="R474" s="1"/>
      <c r="S474" s="1"/>
      <c r="T474" s="1"/>
      <c r="U474" s="49"/>
      <c r="V474" s="49"/>
      <c r="W474" s="49"/>
      <c r="X474" s="49"/>
      <c r="Y474" s="34">
        <f>SUM(Y475:Y481)</f>
        <v>25.7</v>
      </c>
      <c r="Z474" s="34">
        <f t="shared" ref="Z474:AE474" si="404">SUM(Z475:Z481)</f>
        <v>0</v>
      </c>
      <c r="AA474" s="34">
        <f t="shared" si="404"/>
        <v>15.6</v>
      </c>
      <c r="AB474" s="34">
        <f t="shared" si="404"/>
        <v>0</v>
      </c>
      <c r="AC474" s="34">
        <f t="shared" si="404"/>
        <v>0</v>
      </c>
      <c r="AD474" s="34">
        <f t="shared" si="404"/>
        <v>0</v>
      </c>
      <c r="AE474" s="34">
        <f t="shared" si="404"/>
        <v>0</v>
      </c>
      <c r="AF474" s="34">
        <f t="shared" si="398"/>
        <v>41.3</v>
      </c>
      <c r="AG474" s="34">
        <f t="shared" ref="AG474:AL474" si="405">SUM(AG475:AG481)</f>
        <v>26</v>
      </c>
      <c r="AH474" s="34">
        <f t="shared" si="405"/>
        <v>0</v>
      </c>
      <c r="AI474" s="34">
        <f t="shared" si="405"/>
        <v>0</v>
      </c>
      <c r="AJ474" s="34">
        <f t="shared" si="405"/>
        <v>0</v>
      </c>
      <c r="AK474" s="34">
        <f t="shared" si="405"/>
        <v>0</v>
      </c>
      <c r="AL474" s="34">
        <f t="shared" si="405"/>
        <v>0</v>
      </c>
      <c r="AM474" s="34">
        <f>SUM(AG474:AL474)</f>
        <v>26</v>
      </c>
      <c r="AN474" s="34">
        <f t="shared" ref="AN474:AT474" si="406">SUM(AN475:AN481)</f>
        <v>34</v>
      </c>
      <c r="AO474" s="34">
        <f t="shared" si="406"/>
        <v>0</v>
      </c>
      <c r="AP474" s="34">
        <f t="shared" si="406"/>
        <v>0</v>
      </c>
      <c r="AQ474" s="34">
        <f t="shared" si="406"/>
        <v>0</v>
      </c>
      <c r="AR474" s="34">
        <f t="shared" si="406"/>
        <v>0</v>
      </c>
      <c r="AS474" s="34">
        <f t="shared" si="406"/>
        <v>0</v>
      </c>
      <c r="AT474" s="34">
        <f t="shared" si="406"/>
        <v>0</v>
      </c>
      <c r="AU474" s="34">
        <f t="shared" si="401"/>
        <v>34</v>
      </c>
      <c r="AV474" s="34">
        <f t="shared" ref="AV474:BB474" si="407">SUM(AV475:AV481)</f>
        <v>37</v>
      </c>
      <c r="AW474" s="34">
        <f t="shared" si="407"/>
        <v>0</v>
      </c>
      <c r="AX474" s="34">
        <f t="shared" si="407"/>
        <v>0</v>
      </c>
      <c r="AY474" s="34">
        <f t="shared" si="407"/>
        <v>0</v>
      </c>
      <c r="AZ474" s="34">
        <f t="shared" si="407"/>
        <v>0</v>
      </c>
      <c r="BA474" s="34">
        <f t="shared" si="407"/>
        <v>0</v>
      </c>
      <c r="BB474" s="34">
        <f t="shared" si="407"/>
        <v>0</v>
      </c>
      <c r="BC474" s="34">
        <f t="shared" si="403"/>
        <v>37</v>
      </c>
      <c r="BD474" s="34">
        <f t="shared" si="388"/>
        <v>122.7</v>
      </c>
      <c r="BE474" s="34">
        <f t="shared" si="389"/>
        <v>0</v>
      </c>
      <c r="BF474" s="34">
        <f t="shared" si="390"/>
        <v>15.6</v>
      </c>
      <c r="BG474" s="34">
        <f t="shared" si="391"/>
        <v>0</v>
      </c>
      <c r="BH474" s="34">
        <f t="shared" si="392"/>
        <v>0</v>
      </c>
      <c r="BI474" s="34">
        <f t="shared" si="395"/>
        <v>0</v>
      </c>
      <c r="BJ474" s="34">
        <f t="shared" si="393"/>
        <v>0</v>
      </c>
      <c r="BK474" s="34">
        <f t="shared" si="394"/>
        <v>138.30000000000001</v>
      </c>
      <c r="BL474" s="40">
        <f t="shared" si="386"/>
        <v>138.30000000000001</v>
      </c>
    </row>
    <row r="475" spans="1:64" ht="44.25" customHeight="1" x14ac:dyDescent="0.25">
      <c r="A475" s="298" t="s">
        <v>1450</v>
      </c>
      <c r="B475" s="299" t="s">
        <v>1448</v>
      </c>
      <c r="C475" s="1546" t="s">
        <v>1451</v>
      </c>
      <c r="D475" s="1549" t="s">
        <v>1452</v>
      </c>
      <c r="E475" s="1549" t="s">
        <v>1453</v>
      </c>
      <c r="F475" s="1549">
        <v>2015</v>
      </c>
      <c r="G475" s="1549" t="s">
        <v>177</v>
      </c>
      <c r="H475" s="1549">
        <v>20</v>
      </c>
      <c r="I475" s="1425"/>
      <c r="J475" s="1425"/>
      <c r="K475" s="1425" t="s">
        <v>1454</v>
      </c>
      <c r="L475" s="301" t="s">
        <v>179</v>
      </c>
      <c r="M475" s="1425" t="s">
        <v>902</v>
      </c>
      <c r="N475" s="1425" t="s">
        <v>2484</v>
      </c>
      <c r="O475" s="1425" t="s">
        <v>47</v>
      </c>
      <c r="P475" s="16" t="s">
        <v>1455</v>
      </c>
      <c r="Q475" s="302" t="s">
        <v>1456</v>
      </c>
      <c r="R475" s="351">
        <v>2015</v>
      </c>
      <c r="S475" s="303">
        <v>0</v>
      </c>
      <c r="T475" s="303">
        <v>0</v>
      </c>
      <c r="U475" s="572">
        <v>1</v>
      </c>
      <c r="V475" s="572">
        <v>0</v>
      </c>
      <c r="W475" s="572">
        <v>0</v>
      </c>
      <c r="X475" s="572">
        <f>SUBTOTAL(9,T475:W475)</f>
        <v>1</v>
      </c>
      <c r="Y475" s="481"/>
      <c r="Z475" s="481"/>
      <c r="AA475" s="481"/>
      <c r="AB475" s="481"/>
      <c r="AC475" s="481"/>
      <c r="AD475" s="481"/>
      <c r="AE475" s="481"/>
      <c r="AF475" s="481">
        <f t="shared" si="398"/>
        <v>0</v>
      </c>
      <c r="AG475" s="491">
        <v>1</v>
      </c>
      <c r="AH475" s="548"/>
      <c r="AI475" s="548"/>
      <c r="AJ475" s="548"/>
      <c r="AK475" s="548"/>
      <c r="AL475" s="548"/>
      <c r="AM475" s="548">
        <f>SUM(AG475:AL475)</f>
        <v>1</v>
      </c>
      <c r="AN475" s="481"/>
      <c r="AO475" s="481"/>
      <c r="AP475" s="481"/>
      <c r="AQ475" s="481"/>
      <c r="AR475" s="481"/>
      <c r="AS475" s="481"/>
      <c r="AT475" s="481"/>
      <c r="AU475" s="481">
        <f t="shared" si="401"/>
        <v>0</v>
      </c>
      <c r="AV475" s="548"/>
      <c r="AW475" s="548"/>
      <c r="AX475" s="548"/>
      <c r="AY475" s="548"/>
      <c r="AZ475" s="548"/>
      <c r="BA475" s="548"/>
      <c r="BB475" s="548"/>
      <c r="BC475" s="548">
        <f t="shared" si="403"/>
        <v>0</v>
      </c>
      <c r="BD475" s="42">
        <f t="shared" si="388"/>
        <v>1</v>
      </c>
      <c r="BE475" s="42">
        <f t="shared" si="389"/>
        <v>0</v>
      </c>
      <c r="BF475" s="42">
        <f t="shared" si="390"/>
        <v>0</v>
      </c>
      <c r="BG475" s="42">
        <f t="shared" si="391"/>
        <v>0</v>
      </c>
      <c r="BH475" s="42">
        <f t="shared" si="392"/>
        <v>0</v>
      </c>
      <c r="BI475" s="42">
        <f t="shared" si="395"/>
        <v>0</v>
      </c>
      <c r="BJ475" s="42">
        <f t="shared" si="393"/>
        <v>0</v>
      </c>
      <c r="BK475" s="42">
        <f t="shared" si="394"/>
        <v>1</v>
      </c>
      <c r="BL475" s="40">
        <f t="shared" si="386"/>
        <v>1</v>
      </c>
    </row>
    <row r="476" spans="1:64" ht="42.75" customHeight="1" x14ac:dyDescent="0.25">
      <c r="A476" s="298" t="s">
        <v>1450</v>
      </c>
      <c r="B476" s="299" t="s">
        <v>1448</v>
      </c>
      <c r="C476" s="1547"/>
      <c r="D476" s="1549"/>
      <c r="E476" s="1549"/>
      <c r="F476" s="1549"/>
      <c r="G476" s="1549"/>
      <c r="H476" s="1549"/>
      <c r="I476" s="1425" t="s">
        <v>53</v>
      </c>
      <c r="J476" s="1425"/>
      <c r="K476" s="1425" t="s">
        <v>1457</v>
      </c>
      <c r="L476" s="301" t="s">
        <v>179</v>
      </c>
      <c r="M476" s="1425" t="s">
        <v>902</v>
      </c>
      <c r="N476" s="1425" t="s">
        <v>2484</v>
      </c>
      <c r="O476" s="1425" t="s">
        <v>47</v>
      </c>
      <c r="P476" s="16" t="s">
        <v>1458</v>
      </c>
      <c r="Q476" s="302" t="s">
        <v>1459</v>
      </c>
      <c r="R476" s="303">
        <v>2015</v>
      </c>
      <c r="S476" s="303">
        <v>0</v>
      </c>
      <c r="T476" s="303">
        <v>0.5</v>
      </c>
      <c r="U476" s="572">
        <v>0.5</v>
      </c>
      <c r="V476" s="572">
        <v>0</v>
      </c>
      <c r="W476" s="572">
        <v>0</v>
      </c>
      <c r="X476" s="572">
        <f>SUBTOTAL(9,T476:W476)</f>
        <v>1</v>
      </c>
      <c r="Y476" s="491"/>
      <c r="Z476" s="481"/>
      <c r="AA476" s="481">
        <v>5</v>
      </c>
      <c r="AB476" s="481"/>
      <c r="AC476" s="481"/>
      <c r="AD476" s="481"/>
      <c r="AE476" s="481"/>
      <c r="AF476" s="481">
        <f t="shared" si="398"/>
        <v>5</v>
      </c>
      <c r="AG476" s="548">
        <v>1</v>
      </c>
      <c r="AH476" s="548"/>
      <c r="AI476" s="548"/>
      <c r="AJ476" s="548"/>
      <c r="AK476" s="548"/>
      <c r="AL476" s="548"/>
      <c r="AM476" s="548">
        <f>SUM(AG476:AL476)</f>
        <v>1</v>
      </c>
      <c r="AN476" s="481"/>
      <c r="AO476" s="481"/>
      <c r="AP476" s="481"/>
      <c r="AQ476" s="481"/>
      <c r="AR476" s="481"/>
      <c r="AS476" s="481"/>
      <c r="AT476" s="481"/>
      <c r="AU476" s="481">
        <f t="shared" si="401"/>
        <v>0</v>
      </c>
      <c r="AV476" s="548"/>
      <c r="AW476" s="548"/>
      <c r="AX476" s="548"/>
      <c r="AY476" s="548"/>
      <c r="AZ476" s="548"/>
      <c r="BA476" s="548"/>
      <c r="BB476" s="548"/>
      <c r="BC476" s="548">
        <f t="shared" si="403"/>
        <v>0</v>
      </c>
      <c r="BD476" s="42">
        <f t="shared" si="388"/>
        <v>1</v>
      </c>
      <c r="BE476" s="42">
        <f t="shared" si="389"/>
        <v>0</v>
      </c>
      <c r="BF476" s="42">
        <f t="shared" si="390"/>
        <v>5</v>
      </c>
      <c r="BG476" s="42">
        <f t="shared" si="391"/>
        <v>0</v>
      </c>
      <c r="BH476" s="42">
        <f t="shared" si="392"/>
        <v>0</v>
      </c>
      <c r="BI476" s="42">
        <f t="shared" si="395"/>
        <v>0</v>
      </c>
      <c r="BJ476" s="42">
        <f t="shared" si="393"/>
        <v>0</v>
      </c>
      <c r="BK476" s="42">
        <f t="shared" si="394"/>
        <v>6</v>
      </c>
      <c r="BL476" s="40">
        <f t="shared" si="386"/>
        <v>6</v>
      </c>
    </row>
    <row r="477" spans="1:64" ht="25.5" customHeight="1" x14ac:dyDescent="0.25">
      <c r="A477" s="298" t="s">
        <v>1450</v>
      </c>
      <c r="B477" s="299" t="s">
        <v>1448</v>
      </c>
      <c r="C477" s="1547"/>
      <c r="D477" s="1549"/>
      <c r="E477" s="1549"/>
      <c r="F477" s="1549"/>
      <c r="G477" s="1549"/>
      <c r="H477" s="1549"/>
      <c r="I477" s="1425"/>
      <c r="J477" s="1425"/>
      <c r="K477" s="1425" t="s">
        <v>1460</v>
      </c>
      <c r="L477" s="301" t="s">
        <v>179</v>
      </c>
      <c r="M477" s="1425" t="s">
        <v>902</v>
      </c>
      <c r="N477" s="1425" t="s">
        <v>2484</v>
      </c>
      <c r="O477" s="1425" t="s">
        <v>47</v>
      </c>
      <c r="P477" s="16" t="s">
        <v>1461</v>
      </c>
      <c r="Q477" s="302" t="s">
        <v>1462</v>
      </c>
      <c r="R477" s="351">
        <v>2015</v>
      </c>
      <c r="S477" s="303">
        <v>0</v>
      </c>
      <c r="T477" s="303">
        <v>0.5</v>
      </c>
      <c r="U477" s="572">
        <v>0.5</v>
      </c>
      <c r="V477" s="572">
        <v>0</v>
      </c>
      <c r="W477" s="572">
        <v>0</v>
      </c>
      <c r="X477" s="572">
        <v>1</v>
      </c>
      <c r="Y477" s="481">
        <v>2</v>
      </c>
      <c r="Z477" s="481"/>
      <c r="AA477" s="481"/>
      <c r="AB477" s="481"/>
      <c r="AC477" s="481"/>
      <c r="AD477" s="481"/>
      <c r="AE477" s="481"/>
      <c r="AF477" s="481">
        <f t="shared" si="398"/>
        <v>2</v>
      </c>
      <c r="AG477" s="548">
        <v>1</v>
      </c>
      <c r="AH477" s="548"/>
      <c r="AI477" s="548"/>
      <c r="AJ477" s="548"/>
      <c r="AK477" s="548"/>
      <c r="AL477" s="548"/>
      <c r="AM477" s="548"/>
      <c r="AN477" s="481"/>
      <c r="AO477" s="481"/>
      <c r="AP477" s="481"/>
      <c r="AQ477" s="481"/>
      <c r="AR477" s="481"/>
      <c r="AS477" s="481"/>
      <c r="AT477" s="481"/>
      <c r="AU477" s="481"/>
      <c r="AV477" s="548"/>
      <c r="AW477" s="548"/>
      <c r="AX477" s="548"/>
      <c r="AY477" s="548"/>
      <c r="AZ477" s="548"/>
      <c r="BA477" s="548"/>
      <c r="BB477" s="548"/>
      <c r="BC477" s="548"/>
      <c r="BD477" s="42"/>
      <c r="BE477" s="42"/>
      <c r="BF477" s="42"/>
      <c r="BG477" s="42"/>
      <c r="BH477" s="42"/>
      <c r="BI477" s="42">
        <f t="shared" si="395"/>
        <v>0</v>
      </c>
      <c r="BJ477" s="42"/>
      <c r="BK477" s="42"/>
      <c r="BL477" s="40">
        <f t="shared" si="386"/>
        <v>2</v>
      </c>
    </row>
    <row r="478" spans="1:64" ht="27.75" customHeight="1" x14ac:dyDescent="0.25">
      <c r="A478" s="298" t="s">
        <v>1450</v>
      </c>
      <c r="B478" s="299" t="s">
        <v>1448</v>
      </c>
      <c r="C478" s="1547"/>
      <c r="D478" s="1549"/>
      <c r="E478" s="1549"/>
      <c r="F478" s="1549"/>
      <c r="G478" s="1549"/>
      <c r="H478" s="1549"/>
      <c r="I478" s="1425"/>
      <c r="J478" s="1425"/>
      <c r="K478" s="1425" t="s">
        <v>1463</v>
      </c>
      <c r="L478" s="301" t="s">
        <v>179</v>
      </c>
      <c r="M478" s="1425" t="s">
        <v>902</v>
      </c>
      <c r="N478" s="1425" t="s">
        <v>2484</v>
      </c>
      <c r="O478" s="1425" t="s">
        <v>73</v>
      </c>
      <c r="P478" s="16" t="s">
        <v>1464</v>
      </c>
      <c r="Q478" s="302" t="s">
        <v>1465</v>
      </c>
      <c r="R478" s="351">
        <v>2015</v>
      </c>
      <c r="S478" s="303">
        <v>0</v>
      </c>
      <c r="T478" s="303">
        <v>3</v>
      </c>
      <c r="U478" s="572">
        <v>3</v>
      </c>
      <c r="V478" s="572">
        <v>3</v>
      </c>
      <c r="W478" s="572">
        <v>3</v>
      </c>
      <c r="X478" s="572">
        <v>3</v>
      </c>
      <c r="Y478" s="481"/>
      <c r="Z478" s="481"/>
      <c r="AA478" s="491">
        <v>5.6</v>
      </c>
      <c r="AB478" s="481"/>
      <c r="AC478" s="481"/>
      <c r="AD478" s="481"/>
      <c r="AE478" s="481"/>
      <c r="AF478" s="481">
        <f t="shared" si="398"/>
        <v>5.6</v>
      </c>
      <c r="AG478" s="491">
        <v>1</v>
      </c>
      <c r="AH478" s="548"/>
      <c r="AI478" s="548"/>
      <c r="AJ478" s="548"/>
      <c r="AK478" s="548"/>
      <c r="AL478" s="548"/>
      <c r="AM478" s="548">
        <f t="shared" ref="AM478:AM489" si="408">SUM(AG478:AL478)</f>
        <v>1</v>
      </c>
      <c r="AN478" s="491">
        <v>5</v>
      </c>
      <c r="AO478" s="481"/>
      <c r="AP478" s="481"/>
      <c r="AQ478" s="481"/>
      <c r="AR478" s="481"/>
      <c r="AS478" s="481"/>
      <c r="AT478" s="481"/>
      <c r="AU478" s="481">
        <f t="shared" si="401"/>
        <v>5</v>
      </c>
      <c r="AV478" s="491">
        <v>7</v>
      </c>
      <c r="AW478" s="548"/>
      <c r="AX478" s="548"/>
      <c r="AY478" s="548"/>
      <c r="AZ478" s="548"/>
      <c r="BA478" s="548"/>
      <c r="BB478" s="548"/>
      <c r="BC478" s="548">
        <f t="shared" si="403"/>
        <v>7</v>
      </c>
      <c r="BD478" s="42">
        <f t="shared" ref="BD478:BD489" si="409">+AV478+AN478+AG478+Y478</f>
        <v>13</v>
      </c>
      <c r="BE478" s="42">
        <f t="shared" ref="BE478:BE489" si="410">+AW478+AO478+AH478+Z478</f>
        <v>0</v>
      </c>
      <c r="BF478" s="42">
        <f t="shared" ref="BF478:BF489" si="411">+AX478+AP478+AI478+AA478</f>
        <v>5.6</v>
      </c>
      <c r="BG478" s="42">
        <f t="shared" ref="BG478:BG489" si="412">+AY478+AQ478+AJ478+AB478</f>
        <v>0</v>
      </c>
      <c r="BH478" s="42">
        <f t="shared" ref="BH478:BH489" si="413">+AZ478+AR478+AK478+AC478</f>
        <v>0</v>
      </c>
      <c r="BI478" s="42">
        <f t="shared" si="395"/>
        <v>0</v>
      </c>
      <c r="BJ478" s="42">
        <f t="shared" ref="BJ478:BJ489" si="414">+BB478+AT478+AL478+AE478</f>
        <v>0</v>
      </c>
      <c r="BK478" s="42">
        <f t="shared" ref="BK478:BK489" si="415">+BC478+AU478+AM478+AF478</f>
        <v>18.600000000000001</v>
      </c>
      <c r="BL478" s="40">
        <f t="shared" si="386"/>
        <v>18.600000000000001</v>
      </c>
    </row>
    <row r="479" spans="1:64" ht="22.5" customHeight="1" x14ac:dyDescent="0.25">
      <c r="A479" s="298" t="s">
        <v>1450</v>
      </c>
      <c r="B479" s="299" t="s">
        <v>1448</v>
      </c>
      <c r="C479" s="1547"/>
      <c r="D479" s="1549"/>
      <c r="E479" s="1549"/>
      <c r="F479" s="1549"/>
      <c r="G479" s="1549"/>
      <c r="H479" s="1549"/>
      <c r="I479" s="1425"/>
      <c r="J479" s="1425"/>
      <c r="K479" s="1425" t="s">
        <v>1466</v>
      </c>
      <c r="L479" s="301" t="s">
        <v>179</v>
      </c>
      <c r="M479" s="1425" t="s">
        <v>902</v>
      </c>
      <c r="N479" s="1425" t="s">
        <v>2484</v>
      </c>
      <c r="O479" s="1425" t="s">
        <v>47</v>
      </c>
      <c r="P479" s="16" t="s">
        <v>1467</v>
      </c>
      <c r="Q479" s="302" t="s">
        <v>1468</v>
      </c>
      <c r="R479" s="351">
        <v>2015</v>
      </c>
      <c r="S479" s="303">
        <v>0</v>
      </c>
      <c r="T479" s="303">
        <v>0</v>
      </c>
      <c r="U479" s="572">
        <v>0</v>
      </c>
      <c r="V479" s="572">
        <v>1</v>
      </c>
      <c r="W479" s="572">
        <v>0</v>
      </c>
      <c r="X479" s="572">
        <f>SUBTOTAL(9,T479:W479)</f>
        <v>1</v>
      </c>
      <c r="Y479" s="481"/>
      <c r="Z479" s="481"/>
      <c r="AA479" s="481"/>
      <c r="AB479" s="481"/>
      <c r="AC479" s="481"/>
      <c r="AD479" s="481"/>
      <c r="AE479" s="481"/>
      <c r="AF479" s="481">
        <f t="shared" si="398"/>
        <v>0</v>
      </c>
      <c r="AG479" s="548"/>
      <c r="AH479" s="548"/>
      <c r="AI479" s="548"/>
      <c r="AJ479" s="548"/>
      <c r="AK479" s="548"/>
      <c r="AL479" s="548"/>
      <c r="AM479" s="548">
        <f t="shared" si="408"/>
        <v>0</v>
      </c>
      <c r="AN479" s="481">
        <v>5</v>
      </c>
      <c r="AO479" s="481"/>
      <c r="AP479" s="481"/>
      <c r="AQ479" s="481"/>
      <c r="AR479" s="481"/>
      <c r="AS479" s="481"/>
      <c r="AT479" s="481"/>
      <c r="AU479" s="481">
        <f t="shared" si="401"/>
        <v>5</v>
      </c>
      <c r="AV479" s="491"/>
      <c r="AW479" s="548"/>
      <c r="AX479" s="548"/>
      <c r="AY479" s="548"/>
      <c r="AZ479" s="548"/>
      <c r="BA479" s="548"/>
      <c r="BB479" s="548"/>
      <c r="BC479" s="548">
        <f t="shared" si="403"/>
        <v>0</v>
      </c>
      <c r="BD479" s="42">
        <f t="shared" si="409"/>
        <v>5</v>
      </c>
      <c r="BE479" s="42">
        <f t="shared" si="410"/>
        <v>0</v>
      </c>
      <c r="BF479" s="42">
        <f t="shared" si="411"/>
        <v>0</v>
      </c>
      <c r="BG479" s="42">
        <f t="shared" si="412"/>
        <v>0</v>
      </c>
      <c r="BH479" s="42">
        <f t="shared" si="413"/>
        <v>0</v>
      </c>
      <c r="BI479" s="42">
        <f t="shared" si="395"/>
        <v>0</v>
      </c>
      <c r="BJ479" s="42">
        <f t="shared" si="414"/>
        <v>0</v>
      </c>
      <c r="BK479" s="42">
        <f t="shared" si="415"/>
        <v>5</v>
      </c>
      <c r="BL479" s="40">
        <f t="shared" si="386"/>
        <v>5</v>
      </c>
    </row>
    <row r="480" spans="1:64" ht="42" customHeight="1" x14ac:dyDescent="0.25">
      <c r="A480" s="298" t="s">
        <v>1450</v>
      </c>
      <c r="B480" s="299" t="s">
        <v>1448</v>
      </c>
      <c r="C480" s="1547"/>
      <c r="D480" s="1549"/>
      <c r="E480" s="1549"/>
      <c r="F480" s="1549"/>
      <c r="G480" s="1549"/>
      <c r="H480" s="1549"/>
      <c r="I480" s="1425"/>
      <c r="J480" s="1425"/>
      <c r="K480" s="1425" t="s">
        <v>1469</v>
      </c>
      <c r="L480" s="301" t="s">
        <v>179</v>
      </c>
      <c r="M480" s="1425" t="s">
        <v>902</v>
      </c>
      <c r="N480" s="1425" t="s">
        <v>2484</v>
      </c>
      <c r="O480" s="1425" t="s">
        <v>47</v>
      </c>
      <c r="P480" s="1198" t="s">
        <v>2555</v>
      </c>
      <c r="Q480" s="302" t="s">
        <v>1471</v>
      </c>
      <c r="R480" s="351">
        <v>2015</v>
      </c>
      <c r="S480" s="303">
        <v>0</v>
      </c>
      <c r="T480" s="303">
        <v>0</v>
      </c>
      <c r="U480" s="572">
        <v>1</v>
      </c>
      <c r="V480" s="572">
        <v>1</v>
      </c>
      <c r="W480" s="572">
        <v>0</v>
      </c>
      <c r="X480" s="572">
        <f>SUBTOTAL(9,T480:W480)</f>
        <v>2</v>
      </c>
      <c r="Y480" s="481"/>
      <c r="Z480" s="481"/>
      <c r="AA480" s="491"/>
      <c r="AB480" s="481"/>
      <c r="AC480" s="481"/>
      <c r="AD480" s="481"/>
      <c r="AE480" s="481"/>
      <c r="AF480" s="481">
        <f t="shared" si="398"/>
        <v>0</v>
      </c>
      <c r="AG480" s="548">
        <v>2</v>
      </c>
      <c r="AH480" s="548"/>
      <c r="AI480" s="548"/>
      <c r="AJ480" s="548"/>
      <c r="AK480" s="548"/>
      <c r="AL480" s="548"/>
      <c r="AM480" s="548">
        <f t="shared" si="408"/>
        <v>2</v>
      </c>
      <c r="AN480" s="481">
        <v>4</v>
      </c>
      <c r="AO480" s="481"/>
      <c r="AP480" s="481"/>
      <c r="AQ480" s="481"/>
      <c r="AR480" s="481"/>
      <c r="AS480" s="481"/>
      <c r="AT480" s="481"/>
      <c r="AU480" s="481">
        <f t="shared" si="401"/>
        <v>4</v>
      </c>
      <c r="AV480" s="548"/>
      <c r="AW480" s="548"/>
      <c r="AX480" s="548"/>
      <c r="AY480" s="548"/>
      <c r="AZ480" s="548"/>
      <c r="BA480" s="548"/>
      <c r="BB480" s="548"/>
      <c r="BC480" s="548">
        <f t="shared" si="403"/>
        <v>0</v>
      </c>
      <c r="BD480" s="42">
        <f t="shared" si="409"/>
        <v>6</v>
      </c>
      <c r="BE480" s="42">
        <f t="shared" si="410"/>
        <v>0</v>
      </c>
      <c r="BF480" s="42">
        <f t="shared" si="411"/>
        <v>0</v>
      </c>
      <c r="BG480" s="42">
        <f t="shared" si="412"/>
        <v>0</v>
      </c>
      <c r="BH480" s="42">
        <f t="shared" si="413"/>
        <v>0</v>
      </c>
      <c r="BI480" s="42">
        <f t="shared" si="395"/>
        <v>0</v>
      </c>
      <c r="BJ480" s="42">
        <f t="shared" si="414"/>
        <v>0</v>
      </c>
      <c r="BK480" s="42">
        <f t="shared" si="415"/>
        <v>6</v>
      </c>
      <c r="BL480" s="40">
        <f t="shared" si="386"/>
        <v>6</v>
      </c>
    </row>
    <row r="481" spans="1:64" ht="28.5" customHeight="1" x14ac:dyDescent="0.25">
      <c r="A481" s="298" t="s">
        <v>1450</v>
      </c>
      <c r="B481" s="299" t="s">
        <v>1448</v>
      </c>
      <c r="C481" s="1548"/>
      <c r="D481" s="1549"/>
      <c r="E481" s="1549"/>
      <c r="F481" s="1549"/>
      <c r="G481" s="1549"/>
      <c r="H481" s="1549"/>
      <c r="I481" s="1425"/>
      <c r="J481" s="1425"/>
      <c r="K481" s="1425" t="s">
        <v>1472</v>
      </c>
      <c r="L481" s="301" t="s">
        <v>179</v>
      </c>
      <c r="M481" s="1425" t="s">
        <v>902</v>
      </c>
      <c r="N481" s="1425" t="s">
        <v>2484</v>
      </c>
      <c r="O481" s="1425" t="s">
        <v>47</v>
      </c>
      <c r="P481" s="16" t="s">
        <v>1473</v>
      </c>
      <c r="Q481" s="302" t="s">
        <v>1474</v>
      </c>
      <c r="R481" s="351">
        <v>2015</v>
      </c>
      <c r="S481" s="303">
        <v>0</v>
      </c>
      <c r="T481" s="303">
        <v>1</v>
      </c>
      <c r="U481" s="572">
        <v>1</v>
      </c>
      <c r="V481" s="572">
        <v>1</v>
      </c>
      <c r="W481" s="572">
        <v>1</v>
      </c>
      <c r="X481" s="572">
        <f>SUBTOTAL(9,T481:W481)</f>
        <v>4</v>
      </c>
      <c r="Y481" s="481">
        <v>23.7</v>
      </c>
      <c r="Z481" s="481"/>
      <c r="AA481" s="481">
        <v>5</v>
      </c>
      <c r="AB481" s="481"/>
      <c r="AC481" s="481"/>
      <c r="AD481" s="481"/>
      <c r="AE481" s="481"/>
      <c r="AF481" s="481">
        <f t="shared" si="398"/>
        <v>28.7</v>
      </c>
      <c r="AG481" s="491">
        <v>20</v>
      </c>
      <c r="AH481" s="548"/>
      <c r="AI481" s="548"/>
      <c r="AJ481" s="548"/>
      <c r="AK481" s="548"/>
      <c r="AL481" s="548"/>
      <c r="AM481" s="548">
        <f t="shared" si="408"/>
        <v>20</v>
      </c>
      <c r="AN481" s="491">
        <v>20</v>
      </c>
      <c r="AO481" s="481"/>
      <c r="AP481" s="481"/>
      <c r="AQ481" s="481"/>
      <c r="AR481" s="481"/>
      <c r="AS481" s="481"/>
      <c r="AT481" s="481"/>
      <c r="AU481" s="481">
        <f t="shared" si="401"/>
        <v>20</v>
      </c>
      <c r="AV481" s="491">
        <v>30</v>
      </c>
      <c r="AW481" s="548"/>
      <c r="AX481" s="548"/>
      <c r="AY481" s="548"/>
      <c r="AZ481" s="548"/>
      <c r="BA481" s="548"/>
      <c r="BB481" s="548"/>
      <c r="BC481" s="548">
        <f t="shared" si="403"/>
        <v>30</v>
      </c>
      <c r="BD481" s="42">
        <f t="shared" si="409"/>
        <v>93.7</v>
      </c>
      <c r="BE481" s="42">
        <f t="shared" si="410"/>
        <v>0</v>
      </c>
      <c r="BF481" s="42">
        <f t="shared" si="411"/>
        <v>5</v>
      </c>
      <c r="BG481" s="42">
        <f t="shared" si="412"/>
        <v>0</v>
      </c>
      <c r="BH481" s="42">
        <f t="shared" si="413"/>
        <v>0</v>
      </c>
      <c r="BI481" s="42">
        <f t="shared" si="395"/>
        <v>0</v>
      </c>
      <c r="BJ481" s="42">
        <f t="shared" si="414"/>
        <v>0</v>
      </c>
      <c r="BK481" s="42">
        <f t="shared" si="415"/>
        <v>98.7</v>
      </c>
      <c r="BL481" s="40">
        <f t="shared" si="386"/>
        <v>98.7</v>
      </c>
    </row>
    <row r="482" spans="1:64" ht="105.6" x14ac:dyDescent="0.25">
      <c r="A482" s="295" t="s">
        <v>1450</v>
      </c>
      <c r="B482" s="24" t="s">
        <v>1448</v>
      </c>
      <c r="C482" s="6"/>
      <c r="D482" s="2" t="s">
        <v>1475</v>
      </c>
      <c r="E482" s="1"/>
      <c r="F482" s="1"/>
      <c r="G482" s="1"/>
      <c r="H482" s="1"/>
      <c r="I482" s="1"/>
      <c r="J482" s="1"/>
      <c r="K482" s="1"/>
      <c r="L482" s="1"/>
      <c r="M482" s="1"/>
      <c r="N482" s="1"/>
      <c r="O482" s="1"/>
      <c r="P482" s="22"/>
      <c r="Q482" s="22"/>
      <c r="R482" s="1"/>
      <c r="S482" s="1"/>
      <c r="T482" s="1"/>
      <c r="U482" s="49"/>
      <c r="V482" s="49"/>
      <c r="W482" s="49"/>
      <c r="X482" s="49"/>
      <c r="Y482" s="34">
        <f t="shared" ref="Y482:AE482" si="416">SUM(Y483:Y489)</f>
        <v>150</v>
      </c>
      <c r="Z482" s="34">
        <f t="shared" si="416"/>
        <v>0</v>
      </c>
      <c r="AA482" s="34">
        <f t="shared" si="416"/>
        <v>0</v>
      </c>
      <c r="AB482" s="34">
        <f t="shared" si="416"/>
        <v>0</v>
      </c>
      <c r="AC482" s="34">
        <f t="shared" si="416"/>
        <v>0</v>
      </c>
      <c r="AD482" s="34">
        <f t="shared" si="416"/>
        <v>14.8</v>
      </c>
      <c r="AE482" s="34">
        <f t="shared" si="416"/>
        <v>0</v>
      </c>
      <c r="AF482" s="34">
        <f t="shared" si="398"/>
        <v>164.8</v>
      </c>
      <c r="AG482" s="34">
        <f t="shared" ref="AG482:AL482" si="417">SUM(AG483:AG489)</f>
        <v>156</v>
      </c>
      <c r="AH482" s="34">
        <f t="shared" si="417"/>
        <v>0</v>
      </c>
      <c r="AI482" s="34">
        <f t="shared" si="417"/>
        <v>38</v>
      </c>
      <c r="AJ482" s="34">
        <f t="shared" si="417"/>
        <v>0</v>
      </c>
      <c r="AK482" s="34">
        <f t="shared" si="417"/>
        <v>0</v>
      </c>
      <c r="AL482" s="34">
        <f t="shared" si="417"/>
        <v>0</v>
      </c>
      <c r="AM482" s="34">
        <f t="shared" si="408"/>
        <v>194</v>
      </c>
      <c r="AN482" s="34">
        <f t="shared" ref="AN482:AT482" si="418">SUM(AN483:AN489)</f>
        <v>156</v>
      </c>
      <c r="AO482" s="34">
        <f t="shared" si="418"/>
        <v>0</v>
      </c>
      <c r="AP482" s="34">
        <f t="shared" si="418"/>
        <v>16.8</v>
      </c>
      <c r="AQ482" s="34">
        <f t="shared" si="418"/>
        <v>0</v>
      </c>
      <c r="AR482" s="34">
        <f t="shared" si="418"/>
        <v>0</v>
      </c>
      <c r="AS482" s="34">
        <f t="shared" si="418"/>
        <v>0</v>
      </c>
      <c r="AT482" s="34">
        <f t="shared" si="418"/>
        <v>0</v>
      </c>
      <c r="AU482" s="34">
        <f t="shared" si="401"/>
        <v>172.8</v>
      </c>
      <c r="AV482" s="34">
        <f t="shared" ref="AV482:BA482" si="419">SUM(AV483:AV489)</f>
        <v>160</v>
      </c>
      <c r="AW482" s="34">
        <f t="shared" si="419"/>
        <v>0</v>
      </c>
      <c r="AX482" s="34">
        <f t="shared" si="419"/>
        <v>17</v>
      </c>
      <c r="AY482" s="34">
        <f t="shared" si="419"/>
        <v>0</v>
      </c>
      <c r="AZ482" s="34">
        <f t="shared" si="419"/>
        <v>0</v>
      </c>
      <c r="BA482" s="34">
        <f t="shared" si="419"/>
        <v>0</v>
      </c>
      <c r="BB482" s="34">
        <f>SUM(BB483:BB489)</f>
        <v>0</v>
      </c>
      <c r="BC482" s="34">
        <f t="shared" si="403"/>
        <v>177</v>
      </c>
      <c r="BD482" s="34">
        <f t="shared" si="409"/>
        <v>622</v>
      </c>
      <c r="BE482" s="34">
        <f t="shared" si="410"/>
        <v>0</v>
      </c>
      <c r="BF482" s="34">
        <f t="shared" si="411"/>
        <v>71.8</v>
      </c>
      <c r="BG482" s="34">
        <f t="shared" si="412"/>
        <v>0</v>
      </c>
      <c r="BH482" s="34">
        <f t="shared" si="413"/>
        <v>0</v>
      </c>
      <c r="BI482" s="34">
        <f t="shared" si="395"/>
        <v>14.8</v>
      </c>
      <c r="BJ482" s="34">
        <f t="shared" si="414"/>
        <v>0</v>
      </c>
      <c r="BK482" s="34">
        <f t="shared" si="415"/>
        <v>708.59999999999991</v>
      </c>
      <c r="BL482" s="40">
        <f t="shared" si="386"/>
        <v>708.6</v>
      </c>
    </row>
    <row r="483" spans="1:64" ht="42" customHeight="1" x14ac:dyDescent="0.25">
      <c r="A483" s="298" t="s">
        <v>1450</v>
      </c>
      <c r="B483" s="299" t="s">
        <v>1448</v>
      </c>
      <c r="C483" s="1546" t="s">
        <v>1476</v>
      </c>
      <c r="D483" s="1549" t="s">
        <v>1477</v>
      </c>
      <c r="E483" s="1549" t="s">
        <v>1478</v>
      </c>
      <c r="F483" s="1549">
        <v>2015</v>
      </c>
      <c r="G483" s="1549">
        <v>100</v>
      </c>
      <c r="H483" s="1549">
        <v>100</v>
      </c>
      <c r="I483" s="1425"/>
      <c r="J483" s="1425"/>
      <c r="K483" s="1425" t="s">
        <v>1479</v>
      </c>
      <c r="L483" s="301" t="s">
        <v>179</v>
      </c>
      <c r="M483" s="1425" t="s">
        <v>902</v>
      </c>
      <c r="N483" s="1425" t="s">
        <v>2484</v>
      </c>
      <c r="O483" s="1425" t="s">
        <v>47</v>
      </c>
      <c r="P483" s="16" t="s">
        <v>1480</v>
      </c>
      <c r="Q483" s="302" t="s">
        <v>1481</v>
      </c>
      <c r="R483" s="303">
        <v>2015</v>
      </c>
      <c r="S483" s="303">
        <v>1</v>
      </c>
      <c r="T483" s="303">
        <v>1</v>
      </c>
      <c r="U483" s="572">
        <v>1</v>
      </c>
      <c r="V483" s="572">
        <v>1</v>
      </c>
      <c r="W483" s="572">
        <v>1</v>
      </c>
      <c r="X483" s="572">
        <v>4</v>
      </c>
      <c r="Y483" s="491">
        <v>141</v>
      </c>
      <c r="Z483" s="481"/>
      <c r="AA483" s="481"/>
      <c r="AB483" s="481"/>
      <c r="AC483" s="481"/>
      <c r="AD483" s="481">
        <v>14.8</v>
      </c>
      <c r="AE483" s="481"/>
      <c r="AF483" s="481">
        <f t="shared" si="398"/>
        <v>155.80000000000001</v>
      </c>
      <c r="AG483" s="491">
        <v>140</v>
      </c>
      <c r="AH483" s="548"/>
      <c r="AI483" s="548"/>
      <c r="AJ483" s="548"/>
      <c r="AK483" s="548"/>
      <c r="AL483" s="548"/>
      <c r="AM483" s="594">
        <f t="shared" si="408"/>
        <v>140</v>
      </c>
      <c r="AN483" s="491">
        <v>146</v>
      </c>
      <c r="AO483" s="481"/>
      <c r="AP483" s="481"/>
      <c r="AQ483" s="481"/>
      <c r="AR483" s="481"/>
      <c r="AS483" s="481"/>
      <c r="AT483" s="481"/>
      <c r="AU483" s="481">
        <f t="shared" si="401"/>
        <v>146</v>
      </c>
      <c r="AV483" s="548">
        <v>155</v>
      </c>
      <c r="AW483" s="548"/>
      <c r="AX483" s="548"/>
      <c r="AY483" s="548"/>
      <c r="AZ483" s="548"/>
      <c r="BA483" s="548"/>
      <c r="BB483" s="548"/>
      <c r="BC483" s="548">
        <f t="shared" si="403"/>
        <v>155</v>
      </c>
      <c r="BD483" s="42">
        <f t="shared" si="409"/>
        <v>582</v>
      </c>
      <c r="BE483" s="42">
        <f t="shared" si="410"/>
        <v>0</v>
      </c>
      <c r="BF483" s="42">
        <f t="shared" si="411"/>
        <v>0</v>
      </c>
      <c r="BG483" s="42">
        <f t="shared" si="412"/>
        <v>0</v>
      </c>
      <c r="BH483" s="42">
        <f t="shared" si="413"/>
        <v>0</v>
      </c>
      <c r="BI483" s="42">
        <f t="shared" si="395"/>
        <v>14.8</v>
      </c>
      <c r="BJ483" s="42">
        <f t="shared" si="414"/>
        <v>0</v>
      </c>
      <c r="BK483" s="42">
        <f t="shared" si="415"/>
        <v>596.79999999999995</v>
      </c>
      <c r="BL483" s="40">
        <f t="shared" si="386"/>
        <v>596.79999999999995</v>
      </c>
    </row>
    <row r="484" spans="1:64" ht="45" customHeight="1" x14ac:dyDescent="0.25">
      <c r="A484" s="298" t="s">
        <v>1450</v>
      </c>
      <c r="B484" s="299" t="s">
        <v>1448</v>
      </c>
      <c r="C484" s="1547"/>
      <c r="D484" s="1549"/>
      <c r="E484" s="1549"/>
      <c r="F484" s="1549"/>
      <c r="G484" s="1549"/>
      <c r="H484" s="1549"/>
      <c r="I484" s="1425"/>
      <c r="J484" s="1425"/>
      <c r="K484" s="1425" t="s">
        <v>1482</v>
      </c>
      <c r="L484" s="301" t="s">
        <v>179</v>
      </c>
      <c r="M484" s="1425" t="s">
        <v>902</v>
      </c>
      <c r="N484" s="1425" t="s">
        <v>2484</v>
      </c>
      <c r="O484" s="1425" t="s">
        <v>73</v>
      </c>
      <c r="P484" s="16" t="s">
        <v>1483</v>
      </c>
      <c r="Q484" s="302" t="s">
        <v>936</v>
      </c>
      <c r="R484" s="303">
        <v>2015</v>
      </c>
      <c r="S484" s="303">
        <v>0</v>
      </c>
      <c r="T484" s="303">
        <v>1</v>
      </c>
      <c r="U484" s="572">
        <v>1</v>
      </c>
      <c r="V484" s="572">
        <v>1</v>
      </c>
      <c r="W484" s="572">
        <v>1</v>
      </c>
      <c r="X484" s="572">
        <v>1</v>
      </c>
      <c r="Y484" s="491">
        <v>1</v>
      </c>
      <c r="Z484" s="481"/>
      <c r="AA484" s="481"/>
      <c r="AB484" s="481"/>
      <c r="AC484" s="481"/>
      <c r="AD484" s="481"/>
      <c r="AE484" s="481"/>
      <c r="AF484" s="481">
        <f t="shared" si="398"/>
        <v>1</v>
      </c>
      <c r="AG484" s="491">
        <v>1</v>
      </c>
      <c r="AH484" s="548"/>
      <c r="AI484" s="548"/>
      <c r="AJ484" s="548"/>
      <c r="AK484" s="548"/>
      <c r="AL484" s="548"/>
      <c r="AM484" s="594">
        <f t="shared" si="408"/>
        <v>1</v>
      </c>
      <c r="AN484" s="491">
        <v>1</v>
      </c>
      <c r="AO484" s="481"/>
      <c r="AP484" s="481"/>
      <c r="AQ484" s="481"/>
      <c r="AR484" s="481"/>
      <c r="AS484" s="481"/>
      <c r="AT484" s="481"/>
      <c r="AU484" s="481">
        <f t="shared" si="401"/>
        <v>1</v>
      </c>
      <c r="AV484" s="491">
        <v>0.5</v>
      </c>
      <c r="AW484" s="548"/>
      <c r="AX484" s="548"/>
      <c r="AY484" s="548"/>
      <c r="AZ484" s="548"/>
      <c r="BA484" s="548"/>
      <c r="BB484" s="548"/>
      <c r="BC484" s="548">
        <f t="shared" si="403"/>
        <v>0.5</v>
      </c>
      <c r="BD484" s="42">
        <f t="shared" si="409"/>
        <v>3.5</v>
      </c>
      <c r="BE484" s="42">
        <f t="shared" si="410"/>
        <v>0</v>
      </c>
      <c r="BF484" s="42">
        <f t="shared" si="411"/>
        <v>0</v>
      </c>
      <c r="BG484" s="42">
        <f t="shared" si="412"/>
        <v>0</v>
      </c>
      <c r="BH484" s="42">
        <f t="shared" si="413"/>
        <v>0</v>
      </c>
      <c r="BI484" s="42">
        <f t="shared" si="395"/>
        <v>0</v>
      </c>
      <c r="BJ484" s="42">
        <f t="shared" si="414"/>
        <v>0</v>
      </c>
      <c r="BK484" s="42">
        <f t="shared" si="415"/>
        <v>3.5</v>
      </c>
      <c r="BL484" s="40">
        <f t="shared" si="386"/>
        <v>3.5</v>
      </c>
    </row>
    <row r="485" spans="1:64" ht="48" customHeight="1" x14ac:dyDescent="0.25">
      <c r="A485" s="298" t="s">
        <v>1450</v>
      </c>
      <c r="B485" s="299" t="s">
        <v>1448</v>
      </c>
      <c r="C485" s="1547"/>
      <c r="D485" s="1549"/>
      <c r="E485" s="1549"/>
      <c r="F485" s="1549"/>
      <c r="G485" s="1549"/>
      <c r="H485" s="1549"/>
      <c r="I485" s="1425"/>
      <c r="J485" s="1425"/>
      <c r="K485" s="1425" t="s">
        <v>1484</v>
      </c>
      <c r="L485" s="301" t="s">
        <v>179</v>
      </c>
      <c r="M485" s="1425" t="s">
        <v>902</v>
      </c>
      <c r="N485" s="1425" t="s">
        <v>2484</v>
      </c>
      <c r="O485" s="1425" t="s">
        <v>47</v>
      </c>
      <c r="P485" s="16" t="s">
        <v>1486</v>
      </c>
      <c r="Q485" s="302" t="s">
        <v>1487</v>
      </c>
      <c r="R485" s="303">
        <v>2015</v>
      </c>
      <c r="S485" s="303">
        <v>0</v>
      </c>
      <c r="T485" s="303">
        <v>1</v>
      </c>
      <c r="U485" s="572">
        <v>1</v>
      </c>
      <c r="V485" s="572">
        <v>1</v>
      </c>
      <c r="W485" s="572">
        <v>1</v>
      </c>
      <c r="X485" s="572">
        <v>4</v>
      </c>
      <c r="Y485" s="491">
        <v>1</v>
      </c>
      <c r="Z485" s="481"/>
      <c r="AA485" s="481"/>
      <c r="AB485" s="481"/>
      <c r="AC485" s="481"/>
      <c r="AD485" s="481"/>
      <c r="AE485" s="481"/>
      <c r="AF485" s="481">
        <f t="shared" si="398"/>
        <v>1</v>
      </c>
      <c r="AG485" s="491">
        <v>1</v>
      </c>
      <c r="AH485" s="548"/>
      <c r="AI485" s="548">
        <v>16</v>
      </c>
      <c r="AJ485" s="548"/>
      <c r="AK485" s="548"/>
      <c r="AL485" s="548"/>
      <c r="AM485" s="594">
        <f t="shared" si="408"/>
        <v>17</v>
      </c>
      <c r="AN485" s="481"/>
      <c r="AO485" s="481"/>
      <c r="AP485" s="481">
        <v>16.8</v>
      </c>
      <c r="AQ485" s="481"/>
      <c r="AR485" s="481"/>
      <c r="AS485" s="481"/>
      <c r="AT485" s="481"/>
      <c r="AU485" s="481">
        <f t="shared" si="401"/>
        <v>16.8</v>
      </c>
      <c r="AV485" s="491">
        <v>0.5</v>
      </c>
      <c r="AW485" s="548"/>
      <c r="AX485" s="548">
        <v>17</v>
      </c>
      <c r="AY485" s="548"/>
      <c r="AZ485" s="548"/>
      <c r="BA485" s="548"/>
      <c r="BB485" s="548"/>
      <c r="BC485" s="548">
        <f t="shared" si="403"/>
        <v>17.5</v>
      </c>
      <c r="BD485" s="42">
        <f t="shared" si="409"/>
        <v>2.5</v>
      </c>
      <c r="BE485" s="42">
        <f t="shared" si="410"/>
        <v>0</v>
      </c>
      <c r="BF485" s="42">
        <f t="shared" si="411"/>
        <v>49.8</v>
      </c>
      <c r="BG485" s="42">
        <f t="shared" si="412"/>
        <v>0</v>
      </c>
      <c r="BH485" s="42">
        <f t="shared" si="413"/>
        <v>0</v>
      </c>
      <c r="BI485" s="42">
        <f t="shared" si="395"/>
        <v>0</v>
      </c>
      <c r="BJ485" s="42">
        <f t="shared" si="414"/>
        <v>0</v>
      </c>
      <c r="BK485" s="42">
        <f t="shared" si="415"/>
        <v>52.3</v>
      </c>
      <c r="BL485" s="40">
        <f t="shared" si="386"/>
        <v>52.3</v>
      </c>
    </row>
    <row r="486" spans="1:64" s="831" customFormat="1" ht="28.5" customHeight="1" x14ac:dyDescent="0.3">
      <c r="A486" s="811" t="s">
        <v>1450</v>
      </c>
      <c r="B486" s="812" t="s">
        <v>1448</v>
      </c>
      <c r="C486" s="1547"/>
      <c r="D486" s="1549"/>
      <c r="E486" s="1549"/>
      <c r="F486" s="1549"/>
      <c r="G486" s="1549"/>
      <c r="H486" s="1549"/>
      <c r="I486" s="815"/>
      <c r="J486" s="815"/>
      <c r="K486" s="815" t="s">
        <v>1488</v>
      </c>
      <c r="L486" s="818" t="s">
        <v>179</v>
      </c>
      <c r="M486" s="815" t="s">
        <v>902</v>
      </c>
      <c r="N486" s="1425" t="s">
        <v>2484</v>
      </c>
      <c r="O486" s="815" t="s">
        <v>47</v>
      </c>
      <c r="P486" s="820" t="s">
        <v>2556</v>
      </c>
      <c r="Q486" s="820" t="s">
        <v>1490</v>
      </c>
      <c r="R486" s="815">
        <v>2015</v>
      </c>
      <c r="S486" s="815">
        <v>1</v>
      </c>
      <c r="T486" s="815">
        <v>0</v>
      </c>
      <c r="U486" s="823">
        <v>1</v>
      </c>
      <c r="V486" s="823">
        <v>1</v>
      </c>
      <c r="W486" s="823">
        <v>1</v>
      </c>
      <c r="X486" s="823">
        <v>3</v>
      </c>
      <c r="Y486" s="826"/>
      <c r="Z486" s="826"/>
      <c r="AA486" s="823"/>
      <c r="AB486" s="823"/>
      <c r="AC486" s="827"/>
      <c r="AD486" s="823"/>
      <c r="AE486" s="824"/>
      <c r="AF486" s="824"/>
      <c r="AG486" s="824">
        <v>1</v>
      </c>
      <c r="AH486" s="824"/>
      <c r="AI486" s="824"/>
      <c r="AJ486" s="824"/>
      <c r="AK486" s="824"/>
      <c r="AL486" s="824"/>
      <c r="AM486" s="828">
        <f>SUM(AG486:AL486)</f>
        <v>1</v>
      </c>
      <c r="AN486" s="824">
        <v>2</v>
      </c>
      <c r="AO486" s="829"/>
      <c r="AP486" s="829"/>
      <c r="AQ486" s="829"/>
      <c r="AR486" s="829"/>
      <c r="AS486" s="829"/>
      <c r="AT486" s="829"/>
      <c r="AU486" s="830">
        <f>SUM(AN486:AT486)</f>
        <v>2</v>
      </c>
      <c r="AV486" s="829">
        <v>0.5</v>
      </c>
      <c r="AW486" s="829"/>
      <c r="AX486" s="829"/>
      <c r="AY486" s="829"/>
      <c r="AZ486" s="829"/>
      <c r="BA486" s="829"/>
      <c r="BB486" s="829"/>
      <c r="BC486" s="829">
        <f>SUM(AV486:BB486)</f>
        <v>0.5</v>
      </c>
      <c r="BD486" s="829"/>
      <c r="BE486" s="829"/>
      <c r="BF486" s="829"/>
      <c r="BL486" s="40">
        <f t="shared" si="386"/>
        <v>3.5</v>
      </c>
    </row>
    <row r="487" spans="1:64" ht="27.75" customHeight="1" x14ac:dyDescent="0.25">
      <c r="A487" s="298" t="s">
        <v>1450</v>
      </c>
      <c r="B487" s="299" t="s">
        <v>1448</v>
      </c>
      <c r="C487" s="1547"/>
      <c r="D487" s="1549"/>
      <c r="E487" s="1549"/>
      <c r="F487" s="1549"/>
      <c r="G487" s="1549"/>
      <c r="H487" s="1549"/>
      <c r="I487" s="1425" t="s">
        <v>53</v>
      </c>
      <c r="J487" s="1425"/>
      <c r="K487" s="1425" t="s">
        <v>1488</v>
      </c>
      <c r="L487" s="301" t="s">
        <v>179</v>
      </c>
      <c r="M487" s="1425" t="s">
        <v>902</v>
      </c>
      <c r="N487" s="1425" t="s">
        <v>2484</v>
      </c>
      <c r="O487" s="1425" t="s">
        <v>47</v>
      </c>
      <c r="P487" s="16" t="s">
        <v>1492</v>
      </c>
      <c r="Q487" s="302" t="s">
        <v>1493</v>
      </c>
      <c r="R487" s="303">
        <v>2015</v>
      </c>
      <c r="S487" s="303">
        <v>1</v>
      </c>
      <c r="T487" s="303">
        <v>1</v>
      </c>
      <c r="U487" s="572">
        <v>1</v>
      </c>
      <c r="V487" s="572">
        <v>0</v>
      </c>
      <c r="W487" s="572">
        <v>1</v>
      </c>
      <c r="X487" s="572">
        <v>3</v>
      </c>
      <c r="Y487" s="491">
        <v>1</v>
      </c>
      <c r="Z487" s="481"/>
      <c r="AA487" s="481"/>
      <c r="AB487" s="481"/>
      <c r="AC487" s="481"/>
      <c r="AD487" s="481"/>
      <c r="AE487" s="481"/>
      <c r="AF487" s="481">
        <f t="shared" si="398"/>
        <v>1</v>
      </c>
      <c r="AG487" s="491">
        <v>6</v>
      </c>
      <c r="AH487" s="548"/>
      <c r="AI487" s="548">
        <v>22</v>
      </c>
      <c r="AJ487" s="548"/>
      <c r="AK487" s="548"/>
      <c r="AL487" s="548"/>
      <c r="AM487" s="594">
        <f t="shared" si="408"/>
        <v>28</v>
      </c>
      <c r="AN487" s="481"/>
      <c r="AO487" s="481"/>
      <c r="AP487" s="481"/>
      <c r="AQ487" s="481"/>
      <c r="AR487" s="481"/>
      <c r="AS487" s="481"/>
      <c r="AT487" s="481"/>
      <c r="AU487" s="481">
        <f t="shared" si="401"/>
        <v>0</v>
      </c>
      <c r="AV487" s="491">
        <v>0.5</v>
      </c>
      <c r="AW487" s="548"/>
      <c r="AX487" s="548"/>
      <c r="AY487" s="548"/>
      <c r="AZ487" s="548"/>
      <c r="BA487" s="548"/>
      <c r="BB487" s="548"/>
      <c r="BC487" s="548">
        <f t="shared" si="403"/>
        <v>0.5</v>
      </c>
      <c r="BD487" s="42">
        <f t="shared" si="409"/>
        <v>7.5</v>
      </c>
      <c r="BE487" s="42">
        <f t="shared" si="410"/>
        <v>0</v>
      </c>
      <c r="BF487" s="42">
        <f t="shared" si="411"/>
        <v>22</v>
      </c>
      <c r="BG487" s="42">
        <f t="shared" si="412"/>
        <v>0</v>
      </c>
      <c r="BH487" s="42">
        <f t="shared" si="413"/>
        <v>0</v>
      </c>
      <c r="BI487" s="42">
        <f t="shared" si="395"/>
        <v>0</v>
      </c>
      <c r="BJ487" s="42">
        <f t="shared" si="414"/>
        <v>0</v>
      </c>
      <c r="BK487" s="42">
        <f t="shared" si="415"/>
        <v>29.5</v>
      </c>
      <c r="BL487" s="40">
        <f t="shared" si="386"/>
        <v>29.5</v>
      </c>
    </row>
    <row r="488" spans="1:64" ht="41.25" customHeight="1" x14ac:dyDescent="0.25">
      <c r="A488" s="298" t="s">
        <v>1450</v>
      </c>
      <c r="B488" s="299" t="s">
        <v>1448</v>
      </c>
      <c r="C488" s="1547"/>
      <c r="D488" s="1549"/>
      <c r="E488" s="1549"/>
      <c r="F488" s="1549"/>
      <c r="G488" s="1549"/>
      <c r="H488" s="1549"/>
      <c r="I488" s="1425"/>
      <c r="J488" s="1425"/>
      <c r="K488" s="1425" t="s">
        <v>1494</v>
      </c>
      <c r="L488" s="301" t="s">
        <v>179</v>
      </c>
      <c r="M488" s="1425" t="s">
        <v>902</v>
      </c>
      <c r="N488" s="1425" t="s">
        <v>2484</v>
      </c>
      <c r="O488" s="1425" t="s">
        <v>47</v>
      </c>
      <c r="P488" s="16" t="s">
        <v>1495</v>
      </c>
      <c r="Q488" s="302" t="s">
        <v>1496</v>
      </c>
      <c r="R488" s="303">
        <v>2015</v>
      </c>
      <c r="S488" s="303">
        <v>0</v>
      </c>
      <c r="T488" s="303">
        <v>1</v>
      </c>
      <c r="U488" s="572">
        <v>1</v>
      </c>
      <c r="V488" s="572">
        <v>1</v>
      </c>
      <c r="W488" s="572">
        <v>1</v>
      </c>
      <c r="X488" s="572">
        <v>1</v>
      </c>
      <c r="Y488" s="491">
        <v>1</v>
      </c>
      <c r="Z488" s="481"/>
      <c r="AA488" s="481"/>
      <c r="AB488" s="481"/>
      <c r="AC488" s="481"/>
      <c r="AD488" s="481"/>
      <c r="AE488" s="481"/>
      <c r="AF488" s="481">
        <f t="shared" si="398"/>
        <v>1</v>
      </c>
      <c r="AG488" s="491">
        <v>1</v>
      </c>
      <c r="AH488" s="548"/>
      <c r="AI488" s="548"/>
      <c r="AJ488" s="548"/>
      <c r="AK488" s="548"/>
      <c r="AL488" s="548"/>
      <c r="AM488" s="594">
        <f t="shared" si="408"/>
        <v>1</v>
      </c>
      <c r="AN488" s="491">
        <v>1</v>
      </c>
      <c r="AO488" s="481"/>
      <c r="AP488" s="481"/>
      <c r="AQ488" s="481"/>
      <c r="AR488" s="481"/>
      <c r="AS488" s="481"/>
      <c r="AT488" s="481"/>
      <c r="AU488" s="481">
        <f t="shared" si="401"/>
        <v>1</v>
      </c>
      <c r="AV488" s="491">
        <v>0.5</v>
      </c>
      <c r="AW488" s="548"/>
      <c r="AX488" s="548"/>
      <c r="AY488" s="548"/>
      <c r="AZ488" s="548"/>
      <c r="BA488" s="548"/>
      <c r="BB488" s="548"/>
      <c r="BC488" s="548">
        <f t="shared" si="403"/>
        <v>0.5</v>
      </c>
      <c r="BD488" s="42">
        <f t="shared" si="409"/>
        <v>3.5</v>
      </c>
      <c r="BE488" s="42">
        <f t="shared" si="410"/>
        <v>0</v>
      </c>
      <c r="BF488" s="42">
        <f t="shared" si="411"/>
        <v>0</v>
      </c>
      <c r="BG488" s="42">
        <f t="shared" si="412"/>
        <v>0</v>
      </c>
      <c r="BH488" s="42">
        <f t="shared" si="413"/>
        <v>0</v>
      </c>
      <c r="BI488" s="42">
        <f t="shared" si="395"/>
        <v>0</v>
      </c>
      <c r="BJ488" s="42">
        <f t="shared" si="414"/>
        <v>0</v>
      </c>
      <c r="BK488" s="42">
        <f t="shared" si="415"/>
        <v>3.5</v>
      </c>
      <c r="BL488" s="40">
        <f t="shared" si="386"/>
        <v>3.5</v>
      </c>
    </row>
    <row r="489" spans="1:64" ht="42" customHeight="1" x14ac:dyDescent="0.25">
      <c r="A489" s="298" t="s">
        <v>1450</v>
      </c>
      <c r="B489" s="299" t="s">
        <v>1448</v>
      </c>
      <c r="C489" s="1548"/>
      <c r="D489" s="1549"/>
      <c r="E489" s="1549"/>
      <c r="F489" s="1549"/>
      <c r="G489" s="1549"/>
      <c r="H489" s="1549"/>
      <c r="I489" s="1425"/>
      <c r="J489" s="1425"/>
      <c r="K489" s="1425" t="s">
        <v>1497</v>
      </c>
      <c r="L489" s="301" t="s">
        <v>179</v>
      </c>
      <c r="M489" s="1425" t="s">
        <v>902</v>
      </c>
      <c r="N489" s="1425" t="s">
        <v>2484</v>
      </c>
      <c r="O489" s="1425" t="s">
        <v>47</v>
      </c>
      <c r="P489" s="16" t="s">
        <v>1498</v>
      </c>
      <c r="Q489" s="302" t="s">
        <v>1499</v>
      </c>
      <c r="R489" s="303">
        <v>2015</v>
      </c>
      <c r="S489" s="303">
        <v>0</v>
      </c>
      <c r="T489" s="303">
        <v>1</v>
      </c>
      <c r="U489" s="572">
        <v>1</v>
      </c>
      <c r="V489" s="572">
        <v>1</v>
      </c>
      <c r="W489" s="572">
        <v>1</v>
      </c>
      <c r="X489" s="572">
        <v>4</v>
      </c>
      <c r="Y489" s="481">
        <v>5</v>
      </c>
      <c r="Z489" s="481"/>
      <c r="AA489" s="481"/>
      <c r="AB489" s="481"/>
      <c r="AC489" s="481"/>
      <c r="AD489" s="481"/>
      <c r="AE489" s="481"/>
      <c r="AF489" s="481">
        <f t="shared" si="398"/>
        <v>5</v>
      </c>
      <c r="AG489" s="548">
        <v>6</v>
      </c>
      <c r="AH489" s="548"/>
      <c r="AI489" s="548"/>
      <c r="AJ489" s="548"/>
      <c r="AK489" s="548"/>
      <c r="AL489" s="548"/>
      <c r="AM489" s="594">
        <f t="shared" si="408"/>
        <v>6</v>
      </c>
      <c r="AN489" s="481">
        <v>6</v>
      </c>
      <c r="AO489" s="481"/>
      <c r="AP489" s="481"/>
      <c r="AQ489" s="481"/>
      <c r="AR489" s="481"/>
      <c r="AS489" s="481"/>
      <c r="AT489" s="481"/>
      <c r="AU489" s="481">
        <f t="shared" si="401"/>
        <v>6</v>
      </c>
      <c r="AV489" s="491">
        <v>2.5</v>
      </c>
      <c r="AW489" s="548"/>
      <c r="AX489" s="548"/>
      <c r="AY489" s="548"/>
      <c r="AZ489" s="548"/>
      <c r="BA489" s="548"/>
      <c r="BB489" s="548"/>
      <c r="BC489" s="548">
        <f t="shared" si="403"/>
        <v>2.5</v>
      </c>
      <c r="BD489" s="42">
        <f t="shared" si="409"/>
        <v>19.5</v>
      </c>
      <c r="BE489" s="42">
        <f t="shared" si="410"/>
        <v>0</v>
      </c>
      <c r="BF489" s="42">
        <f t="shared" si="411"/>
        <v>0</v>
      </c>
      <c r="BG489" s="42">
        <f t="shared" si="412"/>
        <v>0</v>
      </c>
      <c r="BH489" s="42">
        <f t="shared" si="413"/>
        <v>0</v>
      </c>
      <c r="BI489" s="42">
        <f t="shared" si="395"/>
        <v>0</v>
      </c>
      <c r="BJ489" s="42">
        <f t="shared" si="414"/>
        <v>0</v>
      </c>
      <c r="BK489" s="42">
        <f t="shared" si="415"/>
        <v>19.5</v>
      </c>
      <c r="BL489" s="40">
        <f t="shared" si="386"/>
        <v>19.5</v>
      </c>
    </row>
    <row r="490" spans="1:64" ht="12.75" customHeight="1" x14ac:dyDescent="0.25">
      <c r="BL490" s="40">
        <f t="shared" si="386"/>
        <v>0</v>
      </c>
    </row>
  </sheetData>
  <sheetProtection formatCells="0" formatColumns="0" formatRows="0" insertColumns="0" insertRows="0" insertHyperlinks="0" deleteColumns="0" deleteRows="0" sort="0" autoFilter="0" pivotTables="0"/>
  <autoFilter ref="B4:BK490"/>
  <customSheetViews>
    <customSheetView guid="{92B8BA5A-7984-4526-9F7A-187FF856FCAE}" scale="91" showAutoFilter="1" hiddenColumns="1">
      <pane ySplit="4" topLeftCell="A206" activePane="bottomLeft" state="frozen"/>
      <selection pane="bottomLeft" activeCell="P210" sqref="P210"/>
      <pageMargins left="0" right="0" top="0" bottom="0" header="0" footer="0"/>
      <pageSetup paperSize="9" orientation="portrait" horizontalDpi="4294967292" verticalDpi="4294967292" r:id="rId1"/>
      <autoFilter ref="B4:BK490"/>
    </customSheetView>
  </customSheetViews>
  <mergeCells count="214">
    <mergeCell ref="B2:M2"/>
    <mergeCell ref="B152:M152"/>
    <mergeCell ref="A259:N259"/>
    <mergeCell ref="B260:M260"/>
    <mergeCell ref="B291:M291"/>
    <mergeCell ref="B326:M326"/>
    <mergeCell ref="B349:M349"/>
    <mergeCell ref="B355:N355"/>
    <mergeCell ref="B356:M356"/>
    <mergeCell ref="C145:C151"/>
    <mergeCell ref="C154:C177"/>
    <mergeCell ref="C180:C189"/>
    <mergeCell ref="C192:C198"/>
    <mergeCell ref="C200:C209"/>
    <mergeCell ref="C211:C239"/>
    <mergeCell ref="B118:M118"/>
    <mergeCell ref="F211:F239"/>
    <mergeCell ref="G211:G239"/>
    <mergeCell ref="H211:H239"/>
    <mergeCell ref="F328:F348"/>
    <mergeCell ref="D242:D258"/>
    <mergeCell ref="E242:E258"/>
    <mergeCell ref="G242:G258"/>
    <mergeCell ref="H242:H258"/>
    <mergeCell ref="B367:M367"/>
    <mergeCell ref="A5:M5"/>
    <mergeCell ref="T3:X3"/>
    <mergeCell ref="B6:M6"/>
    <mergeCell ref="B47:M47"/>
    <mergeCell ref="B49:M49"/>
    <mergeCell ref="B84:M84"/>
    <mergeCell ref="B106:M106"/>
    <mergeCell ref="C425:C437"/>
    <mergeCell ref="C8:C22"/>
    <mergeCell ref="C24:C39"/>
    <mergeCell ref="C44:C46"/>
    <mergeCell ref="C51:C73"/>
    <mergeCell ref="C75:C83"/>
    <mergeCell ref="C86:C96"/>
    <mergeCell ref="C98:C105"/>
    <mergeCell ref="C108:C112"/>
    <mergeCell ref="D192:D198"/>
    <mergeCell ref="D8:D22"/>
    <mergeCell ref="D44:D46"/>
    <mergeCell ref="C114:C117"/>
    <mergeCell ref="C120:C133"/>
    <mergeCell ref="C135:C143"/>
    <mergeCell ref="F242:F258"/>
    <mergeCell ref="C441:C470"/>
    <mergeCell ref="C475:C481"/>
    <mergeCell ref="C483:C489"/>
    <mergeCell ref="C242:C258"/>
    <mergeCell ref="C262:C272"/>
    <mergeCell ref="C274:C285"/>
    <mergeCell ref="C293:C325"/>
    <mergeCell ref="C328:C348"/>
    <mergeCell ref="C358:C366"/>
    <mergeCell ref="C369:C393"/>
    <mergeCell ref="C396:C406"/>
    <mergeCell ref="C409:C422"/>
    <mergeCell ref="B394:M394"/>
    <mergeCell ref="B407:M407"/>
    <mergeCell ref="B438:M438"/>
    <mergeCell ref="B439:M439"/>
    <mergeCell ref="B473:M473"/>
    <mergeCell ref="D358:D366"/>
    <mergeCell ref="C287:C290"/>
    <mergeCell ref="E358:E366"/>
    <mergeCell ref="G274:G285"/>
    <mergeCell ref="H274:H285"/>
    <mergeCell ref="D328:D348"/>
    <mergeCell ref="E328:E348"/>
    <mergeCell ref="F358:F366"/>
    <mergeCell ref="G358:G366"/>
    <mergeCell ref="H358:H366"/>
    <mergeCell ref="D287:D290"/>
    <mergeCell ref="E287:E290"/>
    <mergeCell ref="F287:F290"/>
    <mergeCell ref="G287:G290"/>
    <mergeCell ref="H287:H290"/>
    <mergeCell ref="E192:E198"/>
    <mergeCell ref="F192:F198"/>
    <mergeCell ref="G192:G198"/>
    <mergeCell ref="H192:H198"/>
    <mergeCell ref="D200:D209"/>
    <mergeCell ref="E200:E209"/>
    <mergeCell ref="F200:F209"/>
    <mergeCell ref="G200:G209"/>
    <mergeCell ref="H200:H209"/>
    <mergeCell ref="F274:F285"/>
    <mergeCell ref="E154:E177"/>
    <mergeCell ref="F154:F177"/>
    <mergeCell ref="G154:G177"/>
    <mergeCell ref="H154:H177"/>
    <mergeCell ref="F180:F189"/>
    <mergeCell ref="G180:G189"/>
    <mergeCell ref="H180:H189"/>
    <mergeCell ref="D154:D178"/>
    <mergeCell ref="D180:D190"/>
    <mergeCell ref="E180:E190"/>
    <mergeCell ref="E8:E22"/>
    <mergeCell ref="F8:F22"/>
    <mergeCell ref="G8:G22"/>
    <mergeCell ref="H8:H22"/>
    <mergeCell ref="D24:D39"/>
    <mergeCell ref="E24:E39"/>
    <mergeCell ref="F24:F39"/>
    <mergeCell ref="G24:G39"/>
    <mergeCell ref="H24:H39"/>
    <mergeCell ref="E44:E46"/>
    <mergeCell ref="F44:F46"/>
    <mergeCell ref="G44:G46"/>
    <mergeCell ref="H44:H46"/>
    <mergeCell ref="D51:D73"/>
    <mergeCell ref="E51:E73"/>
    <mergeCell ref="F51:F73"/>
    <mergeCell ref="D75:D83"/>
    <mergeCell ref="E75:E83"/>
    <mergeCell ref="F75:F83"/>
    <mergeCell ref="G75:G83"/>
    <mergeCell ref="H75:H83"/>
    <mergeCell ref="G51:G73"/>
    <mergeCell ref="H51:H73"/>
    <mergeCell ref="H98:H105"/>
    <mergeCell ref="D86:D96"/>
    <mergeCell ref="E86:E96"/>
    <mergeCell ref="F86:F96"/>
    <mergeCell ref="G86:G96"/>
    <mergeCell ref="H86:H96"/>
    <mergeCell ref="D98:D105"/>
    <mergeCell ref="E98:E105"/>
    <mergeCell ref="F98:F105"/>
    <mergeCell ref="H425:H437"/>
    <mergeCell ref="G145:G151"/>
    <mergeCell ref="H145:H151"/>
    <mergeCell ref="D135:D143"/>
    <mergeCell ref="E135:E143"/>
    <mergeCell ref="F135:F143"/>
    <mergeCell ref="G135:G143"/>
    <mergeCell ref="H135:H143"/>
    <mergeCell ref="D108:D112"/>
    <mergeCell ref="E108:E112"/>
    <mergeCell ref="F108:F112"/>
    <mergeCell ref="G108:G112"/>
    <mergeCell ref="H108:H112"/>
    <mergeCell ref="D120:D133"/>
    <mergeCell ref="E120:E133"/>
    <mergeCell ref="F120:F133"/>
    <mergeCell ref="G120:G133"/>
    <mergeCell ref="H120:H133"/>
    <mergeCell ref="D114:D117"/>
    <mergeCell ref="E114:E117"/>
    <mergeCell ref="F114:F117"/>
    <mergeCell ref="G114:G117"/>
    <mergeCell ref="H114:H117"/>
    <mergeCell ref="D145:D151"/>
    <mergeCell ref="D483:D489"/>
    <mergeCell ref="E483:E489"/>
    <mergeCell ref="F483:F489"/>
    <mergeCell ref="G483:G489"/>
    <mergeCell ref="H483:H489"/>
    <mergeCell ref="D475:D481"/>
    <mergeCell ref="E475:E481"/>
    <mergeCell ref="F475:F481"/>
    <mergeCell ref="G475:G481"/>
    <mergeCell ref="H475:H481"/>
    <mergeCell ref="D441:D470"/>
    <mergeCell ref="E441:E470"/>
    <mergeCell ref="F441:F470"/>
    <mergeCell ref="G441:G470"/>
    <mergeCell ref="H441:H470"/>
    <mergeCell ref="D369:D393"/>
    <mergeCell ref="E369:E393"/>
    <mergeCell ref="F369:F393"/>
    <mergeCell ref="G369:G393"/>
    <mergeCell ref="H369:H393"/>
    <mergeCell ref="D425:D437"/>
    <mergeCell ref="E425:E437"/>
    <mergeCell ref="F425:F437"/>
    <mergeCell ref="G425:G437"/>
    <mergeCell ref="D396:D406"/>
    <mergeCell ref="E396:E406"/>
    <mergeCell ref="F396:F406"/>
    <mergeCell ref="G396:G406"/>
    <mergeCell ref="H396:H406"/>
    <mergeCell ref="F409:F422"/>
    <mergeCell ref="D409:D423"/>
    <mergeCell ref="G409:G422"/>
    <mergeCell ref="H409:H422"/>
    <mergeCell ref="E409:E423"/>
    <mergeCell ref="BD3:BK3"/>
    <mergeCell ref="Y3:AF3"/>
    <mergeCell ref="AG3:AM3"/>
    <mergeCell ref="AN3:AU3"/>
    <mergeCell ref="AV3:BC3"/>
    <mergeCell ref="G328:G348"/>
    <mergeCell ref="H328:H348"/>
    <mergeCell ref="D293:D325"/>
    <mergeCell ref="E293:E325"/>
    <mergeCell ref="F293:F325"/>
    <mergeCell ref="G293:G325"/>
    <mergeCell ref="H293:H325"/>
    <mergeCell ref="D274:D285"/>
    <mergeCell ref="E274:E285"/>
    <mergeCell ref="D262:D272"/>
    <mergeCell ref="E262:E272"/>
    <mergeCell ref="F262:F272"/>
    <mergeCell ref="G262:G272"/>
    <mergeCell ref="H262:H272"/>
    <mergeCell ref="F145:F151"/>
    <mergeCell ref="D211:D240"/>
    <mergeCell ref="E211:E240"/>
    <mergeCell ref="E145:E151"/>
    <mergeCell ref="G98:G105"/>
  </mergeCells>
  <dataValidations disablePrompts="1" count="5">
    <dataValidation type="list" allowBlank="1" showInputMessage="1" showErrorMessage="1" sqref="O8:O22 O43:O46 O24:O41 O75:O83 O86:O96 O98:O105 O108:O112 O114:O117 O120:O133 O145:O151 O135:O143 O51:O73 O154:O178 O211:O218 O242:O258 O351:O352 O234:O240 O441:O472 O475:O481 O396:O406 O369:O393 O354 O358:O366 O192:O198 O328:O348 O180:O190 O226:O232 O220:O224 O200:O209 O274:O285 O262:O272 O287:O290 O293:O325 O425:O437 O483:O489 O409:O423">
      <formula1>TIPO</formula1>
    </dataValidation>
    <dataValidation type="list" allowBlank="1" showInputMessage="1" showErrorMessage="1" sqref="M8:M22 M475:M481 M43:M46 M24:M41 M75:M83 M86:M96 M98:M105 M108:M112 M483:M489 M120:M133 M135:M143 M114:M117 M51:M73 M154:M178 M192:M198 M200:M209 M211:M218 M220:M224 M226:M232 M180:M190 M242:M258 M328:M348 M145:M151 M351:M352 M354 M358:M366 M369:M393 M396:M406 M234:M240 M441:M472 M274:M285 M262:M272 M293:M325 M425:M437 M287:M290 M409:M423">
      <formula1>DEPENDENCIA</formula1>
    </dataValidation>
    <dataValidation type="list" allowBlank="1" showInputMessage="1" showErrorMessage="1" sqref="L475:L481 L8:L22 L441:L472 L43:L46 L24:L41 L86:L96 L98:L105 L75:L83 L108:L112 L114:L117 L120:L133 L135:L143 L192:L198 L51:L73 L145:L151 L154:L178 L200:L209 L211:L218 L220:L224 L226:L232 L180:L190 L242:L258 L328:L348 L287:L290 L351:L352 L354 L358:L366 L369:L393 L396:L406 L234:L240 L274:L285 L262:L272 L293:L325 L425:L437 L483:L489 L409:L423">
      <formula1>ODS</formula1>
    </dataValidation>
    <dataValidation type="list" allowBlank="1" showInputMessage="1" showErrorMessage="1" sqref="B260:B354 B439:B489 B8:B258 B356:B437">
      <formula1>SECTOR</formula1>
    </dataValidation>
    <dataValidation type="list" allowBlank="1" showInputMessage="1" showErrorMessage="1" sqref="AC486">
      <formula1>COOR</formula1>
    </dataValidation>
  </dataValidations>
  <pageMargins left="0.7" right="0.7" top="0.75" bottom="0.75" header="0.3" footer="0.3"/>
  <pageSetup paperSize="9" orientation="portrait" horizontalDpi="4294967292" verticalDpi="4294967292" r:id="rId2"/>
  <legacyDrawing r:id="rId3"/>
  <extLst>
    <ext xmlns:x14="http://schemas.microsoft.com/office/spreadsheetml/2009/9/main" uri="{78C0D931-6437-407d-A8EE-F0AAD7539E65}">
      <x14:conditionalFormattings>
        <x14:conditionalFormatting xmlns:xm="http://schemas.microsoft.com/office/excel/2006/main">
          <x14:cfRule type="containsText" priority="9" operator="containsText" text="AZ" id="{E7D1B52E-62CA-4B80-8642-FF0179AEC161}">
            <xm:f>NOT(ISERROR(SEARCH("AZ",'PLAN ACCION 2016'!#REF!)))</xm:f>
            <x14:dxf>
              <font>
                <b val="0"/>
                <i val="0"/>
                <color theme="1"/>
              </font>
              <fill>
                <patternFill>
                  <bgColor rgb="FF00B0F0"/>
                </patternFill>
              </fill>
            </x14:dxf>
          </x14:cfRule>
          <x14:cfRule type="containsText" priority="10" operator="containsText" text="RO" id="{1882D7A1-2785-4C0C-ABA9-DFD3FD920037}">
            <xm:f>NOT(ISERROR(SEARCH("RO",'PLAN ACCION 2016'!#REF!)))</xm:f>
            <x14:dxf>
              <font>
                <b val="0"/>
                <i val="0"/>
                <color theme="1"/>
              </font>
              <fill>
                <patternFill>
                  <bgColor rgb="FFFF0000"/>
                </patternFill>
              </fill>
            </x14:dxf>
          </x14:cfRule>
          <x14:cfRule type="containsText" priority="11" operator="containsText" text="AM" id="{AAAD6254-E4FE-4133-B8BB-1359FC955991}">
            <xm:f>NOT(ISERROR(SEARCH("AM",'PLAN ACCION 2016'!#REF!)))</xm:f>
            <x14:dxf>
              <font>
                <b val="0"/>
                <i val="0"/>
                <strike val="0"/>
                <color theme="1"/>
              </font>
              <fill>
                <patternFill>
                  <bgColor rgb="FFFFFF00"/>
                </patternFill>
              </fill>
            </x14:dxf>
          </x14:cfRule>
          <x14:cfRule type="containsText" priority="12" operator="containsText" text="VE" id="{C681C393-C28A-4797-90F3-4D5D60660B07}">
            <xm:f>NOT(ISERROR(SEARCH("VE",'PLAN ACCION 2016'!#REF!)))</xm:f>
            <x14:dxf>
              <font>
                <b val="0"/>
                <i val="0"/>
                <color theme="1"/>
              </font>
              <fill>
                <patternFill>
                  <fgColor theme="6"/>
                  <bgColor rgb="FF92D050"/>
                </patternFill>
              </fill>
            </x14:dxf>
          </x14:cfRule>
          <xm:sqref>AC486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4140625" defaultRowHeight="14.4" x14ac:dyDescent="0.3"/>
  <sheetData/>
  <customSheetViews>
    <customSheetView guid="{92B8BA5A-7984-4526-9F7A-187FF856FCAE}" state="hidden">
      <pageMargins left="0" right="0" top="0" bottom="0" header="0" footer="0"/>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pageSetUpPr fitToPage="1"/>
  </sheetPr>
  <dimension ref="A1:CV500"/>
  <sheetViews>
    <sheetView zoomScale="80" zoomScaleNormal="80" zoomScalePageLayoutView="140" workbookViewId="0">
      <pane xSplit="1" ySplit="4" topLeftCell="U114" activePane="bottomRight" state="frozen"/>
      <selection pane="topRight" activeCell="B1" sqref="B1"/>
      <selection pane="bottomLeft" activeCell="A5" sqref="A5"/>
      <selection pane="bottomRight" activeCell="AH117" sqref="AH117"/>
    </sheetView>
  </sheetViews>
  <sheetFormatPr baseColWidth="10" defaultColWidth="11.44140625" defaultRowHeight="14.4" x14ac:dyDescent="0.3"/>
  <cols>
    <col min="1" max="1" width="11.88671875" style="3" customWidth="1"/>
    <col min="2" max="2" width="13.6640625" style="5" customWidth="1"/>
    <col min="3" max="3" width="11" style="5" customWidth="1"/>
    <col min="4" max="4" width="22.33203125" style="3" customWidth="1"/>
    <col min="5" max="5" width="18.33203125" style="3" customWidth="1"/>
    <col min="6" max="6" width="0.33203125" style="3" customWidth="1"/>
    <col min="7" max="7" width="8.109375" style="3" customWidth="1"/>
    <col min="8" max="8" width="8.88671875" style="3" customWidth="1"/>
    <col min="9" max="9" width="8.5546875" style="253" customWidth="1"/>
    <col min="10" max="10" width="11.88671875" style="254" customWidth="1"/>
    <col min="11" max="11" width="11.109375" style="252" customWidth="1"/>
    <col min="12" max="12" width="15" style="3" customWidth="1"/>
    <col min="13" max="13" width="6.33203125" style="3" customWidth="1"/>
    <col min="14" max="14" width="17.44140625" style="252" customWidth="1"/>
    <col min="15" max="15" width="11.109375" style="252" customWidth="1"/>
    <col min="16" max="16" width="26.33203125" style="28" customWidth="1"/>
    <col min="17" max="17" width="7.109375" style="28" customWidth="1"/>
    <col min="18" max="18" width="4.5546875" style="4" customWidth="1"/>
    <col min="19" max="19" width="4.44140625" style="255" customWidth="1"/>
    <col min="20" max="20" width="6.6640625" style="678" customWidth="1"/>
    <col min="21" max="21" width="8.88671875" style="255" customWidth="1"/>
    <col min="22" max="22" width="5.33203125" style="255" customWidth="1"/>
    <col min="23" max="23" width="9.5546875" style="255" customWidth="1"/>
    <col min="24" max="24" width="3.88671875" style="255" customWidth="1"/>
    <col min="25" max="25" width="9.44140625" style="255" customWidth="1"/>
    <col min="26" max="26" width="3.88671875" style="255" customWidth="1"/>
    <col min="27" max="27" width="5.109375" style="256" customWidth="1"/>
    <col min="28" max="28" width="6.5546875" style="256" customWidth="1"/>
    <col min="29" max="29" width="7.44140625" style="256" customWidth="1"/>
    <col min="30" max="32" width="2.5546875" style="256" customWidth="1"/>
    <col min="33" max="33" width="9.44140625" style="257" customWidth="1"/>
    <col min="34" max="34" width="12" style="257" customWidth="1"/>
    <col min="35" max="35" width="7.5546875" style="256" customWidth="1"/>
    <col min="36" max="36" width="7.33203125" style="256" customWidth="1"/>
    <col min="37" max="37" width="3.6640625" style="256" customWidth="1"/>
    <col min="38" max="38" width="5.5546875" style="256" customWidth="1"/>
    <col min="39" max="39" width="7.6640625" style="256" customWidth="1"/>
    <col min="40" max="40" width="10.44140625" style="257" customWidth="1"/>
    <col min="41" max="41" width="4.6640625" style="258" customWidth="1"/>
    <col min="42" max="42" width="5" style="258" customWidth="1"/>
    <col min="43" max="43" width="3.5546875" style="258" customWidth="1"/>
    <col min="44" max="44" width="10.33203125" style="258" customWidth="1"/>
    <col min="45" max="45" width="5.6640625" style="258" customWidth="1"/>
    <col min="46" max="46" width="1.5546875" style="258" customWidth="1"/>
    <col min="47" max="47" width="9.33203125" style="258" customWidth="1"/>
    <col min="48" max="48" width="8.6640625" style="259" customWidth="1"/>
    <col min="49" max="50" width="7.109375" style="258" hidden="1" customWidth="1"/>
    <col min="51" max="51" width="8.5546875" style="258" hidden="1" customWidth="1"/>
    <col min="52" max="52" width="8.6640625" style="258" hidden="1" customWidth="1"/>
    <col min="53" max="54" width="9" style="258" hidden="1" customWidth="1"/>
    <col min="55" max="55" width="8.109375" style="258" hidden="1" customWidth="1"/>
    <col min="56" max="56" width="9" style="259" hidden="1" customWidth="1"/>
    <col min="57" max="58" width="7.109375" style="258" hidden="1" customWidth="1"/>
    <col min="59" max="59" width="8.5546875" style="258" hidden="1" customWidth="1"/>
    <col min="60" max="60" width="8.6640625" style="258" hidden="1" customWidth="1"/>
    <col min="61" max="62" width="9" style="258" hidden="1" customWidth="1"/>
    <col min="63" max="63" width="8.109375" style="258" hidden="1" customWidth="1"/>
    <col min="64" max="64" width="9" style="259" hidden="1" customWidth="1"/>
    <col min="65" max="66" width="7.109375" style="258" hidden="1" customWidth="1"/>
    <col min="67" max="67" width="8.5546875" style="258" hidden="1" customWidth="1"/>
    <col min="68" max="68" width="8.6640625" style="258" hidden="1" customWidth="1"/>
    <col min="69" max="70" width="9" style="258" hidden="1" customWidth="1"/>
    <col min="71" max="71" width="8.109375" style="258" hidden="1" customWidth="1"/>
    <col min="72" max="72" width="2.6640625" style="259" customWidth="1"/>
    <col min="73" max="73" width="7.6640625" customWidth="1"/>
    <col min="74" max="74" width="6.33203125" customWidth="1"/>
    <col min="75" max="75" width="9.33203125" customWidth="1"/>
    <col min="76" max="76" width="9.5546875" customWidth="1"/>
    <col min="77" max="77" width="9.88671875" customWidth="1"/>
    <col min="78" max="78" width="9.5546875" customWidth="1"/>
    <col min="79" max="79" width="8.88671875" customWidth="1"/>
  </cols>
  <sheetData>
    <row r="1" spans="1:79" ht="68.25" customHeight="1" thickBot="1" x14ac:dyDescent="0.3">
      <c r="A1" s="1584" t="s">
        <v>2557</v>
      </c>
      <c r="B1" s="1585"/>
      <c r="C1" s="1585"/>
      <c r="D1" s="1585"/>
      <c r="E1" s="1585"/>
      <c r="F1" s="1585"/>
      <c r="G1" s="1585"/>
      <c r="H1" s="1585"/>
      <c r="I1" s="1585"/>
      <c r="J1" s="1585"/>
      <c r="K1" s="1585"/>
      <c r="L1" s="1585"/>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c r="AN1" s="1585"/>
      <c r="AO1" s="1585"/>
      <c r="AP1" s="1585"/>
      <c r="AQ1" s="1585"/>
      <c r="AR1" s="1585"/>
      <c r="AS1" s="1585"/>
      <c r="AT1" s="1585"/>
      <c r="AU1" s="1585"/>
      <c r="AV1" s="1585"/>
      <c r="AW1" s="1585"/>
      <c r="AX1" s="1585"/>
      <c r="AY1" s="1585"/>
      <c r="AZ1" s="1585"/>
      <c r="BA1" s="1585"/>
      <c r="BB1" s="1585"/>
      <c r="BC1" s="1585"/>
      <c r="BD1" s="1585"/>
      <c r="BE1" s="1585"/>
      <c r="BF1" s="1585"/>
      <c r="BG1" s="1585"/>
      <c r="BH1" s="1585"/>
      <c r="BI1" s="1585"/>
      <c r="BJ1" s="1585"/>
      <c r="BK1" s="1585"/>
      <c r="BL1" s="1585"/>
      <c r="BM1" s="1585"/>
      <c r="BN1" s="1585"/>
      <c r="BO1" s="1585"/>
      <c r="BP1" s="1585"/>
      <c r="BQ1" s="1585"/>
      <c r="BR1" s="1585"/>
      <c r="BS1" s="1585"/>
      <c r="BT1" s="1585"/>
      <c r="BU1" s="1585"/>
      <c r="BV1" s="1585"/>
      <c r="BW1" s="1585"/>
      <c r="BX1" s="1585"/>
      <c r="BY1" s="1585"/>
      <c r="BZ1" s="1585"/>
      <c r="CA1" s="1586"/>
    </row>
    <row r="2" spans="1:79" ht="54.75" customHeight="1" thickBot="1" x14ac:dyDescent="0.35">
      <c r="A2" s="1617" t="s">
        <v>1</v>
      </c>
      <c r="B2" s="1618"/>
      <c r="C2" s="1618"/>
      <c r="D2" s="1618"/>
      <c r="E2" s="1618"/>
      <c r="F2" s="1618"/>
      <c r="G2" s="1618"/>
      <c r="H2" s="1618"/>
      <c r="I2" s="1618"/>
      <c r="J2" s="1618"/>
      <c r="K2" s="1618"/>
      <c r="L2" s="1618"/>
      <c r="M2" s="1618"/>
      <c r="N2" s="1618"/>
      <c r="O2" s="1618"/>
      <c r="P2" s="1618"/>
      <c r="Q2" s="1618"/>
      <c r="R2" s="1618"/>
      <c r="S2" s="1618"/>
      <c r="T2" s="1618"/>
      <c r="U2" s="1618"/>
      <c r="V2" s="1618"/>
      <c r="W2" s="1618"/>
      <c r="X2" s="1618"/>
      <c r="Y2" s="1618"/>
      <c r="Z2" s="1618"/>
      <c r="AA2" s="1618"/>
      <c r="AB2" s="1618"/>
      <c r="AC2" s="1618"/>
      <c r="AD2" s="1618"/>
      <c r="AE2" s="1618"/>
      <c r="AF2" s="1618"/>
      <c r="AG2" s="1618"/>
      <c r="AH2" s="1618"/>
      <c r="AI2" s="1618"/>
      <c r="AJ2" s="1618"/>
      <c r="AK2" s="1618"/>
      <c r="AL2" s="1618"/>
      <c r="AM2" s="1618"/>
      <c r="AN2" s="1618"/>
      <c r="AO2" s="564"/>
      <c r="AP2" s="564"/>
      <c r="AQ2" s="564"/>
      <c r="AR2" s="564"/>
      <c r="AS2" s="564"/>
      <c r="AT2" s="564"/>
      <c r="AU2" s="564"/>
      <c r="AV2" s="565"/>
      <c r="AW2" s="564"/>
      <c r="AX2" s="564"/>
      <c r="AY2" s="564"/>
      <c r="AZ2" s="564"/>
      <c r="BA2" s="564"/>
      <c r="BB2" s="564"/>
      <c r="BC2" s="564"/>
      <c r="BD2" s="565"/>
      <c r="BE2" s="564"/>
      <c r="BF2" s="564"/>
      <c r="BG2" s="564"/>
      <c r="BH2" s="564"/>
      <c r="BI2" s="564"/>
      <c r="BJ2" s="564"/>
      <c r="BK2" s="564"/>
      <c r="BL2" s="565"/>
      <c r="BM2" s="564"/>
      <c r="BN2" s="564"/>
      <c r="BO2" s="564"/>
      <c r="BP2" s="564"/>
      <c r="BQ2" s="564"/>
      <c r="BR2" s="564"/>
      <c r="BS2" s="564"/>
      <c r="BT2" s="565"/>
      <c r="BU2" s="566"/>
      <c r="BV2" s="566"/>
      <c r="BW2" s="566"/>
      <c r="BX2" s="566"/>
      <c r="BY2" s="566"/>
      <c r="BZ2" s="567"/>
      <c r="CA2" s="568"/>
    </row>
    <row r="3" spans="1:79" ht="15.75" thickBot="1" x14ac:dyDescent="0.3">
      <c r="A3" s="459"/>
      <c r="B3" s="460"/>
      <c r="C3" s="460"/>
      <c r="D3" s="459"/>
      <c r="E3" s="459"/>
      <c r="F3" s="459"/>
      <c r="G3" s="459"/>
      <c r="H3" s="459"/>
      <c r="I3" s="461"/>
      <c r="J3" s="462"/>
      <c r="K3" s="463"/>
      <c r="L3" s="459"/>
      <c r="M3" s="459"/>
      <c r="N3" s="463"/>
      <c r="O3" s="463"/>
      <c r="P3" s="464"/>
      <c r="Q3" s="464"/>
      <c r="R3" s="465"/>
      <c r="S3" s="466"/>
      <c r="U3" s="466"/>
      <c r="V3" s="466"/>
      <c r="W3" s="466"/>
      <c r="X3" s="466"/>
      <c r="Y3" s="466"/>
      <c r="Z3" s="466"/>
      <c r="AA3" s="467"/>
      <c r="AB3" s="467"/>
      <c r="AC3" s="1621" t="s">
        <v>2558</v>
      </c>
      <c r="AD3" s="1622"/>
      <c r="AE3" s="1622"/>
      <c r="AF3" s="1623"/>
      <c r="AG3" s="468"/>
      <c r="AH3" s="468"/>
      <c r="AI3" s="467"/>
      <c r="AJ3" s="467"/>
      <c r="AK3" s="467"/>
      <c r="AL3" s="467"/>
      <c r="AM3" s="467"/>
      <c r="AN3" s="468"/>
      <c r="AO3" s="1614" t="s">
        <v>2559</v>
      </c>
      <c r="AP3" s="1615"/>
      <c r="AQ3" s="1615"/>
      <c r="AR3" s="1615"/>
      <c r="AS3" s="1615"/>
      <c r="AT3" s="1615"/>
      <c r="AU3" s="1615"/>
      <c r="AV3" s="1616"/>
      <c r="AW3" s="1614" t="s">
        <v>2560</v>
      </c>
      <c r="AX3" s="1615"/>
      <c r="AY3" s="1615"/>
      <c r="AZ3" s="1615"/>
      <c r="BA3" s="1615"/>
      <c r="BB3" s="1615"/>
      <c r="BC3" s="1615"/>
      <c r="BD3" s="1616"/>
      <c r="BE3" s="1614" t="s">
        <v>2561</v>
      </c>
      <c r="BF3" s="1615"/>
      <c r="BG3" s="1615"/>
      <c r="BH3" s="1615"/>
      <c r="BI3" s="1615"/>
      <c r="BJ3" s="1615"/>
      <c r="BK3" s="1615"/>
      <c r="BL3" s="1616"/>
      <c r="BM3" s="1614" t="s">
        <v>2562</v>
      </c>
      <c r="BN3" s="1615"/>
      <c r="BO3" s="1615"/>
      <c r="BP3" s="1615"/>
      <c r="BQ3" s="1615"/>
      <c r="BR3" s="1615"/>
      <c r="BS3" s="1615"/>
      <c r="BT3" s="1616"/>
      <c r="BU3" s="1587" t="s">
        <v>2563</v>
      </c>
      <c r="BV3" s="1588"/>
      <c r="BW3" s="1588"/>
      <c r="BX3" s="1588"/>
      <c r="BY3" s="1588"/>
      <c r="BZ3" s="1588"/>
      <c r="CA3" s="1589"/>
    </row>
    <row r="4" spans="1:79" ht="93" customHeight="1" thickBot="1" x14ac:dyDescent="0.35">
      <c r="A4" s="284" t="s">
        <v>8</v>
      </c>
      <c r="B4" s="284" t="s">
        <v>9</v>
      </c>
      <c r="C4" s="284" t="s">
        <v>10</v>
      </c>
      <c r="D4" s="284" t="s">
        <v>11</v>
      </c>
      <c r="E4" s="284" t="s">
        <v>12</v>
      </c>
      <c r="F4" s="284" t="s">
        <v>13</v>
      </c>
      <c r="G4" s="284" t="s">
        <v>14</v>
      </c>
      <c r="H4" s="284" t="s">
        <v>15</v>
      </c>
      <c r="I4" s="285" t="s">
        <v>16</v>
      </c>
      <c r="J4" s="285" t="s">
        <v>17</v>
      </c>
      <c r="K4" s="284" t="s">
        <v>18</v>
      </c>
      <c r="L4" s="284" t="s">
        <v>19</v>
      </c>
      <c r="M4" s="284" t="s">
        <v>20</v>
      </c>
      <c r="N4" s="286" t="s">
        <v>21</v>
      </c>
      <c r="O4" s="284" t="s">
        <v>22</v>
      </c>
      <c r="P4" s="284" t="s">
        <v>24</v>
      </c>
      <c r="Q4" s="284" t="s">
        <v>12</v>
      </c>
      <c r="R4" s="284" t="s">
        <v>13</v>
      </c>
      <c r="S4" s="287" t="s">
        <v>14</v>
      </c>
      <c r="T4" s="679" t="s">
        <v>2564</v>
      </c>
      <c r="U4" s="657" t="s">
        <v>2565</v>
      </c>
      <c r="V4" s="657" t="s">
        <v>2566</v>
      </c>
      <c r="W4" s="657" t="s">
        <v>2567</v>
      </c>
      <c r="X4" s="657"/>
      <c r="Y4" s="657" t="s">
        <v>2568</v>
      </c>
      <c r="Z4" s="657"/>
      <c r="AA4" s="658" t="s">
        <v>2569</v>
      </c>
      <c r="AB4" s="658"/>
      <c r="AC4" s="666" t="s">
        <v>2570</v>
      </c>
      <c r="AD4" s="666" t="s">
        <v>2571</v>
      </c>
      <c r="AE4" s="666" t="s">
        <v>2572</v>
      </c>
      <c r="AF4" s="666" t="s">
        <v>2573</v>
      </c>
      <c r="AG4" s="288" t="s">
        <v>2574</v>
      </c>
      <c r="AH4" s="289" t="s">
        <v>2575</v>
      </c>
      <c r="AI4" s="288" t="s">
        <v>2576</v>
      </c>
      <c r="AJ4" s="288" t="s">
        <v>2577</v>
      </c>
      <c r="AK4" s="288" t="s">
        <v>2578</v>
      </c>
      <c r="AL4" s="288" t="s">
        <v>2579</v>
      </c>
      <c r="AM4" s="288" t="s">
        <v>2580</v>
      </c>
      <c r="AN4" s="503" t="s">
        <v>2581</v>
      </c>
      <c r="AO4" s="535" t="s">
        <v>2582</v>
      </c>
      <c r="AP4" s="536" t="s">
        <v>27</v>
      </c>
      <c r="AQ4" s="535" t="s">
        <v>2583</v>
      </c>
      <c r="AR4" s="536" t="s">
        <v>2584</v>
      </c>
      <c r="AS4" s="535" t="s">
        <v>2585</v>
      </c>
      <c r="AT4" s="537" t="s">
        <v>2586</v>
      </c>
      <c r="AU4" s="535" t="s">
        <v>31</v>
      </c>
      <c r="AV4" s="538" t="s">
        <v>32</v>
      </c>
      <c r="AW4" s="535" t="s">
        <v>2582</v>
      </c>
      <c r="AX4" s="536" t="s">
        <v>27</v>
      </c>
      <c r="AY4" s="535" t="s">
        <v>2583</v>
      </c>
      <c r="AZ4" s="536" t="s">
        <v>2584</v>
      </c>
      <c r="BA4" s="535" t="s">
        <v>2585</v>
      </c>
      <c r="BB4" s="537" t="s">
        <v>2586</v>
      </c>
      <c r="BC4" s="535" t="s">
        <v>31</v>
      </c>
      <c r="BD4" s="538" t="s">
        <v>32</v>
      </c>
      <c r="BE4" s="535" t="s">
        <v>2582</v>
      </c>
      <c r="BF4" s="536" t="s">
        <v>27</v>
      </c>
      <c r="BG4" s="535" t="s">
        <v>2583</v>
      </c>
      <c r="BH4" s="536" t="s">
        <v>2584</v>
      </c>
      <c r="BI4" s="535" t="s">
        <v>2585</v>
      </c>
      <c r="BJ4" s="537" t="s">
        <v>2586</v>
      </c>
      <c r="BK4" s="535" t="s">
        <v>31</v>
      </c>
      <c r="BL4" s="538" t="s">
        <v>32</v>
      </c>
      <c r="BM4" s="535" t="s">
        <v>2582</v>
      </c>
      <c r="BN4" s="536" t="s">
        <v>27</v>
      </c>
      <c r="BO4" s="535" t="s">
        <v>2583</v>
      </c>
      <c r="BP4" s="536" t="s">
        <v>2584</v>
      </c>
      <c r="BQ4" s="535" t="s">
        <v>2585</v>
      </c>
      <c r="BR4" s="537" t="s">
        <v>2586</v>
      </c>
      <c r="BS4" s="535" t="s">
        <v>31</v>
      </c>
      <c r="BT4" s="538" t="s">
        <v>32</v>
      </c>
      <c r="BU4" s="569" t="s">
        <v>2587</v>
      </c>
      <c r="BV4" s="570" t="s">
        <v>2588</v>
      </c>
      <c r="BW4" s="571" t="s">
        <v>2589</v>
      </c>
      <c r="BX4" s="570" t="s">
        <v>2590</v>
      </c>
      <c r="BY4" s="571" t="s">
        <v>2591</v>
      </c>
      <c r="BZ4" s="570" t="s">
        <v>2592</v>
      </c>
      <c r="CA4" s="571" t="s">
        <v>2593</v>
      </c>
    </row>
    <row r="5" spans="1:79" ht="55.5" hidden="1" customHeight="1" x14ac:dyDescent="0.25">
      <c r="A5" s="1619" t="s">
        <v>33</v>
      </c>
      <c r="B5" s="1619"/>
      <c r="C5" s="1619"/>
      <c r="D5" s="1619"/>
      <c r="E5" s="1619"/>
      <c r="F5" s="1619"/>
      <c r="G5" s="1619"/>
      <c r="H5" s="1619"/>
      <c r="I5" s="1619"/>
      <c r="J5" s="1619"/>
      <c r="K5" s="1619"/>
      <c r="L5" s="1619"/>
      <c r="M5" s="1619"/>
      <c r="N5" s="1619"/>
      <c r="O5" s="1619"/>
      <c r="P5" s="1619"/>
      <c r="Q5" s="1619"/>
      <c r="R5" s="1619"/>
      <c r="S5" s="1619"/>
      <c r="T5" s="1619"/>
      <c r="U5" s="1619"/>
      <c r="V5" s="1619"/>
      <c r="W5" s="1619"/>
      <c r="X5" s="1619"/>
      <c r="Y5" s="1619"/>
      <c r="Z5" s="1619"/>
      <c r="AA5" s="1619"/>
      <c r="AB5" s="1619"/>
      <c r="AC5" s="1619"/>
      <c r="AD5" s="1619"/>
      <c r="AE5" s="1619"/>
      <c r="AF5" s="1619"/>
      <c r="AG5" s="1619"/>
      <c r="AH5" s="1619"/>
      <c r="AI5" s="1619"/>
      <c r="AJ5" s="1619"/>
      <c r="AK5" s="1619"/>
      <c r="AL5" s="1620"/>
      <c r="AM5" s="292"/>
      <c r="AN5" s="504"/>
      <c r="AO5" s="553"/>
      <c r="AP5" s="554"/>
      <c r="AQ5" s="554"/>
      <c r="AR5" s="554"/>
      <c r="AS5" s="554"/>
      <c r="AT5" s="554"/>
      <c r="AU5" s="554"/>
      <c r="AV5" s="555">
        <f>SUM(AO5:AU5)</f>
        <v>0</v>
      </c>
      <c r="AW5" s="553"/>
      <c r="AX5" s="554"/>
      <c r="AY5" s="554"/>
      <c r="AZ5" s="554"/>
      <c r="BA5" s="554"/>
      <c r="BB5" s="554"/>
      <c r="BC5" s="554"/>
      <c r="BD5" s="555">
        <f>SUM(AW5:BC5)</f>
        <v>0</v>
      </c>
      <c r="BE5" s="553"/>
      <c r="BF5" s="554"/>
      <c r="BG5" s="554"/>
      <c r="BH5" s="554"/>
      <c r="BI5" s="554"/>
      <c r="BJ5" s="554"/>
      <c r="BK5" s="554"/>
      <c r="BL5" s="555">
        <f>SUM(BE5:BK5)</f>
        <v>0</v>
      </c>
      <c r="BM5" s="553"/>
      <c r="BN5" s="554"/>
      <c r="BO5" s="554"/>
      <c r="BP5" s="554"/>
      <c r="BQ5" s="554"/>
      <c r="BR5" s="554"/>
      <c r="BS5" s="554"/>
      <c r="BT5" s="555">
        <f>SUM(BM5:BS5)</f>
        <v>0</v>
      </c>
      <c r="BU5" s="552"/>
      <c r="BV5" s="552"/>
      <c r="BW5" s="556"/>
      <c r="BX5" s="556"/>
      <c r="BY5" s="556"/>
      <c r="BZ5" s="557"/>
      <c r="CA5" s="557"/>
    </row>
    <row r="6" spans="1:79" ht="1.5" hidden="1" customHeight="1" thickBot="1" x14ac:dyDescent="0.3">
      <c r="A6" s="323"/>
      <c r="B6" s="324" t="s">
        <v>35</v>
      </c>
      <c r="C6" s="324"/>
      <c r="D6" s="325" t="s">
        <v>36</v>
      </c>
      <c r="E6" s="325"/>
      <c r="F6" s="325"/>
      <c r="G6" s="325"/>
      <c r="H6" s="325"/>
      <c r="I6" s="325"/>
      <c r="J6" s="325"/>
      <c r="K6" s="325"/>
      <c r="L6" s="325"/>
      <c r="M6" s="325"/>
      <c r="N6" s="326"/>
      <c r="O6" s="325"/>
      <c r="P6" s="327"/>
      <c r="Q6" s="327"/>
      <c r="R6" s="325"/>
      <c r="S6" s="328"/>
      <c r="T6" s="680"/>
      <c r="U6" s="328"/>
      <c r="V6" s="328"/>
      <c r="W6" s="328"/>
      <c r="X6" s="328"/>
      <c r="Y6" s="328"/>
      <c r="Z6" s="328"/>
      <c r="AA6" s="329"/>
      <c r="AB6" s="329"/>
      <c r="AC6" s="329"/>
      <c r="AD6" s="329"/>
      <c r="AE6" s="329"/>
      <c r="AF6" s="329"/>
      <c r="AG6" s="330"/>
      <c r="AH6" s="330"/>
      <c r="AI6" s="329"/>
      <c r="AJ6" s="329"/>
      <c r="AK6" s="329"/>
      <c r="AL6" s="329"/>
      <c r="AM6" s="329"/>
      <c r="AN6" s="659"/>
      <c r="AO6" s="327"/>
      <c r="AP6" s="327"/>
      <c r="AQ6" s="327"/>
      <c r="AR6" s="327"/>
      <c r="AS6" s="327"/>
      <c r="AT6" s="327"/>
      <c r="AU6" s="327"/>
      <c r="AV6" s="327">
        <f t="shared" ref="AV6:AV69" si="0">SUM(AO6:AU6)</f>
        <v>0</v>
      </c>
      <c r="AW6" s="327"/>
      <c r="AX6" s="327"/>
      <c r="AY6" s="327"/>
      <c r="AZ6" s="327"/>
      <c r="BA6" s="327"/>
      <c r="BB6" s="327"/>
      <c r="BC6" s="327"/>
      <c r="BD6" s="327">
        <f t="shared" ref="BD6:BD23" si="1">SUM(AW6:BC6)</f>
        <v>0</v>
      </c>
      <c r="BE6" s="327"/>
      <c r="BF6" s="327"/>
      <c r="BG6" s="327"/>
      <c r="BH6" s="327"/>
      <c r="BI6" s="327"/>
      <c r="BJ6" s="327"/>
      <c r="BK6" s="327"/>
      <c r="BL6" s="327">
        <f t="shared" ref="BL6:BL23" si="2">SUM(BE6:BK6)</f>
        <v>0</v>
      </c>
      <c r="BM6" s="327"/>
      <c r="BN6" s="327"/>
      <c r="BO6" s="327"/>
      <c r="BP6" s="327"/>
      <c r="BQ6" s="327"/>
      <c r="BR6" s="327"/>
      <c r="BS6" s="327"/>
      <c r="BT6" s="327">
        <f t="shared" ref="BT6:BT23" si="3">SUM(BM6:BS6)</f>
        <v>0</v>
      </c>
      <c r="BU6" s="656"/>
      <c r="BV6" s="327"/>
      <c r="BW6" s="327"/>
      <c r="BX6" s="327"/>
      <c r="BY6" s="327"/>
      <c r="BZ6" s="327"/>
      <c r="CA6" s="327"/>
    </row>
    <row r="7" spans="1:79" ht="41.25" hidden="1" customHeight="1" thickBot="1" x14ac:dyDescent="0.3">
      <c r="A7" s="1608" t="s">
        <v>35</v>
      </c>
      <c r="B7" s="1609"/>
      <c r="C7" s="1609"/>
      <c r="D7" s="1609"/>
      <c r="E7" s="1609"/>
      <c r="F7" s="1609"/>
      <c r="G7" s="1609"/>
      <c r="H7" s="1609"/>
      <c r="I7" s="1609"/>
      <c r="J7" s="1609"/>
      <c r="K7" s="1609"/>
      <c r="L7" s="1609"/>
      <c r="M7" s="1609"/>
      <c r="N7" s="1609"/>
      <c r="O7" s="1609"/>
      <c r="P7" s="1609"/>
      <c r="Q7" s="1609"/>
      <c r="R7" s="1609"/>
      <c r="S7" s="1609"/>
      <c r="T7" s="1609"/>
      <c r="U7" s="1609"/>
      <c r="V7" s="1609"/>
      <c r="W7" s="1609"/>
      <c r="X7" s="1609"/>
      <c r="Y7" s="1609"/>
      <c r="Z7" s="1609"/>
      <c r="AA7" s="1609"/>
      <c r="AB7" s="1609"/>
      <c r="AC7" s="1609"/>
      <c r="AD7" s="1609"/>
      <c r="AE7" s="1609"/>
      <c r="AF7" s="1609"/>
      <c r="AG7" s="1609"/>
      <c r="AH7" s="1609"/>
      <c r="AI7" s="1609"/>
      <c r="AJ7" s="1609"/>
      <c r="AK7" s="1609"/>
      <c r="AL7" s="1609"/>
      <c r="AM7" s="1609"/>
      <c r="AN7" s="1610"/>
      <c r="AO7" s="541"/>
      <c r="AP7" s="542"/>
      <c r="AQ7" s="542"/>
      <c r="AR7" s="542"/>
      <c r="AS7" s="542"/>
      <c r="AT7" s="542"/>
      <c r="AU7" s="542"/>
      <c r="AV7" s="543">
        <f t="shared" si="0"/>
        <v>0</v>
      </c>
      <c r="AW7" s="541"/>
      <c r="AX7" s="542"/>
      <c r="AY7" s="542"/>
      <c r="AZ7" s="542"/>
      <c r="BA7" s="542"/>
      <c r="BB7" s="542"/>
      <c r="BC7" s="542"/>
      <c r="BD7" s="543">
        <f t="shared" si="1"/>
        <v>0</v>
      </c>
      <c r="BE7" s="541"/>
      <c r="BF7" s="542"/>
      <c r="BG7" s="542"/>
      <c r="BH7" s="542"/>
      <c r="BI7" s="542"/>
      <c r="BJ7" s="542"/>
      <c r="BK7" s="542"/>
      <c r="BL7" s="543">
        <f t="shared" si="2"/>
        <v>0</v>
      </c>
      <c r="BM7" s="541"/>
      <c r="BN7" s="542"/>
      <c r="BO7" s="542"/>
      <c r="BP7" s="542"/>
      <c r="BQ7" s="542"/>
      <c r="BR7" s="542"/>
      <c r="BS7" s="542"/>
      <c r="BT7" s="543">
        <f t="shared" si="3"/>
        <v>0</v>
      </c>
      <c r="BU7" s="654"/>
      <c r="BV7" s="558"/>
      <c r="BW7" s="560"/>
      <c r="BX7" s="560"/>
      <c r="BY7" s="560"/>
      <c r="BZ7" s="559"/>
      <c r="CA7" s="559"/>
    </row>
    <row r="8" spans="1:79" ht="18" hidden="1" x14ac:dyDescent="0.25">
      <c r="A8" s="296"/>
      <c r="B8" s="316" t="s">
        <v>35</v>
      </c>
      <c r="C8" s="1605" t="s">
        <v>37</v>
      </c>
      <c r="D8" s="1606"/>
      <c r="E8" s="1606"/>
      <c r="F8" s="1606"/>
      <c r="G8" s="1606"/>
      <c r="H8" s="1606"/>
      <c r="I8" s="1606"/>
      <c r="J8" s="1606"/>
      <c r="K8" s="1606"/>
      <c r="L8" s="1606"/>
      <c r="M8" s="1606"/>
      <c r="N8" s="1606"/>
      <c r="O8" s="1607"/>
      <c r="P8" s="318"/>
      <c r="Q8" s="318"/>
      <c r="R8" s="317"/>
      <c r="S8" s="319"/>
      <c r="T8" s="676"/>
      <c r="U8" s="319"/>
      <c r="V8" s="686">
        <f>SUM(V9:V23)</f>
        <v>2006830000</v>
      </c>
      <c r="W8" s="319"/>
      <c r="X8" s="695">
        <f>SUM(X9:X23)</f>
        <v>824420000</v>
      </c>
      <c r="Y8" s="319"/>
      <c r="Z8" s="695">
        <f>SUM(Z9:Z23)</f>
        <v>1050000000</v>
      </c>
      <c r="AA8" s="320"/>
      <c r="AB8" s="708">
        <f>SUM(AB9:AB23)</f>
        <v>1280000000</v>
      </c>
      <c r="AC8" s="320"/>
      <c r="AD8" s="320"/>
      <c r="AE8" s="320"/>
      <c r="AF8" s="320"/>
      <c r="AG8" s="321"/>
      <c r="AH8" s="321"/>
      <c r="AI8" s="320"/>
      <c r="AJ8" s="320"/>
      <c r="AK8" s="320"/>
      <c r="AL8" s="320"/>
      <c r="AM8" s="320"/>
      <c r="AN8" s="518"/>
      <c r="AO8" s="549" t="e">
        <f t="shared" ref="AO8:AU8" si="4">(AO9:AO23)</f>
        <v>#VALUE!</v>
      </c>
      <c r="AP8" s="550" t="e">
        <f t="shared" si="4"/>
        <v>#VALUE!</v>
      </c>
      <c r="AQ8" s="550" t="e">
        <f t="shared" si="4"/>
        <v>#VALUE!</v>
      </c>
      <c r="AR8" s="550" t="e">
        <f t="shared" si="4"/>
        <v>#VALUE!</v>
      </c>
      <c r="AS8" s="550" t="e">
        <f t="shared" si="4"/>
        <v>#VALUE!</v>
      </c>
      <c r="AT8" s="550" t="e">
        <f t="shared" si="4"/>
        <v>#VALUE!</v>
      </c>
      <c r="AU8" s="550" t="e">
        <f t="shared" si="4"/>
        <v>#VALUE!</v>
      </c>
      <c r="AV8" s="551" t="e">
        <f t="shared" si="0"/>
        <v>#VALUE!</v>
      </c>
      <c r="AW8" s="549" t="e">
        <f t="shared" ref="AW8:BC8" si="5">(AW9:AW23)</f>
        <v>#VALUE!</v>
      </c>
      <c r="AX8" s="550" t="e">
        <f t="shared" si="5"/>
        <v>#VALUE!</v>
      </c>
      <c r="AY8" s="550" t="e">
        <f t="shared" si="5"/>
        <v>#VALUE!</v>
      </c>
      <c r="AZ8" s="550" t="e">
        <f t="shared" si="5"/>
        <v>#VALUE!</v>
      </c>
      <c r="BA8" s="550" t="e">
        <f t="shared" si="5"/>
        <v>#VALUE!</v>
      </c>
      <c r="BB8" s="550" t="e">
        <f t="shared" si="5"/>
        <v>#VALUE!</v>
      </c>
      <c r="BC8" s="550" t="e">
        <f t="shared" si="5"/>
        <v>#VALUE!</v>
      </c>
      <c r="BD8" s="551" t="e">
        <f t="shared" si="1"/>
        <v>#VALUE!</v>
      </c>
      <c r="BE8" s="549" t="e">
        <f t="shared" ref="BE8:BK8" si="6">(BE9:BE23)</f>
        <v>#VALUE!</v>
      </c>
      <c r="BF8" s="550" t="e">
        <f t="shared" si="6"/>
        <v>#VALUE!</v>
      </c>
      <c r="BG8" s="550" t="e">
        <f t="shared" si="6"/>
        <v>#VALUE!</v>
      </c>
      <c r="BH8" s="550" t="e">
        <f t="shared" si="6"/>
        <v>#VALUE!</v>
      </c>
      <c r="BI8" s="550" t="e">
        <f t="shared" si="6"/>
        <v>#VALUE!</v>
      </c>
      <c r="BJ8" s="550" t="e">
        <f t="shared" si="6"/>
        <v>#VALUE!</v>
      </c>
      <c r="BK8" s="550" t="e">
        <f t="shared" si="6"/>
        <v>#VALUE!</v>
      </c>
      <c r="BL8" s="551" t="e">
        <f t="shared" si="2"/>
        <v>#VALUE!</v>
      </c>
      <c r="BM8" s="549" t="e">
        <f t="shared" ref="BM8:BS8" si="7">(BM9:BM23)</f>
        <v>#VALUE!</v>
      </c>
      <c r="BN8" s="550" t="e">
        <f t="shared" si="7"/>
        <v>#VALUE!</v>
      </c>
      <c r="BO8" s="550" t="e">
        <f t="shared" si="7"/>
        <v>#VALUE!</v>
      </c>
      <c r="BP8" s="550" t="e">
        <f t="shared" si="7"/>
        <v>#VALUE!</v>
      </c>
      <c r="BQ8" s="550" t="e">
        <f t="shared" si="7"/>
        <v>#VALUE!</v>
      </c>
      <c r="BR8" s="550" t="e">
        <f t="shared" si="7"/>
        <v>#VALUE!</v>
      </c>
      <c r="BS8" s="550" t="e">
        <f t="shared" si="7"/>
        <v>#VALUE!</v>
      </c>
      <c r="BT8" s="551" t="e">
        <f t="shared" si="3"/>
        <v>#VALUE!</v>
      </c>
      <c r="BU8" s="655"/>
      <c r="BV8" s="562"/>
      <c r="BW8" s="563"/>
      <c r="BX8" s="563"/>
      <c r="BY8" s="563"/>
      <c r="BZ8" s="563"/>
      <c r="CA8" s="563"/>
    </row>
    <row r="9" spans="1:79" ht="72.75" hidden="1" customHeight="1" x14ac:dyDescent="0.25">
      <c r="A9" s="298" t="s">
        <v>38</v>
      </c>
      <c r="B9" s="299" t="str">
        <f>'PLAN INDICATIVO'!B8</f>
        <v>Educación</v>
      </c>
      <c r="C9" s="1546" t="s">
        <v>40</v>
      </c>
      <c r="D9" s="1549" t="s">
        <v>41</v>
      </c>
      <c r="E9" s="1549" t="s">
        <v>42</v>
      </c>
      <c r="F9" s="1549">
        <v>2014</v>
      </c>
      <c r="G9" s="1549">
        <v>37.909999999999997</v>
      </c>
      <c r="H9" s="1549">
        <v>39.5</v>
      </c>
      <c r="I9" s="300">
        <f>'PLAN INDICATIVO'!I8</f>
        <v>0</v>
      </c>
      <c r="J9" s="300">
        <f>'PLAN INDICATIVO'!J8</f>
        <v>0</v>
      </c>
      <c r="K9" s="1425" t="str">
        <f>'PLAN INDICATIVO'!K8</f>
        <v>A.1.1.1</v>
      </c>
      <c r="L9" s="301" t="str">
        <f>'PLAN INDICATIVO'!L8</f>
        <v>4. Educación de calidad</v>
      </c>
      <c r="M9" s="301" t="str">
        <f>'PLAN INDICATIVO'!M8</f>
        <v>Secretaría de Educación, Cultura, deporte y Turismo</v>
      </c>
      <c r="N9" s="1425" t="str">
        <f>'PLAN INDICATIVO'!N8</f>
        <v>YIMI FERNANDO LOSADA PAYA</v>
      </c>
      <c r="O9" s="1425" t="str">
        <f>'PLAN INDICATIVO'!O8</f>
        <v>Incremento</v>
      </c>
      <c r="P9" s="16" t="str">
        <f>'PLAN INDICATIVO'!P8</f>
        <v>Suministrar 1500 Kit Escolares  a estudiantes de bajos recursos económicos del Municipio en el cuatrienio.</v>
      </c>
      <c r="Q9" s="302" t="str">
        <f>'PLAN INDICATIVO'!Q8</f>
        <v>No. de kit escolares suministrados en el cuatrienio</v>
      </c>
      <c r="R9" s="303">
        <f>'PLAN INDICATIVO'!R8</f>
        <v>2015</v>
      </c>
      <c r="S9" s="304">
        <v>0</v>
      </c>
      <c r="T9" s="677">
        <v>1500</v>
      </c>
      <c r="U9" s="303">
        <v>0</v>
      </c>
      <c r="V9" s="687"/>
      <c r="W9" s="572">
        <v>500</v>
      </c>
      <c r="X9" s="687">
        <v>19670000</v>
      </c>
      <c r="Y9" s="572">
        <v>500</v>
      </c>
      <c r="Z9" s="687">
        <v>15000000</v>
      </c>
      <c r="AA9" s="572">
        <v>500</v>
      </c>
      <c r="AB9" s="687">
        <v>7000000</v>
      </c>
      <c r="AC9" s="665">
        <v>0</v>
      </c>
      <c r="AD9" s="665">
        <v>20</v>
      </c>
      <c r="AE9" s="665"/>
      <c r="AF9" s="665"/>
      <c r="AG9" s="664"/>
      <c r="AH9" s="307"/>
      <c r="AI9" s="308"/>
      <c r="AJ9" s="308"/>
      <c r="AK9" s="308"/>
      <c r="AL9" s="308"/>
      <c r="AM9" s="267" t="s">
        <v>2594</v>
      </c>
      <c r="AN9" s="507"/>
      <c r="AO9" s="525"/>
      <c r="AP9" s="310"/>
      <c r="AQ9" s="310"/>
      <c r="AR9" s="310"/>
      <c r="AS9" s="310"/>
      <c r="AT9" s="310"/>
      <c r="AU9" s="310"/>
      <c r="AV9" s="544">
        <f t="shared" si="0"/>
        <v>0</v>
      </c>
      <c r="AW9" s="525"/>
      <c r="AX9" s="310"/>
      <c r="AY9" s="310"/>
      <c r="AZ9" s="310"/>
      <c r="BA9" s="310"/>
      <c r="BB9" s="310"/>
      <c r="BC9" s="310"/>
      <c r="BD9" s="544">
        <f t="shared" si="1"/>
        <v>0</v>
      </c>
      <c r="BE9" s="525"/>
      <c r="BF9" s="310"/>
      <c r="BG9" s="310"/>
      <c r="BH9" s="310"/>
      <c r="BI9" s="310"/>
      <c r="BJ9" s="310"/>
      <c r="BK9" s="310"/>
      <c r="BL9" s="544">
        <f t="shared" si="2"/>
        <v>0</v>
      </c>
      <c r="BM9" s="525"/>
      <c r="BN9" s="310"/>
      <c r="BO9" s="310"/>
      <c r="BP9" s="310"/>
      <c r="BQ9" s="310"/>
      <c r="BR9" s="310"/>
      <c r="BS9" s="310"/>
      <c r="BT9" s="544">
        <f t="shared" si="3"/>
        <v>0</v>
      </c>
      <c r="BU9" s="1582" t="s">
        <v>2563</v>
      </c>
      <c r="BV9" s="663">
        <f>AC9+AD9+AE9+AF9</f>
        <v>20</v>
      </c>
      <c r="BW9" s="674">
        <f>BV9/T9</f>
        <v>1.3333333333333334E-2</v>
      </c>
      <c r="BX9" s="674" t="e">
        <f>AC9/U9</f>
        <v>#DIV/0!</v>
      </c>
      <c r="BY9" s="674">
        <f>AD9/W9</f>
        <v>0.04</v>
      </c>
      <c r="BZ9" s="675">
        <f>AE9/Y9</f>
        <v>0</v>
      </c>
      <c r="CA9" s="675">
        <f>AF9/AA9</f>
        <v>0</v>
      </c>
    </row>
    <row r="10" spans="1:79" ht="96" hidden="1" customHeight="1" x14ac:dyDescent="0.25">
      <c r="A10" s="298" t="s">
        <v>38</v>
      </c>
      <c r="B10" s="299" t="str">
        <f>'PLAN INDICATIVO'!B9</f>
        <v>Educación</v>
      </c>
      <c r="C10" s="1547"/>
      <c r="D10" s="1550"/>
      <c r="E10" s="1550"/>
      <c r="F10" s="1549"/>
      <c r="G10" s="1549"/>
      <c r="H10" s="1549"/>
      <c r="I10" s="300">
        <f>'PLAN INDICATIVO'!I9</f>
        <v>0</v>
      </c>
      <c r="J10" s="300">
        <f>'PLAN INDICATIVO'!J9</f>
        <v>0</v>
      </c>
      <c r="K10" s="1425" t="str">
        <f>'PLAN INDICATIVO'!K9</f>
        <v>A.1.1.2</v>
      </c>
      <c r="L10" s="301" t="str">
        <f>'PLAN INDICATIVO'!L9</f>
        <v>4. Educación de calidad</v>
      </c>
      <c r="M10" s="301" t="str">
        <f>'PLAN INDICATIVO'!M9</f>
        <v>Secretaría de Educación, Cultura, deporte y Turismo</v>
      </c>
      <c r="N10" s="1425" t="str">
        <f>'PLAN INDICATIVO'!N9</f>
        <v>YIMI FERNANDO LOSADA PAYA</v>
      </c>
      <c r="O10" s="1425" t="str">
        <f>'PLAN INDICATIVO'!O9</f>
        <v>Incremento</v>
      </c>
      <c r="P10" s="16" t="str">
        <f>'PLAN INDICATIVO'!P9</f>
        <v>Realizar 4 apoyos para el pago de servicios públicos a las instituciones educativas durante el cuatrienio</v>
      </c>
      <c r="Q10" s="302" t="str">
        <f>'PLAN INDICATIVO'!Q9</f>
        <v>No. de apoyos realizado en el cuatrienio</v>
      </c>
      <c r="R10" s="303">
        <f>'PLAN INDICATIVO'!R9</f>
        <v>2015</v>
      </c>
      <c r="S10" s="304" t="s">
        <v>2595</v>
      </c>
      <c r="T10" s="677">
        <v>4</v>
      </c>
      <c r="U10" s="303">
        <v>1</v>
      </c>
      <c r="V10" s="687">
        <v>267630000</v>
      </c>
      <c r="W10" s="572">
        <v>1</v>
      </c>
      <c r="X10" s="687">
        <v>260000000</v>
      </c>
      <c r="Y10" s="572">
        <v>1</v>
      </c>
      <c r="Z10" s="687">
        <v>260000000</v>
      </c>
      <c r="AA10" s="572">
        <v>1</v>
      </c>
      <c r="AB10" s="687">
        <v>280000000</v>
      </c>
      <c r="AC10" s="665">
        <v>1</v>
      </c>
      <c r="AD10" s="665"/>
      <c r="AE10" s="665"/>
      <c r="AF10" s="665"/>
      <c r="AG10" s="664" t="s">
        <v>2596</v>
      </c>
      <c r="AH10" s="307" t="s">
        <v>2597</v>
      </c>
      <c r="AI10" s="309">
        <v>42401</v>
      </c>
      <c r="AJ10" s="309">
        <v>42735</v>
      </c>
      <c r="AK10" s="308"/>
      <c r="AL10" s="308"/>
      <c r="AM10" s="267" t="s">
        <v>2598</v>
      </c>
      <c r="AN10" s="508">
        <v>23010206</v>
      </c>
      <c r="AO10" s="525"/>
      <c r="AP10" s="725">
        <v>278803273</v>
      </c>
      <c r="AQ10" s="310"/>
      <c r="AR10" s="310"/>
      <c r="AS10" s="310"/>
      <c r="AT10" s="310"/>
      <c r="AU10" s="310"/>
      <c r="AV10" s="544">
        <f t="shared" si="0"/>
        <v>278803273</v>
      </c>
      <c r="AW10" s="525"/>
      <c r="AX10" s="310"/>
      <c r="AY10" s="310"/>
      <c r="AZ10" s="310"/>
      <c r="BA10" s="310"/>
      <c r="BB10" s="310"/>
      <c r="BC10" s="310"/>
      <c r="BD10" s="544">
        <f t="shared" si="1"/>
        <v>0</v>
      </c>
      <c r="BE10" s="525"/>
      <c r="BF10" s="310"/>
      <c r="BG10" s="310"/>
      <c r="BH10" s="310"/>
      <c r="BI10" s="310"/>
      <c r="BJ10" s="310"/>
      <c r="BK10" s="310"/>
      <c r="BL10" s="544">
        <f t="shared" si="2"/>
        <v>0</v>
      </c>
      <c r="BM10" s="525"/>
      <c r="BN10" s="310"/>
      <c r="BO10" s="310"/>
      <c r="BP10" s="310"/>
      <c r="BQ10" s="310"/>
      <c r="BR10" s="310"/>
      <c r="BS10" s="310"/>
      <c r="BT10" s="544">
        <f t="shared" si="3"/>
        <v>0</v>
      </c>
      <c r="BU10" s="1582"/>
      <c r="BV10" s="663">
        <f t="shared" ref="BV10:BV73" si="8">AC10+AD10+AE10+AF10</f>
        <v>1</v>
      </c>
      <c r="BW10" s="674">
        <f t="shared" ref="BW10:BW73" si="9">BV10/T10</f>
        <v>0.25</v>
      </c>
      <c r="BX10" s="835">
        <f t="shared" ref="BX10:BX73" si="10">AC10/U10</f>
        <v>1</v>
      </c>
      <c r="BY10" s="674">
        <f t="shared" ref="BY10:BY73" si="11">AD10/W10</f>
        <v>0</v>
      </c>
      <c r="BZ10" s="675">
        <f t="shared" ref="BZ10:BZ73" si="12">AE10/Y10</f>
        <v>0</v>
      </c>
      <c r="CA10" s="675">
        <f t="shared" ref="CA10:CA73" si="13">AF10/AA10</f>
        <v>0</v>
      </c>
    </row>
    <row r="11" spans="1:79" ht="60.75" hidden="1" customHeight="1" x14ac:dyDescent="0.25">
      <c r="A11" s="298" t="s">
        <v>38</v>
      </c>
      <c r="B11" s="299" t="str">
        <f>'PLAN INDICATIVO'!B10</f>
        <v>Educación</v>
      </c>
      <c r="C11" s="1547"/>
      <c r="D11" s="1549"/>
      <c r="E11" s="1549"/>
      <c r="F11" s="1549"/>
      <c r="G11" s="1549"/>
      <c r="H11" s="1549"/>
      <c r="I11" s="1425" t="str">
        <f>'PLAN INDICATIVO'!I10</f>
        <v>SI</v>
      </c>
      <c r="J11" s="1425">
        <f>'PLAN INDICATIVO'!J10</f>
        <v>0</v>
      </c>
      <c r="K11" s="1425" t="str">
        <f>'PLAN INDICATIVO'!K10</f>
        <v>A.1.1.3</v>
      </c>
      <c r="L11" s="301" t="str">
        <f>'PLAN INDICATIVO'!L10</f>
        <v>4. Educación de calidad</v>
      </c>
      <c r="M11" s="301" t="str">
        <f>'PLAN INDICATIVO'!M10</f>
        <v>Secretaría de Educación, Cultura, deporte y Turismo</v>
      </c>
      <c r="N11" s="1425" t="str">
        <f>'PLAN INDICATIVO'!N10</f>
        <v>YIMI FERNANDO LOSADA PAYA</v>
      </c>
      <c r="O11" s="1425" t="str">
        <f>'PLAN INDICATIVO'!O10</f>
        <v>Incremento</v>
      </c>
      <c r="P11" s="16" t="str">
        <f>'PLAN INDICATIVO'!P10</f>
        <v>Construir  1 Colegios 10 en la zona urbana del Municipio de La Plata.</v>
      </c>
      <c r="Q11" s="302" t="str">
        <f>'PLAN INDICATIVO'!Q10</f>
        <v>No. De mega colegios construidos en el cuatrienio</v>
      </c>
      <c r="R11" s="303">
        <f>'PLAN INDICATIVO'!R10</f>
        <v>2015</v>
      </c>
      <c r="S11" s="304">
        <v>1</v>
      </c>
      <c r="T11" s="677">
        <v>2</v>
      </c>
      <c r="U11" s="303">
        <v>0</v>
      </c>
      <c r="V11" s="687"/>
      <c r="W11" s="572">
        <v>0</v>
      </c>
      <c r="X11" s="687"/>
      <c r="Y11" s="572">
        <v>1</v>
      </c>
      <c r="Z11" s="687">
        <v>120000000</v>
      </c>
      <c r="AA11" s="572">
        <v>1</v>
      </c>
      <c r="AB11" s="687">
        <v>120000000</v>
      </c>
      <c r="AC11" s="665">
        <v>0</v>
      </c>
      <c r="AD11" s="665"/>
      <c r="AE11" s="665"/>
      <c r="AF11" s="665"/>
      <c r="AG11" s="664"/>
      <c r="AH11" s="307"/>
      <c r="AI11" s="308"/>
      <c r="AJ11" s="308"/>
      <c r="AK11" s="308"/>
      <c r="AL11" s="308"/>
      <c r="AM11" s="267" t="s">
        <v>2594</v>
      </c>
      <c r="AN11" s="507"/>
      <c r="AO11" s="525"/>
      <c r="AP11" s="310"/>
      <c r="AQ11" s="310"/>
      <c r="AR11" s="310"/>
      <c r="AS11" s="310"/>
      <c r="AT11" s="310"/>
      <c r="AU11" s="310"/>
      <c r="AV11" s="544">
        <f t="shared" si="0"/>
        <v>0</v>
      </c>
      <c r="AW11" s="525"/>
      <c r="AX11" s="310"/>
      <c r="AY11" s="310"/>
      <c r="AZ11" s="310"/>
      <c r="BA11" s="310"/>
      <c r="BB11" s="310"/>
      <c r="BC11" s="310"/>
      <c r="BD11" s="544">
        <f t="shared" si="1"/>
        <v>0</v>
      </c>
      <c r="BE11" s="525"/>
      <c r="BF11" s="310"/>
      <c r="BG11" s="310"/>
      <c r="BH11" s="310"/>
      <c r="BI11" s="310"/>
      <c r="BJ11" s="310"/>
      <c r="BK11" s="310"/>
      <c r="BL11" s="544">
        <f t="shared" si="2"/>
        <v>0</v>
      </c>
      <c r="BM11" s="525"/>
      <c r="BN11" s="310"/>
      <c r="BO11" s="310"/>
      <c r="BP11" s="310"/>
      <c r="BQ11" s="310"/>
      <c r="BR11" s="310"/>
      <c r="BS11" s="310"/>
      <c r="BT11" s="544">
        <f t="shared" si="3"/>
        <v>0</v>
      </c>
      <c r="BU11" s="1582"/>
      <c r="BV11" s="663">
        <f t="shared" si="8"/>
        <v>0</v>
      </c>
      <c r="BW11" s="674">
        <f t="shared" si="9"/>
        <v>0</v>
      </c>
      <c r="BX11" s="835" t="e">
        <f t="shared" si="10"/>
        <v>#DIV/0!</v>
      </c>
      <c r="BY11" s="674" t="e">
        <f t="shared" si="11"/>
        <v>#DIV/0!</v>
      </c>
      <c r="BZ11" s="675">
        <f t="shared" si="12"/>
        <v>0</v>
      </c>
      <c r="CA11" s="675">
        <f t="shared" si="13"/>
        <v>0</v>
      </c>
    </row>
    <row r="12" spans="1:79" ht="65.25" hidden="1" customHeight="1" x14ac:dyDescent="0.25">
      <c r="A12" s="298" t="s">
        <v>38</v>
      </c>
      <c r="B12" s="299" t="str">
        <f>'PLAN INDICATIVO'!B11</f>
        <v>Educación</v>
      </c>
      <c r="C12" s="1547"/>
      <c r="D12" s="1551"/>
      <c r="E12" s="1551"/>
      <c r="F12" s="1549"/>
      <c r="G12" s="1549"/>
      <c r="H12" s="1549"/>
      <c r="I12" s="300">
        <f>'PLAN INDICATIVO'!I11</f>
        <v>0</v>
      </c>
      <c r="J12" s="300">
        <f>'PLAN INDICATIVO'!J11</f>
        <v>0</v>
      </c>
      <c r="K12" s="1425" t="str">
        <f>'PLAN INDICATIVO'!K11</f>
        <v>A.1.1.4</v>
      </c>
      <c r="L12" s="301" t="str">
        <f>'PLAN INDICATIVO'!L11</f>
        <v>4. Educación de calidad</v>
      </c>
      <c r="M12" s="301" t="str">
        <f>'PLAN INDICATIVO'!M11</f>
        <v>Secretaría de Educación, Cultura, deporte y Turismo</v>
      </c>
      <c r="N12" s="1425" t="str">
        <f>'PLAN INDICATIVO'!N11</f>
        <v>YIMI FERNANDO LOSADA PAYA</v>
      </c>
      <c r="O12" s="1425" t="str">
        <f>'PLAN INDICATIVO'!O11</f>
        <v>Incremento</v>
      </c>
      <c r="P12" s="16" t="str">
        <f>'PLAN INDICATIVO'!P11</f>
        <v>Realizar 12 Mantenimientos  a instituciones educativa del municipio durante el cuatrienio.</v>
      </c>
      <c r="Q12" s="302" t="str">
        <f>'PLAN INDICATIVO'!Q11</f>
        <v>No.  De mantenimientos realizados en el cuatrienio</v>
      </c>
      <c r="R12" s="303">
        <f>'PLAN INDICATIVO'!R11</f>
        <v>2015</v>
      </c>
      <c r="S12" s="304">
        <v>0</v>
      </c>
      <c r="T12" s="677">
        <v>12</v>
      </c>
      <c r="U12" s="303">
        <v>3</v>
      </c>
      <c r="V12" s="687">
        <v>162800000</v>
      </c>
      <c r="W12" s="572">
        <v>3</v>
      </c>
      <c r="X12" s="687">
        <v>50000000</v>
      </c>
      <c r="Y12" s="572">
        <v>3</v>
      </c>
      <c r="Z12" s="687">
        <v>50000000</v>
      </c>
      <c r="AA12" s="572">
        <v>3</v>
      </c>
      <c r="AB12" s="687">
        <v>50000000</v>
      </c>
      <c r="AC12" s="837">
        <v>1</v>
      </c>
      <c r="AD12" s="665"/>
      <c r="AE12" s="665"/>
      <c r="AF12" s="665"/>
      <c r="AG12" s="664" t="s">
        <v>2596</v>
      </c>
      <c r="AH12" s="307" t="s">
        <v>2599</v>
      </c>
      <c r="AI12" s="309">
        <v>42430</v>
      </c>
      <c r="AJ12" s="309">
        <v>42704</v>
      </c>
      <c r="AK12" s="308"/>
      <c r="AL12" s="308"/>
      <c r="AM12" s="267" t="s">
        <v>2600</v>
      </c>
      <c r="AN12" s="508"/>
      <c r="AO12" s="525"/>
      <c r="AP12" s="310"/>
      <c r="AQ12" s="310"/>
      <c r="AR12" s="310"/>
      <c r="AS12" s="310"/>
      <c r="AT12" s="310"/>
      <c r="AU12" s="310"/>
      <c r="AV12" s="544">
        <f t="shared" si="0"/>
        <v>0</v>
      </c>
      <c r="AW12" s="525"/>
      <c r="AX12" s="310"/>
      <c r="AY12" s="310"/>
      <c r="AZ12" s="310"/>
      <c r="BA12" s="310"/>
      <c r="BB12" s="310"/>
      <c r="BC12" s="310"/>
      <c r="BD12" s="544">
        <f t="shared" si="1"/>
        <v>0</v>
      </c>
      <c r="BE12" s="525"/>
      <c r="BF12" s="310"/>
      <c r="BG12" s="310"/>
      <c r="BH12" s="310"/>
      <c r="BI12" s="310"/>
      <c r="BJ12" s="310"/>
      <c r="BK12" s="310"/>
      <c r="BL12" s="544">
        <f t="shared" si="2"/>
        <v>0</v>
      </c>
      <c r="BM12" s="525"/>
      <c r="BN12" s="310"/>
      <c r="BO12" s="310"/>
      <c r="BP12" s="310"/>
      <c r="BQ12" s="310"/>
      <c r="BR12" s="310"/>
      <c r="BS12" s="310"/>
      <c r="BT12" s="544">
        <f t="shared" si="3"/>
        <v>0</v>
      </c>
      <c r="BU12" s="1582"/>
      <c r="BV12" s="663">
        <f t="shared" si="8"/>
        <v>1</v>
      </c>
      <c r="BW12" s="674">
        <f t="shared" si="9"/>
        <v>8.3333333333333329E-2</v>
      </c>
      <c r="BX12" s="835">
        <f t="shared" si="10"/>
        <v>0.33333333333333331</v>
      </c>
      <c r="BY12" s="674">
        <f t="shared" si="11"/>
        <v>0</v>
      </c>
      <c r="BZ12" s="675">
        <f t="shared" si="12"/>
        <v>0</v>
      </c>
      <c r="CA12" s="675">
        <f t="shared" si="13"/>
        <v>0</v>
      </c>
    </row>
    <row r="13" spans="1:79" ht="61.5" hidden="1" customHeight="1" x14ac:dyDescent="0.25">
      <c r="A13" s="298" t="s">
        <v>38</v>
      </c>
      <c r="B13" s="299" t="str">
        <f>'PLAN INDICATIVO'!B12</f>
        <v>Educación</v>
      </c>
      <c r="C13" s="1547"/>
      <c r="D13" s="1549"/>
      <c r="E13" s="1549"/>
      <c r="F13" s="1549"/>
      <c r="G13" s="1549"/>
      <c r="H13" s="1549"/>
      <c r="I13" s="1425" t="str">
        <f>'PLAN INDICATIVO'!I12</f>
        <v>SI</v>
      </c>
      <c r="J13" s="1425">
        <f>'PLAN INDICATIVO'!J12</f>
        <v>0</v>
      </c>
      <c r="K13" s="1425" t="str">
        <f>'PLAN INDICATIVO'!K12</f>
        <v>A.1.1.5</v>
      </c>
      <c r="L13" s="301" t="str">
        <f>'PLAN INDICATIVO'!L12</f>
        <v>4. Educación de calidad</v>
      </c>
      <c r="M13" s="301" t="str">
        <f>'PLAN INDICATIVO'!M12</f>
        <v>Secretaría de Educación, Cultura, deporte y Turismo</v>
      </c>
      <c r="N13" s="1425" t="str">
        <f>'PLAN INDICATIVO'!N12</f>
        <v>YIMI FERNANDO LOSADA PAYA</v>
      </c>
      <c r="O13" s="1425" t="str">
        <f>'PLAN INDICATIVO'!O12</f>
        <v>Incremento</v>
      </c>
      <c r="P13" s="16" t="str">
        <f>'PLAN INDICATIVO'!P12</f>
        <v xml:space="preserve">Construir 35 Aulas en las instituciones educativas en el Municipio durante el cuatrienio. </v>
      </c>
      <c r="Q13" s="302" t="str">
        <f>'PLAN INDICATIVO'!Q12</f>
        <v>No. de aulas construidas en el cuatrienio</v>
      </c>
      <c r="R13" s="303">
        <f>'PLAN INDICATIVO'!R12</f>
        <v>2015</v>
      </c>
      <c r="S13" s="304">
        <v>0</v>
      </c>
      <c r="T13" s="677">
        <v>35</v>
      </c>
      <c r="U13" s="303">
        <v>13</v>
      </c>
      <c r="V13" s="687">
        <v>474600000</v>
      </c>
      <c r="W13" s="572">
        <v>10</v>
      </c>
      <c r="X13" s="687">
        <v>200000000</v>
      </c>
      <c r="Y13" s="572">
        <v>7</v>
      </c>
      <c r="Z13" s="687">
        <v>6000000</v>
      </c>
      <c r="AA13" s="572">
        <v>5</v>
      </c>
      <c r="AB13" s="687">
        <v>200000000</v>
      </c>
      <c r="AC13" s="837">
        <v>0</v>
      </c>
      <c r="AD13" s="665"/>
      <c r="AE13" s="665"/>
      <c r="AF13" s="665"/>
      <c r="AG13" s="664" t="s">
        <v>2596</v>
      </c>
      <c r="AH13" s="307" t="s">
        <v>2601</v>
      </c>
      <c r="AI13" s="309">
        <v>42522</v>
      </c>
      <c r="AJ13" s="309">
        <v>42735</v>
      </c>
      <c r="AK13" s="308"/>
      <c r="AL13" s="308"/>
      <c r="AM13" s="267" t="s">
        <v>2600</v>
      </c>
      <c r="AN13" s="508"/>
      <c r="AO13" s="525"/>
      <c r="AP13" s="310"/>
      <c r="AQ13" s="310"/>
      <c r="AR13" s="310"/>
      <c r="AS13" s="310"/>
      <c r="AT13" s="380"/>
      <c r="AU13" s="310"/>
      <c r="AV13" s="544">
        <f t="shared" si="0"/>
        <v>0</v>
      </c>
      <c r="AW13" s="525"/>
      <c r="AX13" s="310"/>
      <c r="AY13" s="310"/>
      <c r="AZ13" s="310"/>
      <c r="BA13" s="310"/>
      <c r="BB13" s="380"/>
      <c r="BC13" s="310"/>
      <c r="BD13" s="544">
        <f t="shared" si="1"/>
        <v>0</v>
      </c>
      <c r="BE13" s="525"/>
      <c r="BF13" s="310"/>
      <c r="BG13" s="310"/>
      <c r="BH13" s="310"/>
      <c r="BI13" s="310"/>
      <c r="BJ13" s="380"/>
      <c r="BK13" s="310"/>
      <c r="BL13" s="544">
        <f t="shared" si="2"/>
        <v>0</v>
      </c>
      <c r="BM13" s="525"/>
      <c r="BN13" s="310"/>
      <c r="BO13" s="310"/>
      <c r="BP13" s="310"/>
      <c r="BQ13" s="310"/>
      <c r="BR13" s="380"/>
      <c r="BS13" s="310"/>
      <c r="BT13" s="544">
        <f t="shared" si="3"/>
        <v>0</v>
      </c>
      <c r="BU13" s="1582"/>
      <c r="BV13" s="663">
        <f t="shared" si="8"/>
        <v>0</v>
      </c>
      <c r="BW13" s="674">
        <f t="shared" si="9"/>
        <v>0</v>
      </c>
      <c r="BX13" s="835">
        <f t="shared" si="10"/>
        <v>0</v>
      </c>
      <c r="BY13" s="674">
        <f t="shared" si="11"/>
        <v>0</v>
      </c>
      <c r="BZ13" s="675">
        <f t="shared" si="12"/>
        <v>0</v>
      </c>
      <c r="CA13" s="675">
        <f t="shared" si="13"/>
        <v>0</v>
      </c>
    </row>
    <row r="14" spans="1:79" ht="54.75" hidden="1" customHeight="1" x14ac:dyDescent="0.25">
      <c r="A14" s="298" t="s">
        <v>38</v>
      </c>
      <c r="B14" s="299" t="str">
        <f>'PLAN INDICATIVO'!B13</f>
        <v>Educación</v>
      </c>
      <c r="C14" s="1547"/>
      <c r="D14" s="1552"/>
      <c r="E14" s="1552"/>
      <c r="F14" s="1549"/>
      <c r="G14" s="1549"/>
      <c r="H14" s="1549"/>
      <c r="I14" s="300">
        <f>'PLAN INDICATIVO'!I13</f>
        <v>0</v>
      </c>
      <c r="J14" s="300">
        <f>'PLAN INDICATIVO'!J13</f>
        <v>0</v>
      </c>
      <c r="K14" s="1425" t="str">
        <f>'PLAN INDICATIVO'!K13</f>
        <v>A.1.1.6</v>
      </c>
      <c r="L14" s="301" t="str">
        <f>'PLAN INDICATIVO'!L13</f>
        <v>4. Educación de calidad</v>
      </c>
      <c r="M14" s="301" t="str">
        <f>'PLAN INDICATIVO'!M13</f>
        <v>Secretaría de Educación, Cultura, deporte y Turismo</v>
      </c>
      <c r="N14" s="1425" t="str">
        <f>'PLAN INDICATIVO'!N13</f>
        <v>YIMI FERNANDO LOSADA PAYA</v>
      </c>
      <c r="O14" s="1425" t="str">
        <f>'PLAN INDICATIVO'!O13</f>
        <v>Incremento</v>
      </c>
      <c r="P14" s="16" t="str">
        <f>'PLAN INDICATIVO'!P13</f>
        <v xml:space="preserve">Construir 4 Restaurantes Escolares en el municipio durante el cuatrienio </v>
      </c>
      <c r="Q14" s="302" t="str">
        <f>'PLAN INDICATIVO'!Q13</f>
        <v>No. de restaurantes escolares construidos en el cuatrienio</v>
      </c>
      <c r="R14" s="303">
        <f>'PLAN INDICATIVO'!R13</f>
        <v>2015</v>
      </c>
      <c r="S14" s="304">
        <v>0</v>
      </c>
      <c r="T14" s="677">
        <v>6</v>
      </c>
      <c r="U14" s="303">
        <v>1</v>
      </c>
      <c r="V14" s="687"/>
      <c r="W14" s="572">
        <v>1</v>
      </c>
      <c r="X14" s="687"/>
      <c r="Y14" s="572">
        <v>2</v>
      </c>
      <c r="Z14" s="687">
        <v>150000000</v>
      </c>
      <c r="AA14" s="572">
        <v>2</v>
      </c>
      <c r="AB14" s="687">
        <v>230000000</v>
      </c>
      <c r="AC14" s="837">
        <v>0</v>
      </c>
      <c r="AD14" s="665"/>
      <c r="AE14" s="665"/>
      <c r="AF14" s="665"/>
      <c r="AG14" s="664"/>
      <c r="AH14" s="307" t="s">
        <v>2602</v>
      </c>
      <c r="AI14" s="308"/>
      <c r="AJ14" s="308"/>
      <c r="AK14" s="308"/>
      <c r="AL14" s="308"/>
      <c r="AM14" s="267" t="s">
        <v>2600</v>
      </c>
      <c r="AN14" s="507"/>
      <c r="AO14" s="525"/>
      <c r="AP14" s="310"/>
      <c r="AQ14" s="310"/>
      <c r="AR14" s="310"/>
      <c r="AS14" s="310"/>
      <c r="AT14" s="310"/>
      <c r="AU14" s="310"/>
      <c r="AV14" s="544">
        <f t="shared" si="0"/>
        <v>0</v>
      </c>
      <c r="AW14" s="525"/>
      <c r="AX14" s="310"/>
      <c r="AY14" s="310"/>
      <c r="AZ14" s="310"/>
      <c r="BA14" s="310"/>
      <c r="BB14" s="310"/>
      <c r="BC14" s="310"/>
      <c r="BD14" s="544">
        <f t="shared" si="1"/>
        <v>0</v>
      </c>
      <c r="BE14" s="525"/>
      <c r="BF14" s="310"/>
      <c r="BG14" s="310"/>
      <c r="BH14" s="310"/>
      <c r="BI14" s="310"/>
      <c r="BJ14" s="310"/>
      <c r="BK14" s="310"/>
      <c r="BL14" s="544">
        <f t="shared" si="2"/>
        <v>0</v>
      </c>
      <c r="BM14" s="525"/>
      <c r="BN14" s="310"/>
      <c r="BO14" s="310"/>
      <c r="BP14" s="310"/>
      <c r="BQ14" s="310"/>
      <c r="BR14" s="310"/>
      <c r="BS14" s="310"/>
      <c r="BT14" s="544">
        <f t="shared" si="3"/>
        <v>0</v>
      </c>
      <c r="BU14" s="1582"/>
      <c r="BV14" s="663">
        <f t="shared" si="8"/>
        <v>0</v>
      </c>
      <c r="BW14" s="674">
        <f t="shared" si="9"/>
        <v>0</v>
      </c>
      <c r="BX14" s="835">
        <f t="shared" si="10"/>
        <v>0</v>
      </c>
      <c r="BY14" s="674">
        <f t="shared" si="11"/>
        <v>0</v>
      </c>
      <c r="BZ14" s="675">
        <f t="shared" si="12"/>
        <v>0</v>
      </c>
      <c r="CA14" s="675">
        <f t="shared" si="13"/>
        <v>0</v>
      </c>
    </row>
    <row r="15" spans="1:79" ht="58.5" hidden="1" customHeight="1" x14ac:dyDescent="0.25">
      <c r="A15" s="298" t="s">
        <v>38</v>
      </c>
      <c r="B15" s="299" t="str">
        <f>'PLAN INDICATIVO'!B14</f>
        <v>Educación</v>
      </c>
      <c r="C15" s="1547"/>
      <c r="D15" s="1549"/>
      <c r="E15" s="1549"/>
      <c r="F15" s="1549"/>
      <c r="G15" s="1549"/>
      <c r="H15" s="1549"/>
      <c r="I15" s="300">
        <f>'PLAN INDICATIVO'!I14</f>
        <v>0</v>
      </c>
      <c r="J15" s="300">
        <f>'PLAN INDICATIVO'!J14</f>
        <v>0</v>
      </c>
      <c r="K15" s="1425" t="str">
        <f>'PLAN INDICATIVO'!K14</f>
        <v>A.1.1.7</v>
      </c>
      <c r="L15" s="301" t="str">
        <f>'PLAN INDICATIVO'!L14</f>
        <v>4. Educación de calidad</v>
      </c>
      <c r="M15" s="301" t="str">
        <f>'PLAN INDICATIVO'!M14</f>
        <v>Secretaría de Educación, Cultura, deporte y Turismo</v>
      </c>
      <c r="N15" s="1425" t="str">
        <f>'PLAN INDICATIVO'!N14</f>
        <v>YIMI FERNANDO LOSADA PAYA</v>
      </c>
      <c r="O15" s="1425" t="str">
        <f>'PLAN INDICATIVO'!O14</f>
        <v>Incremento</v>
      </c>
      <c r="P15" s="16" t="str">
        <f>'PLAN INDICATIVO'!P14</f>
        <v>Realizar 35 obras de construcción y/o mejoramientos a la infraestructura educativa municipal durante el cuatrienio</v>
      </c>
      <c r="Q15" s="302" t="str">
        <f>'PLAN INDICATIVO'!Q14</f>
        <v>No. De obras construidas o mejoradas</v>
      </c>
      <c r="R15" s="303">
        <f>'PLAN INDICATIVO'!R14</f>
        <v>2015</v>
      </c>
      <c r="S15" s="304">
        <v>0</v>
      </c>
      <c r="T15" s="677">
        <v>60</v>
      </c>
      <c r="U15" s="303">
        <v>2</v>
      </c>
      <c r="V15" s="687">
        <v>1099800000</v>
      </c>
      <c r="W15" s="572">
        <v>18</v>
      </c>
      <c r="X15" s="687">
        <v>256750000</v>
      </c>
      <c r="Y15" s="572">
        <v>20</v>
      </c>
      <c r="Z15" s="687">
        <v>445000000</v>
      </c>
      <c r="AA15" s="572">
        <v>20</v>
      </c>
      <c r="AB15" s="687">
        <v>385000000</v>
      </c>
      <c r="AC15" s="665">
        <v>5</v>
      </c>
      <c r="AD15" s="665"/>
      <c r="AE15" s="665"/>
      <c r="AF15" s="665"/>
      <c r="AG15" s="664" t="s">
        <v>2596</v>
      </c>
      <c r="AH15" s="307" t="s">
        <v>2603</v>
      </c>
      <c r="AI15" s="309">
        <v>42384</v>
      </c>
      <c r="AJ15" s="309">
        <v>42735</v>
      </c>
      <c r="AK15" s="308"/>
      <c r="AL15" s="308"/>
      <c r="AM15" s="267" t="s">
        <v>2604</v>
      </c>
      <c r="AN15" s="508" t="s">
        <v>2605</v>
      </c>
      <c r="AO15" s="525"/>
      <c r="AP15" s="310">
        <v>112800000</v>
      </c>
      <c r="AQ15" s="310"/>
      <c r="AR15" s="310"/>
      <c r="AS15" s="310"/>
      <c r="AT15" s="310"/>
      <c r="AU15" s="310"/>
      <c r="AV15" s="544">
        <f t="shared" si="0"/>
        <v>112800000</v>
      </c>
      <c r="AW15" s="525"/>
      <c r="AX15" s="310"/>
      <c r="AY15" s="310"/>
      <c r="AZ15" s="310"/>
      <c r="BA15" s="310"/>
      <c r="BB15" s="310"/>
      <c r="BC15" s="310"/>
      <c r="BD15" s="544">
        <f t="shared" si="1"/>
        <v>0</v>
      </c>
      <c r="BE15" s="525"/>
      <c r="BF15" s="310"/>
      <c r="BG15" s="310"/>
      <c r="BH15" s="310"/>
      <c r="BI15" s="310"/>
      <c r="BJ15" s="310"/>
      <c r="BK15" s="310"/>
      <c r="BL15" s="544">
        <f t="shared" si="2"/>
        <v>0</v>
      </c>
      <c r="BM15" s="525"/>
      <c r="BN15" s="310"/>
      <c r="BO15" s="310"/>
      <c r="BP15" s="310"/>
      <c r="BQ15" s="310"/>
      <c r="BR15" s="310"/>
      <c r="BS15" s="310"/>
      <c r="BT15" s="544">
        <f t="shared" si="3"/>
        <v>0</v>
      </c>
      <c r="BU15" s="1582"/>
      <c r="BV15" s="663">
        <f t="shared" si="8"/>
        <v>5</v>
      </c>
      <c r="BW15" s="674">
        <f t="shared" si="9"/>
        <v>8.3333333333333329E-2</v>
      </c>
      <c r="BX15" s="835">
        <f t="shared" si="10"/>
        <v>2.5</v>
      </c>
      <c r="BY15" s="674">
        <f t="shared" si="11"/>
        <v>0</v>
      </c>
      <c r="BZ15" s="675">
        <f t="shared" si="12"/>
        <v>0</v>
      </c>
      <c r="CA15" s="675">
        <f t="shared" si="13"/>
        <v>0</v>
      </c>
    </row>
    <row r="16" spans="1:79" ht="38.25" hidden="1" customHeight="1" x14ac:dyDescent="0.25">
      <c r="A16" s="298" t="s">
        <v>38</v>
      </c>
      <c r="B16" s="299" t="str">
        <f>'PLAN INDICATIVO'!B15</f>
        <v>Educación</v>
      </c>
      <c r="C16" s="1547"/>
      <c r="D16" s="1549"/>
      <c r="E16" s="1549"/>
      <c r="F16" s="1549"/>
      <c r="G16" s="1549"/>
      <c r="H16" s="1549"/>
      <c r="I16" s="300">
        <f>'PLAN INDICATIVO'!I15</f>
        <v>0</v>
      </c>
      <c r="J16" s="300">
        <f>'PLAN INDICATIVO'!J15</f>
        <v>0</v>
      </c>
      <c r="K16" s="1425" t="str">
        <f>'PLAN INDICATIVO'!K15</f>
        <v>A.1.1.8</v>
      </c>
      <c r="L16" s="301" t="str">
        <f>'PLAN INDICATIVO'!L15</f>
        <v>4. Educación de calidad</v>
      </c>
      <c r="M16" s="301" t="str">
        <f>'PLAN INDICATIVO'!M15</f>
        <v>Secretaría de Educación, Cultura, deporte y Turismo</v>
      </c>
      <c r="N16" s="1425" t="str">
        <f>'PLAN INDICATIVO'!N15</f>
        <v>YIMI FERNANDO LOSADA PAYA</v>
      </c>
      <c r="O16" s="1425" t="str">
        <f>'PLAN INDICATIVO'!O15</f>
        <v>Incremento</v>
      </c>
      <c r="P16" s="16" t="str">
        <f>'PLAN INDICATIVO'!P15</f>
        <v>Realizar 1 apoyo para la formulación del proyecto para la construcción de la tercera etapa de la IE San Sebastián, en la zona urbana, durante el cuatrienio</v>
      </c>
      <c r="Q16" s="302" t="str">
        <f>'PLAN INDICATIVO'!Q15</f>
        <v>No. De apoyos otorgados</v>
      </c>
      <c r="R16" s="303">
        <f>'PLAN INDICATIVO'!R15</f>
        <v>2015</v>
      </c>
      <c r="S16" s="304">
        <v>0</v>
      </c>
      <c r="T16" s="677">
        <v>1</v>
      </c>
      <c r="U16" s="303">
        <v>0</v>
      </c>
      <c r="V16" s="687"/>
      <c r="W16" s="572">
        <v>1</v>
      </c>
      <c r="X16" s="687">
        <v>15000000</v>
      </c>
      <c r="Y16" s="572">
        <v>0</v>
      </c>
      <c r="Z16" s="687">
        <v>500000</v>
      </c>
      <c r="AA16" s="572">
        <v>0</v>
      </c>
      <c r="AB16" s="687">
        <v>1000000</v>
      </c>
      <c r="AC16" s="665">
        <v>0</v>
      </c>
      <c r="AD16" s="665"/>
      <c r="AE16" s="665"/>
      <c r="AF16" s="665"/>
      <c r="AG16" s="664"/>
      <c r="AH16" s="307"/>
      <c r="AI16" s="308"/>
      <c r="AJ16" s="308"/>
      <c r="AK16" s="308"/>
      <c r="AL16" s="308"/>
      <c r="AM16" s="267" t="s">
        <v>2594</v>
      </c>
      <c r="AN16" s="507"/>
      <c r="AO16" s="525"/>
      <c r="AP16" s="310"/>
      <c r="AQ16" s="310"/>
      <c r="AR16" s="310"/>
      <c r="AS16" s="310"/>
      <c r="AT16" s="310"/>
      <c r="AU16" s="310"/>
      <c r="AV16" s="544">
        <f t="shared" si="0"/>
        <v>0</v>
      </c>
      <c r="AW16" s="525"/>
      <c r="AX16" s="310"/>
      <c r="AY16" s="310"/>
      <c r="AZ16" s="310"/>
      <c r="BA16" s="310"/>
      <c r="BB16" s="310"/>
      <c r="BC16" s="310"/>
      <c r="BD16" s="544">
        <f t="shared" si="1"/>
        <v>0</v>
      </c>
      <c r="BE16" s="525"/>
      <c r="BF16" s="310"/>
      <c r="BG16" s="310"/>
      <c r="BH16" s="310"/>
      <c r="BI16" s="310"/>
      <c r="BJ16" s="310"/>
      <c r="BK16" s="310"/>
      <c r="BL16" s="544">
        <f t="shared" si="2"/>
        <v>0</v>
      </c>
      <c r="BM16" s="525"/>
      <c r="BN16" s="310"/>
      <c r="BO16" s="310"/>
      <c r="BP16" s="310"/>
      <c r="BQ16" s="310"/>
      <c r="BR16" s="310"/>
      <c r="BS16" s="310"/>
      <c r="BT16" s="544">
        <f t="shared" si="3"/>
        <v>0</v>
      </c>
      <c r="BU16" s="1582"/>
      <c r="BV16" s="663">
        <f t="shared" si="8"/>
        <v>0</v>
      </c>
      <c r="BW16" s="674">
        <f t="shared" si="9"/>
        <v>0</v>
      </c>
      <c r="BX16" s="835" t="e">
        <f t="shared" si="10"/>
        <v>#DIV/0!</v>
      </c>
      <c r="BY16" s="674">
        <f t="shared" si="11"/>
        <v>0</v>
      </c>
      <c r="BZ16" s="675" t="e">
        <f t="shared" si="12"/>
        <v>#DIV/0!</v>
      </c>
      <c r="CA16" s="675" t="e">
        <f t="shared" si="13"/>
        <v>#DIV/0!</v>
      </c>
    </row>
    <row r="17" spans="1:79" ht="75" hidden="1" customHeight="1" x14ac:dyDescent="0.25">
      <c r="A17" s="298" t="s">
        <v>38</v>
      </c>
      <c r="B17" s="299" t="str">
        <f>'PLAN INDICATIVO'!B16</f>
        <v>Educación</v>
      </c>
      <c r="C17" s="1547"/>
      <c r="D17" s="1549"/>
      <c r="E17" s="1549"/>
      <c r="F17" s="1549"/>
      <c r="G17" s="1549"/>
      <c r="H17" s="1549"/>
      <c r="I17" s="300">
        <f>'PLAN INDICATIVO'!I16</f>
        <v>0</v>
      </c>
      <c r="J17" s="300">
        <f>'PLAN INDICATIVO'!J16</f>
        <v>0</v>
      </c>
      <c r="K17" s="1425" t="str">
        <f>'PLAN INDICATIVO'!K16</f>
        <v>A.1.1.9</v>
      </c>
      <c r="L17" s="301" t="str">
        <f>'PLAN INDICATIVO'!L16</f>
        <v>4. Educación de calidad</v>
      </c>
      <c r="M17" s="301" t="str">
        <f>'PLAN INDICATIVO'!M16</f>
        <v>Secretaría de Educación, Cultura, deporte y Turismo</v>
      </c>
      <c r="N17" s="1425" t="str">
        <f>'PLAN INDICATIVO'!N16</f>
        <v>YIMI FERNANDO LOSADA PAYA</v>
      </c>
      <c r="O17" s="1425" t="str">
        <f>'PLAN INDICATIVO'!O16</f>
        <v>Mantenimiento</v>
      </c>
      <c r="P17" s="16" t="str">
        <f>'PLAN INDICATIVO'!P16</f>
        <v>Apoyar la estrategia de “Escuela para Padres” en las 18 IE con el propósito de vincular de manera más directa al padre de familia en la formación educativa de los hijos, en el cuatrienio</v>
      </c>
      <c r="Q17" s="302" t="str">
        <f>'PLAN INDICATIVO'!Q16</f>
        <v>No. De estrategias creadas e implementadas</v>
      </c>
      <c r="R17" s="303">
        <f>'PLAN INDICATIVO'!R16</f>
        <v>2015</v>
      </c>
      <c r="S17" s="304">
        <v>0</v>
      </c>
      <c r="T17" s="677">
        <v>1</v>
      </c>
      <c r="U17" s="303">
        <v>0</v>
      </c>
      <c r="V17" s="687"/>
      <c r="W17" s="572">
        <v>1</v>
      </c>
      <c r="X17" s="687">
        <v>3000000</v>
      </c>
      <c r="Y17" s="572">
        <v>1</v>
      </c>
      <c r="Z17" s="687">
        <v>500000</v>
      </c>
      <c r="AA17" s="572">
        <v>1</v>
      </c>
      <c r="AB17" s="687">
        <v>1000000</v>
      </c>
      <c r="AC17" s="665">
        <v>0</v>
      </c>
      <c r="AD17" s="665"/>
      <c r="AE17" s="665"/>
      <c r="AF17" s="665"/>
      <c r="AG17" s="664"/>
      <c r="AH17" s="307"/>
      <c r="AI17" s="308"/>
      <c r="AJ17" s="308"/>
      <c r="AK17" s="308"/>
      <c r="AL17" s="308"/>
      <c r="AM17" s="267" t="s">
        <v>2594</v>
      </c>
      <c r="AN17" s="507"/>
      <c r="AO17" s="525"/>
      <c r="AP17" s="310"/>
      <c r="AQ17" s="310"/>
      <c r="AR17" s="310"/>
      <c r="AS17" s="310"/>
      <c r="AT17" s="310"/>
      <c r="AU17" s="310"/>
      <c r="AV17" s="544">
        <f t="shared" si="0"/>
        <v>0</v>
      </c>
      <c r="AW17" s="525"/>
      <c r="AX17" s="310"/>
      <c r="AY17" s="310"/>
      <c r="AZ17" s="310"/>
      <c r="BA17" s="310"/>
      <c r="BB17" s="310"/>
      <c r="BC17" s="310"/>
      <c r="BD17" s="544">
        <f t="shared" si="1"/>
        <v>0</v>
      </c>
      <c r="BE17" s="525"/>
      <c r="BF17" s="310"/>
      <c r="BG17" s="310"/>
      <c r="BH17" s="310"/>
      <c r="BI17" s="310"/>
      <c r="BJ17" s="310"/>
      <c r="BK17" s="310"/>
      <c r="BL17" s="544">
        <f t="shared" si="2"/>
        <v>0</v>
      </c>
      <c r="BM17" s="525"/>
      <c r="BN17" s="310"/>
      <c r="BO17" s="310"/>
      <c r="BP17" s="310"/>
      <c r="BQ17" s="310"/>
      <c r="BR17" s="310"/>
      <c r="BS17" s="310"/>
      <c r="BT17" s="544">
        <f t="shared" si="3"/>
        <v>0</v>
      </c>
      <c r="BU17" s="1582"/>
      <c r="BV17" s="663">
        <f t="shared" si="8"/>
        <v>0</v>
      </c>
      <c r="BW17" s="674">
        <f t="shared" si="9"/>
        <v>0</v>
      </c>
      <c r="BX17" s="835" t="e">
        <f t="shared" si="10"/>
        <v>#DIV/0!</v>
      </c>
      <c r="BY17" s="674">
        <f t="shared" si="11"/>
        <v>0</v>
      </c>
      <c r="BZ17" s="675">
        <f t="shared" si="12"/>
        <v>0</v>
      </c>
      <c r="CA17" s="675">
        <f t="shared" si="13"/>
        <v>0</v>
      </c>
    </row>
    <row r="18" spans="1:79" ht="46.5" hidden="1" customHeight="1" x14ac:dyDescent="0.25">
      <c r="A18" s="298" t="s">
        <v>38</v>
      </c>
      <c r="B18" s="299" t="str">
        <f>'PLAN INDICATIVO'!B17</f>
        <v>Educación</v>
      </c>
      <c r="C18" s="1547"/>
      <c r="D18" s="1549"/>
      <c r="E18" s="1549"/>
      <c r="F18" s="1549"/>
      <c r="G18" s="1549"/>
      <c r="H18" s="1549"/>
      <c r="I18" s="300">
        <f>'PLAN INDICATIVO'!I17</f>
        <v>0</v>
      </c>
      <c r="J18" s="300">
        <f>'PLAN INDICATIVO'!J17</f>
        <v>0</v>
      </c>
      <c r="K18" s="1425" t="str">
        <f>'PLAN INDICATIVO'!K17</f>
        <v>A.1.1.10</v>
      </c>
      <c r="L18" s="301" t="str">
        <f>'PLAN INDICATIVO'!L17</f>
        <v>4. Educación de calidad</v>
      </c>
      <c r="M18" s="301" t="str">
        <f>'PLAN INDICATIVO'!M17</f>
        <v>Secretaría de Educación, Cultura, deporte y Turismo</v>
      </c>
      <c r="N18" s="1425" t="str">
        <f>'PLAN INDICATIVO'!N17</f>
        <v>YIMI FERNANDO LOSADA PAYA</v>
      </c>
      <c r="O18" s="1425" t="str">
        <f>'PLAN INDICATIVO'!O17</f>
        <v>Incremento</v>
      </c>
      <c r="P18" s="16" t="str">
        <f>'PLAN INDICATIVO'!P17</f>
        <v>Dirigir y coordinar 4 Campañas de oferta educativa institucional en el municipio durante el cuatrienio.</v>
      </c>
      <c r="Q18" s="302" t="str">
        <f>'PLAN INDICATIVO'!Q17</f>
        <v>No. De campañas dirigidas en el cuatrienio</v>
      </c>
      <c r="R18" s="303">
        <f>'PLAN INDICATIVO'!R17</f>
        <v>2015</v>
      </c>
      <c r="S18" s="304">
        <v>1</v>
      </c>
      <c r="T18" s="677">
        <v>4</v>
      </c>
      <c r="U18" s="303">
        <v>1</v>
      </c>
      <c r="V18" s="687">
        <v>500000</v>
      </c>
      <c r="W18" s="572">
        <v>1</v>
      </c>
      <c r="X18" s="687">
        <v>1000000</v>
      </c>
      <c r="Y18" s="572">
        <v>1</v>
      </c>
      <c r="Z18" s="687">
        <v>500000</v>
      </c>
      <c r="AA18" s="572">
        <v>1</v>
      </c>
      <c r="AB18" s="687">
        <v>1000000</v>
      </c>
      <c r="AC18" s="665">
        <v>1</v>
      </c>
      <c r="AD18" s="665"/>
      <c r="AE18" s="665"/>
      <c r="AF18" s="665"/>
      <c r="AG18" s="664"/>
      <c r="AH18" s="307" t="s">
        <v>2606</v>
      </c>
      <c r="AI18" s="309">
        <v>42583</v>
      </c>
      <c r="AJ18" s="309">
        <v>42643</v>
      </c>
      <c r="AK18" s="308"/>
      <c r="AL18" s="308"/>
      <c r="AM18" s="267" t="s">
        <v>2598</v>
      </c>
      <c r="AN18" s="507"/>
      <c r="AO18" s="525"/>
      <c r="AP18" s="310"/>
      <c r="AQ18" s="310"/>
      <c r="AR18" s="310"/>
      <c r="AS18" s="310"/>
      <c r="AT18" s="310"/>
      <c r="AU18" s="310"/>
      <c r="AV18" s="544">
        <f t="shared" si="0"/>
        <v>0</v>
      </c>
      <c r="AW18" s="525"/>
      <c r="AX18" s="310"/>
      <c r="AY18" s="310"/>
      <c r="AZ18" s="310"/>
      <c r="BA18" s="310"/>
      <c r="BB18" s="310"/>
      <c r="BC18" s="310"/>
      <c r="BD18" s="544">
        <f t="shared" si="1"/>
        <v>0</v>
      </c>
      <c r="BE18" s="525"/>
      <c r="BF18" s="310"/>
      <c r="BG18" s="310"/>
      <c r="BH18" s="310"/>
      <c r="BI18" s="310"/>
      <c r="BJ18" s="310"/>
      <c r="BK18" s="310"/>
      <c r="BL18" s="544">
        <f t="shared" si="2"/>
        <v>0</v>
      </c>
      <c r="BM18" s="525"/>
      <c r="BN18" s="310"/>
      <c r="BO18" s="310"/>
      <c r="BP18" s="310"/>
      <c r="BQ18" s="310"/>
      <c r="BR18" s="310"/>
      <c r="BS18" s="310"/>
      <c r="BT18" s="544">
        <f t="shared" si="3"/>
        <v>0</v>
      </c>
      <c r="BU18" s="1582"/>
      <c r="BV18" s="663">
        <f t="shared" si="8"/>
        <v>1</v>
      </c>
      <c r="BW18" s="674">
        <f t="shared" si="9"/>
        <v>0.25</v>
      </c>
      <c r="BX18" s="835">
        <f t="shared" si="10"/>
        <v>1</v>
      </c>
      <c r="BY18" s="674">
        <f t="shared" si="11"/>
        <v>0</v>
      </c>
      <c r="BZ18" s="675">
        <f t="shared" si="12"/>
        <v>0</v>
      </c>
      <c r="CA18" s="675">
        <f t="shared" si="13"/>
        <v>0</v>
      </c>
    </row>
    <row r="19" spans="1:79" ht="45.75" hidden="1" customHeight="1" x14ac:dyDescent="0.25">
      <c r="A19" s="298" t="s">
        <v>38</v>
      </c>
      <c r="B19" s="299" t="str">
        <f>'PLAN INDICATIVO'!B18</f>
        <v>Educación</v>
      </c>
      <c r="C19" s="1547"/>
      <c r="D19" s="1549"/>
      <c r="E19" s="1549"/>
      <c r="F19" s="1549"/>
      <c r="G19" s="1549"/>
      <c r="H19" s="1549"/>
      <c r="I19" s="300">
        <f>'PLAN INDICATIVO'!I18</f>
        <v>0</v>
      </c>
      <c r="J19" s="300">
        <f>'PLAN INDICATIVO'!J18</f>
        <v>0</v>
      </c>
      <c r="K19" s="1425" t="str">
        <f>'PLAN INDICATIVO'!K18</f>
        <v>A.1.1.11</v>
      </c>
      <c r="L19" s="301" t="str">
        <f>'PLAN INDICATIVO'!L18</f>
        <v>4. Educación de calidad</v>
      </c>
      <c r="M19" s="301" t="str">
        <f>'PLAN INDICATIVO'!M18</f>
        <v>Secretaría de Educación, Cultura, deporte y Turismo</v>
      </c>
      <c r="N19" s="1425" t="str">
        <f>'PLAN INDICATIVO'!N18</f>
        <v>YIMI FERNANDO LOSADA PAYA</v>
      </c>
      <c r="O19" s="1425" t="str">
        <f>'PLAN INDICATIVO'!O18</f>
        <v>Incremento</v>
      </c>
      <c r="P19" s="16" t="str">
        <f>'PLAN INDICATIVO'!P18</f>
        <v>Crear 1 JUNTA MUNICIPAL DE EDUCACIÓN durante el cuatrienio.</v>
      </c>
      <c r="Q19" s="302" t="str">
        <f>'PLAN INDICATIVO'!Q18</f>
        <v>No. De juntas municipales creadas en el cuatrienio</v>
      </c>
      <c r="R19" s="303">
        <f>'PLAN INDICATIVO'!R18</f>
        <v>2015</v>
      </c>
      <c r="S19" s="304">
        <v>0</v>
      </c>
      <c r="T19" s="677">
        <v>1</v>
      </c>
      <c r="U19" s="303">
        <v>1</v>
      </c>
      <c r="V19" s="687">
        <v>500000</v>
      </c>
      <c r="W19" s="572">
        <v>1</v>
      </c>
      <c r="X19" s="687">
        <v>1000000</v>
      </c>
      <c r="Y19" s="572">
        <v>1</v>
      </c>
      <c r="Z19" s="687">
        <v>500000</v>
      </c>
      <c r="AA19" s="572">
        <v>1</v>
      </c>
      <c r="AB19" s="687">
        <v>1000000</v>
      </c>
      <c r="AC19" s="837">
        <v>0</v>
      </c>
      <c r="AD19" s="665"/>
      <c r="AE19" s="665"/>
      <c r="AF19" s="665"/>
      <c r="AG19" s="664" t="s">
        <v>2596</v>
      </c>
      <c r="AH19" s="307" t="s">
        <v>2607</v>
      </c>
      <c r="AI19" s="309">
        <v>42491</v>
      </c>
      <c r="AJ19" s="309">
        <v>42613</v>
      </c>
      <c r="AK19" s="308"/>
      <c r="AL19" s="308"/>
      <c r="AM19" s="267" t="s">
        <v>2600</v>
      </c>
      <c r="AN19" s="507"/>
      <c r="AO19" s="525"/>
      <c r="AP19" s="310"/>
      <c r="AQ19" s="310"/>
      <c r="AR19" s="310"/>
      <c r="AS19" s="310"/>
      <c r="AT19" s="310"/>
      <c r="AU19" s="310"/>
      <c r="AV19" s="544">
        <f t="shared" si="0"/>
        <v>0</v>
      </c>
      <c r="AW19" s="525"/>
      <c r="AX19" s="310"/>
      <c r="AY19" s="310"/>
      <c r="AZ19" s="310"/>
      <c r="BA19" s="310"/>
      <c r="BB19" s="310"/>
      <c r="BC19" s="310"/>
      <c r="BD19" s="544">
        <f t="shared" si="1"/>
        <v>0</v>
      </c>
      <c r="BE19" s="525"/>
      <c r="BF19" s="310"/>
      <c r="BG19" s="310"/>
      <c r="BH19" s="310"/>
      <c r="BI19" s="310"/>
      <c r="BJ19" s="310"/>
      <c r="BK19" s="310"/>
      <c r="BL19" s="544">
        <f t="shared" si="2"/>
        <v>0</v>
      </c>
      <c r="BM19" s="525"/>
      <c r="BN19" s="310"/>
      <c r="BO19" s="310"/>
      <c r="BP19" s="310"/>
      <c r="BQ19" s="310"/>
      <c r="BR19" s="310"/>
      <c r="BS19" s="310"/>
      <c r="BT19" s="544">
        <f t="shared" si="3"/>
        <v>0</v>
      </c>
      <c r="BU19" s="1582"/>
      <c r="BV19" s="663">
        <f t="shared" si="8"/>
        <v>0</v>
      </c>
      <c r="BW19" s="674">
        <f t="shared" si="9"/>
        <v>0</v>
      </c>
      <c r="BX19" s="835">
        <f t="shared" si="10"/>
        <v>0</v>
      </c>
      <c r="BY19" s="674">
        <f t="shared" si="11"/>
        <v>0</v>
      </c>
      <c r="BZ19" s="675">
        <f t="shared" si="12"/>
        <v>0</v>
      </c>
      <c r="CA19" s="675">
        <f t="shared" si="13"/>
        <v>0</v>
      </c>
    </row>
    <row r="20" spans="1:79" ht="49.5" hidden="1" customHeight="1" x14ac:dyDescent="0.25">
      <c r="A20" s="298" t="s">
        <v>38</v>
      </c>
      <c r="B20" s="299" t="str">
        <f>'PLAN INDICATIVO'!B19</f>
        <v>Educación</v>
      </c>
      <c r="C20" s="1547"/>
      <c r="D20" s="1549"/>
      <c r="E20" s="1549"/>
      <c r="F20" s="1549"/>
      <c r="G20" s="1549"/>
      <c r="H20" s="1549"/>
      <c r="I20" s="300">
        <f>'PLAN INDICATIVO'!I19</f>
        <v>0</v>
      </c>
      <c r="J20" s="300">
        <f>'PLAN INDICATIVO'!J19</f>
        <v>0</v>
      </c>
      <c r="K20" s="1425" t="str">
        <f>'PLAN INDICATIVO'!K19</f>
        <v>A.1.1.12</v>
      </c>
      <c r="L20" s="301" t="str">
        <f>'PLAN INDICATIVO'!L19</f>
        <v>4. Educación de calidad</v>
      </c>
      <c r="M20" s="301" t="str">
        <f>'PLAN INDICATIVO'!M19</f>
        <v>Secretaría de Educación, Cultura, deporte y Turismo</v>
      </c>
      <c r="N20" s="1425" t="str">
        <f>'PLAN INDICATIVO'!N19</f>
        <v>YIMI FERNANDO LOSADA PAYA</v>
      </c>
      <c r="O20" s="1425" t="str">
        <f>'PLAN INDICATIVO'!O19</f>
        <v>Incremento</v>
      </c>
      <c r="P20" s="16" t="str">
        <f>'PLAN INDICATIVO'!P19</f>
        <v>Lograr que 20 sedes educativas  del municipio tengan nuevos accesos a conectividad  durante el cuatrienio.</v>
      </c>
      <c r="Q20" s="302" t="str">
        <f>'PLAN INDICATIVO'!Q19</f>
        <v>No. de sedes educativas con nuevos accesos a conectividad durante el cuatrienio</v>
      </c>
      <c r="R20" s="303">
        <f>'PLAN INDICATIVO'!R19</f>
        <v>2015</v>
      </c>
      <c r="S20" s="304">
        <v>0</v>
      </c>
      <c r="T20" s="677">
        <v>20</v>
      </c>
      <c r="U20" s="303">
        <v>0</v>
      </c>
      <c r="V20" s="687"/>
      <c r="W20" s="572">
        <v>6</v>
      </c>
      <c r="X20" s="687">
        <v>5000000</v>
      </c>
      <c r="Y20" s="572">
        <v>6</v>
      </c>
      <c r="Z20" s="687">
        <v>500000</v>
      </c>
      <c r="AA20" s="572">
        <v>8</v>
      </c>
      <c r="AB20" s="687">
        <v>1000000</v>
      </c>
      <c r="AC20" s="665">
        <v>0</v>
      </c>
      <c r="AD20" s="665"/>
      <c r="AE20" s="665"/>
      <c r="AF20" s="665"/>
      <c r="AG20" s="664"/>
      <c r="AH20" s="307"/>
      <c r="AI20" s="308"/>
      <c r="AJ20" s="308"/>
      <c r="AK20" s="308"/>
      <c r="AL20" s="308"/>
      <c r="AM20" s="267" t="s">
        <v>2594</v>
      </c>
      <c r="AN20" s="507"/>
      <c r="AO20" s="525"/>
      <c r="AP20" s="310"/>
      <c r="AQ20" s="310"/>
      <c r="AR20" s="310"/>
      <c r="AS20" s="310"/>
      <c r="AT20" s="310"/>
      <c r="AU20" s="310"/>
      <c r="AV20" s="544">
        <f t="shared" si="0"/>
        <v>0</v>
      </c>
      <c r="AW20" s="525"/>
      <c r="AX20" s="310"/>
      <c r="AY20" s="310"/>
      <c r="AZ20" s="310"/>
      <c r="BA20" s="310"/>
      <c r="BB20" s="310"/>
      <c r="BC20" s="310"/>
      <c r="BD20" s="544">
        <f t="shared" si="1"/>
        <v>0</v>
      </c>
      <c r="BE20" s="525"/>
      <c r="BF20" s="310"/>
      <c r="BG20" s="310"/>
      <c r="BH20" s="310"/>
      <c r="BI20" s="310"/>
      <c r="BJ20" s="310"/>
      <c r="BK20" s="310"/>
      <c r="BL20" s="544">
        <f t="shared" si="2"/>
        <v>0</v>
      </c>
      <c r="BM20" s="525"/>
      <c r="BN20" s="310"/>
      <c r="BO20" s="310"/>
      <c r="BP20" s="310"/>
      <c r="BQ20" s="310"/>
      <c r="BR20" s="310"/>
      <c r="BS20" s="310"/>
      <c r="BT20" s="544">
        <f t="shared" si="3"/>
        <v>0</v>
      </c>
      <c r="BU20" s="1582"/>
      <c r="BV20" s="663">
        <f t="shared" si="8"/>
        <v>0</v>
      </c>
      <c r="BW20" s="674">
        <f t="shared" si="9"/>
        <v>0</v>
      </c>
      <c r="BX20" s="835" t="e">
        <f t="shared" si="10"/>
        <v>#DIV/0!</v>
      </c>
      <c r="BY20" s="674">
        <f t="shared" si="11"/>
        <v>0</v>
      </c>
      <c r="BZ20" s="675">
        <f t="shared" si="12"/>
        <v>0</v>
      </c>
      <c r="CA20" s="675">
        <f t="shared" si="13"/>
        <v>0</v>
      </c>
    </row>
    <row r="21" spans="1:79" ht="64.5" hidden="1" customHeight="1" x14ac:dyDescent="0.25">
      <c r="A21" s="298" t="s">
        <v>38</v>
      </c>
      <c r="B21" s="299" t="str">
        <f>'PLAN INDICATIVO'!B20</f>
        <v>Educación</v>
      </c>
      <c r="C21" s="1547"/>
      <c r="D21" s="1549"/>
      <c r="E21" s="1549"/>
      <c r="F21" s="1549"/>
      <c r="G21" s="1549"/>
      <c r="H21" s="1549"/>
      <c r="I21" s="300">
        <f>'PLAN INDICATIVO'!I20</f>
        <v>0</v>
      </c>
      <c r="J21" s="300">
        <f>'PLAN INDICATIVO'!J20</f>
        <v>0</v>
      </c>
      <c r="K21" s="1425" t="str">
        <f>'PLAN INDICATIVO'!K20</f>
        <v>A.1.1.13</v>
      </c>
      <c r="L21" s="301" t="str">
        <f>'PLAN INDICATIVO'!L20</f>
        <v>4. Educación de calidad</v>
      </c>
      <c r="M21" s="301" t="str">
        <f>'PLAN INDICATIVO'!M20</f>
        <v>Secretaría de Educación, Cultura, deporte y Turismo</v>
      </c>
      <c r="N21" s="1425" t="str">
        <f>'PLAN INDICATIVO'!N20</f>
        <v>YIMI FERNANDO LOSADA PAYA</v>
      </c>
      <c r="O21" s="1425" t="str">
        <f>'PLAN INDICATIVO'!O20</f>
        <v>Incremento</v>
      </c>
      <c r="P21" s="16" t="str">
        <f>'PLAN INDICATIVO'!P20</f>
        <v>Desarrollar 4 programas para promover la educación Financiera y/o en emprendimiento  en las Instituciones Municipales durante el cuatrienio</v>
      </c>
      <c r="Q21" s="302" t="str">
        <f>'PLAN INDICATIVO'!Q20</f>
        <v>No. de programas desarrollados durante el cuatrienio</v>
      </c>
      <c r="R21" s="303">
        <f>'PLAN INDICATIVO'!R20</f>
        <v>2015</v>
      </c>
      <c r="S21" s="304">
        <v>0</v>
      </c>
      <c r="T21" s="677">
        <v>4</v>
      </c>
      <c r="U21" s="303">
        <v>1</v>
      </c>
      <c r="V21" s="687">
        <v>500000</v>
      </c>
      <c r="W21" s="572">
        <v>1</v>
      </c>
      <c r="X21" s="687">
        <v>3000000</v>
      </c>
      <c r="Y21" s="572">
        <v>1</v>
      </c>
      <c r="Z21" s="687">
        <v>500000</v>
      </c>
      <c r="AA21" s="572">
        <v>1</v>
      </c>
      <c r="AB21" s="687">
        <v>1000000</v>
      </c>
      <c r="AC21" s="665">
        <v>1</v>
      </c>
      <c r="AD21" s="665"/>
      <c r="AE21" s="665"/>
      <c r="AF21" s="665"/>
      <c r="AG21" s="664" t="s">
        <v>2596</v>
      </c>
      <c r="AH21" s="307" t="s">
        <v>2608</v>
      </c>
      <c r="AI21" s="309">
        <v>42579</v>
      </c>
      <c r="AJ21" s="309">
        <v>42674</v>
      </c>
      <c r="AK21" s="308"/>
      <c r="AL21" s="308"/>
      <c r="AM21" s="267" t="s">
        <v>2598</v>
      </c>
      <c r="AN21" s="507"/>
      <c r="AO21" s="525"/>
      <c r="AP21" s="310"/>
      <c r="AQ21" s="310"/>
      <c r="AR21" s="310"/>
      <c r="AS21" s="310"/>
      <c r="AT21" s="310"/>
      <c r="AU21" s="310"/>
      <c r="AV21" s="544">
        <f t="shared" si="0"/>
        <v>0</v>
      </c>
      <c r="AW21" s="525"/>
      <c r="AX21" s="310"/>
      <c r="AY21" s="310"/>
      <c r="AZ21" s="310"/>
      <c r="BA21" s="310"/>
      <c r="BB21" s="310"/>
      <c r="BC21" s="310"/>
      <c r="BD21" s="544">
        <f t="shared" si="1"/>
        <v>0</v>
      </c>
      <c r="BE21" s="525"/>
      <c r="BF21" s="310"/>
      <c r="BG21" s="310"/>
      <c r="BH21" s="310"/>
      <c r="BI21" s="310"/>
      <c r="BJ21" s="310"/>
      <c r="BK21" s="310"/>
      <c r="BL21" s="544">
        <f t="shared" si="2"/>
        <v>0</v>
      </c>
      <c r="BM21" s="525"/>
      <c r="BN21" s="310"/>
      <c r="BO21" s="310"/>
      <c r="BP21" s="310"/>
      <c r="BQ21" s="310"/>
      <c r="BR21" s="310"/>
      <c r="BS21" s="310"/>
      <c r="BT21" s="544">
        <f t="shared" si="3"/>
        <v>0</v>
      </c>
      <c r="BU21" s="1582"/>
      <c r="BV21" s="663">
        <f t="shared" si="8"/>
        <v>1</v>
      </c>
      <c r="BW21" s="674">
        <f t="shared" si="9"/>
        <v>0.25</v>
      </c>
      <c r="BX21" s="835">
        <f t="shared" si="10"/>
        <v>1</v>
      </c>
      <c r="BY21" s="674">
        <f t="shared" si="11"/>
        <v>0</v>
      </c>
      <c r="BZ21" s="675">
        <f t="shared" si="12"/>
        <v>0</v>
      </c>
      <c r="CA21" s="675">
        <f t="shared" si="13"/>
        <v>0</v>
      </c>
    </row>
    <row r="22" spans="1:79" ht="33.75" hidden="1" customHeight="1" x14ac:dyDescent="0.25">
      <c r="A22" s="298" t="s">
        <v>38</v>
      </c>
      <c r="B22" s="299" t="str">
        <f>'PLAN INDICATIVO'!B21</f>
        <v>Educación</v>
      </c>
      <c r="C22" s="1547"/>
      <c r="D22" s="1549"/>
      <c r="E22" s="1549"/>
      <c r="F22" s="1549"/>
      <c r="G22" s="1549"/>
      <c r="H22" s="1549"/>
      <c r="I22" s="300">
        <f>'PLAN INDICATIVO'!I21</f>
        <v>0</v>
      </c>
      <c r="J22" s="300">
        <f>'PLAN INDICATIVO'!J21</f>
        <v>0</v>
      </c>
      <c r="K22" s="1425" t="str">
        <f>'PLAN INDICATIVO'!K21</f>
        <v>A.1.1.14</v>
      </c>
      <c r="L22" s="301" t="str">
        <f>'PLAN INDICATIVO'!L21</f>
        <v>4. Educación de calidad</v>
      </c>
      <c r="M22" s="301" t="str">
        <f>'PLAN INDICATIVO'!M21</f>
        <v>Secretaría de Educación, Cultura, deporte y Turismo</v>
      </c>
      <c r="N22" s="1425" t="str">
        <f>'PLAN INDICATIVO'!N21</f>
        <v>YIMI FERNANDO LOSADA PAYA</v>
      </c>
      <c r="O22" s="1425" t="str">
        <f>'PLAN INDICATIVO'!O21</f>
        <v>Mantenimiento</v>
      </c>
      <c r="P22" s="16" t="str">
        <f>'PLAN INDICATIVO'!P21</f>
        <v>Gestionar el acceso al sistema escolar de la población víctima por fuera del sistema, durante el cuatrienio</v>
      </c>
      <c r="Q22" s="302" t="str">
        <f>'PLAN INDICATIVO'!Q21</f>
        <v>No. De Rutas especializadas creadas durante el cuatrienio</v>
      </c>
      <c r="R22" s="303">
        <f>'PLAN INDICATIVO'!R21</f>
        <v>2015</v>
      </c>
      <c r="S22" s="304">
        <v>0</v>
      </c>
      <c r="T22" s="677">
        <v>1</v>
      </c>
      <c r="U22" s="303">
        <v>0</v>
      </c>
      <c r="V22" s="687"/>
      <c r="W22" s="572">
        <v>1</v>
      </c>
      <c r="X22" s="687">
        <v>5000000</v>
      </c>
      <c r="Y22" s="572">
        <v>1</v>
      </c>
      <c r="Z22" s="687">
        <v>500000</v>
      </c>
      <c r="AA22" s="572">
        <v>1</v>
      </c>
      <c r="AB22" s="687">
        <v>1000000</v>
      </c>
      <c r="AC22" s="665">
        <v>0</v>
      </c>
      <c r="AD22" s="665"/>
      <c r="AE22" s="665"/>
      <c r="AF22" s="665"/>
      <c r="AG22" s="664"/>
      <c r="AH22" s="307"/>
      <c r="AI22" s="308"/>
      <c r="AJ22" s="308"/>
      <c r="AK22" s="308"/>
      <c r="AL22" s="308"/>
      <c r="AM22" s="267" t="s">
        <v>2594</v>
      </c>
      <c r="AN22" s="507"/>
      <c r="AO22" s="525"/>
      <c r="AP22" s="310"/>
      <c r="AQ22" s="310"/>
      <c r="AR22" s="310"/>
      <c r="AS22" s="310"/>
      <c r="AT22" s="310"/>
      <c r="AU22" s="310"/>
      <c r="AV22" s="544">
        <f t="shared" si="0"/>
        <v>0</v>
      </c>
      <c r="AW22" s="525"/>
      <c r="AX22" s="310"/>
      <c r="AY22" s="310"/>
      <c r="AZ22" s="310"/>
      <c r="BA22" s="310"/>
      <c r="BB22" s="310"/>
      <c r="BC22" s="310"/>
      <c r="BD22" s="544">
        <f t="shared" si="1"/>
        <v>0</v>
      </c>
      <c r="BE22" s="525"/>
      <c r="BF22" s="310"/>
      <c r="BG22" s="310"/>
      <c r="BH22" s="310"/>
      <c r="BI22" s="310"/>
      <c r="BJ22" s="310"/>
      <c r="BK22" s="310"/>
      <c r="BL22" s="544">
        <f t="shared" si="2"/>
        <v>0</v>
      </c>
      <c r="BM22" s="525"/>
      <c r="BN22" s="310"/>
      <c r="BO22" s="310"/>
      <c r="BP22" s="310"/>
      <c r="BQ22" s="310"/>
      <c r="BR22" s="310"/>
      <c r="BS22" s="310"/>
      <c r="BT22" s="544">
        <f t="shared" si="3"/>
        <v>0</v>
      </c>
      <c r="BU22" s="1582"/>
      <c r="BV22" s="663">
        <f t="shared" si="8"/>
        <v>0</v>
      </c>
      <c r="BW22" s="674">
        <f t="shared" si="9"/>
        <v>0</v>
      </c>
      <c r="BX22" s="835" t="e">
        <f t="shared" si="10"/>
        <v>#DIV/0!</v>
      </c>
      <c r="BY22" s="674">
        <f t="shared" si="11"/>
        <v>0</v>
      </c>
      <c r="BZ22" s="675">
        <f t="shared" si="12"/>
        <v>0</v>
      </c>
      <c r="CA22" s="675">
        <f t="shared" si="13"/>
        <v>0</v>
      </c>
    </row>
    <row r="23" spans="1:79" ht="48" hidden="1" customHeight="1" x14ac:dyDescent="0.25">
      <c r="A23" s="298" t="s">
        <v>38</v>
      </c>
      <c r="B23" s="299" t="str">
        <f>'PLAN INDICATIVO'!B22</f>
        <v>Educación</v>
      </c>
      <c r="C23" s="1548"/>
      <c r="D23" s="1549"/>
      <c r="E23" s="1549"/>
      <c r="F23" s="1549"/>
      <c r="G23" s="1549"/>
      <c r="H23" s="1549"/>
      <c r="I23" s="300">
        <f>'PLAN INDICATIVO'!I22</f>
        <v>0</v>
      </c>
      <c r="J23" s="300">
        <f>'PLAN INDICATIVO'!J22</f>
        <v>0</v>
      </c>
      <c r="K23" s="1425" t="str">
        <f>'PLAN INDICATIVO'!K22</f>
        <v>A.1.1.15</v>
      </c>
      <c r="L23" s="301" t="str">
        <f>'PLAN INDICATIVO'!L22</f>
        <v>4. Educación de calidad</v>
      </c>
      <c r="M23" s="301" t="str">
        <f>'PLAN INDICATIVO'!M22</f>
        <v>Secretaría de Educación, Cultura, deporte y Turismo</v>
      </c>
      <c r="N23" s="1425" t="str">
        <f>'PLAN INDICATIVO'!N22</f>
        <v>YIMI FERNANDO LOSADA PAYA</v>
      </c>
      <c r="O23" s="1425" t="str">
        <f>'PLAN INDICATIVO'!O22</f>
        <v>Mantenimiento</v>
      </c>
      <c r="P23" s="16" t="str">
        <f>'PLAN INDICATIVO'!P22</f>
        <v>Implementar un programa de orientación y vocación profesional para estudiantes de educación media cada año</v>
      </c>
      <c r="Q23" s="302" t="str">
        <f>'PLAN INDICATIVO'!Q22</f>
        <v>No. de programas en el cuatrenio</v>
      </c>
      <c r="R23" s="303">
        <f>'PLAN INDICATIVO'!R22</f>
        <v>2015</v>
      </c>
      <c r="S23" s="304">
        <v>0</v>
      </c>
      <c r="T23" s="677">
        <v>1</v>
      </c>
      <c r="U23" s="303">
        <v>1</v>
      </c>
      <c r="V23" s="687">
        <v>500000</v>
      </c>
      <c r="W23" s="572">
        <v>1</v>
      </c>
      <c r="X23" s="687">
        <v>5000000</v>
      </c>
      <c r="Y23" s="572">
        <v>1</v>
      </c>
      <c r="Z23" s="687">
        <v>500000</v>
      </c>
      <c r="AA23" s="572">
        <v>1</v>
      </c>
      <c r="AB23" s="687">
        <v>1000000</v>
      </c>
      <c r="AC23" s="837">
        <v>0</v>
      </c>
      <c r="AD23" s="665"/>
      <c r="AE23" s="665"/>
      <c r="AF23" s="665"/>
      <c r="AG23" s="664" t="s">
        <v>2596</v>
      </c>
      <c r="AH23" s="307" t="s">
        <v>2609</v>
      </c>
      <c r="AI23" s="309">
        <v>42552</v>
      </c>
      <c r="AJ23" s="309">
        <v>42643</v>
      </c>
      <c r="AK23" s="308"/>
      <c r="AL23" s="308"/>
      <c r="AM23" s="267" t="s">
        <v>2600</v>
      </c>
      <c r="AN23" s="507"/>
      <c r="AO23" s="525"/>
      <c r="AP23" s="310"/>
      <c r="AQ23" s="310"/>
      <c r="AR23" s="310"/>
      <c r="AS23" s="310"/>
      <c r="AT23" s="310"/>
      <c r="AU23" s="310"/>
      <c r="AV23" s="544">
        <f t="shared" si="0"/>
        <v>0</v>
      </c>
      <c r="AW23" s="525"/>
      <c r="AX23" s="310"/>
      <c r="AY23" s="310"/>
      <c r="AZ23" s="310"/>
      <c r="BA23" s="310"/>
      <c r="BB23" s="310"/>
      <c r="BC23" s="310"/>
      <c r="BD23" s="544">
        <f t="shared" si="1"/>
        <v>0</v>
      </c>
      <c r="BE23" s="525"/>
      <c r="BF23" s="310"/>
      <c r="BG23" s="310"/>
      <c r="BH23" s="310"/>
      <c r="BI23" s="310"/>
      <c r="BJ23" s="310"/>
      <c r="BK23" s="310"/>
      <c r="BL23" s="544">
        <f t="shared" si="2"/>
        <v>0</v>
      </c>
      <c r="BM23" s="525"/>
      <c r="BN23" s="310"/>
      <c r="BO23" s="310"/>
      <c r="BP23" s="310"/>
      <c r="BQ23" s="310"/>
      <c r="BR23" s="310"/>
      <c r="BS23" s="310"/>
      <c r="BT23" s="544">
        <f t="shared" si="3"/>
        <v>0</v>
      </c>
      <c r="BU23" s="1583"/>
      <c r="BV23" s="663">
        <f t="shared" si="8"/>
        <v>0</v>
      </c>
      <c r="BW23" s="674">
        <f t="shared" si="9"/>
        <v>0</v>
      </c>
      <c r="BX23" s="835">
        <f t="shared" si="10"/>
        <v>0</v>
      </c>
      <c r="BY23" s="674">
        <f t="shared" si="11"/>
        <v>0</v>
      </c>
      <c r="BZ23" s="675">
        <f t="shared" si="12"/>
        <v>0</v>
      </c>
      <c r="CA23" s="675">
        <f t="shared" si="13"/>
        <v>0</v>
      </c>
    </row>
    <row r="24" spans="1:79" ht="39" hidden="1" customHeight="1" x14ac:dyDescent="0.25">
      <c r="A24" s="295" t="s">
        <v>38</v>
      </c>
      <c r="B24" s="24" t="str">
        <f>'PLAN INDICATIVO'!B23</f>
        <v>Educación</v>
      </c>
      <c r="C24" s="1574" t="s">
        <v>94</v>
      </c>
      <c r="D24" s="1575"/>
      <c r="E24" s="1575"/>
      <c r="F24" s="1575"/>
      <c r="G24" s="1575"/>
      <c r="H24" s="1575"/>
      <c r="I24" s="1575"/>
      <c r="J24" s="1575"/>
      <c r="K24" s="1575"/>
      <c r="L24" s="1575"/>
      <c r="M24" s="1575"/>
      <c r="N24" s="1575"/>
      <c r="O24" s="1576"/>
      <c r="P24" s="22"/>
      <c r="Q24" s="22"/>
      <c r="R24" s="1"/>
      <c r="S24" s="261"/>
      <c r="T24" s="681"/>
      <c r="U24" s="261"/>
      <c r="V24" s="689">
        <f>SUM(V25:V42)</f>
        <v>1119500000</v>
      </c>
      <c r="W24" s="261"/>
      <c r="X24" s="689">
        <f>SUM(X25:X42)</f>
        <v>1444750000</v>
      </c>
      <c r="Y24" s="261"/>
      <c r="Z24" s="689">
        <f>SUM(Z25:Z42)</f>
        <v>827500000</v>
      </c>
      <c r="AA24" s="262"/>
      <c r="AB24" s="690">
        <f>SUM(AB25:AB42)</f>
        <v>869000000</v>
      </c>
      <c r="AC24" s="262"/>
      <c r="AD24" s="262"/>
      <c r="AE24" s="262"/>
      <c r="AF24" s="262"/>
      <c r="AG24" s="263"/>
      <c r="AH24" s="263"/>
      <c r="AI24" s="262"/>
      <c r="AJ24" s="262"/>
      <c r="AK24" s="262"/>
      <c r="AL24" s="262"/>
      <c r="AM24" s="262"/>
      <c r="AN24" s="612"/>
      <c r="AO24" s="614" t="e">
        <f>(AO25:AO42)</f>
        <v>#VALUE!</v>
      </c>
      <c r="AP24" s="614" t="e">
        <f t="shared" ref="AP24:AU24" si="14">(AP25:AP42)</f>
        <v>#VALUE!</v>
      </c>
      <c r="AQ24" s="614" t="e">
        <f t="shared" si="14"/>
        <v>#VALUE!</v>
      </c>
      <c r="AR24" s="614" t="e">
        <f t="shared" si="14"/>
        <v>#VALUE!</v>
      </c>
      <c r="AS24" s="614" t="e">
        <f t="shared" si="14"/>
        <v>#VALUE!</v>
      </c>
      <c r="AT24" s="614" t="e">
        <f t="shared" si="14"/>
        <v>#VALUE!</v>
      </c>
      <c r="AU24" s="614" t="e">
        <f t="shared" si="14"/>
        <v>#VALUE!</v>
      </c>
      <c r="AV24" s="22" t="e">
        <f>SUM(AO24:AO24:AU24)</f>
        <v>#VALUE!</v>
      </c>
      <c r="AW24" s="614" t="e">
        <f t="shared" ref="AW24:BC24" si="15">(AW25:AW42)</f>
        <v>#VALUE!</v>
      </c>
      <c r="AX24" s="614" t="e">
        <f t="shared" si="15"/>
        <v>#VALUE!</v>
      </c>
      <c r="AY24" s="614" t="e">
        <f t="shared" si="15"/>
        <v>#VALUE!</v>
      </c>
      <c r="AZ24" s="614" t="e">
        <f t="shared" si="15"/>
        <v>#VALUE!</v>
      </c>
      <c r="BA24" s="614" t="e">
        <f t="shared" si="15"/>
        <v>#VALUE!</v>
      </c>
      <c r="BB24" s="614" t="e">
        <f t="shared" si="15"/>
        <v>#VALUE!</v>
      </c>
      <c r="BC24" s="614" t="e">
        <f t="shared" si="15"/>
        <v>#VALUE!</v>
      </c>
      <c r="BD24" s="22" t="e">
        <f>SUM(AW24:AW24:BC24)</f>
        <v>#VALUE!</v>
      </c>
      <c r="BE24" s="614" t="e">
        <f t="shared" ref="BE24:BK24" si="16">(BE25:BE42)</f>
        <v>#VALUE!</v>
      </c>
      <c r="BF24" s="614" t="e">
        <f t="shared" si="16"/>
        <v>#VALUE!</v>
      </c>
      <c r="BG24" s="614" t="e">
        <f t="shared" si="16"/>
        <v>#VALUE!</v>
      </c>
      <c r="BH24" s="614" t="e">
        <f t="shared" si="16"/>
        <v>#VALUE!</v>
      </c>
      <c r="BI24" s="614" t="e">
        <f t="shared" si="16"/>
        <v>#VALUE!</v>
      </c>
      <c r="BJ24" s="614" t="e">
        <f t="shared" si="16"/>
        <v>#VALUE!</v>
      </c>
      <c r="BK24" s="614" t="e">
        <f t="shared" si="16"/>
        <v>#VALUE!</v>
      </c>
      <c r="BL24" s="22" t="e">
        <f>SUM(BE24:BE24:BK24)</f>
        <v>#VALUE!</v>
      </c>
      <c r="BM24" s="614" t="e">
        <f t="shared" ref="BM24:BS24" si="17">(BM25:BM42)</f>
        <v>#VALUE!</v>
      </c>
      <c r="BN24" s="614" t="e">
        <f t="shared" si="17"/>
        <v>#VALUE!</v>
      </c>
      <c r="BO24" s="614" t="e">
        <f t="shared" si="17"/>
        <v>#VALUE!</v>
      </c>
      <c r="BP24" s="614" t="e">
        <f t="shared" si="17"/>
        <v>#VALUE!</v>
      </c>
      <c r="BQ24" s="614" t="e">
        <f t="shared" si="17"/>
        <v>#VALUE!</v>
      </c>
      <c r="BR24" s="614" t="e">
        <f t="shared" si="17"/>
        <v>#VALUE!</v>
      </c>
      <c r="BS24" s="614" t="e">
        <f t="shared" si="17"/>
        <v>#VALUE!</v>
      </c>
      <c r="BT24" s="22" t="e">
        <f>SUM(BM24:BM24:BS24)</f>
        <v>#VALUE!</v>
      </c>
      <c r="BU24" s="22"/>
      <c r="BV24" s="663">
        <f t="shared" si="8"/>
        <v>0</v>
      </c>
      <c r="BW24" s="674" t="e">
        <f t="shared" si="9"/>
        <v>#DIV/0!</v>
      </c>
      <c r="BX24" s="867" t="e">
        <f t="shared" si="10"/>
        <v>#DIV/0!</v>
      </c>
      <c r="BY24" s="674" t="e">
        <f t="shared" si="11"/>
        <v>#DIV/0!</v>
      </c>
      <c r="BZ24" s="675" t="e">
        <f t="shared" si="12"/>
        <v>#DIV/0!</v>
      </c>
      <c r="CA24" s="675" t="e">
        <f t="shared" si="13"/>
        <v>#DIV/0!</v>
      </c>
    </row>
    <row r="25" spans="1:79" ht="47.25" hidden="1" customHeight="1" x14ac:dyDescent="0.25">
      <c r="A25" s="298" t="s">
        <v>38</v>
      </c>
      <c r="B25" s="299" t="str">
        <f>'PLAN INDICATIVO'!B24</f>
        <v>Educación</v>
      </c>
      <c r="C25" s="1546" t="s">
        <v>95</v>
      </c>
      <c r="D25" s="1549" t="s">
        <v>96</v>
      </c>
      <c r="E25" s="1549" t="s">
        <v>97</v>
      </c>
      <c r="F25" s="1549">
        <v>2014</v>
      </c>
      <c r="G25" s="1549">
        <v>47.54</v>
      </c>
      <c r="H25" s="1549">
        <v>50</v>
      </c>
      <c r="I25" s="300">
        <f>'PLAN INDICATIVO'!I24</f>
        <v>0</v>
      </c>
      <c r="J25" s="300">
        <f>'PLAN INDICATIVO'!J24</f>
        <v>0</v>
      </c>
      <c r="K25" s="1425" t="str">
        <f>'PLAN INDICATIVO'!K24</f>
        <v>A.1.2.1</v>
      </c>
      <c r="L25" s="1425" t="str">
        <f>'PLAN INDICATIVO'!L24</f>
        <v>4. Educación de calidad</v>
      </c>
      <c r="M25" s="1425" t="str">
        <f>'PLAN INDICATIVO'!M24</f>
        <v>Secretaría de Educación, Cultura, deporte y Turismo</v>
      </c>
      <c r="N25" s="1425" t="str">
        <f>'PLAN INDICATIVO'!N24</f>
        <v>YIMI FERNANDO LOSADA PAYA</v>
      </c>
      <c r="O25" s="1425" t="str">
        <f>'PLAN INDICATIVO'!O24</f>
        <v>Incremento</v>
      </c>
      <c r="P25" s="16" t="str">
        <f>'PLAN INDICATIVO'!P24</f>
        <v>Dotar 18 Instituciones educativas con mobiliario y equipo, material didáctico para la enseñanza, durante el cuatrienio.</v>
      </c>
      <c r="Q25" s="302" t="str">
        <f>'PLAN INDICATIVO'!Q24</f>
        <v>No. de centros educativos dotados en el cuatrienio</v>
      </c>
      <c r="R25" s="303">
        <f>'PLAN INDICATIVO'!R24</f>
        <v>2015</v>
      </c>
      <c r="S25" s="304">
        <v>0</v>
      </c>
      <c r="T25" s="677">
        <v>18</v>
      </c>
      <c r="U25" s="303">
        <v>2</v>
      </c>
      <c r="V25" s="687">
        <v>20000000</v>
      </c>
      <c r="W25" s="572">
        <v>2</v>
      </c>
      <c r="X25" s="687">
        <v>20000000</v>
      </c>
      <c r="Y25" s="572">
        <v>7</v>
      </c>
      <c r="Z25" s="687">
        <v>100000000</v>
      </c>
      <c r="AA25" s="572">
        <v>7</v>
      </c>
      <c r="AB25" s="687">
        <v>100000000</v>
      </c>
      <c r="AC25" s="665">
        <v>2</v>
      </c>
      <c r="AD25" s="665"/>
      <c r="AE25" s="665"/>
      <c r="AF25" s="665"/>
      <c r="AG25" s="306" t="s">
        <v>2610</v>
      </c>
      <c r="AH25" s="307" t="s">
        <v>2611</v>
      </c>
      <c r="AI25" s="309">
        <v>42522</v>
      </c>
      <c r="AJ25" s="309">
        <v>42735</v>
      </c>
      <c r="AK25" s="308"/>
      <c r="AL25" s="308"/>
      <c r="AM25" s="267" t="s">
        <v>2598</v>
      </c>
      <c r="AN25" s="507">
        <v>23010205</v>
      </c>
      <c r="AO25" s="525"/>
      <c r="AP25" s="310">
        <v>62000000</v>
      </c>
      <c r="AQ25" s="310"/>
      <c r="AR25" s="310"/>
      <c r="AS25" s="310"/>
      <c r="AT25" s="310"/>
      <c r="AU25" s="310"/>
      <c r="AV25" s="544">
        <f t="shared" si="0"/>
        <v>62000000</v>
      </c>
      <c r="AW25" s="525"/>
      <c r="AX25" s="310"/>
      <c r="AY25" s="310"/>
      <c r="AZ25" s="310"/>
      <c r="BA25" s="310"/>
      <c r="BB25" s="310"/>
      <c r="BC25" s="310"/>
      <c r="BD25" s="544">
        <f t="shared" ref="BD25:BD88" si="18">SUM(AW25:BC25)</f>
        <v>0</v>
      </c>
      <c r="BE25" s="525"/>
      <c r="BF25" s="310"/>
      <c r="BG25" s="310"/>
      <c r="BH25" s="310"/>
      <c r="BI25" s="310"/>
      <c r="BJ25" s="310"/>
      <c r="BK25" s="310"/>
      <c r="BL25" s="544">
        <f t="shared" ref="BL25:BL88" si="19">SUM(BE25:BK25)</f>
        <v>0</v>
      </c>
      <c r="BM25" s="525"/>
      <c r="BN25" s="310"/>
      <c r="BO25" s="310"/>
      <c r="BP25" s="310"/>
      <c r="BQ25" s="310"/>
      <c r="BR25" s="310"/>
      <c r="BS25" s="310"/>
      <c r="BT25" s="544">
        <f t="shared" ref="BT25:BT88" si="20">SUM(BM25:BS25)</f>
        <v>0</v>
      </c>
      <c r="BU25" s="1637" t="s">
        <v>2563</v>
      </c>
      <c r="BV25" s="663">
        <f t="shared" si="8"/>
        <v>2</v>
      </c>
      <c r="BW25" s="674">
        <f t="shared" si="9"/>
        <v>0.1111111111111111</v>
      </c>
      <c r="BX25" s="835">
        <f t="shared" si="10"/>
        <v>1</v>
      </c>
      <c r="BY25" s="674">
        <f t="shared" si="11"/>
        <v>0</v>
      </c>
      <c r="BZ25" s="675">
        <f t="shared" si="12"/>
        <v>0</v>
      </c>
      <c r="CA25" s="675">
        <f t="shared" si="13"/>
        <v>0</v>
      </c>
    </row>
    <row r="26" spans="1:79" ht="47.25" hidden="1" customHeight="1" x14ac:dyDescent="0.25">
      <c r="A26" s="298" t="s">
        <v>38</v>
      </c>
      <c r="B26" s="299" t="str">
        <f>'PLAN INDICATIVO'!B25</f>
        <v>Educación</v>
      </c>
      <c r="C26" s="1547"/>
      <c r="D26" s="1549"/>
      <c r="E26" s="1549"/>
      <c r="F26" s="1549"/>
      <c r="G26" s="1549"/>
      <c r="H26" s="1549"/>
      <c r="I26" s="300">
        <f>'PLAN INDICATIVO'!I25</f>
        <v>0</v>
      </c>
      <c r="J26" s="300">
        <f>'PLAN INDICATIVO'!J25</f>
        <v>0</v>
      </c>
      <c r="K26" s="1425" t="str">
        <f>'PLAN INDICATIVO'!K25</f>
        <v>A.1.2.2</v>
      </c>
      <c r="L26" s="1425" t="str">
        <f>'PLAN INDICATIVO'!L25</f>
        <v>4. Educación de calidad</v>
      </c>
      <c r="M26" s="1425" t="str">
        <f>'PLAN INDICATIVO'!M25</f>
        <v>Secretaría de Educación, Cultura, deporte y Turismo</v>
      </c>
      <c r="N26" s="1425" t="str">
        <f>'PLAN INDICATIVO'!N25</f>
        <v>YIMI FERNANDO LOSADA PAYA</v>
      </c>
      <c r="O26" s="1425" t="str">
        <f>'PLAN INDICATIVO'!O25</f>
        <v>Mantenimiento</v>
      </c>
      <c r="P26" s="16" t="str">
        <f>'PLAN INDICATIVO'!P25</f>
        <v>Apoyar a 18 Instituciones Educativas con recursos para garantizar la gratuidad en la educación cada año</v>
      </c>
      <c r="Q26" s="302" t="str">
        <f>'PLAN INDICATIVO'!Q25</f>
        <v>No. De IE apoyadas cada año</v>
      </c>
      <c r="R26" s="303">
        <f>'PLAN INDICATIVO'!R25</f>
        <v>2015</v>
      </c>
      <c r="S26" s="304">
        <v>1</v>
      </c>
      <c r="T26" s="677">
        <v>18</v>
      </c>
      <c r="U26" s="303">
        <v>18</v>
      </c>
      <c r="V26" s="687">
        <v>1000000000</v>
      </c>
      <c r="W26" s="303">
        <v>18</v>
      </c>
      <c r="X26" s="687">
        <v>1256750000</v>
      </c>
      <c r="Y26" s="303">
        <v>18</v>
      </c>
      <c r="Z26" s="687">
        <v>640000000</v>
      </c>
      <c r="AA26" s="303">
        <v>18</v>
      </c>
      <c r="AB26" s="687">
        <v>670000000</v>
      </c>
      <c r="AC26" s="665">
        <v>18</v>
      </c>
      <c r="AD26" s="665"/>
      <c r="AE26" s="665"/>
      <c r="AF26" s="665"/>
      <c r="AG26" s="306" t="s">
        <v>2596</v>
      </c>
      <c r="AH26" s="307" t="s">
        <v>2612</v>
      </c>
      <c r="AI26" s="309">
        <v>42552</v>
      </c>
      <c r="AJ26" s="309">
        <v>42704</v>
      </c>
      <c r="AK26" s="308"/>
      <c r="AL26" s="308"/>
      <c r="AM26" s="267" t="s">
        <v>2598</v>
      </c>
      <c r="AN26" s="507">
        <v>230103</v>
      </c>
      <c r="AO26" s="525"/>
      <c r="AP26" s="310">
        <v>613791497</v>
      </c>
      <c r="AQ26" s="310"/>
      <c r="AR26" s="310"/>
      <c r="AS26" s="310"/>
      <c r="AT26" s="310"/>
      <c r="AU26" s="310"/>
      <c r="AV26" s="544">
        <f t="shared" si="0"/>
        <v>613791497</v>
      </c>
      <c r="AW26" s="525"/>
      <c r="AX26" s="310"/>
      <c r="AY26" s="310"/>
      <c r="AZ26" s="310"/>
      <c r="BA26" s="310"/>
      <c r="BB26" s="310"/>
      <c r="BC26" s="310"/>
      <c r="BD26" s="544">
        <f t="shared" si="18"/>
        <v>0</v>
      </c>
      <c r="BE26" s="525"/>
      <c r="BF26" s="310"/>
      <c r="BG26" s="310"/>
      <c r="BH26" s="310"/>
      <c r="BI26" s="310"/>
      <c r="BJ26" s="310"/>
      <c r="BK26" s="310"/>
      <c r="BL26" s="544">
        <f t="shared" si="19"/>
        <v>0</v>
      </c>
      <c r="BM26" s="525"/>
      <c r="BN26" s="310"/>
      <c r="BO26" s="310"/>
      <c r="BP26" s="310"/>
      <c r="BQ26" s="310"/>
      <c r="BR26" s="310"/>
      <c r="BS26" s="310"/>
      <c r="BT26" s="544">
        <f t="shared" si="20"/>
        <v>0</v>
      </c>
      <c r="BU26" s="1638"/>
      <c r="BV26" s="663">
        <f t="shared" si="8"/>
        <v>18</v>
      </c>
      <c r="BW26" s="674">
        <f t="shared" si="9"/>
        <v>1</v>
      </c>
      <c r="BX26" s="835">
        <f t="shared" si="10"/>
        <v>1</v>
      </c>
      <c r="BY26" s="674">
        <f t="shared" si="11"/>
        <v>0</v>
      </c>
      <c r="BZ26" s="675">
        <f t="shared" si="12"/>
        <v>0</v>
      </c>
      <c r="CA26" s="675">
        <f t="shared" si="13"/>
        <v>0</v>
      </c>
    </row>
    <row r="27" spans="1:79" ht="58.5" hidden="1" customHeight="1" x14ac:dyDescent="0.25">
      <c r="A27" s="298" t="s">
        <v>38</v>
      </c>
      <c r="B27" s="299" t="str">
        <f>'PLAN INDICATIVO'!B26</f>
        <v>Educación</v>
      </c>
      <c r="C27" s="1547"/>
      <c r="D27" s="1549"/>
      <c r="E27" s="1549"/>
      <c r="F27" s="1549"/>
      <c r="G27" s="1549"/>
      <c r="H27" s="1549"/>
      <c r="I27" s="300">
        <f>'PLAN INDICATIVO'!I26</f>
        <v>0</v>
      </c>
      <c r="J27" s="300">
        <f>'PLAN INDICATIVO'!J26</f>
        <v>0</v>
      </c>
      <c r="K27" s="1425" t="str">
        <f>'PLAN INDICATIVO'!K26</f>
        <v>A.1.2.3</v>
      </c>
      <c r="L27" s="1425" t="str">
        <f>'PLAN INDICATIVO'!L26</f>
        <v>4. Educación de calidad</v>
      </c>
      <c r="M27" s="1425" t="str">
        <f>'PLAN INDICATIVO'!M26</f>
        <v>Secretaría de Educación, Cultura, deporte y Turismo</v>
      </c>
      <c r="N27" s="1425" t="str">
        <f>'PLAN INDICATIVO'!N26</f>
        <v>YIMI FERNANDO LOSADA PAYA</v>
      </c>
      <c r="O27" s="1425" t="str">
        <f>'PLAN INDICATIVO'!O26</f>
        <v>Mantenimiento</v>
      </c>
      <c r="P27" s="16" t="str">
        <f>'PLAN INDICATIVO'!P26</f>
        <v xml:space="preserve">Desarrollar 1 programa de capacitación y formación por año dirigido a docentes, directivos y administrativos de las instituciones educativas del municipio </v>
      </c>
      <c r="Q27" s="302" t="str">
        <f>'PLAN INDICATIVO'!Q26</f>
        <v>No. Programas de capacitación y formación dirigidos a directivos y administrativos de IE desarrollados cada año</v>
      </c>
      <c r="R27" s="303">
        <f>'PLAN INDICATIVO'!R26</f>
        <v>2015</v>
      </c>
      <c r="S27" s="304">
        <v>0</v>
      </c>
      <c r="T27" s="677">
        <v>1</v>
      </c>
      <c r="U27" s="303">
        <v>1</v>
      </c>
      <c r="V27" s="687">
        <v>9500000</v>
      </c>
      <c r="W27" s="572">
        <v>1</v>
      </c>
      <c r="X27" s="687">
        <v>25000000</v>
      </c>
      <c r="Y27" s="572">
        <v>1</v>
      </c>
      <c r="Z27" s="687">
        <v>2500000</v>
      </c>
      <c r="AA27" s="572">
        <v>1</v>
      </c>
      <c r="AB27" s="687">
        <v>1500000</v>
      </c>
      <c r="AC27" s="665">
        <v>1</v>
      </c>
      <c r="AD27" s="665"/>
      <c r="AE27" s="665"/>
      <c r="AF27" s="665"/>
      <c r="AG27" s="306" t="s">
        <v>2596</v>
      </c>
      <c r="AH27" s="307" t="s">
        <v>2613</v>
      </c>
      <c r="AI27" s="309">
        <v>42522</v>
      </c>
      <c r="AJ27" s="309">
        <v>42674</v>
      </c>
      <c r="AK27" s="308"/>
      <c r="AL27" s="308"/>
      <c r="AM27" s="267" t="s">
        <v>2598</v>
      </c>
      <c r="AN27" s="507"/>
      <c r="AO27" s="526"/>
      <c r="AP27" s="470"/>
      <c r="AQ27" s="470"/>
      <c r="AR27" s="470"/>
      <c r="AS27" s="470"/>
      <c r="AT27" s="470"/>
      <c r="AU27" s="470"/>
      <c r="AV27" s="544">
        <f t="shared" si="0"/>
        <v>0</v>
      </c>
      <c r="AW27" s="526"/>
      <c r="AX27" s="470"/>
      <c r="AY27" s="470"/>
      <c r="AZ27" s="470"/>
      <c r="BA27" s="470"/>
      <c r="BB27" s="470"/>
      <c r="BC27" s="470"/>
      <c r="BD27" s="544">
        <f t="shared" si="18"/>
        <v>0</v>
      </c>
      <c r="BE27" s="526"/>
      <c r="BF27" s="470"/>
      <c r="BG27" s="470"/>
      <c r="BH27" s="470"/>
      <c r="BI27" s="470"/>
      <c r="BJ27" s="470"/>
      <c r="BK27" s="470"/>
      <c r="BL27" s="544">
        <f t="shared" si="19"/>
        <v>0</v>
      </c>
      <c r="BM27" s="526"/>
      <c r="BN27" s="470"/>
      <c r="BO27" s="470"/>
      <c r="BP27" s="470"/>
      <c r="BQ27" s="470"/>
      <c r="BR27" s="470"/>
      <c r="BS27" s="470"/>
      <c r="BT27" s="544">
        <f t="shared" si="20"/>
        <v>0</v>
      </c>
      <c r="BU27" s="1638"/>
      <c r="BV27" s="663">
        <f t="shared" si="8"/>
        <v>1</v>
      </c>
      <c r="BW27" s="674">
        <f t="shared" si="9"/>
        <v>1</v>
      </c>
      <c r="BX27" s="835">
        <f t="shared" si="10"/>
        <v>1</v>
      </c>
      <c r="BY27" s="674">
        <f t="shared" si="11"/>
        <v>0</v>
      </c>
      <c r="BZ27" s="675">
        <f t="shared" si="12"/>
        <v>0</v>
      </c>
      <c r="CA27" s="675">
        <f t="shared" si="13"/>
        <v>0</v>
      </c>
    </row>
    <row r="28" spans="1:79" ht="48.75" hidden="1" customHeight="1" x14ac:dyDescent="0.25">
      <c r="A28" s="298" t="s">
        <v>38</v>
      </c>
      <c r="B28" s="299" t="str">
        <f>'PLAN INDICATIVO'!B27</f>
        <v>Educación</v>
      </c>
      <c r="C28" s="1547"/>
      <c r="D28" s="1549"/>
      <c r="E28" s="1549"/>
      <c r="F28" s="1549"/>
      <c r="G28" s="1549"/>
      <c r="H28" s="1549"/>
      <c r="I28" s="300">
        <f>'PLAN INDICATIVO'!I27</f>
        <v>0</v>
      </c>
      <c r="J28" s="300">
        <f>'PLAN INDICATIVO'!J27</f>
        <v>0</v>
      </c>
      <c r="K28" s="1425" t="str">
        <f>'PLAN INDICATIVO'!K27</f>
        <v>A.1.2.4</v>
      </c>
      <c r="L28" s="1425" t="str">
        <f>'PLAN INDICATIVO'!L27</f>
        <v>4. Educación de calidad</v>
      </c>
      <c r="M28" s="1425" t="str">
        <f>'PLAN INDICATIVO'!M27</f>
        <v>Secretaría de Educación, Cultura, deporte y Turismo</v>
      </c>
      <c r="N28" s="1425" t="str">
        <f>'PLAN INDICATIVO'!N27</f>
        <v>YIMI FERNANDO LOSADA PAYA</v>
      </c>
      <c r="O28" s="1425" t="str">
        <f>'PLAN INDICATIVO'!O27</f>
        <v>Mantenimiento</v>
      </c>
      <c r="P28" s="16" t="str">
        <f>'PLAN INDICATIVO'!P27</f>
        <v>Implementar cada año 1 estrategia para mejorar los resultados en las pruebas SABER en el municipio</v>
      </c>
      <c r="Q28" s="302" t="str">
        <f>'PLAN INDICATIVO'!Q27</f>
        <v>No. de estrategias implementadas cada año</v>
      </c>
      <c r="R28" s="303">
        <f>'PLAN INDICATIVO'!R27</f>
        <v>2015</v>
      </c>
      <c r="S28" s="304">
        <v>0</v>
      </c>
      <c r="T28" s="677">
        <v>1</v>
      </c>
      <c r="U28" s="303">
        <v>1</v>
      </c>
      <c r="V28" s="687">
        <v>70000000</v>
      </c>
      <c r="W28" s="572">
        <v>1</v>
      </c>
      <c r="X28" s="687">
        <v>70000000</v>
      </c>
      <c r="Y28" s="572">
        <v>1</v>
      </c>
      <c r="Z28" s="687">
        <v>70000000</v>
      </c>
      <c r="AA28" s="572">
        <v>1</v>
      </c>
      <c r="AB28" s="687">
        <v>79000000</v>
      </c>
      <c r="AC28" s="665">
        <v>1</v>
      </c>
      <c r="AD28" s="665"/>
      <c r="AE28" s="665"/>
      <c r="AF28" s="665"/>
      <c r="AG28" s="306" t="s">
        <v>2596</v>
      </c>
      <c r="AH28" s="307" t="s">
        <v>2614</v>
      </c>
      <c r="AI28" s="309">
        <v>42614</v>
      </c>
      <c r="AJ28" s="309">
        <v>42643</v>
      </c>
      <c r="AK28" s="308"/>
      <c r="AL28" s="308"/>
      <c r="AM28" s="267" t="s">
        <v>2598</v>
      </c>
      <c r="AN28" s="507"/>
      <c r="AO28" s="525"/>
      <c r="AP28" s="310">
        <v>10000000</v>
      </c>
      <c r="AQ28" s="310"/>
      <c r="AR28" s="310"/>
      <c r="AS28" s="310"/>
      <c r="AT28" s="310"/>
      <c r="AU28" s="310"/>
      <c r="AV28" s="544">
        <f t="shared" si="0"/>
        <v>10000000</v>
      </c>
      <c r="AW28" s="525"/>
      <c r="AX28" s="310"/>
      <c r="AY28" s="310"/>
      <c r="AZ28" s="310"/>
      <c r="BA28" s="310"/>
      <c r="BB28" s="310"/>
      <c r="BC28" s="310"/>
      <c r="BD28" s="544">
        <f t="shared" si="18"/>
        <v>0</v>
      </c>
      <c r="BE28" s="525"/>
      <c r="BF28" s="310"/>
      <c r="BG28" s="310"/>
      <c r="BH28" s="310"/>
      <c r="BI28" s="310"/>
      <c r="BJ28" s="310"/>
      <c r="BK28" s="310"/>
      <c r="BL28" s="544">
        <f t="shared" si="19"/>
        <v>0</v>
      </c>
      <c r="BM28" s="525"/>
      <c r="BN28" s="310"/>
      <c r="BO28" s="310"/>
      <c r="BP28" s="310"/>
      <c r="BQ28" s="310"/>
      <c r="BR28" s="310"/>
      <c r="BS28" s="310"/>
      <c r="BT28" s="544">
        <f t="shared" si="20"/>
        <v>0</v>
      </c>
      <c r="BU28" s="1638"/>
      <c r="BV28" s="663">
        <f t="shared" si="8"/>
        <v>1</v>
      </c>
      <c r="BW28" s="674">
        <f t="shared" si="9"/>
        <v>1</v>
      </c>
      <c r="BX28" s="835">
        <f t="shared" si="10"/>
        <v>1</v>
      </c>
      <c r="BY28" s="674">
        <f t="shared" si="11"/>
        <v>0</v>
      </c>
      <c r="BZ28" s="675">
        <f t="shared" si="12"/>
        <v>0</v>
      </c>
      <c r="CA28" s="675">
        <f t="shared" si="13"/>
        <v>0</v>
      </c>
    </row>
    <row r="29" spans="1:79" ht="56.25" hidden="1" customHeight="1" x14ac:dyDescent="0.25">
      <c r="A29" s="298" t="s">
        <v>38</v>
      </c>
      <c r="B29" s="299" t="str">
        <f>'PLAN INDICATIVO'!B28</f>
        <v>Educación</v>
      </c>
      <c r="C29" s="1547"/>
      <c r="D29" s="1549"/>
      <c r="E29" s="1549"/>
      <c r="F29" s="1549"/>
      <c r="G29" s="1549"/>
      <c r="H29" s="1549"/>
      <c r="I29" s="300">
        <f>'PLAN INDICATIVO'!I28</f>
        <v>0</v>
      </c>
      <c r="J29" s="300">
        <f>'PLAN INDICATIVO'!J28</f>
        <v>0</v>
      </c>
      <c r="K29" s="1425" t="str">
        <f>'PLAN INDICATIVO'!K28</f>
        <v>A.1.2.5</v>
      </c>
      <c r="L29" s="1425" t="str">
        <f>'PLAN INDICATIVO'!L28</f>
        <v>4. Educación de calidad</v>
      </c>
      <c r="M29" s="1425" t="str">
        <f>'PLAN INDICATIVO'!M28</f>
        <v>Secretaría de Educación, Cultura, deporte y Turismo</v>
      </c>
      <c r="N29" s="1425" t="str">
        <f>'PLAN INDICATIVO'!N28</f>
        <v>YIMI FERNANDO LOSADA PAYA</v>
      </c>
      <c r="O29" s="1425" t="str">
        <f>'PLAN INDICATIVO'!O28</f>
        <v>Mantenimiento</v>
      </c>
      <c r="P29" s="16" t="str">
        <f>'PLAN INDICATIVO'!P28</f>
        <v>Implementar 1 Programa de apoyo a la educación superior, para estudiantes con excelentes promedios académicos durante el cuatrienio.</v>
      </c>
      <c r="Q29" s="302" t="str">
        <f>'PLAN INDICATIVO'!Q28</f>
        <v>No. De programas de apoyo implementados cada año</v>
      </c>
      <c r="R29" s="303">
        <f>'PLAN INDICATIVO'!R28</f>
        <v>2015</v>
      </c>
      <c r="S29" s="304">
        <v>1</v>
      </c>
      <c r="T29" s="677">
        <v>1</v>
      </c>
      <c r="U29" s="303">
        <v>0</v>
      </c>
      <c r="V29" s="687">
        <v>13000000</v>
      </c>
      <c r="W29" s="572">
        <v>1</v>
      </c>
      <c r="X29" s="687">
        <v>25000000</v>
      </c>
      <c r="Y29" s="572">
        <v>1</v>
      </c>
      <c r="Z29" s="687">
        <v>500000</v>
      </c>
      <c r="AA29" s="572">
        <v>1</v>
      </c>
      <c r="AB29" s="687">
        <v>1000000</v>
      </c>
      <c r="AC29" s="665">
        <v>0</v>
      </c>
      <c r="AD29" s="665"/>
      <c r="AE29" s="665"/>
      <c r="AF29" s="665"/>
      <c r="AG29" s="266"/>
      <c r="AH29" s="307"/>
      <c r="AI29" s="308"/>
      <c r="AJ29" s="308"/>
      <c r="AK29" s="308"/>
      <c r="AL29" s="308"/>
      <c r="AM29" s="267" t="s">
        <v>2594</v>
      </c>
      <c r="AN29" s="507"/>
      <c r="AO29" s="525"/>
      <c r="AP29" s="310"/>
      <c r="AQ29" s="310"/>
      <c r="AR29" s="310"/>
      <c r="AS29" s="310"/>
      <c r="AT29" s="310"/>
      <c r="AU29" s="310"/>
      <c r="AV29" s="544">
        <f t="shared" si="0"/>
        <v>0</v>
      </c>
      <c r="AW29" s="525"/>
      <c r="AX29" s="310"/>
      <c r="AY29" s="310"/>
      <c r="AZ29" s="310"/>
      <c r="BA29" s="310"/>
      <c r="BB29" s="310"/>
      <c r="BC29" s="310"/>
      <c r="BD29" s="544">
        <f t="shared" si="18"/>
        <v>0</v>
      </c>
      <c r="BE29" s="525"/>
      <c r="BF29" s="310"/>
      <c r="BG29" s="310"/>
      <c r="BH29" s="310"/>
      <c r="BI29" s="310"/>
      <c r="BJ29" s="310"/>
      <c r="BK29" s="310"/>
      <c r="BL29" s="544">
        <f t="shared" si="19"/>
        <v>0</v>
      </c>
      <c r="BM29" s="525"/>
      <c r="BN29" s="310"/>
      <c r="BO29" s="310"/>
      <c r="BP29" s="310"/>
      <c r="BQ29" s="310"/>
      <c r="BR29" s="310"/>
      <c r="BS29" s="310"/>
      <c r="BT29" s="544">
        <f t="shared" si="20"/>
        <v>0</v>
      </c>
      <c r="BU29" s="1638"/>
      <c r="BV29" s="663">
        <f t="shared" si="8"/>
        <v>0</v>
      </c>
      <c r="BW29" s="674">
        <f t="shared" si="9"/>
        <v>0</v>
      </c>
      <c r="BX29" s="835" t="e">
        <f t="shared" si="10"/>
        <v>#DIV/0!</v>
      </c>
      <c r="BY29" s="674">
        <f t="shared" si="11"/>
        <v>0</v>
      </c>
      <c r="BZ29" s="675">
        <f t="shared" si="12"/>
        <v>0</v>
      </c>
      <c r="CA29" s="675">
        <f t="shared" si="13"/>
        <v>0</v>
      </c>
    </row>
    <row r="30" spans="1:79" ht="108" hidden="1" customHeight="1" x14ac:dyDescent="0.25">
      <c r="A30" s="298" t="s">
        <v>38</v>
      </c>
      <c r="B30" s="299" t="str">
        <f>'PLAN INDICATIVO'!B29</f>
        <v>Educación</v>
      </c>
      <c r="C30" s="1547"/>
      <c r="D30" s="1549"/>
      <c r="E30" s="1549"/>
      <c r="F30" s="1549"/>
      <c r="G30" s="1549"/>
      <c r="H30" s="1549"/>
      <c r="I30" s="300">
        <f>'PLAN INDICATIVO'!I29</f>
        <v>0</v>
      </c>
      <c r="J30" s="300">
        <f>'PLAN INDICATIVO'!J29</f>
        <v>0</v>
      </c>
      <c r="K30" s="1425" t="str">
        <f>'PLAN INDICATIVO'!K29</f>
        <v>A.1.2.6</v>
      </c>
      <c r="L30" s="1425" t="str">
        <f>'PLAN INDICATIVO'!L29</f>
        <v>4. Educación de calidad</v>
      </c>
      <c r="M30" s="1425" t="str">
        <f>'PLAN INDICATIVO'!M29</f>
        <v>Secretaría de Educación, Cultura, deporte y Turismo</v>
      </c>
      <c r="N30" s="1425" t="str">
        <f>'PLAN INDICATIVO'!N29</f>
        <v>YIMI FERNANDO LOSADA PAYA</v>
      </c>
      <c r="O30" s="1425" t="str">
        <f>'PLAN INDICATIVO'!O29</f>
        <v>Incremento</v>
      </c>
      <c r="P30" s="16" t="str">
        <f>'PLAN INDICATIVO'!P29</f>
        <v>Realizar 4 foros educativos durante el cuatrienio</v>
      </c>
      <c r="Q30" s="302" t="str">
        <f>'PLAN INDICATIVO'!Q29</f>
        <v>No. de foros realizados durante el cuatrienio</v>
      </c>
      <c r="R30" s="303">
        <f>'PLAN INDICATIVO'!R29</f>
        <v>2015</v>
      </c>
      <c r="S30" s="304">
        <v>1</v>
      </c>
      <c r="T30" s="677">
        <v>4</v>
      </c>
      <c r="U30" s="303">
        <v>1</v>
      </c>
      <c r="V30" s="687">
        <v>5000000</v>
      </c>
      <c r="W30" s="572">
        <v>1</v>
      </c>
      <c r="X30" s="687">
        <v>5000000</v>
      </c>
      <c r="Y30" s="572">
        <v>1</v>
      </c>
      <c r="Z30" s="687">
        <v>4500000</v>
      </c>
      <c r="AA30" s="572">
        <v>1</v>
      </c>
      <c r="AB30" s="687">
        <v>3000000</v>
      </c>
      <c r="AC30" s="665">
        <v>1</v>
      </c>
      <c r="AD30" s="665"/>
      <c r="AE30" s="665"/>
      <c r="AF30" s="665"/>
      <c r="AG30" s="306"/>
      <c r="AH30" s="307" t="s">
        <v>2615</v>
      </c>
      <c r="AI30" s="309">
        <v>42644</v>
      </c>
      <c r="AJ30" s="309">
        <v>42674</v>
      </c>
      <c r="AK30" s="308"/>
      <c r="AL30" s="308"/>
      <c r="AM30" s="267" t="s">
        <v>2598</v>
      </c>
      <c r="AN30" s="507"/>
      <c r="AO30" s="525"/>
      <c r="AP30" s="310">
        <v>5000000</v>
      </c>
      <c r="AQ30" s="310"/>
      <c r="AR30" s="310"/>
      <c r="AS30" s="310"/>
      <c r="AT30" s="310"/>
      <c r="AU30" s="310"/>
      <c r="AV30" s="544">
        <f t="shared" si="0"/>
        <v>5000000</v>
      </c>
      <c r="AW30" s="525"/>
      <c r="AX30" s="310"/>
      <c r="AY30" s="310"/>
      <c r="AZ30" s="310"/>
      <c r="BA30" s="310"/>
      <c r="BB30" s="310"/>
      <c r="BC30" s="310"/>
      <c r="BD30" s="544">
        <f t="shared" si="18"/>
        <v>0</v>
      </c>
      <c r="BE30" s="525"/>
      <c r="BF30" s="310"/>
      <c r="BG30" s="310"/>
      <c r="BH30" s="310"/>
      <c r="BI30" s="310"/>
      <c r="BJ30" s="310"/>
      <c r="BK30" s="310"/>
      <c r="BL30" s="544">
        <f t="shared" si="19"/>
        <v>0</v>
      </c>
      <c r="BM30" s="525"/>
      <c r="BN30" s="310"/>
      <c r="BO30" s="310"/>
      <c r="BP30" s="310"/>
      <c r="BQ30" s="310"/>
      <c r="BR30" s="310"/>
      <c r="BS30" s="310"/>
      <c r="BT30" s="544">
        <f t="shared" si="20"/>
        <v>0</v>
      </c>
      <c r="BU30" s="1638"/>
      <c r="BV30" s="663">
        <f t="shared" si="8"/>
        <v>1</v>
      </c>
      <c r="BW30" s="674">
        <f t="shared" si="9"/>
        <v>0.25</v>
      </c>
      <c r="BX30" s="835">
        <f t="shared" si="10"/>
        <v>1</v>
      </c>
      <c r="BY30" s="674">
        <f t="shared" si="11"/>
        <v>0</v>
      </c>
      <c r="BZ30" s="675">
        <f t="shared" si="12"/>
        <v>0</v>
      </c>
      <c r="CA30" s="675">
        <f t="shared" si="13"/>
        <v>0</v>
      </c>
    </row>
    <row r="31" spans="1:79" ht="105" hidden="1" customHeight="1" x14ac:dyDescent="0.25">
      <c r="A31" s="298" t="s">
        <v>38</v>
      </c>
      <c r="B31" s="299" t="str">
        <f>'PLAN INDICATIVO'!B30</f>
        <v>Educación</v>
      </c>
      <c r="C31" s="1547"/>
      <c r="D31" s="1549"/>
      <c r="E31" s="1549"/>
      <c r="F31" s="1549"/>
      <c r="G31" s="1549"/>
      <c r="H31" s="1549"/>
      <c r="I31" s="300">
        <f>'PLAN INDICATIVO'!I30</f>
        <v>0</v>
      </c>
      <c r="J31" s="300">
        <f>'PLAN INDICATIVO'!J30</f>
        <v>0</v>
      </c>
      <c r="K31" s="1425" t="str">
        <f>'PLAN INDICATIVO'!K30</f>
        <v>A.1.2.7</v>
      </c>
      <c r="L31" s="1425" t="str">
        <f>'PLAN INDICATIVO'!L30</f>
        <v>4. Educación de calidad</v>
      </c>
      <c r="M31" s="1425" t="str">
        <f>'PLAN INDICATIVO'!M30</f>
        <v>Secretaría de Educación, Cultura, deporte y Turismo</v>
      </c>
      <c r="N31" s="1425" t="str">
        <f>'PLAN INDICATIVO'!N30</f>
        <v>YIMI FERNANDO LOSADA PAYA</v>
      </c>
      <c r="O31" s="1425" t="str">
        <f>'PLAN INDICATIVO'!O30</f>
        <v>Mantenimiento</v>
      </c>
      <c r="P31" s="16" t="str">
        <f>'PLAN INDICATIVO'!P30</f>
        <v>Lograr 1 alianza estratégica anual con diferentes instituciones del orden departamental, nacional o internacional que permitan fortalecer la formación educativa en el municipio durante el cuatrienio</v>
      </c>
      <c r="Q31" s="302" t="str">
        <f>'PLAN INDICATIVO'!Q30</f>
        <v>No. de alianzas estratégicas establecidas por año</v>
      </c>
      <c r="R31" s="303">
        <f>'PLAN INDICATIVO'!R30</f>
        <v>2015</v>
      </c>
      <c r="S31" s="304">
        <v>0</v>
      </c>
      <c r="T31" s="677">
        <v>1</v>
      </c>
      <c r="U31" s="303">
        <v>0</v>
      </c>
      <c r="V31" s="687">
        <v>500000</v>
      </c>
      <c r="W31" s="572">
        <v>1</v>
      </c>
      <c r="X31" s="687">
        <v>1000000</v>
      </c>
      <c r="Y31" s="572">
        <v>1</v>
      </c>
      <c r="Z31" s="687">
        <v>500000</v>
      </c>
      <c r="AA31" s="572">
        <v>1</v>
      </c>
      <c r="AB31" s="687">
        <v>500000</v>
      </c>
      <c r="AC31" s="665">
        <v>0</v>
      </c>
      <c r="AD31" s="665"/>
      <c r="AE31" s="665"/>
      <c r="AF31" s="665"/>
      <c r="AG31" s="306"/>
      <c r="AH31" s="307"/>
      <c r="AI31" s="308"/>
      <c r="AJ31" s="308"/>
      <c r="AK31" s="308"/>
      <c r="AL31" s="308"/>
      <c r="AM31" s="267" t="s">
        <v>2594</v>
      </c>
      <c r="AN31" s="507"/>
      <c r="AO31" s="525"/>
      <c r="AP31" s="310"/>
      <c r="AQ31" s="310"/>
      <c r="AR31" s="310"/>
      <c r="AS31" s="310"/>
      <c r="AT31" s="310"/>
      <c r="AU31" s="310"/>
      <c r="AV31" s="544">
        <f t="shared" si="0"/>
        <v>0</v>
      </c>
      <c r="AW31" s="525"/>
      <c r="AX31" s="310"/>
      <c r="AY31" s="310"/>
      <c r="AZ31" s="310"/>
      <c r="BA31" s="310"/>
      <c r="BB31" s="310"/>
      <c r="BC31" s="310"/>
      <c r="BD31" s="544">
        <f t="shared" si="18"/>
        <v>0</v>
      </c>
      <c r="BE31" s="525"/>
      <c r="BF31" s="310"/>
      <c r="BG31" s="310"/>
      <c r="BH31" s="310"/>
      <c r="BI31" s="310"/>
      <c r="BJ31" s="310"/>
      <c r="BK31" s="310"/>
      <c r="BL31" s="544">
        <f t="shared" si="19"/>
        <v>0</v>
      </c>
      <c r="BM31" s="525"/>
      <c r="BN31" s="310"/>
      <c r="BO31" s="310"/>
      <c r="BP31" s="310"/>
      <c r="BQ31" s="310"/>
      <c r="BR31" s="310"/>
      <c r="BS31" s="310"/>
      <c r="BT31" s="544">
        <f t="shared" si="20"/>
        <v>0</v>
      </c>
      <c r="BU31" s="1638"/>
      <c r="BV31" s="663">
        <f t="shared" si="8"/>
        <v>0</v>
      </c>
      <c r="BW31" s="674">
        <f t="shared" si="9"/>
        <v>0</v>
      </c>
      <c r="BX31" s="835" t="e">
        <f t="shared" si="10"/>
        <v>#DIV/0!</v>
      </c>
      <c r="BY31" s="674">
        <f t="shared" si="11"/>
        <v>0</v>
      </c>
      <c r="BZ31" s="675">
        <f t="shared" si="12"/>
        <v>0</v>
      </c>
      <c r="CA31" s="675">
        <f t="shared" si="13"/>
        <v>0</v>
      </c>
    </row>
    <row r="32" spans="1:79" ht="45.75" hidden="1" customHeight="1" x14ac:dyDescent="0.25">
      <c r="A32" s="298" t="s">
        <v>38</v>
      </c>
      <c r="B32" s="299" t="str">
        <f>'PLAN INDICATIVO'!B31</f>
        <v>Educación</v>
      </c>
      <c r="C32" s="1547"/>
      <c r="D32" s="1549"/>
      <c r="E32" s="1549"/>
      <c r="F32" s="1549"/>
      <c r="G32" s="1549"/>
      <c r="H32" s="1549"/>
      <c r="I32" s="300">
        <f>'PLAN INDICATIVO'!I31</f>
        <v>0</v>
      </c>
      <c r="J32" s="300">
        <f>'PLAN INDICATIVO'!J31</f>
        <v>0</v>
      </c>
      <c r="K32" s="1425" t="str">
        <f>'PLAN INDICATIVO'!K31</f>
        <v>A.1.2.8</v>
      </c>
      <c r="L32" s="1425" t="str">
        <f>'PLAN INDICATIVO'!L31</f>
        <v>4. Educación de calidad</v>
      </c>
      <c r="M32" s="1425" t="str">
        <f>'PLAN INDICATIVO'!M31</f>
        <v>Secretaría de Educación, Cultura, deporte y Turismo</v>
      </c>
      <c r="N32" s="1425" t="str">
        <f>'PLAN INDICATIVO'!N31</f>
        <v>YIMI FERNANDO LOSADA PAYA</v>
      </c>
      <c r="O32" s="1425" t="str">
        <f>'PLAN INDICATIVO'!O31</f>
        <v>Incremento</v>
      </c>
      <c r="P32" s="16" t="str">
        <f>'PLAN INDICATIVO'!P31</f>
        <v>Promover la creación de 1 dependencia Municipal de Educación durante el cuatrienio.</v>
      </c>
      <c r="Q32" s="302" t="str">
        <f>'PLAN INDICATIVO'!Q31</f>
        <v>No. de dependencias con promoción para su creación, durante el cuatrienio</v>
      </c>
      <c r="R32" s="303">
        <f>'PLAN INDICATIVO'!R31</f>
        <v>2015</v>
      </c>
      <c r="S32" s="304">
        <v>0</v>
      </c>
      <c r="T32" s="677">
        <v>1</v>
      </c>
      <c r="U32" s="303">
        <v>0</v>
      </c>
      <c r="V32" s="687"/>
      <c r="W32" s="572">
        <v>1</v>
      </c>
      <c r="X32" s="687">
        <v>1000000</v>
      </c>
      <c r="Y32" s="572">
        <v>1</v>
      </c>
      <c r="Z32" s="687">
        <v>500000</v>
      </c>
      <c r="AA32" s="572">
        <v>1</v>
      </c>
      <c r="AB32" s="687">
        <v>500000</v>
      </c>
      <c r="AC32" s="665">
        <v>0</v>
      </c>
      <c r="AD32" s="665"/>
      <c r="AE32" s="665"/>
      <c r="AF32" s="665"/>
      <c r="AG32" s="266"/>
      <c r="AH32" s="307"/>
      <c r="AI32" s="308"/>
      <c r="AJ32" s="308"/>
      <c r="AK32" s="308"/>
      <c r="AL32" s="308"/>
      <c r="AM32" s="267" t="s">
        <v>2594</v>
      </c>
      <c r="AN32" s="507"/>
      <c r="AO32" s="525"/>
      <c r="AP32" s="310"/>
      <c r="AQ32" s="310"/>
      <c r="AR32" s="310"/>
      <c r="AS32" s="310"/>
      <c r="AT32" s="310"/>
      <c r="AU32" s="310"/>
      <c r="AV32" s="544">
        <f t="shared" si="0"/>
        <v>0</v>
      </c>
      <c r="AW32" s="525"/>
      <c r="AX32" s="310"/>
      <c r="AY32" s="310"/>
      <c r="AZ32" s="310"/>
      <c r="BA32" s="310"/>
      <c r="BB32" s="310"/>
      <c r="BC32" s="310"/>
      <c r="BD32" s="544">
        <f t="shared" si="18"/>
        <v>0</v>
      </c>
      <c r="BE32" s="525"/>
      <c r="BF32" s="310"/>
      <c r="BG32" s="310"/>
      <c r="BH32" s="310"/>
      <c r="BI32" s="310"/>
      <c r="BJ32" s="310"/>
      <c r="BK32" s="310"/>
      <c r="BL32" s="544">
        <f t="shared" si="19"/>
        <v>0</v>
      </c>
      <c r="BM32" s="525"/>
      <c r="BN32" s="310"/>
      <c r="BO32" s="310"/>
      <c r="BP32" s="310"/>
      <c r="BQ32" s="310"/>
      <c r="BR32" s="310"/>
      <c r="BS32" s="310"/>
      <c r="BT32" s="544">
        <f t="shared" si="20"/>
        <v>0</v>
      </c>
      <c r="BU32" s="1638"/>
      <c r="BV32" s="663">
        <f t="shared" si="8"/>
        <v>0</v>
      </c>
      <c r="BW32" s="674">
        <f t="shared" si="9"/>
        <v>0</v>
      </c>
      <c r="BX32" s="835" t="e">
        <f t="shared" si="10"/>
        <v>#DIV/0!</v>
      </c>
      <c r="BY32" s="674">
        <f t="shared" si="11"/>
        <v>0</v>
      </c>
      <c r="BZ32" s="675">
        <f t="shared" si="12"/>
        <v>0</v>
      </c>
      <c r="CA32" s="675">
        <f t="shared" si="13"/>
        <v>0</v>
      </c>
    </row>
    <row r="33" spans="1:100" ht="65.25" hidden="1" customHeight="1" x14ac:dyDescent="0.25">
      <c r="A33" s="298" t="s">
        <v>38</v>
      </c>
      <c r="B33" s="299" t="str">
        <f>'PLAN INDICATIVO'!B32</f>
        <v>Educación</v>
      </c>
      <c r="C33" s="1547"/>
      <c r="D33" s="1549"/>
      <c r="E33" s="1549"/>
      <c r="F33" s="1549"/>
      <c r="G33" s="1549"/>
      <c r="H33" s="1549"/>
      <c r="I33" s="300">
        <f>'PLAN INDICATIVO'!I32</f>
        <v>0</v>
      </c>
      <c r="J33" s="300">
        <f>'PLAN INDICATIVO'!J32</f>
        <v>0</v>
      </c>
      <c r="K33" s="1425" t="str">
        <f>'PLAN INDICATIVO'!K32</f>
        <v>A.1.2.9</v>
      </c>
      <c r="L33" s="1425" t="str">
        <f>'PLAN INDICATIVO'!L32</f>
        <v>4. Educación de calidad</v>
      </c>
      <c r="M33" s="1425" t="str">
        <f>'PLAN INDICATIVO'!M32</f>
        <v>Secretaría de Educación, Cultura, deporte y Turismo</v>
      </c>
      <c r="N33" s="1425" t="str">
        <f>'PLAN INDICATIVO'!N32</f>
        <v>YIMI FERNANDO LOSADA PAYA</v>
      </c>
      <c r="O33" s="1425" t="str">
        <f>'PLAN INDICATIVO'!O32</f>
        <v>Mantenimiento</v>
      </c>
      <c r="P33" s="16" t="str">
        <f>'PLAN INDICATIVO'!P32</f>
        <v>Mantener 6 instituciones educativas articuladas con  la media técnica con el SENA cada año</v>
      </c>
      <c r="Q33" s="302" t="str">
        <f>'PLAN INDICATIVO'!Q32</f>
        <v>No. de instituciones articuladas con media técnica con el SENA cada año</v>
      </c>
      <c r="R33" s="303">
        <f>'PLAN INDICATIVO'!R32</f>
        <v>2015</v>
      </c>
      <c r="S33" s="304">
        <v>0</v>
      </c>
      <c r="T33" s="677">
        <v>6</v>
      </c>
      <c r="U33" s="303">
        <v>6</v>
      </c>
      <c r="V33" s="687">
        <v>500000</v>
      </c>
      <c r="W33" s="572">
        <v>6</v>
      </c>
      <c r="X33" s="687">
        <v>12000000</v>
      </c>
      <c r="Y33" s="572">
        <v>6</v>
      </c>
      <c r="Z33" s="687">
        <v>5000000</v>
      </c>
      <c r="AA33" s="572">
        <v>6</v>
      </c>
      <c r="AB33" s="687">
        <v>10000000</v>
      </c>
      <c r="AC33" s="665">
        <v>3</v>
      </c>
      <c r="AD33" s="665"/>
      <c r="AE33" s="665"/>
      <c r="AF33" s="665"/>
      <c r="AG33" s="306"/>
      <c r="AH33" s="307" t="s">
        <v>2616</v>
      </c>
      <c r="AI33" s="309">
        <v>42430</v>
      </c>
      <c r="AJ33" s="309">
        <v>42735</v>
      </c>
      <c r="AK33" s="308"/>
      <c r="AL33" s="308"/>
      <c r="AM33" s="267" t="s">
        <v>2604</v>
      </c>
      <c r="AN33" s="507"/>
      <c r="AO33" s="525"/>
      <c r="AP33" s="310"/>
      <c r="AQ33" s="310"/>
      <c r="AR33" s="310"/>
      <c r="AS33" s="310"/>
      <c r="AT33" s="310"/>
      <c r="AU33" s="310"/>
      <c r="AV33" s="544">
        <f t="shared" si="0"/>
        <v>0</v>
      </c>
      <c r="AW33" s="525"/>
      <c r="AX33" s="310"/>
      <c r="AY33" s="310"/>
      <c r="AZ33" s="310"/>
      <c r="BA33" s="310"/>
      <c r="BB33" s="310"/>
      <c r="BC33" s="310"/>
      <c r="BD33" s="544">
        <f t="shared" si="18"/>
        <v>0</v>
      </c>
      <c r="BE33" s="525"/>
      <c r="BF33" s="310"/>
      <c r="BG33" s="310"/>
      <c r="BH33" s="310"/>
      <c r="BI33" s="310"/>
      <c r="BJ33" s="310"/>
      <c r="BK33" s="310"/>
      <c r="BL33" s="544">
        <f t="shared" si="19"/>
        <v>0</v>
      </c>
      <c r="BM33" s="525"/>
      <c r="BN33" s="310"/>
      <c r="BO33" s="310"/>
      <c r="BP33" s="310"/>
      <c r="BQ33" s="310"/>
      <c r="BR33" s="310"/>
      <c r="BS33" s="310"/>
      <c r="BT33" s="544">
        <f t="shared" si="20"/>
        <v>0</v>
      </c>
      <c r="BU33" s="1638"/>
      <c r="BV33" s="663">
        <f t="shared" si="8"/>
        <v>3</v>
      </c>
      <c r="BW33" s="674">
        <f t="shared" si="9"/>
        <v>0.5</v>
      </c>
      <c r="BX33" s="835">
        <f t="shared" si="10"/>
        <v>0.5</v>
      </c>
      <c r="BY33" s="674">
        <f t="shared" si="11"/>
        <v>0</v>
      </c>
      <c r="BZ33" s="675">
        <f t="shared" si="12"/>
        <v>0</v>
      </c>
      <c r="CA33" s="675">
        <f t="shared" si="13"/>
        <v>0</v>
      </c>
    </row>
    <row r="34" spans="1:100" s="3" customFormat="1" ht="89.25" hidden="1" customHeight="1" x14ac:dyDescent="0.25">
      <c r="A34" s="298" t="s">
        <v>38</v>
      </c>
      <c r="B34" s="299" t="str">
        <f>'PLAN INDICATIVO'!B33</f>
        <v>Educación</v>
      </c>
      <c r="C34" s="1547"/>
      <c r="D34" s="1549"/>
      <c r="E34" s="1549"/>
      <c r="F34" s="1549"/>
      <c r="G34" s="1549"/>
      <c r="H34" s="1549"/>
      <c r="I34" s="300">
        <f>'PLAN INDICATIVO'!I33</f>
        <v>0</v>
      </c>
      <c r="J34" s="300">
        <f>'PLAN INDICATIVO'!J33</f>
        <v>0</v>
      </c>
      <c r="K34" s="1425" t="str">
        <f>'PLAN INDICATIVO'!K33</f>
        <v>A.1.2.10</v>
      </c>
      <c r="L34" s="1425" t="str">
        <f>'PLAN INDICATIVO'!L33</f>
        <v>4. Educación de calidad</v>
      </c>
      <c r="M34" s="1425" t="str">
        <f>'PLAN INDICATIVO'!M33</f>
        <v>Secretaría de Educación, Cultura, deporte y Turismo</v>
      </c>
      <c r="N34" s="1425" t="str">
        <f>'PLAN INDICATIVO'!N33</f>
        <v>YIMI FERNANDO LOSADA PAYA</v>
      </c>
      <c r="O34" s="1425" t="str">
        <f>'PLAN INDICATIVO'!O33</f>
        <v>Incremento</v>
      </c>
      <c r="P34" s="16" t="str">
        <f>'PLAN INDICATIVO'!P33</f>
        <v>Promever la articulación de 3 nuevas instituciones educativas con el SENA, para la educación media técnica, dirigida a la población estudiantil del sector rural, durante el cuatrienio</v>
      </c>
      <c r="Q34" s="302" t="str">
        <f>'PLAN INDICATIVO'!Q33</f>
        <v>No. de instituciones articuladas con el SENA cada año</v>
      </c>
      <c r="R34" s="303">
        <f>'PLAN INDICATIVO'!R33</f>
        <v>2015</v>
      </c>
      <c r="S34" s="304">
        <v>0</v>
      </c>
      <c r="T34" s="677">
        <v>3</v>
      </c>
      <c r="U34" s="303">
        <v>0</v>
      </c>
      <c r="V34" s="687"/>
      <c r="W34" s="572">
        <v>1</v>
      </c>
      <c r="X34" s="687">
        <v>3000000</v>
      </c>
      <c r="Y34" s="572">
        <v>1</v>
      </c>
      <c r="Z34" s="687">
        <v>500000</v>
      </c>
      <c r="AA34" s="572">
        <v>1</v>
      </c>
      <c r="AB34" s="687">
        <v>500000</v>
      </c>
      <c r="AC34" s="665">
        <v>0</v>
      </c>
      <c r="AD34" s="665"/>
      <c r="AE34" s="665"/>
      <c r="AF34" s="665"/>
      <c r="AG34" s="266"/>
      <c r="AH34" s="307">
        <v>3</v>
      </c>
      <c r="AI34" s="310"/>
      <c r="AJ34" s="310"/>
      <c r="AK34" s="310"/>
      <c r="AL34" s="310"/>
      <c r="AM34" s="267" t="s">
        <v>2594</v>
      </c>
      <c r="AN34" s="509"/>
      <c r="AO34" s="525"/>
      <c r="AP34" s="310"/>
      <c r="AQ34" s="310"/>
      <c r="AR34" s="310"/>
      <c r="AS34" s="310"/>
      <c r="AT34" s="310"/>
      <c r="AU34" s="310"/>
      <c r="AV34" s="544">
        <f t="shared" si="0"/>
        <v>0</v>
      </c>
      <c r="AW34" s="525"/>
      <c r="AX34" s="310"/>
      <c r="AY34" s="310"/>
      <c r="AZ34" s="310"/>
      <c r="BA34" s="310"/>
      <c r="BB34" s="310"/>
      <c r="BC34" s="310"/>
      <c r="BD34" s="544">
        <f t="shared" si="18"/>
        <v>0</v>
      </c>
      <c r="BE34" s="525"/>
      <c r="BF34" s="310"/>
      <c r="BG34" s="310"/>
      <c r="BH34" s="310"/>
      <c r="BI34" s="310"/>
      <c r="BJ34" s="310"/>
      <c r="BK34" s="310"/>
      <c r="BL34" s="544">
        <f t="shared" si="19"/>
        <v>0</v>
      </c>
      <c r="BM34" s="525"/>
      <c r="BN34" s="310"/>
      <c r="BO34" s="310"/>
      <c r="BP34" s="310"/>
      <c r="BQ34" s="310"/>
      <c r="BR34" s="310"/>
      <c r="BS34" s="310"/>
      <c r="BT34" s="544">
        <f t="shared" si="20"/>
        <v>0</v>
      </c>
      <c r="BU34" s="1638"/>
      <c r="BV34" s="663">
        <f t="shared" si="8"/>
        <v>0</v>
      </c>
      <c r="BW34" s="674">
        <f t="shared" si="9"/>
        <v>0</v>
      </c>
      <c r="BX34" s="835" t="e">
        <f t="shared" si="10"/>
        <v>#DIV/0!</v>
      </c>
      <c r="BY34" s="674">
        <f t="shared" si="11"/>
        <v>0</v>
      </c>
      <c r="BZ34" s="675">
        <f t="shared" si="12"/>
        <v>0</v>
      </c>
      <c r="CA34" s="675">
        <f t="shared" si="13"/>
        <v>0</v>
      </c>
      <c r="CB34" s="75"/>
      <c r="CC34" s="75"/>
      <c r="CD34" s="75"/>
      <c r="CE34" s="75"/>
      <c r="CF34" s="75"/>
      <c r="CG34" s="75"/>
      <c r="CH34" s="75"/>
      <c r="CI34" s="75"/>
      <c r="CJ34" s="75"/>
      <c r="CK34" s="75"/>
      <c r="CL34" s="75"/>
      <c r="CM34" s="75"/>
      <c r="CN34" s="75"/>
      <c r="CO34" s="521"/>
      <c r="CP34" s="42"/>
      <c r="CQ34" s="42"/>
      <c r="CR34" s="42"/>
      <c r="CS34" s="42"/>
      <c r="CT34" s="42"/>
      <c r="CU34" s="42"/>
      <c r="CV34" s="40"/>
    </row>
    <row r="35" spans="1:100" ht="85.5" hidden="1" customHeight="1" x14ac:dyDescent="0.25">
      <c r="A35" s="298" t="s">
        <v>38</v>
      </c>
      <c r="B35" s="299" t="str">
        <f>'PLAN INDICATIVO'!B34</f>
        <v>Educación</v>
      </c>
      <c r="C35" s="1547"/>
      <c r="D35" s="1549"/>
      <c r="E35" s="1549"/>
      <c r="F35" s="1549"/>
      <c r="G35" s="1549"/>
      <c r="H35" s="1549"/>
      <c r="I35" s="300">
        <f>'PLAN INDICATIVO'!I34</f>
        <v>0</v>
      </c>
      <c r="J35" s="300">
        <f>'PLAN INDICATIVO'!J34</f>
        <v>0</v>
      </c>
      <c r="K35" s="1425" t="str">
        <f>'PLAN INDICATIVO'!K34</f>
        <v>A.1.2.11</v>
      </c>
      <c r="L35" s="1425" t="str">
        <f>'PLAN INDICATIVO'!L34</f>
        <v>4. Educación de calidad</v>
      </c>
      <c r="M35" s="1425" t="str">
        <f>'PLAN INDICATIVO'!M34</f>
        <v>Secretaría de Educación, Cultura, deporte y Turismo</v>
      </c>
      <c r="N35" s="1425" t="str">
        <f>'PLAN INDICATIVO'!N34</f>
        <v>YIMI FERNANDO LOSADA PAYA</v>
      </c>
      <c r="O35" s="1425" t="str">
        <f>'PLAN INDICATIVO'!O34</f>
        <v>Incremento</v>
      </c>
      <c r="P35" s="16" t="str">
        <f>'PLAN INDICATIVO'!P34</f>
        <v>Implementar 2 estrategias con la Secretaria de Educación del Departamento, para atender estudiantes con dificultades de aprendizaje durante el cuatrienio</v>
      </c>
      <c r="Q35" s="302" t="str">
        <f>'PLAN INDICATIVO'!Q34</f>
        <v>No. De Estrategia implementadas durante el cuatrienio</v>
      </c>
      <c r="R35" s="303">
        <f>'PLAN INDICATIVO'!R34</f>
        <v>2015</v>
      </c>
      <c r="S35" s="304">
        <v>0</v>
      </c>
      <c r="T35" s="677">
        <v>2</v>
      </c>
      <c r="U35" s="303">
        <v>0</v>
      </c>
      <c r="V35" s="687"/>
      <c r="W35" s="572">
        <v>1</v>
      </c>
      <c r="X35" s="687">
        <v>5000000</v>
      </c>
      <c r="Y35" s="572">
        <v>1</v>
      </c>
      <c r="Z35" s="687">
        <v>500000</v>
      </c>
      <c r="AA35" s="572">
        <v>2</v>
      </c>
      <c r="AB35" s="687">
        <v>500000</v>
      </c>
      <c r="AC35" s="665">
        <v>0</v>
      </c>
      <c r="AD35" s="665"/>
      <c r="AE35" s="665"/>
      <c r="AF35" s="665"/>
      <c r="AG35" s="266"/>
      <c r="AH35" s="307"/>
      <c r="AI35" s="308"/>
      <c r="AJ35" s="308"/>
      <c r="AK35" s="308"/>
      <c r="AL35" s="308"/>
      <c r="AM35" s="267" t="s">
        <v>2594</v>
      </c>
      <c r="AN35" s="507"/>
      <c r="AO35" s="525"/>
      <c r="AP35" s="310"/>
      <c r="AQ35" s="310"/>
      <c r="AR35" s="310"/>
      <c r="AS35" s="310"/>
      <c r="AT35" s="310"/>
      <c r="AU35" s="310"/>
      <c r="AV35" s="544">
        <f t="shared" si="0"/>
        <v>0</v>
      </c>
      <c r="AW35" s="525"/>
      <c r="AX35" s="310"/>
      <c r="AY35" s="310"/>
      <c r="AZ35" s="310"/>
      <c r="BA35" s="310"/>
      <c r="BB35" s="310"/>
      <c r="BC35" s="310"/>
      <c r="BD35" s="544">
        <f t="shared" si="18"/>
        <v>0</v>
      </c>
      <c r="BE35" s="525"/>
      <c r="BF35" s="310"/>
      <c r="BG35" s="310"/>
      <c r="BH35" s="310"/>
      <c r="BI35" s="310"/>
      <c r="BJ35" s="310"/>
      <c r="BK35" s="310"/>
      <c r="BL35" s="544">
        <f t="shared" si="19"/>
        <v>0</v>
      </c>
      <c r="BM35" s="525"/>
      <c r="BN35" s="310"/>
      <c r="BO35" s="310"/>
      <c r="BP35" s="310"/>
      <c r="BQ35" s="310"/>
      <c r="BR35" s="310"/>
      <c r="BS35" s="310"/>
      <c r="BT35" s="544">
        <f t="shared" si="20"/>
        <v>0</v>
      </c>
      <c r="BU35" s="1638"/>
      <c r="BV35" s="663">
        <f t="shared" si="8"/>
        <v>0</v>
      </c>
      <c r="BW35" s="674">
        <f t="shared" si="9"/>
        <v>0</v>
      </c>
      <c r="BX35" s="835" t="e">
        <f t="shared" si="10"/>
        <v>#DIV/0!</v>
      </c>
      <c r="BY35" s="674">
        <f t="shared" si="11"/>
        <v>0</v>
      </c>
      <c r="BZ35" s="675">
        <f t="shared" si="12"/>
        <v>0</v>
      </c>
      <c r="CA35" s="675">
        <f t="shared" si="13"/>
        <v>0</v>
      </c>
    </row>
    <row r="36" spans="1:100" ht="63.75" hidden="1" customHeight="1" x14ac:dyDescent="0.25">
      <c r="A36" s="298" t="s">
        <v>38</v>
      </c>
      <c r="B36" s="299" t="str">
        <f>'PLAN INDICATIVO'!B35</f>
        <v>Educación</v>
      </c>
      <c r="C36" s="1547"/>
      <c r="D36" s="1549"/>
      <c r="E36" s="1549"/>
      <c r="F36" s="1549"/>
      <c r="G36" s="1549"/>
      <c r="H36" s="1549"/>
      <c r="I36" s="300">
        <f>'PLAN INDICATIVO'!I35</f>
        <v>0</v>
      </c>
      <c r="J36" s="300">
        <f>'PLAN INDICATIVO'!J35</f>
        <v>0</v>
      </c>
      <c r="K36" s="1425" t="str">
        <f>'PLAN INDICATIVO'!K35</f>
        <v>A.1.2.12</v>
      </c>
      <c r="L36" s="1425" t="str">
        <f>'PLAN INDICATIVO'!L35</f>
        <v>4. Educación de calidad</v>
      </c>
      <c r="M36" s="1425" t="str">
        <f>'PLAN INDICATIVO'!M35</f>
        <v>Secretaría de Educación, Cultura, deporte y Turismo</v>
      </c>
      <c r="N36" s="1425" t="str">
        <f>'PLAN INDICATIVO'!N35</f>
        <v>YIMI FERNANDO LOSADA PAYA</v>
      </c>
      <c r="O36" s="1425" t="str">
        <f>'PLAN INDICATIVO'!O35</f>
        <v>Mantenimiento</v>
      </c>
      <c r="P36" s="16" t="str">
        <f>'PLAN INDICATIVO'!P35</f>
        <v>Hacer 1 enlace anual con el sector salud y las I.E para garantizar la disminución de los indicadores de embarazos en adolecentes</v>
      </c>
      <c r="Q36" s="302" t="str">
        <f>'PLAN INDICATIVO'!Q35</f>
        <v>No. de enlaces en funcionamiento cada año</v>
      </c>
      <c r="R36" s="303">
        <f>'PLAN INDICATIVO'!R35</f>
        <v>2015</v>
      </c>
      <c r="S36" s="304">
        <v>0</v>
      </c>
      <c r="T36" s="677">
        <v>1</v>
      </c>
      <c r="U36" s="303">
        <v>1</v>
      </c>
      <c r="V36" s="687">
        <v>500000</v>
      </c>
      <c r="W36" s="572">
        <v>1</v>
      </c>
      <c r="X36" s="687">
        <v>3000000</v>
      </c>
      <c r="Y36" s="572">
        <v>1</v>
      </c>
      <c r="Z36" s="687">
        <v>500000</v>
      </c>
      <c r="AA36" s="572">
        <v>1</v>
      </c>
      <c r="AB36" s="687">
        <v>500000</v>
      </c>
      <c r="AC36" s="665">
        <v>1</v>
      </c>
      <c r="AD36" s="665"/>
      <c r="AE36" s="665"/>
      <c r="AF36" s="665"/>
      <c r="AG36" s="306"/>
      <c r="AH36" s="307" t="s">
        <v>2617</v>
      </c>
      <c r="AI36" s="309">
        <v>42583</v>
      </c>
      <c r="AJ36" s="309">
        <v>42612</v>
      </c>
      <c r="AK36" s="308"/>
      <c r="AL36" s="308"/>
      <c r="AM36" s="267" t="s">
        <v>2598</v>
      </c>
      <c r="AN36" s="507"/>
      <c r="AO36" s="525"/>
      <c r="AP36" s="310"/>
      <c r="AQ36" s="310"/>
      <c r="AR36" s="310"/>
      <c r="AS36" s="310"/>
      <c r="AT36" s="310"/>
      <c r="AU36" s="310"/>
      <c r="AV36" s="544">
        <f t="shared" si="0"/>
        <v>0</v>
      </c>
      <c r="AW36" s="525"/>
      <c r="AX36" s="310"/>
      <c r="AY36" s="310"/>
      <c r="AZ36" s="310"/>
      <c r="BA36" s="310"/>
      <c r="BB36" s="310"/>
      <c r="BC36" s="310"/>
      <c r="BD36" s="544">
        <f t="shared" si="18"/>
        <v>0</v>
      </c>
      <c r="BE36" s="525"/>
      <c r="BF36" s="310"/>
      <c r="BG36" s="310"/>
      <c r="BH36" s="310"/>
      <c r="BI36" s="310"/>
      <c r="BJ36" s="310"/>
      <c r="BK36" s="310"/>
      <c r="BL36" s="544">
        <f t="shared" si="19"/>
        <v>0</v>
      </c>
      <c r="BM36" s="525"/>
      <c r="BN36" s="310"/>
      <c r="BO36" s="310"/>
      <c r="BP36" s="310"/>
      <c r="BQ36" s="310"/>
      <c r="BR36" s="310"/>
      <c r="BS36" s="310"/>
      <c r="BT36" s="544">
        <f t="shared" si="20"/>
        <v>0</v>
      </c>
      <c r="BU36" s="1638"/>
      <c r="BV36" s="663">
        <f t="shared" si="8"/>
        <v>1</v>
      </c>
      <c r="BW36" s="674">
        <f t="shared" si="9"/>
        <v>1</v>
      </c>
      <c r="BX36" s="835">
        <f t="shared" si="10"/>
        <v>1</v>
      </c>
      <c r="BY36" s="674">
        <f t="shared" si="11"/>
        <v>0</v>
      </c>
      <c r="BZ36" s="675">
        <f t="shared" si="12"/>
        <v>0</v>
      </c>
      <c r="CA36" s="675">
        <f t="shared" si="13"/>
        <v>0</v>
      </c>
    </row>
    <row r="37" spans="1:100" ht="62.25" hidden="1" customHeight="1" x14ac:dyDescent="0.25">
      <c r="A37" s="298" t="s">
        <v>38</v>
      </c>
      <c r="B37" s="299" t="str">
        <f>'PLAN INDICATIVO'!B36</f>
        <v>Educación</v>
      </c>
      <c r="C37" s="1547"/>
      <c r="D37" s="1549"/>
      <c r="E37" s="1549"/>
      <c r="F37" s="1549"/>
      <c r="G37" s="1549"/>
      <c r="H37" s="1549"/>
      <c r="I37" s="300">
        <f>'PLAN INDICATIVO'!I36</f>
        <v>0</v>
      </c>
      <c r="J37" s="300">
        <f>'PLAN INDICATIVO'!J36</f>
        <v>0</v>
      </c>
      <c r="K37" s="1425" t="str">
        <f>'PLAN INDICATIVO'!K36</f>
        <v>A.1.2.13</v>
      </c>
      <c r="L37" s="1425" t="str">
        <f>'PLAN INDICATIVO'!L36</f>
        <v>4. Educación de calidad</v>
      </c>
      <c r="M37" s="1425" t="str">
        <f>'PLAN INDICATIVO'!M36</f>
        <v>Secretaría de Educación, Cultura, deporte y Turismo</v>
      </c>
      <c r="N37" s="1425" t="str">
        <f>'PLAN INDICATIVO'!N36</f>
        <v>YIMI FERNANDO LOSADA PAYA</v>
      </c>
      <c r="O37" s="1425" t="str">
        <f>'PLAN INDICATIVO'!O36</f>
        <v>Mantenimiento</v>
      </c>
      <c r="P37" s="16" t="str">
        <f>'PLAN INDICATIVO'!P36</f>
        <v>Articular con la secretaria de gobierno, ICBF y comisaria de familia, 1 jornada al año para la erradicación del trabajo infantil y la incorporación al sistema educativo de NNA.</v>
      </c>
      <c r="Q37" s="302" t="str">
        <f>'PLAN INDICATIVO'!Q36</f>
        <v>No. De Jornadas realizada al año</v>
      </c>
      <c r="R37" s="303">
        <f>'PLAN INDICATIVO'!R36</f>
        <v>2015</v>
      </c>
      <c r="S37" s="304">
        <v>0</v>
      </c>
      <c r="T37" s="677">
        <v>1</v>
      </c>
      <c r="U37" s="303">
        <v>1</v>
      </c>
      <c r="V37" s="687">
        <v>500000</v>
      </c>
      <c r="W37" s="572">
        <v>1</v>
      </c>
      <c r="X37" s="687">
        <v>3000000</v>
      </c>
      <c r="Y37" s="572">
        <v>1</v>
      </c>
      <c r="Z37" s="687">
        <v>500000</v>
      </c>
      <c r="AA37" s="572">
        <v>1</v>
      </c>
      <c r="AB37" s="687">
        <v>500000</v>
      </c>
      <c r="AC37" s="665">
        <v>1</v>
      </c>
      <c r="AD37" s="665"/>
      <c r="AE37" s="665"/>
      <c r="AF37" s="665"/>
      <c r="AG37" s="306"/>
      <c r="AH37" s="307" t="s">
        <v>2618</v>
      </c>
      <c r="AI37" s="309">
        <v>42583</v>
      </c>
      <c r="AJ37" s="309">
        <v>42612</v>
      </c>
      <c r="AK37" s="308"/>
      <c r="AL37" s="308"/>
      <c r="AM37" s="267" t="s">
        <v>2598</v>
      </c>
      <c r="AN37" s="507"/>
      <c r="AO37" s="525"/>
      <c r="AP37" s="310"/>
      <c r="AQ37" s="310"/>
      <c r="AR37" s="310"/>
      <c r="AS37" s="310"/>
      <c r="AT37" s="310"/>
      <c r="AU37" s="310"/>
      <c r="AV37" s="544">
        <f t="shared" si="0"/>
        <v>0</v>
      </c>
      <c r="AW37" s="525"/>
      <c r="AX37" s="310"/>
      <c r="AY37" s="310"/>
      <c r="AZ37" s="310"/>
      <c r="BA37" s="310"/>
      <c r="BB37" s="310"/>
      <c r="BC37" s="310"/>
      <c r="BD37" s="544">
        <f t="shared" si="18"/>
        <v>0</v>
      </c>
      <c r="BE37" s="525"/>
      <c r="BF37" s="310"/>
      <c r="BG37" s="310"/>
      <c r="BH37" s="310"/>
      <c r="BI37" s="310"/>
      <c r="BJ37" s="310"/>
      <c r="BK37" s="310"/>
      <c r="BL37" s="544">
        <f t="shared" si="19"/>
        <v>0</v>
      </c>
      <c r="BM37" s="525"/>
      <c r="BN37" s="310"/>
      <c r="BO37" s="310"/>
      <c r="BP37" s="310"/>
      <c r="BQ37" s="310"/>
      <c r="BR37" s="310"/>
      <c r="BS37" s="310"/>
      <c r="BT37" s="544">
        <f t="shared" si="20"/>
        <v>0</v>
      </c>
      <c r="BU37" s="1638"/>
      <c r="BV37" s="663">
        <f t="shared" si="8"/>
        <v>1</v>
      </c>
      <c r="BW37" s="674">
        <f t="shared" si="9"/>
        <v>1</v>
      </c>
      <c r="BX37" s="835">
        <f t="shared" si="10"/>
        <v>1</v>
      </c>
      <c r="BY37" s="674">
        <f t="shared" si="11"/>
        <v>0</v>
      </c>
      <c r="BZ37" s="675">
        <f t="shared" si="12"/>
        <v>0</v>
      </c>
      <c r="CA37" s="675">
        <f t="shared" si="13"/>
        <v>0</v>
      </c>
    </row>
    <row r="38" spans="1:100" ht="39.75" hidden="1" customHeight="1" x14ac:dyDescent="0.25">
      <c r="A38" s="298" t="s">
        <v>38</v>
      </c>
      <c r="B38" s="299" t="str">
        <f>'PLAN INDICATIVO'!B37</f>
        <v>Educación</v>
      </c>
      <c r="C38" s="1547"/>
      <c r="D38" s="1549"/>
      <c r="E38" s="1549"/>
      <c r="F38" s="1549"/>
      <c r="G38" s="1549"/>
      <c r="H38" s="1549"/>
      <c r="I38" s="300">
        <f>'PLAN INDICATIVO'!I37</f>
        <v>0</v>
      </c>
      <c r="J38" s="300">
        <f>'PLAN INDICATIVO'!J37</f>
        <v>0</v>
      </c>
      <c r="K38" s="1425" t="str">
        <f>'PLAN INDICATIVO'!K37</f>
        <v>A.1.2.14</v>
      </c>
      <c r="L38" s="1425" t="str">
        <f>'PLAN INDICATIVO'!L37</f>
        <v>4. Educación de calidad</v>
      </c>
      <c r="M38" s="1425" t="str">
        <f>'PLAN INDICATIVO'!M37</f>
        <v>Secretaría de Educación, Cultura, deporte y Turismo</v>
      </c>
      <c r="N38" s="1425" t="str">
        <f>'PLAN INDICATIVO'!N37</f>
        <v>YIMI FERNANDO LOSADA PAYA</v>
      </c>
      <c r="O38" s="1425" t="str">
        <f>'PLAN INDICATIVO'!O37</f>
        <v>Incremento</v>
      </c>
      <c r="P38" s="16" t="str">
        <f>'PLAN INDICATIVO'!P37</f>
        <v>Buscar la creación de una nueva facultad de la Universidad Surcolombiana en el municipio de La Plata, durante el cuatrienio</v>
      </c>
      <c r="Q38" s="302" t="str">
        <f>'PLAN INDICATIVO'!Q37</f>
        <v>No. De apoyos otorgados</v>
      </c>
      <c r="R38" s="303">
        <f>'PLAN INDICATIVO'!R37</f>
        <v>2015</v>
      </c>
      <c r="S38" s="304">
        <v>0</v>
      </c>
      <c r="T38" s="677">
        <v>1</v>
      </c>
      <c r="U38" s="303">
        <v>0</v>
      </c>
      <c r="V38" s="687"/>
      <c r="W38" s="572">
        <v>0.33</v>
      </c>
      <c r="X38" s="687">
        <v>5000000</v>
      </c>
      <c r="Y38" s="572">
        <v>0.34</v>
      </c>
      <c r="Z38" s="687">
        <v>500000</v>
      </c>
      <c r="AA38" s="572">
        <v>0.33</v>
      </c>
      <c r="AB38" s="687">
        <v>500000</v>
      </c>
      <c r="AC38" s="665">
        <v>0</v>
      </c>
      <c r="AD38" s="665"/>
      <c r="AE38" s="665"/>
      <c r="AF38" s="665"/>
      <c r="AG38" s="266"/>
      <c r="AH38" s="307"/>
      <c r="AI38" s="308"/>
      <c r="AJ38" s="308"/>
      <c r="AK38" s="308"/>
      <c r="AL38" s="308"/>
      <c r="AM38" s="267" t="s">
        <v>2594</v>
      </c>
      <c r="AN38" s="507"/>
      <c r="AO38" s="525"/>
      <c r="AP38" s="310"/>
      <c r="AQ38" s="310"/>
      <c r="AR38" s="310"/>
      <c r="AS38" s="310"/>
      <c r="AT38" s="310"/>
      <c r="AU38" s="310"/>
      <c r="AV38" s="544">
        <f t="shared" si="0"/>
        <v>0</v>
      </c>
      <c r="AW38" s="525"/>
      <c r="AX38" s="310"/>
      <c r="AY38" s="310"/>
      <c r="AZ38" s="310"/>
      <c r="BA38" s="310"/>
      <c r="BB38" s="310"/>
      <c r="BC38" s="310"/>
      <c r="BD38" s="544">
        <f t="shared" si="18"/>
        <v>0</v>
      </c>
      <c r="BE38" s="525"/>
      <c r="BF38" s="310"/>
      <c r="BG38" s="310"/>
      <c r="BH38" s="310"/>
      <c r="BI38" s="310"/>
      <c r="BJ38" s="310"/>
      <c r="BK38" s="310"/>
      <c r="BL38" s="544">
        <f t="shared" si="19"/>
        <v>0</v>
      </c>
      <c r="BM38" s="525"/>
      <c r="BN38" s="310"/>
      <c r="BO38" s="310"/>
      <c r="BP38" s="310"/>
      <c r="BQ38" s="310"/>
      <c r="BR38" s="310"/>
      <c r="BS38" s="310"/>
      <c r="BT38" s="544">
        <f t="shared" si="20"/>
        <v>0</v>
      </c>
      <c r="BU38" s="1638"/>
      <c r="BV38" s="663">
        <f t="shared" si="8"/>
        <v>0</v>
      </c>
      <c r="BW38" s="674">
        <f t="shared" si="9"/>
        <v>0</v>
      </c>
      <c r="BX38" s="835" t="e">
        <f t="shared" si="10"/>
        <v>#DIV/0!</v>
      </c>
      <c r="BY38" s="674">
        <f t="shared" si="11"/>
        <v>0</v>
      </c>
      <c r="BZ38" s="675">
        <f t="shared" si="12"/>
        <v>0</v>
      </c>
      <c r="CA38" s="675">
        <f t="shared" si="13"/>
        <v>0</v>
      </c>
    </row>
    <row r="39" spans="1:100" ht="83.25" hidden="1" customHeight="1" x14ac:dyDescent="0.25">
      <c r="A39" s="298" t="s">
        <v>38</v>
      </c>
      <c r="B39" s="299" t="str">
        <f>'PLAN INDICATIVO'!B38</f>
        <v>Educación</v>
      </c>
      <c r="C39" s="1547"/>
      <c r="D39" s="1549"/>
      <c r="E39" s="1549"/>
      <c r="F39" s="1549"/>
      <c r="G39" s="1549"/>
      <c r="H39" s="1549"/>
      <c r="I39" s="300">
        <f>'PLAN INDICATIVO'!I38</f>
        <v>0</v>
      </c>
      <c r="J39" s="300">
        <f>'PLAN INDICATIVO'!J38</f>
        <v>0</v>
      </c>
      <c r="K39" s="1425" t="str">
        <f>'PLAN INDICATIVO'!K38</f>
        <v>A.1.2.15</v>
      </c>
      <c r="L39" s="1425" t="str">
        <f>'PLAN INDICATIVO'!L38</f>
        <v>4. Educación de calidad</v>
      </c>
      <c r="M39" s="1425" t="str">
        <f>'PLAN INDICATIVO'!M38</f>
        <v>Secretaría de Educación, Cultura, deporte y Turismo</v>
      </c>
      <c r="N39" s="1425" t="str">
        <f>'PLAN INDICATIVO'!N38</f>
        <v>YIMI FERNANDO LOSADA PAYA</v>
      </c>
      <c r="O39" s="1425" t="str">
        <f>'PLAN INDICATIVO'!O38</f>
        <v>Incremento</v>
      </c>
      <c r="P39" s="16" t="str">
        <f>'PLAN INDICATIVO'!P38</f>
        <v>Apoyar la implementación de una nueva oferta en educación superior, en el marco del Plan Maestro de Regionalización en niveles de pregrado y postgrado, durante el cuatrienio</v>
      </c>
      <c r="Q39" s="302" t="str">
        <f>'PLAN INDICATIVO'!Q38</f>
        <v>No. De apoyos otorgados</v>
      </c>
      <c r="R39" s="303">
        <f>'PLAN INDICATIVO'!R38</f>
        <v>2015</v>
      </c>
      <c r="S39" s="304">
        <v>0</v>
      </c>
      <c r="T39" s="677">
        <v>1</v>
      </c>
      <c r="U39" s="303">
        <v>0</v>
      </c>
      <c r="V39" s="687"/>
      <c r="W39" s="572">
        <v>1</v>
      </c>
      <c r="X39" s="687">
        <v>5000000</v>
      </c>
      <c r="Y39" s="572">
        <v>1</v>
      </c>
      <c r="Z39" s="687">
        <v>500000</v>
      </c>
      <c r="AA39" s="572">
        <v>1</v>
      </c>
      <c r="AB39" s="687">
        <v>500000</v>
      </c>
      <c r="AC39" s="665">
        <v>0</v>
      </c>
      <c r="AD39" s="665"/>
      <c r="AE39" s="665"/>
      <c r="AF39" s="665"/>
      <c r="AG39" s="266"/>
      <c r="AH39" s="307"/>
      <c r="AI39" s="308"/>
      <c r="AJ39" s="308"/>
      <c r="AK39" s="308"/>
      <c r="AL39" s="308"/>
      <c r="AM39" s="267" t="s">
        <v>2594</v>
      </c>
      <c r="AN39" s="507"/>
      <c r="AO39" s="525"/>
      <c r="AP39" s="310"/>
      <c r="AQ39" s="310"/>
      <c r="AR39" s="310"/>
      <c r="AS39" s="310"/>
      <c r="AT39" s="310"/>
      <c r="AU39" s="310"/>
      <c r="AV39" s="544">
        <f t="shared" si="0"/>
        <v>0</v>
      </c>
      <c r="AW39" s="525"/>
      <c r="AX39" s="310"/>
      <c r="AY39" s="310"/>
      <c r="AZ39" s="310"/>
      <c r="BA39" s="310"/>
      <c r="BB39" s="310"/>
      <c r="BC39" s="310"/>
      <c r="BD39" s="544">
        <f t="shared" si="18"/>
        <v>0</v>
      </c>
      <c r="BE39" s="525"/>
      <c r="BF39" s="310"/>
      <c r="BG39" s="310"/>
      <c r="BH39" s="310"/>
      <c r="BI39" s="310"/>
      <c r="BJ39" s="310"/>
      <c r="BK39" s="310"/>
      <c r="BL39" s="544">
        <f t="shared" si="19"/>
        <v>0</v>
      </c>
      <c r="BM39" s="525"/>
      <c r="BN39" s="310"/>
      <c r="BO39" s="310"/>
      <c r="BP39" s="310"/>
      <c r="BQ39" s="310"/>
      <c r="BR39" s="310"/>
      <c r="BS39" s="310"/>
      <c r="BT39" s="544">
        <f t="shared" si="20"/>
        <v>0</v>
      </c>
      <c r="BU39" s="1638"/>
      <c r="BV39" s="663">
        <f t="shared" si="8"/>
        <v>0</v>
      </c>
      <c r="BW39" s="674">
        <f t="shared" si="9"/>
        <v>0</v>
      </c>
      <c r="BX39" s="835" t="e">
        <f t="shared" si="10"/>
        <v>#DIV/0!</v>
      </c>
      <c r="BY39" s="674">
        <f t="shared" si="11"/>
        <v>0</v>
      </c>
      <c r="BZ39" s="675">
        <f t="shared" si="12"/>
        <v>0</v>
      </c>
      <c r="CA39" s="675">
        <f t="shared" si="13"/>
        <v>0</v>
      </c>
    </row>
    <row r="40" spans="1:100" ht="55.5" hidden="1" customHeight="1" x14ac:dyDescent="0.25">
      <c r="A40" s="298" t="s">
        <v>38</v>
      </c>
      <c r="B40" s="299" t="str">
        <f>'PLAN INDICATIVO'!B39</f>
        <v>Educación</v>
      </c>
      <c r="C40" s="1548"/>
      <c r="D40" s="1549"/>
      <c r="E40" s="1549"/>
      <c r="F40" s="1549"/>
      <c r="G40" s="1549"/>
      <c r="H40" s="1549"/>
      <c r="I40" s="300">
        <f>'PLAN INDICATIVO'!I39</f>
        <v>0</v>
      </c>
      <c r="J40" s="300">
        <f>'PLAN INDICATIVO'!J39</f>
        <v>0</v>
      </c>
      <c r="K40" s="1425" t="str">
        <f>'PLAN INDICATIVO'!K39</f>
        <v>A.1.2.16</v>
      </c>
      <c r="L40" s="1425" t="str">
        <f>'PLAN INDICATIVO'!L39</f>
        <v>4. Educación de calidad</v>
      </c>
      <c r="M40" s="1425" t="str">
        <f>'PLAN INDICATIVO'!M39</f>
        <v>Secretaría de Educación, Cultura, deporte y Turismo</v>
      </c>
      <c r="N40" s="1425" t="str">
        <f>'PLAN INDICATIVO'!N39</f>
        <v>YIMI FERNANDO LOSADA PAYA</v>
      </c>
      <c r="O40" s="1425" t="str">
        <f>'PLAN INDICATIVO'!O39</f>
        <v>Incremento</v>
      </c>
      <c r="P40" s="16" t="str">
        <f>'PLAN INDICATIVO'!P39</f>
        <v>Implementar 2 proyectos para mejorar el aprendizaje en el área de inglés, durante el cuatrienio</v>
      </c>
      <c r="Q40" s="302" t="str">
        <f>'PLAN INDICATIVO'!Q39</f>
        <v>No. De proyectos implementados durante el cuatrienio</v>
      </c>
      <c r="R40" s="303">
        <f>'PLAN INDICATIVO'!R39</f>
        <v>2015</v>
      </c>
      <c r="S40" s="304">
        <v>0</v>
      </c>
      <c r="T40" s="677">
        <v>2</v>
      </c>
      <c r="U40" s="303">
        <v>0</v>
      </c>
      <c r="V40" s="687"/>
      <c r="W40" s="572">
        <v>1</v>
      </c>
      <c r="X40" s="687">
        <v>3000000</v>
      </c>
      <c r="Y40" s="572">
        <v>1</v>
      </c>
      <c r="Z40" s="687">
        <v>500000</v>
      </c>
      <c r="AA40" s="572">
        <v>2</v>
      </c>
      <c r="AB40" s="687">
        <v>500000</v>
      </c>
      <c r="AC40" s="665">
        <v>0</v>
      </c>
      <c r="AD40" s="665"/>
      <c r="AE40" s="665"/>
      <c r="AF40" s="665"/>
      <c r="AG40" s="266"/>
      <c r="AH40" s="307"/>
      <c r="AI40" s="308"/>
      <c r="AJ40" s="308"/>
      <c r="AK40" s="308"/>
      <c r="AL40" s="308"/>
      <c r="AM40" s="267" t="s">
        <v>2594</v>
      </c>
      <c r="AN40" s="507"/>
      <c r="AO40" s="525"/>
      <c r="AP40" s="310"/>
      <c r="AQ40" s="310"/>
      <c r="AR40" s="310"/>
      <c r="AS40" s="310"/>
      <c r="AT40" s="310"/>
      <c r="AU40" s="310"/>
      <c r="AV40" s="544">
        <f t="shared" si="0"/>
        <v>0</v>
      </c>
      <c r="AW40" s="525"/>
      <c r="AX40" s="310"/>
      <c r="AY40" s="310"/>
      <c r="AZ40" s="310"/>
      <c r="BA40" s="310"/>
      <c r="BB40" s="310"/>
      <c r="BC40" s="310"/>
      <c r="BD40" s="544">
        <f t="shared" si="18"/>
        <v>0</v>
      </c>
      <c r="BE40" s="525"/>
      <c r="BF40" s="310"/>
      <c r="BG40" s="310"/>
      <c r="BH40" s="310"/>
      <c r="BI40" s="310"/>
      <c r="BJ40" s="310"/>
      <c r="BK40" s="310"/>
      <c r="BL40" s="544">
        <f t="shared" si="19"/>
        <v>0</v>
      </c>
      <c r="BM40" s="525"/>
      <c r="BN40" s="310"/>
      <c r="BO40" s="310"/>
      <c r="BP40" s="310"/>
      <c r="BQ40" s="310"/>
      <c r="BR40" s="310"/>
      <c r="BS40" s="310"/>
      <c r="BT40" s="544">
        <f t="shared" si="20"/>
        <v>0</v>
      </c>
      <c r="BU40" s="1638"/>
      <c r="BV40" s="663">
        <f t="shared" si="8"/>
        <v>0</v>
      </c>
      <c r="BW40" s="674">
        <f t="shared" si="9"/>
        <v>0</v>
      </c>
      <c r="BX40" s="835" t="e">
        <f t="shared" si="10"/>
        <v>#DIV/0!</v>
      </c>
      <c r="BY40" s="674">
        <f t="shared" si="11"/>
        <v>0</v>
      </c>
      <c r="BZ40" s="675">
        <f t="shared" si="12"/>
        <v>0</v>
      </c>
      <c r="CA40" s="675">
        <f t="shared" si="13"/>
        <v>0</v>
      </c>
    </row>
    <row r="41" spans="1:100" ht="42.75" hidden="1" customHeight="1" x14ac:dyDescent="0.25">
      <c r="A41" s="298" t="s">
        <v>38</v>
      </c>
      <c r="B41" s="299" t="str">
        <f>'PLAN INDICATIVO'!B40</f>
        <v>Educación</v>
      </c>
      <c r="C41" s="1424"/>
      <c r="D41" s="1425"/>
      <c r="E41" s="1425"/>
      <c r="F41" s="1425"/>
      <c r="G41" s="1425"/>
      <c r="H41" s="1425"/>
      <c r="I41" s="300">
        <f>'PLAN INDICATIVO'!I40</f>
        <v>0</v>
      </c>
      <c r="J41" s="300">
        <f>'PLAN INDICATIVO'!J40</f>
        <v>0</v>
      </c>
      <c r="K41" s="1425" t="str">
        <f>'PLAN INDICATIVO'!K40</f>
        <v>A.1.2.17</v>
      </c>
      <c r="L41" s="1425" t="str">
        <f>'PLAN INDICATIVO'!L40</f>
        <v>4. Educación de calidad</v>
      </c>
      <c r="M41" s="1425" t="str">
        <f>'PLAN INDICATIVO'!M40</f>
        <v>Secretaría de Educación, Cultura, deporte y Turismo</v>
      </c>
      <c r="N41" s="1425" t="str">
        <f>'PLAN INDICATIVO'!N40</f>
        <v>YIMI FERNANDO LOSADA PAYA</v>
      </c>
      <c r="O41" s="1425" t="str">
        <f>'PLAN INDICATIVO'!O40</f>
        <v>Incremento</v>
      </c>
      <c r="P41" s="16" t="str">
        <f>'PLAN INDICATIVO'!P40</f>
        <v>Realizar apoyo y acompañamiento a los semilleros de investigación que se encuentran funcionando en el municipio, durante el cuatrenio.</v>
      </c>
      <c r="Q41" s="302" t="str">
        <f>'PLAN INDICATIVO'!Q40</f>
        <v>No. De apoyos gestionados en el cuatrenio.</v>
      </c>
      <c r="R41" s="303">
        <f>'PLAN INDICATIVO'!R40</f>
        <v>2015</v>
      </c>
      <c r="S41" s="304">
        <v>0</v>
      </c>
      <c r="T41" s="677">
        <v>1</v>
      </c>
      <c r="U41" s="303">
        <v>0</v>
      </c>
      <c r="V41" s="687"/>
      <c r="W41" s="572">
        <v>0</v>
      </c>
      <c r="X41" s="687"/>
      <c r="Y41" s="572">
        <v>1</v>
      </c>
      <c r="Z41" s="687">
        <v>500000</v>
      </c>
      <c r="AA41" s="572">
        <v>0</v>
      </c>
      <c r="AB41" s="687"/>
      <c r="AC41" s="665">
        <v>0</v>
      </c>
      <c r="AD41" s="665"/>
      <c r="AE41" s="665"/>
      <c r="AF41" s="665"/>
      <c r="AG41" s="266"/>
      <c r="AH41" s="307"/>
      <c r="AI41" s="308"/>
      <c r="AJ41" s="308"/>
      <c r="AK41" s="308"/>
      <c r="AL41" s="308"/>
      <c r="AM41" s="267" t="s">
        <v>2594</v>
      </c>
      <c r="AN41" s="507"/>
      <c r="AO41" s="525"/>
      <c r="AP41" s="310"/>
      <c r="AQ41" s="310"/>
      <c r="AR41" s="310"/>
      <c r="AS41" s="310"/>
      <c r="AT41" s="310"/>
      <c r="AU41" s="310"/>
      <c r="AV41" s="544">
        <f t="shared" si="0"/>
        <v>0</v>
      </c>
      <c r="AW41" s="525"/>
      <c r="AX41" s="310"/>
      <c r="AY41" s="310"/>
      <c r="AZ41" s="310"/>
      <c r="BA41" s="310"/>
      <c r="BB41" s="310"/>
      <c r="BC41" s="310"/>
      <c r="BD41" s="544">
        <f t="shared" si="18"/>
        <v>0</v>
      </c>
      <c r="BE41" s="525"/>
      <c r="BF41" s="310"/>
      <c r="BG41" s="310"/>
      <c r="BH41" s="310"/>
      <c r="BI41" s="310"/>
      <c r="BJ41" s="310"/>
      <c r="BK41" s="310"/>
      <c r="BL41" s="544">
        <f t="shared" si="19"/>
        <v>0</v>
      </c>
      <c r="BM41" s="525"/>
      <c r="BN41" s="310"/>
      <c r="BO41" s="310"/>
      <c r="BP41" s="310"/>
      <c r="BQ41" s="310"/>
      <c r="BR41" s="310"/>
      <c r="BS41" s="310"/>
      <c r="BT41" s="544">
        <f t="shared" si="20"/>
        <v>0</v>
      </c>
      <c r="BU41" s="1638"/>
      <c r="BV41" s="663">
        <f t="shared" si="8"/>
        <v>0</v>
      </c>
      <c r="BW41" s="674">
        <f t="shared" si="9"/>
        <v>0</v>
      </c>
      <c r="BX41" s="835" t="e">
        <f t="shared" si="10"/>
        <v>#DIV/0!</v>
      </c>
      <c r="BY41" s="674" t="e">
        <f t="shared" si="11"/>
        <v>#DIV/0!</v>
      </c>
      <c r="BZ41" s="675">
        <f t="shared" si="12"/>
        <v>0</v>
      </c>
      <c r="CA41" s="675" t="e">
        <f t="shared" si="13"/>
        <v>#DIV/0!</v>
      </c>
    </row>
    <row r="42" spans="1:100" ht="54" hidden="1" customHeight="1" x14ac:dyDescent="0.25">
      <c r="A42" s="298" t="s">
        <v>38</v>
      </c>
      <c r="B42" s="299" t="str">
        <f>'PLAN INDICATIVO'!B41</f>
        <v>Educación</v>
      </c>
      <c r="C42" s="1424"/>
      <c r="D42" s="1425"/>
      <c r="E42" s="1425"/>
      <c r="F42" s="1425"/>
      <c r="G42" s="1425"/>
      <c r="H42" s="1425"/>
      <c r="I42" s="300">
        <f>'PLAN INDICATIVO'!I41</f>
        <v>0</v>
      </c>
      <c r="J42" s="300">
        <f>'PLAN INDICATIVO'!J41</f>
        <v>0</v>
      </c>
      <c r="K42" s="1425" t="str">
        <f>'PLAN INDICATIVO'!K41</f>
        <v>A.1.2.18</v>
      </c>
      <c r="L42" s="1425" t="str">
        <f>'PLAN INDICATIVO'!L41</f>
        <v>4. Educación de calidad</v>
      </c>
      <c r="M42" s="1425" t="str">
        <f>'PLAN INDICATIVO'!M41</f>
        <v>Secretaría de Educación, Cultura, deporte y Turismo</v>
      </c>
      <c r="N42" s="1425" t="str">
        <f>'PLAN INDICATIVO'!N41</f>
        <v>YIMI FERNANDO LOSADA PAYA</v>
      </c>
      <c r="O42" s="1425" t="str">
        <f>'PLAN INDICATIVO'!O41</f>
        <v>Incremento</v>
      </c>
      <c r="P42" s="16" t="str">
        <f>'PLAN INDICATIVO'!P41</f>
        <v>Apoyo para la vinculación de estudiantes al programa ONDAS.</v>
      </c>
      <c r="Q42" s="302" t="str">
        <f>'PLAN INDICATIVO'!Q41</f>
        <v>No. De apoyos gestionados en el cuatrenio.</v>
      </c>
      <c r="R42" s="303">
        <f>'PLAN INDICATIVO'!R41</f>
        <v>2015</v>
      </c>
      <c r="S42" s="304">
        <v>0</v>
      </c>
      <c r="T42" s="677">
        <v>1</v>
      </c>
      <c r="U42" s="303">
        <v>0</v>
      </c>
      <c r="V42" s="687"/>
      <c r="W42" s="572">
        <v>1</v>
      </c>
      <c r="X42" s="687">
        <v>2000000</v>
      </c>
      <c r="Y42" s="572">
        <v>0</v>
      </c>
      <c r="Z42" s="687"/>
      <c r="AA42" s="572">
        <v>0</v>
      </c>
      <c r="AB42" s="687"/>
      <c r="AC42" s="665">
        <v>0</v>
      </c>
      <c r="AD42" s="665"/>
      <c r="AE42" s="665"/>
      <c r="AF42" s="665"/>
      <c r="AG42" s="266"/>
      <c r="AH42" s="307"/>
      <c r="AI42" s="308"/>
      <c r="AJ42" s="308"/>
      <c r="AK42" s="308"/>
      <c r="AL42" s="308"/>
      <c r="AM42" s="267" t="s">
        <v>2594</v>
      </c>
      <c r="AN42" s="507"/>
      <c r="AO42" s="525"/>
      <c r="AP42" s="310"/>
      <c r="AQ42" s="310"/>
      <c r="AR42" s="310"/>
      <c r="AS42" s="310"/>
      <c r="AT42" s="310"/>
      <c r="AU42" s="310"/>
      <c r="AV42" s="544">
        <f t="shared" si="0"/>
        <v>0</v>
      </c>
      <c r="AW42" s="525"/>
      <c r="AX42" s="310"/>
      <c r="AY42" s="310"/>
      <c r="AZ42" s="310"/>
      <c r="BA42" s="310"/>
      <c r="BB42" s="310"/>
      <c r="BC42" s="310"/>
      <c r="BD42" s="544">
        <f t="shared" si="18"/>
        <v>0</v>
      </c>
      <c r="BE42" s="525"/>
      <c r="BF42" s="310"/>
      <c r="BG42" s="310"/>
      <c r="BH42" s="310"/>
      <c r="BI42" s="310"/>
      <c r="BJ42" s="310"/>
      <c r="BK42" s="310"/>
      <c r="BL42" s="544">
        <f t="shared" si="19"/>
        <v>0</v>
      </c>
      <c r="BM42" s="525"/>
      <c r="BN42" s="310"/>
      <c r="BO42" s="310"/>
      <c r="BP42" s="310"/>
      <c r="BQ42" s="310"/>
      <c r="BR42" s="310"/>
      <c r="BS42" s="310"/>
      <c r="BT42" s="544">
        <f t="shared" si="20"/>
        <v>0</v>
      </c>
      <c r="BU42" s="1639"/>
      <c r="BV42" s="663">
        <f t="shared" si="8"/>
        <v>0</v>
      </c>
      <c r="BW42" s="674">
        <f t="shared" si="9"/>
        <v>0</v>
      </c>
      <c r="BX42" s="835" t="e">
        <f t="shared" si="10"/>
        <v>#DIV/0!</v>
      </c>
      <c r="BY42" s="674">
        <f t="shared" si="11"/>
        <v>0</v>
      </c>
      <c r="BZ42" s="675" t="e">
        <f t="shared" si="12"/>
        <v>#DIV/0!</v>
      </c>
      <c r="CA42" s="675" t="e">
        <f t="shared" si="13"/>
        <v>#DIV/0!</v>
      </c>
    </row>
    <row r="43" spans="1:100" ht="33" hidden="1" customHeight="1" x14ac:dyDescent="0.25">
      <c r="A43" s="295" t="s">
        <v>38</v>
      </c>
      <c r="B43" s="24" t="str">
        <f>'PLAN INDICATIVO'!B42</f>
        <v>Educación</v>
      </c>
      <c r="C43" s="1574" t="s">
        <v>149</v>
      </c>
      <c r="D43" s="1575"/>
      <c r="E43" s="1575"/>
      <c r="F43" s="1575"/>
      <c r="G43" s="1575"/>
      <c r="H43" s="1575"/>
      <c r="I43" s="1575"/>
      <c r="J43" s="1575"/>
      <c r="K43" s="1575"/>
      <c r="L43" s="1575"/>
      <c r="M43" s="1575"/>
      <c r="N43" s="1575"/>
      <c r="O43" s="1576"/>
      <c r="P43" s="22"/>
      <c r="Q43" s="22"/>
      <c r="R43" s="1"/>
      <c r="S43" s="261"/>
      <c r="T43" s="681"/>
      <c r="U43" s="261"/>
      <c r="V43" s="689">
        <f>SUM(V44:V47)</f>
        <v>951670000</v>
      </c>
      <c r="W43" s="261"/>
      <c r="X43" s="689">
        <f>SUM(X44:X47)</f>
        <v>932530000</v>
      </c>
      <c r="Y43" s="261"/>
      <c r="Z43" s="689">
        <f>SUM(Z44:Z47)</f>
        <v>962500000</v>
      </c>
      <c r="AA43" s="262"/>
      <c r="AB43" s="690">
        <f>SUM(AB44:AB47)</f>
        <v>971000000</v>
      </c>
      <c r="AC43" s="262"/>
      <c r="AD43" s="262"/>
      <c r="AE43" s="262"/>
      <c r="AF43" s="262"/>
      <c r="AG43" s="263"/>
      <c r="AH43" s="263"/>
      <c r="AI43" s="262"/>
      <c r="AJ43" s="262"/>
      <c r="AK43" s="262"/>
      <c r="AL43" s="262"/>
      <c r="AM43" s="262"/>
      <c r="AN43" s="612"/>
      <c r="AO43" s="616" t="e">
        <f>(AO44:AO47)</f>
        <v>#VALUE!</v>
      </c>
      <c r="AP43" s="616" t="e">
        <f t="shared" ref="AP43:AU43" si="21">(AP44:AP47)</f>
        <v>#VALUE!</v>
      </c>
      <c r="AQ43" s="616" t="e">
        <f t="shared" si="21"/>
        <v>#VALUE!</v>
      </c>
      <c r="AR43" s="616" t="e">
        <f t="shared" si="21"/>
        <v>#VALUE!</v>
      </c>
      <c r="AS43" s="616" t="e">
        <f t="shared" si="21"/>
        <v>#VALUE!</v>
      </c>
      <c r="AT43" s="616" t="e">
        <f t="shared" si="21"/>
        <v>#VALUE!</v>
      </c>
      <c r="AU43" s="616" t="e">
        <f t="shared" si="21"/>
        <v>#VALUE!</v>
      </c>
      <c r="AV43" s="617" t="e">
        <f t="shared" si="0"/>
        <v>#VALUE!</v>
      </c>
      <c r="AW43" s="616" t="e">
        <f t="shared" ref="AW43:BC43" si="22">(AW44:AW47)</f>
        <v>#VALUE!</v>
      </c>
      <c r="AX43" s="616" t="e">
        <f t="shared" si="22"/>
        <v>#VALUE!</v>
      </c>
      <c r="AY43" s="616" t="e">
        <f t="shared" si="22"/>
        <v>#VALUE!</v>
      </c>
      <c r="AZ43" s="616" t="e">
        <f t="shared" si="22"/>
        <v>#VALUE!</v>
      </c>
      <c r="BA43" s="616" t="e">
        <f t="shared" si="22"/>
        <v>#VALUE!</v>
      </c>
      <c r="BB43" s="616" t="e">
        <f t="shared" si="22"/>
        <v>#VALUE!</v>
      </c>
      <c r="BC43" s="616" t="e">
        <f t="shared" si="22"/>
        <v>#VALUE!</v>
      </c>
      <c r="BD43" s="617" t="e">
        <f t="shared" si="18"/>
        <v>#VALUE!</v>
      </c>
      <c r="BE43" s="616" t="e">
        <f t="shared" ref="BE43:BK43" si="23">(BE44:BE47)</f>
        <v>#VALUE!</v>
      </c>
      <c r="BF43" s="616" t="e">
        <f t="shared" si="23"/>
        <v>#VALUE!</v>
      </c>
      <c r="BG43" s="616" t="e">
        <f t="shared" si="23"/>
        <v>#VALUE!</v>
      </c>
      <c r="BH43" s="616" t="e">
        <f t="shared" si="23"/>
        <v>#VALUE!</v>
      </c>
      <c r="BI43" s="616" t="e">
        <f t="shared" si="23"/>
        <v>#VALUE!</v>
      </c>
      <c r="BJ43" s="616" t="e">
        <f t="shared" si="23"/>
        <v>#VALUE!</v>
      </c>
      <c r="BK43" s="616" t="e">
        <f t="shared" si="23"/>
        <v>#VALUE!</v>
      </c>
      <c r="BL43" s="617" t="e">
        <f t="shared" si="19"/>
        <v>#VALUE!</v>
      </c>
      <c r="BM43" s="616" t="e">
        <f t="shared" ref="BM43:BS43" si="24">(BM44:BM47)</f>
        <v>#VALUE!</v>
      </c>
      <c r="BN43" s="616" t="e">
        <f t="shared" si="24"/>
        <v>#VALUE!</v>
      </c>
      <c r="BO43" s="616" t="e">
        <f t="shared" si="24"/>
        <v>#VALUE!</v>
      </c>
      <c r="BP43" s="616" t="e">
        <f t="shared" si="24"/>
        <v>#VALUE!</v>
      </c>
      <c r="BQ43" s="616" t="e">
        <f t="shared" si="24"/>
        <v>#VALUE!</v>
      </c>
      <c r="BR43" s="616" t="e">
        <f t="shared" si="24"/>
        <v>#VALUE!</v>
      </c>
      <c r="BS43" s="616" t="e">
        <f t="shared" si="24"/>
        <v>#VALUE!</v>
      </c>
      <c r="BT43" s="617" t="e">
        <f t="shared" si="20"/>
        <v>#VALUE!</v>
      </c>
      <c r="BU43" s="556"/>
      <c r="BV43" s="663">
        <f t="shared" si="8"/>
        <v>0</v>
      </c>
      <c r="BW43" s="674" t="e">
        <f t="shared" si="9"/>
        <v>#DIV/0!</v>
      </c>
      <c r="BX43" s="867" t="e">
        <f t="shared" si="10"/>
        <v>#DIV/0!</v>
      </c>
      <c r="BY43" s="674" t="e">
        <f t="shared" si="11"/>
        <v>#DIV/0!</v>
      </c>
      <c r="BZ43" s="675" t="e">
        <f t="shared" si="12"/>
        <v>#DIV/0!</v>
      </c>
      <c r="CA43" s="675" t="e">
        <f t="shared" si="13"/>
        <v>#DIV/0!</v>
      </c>
    </row>
    <row r="44" spans="1:100" ht="55.5" hidden="1" customHeight="1" x14ac:dyDescent="0.25">
      <c r="A44" s="298" t="s">
        <v>38</v>
      </c>
      <c r="B44" s="299" t="str">
        <f>'PLAN INDICATIVO'!B43</f>
        <v>Educación</v>
      </c>
      <c r="C44" s="299" t="s">
        <v>150</v>
      </c>
      <c r="D44" s="1425" t="s">
        <v>151</v>
      </c>
      <c r="E44" s="1425" t="s">
        <v>152</v>
      </c>
      <c r="F44" s="1429">
        <v>2014</v>
      </c>
      <c r="G44" s="1425">
        <v>10.6</v>
      </c>
      <c r="H44" s="1429">
        <v>8</v>
      </c>
      <c r="I44" s="300">
        <f>'PLAN INDICATIVO'!I43</f>
        <v>0</v>
      </c>
      <c r="J44" s="300">
        <f>'PLAN INDICATIVO'!J43</f>
        <v>0</v>
      </c>
      <c r="K44" s="1425" t="str">
        <f>'PLAN INDICATIVO'!K43</f>
        <v>A.1.3.1</v>
      </c>
      <c r="L44" s="1425" t="str">
        <f>'PLAN INDICATIVO'!L43</f>
        <v>4. Educación de calidad</v>
      </c>
      <c r="M44" s="1425" t="str">
        <f>'PLAN INDICATIVO'!M43</f>
        <v>Secretaría de Educación, Cultura, deporte y Turismo</v>
      </c>
      <c r="N44" s="1425" t="str">
        <f>'PLAN INDICATIVO'!N43</f>
        <v>YIMI FERNANDO LOSADA PAYA</v>
      </c>
      <c r="O44" s="1425" t="str">
        <f>'PLAN INDICATIVO'!O43</f>
        <v>Incremento</v>
      </c>
      <c r="P44" s="16" t="str">
        <f>'PLAN INDICATIVO'!P43</f>
        <v>Apoyar 4 programas de alfabetización para el cambio, dirigido a la población analfabeta del municipio.</v>
      </c>
      <c r="Q44" s="302" t="str">
        <f>'PLAN INDICATIVO'!Q43</f>
        <v>No. De programas de alfabetización con seguimiento</v>
      </c>
      <c r="R44" s="303">
        <f>'PLAN INDICATIVO'!R43</f>
        <v>2015</v>
      </c>
      <c r="S44" s="304">
        <v>1</v>
      </c>
      <c r="T44" s="677">
        <v>4</v>
      </c>
      <c r="U44" s="303">
        <v>1</v>
      </c>
      <c r="V44" s="687">
        <v>500000</v>
      </c>
      <c r="W44" s="572">
        <v>1</v>
      </c>
      <c r="X44" s="687">
        <v>5000000</v>
      </c>
      <c r="Y44" s="572">
        <v>1</v>
      </c>
      <c r="Z44" s="687">
        <v>2500000</v>
      </c>
      <c r="AA44" s="572">
        <v>1</v>
      </c>
      <c r="AB44" s="687">
        <v>1000000</v>
      </c>
      <c r="AC44" s="665">
        <v>1</v>
      </c>
      <c r="AD44" s="665"/>
      <c r="AE44" s="665"/>
      <c r="AF44" s="665"/>
      <c r="AG44" s="306"/>
      <c r="AH44" s="307" t="s">
        <v>2619</v>
      </c>
      <c r="AI44" s="309">
        <v>42522</v>
      </c>
      <c r="AJ44" s="309">
        <v>42735</v>
      </c>
      <c r="AK44" s="308"/>
      <c r="AL44" s="308"/>
      <c r="AM44" s="267" t="s">
        <v>2598</v>
      </c>
      <c r="AN44" s="507"/>
      <c r="AO44" s="525"/>
      <c r="AP44" s="310"/>
      <c r="AQ44" s="310"/>
      <c r="AR44" s="310"/>
      <c r="AS44" s="310"/>
      <c r="AT44" s="310"/>
      <c r="AU44" s="310"/>
      <c r="AV44" s="544">
        <f t="shared" si="0"/>
        <v>0</v>
      </c>
      <c r="AW44" s="525"/>
      <c r="AX44" s="310"/>
      <c r="AY44" s="310"/>
      <c r="AZ44" s="310"/>
      <c r="BA44" s="310"/>
      <c r="BB44" s="310"/>
      <c r="BC44" s="310"/>
      <c r="BD44" s="544">
        <f t="shared" si="18"/>
        <v>0</v>
      </c>
      <c r="BE44" s="525"/>
      <c r="BF44" s="310"/>
      <c r="BG44" s="310"/>
      <c r="BH44" s="310"/>
      <c r="BI44" s="310"/>
      <c r="BJ44" s="310"/>
      <c r="BK44" s="310"/>
      <c r="BL44" s="544">
        <f t="shared" si="19"/>
        <v>0</v>
      </c>
      <c r="BM44" s="525"/>
      <c r="BN44" s="310"/>
      <c r="BO44" s="310"/>
      <c r="BP44" s="310"/>
      <c r="BQ44" s="310"/>
      <c r="BR44" s="310"/>
      <c r="BS44" s="310"/>
      <c r="BT44" s="544">
        <f t="shared" si="20"/>
        <v>0</v>
      </c>
      <c r="BU44" s="1637" t="s">
        <v>2587</v>
      </c>
      <c r="BV44" s="663">
        <f t="shared" si="8"/>
        <v>1</v>
      </c>
      <c r="BW44" s="674">
        <f t="shared" si="9"/>
        <v>0.25</v>
      </c>
      <c r="BX44" s="835">
        <f t="shared" si="10"/>
        <v>1</v>
      </c>
      <c r="BY44" s="674">
        <f t="shared" si="11"/>
        <v>0</v>
      </c>
      <c r="BZ44" s="675">
        <f t="shared" si="12"/>
        <v>0</v>
      </c>
      <c r="CA44" s="675">
        <f t="shared" si="13"/>
        <v>0</v>
      </c>
    </row>
    <row r="45" spans="1:100" ht="52.5" hidden="1" customHeight="1" x14ac:dyDescent="0.25">
      <c r="A45" s="298" t="s">
        <v>38</v>
      </c>
      <c r="B45" s="299" t="str">
        <f>'PLAN INDICATIVO'!B44</f>
        <v>Educación</v>
      </c>
      <c r="C45" s="1546" t="s">
        <v>156</v>
      </c>
      <c r="D45" s="1549" t="s">
        <v>157</v>
      </c>
      <c r="E45" s="1549" t="s">
        <v>158</v>
      </c>
      <c r="F45" s="1549">
        <v>2014</v>
      </c>
      <c r="G45" s="1549">
        <v>4.29</v>
      </c>
      <c r="H45" s="1549">
        <v>4</v>
      </c>
      <c r="I45" s="300">
        <f>'PLAN INDICATIVO'!I44</f>
        <v>0</v>
      </c>
      <c r="J45" s="300">
        <f>'PLAN INDICATIVO'!J44</f>
        <v>0</v>
      </c>
      <c r="K45" s="1425" t="str">
        <f>'PLAN INDICATIVO'!K44</f>
        <v>A.1.4.1</v>
      </c>
      <c r="L45" s="1425" t="str">
        <f>'PLAN INDICATIVO'!L44</f>
        <v>4. Educación de calidad</v>
      </c>
      <c r="M45" s="1425" t="str">
        <f>'PLAN INDICATIVO'!M44</f>
        <v>Secretaría de Educación, Cultura, deporte y Turismo</v>
      </c>
      <c r="N45" s="1425" t="str">
        <f>'PLAN INDICATIVO'!N44</f>
        <v>YIMI FERNANDO LOSADA PAYA</v>
      </c>
      <c r="O45" s="1425" t="str">
        <f>'PLAN INDICATIVO'!O44</f>
        <v>Mantenimiento</v>
      </c>
      <c r="P45" s="16" t="str">
        <f>'PLAN INDICATIVO'!P44</f>
        <v>Mantener 1 Programa de Alimentación escolar cada año en el municipio durante el cuatrienio.</v>
      </c>
      <c r="Q45" s="302" t="str">
        <f>'PLAN INDICATIVO'!Q44</f>
        <v>No. De programas de restaurantes escolares en funcionamiento cada año</v>
      </c>
      <c r="R45" s="303">
        <f>'PLAN INDICATIVO'!R44</f>
        <v>2015</v>
      </c>
      <c r="S45" s="304">
        <v>1</v>
      </c>
      <c r="T45" s="677">
        <v>1</v>
      </c>
      <c r="U45" s="303">
        <v>1</v>
      </c>
      <c r="V45" s="687">
        <v>331170000</v>
      </c>
      <c r="W45" s="572">
        <v>1</v>
      </c>
      <c r="X45" s="687">
        <v>300000000</v>
      </c>
      <c r="Y45" s="572">
        <v>1</v>
      </c>
      <c r="Z45" s="687">
        <v>340000000</v>
      </c>
      <c r="AA45" s="572">
        <v>1</v>
      </c>
      <c r="AB45" s="687">
        <v>340000000</v>
      </c>
      <c r="AC45" s="665">
        <f>1</f>
        <v>1</v>
      </c>
      <c r="AD45" s="665"/>
      <c r="AE45" s="665"/>
      <c r="AF45" s="665"/>
      <c r="AG45" s="306"/>
      <c r="AH45" s="307" t="s">
        <v>2620</v>
      </c>
      <c r="AI45" s="309">
        <v>42430</v>
      </c>
      <c r="AJ45" s="309">
        <v>42704</v>
      </c>
      <c r="AK45" s="308"/>
      <c r="AL45" s="308"/>
      <c r="AM45" s="267" t="s">
        <v>2598</v>
      </c>
      <c r="AN45" s="507"/>
      <c r="AO45" s="525"/>
      <c r="AP45" s="310">
        <v>329135928</v>
      </c>
      <c r="AQ45" s="310"/>
      <c r="AR45" s="310"/>
      <c r="AS45" s="310"/>
      <c r="AT45" s="310"/>
      <c r="AU45" s="310"/>
      <c r="AV45" s="544">
        <f t="shared" si="0"/>
        <v>329135928</v>
      </c>
      <c r="AW45" s="525"/>
      <c r="AX45" s="310"/>
      <c r="AY45" s="310"/>
      <c r="AZ45" s="310"/>
      <c r="BA45" s="310"/>
      <c r="BB45" s="310"/>
      <c r="BC45" s="310"/>
      <c r="BD45" s="544">
        <f t="shared" si="18"/>
        <v>0</v>
      </c>
      <c r="BE45" s="525"/>
      <c r="BF45" s="310"/>
      <c r="BG45" s="310"/>
      <c r="BH45" s="310"/>
      <c r="BI45" s="310"/>
      <c r="BJ45" s="310"/>
      <c r="BK45" s="310"/>
      <c r="BL45" s="544">
        <f t="shared" si="19"/>
        <v>0</v>
      </c>
      <c r="BM45" s="525"/>
      <c r="BN45" s="310"/>
      <c r="BO45" s="310"/>
      <c r="BP45" s="310"/>
      <c r="BQ45" s="310"/>
      <c r="BR45" s="310"/>
      <c r="BS45" s="310"/>
      <c r="BT45" s="544">
        <f t="shared" si="20"/>
        <v>0</v>
      </c>
      <c r="BU45" s="1638"/>
      <c r="BV45" s="663">
        <f t="shared" si="8"/>
        <v>1</v>
      </c>
      <c r="BW45" s="674">
        <f t="shared" si="9"/>
        <v>1</v>
      </c>
      <c r="BX45" s="835">
        <f t="shared" si="10"/>
        <v>1</v>
      </c>
      <c r="BY45" s="674">
        <f t="shared" si="11"/>
        <v>0</v>
      </c>
      <c r="BZ45" s="675">
        <f t="shared" si="12"/>
        <v>0</v>
      </c>
      <c r="CA45" s="675">
        <f t="shared" si="13"/>
        <v>0</v>
      </c>
    </row>
    <row r="46" spans="1:100" ht="50.25" hidden="1" customHeight="1" x14ac:dyDescent="0.25">
      <c r="A46" s="298" t="s">
        <v>38</v>
      </c>
      <c r="B46" s="299" t="str">
        <f>'PLAN INDICATIVO'!B45</f>
        <v>Educación</v>
      </c>
      <c r="C46" s="1547"/>
      <c r="D46" s="1549"/>
      <c r="E46" s="1549"/>
      <c r="F46" s="1549"/>
      <c r="G46" s="1549"/>
      <c r="H46" s="1549"/>
      <c r="I46" s="300">
        <f>'PLAN INDICATIVO'!I45</f>
        <v>0</v>
      </c>
      <c r="J46" s="300">
        <f>'PLAN INDICATIVO'!J45</f>
        <v>0</v>
      </c>
      <c r="K46" s="1425" t="str">
        <f>'PLAN INDICATIVO'!K45</f>
        <v>A.1.4.2</v>
      </c>
      <c r="L46" s="1425" t="str">
        <f>'PLAN INDICATIVO'!L45</f>
        <v>4. Educación de calidad</v>
      </c>
      <c r="M46" s="1425" t="str">
        <f>'PLAN INDICATIVO'!M45</f>
        <v>Secretaría de Educación, Cultura, deporte y Turismo</v>
      </c>
      <c r="N46" s="1425" t="str">
        <f>'PLAN INDICATIVO'!N45</f>
        <v>YIMI FERNANDO LOSADA PAYA</v>
      </c>
      <c r="O46" s="1425" t="str">
        <f>'PLAN INDICATIVO'!O45</f>
        <v>Incremento</v>
      </c>
      <c r="P46" s="16" t="str">
        <f>'PLAN INDICATIVO'!P45</f>
        <v>Suministrar 4 dotaciones de menaje y dotación para la prestación del servicio de alimentación escolar a las IE públicas del municipio, durante el cuatrienio</v>
      </c>
      <c r="Q46" s="302" t="str">
        <f>'PLAN INDICATIVO'!Q45</f>
        <v>No. De dotaciones suministradas durante el cuatrienio</v>
      </c>
      <c r="R46" s="303">
        <f>'PLAN INDICATIVO'!R45</f>
        <v>2015</v>
      </c>
      <c r="S46" s="304">
        <v>1</v>
      </c>
      <c r="T46" s="677">
        <v>4</v>
      </c>
      <c r="U46" s="303">
        <v>1</v>
      </c>
      <c r="V46" s="687">
        <v>20000000</v>
      </c>
      <c r="W46" s="572">
        <v>1</v>
      </c>
      <c r="X46" s="687">
        <v>27530000</v>
      </c>
      <c r="Y46" s="572">
        <v>1</v>
      </c>
      <c r="Z46" s="687">
        <v>5000000</v>
      </c>
      <c r="AA46" s="572">
        <v>1</v>
      </c>
      <c r="AB46" s="687">
        <v>10000000</v>
      </c>
      <c r="AC46" s="837">
        <v>0</v>
      </c>
      <c r="AD46" s="665"/>
      <c r="AE46" s="665"/>
      <c r="AF46" s="665"/>
      <c r="AG46" s="306"/>
      <c r="AH46" s="307"/>
      <c r="AI46" s="309">
        <v>42552</v>
      </c>
      <c r="AJ46" s="309">
        <v>42613</v>
      </c>
      <c r="AK46" s="308"/>
      <c r="AL46" s="308"/>
      <c r="AM46" s="267" t="s">
        <v>2600</v>
      </c>
      <c r="AN46" s="507"/>
      <c r="AO46" s="525"/>
      <c r="AP46" s="310"/>
      <c r="AQ46" s="310"/>
      <c r="AR46" s="310"/>
      <c r="AS46" s="310"/>
      <c r="AT46" s="310"/>
      <c r="AU46" s="310"/>
      <c r="AV46" s="544">
        <f t="shared" si="0"/>
        <v>0</v>
      </c>
      <c r="AW46" s="525"/>
      <c r="AX46" s="310"/>
      <c r="AY46" s="310"/>
      <c r="AZ46" s="310"/>
      <c r="BA46" s="310"/>
      <c r="BB46" s="310"/>
      <c r="BC46" s="310"/>
      <c r="BD46" s="544">
        <f t="shared" si="18"/>
        <v>0</v>
      </c>
      <c r="BE46" s="525"/>
      <c r="BF46" s="310"/>
      <c r="BG46" s="310"/>
      <c r="BH46" s="310"/>
      <c r="BI46" s="310"/>
      <c r="BJ46" s="310"/>
      <c r="BK46" s="310"/>
      <c r="BL46" s="544">
        <f t="shared" si="19"/>
        <v>0</v>
      </c>
      <c r="BM46" s="525"/>
      <c r="BN46" s="310"/>
      <c r="BO46" s="310"/>
      <c r="BP46" s="310"/>
      <c r="BQ46" s="310"/>
      <c r="BR46" s="310"/>
      <c r="BS46" s="310"/>
      <c r="BT46" s="544">
        <f t="shared" si="20"/>
        <v>0</v>
      </c>
      <c r="BU46" s="1638"/>
      <c r="BV46" s="663">
        <f t="shared" si="8"/>
        <v>0</v>
      </c>
      <c r="BW46" s="674">
        <f t="shared" si="9"/>
        <v>0</v>
      </c>
      <c r="BX46" s="835">
        <f t="shared" si="10"/>
        <v>0</v>
      </c>
      <c r="BY46" s="674">
        <f t="shared" si="11"/>
        <v>0</v>
      </c>
      <c r="BZ46" s="675">
        <f t="shared" si="12"/>
        <v>0</v>
      </c>
      <c r="CA46" s="675">
        <f t="shared" si="13"/>
        <v>0</v>
      </c>
    </row>
    <row r="47" spans="1:100" ht="51" hidden="1" customHeight="1" thickBot="1" x14ac:dyDescent="0.3">
      <c r="A47" s="298" t="s">
        <v>38</v>
      </c>
      <c r="B47" s="299" t="str">
        <f>'PLAN INDICATIVO'!B46</f>
        <v>Educación</v>
      </c>
      <c r="C47" s="1548"/>
      <c r="D47" s="1549"/>
      <c r="E47" s="1549"/>
      <c r="F47" s="1549"/>
      <c r="G47" s="1549"/>
      <c r="H47" s="1549"/>
      <c r="I47" s="300">
        <f>'PLAN INDICATIVO'!I46</f>
        <v>0</v>
      </c>
      <c r="J47" s="300">
        <f>'PLAN INDICATIVO'!J46</f>
        <v>0</v>
      </c>
      <c r="K47" s="1425" t="str">
        <f>'PLAN INDICATIVO'!K46</f>
        <v>A.1.4.3</v>
      </c>
      <c r="L47" s="1425" t="str">
        <f>'PLAN INDICATIVO'!L46</f>
        <v>4. Educación de calidad</v>
      </c>
      <c r="M47" s="1425" t="str">
        <f>'PLAN INDICATIVO'!M46</f>
        <v>Secretaría de Educación, Cultura, deporte y Turismo</v>
      </c>
      <c r="N47" s="1425" t="str">
        <f>'PLAN INDICATIVO'!N46</f>
        <v>YIMI FERNANDO LOSADA PAYA</v>
      </c>
      <c r="O47" s="1425" t="str">
        <f>'PLAN INDICATIVO'!O46</f>
        <v>Mantenimiento</v>
      </c>
      <c r="P47" s="16" t="str">
        <f>'PLAN INDICATIVO'!P46</f>
        <v xml:space="preserve">Atender 65 rutas de transporte escolar por año en el sector urbano y rural del municipio durante el cuatrienio. </v>
      </c>
      <c r="Q47" s="302" t="str">
        <f>'PLAN INDICATIVO'!Q46</f>
        <v>No. De rutas de transporte escolar implementadas cada año</v>
      </c>
      <c r="R47" s="303">
        <f>'PLAN INDICATIVO'!R46</f>
        <v>2015</v>
      </c>
      <c r="S47" s="304">
        <v>61</v>
      </c>
      <c r="T47" s="677">
        <v>65</v>
      </c>
      <c r="U47" s="303">
        <v>65</v>
      </c>
      <c r="V47" s="687">
        <v>600000000</v>
      </c>
      <c r="W47" s="572">
        <v>65</v>
      </c>
      <c r="X47" s="687">
        <v>600000000</v>
      </c>
      <c r="Y47" s="572">
        <v>65</v>
      </c>
      <c r="Z47" s="687">
        <v>615000000</v>
      </c>
      <c r="AA47" s="572">
        <v>65</v>
      </c>
      <c r="AB47" s="687">
        <v>620000000</v>
      </c>
      <c r="AC47" s="665">
        <f>65</f>
        <v>65</v>
      </c>
      <c r="AD47" s="665"/>
      <c r="AE47" s="665"/>
      <c r="AF47" s="665"/>
      <c r="AG47" s="306"/>
      <c r="AH47" s="307" t="s">
        <v>2621</v>
      </c>
      <c r="AI47" s="309">
        <v>42500</v>
      </c>
      <c r="AJ47" s="309">
        <v>42604</v>
      </c>
      <c r="AK47" s="308"/>
      <c r="AL47" s="308"/>
      <c r="AM47" s="267" t="s">
        <v>2598</v>
      </c>
      <c r="AN47" s="507">
        <v>23010207</v>
      </c>
      <c r="AO47" s="525"/>
      <c r="AP47" s="310">
        <v>604050500</v>
      </c>
      <c r="AQ47" s="310"/>
      <c r="AR47" s="310"/>
      <c r="AS47" s="310"/>
      <c r="AT47" s="310"/>
      <c r="AU47" s="310"/>
      <c r="AV47" s="544">
        <f t="shared" si="0"/>
        <v>604050500</v>
      </c>
      <c r="AW47" s="525"/>
      <c r="AX47" s="310"/>
      <c r="AY47" s="310"/>
      <c r="AZ47" s="310"/>
      <c r="BA47" s="310"/>
      <c r="BB47" s="310"/>
      <c r="BC47" s="310"/>
      <c r="BD47" s="544">
        <f t="shared" si="18"/>
        <v>0</v>
      </c>
      <c r="BE47" s="525"/>
      <c r="BF47" s="310"/>
      <c r="BG47" s="310"/>
      <c r="BH47" s="310"/>
      <c r="BI47" s="310"/>
      <c r="BJ47" s="310"/>
      <c r="BK47" s="310"/>
      <c r="BL47" s="544">
        <f t="shared" si="19"/>
        <v>0</v>
      </c>
      <c r="BM47" s="525"/>
      <c r="BN47" s="310"/>
      <c r="BO47" s="310"/>
      <c r="BP47" s="310"/>
      <c r="BQ47" s="310"/>
      <c r="BR47" s="310"/>
      <c r="BS47" s="310"/>
      <c r="BT47" s="544">
        <f t="shared" si="20"/>
        <v>0</v>
      </c>
      <c r="BU47" s="1639"/>
      <c r="BV47" s="663">
        <f t="shared" si="8"/>
        <v>65</v>
      </c>
      <c r="BW47" s="674">
        <f t="shared" si="9"/>
        <v>1</v>
      </c>
      <c r="BX47" s="835">
        <f t="shared" si="10"/>
        <v>1</v>
      </c>
      <c r="BY47" s="674">
        <f t="shared" si="11"/>
        <v>0</v>
      </c>
      <c r="BZ47" s="675">
        <f t="shared" si="12"/>
        <v>0</v>
      </c>
      <c r="CA47" s="675">
        <f t="shared" si="13"/>
        <v>0</v>
      </c>
    </row>
    <row r="48" spans="1:100" ht="28.5" hidden="1" thickBot="1" x14ac:dyDescent="0.3">
      <c r="A48" s="1608" t="s">
        <v>168</v>
      </c>
      <c r="B48" s="1609"/>
      <c r="C48" s="1609"/>
      <c r="D48" s="1609"/>
      <c r="E48" s="1609"/>
      <c r="F48" s="1609"/>
      <c r="G48" s="1609"/>
      <c r="H48" s="1609"/>
      <c r="I48" s="1609"/>
      <c r="J48" s="1609"/>
      <c r="K48" s="1609"/>
      <c r="L48" s="1609"/>
      <c r="M48" s="1609"/>
      <c r="N48" s="1609"/>
      <c r="O48" s="1609"/>
      <c r="P48" s="1609"/>
      <c r="Q48" s="1609"/>
      <c r="R48" s="1609"/>
      <c r="S48" s="1609"/>
      <c r="T48" s="1609"/>
      <c r="U48" s="1609"/>
      <c r="V48" s="1609"/>
      <c r="W48" s="1609"/>
      <c r="X48" s="1609"/>
      <c r="Y48" s="1609"/>
      <c r="Z48" s="1609"/>
      <c r="AA48" s="1609"/>
      <c r="AB48" s="1609"/>
      <c r="AC48" s="1609"/>
      <c r="AD48" s="1609"/>
      <c r="AE48" s="1609"/>
      <c r="AF48" s="1609"/>
      <c r="AG48" s="1609"/>
      <c r="AH48" s="1609"/>
      <c r="AI48" s="1609"/>
      <c r="AJ48" s="1609"/>
      <c r="AK48" s="1609"/>
      <c r="AL48" s="1610"/>
      <c r="AM48" s="505"/>
      <c r="AN48" s="505"/>
      <c r="AO48" s="541"/>
      <c r="AP48" s="542"/>
      <c r="AQ48" s="542"/>
      <c r="AR48" s="542"/>
      <c r="AS48" s="542"/>
      <c r="AT48" s="542"/>
      <c r="AU48" s="542"/>
      <c r="AV48" s="543">
        <f t="shared" si="0"/>
        <v>0</v>
      </c>
      <c r="AW48" s="541"/>
      <c r="AX48" s="542"/>
      <c r="AY48" s="542"/>
      <c r="AZ48" s="542"/>
      <c r="BA48" s="542"/>
      <c r="BB48" s="542"/>
      <c r="BC48" s="542"/>
      <c r="BD48" s="543">
        <f t="shared" si="18"/>
        <v>0</v>
      </c>
      <c r="BE48" s="541"/>
      <c r="BF48" s="542"/>
      <c r="BG48" s="542"/>
      <c r="BH48" s="542"/>
      <c r="BI48" s="542"/>
      <c r="BJ48" s="542"/>
      <c r="BK48" s="542"/>
      <c r="BL48" s="543">
        <f t="shared" si="19"/>
        <v>0</v>
      </c>
      <c r="BM48" s="541"/>
      <c r="BN48" s="542"/>
      <c r="BO48" s="542"/>
      <c r="BP48" s="542"/>
      <c r="BQ48" s="542"/>
      <c r="BR48" s="542"/>
      <c r="BS48" s="542"/>
      <c r="BT48" s="543">
        <f t="shared" si="20"/>
        <v>0</v>
      </c>
      <c r="BU48" s="556"/>
      <c r="BV48" s="663">
        <f t="shared" si="8"/>
        <v>0</v>
      </c>
      <c r="BW48" s="674" t="e">
        <f t="shared" si="9"/>
        <v>#DIV/0!</v>
      </c>
      <c r="BX48" s="868" t="e">
        <f t="shared" si="10"/>
        <v>#DIV/0!</v>
      </c>
      <c r="BY48" s="674" t="e">
        <f t="shared" si="11"/>
        <v>#DIV/0!</v>
      </c>
      <c r="BZ48" s="675" t="e">
        <f t="shared" si="12"/>
        <v>#DIV/0!</v>
      </c>
      <c r="CA48" s="675" t="e">
        <f t="shared" si="13"/>
        <v>#DIV/0!</v>
      </c>
    </row>
    <row r="49" spans="1:79" ht="15" hidden="1" x14ac:dyDescent="0.25">
      <c r="A49" s="311"/>
      <c r="B49" s="312" t="str">
        <f>'PLAN INDICATIVO'!B48</f>
        <v>Cultura</v>
      </c>
      <c r="C49" s="312"/>
      <c r="D49" s="1444" t="s">
        <v>170</v>
      </c>
      <c r="E49" s="1444"/>
      <c r="F49" s="1444"/>
      <c r="G49" s="1444"/>
      <c r="H49" s="1444"/>
      <c r="I49" s="1444"/>
      <c r="J49" s="1444"/>
      <c r="K49" s="1444"/>
      <c r="L49" s="1444"/>
      <c r="M49" s="1444"/>
      <c r="N49" s="1444"/>
      <c r="O49" s="1444"/>
      <c r="P49" s="1434"/>
      <c r="Q49" s="1434"/>
      <c r="R49" s="1444"/>
      <c r="S49" s="313"/>
      <c r="T49" s="682"/>
      <c r="U49" s="313"/>
      <c r="V49" s="313"/>
      <c r="W49" s="313"/>
      <c r="X49" s="313"/>
      <c r="Y49" s="313"/>
      <c r="Z49" s="313"/>
      <c r="AA49" s="314"/>
      <c r="AB49" s="314"/>
      <c r="AC49" s="314"/>
      <c r="AD49" s="314"/>
      <c r="AE49" s="314"/>
      <c r="AF49" s="314"/>
      <c r="AG49" s="315"/>
      <c r="AH49" s="315"/>
      <c r="AI49" s="314"/>
      <c r="AJ49" s="314"/>
      <c r="AK49" s="314"/>
      <c r="AL49" s="314"/>
      <c r="AM49" s="268"/>
      <c r="AN49" s="508"/>
      <c r="AO49" s="525"/>
      <c r="AP49" s="310"/>
      <c r="AQ49" s="310"/>
      <c r="AR49" s="310"/>
      <c r="AS49" s="310"/>
      <c r="AT49" s="310"/>
      <c r="AU49" s="310"/>
      <c r="AV49" s="544">
        <f t="shared" si="0"/>
        <v>0</v>
      </c>
      <c r="AW49" s="525"/>
      <c r="AX49" s="310"/>
      <c r="AY49" s="310"/>
      <c r="AZ49" s="310"/>
      <c r="BA49" s="310"/>
      <c r="BB49" s="310"/>
      <c r="BC49" s="310"/>
      <c r="BD49" s="544">
        <f t="shared" si="18"/>
        <v>0</v>
      </c>
      <c r="BE49" s="525"/>
      <c r="BF49" s="310"/>
      <c r="BG49" s="310"/>
      <c r="BH49" s="310"/>
      <c r="BI49" s="310"/>
      <c r="BJ49" s="310"/>
      <c r="BK49" s="310"/>
      <c r="BL49" s="544">
        <f t="shared" si="19"/>
        <v>0</v>
      </c>
      <c r="BM49" s="525"/>
      <c r="BN49" s="310"/>
      <c r="BO49" s="310"/>
      <c r="BP49" s="310"/>
      <c r="BQ49" s="310"/>
      <c r="BR49" s="310"/>
      <c r="BS49" s="310"/>
      <c r="BT49" s="544">
        <f t="shared" si="20"/>
        <v>0</v>
      </c>
      <c r="BU49" s="556"/>
      <c r="BV49" s="663">
        <f t="shared" si="8"/>
        <v>0</v>
      </c>
      <c r="BW49" s="674" t="e">
        <f t="shared" si="9"/>
        <v>#DIV/0!</v>
      </c>
      <c r="BX49" s="835" t="e">
        <f t="shared" si="10"/>
        <v>#DIV/0!</v>
      </c>
      <c r="BY49" s="674" t="e">
        <f t="shared" si="11"/>
        <v>#DIV/0!</v>
      </c>
      <c r="BZ49" s="675" t="e">
        <f t="shared" si="12"/>
        <v>#DIV/0!</v>
      </c>
      <c r="CA49" s="675" t="e">
        <f t="shared" si="13"/>
        <v>#DIV/0!</v>
      </c>
    </row>
    <row r="50" spans="1:79" ht="42.75" hidden="1" customHeight="1" thickBot="1" x14ac:dyDescent="0.3">
      <c r="A50" s="1608" t="s">
        <v>171</v>
      </c>
      <c r="B50" s="1609"/>
      <c r="C50" s="1609"/>
      <c r="D50" s="1609"/>
      <c r="E50" s="1609"/>
      <c r="F50" s="1609"/>
      <c r="G50" s="1609"/>
      <c r="H50" s="1609"/>
      <c r="I50" s="1609"/>
      <c r="J50" s="1609"/>
      <c r="K50" s="1609"/>
      <c r="L50" s="1609"/>
      <c r="M50" s="1609"/>
      <c r="N50" s="1609"/>
      <c r="O50" s="1609"/>
      <c r="P50" s="1609"/>
      <c r="Q50" s="1609"/>
      <c r="R50" s="1609"/>
      <c r="S50" s="1609"/>
      <c r="T50" s="1609"/>
      <c r="U50" s="1609"/>
      <c r="V50" s="1609"/>
      <c r="W50" s="1609"/>
      <c r="X50" s="1609"/>
      <c r="Y50" s="1609"/>
      <c r="Z50" s="1609"/>
      <c r="AA50" s="1609"/>
      <c r="AB50" s="1609"/>
      <c r="AC50" s="1609"/>
      <c r="AD50" s="1609"/>
      <c r="AE50" s="1609"/>
      <c r="AF50" s="1609"/>
      <c r="AG50" s="1609"/>
      <c r="AH50" s="1609"/>
      <c r="AI50" s="1609"/>
      <c r="AJ50" s="1609"/>
      <c r="AK50" s="1609"/>
      <c r="AL50" s="1610"/>
      <c r="AM50" s="435"/>
      <c r="AN50" s="660"/>
      <c r="AO50" s="541">
        <f>SUM(AO51+AO75)</f>
        <v>71172232</v>
      </c>
      <c r="AP50" s="541">
        <f t="shared" ref="AP50:AU50" si="25">SUM(AP51+AP75)</f>
        <v>115485685</v>
      </c>
      <c r="AQ50" s="541">
        <f t="shared" si="25"/>
        <v>0</v>
      </c>
      <c r="AR50" s="541">
        <f t="shared" si="25"/>
        <v>0</v>
      </c>
      <c r="AS50" s="541">
        <f t="shared" si="25"/>
        <v>0</v>
      </c>
      <c r="AT50" s="541">
        <f t="shared" si="25"/>
        <v>0</v>
      </c>
      <c r="AU50" s="541">
        <f t="shared" si="25"/>
        <v>17334776</v>
      </c>
      <c r="AV50" s="543">
        <f t="shared" si="0"/>
        <v>203992693</v>
      </c>
      <c r="AW50" s="541"/>
      <c r="AX50" s="542"/>
      <c r="AY50" s="542"/>
      <c r="AZ50" s="542"/>
      <c r="BA50" s="542"/>
      <c r="BB50" s="542"/>
      <c r="BC50" s="542"/>
      <c r="BD50" s="543">
        <f t="shared" si="18"/>
        <v>0</v>
      </c>
      <c r="BE50" s="541"/>
      <c r="BF50" s="542"/>
      <c r="BG50" s="542"/>
      <c r="BH50" s="542"/>
      <c r="BI50" s="542"/>
      <c r="BJ50" s="542"/>
      <c r="BK50" s="542"/>
      <c r="BL50" s="543">
        <f t="shared" si="19"/>
        <v>0</v>
      </c>
      <c r="BM50" s="541"/>
      <c r="BN50" s="542"/>
      <c r="BO50" s="542"/>
      <c r="BP50" s="542"/>
      <c r="BQ50" s="542"/>
      <c r="BR50" s="542"/>
      <c r="BS50" s="542"/>
      <c r="BT50" s="543">
        <f t="shared" si="20"/>
        <v>0</v>
      </c>
      <c r="BU50" s="556"/>
      <c r="BV50" s="663">
        <f t="shared" si="8"/>
        <v>0</v>
      </c>
      <c r="BW50" s="674" t="e">
        <f t="shared" si="9"/>
        <v>#DIV/0!</v>
      </c>
      <c r="BX50" s="868" t="e">
        <f t="shared" si="10"/>
        <v>#DIV/0!</v>
      </c>
      <c r="BY50" s="674" t="e">
        <f t="shared" si="11"/>
        <v>#DIV/0!</v>
      </c>
      <c r="BZ50" s="675" t="e">
        <f t="shared" si="12"/>
        <v>#DIV/0!</v>
      </c>
      <c r="CA50" s="675" t="e">
        <f t="shared" si="13"/>
        <v>#DIV/0!</v>
      </c>
    </row>
    <row r="51" spans="1:79" ht="18" hidden="1" customHeight="1" x14ac:dyDescent="0.25">
      <c r="A51" s="296"/>
      <c r="B51" s="331"/>
      <c r="C51" s="1592" t="s">
        <v>172</v>
      </c>
      <c r="D51" s="1593"/>
      <c r="E51" s="1593"/>
      <c r="F51" s="1593"/>
      <c r="G51" s="1593"/>
      <c r="H51" s="1593"/>
      <c r="I51" s="1593"/>
      <c r="J51" s="1593"/>
      <c r="K51" s="1593"/>
      <c r="L51" s="1593"/>
      <c r="M51" s="1593"/>
      <c r="N51" s="1593"/>
      <c r="O51" s="1594"/>
      <c r="P51" s="318"/>
      <c r="Q51" s="318"/>
      <c r="R51" s="317"/>
      <c r="S51" s="319"/>
      <c r="T51" s="676"/>
      <c r="U51" s="319"/>
      <c r="V51" s="695">
        <f>SUM(V52:V74)</f>
        <v>175500000</v>
      </c>
      <c r="W51" s="319"/>
      <c r="X51" s="695">
        <f>SUM(X52:X74)</f>
        <v>145000000</v>
      </c>
      <c r="Y51" s="319"/>
      <c r="Z51" s="695">
        <f>SUM(Z52:Z74)</f>
        <v>138000000</v>
      </c>
      <c r="AA51" s="320"/>
      <c r="AB51" s="708">
        <f>SUM(AB52:AB74)</f>
        <v>657000000</v>
      </c>
      <c r="AC51" s="320"/>
      <c r="AD51" s="320"/>
      <c r="AE51" s="320"/>
      <c r="AF51" s="320"/>
      <c r="AG51" s="321"/>
      <c r="AH51" s="321"/>
      <c r="AI51" s="320"/>
      <c r="AJ51" s="320"/>
      <c r="AK51" s="320"/>
      <c r="AL51" s="320"/>
      <c r="AM51" s="262"/>
      <c r="AN51" s="615"/>
      <c r="AO51" s="616">
        <f t="shared" ref="AO51:AU51" si="26">SUM(AO52:AO74)</f>
        <v>67172232</v>
      </c>
      <c r="AP51" s="616">
        <f t="shared" si="26"/>
        <v>103992352</v>
      </c>
      <c r="AQ51" s="616">
        <f t="shared" si="26"/>
        <v>0</v>
      </c>
      <c r="AR51" s="616">
        <f t="shared" si="26"/>
        <v>0</v>
      </c>
      <c r="AS51" s="616">
        <f t="shared" si="26"/>
        <v>0</v>
      </c>
      <c r="AT51" s="616">
        <f t="shared" si="26"/>
        <v>0</v>
      </c>
      <c r="AU51" s="616">
        <f t="shared" si="26"/>
        <v>17334776</v>
      </c>
      <c r="AV51" s="617">
        <f t="shared" si="0"/>
        <v>188499360</v>
      </c>
      <c r="AW51" s="616" t="e">
        <f t="shared" ref="AW51:BC51" si="27">(AW52:AW74)</f>
        <v>#VALUE!</v>
      </c>
      <c r="AX51" s="616" t="e">
        <f t="shared" si="27"/>
        <v>#VALUE!</v>
      </c>
      <c r="AY51" s="616" t="e">
        <f t="shared" si="27"/>
        <v>#VALUE!</v>
      </c>
      <c r="AZ51" s="616" t="e">
        <f t="shared" si="27"/>
        <v>#VALUE!</v>
      </c>
      <c r="BA51" s="616" t="e">
        <f t="shared" si="27"/>
        <v>#VALUE!</v>
      </c>
      <c r="BB51" s="616" t="e">
        <f t="shared" si="27"/>
        <v>#VALUE!</v>
      </c>
      <c r="BC51" s="616" t="e">
        <f t="shared" si="27"/>
        <v>#VALUE!</v>
      </c>
      <c r="BD51" s="617" t="e">
        <f t="shared" si="18"/>
        <v>#VALUE!</v>
      </c>
      <c r="BE51" s="616" t="e">
        <f t="shared" ref="BE51:BK51" si="28">(BE52:BE74)</f>
        <v>#VALUE!</v>
      </c>
      <c r="BF51" s="616" t="e">
        <f t="shared" si="28"/>
        <v>#VALUE!</v>
      </c>
      <c r="BG51" s="616" t="e">
        <f t="shared" si="28"/>
        <v>#VALUE!</v>
      </c>
      <c r="BH51" s="616" t="e">
        <f t="shared" si="28"/>
        <v>#VALUE!</v>
      </c>
      <c r="BI51" s="616" t="e">
        <f t="shared" si="28"/>
        <v>#VALUE!</v>
      </c>
      <c r="BJ51" s="616" t="e">
        <f t="shared" si="28"/>
        <v>#VALUE!</v>
      </c>
      <c r="BK51" s="616" t="e">
        <f t="shared" si="28"/>
        <v>#VALUE!</v>
      </c>
      <c r="BL51" s="617" t="e">
        <f t="shared" si="19"/>
        <v>#VALUE!</v>
      </c>
      <c r="BM51" s="616" t="e">
        <f t="shared" ref="BM51:BS51" si="29">(BM52:BM74)</f>
        <v>#VALUE!</v>
      </c>
      <c r="BN51" s="616" t="e">
        <f t="shared" si="29"/>
        <v>#VALUE!</v>
      </c>
      <c r="BO51" s="616" t="e">
        <f t="shared" si="29"/>
        <v>#VALUE!</v>
      </c>
      <c r="BP51" s="616" t="e">
        <f t="shared" si="29"/>
        <v>#VALUE!</v>
      </c>
      <c r="BQ51" s="616" t="e">
        <f t="shared" si="29"/>
        <v>#VALUE!</v>
      </c>
      <c r="BR51" s="616" t="e">
        <f t="shared" si="29"/>
        <v>#VALUE!</v>
      </c>
      <c r="BS51" s="616" t="e">
        <f t="shared" si="29"/>
        <v>#VALUE!</v>
      </c>
      <c r="BT51" s="617" t="e">
        <f t="shared" si="20"/>
        <v>#VALUE!</v>
      </c>
      <c r="BU51" s="556"/>
      <c r="BV51" s="663">
        <f t="shared" si="8"/>
        <v>0</v>
      </c>
      <c r="BW51" s="674" t="e">
        <f t="shared" si="9"/>
        <v>#DIV/0!</v>
      </c>
      <c r="BX51" s="835" t="e">
        <f t="shared" si="10"/>
        <v>#DIV/0!</v>
      </c>
      <c r="BY51" s="674" t="e">
        <f t="shared" si="11"/>
        <v>#DIV/0!</v>
      </c>
      <c r="BZ51" s="675" t="e">
        <f t="shared" si="12"/>
        <v>#DIV/0!</v>
      </c>
      <c r="CA51" s="675" t="e">
        <f t="shared" si="13"/>
        <v>#DIV/0!</v>
      </c>
    </row>
    <row r="52" spans="1:79" ht="74.25" hidden="1" customHeight="1" x14ac:dyDescent="0.25">
      <c r="A52" s="298" t="s">
        <v>173</v>
      </c>
      <c r="B52" s="299" t="str">
        <f>'PLAN INDICATIVO'!B51</f>
        <v>Cultura</v>
      </c>
      <c r="C52" s="1546" t="s">
        <v>174</v>
      </c>
      <c r="D52" s="1550" t="s">
        <v>175</v>
      </c>
      <c r="E52" s="1550" t="s">
        <v>176</v>
      </c>
      <c r="F52" s="1550">
        <v>2015</v>
      </c>
      <c r="G52" s="1550" t="s">
        <v>177</v>
      </c>
      <c r="H52" s="1550">
        <v>10</v>
      </c>
      <c r="I52" s="332">
        <f>'PLAN INDICATIVO'!I51</f>
        <v>0</v>
      </c>
      <c r="J52" s="332">
        <f>'PLAN INDICATIVO'!J51</f>
        <v>0</v>
      </c>
      <c r="K52" s="1429" t="str">
        <f>'PLAN INDICATIVO'!K51</f>
        <v>A.5.1.1</v>
      </c>
      <c r="L52" s="1429" t="str">
        <f>'PLAN INDICATIVO'!L51</f>
        <v>11. Ciudades y comunidades sostenibles</v>
      </c>
      <c r="M52" s="1429" t="str">
        <f>'PLAN INDICATIVO'!M51</f>
        <v>Secretaría de Educación, Cultura, deporte y Turismo</v>
      </c>
      <c r="N52" s="1429" t="str">
        <f>'PLAN INDICATIVO'!N51</f>
        <v>YIMI FERNANDO LOSADA PAYA</v>
      </c>
      <c r="O52" s="1429" t="str">
        <f>'PLAN INDICATIVO'!O51</f>
        <v>Incremento</v>
      </c>
      <c r="P52" s="74" t="str">
        <f>'PLAN INDICATIVO'!P51</f>
        <v xml:space="preserve">Vincular 3.200 Personas al Programa de Escuelas de Formación Artística en el municipio durante el cuatrienio. </v>
      </c>
      <c r="Q52" s="333" t="str">
        <f>'PLAN INDICATIVO'!Q51</f>
        <v>Número  personas vinculadas en el cuatrienio</v>
      </c>
      <c r="R52" s="334" t="str">
        <f>'PLAN INDICATIVO'!R51</f>
        <v>2012/2015</v>
      </c>
      <c r="S52" s="304">
        <v>2049</v>
      </c>
      <c r="T52" s="677">
        <v>3200</v>
      </c>
      <c r="U52" s="303">
        <v>800</v>
      </c>
      <c r="V52" s="687">
        <v>15200000</v>
      </c>
      <c r="W52" s="572">
        <v>800</v>
      </c>
      <c r="X52" s="687">
        <v>17000000</v>
      </c>
      <c r="Y52" s="572">
        <v>800</v>
      </c>
      <c r="Z52" s="687">
        <v>20000000</v>
      </c>
      <c r="AA52" s="572">
        <v>800</v>
      </c>
      <c r="AB52" s="687">
        <v>12000000</v>
      </c>
      <c r="AC52" s="665">
        <f>600+200</f>
        <v>800</v>
      </c>
      <c r="AD52" s="665"/>
      <c r="AE52" s="665"/>
      <c r="AF52" s="665"/>
      <c r="AG52" s="306" t="s">
        <v>2622</v>
      </c>
      <c r="AH52" s="307" t="s">
        <v>2623</v>
      </c>
      <c r="AI52" s="309">
        <v>42423</v>
      </c>
      <c r="AJ52" s="309">
        <v>42735</v>
      </c>
      <c r="AK52" s="308"/>
      <c r="AL52" s="308"/>
      <c r="AM52" s="267" t="s">
        <v>2598</v>
      </c>
      <c r="AN52" s="508" t="s">
        <v>2624</v>
      </c>
      <c r="AO52" s="310">
        <f>27600000+2800000</f>
        <v>30400000</v>
      </c>
      <c r="AP52" s="310">
        <f>15013812+500000</f>
        <v>15513812</v>
      </c>
      <c r="AQ52" s="310"/>
      <c r="AR52" s="310"/>
      <c r="AS52" s="310"/>
      <c r="AT52" s="310"/>
      <c r="AU52" s="310"/>
      <c r="AV52" s="544">
        <f t="shared" si="0"/>
        <v>45913812</v>
      </c>
      <c r="AW52" s="525"/>
      <c r="AX52" s="310"/>
      <c r="AY52" s="310"/>
      <c r="AZ52" s="310"/>
      <c r="BA52" s="310"/>
      <c r="BB52" s="310"/>
      <c r="BC52" s="310"/>
      <c r="BD52" s="544">
        <f t="shared" si="18"/>
        <v>0</v>
      </c>
      <c r="BE52" s="525"/>
      <c r="BF52" s="310"/>
      <c r="BG52" s="310"/>
      <c r="BH52" s="310"/>
      <c r="BI52" s="310"/>
      <c r="BJ52" s="310"/>
      <c r="BK52" s="310"/>
      <c r="BL52" s="544">
        <f t="shared" si="19"/>
        <v>0</v>
      </c>
      <c r="BM52" s="525"/>
      <c r="BN52" s="310"/>
      <c r="BO52" s="310"/>
      <c r="BP52" s="310"/>
      <c r="BQ52" s="310"/>
      <c r="BR52" s="310"/>
      <c r="BS52" s="310"/>
      <c r="BT52" s="544">
        <f t="shared" si="20"/>
        <v>0</v>
      </c>
      <c r="BU52" s="556"/>
      <c r="BV52" s="663">
        <f t="shared" si="8"/>
        <v>800</v>
      </c>
      <c r="BW52" s="674">
        <f t="shared" si="9"/>
        <v>0.25</v>
      </c>
      <c r="BX52" s="835">
        <f t="shared" si="10"/>
        <v>1</v>
      </c>
      <c r="BY52" s="674">
        <f t="shared" si="11"/>
        <v>0</v>
      </c>
      <c r="BZ52" s="675">
        <f t="shared" si="12"/>
        <v>0</v>
      </c>
      <c r="CA52" s="675">
        <f t="shared" si="13"/>
        <v>0</v>
      </c>
    </row>
    <row r="53" spans="1:79" ht="81.75" hidden="1" customHeight="1" x14ac:dyDescent="0.25">
      <c r="A53" s="298" t="s">
        <v>173</v>
      </c>
      <c r="B53" s="299" t="str">
        <f>'PLAN INDICATIVO'!B52</f>
        <v>Cultura</v>
      </c>
      <c r="C53" s="1547"/>
      <c r="D53" s="1551"/>
      <c r="E53" s="1551"/>
      <c r="F53" s="1551"/>
      <c r="G53" s="1551"/>
      <c r="H53" s="1551"/>
      <c r="I53" s="332">
        <f>'PLAN INDICATIVO'!I52</f>
        <v>0</v>
      </c>
      <c r="J53" s="332">
        <f>'PLAN INDICATIVO'!J52</f>
        <v>0</v>
      </c>
      <c r="K53" s="1429" t="str">
        <f>'PLAN INDICATIVO'!K52</f>
        <v>A.5.1.2</v>
      </c>
      <c r="L53" s="1429" t="str">
        <f>'PLAN INDICATIVO'!L52</f>
        <v>11. Ciudades y comunidades sostenibles</v>
      </c>
      <c r="M53" s="1429" t="str">
        <f>'PLAN INDICATIVO'!M52</f>
        <v>Secretaría de Educación, Cultura, deporte y Turismo</v>
      </c>
      <c r="N53" s="1429" t="str">
        <f>'PLAN INDICATIVO'!N52</f>
        <v>YIMI FERNANDO LOSADA PAYA</v>
      </c>
      <c r="O53" s="1429" t="str">
        <f>'PLAN INDICATIVO'!O52</f>
        <v>Incremento</v>
      </c>
      <c r="P53" s="74" t="str">
        <f>'PLAN INDICATIVO'!P52</f>
        <v>Realizar 8 Capacitaciones dirigidas a Formadores Artísticos durante el cuatrienio</v>
      </c>
      <c r="Q53" s="333" t="str">
        <f>'PLAN INDICATIVO'!Q52</f>
        <v>No. De capacitaciones realizadas en el cuatrienio</v>
      </c>
      <c r="R53" s="334">
        <f>'PLAN INDICATIVO'!R52</f>
        <v>2015</v>
      </c>
      <c r="S53" s="304">
        <v>0</v>
      </c>
      <c r="T53" s="677">
        <v>8</v>
      </c>
      <c r="U53" s="303">
        <v>2</v>
      </c>
      <c r="V53" s="687">
        <v>1800000</v>
      </c>
      <c r="W53" s="572">
        <v>2</v>
      </c>
      <c r="X53" s="687">
        <v>500000</v>
      </c>
      <c r="Y53" s="572">
        <v>2</v>
      </c>
      <c r="Z53" s="687">
        <v>500000</v>
      </c>
      <c r="AA53" s="572">
        <v>2</v>
      </c>
      <c r="AB53" s="687">
        <v>500000</v>
      </c>
      <c r="AC53" s="665">
        <v>2</v>
      </c>
      <c r="AD53" s="665"/>
      <c r="AE53" s="665"/>
      <c r="AF53" s="665"/>
      <c r="AG53" s="306" t="s">
        <v>2622</v>
      </c>
      <c r="AH53" s="307" t="s">
        <v>2625</v>
      </c>
      <c r="AI53" s="309">
        <v>42486</v>
      </c>
      <c r="AJ53" s="309">
        <v>42587</v>
      </c>
      <c r="AK53" s="308"/>
      <c r="AL53" s="308"/>
      <c r="AM53" s="267" t="s">
        <v>2598</v>
      </c>
      <c r="AN53" s="508" t="s">
        <v>2626</v>
      </c>
      <c r="AO53" s="526"/>
      <c r="AP53" s="470">
        <v>1000000</v>
      </c>
      <c r="AQ53" s="470"/>
      <c r="AR53" s="470"/>
      <c r="AS53" s="470"/>
      <c r="AT53" s="470"/>
      <c r="AU53" s="470" t="s">
        <v>2627</v>
      </c>
      <c r="AV53" s="544">
        <f t="shared" si="0"/>
        <v>1000000</v>
      </c>
      <c r="AW53" s="526"/>
      <c r="AX53" s="470"/>
      <c r="AY53" s="470"/>
      <c r="AZ53" s="470"/>
      <c r="BA53" s="470"/>
      <c r="BB53" s="470"/>
      <c r="BC53" s="470"/>
      <c r="BD53" s="544">
        <f t="shared" si="18"/>
        <v>0</v>
      </c>
      <c r="BE53" s="526"/>
      <c r="BF53" s="470"/>
      <c r="BG53" s="470"/>
      <c r="BH53" s="470"/>
      <c r="BI53" s="470"/>
      <c r="BJ53" s="470"/>
      <c r="BK53" s="470"/>
      <c r="BL53" s="544">
        <f t="shared" si="19"/>
        <v>0</v>
      </c>
      <c r="BM53" s="526"/>
      <c r="BN53" s="470"/>
      <c r="BO53" s="470"/>
      <c r="BP53" s="470"/>
      <c r="BQ53" s="470"/>
      <c r="BR53" s="470"/>
      <c r="BS53" s="470"/>
      <c r="BT53" s="544">
        <f t="shared" si="20"/>
        <v>0</v>
      </c>
      <c r="BU53" s="556"/>
      <c r="BV53" s="663">
        <f t="shared" si="8"/>
        <v>2</v>
      </c>
      <c r="BW53" s="674">
        <f t="shared" si="9"/>
        <v>0.25</v>
      </c>
      <c r="BX53" s="835">
        <f t="shared" si="10"/>
        <v>1</v>
      </c>
      <c r="BY53" s="674">
        <f t="shared" si="11"/>
        <v>0</v>
      </c>
      <c r="BZ53" s="675">
        <f t="shared" si="12"/>
        <v>0</v>
      </c>
      <c r="CA53" s="675">
        <f t="shared" si="13"/>
        <v>0</v>
      </c>
    </row>
    <row r="54" spans="1:79" ht="79.5" hidden="1" customHeight="1" x14ac:dyDescent="0.25">
      <c r="A54" s="298" t="s">
        <v>173</v>
      </c>
      <c r="B54" s="299" t="str">
        <f>'PLAN INDICATIVO'!B53</f>
        <v>Cultura</v>
      </c>
      <c r="C54" s="1547"/>
      <c r="D54" s="1551"/>
      <c r="E54" s="1551"/>
      <c r="F54" s="1551"/>
      <c r="G54" s="1551"/>
      <c r="H54" s="1551"/>
      <c r="I54" s="332">
        <f>'PLAN INDICATIVO'!I53</f>
        <v>0</v>
      </c>
      <c r="J54" s="332" t="str">
        <f>'PLAN INDICATIVO'!J53</f>
        <v>SI</v>
      </c>
      <c r="K54" s="1429" t="str">
        <f>'PLAN INDICATIVO'!K53</f>
        <v>A.5.1.3</v>
      </c>
      <c r="L54" s="1429" t="str">
        <f>'PLAN INDICATIVO'!L53</f>
        <v>11. Ciudades y comunidades sostenibles</v>
      </c>
      <c r="M54" s="1429" t="str">
        <f>'PLAN INDICATIVO'!M53</f>
        <v>Secretaría de Educación, Cultura, deporte y Turismo</v>
      </c>
      <c r="N54" s="1429" t="str">
        <f>'PLAN INDICATIVO'!N53</f>
        <v>YIMI FERNANDO LOSADA PAYA</v>
      </c>
      <c r="O54" s="1429" t="str">
        <f>'PLAN INDICATIVO'!O53</f>
        <v>Mantenimiento</v>
      </c>
      <c r="P54" s="74" t="str">
        <f>'PLAN INDICATIVO'!P53</f>
        <v>Implementar 1 programa de formación cultural y artística apoyados con instructores y dotación cada año</v>
      </c>
      <c r="Q54" s="333" t="str">
        <f>'PLAN INDICATIVO'!Q53</f>
        <v>No. De programas implementados por año</v>
      </c>
      <c r="R54" s="334">
        <f>'PLAN INDICATIVO'!R53</f>
        <v>2015</v>
      </c>
      <c r="S54" s="304">
        <v>1</v>
      </c>
      <c r="T54" s="677">
        <v>1</v>
      </c>
      <c r="U54" s="303">
        <v>1</v>
      </c>
      <c r="V54" s="687">
        <v>31300000</v>
      </c>
      <c r="W54" s="572">
        <v>1</v>
      </c>
      <c r="X54" s="687">
        <v>44000000</v>
      </c>
      <c r="Y54" s="572">
        <v>1</v>
      </c>
      <c r="Z54" s="687">
        <v>46000000</v>
      </c>
      <c r="AA54" s="572">
        <v>1</v>
      </c>
      <c r="AB54" s="687">
        <v>34500000</v>
      </c>
      <c r="AC54" s="665">
        <f>1</f>
        <v>1</v>
      </c>
      <c r="AD54" s="665"/>
      <c r="AE54" s="665"/>
      <c r="AF54" s="665"/>
      <c r="AG54" s="306" t="s">
        <v>2622</v>
      </c>
      <c r="AH54" s="307" t="s">
        <v>2628</v>
      </c>
      <c r="AI54" s="309">
        <v>42423</v>
      </c>
      <c r="AJ54" s="309">
        <v>42735</v>
      </c>
      <c r="AK54" s="308"/>
      <c r="AL54" s="308"/>
      <c r="AM54" s="267" t="s">
        <v>2598</v>
      </c>
      <c r="AN54" s="508" t="s">
        <v>2624</v>
      </c>
      <c r="AO54" s="310">
        <v>35772232</v>
      </c>
      <c r="AP54" s="310">
        <v>11013316</v>
      </c>
      <c r="AQ54" s="310"/>
      <c r="AR54" s="310"/>
      <c r="AS54" s="310"/>
      <c r="AT54" s="310"/>
      <c r="AU54" s="310" t="s">
        <v>2629</v>
      </c>
      <c r="AV54" s="544">
        <f t="shared" si="0"/>
        <v>46785548</v>
      </c>
      <c r="AW54" s="525"/>
      <c r="AX54" s="310"/>
      <c r="AY54" s="310"/>
      <c r="AZ54" s="310"/>
      <c r="BA54" s="310"/>
      <c r="BB54" s="310"/>
      <c r="BC54" s="310"/>
      <c r="BD54" s="544">
        <f t="shared" si="18"/>
        <v>0</v>
      </c>
      <c r="BE54" s="525"/>
      <c r="BF54" s="310"/>
      <c r="BG54" s="310"/>
      <c r="BH54" s="310"/>
      <c r="BI54" s="310"/>
      <c r="BJ54" s="310"/>
      <c r="BK54" s="310"/>
      <c r="BL54" s="544">
        <f t="shared" si="19"/>
        <v>0</v>
      </c>
      <c r="BM54" s="525"/>
      <c r="BN54" s="310"/>
      <c r="BO54" s="310"/>
      <c r="BP54" s="310"/>
      <c r="BQ54" s="310"/>
      <c r="BR54" s="310"/>
      <c r="BS54" s="310"/>
      <c r="BT54" s="544">
        <f t="shared" si="20"/>
        <v>0</v>
      </c>
      <c r="BU54" s="556"/>
      <c r="BV54" s="663">
        <f t="shared" si="8"/>
        <v>1</v>
      </c>
      <c r="BW54" s="674">
        <f t="shared" si="9"/>
        <v>1</v>
      </c>
      <c r="BX54" s="835">
        <f t="shared" si="10"/>
        <v>1</v>
      </c>
      <c r="BY54" s="674">
        <f t="shared" si="11"/>
        <v>0</v>
      </c>
      <c r="BZ54" s="675">
        <f t="shared" si="12"/>
        <v>0</v>
      </c>
      <c r="CA54" s="675">
        <f t="shared" si="13"/>
        <v>0</v>
      </c>
    </row>
    <row r="55" spans="1:79" ht="72" hidden="1" customHeight="1" x14ac:dyDescent="0.25">
      <c r="A55" s="298" t="s">
        <v>173</v>
      </c>
      <c r="B55" s="299" t="str">
        <f>'PLAN INDICATIVO'!B54</f>
        <v>Cultura</v>
      </c>
      <c r="C55" s="1547"/>
      <c r="D55" s="1551"/>
      <c r="E55" s="1551"/>
      <c r="F55" s="1551"/>
      <c r="G55" s="1551"/>
      <c r="H55" s="1551"/>
      <c r="I55" s="332">
        <f>'PLAN INDICATIVO'!I54</f>
        <v>0</v>
      </c>
      <c r="J55" s="332">
        <f>'PLAN INDICATIVO'!J54</f>
        <v>0</v>
      </c>
      <c r="K55" s="1429" t="str">
        <f>'PLAN INDICATIVO'!K54</f>
        <v>A.5.1.4</v>
      </c>
      <c r="L55" s="1429" t="str">
        <f>'PLAN INDICATIVO'!L54</f>
        <v>11. Ciudades y comunidades sostenibles</v>
      </c>
      <c r="M55" s="1429" t="str">
        <f>'PLAN INDICATIVO'!M54</f>
        <v>Secretaría de Educación, Cultura, deporte y Turismo</v>
      </c>
      <c r="N55" s="1429" t="str">
        <f>'PLAN INDICATIVO'!N54</f>
        <v>YIMI FERNANDO LOSADA PAYA</v>
      </c>
      <c r="O55" s="1429" t="str">
        <f>'PLAN INDICATIVO'!O54</f>
        <v>Incremento</v>
      </c>
      <c r="P55" s="74" t="str">
        <f>'PLAN INDICATIVO'!P54</f>
        <v>Mantener 40 Vigías culturales vinculados a programa de conservación del patrimonio cultural material e inmaterial del municipio durante el cuatrienio</v>
      </c>
      <c r="Q55" s="333" t="str">
        <f>'PLAN INDICATIVO'!Q54</f>
        <v>No. De vigías vinculados durante el cuatrienio</v>
      </c>
      <c r="R55" s="334">
        <f>'PLAN INDICATIVO'!R54</f>
        <v>2015</v>
      </c>
      <c r="S55" s="304">
        <v>0</v>
      </c>
      <c r="T55" s="677">
        <v>40</v>
      </c>
      <c r="U55" s="303">
        <v>5</v>
      </c>
      <c r="V55" s="687">
        <v>2000000</v>
      </c>
      <c r="W55" s="572">
        <v>10</v>
      </c>
      <c r="X55" s="687">
        <v>2000000</v>
      </c>
      <c r="Y55" s="572">
        <v>10</v>
      </c>
      <c r="Z55" s="687">
        <v>2000000</v>
      </c>
      <c r="AA55" s="572">
        <v>15</v>
      </c>
      <c r="AB55" s="687">
        <v>515000000</v>
      </c>
      <c r="AC55" s="665">
        <v>5</v>
      </c>
      <c r="AD55" s="665"/>
      <c r="AE55" s="665"/>
      <c r="AF55" s="665"/>
      <c r="AG55" s="306" t="s">
        <v>2622</v>
      </c>
      <c r="AH55" s="307" t="s">
        <v>2630</v>
      </c>
      <c r="AI55" s="309">
        <v>42552</v>
      </c>
      <c r="AJ55" s="309">
        <v>42735</v>
      </c>
      <c r="AK55" s="308"/>
      <c r="AL55" s="308"/>
      <c r="AM55" s="267" t="s">
        <v>2598</v>
      </c>
      <c r="AN55" s="508" t="s">
        <v>2624</v>
      </c>
      <c r="AO55" s="525"/>
      <c r="AP55" s="310">
        <v>1000000</v>
      </c>
      <c r="AQ55" s="310"/>
      <c r="AR55" s="310"/>
      <c r="AS55" s="310"/>
      <c r="AT55" s="310"/>
      <c r="AU55" s="310" t="s">
        <v>2627</v>
      </c>
      <c r="AV55" s="544">
        <f t="shared" si="0"/>
        <v>1000000</v>
      </c>
      <c r="AW55" s="525"/>
      <c r="AX55" s="310"/>
      <c r="AY55" s="310"/>
      <c r="AZ55" s="310"/>
      <c r="BA55" s="310"/>
      <c r="BB55" s="310"/>
      <c r="BC55" s="310"/>
      <c r="BD55" s="544">
        <f t="shared" si="18"/>
        <v>0</v>
      </c>
      <c r="BE55" s="525"/>
      <c r="BF55" s="310"/>
      <c r="BG55" s="310"/>
      <c r="BH55" s="310"/>
      <c r="BI55" s="310"/>
      <c r="BJ55" s="310"/>
      <c r="BK55" s="310"/>
      <c r="BL55" s="544">
        <f t="shared" si="19"/>
        <v>0</v>
      </c>
      <c r="BM55" s="525"/>
      <c r="BN55" s="310"/>
      <c r="BO55" s="310"/>
      <c r="BP55" s="310"/>
      <c r="BQ55" s="310"/>
      <c r="BR55" s="310"/>
      <c r="BS55" s="310"/>
      <c r="BT55" s="544">
        <f t="shared" si="20"/>
        <v>0</v>
      </c>
      <c r="BU55" s="556"/>
      <c r="BV55" s="663">
        <f t="shared" si="8"/>
        <v>5</v>
      </c>
      <c r="BW55" s="674">
        <f t="shared" si="9"/>
        <v>0.125</v>
      </c>
      <c r="BX55" s="835">
        <f t="shared" si="10"/>
        <v>1</v>
      </c>
      <c r="BY55" s="674">
        <f t="shared" si="11"/>
        <v>0</v>
      </c>
      <c r="BZ55" s="675">
        <f t="shared" si="12"/>
        <v>0</v>
      </c>
      <c r="CA55" s="675">
        <f t="shared" si="13"/>
        <v>0</v>
      </c>
    </row>
    <row r="56" spans="1:79" ht="101.25" hidden="1" customHeight="1" x14ac:dyDescent="0.25">
      <c r="A56" s="298" t="s">
        <v>173</v>
      </c>
      <c r="B56" s="299" t="str">
        <f>'PLAN INDICATIVO'!B55</f>
        <v>Cultura</v>
      </c>
      <c r="C56" s="1547"/>
      <c r="D56" s="1551"/>
      <c r="E56" s="1551"/>
      <c r="F56" s="1551"/>
      <c r="G56" s="1551"/>
      <c r="H56" s="1551"/>
      <c r="I56" s="332">
        <f>'PLAN INDICATIVO'!I55</f>
        <v>0</v>
      </c>
      <c r="J56" s="332" t="str">
        <f>'PLAN INDICATIVO'!J55</f>
        <v>SI</v>
      </c>
      <c r="K56" s="1429" t="str">
        <f>'PLAN INDICATIVO'!K55</f>
        <v>A.5.1.5</v>
      </c>
      <c r="L56" s="1429" t="str">
        <f>'PLAN INDICATIVO'!L55</f>
        <v>11. Ciudades y comunidades sostenibles</v>
      </c>
      <c r="M56" s="1429" t="str">
        <f>'PLAN INDICATIVO'!M55</f>
        <v>Secretaría de Educación, Cultura, deporte y Turismo</v>
      </c>
      <c r="N56" s="1429" t="str">
        <f>'PLAN INDICATIVO'!N55</f>
        <v>YIMI FERNANDO LOSADA PAYA</v>
      </c>
      <c r="O56" s="1429" t="str">
        <f>'PLAN INDICATIVO'!O55</f>
        <v>Mantenimiento</v>
      </c>
      <c r="P56" s="74" t="str">
        <f>'PLAN INDICATIVO'!P55</f>
        <v>Realizar una capacitación de apoyo que fomente el  reconocimiento y legalización a los diferentes grupos culturales del municipio durante el cuatrienio</v>
      </c>
      <c r="Q56" s="333" t="str">
        <f>'PLAN INDICATIVO'!Q55</f>
        <v>No. De convenios suscritos por año</v>
      </c>
      <c r="R56" s="334">
        <f>'PLAN INDICATIVO'!R55</f>
        <v>2015</v>
      </c>
      <c r="S56" s="304">
        <v>0</v>
      </c>
      <c r="T56" s="677">
        <v>1</v>
      </c>
      <c r="U56" s="303">
        <v>1</v>
      </c>
      <c r="V56" s="687">
        <v>6610000</v>
      </c>
      <c r="W56" s="572">
        <v>1</v>
      </c>
      <c r="X56" s="687">
        <v>500000</v>
      </c>
      <c r="Y56" s="572">
        <v>1</v>
      </c>
      <c r="Z56" s="687">
        <v>500000</v>
      </c>
      <c r="AA56" s="572">
        <v>1</v>
      </c>
      <c r="AB56" s="687">
        <v>500000</v>
      </c>
      <c r="AC56" s="665">
        <v>0</v>
      </c>
      <c r="AD56" s="665"/>
      <c r="AE56" s="665"/>
      <c r="AF56" s="665"/>
      <c r="AG56" s="306" t="s">
        <v>2622</v>
      </c>
      <c r="AH56" s="307" t="s">
        <v>2631</v>
      </c>
      <c r="AI56" s="309">
        <v>42552</v>
      </c>
      <c r="AJ56" s="309">
        <v>42735</v>
      </c>
      <c r="AK56" s="308"/>
      <c r="AL56" s="308"/>
      <c r="AM56" s="267" t="s">
        <v>2600</v>
      </c>
      <c r="AN56" s="508" t="s">
        <v>2627</v>
      </c>
      <c r="AO56" s="526"/>
      <c r="AP56" s="470"/>
      <c r="AQ56" s="470"/>
      <c r="AR56" s="470"/>
      <c r="AS56" s="470"/>
      <c r="AT56" s="470"/>
      <c r="AU56" s="470"/>
      <c r="AV56" s="544">
        <f t="shared" si="0"/>
        <v>0</v>
      </c>
      <c r="AW56" s="526"/>
      <c r="AX56" s="470"/>
      <c r="AY56" s="470"/>
      <c r="AZ56" s="470"/>
      <c r="BA56" s="470"/>
      <c r="BB56" s="470"/>
      <c r="BC56" s="470"/>
      <c r="BD56" s="544">
        <f t="shared" si="18"/>
        <v>0</v>
      </c>
      <c r="BE56" s="526"/>
      <c r="BF56" s="470"/>
      <c r="BG56" s="470"/>
      <c r="BH56" s="470"/>
      <c r="BI56" s="470"/>
      <c r="BJ56" s="470"/>
      <c r="BK56" s="470"/>
      <c r="BL56" s="544">
        <f t="shared" si="19"/>
        <v>0</v>
      </c>
      <c r="BM56" s="526"/>
      <c r="BN56" s="470"/>
      <c r="BO56" s="470"/>
      <c r="BP56" s="470"/>
      <c r="BQ56" s="470"/>
      <c r="BR56" s="470"/>
      <c r="BS56" s="470"/>
      <c r="BT56" s="544">
        <f t="shared" si="20"/>
        <v>0</v>
      </c>
      <c r="BU56" s="556"/>
      <c r="BV56" s="663">
        <f t="shared" si="8"/>
        <v>0</v>
      </c>
      <c r="BW56" s="674">
        <f t="shared" si="9"/>
        <v>0</v>
      </c>
      <c r="BX56" s="835">
        <f t="shared" si="10"/>
        <v>0</v>
      </c>
      <c r="BY56" s="674">
        <f t="shared" si="11"/>
        <v>0</v>
      </c>
      <c r="BZ56" s="675">
        <f t="shared" si="12"/>
        <v>0</v>
      </c>
      <c r="CA56" s="675">
        <f t="shared" si="13"/>
        <v>0</v>
      </c>
    </row>
    <row r="57" spans="1:79" ht="63" hidden="1" customHeight="1" x14ac:dyDescent="0.25">
      <c r="A57" s="298" t="s">
        <v>173</v>
      </c>
      <c r="B57" s="299" t="str">
        <f>'PLAN INDICATIVO'!B56</f>
        <v>Cultura</v>
      </c>
      <c r="C57" s="1547"/>
      <c r="D57" s="1551"/>
      <c r="E57" s="1551"/>
      <c r="F57" s="1551"/>
      <c r="G57" s="1551"/>
      <c r="H57" s="1551"/>
      <c r="I57" s="332">
        <f>'PLAN INDICATIVO'!I56</f>
        <v>0</v>
      </c>
      <c r="J57" s="332">
        <f>'PLAN INDICATIVO'!J56</f>
        <v>0</v>
      </c>
      <c r="K57" s="1429" t="str">
        <f>'PLAN INDICATIVO'!K56</f>
        <v>A.5.1.6</v>
      </c>
      <c r="L57" s="1429" t="str">
        <f>'PLAN INDICATIVO'!L56</f>
        <v>11. Ciudades y comunidades sostenibles</v>
      </c>
      <c r="M57" s="1429" t="str">
        <f>'PLAN INDICATIVO'!M56</f>
        <v>Secretaría de Educación, Cultura, deporte y Turismo</v>
      </c>
      <c r="N57" s="1429" t="str">
        <f>'PLAN INDICATIVO'!N56</f>
        <v>YIMI FERNANDO LOSADA PAYA</v>
      </c>
      <c r="O57" s="1429" t="str">
        <f>'PLAN INDICATIVO'!O56</f>
        <v>Incremento</v>
      </c>
      <c r="P57" s="74" t="str">
        <f>'PLAN INDICATIVO'!P56</f>
        <v>Presentar  16  proyectos que garanticen la financiación de los diferentes programas culturales del municipio durante el cuatrienio</v>
      </c>
      <c r="Q57" s="333" t="str">
        <f>'PLAN INDICATIVO'!Q56</f>
        <v>No. De proyectos presentados en el cuatrienio</v>
      </c>
      <c r="R57" s="334">
        <f>'PLAN INDICATIVO'!R56</f>
        <v>2015</v>
      </c>
      <c r="S57" s="304">
        <v>0</v>
      </c>
      <c r="T57" s="677">
        <v>16</v>
      </c>
      <c r="U57" s="303">
        <v>4</v>
      </c>
      <c r="V57" s="687">
        <v>5290000</v>
      </c>
      <c r="W57" s="572">
        <v>4</v>
      </c>
      <c r="X57" s="687">
        <v>500000</v>
      </c>
      <c r="Y57" s="572">
        <v>4</v>
      </c>
      <c r="Z57" s="687">
        <v>500000</v>
      </c>
      <c r="AA57" s="572">
        <v>4</v>
      </c>
      <c r="AB57" s="687">
        <v>500000</v>
      </c>
      <c r="AC57" s="665">
        <v>4</v>
      </c>
      <c r="AD57" s="665"/>
      <c r="AE57" s="665"/>
      <c r="AF57" s="665"/>
      <c r="AG57" s="306" t="s">
        <v>2622</v>
      </c>
      <c r="AH57" s="307" t="s">
        <v>2632</v>
      </c>
      <c r="AI57" s="309">
        <v>42420</v>
      </c>
      <c r="AJ57" s="309">
        <v>42735</v>
      </c>
      <c r="AK57" s="308"/>
      <c r="AL57" s="308"/>
      <c r="AM57" s="267" t="s">
        <v>2598</v>
      </c>
      <c r="AN57" s="508" t="s">
        <v>2633</v>
      </c>
      <c r="AO57" s="525"/>
      <c r="AP57" s="310">
        <v>6500000</v>
      </c>
      <c r="AQ57" s="310"/>
      <c r="AR57" s="310"/>
      <c r="AS57" s="310"/>
      <c r="AT57" s="310"/>
      <c r="AU57" s="310"/>
      <c r="AV57" s="544">
        <f t="shared" si="0"/>
        <v>6500000</v>
      </c>
      <c r="AW57" s="525"/>
      <c r="AX57" s="310"/>
      <c r="AY57" s="310"/>
      <c r="AZ57" s="310"/>
      <c r="BA57" s="310"/>
      <c r="BB57" s="310"/>
      <c r="BC57" s="310"/>
      <c r="BD57" s="544">
        <f t="shared" si="18"/>
        <v>0</v>
      </c>
      <c r="BE57" s="525"/>
      <c r="BF57" s="310"/>
      <c r="BG57" s="310"/>
      <c r="BH57" s="310"/>
      <c r="BI57" s="310"/>
      <c r="BJ57" s="310"/>
      <c r="BK57" s="310"/>
      <c r="BL57" s="544">
        <f t="shared" si="19"/>
        <v>0</v>
      </c>
      <c r="BM57" s="525"/>
      <c r="BN57" s="310"/>
      <c r="BO57" s="310"/>
      <c r="BP57" s="310"/>
      <c r="BQ57" s="310"/>
      <c r="BR57" s="310"/>
      <c r="BS57" s="310"/>
      <c r="BT57" s="544">
        <f t="shared" si="20"/>
        <v>0</v>
      </c>
      <c r="BU57" s="556"/>
      <c r="BV57" s="663">
        <f t="shared" si="8"/>
        <v>4</v>
      </c>
      <c r="BW57" s="674">
        <f t="shared" si="9"/>
        <v>0.25</v>
      </c>
      <c r="BX57" s="835">
        <f t="shared" si="10"/>
        <v>1</v>
      </c>
      <c r="BY57" s="674">
        <f t="shared" si="11"/>
        <v>0</v>
      </c>
      <c r="BZ57" s="675">
        <f t="shared" si="12"/>
        <v>0</v>
      </c>
      <c r="CA57" s="675">
        <f t="shared" si="13"/>
        <v>0</v>
      </c>
    </row>
    <row r="58" spans="1:79" ht="61.5" hidden="1" customHeight="1" x14ac:dyDescent="0.25">
      <c r="A58" s="298" t="s">
        <v>173</v>
      </c>
      <c r="B58" s="299" t="str">
        <f>'PLAN INDICATIVO'!B57</f>
        <v>Cultura</v>
      </c>
      <c r="C58" s="1547"/>
      <c r="D58" s="1551"/>
      <c r="E58" s="1551"/>
      <c r="F58" s="1551"/>
      <c r="G58" s="1551"/>
      <c r="H58" s="1551"/>
      <c r="I58" s="332">
        <f>'PLAN INDICATIVO'!I57</f>
        <v>0</v>
      </c>
      <c r="J58" s="332">
        <f>'PLAN INDICATIVO'!J57</f>
        <v>0</v>
      </c>
      <c r="K58" s="1429" t="str">
        <f>'PLAN INDICATIVO'!K57</f>
        <v>A.5.1.7</v>
      </c>
      <c r="L58" s="1429" t="str">
        <f>'PLAN INDICATIVO'!L57</f>
        <v>11. Ciudades y comunidades sostenibles</v>
      </c>
      <c r="M58" s="1429" t="str">
        <f>'PLAN INDICATIVO'!M57</f>
        <v>Secretaría de Educación, Cultura, deporte y Turismo</v>
      </c>
      <c r="N58" s="1429" t="str">
        <f>'PLAN INDICATIVO'!N57</f>
        <v>YIMI FERNANDO LOSADA PAYA</v>
      </c>
      <c r="O58" s="1429" t="str">
        <f>'PLAN INDICATIVO'!O57</f>
        <v>Mantenimiento</v>
      </c>
      <c r="P58" s="74" t="str">
        <f>'PLAN INDICATIVO'!P57</f>
        <v>Apoyar 4 eventos culturales dentro de la agenda cultural establecida anualmente  en el municipio.</v>
      </c>
      <c r="Q58" s="333" t="str">
        <f>'PLAN INDICATIVO'!Q57</f>
        <v>No. De eventos culturales apoyados cada año</v>
      </c>
      <c r="R58" s="334">
        <f>'PLAN INDICATIVO'!R57</f>
        <v>2015</v>
      </c>
      <c r="S58" s="304">
        <v>3</v>
      </c>
      <c r="T58" s="677">
        <v>4</v>
      </c>
      <c r="U58" s="303">
        <v>4</v>
      </c>
      <c r="V58" s="687">
        <v>7000000</v>
      </c>
      <c r="W58" s="572">
        <v>4</v>
      </c>
      <c r="X58" s="687">
        <v>500000</v>
      </c>
      <c r="Y58" s="572">
        <v>4</v>
      </c>
      <c r="Z58" s="687">
        <v>500000</v>
      </c>
      <c r="AA58" s="572">
        <v>4</v>
      </c>
      <c r="AB58" s="687">
        <v>10500000</v>
      </c>
      <c r="AC58" s="665">
        <v>4</v>
      </c>
      <c r="AD58" s="665"/>
      <c r="AE58" s="665"/>
      <c r="AF58" s="665"/>
      <c r="AG58" s="306" t="s">
        <v>2622</v>
      </c>
      <c r="AH58" s="307" t="s">
        <v>2634</v>
      </c>
      <c r="AI58" s="309">
        <v>42492</v>
      </c>
      <c r="AJ58" s="309">
        <v>42735</v>
      </c>
      <c r="AK58" s="308"/>
      <c r="AL58" s="308"/>
      <c r="AM58" s="267" t="s">
        <v>2598</v>
      </c>
      <c r="AN58" s="508">
        <v>230501</v>
      </c>
      <c r="AO58" s="525"/>
      <c r="AP58" s="310">
        <v>1000000</v>
      </c>
      <c r="AQ58" s="310"/>
      <c r="AR58" s="310"/>
      <c r="AS58" s="310"/>
      <c r="AT58" s="310"/>
      <c r="AU58" s="310" t="s">
        <v>2635</v>
      </c>
      <c r="AV58" s="544">
        <f t="shared" si="0"/>
        <v>1000000</v>
      </c>
      <c r="AW58" s="525"/>
      <c r="AX58" s="310"/>
      <c r="AY58" s="310"/>
      <c r="AZ58" s="310"/>
      <c r="BA58" s="310"/>
      <c r="BB58" s="310"/>
      <c r="BC58" s="310"/>
      <c r="BD58" s="544">
        <f t="shared" si="18"/>
        <v>0</v>
      </c>
      <c r="BE58" s="525"/>
      <c r="BF58" s="310"/>
      <c r="BG58" s="310"/>
      <c r="BH58" s="310"/>
      <c r="BI58" s="310"/>
      <c r="BJ58" s="310"/>
      <c r="BK58" s="310"/>
      <c r="BL58" s="544">
        <f t="shared" si="19"/>
        <v>0</v>
      </c>
      <c r="BM58" s="525"/>
      <c r="BN58" s="310"/>
      <c r="BO58" s="310"/>
      <c r="BP58" s="310"/>
      <c r="BQ58" s="310"/>
      <c r="BR58" s="310"/>
      <c r="BS58" s="310"/>
      <c r="BT58" s="544">
        <f t="shared" si="20"/>
        <v>0</v>
      </c>
      <c r="BU58" s="556"/>
      <c r="BV58" s="663">
        <f t="shared" si="8"/>
        <v>4</v>
      </c>
      <c r="BW58" s="674">
        <f t="shared" si="9"/>
        <v>1</v>
      </c>
      <c r="BX58" s="835">
        <f t="shared" si="10"/>
        <v>1</v>
      </c>
      <c r="BY58" s="674">
        <f t="shared" si="11"/>
        <v>0</v>
      </c>
      <c r="BZ58" s="675">
        <f t="shared" si="12"/>
        <v>0</v>
      </c>
      <c r="CA58" s="675">
        <f t="shared" si="13"/>
        <v>0</v>
      </c>
    </row>
    <row r="59" spans="1:79" ht="84" hidden="1" customHeight="1" x14ac:dyDescent="0.25">
      <c r="A59" s="298" t="s">
        <v>173</v>
      </c>
      <c r="B59" s="299" t="str">
        <f>'PLAN INDICATIVO'!B58</f>
        <v>Cultura</v>
      </c>
      <c r="C59" s="1547"/>
      <c r="D59" s="1551"/>
      <c r="E59" s="1551"/>
      <c r="F59" s="1551"/>
      <c r="G59" s="1551"/>
      <c r="H59" s="1551"/>
      <c r="I59" s="332">
        <f>'PLAN INDICATIVO'!I58</f>
        <v>0</v>
      </c>
      <c r="J59" s="332">
        <f>'PLAN INDICATIVO'!J58</f>
        <v>0</v>
      </c>
      <c r="K59" s="1429" t="str">
        <f>'PLAN INDICATIVO'!K58</f>
        <v>A.5.1.8</v>
      </c>
      <c r="L59" s="1429" t="str">
        <f>'PLAN INDICATIVO'!L58</f>
        <v>11. Ciudades y comunidades sostenibles</v>
      </c>
      <c r="M59" s="1429" t="str">
        <f>'PLAN INDICATIVO'!M58</f>
        <v>Secretaría de Educación, Cultura, deporte y Turismo</v>
      </c>
      <c r="N59" s="1429" t="str">
        <f>'PLAN INDICATIVO'!N58</f>
        <v>YIMI FERNANDO LOSADA PAYA</v>
      </c>
      <c r="O59" s="1429" t="str">
        <f>'PLAN INDICATIVO'!O58</f>
        <v>Incremento</v>
      </c>
      <c r="P59" s="74" t="str">
        <f>'PLAN INDICATIVO'!P58</f>
        <v>Realizar 6 eventos de intercambio cultural  y artístico donde converjan las diferentes manifestaciones artísticas de carácter  local, regional y nacional  durante el cuatrienio</v>
      </c>
      <c r="Q59" s="333" t="str">
        <f>'PLAN INDICATIVO'!Q58</f>
        <v>No. De eventos de intercambio cultural realizados en el cuatrienio</v>
      </c>
      <c r="R59" s="334">
        <f>'PLAN INDICATIVO'!R58</f>
        <v>2015</v>
      </c>
      <c r="S59" s="304">
        <v>2</v>
      </c>
      <c r="T59" s="677">
        <v>6</v>
      </c>
      <c r="U59" s="303">
        <v>1</v>
      </c>
      <c r="V59" s="687">
        <v>7000000</v>
      </c>
      <c r="W59" s="572">
        <v>1</v>
      </c>
      <c r="X59" s="687">
        <v>14000000</v>
      </c>
      <c r="Y59" s="572">
        <v>2</v>
      </c>
      <c r="Z59" s="687">
        <v>8500000</v>
      </c>
      <c r="AA59" s="572">
        <v>2</v>
      </c>
      <c r="AB59" s="687">
        <v>15000000</v>
      </c>
      <c r="AC59" s="665">
        <f>1</f>
        <v>1</v>
      </c>
      <c r="AD59" s="665"/>
      <c r="AE59" s="665"/>
      <c r="AF59" s="665"/>
      <c r="AG59" s="306" t="s">
        <v>2622</v>
      </c>
      <c r="AH59" s="307" t="s">
        <v>2636</v>
      </c>
      <c r="AI59" s="309">
        <v>42492</v>
      </c>
      <c r="AJ59" s="309">
        <v>42551</v>
      </c>
      <c r="AK59" s="308"/>
      <c r="AL59" s="308"/>
      <c r="AM59" s="267" t="s">
        <v>2598</v>
      </c>
      <c r="AN59" s="508" t="s">
        <v>2627</v>
      </c>
      <c r="AO59" s="525"/>
      <c r="AP59" s="310"/>
      <c r="AQ59" s="310"/>
      <c r="AR59" s="310"/>
      <c r="AS59" s="310"/>
      <c r="AT59" s="310"/>
      <c r="AU59" s="310" t="s">
        <v>2637</v>
      </c>
      <c r="AV59" s="544">
        <f t="shared" si="0"/>
        <v>0</v>
      </c>
      <c r="AW59" s="525"/>
      <c r="AX59" s="310"/>
      <c r="AY59" s="310"/>
      <c r="AZ59" s="310"/>
      <c r="BA59" s="310"/>
      <c r="BB59" s="310"/>
      <c r="BC59" s="310"/>
      <c r="BD59" s="544">
        <f t="shared" si="18"/>
        <v>0</v>
      </c>
      <c r="BE59" s="525"/>
      <c r="BF59" s="310"/>
      <c r="BG59" s="310"/>
      <c r="BH59" s="310"/>
      <c r="BI59" s="310"/>
      <c r="BJ59" s="310"/>
      <c r="BK59" s="310"/>
      <c r="BL59" s="544">
        <f t="shared" si="19"/>
        <v>0</v>
      </c>
      <c r="BM59" s="525"/>
      <c r="BN59" s="310"/>
      <c r="BO59" s="310"/>
      <c r="BP59" s="310"/>
      <c r="BQ59" s="310"/>
      <c r="BR59" s="310"/>
      <c r="BS59" s="310"/>
      <c r="BT59" s="544">
        <f t="shared" si="20"/>
        <v>0</v>
      </c>
      <c r="BU59" s="556"/>
      <c r="BV59" s="663">
        <f t="shared" si="8"/>
        <v>1</v>
      </c>
      <c r="BW59" s="674">
        <f t="shared" si="9"/>
        <v>0.16666666666666666</v>
      </c>
      <c r="BX59" s="835">
        <f t="shared" si="10"/>
        <v>1</v>
      </c>
      <c r="BY59" s="674">
        <f t="shared" si="11"/>
        <v>0</v>
      </c>
      <c r="BZ59" s="675">
        <f t="shared" si="12"/>
        <v>0</v>
      </c>
      <c r="CA59" s="675">
        <f t="shared" si="13"/>
        <v>0</v>
      </c>
    </row>
    <row r="60" spans="1:79" ht="77.25" hidden="1" customHeight="1" x14ac:dyDescent="0.25">
      <c r="A60" s="298" t="s">
        <v>173</v>
      </c>
      <c r="B60" s="299" t="str">
        <f>'PLAN INDICATIVO'!B59</f>
        <v>Cultura</v>
      </c>
      <c r="C60" s="1547"/>
      <c r="D60" s="1551"/>
      <c r="E60" s="1551"/>
      <c r="F60" s="1551"/>
      <c r="G60" s="1551"/>
      <c r="H60" s="1551"/>
      <c r="I60" s="332">
        <f>'PLAN INDICATIVO'!I59</f>
        <v>0</v>
      </c>
      <c r="J60" s="332">
        <f>'PLAN INDICATIVO'!J59</f>
        <v>0</v>
      </c>
      <c r="K60" s="1429" t="str">
        <f>'PLAN INDICATIVO'!K59</f>
        <v>A.5.1.9</v>
      </c>
      <c r="L60" s="1429" t="str">
        <f>'PLAN INDICATIVO'!L59</f>
        <v>11. Ciudades y comunidades sostenibles</v>
      </c>
      <c r="M60" s="1429" t="str">
        <f>'PLAN INDICATIVO'!M59</f>
        <v>Secretaría de Educación, Cultura, deporte y Turismo</v>
      </c>
      <c r="N60" s="1429" t="str">
        <f>'PLAN INDICATIVO'!N59</f>
        <v>YIMI FERNANDO LOSADA PAYA</v>
      </c>
      <c r="O60" s="1429" t="str">
        <f>'PLAN INDICATIVO'!O59</f>
        <v>Incremento</v>
      </c>
      <c r="P60" s="74" t="str">
        <f>'PLAN INDICATIVO'!P59</f>
        <v>Realizar 4 actividades culturales en el cuatrienio, que garanticen el acceso cultural de la primera infancia y la infancia</v>
      </c>
      <c r="Q60" s="333" t="str">
        <f>'PLAN INDICATIVO'!Q59</f>
        <v>No. De actividades realizadas en el cuatrienio</v>
      </c>
      <c r="R60" s="334">
        <f>'PLAN INDICATIVO'!R59</f>
        <v>2015</v>
      </c>
      <c r="S60" s="304">
        <v>0</v>
      </c>
      <c r="T60" s="677">
        <v>4</v>
      </c>
      <c r="U60" s="303">
        <v>1</v>
      </c>
      <c r="V60" s="687">
        <v>9800000</v>
      </c>
      <c r="W60" s="572">
        <v>1</v>
      </c>
      <c r="X60" s="687">
        <v>500000</v>
      </c>
      <c r="Y60" s="572">
        <v>1</v>
      </c>
      <c r="Z60" s="687">
        <v>500000</v>
      </c>
      <c r="AA60" s="572">
        <v>1</v>
      </c>
      <c r="AB60" s="687">
        <v>500000</v>
      </c>
      <c r="AC60" s="665">
        <v>1</v>
      </c>
      <c r="AD60" s="665"/>
      <c r="AE60" s="665"/>
      <c r="AF60" s="665"/>
      <c r="AG60" s="306" t="s">
        <v>2622</v>
      </c>
      <c r="AH60" s="307" t="s">
        <v>2638</v>
      </c>
      <c r="AI60" s="309">
        <v>42461</v>
      </c>
      <c r="AJ60" s="309">
        <v>42735</v>
      </c>
      <c r="AK60" s="308"/>
      <c r="AL60" s="308"/>
      <c r="AM60" s="267" t="s">
        <v>2598</v>
      </c>
      <c r="AN60" s="508" t="s">
        <v>2627</v>
      </c>
      <c r="AO60" s="525"/>
      <c r="AP60" s="310">
        <v>9600000</v>
      </c>
      <c r="AQ60" s="310"/>
      <c r="AR60" s="310"/>
      <c r="AS60" s="310"/>
      <c r="AT60" s="310"/>
      <c r="AU60" s="310" t="s">
        <v>2627</v>
      </c>
      <c r="AV60" s="544">
        <f t="shared" si="0"/>
        <v>9600000</v>
      </c>
      <c r="AW60" s="525"/>
      <c r="AX60" s="310"/>
      <c r="AY60" s="310"/>
      <c r="AZ60" s="310"/>
      <c r="BA60" s="310"/>
      <c r="BB60" s="310"/>
      <c r="BC60" s="310"/>
      <c r="BD60" s="544">
        <f t="shared" si="18"/>
        <v>0</v>
      </c>
      <c r="BE60" s="525"/>
      <c r="BF60" s="310"/>
      <c r="BG60" s="310"/>
      <c r="BH60" s="310"/>
      <c r="BI60" s="310"/>
      <c r="BJ60" s="310"/>
      <c r="BK60" s="310"/>
      <c r="BL60" s="544">
        <f t="shared" si="19"/>
        <v>0</v>
      </c>
      <c r="BM60" s="525"/>
      <c r="BN60" s="310"/>
      <c r="BO60" s="310"/>
      <c r="BP60" s="310"/>
      <c r="BQ60" s="310"/>
      <c r="BR60" s="310"/>
      <c r="BS60" s="310"/>
      <c r="BT60" s="544">
        <f t="shared" si="20"/>
        <v>0</v>
      </c>
      <c r="BU60" s="556"/>
      <c r="BV60" s="663">
        <f t="shared" si="8"/>
        <v>1</v>
      </c>
      <c r="BW60" s="674">
        <f t="shared" si="9"/>
        <v>0.25</v>
      </c>
      <c r="BX60" s="835">
        <f t="shared" si="10"/>
        <v>1</v>
      </c>
      <c r="BY60" s="674">
        <f t="shared" si="11"/>
        <v>0</v>
      </c>
      <c r="BZ60" s="675">
        <f t="shared" si="12"/>
        <v>0</v>
      </c>
      <c r="CA60" s="675">
        <f t="shared" si="13"/>
        <v>0</v>
      </c>
    </row>
    <row r="61" spans="1:79" ht="108.75" hidden="1" customHeight="1" x14ac:dyDescent="0.25">
      <c r="A61" s="298" t="s">
        <v>173</v>
      </c>
      <c r="B61" s="299" t="str">
        <f>'PLAN INDICATIVO'!B60</f>
        <v>Cultura</v>
      </c>
      <c r="C61" s="1547"/>
      <c r="D61" s="1549"/>
      <c r="E61" s="1549"/>
      <c r="F61" s="1551"/>
      <c r="G61" s="1551"/>
      <c r="H61" s="1551"/>
      <c r="I61" s="1429" t="str">
        <f>'PLAN INDICATIVO'!I60</f>
        <v>SI</v>
      </c>
      <c r="J61" s="1429">
        <f>'PLAN INDICATIVO'!J60</f>
        <v>0</v>
      </c>
      <c r="K61" s="1429" t="str">
        <f>'PLAN INDICATIVO'!K60</f>
        <v>A.5.1.10</v>
      </c>
      <c r="L61" s="1429" t="str">
        <f>'PLAN INDICATIVO'!L60</f>
        <v>11. Ciudades y comunidades sostenibles</v>
      </c>
      <c r="M61" s="1429" t="str">
        <f>'PLAN INDICATIVO'!M60</f>
        <v>Secretaría de Educación, Cultura, deporte y Turismo</v>
      </c>
      <c r="N61" s="1429" t="str">
        <f>'PLAN INDICATIVO'!N60</f>
        <v>YIMI FERNANDO LOSADA PAYA</v>
      </c>
      <c r="O61" s="1429" t="str">
        <f>'PLAN INDICATIVO'!O60</f>
        <v>Incremento</v>
      </c>
      <c r="P61" s="74" t="str">
        <f>'PLAN INDICATIVO'!P60</f>
        <v>Presentar 1 Proyecto de investigación para declarar patrimonio cultural inmaterial  el FESTIVAL FOLKLORICO Y SANPEDRINO DEL SUR OCCIDENTE HUILENSE Y ORIENTE CAUCANO,  garantizando su desarrollo y reconocimiento.</v>
      </c>
      <c r="Q61" s="333" t="str">
        <f>'PLAN INDICATIVO'!Q60</f>
        <v>No. De Proyectos presentados en el cuatrienio</v>
      </c>
      <c r="R61" s="334">
        <f>'PLAN INDICATIVO'!R60</f>
        <v>2015</v>
      </c>
      <c r="S61" s="304">
        <v>0</v>
      </c>
      <c r="T61" s="677">
        <v>1</v>
      </c>
      <c r="U61" s="303">
        <v>1</v>
      </c>
      <c r="V61" s="687">
        <v>5000000</v>
      </c>
      <c r="W61" s="572">
        <v>1</v>
      </c>
      <c r="X61" s="687">
        <v>500000</v>
      </c>
      <c r="Y61" s="572">
        <v>1</v>
      </c>
      <c r="Z61" s="687">
        <v>500000</v>
      </c>
      <c r="AA61" s="572">
        <v>1</v>
      </c>
      <c r="AB61" s="687">
        <v>500000</v>
      </c>
      <c r="AC61" s="665">
        <v>1</v>
      </c>
      <c r="AD61" s="665"/>
      <c r="AE61" s="665"/>
      <c r="AF61" s="665"/>
      <c r="AG61" s="306" t="s">
        <v>2639</v>
      </c>
      <c r="AH61" s="307" t="s">
        <v>2640</v>
      </c>
      <c r="AI61" s="309">
        <v>42522</v>
      </c>
      <c r="AJ61" s="309">
        <v>42551</v>
      </c>
      <c r="AK61" s="308"/>
      <c r="AL61" s="308"/>
      <c r="AM61" s="267" t="s">
        <v>2598</v>
      </c>
      <c r="AN61" s="508" t="s">
        <v>2627</v>
      </c>
      <c r="AO61" s="525"/>
      <c r="AP61" s="310"/>
      <c r="AQ61" s="310"/>
      <c r="AR61" s="310"/>
      <c r="AS61" s="310"/>
      <c r="AT61" s="310"/>
      <c r="AU61" s="310">
        <v>5000000</v>
      </c>
      <c r="AV61" s="544">
        <f t="shared" si="0"/>
        <v>5000000</v>
      </c>
      <c r="AW61" s="525"/>
      <c r="AX61" s="310"/>
      <c r="AY61" s="310"/>
      <c r="AZ61" s="310"/>
      <c r="BA61" s="310"/>
      <c r="BB61" s="310"/>
      <c r="BC61" s="310"/>
      <c r="BD61" s="544">
        <f t="shared" si="18"/>
        <v>0</v>
      </c>
      <c r="BE61" s="525"/>
      <c r="BF61" s="310"/>
      <c r="BG61" s="310"/>
      <c r="BH61" s="310"/>
      <c r="BI61" s="310"/>
      <c r="BJ61" s="310"/>
      <c r="BK61" s="310"/>
      <c r="BL61" s="544">
        <f t="shared" si="19"/>
        <v>0</v>
      </c>
      <c r="BM61" s="525"/>
      <c r="BN61" s="310"/>
      <c r="BO61" s="310"/>
      <c r="BP61" s="310"/>
      <c r="BQ61" s="310"/>
      <c r="BR61" s="310"/>
      <c r="BS61" s="310"/>
      <c r="BT61" s="544">
        <f t="shared" si="20"/>
        <v>0</v>
      </c>
      <c r="BU61" s="556"/>
      <c r="BV61" s="663">
        <f t="shared" si="8"/>
        <v>1</v>
      </c>
      <c r="BW61" s="674">
        <f t="shared" si="9"/>
        <v>1</v>
      </c>
      <c r="BX61" s="835">
        <f t="shared" si="10"/>
        <v>1</v>
      </c>
      <c r="BY61" s="674">
        <f t="shared" si="11"/>
        <v>0</v>
      </c>
      <c r="BZ61" s="675">
        <f t="shared" si="12"/>
        <v>0</v>
      </c>
      <c r="CA61" s="675">
        <f t="shared" si="13"/>
        <v>0</v>
      </c>
    </row>
    <row r="62" spans="1:79" ht="63" hidden="1" customHeight="1" x14ac:dyDescent="0.25">
      <c r="A62" s="298" t="s">
        <v>173</v>
      </c>
      <c r="B62" s="299" t="str">
        <f>'PLAN INDICATIVO'!B61</f>
        <v>Cultura</v>
      </c>
      <c r="C62" s="1547"/>
      <c r="D62" s="1551"/>
      <c r="E62" s="1551"/>
      <c r="F62" s="1551"/>
      <c r="G62" s="1551"/>
      <c r="H62" s="1551"/>
      <c r="I62" s="332">
        <f>'PLAN INDICATIVO'!I61</f>
        <v>0</v>
      </c>
      <c r="J62" s="332">
        <f>'PLAN INDICATIVO'!J61</f>
        <v>0</v>
      </c>
      <c r="K62" s="1429" t="str">
        <f>'PLAN INDICATIVO'!K61</f>
        <v>A.5.1.11</v>
      </c>
      <c r="L62" s="1429" t="str">
        <f>'PLAN INDICATIVO'!L61</f>
        <v>11. Ciudades y comunidades sostenibles</v>
      </c>
      <c r="M62" s="1429" t="str">
        <f>'PLAN INDICATIVO'!M61</f>
        <v>Secretaría de Educación, Cultura, deporte y Turismo</v>
      </c>
      <c r="N62" s="1429" t="str">
        <f>'PLAN INDICATIVO'!N61</f>
        <v>YIMI FERNANDO LOSADA PAYA</v>
      </c>
      <c r="O62" s="1429" t="str">
        <f>'PLAN INDICATIVO'!O61</f>
        <v>Incremento</v>
      </c>
      <c r="P62" s="74" t="str">
        <f>'PLAN INDICATIVO'!P61</f>
        <v>Realizar Cuatro (4) versiones del FESTIVAL FOLKLORICO Y SANPEDRINO DEL SUR OCCIDENTE HUILENSE Y ORIENTE CAUCANO</v>
      </c>
      <c r="Q62" s="333" t="str">
        <f>'PLAN INDICATIVO'!Q61</f>
        <v>No. De versiones del Festival Folclórico realizados en el cuatrienio</v>
      </c>
      <c r="R62" s="334">
        <f>'PLAN INDICATIVO'!R61</f>
        <v>2015</v>
      </c>
      <c r="S62" s="304">
        <v>1</v>
      </c>
      <c r="T62" s="677">
        <v>4</v>
      </c>
      <c r="U62" s="303">
        <v>1</v>
      </c>
      <c r="V62" s="687">
        <v>45000000</v>
      </c>
      <c r="W62" s="572">
        <v>1</v>
      </c>
      <c r="X62" s="687">
        <v>500000</v>
      </c>
      <c r="Y62" s="572">
        <v>1</v>
      </c>
      <c r="Z62" s="687">
        <v>500000</v>
      </c>
      <c r="AA62" s="572">
        <v>1</v>
      </c>
      <c r="AB62" s="687">
        <v>500000</v>
      </c>
      <c r="AC62" s="665">
        <v>1</v>
      </c>
      <c r="AD62" s="665"/>
      <c r="AE62" s="665"/>
      <c r="AF62" s="665"/>
      <c r="AG62" s="306" t="s">
        <v>2622</v>
      </c>
      <c r="AH62" s="307" t="s">
        <v>2641</v>
      </c>
      <c r="AI62" s="309">
        <v>42492</v>
      </c>
      <c r="AJ62" s="309">
        <v>42555</v>
      </c>
      <c r="AK62" s="308"/>
      <c r="AL62" s="308"/>
      <c r="AM62" s="267" t="s">
        <v>2598</v>
      </c>
      <c r="AN62" s="508" t="s">
        <v>2624</v>
      </c>
      <c r="AO62" s="525">
        <v>1000000</v>
      </c>
      <c r="AP62" s="310">
        <v>30865224</v>
      </c>
      <c r="AQ62" s="310"/>
      <c r="AR62" s="310"/>
      <c r="AS62" s="310"/>
      <c r="AT62" s="310"/>
      <c r="AU62" s="310">
        <v>6134776</v>
      </c>
      <c r="AV62" s="544">
        <f t="shared" si="0"/>
        <v>38000000</v>
      </c>
      <c r="AW62" s="525"/>
      <c r="AX62" s="310"/>
      <c r="AY62" s="310"/>
      <c r="AZ62" s="310"/>
      <c r="BA62" s="310"/>
      <c r="BB62" s="310"/>
      <c r="BC62" s="310"/>
      <c r="BD62" s="544">
        <f t="shared" si="18"/>
        <v>0</v>
      </c>
      <c r="BE62" s="525"/>
      <c r="BF62" s="310"/>
      <c r="BG62" s="310"/>
      <c r="BH62" s="310"/>
      <c r="BI62" s="310"/>
      <c r="BJ62" s="310"/>
      <c r="BK62" s="310"/>
      <c r="BL62" s="544">
        <f t="shared" si="19"/>
        <v>0</v>
      </c>
      <c r="BM62" s="525"/>
      <c r="BN62" s="310"/>
      <c r="BO62" s="310"/>
      <c r="BP62" s="310"/>
      <c r="BQ62" s="310"/>
      <c r="BR62" s="310"/>
      <c r="BS62" s="310"/>
      <c r="BT62" s="544">
        <f t="shared" si="20"/>
        <v>0</v>
      </c>
      <c r="BU62" s="556"/>
      <c r="BV62" s="663">
        <f t="shared" si="8"/>
        <v>1</v>
      </c>
      <c r="BW62" s="674">
        <f t="shared" si="9"/>
        <v>0.25</v>
      </c>
      <c r="BX62" s="835">
        <f t="shared" si="10"/>
        <v>1</v>
      </c>
      <c r="BY62" s="674">
        <f t="shared" si="11"/>
        <v>0</v>
      </c>
      <c r="BZ62" s="675">
        <f t="shared" si="12"/>
        <v>0</v>
      </c>
      <c r="CA62" s="675">
        <f t="shared" si="13"/>
        <v>0</v>
      </c>
    </row>
    <row r="63" spans="1:79" ht="54" hidden="1" customHeight="1" x14ac:dyDescent="0.25">
      <c r="A63" s="298" t="s">
        <v>173</v>
      </c>
      <c r="B63" s="299" t="str">
        <f>'PLAN INDICATIVO'!B62</f>
        <v>Cultura</v>
      </c>
      <c r="C63" s="1547"/>
      <c r="D63" s="1551"/>
      <c r="E63" s="1551"/>
      <c r="F63" s="1551"/>
      <c r="G63" s="1551"/>
      <c r="H63" s="1551"/>
      <c r="I63" s="332">
        <f>'PLAN INDICATIVO'!I62</f>
        <v>0</v>
      </c>
      <c r="J63" s="332">
        <f>'PLAN INDICATIVO'!J62</f>
        <v>0</v>
      </c>
      <c r="K63" s="1429" t="str">
        <f>'PLAN INDICATIVO'!K62</f>
        <v>A.5.1.12</v>
      </c>
      <c r="L63" s="1429" t="str">
        <f>'PLAN INDICATIVO'!L62</f>
        <v>11. Ciudades y comunidades sostenibles</v>
      </c>
      <c r="M63" s="1429" t="str">
        <f>'PLAN INDICATIVO'!M62</f>
        <v>Secretaría de Educación, Cultura, deporte y Turismo</v>
      </c>
      <c r="N63" s="1429" t="str">
        <f>'PLAN INDICATIVO'!N62</f>
        <v>YIMI FERNANDO LOSADA PAYA</v>
      </c>
      <c r="O63" s="1429" t="str">
        <f>'PLAN INDICATIVO'!O62</f>
        <v>Incremento</v>
      </c>
      <c r="P63" s="74" t="str">
        <f>'PLAN INDICATIVO'!P62</f>
        <v>Formular 1 Plan Decenal Municipal de Cultura  durante el cuatrienio.</v>
      </c>
      <c r="Q63" s="333" t="str">
        <f>'PLAN INDICATIVO'!Q62</f>
        <v>No. De planes decenales implementados en el cuatrienio</v>
      </c>
      <c r="R63" s="334">
        <f>'PLAN INDICATIVO'!R62</f>
        <v>2015</v>
      </c>
      <c r="S63" s="304">
        <v>0</v>
      </c>
      <c r="T63" s="677">
        <v>1</v>
      </c>
      <c r="U63" s="303">
        <v>0</v>
      </c>
      <c r="V63" s="687"/>
      <c r="W63" s="572">
        <v>0</v>
      </c>
      <c r="X63" s="687"/>
      <c r="Y63" s="572">
        <v>0.5</v>
      </c>
      <c r="Z63" s="687">
        <v>500000</v>
      </c>
      <c r="AA63" s="572">
        <v>0.5</v>
      </c>
      <c r="AB63" s="687">
        <v>500000</v>
      </c>
      <c r="AC63" s="665">
        <v>0</v>
      </c>
      <c r="AD63" s="665"/>
      <c r="AE63" s="665"/>
      <c r="AF63" s="665"/>
      <c r="AG63" s="266"/>
      <c r="AH63" s="307"/>
      <c r="AI63" s="308"/>
      <c r="AJ63" s="308"/>
      <c r="AK63" s="308"/>
      <c r="AL63" s="308"/>
      <c r="AM63" s="267" t="s">
        <v>2594</v>
      </c>
      <c r="AN63" s="508"/>
      <c r="AO63" s="526"/>
      <c r="AP63" s="470"/>
      <c r="AQ63" s="470"/>
      <c r="AR63" s="470"/>
      <c r="AS63" s="470"/>
      <c r="AT63" s="470"/>
      <c r="AU63" s="470"/>
      <c r="AV63" s="544">
        <f t="shared" si="0"/>
        <v>0</v>
      </c>
      <c r="AW63" s="526"/>
      <c r="AX63" s="470"/>
      <c r="AY63" s="470"/>
      <c r="AZ63" s="470"/>
      <c r="BA63" s="470"/>
      <c r="BB63" s="470"/>
      <c r="BC63" s="470"/>
      <c r="BD63" s="544">
        <f t="shared" si="18"/>
        <v>0</v>
      </c>
      <c r="BE63" s="526"/>
      <c r="BF63" s="470"/>
      <c r="BG63" s="470"/>
      <c r="BH63" s="470"/>
      <c r="BI63" s="470"/>
      <c r="BJ63" s="470"/>
      <c r="BK63" s="470"/>
      <c r="BL63" s="544">
        <f t="shared" si="19"/>
        <v>0</v>
      </c>
      <c r="BM63" s="526"/>
      <c r="BN63" s="470"/>
      <c r="BO63" s="470"/>
      <c r="BP63" s="470"/>
      <c r="BQ63" s="470"/>
      <c r="BR63" s="470"/>
      <c r="BS63" s="470"/>
      <c r="BT63" s="544">
        <f t="shared" si="20"/>
        <v>0</v>
      </c>
      <c r="BU63" s="556"/>
      <c r="BV63" s="663">
        <f t="shared" si="8"/>
        <v>0</v>
      </c>
      <c r="BW63" s="674">
        <f t="shared" si="9"/>
        <v>0</v>
      </c>
      <c r="BX63" s="835" t="e">
        <f t="shared" si="10"/>
        <v>#DIV/0!</v>
      </c>
      <c r="BY63" s="674" t="e">
        <f t="shared" si="11"/>
        <v>#DIV/0!</v>
      </c>
      <c r="BZ63" s="675">
        <f t="shared" si="12"/>
        <v>0</v>
      </c>
      <c r="CA63" s="675">
        <f t="shared" si="13"/>
        <v>0</v>
      </c>
    </row>
    <row r="64" spans="1:79" ht="66" hidden="1" customHeight="1" x14ac:dyDescent="0.25">
      <c r="A64" s="298" t="s">
        <v>173</v>
      </c>
      <c r="B64" s="299" t="str">
        <f>'PLAN INDICATIVO'!B63</f>
        <v>Cultura</v>
      </c>
      <c r="C64" s="1547"/>
      <c r="D64" s="1551"/>
      <c r="E64" s="1551"/>
      <c r="F64" s="1551"/>
      <c r="G64" s="1551"/>
      <c r="H64" s="1551"/>
      <c r="I64" s="332">
        <f>'PLAN INDICATIVO'!I63</f>
        <v>0</v>
      </c>
      <c r="J64" s="332">
        <f>'PLAN INDICATIVO'!J63</f>
        <v>0</v>
      </c>
      <c r="K64" s="1429" t="str">
        <f>'PLAN INDICATIVO'!K63</f>
        <v>A.5.1.13</v>
      </c>
      <c r="L64" s="1429" t="str">
        <f>'PLAN INDICATIVO'!L63</f>
        <v>11. Ciudades y comunidades sostenibles</v>
      </c>
      <c r="M64" s="1429" t="str">
        <f>'PLAN INDICATIVO'!M63</f>
        <v>Secretaría de Educación, Cultura, deporte y Turismo</v>
      </c>
      <c r="N64" s="1429" t="str">
        <f>'PLAN INDICATIVO'!N63</f>
        <v>YIMI FERNANDO LOSADA PAYA</v>
      </c>
      <c r="O64" s="1429" t="str">
        <f>'PLAN INDICATIVO'!O63</f>
        <v>Incremento</v>
      </c>
      <c r="P64" s="74" t="str">
        <f>'PLAN INDICATIVO'!P63</f>
        <v>Realizar 2 capacitaciones para promover la comercialización del sector artesanal  durante el cuatrienio</v>
      </c>
      <c r="Q64" s="333" t="str">
        <f>'PLAN INDICATIVO'!Q63</f>
        <v>No. De capacitaciones realizadas</v>
      </c>
      <c r="R64" s="334">
        <f>'PLAN INDICATIVO'!R63</f>
        <v>2015</v>
      </c>
      <c r="S64" s="304">
        <v>0</v>
      </c>
      <c r="T64" s="677">
        <v>2</v>
      </c>
      <c r="U64" s="303">
        <v>0</v>
      </c>
      <c r="V64" s="687"/>
      <c r="W64" s="572">
        <v>1</v>
      </c>
      <c r="X64" s="687">
        <v>500000</v>
      </c>
      <c r="Y64" s="572">
        <v>1</v>
      </c>
      <c r="Z64" s="687">
        <v>500000</v>
      </c>
      <c r="AA64" s="572">
        <v>0</v>
      </c>
      <c r="AB64" s="687">
        <v>500000</v>
      </c>
      <c r="AC64" s="665">
        <v>0</v>
      </c>
      <c r="AD64" s="665"/>
      <c r="AE64" s="665"/>
      <c r="AF64" s="665"/>
      <c r="AG64" s="266"/>
      <c r="AH64" s="307"/>
      <c r="AI64" s="308"/>
      <c r="AJ64" s="308"/>
      <c r="AK64" s="308"/>
      <c r="AL64" s="308"/>
      <c r="AM64" s="267" t="s">
        <v>2594</v>
      </c>
      <c r="AN64" s="508"/>
      <c r="AO64" s="526"/>
      <c r="AP64" s="470"/>
      <c r="AQ64" s="470"/>
      <c r="AR64" s="470"/>
      <c r="AS64" s="470"/>
      <c r="AT64" s="470"/>
      <c r="AU64" s="470"/>
      <c r="AV64" s="544">
        <f t="shared" si="0"/>
        <v>0</v>
      </c>
      <c r="AW64" s="526"/>
      <c r="AX64" s="470"/>
      <c r="AY64" s="470"/>
      <c r="AZ64" s="470"/>
      <c r="BA64" s="470"/>
      <c r="BB64" s="470"/>
      <c r="BC64" s="470"/>
      <c r="BD64" s="544">
        <f t="shared" si="18"/>
        <v>0</v>
      </c>
      <c r="BE64" s="526"/>
      <c r="BF64" s="470"/>
      <c r="BG64" s="470"/>
      <c r="BH64" s="470"/>
      <c r="BI64" s="470"/>
      <c r="BJ64" s="470"/>
      <c r="BK64" s="470"/>
      <c r="BL64" s="544">
        <f t="shared" si="19"/>
        <v>0</v>
      </c>
      <c r="BM64" s="526"/>
      <c r="BN64" s="470"/>
      <c r="BO64" s="470"/>
      <c r="BP64" s="470"/>
      <c r="BQ64" s="470"/>
      <c r="BR64" s="470"/>
      <c r="BS64" s="470"/>
      <c r="BT64" s="544">
        <f t="shared" si="20"/>
        <v>0</v>
      </c>
      <c r="BU64" s="556"/>
      <c r="BV64" s="663">
        <f t="shared" si="8"/>
        <v>0</v>
      </c>
      <c r="BW64" s="674">
        <f t="shared" si="9"/>
        <v>0</v>
      </c>
      <c r="BX64" s="835" t="e">
        <f t="shared" si="10"/>
        <v>#DIV/0!</v>
      </c>
      <c r="BY64" s="674">
        <f t="shared" si="11"/>
        <v>0</v>
      </c>
      <c r="BZ64" s="675">
        <f t="shared" si="12"/>
        <v>0</v>
      </c>
      <c r="CA64" s="675" t="e">
        <f t="shared" si="13"/>
        <v>#DIV/0!</v>
      </c>
    </row>
    <row r="65" spans="1:79" ht="60" hidden="1" customHeight="1" x14ac:dyDescent="0.25">
      <c r="A65" s="298" t="s">
        <v>173</v>
      </c>
      <c r="B65" s="299" t="str">
        <f>'PLAN INDICATIVO'!B64</f>
        <v>Cultura</v>
      </c>
      <c r="C65" s="1547"/>
      <c r="D65" s="1551"/>
      <c r="E65" s="1551"/>
      <c r="F65" s="1551"/>
      <c r="G65" s="1551"/>
      <c r="H65" s="1551"/>
      <c r="I65" s="332">
        <f>'PLAN INDICATIVO'!I64</f>
        <v>0</v>
      </c>
      <c r="J65" s="332" t="str">
        <f>'PLAN INDICATIVO'!J64</f>
        <v>SI</v>
      </c>
      <c r="K65" s="1429" t="str">
        <f>'PLAN INDICATIVO'!K64</f>
        <v>A.5.1.14</v>
      </c>
      <c r="L65" s="1429" t="str">
        <f>'PLAN INDICATIVO'!L64</f>
        <v>11. Ciudades y comunidades sostenibles</v>
      </c>
      <c r="M65" s="1429" t="str">
        <f>'PLAN INDICATIVO'!M64</f>
        <v>Secretaría de Educación, Cultura, deporte y Turismo</v>
      </c>
      <c r="N65" s="1429" t="str">
        <f>'PLAN INDICATIVO'!N64</f>
        <v>YIMI FERNANDO LOSADA PAYA</v>
      </c>
      <c r="O65" s="1429" t="str">
        <f>'PLAN INDICATIVO'!O64</f>
        <v>Incremento</v>
      </c>
      <c r="P65" s="74" t="str">
        <f>'PLAN INDICATIVO'!P64</f>
        <v>Implementar medidas de salvaguarda del FESTIVAL FOLKLORICO Y SANPEDRINO DEL SUR OCCIDENTE HUILENSE Y ORIENTE CAUCANO, durante el cuatrienio</v>
      </c>
      <c r="Q65" s="333" t="str">
        <f>'PLAN INDICATIVO'!Q64</f>
        <v>No. De medidas implementadas</v>
      </c>
      <c r="R65" s="334">
        <f>'PLAN INDICATIVO'!R64</f>
        <v>2015</v>
      </c>
      <c r="S65" s="304">
        <v>0</v>
      </c>
      <c r="T65" s="677">
        <v>1</v>
      </c>
      <c r="U65" s="303">
        <v>0</v>
      </c>
      <c r="V65" s="687">
        <v>2000000</v>
      </c>
      <c r="W65" s="572">
        <v>1</v>
      </c>
      <c r="X65" s="687">
        <v>500000</v>
      </c>
      <c r="Y65" s="572">
        <v>1</v>
      </c>
      <c r="Z65" s="687">
        <v>500000</v>
      </c>
      <c r="AA65" s="572">
        <v>1</v>
      </c>
      <c r="AB65" s="687">
        <v>500000</v>
      </c>
      <c r="AC65" s="665">
        <v>0</v>
      </c>
      <c r="AD65" s="665"/>
      <c r="AE65" s="665"/>
      <c r="AF65" s="665"/>
      <c r="AG65" s="266"/>
      <c r="AH65" s="307"/>
      <c r="AI65" s="308"/>
      <c r="AJ65" s="308"/>
      <c r="AK65" s="308"/>
      <c r="AL65" s="308"/>
      <c r="AM65" s="267" t="s">
        <v>2594</v>
      </c>
      <c r="AN65" s="508"/>
      <c r="AO65" s="525"/>
      <c r="AP65" s="310"/>
      <c r="AQ65" s="310"/>
      <c r="AR65" s="310"/>
      <c r="AS65" s="310"/>
      <c r="AT65" s="310"/>
      <c r="AU65" s="310"/>
      <c r="AV65" s="544">
        <f t="shared" si="0"/>
        <v>0</v>
      </c>
      <c r="AW65" s="525"/>
      <c r="AX65" s="310"/>
      <c r="AY65" s="310"/>
      <c r="AZ65" s="310"/>
      <c r="BA65" s="310"/>
      <c r="BB65" s="310"/>
      <c r="BC65" s="310"/>
      <c r="BD65" s="544">
        <f t="shared" si="18"/>
        <v>0</v>
      </c>
      <c r="BE65" s="525"/>
      <c r="BF65" s="310"/>
      <c r="BG65" s="310"/>
      <c r="BH65" s="310"/>
      <c r="BI65" s="310"/>
      <c r="BJ65" s="310"/>
      <c r="BK65" s="310"/>
      <c r="BL65" s="544">
        <f t="shared" si="19"/>
        <v>0</v>
      </c>
      <c r="BM65" s="525"/>
      <c r="BN65" s="310"/>
      <c r="BO65" s="310"/>
      <c r="BP65" s="310"/>
      <c r="BQ65" s="310"/>
      <c r="BR65" s="310"/>
      <c r="BS65" s="310"/>
      <c r="BT65" s="544">
        <f t="shared" si="20"/>
        <v>0</v>
      </c>
      <c r="BU65" s="556"/>
      <c r="BV65" s="663">
        <f t="shared" si="8"/>
        <v>0</v>
      </c>
      <c r="BW65" s="674">
        <f t="shared" si="9"/>
        <v>0</v>
      </c>
      <c r="BX65" s="835" t="e">
        <f t="shared" si="10"/>
        <v>#DIV/0!</v>
      </c>
      <c r="BY65" s="674">
        <f t="shared" si="11"/>
        <v>0</v>
      </c>
      <c r="BZ65" s="675">
        <f t="shared" si="12"/>
        <v>0</v>
      </c>
      <c r="CA65" s="675">
        <f t="shared" si="13"/>
        <v>0</v>
      </c>
    </row>
    <row r="66" spans="1:79" ht="77.25" hidden="1" customHeight="1" x14ac:dyDescent="0.25">
      <c r="A66" s="298" t="s">
        <v>173</v>
      </c>
      <c r="B66" s="299" t="str">
        <f>'PLAN INDICATIVO'!B65</f>
        <v>Cultura</v>
      </c>
      <c r="C66" s="1547"/>
      <c r="D66" s="1551"/>
      <c r="E66" s="1551"/>
      <c r="F66" s="1551"/>
      <c r="G66" s="1551"/>
      <c r="H66" s="1551"/>
      <c r="I66" s="332">
        <f>'PLAN INDICATIVO'!I65</f>
        <v>0</v>
      </c>
      <c r="J66" s="332">
        <f>'PLAN INDICATIVO'!J65</f>
        <v>0</v>
      </c>
      <c r="K66" s="1429" t="str">
        <f>'PLAN INDICATIVO'!K65</f>
        <v>A.5.1.15</v>
      </c>
      <c r="L66" s="1429" t="str">
        <f>'PLAN INDICATIVO'!L65</f>
        <v>11. Ciudades y comunidades sostenibles</v>
      </c>
      <c r="M66" s="1429" t="str">
        <f>'PLAN INDICATIVO'!M65</f>
        <v>Secretaría de Educación, Cultura, deporte y Turismo</v>
      </c>
      <c r="N66" s="1429" t="str">
        <f>'PLAN INDICATIVO'!N65</f>
        <v>YIMI FERNANDO LOSADA PAYA</v>
      </c>
      <c r="O66" s="1429" t="str">
        <f>'PLAN INDICATIVO'!O65</f>
        <v>Incremento</v>
      </c>
      <c r="P66" s="74" t="str">
        <f>'PLAN INDICATIVO'!P65</f>
        <v>Realizar 16 Peñas Culturales, en la zona urbana y rural, durante el cuatrienio</v>
      </c>
      <c r="Q66" s="333" t="str">
        <f>'PLAN INDICATIVO'!Q65</f>
        <v>No. de peñas culturales realizadas en el cuatrienio</v>
      </c>
      <c r="R66" s="334">
        <f>'PLAN INDICATIVO'!R65</f>
        <v>2015</v>
      </c>
      <c r="S66" s="304">
        <v>0</v>
      </c>
      <c r="T66" s="677">
        <v>16</v>
      </c>
      <c r="U66" s="303">
        <v>4</v>
      </c>
      <c r="V66" s="687">
        <v>2000000</v>
      </c>
      <c r="W66" s="572">
        <v>4</v>
      </c>
      <c r="X66" s="687">
        <v>5000000</v>
      </c>
      <c r="Y66" s="572">
        <v>4</v>
      </c>
      <c r="Z66" s="687">
        <v>5000000</v>
      </c>
      <c r="AA66" s="572">
        <v>4</v>
      </c>
      <c r="AB66" s="687">
        <v>5000000</v>
      </c>
      <c r="AC66" s="665">
        <v>4</v>
      </c>
      <c r="AD66" s="665"/>
      <c r="AE66" s="665"/>
      <c r="AF66" s="665"/>
      <c r="AG66" s="306" t="s">
        <v>2622</v>
      </c>
      <c r="AH66" s="307" t="s">
        <v>2642</v>
      </c>
      <c r="AI66" s="309">
        <v>42492</v>
      </c>
      <c r="AJ66" s="309">
        <v>42551</v>
      </c>
      <c r="AK66" s="308"/>
      <c r="AL66" s="308"/>
      <c r="AM66" s="267" t="s">
        <v>2598</v>
      </c>
      <c r="AN66" s="508" t="s">
        <v>2627</v>
      </c>
      <c r="AO66" s="525"/>
      <c r="AP66" s="310"/>
      <c r="AQ66" s="310"/>
      <c r="AR66" s="310"/>
      <c r="AS66" s="310"/>
      <c r="AT66" s="310"/>
      <c r="AU66" s="310">
        <v>6200000</v>
      </c>
      <c r="AV66" s="544">
        <f t="shared" si="0"/>
        <v>6200000</v>
      </c>
      <c r="AW66" s="525"/>
      <c r="AX66" s="310"/>
      <c r="AY66" s="310"/>
      <c r="AZ66" s="310"/>
      <c r="BA66" s="310"/>
      <c r="BB66" s="310"/>
      <c r="BC66" s="310"/>
      <c r="BD66" s="544">
        <f t="shared" si="18"/>
        <v>0</v>
      </c>
      <c r="BE66" s="525"/>
      <c r="BF66" s="310"/>
      <c r="BG66" s="310"/>
      <c r="BH66" s="310"/>
      <c r="BI66" s="310"/>
      <c r="BJ66" s="310"/>
      <c r="BK66" s="310"/>
      <c r="BL66" s="544">
        <f t="shared" si="19"/>
        <v>0</v>
      </c>
      <c r="BM66" s="525"/>
      <c r="BN66" s="310"/>
      <c r="BO66" s="310"/>
      <c r="BP66" s="310"/>
      <c r="BQ66" s="310"/>
      <c r="BR66" s="310"/>
      <c r="BS66" s="310"/>
      <c r="BT66" s="544">
        <f t="shared" si="20"/>
        <v>0</v>
      </c>
      <c r="BU66" s="556"/>
      <c r="BV66" s="663">
        <f t="shared" si="8"/>
        <v>4</v>
      </c>
      <c r="BW66" s="674">
        <f t="shared" si="9"/>
        <v>0.25</v>
      </c>
      <c r="BX66" s="835">
        <f t="shared" si="10"/>
        <v>1</v>
      </c>
      <c r="BY66" s="674">
        <f t="shared" si="11"/>
        <v>0</v>
      </c>
      <c r="BZ66" s="675">
        <f t="shared" si="12"/>
        <v>0</v>
      </c>
      <c r="CA66" s="675">
        <f t="shared" si="13"/>
        <v>0</v>
      </c>
    </row>
    <row r="67" spans="1:79" ht="81" hidden="1" customHeight="1" x14ac:dyDescent="0.25">
      <c r="A67" s="298" t="s">
        <v>173</v>
      </c>
      <c r="B67" s="299" t="str">
        <f>'PLAN INDICATIVO'!B66</f>
        <v>Cultura</v>
      </c>
      <c r="C67" s="1547"/>
      <c r="D67" s="1551"/>
      <c r="E67" s="1551"/>
      <c r="F67" s="1551"/>
      <c r="G67" s="1551"/>
      <c r="H67" s="1551"/>
      <c r="I67" s="332">
        <f>'PLAN INDICATIVO'!I66</f>
        <v>0</v>
      </c>
      <c r="J67" s="332">
        <f>'PLAN INDICATIVO'!J66</f>
        <v>0</v>
      </c>
      <c r="K67" s="1429" t="str">
        <f>'PLAN INDICATIVO'!K66</f>
        <v>A.5.1.16</v>
      </c>
      <c r="L67" s="1429" t="str">
        <f>'PLAN INDICATIVO'!L66</f>
        <v>11. Ciudades y comunidades sostenibles</v>
      </c>
      <c r="M67" s="1429" t="str">
        <f>'PLAN INDICATIVO'!M66</f>
        <v>Secretaría de Educación, Cultura, deporte y Turismo</v>
      </c>
      <c r="N67" s="1429" t="str">
        <f>'PLAN INDICATIVO'!N66</f>
        <v>YIMI FERNANDO LOSADA PAYA</v>
      </c>
      <c r="O67" s="1429" t="str">
        <f>'PLAN INDICATIVO'!O66</f>
        <v>Incremento</v>
      </c>
      <c r="P67" s="74" t="str">
        <f>'PLAN INDICATIVO'!P66</f>
        <v>Suministrar 2 dotaciones mantenimiento y/o compra de accesorios, para los instrumentos para las bandas musicales y de paz, durante el cuatrienio</v>
      </c>
      <c r="Q67" s="333" t="str">
        <f>'PLAN INDICATIVO'!Q66</f>
        <v>No. de dotaciones mantenimientos y/o compras de accesorios suministradas en el cuatrienio</v>
      </c>
      <c r="R67" s="334">
        <f>'PLAN INDICATIVO'!R66</f>
        <v>2015</v>
      </c>
      <c r="S67" s="304">
        <v>0</v>
      </c>
      <c r="T67" s="677">
        <v>2</v>
      </c>
      <c r="U67" s="303">
        <v>1</v>
      </c>
      <c r="V67" s="687">
        <v>6500000</v>
      </c>
      <c r="W67" s="685">
        <v>1</v>
      </c>
      <c r="X67" s="687">
        <v>17000000</v>
      </c>
      <c r="Y67" s="685">
        <v>2</v>
      </c>
      <c r="Z67" s="687">
        <v>10000000</v>
      </c>
      <c r="AA67" s="685">
        <v>2</v>
      </c>
      <c r="AB67" s="687">
        <v>20000000</v>
      </c>
      <c r="AC67" s="836">
        <v>0</v>
      </c>
      <c r="AD67" s="665"/>
      <c r="AE67" s="665"/>
      <c r="AF67" s="665"/>
      <c r="AG67" s="266"/>
      <c r="AH67" s="307" t="s">
        <v>2643</v>
      </c>
      <c r="AI67" s="308"/>
      <c r="AJ67" s="308"/>
      <c r="AK67" s="308"/>
      <c r="AL67" s="308"/>
      <c r="AM67" s="267" t="s">
        <v>2600</v>
      </c>
      <c r="AN67" s="508"/>
      <c r="AO67" s="525"/>
      <c r="AP67" s="310"/>
      <c r="AQ67" s="310"/>
      <c r="AR67" s="310"/>
      <c r="AS67" s="310"/>
      <c r="AT67" s="310"/>
      <c r="AU67" s="310" t="s">
        <v>2644</v>
      </c>
      <c r="AV67" s="544">
        <f t="shared" si="0"/>
        <v>0</v>
      </c>
      <c r="AW67" s="525"/>
      <c r="AX67" s="310"/>
      <c r="AY67" s="310"/>
      <c r="AZ67" s="310"/>
      <c r="BA67" s="310"/>
      <c r="BB67" s="310"/>
      <c r="BC67" s="310"/>
      <c r="BD67" s="544">
        <f t="shared" si="18"/>
        <v>0</v>
      </c>
      <c r="BE67" s="525"/>
      <c r="BF67" s="310"/>
      <c r="BG67" s="310"/>
      <c r="BH67" s="310"/>
      <c r="BI67" s="310"/>
      <c r="BJ67" s="310"/>
      <c r="BK67" s="310"/>
      <c r="BL67" s="544">
        <f t="shared" si="19"/>
        <v>0</v>
      </c>
      <c r="BM67" s="525"/>
      <c r="BN67" s="310"/>
      <c r="BO67" s="310"/>
      <c r="BP67" s="310"/>
      <c r="BQ67" s="310"/>
      <c r="BR67" s="310"/>
      <c r="BS67" s="310"/>
      <c r="BT67" s="544">
        <f t="shared" si="20"/>
        <v>0</v>
      </c>
      <c r="BU67" s="556"/>
      <c r="BV67" s="663">
        <f t="shared" si="8"/>
        <v>0</v>
      </c>
      <c r="BW67" s="674">
        <f t="shared" si="9"/>
        <v>0</v>
      </c>
      <c r="BX67" s="835">
        <f t="shared" si="10"/>
        <v>0</v>
      </c>
      <c r="BY67" s="674">
        <f t="shared" si="11"/>
        <v>0</v>
      </c>
      <c r="BZ67" s="675">
        <f t="shared" si="12"/>
        <v>0</v>
      </c>
      <c r="CA67" s="675">
        <f t="shared" si="13"/>
        <v>0</v>
      </c>
    </row>
    <row r="68" spans="1:79" ht="82.5" hidden="1" customHeight="1" x14ac:dyDescent="0.25">
      <c r="A68" s="298" t="s">
        <v>173</v>
      </c>
      <c r="B68" s="299" t="str">
        <f>'PLAN INDICATIVO'!B67</f>
        <v>Cultura</v>
      </c>
      <c r="C68" s="1547"/>
      <c r="D68" s="1551"/>
      <c r="E68" s="1551"/>
      <c r="F68" s="1551"/>
      <c r="G68" s="1551"/>
      <c r="H68" s="1551"/>
      <c r="I68" s="332">
        <f>'PLAN INDICATIVO'!I67</f>
        <v>0</v>
      </c>
      <c r="J68" s="332">
        <f>'PLAN INDICATIVO'!J67</f>
        <v>0</v>
      </c>
      <c r="K68" s="1429" t="str">
        <f>'PLAN INDICATIVO'!K67</f>
        <v>A.5.1.17</v>
      </c>
      <c r="L68" s="1429" t="str">
        <f>'PLAN INDICATIVO'!L67</f>
        <v>11. Ciudades y comunidades sostenibles</v>
      </c>
      <c r="M68" s="1429" t="str">
        <f>'PLAN INDICATIVO'!M67</f>
        <v>Secretaría de Educación, Cultura, deporte y Turismo</v>
      </c>
      <c r="N68" s="1429" t="str">
        <f>'PLAN INDICATIVO'!N67</f>
        <v>YIMI FERNANDO LOSADA PAYA</v>
      </c>
      <c r="O68" s="1429" t="str">
        <f>'PLAN INDICATIVO'!O67</f>
        <v>Incremento</v>
      </c>
      <c r="P68" s="74" t="str">
        <f>'PLAN INDICATIVO'!P67</f>
        <v>Vincular 320 personas en el cuatrienio al programa musical de bandas, coros, música tradicional y de cuerda, con apoyo logístico y de personal</v>
      </c>
      <c r="Q68" s="333" t="str">
        <f>'PLAN INDICATIVO'!Q67</f>
        <v>No. De personas vinculadas en el cuatrienio</v>
      </c>
      <c r="R68" s="334">
        <f>'PLAN INDICATIVO'!R67</f>
        <v>2015</v>
      </c>
      <c r="S68" s="304">
        <v>50</v>
      </c>
      <c r="T68" s="677">
        <v>320</v>
      </c>
      <c r="U68" s="303">
        <v>130</v>
      </c>
      <c r="V68" s="687">
        <v>18000000</v>
      </c>
      <c r="W68" s="572">
        <v>80</v>
      </c>
      <c r="X68" s="687">
        <v>18000000</v>
      </c>
      <c r="Y68" s="572">
        <v>80</v>
      </c>
      <c r="Z68" s="687">
        <v>18000000</v>
      </c>
      <c r="AA68" s="572">
        <v>30</v>
      </c>
      <c r="AB68" s="687">
        <v>15000000</v>
      </c>
      <c r="AC68" s="665">
        <f>60+70</f>
        <v>130</v>
      </c>
      <c r="AD68" s="665"/>
      <c r="AE68" s="665"/>
      <c r="AF68" s="665"/>
      <c r="AG68" s="306" t="s">
        <v>2622</v>
      </c>
      <c r="AH68" s="307" t="s">
        <v>2645</v>
      </c>
      <c r="AI68" s="309">
        <v>42423</v>
      </c>
      <c r="AJ68" s="309">
        <v>42551</v>
      </c>
      <c r="AK68" s="308"/>
      <c r="AL68" s="308"/>
      <c r="AM68" s="267" t="s">
        <v>2598</v>
      </c>
      <c r="AN68" s="508" t="s">
        <v>2646</v>
      </c>
      <c r="AO68" s="525"/>
      <c r="AP68" s="310">
        <v>20000000</v>
      </c>
      <c r="AQ68" s="310"/>
      <c r="AR68" s="310"/>
      <c r="AS68" s="310"/>
      <c r="AT68" s="310"/>
      <c r="AU68" s="310"/>
      <c r="AV68" s="544">
        <f t="shared" si="0"/>
        <v>20000000</v>
      </c>
      <c r="AW68" s="525"/>
      <c r="AX68" s="310"/>
      <c r="AY68" s="310"/>
      <c r="AZ68" s="310"/>
      <c r="BA68" s="310"/>
      <c r="BB68" s="310"/>
      <c r="BC68" s="310"/>
      <c r="BD68" s="544">
        <f t="shared" si="18"/>
        <v>0</v>
      </c>
      <c r="BE68" s="525"/>
      <c r="BF68" s="310"/>
      <c r="BG68" s="310"/>
      <c r="BH68" s="310"/>
      <c r="BI68" s="310"/>
      <c r="BJ68" s="310"/>
      <c r="BK68" s="310"/>
      <c r="BL68" s="544">
        <f t="shared" si="19"/>
        <v>0</v>
      </c>
      <c r="BM68" s="525"/>
      <c r="BN68" s="310"/>
      <c r="BO68" s="310"/>
      <c r="BP68" s="310"/>
      <c r="BQ68" s="310"/>
      <c r="BR68" s="310"/>
      <c r="BS68" s="310"/>
      <c r="BT68" s="544">
        <f t="shared" si="20"/>
        <v>0</v>
      </c>
      <c r="BU68" s="556"/>
      <c r="BV68" s="663">
        <f t="shared" si="8"/>
        <v>130</v>
      </c>
      <c r="BW68" s="674">
        <f t="shared" si="9"/>
        <v>0.40625</v>
      </c>
      <c r="BX68" s="835">
        <f t="shared" si="10"/>
        <v>1</v>
      </c>
      <c r="BY68" s="674">
        <f t="shared" si="11"/>
        <v>0</v>
      </c>
      <c r="BZ68" s="675">
        <f t="shared" si="12"/>
        <v>0</v>
      </c>
      <c r="CA68" s="675">
        <f t="shared" si="13"/>
        <v>0</v>
      </c>
    </row>
    <row r="69" spans="1:79" ht="57.75" hidden="1" customHeight="1" x14ac:dyDescent="0.25">
      <c r="A69" s="298" t="s">
        <v>173</v>
      </c>
      <c r="B69" s="299" t="str">
        <f>'PLAN INDICATIVO'!B68</f>
        <v>Cultura</v>
      </c>
      <c r="C69" s="1547"/>
      <c r="D69" s="1551"/>
      <c r="E69" s="1551"/>
      <c r="F69" s="1551"/>
      <c r="G69" s="1551"/>
      <c r="H69" s="1551"/>
      <c r="I69" s="332">
        <f>'PLAN INDICATIVO'!I68</f>
        <v>0</v>
      </c>
      <c r="J69" s="332">
        <f>'PLAN INDICATIVO'!J68</f>
        <v>0</v>
      </c>
      <c r="K69" s="1429" t="str">
        <f>'PLAN INDICATIVO'!K68</f>
        <v>A.5.1.18</v>
      </c>
      <c r="L69" s="1429" t="str">
        <f>'PLAN INDICATIVO'!L68</f>
        <v>11. Ciudades y comunidades sostenibles</v>
      </c>
      <c r="M69" s="1429" t="str">
        <f>'PLAN INDICATIVO'!M68</f>
        <v>Secretaría de Educación, Cultura, deporte y Turismo</v>
      </c>
      <c r="N69" s="1429" t="str">
        <f>'PLAN INDICATIVO'!N68</f>
        <v>YIMI FERNANDO LOSADA PAYA</v>
      </c>
      <c r="O69" s="1429" t="str">
        <f>'PLAN INDICATIVO'!O68</f>
        <v>Incremento</v>
      </c>
      <c r="P69" s="74" t="str">
        <f>'PLAN INDICATIVO'!P68</f>
        <v>Crear 1 Secretaria Municipal de Cultura, Deporte y Turismo durante el cuatrienio.</v>
      </c>
      <c r="Q69" s="333" t="str">
        <f>'PLAN INDICATIVO'!Q68</f>
        <v>No. De secretarias creadas en el cuatrienio</v>
      </c>
      <c r="R69" s="334">
        <f>'PLAN INDICATIVO'!R68</f>
        <v>2015</v>
      </c>
      <c r="S69" s="304">
        <v>0</v>
      </c>
      <c r="T69" s="677">
        <v>1</v>
      </c>
      <c r="U69" s="303">
        <v>0</v>
      </c>
      <c r="V69" s="687"/>
      <c r="W69" s="572">
        <v>1</v>
      </c>
      <c r="X69" s="687">
        <v>500000</v>
      </c>
      <c r="Y69" s="572">
        <v>1</v>
      </c>
      <c r="Z69" s="687">
        <v>500000</v>
      </c>
      <c r="AA69" s="572">
        <v>1</v>
      </c>
      <c r="AB69" s="687">
        <v>500000</v>
      </c>
      <c r="AC69" s="665">
        <v>0</v>
      </c>
      <c r="AD69" s="665"/>
      <c r="AE69" s="665"/>
      <c r="AF69" s="665"/>
      <c r="AG69" s="266"/>
      <c r="AH69" s="307"/>
      <c r="AI69" s="308"/>
      <c r="AJ69" s="308"/>
      <c r="AK69" s="308"/>
      <c r="AL69" s="308"/>
      <c r="AM69" s="267" t="s">
        <v>2594</v>
      </c>
      <c r="AN69" s="508"/>
      <c r="AO69" s="525"/>
      <c r="AP69" s="310"/>
      <c r="AQ69" s="310"/>
      <c r="AR69" s="310"/>
      <c r="AS69" s="310"/>
      <c r="AT69" s="310"/>
      <c r="AU69" s="310"/>
      <c r="AV69" s="544">
        <f t="shared" si="0"/>
        <v>0</v>
      </c>
      <c r="AW69" s="525"/>
      <c r="AX69" s="310"/>
      <c r="AY69" s="310"/>
      <c r="AZ69" s="310"/>
      <c r="BA69" s="310"/>
      <c r="BB69" s="310"/>
      <c r="BC69" s="310"/>
      <c r="BD69" s="544">
        <f t="shared" si="18"/>
        <v>0</v>
      </c>
      <c r="BE69" s="525"/>
      <c r="BF69" s="310"/>
      <c r="BG69" s="310"/>
      <c r="BH69" s="310"/>
      <c r="BI69" s="310"/>
      <c r="BJ69" s="310"/>
      <c r="BK69" s="310"/>
      <c r="BL69" s="544">
        <f t="shared" si="19"/>
        <v>0</v>
      </c>
      <c r="BM69" s="525"/>
      <c r="BN69" s="310"/>
      <c r="BO69" s="310"/>
      <c r="BP69" s="310"/>
      <c r="BQ69" s="310"/>
      <c r="BR69" s="310"/>
      <c r="BS69" s="310"/>
      <c r="BT69" s="544">
        <f t="shared" si="20"/>
        <v>0</v>
      </c>
      <c r="BU69" s="556"/>
      <c r="BV69" s="663">
        <f t="shared" si="8"/>
        <v>0</v>
      </c>
      <c r="BW69" s="674">
        <f t="shared" si="9"/>
        <v>0</v>
      </c>
      <c r="BX69" s="835" t="e">
        <f t="shared" si="10"/>
        <v>#DIV/0!</v>
      </c>
      <c r="BY69" s="674">
        <f t="shared" si="11"/>
        <v>0</v>
      </c>
      <c r="BZ69" s="675">
        <f t="shared" si="12"/>
        <v>0</v>
      </c>
      <c r="CA69" s="675">
        <f t="shared" si="13"/>
        <v>0</v>
      </c>
    </row>
    <row r="70" spans="1:79" ht="62.25" hidden="1" customHeight="1" x14ac:dyDescent="0.25">
      <c r="A70" s="298" t="s">
        <v>173</v>
      </c>
      <c r="B70" s="299" t="str">
        <f>'PLAN INDICATIVO'!B69</f>
        <v>Cultura</v>
      </c>
      <c r="C70" s="1547"/>
      <c r="D70" s="1551"/>
      <c r="E70" s="1551"/>
      <c r="F70" s="1551"/>
      <c r="G70" s="1551"/>
      <c r="H70" s="1551"/>
      <c r="I70" s="332">
        <f>'PLAN INDICATIVO'!I69</f>
        <v>0</v>
      </c>
      <c r="J70" s="332">
        <f>'PLAN INDICATIVO'!J69</f>
        <v>0</v>
      </c>
      <c r="K70" s="1429" t="str">
        <f>'PLAN INDICATIVO'!K69</f>
        <v>A.5.1.19</v>
      </c>
      <c r="L70" s="1429" t="str">
        <f>'PLAN INDICATIVO'!L69</f>
        <v>11. Ciudades y comunidades sostenibles</v>
      </c>
      <c r="M70" s="1429" t="str">
        <f>'PLAN INDICATIVO'!M69</f>
        <v>Secretaría de Educación, Cultura, deporte y Turismo</v>
      </c>
      <c r="N70" s="1429" t="str">
        <f>'PLAN INDICATIVO'!N69</f>
        <v>YIMI FERNANDO LOSADA PAYA</v>
      </c>
      <c r="O70" s="1429" t="str">
        <f>'PLAN INDICATIVO'!O69</f>
        <v>Incremento</v>
      </c>
      <c r="P70" s="74" t="str">
        <f>'PLAN INDICATIVO'!P69</f>
        <v>Apoyar 9  giras de intercambio cultural  a  grupos artísticos representativos del municipio, durante el cuatrienio</v>
      </c>
      <c r="Q70" s="333" t="str">
        <f>'PLAN INDICATIVO'!Q69</f>
        <v>No. de giras realizadas en el cuatrienio</v>
      </c>
      <c r="R70" s="334">
        <f>'PLAN INDICATIVO'!R69</f>
        <v>2015</v>
      </c>
      <c r="S70" s="304">
        <v>0</v>
      </c>
      <c r="T70" s="677">
        <v>9</v>
      </c>
      <c r="U70" s="303">
        <v>0</v>
      </c>
      <c r="V70" s="687"/>
      <c r="W70" s="572">
        <v>3</v>
      </c>
      <c r="X70" s="687">
        <v>500000</v>
      </c>
      <c r="Y70" s="572">
        <v>3</v>
      </c>
      <c r="Z70" s="687">
        <v>500000</v>
      </c>
      <c r="AA70" s="572">
        <v>3</v>
      </c>
      <c r="AB70" s="687">
        <v>500000</v>
      </c>
      <c r="AC70" s="665">
        <v>0</v>
      </c>
      <c r="AD70" s="665"/>
      <c r="AE70" s="665"/>
      <c r="AF70" s="665"/>
      <c r="AG70" s="266"/>
      <c r="AH70" s="307"/>
      <c r="AI70" s="308"/>
      <c r="AJ70" s="308"/>
      <c r="AK70" s="308"/>
      <c r="AL70" s="308"/>
      <c r="AM70" s="267" t="s">
        <v>2594</v>
      </c>
      <c r="AN70" s="508"/>
      <c r="AO70" s="525"/>
      <c r="AP70" s="310"/>
      <c r="AQ70" s="310"/>
      <c r="AR70" s="310"/>
      <c r="AS70" s="310"/>
      <c r="AT70" s="310"/>
      <c r="AU70" s="310"/>
      <c r="AV70" s="544">
        <f t="shared" ref="AV70:AV133" si="30">SUM(AO70:AU70)</f>
        <v>0</v>
      </c>
      <c r="AW70" s="525"/>
      <c r="AX70" s="310"/>
      <c r="AY70" s="310"/>
      <c r="AZ70" s="310"/>
      <c r="BA70" s="310"/>
      <c r="BB70" s="310"/>
      <c r="BC70" s="310"/>
      <c r="BD70" s="544">
        <f t="shared" si="18"/>
        <v>0</v>
      </c>
      <c r="BE70" s="525"/>
      <c r="BF70" s="310"/>
      <c r="BG70" s="310"/>
      <c r="BH70" s="310"/>
      <c r="BI70" s="310"/>
      <c r="BJ70" s="310"/>
      <c r="BK70" s="310"/>
      <c r="BL70" s="544">
        <f t="shared" si="19"/>
        <v>0</v>
      </c>
      <c r="BM70" s="525"/>
      <c r="BN70" s="310"/>
      <c r="BO70" s="310"/>
      <c r="BP70" s="310"/>
      <c r="BQ70" s="310"/>
      <c r="BR70" s="310"/>
      <c r="BS70" s="310"/>
      <c r="BT70" s="544">
        <f t="shared" si="20"/>
        <v>0</v>
      </c>
      <c r="BU70" s="556"/>
      <c r="BV70" s="663">
        <f t="shared" si="8"/>
        <v>0</v>
      </c>
      <c r="BW70" s="674">
        <f t="shared" si="9"/>
        <v>0</v>
      </c>
      <c r="BX70" s="835" t="e">
        <f t="shared" si="10"/>
        <v>#DIV/0!</v>
      </c>
      <c r="BY70" s="674">
        <f t="shared" si="11"/>
        <v>0</v>
      </c>
      <c r="BZ70" s="675">
        <f t="shared" si="12"/>
        <v>0</v>
      </c>
      <c r="CA70" s="675">
        <f t="shared" si="13"/>
        <v>0</v>
      </c>
    </row>
    <row r="71" spans="1:79" ht="72" hidden="1" customHeight="1" x14ac:dyDescent="0.25">
      <c r="A71" s="298" t="s">
        <v>173</v>
      </c>
      <c r="B71" s="299" t="str">
        <f>'PLAN INDICATIVO'!B70</f>
        <v>Cultura</v>
      </c>
      <c r="C71" s="1547"/>
      <c r="D71" s="1551"/>
      <c r="E71" s="1551"/>
      <c r="F71" s="1551"/>
      <c r="G71" s="1551"/>
      <c r="H71" s="1551"/>
      <c r="I71" s="332">
        <f>'PLAN INDICATIVO'!I70</f>
        <v>0</v>
      </c>
      <c r="J71" s="332">
        <f>'PLAN INDICATIVO'!J70</f>
        <v>0</v>
      </c>
      <c r="K71" s="1429" t="str">
        <f>'PLAN INDICATIVO'!K70</f>
        <v>A.5.1.20</v>
      </c>
      <c r="L71" s="1429" t="str">
        <f>'PLAN INDICATIVO'!L70</f>
        <v>11. Ciudades y comunidades sostenibles</v>
      </c>
      <c r="M71" s="1429" t="str">
        <f>'PLAN INDICATIVO'!M70</f>
        <v>Secretaría de Educación, Cultura, deporte y Turismo</v>
      </c>
      <c r="N71" s="1429" t="str">
        <f>'PLAN INDICATIVO'!N70</f>
        <v>YIMI FERNANDO LOSADA PAYA</v>
      </c>
      <c r="O71" s="1429" t="str">
        <f>'PLAN INDICATIVO'!O70</f>
        <v>Mantenimiento</v>
      </c>
      <c r="P71" s="74" t="str">
        <f>'PLAN INDICATIVO'!P70</f>
        <v>Generar 1  Espacio  anual de intercambio y formación  para  visibilización de  las manifestaciones artísticas y culturales de los diferentes grupos étnicos  acentuados en el municipio.</v>
      </c>
      <c r="Q71" s="333" t="str">
        <f>'PLAN INDICATIVO'!Q70</f>
        <v>No. de actividades realizadas cada año</v>
      </c>
      <c r="R71" s="334">
        <f>'PLAN INDICATIVO'!R70</f>
        <v>2015</v>
      </c>
      <c r="S71" s="304">
        <v>0</v>
      </c>
      <c r="T71" s="677">
        <v>4</v>
      </c>
      <c r="U71" s="303">
        <v>1</v>
      </c>
      <c r="V71" s="687">
        <v>7000000</v>
      </c>
      <c r="W71" s="572">
        <v>1</v>
      </c>
      <c r="X71" s="687">
        <v>10000000</v>
      </c>
      <c r="Y71" s="572">
        <v>1</v>
      </c>
      <c r="Z71" s="687">
        <v>10000000</v>
      </c>
      <c r="AA71" s="572">
        <v>1</v>
      </c>
      <c r="AB71" s="687">
        <v>10000000</v>
      </c>
      <c r="AC71" s="665">
        <v>1</v>
      </c>
      <c r="AD71" s="665"/>
      <c r="AE71" s="665"/>
      <c r="AF71" s="665"/>
      <c r="AG71" s="306" t="s">
        <v>2622</v>
      </c>
      <c r="AH71" s="307" t="s">
        <v>2647</v>
      </c>
      <c r="AI71" s="309">
        <v>42675</v>
      </c>
      <c r="AJ71" s="309">
        <v>42704</v>
      </c>
      <c r="AK71" s="308"/>
      <c r="AL71" s="308"/>
      <c r="AM71" s="267" t="s">
        <v>2598</v>
      </c>
      <c r="AN71" s="508" t="s">
        <v>2627</v>
      </c>
      <c r="AO71" s="525"/>
      <c r="AP71" s="310">
        <v>500000</v>
      </c>
      <c r="AQ71" s="310"/>
      <c r="AR71" s="310"/>
      <c r="AS71" s="310"/>
      <c r="AT71" s="310"/>
      <c r="AU71" s="310"/>
      <c r="AV71" s="544">
        <f t="shared" si="30"/>
        <v>500000</v>
      </c>
      <c r="AW71" s="525"/>
      <c r="AX71" s="310"/>
      <c r="AY71" s="310"/>
      <c r="AZ71" s="310"/>
      <c r="BA71" s="310"/>
      <c r="BB71" s="310"/>
      <c r="BC71" s="310"/>
      <c r="BD71" s="544">
        <f t="shared" si="18"/>
        <v>0</v>
      </c>
      <c r="BE71" s="525"/>
      <c r="BF71" s="310"/>
      <c r="BG71" s="310"/>
      <c r="BH71" s="310"/>
      <c r="BI71" s="310"/>
      <c r="BJ71" s="310"/>
      <c r="BK71" s="310"/>
      <c r="BL71" s="544">
        <f t="shared" si="19"/>
        <v>0</v>
      </c>
      <c r="BM71" s="525"/>
      <c r="BN71" s="310"/>
      <c r="BO71" s="310"/>
      <c r="BP71" s="310"/>
      <c r="BQ71" s="310"/>
      <c r="BR71" s="310"/>
      <c r="BS71" s="310"/>
      <c r="BT71" s="544">
        <f t="shared" si="20"/>
        <v>0</v>
      </c>
      <c r="BU71" s="556"/>
      <c r="BV71" s="663">
        <f t="shared" si="8"/>
        <v>1</v>
      </c>
      <c r="BW71" s="674">
        <f t="shared" si="9"/>
        <v>0.25</v>
      </c>
      <c r="BX71" s="835">
        <f t="shared" si="10"/>
        <v>1</v>
      </c>
      <c r="BY71" s="674">
        <f t="shared" si="11"/>
        <v>0</v>
      </c>
      <c r="BZ71" s="675">
        <f t="shared" si="12"/>
        <v>0</v>
      </c>
      <c r="CA71" s="675">
        <f t="shared" si="13"/>
        <v>0</v>
      </c>
    </row>
    <row r="72" spans="1:79" ht="66.75" hidden="1" customHeight="1" x14ac:dyDescent="0.25">
      <c r="A72" s="298" t="s">
        <v>173</v>
      </c>
      <c r="B72" s="299" t="str">
        <f>'PLAN INDICATIVO'!B71</f>
        <v>Cultura</v>
      </c>
      <c r="C72" s="1547"/>
      <c r="D72" s="1551"/>
      <c r="E72" s="1551"/>
      <c r="F72" s="1551"/>
      <c r="G72" s="1551"/>
      <c r="H72" s="1551"/>
      <c r="I72" s="332">
        <f>'PLAN INDICATIVO'!I71</f>
        <v>0</v>
      </c>
      <c r="J72" s="332">
        <f>'PLAN INDICATIVO'!J71</f>
        <v>0</v>
      </c>
      <c r="K72" s="1429" t="str">
        <f>'PLAN INDICATIVO'!K71</f>
        <v>A.5.1.21</v>
      </c>
      <c r="L72" s="1429" t="str">
        <f>'PLAN INDICATIVO'!L71</f>
        <v>11. Ciudades y comunidades sostenibles</v>
      </c>
      <c r="M72" s="1429" t="str">
        <f>'PLAN INDICATIVO'!M71</f>
        <v>Secretaría de Educación, Cultura, deporte y Turismo</v>
      </c>
      <c r="N72" s="1429" t="str">
        <f>'PLAN INDICATIVO'!N71</f>
        <v>YIMI FERNANDO LOSADA PAYA</v>
      </c>
      <c r="O72" s="1429" t="str">
        <f>'PLAN INDICATIVO'!O71</f>
        <v>Mantenimiento</v>
      </c>
      <c r="P72" s="74" t="str">
        <f>'PLAN INDICATIVO'!P71</f>
        <v>Desarrollar 1 plan de apoyo a gestores culturales para el fomento de la cultura local cada año</v>
      </c>
      <c r="Q72" s="333" t="str">
        <f>'PLAN INDICATIVO'!Q71</f>
        <v>No. De planes desarrollados cada año</v>
      </c>
      <c r="R72" s="334">
        <f>'PLAN INDICATIVO'!R71</f>
        <v>2015</v>
      </c>
      <c r="S72" s="304">
        <v>1</v>
      </c>
      <c r="T72" s="677">
        <v>1</v>
      </c>
      <c r="U72" s="303">
        <v>1</v>
      </c>
      <c r="V72" s="687">
        <v>2000000</v>
      </c>
      <c r="W72" s="572">
        <v>1</v>
      </c>
      <c r="X72" s="687">
        <v>7000000</v>
      </c>
      <c r="Y72" s="572">
        <v>1</v>
      </c>
      <c r="Z72" s="687">
        <v>7000000</v>
      </c>
      <c r="AA72" s="572">
        <v>1</v>
      </c>
      <c r="AB72" s="687">
        <v>9000000</v>
      </c>
      <c r="AC72" s="665">
        <v>1</v>
      </c>
      <c r="AD72" s="665"/>
      <c r="AE72" s="665"/>
      <c r="AF72" s="665"/>
      <c r="AG72" s="306"/>
      <c r="AH72" s="307" t="s">
        <v>2648</v>
      </c>
      <c r="AI72" s="309">
        <v>42583</v>
      </c>
      <c r="AJ72" s="309">
        <v>42613</v>
      </c>
      <c r="AK72" s="308"/>
      <c r="AL72" s="308"/>
      <c r="AM72" s="267" t="s">
        <v>2598</v>
      </c>
      <c r="AN72" s="508">
        <v>230501</v>
      </c>
      <c r="AO72" s="525"/>
      <c r="AP72" s="310">
        <v>5000000</v>
      </c>
      <c r="AQ72" s="310"/>
      <c r="AR72" s="310"/>
      <c r="AS72" s="310"/>
      <c r="AT72" s="310"/>
      <c r="AU72" s="310"/>
      <c r="AV72" s="544">
        <f t="shared" si="30"/>
        <v>5000000</v>
      </c>
      <c r="AW72" s="525"/>
      <c r="AX72" s="310"/>
      <c r="AY72" s="310"/>
      <c r="AZ72" s="310"/>
      <c r="BA72" s="310"/>
      <c r="BB72" s="310"/>
      <c r="BC72" s="310"/>
      <c r="BD72" s="544">
        <f t="shared" si="18"/>
        <v>0</v>
      </c>
      <c r="BE72" s="525"/>
      <c r="BF72" s="310"/>
      <c r="BG72" s="310"/>
      <c r="BH72" s="310"/>
      <c r="BI72" s="310"/>
      <c r="BJ72" s="310"/>
      <c r="BK72" s="310"/>
      <c r="BL72" s="544">
        <f t="shared" si="19"/>
        <v>0</v>
      </c>
      <c r="BM72" s="525"/>
      <c r="BN72" s="310"/>
      <c r="BO72" s="310"/>
      <c r="BP72" s="310"/>
      <c r="BQ72" s="310"/>
      <c r="BR72" s="310"/>
      <c r="BS72" s="310"/>
      <c r="BT72" s="544">
        <f t="shared" si="20"/>
        <v>0</v>
      </c>
      <c r="BU72" s="556"/>
      <c r="BV72" s="663">
        <f t="shared" si="8"/>
        <v>1</v>
      </c>
      <c r="BW72" s="674">
        <f t="shared" si="9"/>
        <v>1</v>
      </c>
      <c r="BX72" s="835">
        <f t="shared" si="10"/>
        <v>1</v>
      </c>
      <c r="BY72" s="674">
        <f t="shared" si="11"/>
        <v>0</v>
      </c>
      <c r="BZ72" s="675">
        <f t="shared" si="12"/>
        <v>0</v>
      </c>
      <c r="CA72" s="675">
        <f t="shared" si="13"/>
        <v>0</v>
      </c>
    </row>
    <row r="73" spans="1:79" ht="65.25" hidden="1" customHeight="1" x14ac:dyDescent="0.25">
      <c r="A73" s="298" t="s">
        <v>173</v>
      </c>
      <c r="B73" s="299" t="str">
        <f>'PLAN INDICATIVO'!B72</f>
        <v>Cultura</v>
      </c>
      <c r="C73" s="1547"/>
      <c r="D73" s="1551"/>
      <c r="E73" s="1551"/>
      <c r="F73" s="1551"/>
      <c r="G73" s="1551"/>
      <c r="H73" s="1551"/>
      <c r="I73" s="332">
        <f>'PLAN INDICATIVO'!I72</f>
        <v>0</v>
      </c>
      <c r="J73" s="332">
        <f>'PLAN INDICATIVO'!J72</f>
        <v>0</v>
      </c>
      <c r="K73" s="1429" t="str">
        <f>'PLAN INDICATIVO'!K72</f>
        <v>A.5.1.22</v>
      </c>
      <c r="L73" s="1429" t="str">
        <f>'PLAN INDICATIVO'!L72</f>
        <v>11. Ciudades y comunidades sostenibles</v>
      </c>
      <c r="M73" s="1429" t="str">
        <f>'PLAN INDICATIVO'!M72</f>
        <v>Secretaría de Educación, Cultura, deporte y Turismo</v>
      </c>
      <c r="N73" s="1429" t="str">
        <f>'PLAN INDICATIVO'!N72</f>
        <v>YIMI FERNANDO LOSADA PAYA</v>
      </c>
      <c r="O73" s="1429" t="str">
        <f>'PLAN INDICATIVO'!O72</f>
        <v>Incremento</v>
      </c>
      <c r="P73" s="74" t="str">
        <f>'PLAN INDICATIVO'!P72</f>
        <v>Crear a través de un (1) acuerdo municipal, la institucionalización de las festividades del 6 de enero en el Centro Poblado Belen</v>
      </c>
      <c r="Q73" s="333" t="str">
        <f>'PLAN INDICATIVO'!Q72</f>
        <v>No. De acuerdos municipales creados</v>
      </c>
      <c r="R73" s="334">
        <f>'PLAN INDICATIVO'!R72</f>
        <v>2015</v>
      </c>
      <c r="S73" s="304">
        <v>0</v>
      </c>
      <c r="T73" s="677">
        <v>1</v>
      </c>
      <c r="U73" s="303">
        <v>0</v>
      </c>
      <c r="V73" s="687"/>
      <c r="W73" s="572">
        <v>1</v>
      </c>
      <c r="X73" s="687">
        <v>500000</v>
      </c>
      <c r="Y73" s="572">
        <v>1</v>
      </c>
      <c r="Z73" s="687">
        <v>500000</v>
      </c>
      <c r="AA73" s="572">
        <v>1</v>
      </c>
      <c r="AB73" s="687">
        <v>500000</v>
      </c>
      <c r="AC73" s="665">
        <v>0</v>
      </c>
      <c r="AD73" s="665"/>
      <c r="AE73" s="665"/>
      <c r="AF73" s="665"/>
      <c r="AG73" s="266"/>
      <c r="AH73" s="307"/>
      <c r="AI73" s="308"/>
      <c r="AJ73" s="308"/>
      <c r="AK73" s="308"/>
      <c r="AL73" s="308"/>
      <c r="AM73" s="267" t="s">
        <v>2594</v>
      </c>
      <c r="AN73" s="508"/>
      <c r="AO73" s="525"/>
      <c r="AP73" s="310"/>
      <c r="AQ73" s="310"/>
      <c r="AR73" s="310"/>
      <c r="AS73" s="310"/>
      <c r="AT73" s="310"/>
      <c r="AU73" s="310"/>
      <c r="AV73" s="544">
        <f t="shared" si="30"/>
        <v>0</v>
      </c>
      <c r="AW73" s="525"/>
      <c r="AX73" s="310"/>
      <c r="AY73" s="310"/>
      <c r="AZ73" s="310"/>
      <c r="BA73" s="310"/>
      <c r="BB73" s="310"/>
      <c r="BC73" s="310"/>
      <c r="BD73" s="544">
        <f t="shared" si="18"/>
        <v>0</v>
      </c>
      <c r="BE73" s="525"/>
      <c r="BF73" s="310"/>
      <c r="BG73" s="310"/>
      <c r="BH73" s="310"/>
      <c r="BI73" s="310"/>
      <c r="BJ73" s="310"/>
      <c r="BK73" s="310"/>
      <c r="BL73" s="544">
        <f t="shared" si="19"/>
        <v>0</v>
      </c>
      <c r="BM73" s="525"/>
      <c r="BN73" s="310"/>
      <c r="BO73" s="310"/>
      <c r="BP73" s="310"/>
      <c r="BQ73" s="310"/>
      <c r="BR73" s="310"/>
      <c r="BS73" s="310"/>
      <c r="BT73" s="544">
        <f t="shared" si="20"/>
        <v>0</v>
      </c>
      <c r="BU73" s="556"/>
      <c r="BV73" s="663">
        <f t="shared" si="8"/>
        <v>0</v>
      </c>
      <c r="BW73" s="674">
        <f t="shared" si="9"/>
        <v>0</v>
      </c>
      <c r="BX73" s="835" t="e">
        <f t="shared" si="10"/>
        <v>#DIV/0!</v>
      </c>
      <c r="BY73" s="674">
        <f t="shared" si="11"/>
        <v>0</v>
      </c>
      <c r="BZ73" s="675">
        <f t="shared" si="12"/>
        <v>0</v>
      </c>
      <c r="CA73" s="675">
        <f t="shared" si="13"/>
        <v>0</v>
      </c>
    </row>
    <row r="74" spans="1:79" ht="78" hidden="1" customHeight="1" x14ac:dyDescent="0.25">
      <c r="A74" s="298" t="s">
        <v>173</v>
      </c>
      <c r="B74" s="299" t="str">
        <f>'PLAN INDICATIVO'!B73</f>
        <v>Cultura</v>
      </c>
      <c r="C74" s="1547"/>
      <c r="D74" s="1551"/>
      <c r="E74" s="1551"/>
      <c r="F74" s="1551"/>
      <c r="G74" s="1551"/>
      <c r="H74" s="1551"/>
      <c r="I74" s="332">
        <f>'PLAN INDICATIVO'!I73</f>
        <v>0</v>
      </c>
      <c r="J74" s="332">
        <f>'PLAN INDICATIVO'!J73</f>
        <v>0</v>
      </c>
      <c r="K74" s="1429" t="str">
        <f>'PLAN INDICATIVO'!K73</f>
        <v>A.5.1.23</v>
      </c>
      <c r="L74" s="1429" t="str">
        <f>'PLAN INDICATIVO'!L73</f>
        <v>11. Ciudades y comunidades sostenibles</v>
      </c>
      <c r="M74" s="1429" t="str">
        <f>'PLAN INDICATIVO'!M73</f>
        <v>Secretaría de Educación, Cultura, deporte y Turismo</v>
      </c>
      <c r="N74" s="1429" t="str">
        <f>'PLAN INDICATIVO'!N73</f>
        <v>YIMI FERNANDO LOSADA PAYA</v>
      </c>
      <c r="O74" s="1429" t="str">
        <f>'PLAN INDICATIVO'!O73</f>
        <v>Mantenimiento</v>
      </c>
      <c r="P74" s="74" t="str">
        <f>'PLAN INDICATIVO'!P73</f>
        <v>Ejecutar 1 convenio anualmente de apoyo a programas de difusión periodística y promoción  cultural en medios de comunicación.</v>
      </c>
      <c r="Q74" s="333" t="str">
        <f>'PLAN INDICATIVO'!Q73</f>
        <v>No. De convenios ejecutados cada año</v>
      </c>
      <c r="R74" s="334">
        <f>'PLAN INDICATIVO'!R73</f>
        <v>2015</v>
      </c>
      <c r="S74" s="304">
        <v>0</v>
      </c>
      <c r="T74" s="677">
        <v>4</v>
      </c>
      <c r="U74" s="303">
        <v>1</v>
      </c>
      <c r="V74" s="687">
        <v>2000000</v>
      </c>
      <c r="W74" s="572">
        <v>1</v>
      </c>
      <c r="X74" s="687">
        <v>5000000</v>
      </c>
      <c r="Y74" s="572">
        <v>1</v>
      </c>
      <c r="Z74" s="687">
        <v>5000000</v>
      </c>
      <c r="AA74" s="572">
        <v>1</v>
      </c>
      <c r="AB74" s="687">
        <v>5000000</v>
      </c>
      <c r="AC74" s="665">
        <v>1</v>
      </c>
      <c r="AD74" s="665"/>
      <c r="AE74" s="665"/>
      <c r="AF74" s="665"/>
      <c r="AG74" s="306"/>
      <c r="AH74" s="307" t="s">
        <v>2649</v>
      </c>
      <c r="AI74" s="309">
        <v>42522</v>
      </c>
      <c r="AJ74" s="309">
        <v>42551</v>
      </c>
      <c r="AK74" s="308"/>
      <c r="AL74" s="308"/>
      <c r="AM74" s="267" t="s">
        <v>2598</v>
      </c>
      <c r="AN74" s="508" t="s">
        <v>2624</v>
      </c>
      <c r="AO74" s="525"/>
      <c r="AP74" s="310">
        <v>2000000</v>
      </c>
      <c r="AQ74" s="310"/>
      <c r="AR74" s="310"/>
      <c r="AS74" s="310"/>
      <c r="AT74" s="310"/>
      <c r="AU74" s="310"/>
      <c r="AV74" s="544">
        <f t="shared" si="30"/>
        <v>2000000</v>
      </c>
      <c r="AW74" s="525"/>
      <c r="AX74" s="310"/>
      <c r="AY74" s="310"/>
      <c r="AZ74" s="310"/>
      <c r="BA74" s="310"/>
      <c r="BB74" s="310"/>
      <c r="BC74" s="310"/>
      <c r="BD74" s="544">
        <f t="shared" si="18"/>
        <v>0</v>
      </c>
      <c r="BE74" s="525"/>
      <c r="BF74" s="310"/>
      <c r="BG74" s="310"/>
      <c r="BH74" s="310"/>
      <c r="BI74" s="310"/>
      <c r="BJ74" s="310"/>
      <c r="BK74" s="310"/>
      <c r="BL74" s="544">
        <f t="shared" si="19"/>
        <v>0</v>
      </c>
      <c r="BM74" s="525"/>
      <c r="BN74" s="310"/>
      <c r="BO74" s="310"/>
      <c r="BP74" s="310"/>
      <c r="BQ74" s="310"/>
      <c r="BR74" s="310"/>
      <c r="BS74" s="310"/>
      <c r="BT74" s="544">
        <f t="shared" si="20"/>
        <v>0</v>
      </c>
      <c r="BU74" s="556"/>
      <c r="BV74" s="663">
        <f t="shared" ref="BV74:BV137" si="31">AC74+AD74+AE74+AF74</f>
        <v>1</v>
      </c>
      <c r="BW74" s="674">
        <f t="shared" ref="BW74:BW137" si="32">BV74/T74</f>
        <v>0.25</v>
      </c>
      <c r="BX74" s="835">
        <f t="shared" ref="BX74:BX137" si="33">AC74/U74</f>
        <v>1</v>
      </c>
      <c r="BY74" s="674">
        <f t="shared" ref="BY74:BY137" si="34">AD74/W74</f>
        <v>0</v>
      </c>
      <c r="BZ74" s="675">
        <f t="shared" ref="BZ74:BZ137" si="35">AE74/Y74</f>
        <v>0</v>
      </c>
      <c r="CA74" s="675">
        <f t="shared" ref="CA74:CA137" si="36">AF74/AA74</f>
        <v>0</v>
      </c>
    </row>
    <row r="75" spans="1:79" ht="42.75" hidden="1" customHeight="1" x14ac:dyDescent="0.25">
      <c r="A75" s="295" t="s">
        <v>173</v>
      </c>
      <c r="B75" s="24" t="str">
        <f>'PLAN INDICATIVO'!B74</f>
        <v>Cultura</v>
      </c>
      <c r="C75" s="1624" t="s">
        <v>249</v>
      </c>
      <c r="D75" s="1625"/>
      <c r="E75" s="1625"/>
      <c r="F75" s="1625"/>
      <c r="G75" s="1625"/>
      <c r="H75" s="1625"/>
      <c r="I75" s="1625"/>
      <c r="J75" s="1625"/>
      <c r="K75" s="1625"/>
      <c r="L75" s="1625"/>
      <c r="M75" s="1625"/>
      <c r="N75" s="1625"/>
      <c r="O75" s="1626"/>
      <c r="P75" s="25"/>
      <c r="Q75" s="25"/>
      <c r="R75" s="17"/>
      <c r="S75" s="270"/>
      <c r="T75" s="677"/>
      <c r="U75" s="270"/>
      <c r="V75" s="713">
        <f>SUM(V76:V84)</f>
        <v>291500000</v>
      </c>
      <c r="W75" s="270"/>
      <c r="X75" s="705">
        <f>SUM(X76:X84)</f>
        <v>20000000</v>
      </c>
      <c r="Y75" s="270"/>
      <c r="Z75" s="705">
        <f>SUM(Z76:Z84)</f>
        <v>26000000</v>
      </c>
      <c r="AA75" s="271"/>
      <c r="AB75" s="714">
        <f>SUM(AB76:AB84)</f>
        <v>30000000</v>
      </c>
      <c r="AC75" s="271"/>
      <c r="AD75" s="271"/>
      <c r="AE75" s="271"/>
      <c r="AF75" s="271"/>
      <c r="AG75" s="272"/>
      <c r="AH75" s="272"/>
      <c r="AI75" s="271"/>
      <c r="AJ75" s="271"/>
      <c r="AK75" s="271"/>
      <c r="AL75" s="271"/>
      <c r="AM75" s="271"/>
      <c r="AN75" s="618"/>
      <c r="AO75" s="619">
        <f>SUM(AO76:AO84)</f>
        <v>4000000</v>
      </c>
      <c r="AP75" s="619">
        <f t="shared" ref="AP75:AV75" si="37">SUM(AP76:AP84)</f>
        <v>11493333</v>
      </c>
      <c r="AQ75" s="619">
        <f t="shared" si="37"/>
        <v>0</v>
      </c>
      <c r="AR75" s="619">
        <f t="shared" si="37"/>
        <v>0</v>
      </c>
      <c r="AS75" s="619">
        <f t="shared" si="37"/>
        <v>0</v>
      </c>
      <c r="AT75" s="619">
        <f t="shared" si="37"/>
        <v>0</v>
      </c>
      <c r="AU75" s="619">
        <f t="shared" si="37"/>
        <v>0</v>
      </c>
      <c r="AV75" s="619">
        <f t="shared" si="37"/>
        <v>15493333</v>
      </c>
      <c r="AW75" s="619" t="e">
        <f t="shared" ref="AW75:BC75" si="38">(AW76:AW84)</f>
        <v>#VALUE!</v>
      </c>
      <c r="AX75" s="619" t="e">
        <f t="shared" si="38"/>
        <v>#VALUE!</v>
      </c>
      <c r="AY75" s="619" t="e">
        <f t="shared" si="38"/>
        <v>#VALUE!</v>
      </c>
      <c r="AZ75" s="619" t="e">
        <f t="shared" si="38"/>
        <v>#VALUE!</v>
      </c>
      <c r="BA75" s="619" t="e">
        <f t="shared" si="38"/>
        <v>#VALUE!</v>
      </c>
      <c r="BB75" s="619" t="e">
        <f t="shared" si="38"/>
        <v>#VALUE!</v>
      </c>
      <c r="BC75" s="619" t="e">
        <f t="shared" si="38"/>
        <v>#VALUE!</v>
      </c>
      <c r="BD75" s="617" t="e">
        <f t="shared" si="18"/>
        <v>#VALUE!</v>
      </c>
      <c r="BE75" s="619" t="e">
        <f t="shared" ref="BE75:BK75" si="39">(BE76:BE84)</f>
        <v>#VALUE!</v>
      </c>
      <c r="BF75" s="619" t="e">
        <f t="shared" si="39"/>
        <v>#VALUE!</v>
      </c>
      <c r="BG75" s="619" t="e">
        <f t="shared" si="39"/>
        <v>#VALUE!</v>
      </c>
      <c r="BH75" s="619" t="e">
        <f t="shared" si="39"/>
        <v>#VALUE!</v>
      </c>
      <c r="BI75" s="619" t="e">
        <f t="shared" si="39"/>
        <v>#VALUE!</v>
      </c>
      <c r="BJ75" s="619" t="e">
        <f t="shared" si="39"/>
        <v>#VALUE!</v>
      </c>
      <c r="BK75" s="619" t="e">
        <f t="shared" si="39"/>
        <v>#VALUE!</v>
      </c>
      <c r="BL75" s="617" t="e">
        <f t="shared" si="19"/>
        <v>#VALUE!</v>
      </c>
      <c r="BM75" s="619" t="e">
        <f t="shared" ref="BM75:BS75" si="40">(BM76:BM84)</f>
        <v>#VALUE!</v>
      </c>
      <c r="BN75" s="619" t="e">
        <f t="shared" si="40"/>
        <v>#VALUE!</v>
      </c>
      <c r="BO75" s="619" t="e">
        <f t="shared" si="40"/>
        <v>#VALUE!</v>
      </c>
      <c r="BP75" s="619" t="e">
        <f t="shared" si="40"/>
        <v>#VALUE!</v>
      </c>
      <c r="BQ75" s="619" t="e">
        <f t="shared" si="40"/>
        <v>#VALUE!</v>
      </c>
      <c r="BR75" s="619" t="e">
        <f t="shared" si="40"/>
        <v>#VALUE!</v>
      </c>
      <c r="BS75" s="619" t="e">
        <f t="shared" si="40"/>
        <v>#VALUE!</v>
      </c>
      <c r="BT75" s="617" t="e">
        <f t="shared" si="20"/>
        <v>#VALUE!</v>
      </c>
      <c r="BU75" s="556"/>
      <c r="BV75" s="663">
        <f t="shared" si="31"/>
        <v>0</v>
      </c>
      <c r="BW75" s="674" t="e">
        <f t="shared" si="32"/>
        <v>#DIV/0!</v>
      </c>
      <c r="BX75" s="867" t="e">
        <f t="shared" si="33"/>
        <v>#DIV/0!</v>
      </c>
      <c r="BY75" s="674" t="e">
        <f t="shared" si="34"/>
        <v>#DIV/0!</v>
      </c>
      <c r="BZ75" s="675" t="e">
        <f t="shared" si="35"/>
        <v>#DIV/0!</v>
      </c>
      <c r="CA75" s="675" t="e">
        <f t="shared" si="36"/>
        <v>#DIV/0!</v>
      </c>
    </row>
    <row r="76" spans="1:79" ht="76.5" hidden="1" customHeight="1" x14ac:dyDescent="0.25">
      <c r="A76" s="298" t="s">
        <v>173</v>
      </c>
      <c r="B76" s="299" t="str">
        <f>'PLAN INDICATIVO'!B75</f>
        <v>Cultura</v>
      </c>
      <c r="C76" s="1546" t="s">
        <v>250</v>
      </c>
      <c r="D76" s="1549" t="s">
        <v>251</v>
      </c>
      <c r="E76" s="1549" t="s">
        <v>252</v>
      </c>
      <c r="F76" s="1549">
        <v>2015</v>
      </c>
      <c r="G76" s="1549">
        <v>5589</v>
      </c>
      <c r="H76" s="1549">
        <v>7000</v>
      </c>
      <c r="I76" s="332">
        <f>'PLAN INDICATIVO'!I75</f>
        <v>0</v>
      </c>
      <c r="J76" s="332">
        <f>'PLAN INDICATIVO'!J75</f>
        <v>0</v>
      </c>
      <c r="K76" s="1429" t="str">
        <f>'PLAN INDICATIVO'!K75</f>
        <v>A.5.2.1</v>
      </c>
      <c r="L76" s="1429" t="str">
        <f>'PLAN INDICATIVO'!L75</f>
        <v>11. Ciudades y comunidades sostenibles</v>
      </c>
      <c r="M76" s="1429" t="str">
        <f>'PLAN INDICATIVO'!M75</f>
        <v>Secretaría de Educación, Cultura, deporte y Turismo</v>
      </c>
      <c r="N76" s="1429" t="str">
        <f>'PLAN INDICATIVO'!N75</f>
        <v>YIMI FERNANDO LOSADA PAYA</v>
      </c>
      <c r="O76" s="1429" t="str">
        <f>'PLAN INDICATIVO'!O75</f>
        <v>Incremento</v>
      </c>
      <c r="P76" s="74" t="str">
        <f>'PLAN INDICATIVO'!P75</f>
        <v>Capacitar a 400 personasen la biblioteca Simon Bolivar, manejo de las TIC´S y manejo del SIABUT, en el cuatrienio.</v>
      </c>
      <c r="Q76" s="333" t="str">
        <f>'PLAN INDICATIVO'!Q75</f>
        <v>No. De personas capacitadas en el cuatrienio</v>
      </c>
      <c r="R76" s="334">
        <f>'PLAN INDICATIVO'!R75</f>
        <v>2015</v>
      </c>
      <c r="S76" s="304" t="s">
        <v>177</v>
      </c>
      <c r="T76" s="677">
        <v>400</v>
      </c>
      <c r="U76" s="304">
        <v>100</v>
      </c>
      <c r="V76" s="687">
        <v>2000000</v>
      </c>
      <c r="W76" s="304">
        <v>100</v>
      </c>
      <c r="X76" s="687">
        <v>1000000</v>
      </c>
      <c r="Y76" s="304">
        <v>100</v>
      </c>
      <c r="Z76" s="687">
        <v>2000000</v>
      </c>
      <c r="AA76" s="305">
        <v>100</v>
      </c>
      <c r="AB76" s="687">
        <v>2000000</v>
      </c>
      <c r="AC76" s="665">
        <v>100</v>
      </c>
      <c r="AD76" s="665"/>
      <c r="AE76" s="665"/>
      <c r="AF76" s="665"/>
      <c r="AG76" s="306"/>
      <c r="AH76" s="307" t="s">
        <v>2650</v>
      </c>
      <c r="AI76" s="309">
        <v>42583</v>
      </c>
      <c r="AJ76" s="309">
        <v>42735</v>
      </c>
      <c r="AK76" s="308"/>
      <c r="AL76" s="308"/>
      <c r="AM76" s="267" t="s">
        <v>2598</v>
      </c>
      <c r="AN76" s="508" t="s">
        <v>2651</v>
      </c>
      <c r="AO76" s="525">
        <v>2000000</v>
      </c>
      <c r="AP76" s="310">
        <v>7250000</v>
      </c>
      <c r="AQ76" s="310"/>
      <c r="AR76" s="310"/>
      <c r="AS76" s="310"/>
      <c r="AT76" s="310"/>
      <c r="AU76" s="310"/>
      <c r="AV76" s="544">
        <f t="shared" si="30"/>
        <v>9250000</v>
      </c>
      <c r="AW76" s="525"/>
      <c r="AX76" s="310"/>
      <c r="AY76" s="310"/>
      <c r="AZ76" s="310"/>
      <c r="BA76" s="310"/>
      <c r="BB76" s="310"/>
      <c r="BC76" s="310"/>
      <c r="BD76" s="544">
        <f t="shared" si="18"/>
        <v>0</v>
      </c>
      <c r="BE76" s="525"/>
      <c r="BF76" s="310"/>
      <c r="BG76" s="310"/>
      <c r="BH76" s="310"/>
      <c r="BI76" s="310"/>
      <c r="BJ76" s="310"/>
      <c r="BK76" s="310"/>
      <c r="BL76" s="544">
        <f t="shared" si="19"/>
        <v>0</v>
      </c>
      <c r="BM76" s="525"/>
      <c r="BN76" s="310"/>
      <c r="BO76" s="310"/>
      <c r="BP76" s="310"/>
      <c r="BQ76" s="310"/>
      <c r="BR76" s="310"/>
      <c r="BS76" s="310"/>
      <c r="BT76" s="544">
        <f t="shared" si="20"/>
        <v>0</v>
      </c>
      <c r="BU76" s="556"/>
      <c r="BV76" s="663">
        <f t="shared" si="31"/>
        <v>100</v>
      </c>
      <c r="BW76" s="674">
        <f t="shared" si="32"/>
        <v>0.25</v>
      </c>
      <c r="BX76" s="835">
        <f t="shared" si="33"/>
        <v>1</v>
      </c>
      <c r="BY76" s="674">
        <f t="shared" si="34"/>
        <v>0</v>
      </c>
      <c r="BZ76" s="675">
        <f t="shared" si="35"/>
        <v>0</v>
      </c>
      <c r="CA76" s="675">
        <f t="shared" si="36"/>
        <v>0</v>
      </c>
    </row>
    <row r="77" spans="1:79" ht="69" hidden="1" customHeight="1" x14ac:dyDescent="0.25">
      <c r="A77" s="298" t="s">
        <v>173</v>
      </c>
      <c r="B77" s="299" t="str">
        <f>'PLAN INDICATIVO'!B76</f>
        <v>Cultura</v>
      </c>
      <c r="C77" s="1547"/>
      <c r="D77" s="1549"/>
      <c r="E77" s="1549"/>
      <c r="F77" s="1549"/>
      <c r="G77" s="1549"/>
      <c r="H77" s="1549"/>
      <c r="I77" s="332">
        <f>'PLAN INDICATIVO'!I76</f>
        <v>0</v>
      </c>
      <c r="J77" s="332">
        <f>'PLAN INDICATIVO'!J76</f>
        <v>0</v>
      </c>
      <c r="K77" s="1429" t="str">
        <f>'PLAN INDICATIVO'!K76</f>
        <v>A.5.2.2</v>
      </c>
      <c r="L77" s="1429" t="str">
        <f>'PLAN INDICATIVO'!L76</f>
        <v>11. Ciudades y comunidades sostenibles</v>
      </c>
      <c r="M77" s="1429" t="str">
        <f>'PLAN INDICATIVO'!M76</f>
        <v>Secretaría de Educación, Cultura, deporte y Turismo</v>
      </c>
      <c r="N77" s="1429" t="str">
        <f>'PLAN INDICATIVO'!N76</f>
        <v>YIMI FERNANDO LOSADA PAYA</v>
      </c>
      <c r="O77" s="1429" t="str">
        <f>'PLAN INDICATIVO'!O76</f>
        <v>Incremento</v>
      </c>
      <c r="P77" s="74" t="str">
        <f>'PLAN INDICATIVO'!P76</f>
        <v>Vincular 1.000 personas en la Realización de actividades de promoción de lectura, durante el cuatrienio</v>
      </c>
      <c r="Q77" s="333" t="str">
        <f>'PLAN INDICATIVO'!Q76</f>
        <v>No. personas vinculadas en el cuatrienio</v>
      </c>
      <c r="R77" s="334">
        <f>'PLAN INDICATIVO'!R76</f>
        <v>2015</v>
      </c>
      <c r="S77" s="304" t="s">
        <v>177</v>
      </c>
      <c r="T77" s="677">
        <v>1000</v>
      </c>
      <c r="U77" s="304">
        <v>250</v>
      </c>
      <c r="V77" s="687">
        <v>2000000</v>
      </c>
      <c r="W77" s="304">
        <v>250</v>
      </c>
      <c r="X77" s="687">
        <v>1000000</v>
      </c>
      <c r="Y77" s="304">
        <v>250</v>
      </c>
      <c r="Z77" s="687">
        <v>2000000</v>
      </c>
      <c r="AA77" s="305">
        <v>250</v>
      </c>
      <c r="AB77" s="687">
        <v>2000000</v>
      </c>
      <c r="AC77" s="665">
        <v>2900</v>
      </c>
      <c r="AD77" s="665"/>
      <c r="AE77" s="665"/>
      <c r="AF77" s="665"/>
      <c r="AG77" s="306"/>
      <c r="AH77" s="307" t="s">
        <v>2652</v>
      </c>
      <c r="AI77" s="309">
        <v>42583</v>
      </c>
      <c r="AJ77" s="309">
        <v>42735</v>
      </c>
      <c r="AK77" s="308"/>
      <c r="AL77" s="308"/>
      <c r="AM77" s="267" t="s">
        <v>2598</v>
      </c>
      <c r="AN77" s="508" t="s">
        <v>2653</v>
      </c>
      <c r="AO77" s="525"/>
      <c r="AP77" s="310">
        <v>3243333</v>
      </c>
      <c r="AQ77" s="310"/>
      <c r="AR77" s="310"/>
      <c r="AS77" s="310"/>
      <c r="AT77" s="310"/>
      <c r="AU77" s="310"/>
      <c r="AV77" s="544">
        <f t="shared" si="30"/>
        <v>3243333</v>
      </c>
      <c r="AW77" s="525"/>
      <c r="AX77" s="310"/>
      <c r="AY77" s="310"/>
      <c r="AZ77" s="310"/>
      <c r="BA77" s="310"/>
      <c r="BB77" s="310"/>
      <c r="BC77" s="310"/>
      <c r="BD77" s="544">
        <f t="shared" si="18"/>
        <v>0</v>
      </c>
      <c r="BE77" s="525"/>
      <c r="BF77" s="310"/>
      <c r="BG77" s="310"/>
      <c r="BH77" s="310"/>
      <c r="BI77" s="310"/>
      <c r="BJ77" s="310"/>
      <c r="BK77" s="310"/>
      <c r="BL77" s="544">
        <f t="shared" si="19"/>
        <v>0</v>
      </c>
      <c r="BM77" s="525"/>
      <c r="BN77" s="310"/>
      <c r="BO77" s="310"/>
      <c r="BP77" s="310"/>
      <c r="BQ77" s="310"/>
      <c r="BR77" s="310"/>
      <c r="BS77" s="310"/>
      <c r="BT77" s="544">
        <f t="shared" si="20"/>
        <v>0</v>
      </c>
      <c r="BU77" s="556"/>
      <c r="BV77" s="663">
        <f t="shared" si="31"/>
        <v>2900</v>
      </c>
      <c r="BW77" s="674">
        <f t="shared" si="32"/>
        <v>2.9</v>
      </c>
      <c r="BX77" s="835">
        <f t="shared" si="33"/>
        <v>11.6</v>
      </c>
      <c r="BY77" s="674">
        <f t="shared" si="34"/>
        <v>0</v>
      </c>
      <c r="BZ77" s="675">
        <f t="shared" si="35"/>
        <v>0</v>
      </c>
      <c r="CA77" s="675">
        <f t="shared" si="36"/>
        <v>0</v>
      </c>
    </row>
    <row r="78" spans="1:79" ht="52.5" hidden="1" customHeight="1" x14ac:dyDescent="0.25">
      <c r="A78" s="298" t="s">
        <v>173</v>
      </c>
      <c r="B78" s="299" t="str">
        <f>'PLAN INDICATIVO'!B77</f>
        <v>Cultura</v>
      </c>
      <c r="C78" s="1547"/>
      <c r="D78" s="1549"/>
      <c r="E78" s="1549"/>
      <c r="F78" s="1549"/>
      <c r="G78" s="1549"/>
      <c r="H78" s="1549"/>
      <c r="I78" s="332">
        <f>'PLAN INDICATIVO'!I77</f>
        <v>0</v>
      </c>
      <c r="J78" s="332">
        <f>'PLAN INDICATIVO'!J77</f>
        <v>0</v>
      </c>
      <c r="K78" s="1429" t="str">
        <f>'PLAN INDICATIVO'!K77</f>
        <v>A.5.2.3</v>
      </c>
      <c r="L78" s="1429" t="str">
        <f>'PLAN INDICATIVO'!L77</f>
        <v>11. Ciudades y comunidades sostenibles</v>
      </c>
      <c r="M78" s="1429" t="str">
        <f>'PLAN INDICATIVO'!M77</f>
        <v>Secretaría de Educación, Cultura, deporte y Turismo</v>
      </c>
      <c r="N78" s="1429" t="str">
        <f>'PLAN INDICATIVO'!N77</f>
        <v>YIMI FERNANDO LOSADA PAYA</v>
      </c>
      <c r="O78" s="1429" t="str">
        <f>'PLAN INDICATIVO'!O77</f>
        <v>Incremento</v>
      </c>
      <c r="P78" s="74" t="str">
        <f>'PLAN INDICATIVO'!P77</f>
        <v>Incrementar a 7 puntos piloto de acceso a internet  instalados  y funcionando durante el cuatrienio</v>
      </c>
      <c r="Q78" s="333" t="str">
        <f>'PLAN INDICATIVO'!Q77</f>
        <v>No. de puntos Huila vive digital instalados en el cuatrienio</v>
      </c>
      <c r="R78" s="334">
        <f>'PLAN INDICATIVO'!R77</f>
        <v>2015</v>
      </c>
      <c r="S78" s="304">
        <v>4</v>
      </c>
      <c r="T78" s="677">
        <v>7</v>
      </c>
      <c r="U78" s="304">
        <v>0</v>
      </c>
      <c r="V78" s="687">
        <v>2000000</v>
      </c>
      <c r="W78" s="304">
        <v>4</v>
      </c>
      <c r="X78" s="687">
        <v>1000000</v>
      </c>
      <c r="Y78" s="304">
        <v>3</v>
      </c>
      <c r="Z78" s="687">
        <v>2000000</v>
      </c>
      <c r="AA78" s="305">
        <v>0</v>
      </c>
      <c r="AB78" s="687">
        <v>2000000</v>
      </c>
      <c r="AC78" s="665">
        <v>0</v>
      </c>
      <c r="AD78" s="665"/>
      <c r="AE78" s="665"/>
      <c r="AF78" s="665"/>
      <c r="AG78" s="266"/>
      <c r="AH78" s="769" t="s">
        <v>2654</v>
      </c>
      <c r="AI78" s="308"/>
      <c r="AJ78" s="308"/>
      <c r="AK78" s="308"/>
      <c r="AL78" s="308"/>
      <c r="AM78" s="267" t="s">
        <v>2594</v>
      </c>
      <c r="AN78" s="508"/>
      <c r="AO78" s="525"/>
      <c r="AP78" s="310"/>
      <c r="AQ78" s="310"/>
      <c r="AR78" s="310"/>
      <c r="AS78" s="310"/>
      <c r="AT78" s="310"/>
      <c r="AU78" s="310"/>
      <c r="AV78" s="544">
        <f t="shared" si="30"/>
        <v>0</v>
      </c>
      <c r="AW78" s="525"/>
      <c r="AX78" s="310"/>
      <c r="AY78" s="310"/>
      <c r="AZ78" s="310"/>
      <c r="BA78" s="310"/>
      <c r="BB78" s="310"/>
      <c r="BC78" s="310"/>
      <c r="BD78" s="544">
        <f t="shared" si="18"/>
        <v>0</v>
      </c>
      <c r="BE78" s="525"/>
      <c r="BF78" s="310"/>
      <c r="BG78" s="310"/>
      <c r="BH78" s="310"/>
      <c r="BI78" s="310"/>
      <c r="BJ78" s="310"/>
      <c r="BK78" s="310"/>
      <c r="BL78" s="544">
        <f t="shared" si="19"/>
        <v>0</v>
      </c>
      <c r="BM78" s="525"/>
      <c r="BN78" s="310"/>
      <c r="BO78" s="310"/>
      <c r="BP78" s="310"/>
      <c r="BQ78" s="310"/>
      <c r="BR78" s="310"/>
      <c r="BS78" s="310"/>
      <c r="BT78" s="544">
        <f t="shared" si="20"/>
        <v>0</v>
      </c>
      <c r="BU78" s="556"/>
      <c r="BV78" s="663">
        <f t="shared" si="31"/>
        <v>0</v>
      </c>
      <c r="BW78" s="674">
        <f t="shared" si="32"/>
        <v>0</v>
      </c>
      <c r="BX78" s="835" t="e">
        <f t="shared" si="33"/>
        <v>#DIV/0!</v>
      </c>
      <c r="BY78" s="674">
        <f t="shared" si="34"/>
        <v>0</v>
      </c>
      <c r="BZ78" s="675">
        <f t="shared" si="35"/>
        <v>0</v>
      </c>
      <c r="CA78" s="675" t="e">
        <f t="shared" si="36"/>
        <v>#DIV/0!</v>
      </c>
    </row>
    <row r="79" spans="1:79" ht="54.75" hidden="1" customHeight="1" x14ac:dyDescent="0.25">
      <c r="A79" s="298" t="s">
        <v>173</v>
      </c>
      <c r="B79" s="299" t="str">
        <f>'PLAN INDICATIVO'!B78</f>
        <v>Cultura</v>
      </c>
      <c r="C79" s="1547"/>
      <c r="D79" s="1549"/>
      <c r="E79" s="1549"/>
      <c r="F79" s="1549"/>
      <c r="G79" s="1549"/>
      <c r="H79" s="1549"/>
      <c r="I79" s="332">
        <f>'PLAN INDICATIVO'!I78</f>
        <v>0</v>
      </c>
      <c r="J79" s="332">
        <f>'PLAN INDICATIVO'!J78</f>
        <v>0</v>
      </c>
      <c r="K79" s="1429" t="str">
        <f>'PLAN INDICATIVO'!K78</f>
        <v>A.5.2.4</v>
      </c>
      <c r="L79" s="1429" t="str">
        <f>'PLAN INDICATIVO'!L78</f>
        <v>11. Ciudades y comunidades sostenibles</v>
      </c>
      <c r="M79" s="1429" t="str">
        <f>'PLAN INDICATIVO'!M78</f>
        <v>Secretaría de Educación, Cultura, deporte y Turismo</v>
      </c>
      <c r="N79" s="1429" t="str">
        <f>'PLAN INDICATIVO'!N78</f>
        <v>YIMI FERNANDO LOSADA PAYA</v>
      </c>
      <c r="O79" s="1429" t="str">
        <f>'PLAN INDICATIVO'!O78</f>
        <v>Mantenimiento</v>
      </c>
      <c r="P79" s="74" t="str">
        <f>'PLAN INDICATIVO'!P78</f>
        <v>Ejecutar 1 convenio de alianza público-privada para el programa CULTIVARTE - DAVIVIENDA, durante el cuatrienio</v>
      </c>
      <c r="Q79" s="333" t="str">
        <f>'PLAN INDICATIVO'!Q78</f>
        <v>No. De convenios ejecutados en el cuatrienio</v>
      </c>
      <c r="R79" s="334">
        <f>'PLAN INDICATIVO'!R78</f>
        <v>2015</v>
      </c>
      <c r="S79" s="304">
        <v>0</v>
      </c>
      <c r="T79" s="677">
        <v>1</v>
      </c>
      <c r="U79" s="304">
        <v>1</v>
      </c>
      <c r="V79" s="687">
        <v>500000</v>
      </c>
      <c r="W79" s="304">
        <v>1</v>
      </c>
      <c r="X79" s="687">
        <v>1000000</v>
      </c>
      <c r="Y79" s="304">
        <v>1</v>
      </c>
      <c r="Z79" s="687">
        <v>2000000</v>
      </c>
      <c r="AA79" s="305">
        <v>1</v>
      </c>
      <c r="AB79" s="687">
        <v>2000000</v>
      </c>
      <c r="AC79" s="665">
        <v>1</v>
      </c>
      <c r="AD79" s="665"/>
      <c r="AE79" s="665"/>
      <c r="AF79" s="665"/>
      <c r="AG79" s="306"/>
      <c r="AH79" s="307" t="s">
        <v>2655</v>
      </c>
      <c r="AI79" s="308"/>
      <c r="AJ79" s="308"/>
      <c r="AK79" s="308"/>
      <c r="AL79" s="308"/>
      <c r="AM79" s="267" t="s">
        <v>2598</v>
      </c>
      <c r="AN79" s="508"/>
      <c r="AO79" s="525"/>
      <c r="AP79" s="310"/>
      <c r="AQ79" s="310"/>
      <c r="AR79" s="310"/>
      <c r="AS79" s="310"/>
      <c r="AT79" s="310"/>
      <c r="AU79" s="310"/>
      <c r="AV79" s="544">
        <f t="shared" si="30"/>
        <v>0</v>
      </c>
      <c r="AW79" s="525"/>
      <c r="AX79" s="310"/>
      <c r="AY79" s="310"/>
      <c r="AZ79" s="310"/>
      <c r="BA79" s="310"/>
      <c r="BB79" s="310"/>
      <c r="BC79" s="310"/>
      <c r="BD79" s="544">
        <f t="shared" si="18"/>
        <v>0</v>
      </c>
      <c r="BE79" s="525"/>
      <c r="BF79" s="310"/>
      <c r="BG79" s="310"/>
      <c r="BH79" s="310"/>
      <c r="BI79" s="310"/>
      <c r="BJ79" s="310"/>
      <c r="BK79" s="310"/>
      <c r="BL79" s="544">
        <f t="shared" si="19"/>
        <v>0</v>
      </c>
      <c r="BM79" s="525"/>
      <c r="BN79" s="310"/>
      <c r="BO79" s="310"/>
      <c r="BP79" s="310"/>
      <c r="BQ79" s="310"/>
      <c r="BR79" s="310"/>
      <c r="BS79" s="310"/>
      <c r="BT79" s="544">
        <f t="shared" si="20"/>
        <v>0</v>
      </c>
      <c r="BU79" s="556"/>
      <c r="BV79" s="663">
        <f t="shared" si="31"/>
        <v>1</v>
      </c>
      <c r="BW79" s="674">
        <f t="shared" si="32"/>
        <v>1</v>
      </c>
      <c r="BX79" s="835">
        <f t="shared" si="33"/>
        <v>1</v>
      </c>
      <c r="BY79" s="674">
        <f t="shared" si="34"/>
        <v>0</v>
      </c>
      <c r="BZ79" s="675">
        <f t="shared" si="35"/>
        <v>0</v>
      </c>
      <c r="CA79" s="675">
        <f t="shared" si="36"/>
        <v>0</v>
      </c>
    </row>
    <row r="80" spans="1:79" ht="54.75" hidden="1" customHeight="1" x14ac:dyDescent="0.25">
      <c r="A80" s="298" t="s">
        <v>173</v>
      </c>
      <c r="B80" s="299" t="str">
        <f>'PLAN INDICATIVO'!B79</f>
        <v>Cultura</v>
      </c>
      <c r="C80" s="1547"/>
      <c r="D80" s="1549"/>
      <c r="E80" s="1549"/>
      <c r="F80" s="1549"/>
      <c r="G80" s="1549"/>
      <c r="H80" s="1549"/>
      <c r="I80" s="332">
        <f>'PLAN INDICATIVO'!I79</f>
        <v>0</v>
      </c>
      <c r="J80" s="332">
        <f>'PLAN INDICATIVO'!J79</f>
        <v>0</v>
      </c>
      <c r="K80" s="1429" t="str">
        <f>'PLAN INDICATIVO'!K79</f>
        <v>A.5.2.5</v>
      </c>
      <c r="L80" s="1429" t="str">
        <f>'PLAN INDICATIVO'!L79</f>
        <v>11. Ciudades y comunidades sostenibles</v>
      </c>
      <c r="M80" s="1429" t="str">
        <f>'PLAN INDICATIVO'!M79</f>
        <v>Secretaría de Educación, Cultura, deporte y Turismo</v>
      </c>
      <c r="N80" s="1429" t="str">
        <f>'PLAN INDICATIVO'!N79</f>
        <v>YIMI FERNANDO LOSADA PAYA</v>
      </c>
      <c r="O80" s="1429" t="str">
        <f>'PLAN INDICATIVO'!O79</f>
        <v>Incremento</v>
      </c>
      <c r="P80" s="74" t="str">
        <f>'PLAN INDICATIVO'!P79</f>
        <v>Realizar 4 dotaciones de  medios audiovisuales y/o bibliográficos para la biblioteca municipal SIMÓN BOLIVAR, durante el cuatrienio</v>
      </c>
      <c r="Q80" s="333" t="str">
        <f>'PLAN INDICATIVO'!Q79</f>
        <v>No. de dotaciones entregadas en el cuatrienio</v>
      </c>
      <c r="R80" s="334">
        <f>'PLAN INDICATIVO'!R79</f>
        <v>2015</v>
      </c>
      <c r="S80" s="304">
        <v>0</v>
      </c>
      <c r="T80" s="677">
        <v>4</v>
      </c>
      <c r="U80" s="304">
        <v>1</v>
      </c>
      <c r="V80" s="687">
        <v>10100000</v>
      </c>
      <c r="W80" s="304">
        <v>1</v>
      </c>
      <c r="X80" s="687">
        <v>12000000</v>
      </c>
      <c r="Y80" s="304">
        <v>1</v>
      </c>
      <c r="Z80" s="687">
        <v>12000000</v>
      </c>
      <c r="AA80" s="305">
        <v>1</v>
      </c>
      <c r="AB80" s="687">
        <v>14000000</v>
      </c>
      <c r="AC80" s="665">
        <v>1</v>
      </c>
      <c r="AD80" s="665"/>
      <c r="AE80" s="665"/>
      <c r="AF80" s="665"/>
      <c r="AG80" s="306"/>
      <c r="AH80" s="307" t="s">
        <v>2656</v>
      </c>
      <c r="AI80" s="309">
        <v>42492</v>
      </c>
      <c r="AJ80" s="309">
        <v>42520</v>
      </c>
      <c r="AK80" s="308"/>
      <c r="AL80" s="308"/>
      <c r="AM80" s="267" t="s">
        <v>2598</v>
      </c>
      <c r="AN80" s="508" t="s">
        <v>2657</v>
      </c>
      <c r="AO80" s="525"/>
      <c r="AP80" s="310"/>
      <c r="AQ80" s="310"/>
      <c r="AR80" s="310"/>
      <c r="AS80" s="310"/>
      <c r="AT80" s="310"/>
      <c r="AU80" s="310"/>
      <c r="AV80" s="544">
        <f t="shared" si="30"/>
        <v>0</v>
      </c>
      <c r="AW80" s="525"/>
      <c r="AX80" s="310"/>
      <c r="AY80" s="310"/>
      <c r="AZ80" s="310"/>
      <c r="BA80" s="310"/>
      <c r="BB80" s="310"/>
      <c r="BC80" s="310"/>
      <c r="BD80" s="544">
        <f t="shared" si="18"/>
        <v>0</v>
      </c>
      <c r="BE80" s="525"/>
      <c r="BF80" s="310"/>
      <c r="BG80" s="310"/>
      <c r="BH80" s="310"/>
      <c r="BI80" s="310"/>
      <c r="BJ80" s="310"/>
      <c r="BK80" s="310"/>
      <c r="BL80" s="544">
        <f t="shared" si="19"/>
        <v>0</v>
      </c>
      <c r="BM80" s="525"/>
      <c r="BN80" s="310"/>
      <c r="BO80" s="310"/>
      <c r="BP80" s="310"/>
      <c r="BQ80" s="310"/>
      <c r="BR80" s="310"/>
      <c r="BS80" s="310"/>
      <c r="BT80" s="544">
        <f t="shared" si="20"/>
        <v>0</v>
      </c>
      <c r="BU80" s="556"/>
      <c r="BV80" s="663">
        <f t="shared" si="31"/>
        <v>1</v>
      </c>
      <c r="BW80" s="674">
        <f t="shared" si="32"/>
        <v>0.25</v>
      </c>
      <c r="BX80" s="835">
        <f t="shared" si="33"/>
        <v>1</v>
      </c>
      <c r="BY80" s="674">
        <f t="shared" si="34"/>
        <v>0</v>
      </c>
      <c r="BZ80" s="675">
        <f t="shared" si="35"/>
        <v>0</v>
      </c>
      <c r="CA80" s="675">
        <f t="shared" si="36"/>
        <v>0</v>
      </c>
    </row>
    <row r="81" spans="1:79" ht="50.25" hidden="1" customHeight="1" x14ac:dyDescent="0.25">
      <c r="A81" s="298" t="s">
        <v>173</v>
      </c>
      <c r="B81" s="299" t="str">
        <f>'PLAN INDICATIVO'!B80</f>
        <v>Cultura</v>
      </c>
      <c r="C81" s="1547"/>
      <c r="D81" s="1549"/>
      <c r="E81" s="1549"/>
      <c r="F81" s="1549"/>
      <c r="G81" s="1549"/>
      <c r="H81" s="1549"/>
      <c r="I81" s="332">
        <f>'PLAN INDICATIVO'!I80</f>
        <v>0</v>
      </c>
      <c r="J81" s="332">
        <f>'PLAN INDICATIVO'!J80</f>
        <v>0</v>
      </c>
      <c r="K81" s="1429" t="str">
        <f>'PLAN INDICATIVO'!K80</f>
        <v>A.5.2.6</v>
      </c>
      <c r="L81" s="1429" t="str">
        <f>'PLAN INDICATIVO'!L80</f>
        <v>11. Ciudades y comunidades sostenibles</v>
      </c>
      <c r="M81" s="1429" t="str">
        <f>'PLAN INDICATIVO'!M80</f>
        <v>Secretaría de Educación, Cultura, deporte y Turismo</v>
      </c>
      <c r="N81" s="1429" t="str">
        <f>'PLAN INDICATIVO'!N80</f>
        <v>YIMI FERNANDO LOSADA PAYA</v>
      </c>
      <c r="O81" s="1429" t="str">
        <f>'PLAN INDICATIVO'!O80</f>
        <v>Incremento</v>
      </c>
      <c r="P81" s="74" t="str">
        <f>'PLAN INDICATIVO'!P80</f>
        <v>Realizar 4  capacitaciones en formación para bibliotecarios a través del sistema nacional de bibliotecas durante el cuatrienio</v>
      </c>
      <c r="Q81" s="333" t="str">
        <f>'PLAN INDICATIVO'!Q80</f>
        <v>No. De capacitaciones realizadas en el cuatrienio</v>
      </c>
      <c r="R81" s="334">
        <f>'PLAN INDICATIVO'!R80</f>
        <v>2015</v>
      </c>
      <c r="S81" s="304">
        <v>0</v>
      </c>
      <c r="T81" s="677">
        <v>4</v>
      </c>
      <c r="U81" s="304">
        <v>1</v>
      </c>
      <c r="V81" s="687">
        <v>2000000</v>
      </c>
      <c r="W81" s="304">
        <v>1</v>
      </c>
      <c r="X81" s="687">
        <v>1000000</v>
      </c>
      <c r="Y81" s="304">
        <v>1</v>
      </c>
      <c r="Z81" s="687">
        <v>1500000</v>
      </c>
      <c r="AA81" s="305">
        <v>1</v>
      </c>
      <c r="AB81" s="687">
        <v>2000000</v>
      </c>
      <c r="AC81" s="665">
        <v>1</v>
      </c>
      <c r="AD81" s="665"/>
      <c r="AE81" s="665"/>
      <c r="AF81" s="665"/>
      <c r="AG81" s="306"/>
      <c r="AH81" s="307" t="s">
        <v>2658</v>
      </c>
      <c r="AI81" s="309">
        <v>42508</v>
      </c>
      <c r="AJ81" s="309">
        <v>42538</v>
      </c>
      <c r="AK81" s="308"/>
      <c r="AL81" s="308"/>
      <c r="AM81" s="267" t="s">
        <v>2598</v>
      </c>
      <c r="AN81" s="508" t="s">
        <v>2651</v>
      </c>
      <c r="AO81" s="525">
        <v>1000000</v>
      </c>
      <c r="AP81" s="310"/>
      <c r="AQ81" s="310"/>
      <c r="AR81" s="310"/>
      <c r="AS81" s="310"/>
      <c r="AT81" s="310"/>
      <c r="AU81" s="310"/>
      <c r="AV81" s="544">
        <f t="shared" si="30"/>
        <v>1000000</v>
      </c>
      <c r="AW81" s="525"/>
      <c r="AX81" s="310"/>
      <c r="AY81" s="310"/>
      <c r="AZ81" s="310"/>
      <c r="BA81" s="310"/>
      <c r="BB81" s="310"/>
      <c r="BC81" s="310"/>
      <c r="BD81" s="544">
        <f t="shared" si="18"/>
        <v>0</v>
      </c>
      <c r="BE81" s="525"/>
      <c r="BF81" s="310"/>
      <c r="BG81" s="310"/>
      <c r="BH81" s="310"/>
      <c r="BI81" s="310"/>
      <c r="BJ81" s="310"/>
      <c r="BK81" s="310"/>
      <c r="BL81" s="544">
        <f t="shared" si="19"/>
        <v>0</v>
      </c>
      <c r="BM81" s="525"/>
      <c r="BN81" s="310"/>
      <c r="BO81" s="310"/>
      <c r="BP81" s="310"/>
      <c r="BQ81" s="310"/>
      <c r="BR81" s="310"/>
      <c r="BS81" s="310"/>
      <c r="BT81" s="544">
        <f t="shared" si="20"/>
        <v>0</v>
      </c>
      <c r="BU81" s="556"/>
      <c r="BV81" s="663">
        <f t="shared" si="31"/>
        <v>1</v>
      </c>
      <c r="BW81" s="674">
        <f t="shared" si="32"/>
        <v>0.25</v>
      </c>
      <c r="BX81" s="835">
        <f t="shared" si="33"/>
        <v>1</v>
      </c>
      <c r="BY81" s="674">
        <f t="shared" si="34"/>
        <v>0</v>
      </c>
      <c r="BZ81" s="675">
        <f t="shared" si="35"/>
        <v>0</v>
      </c>
      <c r="CA81" s="675">
        <f t="shared" si="36"/>
        <v>0</v>
      </c>
    </row>
    <row r="82" spans="1:79" ht="46.5" hidden="1" customHeight="1" x14ac:dyDescent="0.25">
      <c r="A82" s="298" t="s">
        <v>173</v>
      </c>
      <c r="B82" s="299" t="str">
        <f>'PLAN INDICATIVO'!B81</f>
        <v>Cultura</v>
      </c>
      <c r="C82" s="1547"/>
      <c r="D82" s="1549"/>
      <c r="E82" s="1549"/>
      <c r="F82" s="1549"/>
      <c r="G82" s="1549"/>
      <c r="H82" s="1549"/>
      <c r="I82" s="332">
        <f>'PLAN INDICATIVO'!I81</f>
        <v>0</v>
      </c>
      <c r="J82" s="332">
        <f>'PLAN INDICATIVO'!J81</f>
        <v>0</v>
      </c>
      <c r="K82" s="1429" t="str">
        <f>'PLAN INDICATIVO'!K81</f>
        <v>A.5.2.7</v>
      </c>
      <c r="L82" s="1429" t="str">
        <f>'PLAN INDICATIVO'!L81</f>
        <v>11. Ciudades y comunidades sostenibles</v>
      </c>
      <c r="M82" s="1429" t="str">
        <f>'PLAN INDICATIVO'!M81</f>
        <v>Secretaría de Educación, Cultura, deporte y Turismo</v>
      </c>
      <c r="N82" s="1429" t="str">
        <f>'PLAN INDICATIVO'!N81</f>
        <v>YIMI FERNANDO LOSADA PAYA</v>
      </c>
      <c r="O82" s="1429" t="str">
        <f>'PLAN INDICATIVO'!O81</f>
        <v>Incremento</v>
      </c>
      <c r="P82" s="74" t="str">
        <f>'PLAN INDICATIVO'!P81</f>
        <v xml:space="preserve">Desarrollar 4 actividades por año de biblioteca móvil  en la zona urbana y rural </v>
      </c>
      <c r="Q82" s="333" t="str">
        <f>'PLAN INDICATIVO'!Q81</f>
        <v>No. de actividades realizadas cada año</v>
      </c>
      <c r="R82" s="334">
        <f>'PLAN INDICATIVO'!R81</f>
        <v>2015</v>
      </c>
      <c r="S82" s="304">
        <v>0</v>
      </c>
      <c r="T82" s="677">
        <v>4</v>
      </c>
      <c r="U82" s="304">
        <v>4</v>
      </c>
      <c r="V82" s="687">
        <v>2000000</v>
      </c>
      <c r="W82" s="304">
        <v>4</v>
      </c>
      <c r="X82" s="687">
        <v>1000000</v>
      </c>
      <c r="Y82" s="304">
        <v>4</v>
      </c>
      <c r="Z82" s="687">
        <v>1500000</v>
      </c>
      <c r="AA82" s="305">
        <v>4</v>
      </c>
      <c r="AB82" s="687">
        <v>2000000</v>
      </c>
      <c r="AC82" s="665">
        <v>4</v>
      </c>
      <c r="AD82" s="665"/>
      <c r="AE82" s="665"/>
      <c r="AF82" s="665"/>
      <c r="AG82" s="306"/>
      <c r="AH82" s="307" t="s">
        <v>2659</v>
      </c>
      <c r="AI82" s="309">
        <v>42521</v>
      </c>
      <c r="AJ82" s="309">
        <v>42578</v>
      </c>
      <c r="AK82" s="308"/>
      <c r="AL82" s="308"/>
      <c r="AM82" s="267" t="s">
        <v>2598</v>
      </c>
      <c r="AN82" s="508" t="s">
        <v>2651</v>
      </c>
      <c r="AO82" s="525">
        <v>1000000</v>
      </c>
      <c r="AP82" s="310"/>
      <c r="AQ82" s="310"/>
      <c r="AR82" s="310"/>
      <c r="AS82" s="310"/>
      <c r="AT82" s="310"/>
      <c r="AU82" s="310"/>
      <c r="AV82" s="544">
        <f t="shared" si="30"/>
        <v>1000000</v>
      </c>
      <c r="AW82" s="525"/>
      <c r="AX82" s="310"/>
      <c r="AY82" s="310"/>
      <c r="AZ82" s="310"/>
      <c r="BA82" s="310"/>
      <c r="BB82" s="310"/>
      <c r="BC82" s="310"/>
      <c r="BD82" s="544">
        <f t="shared" si="18"/>
        <v>0</v>
      </c>
      <c r="BE82" s="525"/>
      <c r="BF82" s="310"/>
      <c r="BG82" s="310"/>
      <c r="BH82" s="310"/>
      <c r="BI82" s="310"/>
      <c r="BJ82" s="310"/>
      <c r="BK82" s="310"/>
      <c r="BL82" s="544">
        <f t="shared" si="19"/>
        <v>0</v>
      </c>
      <c r="BM82" s="525"/>
      <c r="BN82" s="310"/>
      <c r="BO82" s="310"/>
      <c r="BP82" s="310"/>
      <c r="BQ82" s="310"/>
      <c r="BR82" s="310"/>
      <c r="BS82" s="310"/>
      <c r="BT82" s="544">
        <f t="shared" si="20"/>
        <v>0</v>
      </c>
      <c r="BU82" s="556"/>
      <c r="BV82" s="663">
        <f t="shared" si="31"/>
        <v>4</v>
      </c>
      <c r="BW82" s="674">
        <f t="shared" si="32"/>
        <v>1</v>
      </c>
      <c r="BX82" s="835">
        <f t="shared" si="33"/>
        <v>1</v>
      </c>
      <c r="BY82" s="674">
        <f t="shared" si="34"/>
        <v>0</v>
      </c>
      <c r="BZ82" s="675">
        <f t="shared" si="35"/>
        <v>0</v>
      </c>
      <c r="CA82" s="675">
        <f t="shared" si="36"/>
        <v>0</v>
      </c>
    </row>
    <row r="83" spans="1:79" ht="48.75" hidden="1" customHeight="1" x14ac:dyDescent="0.25">
      <c r="A83" s="298" t="s">
        <v>173</v>
      </c>
      <c r="B83" s="299" t="str">
        <f>'PLAN INDICATIVO'!B82</f>
        <v>Cultura</v>
      </c>
      <c r="C83" s="1547"/>
      <c r="D83" s="1550"/>
      <c r="E83" s="1550"/>
      <c r="F83" s="1549"/>
      <c r="G83" s="1549"/>
      <c r="H83" s="1549"/>
      <c r="I83" s="332">
        <f>'PLAN INDICATIVO'!I82</f>
        <v>0</v>
      </c>
      <c r="J83" s="332">
        <f>'PLAN INDICATIVO'!J82</f>
        <v>0</v>
      </c>
      <c r="K83" s="1429" t="str">
        <f>'PLAN INDICATIVO'!K82</f>
        <v>A.5.2.8</v>
      </c>
      <c r="L83" s="1429" t="str">
        <f>'PLAN INDICATIVO'!L82</f>
        <v>11. Ciudades y comunidades sostenibles</v>
      </c>
      <c r="M83" s="1429" t="str">
        <f>'PLAN INDICATIVO'!M82</f>
        <v>Secretaría de Educación, Cultura, deporte y Turismo</v>
      </c>
      <c r="N83" s="1429" t="str">
        <f>'PLAN INDICATIVO'!N82</f>
        <v>YIMI FERNANDO LOSADA PAYA</v>
      </c>
      <c r="O83" s="1429" t="str">
        <f>'PLAN INDICATIVO'!O82</f>
        <v>Mantenimiento</v>
      </c>
      <c r="P83" s="74" t="str">
        <f>'PLAN INDICATIVO'!P82</f>
        <v>Realizar 1 programa cultural  anual  de vinculación  al centro integral para la primera infancia</v>
      </c>
      <c r="Q83" s="333" t="str">
        <f>'PLAN INDICATIVO'!Q82</f>
        <v>No. De Programa implementado cada año</v>
      </c>
      <c r="R83" s="334">
        <f>'PLAN INDICATIVO'!R82</f>
        <v>2015</v>
      </c>
      <c r="S83" s="304">
        <v>0</v>
      </c>
      <c r="T83" s="677">
        <v>1</v>
      </c>
      <c r="U83" s="304">
        <v>1</v>
      </c>
      <c r="V83" s="687">
        <v>2000000</v>
      </c>
      <c r="W83" s="304">
        <v>1</v>
      </c>
      <c r="X83" s="687">
        <v>1000000</v>
      </c>
      <c r="Y83" s="304">
        <v>1</v>
      </c>
      <c r="Z83" s="687">
        <v>1500000</v>
      </c>
      <c r="AA83" s="305">
        <v>1</v>
      </c>
      <c r="AB83" s="687">
        <v>2000000</v>
      </c>
      <c r="AC83" s="665">
        <v>1</v>
      </c>
      <c r="AD83" s="665"/>
      <c r="AE83" s="665"/>
      <c r="AF83" s="665"/>
      <c r="AG83" s="306"/>
      <c r="AH83" s="307" t="s">
        <v>2660</v>
      </c>
      <c r="AI83" s="309">
        <v>42583</v>
      </c>
      <c r="AJ83" s="309">
        <v>42704</v>
      </c>
      <c r="AK83" s="308"/>
      <c r="AL83" s="308"/>
      <c r="AM83" s="267" t="s">
        <v>2598</v>
      </c>
      <c r="AN83" s="508" t="s">
        <v>2646</v>
      </c>
      <c r="AO83" s="525"/>
      <c r="AP83" s="310">
        <v>1000000</v>
      </c>
      <c r="AQ83" s="310"/>
      <c r="AR83" s="310"/>
      <c r="AS83" s="310"/>
      <c r="AT83" s="310"/>
      <c r="AU83" s="310"/>
      <c r="AV83" s="544">
        <f t="shared" si="30"/>
        <v>1000000</v>
      </c>
      <c r="AW83" s="525"/>
      <c r="AX83" s="310"/>
      <c r="AY83" s="310"/>
      <c r="AZ83" s="310"/>
      <c r="BA83" s="310"/>
      <c r="BB83" s="310"/>
      <c r="BC83" s="310"/>
      <c r="BD83" s="544">
        <f t="shared" si="18"/>
        <v>0</v>
      </c>
      <c r="BE83" s="525"/>
      <c r="BF83" s="310"/>
      <c r="BG83" s="310"/>
      <c r="BH83" s="310"/>
      <c r="BI83" s="310"/>
      <c r="BJ83" s="310"/>
      <c r="BK83" s="310"/>
      <c r="BL83" s="544">
        <f t="shared" si="19"/>
        <v>0</v>
      </c>
      <c r="BM83" s="525"/>
      <c r="BN83" s="310"/>
      <c r="BO83" s="310"/>
      <c r="BP83" s="310"/>
      <c r="BQ83" s="310"/>
      <c r="BR83" s="310"/>
      <c r="BS83" s="310"/>
      <c r="BT83" s="544">
        <f t="shared" si="20"/>
        <v>0</v>
      </c>
      <c r="BU83" s="556"/>
      <c r="BV83" s="663">
        <f t="shared" si="31"/>
        <v>1</v>
      </c>
      <c r="BW83" s="674">
        <f t="shared" si="32"/>
        <v>1</v>
      </c>
      <c r="BX83" s="835">
        <f t="shared" si="33"/>
        <v>1</v>
      </c>
      <c r="BY83" s="674">
        <f t="shared" si="34"/>
        <v>0</v>
      </c>
      <c r="BZ83" s="675">
        <f t="shared" si="35"/>
        <v>0</v>
      </c>
      <c r="CA83" s="675">
        <f t="shared" si="36"/>
        <v>0</v>
      </c>
    </row>
    <row r="84" spans="1:79" ht="77.25" hidden="1" customHeight="1" x14ac:dyDescent="0.25">
      <c r="A84" s="298" t="s">
        <v>173</v>
      </c>
      <c r="B84" s="299" t="str">
        <f>'PLAN INDICATIVO'!B83</f>
        <v>Cultura</v>
      </c>
      <c r="C84" s="1548"/>
      <c r="D84" s="1549"/>
      <c r="E84" s="1549"/>
      <c r="F84" s="1549"/>
      <c r="G84" s="1549"/>
      <c r="H84" s="1549"/>
      <c r="I84" s="1429" t="str">
        <f>'PLAN INDICATIVO'!I83</f>
        <v>SI</v>
      </c>
      <c r="J84" s="1429">
        <f>'PLAN INDICATIVO'!J83</f>
        <v>0</v>
      </c>
      <c r="K84" s="1429" t="str">
        <f>'PLAN INDICATIVO'!K83</f>
        <v>A.5.2.9</v>
      </c>
      <c r="L84" s="1429" t="str">
        <f>'PLAN INDICATIVO'!L83</f>
        <v>11. Ciudades y comunidades sostenibles</v>
      </c>
      <c r="M84" s="1429" t="str">
        <f>'PLAN INDICATIVO'!M83</f>
        <v>Secretaría de Educación, Cultura, deporte y Turismo</v>
      </c>
      <c r="N84" s="1429" t="str">
        <f>'PLAN INDICATIVO'!N83</f>
        <v>YIMI FERNANDO LOSADA PAYA</v>
      </c>
      <c r="O84" s="1429" t="str">
        <f>'PLAN INDICATIVO'!O83</f>
        <v>Incremento</v>
      </c>
      <c r="P84" s="74" t="str">
        <f>'PLAN INDICATIVO'!P83</f>
        <v>Realizar 2 obras de infraestructura para construcción, ampliación, conservación y/o mantenimiento de la infraestructura municipal de cultura, incluyendo interventorías y diseños, durante el cuatrienio</v>
      </c>
      <c r="Q84" s="333" t="str">
        <f>'PLAN INDICATIVO'!Q83</f>
        <v>No. De obras ejecutadas en el cuatrienio</v>
      </c>
      <c r="R84" s="334">
        <f>'PLAN INDICATIVO'!R83</f>
        <v>2015</v>
      </c>
      <c r="S84" s="304">
        <v>0</v>
      </c>
      <c r="T84" s="677">
        <v>2</v>
      </c>
      <c r="U84" s="304">
        <v>0</v>
      </c>
      <c r="V84" s="687">
        <v>268900000</v>
      </c>
      <c r="W84" s="304">
        <v>0</v>
      </c>
      <c r="X84" s="687">
        <v>1000000</v>
      </c>
      <c r="Y84" s="304">
        <v>1</v>
      </c>
      <c r="Z84" s="687">
        <v>1500000</v>
      </c>
      <c r="AA84" s="305">
        <v>1</v>
      </c>
      <c r="AB84" s="687">
        <v>2000000</v>
      </c>
      <c r="AC84" s="665"/>
      <c r="AD84" s="665"/>
      <c r="AE84" s="665"/>
      <c r="AF84" s="665"/>
      <c r="AG84" s="266"/>
      <c r="AH84" s="307"/>
      <c r="AI84" s="308"/>
      <c r="AJ84" s="308"/>
      <c r="AK84" s="308"/>
      <c r="AL84" s="308"/>
      <c r="AM84" s="267" t="s">
        <v>2594</v>
      </c>
      <c r="AN84" s="508" t="s">
        <v>2661</v>
      </c>
      <c r="AO84" s="525"/>
      <c r="AP84" s="310"/>
      <c r="AQ84" s="310"/>
      <c r="AR84" s="310"/>
      <c r="AS84" s="310"/>
      <c r="AT84" s="310"/>
      <c r="AU84" s="310"/>
      <c r="AV84" s="544">
        <f t="shared" si="30"/>
        <v>0</v>
      </c>
      <c r="AW84" s="525"/>
      <c r="AX84" s="310"/>
      <c r="AY84" s="310"/>
      <c r="AZ84" s="310"/>
      <c r="BA84" s="310"/>
      <c r="BB84" s="310"/>
      <c r="BC84" s="310"/>
      <c r="BD84" s="544">
        <f t="shared" si="18"/>
        <v>0</v>
      </c>
      <c r="BE84" s="525"/>
      <c r="BF84" s="310"/>
      <c r="BG84" s="310"/>
      <c r="BH84" s="310"/>
      <c r="BI84" s="310"/>
      <c r="BJ84" s="310"/>
      <c r="BK84" s="310"/>
      <c r="BL84" s="544">
        <f t="shared" si="19"/>
        <v>0</v>
      </c>
      <c r="BM84" s="525"/>
      <c r="BN84" s="310"/>
      <c r="BO84" s="310"/>
      <c r="BP84" s="310"/>
      <c r="BQ84" s="310"/>
      <c r="BR84" s="310"/>
      <c r="BS84" s="310"/>
      <c r="BT84" s="544">
        <f t="shared" si="20"/>
        <v>0</v>
      </c>
      <c r="BU84" s="556"/>
      <c r="BV84" s="663">
        <f t="shared" si="31"/>
        <v>0</v>
      </c>
      <c r="BW84" s="674">
        <f t="shared" si="32"/>
        <v>0</v>
      </c>
      <c r="BX84" s="835" t="e">
        <f t="shared" si="33"/>
        <v>#DIV/0!</v>
      </c>
      <c r="BY84" s="674" t="e">
        <f t="shared" si="34"/>
        <v>#DIV/0!</v>
      </c>
      <c r="BZ84" s="675">
        <f t="shared" si="35"/>
        <v>0</v>
      </c>
      <c r="CA84" s="675">
        <f t="shared" si="36"/>
        <v>0</v>
      </c>
    </row>
    <row r="85" spans="1:79" ht="15" hidden="1" x14ac:dyDescent="0.25">
      <c r="A85" s="621"/>
      <c r="B85" s="312" t="e">
        <f>'PLAN INDICATIVO'!#REF!</f>
        <v>#REF!</v>
      </c>
      <c r="C85" s="622"/>
      <c r="D85" s="1446"/>
      <c r="E85" s="1446"/>
      <c r="F85" s="1444"/>
      <c r="G85" s="1444"/>
      <c r="H85" s="1444"/>
      <c r="I85" s="502"/>
      <c r="J85" s="502"/>
      <c r="K85" s="502"/>
      <c r="L85" s="502"/>
      <c r="M85" s="502"/>
      <c r="N85" s="1444"/>
      <c r="O85" s="502"/>
      <c r="P85" s="70"/>
      <c r="Q85" s="1434"/>
      <c r="R85" s="1444"/>
      <c r="S85" s="313"/>
      <c r="T85" s="682"/>
      <c r="U85" s="313"/>
      <c r="V85" s="313"/>
      <c r="W85" s="313"/>
      <c r="X85" s="313"/>
      <c r="Y85" s="313"/>
      <c r="Z85" s="313"/>
      <c r="AA85" s="314"/>
      <c r="AB85" s="314"/>
      <c r="AC85" s="314"/>
      <c r="AD85" s="314"/>
      <c r="AE85" s="314"/>
      <c r="AF85" s="314"/>
      <c r="AG85" s="315"/>
      <c r="AH85" s="315"/>
      <c r="AI85" s="314"/>
      <c r="AJ85" s="314"/>
      <c r="AK85" s="314"/>
      <c r="AL85" s="314"/>
      <c r="AM85" s="314"/>
      <c r="AN85" s="516"/>
      <c r="AO85" s="623"/>
      <c r="AP85" s="624"/>
      <c r="AQ85" s="624"/>
      <c r="AR85" s="624"/>
      <c r="AS85" s="624"/>
      <c r="AT85" s="624"/>
      <c r="AU85" s="624"/>
      <c r="AV85" s="625">
        <f t="shared" si="30"/>
        <v>0</v>
      </c>
      <c r="AW85" s="623"/>
      <c r="AX85" s="624"/>
      <c r="AY85" s="624"/>
      <c r="AZ85" s="624"/>
      <c r="BA85" s="624"/>
      <c r="BB85" s="624"/>
      <c r="BC85" s="624"/>
      <c r="BD85" s="625">
        <f t="shared" si="18"/>
        <v>0</v>
      </c>
      <c r="BE85" s="623"/>
      <c r="BF85" s="624"/>
      <c r="BG85" s="624"/>
      <c r="BH85" s="624"/>
      <c r="BI85" s="624"/>
      <c r="BJ85" s="624"/>
      <c r="BK85" s="624"/>
      <c r="BL85" s="625">
        <f t="shared" si="19"/>
        <v>0</v>
      </c>
      <c r="BM85" s="623"/>
      <c r="BN85" s="624"/>
      <c r="BO85" s="624"/>
      <c r="BP85" s="624"/>
      <c r="BQ85" s="624"/>
      <c r="BR85" s="624"/>
      <c r="BS85" s="624"/>
      <c r="BT85" s="625">
        <f t="shared" si="20"/>
        <v>0</v>
      </c>
      <c r="BU85" s="649"/>
      <c r="BV85" s="663">
        <f t="shared" si="31"/>
        <v>0</v>
      </c>
      <c r="BW85" s="674" t="e">
        <f t="shared" si="32"/>
        <v>#DIV/0!</v>
      </c>
      <c r="BX85" s="835" t="e">
        <f t="shared" si="33"/>
        <v>#DIV/0!</v>
      </c>
      <c r="BY85" s="674" t="e">
        <f t="shared" si="34"/>
        <v>#DIV/0!</v>
      </c>
      <c r="BZ85" s="675" t="e">
        <f t="shared" si="35"/>
        <v>#DIV/0!</v>
      </c>
      <c r="CA85" s="675" t="e">
        <f t="shared" si="36"/>
        <v>#DIV/0!</v>
      </c>
    </row>
    <row r="86" spans="1:79" ht="28.5" hidden="1" thickBot="1" x14ac:dyDescent="0.3">
      <c r="A86" s="1608" t="s">
        <v>2662</v>
      </c>
      <c r="B86" s="1609"/>
      <c r="C86" s="1609"/>
      <c r="D86" s="1609"/>
      <c r="E86" s="1609"/>
      <c r="F86" s="1609"/>
      <c r="G86" s="1609"/>
      <c r="H86" s="1609"/>
      <c r="I86" s="1609"/>
      <c r="J86" s="1609"/>
      <c r="K86" s="1609"/>
      <c r="L86" s="1609"/>
      <c r="M86" s="1609"/>
      <c r="N86" s="1609"/>
      <c r="O86" s="1609"/>
      <c r="P86" s="1609"/>
      <c r="Q86" s="1609"/>
      <c r="R86" s="1609"/>
      <c r="S86" s="1609"/>
      <c r="T86" s="1609"/>
      <c r="U86" s="1609"/>
      <c r="V86" s="1609"/>
      <c r="W86" s="1609"/>
      <c r="X86" s="1609"/>
      <c r="Y86" s="1609"/>
      <c r="Z86" s="1609"/>
      <c r="AA86" s="1609"/>
      <c r="AB86" s="1609"/>
      <c r="AC86" s="1609"/>
      <c r="AD86" s="1609"/>
      <c r="AE86" s="1609"/>
      <c r="AF86" s="1609"/>
      <c r="AG86" s="1609"/>
      <c r="AH86" s="1609"/>
      <c r="AI86" s="1609"/>
      <c r="AJ86" s="1609"/>
      <c r="AK86" s="1609"/>
      <c r="AL86" s="1610"/>
      <c r="AM86" s="437"/>
      <c r="AN86" s="626"/>
      <c r="AO86" s="627"/>
      <c r="AP86" s="628"/>
      <c r="AQ86" s="628"/>
      <c r="AR86" s="628"/>
      <c r="AS86" s="628"/>
      <c r="AT86" s="628"/>
      <c r="AU86" s="628"/>
      <c r="AV86" s="629">
        <f>SUM(AV87+AV99)</f>
        <v>252802229</v>
      </c>
      <c r="AW86" s="627"/>
      <c r="AX86" s="628"/>
      <c r="AY86" s="628"/>
      <c r="AZ86" s="628"/>
      <c r="BA86" s="628"/>
      <c r="BB86" s="628"/>
      <c r="BC86" s="628"/>
      <c r="BD86" s="629">
        <f t="shared" si="18"/>
        <v>0</v>
      </c>
      <c r="BE86" s="627"/>
      <c r="BF86" s="628"/>
      <c r="BG86" s="628"/>
      <c r="BH86" s="628"/>
      <c r="BI86" s="628"/>
      <c r="BJ86" s="628"/>
      <c r="BK86" s="628"/>
      <c r="BL86" s="629">
        <f t="shared" si="19"/>
        <v>0</v>
      </c>
      <c r="BM86" s="627"/>
      <c r="BN86" s="628"/>
      <c r="BO86" s="628"/>
      <c r="BP86" s="628"/>
      <c r="BQ86" s="628"/>
      <c r="BR86" s="628"/>
      <c r="BS86" s="628"/>
      <c r="BT86" s="629">
        <f t="shared" si="20"/>
        <v>0</v>
      </c>
      <c r="BU86" s="650"/>
      <c r="BV86" s="663">
        <f t="shared" si="31"/>
        <v>0</v>
      </c>
      <c r="BW86" s="674" t="e">
        <f t="shared" si="32"/>
        <v>#DIV/0!</v>
      </c>
      <c r="BX86" s="869" t="e">
        <f t="shared" si="33"/>
        <v>#DIV/0!</v>
      </c>
      <c r="BY86" s="674" t="e">
        <f t="shared" si="34"/>
        <v>#DIV/0!</v>
      </c>
      <c r="BZ86" s="675" t="e">
        <f t="shared" si="35"/>
        <v>#DIV/0!</v>
      </c>
      <c r="CA86" s="675" t="e">
        <f t="shared" si="36"/>
        <v>#DIV/0!</v>
      </c>
    </row>
    <row r="87" spans="1:79" ht="25.5" hidden="1" x14ac:dyDescent="0.25">
      <c r="A87" s="296"/>
      <c r="B87" s="331" t="str">
        <f>'PLAN INDICATIVO'!B85</f>
        <v>Deporte y Recreación</v>
      </c>
      <c r="C87" s="1605" t="s">
        <v>279</v>
      </c>
      <c r="D87" s="1606"/>
      <c r="E87" s="1606"/>
      <c r="F87" s="1606"/>
      <c r="G87" s="1606"/>
      <c r="H87" s="1606"/>
      <c r="I87" s="1606"/>
      <c r="J87" s="1606"/>
      <c r="K87" s="1606"/>
      <c r="L87" s="1606"/>
      <c r="M87" s="1606"/>
      <c r="N87" s="1606"/>
      <c r="O87" s="1607"/>
      <c r="P87" s="318"/>
      <c r="Q87" s="318"/>
      <c r="R87" s="317"/>
      <c r="S87" s="319"/>
      <c r="T87" s="676"/>
      <c r="U87" s="319"/>
      <c r="V87" s="695">
        <f>SUM(V88:V98)</f>
        <v>2578900000</v>
      </c>
      <c r="W87" s="319"/>
      <c r="X87" s="695">
        <f>SUM(X88:X98)</f>
        <v>592600000</v>
      </c>
      <c r="Y87" s="319"/>
      <c r="Z87" s="695">
        <f>SUM(Z88:Z98)</f>
        <v>111000000</v>
      </c>
      <c r="AA87" s="320"/>
      <c r="AB87" s="320">
        <f>SUM(AB88:AB98)</f>
        <v>118000000</v>
      </c>
      <c r="AC87" s="320"/>
      <c r="AD87" s="320"/>
      <c r="AE87" s="320"/>
      <c r="AF87" s="320"/>
      <c r="AG87" s="321"/>
      <c r="AH87" s="321"/>
      <c r="AI87" s="320"/>
      <c r="AJ87" s="320"/>
      <c r="AK87" s="320"/>
      <c r="AL87" s="320"/>
      <c r="AM87" s="320"/>
      <c r="AN87" s="630"/>
      <c r="AO87" s="631">
        <f>SUM(AO88:AO98)</f>
        <v>0</v>
      </c>
      <c r="AP87" s="631">
        <f t="shared" ref="AP87:AV87" si="41">SUM(AP88:AP98)</f>
        <v>103999000</v>
      </c>
      <c r="AQ87" s="631">
        <f t="shared" si="41"/>
        <v>7800000</v>
      </c>
      <c r="AR87" s="631">
        <f t="shared" si="41"/>
        <v>0</v>
      </c>
      <c r="AS87" s="631">
        <f t="shared" si="41"/>
        <v>0</v>
      </c>
      <c r="AT87" s="631">
        <f t="shared" si="41"/>
        <v>0</v>
      </c>
      <c r="AU87" s="631">
        <f t="shared" si="41"/>
        <v>0</v>
      </c>
      <c r="AV87" s="631">
        <f t="shared" si="41"/>
        <v>111799000</v>
      </c>
      <c r="AW87" s="631" t="e">
        <f t="shared" ref="AW87:BC87" si="42">(AW88:AW98)</f>
        <v>#VALUE!</v>
      </c>
      <c r="AX87" s="631" t="e">
        <f t="shared" si="42"/>
        <v>#VALUE!</v>
      </c>
      <c r="AY87" s="631" t="e">
        <f t="shared" si="42"/>
        <v>#VALUE!</v>
      </c>
      <c r="AZ87" s="631" t="e">
        <f t="shared" si="42"/>
        <v>#VALUE!</v>
      </c>
      <c r="BA87" s="631" t="e">
        <f t="shared" si="42"/>
        <v>#VALUE!</v>
      </c>
      <c r="BB87" s="631" t="e">
        <f t="shared" si="42"/>
        <v>#VALUE!</v>
      </c>
      <c r="BC87" s="631" t="e">
        <f t="shared" si="42"/>
        <v>#VALUE!</v>
      </c>
      <c r="BD87" s="617" t="e">
        <f t="shared" si="18"/>
        <v>#VALUE!</v>
      </c>
      <c r="BE87" s="631" t="e">
        <f t="shared" ref="BE87:BK87" si="43">(BE88:BE98)</f>
        <v>#VALUE!</v>
      </c>
      <c r="BF87" s="631" t="e">
        <f t="shared" si="43"/>
        <v>#VALUE!</v>
      </c>
      <c r="BG87" s="631" t="e">
        <f t="shared" si="43"/>
        <v>#VALUE!</v>
      </c>
      <c r="BH87" s="631" t="e">
        <f t="shared" si="43"/>
        <v>#VALUE!</v>
      </c>
      <c r="BI87" s="631" t="e">
        <f t="shared" si="43"/>
        <v>#VALUE!</v>
      </c>
      <c r="BJ87" s="631" t="e">
        <f t="shared" si="43"/>
        <v>#VALUE!</v>
      </c>
      <c r="BK87" s="631" t="e">
        <f t="shared" si="43"/>
        <v>#VALUE!</v>
      </c>
      <c r="BL87" s="617" t="e">
        <f t="shared" si="19"/>
        <v>#VALUE!</v>
      </c>
      <c r="BM87" s="631" t="e">
        <f t="shared" ref="BM87:BS87" si="44">(BM88:BM98)</f>
        <v>#VALUE!</v>
      </c>
      <c r="BN87" s="631" t="e">
        <f t="shared" si="44"/>
        <v>#VALUE!</v>
      </c>
      <c r="BO87" s="631" t="e">
        <f t="shared" si="44"/>
        <v>#VALUE!</v>
      </c>
      <c r="BP87" s="631" t="e">
        <f t="shared" si="44"/>
        <v>#VALUE!</v>
      </c>
      <c r="BQ87" s="631" t="e">
        <f t="shared" si="44"/>
        <v>#VALUE!</v>
      </c>
      <c r="BR87" s="631" t="e">
        <f t="shared" si="44"/>
        <v>#VALUE!</v>
      </c>
      <c r="BS87" s="631" t="e">
        <f t="shared" si="44"/>
        <v>#VALUE!</v>
      </c>
      <c r="BT87" s="617" t="e">
        <f t="shared" si="20"/>
        <v>#VALUE!</v>
      </c>
      <c r="BU87" s="651"/>
      <c r="BV87" s="663">
        <f t="shared" si="31"/>
        <v>0</v>
      </c>
      <c r="BW87" s="674" t="e">
        <f t="shared" si="32"/>
        <v>#DIV/0!</v>
      </c>
      <c r="BX87" s="867" t="e">
        <f t="shared" si="33"/>
        <v>#DIV/0!</v>
      </c>
      <c r="BY87" s="674" t="e">
        <f t="shared" si="34"/>
        <v>#DIV/0!</v>
      </c>
      <c r="BZ87" s="675" t="e">
        <f t="shared" si="35"/>
        <v>#DIV/0!</v>
      </c>
      <c r="CA87" s="675" t="e">
        <f t="shared" si="36"/>
        <v>#DIV/0!</v>
      </c>
    </row>
    <row r="88" spans="1:79" ht="61.5" hidden="1" customHeight="1" x14ac:dyDescent="0.25">
      <c r="A88" s="298" t="s">
        <v>280</v>
      </c>
      <c r="B88" s="299" t="str">
        <f>'PLAN INDICATIVO'!B86</f>
        <v>Deporte y Recreación</v>
      </c>
      <c r="C88" s="1546" t="s">
        <v>281</v>
      </c>
      <c r="D88" s="1550" t="s">
        <v>282</v>
      </c>
      <c r="E88" s="1550" t="s">
        <v>283</v>
      </c>
      <c r="F88" s="1550">
        <v>2015</v>
      </c>
      <c r="G88" s="1550">
        <v>8</v>
      </c>
      <c r="H88" s="1550">
        <v>10</v>
      </c>
      <c r="I88" s="300">
        <f>'PLAN INDICATIVO'!I86</f>
        <v>0</v>
      </c>
      <c r="J88" s="300">
        <f>'PLAN INDICATIVO'!J86</f>
        <v>0</v>
      </c>
      <c r="K88" s="1425" t="str">
        <f>'PLAN INDICATIVO'!K86</f>
        <v>A.4.1.1</v>
      </c>
      <c r="L88" s="1425">
        <f>'PLAN INDICATIVO'!L86</f>
        <v>0</v>
      </c>
      <c r="M88" s="1425" t="str">
        <f>'PLAN INDICATIVO'!M86</f>
        <v>Secretaría de Educación, Cultura, deporte y Turismo</v>
      </c>
      <c r="N88" s="1425" t="str">
        <f>'PLAN INDICATIVO'!N86</f>
        <v>YIMI FERNANDO LOSADA PAYA</v>
      </c>
      <c r="O88" s="1425" t="str">
        <f>'PLAN INDICATIVO'!O86</f>
        <v>Incremento</v>
      </c>
      <c r="P88" s="16" t="str">
        <f>'PLAN INDICATIVO'!P86</f>
        <v>Actualizar 1 Plan Local de Deporte, Recreación, Educación Física y Aprovechamiento del Tiempo Libre en el Cuatrienio.</v>
      </c>
      <c r="Q88" s="302" t="str">
        <f>'PLAN INDICATIVO'!Q86</f>
        <v>No. De Planes actualizados</v>
      </c>
      <c r="R88" s="303">
        <f>'PLAN INDICATIVO'!R86</f>
        <v>2015</v>
      </c>
      <c r="S88" s="304">
        <v>0</v>
      </c>
      <c r="T88" s="677">
        <v>1</v>
      </c>
      <c r="U88" s="303">
        <v>0</v>
      </c>
      <c r="V88" s="687"/>
      <c r="W88" s="572">
        <v>1</v>
      </c>
      <c r="X88" s="687">
        <v>1000000</v>
      </c>
      <c r="Y88" s="572">
        <v>1</v>
      </c>
      <c r="Z88" s="687">
        <v>1000000</v>
      </c>
      <c r="AA88" s="572">
        <v>1</v>
      </c>
      <c r="AB88" s="572">
        <v>1000000</v>
      </c>
      <c r="AC88" s="665">
        <v>0</v>
      </c>
      <c r="AD88" s="665"/>
      <c r="AE88" s="665"/>
      <c r="AF88" s="665"/>
      <c r="AG88" s="266"/>
      <c r="AH88" s="307"/>
      <c r="AI88" s="308"/>
      <c r="AJ88" s="308"/>
      <c r="AK88" s="308"/>
      <c r="AL88" s="308"/>
      <c r="AM88" s="267" t="s">
        <v>2594</v>
      </c>
      <c r="AN88" s="507"/>
      <c r="AO88" s="526"/>
      <c r="AP88" s="470"/>
      <c r="AQ88" s="470"/>
      <c r="AR88" s="470"/>
      <c r="AS88" s="470"/>
      <c r="AT88" s="470"/>
      <c r="AU88" s="470"/>
      <c r="AV88" s="544">
        <f t="shared" si="30"/>
        <v>0</v>
      </c>
      <c r="AW88" s="526"/>
      <c r="AX88" s="470"/>
      <c r="AY88" s="470"/>
      <c r="AZ88" s="470"/>
      <c r="BA88" s="470"/>
      <c r="BB88" s="470"/>
      <c r="BC88" s="470"/>
      <c r="BD88" s="544">
        <f t="shared" si="18"/>
        <v>0</v>
      </c>
      <c r="BE88" s="526"/>
      <c r="BF88" s="470"/>
      <c r="BG88" s="470"/>
      <c r="BH88" s="470"/>
      <c r="BI88" s="470"/>
      <c r="BJ88" s="470"/>
      <c r="BK88" s="470"/>
      <c r="BL88" s="544">
        <f t="shared" si="19"/>
        <v>0</v>
      </c>
      <c r="BM88" s="526"/>
      <c r="BN88" s="470"/>
      <c r="BO88" s="470"/>
      <c r="BP88" s="470"/>
      <c r="BQ88" s="470"/>
      <c r="BR88" s="470"/>
      <c r="BS88" s="470"/>
      <c r="BT88" s="544">
        <f t="shared" si="20"/>
        <v>0</v>
      </c>
      <c r="BU88" s="556"/>
      <c r="BV88" s="663">
        <f t="shared" si="31"/>
        <v>0</v>
      </c>
      <c r="BW88" s="674">
        <f t="shared" si="32"/>
        <v>0</v>
      </c>
      <c r="BX88" s="835" t="e">
        <f t="shared" si="33"/>
        <v>#DIV/0!</v>
      </c>
      <c r="BY88" s="674">
        <f t="shared" si="34"/>
        <v>0</v>
      </c>
      <c r="BZ88" s="675">
        <f t="shared" si="35"/>
        <v>0</v>
      </c>
      <c r="CA88" s="675">
        <f t="shared" si="36"/>
        <v>0</v>
      </c>
    </row>
    <row r="89" spans="1:79" ht="73.5" hidden="1" customHeight="1" x14ac:dyDescent="0.25">
      <c r="A89" s="298" t="s">
        <v>280</v>
      </c>
      <c r="B89" s="299" t="str">
        <f>'PLAN INDICATIVO'!B87</f>
        <v>Deporte y Recreación</v>
      </c>
      <c r="C89" s="1547"/>
      <c r="D89" s="1551"/>
      <c r="E89" s="1551"/>
      <c r="F89" s="1551"/>
      <c r="G89" s="1551"/>
      <c r="H89" s="1551"/>
      <c r="I89" s="1425" t="str">
        <f>'PLAN INDICATIVO'!I87</f>
        <v>SI</v>
      </c>
      <c r="J89" s="1425">
        <f>'PLAN INDICATIVO'!J87</f>
        <v>0</v>
      </c>
      <c r="K89" s="1425" t="str">
        <f>'PLAN INDICATIVO'!K87</f>
        <v>A.4.1.2</v>
      </c>
      <c r="L89" s="1425">
        <f>'PLAN INDICATIVO'!L87</f>
        <v>0</v>
      </c>
      <c r="M89" s="1425" t="str">
        <f>'PLAN INDICATIVO'!M87</f>
        <v>Secretaría de Educación, Cultura, deporte y Turismo</v>
      </c>
      <c r="N89" s="1425" t="str">
        <f>'PLAN INDICATIVO'!N87</f>
        <v>YIMI FERNANDO LOSADA PAYA</v>
      </c>
      <c r="O89" s="1425" t="str">
        <f>'PLAN INDICATIVO'!O87</f>
        <v>Incremento</v>
      </c>
      <c r="P89" s="16" t="str">
        <f>'PLAN INDICATIVO'!P87</f>
        <v>Optimizar 1 complejo deportivo en la Villa Olímpica del Municipio en el cuatrienio.</v>
      </c>
      <c r="Q89" s="302" t="str">
        <f>'PLAN INDICATIVO'!Q87</f>
        <v>No. De Villa olímpica optimizada</v>
      </c>
      <c r="R89" s="303">
        <f>'PLAN INDICATIVO'!R87</f>
        <v>2015</v>
      </c>
      <c r="S89" s="304">
        <v>0</v>
      </c>
      <c r="T89" s="677">
        <v>1</v>
      </c>
      <c r="U89" s="303">
        <v>1</v>
      </c>
      <c r="V89" s="687">
        <v>900000000</v>
      </c>
      <c r="W89" s="685">
        <v>1</v>
      </c>
      <c r="X89" s="687">
        <v>1000000</v>
      </c>
      <c r="Y89" s="685">
        <v>1</v>
      </c>
      <c r="Z89" s="687">
        <v>1000000</v>
      </c>
      <c r="AA89" s="685">
        <v>1</v>
      </c>
      <c r="AB89" s="572">
        <v>1000000</v>
      </c>
      <c r="AC89" s="665">
        <v>0.1</v>
      </c>
      <c r="AD89" s="665"/>
      <c r="AE89" s="665"/>
      <c r="AF89" s="665"/>
      <c r="AG89" s="306"/>
      <c r="AH89" s="307" t="s">
        <v>2663</v>
      </c>
      <c r="AI89" s="308"/>
      <c r="AJ89" s="308"/>
      <c r="AK89" s="308"/>
      <c r="AL89" s="308"/>
      <c r="AM89" s="267" t="s">
        <v>2604</v>
      </c>
      <c r="AN89" s="507" t="s">
        <v>2664</v>
      </c>
      <c r="AO89" s="470"/>
      <c r="AP89" s="470">
        <v>23282000</v>
      </c>
      <c r="AQ89" s="470"/>
      <c r="AR89" s="470"/>
      <c r="AS89" s="310"/>
      <c r="AT89" s="310"/>
      <c r="AU89" s="310"/>
      <c r="AV89" s="544">
        <f t="shared" si="30"/>
        <v>23282000</v>
      </c>
      <c r="AW89" s="525"/>
      <c r="AX89" s="310"/>
      <c r="AY89" s="310"/>
      <c r="AZ89" s="310"/>
      <c r="BA89" s="310"/>
      <c r="BB89" s="310"/>
      <c r="BC89" s="310"/>
      <c r="BD89" s="544">
        <f t="shared" ref="BD89:BD133" si="45">SUM(AW89:BC89)</f>
        <v>0</v>
      </c>
      <c r="BE89" s="525"/>
      <c r="BF89" s="310"/>
      <c r="BG89" s="310"/>
      <c r="BH89" s="310"/>
      <c r="BI89" s="310"/>
      <c r="BJ89" s="310"/>
      <c r="BK89" s="310"/>
      <c r="BL89" s="544">
        <f t="shared" ref="BL89:BL133" si="46">SUM(BE89:BK89)</f>
        <v>0</v>
      </c>
      <c r="BM89" s="525"/>
      <c r="BN89" s="310"/>
      <c r="BO89" s="310"/>
      <c r="BP89" s="310"/>
      <c r="BQ89" s="310"/>
      <c r="BR89" s="310"/>
      <c r="BS89" s="310"/>
      <c r="BT89" s="544">
        <f t="shared" ref="BT89:BT133" si="47">SUM(BM89:BS89)</f>
        <v>0</v>
      </c>
      <c r="BU89" s="556"/>
      <c r="BV89" s="663">
        <f t="shared" si="31"/>
        <v>0.1</v>
      </c>
      <c r="BW89" s="674">
        <f t="shared" si="32"/>
        <v>0.1</v>
      </c>
      <c r="BX89" s="835">
        <f t="shared" si="33"/>
        <v>0.1</v>
      </c>
      <c r="BY89" s="674">
        <f t="shared" si="34"/>
        <v>0</v>
      </c>
      <c r="BZ89" s="675">
        <f t="shared" si="35"/>
        <v>0</v>
      </c>
      <c r="CA89" s="675">
        <f t="shared" si="36"/>
        <v>0</v>
      </c>
    </row>
    <row r="90" spans="1:79" ht="90" hidden="1" customHeight="1" x14ac:dyDescent="0.25">
      <c r="A90" s="298" t="s">
        <v>280</v>
      </c>
      <c r="B90" s="299" t="str">
        <f>'PLAN INDICATIVO'!B88</f>
        <v>Deporte y Recreación</v>
      </c>
      <c r="C90" s="1547"/>
      <c r="D90" s="1551"/>
      <c r="E90" s="1551"/>
      <c r="F90" s="1551"/>
      <c r="G90" s="1551"/>
      <c r="H90" s="1551"/>
      <c r="I90" s="1425" t="str">
        <f>'PLAN INDICATIVO'!I88</f>
        <v>SI</v>
      </c>
      <c r="J90" s="1425">
        <f>'PLAN INDICATIVO'!J88</f>
        <v>0</v>
      </c>
      <c r="K90" s="1425" t="str">
        <f>'PLAN INDICATIVO'!K88</f>
        <v>A.4.1.3</v>
      </c>
      <c r="L90" s="1425">
        <f>'PLAN INDICATIVO'!L88</f>
        <v>0</v>
      </c>
      <c r="M90" s="1425" t="str">
        <f>'PLAN INDICATIVO'!M88</f>
        <v>Secretaría de Educación, Cultura, deporte y Turismo</v>
      </c>
      <c r="N90" s="1425" t="str">
        <f>'PLAN INDICATIVO'!N88</f>
        <v>YIMI FERNANDO LOSADA PAYA</v>
      </c>
      <c r="O90" s="1425" t="str">
        <f>'PLAN INDICATIVO'!O88</f>
        <v>Incremento</v>
      </c>
      <c r="P90" s="16" t="str">
        <f>'PLAN INDICATIVO'!P88</f>
        <v>Construir 13 cubiertas para escenarios deportivos en el sector rural y urbano en el municipio en el cuatrienio (LB 4)</v>
      </c>
      <c r="Q90" s="302" t="str">
        <f>'PLAN INDICATIVO'!Q88</f>
        <v>No. De Cubiertas de escenarios deportivos construidas</v>
      </c>
      <c r="R90" s="303" t="str">
        <f>'PLAN INDICATIVO'!R88</f>
        <v>2012/2015</v>
      </c>
      <c r="S90" s="304">
        <v>4</v>
      </c>
      <c r="T90" s="677">
        <v>6</v>
      </c>
      <c r="U90" s="303">
        <v>2</v>
      </c>
      <c r="V90" s="687">
        <v>697540000</v>
      </c>
      <c r="W90" s="572">
        <v>1</v>
      </c>
      <c r="X90" s="687">
        <v>10000000</v>
      </c>
      <c r="Y90" s="572">
        <v>1</v>
      </c>
      <c r="Z90" s="687">
        <v>40000000</v>
      </c>
      <c r="AA90" s="572">
        <v>2</v>
      </c>
      <c r="AB90" s="572">
        <v>58000000</v>
      </c>
      <c r="AC90" s="665">
        <v>0.6</v>
      </c>
      <c r="AD90" s="665"/>
      <c r="AE90" s="665"/>
      <c r="AF90" s="665"/>
      <c r="AG90" s="306"/>
      <c r="AH90" s="307" t="s">
        <v>2665</v>
      </c>
      <c r="AI90" s="308"/>
      <c r="AJ90" s="308"/>
      <c r="AK90" s="308"/>
      <c r="AL90" s="308"/>
      <c r="AM90" s="267" t="s">
        <v>2600</v>
      </c>
      <c r="AN90" s="507"/>
      <c r="AO90" s="526"/>
      <c r="AP90" s="470"/>
      <c r="AQ90" s="470"/>
      <c r="AR90" s="470"/>
      <c r="AS90" s="470"/>
      <c r="AT90" s="470"/>
      <c r="AU90" s="470"/>
      <c r="AV90" s="544"/>
      <c r="AW90" s="526"/>
      <c r="AX90" s="470"/>
      <c r="AY90" s="470"/>
      <c r="AZ90" s="470"/>
      <c r="BA90" s="470"/>
      <c r="BB90" s="470"/>
      <c r="BC90" s="470"/>
      <c r="BD90" s="544">
        <f t="shared" si="45"/>
        <v>0</v>
      </c>
      <c r="BE90" s="526"/>
      <c r="BF90" s="470"/>
      <c r="BG90" s="470"/>
      <c r="BH90" s="470"/>
      <c r="BI90" s="470"/>
      <c r="BJ90" s="470"/>
      <c r="BK90" s="470"/>
      <c r="BL90" s="544">
        <f t="shared" si="46"/>
        <v>0</v>
      </c>
      <c r="BM90" s="526"/>
      <c r="BN90" s="470"/>
      <c r="BO90" s="470"/>
      <c r="BP90" s="470"/>
      <c r="BQ90" s="470"/>
      <c r="BR90" s="470"/>
      <c r="BS90" s="470"/>
      <c r="BT90" s="544">
        <f t="shared" si="47"/>
        <v>0</v>
      </c>
      <c r="BU90" s="556"/>
      <c r="BV90" s="663">
        <f t="shared" si="31"/>
        <v>0.6</v>
      </c>
      <c r="BW90" s="674">
        <f t="shared" si="32"/>
        <v>9.9999999999999992E-2</v>
      </c>
      <c r="BX90" s="835">
        <f t="shared" si="33"/>
        <v>0.3</v>
      </c>
      <c r="BY90" s="674">
        <f t="shared" si="34"/>
        <v>0</v>
      </c>
      <c r="BZ90" s="675">
        <f t="shared" si="35"/>
        <v>0</v>
      </c>
      <c r="CA90" s="675">
        <f t="shared" si="36"/>
        <v>0</v>
      </c>
    </row>
    <row r="91" spans="1:79" ht="90" hidden="1" customHeight="1" x14ac:dyDescent="0.25">
      <c r="A91" s="298" t="s">
        <v>280</v>
      </c>
      <c r="B91" s="299" t="str">
        <f>'PLAN INDICATIVO'!B89</f>
        <v>Deporte y Recreación</v>
      </c>
      <c r="C91" s="1547"/>
      <c r="D91" s="1551"/>
      <c r="E91" s="1551"/>
      <c r="F91" s="1551"/>
      <c r="G91" s="1551"/>
      <c r="H91" s="1551"/>
      <c r="I91" s="300">
        <f>'PLAN INDICATIVO'!I89</f>
        <v>0</v>
      </c>
      <c r="J91" s="300">
        <f>'PLAN INDICATIVO'!J89</f>
        <v>0</v>
      </c>
      <c r="K91" s="1425" t="str">
        <f>'PLAN INDICATIVO'!K89</f>
        <v>A.4.1.4</v>
      </c>
      <c r="L91" s="1425">
        <f>'PLAN INDICATIVO'!L89</f>
        <v>0</v>
      </c>
      <c r="M91" s="1425" t="str">
        <f>'PLAN INDICATIVO'!M89</f>
        <v>Secretaría de Educación, Cultura, deporte y Turismo</v>
      </c>
      <c r="N91" s="1425" t="str">
        <f>'PLAN INDICATIVO'!N89</f>
        <v>YIMI FERNANDO LOSADA PAYA</v>
      </c>
      <c r="O91" s="1425" t="str">
        <f>'PLAN INDICATIVO'!O89</f>
        <v>Incremento</v>
      </c>
      <c r="P91" s="16" t="str">
        <f>'PLAN INDICATIVO'!P89</f>
        <v>Realizar construcción, mejoramiento o mantenimiento de 12 escenarios deportivos comunitarios del sector urbano y rural del municipio durante el cuatrienio</v>
      </c>
      <c r="Q91" s="302" t="str">
        <f>'PLAN INDICATIVO'!Q89</f>
        <v>No. De escenarios deportivos  con construcción, mejoramiento o mantenimiento</v>
      </c>
      <c r="R91" s="303">
        <f>'PLAN INDICATIVO'!R89</f>
        <v>2015</v>
      </c>
      <c r="S91" s="304">
        <v>0</v>
      </c>
      <c r="T91" s="677">
        <v>12</v>
      </c>
      <c r="U91" s="303">
        <v>3</v>
      </c>
      <c r="V91" s="687">
        <v>27000000</v>
      </c>
      <c r="W91" s="572">
        <v>3</v>
      </c>
      <c r="X91" s="687">
        <v>34000000</v>
      </c>
      <c r="Y91" s="572">
        <v>3</v>
      </c>
      <c r="Z91" s="687">
        <v>11000000</v>
      </c>
      <c r="AA91" s="572">
        <v>3</v>
      </c>
      <c r="AB91" s="572">
        <v>1000000</v>
      </c>
      <c r="AC91" s="665">
        <v>0.6</v>
      </c>
      <c r="AD91" s="665"/>
      <c r="AE91" s="665"/>
      <c r="AF91" s="665"/>
      <c r="AG91" s="306"/>
      <c r="AH91" s="664" t="s">
        <v>2666</v>
      </c>
      <c r="AI91" s="308"/>
      <c r="AJ91" s="308"/>
      <c r="AK91" s="308"/>
      <c r="AL91" s="308"/>
      <c r="AM91" s="267" t="s">
        <v>2604</v>
      </c>
      <c r="AN91" s="507" t="s">
        <v>2664</v>
      </c>
      <c r="AO91" s="526"/>
      <c r="AP91" s="526">
        <v>41717000</v>
      </c>
      <c r="AQ91" s="526"/>
      <c r="AR91" s="526"/>
      <c r="AS91" s="526"/>
      <c r="AT91" s="526"/>
      <c r="AU91" s="310"/>
      <c r="AV91" s="544">
        <f t="shared" si="30"/>
        <v>41717000</v>
      </c>
      <c r="AW91" s="525"/>
      <c r="AX91" s="310"/>
      <c r="AY91" s="310"/>
      <c r="AZ91" s="310"/>
      <c r="BA91" s="310"/>
      <c r="BB91" s="310"/>
      <c r="BC91" s="310"/>
      <c r="BD91" s="544">
        <f t="shared" si="45"/>
        <v>0</v>
      </c>
      <c r="BE91" s="525"/>
      <c r="BF91" s="310"/>
      <c r="BG91" s="310"/>
      <c r="BH91" s="310"/>
      <c r="BI91" s="310"/>
      <c r="BJ91" s="310"/>
      <c r="BK91" s="310"/>
      <c r="BL91" s="544">
        <f t="shared" si="46"/>
        <v>0</v>
      </c>
      <c r="BM91" s="525"/>
      <c r="BN91" s="310"/>
      <c r="BO91" s="310"/>
      <c r="BP91" s="310"/>
      <c r="BQ91" s="310"/>
      <c r="BR91" s="310"/>
      <c r="BS91" s="310"/>
      <c r="BT91" s="544">
        <f t="shared" si="47"/>
        <v>0</v>
      </c>
      <c r="BU91" s="556"/>
      <c r="BV91" s="663">
        <f t="shared" si="31"/>
        <v>0.6</v>
      </c>
      <c r="BW91" s="674">
        <f t="shared" si="32"/>
        <v>4.9999999999999996E-2</v>
      </c>
      <c r="BX91" s="835">
        <f t="shared" si="33"/>
        <v>0.19999999999999998</v>
      </c>
      <c r="BY91" s="674">
        <f t="shared" si="34"/>
        <v>0</v>
      </c>
      <c r="BZ91" s="675">
        <f t="shared" si="35"/>
        <v>0</v>
      </c>
      <c r="CA91" s="675">
        <f t="shared" si="36"/>
        <v>0</v>
      </c>
    </row>
    <row r="92" spans="1:79" ht="60" hidden="1" customHeight="1" x14ac:dyDescent="0.25">
      <c r="A92" s="298" t="s">
        <v>280</v>
      </c>
      <c r="B92" s="299" t="str">
        <f>'PLAN INDICATIVO'!B90</f>
        <v>Deporte y Recreación</v>
      </c>
      <c r="C92" s="1547"/>
      <c r="D92" s="1551"/>
      <c r="E92" s="1551"/>
      <c r="F92" s="1551"/>
      <c r="G92" s="1551"/>
      <c r="H92" s="1551"/>
      <c r="I92" s="1425" t="str">
        <f>'PLAN INDICATIVO'!I90</f>
        <v>SI</v>
      </c>
      <c r="J92" s="1425">
        <f>'PLAN INDICATIVO'!J90</f>
        <v>0</v>
      </c>
      <c r="K92" s="1425" t="str">
        <f>'PLAN INDICATIVO'!K90</f>
        <v>A.4.1.5</v>
      </c>
      <c r="L92" s="1425">
        <f>'PLAN INDICATIVO'!L90</f>
        <v>0</v>
      </c>
      <c r="M92" s="1425" t="str">
        <f>'PLAN INDICATIVO'!M90</f>
        <v>Secretaría de Educación, Cultura, deporte y Turismo</v>
      </c>
      <c r="N92" s="1425" t="str">
        <f>'PLAN INDICATIVO'!N90</f>
        <v>YIMI FERNANDO LOSADA PAYA</v>
      </c>
      <c r="O92" s="1425" t="str">
        <f>'PLAN INDICATIVO'!O90</f>
        <v>Incremento</v>
      </c>
      <c r="P92" s="16" t="str">
        <f>'PLAN INDICATIVO'!P90</f>
        <v>Construir  3 Parques Biosaludables  en el sector rural y/o urbano en el municipio en el cuatrienio</v>
      </c>
      <c r="Q92" s="302" t="str">
        <f>'PLAN INDICATIVO'!Q90</f>
        <v>No. De parques construidos</v>
      </c>
      <c r="R92" s="303">
        <f>'PLAN INDICATIVO'!R90</f>
        <v>2015</v>
      </c>
      <c r="S92" s="304">
        <v>1</v>
      </c>
      <c r="T92" s="677">
        <v>8</v>
      </c>
      <c r="U92" s="303">
        <v>2</v>
      </c>
      <c r="V92" s="687">
        <v>920000000</v>
      </c>
      <c r="W92" s="572">
        <v>2</v>
      </c>
      <c r="X92" s="687">
        <v>1000000</v>
      </c>
      <c r="Y92" s="572">
        <v>2</v>
      </c>
      <c r="Z92" s="687">
        <v>1000000</v>
      </c>
      <c r="AA92" s="572">
        <v>2</v>
      </c>
      <c r="AB92" s="572">
        <v>1000000</v>
      </c>
      <c r="AC92" s="665">
        <v>0</v>
      </c>
      <c r="AD92" s="665"/>
      <c r="AE92" s="665"/>
      <c r="AF92" s="665"/>
      <c r="AG92" s="306"/>
      <c r="AH92" s="307" t="s">
        <v>2667</v>
      </c>
      <c r="AI92" s="308"/>
      <c r="AJ92" s="308"/>
      <c r="AK92" s="308"/>
      <c r="AL92" s="308"/>
      <c r="AM92" s="267" t="s">
        <v>2600</v>
      </c>
      <c r="AN92" s="507"/>
      <c r="AO92" s="525"/>
      <c r="AP92" s="310"/>
      <c r="AQ92" s="310"/>
      <c r="AR92" s="310"/>
      <c r="AS92" s="310"/>
      <c r="AT92" s="310"/>
      <c r="AU92" s="310"/>
      <c r="AV92" s="544">
        <f t="shared" si="30"/>
        <v>0</v>
      </c>
      <c r="AW92" s="525"/>
      <c r="AX92" s="310"/>
      <c r="AY92" s="310"/>
      <c r="AZ92" s="310"/>
      <c r="BA92" s="310"/>
      <c r="BB92" s="310"/>
      <c r="BC92" s="310"/>
      <c r="BD92" s="544">
        <f t="shared" si="45"/>
        <v>0</v>
      </c>
      <c r="BE92" s="525"/>
      <c r="BF92" s="310"/>
      <c r="BG92" s="310"/>
      <c r="BH92" s="310"/>
      <c r="BI92" s="310"/>
      <c r="BJ92" s="310"/>
      <c r="BK92" s="310"/>
      <c r="BL92" s="544">
        <f t="shared" si="46"/>
        <v>0</v>
      </c>
      <c r="BM92" s="525"/>
      <c r="BN92" s="310"/>
      <c r="BO92" s="310"/>
      <c r="BP92" s="310"/>
      <c r="BQ92" s="310"/>
      <c r="BR92" s="310"/>
      <c r="BS92" s="310"/>
      <c r="BT92" s="544">
        <f t="shared" si="47"/>
        <v>0</v>
      </c>
      <c r="BU92" s="556"/>
      <c r="BV92" s="663">
        <f t="shared" si="31"/>
        <v>0</v>
      </c>
      <c r="BW92" s="674">
        <f t="shared" si="32"/>
        <v>0</v>
      </c>
      <c r="BX92" s="835">
        <f t="shared" si="33"/>
        <v>0</v>
      </c>
      <c r="BY92" s="674">
        <f t="shared" si="34"/>
        <v>0</v>
      </c>
      <c r="BZ92" s="675">
        <f t="shared" si="35"/>
        <v>0</v>
      </c>
      <c r="CA92" s="675">
        <f t="shared" si="36"/>
        <v>0</v>
      </c>
    </row>
    <row r="93" spans="1:79" ht="65.25" hidden="1" customHeight="1" x14ac:dyDescent="0.25">
      <c r="A93" s="298" t="s">
        <v>280</v>
      </c>
      <c r="B93" s="299" t="str">
        <f>'PLAN INDICATIVO'!B91</f>
        <v>Deporte y Recreación</v>
      </c>
      <c r="C93" s="1547"/>
      <c r="D93" s="1551"/>
      <c r="E93" s="1551"/>
      <c r="F93" s="1551"/>
      <c r="G93" s="1551"/>
      <c r="H93" s="1551"/>
      <c r="I93" s="1425" t="str">
        <f>'PLAN INDICATIVO'!I91</f>
        <v>SI</v>
      </c>
      <c r="J93" s="1425">
        <f>'PLAN INDICATIVO'!J91</f>
        <v>0</v>
      </c>
      <c r="K93" s="1425" t="str">
        <f>'PLAN INDICATIVO'!K91</f>
        <v>A.4.1.6</v>
      </c>
      <c r="L93" s="1425">
        <f>'PLAN INDICATIVO'!L91</f>
        <v>0</v>
      </c>
      <c r="M93" s="1425" t="str">
        <f>'PLAN INDICATIVO'!M91</f>
        <v>Secretaría de Educación, Cultura, deporte y Turismo</v>
      </c>
      <c r="N93" s="1425" t="str">
        <f>'PLAN INDICATIVO'!N91</f>
        <v>YIMI FERNANDO LOSADA PAYA</v>
      </c>
      <c r="O93" s="1425" t="str">
        <f>'PLAN INDICATIVO'!O91</f>
        <v>Incremento</v>
      </c>
      <c r="P93" s="16" t="str">
        <f>'PLAN INDICATIVO'!P91</f>
        <v xml:space="preserve">Construir 8 Parques Infantiles en el sector rural y urbano en el municipio en el cuatrienio </v>
      </c>
      <c r="Q93" s="302" t="str">
        <f>'PLAN INDICATIVO'!Q91</f>
        <v>No. De parques infantiles construidos</v>
      </c>
      <c r="R93" s="303">
        <f>'PLAN INDICATIVO'!R91</f>
        <v>2015</v>
      </c>
      <c r="S93" s="304">
        <v>1</v>
      </c>
      <c r="T93" s="677">
        <v>8</v>
      </c>
      <c r="U93" s="303">
        <v>2</v>
      </c>
      <c r="V93" s="687">
        <v>10300000</v>
      </c>
      <c r="W93" s="572">
        <v>2</v>
      </c>
      <c r="X93" s="687">
        <v>1000000</v>
      </c>
      <c r="Y93" s="572">
        <v>2</v>
      </c>
      <c r="Z93" s="687">
        <v>1000000</v>
      </c>
      <c r="AA93" s="572">
        <v>2</v>
      </c>
      <c r="AB93" s="572">
        <v>1000000</v>
      </c>
      <c r="AC93" s="665">
        <v>0</v>
      </c>
      <c r="AD93" s="665"/>
      <c r="AE93" s="665"/>
      <c r="AF93" s="665"/>
      <c r="AG93" s="306"/>
      <c r="AH93" s="307" t="s">
        <v>2668</v>
      </c>
      <c r="AI93" s="308"/>
      <c r="AJ93" s="308"/>
      <c r="AK93" s="308"/>
      <c r="AL93" s="308"/>
      <c r="AM93" s="267" t="s">
        <v>2600</v>
      </c>
      <c r="AN93" s="507"/>
      <c r="AO93" s="525"/>
      <c r="AP93" s="310"/>
      <c r="AQ93" s="310"/>
      <c r="AR93" s="310"/>
      <c r="AS93" s="310"/>
      <c r="AT93" s="310"/>
      <c r="AU93" s="310"/>
      <c r="AV93" s="544">
        <f t="shared" si="30"/>
        <v>0</v>
      </c>
      <c r="AW93" s="525"/>
      <c r="AX93" s="310"/>
      <c r="AY93" s="310"/>
      <c r="AZ93" s="310"/>
      <c r="BA93" s="310"/>
      <c r="BB93" s="310"/>
      <c r="BC93" s="310"/>
      <c r="BD93" s="544">
        <f t="shared" si="45"/>
        <v>0</v>
      </c>
      <c r="BE93" s="525"/>
      <c r="BF93" s="310"/>
      <c r="BG93" s="310"/>
      <c r="BH93" s="310"/>
      <c r="BI93" s="310"/>
      <c r="BJ93" s="310"/>
      <c r="BK93" s="310"/>
      <c r="BL93" s="544">
        <f t="shared" si="46"/>
        <v>0</v>
      </c>
      <c r="BM93" s="525"/>
      <c r="BN93" s="310"/>
      <c r="BO93" s="310"/>
      <c r="BP93" s="310"/>
      <c r="BQ93" s="310"/>
      <c r="BR93" s="310"/>
      <c r="BS93" s="310"/>
      <c r="BT93" s="544">
        <f t="shared" si="47"/>
        <v>0</v>
      </c>
      <c r="BU93" s="556"/>
      <c r="BV93" s="663">
        <f t="shared" si="31"/>
        <v>0</v>
      </c>
      <c r="BW93" s="674">
        <f t="shared" si="32"/>
        <v>0</v>
      </c>
      <c r="BX93" s="835">
        <f t="shared" si="33"/>
        <v>0</v>
      </c>
      <c r="BY93" s="674">
        <f t="shared" si="34"/>
        <v>0</v>
      </c>
      <c r="BZ93" s="675">
        <f t="shared" si="35"/>
        <v>0</v>
      </c>
      <c r="CA93" s="675">
        <f t="shared" si="36"/>
        <v>0</v>
      </c>
    </row>
    <row r="94" spans="1:79" ht="59.25" hidden="1" customHeight="1" x14ac:dyDescent="0.25">
      <c r="A94" s="298" t="s">
        <v>280</v>
      </c>
      <c r="B94" s="299" t="str">
        <f>'PLAN INDICATIVO'!B92</f>
        <v>Deporte y Recreación</v>
      </c>
      <c r="C94" s="1547"/>
      <c r="D94" s="1551"/>
      <c r="E94" s="1551"/>
      <c r="F94" s="1551"/>
      <c r="G94" s="1551"/>
      <c r="H94" s="1551"/>
      <c r="I94" s="300">
        <f>'PLAN INDICATIVO'!I92</f>
        <v>0</v>
      </c>
      <c r="J94" s="300">
        <f>'PLAN INDICATIVO'!J92</f>
        <v>0</v>
      </c>
      <c r="K94" s="1425" t="str">
        <f>'PLAN INDICATIVO'!K92</f>
        <v>A.4.1.7</v>
      </c>
      <c r="L94" s="1425">
        <f>'PLAN INDICATIVO'!L92</f>
        <v>0</v>
      </c>
      <c r="M94" s="1425" t="str">
        <f>'PLAN INDICATIVO'!M92</f>
        <v>Secretaría de Educación, Cultura, deporte y Turismo</v>
      </c>
      <c r="N94" s="1425" t="str">
        <f>'PLAN INDICATIVO'!N92</f>
        <v>YIMI FERNANDO LOSADA PAYA</v>
      </c>
      <c r="O94" s="1425" t="str">
        <f>'PLAN INDICATIVO'!O92</f>
        <v>Incremento</v>
      </c>
      <c r="P94" s="16" t="str">
        <f>'PLAN INDICATIVO'!P92</f>
        <v>Realizar 4 campeonatos de deportes alternativos durante el cuatrienio dirigido a la población juvenil del municipio.</v>
      </c>
      <c r="Q94" s="302" t="str">
        <f>'PLAN INDICATIVO'!Q92</f>
        <v>No. De  campeonatos realizados</v>
      </c>
      <c r="R94" s="303">
        <f>'PLAN INDICATIVO'!R92</f>
        <v>2015</v>
      </c>
      <c r="S94" s="304" t="s">
        <v>177</v>
      </c>
      <c r="T94" s="677">
        <v>4</v>
      </c>
      <c r="U94" s="303">
        <v>1</v>
      </c>
      <c r="V94" s="687">
        <v>10060000</v>
      </c>
      <c r="W94" s="572">
        <v>1</v>
      </c>
      <c r="X94" s="687">
        <v>1000000</v>
      </c>
      <c r="Y94" s="572">
        <v>1</v>
      </c>
      <c r="Z94" s="687">
        <v>1000000</v>
      </c>
      <c r="AA94" s="572">
        <v>1</v>
      </c>
      <c r="AB94" s="572">
        <v>1000000</v>
      </c>
      <c r="AC94" s="665">
        <v>1</v>
      </c>
      <c r="AD94" s="665"/>
      <c r="AE94" s="665"/>
      <c r="AF94" s="665"/>
      <c r="AG94" s="306"/>
      <c r="AH94" s="307" t="s">
        <v>2669</v>
      </c>
      <c r="AI94" s="309">
        <v>42552</v>
      </c>
      <c r="AJ94" s="309">
        <v>42582</v>
      </c>
      <c r="AK94" s="308"/>
      <c r="AL94" s="308"/>
      <c r="AM94" s="267" t="s">
        <v>2598</v>
      </c>
      <c r="AN94" s="507">
        <v>230401</v>
      </c>
      <c r="AO94" s="525"/>
      <c r="AP94" s="310">
        <v>3000000</v>
      </c>
      <c r="AQ94" s="310"/>
      <c r="AR94" s="310"/>
      <c r="AS94" s="310"/>
      <c r="AT94" s="310"/>
      <c r="AU94" s="310"/>
      <c r="AV94" s="544">
        <f t="shared" si="30"/>
        <v>3000000</v>
      </c>
      <c r="AW94" s="525"/>
      <c r="AX94" s="310"/>
      <c r="AY94" s="310"/>
      <c r="AZ94" s="310"/>
      <c r="BA94" s="310"/>
      <c r="BB94" s="310"/>
      <c r="BC94" s="310"/>
      <c r="BD94" s="544">
        <f t="shared" si="45"/>
        <v>0</v>
      </c>
      <c r="BE94" s="525"/>
      <c r="BF94" s="310"/>
      <c r="BG94" s="310"/>
      <c r="BH94" s="310"/>
      <c r="BI94" s="310"/>
      <c r="BJ94" s="310"/>
      <c r="BK94" s="310"/>
      <c r="BL94" s="544">
        <f t="shared" si="46"/>
        <v>0</v>
      </c>
      <c r="BM94" s="525"/>
      <c r="BN94" s="310"/>
      <c r="BO94" s="310"/>
      <c r="BP94" s="310"/>
      <c r="BQ94" s="310"/>
      <c r="BR94" s="310"/>
      <c r="BS94" s="310"/>
      <c r="BT94" s="544">
        <f t="shared" si="47"/>
        <v>0</v>
      </c>
      <c r="BU94" s="556"/>
      <c r="BV94" s="663">
        <f t="shared" si="31"/>
        <v>1</v>
      </c>
      <c r="BW94" s="674">
        <f t="shared" si="32"/>
        <v>0.25</v>
      </c>
      <c r="BX94" s="835">
        <f t="shared" si="33"/>
        <v>1</v>
      </c>
      <c r="BY94" s="674">
        <f t="shared" si="34"/>
        <v>0</v>
      </c>
      <c r="BZ94" s="675">
        <f t="shared" si="35"/>
        <v>0</v>
      </c>
      <c r="CA94" s="675">
        <f t="shared" si="36"/>
        <v>0</v>
      </c>
    </row>
    <row r="95" spans="1:79" ht="69" hidden="1" customHeight="1" x14ac:dyDescent="0.25">
      <c r="A95" s="298" t="s">
        <v>280</v>
      </c>
      <c r="B95" s="299" t="str">
        <f>'PLAN INDICATIVO'!B93</f>
        <v>Deporte y Recreación</v>
      </c>
      <c r="C95" s="1547"/>
      <c r="D95" s="1551"/>
      <c r="E95" s="1551"/>
      <c r="F95" s="1551"/>
      <c r="G95" s="1551"/>
      <c r="H95" s="1551"/>
      <c r="I95" s="300">
        <f>'PLAN INDICATIVO'!I93</f>
        <v>0</v>
      </c>
      <c r="J95" s="300">
        <f>'PLAN INDICATIVO'!J93</f>
        <v>0</v>
      </c>
      <c r="K95" s="1425" t="str">
        <f>'PLAN INDICATIVO'!K93</f>
        <v>A.4.1.8</v>
      </c>
      <c r="L95" s="1425">
        <f>'PLAN INDICATIVO'!L93</f>
        <v>0</v>
      </c>
      <c r="M95" s="1425" t="str">
        <f>'PLAN INDICATIVO'!M93</f>
        <v>Secretaría de Educación, Cultura, deporte y Turismo</v>
      </c>
      <c r="N95" s="1425" t="str">
        <f>'PLAN INDICATIVO'!N93</f>
        <v>YIMI FERNANDO LOSADA PAYA</v>
      </c>
      <c r="O95" s="1425" t="str">
        <f>'PLAN INDICATIVO'!O93</f>
        <v>Incremento</v>
      </c>
      <c r="P95" s="16" t="str">
        <f>'PLAN INDICATIVO'!P93</f>
        <v>Desarrollar 4 Festivales Deportivo-Recreativo para personas en situación de discapacidad durante el cuatrienio.</v>
      </c>
      <c r="Q95" s="302" t="str">
        <f>'PLAN INDICATIVO'!Q93</f>
        <v>No. Festivales deportivos - recreativos realizados</v>
      </c>
      <c r="R95" s="303">
        <f>'PLAN INDICATIVO'!R93</f>
        <v>2015</v>
      </c>
      <c r="S95" s="304">
        <v>0</v>
      </c>
      <c r="T95" s="677">
        <v>4</v>
      </c>
      <c r="U95" s="303">
        <v>1</v>
      </c>
      <c r="V95" s="687">
        <v>1000000</v>
      </c>
      <c r="W95" s="572">
        <v>1</v>
      </c>
      <c r="X95" s="687">
        <v>1000000</v>
      </c>
      <c r="Y95" s="572">
        <v>1</v>
      </c>
      <c r="Z95" s="687">
        <v>1000000</v>
      </c>
      <c r="AA95" s="572">
        <v>1</v>
      </c>
      <c r="AB95" s="572">
        <v>1000000</v>
      </c>
      <c r="AC95" s="665">
        <v>1</v>
      </c>
      <c r="AD95" s="665"/>
      <c r="AE95" s="665"/>
      <c r="AF95" s="665"/>
      <c r="AG95" s="306"/>
      <c r="AH95" s="307" t="s">
        <v>2670</v>
      </c>
      <c r="AI95" s="308"/>
      <c r="AJ95" s="308"/>
      <c r="AK95" s="308"/>
      <c r="AL95" s="308"/>
      <c r="AM95" s="267" t="s">
        <v>2598</v>
      </c>
      <c r="AN95" s="507" t="s">
        <v>2671</v>
      </c>
      <c r="AO95" s="525"/>
      <c r="AP95" s="310">
        <v>8000000</v>
      </c>
      <c r="AQ95" s="310"/>
      <c r="AR95" s="310"/>
      <c r="AS95" s="310"/>
      <c r="AT95" s="310"/>
      <c r="AU95" s="310"/>
      <c r="AV95" s="544">
        <f t="shared" si="30"/>
        <v>8000000</v>
      </c>
      <c r="AW95" s="525"/>
      <c r="AX95" s="310"/>
      <c r="AY95" s="310"/>
      <c r="AZ95" s="310"/>
      <c r="BA95" s="310"/>
      <c r="BB95" s="310"/>
      <c r="BC95" s="310"/>
      <c r="BD95" s="544">
        <f t="shared" si="45"/>
        <v>0</v>
      </c>
      <c r="BE95" s="525"/>
      <c r="BF95" s="310"/>
      <c r="BG95" s="310"/>
      <c r="BH95" s="310"/>
      <c r="BI95" s="310"/>
      <c r="BJ95" s="310"/>
      <c r="BK95" s="310"/>
      <c r="BL95" s="544">
        <f t="shared" si="46"/>
        <v>0</v>
      </c>
      <c r="BM95" s="525"/>
      <c r="BN95" s="310"/>
      <c r="BO95" s="310"/>
      <c r="BP95" s="310"/>
      <c r="BQ95" s="310"/>
      <c r="BR95" s="310"/>
      <c r="BS95" s="310"/>
      <c r="BT95" s="544">
        <f t="shared" si="47"/>
        <v>0</v>
      </c>
      <c r="BU95" s="556"/>
      <c r="BV95" s="663">
        <f t="shared" si="31"/>
        <v>1</v>
      </c>
      <c r="BW95" s="674">
        <f t="shared" si="32"/>
        <v>0.25</v>
      </c>
      <c r="BX95" s="835">
        <f t="shared" si="33"/>
        <v>1</v>
      </c>
      <c r="BY95" s="674">
        <f t="shared" si="34"/>
        <v>0</v>
      </c>
      <c r="BZ95" s="675">
        <f t="shared" si="35"/>
        <v>0</v>
      </c>
      <c r="CA95" s="675">
        <f t="shared" si="36"/>
        <v>0</v>
      </c>
    </row>
    <row r="96" spans="1:79" ht="57.75" hidden="1" customHeight="1" x14ac:dyDescent="0.25">
      <c r="A96" s="298" t="s">
        <v>280</v>
      </c>
      <c r="B96" s="299" t="str">
        <f>'PLAN INDICATIVO'!B94</f>
        <v>Deporte y Recreación</v>
      </c>
      <c r="C96" s="1547"/>
      <c r="D96" s="1551"/>
      <c r="E96" s="1551"/>
      <c r="F96" s="1551"/>
      <c r="G96" s="1551"/>
      <c r="H96" s="1551"/>
      <c r="I96" s="1425" t="str">
        <f>'PLAN INDICATIVO'!I94</f>
        <v>SI</v>
      </c>
      <c r="J96" s="1425">
        <f>'PLAN INDICATIVO'!J94</f>
        <v>0</v>
      </c>
      <c r="K96" s="1425" t="str">
        <f>'PLAN INDICATIVO'!K94</f>
        <v>A.4.1.9</v>
      </c>
      <c r="L96" s="1425">
        <f>'PLAN INDICATIVO'!L94</f>
        <v>0</v>
      </c>
      <c r="M96" s="1425" t="str">
        <f>'PLAN INDICATIVO'!M94</f>
        <v>Secretaría de Educación, Cultura, deporte y Turismo</v>
      </c>
      <c r="N96" s="1425" t="str">
        <f>'PLAN INDICATIVO'!N94</f>
        <v>YIMI FERNANDO LOSADA PAYA</v>
      </c>
      <c r="O96" s="1425" t="str">
        <f>'PLAN INDICATIVO'!O94</f>
        <v>Incremento</v>
      </c>
      <c r="P96" s="16" t="str">
        <f>'PLAN INDICATIVO'!P94</f>
        <v>Construir 1 escenario educativo, recreativo, cultural y comunitario denominado Aldea Para la Felicidad, durante el cuatrienio</v>
      </c>
      <c r="Q96" s="302" t="str">
        <f>'PLAN INDICATIVO'!Q94</f>
        <v>No. De complejos construidos durante el cuatrienio</v>
      </c>
      <c r="R96" s="303">
        <f>'PLAN INDICATIVO'!R94</f>
        <v>2015</v>
      </c>
      <c r="S96" s="304">
        <v>0</v>
      </c>
      <c r="T96" s="677">
        <v>1</v>
      </c>
      <c r="U96" s="684">
        <v>0</v>
      </c>
      <c r="V96" s="687"/>
      <c r="W96" s="685">
        <v>1</v>
      </c>
      <c r="X96" s="687">
        <v>500000000</v>
      </c>
      <c r="Y96" s="685">
        <v>0</v>
      </c>
      <c r="Z96" s="687">
        <v>1000000</v>
      </c>
      <c r="AA96" s="685">
        <v>0</v>
      </c>
      <c r="AB96" s="572">
        <v>1000000</v>
      </c>
      <c r="AC96" s="665">
        <v>0</v>
      </c>
      <c r="AD96" s="665"/>
      <c r="AE96" s="665"/>
      <c r="AF96" s="665"/>
      <c r="AG96" s="266"/>
      <c r="AH96" s="307"/>
      <c r="AI96" s="308"/>
      <c r="AJ96" s="308"/>
      <c r="AK96" s="308"/>
      <c r="AL96" s="308"/>
      <c r="AM96" s="267" t="s">
        <v>2594</v>
      </c>
      <c r="AN96" s="507"/>
      <c r="AO96" s="525"/>
      <c r="AP96" s="310"/>
      <c r="AQ96" s="310"/>
      <c r="AR96" s="310"/>
      <c r="AS96" s="310"/>
      <c r="AT96" s="310"/>
      <c r="AU96" s="310"/>
      <c r="AV96" s="544">
        <f t="shared" si="30"/>
        <v>0</v>
      </c>
      <c r="AW96" s="525"/>
      <c r="AX96" s="310"/>
      <c r="AY96" s="310"/>
      <c r="AZ96" s="310"/>
      <c r="BA96" s="310"/>
      <c r="BB96" s="310"/>
      <c r="BC96" s="310"/>
      <c r="BD96" s="544">
        <f t="shared" si="45"/>
        <v>0</v>
      </c>
      <c r="BE96" s="525"/>
      <c r="BF96" s="310"/>
      <c r="BG96" s="310"/>
      <c r="BH96" s="310"/>
      <c r="BI96" s="310"/>
      <c r="BJ96" s="310"/>
      <c r="BK96" s="310"/>
      <c r="BL96" s="544">
        <f t="shared" si="46"/>
        <v>0</v>
      </c>
      <c r="BM96" s="525"/>
      <c r="BN96" s="310"/>
      <c r="BO96" s="310"/>
      <c r="BP96" s="310"/>
      <c r="BQ96" s="310"/>
      <c r="BR96" s="310"/>
      <c r="BS96" s="310"/>
      <c r="BT96" s="544">
        <f t="shared" si="47"/>
        <v>0</v>
      </c>
      <c r="BU96" s="556"/>
      <c r="BV96" s="663">
        <f t="shared" si="31"/>
        <v>0</v>
      </c>
      <c r="BW96" s="674">
        <f t="shared" si="32"/>
        <v>0</v>
      </c>
      <c r="BX96" s="835" t="e">
        <f t="shared" si="33"/>
        <v>#DIV/0!</v>
      </c>
      <c r="BY96" s="674">
        <f t="shared" si="34"/>
        <v>0</v>
      </c>
      <c r="BZ96" s="675" t="e">
        <f t="shared" si="35"/>
        <v>#DIV/0!</v>
      </c>
      <c r="CA96" s="675" t="e">
        <f t="shared" si="36"/>
        <v>#DIV/0!</v>
      </c>
    </row>
    <row r="97" spans="1:79" ht="42" hidden="1" customHeight="1" x14ac:dyDescent="0.25">
      <c r="A97" s="298" t="s">
        <v>280</v>
      </c>
      <c r="B97" s="299" t="str">
        <f>'PLAN INDICATIVO'!B95</f>
        <v>Deporte y Recreación</v>
      </c>
      <c r="C97" s="1547"/>
      <c r="D97" s="1551"/>
      <c r="E97" s="1551"/>
      <c r="F97" s="1551"/>
      <c r="G97" s="1551"/>
      <c r="H97" s="1551"/>
      <c r="I97" s="300">
        <f>'PLAN INDICATIVO'!I95</f>
        <v>0</v>
      </c>
      <c r="J97" s="300">
        <f>'PLAN INDICATIVO'!J95</f>
        <v>0</v>
      </c>
      <c r="K97" s="1425" t="str">
        <f>'PLAN INDICATIVO'!K95</f>
        <v>A.4.1.10</v>
      </c>
      <c r="L97" s="1425">
        <f>'PLAN INDICATIVO'!L95</f>
        <v>0</v>
      </c>
      <c r="M97" s="1425" t="str">
        <f>'PLAN INDICATIVO'!M95</f>
        <v>Secretaría de Educación, Cultura, deporte y Turismo</v>
      </c>
      <c r="N97" s="1425" t="str">
        <f>'PLAN INDICATIVO'!N95</f>
        <v>YIMI FERNANDO LOSADA PAYA</v>
      </c>
      <c r="O97" s="1425" t="str">
        <f>'PLAN INDICATIVO'!O95</f>
        <v>Incremento</v>
      </c>
      <c r="P97" s="16" t="str">
        <f>'PLAN INDICATIVO'!P95</f>
        <v>Desarrollar un programa de Actividad Física por año durante el cuatrienio dirigido a la población adulta mayor.</v>
      </c>
      <c r="Q97" s="302" t="str">
        <f>'PLAN INDICATIVO'!Q95</f>
        <v>No. De programas desarrollados</v>
      </c>
      <c r="R97" s="303">
        <f>'PLAN INDICATIVO'!R95</f>
        <v>2015</v>
      </c>
      <c r="S97" s="304">
        <v>1</v>
      </c>
      <c r="T97" s="677">
        <v>4</v>
      </c>
      <c r="U97" s="303">
        <v>1</v>
      </c>
      <c r="V97" s="687">
        <v>1000000</v>
      </c>
      <c r="W97" s="572">
        <v>1</v>
      </c>
      <c r="X97" s="687">
        <v>1000000</v>
      </c>
      <c r="Y97" s="572">
        <v>1</v>
      </c>
      <c r="Z97" s="687">
        <v>1000000</v>
      </c>
      <c r="AA97" s="572">
        <v>1</v>
      </c>
      <c r="AB97" s="572">
        <v>1000000</v>
      </c>
      <c r="AC97" s="665">
        <v>1</v>
      </c>
      <c r="AD97" s="665"/>
      <c r="AE97" s="665"/>
      <c r="AF97" s="665"/>
      <c r="AG97" s="306"/>
      <c r="AH97" s="307" t="s">
        <v>2672</v>
      </c>
      <c r="AI97" s="309">
        <v>42566</v>
      </c>
      <c r="AJ97" s="309">
        <v>42674</v>
      </c>
      <c r="AK97" s="308"/>
      <c r="AL97" s="308"/>
      <c r="AM97" s="267" t="s">
        <v>2598</v>
      </c>
      <c r="AN97" s="507" t="s">
        <v>2673</v>
      </c>
      <c r="AO97" s="525"/>
      <c r="AP97" s="310"/>
      <c r="AQ97" s="525">
        <v>4200000</v>
      </c>
      <c r="AR97" s="310"/>
      <c r="AS97" s="310"/>
      <c r="AT97" s="310"/>
      <c r="AU97" s="310"/>
      <c r="AV97" s="544">
        <f t="shared" si="30"/>
        <v>4200000</v>
      </c>
      <c r="AW97" s="525"/>
      <c r="AX97" s="310"/>
      <c r="AY97" s="310"/>
      <c r="AZ97" s="310"/>
      <c r="BA97" s="310"/>
      <c r="BB97" s="310"/>
      <c r="BC97" s="310"/>
      <c r="BD97" s="544">
        <f t="shared" si="45"/>
        <v>0</v>
      </c>
      <c r="BE97" s="525"/>
      <c r="BF97" s="310"/>
      <c r="BG97" s="310"/>
      <c r="BH97" s="310"/>
      <c r="BI97" s="310"/>
      <c r="BJ97" s="310"/>
      <c r="BK97" s="310"/>
      <c r="BL97" s="544">
        <f t="shared" si="46"/>
        <v>0</v>
      </c>
      <c r="BM97" s="525"/>
      <c r="BN97" s="310"/>
      <c r="BO97" s="310"/>
      <c r="BP97" s="310"/>
      <c r="BQ97" s="310"/>
      <c r="BR97" s="310"/>
      <c r="BS97" s="310"/>
      <c r="BT97" s="544">
        <f t="shared" si="47"/>
        <v>0</v>
      </c>
      <c r="BU97" s="556"/>
      <c r="BV97" s="663">
        <f t="shared" si="31"/>
        <v>1</v>
      </c>
      <c r="BW97" s="674">
        <f t="shared" si="32"/>
        <v>0.25</v>
      </c>
      <c r="BX97" s="835">
        <f t="shared" si="33"/>
        <v>1</v>
      </c>
      <c r="BY97" s="674">
        <f t="shared" si="34"/>
        <v>0</v>
      </c>
      <c r="BZ97" s="675">
        <f t="shared" si="35"/>
        <v>0</v>
      </c>
      <c r="CA97" s="675">
        <f t="shared" si="36"/>
        <v>0</v>
      </c>
    </row>
    <row r="98" spans="1:79" ht="66" hidden="1" customHeight="1" x14ac:dyDescent="0.25">
      <c r="A98" s="298" t="s">
        <v>280</v>
      </c>
      <c r="B98" s="299" t="str">
        <f>'PLAN INDICATIVO'!B96</f>
        <v>Deporte y Recreación</v>
      </c>
      <c r="C98" s="1548"/>
      <c r="D98" s="1552"/>
      <c r="E98" s="1552"/>
      <c r="F98" s="1552"/>
      <c r="G98" s="1552"/>
      <c r="H98" s="1552"/>
      <c r="I98" s="300">
        <f>'PLAN INDICATIVO'!I96</f>
        <v>0</v>
      </c>
      <c r="J98" s="300">
        <f>'PLAN INDICATIVO'!J96</f>
        <v>0</v>
      </c>
      <c r="K98" s="1425" t="str">
        <f>'PLAN INDICATIVO'!K96</f>
        <v>A.4.1.11</v>
      </c>
      <c r="L98" s="1425">
        <f>'PLAN INDICATIVO'!L96</f>
        <v>0</v>
      </c>
      <c r="M98" s="1425" t="str">
        <f>'PLAN INDICATIVO'!M96</f>
        <v>Secretaría de Educación, Cultura, deporte y Turismo</v>
      </c>
      <c r="N98" s="1425" t="str">
        <f>'PLAN INDICATIVO'!N96</f>
        <v>YIMI FERNANDO LOSADA PAYA</v>
      </c>
      <c r="O98" s="1425" t="str">
        <f>'PLAN INDICATIVO'!O96</f>
        <v>Mantenimiento</v>
      </c>
      <c r="P98" s="16" t="str">
        <f>'PLAN INDICATIVO'!P96</f>
        <v>Fomentar y apoyar  4 Escuelas de Formación en las diferentes disciplinas deportivas en el sector urbano y rural del municipio durante el cuatrienio.</v>
      </c>
      <c r="Q98" s="302" t="str">
        <f>'PLAN INDICATIVO'!Q96</f>
        <v>No. De escuelas apoyadas</v>
      </c>
      <c r="R98" s="303">
        <f>'PLAN INDICATIVO'!R96</f>
        <v>2015</v>
      </c>
      <c r="S98" s="304">
        <v>1</v>
      </c>
      <c r="T98" s="677">
        <v>4</v>
      </c>
      <c r="U98" s="303">
        <v>4</v>
      </c>
      <c r="V98" s="687">
        <v>12000000</v>
      </c>
      <c r="W98" s="572">
        <v>4</v>
      </c>
      <c r="X98" s="687">
        <v>41600000</v>
      </c>
      <c r="Y98" s="572">
        <v>4</v>
      </c>
      <c r="Z98" s="687">
        <v>52000000</v>
      </c>
      <c r="AA98" s="572">
        <v>4</v>
      </c>
      <c r="AB98" s="572">
        <v>51000000</v>
      </c>
      <c r="AC98" s="665">
        <v>4</v>
      </c>
      <c r="AD98" s="665"/>
      <c r="AE98" s="665"/>
      <c r="AF98" s="665"/>
      <c r="AG98" s="306"/>
      <c r="AH98" s="307" t="s">
        <v>2674</v>
      </c>
      <c r="AI98" s="309">
        <v>42461</v>
      </c>
      <c r="AJ98" s="309">
        <v>42674</v>
      </c>
      <c r="AK98" s="308"/>
      <c r="AL98" s="308"/>
      <c r="AM98" s="267" t="s">
        <v>2598</v>
      </c>
      <c r="AN98" s="507" t="s">
        <v>2675</v>
      </c>
      <c r="AO98" s="525"/>
      <c r="AP98" s="310">
        <f>7200000+7200000+2400000+8400000+2800000</f>
        <v>28000000</v>
      </c>
      <c r="AQ98" s="310">
        <v>3600000</v>
      </c>
      <c r="AR98" s="310"/>
      <c r="AS98" s="310"/>
      <c r="AT98" s="310"/>
      <c r="AU98" s="310"/>
      <c r="AV98" s="544">
        <f t="shared" si="30"/>
        <v>31600000</v>
      </c>
      <c r="AW98" s="525"/>
      <c r="AX98" s="310"/>
      <c r="AY98" s="310"/>
      <c r="AZ98" s="310"/>
      <c r="BA98" s="310"/>
      <c r="BB98" s="310"/>
      <c r="BC98" s="310"/>
      <c r="BD98" s="544">
        <f t="shared" si="45"/>
        <v>0</v>
      </c>
      <c r="BE98" s="525"/>
      <c r="BF98" s="310"/>
      <c r="BG98" s="310"/>
      <c r="BH98" s="310"/>
      <c r="BI98" s="310"/>
      <c r="BJ98" s="310"/>
      <c r="BK98" s="310"/>
      <c r="BL98" s="544">
        <f t="shared" si="46"/>
        <v>0</v>
      </c>
      <c r="BM98" s="525"/>
      <c r="BN98" s="310"/>
      <c r="BO98" s="310"/>
      <c r="BP98" s="310"/>
      <c r="BQ98" s="310"/>
      <c r="BR98" s="310"/>
      <c r="BS98" s="310"/>
      <c r="BT98" s="544">
        <f t="shared" si="47"/>
        <v>0</v>
      </c>
      <c r="BU98" s="556"/>
      <c r="BV98" s="663">
        <f t="shared" si="31"/>
        <v>4</v>
      </c>
      <c r="BW98" s="674">
        <f t="shared" si="32"/>
        <v>1</v>
      </c>
      <c r="BX98" s="835">
        <f t="shared" si="33"/>
        <v>1</v>
      </c>
      <c r="BY98" s="674">
        <f t="shared" si="34"/>
        <v>0</v>
      </c>
      <c r="BZ98" s="675">
        <f t="shared" si="35"/>
        <v>0</v>
      </c>
      <c r="CA98" s="675">
        <f t="shared" si="36"/>
        <v>0</v>
      </c>
    </row>
    <row r="99" spans="1:79" ht="30.75" hidden="1" customHeight="1" x14ac:dyDescent="0.25">
      <c r="A99" s="295" t="s">
        <v>280</v>
      </c>
      <c r="B99" s="24" t="str">
        <f>'PLAN INDICATIVO'!B97</f>
        <v>Deporte y Recreación</v>
      </c>
      <c r="C99" s="1574" t="s">
        <v>317</v>
      </c>
      <c r="D99" s="1575"/>
      <c r="E99" s="1575"/>
      <c r="F99" s="1575"/>
      <c r="G99" s="1575"/>
      <c r="H99" s="1575"/>
      <c r="I99" s="1575"/>
      <c r="J99" s="1575"/>
      <c r="K99" s="1575"/>
      <c r="L99" s="1575"/>
      <c r="M99" s="1575"/>
      <c r="N99" s="1575"/>
      <c r="O99" s="1576"/>
      <c r="P99" s="22"/>
      <c r="Q99" s="22"/>
      <c r="R99" s="1"/>
      <c r="S99" s="261"/>
      <c r="T99" s="681"/>
      <c r="U99" s="261"/>
      <c r="V99" s="695">
        <f>SUM(V100:V107)</f>
        <v>78500000</v>
      </c>
      <c r="W99" s="695"/>
      <c r="X99" s="695">
        <f>SUM(X100:X107)</f>
        <v>50000000</v>
      </c>
      <c r="Y99" s="695"/>
      <c r="Z99" s="695">
        <f>SUM(Z100:Z107)</f>
        <v>50000000</v>
      </c>
      <c r="AA99" s="695"/>
      <c r="AB99" s="695">
        <f>SUM(AB100:AB107)</f>
        <v>50000000</v>
      </c>
      <c r="AC99" s="262"/>
      <c r="AD99" s="262"/>
      <c r="AE99" s="262"/>
      <c r="AF99" s="262"/>
      <c r="AG99" s="263"/>
      <c r="AH99" s="263"/>
      <c r="AI99" s="262"/>
      <c r="AJ99" s="262"/>
      <c r="AK99" s="262"/>
      <c r="AL99" s="262"/>
      <c r="AM99" s="262"/>
      <c r="AN99" s="612"/>
      <c r="AO99" s="616">
        <f>SUM(AO100:AO107)</f>
        <v>0</v>
      </c>
      <c r="AP99" s="616">
        <f t="shared" ref="AP99:AV99" si="48">SUM(AP100:AP107)</f>
        <v>61600000</v>
      </c>
      <c r="AQ99" s="616">
        <f t="shared" si="48"/>
        <v>73923229</v>
      </c>
      <c r="AR99" s="616">
        <f t="shared" si="48"/>
        <v>0</v>
      </c>
      <c r="AS99" s="616">
        <f t="shared" si="48"/>
        <v>0</v>
      </c>
      <c r="AT99" s="616">
        <f t="shared" si="48"/>
        <v>0</v>
      </c>
      <c r="AU99" s="616">
        <f t="shared" si="48"/>
        <v>5480000</v>
      </c>
      <c r="AV99" s="616">
        <f t="shared" si="48"/>
        <v>141003229</v>
      </c>
      <c r="AW99" s="616" t="e">
        <f t="shared" ref="AW99:BC99" si="49">(AW100:AW107)</f>
        <v>#VALUE!</v>
      </c>
      <c r="AX99" s="616" t="e">
        <f t="shared" si="49"/>
        <v>#VALUE!</v>
      </c>
      <c r="AY99" s="616" t="e">
        <f t="shared" si="49"/>
        <v>#VALUE!</v>
      </c>
      <c r="AZ99" s="616" t="e">
        <f t="shared" si="49"/>
        <v>#VALUE!</v>
      </c>
      <c r="BA99" s="616" t="e">
        <f t="shared" si="49"/>
        <v>#VALUE!</v>
      </c>
      <c r="BB99" s="616" t="e">
        <f t="shared" si="49"/>
        <v>#VALUE!</v>
      </c>
      <c r="BC99" s="616" t="e">
        <f t="shared" si="49"/>
        <v>#VALUE!</v>
      </c>
      <c r="BD99" s="617" t="e">
        <f t="shared" si="45"/>
        <v>#VALUE!</v>
      </c>
      <c r="BE99" s="616" t="e">
        <f t="shared" ref="BE99:BK99" si="50">(BE100:BE107)</f>
        <v>#VALUE!</v>
      </c>
      <c r="BF99" s="616" t="e">
        <f t="shared" si="50"/>
        <v>#VALUE!</v>
      </c>
      <c r="BG99" s="616" t="e">
        <f t="shared" si="50"/>
        <v>#VALUE!</v>
      </c>
      <c r="BH99" s="616" t="e">
        <f t="shared" si="50"/>
        <v>#VALUE!</v>
      </c>
      <c r="BI99" s="616" t="e">
        <f t="shared" si="50"/>
        <v>#VALUE!</v>
      </c>
      <c r="BJ99" s="616" t="e">
        <f t="shared" si="50"/>
        <v>#VALUE!</v>
      </c>
      <c r="BK99" s="616" t="e">
        <f t="shared" si="50"/>
        <v>#VALUE!</v>
      </c>
      <c r="BL99" s="617" t="e">
        <f t="shared" si="46"/>
        <v>#VALUE!</v>
      </c>
      <c r="BM99" s="616" t="e">
        <f t="shared" ref="BM99:BS99" si="51">(BM100:BM107)</f>
        <v>#VALUE!</v>
      </c>
      <c r="BN99" s="616" t="e">
        <f t="shared" si="51"/>
        <v>#VALUE!</v>
      </c>
      <c r="BO99" s="616" t="e">
        <f t="shared" si="51"/>
        <v>#VALUE!</v>
      </c>
      <c r="BP99" s="616" t="e">
        <f t="shared" si="51"/>
        <v>#VALUE!</v>
      </c>
      <c r="BQ99" s="616" t="e">
        <f t="shared" si="51"/>
        <v>#VALUE!</v>
      </c>
      <c r="BR99" s="616" t="e">
        <f t="shared" si="51"/>
        <v>#VALUE!</v>
      </c>
      <c r="BS99" s="616" t="e">
        <f t="shared" si="51"/>
        <v>#VALUE!</v>
      </c>
      <c r="BT99" s="617" t="e">
        <f t="shared" si="47"/>
        <v>#VALUE!</v>
      </c>
      <c r="BU99" s="556"/>
      <c r="BV99" s="663">
        <f t="shared" si="31"/>
        <v>0</v>
      </c>
      <c r="BW99" s="674" t="e">
        <f t="shared" si="32"/>
        <v>#DIV/0!</v>
      </c>
      <c r="BX99" s="867" t="e">
        <f t="shared" si="33"/>
        <v>#DIV/0!</v>
      </c>
      <c r="BY99" s="674" t="e">
        <f t="shared" si="34"/>
        <v>#DIV/0!</v>
      </c>
      <c r="BZ99" s="675" t="e">
        <f t="shared" si="35"/>
        <v>#DIV/0!</v>
      </c>
      <c r="CA99" s="675" t="e">
        <f t="shared" si="36"/>
        <v>#DIV/0!</v>
      </c>
    </row>
    <row r="100" spans="1:79" ht="78" hidden="1" customHeight="1" x14ac:dyDescent="0.25">
      <c r="A100" s="298" t="s">
        <v>280</v>
      </c>
      <c r="B100" s="299" t="str">
        <f>'PLAN INDICATIVO'!B98</f>
        <v>Deporte y Recreación</v>
      </c>
      <c r="C100" s="1546" t="s">
        <v>318</v>
      </c>
      <c r="D100" s="1549" t="s">
        <v>319</v>
      </c>
      <c r="E100" s="1549" t="s">
        <v>283</v>
      </c>
      <c r="F100" s="1549">
        <v>2015</v>
      </c>
      <c r="G100" s="1549">
        <v>8</v>
      </c>
      <c r="H100" s="1549">
        <v>15</v>
      </c>
      <c r="I100" s="300">
        <f>'PLAN INDICATIVO'!I98</f>
        <v>0</v>
      </c>
      <c r="J100" s="300">
        <f>'PLAN INDICATIVO'!J98</f>
        <v>0</v>
      </c>
      <c r="K100" s="1425" t="str">
        <f>'PLAN INDICATIVO'!K98</f>
        <v>A.4.2.1</v>
      </c>
      <c r="L100" s="1425">
        <f>'PLAN INDICATIVO'!L98</f>
        <v>0</v>
      </c>
      <c r="M100" s="1425" t="str">
        <f>'PLAN INDICATIVO'!M98</f>
        <v>Secretaría de Educación, Cultura, deporte y Turismo</v>
      </c>
      <c r="N100" s="1425" t="str">
        <f>'PLAN INDICATIVO'!N98</f>
        <v>YIMI FERNANDO LOSADA PAYA</v>
      </c>
      <c r="O100" s="1425" t="str">
        <f>'PLAN INDICATIVO'!O98</f>
        <v>Incremento</v>
      </c>
      <c r="P100" s="16" t="str">
        <f>'PLAN INDICATIVO'!P98</f>
        <v>Crear 1 programa de apoyo a los deportistas de alto  rendimiento que representen al municipio en ámbito regional, nacional e internacional por año durante el cuatrienio.</v>
      </c>
      <c r="Q100" s="302" t="str">
        <f>'PLAN INDICATIVO'!Q98</f>
        <v>No. De programas creados en el cuatrienio</v>
      </c>
      <c r="R100" s="303">
        <f>'PLAN INDICATIVO'!R98</f>
        <v>2015</v>
      </c>
      <c r="S100" s="304">
        <v>0</v>
      </c>
      <c r="T100" s="677">
        <v>1</v>
      </c>
      <c r="U100" s="303">
        <v>1</v>
      </c>
      <c r="V100" s="687">
        <v>7000000</v>
      </c>
      <c r="W100" s="572">
        <v>1</v>
      </c>
      <c r="X100" s="572">
        <v>1000000</v>
      </c>
      <c r="Y100" s="572">
        <v>1</v>
      </c>
      <c r="Z100" s="572">
        <v>1000000</v>
      </c>
      <c r="AA100" s="572">
        <v>1</v>
      </c>
      <c r="AB100" s="572">
        <v>1000000</v>
      </c>
      <c r="AC100" s="665">
        <v>1</v>
      </c>
      <c r="AD100" s="665"/>
      <c r="AE100" s="665"/>
      <c r="AF100" s="665"/>
      <c r="AG100" s="306"/>
      <c r="AH100" s="307" t="s">
        <v>2676</v>
      </c>
      <c r="AI100" s="309">
        <v>42583</v>
      </c>
      <c r="AJ100" s="309">
        <v>42735</v>
      </c>
      <c r="AK100" s="308"/>
      <c r="AL100" s="308"/>
      <c r="AM100" s="267" t="s">
        <v>2598</v>
      </c>
      <c r="AN100" s="507">
        <v>230401</v>
      </c>
      <c r="AO100" s="525"/>
      <c r="AP100" s="310">
        <v>500000</v>
      </c>
      <c r="AQ100" s="310"/>
      <c r="AR100" s="310"/>
      <c r="AS100" s="310"/>
      <c r="AT100" s="310"/>
      <c r="AU100" s="310"/>
      <c r="AV100" s="544">
        <f t="shared" si="30"/>
        <v>500000</v>
      </c>
      <c r="AW100" s="525"/>
      <c r="AX100" s="310"/>
      <c r="AY100" s="310"/>
      <c r="AZ100" s="310"/>
      <c r="BA100" s="310"/>
      <c r="BB100" s="310"/>
      <c r="BC100" s="310"/>
      <c r="BD100" s="544">
        <f t="shared" si="45"/>
        <v>0</v>
      </c>
      <c r="BE100" s="525"/>
      <c r="BF100" s="310"/>
      <c r="BG100" s="310"/>
      <c r="BH100" s="310"/>
      <c r="BI100" s="310"/>
      <c r="BJ100" s="310"/>
      <c r="BK100" s="310"/>
      <c r="BL100" s="544">
        <f t="shared" si="46"/>
        <v>0</v>
      </c>
      <c r="BM100" s="525"/>
      <c r="BN100" s="310"/>
      <c r="BO100" s="310"/>
      <c r="BP100" s="310"/>
      <c r="BQ100" s="310"/>
      <c r="BR100" s="310"/>
      <c r="BS100" s="310"/>
      <c r="BT100" s="544">
        <f t="shared" si="47"/>
        <v>0</v>
      </c>
      <c r="BU100" s="556"/>
      <c r="BV100" s="663">
        <f t="shared" si="31"/>
        <v>1</v>
      </c>
      <c r="BW100" s="674">
        <f t="shared" si="32"/>
        <v>1</v>
      </c>
      <c r="BX100" s="835">
        <f t="shared" si="33"/>
        <v>1</v>
      </c>
      <c r="BY100" s="674">
        <f t="shared" si="34"/>
        <v>0</v>
      </c>
      <c r="BZ100" s="675">
        <f t="shared" si="35"/>
        <v>0</v>
      </c>
      <c r="CA100" s="675">
        <f t="shared" si="36"/>
        <v>0</v>
      </c>
    </row>
    <row r="101" spans="1:79" ht="66.75" hidden="1" customHeight="1" x14ac:dyDescent="0.25">
      <c r="A101" s="298" t="s">
        <v>280</v>
      </c>
      <c r="B101" s="299" t="str">
        <f>'PLAN INDICATIVO'!B99</f>
        <v>Deporte y Recreación</v>
      </c>
      <c r="C101" s="1547"/>
      <c r="D101" s="1549"/>
      <c r="E101" s="1549"/>
      <c r="F101" s="1549"/>
      <c r="G101" s="1549"/>
      <c r="H101" s="1549"/>
      <c r="I101" s="300">
        <f>'PLAN INDICATIVO'!I99</f>
        <v>0</v>
      </c>
      <c r="J101" s="300">
        <f>'PLAN INDICATIVO'!J99</f>
        <v>0</v>
      </c>
      <c r="K101" s="1425" t="str">
        <f>'PLAN INDICATIVO'!K99</f>
        <v>A.4.2.2</v>
      </c>
      <c r="L101" s="1425">
        <f>'PLAN INDICATIVO'!L99</f>
        <v>0</v>
      </c>
      <c r="M101" s="1425" t="str">
        <f>'PLAN INDICATIVO'!M99</f>
        <v>Secretaría de Educación, Cultura, deporte y Turismo</v>
      </c>
      <c r="N101" s="1425" t="str">
        <f>'PLAN INDICATIVO'!N99</f>
        <v>YIMI FERNANDO LOSADA PAYA</v>
      </c>
      <c r="O101" s="1425" t="str">
        <f>'PLAN INDICATIVO'!O99</f>
        <v>Incremento</v>
      </c>
      <c r="P101" s="16" t="str">
        <f>'PLAN INDICATIVO'!P99</f>
        <v>Realizar 4 dotaciones durante el cuatrienio de implementos deportivos a deportistas locales</v>
      </c>
      <c r="Q101" s="302" t="str">
        <f>'PLAN INDICATIVO'!Q99</f>
        <v>No. De dotaciones realizadas</v>
      </c>
      <c r="R101" s="303">
        <f>'PLAN INDICATIVO'!R99</f>
        <v>2015</v>
      </c>
      <c r="S101" s="304">
        <v>1</v>
      </c>
      <c r="T101" s="677">
        <v>4</v>
      </c>
      <c r="U101" s="303">
        <v>1</v>
      </c>
      <c r="V101" s="687">
        <v>10000000</v>
      </c>
      <c r="W101" s="572">
        <v>1</v>
      </c>
      <c r="X101" s="572">
        <v>6000000</v>
      </c>
      <c r="Y101" s="572">
        <v>1</v>
      </c>
      <c r="Z101" s="572">
        <v>6000000</v>
      </c>
      <c r="AA101" s="572">
        <v>1</v>
      </c>
      <c r="AB101" s="572">
        <v>6000000</v>
      </c>
      <c r="AC101" s="665">
        <v>1</v>
      </c>
      <c r="AD101" s="665"/>
      <c r="AE101" s="665"/>
      <c r="AF101" s="665"/>
      <c r="AG101" s="306"/>
      <c r="AH101" s="307" t="s">
        <v>2677</v>
      </c>
      <c r="AI101" s="309">
        <v>42552</v>
      </c>
      <c r="AJ101" s="309">
        <v>42735</v>
      </c>
      <c r="AK101" s="308"/>
      <c r="AL101" s="308"/>
      <c r="AM101" s="267" t="s">
        <v>2598</v>
      </c>
      <c r="AN101" s="765">
        <v>230401</v>
      </c>
      <c r="AO101" s="525"/>
      <c r="AP101" s="310">
        <v>25000000</v>
      </c>
      <c r="AQ101" s="310"/>
      <c r="AR101" s="310"/>
      <c r="AS101" s="310"/>
      <c r="AT101" s="310"/>
      <c r="AU101" s="310"/>
      <c r="AV101" s="544">
        <f t="shared" si="30"/>
        <v>25000000</v>
      </c>
      <c r="AW101" s="525"/>
      <c r="AX101" s="310"/>
      <c r="AY101" s="310"/>
      <c r="AZ101" s="310"/>
      <c r="BA101" s="310"/>
      <c r="BB101" s="310"/>
      <c r="BC101" s="310"/>
      <c r="BD101" s="544">
        <f t="shared" si="45"/>
        <v>0</v>
      </c>
      <c r="BE101" s="525"/>
      <c r="BF101" s="310"/>
      <c r="BG101" s="310"/>
      <c r="BH101" s="310"/>
      <c r="BI101" s="310"/>
      <c r="BJ101" s="310"/>
      <c r="BK101" s="310"/>
      <c r="BL101" s="544">
        <f t="shared" si="46"/>
        <v>0</v>
      </c>
      <c r="BM101" s="525"/>
      <c r="BN101" s="310"/>
      <c r="BO101" s="310"/>
      <c r="BP101" s="310"/>
      <c r="BQ101" s="310"/>
      <c r="BR101" s="310"/>
      <c r="BS101" s="310"/>
      <c r="BT101" s="544">
        <f t="shared" si="47"/>
        <v>0</v>
      </c>
      <c r="BU101" s="556"/>
      <c r="BV101" s="663">
        <f t="shared" si="31"/>
        <v>1</v>
      </c>
      <c r="BW101" s="674">
        <f t="shared" si="32"/>
        <v>0.25</v>
      </c>
      <c r="BX101" s="835">
        <f t="shared" si="33"/>
        <v>1</v>
      </c>
      <c r="BY101" s="674">
        <f t="shared" si="34"/>
        <v>0</v>
      </c>
      <c r="BZ101" s="675">
        <f t="shared" si="35"/>
        <v>0</v>
      </c>
      <c r="CA101" s="675">
        <f t="shared" si="36"/>
        <v>0</v>
      </c>
    </row>
    <row r="102" spans="1:79" ht="57.75" hidden="1" customHeight="1" x14ac:dyDescent="0.25">
      <c r="A102" s="298" t="s">
        <v>280</v>
      </c>
      <c r="B102" s="299" t="str">
        <f>'PLAN INDICATIVO'!B100</f>
        <v>Deporte y Recreación</v>
      </c>
      <c r="C102" s="1547"/>
      <c r="D102" s="1549"/>
      <c r="E102" s="1549"/>
      <c r="F102" s="1549"/>
      <c r="G102" s="1549"/>
      <c r="H102" s="1549"/>
      <c r="I102" s="300">
        <f>'PLAN INDICATIVO'!I100</f>
        <v>0</v>
      </c>
      <c r="J102" s="300">
        <f>'PLAN INDICATIVO'!J100</f>
        <v>0</v>
      </c>
      <c r="K102" s="1425" t="str">
        <f>'PLAN INDICATIVO'!K100</f>
        <v>A.4.2.3</v>
      </c>
      <c r="L102" s="1425">
        <f>'PLAN INDICATIVO'!L100</f>
        <v>0</v>
      </c>
      <c r="M102" s="1425" t="str">
        <f>'PLAN INDICATIVO'!M100</f>
        <v>Secretaría de Educación, Cultura, deporte y Turismo</v>
      </c>
      <c r="N102" s="1425" t="str">
        <f>'PLAN INDICATIVO'!N100</f>
        <v>YIMI FERNANDO LOSADA PAYA</v>
      </c>
      <c r="O102" s="1425" t="str">
        <f>'PLAN INDICATIVO'!O100</f>
        <v>Incremento</v>
      </c>
      <c r="P102" s="16" t="str">
        <f>'PLAN INDICATIVO'!P100</f>
        <v>Realizar 3  olimpiadas campesinas durante el cuatrienio</v>
      </c>
      <c r="Q102" s="302" t="str">
        <f>'PLAN INDICATIVO'!Q100</f>
        <v>No. De olimpiadas realizadas</v>
      </c>
      <c r="R102" s="303">
        <f>'PLAN INDICATIVO'!R100</f>
        <v>2015</v>
      </c>
      <c r="S102" s="304">
        <v>1</v>
      </c>
      <c r="T102" s="677">
        <v>4</v>
      </c>
      <c r="U102" s="303">
        <v>1</v>
      </c>
      <c r="V102" s="687">
        <v>7000000</v>
      </c>
      <c r="W102" s="572">
        <v>1</v>
      </c>
      <c r="X102" s="572">
        <v>6000000</v>
      </c>
      <c r="Y102" s="572">
        <v>1</v>
      </c>
      <c r="Z102" s="572">
        <v>6000000</v>
      </c>
      <c r="AA102" s="572">
        <v>1</v>
      </c>
      <c r="AB102" s="572">
        <v>6000000</v>
      </c>
      <c r="AC102" s="665">
        <v>1</v>
      </c>
      <c r="AD102" s="665"/>
      <c r="AE102" s="665"/>
      <c r="AF102" s="665"/>
      <c r="AG102" s="306"/>
      <c r="AH102" s="307" t="s">
        <v>2678</v>
      </c>
      <c r="AI102" s="309">
        <v>42583</v>
      </c>
      <c r="AJ102" s="309">
        <v>42643</v>
      </c>
      <c r="AK102" s="308"/>
      <c r="AL102" s="308"/>
      <c r="AM102" s="267" t="s">
        <v>2598</v>
      </c>
      <c r="AN102" s="767">
        <v>230401</v>
      </c>
      <c r="AO102" s="766"/>
      <c r="AP102" s="310"/>
      <c r="AQ102" s="310">
        <v>69041729</v>
      </c>
      <c r="AR102" s="310"/>
      <c r="AS102" s="310"/>
      <c r="AT102" s="310"/>
      <c r="AU102" s="310"/>
      <c r="AV102" s="544">
        <f t="shared" si="30"/>
        <v>69041729</v>
      </c>
      <c r="AW102" s="525"/>
      <c r="AX102" s="310"/>
      <c r="AY102" s="310"/>
      <c r="AZ102" s="310"/>
      <c r="BA102" s="310"/>
      <c r="BB102" s="310"/>
      <c r="BC102" s="310"/>
      <c r="BD102" s="544">
        <f t="shared" si="45"/>
        <v>0</v>
      </c>
      <c r="BE102" s="525"/>
      <c r="BF102" s="310"/>
      <c r="BG102" s="310"/>
      <c r="BH102" s="310"/>
      <c r="BI102" s="310"/>
      <c r="BJ102" s="310"/>
      <c r="BK102" s="310"/>
      <c r="BL102" s="544">
        <f t="shared" si="46"/>
        <v>0</v>
      </c>
      <c r="BM102" s="525"/>
      <c r="BN102" s="310"/>
      <c r="BO102" s="310"/>
      <c r="BP102" s="310"/>
      <c r="BQ102" s="310"/>
      <c r="BR102" s="310"/>
      <c r="BS102" s="310"/>
      <c r="BT102" s="544">
        <f t="shared" si="47"/>
        <v>0</v>
      </c>
      <c r="BU102" s="556"/>
      <c r="BV102" s="663">
        <f t="shared" si="31"/>
        <v>1</v>
      </c>
      <c r="BW102" s="674">
        <f t="shared" si="32"/>
        <v>0.25</v>
      </c>
      <c r="BX102" s="835">
        <f t="shared" si="33"/>
        <v>1</v>
      </c>
      <c r="BY102" s="674">
        <f t="shared" si="34"/>
        <v>0</v>
      </c>
      <c r="BZ102" s="675">
        <f t="shared" si="35"/>
        <v>0</v>
      </c>
      <c r="CA102" s="675">
        <f t="shared" si="36"/>
        <v>0</v>
      </c>
    </row>
    <row r="103" spans="1:79" ht="50.25" hidden="1" customHeight="1" x14ac:dyDescent="0.25">
      <c r="A103" s="298" t="s">
        <v>280</v>
      </c>
      <c r="B103" s="299" t="str">
        <f>'PLAN INDICATIVO'!B101</f>
        <v>Deporte y Recreación</v>
      </c>
      <c r="C103" s="1547"/>
      <c r="D103" s="1549"/>
      <c r="E103" s="1549"/>
      <c r="F103" s="1549"/>
      <c r="G103" s="1549"/>
      <c r="H103" s="1549"/>
      <c r="I103" s="300">
        <f>'PLAN INDICATIVO'!I101</f>
        <v>0</v>
      </c>
      <c r="J103" s="300">
        <f>'PLAN INDICATIVO'!J101</f>
        <v>0</v>
      </c>
      <c r="K103" s="1425" t="str">
        <f>'PLAN INDICATIVO'!K101</f>
        <v>A.4.2.4</v>
      </c>
      <c r="L103" s="1425">
        <f>'PLAN INDICATIVO'!L101</f>
        <v>0</v>
      </c>
      <c r="M103" s="1425" t="str">
        <f>'PLAN INDICATIVO'!M101</f>
        <v>Secretaría de Educación, Cultura, deporte y Turismo</v>
      </c>
      <c r="N103" s="1425" t="str">
        <f>'PLAN INDICATIVO'!N101</f>
        <v>YIMI FERNANDO LOSADA PAYA</v>
      </c>
      <c r="O103" s="1425" t="str">
        <f>'PLAN INDICATIVO'!O101</f>
        <v>Mantenimiento</v>
      </c>
      <c r="P103" s="16" t="str">
        <f>'PLAN INDICATIVO'!P101</f>
        <v>Realizar 12 eventos deportivos cada año</v>
      </c>
      <c r="Q103" s="302" t="str">
        <f>'PLAN INDICATIVO'!Q101</f>
        <v>No. Eventos deportivos realizados por año.</v>
      </c>
      <c r="R103" s="303">
        <f>'PLAN INDICATIVO'!R101</f>
        <v>2015</v>
      </c>
      <c r="S103" s="304">
        <v>8</v>
      </c>
      <c r="T103" s="677">
        <v>12</v>
      </c>
      <c r="U103" s="303">
        <v>12</v>
      </c>
      <c r="V103" s="687">
        <v>8000000</v>
      </c>
      <c r="W103" s="572">
        <v>12</v>
      </c>
      <c r="X103" s="572">
        <v>20000000</v>
      </c>
      <c r="Y103" s="572">
        <v>12</v>
      </c>
      <c r="Z103" s="572">
        <v>14000000</v>
      </c>
      <c r="AA103" s="572">
        <v>12</v>
      </c>
      <c r="AB103" s="572">
        <v>20000000</v>
      </c>
      <c r="AC103" s="665">
        <v>13</v>
      </c>
      <c r="AD103" s="665"/>
      <c r="AE103" s="665"/>
      <c r="AF103" s="665"/>
      <c r="AG103" s="306"/>
      <c r="AH103" s="307" t="s">
        <v>2679</v>
      </c>
      <c r="AI103" s="309">
        <v>42425</v>
      </c>
      <c r="AJ103" s="309">
        <v>42735</v>
      </c>
      <c r="AK103" s="308"/>
      <c r="AL103" s="308"/>
      <c r="AM103" s="267" t="s">
        <v>2598</v>
      </c>
      <c r="AN103" s="767" t="s">
        <v>2680</v>
      </c>
      <c r="AO103" s="766"/>
      <c r="AP103" s="310">
        <v>6200000</v>
      </c>
      <c r="AQ103" s="310"/>
      <c r="AR103" s="310"/>
      <c r="AS103" s="310"/>
      <c r="AT103" s="310"/>
      <c r="AU103" s="310">
        <v>5480000</v>
      </c>
      <c r="AV103" s="544">
        <f t="shared" si="30"/>
        <v>11680000</v>
      </c>
      <c r="AW103" s="525"/>
      <c r="AX103" s="310"/>
      <c r="AY103" s="310"/>
      <c r="AZ103" s="310"/>
      <c r="BA103" s="310"/>
      <c r="BB103" s="310"/>
      <c r="BC103" s="310"/>
      <c r="BD103" s="544">
        <f t="shared" si="45"/>
        <v>0</v>
      </c>
      <c r="BE103" s="525"/>
      <c r="BF103" s="310"/>
      <c r="BG103" s="310"/>
      <c r="BH103" s="310"/>
      <c r="BI103" s="310"/>
      <c r="BJ103" s="310"/>
      <c r="BK103" s="310"/>
      <c r="BL103" s="544">
        <f t="shared" si="46"/>
        <v>0</v>
      </c>
      <c r="BM103" s="525"/>
      <c r="BN103" s="310"/>
      <c r="BO103" s="310"/>
      <c r="BP103" s="310"/>
      <c r="BQ103" s="310"/>
      <c r="BR103" s="310"/>
      <c r="BS103" s="310"/>
      <c r="BT103" s="544">
        <f t="shared" si="47"/>
        <v>0</v>
      </c>
      <c r="BU103" s="556"/>
      <c r="BV103" s="663">
        <f t="shared" si="31"/>
        <v>13</v>
      </c>
      <c r="BW103" s="674">
        <f t="shared" si="32"/>
        <v>1.0833333333333333</v>
      </c>
      <c r="BX103" s="835">
        <f t="shared" si="33"/>
        <v>1.0833333333333333</v>
      </c>
      <c r="BY103" s="674">
        <f t="shared" si="34"/>
        <v>0</v>
      </c>
      <c r="BZ103" s="675">
        <f t="shared" si="35"/>
        <v>0</v>
      </c>
      <c r="CA103" s="675">
        <f t="shared" si="36"/>
        <v>0</v>
      </c>
    </row>
    <row r="104" spans="1:79" ht="46.5" hidden="1" customHeight="1" x14ac:dyDescent="0.25">
      <c r="A104" s="298" t="s">
        <v>280</v>
      </c>
      <c r="B104" s="299" t="str">
        <f>'PLAN INDICATIVO'!B102</f>
        <v>Deporte y Recreación</v>
      </c>
      <c r="C104" s="1547"/>
      <c r="D104" s="1549"/>
      <c r="E104" s="1549"/>
      <c r="F104" s="1549"/>
      <c r="G104" s="1549"/>
      <c r="H104" s="1549"/>
      <c r="I104" s="300">
        <f>'PLAN INDICATIVO'!I102</f>
        <v>0</v>
      </c>
      <c r="J104" s="300">
        <f>'PLAN INDICATIVO'!J102</f>
        <v>0</v>
      </c>
      <c r="K104" s="1425" t="str">
        <f>'PLAN INDICATIVO'!K102</f>
        <v>A.4.2.5</v>
      </c>
      <c r="L104" s="1425">
        <f>'PLAN INDICATIVO'!L102</f>
        <v>0</v>
      </c>
      <c r="M104" s="1425" t="str">
        <f>'PLAN INDICATIVO'!M102</f>
        <v>Secretaría de Educación, Cultura, deporte y Turismo</v>
      </c>
      <c r="N104" s="1425" t="str">
        <f>'PLAN INDICATIVO'!N102</f>
        <v>YIMI FERNANDO LOSADA PAYA</v>
      </c>
      <c r="O104" s="1425" t="str">
        <f>'PLAN INDICATIVO'!O102</f>
        <v>Mantenimiento</v>
      </c>
      <c r="P104" s="16" t="str">
        <f>'PLAN INDICATIVO'!P102</f>
        <v>Apoyar una actividad anual  a Clubes Deportivos del municipio durante el cuatrienio.</v>
      </c>
      <c r="Q104" s="302" t="str">
        <f>'PLAN INDICATIVO'!Q102</f>
        <v>No. De actividades apoyadas</v>
      </c>
      <c r="R104" s="303">
        <f>'PLAN INDICATIVO'!R102</f>
        <v>2015</v>
      </c>
      <c r="S104" s="304">
        <v>1</v>
      </c>
      <c r="T104" s="677">
        <v>1</v>
      </c>
      <c r="U104" s="303">
        <v>1</v>
      </c>
      <c r="V104" s="687">
        <v>4000000</v>
      </c>
      <c r="W104" s="572">
        <v>1</v>
      </c>
      <c r="X104" s="572">
        <v>6000000</v>
      </c>
      <c r="Y104" s="572">
        <v>1</v>
      </c>
      <c r="Z104" s="572">
        <v>6000000</v>
      </c>
      <c r="AA104" s="572">
        <v>1</v>
      </c>
      <c r="AB104" s="572">
        <v>6000000</v>
      </c>
      <c r="AC104" s="665">
        <v>1</v>
      </c>
      <c r="AD104" s="665"/>
      <c r="AE104" s="665"/>
      <c r="AF104" s="665"/>
      <c r="AG104" s="306"/>
      <c r="AH104" s="307" t="s">
        <v>2681</v>
      </c>
      <c r="AI104" s="309">
        <v>42596</v>
      </c>
      <c r="AJ104" s="309">
        <v>42596</v>
      </c>
      <c r="AK104" s="308"/>
      <c r="AL104" s="308"/>
      <c r="AM104" s="267" t="s">
        <v>2598</v>
      </c>
      <c r="AN104" s="507">
        <v>230401</v>
      </c>
      <c r="AO104" s="525"/>
      <c r="AP104" s="310">
        <v>12000000</v>
      </c>
      <c r="AQ104" s="310"/>
      <c r="AR104" s="310"/>
      <c r="AS104" s="310"/>
      <c r="AT104" s="310"/>
      <c r="AU104" s="310"/>
      <c r="AV104" s="544">
        <f t="shared" si="30"/>
        <v>12000000</v>
      </c>
      <c r="AW104" s="525"/>
      <c r="AX104" s="310"/>
      <c r="AY104" s="310"/>
      <c r="AZ104" s="310"/>
      <c r="BA104" s="310"/>
      <c r="BB104" s="310"/>
      <c r="BC104" s="310"/>
      <c r="BD104" s="544">
        <f t="shared" si="45"/>
        <v>0</v>
      </c>
      <c r="BE104" s="525"/>
      <c r="BF104" s="310"/>
      <c r="BG104" s="310"/>
      <c r="BH104" s="310"/>
      <c r="BI104" s="310"/>
      <c r="BJ104" s="310"/>
      <c r="BK104" s="310"/>
      <c r="BL104" s="544">
        <f t="shared" si="46"/>
        <v>0</v>
      </c>
      <c r="BM104" s="525"/>
      <c r="BN104" s="310"/>
      <c r="BO104" s="310"/>
      <c r="BP104" s="310"/>
      <c r="BQ104" s="310"/>
      <c r="BR104" s="310"/>
      <c r="BS104" s="310"/>
      <c r="BT104" s="544">
        <f t="shared" si="47"/>
        <v>0</v>
      </c>
      <c r="BU104" s="556"/>
      <c r="BV104" s="663">
        <f t="shared" si="31"/>
        <v>1</v>
      </c>
      <c r="BW104" s="674">
        <f t="shared" si="32"/>
        <v>1</v>
      </c>
      <c r="BX104" s="835">
        <f t="shared" si="33"/>
        <v>1</v>
      </c>
      <c r="BY104" s="674">
        <f t="shared" si="34"/>
        <v>0</v>
      </c>
      <c r="BZ104" s="675">
        <f t="shared" si="35"/>
        <v>0</v>
      </c>
      <c r="CA104" s="675">
        <f t="shared" si="36"/>
        <v>0</v>
      </c>
    </row>
    <row r="105" spans="1:79" ht="86.25" hidden="1" customHeight="1" x14ac:dyDescent="0.25">
      <c r="A105" s="298" t="s">
        <v>280</v>
      </c>
      <c r="B105" s="299" t="str">
        <f>'PLAN INDICATIVO'!B103</f>
        <v>Deporte y Recreación</v>
      </c>
      <c r="C105" s="1547"/>
      <c r="D105" s="1549"/>
      <c r="E105" s="1549"/>
      <c r="F105" s="1549"/>
      <c r="G105" s="1549"/>
      <c r="H105" s="1549"/>
      <c r="I105" s="300">
        <f>'PLAN INDICATIVO'!I103</f>
        <v>0</v>
      </c>
      <c r="J105" s="300">
        <f>'PLAN INDICATIVO'!J103</f>
        <v>0</v>
      </c>
      <c r="K105" s="1425" t="str">
        <f>'PLAN INDICATIVO'!K103</f>
        <v>A.4.2.6</v>
      </c>
      <c r="L105" s="1425">
        <f>'PLAN INDICATIVO'!L103</f>
        <v>0</v>
      </c>
      <c r="M105" s="1425" t="str">
        <f>'PLAN INDICATIVO'!M103</f>
        <v>Secretaría de Educación, Cultura, deporte y Turismo</v>
      </c>
      <c r="N105" s="1425" t="str">
        <f>'PLAN INDICATIVO'!N103</f>
        <v>YIMI FERNANDO LOSADA PAYA</v>
      </c>
      <c r="O105" s="1425" t="str">
        <f>'PLAN INDICATIVO'!O103</f>
        <v>Incremento</v>
      </c>
      <c r="P105" s="16" t="str">
        <f>'PLAN INDICATIVO'!P103</f>
        <v>Realizar 8 capacitaciones a dirigentes deportivos, entrenadores y líderes del sector urbano y rural en municipio durante el cuatrienio.</v>
      </c>
      <c r="Q105" s="302" t="str">
        <f>'PLAN INDICATIVO'!Q103</f>
        <v>No. De capacitaciones realizadas</v>
      </c>
      <c r="R105" s="303">
        <f>'PLAN INDICATIVO'!R103</f>
        <v>2015</v>
      </c>
      <c r="S105" s="304">
        <v>1</v>
      </c>
      <c r="T105" s="677">
        <v>8</v>
      </c>
      <c r="U105" s="303">
        <v>2</v>
      </c>
      <c r="V105" s="687">
        <v>2000000</v>
      </c>
      <c r="W105" s="572">
        <v>2</v>
      </c>
      <c r="X105" s="572">
        <v>5000000</v>
      </c>
      <c r="Y105" s="572">
        <v>2</v>
      </c>
      <c r="Z105" s="572">
        <v>5000000</v>
      </c>
      <c r="AA105" s="572">
        <v>2</v>
      </c>
      <c r="AB105" s="572">
        <v>5000000</v>
      </c>
      <c r="AC105" s="665">
        <v>3</v>
      </c>
      <c r="AD105" s="665"/>
      <c r="AE105" s="665"/>
      <c r="AF105" s="665"/>
      <c r="AG105" s="306"/>
      <c r="AH105" s="307" t="s">
        <v>2682</v>
      </c>
      <c r="AI105" s="309">
        <v>42492</v>
      </c>
      <c r="AJ105" s="309">
        <v>42521</v>
      </c>
      <c r="AK105" s="308"/>
      <c r="AL105" s="308"/>
      <c r="AM105" s="267" t="s">
        <v>2598</v>
      </c>
      <c r="AN105" s="767" t="s">
        <v>2671</v>
      </c>
      <c r="AO105" s="525"/>
      <c r="AP105" s="310">
        <v>1000000</v>
      </c>
      <c r="AQ105" s="310"/>
      <c r="AR105" s="310"/>
      <c r="AS105" s="310"/>
      <c r="AT105" s="310"/>
      <c r="AU105" s="310"/>
      <c r="AV105" s="544">
        <f t="shared" si="30"/>
        <v>1000000</v>
      </c>
      <c r="AW105" s="525"/>
      <c r="AX105" s="310"/>
      <c r="AY105" s="310"/>
      <c r="AZ105" s="310"/>
      <c r="BA105" s="310"/>
      <c r="BB105" s="310"/>
      <c r="BC105" s="310"/>
      <c r="BD105" s="544">
        <f t="shared" si="45"/>
        <v>0</v>
      </c>
      <c r="BE105" s="525"/>
      <c r="BF105" s="310"/>
      <c r="BG105" s="310"/>
      <c r="BH105" s="310"/>
      <c r="BI105" s="310"/>
      <c r="BJ105" s="310"/>
      <c r="BK105" s="310"/>
      <c r="BL105" s="544">
        <f t="shared" si="46"/>
        <v>0</v>
      </c>
      <c r="BM105" s="525"/>
      <c r="BN105" s="310"/>
      <c r="BO105" s="310"/>
      <c r="BP105" s="310"/>
      <c r="BQ105" s="310"/>
      <c r="BR105" s="310"/>
      <c r="BS105" s="310"/>
      <c r="BT105" s="544">
        <f t="shared" si="47"/>
        <v>0</v>
      </c>
      <c r="BU105" s="556"/>
      <c r="BV105" s="663">
        <f t="shared" si="31"/>
        <v>3</v>
      </c>
      <c r="BW105" s="674">
        <f t="shared" si="32"/>
        <v>0.375</v>
      </c>
      <c r="BX105" s="835">
        <f t="shared" si="33"/>
        <v>1.5</v>
      </c>
      <c r="BY105" s="674">
        <f t="shared" si="34"/>
        <v>0</v>
      </c>
      <c r="BZ105" s="675">
        <f t="shared" si="35"/>
        <v>0</v>
      </c>
      <c r="CA105" s="675">
        <f t="shared" si="36"/>
        <v>0</v>
      </c>
    </row>
    <row r="106" spans="1:79" ht="52.5" hidden="1" customHeight="1" x14ac:dyDescent="0.25">
      <c r="A106" s="298" t="s">
        <v>280</v>
      </c>
      <c r="B106" s="299" t="str">
        <f>'PLAN INDICATIVO'!B104</f>
        <v>Deporte y Recreación</v>
      </c>
      <c r="C106" s="1547"/>
      <c r="D106" s="1549"/>
      <c r="E106" s="1549"/>
      <c r="F106" s="1549"/>
      <c r="G106" s="1549"/>
      <c r="H106" s="1549"/>
      <c r="I106" s="300">
        <f>'PLAN INDICATIVO'!I104</f>
        <v>0</v>
      </c>
      <c r="J106" s="300">
        <f>'PLAN INDICATIVO'!J104</f>
        <v>0</v>
      </c>
      <c r="K106" s="1425" t="str">
        <f>'PLAN INDICATIVO'!K104</f>
        <v>A.4.2.7</v>
      </c>
      <c r="L106" s="1425">
        <f>'PLAN INDICATIVO'!L104</f>
        <v>0</v>
      </c>
      <c r="M106" s="1425" t="str">
        <f>'PLAN INDICATIVO'!M104</f>
        <v>Secretaría de Educación, Cultura, deporte y Turismo</v>
      </c>
      <c r="N106" s="1425" t="str">
        <f>'PLAN INDICATIVO'!N104</f>
        <v>YIMI FERNANDO LOSADA PAYA</v>
      </c>
      <c r="O106" s="1425" t="str">
        <f>'PLAN INDICATIVO'!O104</f>
        <v>Incremento</v>
      </c>
      <c r="P106" s="16" t="str">
        <f>'PLAN INDICATIVO'!P104</f>
        <v>Lograr que 1600 alumnos de las IE participen en los juegos Supérate cada año durante el cuatrienio.</v>
      </c>
      <c r="Q106" s="302" t="str">
        <f>'PLAN INDICATIVO'!Q104</f>
        <v>No. De alumnos de las IE participando en juegos supérate cada año.</v>
      </c>
      <c r="R106" s="303">
        <f>'PLAN INDICATIVO'!R104</f>
        <v>2015</v>
      </c>
      <c r="S106" s="304">
        <v>1600</v>
      </c>
      <c r="T106" s="677">
        <v>1600</v>
      </c>
      <c r="U106" s="303">
        <v>1600</v>
      </c>
      <c r="V106" s="687">
        <v>15500000</v>
      </c>
      <c r="W106" s="572">
        <v>1600</v>
      </c>
      <c r="X106" s="572">
        <v>6000000</v>
      </c>
      <c r="Y106" s="572">
        <v>1600</v>
      </c>
      <c r="Z106" s="572">
        <v>6000000</v>
      </c>
      <c r="AA106" s="572">
        <v>1600</v>
      </c>
      <c r="AB106" s="572">
        <v>6000000</v>
      </c>
      <c r="AC106" s="665">
        <v>1458</v>
      </c>
      <c r="AD106" s="665"/>
      <c r="AE106" s="665"/>
      <c r="AF106" s="665"/>
      <c r="AG106" s="306"/>
      <c r="AH106" s="307" t="s">
        <v>2683</v>
      </c>
      <c r="AI106" s="309">
        <v>42552</v>
      </c>
      <c r="AJ106" s="309">
        <v>42582</v>
      </c>
      <c r="AK106" s="308" t="s">
        <v>2684</v>
      </c>
      <c r="AL106" s="308"/>
      <c r="AM106" s="267" t="s">
        <v>2598</v>
      </c>
      <c r="AN106" s="507" t="s">
        <v>2685</v>
      </c>
      <c r="AO106" s="526"/>
      <c r="AP106" s="310">
        <v>16500000</v>
      </c>
      <c r="AQ106" s="310">
        <v>4881500</v>
      </c>
      <c r="AR106" s="470"/>
      <c r="AS106" s="470"/>
      <c r="AT106" s="470"/>
      <c r="AU106" s="470"/>
      <c r="AV106" s="544">
        <f t="shared" si="30"/>
        <v>21381500</v>
      </c>
      <c r="AW106" s="526"/>
      <c r="AX106" s="470"/>
      <c r="AY106" s="470"/>
      <c r="AZ106" s="470"/>
      <c r="BA106" s="470"/>
      <c r="BB106" s="470"/>
      <c r="BC106" s="470"/>
      <c r="BD106" s="544">
        <f t="shared" si="45"/>
        <v>0</v>
      </c>
      <c r="BE106" s="526"/>
      <c r="BF106" s="470"/>
      <c r="BG106" s="470"/>
      <c r="BH106" s="470"/>
      <c r="BI106" s="470"/>
      <c r="BJ106" s="470"/>
      <c r="BK106" s="470"/>
      <c r="BL106" s="544">
        <f t="shared" si="46"/>
        <v>0</v>
      </c>
      <c r="BM106" s="526"/>
      <c r="BN106" s="470"/>
      <c r="BO106" s="470"/>
      <c r="BP106" s="470"/>
      <c r="BQ106" s="470"/>
      <c r="BR106" s="470"/>
      <c r="BS106" s="470"/>
      <c r="BT106" s="544">
        <f t="shared" si="47"/>
        <v>0</v>
      </c>
      <c r="BU106" s="556"/>
      <c r="BV106" s="663">
        <f t="shared" si="31"/>
        <v>1458</v>
      </c>
      <c r="BW106" s="674">
        <f t="shared" si="32"/>
        <v>0.91125</v>
      </c>
      <c r="BX106" s="835">
        <f t="shared" si="33"/>
        <v>0.91125</v>
      </c>
      <c r="BY106" s="674">
        <f t="shared" si="34"/>
        <v>0</v>
      </c>
      <c r="BZ106" s="675">
        <f t="shared" si="35"/>
        <v>0</v>
      </c>
      <c r="CA106" s="675">
        <f t="shared" si="36"/>
        <v>0</v>
      </c>
    </row>
    <row r="107" spans="1:79" ht="79.5" hidden="1" customHeight="1" x14ac:dyDescent="0.25">
      <c r="A107" s="298" t="s">
        <v>280</v>
      </c>
      <c r="B107" s="299" t="str">
        <f>'PLAN INDICATIVO'!B105</f>
        <v>Deporte y Recreación</v>
      </c>
      <c r="C107" s="1548"/>
      <c r="D107" s="1549"/>
      <c r="E107" s="1549"/>
      <c r="F107" s="1549"/>
      <c r="G107" s="1549"/>
      <c r="H107" s="1549"/>
      <c r="I107" s="300">
        <f>'PLAN INDICATIVO'!I105</f>
        <v>0</v>
      </c>
      <c r="J107" s="300">
        <f>'PLAN INDICATIVO'!J105</f>
        <v>0</v>
      </c>
      <c r="K107" s="1425" t="str">
        <f>'PLAN INDICATIVO'!K105</f>
        <v>A.4.2.8</v>
      </c>
      <c r="L107" s="1425">
        <f>'PLAN INDICATIVO'!L105</f>
        <v>0</v>
      </c>
      <c r="M107" s="1425" t="str">
        <f>'PLAN INDICATIVO'!M105</f>
        <v>Secretaría de Educación, Cultura, deporte y Turismo</v>
      </c>
      <c r="N107" s="1425" t="str">
        <f>'PLAN INDICATIVO'!N105</f>
        <v>YIMI FERNANDO LOSADA PAYA</v>
      </c>
      <c r="O107" s="1425" t="str">
        <f>'PLAN INDICATIVO'!O105</f>
        <v>Incremento</v>
      </c>
      <c r="P107" s="16" t="str">
        <f>'PLAN INDICATIVO'!P105</f>
        <v>Desarrollar 2 programas  deportivo-recreativo "Por la Convivencia Ciudadana" dirigido a la población del sector urbano y rural  del municipio durante el cuatrienio.</v>
      </c>
      <c r="Q107" s="302" t="str">
        <f>'PLAN INDICATIVO'!Q105</f>
        <v>No. De programas desarrollados</v>
      </c>
      <c r="R107" s="303">
        <f>'PLAN INDICATIVO'!R105</f>
        <v>2015</v>
      </c>
      <c r="S107" s="304">
        <v>0</v>
      </c>
      <c r="T107" s="677">
        <v>2</v>
      </c>
      <c r="U107" s="303">
        <v>1</v>
      </c>
      <c r="V107" s="687">
        <v>25000000</v>
      </c>
      <c r="W107" s="572">
        <v>0</v>
      </c>
      <c r="X107" s="572"/>
      <c r="Y107" s="572">
        <v>1</v>
      </c>
      <c r="Z107" s="572">
        <v>6000000</v>
      </c>
      <c r="AA107" s="572">
        <v>0</v>
      </c>
      <c r="AB107" s="572"/>
      <c r="AC107" s="665">
        <v>1</v>
      </c>
      <c r="AD107" s="665"/>
      <c r="AE107" s="665"/>
      <c r="AF107" s="665"/>
      <c r="AG107" s="306"/>
      <c r="AH107" s="307" t="s">
        <v>2686</v>
      </c>
      <c r="AI107" s="309">
        <v>42644</v>
      </c>
      <c r="AJ107" s="309">
        <v>42674</v>
      </c>
      <c r="AK107" s="308"/>
      <c r="AL107" s="308"/>
      <c r="AM107" s="267" t="s">
        <v>2598</v>
      </c>
      <c r="AN107" s="507" t="s">
        <v>2671</v>
      </c>
      <c r="AO107" s="525"/>
      <c r="AP107" s="310">
        <v>400000</v>
      </c>
      <c r="AQ107" s="310"/>
      <c r="AR107" s="310"/>
      <c r="AS107" s="310"/>
      <c r="AT107" s="310"/>
      <c r="AU107" s="310" t="s">
        <v>2627</v>
      </c>
      <c r="AV107" s="544">
        <f t="shared" si="30"/>
        <v>400000</v>
      </c>
      <c r="AW107" s="525"/>
      <c r="AX107" s="310"/>
      <c r="AY107" s="310"/>
      <c r="AZ107" s="310"/>
      <c r="BA107" s="310"/>
      <c r="BB107" s="310"/>
      <c r="BC107" s="310"/>
      <c r="BD107" s="544">
        <f t="shared" si="45"/>
        <v>0</v>
      </c>
      <c r="BE107" s="525"/>
      <c r="BF107" s="310"/>
      <c r="BG107" s="310"/>
      <c r="BH107" s="310"/>
      <c r="BI107" s="310"/>
      <c r="BJ107" s="310"/>
      <c r="BK107" s="310"/>
      <c r="BL107" s="544">
        <f t="shared" si="46"/>
        <v>0</v>
      </c>
      <c r="BM107" s="525"/>
      <c r="BN107" s="310"/>
      <c r="BO107" s="310"/>
      <c r="BP107" s="310"/>
      <c r="BQ107" s="310"/>
      <c r="BR107" s="310"/>
      <c r="BS107" s="310"/>
      <c r="BT107" s="544">
        <f t="shared" si="47"/>
        <v>0</v>
      </c>
      <c r="BU107" s="556"/>
      <c r="BV107" s="663">
        <f t="shared" si="31"/>
        <v>1</v>
      </c>
      <c r="BW107" s="674">
        <f t="shared" si="32"/>
        <v>0.5</v>
      </c>
      <c r="BX107" s="835">
        <f t="shared" si="33"/>
        <v>1</v>
      </c>
      <c r="BY107" s="674" t="e">
        <f t="shared" si="34"/>
        <v>#DIV/0!</v>
      </c>
      <c r="BZ107" s="675">
        <f t="shared" si="35"/>
        <v>0</v>
      </c>
      <c r="CA107" s="675" t="e">
        <f t="shared" si="36"/>
        <v>#DIV/0!</v>
      </c>
    </row>
    <row r="108" spans="1:79" ht="15" hidden="1" x14ac:dyDescent="0.25">
      <c r="A108" s="311"/>
      <c r="B108" s="312" t="e">
        <f>'PLAN INDICATIVO'!#REF!</f>
        <v>#REF!</v>
      </c>
      <c r="C108" s="312"/>
      <c r="D108" s="1444"/>
      <c r="E108" s="1444"/>
      <c r="F108" s="1444"/>
      <c r="G108" s="1444"/>
      <c r="H108" s="1444"/>
      <c r="I108" s="1444"/>
      <c r="J108" s="1444"/>
      <c r="K108" s="1444"/>
      <c r="L108" s="1444"/>
      <c r="M108" s="1444"/>
      <c r="N108" s="1444"/>
      <c r="O108" s="1444"/>
      <c r="P108" s="1434"/>
      <c r="Q108" s="1434"/>
      <c r="R108" s="1444"/>
      <c r="S108" s="313"/>
      <c r="T108" s="682"/>
      <c r="U108" s="313"/>
      <c r="V108" s="313"/>
      <c r="W108" s="313"/>
      <c r="X108" s="313"/>
      <c r="Y108" s="313"/>
      <c r="Z108" s="313"/>
      <c r="AA108" s="314"/>
      <c r="AB108" s="314"/>
      <c r="AC108" s="314"/>
      <c r="AD108" s="314"/>
      <c r="AE108" s="314"/>
      <c r="AF108" s="314"/>
      <c r="AG108" s="315"/>
      <c r="AH108" s="315"/>
      <c r="AI108" s="314"/>
      <c r="AJ108" s="314"/>
      <c r="AK108" s="314"/>
      <c r="AL108" s="314"/>
      <c r="AM108" s="314"/>
      <c r="AN108" s="516"/>
      <c r="AO108" s="623"/>
      <c r="AP108" s="624"/>
      <c r="AQ108" s="624"/>
      <c r="AR108" s="624"/>
      <c r="AS108" s="624"/>
      <c r="AT108" s="624"/>
      <c r="AU108" s="624"/>
      <c r="AV108" s="625">
        <f t="shared" si="30"/>
        <v>0</v>
      </c>
      <c r="AW108" s="623"/>
      <c r="AX108" s="624"/>
      <c r="AY108" s="624"/>
      <c r="AZ108" s="624"/>
      <c r="BA108" s="624"/>
      <c r="BB108" s="624"/>
      <c r="BC108" s="624"/>
      <c r="BD108" s="625">
        <f t="shared" si="45"/>
        <v>0</v>
      </c>
      <c r="BE108" s="623"/>
      <c r="BF108" s="624"/>
      <c r="BG108" s="624"/>
      <c r="BH108" s="624"/>
      <c r="BI108" s="624"/>
      <c r="BJ108" s="624"/>
      <c r="BK108" s="624"/>
      <c r="BL108" s="625">
        <f t="shared" si="46"/>
        <v>0</v>
      </c>
      <c r="BM108" s="623"/>
      <c r="BN108" s="624"/>
      <c r="BO108" s="624"/>
      <c r="BP108" s="624"/>
      <c r="BQ108" s="624"/>
      <c r="BR108" s="624"/>
      <c r="BS108" s="624"/>
      <c r="BT108" s="625">
        <f t="shared" si="47"/>
        <v>0</v>
      </c>
      <c r="BU108" s="556"/>
      <c r="BV108" s="663">
        <f t="shared" si="31"/>
        <v>0</v>
      </c>
      <c r="BW108" s="674" t="e">
        <f t="shared" si="32"/>
        <v>#DIV/0!</v>
      </c>
      <c r="BX108" s="835" t="e">
        <f t="shared" si="33"/>
        <v>#DIV/0!</v>
      </c>
      <c r="BY108" s="674" t="e">
        <f t="shared" si="34"/>
        <v>#DIV/0!</v>
      </c>
      <c r="BZ108" s="675" t="e">
        <f t="shared" si="35"/>
        <v>#DIV/0!</v>
      </c>
      <c r="CA108" s="675" t="e">
        <f t="shared" si="36"/>
        <v>#DIV/0!</v>
      </c>
    </row>
    <row r="109" spans="1:79" ht="52.5" hidden="1" customHeight="1" thickBot="1" x14ac:dyDescent="0.3">
      <c r="A109" s="1608" t="s">
        <v>344</v>
      </c>
      <c r="B109" s="1609"/>
      <c r="C109" s="1609"/>
      <c r="D109" s="1609"/>
      <c r="E109" s="1609"/>
      <c r="F109" s="1609"/>
      <c r="G109" s="1609"/>
      <c r="H109" s="1609"/>
      <c r="I109" s="1609"/>
      <c r="J109" s="1609"/>
      <c r="K109" s="1609"/>
      <c r="L109" s="1609"/>
      <c r="M109" s="1609"/>
      <c r="N109" s="1609"/>
      <c r="O109" s="1609"/>
      <c r="P109" s="1609"/>
      <c r="Q109" s="1609"/>
      <c r="R109" s="1609"/>
      <c r="S109" s="1609"/>
      <c r="T109" s="1609"/>
      <c r="U109" s="1609"/>
      <c r="V109" s="1609"/>
      <c r="W109" s="1609"/>
      <c r="X109" s="1609"/>
      <c r="Y109" s="1609"/>
      <c r="Z109" s="1609"/>
      <c r="AA109" s="1609"/>
      <c r="AB109" s="1609"/>
      <c r="AC109" s="1609"/>
      <c r="AD109" s="1609"/>
      <c r="AE109" s="1609"/>
      <c r="AF109" s="1609"/>
      <c r="AG109" s="1609"/>
      <c r="AH109" s="1609"/>
      <c r="AI109" s="1609"/>
      <c r="AJ109" s="1609"/>
      <c r="AK109" s="1609"/>
      <c r="AL109" s="1610"/>
      <c r="AM109" s="437"/>
      <c r="AN109" s="626"/>
      <c r="AO109" s="627"/>
      <c r="AP109" s="628"/>
      <c r="AQ109" s="628"/>
      <c r="AR109" s="628"/>
      <c r="AS109" s="628"/>
      <c r="AT109" s="628"/>
      <c r="AU109" s="628"/>
      <c r="AV109" s="634">
        <f t="shared" si="30"/>
        <v>0</v>
      </c>
      <c r="AW109" s="627"/>
      <c r="AX109" s="628"/>
      <c r="AY109" s="628"/>
      <c r="AZ109" s="628"/>
      <c r="BA109" s="628"/>
      <c r="BB109" s="628"/>
      <c r="BC109" s="628"/>
      <c r="BD109" s="634">
        <f t="shared" si="45"/>
        <v>0</v>
      </c>
      <c r="BE109" s="627"/>
      <c r="BF109" s="628"/>
      <c r="BG109" s="628"/>
      <c r="BH109" s="628"/>
      <c r="BI109" s="628"/>
      <c r="BJ109" s="628"/>
      <c r="BK109" s="628"/>
      <c r="BL109" s="634">
        <f t="shared" si="46"/>
        <v>0</v>
      </c>
      <c r="BM109" s="627"/>
      <c r="BN109" s="628"/>
      <c r="BO109" s="628"/>
      <c r="BP109" s="628"/>
      <c r="BQ109" s="628"/>
      <c r="BR109" s="628"/>
      <c r="BS109" s="628"/>
      <c r="BT109" s="634">
        <f t="shared" si="47"/>
        <v>0</v>
      </c>
      <c r="BU109" s="652"/>
      <c r="BV109" s="663">
        <f t="shared" si="31"/>
        <v>0</v>
      </c>
      <c r="BW109" s="674" t="e">
        <f t="shared" si="32"/>
        <v>#DIV/0!</v>
      </c>
      <c r="BX109" s="868" t="e">
        <f t="shared" si="33"/>
        <v>#DIV/0!</v>
      </c>
      <c r="BY109" s="674" t="e">
        <f t="shared" si="34"/>
        <v>#DIV/0!</v>
      </c>
      <c r="BZ109" s="675" t="e">
        <f t="shared" si="35"/>
        <v>#DIV/0!</v>
      </c>
      <c r="CA109" s="675" t="e">
        <f t="shared" si="36"/>
        <v>#DIV/0!</v>
      </c>
    </row>
    <row r="110" spans="1:79" ht="57" hidden="1" customHeight="1" x14ac:dyDescent="0.25">
      <c r="A110" s="296"/>
      <c r="B110" s="331" t="str">
        <f>'PLAN INDICATIVO'!B107</f>
        <v>Vivienda</v>
      </c>
      <c r="C110" s="1605" t="s">
        <v>345</v>
      </c>
      <c r="D110" s="1606"/>
      <c r="E110" s="1606"/>
      <c r="F110" s="1606"/>
      <c r="G110" s="1606"/>
      <c r="H110" s="1606"/>
      <c r="I110" s="1606"/>
      <c r="J110" s="1606"/>
      <c r="K110" s="1606"/>
      <c r="L110" s="1606"/>
      <c r="M110" s="1606"/>
      <c r="N110" s="1606"/>
      <c r="O110" s="1607"/>
      <c r="P110" s="318"/>
      <c r="Q110" s="318"/>
      <c r="R110" s="317"/>
      <c r="S110" s="319"/>
      <c r="T110" s="676"/>
      <c r="U110" s="319"/>
      <c r="V110" s="698">
        <v>745700</v>
      </c>
      <c r="W110" s="319"/>
      <c r="X110" s="695">
        <f>SUM(X111:X115)</f>
        <v>501000000</v>
      </c>
      <c r="Y110" s="319"/>
      <c r="Z110" s="696">
        <f>SUM(Z111:Z115)</f>
        <v>101000000</v>
      </c>
      <c r="AA110" s="320"/>
      <c r="AB110" s="697">
        <f>SUM(AB111:AB115)</f>
        <v>105000000</v>
      </c>
      <c r="AC110" s="320"/>
      <c r="AD110" s="320"/>
      <c r="AE110" s="320"/>
      <c r="AF110" s="320"/>
      <c r="AG110" s="321"/>
      <c r="AH110" s="321"/>
      <c r="AI110" s="320"/>
      <c r="AJ110" s="320"/>
      <c r="AK110" s="320"/>
      <c r="AL110" s="320"/>
      <c r="AM110" s="320"/>
      <c r="AN110" s="630"/>
      <c r="AO110" s="631" t="e">
        <f>(AO111:AO115)</f>
        <v>#VALUE!</v>
      </c>
      <c r="AP110" s="631" t="e">
        <f t="shared" ref="AP110:AU110" si="52">(AP111:AP115)</f>
        <v>#VALUE!</v>
      </c>
      <c r="AQ110" s="631" t="e">
        <f t="shared" si="52"/>
        <v>#VALUE!</v>
      </c>
      <c r="AR110" s="631" t="e">
        <f t="shared" si="52"/>
        <v>#VALUE!</v>
      </c>
      <c r="AS110" s="631" t="e">
        <f t="shared" si="52"/>
        <v>#VALUE!</v>
      </c>
      <c r="AT110" s="631" t="e">
        <f t="shared" si="52"/>
        <v>#VALUE!</v>
      </c>
      <c r="AU110" s="631" t="e">
        <f t="shared" si="52"/>
        <v>#VALUE!</v>
      </c>
      <c r="AV110" s="617" t="e">
        <f t="shared" si="30"/>
        <v>#VALUE!</v>
      </c>
      <c r="AW110" s="631" t="e">
        <f t="shared" ref="AW110:BC110" si="53">(AW111:AW115)</f>
        <v>#VALUE!</v>
      </c>
      <c r="AX110" s="631" t="e">
        <f t="shared" si="53"/>
        <v>#VALUE!</v>
      </c>
      <c r="AY110" s="631" t="e">
        <f t="shared" si="53"/>
        <v>#VALUE!</v>
      </c>
      <c r="AZ110" s="631" t="e">
        <f t="shared" si="53"/>
        <v>#VALUE!</v>
      </c>
      <c r="BA110" s="631" t="e">
        <f t="shared" si="53"/>
        <v>#VALUE!</v>
      </c>
      <c r="BB110" s="631" t="e">
        <f t="shared" si="53"/>
        <v>#VALUE!</v>
      </c>
      <c r="BC110" s="631" t="e">
        <f t="shared" si="53"/>
        <v>#VALUE!</v>
      </c>
      <c r="BD110" s="617" t="e">
        <f t="shared" si="45"/>
        <v>#VALUE!</v>
      </c>
      <c r="BE110" s="631" t="e">
        <f t="shared" ref="BE110:BK110" si="54">(BE111:BE115)</f>
        <v>#VALUE!</v>
      </c>
      <c r="BF110" s="631" t="e">
        <f t="shared" si="54"/>
        <v>#VALUE!</v>
      </c>
      <c r="BG110" s="631" t="e">
        <f t="shared" si="54"/>
        <v>#VALUE!</v>
      </c>
      <c r="BH110" s="631" t="e">
        <f t="shared" si="54"/>
        <v>#VALUE!</v>
      </c>
      <c r="BI110" s="631" t="e">
        <f t="shared" si="54"/>
        <v>#VALUE!</v>
      </c>
      <c r="BJ110" s="631" t="e">
        <f t="shared" si="54"/>
        <v>#VALUE!</v>
      </c>
      <c r="BK110" s="631" t="e">
        <f t="shared" si="54"/>
        <v>#VALUE!</v>
      </c>
      <c r="BL110" s="617" t="e">
        <f t="shared" si="46"/>
        <v>#VALUE!</v>
      </c>
      <c r="BM110" s="631" t="e">
        <f t="shared" ref="BM110:BS110" si="55">(BM111:BM115)</f>
        <v>#VALUE!</v>
      </c>
      <c r="BN110" s="631" t="e">
        <f t="shared" si="55"/>
        <v>#VALUE!</v>
      </c>
      <c r="BO110" s="631" t="e">
        <f t="shared" si="55"/>
        <v>#VALUE!</v>
      </c>
      <c r="BP110" s="631" t="e">
        <f t="shared" si="55"/>
        <v>#VALUE!</v>
      </c>
      <c r="BQ110" s="631" t="e">
        <f t="shared" si="55"/>
        <v>#VALUE!</v>
      </c>
      <c r="BR110" s="631" t="e">
        <f t="shared" si="55"/>
        <v>#VALUE!</v>
      </c>
      <c r="BS110" s="631" t="e">
        <f t="shared" si="55"/>
        <v>#VALUE!</v>
      </c>
      <c r="BT110" s="617" t="e">
        <f t="shared" si="47"/>
        <v>#VALUE!</v>
      </c>
      <c r="BU110" s="556"/>
      <c r="BV110" s="663">
        <f t="shared" si="31"/>
        <v>0</v>
      </c>
      <c r="BW110" s="674" t="e">
        <f t="shared" si="32"/>
        <v>#DIV/0!</v>
      </c>
      <c r="BX110" s="867" t="e">
        <f t="shared" si="33"/>
        <v>#DIV/0!</v>
      </c>
      <c r="BY110" s="674" t="e">
        <f t="shared" si="34"/>
        <v>#DIV/0!</v>
      </c>
      <c r="BZ110" s="675" t="e">
        <f t="shared" si="35"/>
        <v>#DIV/0!</v>
      </c>
      <c r="CA110" s="675" t="e">
        <f t="shared" si="36"/>
        <v>#DIV/0!</v>
      </c>
    </row>
    <row r="111" spans="1:79" ht="129" customHeight="1" x14ac:dyDescent="0.3">
      <c r="A111" s="298" t="s">
        <v>346</v>
      </c>
      <c r="B111" s="299" t="str">
        <f>'PLAN INDICATIVO'!B108</f>
        <v>Vivienda</v>
      </c>
      <c r="C111" s="1546" t="s">
        <v>347</v>
      </c>
      <c r="D111" s="1549" t="s">
        <v>348</v>
      </c>
      <c r="E111" s="1549" t="s">
        <v>349</v>
      </c>
      <c r="F111" s="1549">
        <v>2015</v>
      </c>
      <c r="G111" s="1549">
        <v>37.700000000000003</v>
      </c>
      <c r="H111" s="1549">
        <v>33</v>
      </c>
      <c r="I111" s="1425" t="str">
        <f>'PLAN INDICATIVO'!I108</f>
        <v>SI</v>
      </c>
      <c r="J111" s="1425">
        <f>'PLAN INDICATIVO'!J108</f>
        <v>0</v>
      </c>
      <c r="K111" s="1425" t="str">
        <f>'PLAN INDICATIVO'!K108</f>
        <v>A.7.1.1</v>
      </c>
      <c r="L111" s="1425" t="str">
        <f>'PLAN INDICATIVO'!L108</f>
        <v>11. Ciudades y comunidades sostenibles</v>
      </c>
      <c r="M111" s="1425" t="str">
        <f>'PLAN INDICATIVO'!M108</f>
        <v>departamento Municipal de Planeación</v>
      </c>
      <c r="N111" s="1425" t="s">
        <v>2687</v>
      </c>
      <c r="O111" s="1425" t="str">
        <f>'PLAN INDICATIVO'!O108</f>
        <v>Incremento</v>
      </c>
      <c r="P111" s="16" t="str">
        <f>'PLAN INDICATIVO'!P108</f>
        <v>Realizar   450 mejoramientos de vivienda  en el municipio durante  el cuatrienio.</v>
      </c>
      <c r="Q111" s="302" t="str">
        <f>'PLAN INDICATIVO'!Q108</f>
        <v>No. De Mejoramientos de vivienda realizados</v>
      </c>
      <c r="R111" s="303">
        <f>'PLAN INDICATIVO'!R108</f>
        <v>2015</v>
      </c>
      <c r="S111" s="304" t="s">
        <v>177</v>
      </c>
      <c r="T111" s="677">
        <v>450</v>
      </c>
      <c r="U111" s="303">
        <v>10</v>
      </c>
      <c r="V111" s="687">
        <v>745700000</v>
      </c>
      <c r="W111" s="685">
        <v>340</v>
      </c>
      <c r="X111" s="687">
        <v>490000000</v>
      </c>
      <c r="Y111" s="685">
        <v>50</v>
      </c>
      <c r="Z111" s="688">
        <v>101000000</v>
      </c>
      <c r="AA111" s="685">
        <v>50</v>
      </c>
      <c r="AB111" s="688">
        <v>105000000</v>
      </c>
      <c r="AC111" s="665">
        <v>8</v>
      </c>
      <c r="AD111" s="665"/>
      <c r="AE111" s="665"/>
      <c r="AF111" s="665"/>
      <c r="AG111" s="306" t="s">
        <v>2688</v>
      </c>
      <c r="AH111" s="307" t="s">
        <v>2689</v>
      </c>
      <c r="AI111" s="335">
        <v>42887</v>
      </c>
      <c r="AJ111" s="335">
        <v>11293</v>
      </c>
      <c r="AK111" s="308"/>
      <c r="AL111" s="308"/>
      <c r="AM111" s="267" t="s">
        <v>2604</v>
      </c>
      <c r="AN111" s="507">
        <v>230703</v>
      </c>
      <c r="AO111" s="525"/>
      <c r="AP111" s="310"/>
      <c r="AQ111" s="310"/>
      <c r="AR111" s="310"/>
      <c r="AS111" s="310"/>
      <c r="AT111" s="380"/>
      <c r="AU111" s="310"/>
      <c r="AV111" s="544">
        <f t="shared" si="30"/>
        <v>0</v>
      </c>
      <c r="AW111" s="525"/>
      <c r="AX111" s="310"/>
      <c r="AY111" s="310"/>
      <c r="AZ111" s="310"/>
      <c r="BA111" s="310"/>
      <c r="BB111" s="380"/>
      <c r="BC111" s="310"/>
      <c r="BD111" s="544">
        <f t="shared" si="45"/>
        <v>0</v>
      </c>
      <c r="BE111" s="525"/>
      <c r="BF111" s="310"/>
      <c r="BG111" s="310"/>
      <c r="BH111" s="310"/>
      <c r="BI111" s="310"/>
      <c r="BJ111" s="380"/>
      <c r="BK111" s="310"/>
      <c r="BL111" s="544">
        <f t="shared" si="46"/>
        <v>0</v>
      </c>
      <c r="BM111" s="525"/>
      <c r="BN111" s="310"/>
      <c r="BO111" s="310"/>
      <c r="BP111" s="310"/>
      <c r="BQ111" s="310"/>
      <c r="BR111" s="380"/>
      <c r="BS111" s="310"/>
      <c r="BT111" s="544">
        <f t="shared" si="47"/>
        <v>0</v>
      </c>
      <c r="BU111" s="556"/>
      <c r="BV111" s="663">
        <f t="shared" si="31"/>
        <v>8</v>
      </c>
      <c r="BW111" s="674">
        <f>BV111/U111</f>
        <v>0.8</v>
      </c>
      <c r="BX111" s="835">
        <f t="shared" si="33"/>
        <v>0.8</v>
      </c>
      <c r="BY111" s="674">
        <f t="shared" si="34"/>
        <v>0</v>
      </c>
      <c r="BZ111" s="675">
        <f t="shared" si="35"/>
        <v>0</v>
      </c>
      <c r="CA111" s="675">
        <f t="shared" si="36"/>
        <v>0</v>
      </c>
    </row>
    <row r="112" spans="1:79" ht="45.75" customHeight="1" x14ac:dyDescent="0.3">
      <c r="A112" s="298" t="s">
        <v>346</v>
      </c>
      <c r="B112" s="299" t="str">
        <f>'PLAN INDICATIVO'!B109</f>
        <v>Vivienda</v>
      </c>
      <c r="C112" s="1547"/>
      <c r="D112" s="1549"/>
      <c r="E112" s="1549"/>
      <c r="F112" s="1549"/>
      <c r="G112" s="1549"/>
      <c r="H112" s="1549"/>
      <c r="I112" s="300">
        <f>'PLAN INDICATIVO'!I109</f>
        <v>0</v>
      </c>
      <c r="J112" s="300">
        <f>'PLAN INDICATIVO'!J109</f>
        <v>0</v>
      </c>
      <c r="K112" s="1425" t="str">
        <f>'PLAN INDICATIVO'!K109</f>
        <v>A.7.1.2</v>
      </c>
      <c r="L112" s="1425" t="str">
        <f>'PLAN INDICATIVO'!L109</f>
        <v>11. Ciudades y comunidades sostenibles</v>
      </c>
      <c r="M112" s="1425" t="str">
        <f>'PLAN INDICATIVO'!M109</f>
        <v>departamento Municipal de Planeación</v>
      </c>
      <c r="N112" s="1425" t="s">
        <v>2687</v>
      </c>
      <c r="O112" s="1425" t="str">
        <f>'PLAN INDICATIVO'!O109</f>
        <v>Incremento</v>
      </c>
      <c r="P112" s="16" t="str">
        <f>'PLAN INDICATIVO'!P109</f>
        <v>Apoyar a 2 barrios con programa de legalización durante el cuatrienio</v>
      </c>
      <c r="Q112" s="302" t="str">
        <f>'PLAN INDICATIVO'!Q109</f>
        <v>No. De barrios legalizados</v>
      </c>
      <c r="R112" s="303">
        <f>'PLAN INDICATIVO'!R109</f>
        <v>2015</v>
      </c>
      <c r="S112" s="304">
        <v>0</v>
      </c>
      <c r="T112" s="677">
        <v>2</v>
      </c>
      <c r="U112" s="303">
        <v>0</v>
      </c>
      <c r="V112" s="686"/>
      <c r="W112" s="572">
        <v>1</v>
      </c>
      <c r="X112" s="687">
        <v>500000</v>
      </c>
      <c r="Y112" s="572">
        <v>1</v>
      </c>
      <c r="Z112" s="572"/>
      <c r="AA112" s="572">
        <v>0</v>
      </c>
      <c r="AB112" s="572"/>
      <c r="AC112" s="665"/>
      <c r="AD112" s="665"/>
      <c r="AE112" s="665"/>
      <c r="AF112" s="665"/>
      <c r="AG112" s="306"/>
      <c r="AH112" s="307"/>
      <c r="AI112" s="308"/>
      <c r="AJ112" s="308"/>
      <c r="AK112" s="308"/>
      <c r="AL112" s="308"/>
      <c r="AM112" s="267" t="s">
        <v>2594</v>
      </c>
      <c r="AN112" s="507"/>
      <c r="AO112" s="525"/>
      <c r="AP112" s="310"/>
      <c r="AQ112" s="310"/>
      <c r="AR112" s="310"/>
      <c r="AS112" s="310"/>
      <c r="AT112" s="310"/>
      <c r="AU112" s="310"/>
      <c r="AV112" s="544">
        <f t="shared" si="30"/>
        <v>0</v>
      </c>
      <c r="AW112" s="525"/>
      <c r="AX112" s="310"/>
      <c r="AY112" s="310"/>
      <c r="AZ112" s="310"/>
      <c r="BA112" s="310"/>
      <c r="BB112" s="310"/>
      <c r="BC112" s="310"/>
      <c r="BD112" s="544">
        <f t="shared" si="45"/>
        <v>0</v>
      </c>
      <c r="BE112" s="525"/>
      <c r="BF112" s="310"/>
      <c r="BG112" s="310"/>
      <c r="BH112" s="310"/>
      <c r="BI112" s="310"/>
      <c r="BJ112" s="310"/>
      <c r="BK112" s="310"/>
      <c r="BL112" s="544">
        <f t="shared" si="46"/>
        <v>0</v>
      </c>
      <c r="BM112" s="525"/>
      <c r="BN112" s="310"/>
      <c r="BO112" s="310"/>
      <c r="BP112" s="310"/>
      <c r="BQ112" s="310"/>
      <c r="BR112" s="310"/>
      <c r="BS112" s="310"/>
      <c r="BT112" s="544">
        <f t="shared" si="47"/>
        <v>0</v>
      </c>
      <c r="BU112" s="556"/>
      <c r="BV112" s="663">
        <f t="shared" si="31"/>
        <v>0</v>
      </c>
      <c r="BW112" s="674">
        <f t="shared" si="32"/>
        <v>0</v>
      </c>
      <c r="BX112" s="835" t="e">
        <f t="shared" si="33"/>
        <v>#DIV/0!</v>
      </c>
      <c r="BY112" s="674">
        <f t="shared" si="34"/>
        <v>0</v>
      </c>
      <c r="BZ112" s="675">
        <f t="shared" si="35"/>
        <v>0</v>
      </c>
      <c r="CA112" s="675" t="e">
        <f t="shared" si="36"/>
        <v>#DIV/0!</v>
      </c>
    </row>
    <row r="113" spans="1:79" ht="38.25" customHeight="1" x14ac:dyDescent="0.3">
      <c r="A113" s="298" t="s">
        <v>346</v>
      </c>
      <c r="B113" s="299" t="str">
        <f>'PLAN INDICATIVO'!B110</f>
        <v>Vivienda</v>
      </c>
      <c r="C113" s="1547"/>
      <c r="D113" s="1549"/>
      <c r="E113" s="1549"/>
      <c r="F113" s="1549"/>
      <c r="G113" s="1549"/>
      <c r="H113" s="1549"/>
      <c r="I113" s="300">
        <f>'PLAN INDICATIVO'!I110</f>
        <v>0</v>
      </c>
      <c r="J113" s="300">
        <f>'PLAN INDICATIVO'!J110</f>
        <v>0</v>
      </c>
      <c r="K113" s="1425" t="str">
        <f>'PLAN INDICATIVO'!K110</f>
        <v>A.7.1.3</v>
      </c>
      <c r="L113" s="1425" t="str">
        <f>'PLAN INDICATIVO'!L110</f>
        <v>11. Ciudades y comunidades sostenibles</v>
      </c>
      <c r="M113" s="1425" t="str">
        <f>'PLAN INDICATIVO'!M110</f>
        <v>departamento Municipal de Planeación</v>
      </c>
      <c r="N113" s="1425" t="s">
        <v>2687</v>
      </c>
      <c r="O113" s="1425" t="str">
        <f>'PLAN INDICATIVO'!O110</f>
        <v>Incremento</v>
      </c>
      <c r="P113" s="16" t="str">
        <f>'PLAN INDICATIVO'!P110</f>
        <v>Construir o remodelar 15.000 m2 de espacio público  para el disfrute de los ciudadanos durante el cuatrienio</v>
      </c>
      <c r="Q113" s="302" t="str">
        <f>'PLAN INDICATIVO'!Q110</f>
        <v>No. De m2 construidos o remodelados de espacio público</v>
      </c>
      <c r="R113" s="303">
        <f>'PLAN INDICATIVO'!R110</f>
        <v>2015</v>
      </c>
      <c r="S113" s="304">
        <v>0</v>
      </c>
      <c r="T113" s="677">
        <v>15000</v>
      </c>
      <c r="U113" s="303">
        <v>0</v>
      </c>
      <c r="V113" s="686"/>
      <c r="W113" s="572">
        <v>4000</v>
      </c>
      <c r="X113" s="687">
        <v>10000000</v>
      </c>
      <c r="Y113" s="572">
        <v>5500</v>
      </c>
      <c r="Z113" s="572"/>
      <c r="AA113" s="572">
        <v>5500</v>
      </c>
      <c r="AB113" s="572"/>
      <c r="AC113" s="665"/>
      <c r="AD113" s="665"/>
      <c r="AE113" s="665"/>
      <c r="AF113" s="665"/>
      <c r="AG113" s="338"/>
      <c r="AH113" s="336"/>
      <c r="AI113" s="337"/>
      <c r="AJ113" s="337"/>
      <c r="AK113" s="337"/>
      <c r="AL113" s="337"/>
      <c r="AM113" s="267" t="s">
        <v>2594</v>
      </c>
      <c r="AN113" s="510"/>
      <c r="AO113" s="527"/>
      <c r="AP113" s="471"/>
      <c r="AQ113" s="471"/>
      <c r="AR113" s="471"/>
      <c r="AS113" s="471"/>
      <c r="AT113" s="471"/>
      <c r="AU113" s="471"/>
      <c r="AV113" s="544">
        <f t="shared" si="30"/>
        <v>0</v>
      </c>
      <c r="AW113" s="527"/>
      <c r="AX113" s="471"/>
      <c r="AY113" s="471"/>
      <c r="AZ113" s="471"/>
      <c r="BA113" s="471"/>
      <c r="BB113" s="471"/>
      <c r="BC113" s="471"/>
      <c r="BD113" s="544">
        <f t="shared" si="45"/>
        <v>0</v>
      </c>
      <c r="BE113" s="527"/>
      <c r="BF113" s="471"/>
      <c r="BG113" s="471"/>
      <c r="BH113" s="471"/>
      <c r="BI113" s="471"/>
      <c r="BJ113" s="471"/>
      <c r="BK113" s="471"/>
      <c r="BL113" s="544">
        <f t="shared" si="46"/>
        <v>0</v>
      </c>
      <c r="BM113" s="527"/>
      <c r="BN113" s="471"/>
      <c r="BO113" s="471"/>
      <c r="BP113" s="471"/>
      <c r="BQ113" s="471"/>
      <c r="BR113" s="471"/>
      <c r="BS113" s="471"/>
      <c r="BT113" s="544">
        <f t="shared" si="47"/>
        <v>0</v>
      </c>
      <c r="BU113" s="556"/>
      <c r="BV113" s="663">
        <f t="shared" si="31"/>
        <v>0</v>
      </c>
      <c r="BW113" s="674">
        <f t="shared" si="32"/>
        <v>0</v>
      </c>
      <c r="BX113" s="835" t="e">
        <f t="shared" si="33"/>
        <v>#DIV/0!</v>
      </c>
      <c r="BY113" s="674">
        <f t="shared" si="34"/>
        <v>0</v>
      </c>
      <c r="BZ113" s="675">
        <f t="shared" si="35"/>
        <v>0</v>
      </c>
      <c r="CA113" s="675">
        <f t="shared" si="36"/>
        <v>0</v>
      </c>
    </row>
    <row r="114" spans="1:79" ht="39" customHeight="1" x14ac:dyDescent="0.3">
      <c r="A114" s="298" t="s">
        <v>346</v>
      </c>
      <c r="B114" s="299" t="str">
        <f>'PLAN INDICATIVO'!B111</f>
        <v>Vivienda</v>
      </c>
      <c r="C114" s="1547"/>
      <c r="D114" s="1549"/>
      <c r="E114" s="1549"/>
      <c r="F114" s="1549"/>
      <c r="G114" s="1549"/>
      <c r="H114" s="1549"/>
      <c r="I114" s="300">
        <f>'PLAN INDICATIVO'!I111</f>
        <v>0</v>
      </c>
      <c r="J114" s="300">
        <f>'PLAN INDICATIVO'!J111</f>
        <v>0</v>
      </c>
      <c r="K114" s="1425" t="str">
        <f>'PLAN INDICATIVO'!K111</f>
        <v>A.7.1.4</v>
      </c>
      <c r="L114" s="1425" t="str">
        <f>'PLAN INDICATIVO'!L111</f>
        <v>11. Ciudades y comunidades sostenibles</v>
      </c>
      <c r="M114" s="1425" t="str">
        <f>'PLAN INDICATIVO'!M111</f>
        <v>departamento Municipal de Planeación</v>
      </c>
      <c r="N114" s="1425" t="s">
        <v>2687</v>
      </c>
      <c r="O114" s="1425" t="str">
        <f>'PLAN INDICATIVO'!O111</f>
        <v>Incremento</v>
      </c>
      <c r="P114" s="16" t="str">
        <f>'PLAN INDICATIVO'!P111</f>
        <v>Ajustar un nuevo PBOT  que defina áreas de desarrollo urbanístico en zonas que no representen alto riesgo</v>
      </c>
      <c r="Q114" s="302" t="str">
        <f>'PLAN INDICATIVO'!Q111</f>
        <v>No. De PBOT ajustado</v>
      </c>
      <c r="R114" s="303">
        <f>'PLAN INDICATIVO'!R111</f>
        <v>2015</v>
      </c>
      <c r="S114" s="304">
        <v>0</v>
      </c>
      <c r="T114" s="677">
        <v>1</v>
      </c>
      <c r="U114" s="303">
        <v>0</v>
      </c>
      <c r="V114" s="686"/>
      <c r="W114" s="572">
        <v>0</v>
      </c>
      <c r="X114" s="572"/>
      <c r="Y114" s="572">
        <v>1</v>
      </c>
      <c r="Z114" s="572"/>
      <c r="AA114" s="572">
        <v>0</v>
      </c>
      <c r="AB114" s="572"/>
      <c r="AC114" s="665"/>
      <c r="AD114" s="665"/>
      <c r="AE114" s="665"/>
      <c r="AF114" s="665"/>
      <c r="AG114" s="306"/>
      <c r="AH114" s="307"/>
      <c r="AI114" s="308"/>
      <c r="AJ114" s="308"/>
      <c r="AK114" s="308"/>
      <c r="AL114" s="308"/>
      <c r="AM114" s="267" t="s">
        <v>2594</v>
      </c>
      <c r="AN114" s="507"/>
      <c r="AO114" s="525"/>
      <c r="AP114" s="310"/>
      <c r="AQ114" s="310"/>
      <c r="AR114" s="310"/>
      <c r="AS114" s="310"/>
      <c r="AT114" s="310"/>
      <c r="AU114" s="310"/>
      <c r="AV114" s="544">
        <f t="shared" si="30"/>
        <v>0</v>
      </c>
      <c r="AW114" s="525"/>
      <c r="AX114" s="310"/>
      <c r="AY114" s="310"/>
      <c r="AZ114" s="310"/>
      <c r="BA114" s="310"/>
      <c r="BB114" s="310"/>
      <c r="BC114" s="310"/>
      <c r="BD114" s="544">
        <f t="shared" si="45"/>
        <v>0</v>
      </c>
      <c r="BE114" s="525"/>
      <c r="BF114" s="310"/>
      <c r="BG114" s="310"/>
      <c r="BH114" s="310"/>
      <c r="BI114" s="310"/>
      <c r="BJ114" s="310"/>
      <c r="BK114" s="310"/>
      <c r="BL114" s="544">
        <f t="shared" si="46"/>
        <v>0</v>
      </c>
      <c r="BM114" s="525"/>
      <c r="BN114" s="310"/>
      <c r="BO114" s="310"/>
      <c r="BP114" s="310"/>
      <c r="BQ114" s="310"/>
      <c r="BR114" s="310"/>
      <c r="BS114" s="310"/>
      <c r="BT114" s="544">
        <f t="shared" si="47"/>
        <v>0</v>
      </c>
      <c r="BU114" s="556"/>
      <c r="BV114" s="663">
        <f t="shared" si="31"/>
        <v>0</v>
      </c>
      <c r="BW114" s="674">
        <f t="shared" si="32"/>
        <v>0</v>
      </c>
      <c r="BX114" s="835" t="e">
        <f t="shared" si="33"/>
        <v>#DIV/0!</v>
      </c>
      <c r="BY114" s="674" t="e">
        <f t="shared" si="34"/>
        <v>#DIV/0!</v>
      </c>
      <c r="BZ114" s="675">
        <f t="shared" si="35"/>
        <v>0</v>
      </c>
      <c r="CA114" s="675" t="e">
        <f t="shared" si="36"/>
        <v>#DIV/0!</v>
      </c>
    </row>
    <row r="115" spans="1:79" ht="63" customHeight="1" x14ac:dyDescent="0.3">
      <c r="A115" s="298" t="s">
        <v>346</v>
      </c>
      <c r="B115" s="299" t="str">
        <f>'PLAN INDICATIVO'!B112</f>
        <v>Vivienda</v>
      </c>
      <c r="C115" s="1548"/>
      <c r="D115" s="1549"/>
      <c r="E115" s="1549"/>
      <c r="F115" s="1549"/>
      <c r="G115" s="1549"/>
      <c r="H115" s="1549"/>
      <c r="I115" s="300">
        <f>'PLAN INDICATIVO'!I112</f>
        <v>0</v>
      </c>
      <c r="J115" s="300">
        <f>'PLAN INDICATIVO'!J112</f>
        <v>0</v>
      </c>
      <c r="K115" s="1425" t="str">
        <f>'PLAN INDICATIVO'!K112</f>
        <v>A.7.1.5</v>
      </c>
      <c r="L115" s="1425" t="str">
        <f>'PLAN INDICATIVO'!L112</f>
        <v>11. Ciudades y comunidades sostenibles</v>
      </c>
      <c r="M115" s="1425" t="str">
        <f>'PLAN INDICATIVO'!M112</f>
        <v>departamento Municipal de Planeación</v>
      </c>
      <c r="N115" s="1425" t="s">
        <v>2687</v>
      </c>
      <c r="O115" s="1425" t="str">
        <f>'PLAN INDICATIVO'!O112</f>
        <v>Incremento</v>
      </c>
      <c r="P115" s="16" t="str">
        <f>'PLAN INDICATIVO'!P112</f>
        <v>Realizar 5 capacitaciones  a familias,  durante el cuatrienio, en el tema de "créditos de vivienda".</v>
      </c>
      <c r="Q115" s="302" t="str">
        <f>'PLAN INDICATIVO'!Q112</f>
        <v>No. de capacitaciones realizadas</v>
      </c>
      <c r="R115" s="303">
        <f>'PLAN INDICATIVO'!R112</f>
        <v>2015</v>
      </c>
      <c r="S115" s="304">
        <v>0</v>
      </c>
      <c r="T115" s="677">
        <v>8</v>
      </c>
      <c r="U115" s="303">
        <v>1</v>
      </c>
      <c r="V115" s="686"/>
      <c r="W115" s="572">
        <v>3</v>
      </c>
      <c r="X115" s="687">
        <v>500000</v>
      </c>
      <c r="Y115" s="572">
        <v>2</v>
      </c>
      <c r="Z115" s="572"/>
      <c r="AA115" s="572">
        <v>2</v>
      </c>
      <c r="AB115" s="572"/>
      <c r="AC115" s="837">
        <v>0</v>
      </c>
      <c r="AD115" s="665"/>
      <c r="AE115" s="665"/>
      <c r="AF115" s="665"/>
      <c r="AG115" s="306"/>
      <c r="AH115" s="307" t="s">
        <v>2690</v>
      </c>
      <c r="AI115" s="308" t="s">
        <v>2691</v>
      </c>
      <c r="AJ115" s="308" t="s">
        <v>2692</v>
      </c>
      <c r="AK115" s="308"/>
      <c r="AL115" s="308"/>
      <c r="AM115" s="267" t="s">
        <v>2600</v>
      </c>
      <c r="AN115" s="507">
        <v>230703</v>
      </c>
      <c r="AO115" s="525"/>
      <c r="AP115" s="310"/>
      <c r="AQ115" s="310"/>
      <c r="AR115" s="310"/>
      <c r="AS115" s="310"/>
      <c r="AT115" s="310"/>
      <c r="AU115" s="310"/>
      <c r="AV115" s="544">
        <f t="shared" si="30"/>
        <v>0</v>
      </c>
      <c r="AW115" s="525"/>
      <c r="AX115" s="310"/>
      <c r="AY115" s="310"/>
      <c r="AZ115" s="310"/>
      <c r="BA115" s="310"/>
      <c r="BB115" s="310"/>
      <c r="BC115" s="310"/>
      <c r="BD115" s="544">
        <f t="shared" si="45"/>
        <v>0</v>
      </c>
      <c r="BE115" s="525"/>
      <c r="BF115" s="310"/>
      <c r="BG115" s="310"/>
      <c r="BH115" s="310"/>
      <c r="BI115" s="310"/>
      <c r="BJ115" s="310"/>
      <c r="BK115" s="310"/>
      <c r="BL115" s="544">
        <f t="shared" si="46"/>
        <v>0</v>
      </c>
      <c r="BM115" s="525"/>
      <c r="BN115" s="310"/>
      <c r="BO115" s="310"/>
      <c r="BP115" s="310"/>
      <c r="BQ115" s="310"/>
      <c r="BR115" s="310"/>
      <c r="BS115" s="310"/>
      <c r="BT115" s="544">
        <f t="shared" si="47"/>
        <v>0</v>
      </c>
      <c r="BU115" s="556"/>
      <c r="BV115" s="663">
        <f t="shared" si="31"/>
        <v>0</v>
      </c>
      <c r="BW115" s="674">
        <f t="shared" si="32"/>
        <v>0</v>
      </c>
      <c r="BX115" s="867">
        <f t="shared" si="33"/>
        <v>0</v>
      </c>
      <c r="BY115" s="674">
        <f t="shared" si="34"/>
        <v>0</v>
      </c>
      <c r="BZ115" s="675">
        <f t="shared" si="35"/>
        <v>0</v>
      </c>
      <c r="CA115" s="675">
        <f t="shared" si="36"/>
        <v>0</v>
      </c>
    </row>
    <row r="116" spans="1:79" ht="18" hidden="1" x14ac:dyDescent="0.25">
      <c r="A116" s="295" t="s">
        <v>346</v>
      </c>
      <c r="B116" s="24" t="str">
        <f>'PLAN INDICATIVO'!B113</f>
        <v>Vivienda</v>
      </c>
      <c r="C116" s="1574" t="s">
        <v>368</v>
      </c>
      <c r="D116" s="1575"/>
      <c r="E116" s="1575"/>
      <c r="F116" s="1575"/>
      <c r="G116" s="1575"/>
      <c r="H116" s="1575"/>
      <c r="I116" s="1575"/>
      <c r="J116" s="1575"/>
      <c r="K116" s="1575"/>
      <c r="L116" s="1575"/>
      <c r="M116" s="1575"/>
      <c r="N116" s="1575"/>
      <c r="O116" s="1576"/>
      <c r="P116" s="22"/>
      <c r="Q116" s="22"/>
      <c r="R116" s="1"/>
      <c r="S116" s="261"/>
      <c r="T116" s="681"/>
      <c r="U116" s="261"/>
      <c r="V116" s="689">
        <f>V117+V118+V119+V120</f>
        <v>114000000</v>
      </c>
      <c r="W116" s="261"/>
      <c r="X116" s="689">
        <f>X117+X118+X119+X120</f>
        <v>519000000</v>
      </c>
      <c r="Y116" s="261"/>
      <c r="Z116" s="689">
        <f>Z117+Z118+Z119+Z120</f>
        <v>21000000</v>
      </c>
      <c r="AA116" s="262"/>
      <c r="AB116" s="690">
        <f>AB117+AB118+AB119+AB120</f>
        <v>22500000</v>
      </c>
      <c r="AC116" s="262"/>
      <c r="AD116" s="262"/>
      <c r="AE116" s="262"/>
      <c r="AF116" s="262"/>
      <c r="AG116" s="263"/>
      <c r="AH116" s="263"/>
      <c r="AI116" s="262"/>
      <c r="AJ116" s="262"/>
      <c r="AK116" s="262"/>
      <c r="AL116" s="262"/>
      <c r="AM116" s="262"/>
      <c r="AN116" s="612"/>
      <c r="AO116" s="616" t="e">
        <f>(AO117:AO120)</f>
        <v>#VALUE!</v>
      </c>
      <c r="AP116" s="616" t="e">
        <f t="shared" ref="AP116:AU116" si="56">(AP117:AP120)</f>
        <v>#VALUE!</v>
      </c>
      <c r="AQ116" s="616" t="e">
        <f t="shared" si="56"/>
        <v>#VALUE!</v>
      </c>
      <c r="AR116" s="616" t="e">
        <f t="shared" si="56"/>
        <v>#VALUE!</v>
      </c>
      <c r="AS116" s="616" t="e">
        <f t="shared" si="56"/>
        <v>#VALUE!</v>
      </c>
      <c r="AT116" s="616" t="e">
        <f t="shared" si="56"/>
        <v>#VALUE!</v>
      </c>
      <c r="AU116" s="616" t="e">
        <f t="shared" si="56"/>
        <v>#VALUE!</v>
      </c>
      <c r="AV116" s="617" t="e">
        <f t="shared" si="30"/>
        <v>#VALUE!</v>
      </c>
      <c r="AW116" s="616" t="e">
        <f t="shared" ref="AW116:BC116" si="57">(AW117:AW120)</f>
        <v>#VALUE!</v>
      </c>
      <c r="AX116" s="616" t="e">
        <f t="shared" si="57"/>
        <v>#VALUE!</v>
      </c>
      <c r="AY116" s="616" t="e">
        <f t="shared" si="57"/>
        <v>#VALUE!</v>
      </c>
      <c r="AZ116" s="616" t="e">
        <f t="shared" si="57"/>
        <v>#VALUE!</v>
      </c>
      <c r="BA116" s="616" t="e">
        <f t="shared" si="57"/>
        <v>#VALUE!</v>
      </c>
      <c r="BB116" s="616" t="e">
        <f t="shared" si="57"/>
        <v>#VALUE!</v>
      </c>
      <c r="BC116" s="616" t="e">
        <f t="shared" si="57"/>
        <v>#VALUE!</v>
      </c>
      <c r="BD116" s="617" t="e">
        <f t="shared" si="45"/>
        <v>#VALUE!</v>
      </c>
      <c r="BE116" s="616" t="e">
        <f t="shared" ref="BE116:BK116" si="58">(BE117:BE120)</f>
        <v>#VALUE!</v>
      </c>
      <c r="BF116" s="616" t="e">
        <f t="shared" si="58"/>
        <v>#VALUE!</v>
      </c>
      <c r="BG116" s="616" t="e">
        <f t="shared" si="58"/>
        <v>#VALUE!</v>
      </c>
      <c r="BH116" s="616" t="e">
        <f t="shared" si="58"/>
        <v>#VALUE!</v>
      </c>
      <c r="BI116" s="616" t="e">
        <f t="shared" si="58"/>
        <v>#VALUE!</v>
      </c>
      <c r="BJ116" s="616" t="e">
        <f t="shared" si="58"/>
        <v>#VALUE!</v>
      </c>
      <c r="BK116" s="616" t="e">
        <f t="shared" si="58"/>
        <v>#VALUE!</v>
      </c>
      <c r="BL116" s="617" t="e">
        <f t="shared" si="46"/>
        <v>#VALUE!</v>
      </c>
      <c r="BM116" s="616" t="e">
        <f t="shared" ref="BM116:BS116" si="59">(BM117:BM120)</f>
        <v>#VALUE!</v>
      </c>
      <c r="BN116" s="616" t="e">
        <f t="shared" si="59"/>
        <v>#VALUE!</v>
      </c>
      <c r="BO116" s="616" t="e">
        <f t="shared" si="59"/>
        <v>#VALUE!</v>
      </c>
      <c r="BP116" s="616" t="e">
        <f t="shared" si="59"/>
        <v>#VALUE!</v>
      </c>
      <c r="BQ116" s="616" t="e">
        <f t="shared" si="59"/>
        <v>#VALUE!</v>
      </c>
      <c r="BR116" s="616" t="e">
        <f t="shared" si="59"/>
        <v>#VALUE!</v>
      </c>
      <c r="BS116" s="616" t="e">
        <f t="shared" si="59"/>
        <v>#VALUE!</v>
      </c>
      <c r="BT116" s="617" t="e">
        <f t="shared" si="47"/>
        <v>#VALUE!</v>
      </c>
      <c r="BU116" s="556"/>
      <c r="BV116" s="663">
        <f t="shared" si="31"/>
        <v>0</v>
      </c>
      <c r="BW116" s="674" t="e">
        <f t="shared" si="32"/>
        <v>#DIV/0!</v>
      </c>
      <c r="BX116" s="867" t="e">
        <f t="shared" si="33"/>
        <v>#DIV/0!</v>
      </c>
      <c r="BY116" s="674" t="e">
        <f t="shared" si="34"/>
        <v>#DIV/0!</v>
      </c>
      <c r="BZ116" s="675" t="e">
        <f t="shared" si="35"/>
        <v>#DIV/0!</v>
      </c>
      <c r="CA116" s="675" t="e">
        <f t="shared" si="36"/>
        <v>#DIV/0!</v>
      </c>
    </row>
    <row r="117" spans="1:79" ht="98.25" customHeight="1" x14ac:dyDescent="0.3">
      <c r="A117" s="298" t="s">
        <v>346</v>
      </c>
      <c r="B117" s="299" t="str">
        <f>'PLAN INDICATIVO'!B114</f>
        <v>Vivienda</v>
      </c>
      <c r="C117" s="1546" t="s">
        <v>369</v>
      </c>
      <c r="D117" s="1549" t="s">
        <v>370</v>
      </c>
      <c r="E117" s="1549" t="s">
        <v>371</v>
      </c>
      <c r="F117" s="1549">
        <v>2015</v>
      </c>
      <c r="G117" s="1549">
        <v>18.899999999999999</v>
      </c>
      <c r="H117" s="1549">
        <v>16.399999999999999</v>
      </c>
      <c r="I117" s="1425" t="str">
        <f>'PLAN INDICATIVO'!I114</f>
        <v>SI</v>
      </c>
      <c r="J117" s="1425">
        <f>'PLAN INDICATIVO'!J114</f>
        <v>0</v>
      </c>
      <c r="K117" s="1425" t="str">
        <f>'PLAN INDICATIVO'!K114</f>
        <v>A.7.2.1</v>
      </c>
      <c r="L117" s="1425" t="str">
        <f>'PLAN INDICATIVO'!L114</f>
        <v>11. Ciudades y comunidades sostenibles</v>
      </c>
      <c r="M117" s="1425" t="str">
        <f>'PLAN INDICATIVO'!M114</f>
        <v>departamento Municipal de Planeación</v>
      </c>
      <c r="N117" s="1425" t="s">
        <v>2687</v>
      </c>
      <c r="O117" s="1425" t="str">
        <f>'PLAN INDICATIVO'!O114</f>
        <v>Incremento</v>
      </c>
      <c r="P117" s="16" t="str">
        <f>'PLAN INDICATIVO'!P114</f>
        <v>Construir 485 viviendas VIS o VIP,  durante el cuatrienio</v>
      </c>
      <c r="Q117" s="302" t="str">
        <f>'PLAN INDICATIVO'!Q114</f>
        <v>No. De viviendas construidas</v>
      </c>
      <c r="R117" s="303">
        <f>'PLAN INDICATIVO'!R114</f>
        <v>2015</v>
      </c>
      <c r="S117" s="304">
        <v>0</v>
      </c>
      <c r="T117" s="677">
        <v>485</v>
      </c>
      <c r="U117" s="303">
        <v>61</v>
      </c>
      <c r="V117" s="303"/>
      <c r="W117" s="572">
        <v>100</v>
      </c>
      <c r="X117" s="687">
        <v>218500000</v>
      </c>
      <c r="Y117" s="572">
        <v>100</v>
      </c>
      <c r="Z117" s="687">
        <v>21000000</v>
      </c>
      <c r="AA117" s="572">
        <v>100</v>
      </c>
      <c r="AB117" s="687">
        <v>22500000</v>
      </c>
      <c r="AC117" s="665">
        <f>30</f>
        <v>30</v>
      </c>
      <c r="AD117" s="665"/>
      <c r="AE117" s="665"/>
      <c r="AF117" s="665"/>
      <c r="AG117" s="306" t="s">
        <v>2693</v>
      </c>
      <c r="AH117" s="307" t="s">
        <v>2694</v>
      </c>
      <c r="AI117" s="308" t="s">
        <v>2695</v>
      </c>
      <c r="AJ117" s="308" t="s">
        <v>2696</v>
      </c>
      <c r="AK117" s="308"/>
      <c r="AL117" s="308"/>
      <c r="AM117" s="267" t="s">
        <v>2604</v>
      </c>
      <c r="AN117" s="507">
        <v>2307</v>
      </c>
      <c r="AO117" s="525"/>
      <c r="AP117" s="310"/>
      <c r="AQ117" s="310"/>
      <c r="AR117" s="310"/>
      <c r="AS117" s="310"/>
      <c r="AT117" s="310"/>
      <c r="AU117" s="310"/>
      <c r="AV117" s="544">
        <f t="shared" si="30"/>
        <v>0</v>
      </c>
      <c r="AW117" s="525"/>
      <c r="AX117" s="310"/>
      <c r="AY117" s="310"/>
      <c r="AZ117" s="310"/>
      <c r="BA117" s="310"/>
      <c r="BB117" s="310"/>
      <c r="BC117" s="310"/>
      <c r="BD117" s="544">
        <f t="shared" si="45"/>
        <v>0</v>
      </c>
      <c r="BE117" s="525"/>
      <c r="BF117" s="310"/>
      <c r="BG117" s="310"/>
      <c r="BH117" s="310"/>
      <c r="BI117" s="310"/>
      <c r="BJ117" s="310"/>
      <c r="BK117" s="310"/>
      <c r="BL117" s="544">
        <f t="shared" si="46"/>
        <v>0</v>
      </c>
      <c r="BM117" s="525"/>
      <c r="BN117" s="310"/>
      <c r="BO117" s="310"/>
      <c r="BP117" s="310"/>
      <c r="BQ117" s="310"/>
      <c r="BR117" s="310"/>
      <c r="BS117" s="310"/>
      <c r="BT117" s="544">
        <f t="shared" si="47"/>
        <v>0</v>
      </c>
      <c r="BU117" s="556"/>
      <c r="BV117" s="663">
        <f t="shared" si="31"/>
        <v>30</v>
      </c>
      <c r="BW117" s="674">
        <f t="shared" si="32"/>
        <v>6.1855670103092786E-2</v>
      </c>
      <c r="BX117" s="835">
        <f t="shared" si="33"/>
        <v>0.49180327868852458</v>
      </c>
      <c r="BY117" s="674">
        <f t="shared" si="34"/>
        <v>0</v>
      </c>
      <c r="BZ117" s="675">
        <f t="shared" si="35"/>
        <v>0</v>
      </c>
      <c r="CA117" s="675">
        <f t="shared" si="36"/>
        <v>0</v>
      </c>
    </row>
    <row r="118" spans="1:79" ht="61.5" customHeight="1" x14ac:dyDescent="0.3">
      <c r="A118" s="298" t="s">
        <v>346</v>
      </c>
      <c r="B118" s="299" t="str">
        <f>'PLAN INDICATIVO'!B115</f>
        <v>Vivienda</v>
      </c>
      <c r="C118" s="1547"/>
      <c r="D118" s="1549"/>
      <c r="E118" s="1549"/>
      <c r="F118" s="1549"/>
      <c r="G118" s="1549"/>
      <c r="H118" s="1549"/>
      <c r="I118" s="300">
        <f>'PLAN INDICATIVO'!I115</f>
        <v>0</v>
      </c>
      <c r="J118" s="300">
        <f>'PLAN INDICATIVO'!J115</f>
        <v>0</v>
      </c>
      <c r="K118" s="1425" t="str">
        <f>'PLAN INDICATIVO'!K115</f>
        <v>A.7.2.2</v>
      </c>
      <c r="L118" s="1425" t="str">
        <f>'PLAN INDICATIVO'!L115</f>
        <v>11. Ciudades y comunidades sostenibles</v>
      </c>
      <c r="M118" s="1425" t="str">
        <f>'PLAN INDICATIVO'!M115</f>
        <v>departamento Municipal de Planeación</v>
      </c>
      <c r="N118" s="1425" t="s">
        <v>2687</v>
      </c>
      <c r="O118" s="1425" t="str">
        <f>'PLAN INDICATIVO'!O115</f>
        <v>Incremento</v>
      </c>
      <c r="P118" s="16" t="str">
        <f>'PLAN INDICATIVO'!P115</f>
        <v>Apoyar 4 asociaciones de vivienda  del municipio para gestión de vivienda nueva, durante el cuatrienio</v>
      </c>
      <c r="Q118" s="302" t="str">
        <f>'PLAN INDICATIVO'!Q115</f>
        <v>No. De apoyos realizados</v>
      </c>
      <c r="R118" s="303">
        <f>'PLAN INDICATIVO'!R115</f>
        <v>2015</v>
      </c>
      <c r="S118" s="304">
        <v>0</v>
      </c>
      <c r="T118" s="677">
        <v>4</v>
      </c>
      <c r="U118" s="303">
        <v>0</v>
      </c>
      <c r="V118" s="303"/>
      <c r="W118" s="572">
        <v>2</v>
      </c>
      <c r="X118" s="687">
        <v>500000</v>
      </c>
      <c r="Y118" s="572">
        <v>1</v>
      </c>
      <c r="Z118" s="687"/>
      <c r="AA118" s="572">
        <v>1</v>
      </c>
      <c r="AB118" s="687"/>
      <c r="AC118" s="665"/>
      <c r="AD118" s="665"/>
      <c r="AE118" s="665"/>
      <c r="AF118" s="665"/>
      <c r="AG118" s="306"/>
      <c r="AH118" s="307"/>
      <c r="AI118" s="308"/>
      <c r="AJ118" s="308"/>
      <c r="AK118" s="308"/>
      <c r="AL118" s="308"/>
      <c r="AM118" s="267" t="s">
        <v>2594</v>
      </c>
      <c r="AN118" s="507"/>
      <c r="AO118" s="525"/>
      <c r="AP118" s="310"/>
      <c r="AQ118" s="310"/>
      <c r="AR118" s="310"/>
      <c r="AS118" s="310"/>
      <c r="AT118" s="310"/>
      <c r="AU118" s="310"/>
      <c r="AV118" s="544">
        <f t="shared" si="30"/>
        <v>0</v>
      </c>
      <c r="AW118" s="525"/>
      <c r="AX118" s="310"/>
      <c r="AY118" s="310"/>
      <c r="AZ118" s="310"/>
      <c r="BA118" s="310"/>
      <c r="BB118" s="310"/>
      <c r="BC118" s="310"/>
      <c r="BD118" s="544">
        <f t="shared" si="45"/>
        <v>0</v>
      </c>
      <c r="BE118" s="525"/>
      <c r="BF118" s="310"/>
      <c r="BG118" s="310"/>
      <c r="BH118" s="310"/>
      <c r="BI118" s="310"/>
      <c r="BJ118" s="310"/>
      <c r="BK118" s="310"/>
      <c r="BL118" s="544">
        <f t="shared" si="46"/>
        <v>0</v>
      </c>
      <c r="BM118" s="525"/>
      <c r="BN118" s="310"/>
      <c r="BO118" s="310"/>
      <c r="BP118" s="310"/>
      <c r="BQ118" s="310"/>
      <c r="BR118" s="310"/>
      <c r="BS118" s="310"/>
      <c r="BT118" s="544">
        <f t="shared" si="47"/>
        <v>0</v>
      </c>
      <c r="BU118" s="556"/>
      <c r="BV118" s="663">
        <f t="shared" si="31"/>
        <v>0</v>
      </c>
      <c r="BW118" s="674">
        <f t="shared" si="32"/>
        <v>0</v>
      </c>
      <c r="BX118" s="835" t="e">
        <f t="shared" si="33"/>
        <v>#DIV/0!</v>
      </c>
      <c r="BY118" s="674">
        <f t="shared" si="34"/>
        <v>0</v>
      </c>
      <c r="BZ118" s="675">
        <f t="shared" si="35"/>
        <v>0</v>
      </c>
      <c r="CA118" s="675">
        <f t="shared" si="36"/>
        <v>0</v>
      </c>
    </row>
    <row r="119" spans="1:79" ht="51" customHeight="1" x14ac:dyDescent="0.3">
      <c r="A119" s="298" t="s">
        <v>346</v>
      </c>
      <c r="B119" s="299" t="str">
        <f>'PLAN INDICATIVO'!B116</f>
        <v>Vivienda</v>
      </c>
      <c r="C119" s="1547"/>
      <c r="D119" s="1549"/>
      <c r="E119" s="1549"/>
      <c r="F119" s="1549"/>
      <c r="G119" s="1549"/>
      <c r="H119" s="1549"/>
      <c r="I119" s="300">
        <f>'PLAN INDICATIVO'!I116</f>
        <v>0</v>
      </c>
      <c r="J119" s="300">
        <f>'PLAN INDICATIVO'!J116</f>
        <v>0</v>
      </c>
      <c r="K119" s="1425" t="str">
        <f>'PLAN INDICATIVO'!K116</f>
        <v>A.7.2.3</v>
      </c>
      <c r="L119" s="1425" t="str">
        <f>'PLAN INDICATIVO'!L116</f>
        <v>11. Ciudades y comunidades sostenibles</v>
      </c>
      <c r="M119" s="1425" t="str">
        <f>'PLAN INDICATIVO'!M116</f>
        <v>departamento Municipal de Planeación</v>
      </c>
      <c r="N119" s="1425" t="s">
        <v>2687</v>
      </c>
      <c r="O119" s="1425" t="str">
        <f>'PLAN INDICATIVO'!O116</f>
        <v>Incremento</v>
      </c>
      <c r="P119" s="16" t="str">
        <f>'PLAN INDICATIVO'!P116</f>
        <v>Reubicar 50 familias localizadas en zonas de alto riesgo durante el cuatrienio</v>
      </c>
      <c r="Q119" s="302" t="str">
        <f>'PLAN INDICATIVO'!Q116</f>
        <v>No. De familias reubicadas</v>
      </c>
      <c r="R119" s="303">
        <f>'PLAN INDICATIVO'!R116</f>
        <v>2015</v>
      </c>
      <c r="S119" s="304">
        <v>0</v>
      </c>
      <c r="T119" s="677">
        <v>50</v>
      </c>
      <c r="U119" s="303">
        <v>50</v>
      </c>
      <c r="V119" s="303"/>
      <c r="W119" s="572">
        <v>0</v>
      </c>
      <c r="X119" s="687"/>
      <c r="Y119" s="572">
        <v>0</v>
      </c>
      <c r="Z119" s="687"/>
      <c r="AA119" s="572">
        <v>0</v>
      </c>
      <c r="AB119" s="687"/>
      <c r="AC119" s="665">
        <v>50</v>
      </c>
      <c r="AD119" s="665"/>
      <c r="AE119" s="665"/>
      <c r="AF119" s="665"/>
      <c r="AG119" s="306" t="s">
        <v>2697</v>
      </c>
      <c r="AH119" s="307" t="s">
        <v>2698</v>
      </c>
      <c r="AI119" s="335">
        <v>37257</v>
      </c>
      <c r="AJ119" s="335">
        <v>38504</v>
      </c>
      <c r="AK119" s="308"/>
      <c r="AL119" s="308"/>
      <c r="AM119" s="267" t="s">
        <v>2598</v>
      </c>
      <c r="AN119" s="507">
        <v>2307</v>
      </c>
      <c r="AO119" s="525"/>
      <c r="AP119" s="310"/>
      <c r="AQ119" s="310"/>
      <c r="AR119" s="310"/>
      <c r="AS119" s="310"/>
      <c r="AT119" s="310"/>
      <c r="AU119" s="310"/>
      <c r="AV119" s="544">
        <f t="shared" si="30"/>
        <v>0</v>
      </c>
      <c r="AW119" s="525"/>
      <c r="AX119" s="310"/>
      <c r="AY119" s="310"/>
      <c r="AZ119" s="310"/>
      <c r="BA119" s="310"/>
      <c r="BB119" s="310"/>
      <c r="BC119" s="310"/>
      <c r="BD119" s="544">
        <f t="shared" si="45"/>
        <v>0</v>
      </c>
      <c r="BE119" s="525"/>
      <c r="BF119" s="310"/>
      <c r="BG119" s="310"/>
      <c r="BH119" s="310"/>
      <c r="BI119" s="310"/>
      <c r="BJ119" s="310"/>
      <c r="BK119" s="310"/>
      <c r="BL119" s="544">
        <f t="shared" si="46"/>
        <v>0</v>
      </c>
      <c r="BM119" s="525"/>
      <c r="BN119" s="310"/>
      <c r="BO119" s="310"/>
      <c r="BP119" s="310"/>
      <c r="BQ119" s="310"/>
      <c r="BR119" s="310"/>
      <c r="BS119" s="310"/>
      <c r="BT119" s="544">
        <f t="shared" si="47"/>
        <v>0</v>
      </c>
      <c r="BU119" s="556"/>
      <c r="BV119" s="663">
        <f t="shared" si="31"/>
        <v>50</v>
      </c>
      <c r="BW119" s="674">
        <f t="shared" si="32"/>
        <v>1</v>
      </c>
      <c r="BX119" s="835">
        <f t="shared" si="33"/>
        <v>1</v>
      </c>
      <c r="BY119" s="674" t="e">
        <f t="shared" si="34"/>
        <v>#DIV/0!</v>
      </c>
      <c r="BZ119" s="675" t="e">
        <f t="shared" si="35"/>
        <v>#DIV/0!</v>
      </c>
      <c r="CA119" s="675" t="e">
        <f t="shared" si="36"/>
        <v>#DIV/0!</v>
      </c>
    </row>
    <row r="120" spans="1:79" ht="112.5" customHeight="1" x14ac:dyDescent="0.3">
      <c r="A120" s="298" t="s">
        <v>346</v>
      </c>
      <c r="B120" s="299" t="str">
        <f>'PLAN INDICATIVO'!B117</f>
        <v>Vivienda</v>
      </c>
      <c r="C120" s="1548"/>
      <c r="D120" s="1549"/>
      <c r="E120" s="1549"/>
      <c r="F120" s="1549"/>
      <c r="G120" s="1549"/>
      <c r="H120" s="1549"/>
      <c r="I120" s="1425" t="str">
        <f>'PLAN INDICATIVO'!I117</f>
        <v>SI</v>
      </c>
      <c r="J120" s="1425">
        <f>'PLAN INDICATIVO'!J117</f>
        <v>0</v>
      </c>
      <c r="K120" s="1425" t="str">
        <f>'PLAN INDICATIVO'!K117</f>
        <v>A.7.2.4</v>
      </c>
      <c r="L120" s="1425" t="str">
        <f>'PLAN INDICATIVO'!L117</f>
        <v>11. Ciudades y comunidades sostenibles</v>
      </c>
      <c r="M120" s="1425" t="str">
        <f>'PLAN INDICATIVO'!M117</f>
        <v>departamento Municipal de Planeación</v>
      </c>
      <c r="N120" s="1425" t="s">
        <v>2687</v>
      </c>
      <c r="O120" s="1425" t="str">
        <f>'PLAN INDICATIVO'!O117</f>
        <v>Incremento</v>
      </c>
      <c r="P120" s="16" t="str">
        <f>'PLAN INDICATIVO'!P117</f>
        <v>Adquirir 2 hectáreas de terreno o habilitar este mismo número de hectáreas con servicios públicos, durante el cuatrienio</v>
      </c>
      <c r="Q120" s="302" t="str">
        <f>'PLAN INDICATIVO'!Q117</f>
        <v>No. De Has. De terreno habilitados</v>
      </c>
      <c r="R120" s="303">
        <f>'PLAN INDICATIVO'!R117</f>
        <v>2015</v>
      </c>
      <c r="S120" s="304">
        <v>0</v>
      </c>
      <c r="T120" s="677">
        <v>2</v>
      </c>
      <c r="U120" s="303">
        <v>1</v>
      </c>
      <c r="V120" s="687">
        <v>114000000</v>
      </c>
      <c r="W120" s="572">
        <v>1</v>
      </c>
      <c r="X120" s="687">
        <v>300000000</v>
      </c>
      <c r="Y120" s="572">
        <v>0</v>
      </c>
      <c r="Z120" s="687"/>
      <c r="AA120" s="572">
        <v>0</v>
      </c>
      <c r="AB120" s="687"/>
      <c r="AC120" s="665">
        <v>3</v>
      </c>
      <c r="AD120" s="665"/>
      <c r="AE120" s="665"/>
      <c r="AF120" s="665"/>
      <c r="AG120" s="306" t="s">
        <v>2699</v>
      </c>
      <c r="AH120" s="307" t="s">
        <v>2700</v>
      </c>
      <c r="AI120" s="335">
        <v>42064</v>
      </c>
      <c r="AJ120" s="335">
        <v>11202</v>
      </c>
      <c r="AK120" s="308" t="s">
        <v>2701</v>
      </c>
      <c r="AL120" s="308" t="s">
        <v>2702</v>
      </c>
      <c r="AM120" s="501" t="s">
        <v>2598</v>
      </c>
      <c r="AN120" s="511">
        <v>230707</v>
      </c>
      <c r="AO120" s="525"/>
      <c r="AP120" s="310"/>
      <c r="AQ120" s="310"/>
      <c r="AR120" s="310"/>
      <c r="AS120" s="310"/>
      <c r="AT120" s="310"/>
      <c r="AU120" s="310"/>
      <c r="AV120" s="544">
        <f t="shared" si="30"/>
        <v>0</v>
      </c>
      <c r="AW120" s="525"/>
      <c r="AX120" s="310"/>
      <c r="AY120" s="310"/>
      <c r="AZ120" s="310"/>
      <c r="BA120" s="310"/>
      <c r="BB120" s="310"/>
      <c r="BC120" s="310"/>
      <c r="BD120" s="544">
        <f t="shared" si="45"/>
        <v>0</v>
      </c>
      <c r="BE120" s="525"/>
      <c r="BF120" s="310"/>
      <c r="BG120" s="310"/>
      <c r="BH120" s="310"/>
      <c r="BI120" s="310"/>
      <c r="BJ120" s="310"/>
      <c r="BK120" s="310"/>
      <c r="BL120" s="544">
        <f t="shared" si="46"/>
        <v>0</v>
      </c>
      <c r="BM120" s="525"/>
      <c r="BN120" s="310"/>
      <c r="BO120" s="310"/>
      <c r="BP120" s="310"/>
      <c r="BQ120" s="310"/>
      <c r="BR120" s="310"/>
      <c r="BS120" s="310"/>
      <c r="BT120" s="544">
        <f t="shared" si="47"/>
        <v>0</v>
      </c>
      <c r="BU120" s="556"/>
      <c r="BV120" s="663">
        <f t="shared" si="31"/>
        <v>3</v>
      </c>
      <c r="BW120" s="674">
        <f t="shared" si="32"/>
        <v>1.5</v>
      </c>
      <c r="BX120" s="835">
        <f t="shared" si="33"/>
        <v>3</v>
      </c>
      <c r="BY120" s="674">
        <f t="shared" si="34"/>
        <v>0</v>
      </c>
      <c r="BZ120" s="675" t="e">
        <f t="shared" si="35"/>
        <v>#DIV/0!</v>
      </c>
      <c r="CA120" s="675" t="e">
        <f t="shared" si="36"/>
        <v>#DIV/0!</v>
      </c>
    </row>
    <row r="121" spans="1:79" ht="15" hidden="1" x14ac:dyDescent="0.25">
      <c r="A121" s="151"/>
      <c r="B121" s="7" t="e">
        <f>'PLAN INDICATIVO'!#REF!</f>
        <v>#REF!</v>
      </c>
      <c r="C121" s="7"/>
      <c r="D121" s="1442"/>
      <c r="E121" s="1442"/>
      <c r="F121" s="1442"/>
      <c r="G121" s="1442"/>
      <c r="H121" s="1442"/>
      <c r="I121" s="1442"/>
      <c r="J121" s="1442"/>
      <c r="K121" s="1442"/>
      <c r="L121" s="1442"/>
      <c r="M121" s="1442"/>
      <c r="N121" s="1442"/>
      <c r="O121" s="1442"/>
      <c r="P121" s="1440"/>
      <c r="Q121" s="1440"/>
      <c r="R121" s="1442"/>
      <c r="S121" s="265"/>
      <c r="T121" s="677"/>
      <c r="U121" s="265"/>
      <c r="V121" s="265"/>
      <c r="W121" s="265"/>
      <c r="X121" s="265"/>
      <c r="Y121" s="265"/>
      <c r="Z121" s="265"/>
      <c r="AA121" s="268"/>
      <c r="AB121" s="268"/>
      <c r="AC121" s="268"/>
      <c r="AD121" s="268"/>
      <c r="AE121" s="268"/>
      <c r="AF121" s="268"/>
      <c r="AG121" s="269"/>
      <c r="AH121" s="269"/>
      <c r="AI121" s="268"/>
      <c r="AJ121" s="268"/>
      <c r="AK121" s="268"/>
      <c r="AL121" s="268"/>
      <c r="AM121" s="268"/>
      <c r="AN121" s="507"/>
      <c r="AO121" s="525"/>
      <c r="AP121" s="310"/>
      <c r="AQ121" s="310"/>
      <c r="AR121" s="310"/>
      <c r="AS121" s="310"/>
      <c r="AT121" s="310"/>
      <c r="AU121" s="310"/>
      <c r="AV121" s="544">
        <f t="shared" si="30"/>
        <v>0</v>
      </c>
      <c r="AW121" s="525"/>
      <c r="AX121" s="310"/>
      <c r="AY121" s="310"/>
      <c r="AZ121" s="310"/>
      <c r="BA121" s="310"/>
      <c r="BB121" s="310"/>
      <c r="BC121" s="310"/>
      <c r="BD121" s="544">
        <f t="shared" si="45"/>
        <v>0</v>
      </c>
      <c r="BE121" s="525"/>
      <c r="BF121" s="310"/>
      <c r="BG121" s="310"/>
      <c r="BH121" s="310"/>
      <c r="BI121" s="310"/>
      <c r="BJ121" s="310"/>
      <c r="BK121" s="310"/>
      <c r="BL121" s="544">
        <f t="shared" si="46"/>
        <v>0</v>
      </c>
      <c r="BM121" s="525"/>
      <c r="BN121" s="310"/>
      <c r="BO121" s="310"/>
      <c r="BP121" s="310"/>
      <c r="BQ121" s="310"/>
      <c r="BR121" s="310"/>
      <c r="BS121" s="310"/>
      <c r="BT121" s="544">
        <f t="shared" si="47"/>
        <v>0</v>
      </c>
      <c r="BU121" s="556"/>
      <c r="BV121" s="663">
        <f t="shared" si="31"/>
        <v>0</v>
      </c>
      <c r="BW121" s="674" t="e">
        <f t="shared" si="32"/>
        <v>#DIV/0!</v>
      </c>
      <c r="BX121" s="835" t="e">
        <f t="shared" si="33"/>
        <v>#DIV/0!</v>
      </c>
      <c r="BY121" s="674" t="e">
        <f t="shared" si="34"/>
        <v>#DIV/0!</v>
      </c>
      <c r="BZ121" s="675" t="e">
        <f t="shared" si="35"/>
        <v>#DIV/0!</v>
      </c>
      <c r="CA121" s="675" t="e">
        <f t="shared" si="36"/>
        <v>#DIV/0!</v>
      </c>
    </row>
    <row r="122" spans="1:79" ht="28.5" hidden="1" thickBot="1" x14ac:dyDescent="0.3">
      <c r="A122" s="1608" t="s">
        <v>2703</v>
      </c>
      <c r="B122" s="1609"/>
      <c r="C122" s="1609"/>
      <c r="D122" s="1609"/>
      <c r="E122" s="1609"/>
      <c r="F122" s="1609"/>
      <c r="G122" s="1609"/>
      <c r="H122" s="1609"/>
      <c r="I122" s="1609"/>
      <c r="J122" s="1609"/>
      <c r="K122" s="1609"/>
      <c r="L122" s="1609"/>
      <c r="M122" s="1609"/>
      <c r="N122" s="1609"/>
      <c r="O122" s="1609"/>
      <c r="P122" s="1609"/>
      <c r="Q122" s="1609"/>
      <c r="R122" s="1609"/>
      <c r="S122" s="1609"/>
      <c r="T122" s="1609"/>
      <c r="U122" s="1609"/>
      <c r="V122" s="1609"/>
      <c r="W122" s="1609"/>
      <c r="X122" s="1609"/>
      <c r="Y122" s="1609"/>
      <c r="Z122" s="1609"/>
      <c r="AA122" s="1609"/>
      <c r="AB122" s="1609"/>
      <c r="AC122" s="1609"/>
      <c r="AD122" s="1609"/>
      <c r="AE122" s="1609"/>
      <c r="AF122" s="1609"/>
      <c r="AG122" s="1609"/>
      <c r="AH122" s="1609"/>
      <c r="AI122" s="1609"/>
      <c r="AJ122" s="1609"/>
      <c r="AK122" s="1609"/>
      <c r="AL122" s="1610"/>
      <c r="AM122" s="260"/>
      <c r="AN122" s="506"/>
      <c r="AO122" s="524"/>
      <c r="AP122" s="374"/>
      <c r="AQ122" s="374"/>
      <c r="AR122" s="374"/>
      <c r="AS122" s="374"/>
      <c r="AT122" s="374"/>
      <c r="AU122" s="374"/>
      <c r="AV122" s="544">
        <f t="shared" si="30"/>
        <v>0</v>
      </c>
      <c r="AW122" s="524"/>
      <c r="AX122" s="374"/>
      <c r="AY122" s="374"/>
      <c r="AZ122" s="374"/>
      <c r="BA122" s="374"/>
      <c r="BB122" s="374"/>
      <c r="BC122" s="374"/>
      <c r="BD122" s="544">
        <f t="shared" si="45"/>
        <v>0</v>
      </c>
      <c r="BE122" s="524"/>
      <c r="BF122" s="374"/>
      <c r="BG122" s="374"/>
      <c r="BH122" s="374"/>
      <c r="BI122" s="374"/>
      <c r="BJ122" s="374"/>
      <c r="BK122" s="374"/>
      <c r="BL122" s="544">
        <f t="shared" si="46"/>
        <v>0</v>
      </c>
      <c r="BM122" s="524"/>
      <c r="BN122" s="374"/>
      <c r="BO122" s="374"/>
      <c r="BP122" s="374"/>
      <c r="BQ122" s="374"/>
      <c r="BR122" s="374"/>
      <c r="BS122" s="374"/>
      <c r="BT122" s="544">
        <f t="shared" si="47"/>
        <v>0</v>
      </c>
      <c r="BU122" s="556"/>
      <c r="BV122" s="663">
        <f t="shared" si="31"/>
        <v>0</v>
      </c>
      <c r="BW122" s="674" t="e">
        <f t="shared" si="32"/>
        <v>#DIV/0!</v>
      </c>
      <c r="BX122" s="835" t="e">
        <f t="shared" si="33"/>
        <v>#DIV/0!</v>
      </c>
      <c r="BY122" s="674" t="e">
        <f t="shared" si="34"/>
        <v>#DIV/0!</v>
      </c>
      <c r="BZ122" s="675" t="e">
        <f t="shared" si="35"/>
        <v>#DIV/0!</v>
      </c>
      <c r="CA122" s="675" t="e">
        <f t="shared" si="36"/>
        <v>#DIV/0!</v>
      </c>
    </row>
    <row r="123" spans="1:79" ht="18" hidden="1" x14ac:dyDescent="0.25">
      <c r="A123" s="296"/>
      <c r="B123" s="24" t="str">
        <f>'PLAN INDICATIVO'!B119</f>
        <v>APSB</v>
      </c>
      <c r="C123" s="1592" t="s">
        <v>385</v>
      </c>
      <c r="D123" s="1593"/>
      <c r="E123" s="1593"/>
      <c r="F123" s="1593"/>
      <c r="G123" s="1593"/>
      <c r="H123" s="1593"/>
      <c r="I123" s="1593"/>
      <c r="J123" s="1593"/>
      <c r="K123" s="1593"/>
      <c r="L123" s="1593"/>
      <c r="M123" s="1593"/>
      <c r="N123" s="1593"/>
      <c r="O123" s="1594"/>
      <c r="P123" s="22"/>
      <c r="Q123" s="22"/>
      <c r="R123" s="1"/>
      <c r="S123" s="261"/>
      <c r="T123" s="681"/>
      <c r="U123" s="691"/>
      <c r="V123" s="693">
        <f>V124+V125+V126+V127+V127+V128+V129+V130+V131+V132+V133+V134+V135+V136+V137</f>
        <v>796700000</v>
      </c>
      <c r="W123" s="691"/>
      <c r="X123" s="693">
        <f>X125+X126+X127+X128+X129+X130+X131+X132+X133+X134+X135+X136+X137</f>
        <v>1221730000</v>
      </c>
      <c r="Y123" s="691"/>
      <c r="Z123" s="693">
        <f>SUM(Z124:Z137)</f>
        <v>1403070000</v>
      </c>
      <c r="AA123" s="692"/>
      <c r="AB123" s="694">
        <f>SUM(AB124:AB137)</f>
        <v>1547400000</v>
      </c>
      <c r="AC123" s="262"/>
      <c r="AD123" s="262"/>
      <c r="AE123" s="262"/>
      <c r="AF123" s="262"/>
      <c r="AG123" s="263"/>
      <c r="AH123" s="263"/>
      <c r="AI123" s="262"/>
      <c r="AJ123" s="262"/>
      <c r="AK123" s="262"/>
      <c r="AL123" s="262"/>
      <c r="AM123" s="262"/>
      <c r="AN123" s="612"/>
      <c r="AO123" s="616" t="e">
        <f>(AO124:AO137)</f>
        <v>#VALUE!</v>
      </c>
      <c r="AP123" s="616" t="e">
        <f t="shared" ref="AP123:AU123" si="60">(AP124:AP137)</f>
        <v>#VALUE!</v>
      </c>
      <c r="AQ123" s="616" t="e">
        <f t="shared" si="60"/>
        <v>#VALUE!</v>
      </c>
      <c r="AR123" s="616" t="e">
        <f t="shared" si="60"/>
        <v>#VALUE!</v>
      </c>
      <c r="AS123" s="616" t="e">
        <f t="shared" si="60"/>
        <v>#VALUE!</v>
      </c>
      <c r="AT123" s="616" t="e">
        <f t="shared" si="60"/>
        <v>#VALUE!</v>
      </c>
      <c r="AU123" s="616" t="e">
        <f t="shared" si="60"/>
        <v>#VALUE!</v>
      </c>
      <c r="AV123" s="617" t="e">
        <f t="shared" si="30"/>
        <v>#VALUE!</v>
      </c>
      <c r="AW123" s="616" t="e">
        <f t="shared" ref="AW123:BC123" si="61">(AW124:AW137)</f>
        <v>#VALUE!</v>
      </c>
      <c r="AX123" s="616" t="e">
        <f t="shared" si="61"/>
        <v>#VALUE!</v>
      </c>
      <c r="AY123" s="616" t="e">
        <f t="shared" si="61"/>
        <v>#VALUE!</v>
      </c>
      <c r="AZ123" s="616" t="e">
        <f t="shared" si="61"/>
        <v>#VALUE!</v>
      </c>
      <c r="BA123" s="616" t="e">
        <f t="shared" si="61"/>
        <v>#VALUE!</v>
      </c>
      <c r="BB123" s="616" t="e">
        <f t="shared" si="61"/>
        <v>#VALUE!</v>
      </c>
      <c r="BC123" s="616" t="e">
        <f t="shared" si="61"/>
        <v>#VALUE!</v>
      </c>
      <c r="BD123" s="617" t="e">
        <f t="shared" si="45"/>
        <v>#VALUE!</v>
      </c>
      <c r="BE123" s="616" t="e">
        <f t="shared" ref="BE123:BK123" si="62">(BE124:BE137)</f>
        <v>#VALUE!</v>
      </c>
      <c r="BF123" s="616" t="e">
        <f t="shared" si="62"/>
        <v>#VALUE!</v>
      </c>
      <c r="BG123" s="616" t="e">
        <f t="shared" si="62"/>
        <v>#VALUE!</v>
      </c>
      <c r="BH123" s="616" t="e">
        <f t="shared" si="62"/>
        <v>#VALUE!</v>
      </c>
      <c r="BI123" s="616" t="e">
        <f t="shared" si="62"/>
        <v>#VALUE!</v>
      </c>
      <c r="BJ123" s="616" t="e">
        <f t="shared" si="62"/>
        <v>#VALUE!</v>
      </c>
      <c r="BK123" s="616" t="e">
        <f t="shared" si="62"/>
        <v>#VALUE!</v>
      </c>
      <c r="BL123" s="617" t="e">
        <f t="shared" si="46"/>
        <v>#VALUE!</v>
      </c>
      <c r="BM123" s="616" t="e">
        <f t="shared" ref="BM123:BS123" si="63">(BM124:BM137)</f>
        <v>#VALUE!</v>
      </c>
      <c r="BN123" s="616" t="e">
        <f t="shared" si="63"/>
        <v>#VALUE!</v>
      </c>
      <c r="BO123" s="616" t="e">
        <f t="shared" si="63"/>
        <v>#VALUE!</v>
      </c>
      <c r="BP123" s="616" t="e">
        <f t="shared" si="63"/>
        <v>#VALUE!</v>
      </c>
      <c r="BQ123" s="616" t="e">
        <f t="shared" si="63"/>
        <v>#VALUE!</v>
      </c>
      <c r="BR123" s="616" t="e">
        <f t="shared" si="63"/>
        <v>#VALUE!</v>
      </c>
      <c r="BS123" s="616" t="e">
        <f t="shared" si="63"/>
        <v>#VALUE!</v>
      </c>
      <c r="BT123" s="617" t="e">
        <f t="shared" si="47"/>
        <v>#VALUE!</v>
      </c>
      <c r="BU123" s="556"/>
      <c r="BV123" s="663">
        <f t="shared" si="31"/>
        <v>0</v>
      </c>
      <c r="BW123" s="674" t="e">
        <f t="shared" si="32"/>
        <v>#DIV/0!</v>
      </c>
      <c r="BX123" s="867" t="e">
        <f t="shared" si="33"/>
        <v>#DIV/0!</v>
      </c>
      <c r="BY123" s="674" t="e">
        <f t="shared" si="34"/>
        <v>#DIV/0!</v>
      </c>
      <c r="BZ123" s="675" t="e">
        <f t="shared" si="35"/>
        <v>#DIV/0!</v>
      </c>
      <c r="CA123" s="675" t="e">
        <f t="shared" si="36"/>
        <v>#DIV/0!</v>
      </c>
    </row>
    <row r="124" spans="1:79" ht="48.75" hidden="1" customHeight="1" x14ac:dyDescent="0.25">
      <c r="A124" s="298" t="s">
        <v>386</v>
      </c>
      <c r="B124" s="299" t="str">
        <f>'PLAN INDICATIVO'!B120</f>
        <v>APSB</v>
      </c>
      <c r="C124" s="1546" t="s">
        <v>387</v>
      </c>
      <c r="D124" s="1549" t="s">
        <v>388</v>
      </c>
      <c r="E124" s="1549" t="s">
        <v>389</v>
      </c>
      <c r="F124" s="1559">
        <v>2005</v>
      </c>
      <c r="G124" s="1560">
        <v>0.65100000000000002</v>
      </c>
      <c r="H124" s="1561">
        <v>0.7</v>
      </c>
      <c r="I124" s="1425" t="str">
        <f>'PLAN INDICATIVO'!I120</f>
        <v>SI</v>
      </c>
      <c r="J124" s="1425">
        <f>'PLAN INDICATIVO'!J120</f>
        <v>0</v>
      </c>
      <c r="K124" s="1425" t="str">
        <f>'PLAN INDICATIVO'!K120</f>
        <v>A.3.1.1</v>
      </c>
      <c r="L124" s="1425" t="str">
        <f>'PLAN INDICATIVO'!L120</f>
        <v>6. Agua limplia y saneamiento</v>
      </c>
      <c r="M124" s="1425" t="str">
        <f>'PLAN INDICATIVO'!M120</f>
        <v>EMSERPLA</v>
      </c>
      <c r="N124" s="1425" t="str">
        <f>'PLAN INDICATIVO'!N120</f>
        <v>MARIO MONTILLA CABRERA</v>
      </c>
      <c r="O124" s="1425" t="str">
        <f>'PLAN INDICATIVO'!O120</f>
        <v>Incremento</v>
      </c>
      <c r="P124" s="16" t="str">
        <f>'PLAN INDICATIVO'!P120</f>
        <v>Apoyar la implementación de 1 plan maestro de acueducto en la zona urbana durante el cuatrienio</v>
      </c>
      <c r="Q124" s="302" t="str">
        <f>'PLAN INDICATIVO'!Q120</f>
        <v>No. De planes maestros apoyados</v>
      </c>
      <c r="R124" s="303">
        <f>'PLAN INDICATIVO'!R120</f>
        <v>2015</v>
      </c>
      <c r="S124" s="304">
        <v>0</v>
      </c>
      <c r="T124" s="677">
        <v>1</v>
      </c>
      <c r="U124" s="304">
        <v>0</v>
      </c>
      <c r="V124" s="687"/>
      <c r="W124" s="304"/>
      <c r="X124" s="687"/>
      <c r="Y124" s="304"/>
      <c r="Z124" s="687"/>
      <c r="AA124" s="305">
        <v>1</v>
      </c>
      <c r="AB124" s="687">
        <v>500000000</v>
      </c>
      <c r="AC124" s="665"/>
      <c r="AD124" s="665"/>
      <c r="AE124" s="665"/>
      <c r="AF124" s="665"/>
      <c r="AG124" s="306"/>
      <c r="AH124" s="307"/>
      <c r="AI124" s="308"/>
      <c r="AJ124" s="308"/>
      <c r="AK124" s="308"/>
      <c r="AL124" s="308"/>
      <c r="AM124" s="267" t="s">
        <v>2594</v>
      </c>
      <c r="AN124" s="507"/>
      <c r="AO124" s="729"/>
      <c r="AP124" s="730"/>
      <c r="AQ124" s="730"/>
      <c r="AR124" s="730"/>
      <c r="AS124" s="730"/>
      <c r="AT124" s="730"/>
      <c r="AU124" s="730"/>
      <c r="AV124" s="731">
        <f t="shared" si="30"/>
        <v>0</v>
      </c>
      <c r="AW124" s="525"/>
      <c r="AX124" s="310"/>
      <c r="AY124" s="310"/>
      <c r="AZ124" s="310"/>
      <c r="BA124" s="310"/>
      <c r="BB124" s="310"/>
      <c r="BC124" s="310"/>
      <c r="BD124" s="544">
        <f t="shared" si="45"/>
        <v>0</v>
      </c>
      <c r="BE124" s="525"/>
      <c r="BF124" s="310"/>
      <c r="BG124" s="310"/>
      <c r="BH124" s="310"/>
      <c r="BI124" s="310"/>
      <c r="BJ124" s="310"/>
      <c r="BK124" s="310"/>
      <c r="BL124" s="544">
        <f t="shared" si="46"/>
        <v>0</v>
      </c>
      <c r="BM124" s="525"/>
      <c r="BN124" s="310"/>
      <c r="BO124" s="310"/>
      <c r="BP124" s="310"/>
      <c r="BQ124" s="310"/>
      <c r="BR124" s="310"/>
      <c r="BS124" s="310"/>
      <c r="BT124" s="544">
        <f t="shared" si="47"/>
        <v>0</v>
      </c>
      <c r="BU124" s="556"/>
      <c r="BV124" s="663">
        <f t="shared" si="31"/>
        <v>0</v>
      </c>
      <c r="BW124" s="674">
        <f t="shared" si="32"/>
        <v>0</v>
      </c>
      <c r="BX124" s="835" t="e">
        <f t="shared" si="33"/>
        <v>#DIV/0!</v>
      </c>
      <c r="BY124" s="674" t="e">
        <f t="shared" si="34"/>
        <v>#DIV/0!</v>
      </c>
      <c r="BZ124" s="675" t="e">
        <f t="shared" si="35"/>
        <v>#DIV/0!</v>
      </c>
      <c r="CA124" s="675">
        <f t="shared" si="36"/>
        <v>0</v>
      </c>
    </row>
    <row r="125" spans="1:79" ht="79.5" hidden="1" customHeight="1" x14ac:dyDescent="0.25">
      <c r="A125" s="298" t="s">
        <v>386</v>
      </c>
      <c r="B125" s="299" t="str">
        <f>'PLAN INDICATIVO'!B121</f>
        <v>APSB</v>
      </c>
      <c r="C125" s="1547"/>
      <c r="D125" s="1549"/>
      <c r="E125" s="1549"/>
      <c r="F125" s="1559"/>
      <c r="G125" s="1560"/>
      <c r="H125" s="1561"/>
      <c r="I125" s="300">
        <f>'PLAN INDICATIVO'!I121</f>
        <v>0</v>
      </c>
      <c r="J125" s="300">
        <f>'PLAN INDICATIVO'!J121</f>
        <v>0</v>
      </c>
      <c r="K125" s="1425" t="str">
        <f>'PLAN INDICATIVO'!K121</f>
        <v>A.3.1.2</v>
      </c>
      <c r="L125" s="1425" t="str">
        <f>'PLAN INDICATIVO'!L121</f>
        <v>6. Agua limplia y saneamiento</v>
      </c>
      <c r="M125" s="1425" t="str">
        <f>'PLAN INDICATIVO'!M121</f>
        <v>EMSERPLA</v>
      </c>
      <c r="N125" s="1425" t="str">
        <f>'PLAN INDICATIVO'!N121</f>
        <v>MARIO MONTILLA CABRERA</v>
      </c>
      <c r="O125" s="1425" t="str">
        <f>'PLAN INDICATIVO'!O121</f>
        <v>Mantenimiento</v>
      </c>
      <c r="P125" s="16" t="str">
        <f>'PLAN INDICATIVO'!P121</f>
        <v>Mantener 1 Sistema de acueducto urbano operando cada año</v>
      </c>
      <c r="Q125" s="302" t="str">
        <f>'PLAN INDICATIVO'!Q121</f>
        <v>No. De Sistemas de Acueducto operando cada año</v>
      </c>
      <c r="R125" s="303">
        <f>'PLAN INDICATIVO'!R121</f>
        <v>2015</v>
      </c>
      <c r="S125" s="304">
        <v>1</v>
      </c>
      <c r="T125" s="677">
        <v>1</v>
      </c>
      <c r="U125" s="304">
        <v>1</v>
      </c>
      <c r="V125" s="687">
        <v>20000000</v>
      </c>
      <c r="W125" s="304">
        <v>1</v>
      </c>
      <c r="X125" s="687">
        <v>19700000</v>
      </c>
      <c r="Y125" s="304">
        <v>1</v>
      </c>
      <c r="Z125" s="687">
        <v>20390000</v>
      </c>
      <c r="AA125" s="305">
        <v>1</v>
      </c>
      <c r="AB125" s="687">
        <v>21100000</v>
      </c>
      <c r="AC125" s="665">
        <v>1</v>
      </c>
      <c r="AD125" s="665"/>
      <c r="AE125" s="665"/>
      <c r="AF125" s="665"/>
      <c r="AG125" s="306"/>
      <c r="AH125" s="307" t="s">
        <v>2704</v>
      </c>
      <c r="AI125" s="335">
        <v>37257</v>
      </c>
      <c r="AJ125" s="335">
        <v>11293</v>
      </c>
      <c r="AK125" s="308" t="s">
        <v>2705</v>
      </c>
      <c r="AL125" s="308" t="s">
        <v>2706</v>
      </c>
      <c r="AM125" s="267" t="s">
        <v>2598</v>
      </c>
      <c r="AN125" s="507">
        <v>230310</v>
      </c>
      <c r="AO125" s="729"/>
      <c r="AP125" s="730">
        <v>11000000</v>
      </c>
      <c r="AQ125" s="730"/>
      <c r="AR125" s="730"/>
      <c r="AS125" s="730"/>
      <c r="AT125" s="730"/>
      <c r="AU125" s="730"/>
      <c r="AV125" s="736">
        <f t="shared" si="30"/>
        <v>11000000</v>
      </c>
      <c r="AW125" s="525"/>
      <c r="AX125" s="310"/>
      <c r="AY125" s="310"/>
      <c r="AZ125" s="310"/>
      <c r="BA125" s="310"/>
      <c r="BB125" s="310"/>
      <c r="BC125" s="310"/>
      <c r="BD125" s="544">
        <f t="shared" si="45"/>
        <v>0</v>
      </c>
      <c r="BE125" s="525"/>
      <c r="BF125" s="310"/>
      <c r="BG125" s="310"/>
      <c r="BH125" s="310"/>
      <c r="BI125" s="310"/>
      <c r="BJ125" s="310"/>
      <c r="BK125" s="310"/>
      <c r="BL125" s="544">
        <f t="shared" si="46"/>
        <v>0</v>
      </c>
      <c r="BM125" s="525"/>
      <c r="BN125" s="310"/>
      <c r="BO125" s="310"/>
      <c r="BP125" s="310"/>
      <c r="BQ125" s="310"/>
      <c r="BR125" s="310"/>
      <c r="BS125" s="310"/>
      <c r="BT125" s="544">
        <f t="shared" si="47"/>
        <v>0</v>
      </c>
      <c r="BU125" s="556"/>
      <c r="BV125" s="663">
        <f t="shared" si="31"/>
        <v>1</v>
      </c>
      <c r="BW125" s="674">
        <f t="shared" si="32"/>
        <v>1</v>
      </c>
      <c r="BX125" s="674">
        <f t="shared" si="33"/>
        <v>1</v>
      </c>
      <c r="BY125" s="674">
        <f t="shared" si="34"/>
        <v>0</v>
      </c>
      <c r="BZ125" s="675">
        <f t="shared" si="35"/>
        <v>0</v>
      </c>
      <c r="CA125" s="675">
        <f t="shared" si="36"/>
        <v>0</v>
      </c>
    </row>
    <row r="126" spans="1:79" ht="69" hidden="1" customHeight="1" x14ac:dyDescent="0.25">
      <c r="A126" s="298" t="s">
        <v>386</v>
      </c>
      <c r="B126" s="299" t="str">
        <f>'PLAN INDICATIVO'!B122</f>
        <v>APSB</v>
      </c>
      <c r="C126" s="1547"/>
      <c r="D126" s="1549"/>
      <c r="E126" s="1549"/>
      <c r="F126" s="1559"/>
      <c r="G126" s="1560"/>
      <c r="H126" s="1561"/>
      <c r="I126" s="300">
        <f>'PLAN INDICATIVO'!I122</f>
        <v>0</v>
      </c>
      <c r="J126" s="300">
        <f>'PLAN INDICATIVO'!J122</f>
        <v>0</v>
      </c>
      <c r="K126" s="1425" t="str">
        <f>'PLAN INDICATIVO'!K122</f>
        <v>A.3.1.3</v>
      </c>
      <c r="L126" s="1425" t="str">
        <f>'PLAN INDICATIVO'!L122</f>
        <v>6. Agua limplia y saneamiento</v>
      </c>
      <c r="M126" s="1425" t="str">
        <f>'PLAN INDICATIVO'!M122</f>
        <v>EMSERPLA</v>
      </c>
      <c r="N126" s="1425" t="str">
        <f>'PLAN INDICATIVO'!N122</f>
        <v>MARIO MONTILLA CABRERA</v>
      </c>
      <c r="O126" s="1425" t="str">
        <f>'PLAN INDICATIVO'!O122</f>
        <v>Incremento</v>
      </c>
      <c r="P126" s="16" t="str">
        <f>'PLAN INDICATIVO'!P122</f>
        <v>Presentar 1 Plan de uso eficiente y Ahorro del Agua (PUEA) para aprobación por parte de la CAM durante el cuatrienio.</v>
      </c>
      <c r="Q126" s="302" t="str">
        <f>'PLAN INDICATIVO'!Q122</f>
        <v xml:space="preserve">No. De PUEA presentados </v>
      </c>
      <c r="R126" s="303">
        <f>'PLAN INDICATIVO'!R122</f>
        <v>2015</v>
      </c>
      <c r="S126" s="304">
        <v>0</v>
      </c>
      <c r="T126" s="677">
        <v>1</v>
      </c>
      <c r="U126" s="304">
        <v>1</v>
      </c>
      <c r="V126" s="687">
        <v>5000000</v>
      </c>
      <c r="W126" s="304">
        <v>1</v>
      </c>
      <c r="X126" s="687">
        <v>1000000</v>
      </c>
      <c r="Y126" s="304">
        <v>1</v>
      </c>
      <c r="Z126" s="687"/>
      <c r="AA126" s="305">
        <v>1</v>
      </c>
      <c r="AB126" s="687">
        <v>10000000</v>
      </c>
      <c r="AC126" s="667">
        <v>1</v>
      </c>
      <c r="AD126" s="667"/>
      <c r="AE126" s="667"/>
      <c r="AF126" s="667"/>
      <c r="AG126" s="338"/>
      <c r="AH126" s="336" t="s">
        <v>2707</v>
      </c>
      <c r="AI126" s="339">
        <v>37653</v>
      </c>
      <c r="AJ126" s="339">
        <v>37377</v>
      </c>
      <c r="AK126" s="337"/>
      <c r="AL126" s="337"/>
      <c r="AM126" s="267" t="s">
        <v>2598</v>
      </c>
      <c r="AN126" s="507">
        <v>230310</v>
      </c>
      <c r="AO126" s="732"/>
      <c r="AP126" s="733"/>
      <c r="AQ126" s="733"/>
      <c r="AR126" s="733"/>
      <c r="AS126" s="733"/>
      <c r="AT126" s="733"/>
      <c r="AU126" s="733">
        <v>4500000</v>
      </c>
      <c r="AV126" s="731">
        <f t="shared" si="30"/>
        <v>4500000</v>
      </c>
      <c r="AW126" s="528"/>
      <c r="AX126" s="472"/>
      <c r="AY126" s="472"/>
      <c r="AZ126" s="472"/>
      <c r="BA126" s="472"/>
      <c r="BB126" s="472"/>
      <c r="BC126" s="472"/>
      <c r="BD126" s="544">
        <f t="shared" si="45"/>
        <v>0</v>
      </c>
      <c r="BE126" s="528"/>
      <c r="BF126" s="472"/>
      <c r="BG126" s="472"/>
      <c r="BH126" s="472"/>
      <c r="BI126" s="472"/>
      <c r="BJ126" s="472"/>
      <c r="BK126" s="472"/>
      <c r="BL126" s="544">
        <f t="shared" si="46"/>
        <v>0</v>
      </c>
      <c r="BM126" s="528"/>
      <c r="BN126" s="472"/>
      <c r="BO126" s="472"/>
      <c r="BP126" s="472"/>
      <c r="BQ126" s="472"/>
      <c r="BR126" s="472"/>
      <c r="BS126" s="472"/>
      <c r="BT126" s="544">
        <f t="shared" si="47"/>
        <v>0</v>
      </c>
      <c r="BU126" s="556"/>
      <c r="BV126" s="663">
        <f t="shared" si="31"/>
        <v>1</v>
      </c>
      <c r="BW126" s="674">
        <f t="shared" si="32"/>
        <v>1</v>
      </c>
      <c r="BX126" s="835">
        <f t="shared" si="33"/>
        <v>1</v>
      </c>
      <c r="BY126" s="674">
        <f t="shared" si="34"/>
        <v>0</v>
      </c>
      <c r="BZ126" s="675">
        <f t="shared" si="35"/>
        <v>0</v>
      </c>
      <c r="CA126" s="675">
        <f t="shared" si="36"/>
        <v>0</v>
      </c>
    </row>
    <row r="127" spans="1:79" ht="46.5" hidden="1" customHeight="1" x14ac:dyDescent="0.25">
      <c r="A127" s="298" t="s">
        <v>386</v>
      </c>
      <c r="B127" s="299" t="str">
        <f>'PLAN INDICATIVO'!B123</f>
        <v>APSB</v>
      </c>
      <c r="C127" s="1547"/>
      <c r="D127" s="1549"/>
      <c r="E127" s="1549"/>
      <c r="F127" s="1559"/>
      <c r="G127" s="1560"/>
      <c r="H127" s="1561"/>
      <c r="I127" s="1425" t="str">
        <f>'PLAN INDICATIVO'!I123</f>
        <v>SI</v>
      </c>
      <c r="J127" s="1425">
        <f>'PLAN INDICATIVO'!J123</f>
        <v>0</v>
      </c>
      <c r="K127" s="1425" t="str">
        <f>'PLAN INDICATIVO'!K123</f>
        <v>A.3.1.4</v>
      </c>
      <c r="L127" s="1425" t="str">
        <f>'PLAN INDICATIVO'!L123</f>
        <v>6. Agua limplia y saneamiento</v>
      </c>
      <c r="M127" s="1425" t="str">
        <f>'PLAN INDICATIVO'!M123</f>
        <v>EMSERPLA</v>
      </c>
      <c r="N127" s="1425" t="str">
        <f>'PLAN INDICATIVO'!N123</f>
        <v>MARIO MONTILLA CABRERA</v>
      </c>
      <c r="O127" s="1425" t="str">
        <f>'PLAN INDICATIVO'!O123</f>
        <v>Incremento</v>
      </c>
      <c r="P127" s="16" t="str">
        <f>'PLAN INDICATIVO'!P123</f>
        <v>Apoyar 1 estudio y diseño para una fuente alterna de captación, durante el cuatrienio.</v>
      </c>
      <c r="Q127" s="302" t="str">
        <f>'PLAN INDICATIVO'!Q123</f>
        <v>No. De apoyos para estudios y diseños</v>
      </c>
      <c r="R127" s="303">
        <f>'PLAN INDICATIVO'!R123</f>
        <v>2015</v>
      </c>
      <c r="S127" s="304">
        <v>1</v>
      </c>
      <c r="T127" s="677">
        <v>1</v>
      </c>
      <c r="U127" s="304">
        <v>0</v>
      </c>
      <c r="V127" s="687"/>
      <c r="W127" s="304">
        <v>0</v>
      </c>
      <c r="X127" s="687"/>
      <c r="Y127" s="304">
        <v>1</v>
      </c>
      <c r="Z127" s="687">
        <v>99000000</v>
      </c>
      <c r="AA127" s="305">
        <v>0</v>
      </c>
      <c r="AB127" s="687"/>
      <c r="AC127" s="665"/>
      <c r="AD127" s="665"/>
      <c r="AE127" s="665"/>
      <c r="AF127" s="665"/>
      <c r="AG127" s="306"/>
      <c r="AH127" s="307"/>
      <c r="AI127" s="308"/>
      <c r="AJ127" s="308"/>
      <c r="AK127" s="308"/>
      <c r="AL127" s="308"/>
      <c r="AM127" s="267" t="s">
        <v>2594</v>
      </c>
      <c r="AN127" s="507"/>
      <c r="AO127" s="729"/>
      <c r="AP127" s="730"/>
      <c r="AQ127" s="730"/>
      <c r="AR127" s="730"/>
      <c r="AS127" s="730"/>
      <c r="AT127" s="730"/>
      <c r="AU127" s="730"/>
      <c r="AV127" s="731">
        <f t="shared" si="30"/>
        <v>0</v>
      </c>
      <c r="AW127" s="525"/>
      <c r="AX127" s="310"/>
      <c r="AY127" s="310"/>
      <c r="AZ127" s="310"/>
      <c r="BA127" s="310"/>
      <c r="BB127" s="310"/>
      <c r="BC127" s="310"/>
      <c r="BD127" s="544">
        <f t="shared" si="45"/>
        <v>0</v>
      </c>
      <c r="BE127" s="525"/>
      <c r="BF127" s="310"/>
      <c r="BG127" s="310"/>
      <c r="BH127" s="310"/>
      <c r="BI127" s="310"/>
      <c r="BJ127" s="310"/>
      <c r="BK127" s="310"/>
      <c r="BL127" s="544">
        <f t="shared" si="46"/>
        <v>0</v>
      </c>
      <c r="BM127" s="525"/>
      <c r="BN127" s="310"/>
      <c r="BO127" s="310"/>
      <c r="BP127" s="310"/>
      <c r="BQ127" s="310"/>
      <c r="BR127" s="310"/>
      <c r="BS127" s="310"/>
      <c r="BT127" s="544">
        <f t="shared" si="47"/>
        <v>0</v>
      </c>
      <c r="BU127" s="556"/>
      <c r="BV127" s="663">
        <f t="shared" si="31"/>
        <v>0</v>
      </c>
      <c r="BW127" s="674">
        <f t="shared" si="32"/>
        <v>0</v>
      </c>
      <c r="BX127" s="835" t="e">
        <f t="shared" si="33"/>
        <v>#DIV/0!</v>
      </c>
      <c r="BY127" s="674" t="e">
        <f t="shared" si="34"/>
        <v>#DIV/0!</v>
      </c>
      <c r="BZ127" s="675">
        <f t="shared" si="35"/>
        <v>0</v>
      </c>
      <c r="CA127" s="675" t="e">
        <f t="shared" si="36"/>
        <v>#DIV/0!</v>
      </c>
    </row>
    <row r="128" spans="1:79" ht="92.25" hidden="1" customHeight="1" x14ac:dyDescent="0.25">
      <c r="A128" s="298" t="s">
        <v>386</v>
      </c>
      <c r="B128" s="299" t="str">
        <f>'PLAN INDICATIVO'!B124</f>
        <v>APSB</v>
      </c>
      <c r="C128" s="1547"/>
      <c r="D128" s="1549"/>
      <c r="E128" s="1549"/>
      <c r="F128" s="1559"/>
      <c r="G128" s="1560"/>
      <c r="H128" s="1561"/>
      <c r="I128" s="300">
        <f>'PLAN INDICATIVO'!I124</f>
        <v>0</v>
      </c>
      <c r="J128" s="300">
        <f>'PLAN INDICATIVO'!J124</f>
        <v>0</v>
      </c>
      <c r="K128" s="1425" t="str">
        <f>'PLAN INDICATIVO'!K124</f>
        <v>A.3.1.5</v>
      </c>
      <c r="L128" s="1425" t="str">
        <f>'PLAN INDICATIVO'!L124</f>
        <v>6. Agua limplia y saneamiento</v>
      </c>
      <c r="M128" s="1425" t="str">
        <f>'PLAN INDICATIVO'!M124</f>
        <v>EMSERPLA</v>
      </c>
      <c r="N128" s="1425" t="str">
        <f>'PLAN INDICATIVO'!N124</f>
        <v>MARIO MONTILLA CABRERA</v>
      </c>
      <c r="O128" s="1425" t="str">
        <f>'PLAN INDICATIVO'!O124</f>
        <v>Incremento</v>
      </c>
      <c r="P128" s="16" t="str">
        <f>'PLAN INDICATIVO'!P124</f>
        <v>Construcción de 1900 ML de nueva Red de acueducto en el cuatrienio durante el cuatrienio.</v>
      </c>
      <c r="Q128" s="302" t="str">
        <f>'PLAN INDICATIVO'!Q124</f>
        <v>No. De metros lineales construidos.</v>
      </c>
      <c r="R128" s="303">
        <f>'PLAN INDICATIVO'!R124</f>
        <v>2015</v>
      </c>
      <c r="S128" s="304">
        <v>250</v>
      </c>
      <c r="T128" s="677">
        <v>1300</v>
      </c>
      <c r="U128" s="304">
        <v>250</v>
      </c>
      <c r="V128" s="687">
        <v>55000000</v>
      </c>
      <c r="W128" s="304">
        <v>250</v>
      </c>
      <c r="X128" s="687">
        <v>56930000</v>
      </c>
      <c r="Y128" s="304">
        <v>400</v>
      </c>
      <c r="Z128" s="687">
        <v>58920000</v>
      </c>
      <c r="AA128" s="305">
        <v>400</v>
      </c>
      <c r="AB128" s="687">
        <v>60980000</v>
      </c>
      <c r="AC128" s="665">
        <v>853</v>
      </c>
      <c r="AD128" s="665"/>
      <c r="AE128" s="665"/>
      <c r="AF128" s="665"/>
      <c r="AG128" s="306"/>
      <c r="AH128" s="307" t="s">
        <v>2708</v>
      </c>
      <c r="AI128" s="308" t="s">
        <v>2709</v>
      </c>
      <c r="AJ128" s="308"/>
      <c r="AK128" s="308"/>
      <c r="AL128" s="308"/>
      <c r="AM128" s="267" t="s">
        <v>2598</v>
      </c>
      <c r="AN128" s="507">
        <v>23031007</v>
      </c>
      <c r="AO128" s="729"/>
      <c r="AP128" s="730">
        <v>90000000</v>
      </c>
      <c r="AQ128" s="730"/>
      <c r="AR128" s="730"/>
      <c r="AS128" s="730"/>
      <c r="AT128" s="730"/>
      <c r="AU128" s="730">
        <v>41000000</v>
      </c>
      <c r="AV128" s="731">
        <f t="shared" si="30"/>
        <v>131000000</v>
      </c>
      <c r="AW128" s="525"/>
      <c r="AX128" s="310"/>
      <c r="AY128" s="310"/>
      <c r="AZ128" s="310"/>
      <c r="BA128" s="310"/>
      <c r="BB128" s="310"/>
      <c r="BC128" s="310"/>
      <c r="BD128" s="544">
        <f t="shared" si="45"/>
        <v>0</v>
      </c>
      <c r="BE128" s="525"/>
      <c r="BF128" s="310"/>
      <c r="BG128" s="310"/>
      <c r="BH128" s="310"/>
      <c r="BI128" s="310"/>
      <c r="BJ128" s="310"/>
      <c r="BK128" s="310"/>
      <c r="BL128" s="544">
        <f t="shared" si="46"/>
        <v>0</v>
      </c>
      <c r="BM128" s="525"/>
      <c r="BN128" s="310"/>
      <c r="BO128" s="310"/>
      <c r="BP128" s="310"/>
      <c r="BQ128" s="310"/>
      <c r="BR128" s="310"/>
      <c r="BS128" s="310"/>
      <c r="BT128" s="544">
        <f t="shared" si="47"/>
        <v>0</v>
      </c>
      <c r="BU128" s="556"/>
      <c r="BV128" s="663">
        <f t="shared" si="31"/>
        <v>853</v>
      </c>
      <c r="BW128" s="674">
        <f t="shared" si="32"/>
        <v>0.6561538461538462</v>
      </c>
      <c r="BX128" s="674">
        <f t="shared" si="33"/>
        <v>3.4119999999999999</v>
      </c>
      <c r="BY128" s="674">
        <f t="shared" si="34"/>
        <v>0</v>
      </c>
      <c r="BZ128" s="675">
        <f t="shared" si="35"/>
        <v>0</v>
      </c>
      <c r="CA128" s="675">
        <f t="shared" si="36"/>
        <v>0</v>
      </c>
    </row>
    <row r="129" spans="1:79" ht="74.25" hidden="1" customHeight="1" x14ac:dyDescent="0.25">
      <c r="A129" s="298" t="s">
        <v>386</v>
      </c>
      <c r="B129" s="299" t="str">
        <f>'PLAN INDICATIVO'!B125</f>
        <v>APSB</v>
      </c>
      <c r="C129" s="1547"/>
      <c r="D129" s="1549"/>
      <c r="E129" s="1549"/>
      <c r="F129" s="1559"/>
      <c r="G129" s="1560"/>
      <c r="H129" s="1561"/>
      <c r="I129" s="300">
        <f>'PLAN INDICATIVO'!I125</f>
        <v>0</v>
      </c>
      <c r="J129" s="300">
        <f>'PLAN INDICATIVO'!J125</f>
        <v>0</v>
      </c>
      <c r="K129" s="1425" t="str">
        <f>'PLAN INDICATIVO'!K125</f>
        <v>A.3.1.6</v>
      </c>
      <c r="L129" s="1425" t="str">
        <f>'PLAN INDICATIVO'!L125</f>
        <v>6. Agua limplia y saneamiento</v>
      </c>
      <c r="M129" s="1425" t="str">
        <f>'PLAN INDICATIVO'!M125</f>
        <v>EMSERPLA</v>
      </c>
      <c r="N129" s="1425" t="str">
        <f>'PLAN INDICATIVO'!N125</f>
        <v>MARIO MONTILLA CABRERA</v>
      </c>
      <c r="O129" s="1425" t="str">
        <f>'PLAN INDICATIVO'!O125</f>
        <v>Mantenimiento</v>
      </c>
      <c r="P129" s="16" t="str">
        <f>'PLAN INDICATIVO'!P125</f>
        <v>Mantener el 100% de los subsidios de acueducto a la totalidad de usuarios  de estratos 1 y 2 durante el cuatrienio.</v>
      </c>
      <c r="Q129" s="302" t="str">
        <f>'PLAN INDICATIVO'!Q125</f>
        <v>Porcentaje de Subsidios entregados cada año</v>
      </c>
      <c r="R129" s="303">
        <f>'PLAN INDICATIVO'!R125</f>
        <v>2015</v>
      </c>
      <c r="S129" s="304">
        <v>100</v>
      </c>
      <c r="T129" s="677">
        <v>100</v>
      </c>
      <c r="U129" s="304">
        <v>100</v>
      </c>
      <c r="V129" s="687">
        <v>152000000</v>
      </c>
      <c r="W129" s="304">
        <v>100</v>
      </c>
      <c r="X129" s="687">
        <v>157320000</v>
      </c>
      <c r="Y129" s="304">
        <v>100</v>
      </c>
      <c r="Z129" s="687">
        <v>162830000</v>
      </c>
      <c r="AA129" s="305">
        <v>100</v>
      </c>
      <c r="AB129" s="687">
        <v>168520000</v>
      </c>
      <c r="AC129" s="665">
        <v>100</v>
      </c>
      <c r="AD129" s="665"/>
      <c r="AE129" s="665"/>
      <c r="AF129" s="665"/>
      <c r="AG129" s="306"/>
      <c r="AH129" s="307" t="s">
        <v>2710</v>
      </c>
      <c r="AI129" s="335">
        <v>36892</v>
      </c>
      <c r="AJ129" s="335">
        <v>11658</v>
      </c>
      <c r="AK129" s="308"/>
      <c r="AL129" s="308"/>
      <c r="AM129" s="267" t="s">
        <v>2598</v>
      </c>
      <c r="AN129" s="507">
        <v>23031013</v>
      </c>
      <c r="AO129" s="729"/>
      <c r="AP129" s="730">
        <v>118164165</v>
      </c>
      <c r="AQ129" s="730"/>
      <c r="AR129" s="730"/>
      <c r="AS129" s="730"/>
      <c r="AT129" s="730"/>
      <c r="AU129" s="730"/>
      <c r="AV129" s="731">
        <f t="shared" si="30"/>
        <v>118164165</v>
      </c>
      <c r="AW129" s="525"/>
      <c r="AX129" s="310"/>
      <c r="AY129" s="310"/>
      <c r="AZ129" s="310"/>
      <c r="BA129" s="310"/>
      <c r="BB129" s="310"/>
      <c r="BC129" s="310"/>
      <c r="BD129" s="544">
        <f t="shared" si="45"/>
        <v>0</v>
      </c>
      <c r="BE129" s="525"/>
      <c r="BF129" s="310"/>
      <c r="BG129" s="310"/>
      <c r="BH129" s="310"/>
      <c r="BI129" s="310"/>
      <c r="BJ129" s="310"/>
      <c r="BK129" s="310"/>
      <c r="BL129" s="544">
        <f t="shared" si="46"/>
        <v>0</v>
      </c>
      <c r="BM129" s="525"/>
      <c r="BN129" s="310"/>
      <c r="BO129" s="310"/>
      <c r="BP129" s="310"/>
      <c r="BQ129" s="310"/>
      <c r="BR129" s="310"/>
      <c r="BS129" s="310"/>
      <c r="BT129" s="544">
        <f t="shared" si="47"/>
        <v>0</v>
      </c>
      <c r="BU129" s="556"/>
      <c r="BV129" s="663">
        <f t="shared" si="31"/>
        <v>100</v>
      </c>
      <c r="BW129" s="674">
        <f t="shared" si="32"/>
        <v>1</v>
      </c>
      <c r="BX129" s="674">
        <f t="shared" si="33"/>
        <v>1</v>
      </c>
      <c r="BY129" s="674">
        <f t="shared" si="34"/>
        <v>0</v>
      </c>
      <c r="BZ129" s="675">
        <f t="shared" si="35"/>
        <v>0</v>
      </c>
      <c r="CA129" s="675">
        <f t="shared" si="36"/>
        <v>0</v>
      </c>
    </row>
    <row r="130" spans="1:79" ht="49.5" hidden="1" customHeight="1" x14ac:dyDescent="0.25">
      <c r="A130" s="298" t="s">
        <v>386</v>
      </c>
      <c r="B130" s="299" t="str">
        <f>'PLAN INDICATIVO'!B126</f>
        <v>APSB</v>
      </c>
      <c r="C130" s="1547"/>
      <c r="D130" s="1549"/>
      <c r="E130" s="1549"/>
      <c r="F130" s="1559"/>
      <c r="G130" s="1560"/>
      <c r="H130" s="1561"/>
      <c r="I130" s="300">
        <f>'PLAN INDICATIVO'!I126</f>
        <v>0</v>
      </c>
      <c r="J130" s="300">
        <f>'PLAN INDICATIVO'!J126</f>
        <v>0</v>
      </c>
      <c r="K130" s="1425" t="str">
        <f>'PLAN INDICATIVO'!K126</f>
        <v>A.3.1.7</v>
      </c>
      <c r="L130" s="1425" t="str">
        <f>'PLAN INDICATIVO'!L126</f>
        <v>6. Agua limplia y saneamiento</v>
      </c>
      <c r="M130" s="1425" t="str">
        <f>'PLAN INDICATIVO'!M126</f>
        <v>EMSERPLA</v>
      </c>
      <c r="N130" s="1425" t="str">
        <f>'PLAN INDICATIVO'!N126</f>
        <v>MARIO MONTILLA CABRERA</v>
      </c>
      <c r="O130" s="1425" t="str">
        <f>'PLAN INDICATIVO'!O126</f>
        <v>Mantenimiento</v>
      </c>
      <c r="P130" s="16" t="str">
        <f>'PLAN INDICATIVO'!P126</f>
        <v>Realizar 2 campañas anuales  durante el cuatrienio para uso racional de agua</v>
      </c>
      <c r="Q130" s="302" t="str">
        <f>'PLAN INDICATIVO'!Q126</f>
        <v>No. De campañas realizadas por año</v>
      </c>
      <c r="R130" s="303">
        <f>'PLAN INDICATIVO'!R126</f>
        <v>2015</v>
      </c>
      <c r="S130" s="304">
        <v>1</v>
      </c>
      <c r="T130" s="677">
        <v>8</v>
      </c>
      <c r="U130" s="304">
        <v>2</v>
      </c>
      <c r="V130" s="687">
        <v>10000000</v>
      </c>
      <c r="W130" s="304">
        <v>2</v>
      </c>
      <c r="X130" s="687">
        <v>10350000</v>
      </c>
      <c r="Y130" s="304">
        <v>2</v>
      </c>
      <c r="Z130" s="687">
        <v>10700000</v>
      </c>
      <c r="AA130" s="305">
        <v>2</v>
      </c>
      <c r="AB130" s="687">
        <v>11090000</v>
      </c>
      <c r="AC130" s="665">
        <v>2</v>
      </c>
      <c r="AD130" s="665"/>
      <c r="AE130" s="665"/>
      <c r="AF130" s="665"/>
      <c r="AG130" s="306"/>
      <c r="AH130" s="340" t="s">
        <v>2711</v>
      </c>
      <c r="AI130" s="335">
        <v>42217</v>
      </c>
      <c r="AJ130" s="335">
        <v>42309</v>
      </c>
      <c r="AK130" s="308"/>
      <c r="AL130" s="308"/>
      <c r="AM130" s="267" t="s">
        <v>2598</v>
      </c>
      <c r="AN130" s="507">
        <v>230310</v>
      </c>
      <c r="AO130" s="729"/>
      <c r="AP130" s="730">
        <v>11000000</v>
      </c>
      <c r="AQ130" s="730"/>
      <c r="AR130" s="730"/>
      <c r="AS130" s="730"/>
      <c r="AT130" s="730"/>
      <c r="AU130" s="730"/>
      <c r="AV130" s="731">
        <f t="shared" si="30"/>
        <v>11000000</v>
      </c>
      <c r="AW130" s="525"/>
      <c r="AX130" s="310"/>
      <c r="AY130" s="310"/>
      <c r="AZ130" s="310"/>
      <c r="BA130" s="310"/>
      <c r="BB130" s="310"/>
      <c r="BC130" s="310"/>
      <c r="BD130" s="544">
        <f t="shared" si="45"/>
        <v>0</v>
      </c>
      <c r="BE130" s="525"/>
      <c r="BF130" s="310"/>
      <c r="BG130" s="310"/>
      <c r="BH130" s="310"/>
      <c r="BI130" s="310"/>
      <c r="BJ130" s="310"/>
      <c r="BK130" s="310"/>
      <c r="BL130" s="544">
        <f t="shared" si="46"/>
        <v>0</v>
      </c>
      <c r="BM130" s="525"/>
      <c r="BN130" s="310"/>
      <c r="BO130" s="310"/>
      <c r="BP130" s="310"/>
      <c r="BQ130" s="310"/>
      <c r="BR130" s="310"/>
      <c r="BS130" s="310"/>
      <c r="BT130" s="544">
        <f t="shared" si="47"/>
        <v>0</v>
      </c>
      <c r="BU130" s="556"/>
      <c r="BV130" s="663">
        <f t="shared" si="31"/>
        <v>2</v>
      </c>
      <c r="BW130" s="674">
        <f t="shared" si="32"/>
        <v>0.25</v>
      </c>
      <c r="BX130" s="674">
        <f t="shared" si="33"/>
        <v>1</v>
      </c>
      <c r="BY130" s="674">
        <f t="shared" si="34"/>
        <v>0</v>
      </c>
      <c r="BZ130" s="675">
        <f t="shared" si="35"/>
        <v>0</v>
      </c>
      <c r="CA130" s="675">
        <f t="shared" si="36"/>
        <v>0</v>
      </c>
    </row>
    <row r="131" spans="1:79" ht="73.5" hidden="1" customHeight="1" x14ac:dyDescent="0.25">
      <c r="A131" s="298" t="s">
        <v>386</v>
      </c>
      <c r="B131" s="299" t="str">
        <f>'PLAN INDICATIVO'!B127</f>
        <v>APSB</v>
      </c>
      <c r="C131" s="1547"/>
      <c r="D131" s="1549"/>
      <c r="E131" s="1549"/>
      <c r="F131" s="1559"/>
      <c r="G131" s="1560"/>
      <c r="H131" s="1561"/>
      <c r="I131" s="300">
        <f>'PLAN INDICATIVO'!I127</f>
        <v>0</v>
      </c>
      <c r="J131" s="300">
        <f>'PLAN INDICATIVO'!J127</f>
        <v>0</v>
      </c>
      <c r="K131" s="1425" t="str">
        <f>'PLAN INDICATIVO'!K127</f>
        <v>A.3.1.8</v>
      </c>
      <c r="L131" s="1425" t="str">
        <f>'PLAN INDICATIVO'!L127</f>
        <v>6. Agua limplia y saneamiento</v>
      </c>
      <c r="M131" s="1425" t="str">
        <f>'PLAN INDICATIVO'!M127</f>
        <v>EMSERPLA</v>
      </c>
      <c r="N131" s="1425" t="str">
        <f>'PLAN INDICATIVO'!N127</f>
        <v>MARIO MONTILLA CABRERA</v>
      </c>
      <c r="O131" s="1425" t="str">
        <f>'PLAN INDICATIVO'!O127</f>
        <v>Incremento</v>
      </c>
      <c r="P131" s="16" t="str">
        <f>'PLAN INDICATIVO'!P127</f>
        <v>Incrementar  los servicios públicos  a 1.200 nuevos usuarios en servicio de acueducto, durante el cuatrienio</v>
      </c>
      <c r="Q131" s="302" t="str">
        <f>'PLAN INDICATIVO'!Q127</f>
        <v>No. De nuevos usuarios</v>
      </c>
      <c r="R131" s="303">
        <f>'PLAN INDICATIVO'!R127</f>
        <v>2015</v>
      </c>
      <c r="S131" s="304">
        <v>287</v>
      </c>
      <c r="T131" s="677">
        <v>1200</v>
      </c>
      <c r="U131" s="304">
        <v>300</v>
      </c>
      <c r="V131" s="687">
        <v>1000000</v>
      </c>
      <c r="W131" s="304">
        <v>300</v>
      </c>
      <c r="X131" s="687">
        <v>1000000</v>
      </c>
      <c r="Y131" s="304">
        <v>300</v>
      </c>
      <c r="Z131" s="687">
        <v>1000000</v>
      </c>
      <c r="AA131" s="305">
        <v>300</v>
      </c>
      <c r="AB131" s="687">
        <v>25000000</v>
      </c>
      <c r="AC131" s="665">
        <v>354</v>
      </c>
      <c r="AD131" s="665"/>
      <c r="AE131" s="665"/>
      <c r="AF131" s="665"/>
      <c r="AG131" s="306"/>
      <c r="AH131" s="307" t="s">
        <v>2712</v>
      </c>
      <c r="AI131" s="335">
        <v>36892</v>
      </c>
      <c r="AJ131" s="335">
        <v>47788</v>
      </c>
      <c r="AK131" s="308"/>
      <c r="AL131" s="308"/>
      <c r="AM131" s="267" t="s">
        <v>2598</v>
      </c>
      <c r="AN131" s="507">
        <v>230310</v>
      </c>
      <c r="AO131" s="729"/>
      <c r="AP131" s="730">
        <v>10000000</v>
      </c>
      <c r="AQ131" s="730"/>
      <c r="AR131" s="730"/>
      <c r="AS131" s="730"/>
      <c r="AT131" s="730"/>
      <c r="AU131" s="730"/>
      <c r="AV131" s="731">
        <f t="shared" si="30"/>
        <v>10000000</v>
      </c>
      <c r="AW131" s="525"/>
      <c r="AX131" s="310"/>
      <c r="AY131" s="310"/>
      <c r="AZ131" s="310"/>
      <c r="BA131" s="310"/>
      <c r="BB131" s="310"/>
      <c r="BC131" s="310"/>
      <c r="BD131" s="544">
        <f t="shared" si="45"/>
        <v>0</v>
      </c>
      <c r="BE131" s="525"/>
      <c r="BF131" s="310"/>
      <c r="BG131" s="310"/>
      <c r="BH131" s="310"/>
      <c r="BI131" s="310"/>
      <c r="BJ131" s="310"/>
      <c r="BK131" s="310"/>
      <c r="BL131" s="544">
        <f t="shared" si="46"/>
        <v>0</v>
      </c>
      <c r="BM131" s="525"/>
      <c r="BN131" s="310"/>
      <c r="BO131" s="310"/>
      <c r="BP131" s="310"/>
      <c r="BQ131" s="310"/>
      <c r="BR131" s="310"/>
      <c r="BS131" s="310"/>
      <c r="BT131" s="544">
        <f t="shared" si="47"/>
        <v>0</v>
      </c>
      <c r="BU131" s="556"/>
      <c r="BV131" s="663">
        <f t="shared" si="31"/>
        <v>354</v>
      </c>
      <c r="BW131" s="674">
        <f t="shared" si="32"/>
        <v>0.29499999999999998</v>
      </c>
      <c r="BX131" s="674">
        <f t="shared" si="33"/>
        <v>1.18</v>
      </c>
      <c r="BY131" s="674">
        <f t="shared" si="34"/>
        <v>0</v>
      </c>
      <c r="BZ131" s="675">
        <f t="shared" si="35"/>
        <v>0</v>
      </c>
      <c r="CA131" s="675">
        <f t="shared" si="36"/>
        <v>0</v>
      </c>
    </row>
    <row r="132" spans="1:79" ht="78" hidden="1" customHeight="1" x14ac:dyDescent="0.25">
      <c r="A132" s="298" t="s">
        <v>386</v>
      </c>
      <c r="B132" s="299" t="str">
        <f>'PLAN INDICATIVO'!B128</f>
        <v>APSB</v>
      </c>
      <c r="C132" s="1547"/>
      <c r="D132" s="1549"/>
      <c r="E132" s="1549"/>
      <c r="F132" s="1559"/>
      <c r="G132" s="1560"/>
      <c r="H132" s="1561"/>
      <c r="I132" s="300">
        <f>'PLAN INDICATIVO'!I128</f>
        <v>0</v>
      </c>
      <c r="J132" s="300">
        <f>'PLAN INDICATIVO'!J128</f>
        <v>0</v>
      </c>
      <c r="K132" s="1425" t="str">
        <f>'PLAN INDICATIVO'!K128</f>
        <v>A.3.1.9</v>
      </c>
      <c r="L132" s="1425" t="str">
        <f>'PLAN INDICATIVO'!L128</f>
        <v>6. Agua limplia y saneamiento</v>
      </c>
      <c r="M132" s="1425" t="str">
        <f>'PLAN INDICATIVO'!M128</f>
        <v>EMSERPLA</v>
      </c>
      <c r="N132" s="1425" t="str">
        <f>'PLAN INDICATIVO'!N128</f>
        <v>MARIO MONTILLA CABRERA</v>
      </c>
      <c r="O132" s="1425" t="str">
        <f>'PLAN INDICATIVO'!O128</f>
        <v>Incremento</v>
      </c>
      <c r="P132" s="16" t="str">
        <f>'PLAN INDICATIVO'!P128</f>
        <v>Realizar 8 controles para disminuir las conexiones fraudulentas de domiciliarias de acueducto durante el cuatrienio</v>
      </c>
      <c r="Q132" s="302" t="str">
        <f>'PLAN INDICATIVO'!Q128</f>
        <v>No. De controles realizados</v>
      </c>
      <c r="R132" s="303">
        <f>'PLAN INDICATIVO'!R128</f>
        <v>2015</v>
      </c>
      <c r="S132" s="304">
        <v>0</v>
      </c>
      <c r="T132" s="677">
        <v>8</v>
      </c>
      <c r="U132" s="304">
        <v>2</v>
      </c>
      <c r="V132" s="687">
        <v>1000000</v>
      </c>
      <c r="W132" s="304">
        <v>2</v>
      </c>
      <c r="X132" s="687">
        <v>1000000</v>
      </c>
      <c r="Y132" s="304">
        <v>2</v>
      </c>
      <c r="Z132" s="687">
        <v>1000000</v>
      </c>
      <c r="AA132" s="305">
        <v>2</v>
      </c>
      <c r="AB132" s="687">
        <v>10000000</v>
      </c>
      <c r="AC132" s="665">
        <f>1+1</f>
        <v>2</v>
      </c>
      <c r="AD132" s="665"/>
      <c r="AE132" s="665"/>
      <c r="AF132" s="665"/>
      <c r="AG132" s="306"/>
      <c r="AH132" s="307" t="s">
        <v>2713</v>
      </c>
      <c r="AI132" s="335">
        <v>44075</v>
      </c>
      <c r="AJ132" s="335">
        <v>44136</v>
      </c>
      <c r="AK132" s="308"/>
      <c r="AL132" s="308"/>
      <c r="AM132" s="267" t="s">
        <v>2598</v>
      </c>
      <c r="AN132" s="507">
        <v>230310</v>
      </c>
      <c r="AO132" s="729"/>
      <c r="AP132" s="730">
        <v>100000</v>
      </c>
      <c r="AQ132" s="730"/>
      <c r="AR132" s="730"/>
      <c r="AS132" s="730"/>
      <c r="AT132" s="730"/>
      <c r="AU132" s="730">
        <v>21000000</v>
      </c>
      <c r="AV132" s="731">
        <f t="shared" si="30"/>
        <v>21100000</v>
      </c>
      <c r="AW132" s="525"/>
      <c r="AX132" s="310"/>
      <c r="AY132" s="310"/>
      <c r="AZ132" s="310"/>
      <c r="BA132" s="310"/>
      <c r="BB132" s="310"/>
      <c r="BC132" s="310"/>
      <c r="BD132" s="544">
        <f t="shared" si="45"/>
        <v>0</v>
      </c>
      <c r="BE132" s="525"/>
      <c r="BF132" s="310"/>
      <c r="BG132" s="310"/>
      <c r="BH132" s="310"/>
      <c r="BI132" s="310"/>
      <c r="BJ132" s="310"/>
      <c r="BK132" s="310"/>
      <c r="BL132" s="544">
        <f t="shared" si="46"/>
        <v>0</v>
      </c>
      <c r="BM132" s="525"/>
      <c r="BN132" s="310"/>
      <c r="BO132" s="310"/>
      <c r="BP132" s="310"/>
      <c r="BQ132" s="310"/>
      <c r="BR132" s="310"/>
      <c r="BS132" s="310"/>
      <c r="BT132" s="544">
        <f t="shared" si="47"/>
        <v>0</v>
      </c>
      <c r="BU132" s="556"/>
      <c r="BV132" s="663">
        <f t="shared" si="31"/>
        <v>2</v>
      </c>
      <c r="BW132" s="674">
        <f t="shared" si="32"/>
        <v>0.25</v>
      </c>
      <c r="BX132" s="674">
        <f t="shared" si="33"/>
        <v>1</v>
      </c>
      <c r="BY132" s="674">
        <f t="shared" si="34"/>
        <v>0</v>
      </c>
      <c r="BZ132" s="675">
        <f t="shared" si="35"/>
        <v>0</v>
      </c>
      <c r="CA132" s="675">
        <f t="shared" si="36"/>
        <v>0</v>
      </c>
    </row>
    <row r="133" spans="1:79" ht="85.5" hidden="1" customHeight="1" x14ac:dyDescent="0.25">
      <c r="A133" s="298" t="s">
        <v>386</v>
      </c>
      <c r="B133" s="299" t="str">
        <f>'PLAN INDICATIVO'!B129</f>
        <v>APSB</v>
      </c>
      <c r="C133" s="1547"/>
      <c r="D133" s="1549"/>
      <c r="E133" s="1549"/>
      <c r="F133" s="1559"/>
      <c r="G133" s="1560"/>
      <c r="H133" s="1561"/>
      <c r="I133" s="1425" t="str">
        <f>'PLAN INDICATIVO'!I129</f>
        <v>SI</v>
      </c>
      <c r="J133" s="1425">
        <f>'PLAN INDICATIVO'!J129</f>
        <v>0</v>
      </c>
      <c r="K133" s="1425" t="str">
        <f>'PLAN INDICATIVO'!K129</f>
        <v>A.3.1.10</v>
      </c>
      <c r="L133" s="1425" t="str">
        <f>'PLAN INDICATIVO'!L129</f>
        <v>6. Agua limplia y saneamiento</v>
      </c>
      <c r="M133" s="1425" t="str">
        <f>'PLAN INDICATIVO'!M129</f>
        <v>EMSERPLA</v>
      </c>
      <c r="N133" s="1425" t="str">
        <f>'PLAN INDICATIVO'!N129</f>
        <v>MARIO MONTILLA CABRERA</v>
      </c>
      <c r="O133" s="1425" t="str">
        <f>'PLAN INDICATIVO'!O129</f>
        <v>Incremento</v>
      </c>
      <c r="P133" s="16" t="str">
        <f>'PLAN INDICATIVO'!P129</f>
        <v>Reposición de 2700 ML de redes de acueducto en el cuatrienio</v>
      </c>
      <c r="Q133" s="302" t="str">
        <f>'PLAN INDICATIVO'!Q129</f>
        <v xml:space="preserve">No. De metros lineales en reposición </v>
      </c>
      <c r="R133" s="303">
        <f>'PLAN INDICATIVO'!R129</f>
        <v>2015</v>
      </c>
      <c r="S133" s="304">
        <v>1145</v>
      </c>
      <c r="T133" s="677">
        <v>2400</v>
      </c>
      <c r="U133" s="304">
        <v>600</v>
      </c>
      <c r="V133" s="687">
        <v>299000000</v>
      </c>
      <c r="W133" s="304">
        <v>600</v>
      </c>
      <c r="X133" s="687">
        <v>326030000</v>
      </c>
      <c r="Y133" s="304">
        <v>600</v>
      </c>
      <c r="Z133" s="687">
        <v>337440000</v>
      </c>
      <c r="AA133" s="305">
        <v>600</v>
      </c>
      <c r="AB133" s="687">
        <v>349250000</v>
      </c>
      <c r="AC133" s="665">
        <v>1548</v>
      </c>
      <c r="AD133" s="665"/>
      <c r="AE133" s="665"/>
      <c r="AF133" s="665"/>
      <c r="AG133" s="306"/>
      <c r="AH133" s="307" t="s">
        <v>2714</v>
      </c>
      <c r="AI133" s="335">
        <v>44378</v>
      </c>
      <c r="AJ133" s="335">
        <v>11263</v>
      </c>
      <c r="AK133" s="308"/>
      <c r="AL133" s="308"/>
      <c r="AM133" s="267" t="s">
        <v>2598</v>
      </c>
      <c r="AN133" s="507">
        <v>23031004</v>
      </c>
      <c r="AO133" s="729"/>
      <c r="AP133" s="730">
        <v>209932795</v>
      </c>
      <c r="AQ133" s="730"/>
      <c r="AR133" s="730"/>
      <c r="AS133" s="730"/>
      <c r="AT133" s="730"/>
      <c r="AU133" s="730">
        <v>99000000</v>
      </c>
      <c r="AV133" s="731">
        <f t="shared" si="30"/>
        <v>308932795</v>
      </c>
      <c r="AW133" s="525"/>
      <c r="AX133" s="310"/>
      <c r="AY133" s="310"/>
      <c r="AZ133" s="310"/>
      <c r="BA133" s="310"/>
      <c r="BB133" s="310"/>
      <c r="BC133" s="310"/>
      <c r="BD133" s="544">
        <f t="shared" si="45"/>
        <v>0</v>
      </c>
      <c r="BE133" s="525"/>
      <c r="BF133" s="310"/>
      <c r="BG133" s="310"/>
      <c r="BH133" s="310"/>
      <c r="BI133" s="310"/>
      <c r="BJ133" s="310"/>
      <c r="BK133" s="310"/>
      <c r="BL133" s="544">
        <f t="shared" si="46"/>
        <v>0</v>
      </c>
      <c r="BM133" s="525"/>
      <c r="BN133" s="310"/>
      <c r="BO133" s="310"/>
      <c r="BP133" s="310"/>
      <c r="BQ133" s="310"/>
      <c r="BR133" s="310"/>
      <c r="BS133" s="310"/>
      <c r="BT133" s="544">
        <f t="shared" si="47"/>
        <v>0</v>
      </c>
      <c r="BU133" s="556"/>
      <c r="BV133" s="663">
        <f t="shared" si="31"/>
        <v>1548</v>
      </c>
      <c r="BW133" s="674">
        <f t="shared" si="32"/>
        <v>0.64500000000000002</v>
      </c>
      <c r="BX133" s="674">
        <f t="shared" si="33"/>
        <v>2.58</v>
      </c>
      <c r="BY133" s="674">
        <f t="shared" si="34"/>
        <v>0</v>
      </c>
      <c r="BZ133" s="675">
        <f t="shared" si="35"/>
        <v>0</v>
      </c>
      <c r="CA133" s="675">
        <f t="shared" si="36"/>
        <v>0</v>
      </c>
    </row>
    <row r="134" spans="1:79" ht="46.5" hidden="1" customHeight="1" x14ac:dyDescent="0.25">
      <c r="A134" s="298" t="s">
        <v>386</v>
      </c>
      <c r="B134" s="299" t="str">
        <f>'PLAN INDICATIVO'!B130</f>
        <v>APSB</v>
      </c>
      <c r="C134" s="1547"/>
      <c r="D134" s="1549"/>
      <c r="E134" s="1549"/>
      <c r="F134" s="1559"/>
      <c r="G134" s="1560"/>
      <c r="H134" s="1561"/>
      <c r="I134" s="300">
        <f>'PLAN INDICATIVO'!I130</f>
        <v>0</v>
      </c>
      <c r="J134" s="300">
        <f>'PLAN INDICATIVO'!J130</f>
        <v>0</v>
      </c>
      <c r="K134" s="1425" t="str">
        <f>'PLAN INDICATIVO'!K130</f>
        <v>A.3.1.11</v>
      </c>
      <c r="L134" s="1425" t="str">
        <f>'PLAN INDICATIVO'!L130</f>
        <v>6. Agua limplia y saneamiento</v>
      </c>
      <c r="M134" s="1425" t="str">
        <f>'PLAN INDICATIVO'!M130</f>
        <v>EMSERPLA</v>
      </c>
      <c r="N134" s="1425" t="str">
        <f>'PLAN INDICATIVO'!N130</f>
        <v>MARIO MONTILLA CABRERA</v>
      </c>
      <c r="O134" s="1425" t="str">
        <f>'PLAN INDICATIVO'!O130</f>
        <v>Incremento</v>
      </c>
      <c r="P134" s="16" t="str">
        <f>'PLAN INDICATIVO'!P130</f>
        <v>Implementar 1 programa durante el cuatrienio  para la disminución de agua no contabilizada en la zona urbana</v>
      </c>
      <c r="Q134" s="302" t="str">
        <f>'PLAN INDICATIVO'!Q130</f>
        <v>No. Programa implementado</v>
      </c>
      <c r="R134" s="303">
        <f>'PLAN INDICATIVO'!R130</f>
        <v>2015</v>
      </c>
      <c r="S134" s="304">
        <v>0</v>
      </c>
      <c r="T134" s="677">
        <v>1</v>
      </c>
      <c r="U134" s="304">
        <v>0</v>
      </c>
      <c r="V134" s="687"/>
      <c r="W134" s="304">
        <v>0</v>
      </c>
      <c r="X134" s="687"/>
      <c r="Y134" s="304">
        <v>0</v>
      </c>
      <c r="Z134" s="687"/>
      <c r="AA134" s="305">
        <v>1</v>
      </c>
      <c r="AB134" s="687">
        <v>10180000</v>
      </c>
      <c r="AC134" s="665"/>
      <c r="AD134" s="665"/>
      <c r="AE134" s="665"/>
      <c r="AF134" s="665"/>
      <c r="AG134" s="306"/>
      <c r="AH134" s="307"/>
      <c r="AI134" s="308"/>
      <c r="AJ134" s="308"/>
      <c r="AK134" s="308"/>
      <c r="AL134" s="308"/>
      <c r="AM134" s="267" t="s">
        <v>2594</v>
      </c>
      <c r="AN134" s="507"/>
      <c r="AO134" s="729"/>
      <c r="AP134" s="730"/>
      <c r="AQ134" s="730"/>
      <c r="AR134" s="730"/>
      <c r="AS134" s="730"/>
      <c r="AT134" s="730"/>
      <c r="AU134" s="730"/>
      <c r="AV134" s="731">
        <f t="shared" ref="AV134:AV197" si="64">SUM(AO134:AU134)</f>
        <v>0</v>
      </c>
      <c r="AW134" s="525"/>
      <c r="AX134" s="310"/>
      <c r="AY134" s="310"/>
      <c r="AZ134" s="310"/>
      <c r="BA134" s="310"/>
      <c r="BB134" s="310"/>
      <c r="BC134" s="310"/>
      <c r="BD134" s="544">
        <f t="shared" ref="BD134:BD197" si="65">SUM(AW134:BC134)</f>
        <v>0</v>
      </c>
      <c r="BE134" s="525"/>
      <c r="BF134" s="310"/>
      <c r="BG134" s="310"/>
      <c r="BH134" s="310"/>
      <c r="BI134" s="310"/>
      <c r="BJ134" s="310"/>
      <c r="BK134" s="310"/>
      <c r="BL134" s="544">
        <f t="shared" ref="BL134:BL197" si="66">SUM(BE134:BK134)</f>
        <v>0</v>
      </c>
      <c r="BM134" s="525"/>
      <c r="BN134" s="310"/>
      <c r="BO134" s="310"/>
      <c r="BP134" s="310"/>
      <c r="BQ134" s="310"/>
      <c r="BR134" s="310"/>
      <c r="BS134" s="310"/>
      <c r="BT134" s="544">
        <f t="shared" ref="BT134:BT197" si="67">SUM(BM134:BS134)</f>
        <v>0</v>
      </c>
      <c r="BU134" s="556"/>
      <c r="BV134" s="663">
        <f t="shared" si="31"/>
        <v>0</v>
      </c>
      <c r="BW134" s="674">
        <f t="shared" si="32"/>
        <v>0</v>
      </c>
      <c r="BX134" s="674" t="e">
        <f t="shared" si="33"/>
        <v>#DIV/0!</v>
      </c>
      <c r="BY134" s="674" t="e">
        <f t="shared" si="34"/>
        <v>#DIV/0!</v>
      </c>
      <c r="BZ134" s="675" t="e">
        <f t="shared" si="35"/>
        <v>#DIV/0!</v>
      </c>
      <c r="CA134" s="675">
        <f t="shared" si="36"/>
        <v>0</v>
      </c>
    </row>
    <row r="135" spans="1:79" ht="60.75" customHeight="1" x14ac:dyDescent="0.3">
      <c r="A135" s="298" t="s">
        <v>386</v>
      </c>
      <c r="B135" s="299" t="str">
        <f>'PLAN INDICATIVO'!B131</f>
        <v>APSB</v>
      </c>
      <c r="C135" s="1547"/>
      <c r="D135" s="1549"/>
      <c r="E135" s="1549"/>
      <c r="F135" s="1559"/>
      <c r="G135" s="1560"/>
      <c r="H135" s="1561"/>
      <c r="I135" s="300">
        <f>'PLAN INDICATIVO'!I131</f>
        <v>0</v>
      </c>
      <c r="J135" s="300">
        <f>'PLAN INDICATIVO'!J131</f>
        <v>0</v>
      </c>
      <c r="K135" s="1425" t="str">
        <f>'PLAN INDICATIVO'!K131</f>
        <v>A.3.1.12</v>
      </c>
      <c r="L135" s="1425" t="str">
        <f>'PLAN INDICATIVO'!L131</f>
        <v>6. Agua limplia y saneamiento</v>
      </c>
      <c r="M135" s="1425" t="str">
        <f>'PLAN INDICATIVO'!M131</f>
        <v>EMSERPLA</v>
      </c>
      <c r="N135" s="1425" t="s">
        <v>2687</v>
      </c>
      <c r="O135" s="1425" t="str">
        <f>'PLAN INDICATIVO'!O131</f>
        <v>Incremento</v>
      </c>
      <c r="P135" s="16" t="str">
        <f>'PLAN INDICATIVO'!P131</f>
        <v>Beneficiar a 1200 familias con servicio de acueducto en la zona rural, durante el cuatrienio</v>
      </c>
      <c r="Q135" s="302" t="str">
        <f>'PLAN INDICATIVO'!Q131</f>
        <v>No. De familias beneficiadas.</v>
      </c>
      <c r="R135" s="303">
        <f>'PLAN INDICATIVO'!R131</f>
        <v>2015</v>
      </c>
      <c r="S135" s="304">
        <v>0</v>
      </c>
      <c r="T135" s="677">
        <v>1200</v>
      </c>
      <c r="U135" s="304">
        <v>25</v>
      </c>
      <c r="V135" s="687"/>
      <c r="W135" s="304">
        <v>500</v>
      </c>
      <c r="X135" s="687">
        <v>224200000</v>
      </c>
      <c r="Y135" s="304">
        <v>250</v>
      </c>
      <c r="Z135" s="687">
        <v>220010000</v>
      </c>
      <c r="AA135" s="305">
        <v>250</v>
      </c>
      <c r="AB135" s="687">
        <v>50000000</v>
      </c>
      <c r="AC135" s="667">
        <v>25</v>
      </c>
      <c r="AD135" s="667"/>
      <c r="AE135" s="667"/>
      <c r="AF135" s="667"/>
      <c r="AG135" s="338"/>
      <c r="AH135" s="336"/>
      <c r="AI135" s="337"/>
      <c r="AJ135" s="337"/>
      <c r="AK135" s="337"/>
      <c r="AL135" s="337"/>
      <c r="AM135" s="267" t="s">
        <v>2598</v>
      </c>
      <c r="AN135" s="510" t="s">
        <v>2715</v>
      </c>
      <c r="AO135" s="528"/>
      <c r="AP135" s="472">
        <v>70007316</v>
      </c>
      <c r="AQ135" s="472"/>
      <c r="AR135" s="472"/>
      <c r="AS135" s="472"/>
      <c r="AT135" s="472"/>
      <c r="AU135" s="472"/>
      <c r="AV135" s="544">
        <f t="shared" si="64"/>
        <v>70007316</v>
      </c>
      <c r="AW135" s="528"/>
      <c r="AX135" s="472"/>
      <c r="AY135" s="472"/>
      <c r="AZ135" s="472"/>
      <c r="BA135" s="472"/>
      <c r="BB135" s="472"/>
      <c r="BC135" s="472"/>
      <c r="BD135" s="544">
        <f t="shared" si="65"/>
        <v>0</v>
      </c>
      <c r="BE135" s="528"/>
      <c r="BF135" s="472"/>
      <c r="BG135" s="472"/>
      <c r="BH135" s="472"/>
      <c r="BI135" s="472"/>
      <c r="BJ135" s="472"/>
      <c r="BK135" s="472"/>
      <c r="BL135" s="544">
        <f t="shared" si="66"/>
        <v>0</v>
      </c>
      <c r="BM135" s="528"/>
      <c r="BN135" s="472"/>
      <c r="BO135" s="472"/>
      <c r="BP135" s="472"/>
      <c r="BQ135" s="472"/>
      <c r="BR135" s="472"/>
      <c r="BS135" s="472"/>
      <c r="BT135" s="544">
        <f t="shared" si="67"/>
        <v>0</v>
      </c>
      <c r="BU135" s="556"/>
      <c r="BV135" s="663">
        <f t="shared" si="31"/>
        <v>25</v>
      </c>
      <c r="BW135" s="674">
        <f t="shared" si="32"/>
        <v>2.0833333333333332E-2</v>
      </c>
      <c r="BX135" s="674">
        <f t="shared" si="33"/>
        <v>1</v>
      </c>
      <c r="BY135" s="674">
        <f t="shared" si="34"/>
        <v>0</v>
      </c>
      <c r="BZ135" s="675">
        <f t="shared" si="35"/>
        <v>0</v>
      </c>
      <c r="CA135" s="675">
        <f t="shared" si="36"/>
        <v>0</v>
      </c>
    </row>
    <row r="136" spans="1:79" ht="52.5" customHeight="1" x14ac:dyDescent="0.3">
      <c r="A136" s="298" t="s">
        <v>386</v>
      </c>
      <c r="B136" s="299" t="str">
        <f>'PLAN INDICATIVO'!B132</f>
        <v>APSB</v>
      </c>
      <c r="C136" s="1547"/>
      <c r="D136" s="1549"/>
      <c r="E136" s="1549"/>
      <c r="F136" s="1559"/>
      <c r="G136" s="1560"/>
      <c r="H136" s="1561"/>
      <c r="I136" s="300">
        <f>'PLAN INDICATIVO'!I132</f>
        <v>0</v>
      </c>
      <c r="J136" s="300">
        <f>'PLAN INDICATIVO'!J132</f>
        <v>0</v>
      </c>
      <c r="K136" s="1425" t="str">
        <f>'PLAN INDICATIVO'!K132</f>
        <v>A.3.1.13</v>
      </c>
      <c r="L136" s="1425" t="str">
        <f>'PLAN INDICATIVO'!L132</f>
        <v>6. Agua limplia y saneamiento</v>
      </c>
      <c r="M136" s="1425" t="str">
        <f>'PLAN INDICATIVO'!M132</f>
        <v>EMSERPLA</v>
      </c>
      <c r="N136" s="1425" t="s">
        <v>2687</v>
      </c>
      <c r="O136" s="1425" t="str">
        <f>'PLAN INDICATIVO'!O132</f>
        <v>Incremento</v>
      </c>
      <c r="P136" s="16" t="str">
        <f>'PLAN INDICATIVO'!P132</f>
        <v>Beneficiar 1000 familias con potabilización de agua en la zona rural, durante el cuatrienio</v>
      </c>
      <c r="Q136" s="302" t="str">
        <f>'PLAN INDICATIVO'!Q132</f>
        <v>No. De familias beneficiadas.</v>
      </c>
      <c r="R136" s="303">
        <f>'PLAN INDICATIVO'!R132</f>
        <v>2015</v>
      </c>
      <c r="S136" s="304">
        <v>0</v>
      </c>
      <c r="T136" s="677">
        <v>1000</v>
      </c>
      <c r="U136" s="304">
        <v>0</v>
      </c>
      <c r="V136" s="687"/>
      <c r="W136" s="304">
        <v>500</v>
      </c>
      <c r="X136" s="687">
        <v>224200000</v>
      </c>
      <c r="Y136" s="304">
        <v>250</v>
      </c>
      <c r="Z136" s="687">
        <v>220010000</v>
      </c>
      <c r="AA136" s="305">
        <v>250</v>
      </c>
      <c r="AB136" s="687">
        <v>50000000</v>
      </c>
      <c r="AC136" s="667"/>
      <c r="AD136" s="667"/>
      <c r="AE136" s="667"/>
      <c r="AF136" s="667"/>
      <c r="AG136" s="338"/>
      <c r="AH136" s="336"/>
      <c r="AI136" s="337"/>
      <c r="AJ136" s="337"/>
      <c r="AK136" s="337"/>
      <c r="AL136" s="337"/>
      <c r="AM136" s="267" t="s">
        <v>2594</v>
      </c>
      <c r="AN136" s="510"/>
      <c r="AO136" s="528"/>
      <c r="AP136" s="472"/>
      <c r="AQ136" s="472"/>
      <c r="AR136" s="472"/>
      <c r="AS136" s="472"/>
      <c r="AT136" s="472"/>
      <c r="AU136" s="472"/>
      <c r="AV136" s="544">
        <f t="shared" si="64"/>
        <v>0</v>
      </c>
      <c r="AW136" s="528"/>
      <c r="AX136" s="472"/>
      <c r="AY136" s="472"/>
      <c r="AZ136" s="472"/>
      <c r="BA136" s="472"/>
      <c r="BB136" s="472"/>
      <c r="BC136" s="472"/>
      <c r="BD136" s="544">
        <f t="shared" si="65"/>
        <v>0</v>
      </c>
      <c r="BE136" s="528"/>
      <c r="BF136" s="472"/>
      <c r="BG136" s="472"/>
      <c r="BH136" s="472"/>
      <c r="BI136" s="472"/>
      <c r="BJ136" s="472"/>
      <c r="BK136" s="472"/>
      <c r="BL136" s="544">
        <f t="shared" si="66"/>
        <v>0</v>
      </c>
      <c r="BM136" s="528"/>
      <c r="BN136" s="472"/>
      <c r="BO136" s="472"/>
      <c r="BP136" s="472"/>
      <c r="BQ136" s="472"/>
      <c r="BR136" s="472"/>
      <c r="BS136" s="472"/>
      <c r="BT136" s="544">
        <f t="shared" si="67"/>
        <v>0</v>
      </c>
      <c r="BU136" s="556"/>
      <c r="BV136" s="663">
        <f t="shared" si="31"/>
        <v>0</v>
      </c>
      <c r="BW136" s="674">
        <f t="shared" si="32"/>
        <v>0</v>
      </c>
      <c r="BX136" s="674" t="e">
        <f t="shared" si="33"/>
        <v>#DIV/0!</v>
      </c>
      <c r="BY136" s="674">
        <f t="shared" si="34"/>
        <v>0</v>
      </c>
      <c r="BZ136" s="675">
        <f t="shared" si="35"/>
        <v>0</v>
      </c>
      <c r="CA136" s="675">
        <f t="shared" si="36"/>
        <v>0</v>
      </c>
    </row>
    <row r="137" spans="1:79" ht="52.5" customHeight="1" x14ac:dyDescent="0.3">
      <c r="A137" s="298" t="s">
        <v>386</v>
      </c>
      <c r="B137" s="299" t="str">
        <f>'PLAN INDICATIVO'!B133</f>
        <v>APSB</v>
      </c>
      <c r="C137" s="1548"/>
      <c r="D137" s="1549"/>
      <c r="E137" s="1549"/>
      <c r="F137" s="1559"/>
      <c r="G137" s="1560"/>
      <c r="H137" s="1561"/>
      <c r="I137" s="300">
        <f>'PLAN INDICATIVO'!I133</f>
        <v>0</v>
      </c>
      <c r="J137" s="300">
        <f>'PLAN INDICATIVO'!J133</f>
        <v>0</v>
      </c>
      <c r="K137" s="1425" t="str">
        <f>'PLAN INDICATIVO'!K133</f>
        <v>A.3.1.14</v>
      </c>
      <c r="L137" s="1425" t="str">
        <f>'PLAN INDICATIVO'!L133</f>
        <v>6. Agua limplia y saneamiento</v>
      </c>
      <c r="M137" s="1425" t="str">
        <f>'PLAN INDICATIVO'!M133</f>
        <v>EMSERPLA</v>
      </c>
      <c r="N137" s="1425" t="s">
        <v>2687</v>
      </c>
      <c r="O137" s="1425" t="str">
        <f>'PLAN INDICATIVO'!O133</f>
        <v>Mantenimiento</v>
      </c>
      <c r="P137" s="16" t="str">
        <f>'PLAN INDICATIVO'!P133</f>
        <v>Apoyar anualmete 1 PDA con transferencia de recursos para Acueducto y alcantarillado municipal</v>
      </c>
      <c r="Q137" s="302" t="str">
        <f>'PLAN INDICATIVO'!Q133</f>
        <v>No. De apoyos realizados por año</v>
      </c>
      <c r="R137" s="303">
        <f>'PLAN INDICATIVO'!R133</f>
        <v>2015</v>
      </c>
      <c r="S137" s="304">
        <v>1</v>
      </c>
      <c r="T137" s="677">
        <v>1</v>
      </c>
      <c r="U137" s="304">
        <v>1</v>
      </c>
      <c r="V137" s="687">
        <v>253700000</v>
      </c>
      <c r="W137" s="304">
        <v>1</v>
      </c>
      <c r="X137" s="687">
        <v>200000000</v>
      </c>
      <c r="Y137" s="304">
        <v>1</v>
      </c>
      <c r="Z137" s="687">
        <v>271770000</v>
      </c>
      <c r="AA137" s="305">
        <v>1</v>
      </c>
      <c r="AB137" s="687">
        <v>281280000</v>
      </c>
      <c r="AC137" s="667">
        <v>1</v>
      </c>
      <c r="AD137" s="667"/>
      <c r="AE137" s="667"/>
      <c r="AF137" s="667"/>
      <c r="AG137" s="338"/>
      <c r="AH137" s="336" t="s">
        <v>2716</v>
      </c>
      <c r="AI137" s="337">
        <v>38565</v>
      </c>
      <c r="AJ137" s="337">
        <v>11171</v>
      </c>
      <c r="AK137" s="337"/>
      <c r="AL137" s="337"/>
      <c r="AM137" s="756" t="s">
        <v>2598</v>
      </c>
      <c r="AN137" s="510"/>
      <c r="AO137" s="528"/>
      <c r="AP137" s="472">
        <v>102351561</v>
      </c>
      <c r="AQ137" s="472"/>
      <c r="AR137" s="472"/>
      <c r="AS137" s="472"/>
      <c r="AT137" s="472"/>
      <c r="AU137" s="472"/>
      <c r="AV137" s="544">
        <f t="shared" si="64"/>
        <v>102351561</v>
      </c>
      <c r="AW137" s="840"/>
      <c r="AX137" s="841"/>
      <c r="AY137" s="841"/>
      <c r="AZ137" s="841"/>
      <c r="BA137" s="841"/>
      <c r="BB137" s="841"/>
      <c r="BC137" s="841"/>
      <c r="BD137" s="842">
        <f t="shared" si="65"/>
        <v>0</v>
      </c>
      <c r="BE137" s="840"/>
      <c r="BF137" s="841"/>
      <c r="BG137" s="841"/>
      <c r="BH137" s="841"/>
      <c r="BI137" s="841"/>
      <c r="BJ137" s="841"/>
      <c r="BK137" s="841"/>
      <c r="BL137" s="842">
        <f t="shared" si="66"/>
        <v>0</v>
      </c>
      <c r="BM137" s="840"/>
      <c r="BN137" s="841"/>
      <c r="BO137" s="841"/>
      <c r="BP137" s="841"/>
      <c r="BQ137" s="841"/>
      <c r="BR137" s="841"/>
      <c r="BS137" s="841"/>
      <c r="BT137" s="842">
        <f t="shared" si="67"/>
        <v>0</v>
      </c>
      <c r="BU137" s="556"/>
      <c r="BV137" s="663">
        <f t="shared" si="31"/>
        <v>1</v>
      </c>
      <c r="BW137" s="674">
        <f t="shared" si="32"/>
        <v>1</v>
      </c>
      <c r="BX137" s="674">
        <f t="shared" si="33"/>
        <v>1</v>
      </c>
      <c r="BY137" s="674">
        <f t="shared" si="34"/>
        <v>0</v>
      </c>
      <c r="BZ137" s="675">
        <f t="shared" si="35"/>
        <v>0</v>
      </c>
      <c r="CA137" s="675">
        <f t="shared" si="36"/>
        <v>0</v>
      </c>
    </row>
    <row r="138" spans="1:79" ht="28.5" hidden="1" customHeight="1" x14ac:dyDescent="0.25">
      <c r="A138" s="295" t="s">
        <v>386</v>
      </c>
      <c r="B138" s="24" t="str">
        <f>'PLAN INDICATIVO'!B134</f>
        <v>APSB</v>
      </c>
      <c r="C138" s="1574" t="s">
        <v>434</v>
      </c>
      <c r="D138" s="1575"/>
      <c r="E138" s="1575"/>
      <c r="F138" s="1575"/>
      <c r="G138" s="1575"/>
      <c r="H138" s="1575"/>
      <c r="I138" s="1575"/>
      <c r="J138" s="1575"/>
      <c r="K138" s="1575"/>
      <c r="L138" s="1575"/>
      <c r="M138" s="1575"/>
      <c r="N138" s="1575"/>
      <c r="O138" s="1576"/>
      <c r="P138" s="22"/>
      <c r="Q138" s="22"/>
      <c r="R138" s="1"/>
      <c r="S138" s="261"/>
      <c r="T138" s="681"/>
      <c r="U138" s="261"/>
      <c r="V138" s="693">
        <f>SUM(V139:V147)</f>
        <v>799000000</v>
      </c>
      <c r="W138" s="691"/>
      <c r="X138" s="693">
        <f>SUM(X139:X147)</f>
        <v>797620000</v>
      </c>
      <c r="Y138" s="691"/>
      <c r="Z138" s="693">
        <f>SUM(Z139:Z147)</f>
        <v>6866230000</v>
      </c>
      <c r="AA138" s="692"/>
      <c r="AB138" s="693">
        <f>SUM(AB139:AB147)</f>
        <v>977810000</v>
      </c>
      <c r="AC138" s="262"/>
      <c r="AD138" s="262"/>
      <c r="AE138" s="262"/>
      <c r="AF138" s="262"/>
      <c r="AG138" s="263"/>
      <c r="AH138" s="263"/>
      <c r="AI138" s="262"/>
      <c r="AJ138" s="262"/>
      <c r="AK138" s="262"/>
      <c r="AL138" s="262"/>
      <c r="AM138" s="262"/>
      <c r="AN138" s="612"/>
      <c r="AO138" s="616" t="e">
        <f>(AO139:AO147)</f>
        <v>#VALUE!</v>
      </c>
      <c r="AP138" s="616" t="e">
        <f t="shared" ref="AP138:AU138" si="68">(AP139:AP147)</f>
        <v>#VALUE!</v>
      </c>
      <c r="AQ138" s="616" t="e">
        <f t="shared" si="68"/>
        <v>#VALUE!</v>
      </c>
      <c r="AR138" s="616" t="e">
        <f t="shared" si="68"/>
        <v>#VALUE!</v>
      </c>
      <c r="AS138" s="616" t="e">
        <f t="shared" si="68"/>
        <v>#VALUE!</v>
      </c>
      <c r="AT138" s="616" t="e">
        <f t="shared" si="68"/>
        <v>#VALUE!</v>
      </c>
      <c r="AU138" s="616" t="e">
        <f t="shared" si="68"/>
        <v>#VALUE!</v>
      </c>
      <c r="AV138" s="617" t="e">
        <f t="shared" si="64"/>
        <v>#VALUE!</v>
      </c>
      <c r="AW138" s="616" t="e">
        <f t="shared" ref="AW138:BC138" si="69">(AW139:AW147)</f>
        <v>#VALUE!</v>
      </c>
      <c r="AX138" s="616" t="e">
        <f t="shared" si="69"/>
        <v>#VALUE!</v>
      </c>
      <c r="AY138" s="616" t="e">
        <f t="shared" si="69"/>
        <v>#VALUE!</v>
      </c>
      <c r="AZ138" s="616" t="e">
        <f t="shared" si="69"/>
        <v>#VALUE!</v>
      </c>
      <c r="BA138" s="616" t="e">
        <f t="shared" si="69"/>
        <v>#VALUE!</v>
      </c>
      <c r="BB138" s="616" t="e">
        <f t="shared" si="69"/>
        <v>#VALUE!</v>
      </c>
      <c r="BC138" s="616" t="e">
        <f t="shared" si="69"/>
        <v>#VALUE!</v>
      </c>
      <c r="BD138" s="617" t="e">
        <f t="shared" si="65"/>
        <v>#VALUE!</v>
      </c>
      <c r="BE138" s="616" t="e">
        <f t="shared" ref="BE138:BK138" si="70">(BE139:BE147)</f>
        <v>#VALUE!</v>
      </c>
      <c r="BF138" s="616" t="e">
        <f t="shared" si="70"/>
        <v>#VALUE!</v>
      </c>
      <c r="BG138" s="616" t="e">
        <f t="shared" si="70"/>
        <v>#VALUE!</v>
      </c>
      <c r="BH138" s="616" t="e">
        <f t="shared" si="70"/>
        <v>#VALUE!</v>
      </c>
      <c r="BI138" s="616" t="e">
        <f t="shared" si="70"/>
        <v>#VALUE!</v>
      </c>
      <c r="BJ138" s="616" t="e">
        <f t="shared" si="70"/>
        <v>#VALUE!</v>
      </c>
      <c r="BK138" s="616" t="e">
        <f t="shared" si="70"/>
        <v>#VALUE!</v>
      </c>
      <c r="BL138" s="617" t="e">
        <f t="shared" si="66"/>
        <v>#VALUE!</v>
      </c>
      <c r="BM138" s="616" t="e">
        <f t="shared" ref="BM138:BS138" si="71">(BM139:BM147)</f>
        <v>#VALUE!</v>
      </c>
      <c r="BN138" s="616" t="e">
        <f t="shared" si="71"/>
        <v>#VALUE!</v>
      </c>
      <c r="BO138" s="616" t="e">
        <f t="shared" si="71"/>
        <v>#VALUE!</v>
      </c>
      <c r="BP138" s="616" t="e">
        <f t="shared" si="71"/>
        <v>#VALUE!</v>
      </c>
      <c r="BQ138" s="616" t="e">
        <f t="shared" si="71"/>
        <v>#VALUE!</v>
      </c>
      <c r="BR138" s="616" t="e">
        <f t="shared" si="71"/>
        <v>#VALUE!</v>
      </c>
      <c r="BS138" s="616" t="e">
        <f t="shared" si="71"/>
        <v>#VALUE!</v>
      </c>
      <c r="BT138" s="617" t="e">
        <f t="shared" si="67"/>
        <v>#VALUE!</v>
      </c>
      <c r="BU138" s="556"/>
      <c r="BV138" s="663">
        <f t="shared" ref="BV138:BV201" si="72">AC138+AD138+AE138+AF138</f>
        <v>0</v>
      </c>
      <c r="BW138" s="674" t="e">
        <f t="shared" ref="BW138:BW201" si="73">BV138/T138</f>
        <v>#DIV/0!</v>
      </c>
      <c r="BX138" s="674" t="e">
        <f t="shared" ref="BX138:BX201" si="74">AC138/U138</f>
        <v>#DIV/0!</v>
      </c>
      <c r="BY138" s="674" t="e">
        <f t="shared" ref="BY138:BY201" si="75">AD138/W138</f>
        <v>#DIV/0!</v>
      </c>
      <c r="BZ138" s="675" t="e">
        <f t="shared" ref="BZ138:BZ201" si="76">AE138/Y138</f>
        <v>#DIV/0!</v>
      </c>
      <c r="CA138" s="675" t="e">
        <f t="shared" ref="CA138:CA201" si="77">AF138/AA138</f>
        <v>#DIV/0!</v>
      </c>
    </row>
    <row r="139" spans="1:79" ht="91.5" hidden="1" customHeight="1" x14ac:dyDescent="0.25">
      <c r="A139" s="298" t="s">
        <v>386</v>
      </c>
      <c r="B139" s="299" t="str">
        <f>'PLAN INDICATIVO'!B135</f>
        <v>APSB</v>
      </c>
      <c r="C139" s="1546" t="s">
        <v>435</v>
      </c>
      <c r="D139" s="1549" t="s">
        <v>436</v>
      </c>
      <c r="E139" s="1549" t="s">
        <v>437</v>
      </c>
      <c r="F139" s="1549">
        <v>2005</v>
      </c>
      <c r="G139" s="1549">
        <v>53</v>
      </c>
      <c r="H139" s="1549">
        <v>55</v>
      </c>
      <c r="I139" s="300">
        <f>'PLAN INDICATIVO'!I135</f>
        <v>0</v>
      </c>
      <c r="J139" s="300">
        <f>'PLAN INDICATIVO'!J135</f>
        <v>0</v>
      </c>
      <c r="K139" s="1425" t="str">
        <f>'PLAN INDICATIVO'!K135</f>
        <v>A.3.2.1</v>
      </c>
      <c r="L139" s="1425" t="str">
        <f>'PLAN INDICATIVO'!L135</f>
        <v>6. Agua limplia y saneamiento</v>
      </c>
      <c r="M139" s="1425" t="str">
        <f>'PLAN INDICATIVO'!M135</f>
        <v>EMSERPLA</v>
      </c>
      <c r="N139" s="1425" t="str">
        <f>'PLAN INDICATIVO'!N135</f>
        <v>MARIO MONTILLA CABRERA</v>
      </c>
      <c r="O139" s="1425" t="str">
        <f>'PLAN INDICATIVO'!O135</f>
        <v>Incremento</v>
      </c>
      <c r="P139" s="16" t="str">
        <f>'PLAN INDICATIVO'!P135</f>
        <v>Inscribir 1 proyecto para gestionar recursos para la implementación de 1 plan maestro de alcantarillado durante el cuatrienio.</v>
      </c>
      <c r="Q139" s="302" t="str">
        <f>'PLAN INDICATIVO'!Q135</f>
        <v>No. De proyectos inscritos</v>
      </c>
      <c r="R139" s="303">
        <f>'PLAN INDICATIVO'!R135</f>
        <v>2015</v>
      </c>
      <c r="S139" s="304">
        <v>0</v>
      </c>
      <c r="T139" s="677">
        <v>1</v>
      </c>
      <c r="U139" s="304">
        <v>0</v>
      </c>
      <c r="V139" s="687"/>
      <c r="W139" s="304">
        <v>1</v>
      </c>
      <c r="X139" s="687">
        <v>100000000</v>
      </c>
      <c r="Y139" s="304">
        <v>0</v>
      </c>
      <c r="Z139" s="687"/>
      <c r="AA139" s="305">
        <v>0</v>
      </c>
      <c r="AB139" s="687"/>
      <c r="AC139" s="665" t="s">
        <v>2717</v>
      </c>
      <c r="AD139" s="665"/>
      <c r="AE139" s="665"/>
      <c r="AF139" s="665"/>
      <c r="AG139" s="306"/>
      <c r="AH139" s="307"/>
      <c r="AI139" s="308"/>
      <c r="AJ139" s="308"/>
      <c r="AK139" s="308"/>
      <c r="AL139" s="308"/>
      <c r="AM139" s="267" t="s">
        <v>2594</v>
      </c>
      <c r="AN139" s="507"/>
      <c r="AO139" s="734"/>
      <c r="AP139" s="735"/>
      <c r="AQ139" s="735"/>
      <c r="AR139" s="735"/>
      <c r="AS139" s="735"/>
      <c r="AT139" s="735"/>
      <c r="AU139" s="735"/>
      <c r="AV139" s="731">
        <f t="shared" si="64"/>
        <v>0</v>
      </c>
      <c r="AW139" s="526"/>
      <c r="AX139" s="470"/>
      <c r="AY139" s="470"/>
      <c r="AZ139" s="470"/>
      <c r="BA139" s="470"/>
      <c r="BB139" s="470"/>
      <c r="BC139" s="470"/>
      <c r="BD139" s="544">
        <f t="shared" si="65"/>
        <v>0</v>
      </c>
      <c r="BE139" s="526"/>
      <c r="BF139" s="470"/>
      <c r="BG139" s="470"/>
      <c r="BH139" s="470"/>
      <c r="BI139" s="470"/>
      <c r="BJ139" s="470"/>
      <c r="BK139" s="470"/>
      <c r="BL139" s="544">
        <f t="shared" si="66"/>
        <v>0</v>
      </c>
      <c r="BM139" s="526"/>
      <c r="BN139" s="470"/>
      <c r="BO139" s="470"/>
      <c r="BP139" s="470"/>
      <c r="BQ139" s="470"/>
      <c r="BR139" s="470"/>
      <c r="BS139" s="470"/>
      <c r="BT139" s="544">
        <f t="shared" si="67"/>
        <v>0</v>
      </c>
      <c r="BU139" s="556"/>
      <c r="BV139" s="663" t="e">
        <f t="shared" si="72"/>
        <v>#VALUE!</v>
      </c>
      <c r="BW139" s="674" t="e">
        <f t="shared" si="73"/>
        <v>#VALUE!</v>
      </c>
      <c r="BX139" s="674" t="e">
        <f t="shared" si="74"/>
        <v>#VALUE!</v>
      </c>
      <c r="BY139" s="674">
        <f t="shared" si="75"/>
        <v>0</v>
      </c>
      <c r="BZ139" s="675" t="e">
        <f t="shared" si="76"/>
        <v>#DIV/0!</v>
      </c>
      <c r="CA139" s="675" t="e">
        <f t="shared" si="77"/>
        <v>#DIV/0!</v>
      </c>
    </row>
    <row r="140" spans="1:79" ht="87.75" hidden="1" customHeight="1" x14ac:dyDescent="0.25">
      <c r="A140" s="298" t="s">
        <v>386</v>
      </c>
      <c r="B140" s="299" t="str">
        <f>'PLAN INDICATIVO'!B136</f>
        <v>APSB</v>
      </c>
      <c r="C140" s="1547"/>
      <c r="D140" s="1549"/>
      <c r="E140" s="1549"/>
      <c r="F140" s="1549"/>
      <c r="G140" s="1549"/>
      <c r="H140" s="1549"/>
      <c r="I140" s="1425" t="str">
        <f>'PLAN INDICATIVO'!I136</f>
        <v>SI</v>
      </c>
      <c r="J140" s="1425">
        <f>'PLAN INDICATIVO'!J136</f>
        <v>0</v>
      </c>
      <c r="K140" s="1425" t="str">
        <f>'PLAN INDICATIVO'!K136</f>
        <v>A.3.2.2</v>
      </c>
      <c r="L140" s="1425" t="str">
        <f>'PLAN INDICATIVO'!L136</f>
        <v>6. Agua limplia y saneamiento</v>
      </c>
      <c r="M140" s="1425" t="str">
        <f>'PLAN INDICATIVO'!M136</f>
        <v>EMSERPLA</v>
      </c>
      <c r="N140" s="1425" t="str">
        <f>'PLAN INDICATIVO'!N136</f>
        <v>MARIO MONTILLA CABRERA</v>
      </c>
      <c r="O140" s="1425" t="str">
        <f>'PLAN INDICATIVO'!O136</f>
        <v>Incremento</v>
      </c>
      <c r="P140" s="16" t="str">
        <f>'PLAN INDICATIVO'!P136</f>
        <v>Inscribir y gestionar 1 proyecto para la construcción de una (1) planta de tratamiento de aguas residuales (PTAR), durante el cuatrienio.</v>
      </c>
      <c r="Q140" s="302" t="str">
        <f>'PLAN INDICATIVO'!Q136</f>
        <v xml:space="preserve">No. De proyectos inscritos y gestionados </v>
      </c>
      <c r="R140" s="303">
        <f>'PLAN INDICATIVO'!R136</f>
        <v>2015</v>
      </c>
      <c r="S140" s="304">
        <v>0</v>
      </c>
      <c r="T140" s="677">
        <v>1</v>
      </c>
      <c r="U140" s="304">
        <v>0</v>
      </c>
      <c r="V140" s="687"/>
      <c r="W140" s="304">
        <v>1</v>
      </c>
      <c r="X140" s="687">
        <v>50000000</v>
      </c>
      <c r="Y140" s="304">
        <v>1</v>
      </c>
      <c r="Z140" s="687">
        <v>800000000</v>
      </c>
      <c r="AA140" s="305">
        <v>0</v>
      </c>
      <c r="AB140" s="687"/>
      <c r="AC140" s="665"/>
      <c r="AD140" s="665"/>
      <c r="AE140" s="665"/>
      <c r="AF140" s="665"/>
      <c r="AG140" s="306"/>
      <c r="AH140" s="307"/>
      <c r="AI140" s="308"/>
      <c r="AJ140" s="308"/>
      <c r="AK140" s="308"/>
      <c r="AL140" s="308"/>
      <c r="AM140" s="267" t="s">
        <v>2594</v>
      </c>
      <c r="AN140" s="507"/>
      <c r="AO140" s="729"/>
      <c r="AP140" s="730"/>
      <c r="AQ140" s="730"/>
      <c r="AR140" s="730"/>
      <c r="AS140" s="730"/>
      <c r="AT140" s="730"/>
      <c r="AU140" s="730"/>
      <c r="AV140" s="731">
        <f t="shared" si="64"/>
        <v>0</v>
      </c>
      <c r="AW140" s="525"/>
      <c r="AX140" s="310"/>
      <c r="AY140" s="310"/>
      <c r="AZ140" s="310"/>
      <c r="BA140" s="310"/>
      <c r="BB140" s="310"/>
      <c r="BC140" s="310"/>
      <c r="BD140" s="544">
        <f t="shared" si="65"/>
        <v>0</v>
      </c>
      <c r="BE140" s="525"/>
      <c r="BF140" s="310"/>
      <c r="BG140" s="310"/>
      <c r="BH140" s="310"/>
      <c r="BI140" s="310"/>
      <c r="BJ140" s="310"/>
      <c r="BK140" s="310"/>
      <c r="BL140" s="544">
        <f t="shared" si="66"/>
        <v>0</v>
      </c>
      <c r="BM140" s="525"/>
      <c r="BN140" s="310"/>
      <c r="BO140" s="310"/>
      <c r="BP140" s="310"/>
      <c r="BQ140" s="310"/>
      <c r="BR140" s="310"/>
      <c r="BS140" s="310"/>
      <c r="BT140" s="544">
        <f t="shared" si="67"/>
        <v>0</v>
      </c>
      <c r="BU140" s="556"/>
      <c r="BV140" s="663">
        <f t="shared" si="72"/>
        <v>0</v>
      </c>
      <c r="BW140" s="674">
        <f t="shared" si="73"/>
        <v>0</v>
      </c>
      <c r="BX140" s="674" t="e">
        <f t="shared" si="74"/>
        <v>#DIV/0!</v>
      </c>
      <c r="BY140" s="674">
        <f t="shared" si="75"/>
        <v>0</v>
      </c>
      <c r="BZ140" s="675">
        <f t="shared" si="76"/>
        <v>0</v>
      </c>
      <c r="CA140" s="675" t="e">
        <f t="shared" si="77"/>
        <v>#DIV/0!</v>
      </c>
    </row>
    <row r="141" spans="1:79" ht="74.25" hidden="1" customHeight="1" x14ac:dyDescent="0.25">
      <c r="A141" s="298" t="s">
        <v>386</v>
      </c>
      <c r="B141" s="299" t="str">
        <f>'PLAN INDICATIVO'!B137</f>
        <v>APSB</v>
      </c>
      <c r="C141" s="1547"/>
      <c r="D141" s="1549"/>
      <c r="E141" s="1549"/>
      <c r="F141" s="1549"/>
      <c r="G141" s="1549"/>
      <c r="H141" s="1549"/>
      <c r="I141" s="300">
        <f>'PLAN INDICATIVO'!I137</f>
        <v>0</v>
      </c>
      <c r="J141" s="300">
        <f>'PLAN INDICATIVO'!J137</f>
        <v>0</v>
      </c>
      <c r="K141" s="1425" t="str">
        <f>'PLAN INDICATIVO'!K137</f>
        <v>A.3.2.3</v>
      </c>
      <c r="L141" s="1425" t="str">
        <f>'PLAN INDICATIVO'!L137</f>
        <v>6. Agua limplia y saneamiento</v>
      </c>
      <c r="M141" s="1425" t="str">
        <f>'PLAN INDICATIVO'!M137</f>
        <v>EMSERPLA</v>
      </c>
      <c r="N141" s="1425" t="str">
        <f>'PLAN INDICATIVO'!N137</f>
        <v>MARIO MONTILLA CABRERA</v>
      </c>
      <c r="O141" s="1425" t="str">
        <f>'PLAN INDICATIVO'!O137</f>
        <v>Incremento</v>
      </c>
      <c r="P141" s="16" t="str">
        <f>'PLAN INDICATIVO'!P137</f>
        <v>Instalar y poner en marcha 1 planta de tratamiento de aguas residuales modular para el centro de operaciones de emergencias, durante el cuatrienio.</v>
      </c>
      <c r="Q141" s="302" t="str">
        <f>'PLAN INDICATIVO'!Q137</f>
        <v>No. PTAR instaladas y funcionando</v>
      </c>
      <c r="R141" s="303">
        <f>'PLAN INDICATIVO'!R137</f>
        <v>2015</v>
      </c>
      <c r="S141" s="304">
        <v>0</v>
      </c>
      <c r="T141" s="677">
        <v>1</v>
      </c>
      <c r="U141" s="304">
        <v>1</v>
      </c>
      <c r="V141" s="687">
        <v>87000000</v>
      </c>
      <c r="W141" s="304">
        <v>1</v>
      </c>
      <c r="X141" s="687">
        <v>52000000</v>
      </c>
      <c r="Y141" s="304">
        <v>1</v>
      </c>
      <c r="Z141" s="687">
        <v>100000000</v>
      </c>
      <c r="AA141" s="305">
        <v>1</v>
      </c>
      <c r="AB141" s="687">
        <v>2000000</v>
      </c>
      <c r="AC141" s="665">
        <v>1</v>
      </c>
      <c r="AD141" s="665"/>
      <c r="AE141" s="665"/>
      <c r="AF141" s="665"/>
      <c r="AG141" s="306"/>
      <c r="AH141" s="307" t="s">
        <v>2718</v>
      </c>
      <c r="AI141" s="335">
        <v>40299</v>
      </c>
      <c r="AJ141" s="335">
        <v>11202</v>
      </c>
      <c r="AK141" s="308"/>
      <c r="AL141" s="308"/>
      <c r="AM141" s="267" t="s">
        <v>2598</v>
      </c>
      <c r="AN141" s="507" t="s">
        <v>2719</v>
      </c>
      <c r="AO141" s="729"/>
      <c r="AP141" s="730">
        <v>81000000</v>
      </c>
      <c r="AQ141" s="730"/>
      <c r="AR141" s="730"/>
      <c r="AS141" s="730"/>
      <c r="AT141" s="730"/>
      <c r="AU141" s="730"/>
      <c r="AV141" s="731">
        <f t="shared" si="64"/>
        <v>81000000</v>
      </c>
      <c r="AW141" s="525"/>
      <c r="AX141" s="310"/>
      <c r="AY141" s="310"/>
      <c r="AZ141" s="310"/>
      <c r="BA141" s="310"/>
      <c r="BB141" s="310"/>
      <c r="BC141" s="310"/>
      <c r="BD141" s="544">
        <f t="shared" si="65"/>
        <v>0</v>
      </c>
      <c r="BE141" s="525"/>
      <c r="BF141" s="310"/>
      <c r="BG141" s="310"/>
      <c r="BH141" s="310"/>
      <c r="BI141" s="310"/>
      <c r="BJ141" s="310"/>
      <c r="BK141" s="310"/>
      <c r="BL141" s="544">
        <f t="shared" si="66"/>
        <v>0</v>
      </c>
      <c r="BM141" s="525"/>
      <c r="BN141" s="310"/>
      <c r="BO141" s="310"/>
      <c r="BP141" s="310"/>
      <c r="BQ141" s="310"/>
      <c r="BR141" s="310"/>
      <c r="BS141" s="310"/>
      <c r="BT141" s="544">
        <f t="shared" si="67"/>
        <v>0</v>
      </c>
      <c r="BU141" s="556"/>
      <c r="BV141" s="663">
        <f t="shared" si="72"/>
        <v>1</v>
      </c>
      <c r="BW141" s="674">
        <f t="shared" si="73"/>
        <v>1</v>
      </c>
      <c r="BX141" s="674">
        <f t="shared" si="74"/>
        <v>1</v>
      </c>
      <c r="BY141" s="674">
        <f t="shared" si="75"/>
        <v>0</v>
      </c>
      <c r="BZ141" s="675">
        <f t="shared" si="76"/>
        <v>0</v>
      </c>
      <c r="CA141" s="675">
        <f t="shared" si="77"/>
        <v>0</v>
      </c>
    </row>
    <row r="142" spans="1:79" ht="73.5" hidden="1" customHeight="1" x14ac:dyDescent="0.25">
      <c r="A142" s="298" t="s">
        <v>386</v>
      </c>
      <c r="B142" s="299" t="str">
        <f>'PLAN INDICATIVO'!B138</f>
        <v>APSB</v>
      </c>
      <c r="C142" s="1547"/>
      <c r="D142" s="1549"/>
      <c r="E142" s="1549"/>
      <c r="F142" s="1549"/>
      <c r="G142" s="1549"/>
      <c r="H142" s="1549"/>
      <c r="I142" s="300">
        <f>'PLAN INDICATIVO'!I138</f>
        <v>0</v>
      </c>
      <c r="J142" s="300">
        <f>'PLAN INDICATIVO'!J138</f>
        <v>0</v>
      </c>
      <c r="K142" s="1425" t="str">
        <f>'PLAN INDICATIVO'!K138</f>
        <v>A.3.2.4</v>
      </c>
      <c r="L142" s="1425" t="str">
        <f>'PLAN INDICATIVO'!L138</f>
        <v>6. Agua limplia y saneamiento</v>
      </c>
      <c r="M142" s="1425" t="str">
        <f>'PLAN INDICATIVO'!M138</f>
        <v>EMSERPLA</v>
      </c>
      <c r="N142" s="1425" t="str">
        <f>'PLAN INDICATIVO'!N138</f>
        <v>MARIO MONTILLA CABRERA</v>
      </c>
      <c r="O142" s="1425" t="str">
        <f>'PLAN INDICATIVO'!O138</f>
        <v>Incremento</v>
      </c>
      <c r="P142" s="16" t="str">
        <f>'PLAN INDICATIVO'!P138</f>
        <v>Actualizar 1 Plan de Saneamiento y Manejo de Vertimientos (PSMV), durante el cuatrienio.</v>
      </c>
      <c r="Q142" s="302" t="str">
        <f>'PLAN INDICATIVO'!Q138</f>
        <v>No. De PSMV Actualizados</v>
      </c>
      <c r="R142" s="303">
        <f>'PLAN INDICATIVO'!R138</f>
        <v>2015</v>
      </c>
      <c r="S142" s="304">
        <v>0</v>
      </c>
      <c r="T142" s="677">
        <v>1</v>
      </c>
      <c r="U142" s="304">
        <v>1</v>
      </c>
      <c r="V142" s="687">
        <v>17000000</v>
      </c>
      <c r="W142" s="304">
        <v>0</v>
      </c>
      <c r="X142" s="304"/>
      <c r="Y142" s="304">
        <v>0</v>
      </c>
      <c r="Z142" s="304"/>
      <c r="AA142" s="305">
        <v>0</v>
      </c>
      <c r="AB142" s="687"/>
      <c r="AC142" s="665">
        <v>1</v>
      </c>
      <c r="AD142" s="665"/>
      <c r="AE142" s="665"/>
      <c r="AF142" s="665"/>
      <c r="AG142" s="306"/>
      <c r="AH142" s="307" t="s">
        <v>2720</v>
      </c>
      <c r="AI142" s="335">
        <v>45778</v>
      </c>
      <c r="AJ142" s="308"/>
      <c r="AK142" s="308"/>
      <c r="AL142" s="308"/>
      <c r="AM142" s="267" t="s">
        <v>2598</v>
      </c>
      <c r="AN142" s="507">
        <v>23031107</v>
      </c>
      <c r="AO142" s="729"/>
      <c r="AP142" s="730">
        <v>17000000</v>
      </c>
      <c r="AQ142" s="730"/>
      <c r="AR142" s="730"/>
      <c r="AS142" s="730"/>
      <c r="AT142" s="730"/>
      <c r="AU142" s="730">
        <v>3000000</v>
      </c>
      <c r="AV142" s="731">
        <f t="shared" si="64"/>
        <v>20000000</v>
      </c>
      <c r="AW142" s="525"/>
      <c r="AX142" s="310"/>
      <c r="AY142" s="310"/>
      <c r="AZ142" s="310"/>
      <c r="BA142" s="310"/>
      <c r="BB142" s="310"/>
      <c r="BC142" s="310"/>
      <c r="BD142" s="544">
        <f t="shared" si="65"/>
        <v>0</v>
      </c>
      <c r="BE142" s="525"/>
      <c r="BF142" s="310"/>
      <c r="BG142" s="310"/>
      <c r="BH142" s="310"/>
      <c r="BI142" s="310"/>
      <c r="BJ142" s="310"/>
      <c r="BK142" s="310"/>
      <c r="BL142" s="544">
        <f t="shared" si="66"/>
        <v>0</v>
      </c>
      <c r="BM142" s="525"/>
      <c r="BN142" s="310"/>
      <c r="BO142" s="310"/>
      <c r="BP142" s="310"/>
      <c r="BQ142" s="310"/>
      <c r="BR142" s="310"/>
      <c r="BS142" s="310"/>
      <c r="BT142" s="544">
        <f t="shared" si="67"/>
        <v>0</v>
      </c>
      <c r="BU142" s="556"/>
      <c r="BV142" s="663">
        <f t="shared" si="72"/>
        <v>1</v>
      </c>
      <c r="BW142" s="674">
        <f t="shared" si="73"/>
        <v>1</v>
      </c>
      <c r="BX142" s="674">
        <f t="shared" si="74"/>
        <v>1</v>
      </c>
      <c r="BY142" s="674" t="e">
        <f t="shared" si="75"/>
        <v>#DIV/0!</v>
      </c>
      <c r="BZ142" s="675" t="e">
        <f t="shared" si="76"/>
        <v>#DIV/0!</v>
      </c>
      <c r="CA142" s="675" t="e">
        <f t="shared" si="77"/>
        <v>#DIV/0!</v>
      </c>
    </row>
    <row r="143" spans="1:79" ht="72" hidden="1" customHeight="1" x14ac:dyDescent="0.25">
      <c r="A143" s="298" t="s">
        <v>386</v>
      </c>
      <c r="B143" s="299" t="str">
        <f>'PLAN INDICATIVO'!B139</f>
        <v>APSB</v>
      </c>
      <c r="C143" s="1547"/>
      <c r="D143" s="1549"/>
      <c r="E143" s="1549"/>
      <c r="F143" s="1549"/>
      <c r="G143" s="1549"/>
      <c r="H143" s="1549"/>
      <c r="I143" s="1425" t="str">
        <f>'PLAN INDICATIVO'!I139</f>
        <v>SI</v>
      </c>
      <c r="J143" s="1425">
        <f>'PLAN INDICATIVO'!J139</f>
        <v>0</v>
      </c>
      <c r="K143" s="1425" t="str">
        <f>'PLAN INDICATIVO'!K139</f>
        <v>A.3.2.5</v>
      </c>
      <c r="L143" s="1425" t="str">
        <f>'PLAN INDICATIVO'!L139</f>
        <v>6. Agua limplia y saneamiento</v>
      </c>
      <c r="M143" s="1425" t="str">
        <f>'PLAN INDICATIVO'!M139</f>
        <v>EMSERPLA</v>
      </c>
      <c r="N143" s="1425" t="str">
        <f>'PLAN INDICATIVO'!N139</f>
        <v>MARIO MONTILLA CABRERA</v>
      </c>
      <c r="O143" s="1425" t="str">
        <f>'PLAN INDICATIVO'!O139</f>
        <v>Incremento</v>
      </c>
      <c r="P143" s="16" t="str">
        <f>'PLAN INDICATIVO'!P139</f>
        <v>Construir y/o reponer 3,200 ml de alcantarillado durante el cuatrienio</v>
      </c>
      <c r="Q143" s="302" t="str">
        <f>'PLAN INDICATIVO'!Q139</f>
        <v>No. De metros lineales construidos</v>
      </c>
      <c r="R143" s="303">
        <f>'PLAN INDICATIVO'!R139</f>
        <v>2015</v>
      </c>
      <c r="S143" s="304">
        <v>738</v>
      </c>
      <c r="T143" s="677">
        <v>2800</v>
      </c>
      <c r="U143" s="304">
        <v>700</v>
      </c>
      <c r="V143" s="687">
        <v>498000000</v>
      </c>
      <c r="W143" s="304">
        <v>700</v>
      </c>
      <c r="X143" s="687">
        <v>389420000</v>
      </c>
      <c r="Y143" s="304">
        <v>700</v>
      </c>
      <c r="Z143" s="687">
        <v>626620000</v>
      </c>
      <c r="AA143" s="305">
        <v>2800</v>
      </c>
      <c r="AB143" s="687">
        <v>767550000</v>
      </c>
      <c r="AC143" s="665">
        <v>1045</v>
      </c>
      <c r="AD143" s="665"/>
      <c r="AE143" s="665"/>
      <c r="AF143" s="665"/>
      <c r="AG143" s="306"/>
      <c r="AH143" s="307" t="s">
        <v>2721</v>
      </c>
      <c r="AI143" s="335">
        <v>45809</v>
      </c>
      <c r="AJ143" s="335">
        <v>11202</v>
      </c>
      <c r="AK143" s="308"/>
      <c r="AL143" s="308"/>
      <c r="AM143" s="267" t="s">
        <v>2598</v>
      </c>
      <c r="AN143" s="507" t="s">
        <v>2722</v>
      </c>
      <c r="AO143" s="729"/>
      <c r="AP143" s="730">
        <v>471061000</v>
      </c>
      <c r="AQ143" s="730"/>
      <c r="AR143" s="730"/>
      <c r="AS143" s="730"/>
      <c r="AT143" s="730"/>
      <c r="AU143" s="730">
        <v>211581000</v>
      </c>
      <c r="AV143" s="731">
        <f t="shared" si="64"/>
        <v>682642000</v>
      </c>
      <c r="AW143" s="525"/>
      <c r="AX143" s="310"/>
      <c r="AY143" s="310"/>
      <c r="AZ143" s="310"/>
      <c r="BA143" s="310"/>
      <c r="BB143" s="310"/>
      <c r="BC143" s="310"/>
      <c r="BD143" s="544">
        <f t="shared" si="65"/>
        <v>0</v>
      </c>
      <c r="BE143" s="525"/>
      <c r="BF143" s="310"/>
      <c r="BG143" s="310"/>
      <c r="BH143" s="310"/>
      <c r="BI143" s="310"/>
      <c r="BJ143" s="310"/>
      <c r="BK143" s="310"/>
      <c r="BL143" s="544">
        <f t="shared" si="66"/>
        <v>0</v>
      </c>
      <c r="BM143" s="525"/>
      <c r="BN143" s="310"/>
      <c r="BO143" s="310"/>
      <c r="BP143" s="310"/>
      <c r="BQ143" s="310"/>
      <c r="BR143" s="310"/>
      <c r="BS143" s="310"/>
      <c r="BT143" s="544">
        <f t="shared" si="67"/>
        <v>0</v>
      </c>
      <c r="BU143" s="556"/>
      <c r="BV143" s="663">
        <f t="shared" si="72"/>
        <v>1045</v>
      </c>
      <c r="BW143" s="674">
        <f t="shared" si="73"/>
        <v>0.37321428571428572</v>
      </c>
      <c r="BX143" s="674">
        <f t="shared" si="74"/>
        <v>1.4928571428571429</v>
      </c>
      <c r="BY143" s="674">
        <f t="shared" si="75"/>
        <v>0</v>
      </c>
      <c r="BZ143" s="675">
        <f t="shared" si="76"/>
        <v>0</v>
      </c>
      <c r="CA143" s="675">
        <f t="shared" si="77"/>
        <v>0</v>
      </c>
    </row>
    <row r="144" spans="1:79" ht="63.75" hidden="1" customHeight="1" x14ac:dyDescent="0.25">
      <c r="A144" s="298" t="s">
        <v>386</v>
      </c>
      <c r="B144" s="299" t="str">
        <f>'PLAN INDICATIVO'!B140</f>
        <v>APSB</v>
      </c>
      <c r="C144" s="1547"/>
      <c r="D144" s="1549"/>
      <c r="E144" s="1549"/>
      <c r="F144" s="1549"/>
      <c r="G144" s="1549"/>
      <c r="H144" s="1549"/>
      <c r="I144" s="300">
        <f>'PLAN INDICATIVO'!I140</f>
        <v>0</v>
      </c>
      <c r="J144" s="300">
        <f>'PLAN INDICATIVO'!J140</f>
        <v>0</v>
      </c>
      <c r="K144" s="1425" t="str">
        <f>'PLAN INDICATIVO'!K140</f>
        <v>A.3.2.6</v>
      </c>
      <c r="L144" s="1425" t="str">
        <f>'PLAN INDICATIVO'!L140</f>
        <v>6. Agua limplia y saneamiento</v>
      </c>
      <c r="M144" s="1425" t="str">
        <f>'PLAN INDICATIVO'!M140</f>
        <v>EMSERPLA</v>
      </c>
      <c r="N144" s="1425" t="str">
        <f>'PLAN INDICATIVO'!N140</f>
        <v>MARIO MONTILLA CABRERA</v>
      </c>
      <c r="O144" s="1425" t="str">
        <f>'PLAN INDICATIVO'!O140</f>
        <v>Incremento</v>
      </c>
      <c r="P144" s="16" t="str">
        <f>'PLAN INDICATIVO'!P140</f>
        <v>Incrementar anualmente los servicios públicos  a 270 nuevos usuarios en servicio de alcantarillado durante el cuatrienio.</v>
      </c>
      <c r="Q144" s="302" t="str">
        <f>'PLAN INDICATIVO'!Q140</f>
        <v>No. De nuevos usuarios por año</v>
      </c>
      <c r="R144" s="303">
        <f>'PLAN INDICATIVO'!R140</f>
        <v>2015</v>
      </c>
      <c r="S144" s="304">
        <v>257</v>
      </c>
      <c r="T144" s="677">
        <v>1080</v>
      </c>
      <c r="U144" s="304">
        <v>270</v>
      </c>
      <c r="V144" s="687">
        <v>3000000</v>
      </c>
      <c r="W144" s="304">
        <v>270</v>
      </c>
      <c r="X144" s="687">
        <v>3000000</v>
      </c>
      <c r="Y144" s="304">
        <v>270</v>
      </c>
      <c r="Z144" s="687">
        <v>3000000</v>
      </c>
      <c r="AA144" s="305">
        <v>270</v>
      </c>
      <c r="AB144" s="687">
        <v>5000000</v>
      </c>
      <c r="AC144" s="665">
        <v>332</v>
      </c>
      <c r="AD144" s="665"/>
      <c r="AE144" s="665"/>
      <c r="AF144" s="665"/>
      <c r="AG144" s="306"/>
      <c r="AH144" s="307" t="s">
        <v>2723</v>
      </c>
      <c r="AI144" s="335">
        <v>37742</v>
      </c>
      <c r="AJ144" s="335">
        <v>11171</v>
      </c>
      <c r="AK144" s="308"/>
      <c r="AL144" s="308"/>
      <c r="AM144" s="267" t="s">
        <v>2598</v>
      </c>
      <c r="AN144" s="507">
        <v>230311</v>
      </c>
      <c r="AO144" s="729"/>
      <c r="AP144" s="730">
        <v>3000000</v>
      </c>
      <c r="AQ144" s="730"/>
      <c r="AR144" s="730"/>
      <c r="AS144" s="730"/>
      <c r="AT144" s="730"/>
      <c r="AU144" s="730"/>
      <c r="AV144" s="731">
        <f t="shared" si="64"/>
        <v>3000000</v>
      </c>
      <c r="AW144" s="525"/>
      <c r="AX144" s="310"/>
      <c r="AY144" s="310"/>
      <c r="AZ144" s="310"/>
      <c r="BA144" s="310"/>
      <c r="BB144" s="310"/>
      <c r="BC144" s="310"/>
      <c r="BD144" s="544">
        <f t="shared" si="65"/>
        <v>0</v>
      </c>
      <c r="BE144" s="525"/>
      <c r="BF144" s="310"/>
      <c r="BG144" s="310"/>
      <c r="BH144" s="310"/>
      <c r="BI144" s="310"/>
      <c r="BJ144" s="310"/>
      <c r="BK144" s="310"/>
      <c r="BL144" s="544">
        <f t="shared" si="66"/>
        <v>0</v>
      </c>
      <c r="BM144" s="525"/>
      <c r="BN144" s="310"/>
      <c r="BO144" s="310"/>
      <c r="BP144" s="310"/>
      <c r="BQ144" s="310"/>
      <c r="BR144" s="310"/>
      <c r="BS144" s="310"/>
      <c r="BT144" s="544">
        <f t="shared" si="67"/>
        <v>0</v>
      </c>
      <c r="BU144" s="556"/>
      <c r="BV144" s="663">
        <f t="shared" si="72"/>
        <v>332</v>
      </c>
      <c r="BW144" s="674">
        <f t="shared" si="73"/>
        <v>0.30740740740740741</v>
      </c>
      <c r="BX144" s="674">
        <f t="shared" si="74"/>
        <v>1.2296296296296296</v>
      </c>
      <c r="BY144" s="674">
        <f t="shared" si="75"/>
        <v>0</v>
      </c>
      <c r="BZ144" s="675">
        <f t="shared" si="76"/>
        <v>0</v>
      </c>
      <c r="CA144" s="675">
        <f t="shared" si="77"/>
        <v>0</v>
      </c>
    </row>
    <row r="145" spans="1:79" ht="57.75" hidden="1" customHeight="1" x14ac:dyDescent="0.25">
      <c r="A145" s="298" t="s">
        <v>386</v>
      </c>
      <c r="B145" s="299" t="str">
        <f>'PLAN INDICATIVO'!B141</f>
        <v>APSB</v>
      </c>
      <c r="C145" s="1547"/>
      <c r="D145" s="1549"/>
      <c r="E145" s="1549"/>
      <c r="F145" s="1549"/>
      <c r="G145" s="1549"/>
      <c r="H145" s="1549"/>
      <c r="I145" s="300">
        <f>'PLAN INDICATIVO'!I141</f>
        <v>0</v>
      </c>
      <c r="J145" s="300">
        <f>'PLAN INDICATIVO'!J141</f>
        <v>0</v>
      </c>
      <c r="K145" s="1425" t="str">
        <f>'PLAN INDICATIVO'!K141</f>
        <v>A.3.2.7</v>
      </c>
      <c r="L145" s="1425" t="str">
        <f>'PLAN INDICATIVO'!L141</f>
        <v>6. Agua limplia y saneamiento</v>
      </c>
      <c r="M145" s="1425" t="str">
        <f>'PLAN INDICATIVO'!M141</f>
        <v>EMSERPLA</v>
      </c>
      <c r="N145" s="1425" t="str">
        <f>'PLAN INDICATIVO'!N141</f>
        <v>MARIO MONTILLA CABRERA</v>
      </c>
      <c r="O145" s="1425" t="str">
        <f>'PLAN INDICATIVO'!O141</f>
        <v>Incremento</v>
      </c>
      <c r="P145" s="16" t="str">
        <f>'PLAN INDICATIVO'!P141</f>
        <v>Apoyar la construcción de un (1) colector de alcantarillado del barrio Transportadores, en la quebrada de Los Muertos, durante el cuatrienio</v>
      </c>
      <c r="Q145" s="302" t="str">
        <f>'PLAN INDICATIVO'!Q141</f>
        <v>No. De apoyos realizados para la construccion del colector</v>
      </c>
      <c r="R145" s="303">
        <f>'PLAN INDICATIVO'!R141</f>
        <v>2015</v>
      </c>
      <c r="S145" s="304">
        <v>0</v>
      </c>
      <c r="T145" s="677">
        <v>1</v>
      </c>
      <c r="U145" s="304">
        <v>0</v>
      </c>
      <c r="V145" s="687"/>
      <c r="W145" s="304">
        <v>0</v>
      </c>
      <c r="X145" s="304"/>
      <c r="Y145" s="304">
        <v>0.5</v>
      </c>
      <c r="Z145" s="687">
        <v>5050000000</v>
      </c>
      <c r="AA145" s="305">
        <v>0.5</v>
      </c>
      <c r="AB145" s="687">
        <v>5000000</v>
      </c>
      <c r="AC145" s="665"/>
      <c r="AD145" s="665"/>
      <c r="AE145" s="665"/>
      <c r="AF145" s="665"/>
      <c r="AG145" s="306"/>
      <c r="AH145" s="307"/>
      <c r="AI145" s="308"/>
      <c r="AJ145" s="308"/>
      <c r="AK145" s="308"/>
      <c r="AL145" s="308"/>
      <c r="AM145" s="267" t="s">
        <v>2594</v>
      </c>
      <c r="AN145" s="507"/>
      <c r="AO145" s="729"/>
      <c r="AP145" s="730"/>
      <c r="AQ145" s="730"/>
      <c r="AR145" s="730"/>
      <c r="AS145" s="730"/>
      <c r="AT145" s="730"/>
      <c r="AU145" s="730"/>
      <c r="AV145" s="731">
        <f t="shared" si="64"/>
        <v>0</v>
      </c>
      <c r="AW145" s="525"/>
      <c r="AX145" s="310"/>
      <c r="AY145" s="310"/>
      <c r="AZ145" s="310"/>
      <c r="BA145" s="310"/>
      <c r="BB145" s="310"/>
      <c r="BC145" s="310"/>
      <c r="BD145" s="544">
        <f t="shared" si="65"/>
        <v>0</v>
      </c>
      <c r="BE145" s="525"/>
      <c r="BF145" s="310"/>
      <c r="BG145" s="310"/>
      <c r="BH145" s="310"/>
      <c r="BI145" s="310"/>
      <c r="BJ145" s="310"/>
      <c r="BK145" s="310"/>
      <c r="BL145" s="544">
        <f t="shared" si="66"/>
        <v>0</v>
      </c>
      <c r="BM145" s="525"/>
      <c r="BN145" s="310"/>
      <c r="BO145" s="310"/>
      <c r="BP145" s="310"/>
      <c r="BQ145" s="310"/>
      <c r="BR145" s="310"/>
      <c r="BS145" s="310"/>
      <c r="BT145" s="544">
        <f t="shared" si="67"/>
        <v>0</v>
      </c>
      <c r="BU145" s="556"/>
      <c r="BV145" s="663">
        <f t="shared" si="72"/>
        <v>0</v>
      </c>
      <c r="BW145" s="674">
        <f t="shared" si="73"/>
        <v>0</v>
      </c>
      <c r="BX145" s="674" t="e">
        <f t="shared" si="74"/>
        <v>#DIV/0!</v>
      </c>
      <c r="BY145" s="674" t="e">
        <f t="shared" si="75"/>
        <v>#DIV/0!</v>
      </c>
      <c r="BZ145" s="675">
        <f t="shared" si="76"/>
        <v>0</v>
      </c>
      <c r="CA145" s="675">
        <f t="shared" si="77"/>
        <v>0</v>
      </c>
    </row>
    <row r="146" spans="1:79" ht="70.5" hidden="1" customHeight="1" x14ac:dyDescent="0.25">
      <c r="A146" s="298" t="s">
        <v>386</v>
      </c>
      <c r="B146" s="299" t="str">
        <f>'PLAN INDICATIVO'!B142</f>
        <v>APSB</v>
      </c>
      <c r="C146" s="1547"/>
      <c r="D146" s="1549"/>
      <c r="E146" s="1549"/>
      <c r="F146" s="1549"/>
      <c r="G146" s="1549"/>
      <c r="H146" s="1549"/>
      <c r="I146" s="300">
        <f>'PLAN INDICATIVO'!I142</f>
        <v>0</v>
      </c>
      <c r="J146" s="300">
        <f>'PLAN INDICATIVO'!J142</f>
        <v>0</v>
      </c>
      <c r="K146" s="1425" t="str">
        <f>'PLAN INDICATIVO'!K142</f>
        <v>A.3.2.8</v>
      </c>
      <c r="L146" s="1425" t="str">
        <f>'PLAN INDICATIVO'!L142</f>
        <v>6. Agua limplia y saneamiento</v>
      </c>
      <c r="M146" s="1425" t="str">
        <f>'PLAN INDICATIVO'!M142</f>
        <v>EMSERPLA</v>
      </c>
      <c r="N146" s="1425" t="str">
        <f>'PLAN INDICATIVO'!N142</f>
        <v>MARIO MONTILLA CABRERA</v>
      </c>
      <c r="O146" s="1425" t="str">
        <f>'PLAN INDICATIVO'!O142</f>
        <v>Mantenimiento</v>
      </c>
      <c r="P146" s="16" t="str">
        <f>'PLAN INDICATIVO'!P142</f>
        <v>Mantener 100% los subsidios de alcantarillado a la totalidad de usuarios  de estratos 1 y 2, durante el cuatrienio.</v>
      </c>
      <c r="Q146" s="302" t="str">
        <f>'PLAN INDICATIVO'!Q142</f>
        <v>Porcentaje de Subsidios entregados cada año</v>
      </c>
      <c r="R146" s="303">
        <f>'PLAN INDICATIVO'!R142</f>
        <v>2015</v>
      </c>
      <c r="S146" s="304">
        <v>100</v>
      </c>
      <c r="T146" s="677">
        <v>100</v>
      </c>
      <c r="U146" s="304">
        <v>100</v>
      </c>
      <c r="V146" s="687">
        <v>77000000</v>
      </c>
      <c r="W146" s="304">
        <v>100</v>
      </c>
      <c r="X146" s="687">
        <v>183200000</v>
      </c>
      <c r="Y146" s="304">
        <v>100</v>
      </c>
      <c r="Z146" s="687">
        <v>189610000</v>
      </c>
      <c r="AA146" s="305">
        <v>100</v>
      </c>
      <c r="AB146" s="687">
        <v>196240000</v>
      </c>
      <c r="AC146" s="665">
        <v>100</v>
      </c>
      <c r="AD146" s="665"/>
      <c r="AE146" s="665"/>
      <c r="AF146" s="665"/>
      <c r="AG146" s="306"/>
      <c r="AH146" s="307" t="s">
        <v>2724</v>
      </c>
      <c r="AI146" s="335">
        <v>36892</v>
      </c>
      <c r="AJ146" s="335">
        <v>11658</v>
      </c>
      <c r="AK146" s="308"/>
      <c r="AL146" s="308"/>
      <c r="AM146" s="267" t="s">
        <v>2598</v>
      </c>
      <c r="AN146" s="507"/>
      <c r="AO146" s="729"/>
      <c r="AP146" s="730">
        <v>76916911</v>
      </c>
      <c r="AQ146" s="730"/>
      <c r="AR146" s="730"/>
      <c r="AS146" s="730"/>
      <c r="AT146" s="730"/>
      <c r="AU146" s="730"/>
      <c r="AV146" s="731">
        <f t="shared" si="64"/>
        <v>76916911</v>
      </c>
      <c r="AW146" s="525"/>
      <c r="AX146" s="310"/>
      <c r="AY146" s="310"/>
      <c r="AZ146" s="310"/>
      <c r="BA146" s="310"/>
      <c r="BB146" s="310"/>
      <c r="BC146" s="310"/>
      <c r="BD146" s="544">
        <f t="shared" si="65"/>
        <v>0</v>
      </c>
      <c r="BE146" s="525"/>
      <c r="BF146" s="310"/>
      <c r="BG146" s="310"/>
      <c r="BH146" s="310"/>
      <c r="BI146" s="310"/>
      <c r="BJ146" s="310"/>
      <c r="BK146" s="310"/>
      <c r="BL146" s="544">
        <f t="shared" si="66"/>
        <v>0</v>
      </c>
      <c r="BM146" s="525"/>
      <c r="BN146" s="310"/>
      <c r="BO146" s="310"/>
      <c r="BP146" s="310"/>
      <c r="BQ146" s="310"/>
      <c r="BR146" s="310"/>
      <c r="BS146" s="310"/>
      <c r="BT146" s="544">
        <f t="shared" si="67"/>
        <v>0</v>
      </c>
      <c r="BU146" s="556"/>
      <c r="BV146" s="663">
        <f t="shared" si="72"/>
        <v>100</v>
      </c>
      <c r="BW146" s="674">
        <f t="shared" si="73"/>
        <v>1</v>
      </c>
      <c r="BX146" s="674">
        <f t="shared" si="74"/>
        <v>1</v>
      </c>
      <c r="BY146" s="674">
        <f t="shared" si="75"/>
        <v>0</v>
      </c>
      <c r="BZ146" s="675">
        <f t="shared" si="76"/>
        <v>0</v>
      </c>
      <c r="CA146" s="675">
        <f t="shared" si="77"/>
        <v>0</v>
      </c>
    </row>
    <row r="147" spans="1:79" ht="47.25" customHeight="1" x14ac:dyDescent="0.3">
      <c r="A147" s="298" t="s">
        <v>386</v>
      </c>
      <c r="B147" s="299" t="str">
        <f>'PLAN INDICATIVO'!B143</f>
        <v>APSB</v>
      </c>
      <c r="C147" s="1548"/>
      <c r="D147" s="1549"/>
      <c r="E147" s="1549"/>
      <c r="F147" s="1549"/>
      <c r="G147" s="1549"/>
      <c r="H147" s="1549"/>
      <c r="I147" s="300">
        <f>'PLAN INDICATIVO'!I143</f>
        <v>0</v>
      </c>
      <c r="J147" s="300">
        <f>'PLAN INDICATIVO'!J143</f>
        <v>0</v>
      </c>
      <c r="K147" s="1425" t="str">
        <f>'PLAN INDICATIVO'!K143</f>
        <v>A.3.2.9</v>
      </c>
      <c r="L147" s="1425" t="str">
        <f>'PLAN INDICATIVO'!L143</f>
        <v>6. Agua limplia y saneamiento</v>
      </c>
      <c r="M147" s="1425" t="str">
        <f>'PLAN INDICATIVO'!M143</f>
        <v>EMSERPLA</v>
      </c>
      <c r="N147" s="1425" t="s">
        <v>2687</v>
      </c>
      <c r="O147" s="1425" t="str">
        <f>'PLAN INDICATIVO'!O143</f>
        <v>Incremento</v>
      </c>
      <c r="P147" s="16" t="str">
        <f>'PLAN INDICATIVO'!P143</f>
        <v>Construir 250 baterías sanitarias en el cuatrienio</v>
      </c>
      <c r="Q147" s="302" t="str">
        <f>'PLAN INDICATIVO'!Q143</f>
        <v>No. De baterías sanitarias construidas</v>
      </c>
      <c r="R147" s="303">
        <f>'PLAN INDICATIVO'!R143</f>
        <v>2015</v>
      </c>
      <c r="S147" s="304">
        <v>0</v>
      </c>
      <c r="T147" s="677">
        <v>250</v>
      </c>
      <c r="U147" s="304">
        <v>50</v>
      </c>
      <c r="V147" s="687">
        <v>117000000</v>
      </c>
      <c r="W147" s="304">
        <v>50</v>
      </c>
      <c r="X147" s="687">
        <v>20000000</v>
      </c>
      <c r="Y147" s="304">
        <v>100</v>
      </c>
      <c r="Z147" s="687">
        <v>97000000</v>
      </c>
      <c r="AA147" s="305">
        <v>50</v>
      </c>
      <c r="AB147" s="687">
        <v>2020000</v>
      </c>
      <c r="AC147" s="667">
        <v>6</v>
      </c>
      <c r="AD147" s="667"/>
      <c r="AE147" s="667"/>
      <c r="AF147" s="667"/>
      <c r="AG147" s="306" t="s">
        <v>2688</v>
      </c>
      <c r="AH147" s="307" t="s">
        <v>2725</v>
      </c>
      <c r="AI147" s="335">
        <v>42887</v>
      </c>
      <c r="AJ147" s="335">
        <v>11293</v>
      </c>
      <c r="AK147" s="308"/>
      <c r="AL147" s="308"/>
      <c r="AM147" s="267" t="s">
        <v>2604</v>
      </c>
      <c r="AN147" s="507">
        <v>2303</v>
      </c>
      <c r="AO147" s="525"/>
      <c r="AP147" s="310"/>
      <c r="AQ147" s="310"/>
      <c r="AR147" s="310"/>
      <c r="AS147" s="310"/>
      <c r="AT147" s="380"/>
      <c r="AU147" s="310"/>
      <c r="AV147" s="544">
        <f t="shared" si="64"/>
        <v>0</v>
      </c>
      <c r="AW147" s="525"/>
      <c r="AX147" s="310"/>
      <c r="AY147" s="310"/>
      <c r="AZ147" s="310"/>
      <c r="BA147" s="310"/>
      <c r="BB147" s="380"/>
      <c r="BC147" s="310"/>
      <c r="BD147" s="544">
        <f t="shared" si="65"/>
        <v>0</v>
      </c>
      <c r="BE147" s="525"/>
      <c r="BF147" s="310"/>
      <c r="BG147" s="310"/>
      <c r="BH147" s="310"/>
      <c r="BI147" s="310"/>
      <c r="BJ147" s="380"/>
      <c r="BK147" s="310"/>
      <c r="BL147" s="544">
        <f t="shared" si="66"/>
        <v>0</v>
      </c>
      <c r="BM147" s="525"/>
      <c r="BN147" s="310"/>
      <c r="BO147" s="310"/>
      <c r="BP147" s="310"/>
      <c r="BQ147" s="310"/>
      <c r="BR147" s="380"/>
      <c r="BS147" s="310"/>
      <c r="BT147" s="544">
        <f t="shared" si="67"/>
        <v>0</v>
      </c>
      <c r="BU147" s="556"/>
      <c r="BV147" s="663">
        <f t="shared" si="72"/>
        <v>6</v>
      </c>
      <c r="BW147" s="674">
        <f t="shared" si="73"/>
        <v>2.4E-2</v>
      </c>
      <c r="BX147" s="674">
        <f t="shared" si="74"/>
        <v>0.12</v>
      </c>
      <c r="BY147" s="674">
        <f t="shared" si="75"/>
        <v>0</v>
      </c>
      <c r="BZ147" s="675">
        <f t="shared" si="76"/>
        <v>0</v>
      </c>
      <c r="CA147" s="675">
        <f t="shared" si="77"/>
        <v>0</v>
      </c>
    </row>
    <row r="148" spans="1:79" ht="42" hidden="1" customHeight="1" x14ac:dyDescent="0.25">
      <c r="A148" s="295" t="s">
        <v>386</v>
      </c>
      <c r="B148" s="24" t="str">
        <f>'PLAN INDICATIVO'!B144</f>
        <v>APSB</v>
      </c>
      <c r="C148" s="1574" t="s">
        <v>464</v>
      </c>
      <c r="D148" s="1575"/>
      <c r="E148" s="1575"/>
      <c r="F148" s="1575"/>
      <c r="G148" s="1575"/>
      <c r="H148" s="1575"/>
      <c r="I148" s="1575"/>
      <c r="J148" s="1575"/>
      <c r="K148" s="1575"/>
      <c r="L148" s="1575"/>
      <c r="M148" s="1575"/>
      <c r="N148" s="1575"/>
      <c r="O148" s="1576"/>
      <c r="P148" s="22"/>
      <c r="Q148" s="22"/>
      <c r="R148" s="1"/>
      <c r="S148" s="261"/>
      <c r="T148" s="681"/>
      <c r="U148" s="261"/>
      <c r="V148" s="693">
        <f>SUM(V149:V155)</f>
        <v>889700000</v>
      </c>
      <c r="W148" s="691"/>
      <c r="X148" s="693">
        <f>SUM(X149:X155)</f>
        <v>347250000</v>
      </c>
      <c r="Y148" s="691"/>
      <c r="Z148" s="693">
        <f>SUM(Z149:Z155)</f>
        <v>461520000</v>
      </c>
      <c r="AA148" s="692"/>
      <c r="AB148" s="693">
        <f>SUM(AB149:AB155)</f>
        <v>481640000</v>
      </c>
      <c r="AC148" s="262"/>
      <c r="AD148" s="262"/>
      <c r="AE148" s="262"/>
      <c r="AF148" s="262"/>
      <c r="AG148" s="263"/>
      <c r="AH148" s="263"/>
      <c r="AI148" s="262"/>
      <c r="AJ148" s="262"/>
      <c r="AK148" s="262"/>
      <c r="AL148" s="262"/>
      <c r="AM148" s="262"/>
      <c r="AN148" s="612"/>
      <c r="AO148" s="616" t="e">
        <f>(AO149:AO155)</f>
        <v>#VALUE!</v>
      </c>
      <c r="AP148" s="616" t="e">
        <f t="shared" ref="AP148:AU148" si="78">(AP149:AP155)</f>
        <v>#VALUE!</v>
      </c>
      <c r="AQ148" s="616" t="e">
        <f t="shared" si="78"/>
        <v>#VALUE!</v>
      </c>
      <c r="AR148" s="616" t="e">
        <f t="shared" si="78"/>
        <v>#VALUE!</v>
      </c>
      <c r="AS148" s="616" t="e">
        <f t="shared" si="78"/>
        <v>#VALUE!</v>
      </c>
      <c r="AT148" s="616" t="e">
        <f t="shared" si="78"/>
        <v>#VALUE!</v>
      </c>
      <c r="AU148" s="616" t="e">
        <f t="shared" si="78"/>
        <v>#VALUE!</v>
      </c>
      <c r="AV148" s="617" t="e">
        <f t="shared" si="64"/>
        <v>#VALUE!</v>
      </c>
      <c r="AW148" s="616" t="e">
        <f t="shared" ref="AW148:BC148" si="79">(AW149:AW155)</f>
        <v>#VALUE!</v>
      </c>
      <c r="AX148" s="616" t="e">
        <f t="shared" si="79"/>
        <v>#VALUE!</v>
      </c>
      <c r="AY148" s="616" t="e">
        <f t="shared" si="79"/>
        <v>#VALUE!</v>
      </c>
      <c r="AZ148" s="616" t="e">
        <f t="shared" si="79"/>
        <v>#VALUE!</v>
      </c>
      <c r="BA148" s="616" t="e">
        <f t="shared" si="79"/>
        <v>#VALUE!</v>
      </c>
      <c r="BB148" s="616" t="e">
        <f t="shared" si="79"/>
        <v>#VALUE!</v>
      </c>
      <c r="BC148" s="616" t="e">
        <f t="shared" si="79"/>
        <v>#VALUE!</v>
      </c>
      <c r="BD148" s="617" t="e">
        <f t="shared" si="65"/>
        <v>#VALUE!</v>
      </c>
      <c r="BE148" s="616" t="e">
        <f t="shared" ref="BE148:BK148" si="80">(BE149:BE155)</f>
        <v>#VALUE!</v>
      </c>
      <c r="BF148" s="616" t="e">
        <f t="shared" si="80"/>
        <v>#VALUE!</v>
      </c>
      <c r="BG148" s="616" t="e">
        <f t="shared" si="80"/>
        <v>#VALUE!</v>
      </c>
      <c r="BH148" s="616" t="e">
        <f t="shared" si="80"/>
        <v>#VALUE!</v>
      </c>
      <c r="BI148" s="616" t="e">
        <f t="shared" si="80"/>
        <v>#VALUE!</v>
      </c>
      <c r="BJ148" s="616" t="e">
        <f t="shared" si="80"/>
        <v>#VALUE!</v>
      </c>
      <c r="BK148" s="616" t="e">
        <f t="shared" si="80"/>
        <v>#VALUE!</v>
      </c>
      <c r="BL148" s="617" t="e">
        <f t="shared" si="66"/>
        <v>#VALUE!</v>
      </c>
      <c r="BM148" s="616" t="e">
        <f t="shared" ref="BM148:BS148" si="81">(BM149:BM155)</f>
        <v>#VALUE!</v>
      </c>
      <c r="BN148" s="616" t="e">
        <f t="shared" si="81"/>
        <v>#VALUE!</v>
      </c>
      <c r="BO148" s="616" t="e">
        <f t="shared" si="81"/>
        <v>#VALUE!</v>
      </c>
      <c r="BP148" s="616" t="e">
        <f t="shared" si="81"/>
        <v>#VALUE!</v>
      </c>
      <c r="BQ148" s="616" t="e">
        <f t="shared" si="81"/>
        <v>#VALUE!</v>
      </c>
      <c r="BR148" s="616" t="e">
        <f t="shared" si="81"/>
        <v>#VALUE!</v>
      </c>
      <c r="BS148" s="616" t="e">
        <f t="shared" si="81"/>
        <v>#VALUE!</v>
      </c>
      <c r="BT148" s="617" t="e">
        <f t="shared" si="67"/>
        <v>#VALUE!</v>
      </c>
      <c r="BU148" s="556"/>
      <c r="BV148" s="663">
        <f t="shared" si="72"/>
        <v>0</v>
      </c>
      <c r="BW148" s="674" t="e">
        <f t="shared" si="73"/>
        <v>#DIV/0!</v>
      </c>
      <c r="BX148" s="674" t="e">
        <f t="shared" si="74"/>
        <v>#DIV/0!</v>
      </c>
      <c r="BY148" s="674" t="e">
        <f t="shared" si="75"/>
        <v>#DIV/0!</v>
      </c>
      <c r="BZ148" s="675" t="e">
        <f t="shared" si="76"/>
        <v>#DIV/0!</v>
      </c>
      <c r="CA148" s="675" t="e">
        <f t="shared" si="77"/>
        <v>#DIV/0!</v>
      </c>
    </row>
    <row r="149" spans="1:79" ht="75.75" customHeight="1" x14ac:dyDescent="0.3">
      <c r="A149" s="298" t="s">
        <v>386</v>
      </c>
      <c r="B149" s="299" t="str">
        <f>'PLAN INDICATIVO'!B145</f>
        <v>APSB</v>
      </c>
      <c r="C149" s="1546" t="s">
        <v>465</v>
      </c>
      <c r="D149" s="1549" t="s">
        <v>466</v>
      </c>
      <c r="E149" s="1549" t="s">
        <v>467</v>
      </c>
      <c r="F149" s="1549">
        <v>2015</v>
      </c>
      <c r="G149" s="1549">
        <v>98</v>
      </c>
      <c r="H149" s="1549">
        <v>100</v>
      </c>
      <c r="I149" s="1425" t="str">
        <f>'PLAN INDICATIVO'!I145</f>
        <v>SI</v>
      </c>
      <c r="J149" s="1425">
        <f>'PLAN INDICATIVO'!J145</f>
        <v>0</v>
      </c>
      <c r="K149" s="1425" t="str">
        <f>'PLAN INDICATIVO'!K145</f>
        <v>A.3.3.1</v>
      </c>
      <c r="L149" s="1425" t="str">
        <f>'PLAN INDICATIVO'!L145</f>
        <v>6. Agua limplia y saneamiento</v>
      </c>
      <c r="M149" s="1425" t="str">
        <f>'PLAN INDICATIVO'!M145</f>
        <v>EMSERPLA</v>
      </c>
      <c r="N149" s="1425" t="s">
        <v>2687</v>
      </c>
      <c r="O149" s="1425" t="str">
        <f>'PLAN INDICATIVO'!O145</f>
        <v>Incremento</v>
      </c>
      <c r="P149" s="16" t="str">
        <f>'PLAN INDICATIVO'!P145</f>
        <v>Adquirir 1 vehículo compactador para mejorar la prestación del servicio de recolección de residuos sólidos en sector urbano y rural, durante el cuatrienio</v>
      </c>
      <c r="Q149" s="302" t="str">
        <f>'PLAN INDICATIVO'!Q145</f>
        <v xml:space="preserve">No. De vehículos adquiridos </v>
      </c>
      <c r="R149" s="303">
        <f>'PLAN INDICATIVO'!R145</f>
        <v>2015</v>
      </c>
      <c r="S149" s="304">
        <v>0</v>
      </c>
      <c r="T149" s="677"/>
      <c r="U149" s="304">
        <v>1</v>
      </c>
      <c r="V149" s="687">
        <v>451200000</v>
      </c>
      <c r="W149" s="304">
        <v>0</v>
      </c>
      <c r="X149" s="687"/>
      <c r="Y149" s="304">
        <v>0</v>
      </c>
      <c r="Z149" s="687"/>
      <c r="AA149" s="305">
        <v>0</v>
      </c>
      <c r="AB149" s="687"/>
      <c r="AC149" s="667">
        <v>1</v>
      </c>
      <c r="AD149" s="667"/>
      <c r="AE149" s="667"/>
      <c r="AF149" s="667"/>
      <c r="AG149" s="338"/>
      <c r="AH149" s="336" t="s">
        <v>2726</v>
      </c>
      <c r="AI149" s="339">
        <v>40299</v>
      </c>
      <c r="AJ149" s="339">
        <v>11202</v>
      </c>
      <c r="AK149" s="337"/>
      <c r="AL149" s="337"/>
      <c r="AM149" s="267" t="s">
        <v>2598</v>
      </c>
      <c r="AN149" s="510">
        <v>23031202</v>
      </c>
      <c r="AO149" s="730"/>
      <c r="AP149" s="730">
        <f>356100000+95100000</f>
        <v>451200000</v>
      </c>
      <c r="AQ149" s="730"/>
      <c r="AR149" s="730"/>
      <c r="AS149" s="730"/>
      <c r="AT149" s="730"/>
      <c r="AU149" s="730"/>
      <c r="AV149" s="730">
        <f t="shared" si="64"/>
        <v>451200000</v>
      </c>
      <c r="AW149" s="529"/>
      <c r="AX149" s="473"/>
      <c r="AY149" s="473"/>
      <c r="AZ149" s="473"/>
      <c r="BA149" s="473"/>
      <c r="BB149" s="473"/>
      <c r="BC149" s="473"/>
      <c r="BD149" s="544">
        <f t="shared" si="65"/>
        <v>0</v>
      </c>
      <c r="BE149" s="529"/>
      <c r="BF149" s="473"/>
      <c r="BG149" s="473"/>
      <c r="BH149" s="473"/>
      <c r="BI149" s="473"/>
      <c r="BJ149" s="473"/>
      <c r="BK149" s="473"/>
      <c r="BL149" s="544">
        <f t="shared" si="66"/>
        <v>0</v>
      </c>
      <c r="BM149" s="529"/>
      <c r="BN149" s="473"/>
      <c r="BO149" s="473"/>
      <c r="BP149" s="473"/>
      <c r="BQ149" s="473"/>
      <c r="BR149" s="473"/>
      <c r="BS149" s="473"/>
      <c r="BT149" s="544">
        <f t="shared" si="67"/>
        <v>0</v>
      </c>
      <c r="BU149" s="556"/>
      <c r="BV149" s="663">
        <f t="shared" si="72"/>
        <v>1</v>
      </c>
      <c r="BW149" s="674" t="e">
        <f t="shared" si="73"/>
        <v>#DIV/0!</v>
      </c>
      <c r="BX149" s="674">
        <f t="shared" si="74"/>
        <v>1</v>
      </c>
      <c r="BY149" s="674" t="e">
        <f t="shared" si="75"/>
        <v>#DIV/0!</v>
      </c>
      <c r="BZ149" s="675" t="e">
        <f t="shared" si="76"/>
        <v>#DIV/0!</v>
      </c>
      <c r="CA149" s="675" t="e">
        <f t="shared" si="77"/>
        <v>#DIV/0!</v>
      </c>
    </row>
    <row r="150" spans="1:79" ht="87.75" hidden="1" customHeight="1" x14ac:dyDescent="0.25">
      <c r="A150" s="298" t="s">
        <v>386</v>
      </c>
      <c r="B150" s="299" t="str">
        <f>'PLAN INDICATIVO'!B146</f>
        <v>APSB</v>
      </c>
      <c r="C150" s="1547"/>
      <c r="D150" s="1549"/>
      <c r="E150" s="1549"/>
      <c r="F150" s="1549"/>
      <c r="G150" s="1549"/>
      <c r="H150" s="1549"/>
      <c r="I150" s="300">
        <f>'PLAN INDICATIVO'!I146</f>
        <v>0</v>
      </c>
      <c r="J150" s="300">
        <f>'PLAN INDICATIVO'!J146</f>
        <v>0</v>
      </c>
      <c r="K150" s="1425" t="str">
        <f>'PLAN INDICATIVO'!K146</f>
        <v>A.3.3.2</v>
      </c>
      <c r="L150" s="1425" t="str">
        <f>'PLAN INDICATIVO'!L146</f>
        <v>6. Agua limplia y saneamiento</v>
      </c>
      <c r="M150" s="1425" t="str">
        <f>'PLAN INDICATIVO'!M146</f>
        <v>EMSERPLA</v>
      </c>
      <c r="N150" s="1425" t="str">
        <f>'PLAN INDICATIVO'!N146</f>
        <v>MARIO MONTILLA CABRERA</v>
      </c>
      <c r="O150" s="1425" t="str">
        <f>'PLAN INDICATIVO'!O146</f>
        <v>Mantenimiento</v>
      </c>
      <c r="P150" s="16" t="str">
        <f>'PLAN INDICATIVO'!P146</f>
        <v xml:space="preserve">Ejecutar 1 programa "reciclamos para el cambio" cada año </v>
      </c>
      <c r="Q150" s="302" t="str">
        <f>'PLAN INDICATIVO'!Q146</f>
        <v>No. Programa ejecutados cada año</v>
      </c>
      <c r="R150" s="303">
        <f>'PLAN INDICATIVO'!R146</f>
        <v>2015</v>
      </c>
      <c r="S150" s="304">
        <v>0</v>
      </c>
      <c r="T150" s="677">
        <v>1</v>
      </c>
      <c r="U150" s="304">
        <v>1</v>
      </c>
      <c r="V150" s="687">
        <v>207500000</v>
      </c>
      <c r="W150" s="304">
        <v>1</v>
      </c>
      <c r="X150" s="687">
        <v>114760000</v>
      </c>
      <c r="Y150" s="304">
        <v>1</v>
      </c>
      <c r="Z150" s="687">
        <v>222280000</v>
      </c>
      <c r="AA150" s="305">
        <v>1</v>
      </c>
      <c r="AB150" s="687">
        <v>230060000</v>
      </c>
      <c r="AC150" s="665">
        <v>1</v>
      </c>
      <c r="AD150" s="665"/>
      <c r="AE150" s="665"/>
      <c r="AF150" s="665"/>
      <c r="AG150" s="306"/>
      <c r="AH150" s="307" t="s">
        <v>2727</v>
      </c>
      <c r="AI150" s="335">
        <v>38473</v>
      </c>
      <c r="AJ150" s="335">
        <v>11658</v>
      </c>
      <c r="AK150" s="308"/>
      <c r="AL150" s="308"/>
      <c r="AM150" s="267" t="s">
        <v>2598</v>
      </c>
      <c r="AN150" s="507">
        <v>23031201</v>
      </c>
      <c r="AO150" s="730"/>
      <c r="AP150" s="730">
        <v>267000000</v>
      </c>
      <c r="AQ150" s="730"/>
      <c r="AR150" s="730"/>
      <c r="AS150" s="730"/>
      <c r="AT150" s="730"/>
      <c r="AU150" s="730"/>
      <c r="AV150" s="730">
        <f t="shared" si="64"/>
        <v>267000000</v>
      </c>
      <c r="AW150" s="530"/>
      <c r="AX150" s="474"/>
      <c r="AY150" s="474"/>
      <c r="AZ150" s="474"/>
      <c r="BA150" s="474"/>
      <c r="BB150" s="474"/>
      <c r="BC150" s="474"/>
      <c r="BD150" s="544">
        <f t="shared" si="65"/>
        <v>0</v>
      </c>
      <c r="BE150" s="530"/>
      <c r="BF150" s="474"/>
      <c r="BG150" s="474"/>
      <c r="BH150" s="474"/>
      <c r="BI150" s="474"/>
      <c r="BJ150" s="474"/>
      <c r="BK150" s="474"/>
      <c r="BL150" s="544">
        <f t="shared" si="66"/>
        <v>0</v>
      </c>
      <c r="BM150" s="530"/>
      <c r="BN150" s="474"/>
      <c r="BO150" s="474"/>
      <c r="BP150" s="474"/>
      <c r="BQ150" s="474"/>
      <c r="BR150" s="474"/>
      <c r="BS150" s="474"/>
      <c r="BT150" s="544">
        <f t="shared" si="67"/>
        <v>0</v>
      </c>
      <c r="BU150" s="556"/>
      <c r="BV150" s="663">
        <f t="shared" si="72"/>
        <v>1</v>
      </c>
      <c r="BW150" s="674">
        <f t="shared" si="73"/>
        <v>1</v>
      </c>
      <c r="BX150" s="674">
        <f t="shared" si="74"/>
        <v>1</v>
      </c>
      <c r="BY150" s="674">
        <f t="shared" si="75"/>
        <v>0</v>
      </c>
      <c r="BZ150" s="675">
        <f t="shared" si="76"/>
        <v>0</v>
      </c>
      <c r="CA150" s="675">
        <f t="shared" si="77"/>
        <v>0</v>
      </c>
    </row>
    <row r="151" spans="1:79" ht="73.5" customHeight="1" x14ac:dyDescent="0.3">
      <c r="A151" s="298" t="s">
        <v>386</v>
      </c>
      <c r="B151" s="299" t="str">
        <f>'PLAN INDICATIVO'!B147</f>
        <v>APSB</v>
      </c>
      <c r="C151" s="1547"/>
      <c r="D151" s="1549"/>
      <c r="E151" s="1549"/>
      <c r="F151" s="1549"/>
      <c r="G151" s="1549"/>
      <c r="H151" s="1549"/>
      <c r="I151" s="300">
        <f>'PLAN INDICATIVO'!I147</f>
        <v>0</v>
      </c>
      <c r="J151" s="300">
        <f>'PLAN INDICATIVO'!J147</f>
        <v>0</v>
      </c>
      <c r="K151" s="1425" t="str">
        <f>'PLAN INDICATIVO'!K147</f>
        <v>A.3.3.3</v>
      </c>
      <c r="L151" s="1425" t="str">
        <f>'PLAN INDICATIVO'!L147</f>
        <v>6. Agua limplia y saneamiento</v>
      </c>
      <c r="M151" s="1425" t="str">
        <f>'PLAN INDICATIVO'!M147</f>
        <v>EMSERPLA</v>
      </c>
      <c r="N151" s="1425" t="s">
        <v>2687</v>
      </c>
      <c r="O151" s="1425" t="str">
        <f>'PLAN INDICATIVO'!O147</f>
        <v>Mantenimiento</v>
      </c>
      <c r="P151" s="16" t="str">
        <f>'PLAN INDICATIVO'!P147</f>
        <v>Mantener 1 programa de recolección de residuos sólidos en  centros poblados cada año</v>
      </c>
      <c r="Q151" s="302" t="str">
        <f>'PLAN INDICATIVO'!Q147</f>
        <v>No. De programas de recolección de residuos sólidos rurales por año</v>
      </c>
      <c r="R151" s="303">
        <f>'PLAN INDICATIVO'!R147</f>
        <v>2015</v>
      </c>
      <c r="S151" s="304">
        <v>1</v>
      </c>
      <c r="T151" s="677">
        <v>1</v>
      </c>
      <c r="U151" s="304">
        <v>1</v>
      </c>
      <c r="V151" s="687">
        <v>50000000</v>
      </c>
      <c r="W151" s="304">
        <v>1</v>
      </c>
      <c r="X151" s="687">
        <v>51750000</v>
      </c>
      <c r="Y151" s="304">
        <v>1</v>
      </c>
      <c r="Z151" s="687">
        <v>53560000</v>
      </c>
      <c r="AA151" s="305">
        <v>1</v>
      </c>
      <c r="AB151" s="687">
        <v>55430000</v>
      </c>
      <c r="AC151" s="665">
        <v>1</v>
      </c>
      <c r="AD151" s="665"/>
      <c r="AE151" s="665"/>
      <c r="AF151" s="665"/>
      <c r="AG151" s="306"/>
      <c r="AH151" s="307" t="s">
        <v>2728</v>
      </c>
      <c r="AI151" s="335">
        <v>37012</v>
      </c>
      <c r="AJ151" s="335">
        <v>11658</v>
      </c>
      <c r="AK151" s="308"/>
      <c r="AL151" s="308"/>
      <c r="AM151" s="267" t="s">
        <v>2598</v>
      </c>
      <c r="AN151" s="507">
        <v>23031201</v>
      </c>
      <c r="AO151" s="730"/>
      <c r="AP151" s="730">
        <v>70000000</v>
      </c>
      <c r="AQ151" s="730"/>
      <c r="AR151" s="730"/>
      <c r="AS151" s="730"/>
      <c r="AT151" s="730"/>
      <c r="AU151" s="730"/>
      <c r="AV151" s="730">
        <f t="shared" si="64"/>
        <v>70000000</v>
      </c>
      <c r="AW151" s="530"/>
      <c r="AX151" s="474"/>
      <c r="AY151" s="474"/>
      <c r="AZ151" s="474"/>
      <c r="BA151" s="474"/>
      <c r="BB151" s="474"/>
      <c r="BC151" s="474"/>
      <c r="BD151" s="544">
        <f t="shared" si="65"/>
        <v>0</v>
      </c>
      <c r="BE151" s="530"/>
      <c r="BF151" s="474"/>
      <c r="BG151" s="474"/>
      <c r="BH151" s="474"/>
      <c r="BI151" s="474"/>
      <c r="BJ151" s="474"/>
      <c r="BK151" s="474"/>
      <c r="BL151" s="544">
        <f t="shared" si="66"/>
        <v>0</v>
      </c>
      <c r="BM151" s="530"/>
      <c r="BN151" s="474"/>
      <c r="BO151" s="474"/>
      <c r="BP151" s="474"/>
      <c r="BQ151" s="474"/>
      <c r="BR151" s="474"/>
      <c r="BS151" s="474"/>
      <c r="BT151" s="544">
        <f t="shared" si="67"/>
        <v>0</v>
      </c>
      <c r="BU151" s="556"/>
      <c r="BV151" s="663">
        <f t="shared" si="72"/>
        <v>1</v>
      </c>
      <c r="BW151" s="674">
        <f t="shared" si="73"/>
        <v>1</v>
      </c>
      <c r="BX151" s="674">
        <f t="shared" si="74"/>
        <v>1</v>
      </c>
      <c r="BY151" s="674">
        <f t="shared" si="75"/>
        <v>0</v>
      </c>
      <c r="BZ151" s="675">
        <f t="shared" si="76"/>
        <v>0</v>
      </c>
      <c r="CA151" s="675">
        <f t="shared" si="77"/>
        <v>0</v>
      </c>
    </row>
    <row r="152" spans="1:79" ht="81.75" hidden="1" customHeight="1" x14ac:dyDescent="0.25">
      <c r="A152" s="298" t="s">
        <v>386</v>
      </c>
      <c r="B152" s="299" t="str">
        <f>'PLAN INDICATIVO'!B148</f>
        <v>APSB</v>
      </c>
      <c r="C152" s="1547"/>
      <c r="D152" s="1549"/>
      <c r="E152" s="1549"/>
      <c r="F152" s="1549"/>
      <c r="G152" s="1549"/>
      <c r="H152" s="1549"/>
      <c r="I152" s="300">
        <f>'PLAN INDICATIVO'!I148</f>
        <v>0</v>
      </c>
      <c r="J152" s="300">
        <f>'PLAN INDICATIVO'!J148</f>
        <v>0</v>
      </c>
      <c r="K152" s="1425" t="str">
        <f>'PLAN INDICATIVO'!K148</f>
        <v>A.3.3.4</v>
      </c>
      <c r="L152" s="1425" t="str">
        <f>'PLAN INDICATIVO'!L148</f>
        <v>6. Agua limplia y saneamiento</v>
      </c>
      <c r="M152" s="1425" t="str">
        <f>'PLAN INDICATIVO'!M148</f>
        <v>EMSERPLA</v>
      </c>
      <c r="N152" s="1425" t="str">
        <f>'PLAN INDICATIVO'!N148</f>
        <v>MARIO MONTILLA CABRERA</v>
      </c>
      <c r="O152" s="1425" t="str">
        <f>'PLAN INDICATIVO'!O148</f>
        <v>Incremento</v>
      </c>
      <c r="P152" s="16" t="str">
        <f>'PLAN INDICATIVO'!P148</f>
        <v>Actualizar 1 Plan de Gestión Integral de Residuos sólidos (PGIRS)  durante el cuatrienio.</v>
      </c>
      <c r="Q152" s="302" t="str">
        <f>'PLAN INDICATIVO'!Q148</f>
        <v>No. De actualizaciones realizadas</v>
      </c>
      <c r="R152" s="303">
        <f>'PLAN INDICATIVO'!R148</f>
        <v>2015</v>
      </c>
      <c r="S152" s="304">
        <v>1</v>
      </c>
      <c r="T152" s="677">
        <v>1</v>
      </c>
      <c r="U152" s="304">
        <v>1</v>
      </c>
      <c r="V152" s="687">
        <v>16000000</v>
      </c>
      <c r="W152" s="304">
        <v>0</v>
      </c>
      <c r="X152" s="687"/>
      <c r="Y152" s="304">
        <v>0</v>
      </c>
      <c r="Z152" s="687"/>
      <c r="AA152" s="305">
        <v>0</v>
      </c>
      <c r="AB152" s="687"/>
      <c r="AC152" s="665">
        <v>1</v>
      </c>
      <c r="AD152" s="665"/>
      <c r="AE152" s="665"/>
      <c r="AF152" s="665"/>
      <c r="AG152" s="306"/>
      <c r="AH152" s="307" t="s">
        <v>2729</v>
      </c>
      <c r="AI152" s="335">
        <v>37104</v>
      </c>
      <c r="AJ152" s="335">
        <v>11202</v>
      </c>
      <c r="AK152" s="308"/>
      <c r="AL152" s="308"/>
      <c r="AM152" s="267" t="s">
        <v>2598</v>
      </c>
      <c r="AN152" s="507">
        <v>23031201</v>
      </c>
      <c r="AO152" s="730"/>
      <c r="AP152" s="730">
        <v>31000000</v>
      </c>
      <c r="AQ152" s="730"/>
      <c r="AR152" s="730"/>
      <c r="AS152" s="730"/>
      <c r="AT152" s="730"/>
      <c r="AU152" s="730"/>
      <c r="AV152" s="730">
        <f t="shared" si="64"/>
        <v>31000000</v>
      </c>
      <c r="AW152" s="530"/>
      <c r="AX152" s="474"/>
      <c r="AY152" s="474"/>
      <c r="AZ152" s="474"/>
      <c r="BA152" s="474"/>
      <c r="BB152" s="474"/>
      <c r="BC152" s="474"/>
      <c r="BD152" s="544">
        <f t="shared" si="65"/>
        <v>0</v>
      </c>
      <c r="BE152" s="530"/>
      <c r="BF152" s="474"/>
      <c r="BG152" s="474"/>
      <c r="BH152" s="474"/>
      <c r="BI152" s="474"/>
      <c r="BJ152" s="474"/>
      <c r="BK152" s="474"/>
      <c r="BL152" s="544">
        <f t="shared" si="66"/>
        <v>0</v>
      </c>
      <c r="BM152" s="530"/>
      <c r="BN152" s="474"/>
      <c r="BO152" s="474"/>
      <c r="BP152" s="474"/>
      <c r="BQ152" s="474"/>
      <c r="BR152" s="474"/>
      <c r="BS152" s="474"/>
      <c r="BT152" s="544">
        <f t="shared" si="67"/>
        <v>0</v>
      </c>
      <c r="BU152" s="556"/>
      <c r="BV152" s="663">
        <f t="shared" si="72"/>
        <v>1</v>
      </c>
      <c r="BW152" s="674">
        <f t="shared" si="73"/>
        <v>1</v>
      </c>
      <c r="BX152" s="674">
        <f t="shared" si="74"/>
        <v>1</v>
      </c>
      <c r="BY152" s="674" t="e">
        <f t="shared" si="75"/>
        <v>#DIV/0!</v>
      </c>
      <c r="BZ152" s="675" t="e">
        <f t="shared" si="76"/>
        <v>#DIV/0!</v>
      </c>
      <c r="CA152" s="675" t="e">
        <f t="shared" si="77"/>
        <v>#DIV/0!</v>
      </c>
    </row>
    <row r="153" spans="1:79" ht="89.25" hidden="1" customHeight="1" x14ac:dyDescent="0.25">
      <c r="A153" s="298" t="s">
        <v>386</v>
      </c>
      <c r="B153" s="299" t="str">
        <f>'PLAN INDICATIVO'!B149</f>
        <v>APSB</v>
      </c>
      <c r="C153" s="1547"/>
      <c r="D153" s="1549"/>
      <c r="E153" s="1549"/>
      <c r="F153" s="1549"/>
      <c r="G153" s="1549"/>
      <c r="H153" s="1549"/>
      <c r="I153" s="300">
        <f>'PLAN INDICATIVO'!I149</f>
        <v>0</v>
      </c>
      <c r="J153" s="300">
        <f>'PLAN INDICATIVO'!J149</f>
        <v>0</v>
      </c>
      <c r="K153" s="1425" t="str">
        <f>'PLAN INDICATIVO'!K149</f>
        <v>A.3.3.5</v>
      </c>
      <c r="L153" s="1425" t="str">
        <f>'PLAN INDICATIVO'!L149</f>
        <v>6. Agua limplia y saneamiento</v>
      </c>
      <c r="M153" s="1425" t="str">
        <f>'PLAN INDICATIVO'!M149</f>
        <v>EMSERPLA</v>
      </c>
      <c r="N153" s="1425" t="str">
        <f>'PLAN INDICATIVO'!N149</f>
        <v>MARIO MONTILLA CABRERA</v>
      </c>
      <c r="O153" s="1425" t="str">
        <f>'PLAN INDICATIVO'!O149</f>
        <v>Mantenimiento</v>
      </c>
      <c r="P153" s="16" t="str">
        <f>'PLAN INDICATIVO'!P149</f>
        <v>Mantener los subsidios de aseo a la totalidad de usuarios  de estratos 1 y 2, durante el cuatrienio.</v>
      </c>
      <c r="Q153" s="302" t="str">
        <f>'PLAN INDICATIVO'!Q149</f>
        <v>Porcentaje de usuarios con subsidio.</v>
      </c>
      <c r="R153" s="303">
        <f>'PLAN INDICATIVO'!R149</f>
        <v>2015</v>
      </c>
      <c r="S153" s="304">
        <v>100</v>
      </c>
      <c r="T153" s="677">
        <v>100</v>
      </c>
      <c r="U153" s="304">
        <v>100</v>
      </c>
      <c r="V153" s="687">
        <v>164000000</v>
      </c>
      <c r="W153" s="304">
        <v>100</v>
      </c>
      <c r="X153" s="687">
        <v>169740000</v>
      </c>
      <c r="Y153" s="304">
        <v>100</v>
      </c>
      <c r="Z153" s="687">
        <v>175680000</v>
      </c>
      <c r="AA153" s="305">
        <v>100</v>
      </c>
      <c r="AB153" s="687">
        <v>181830000</v>
      </c>
      <c r="AC153" s="665">
        <v>100</v>
      </c>
      <c r="AD153" s="665"/>
      <c r="AE153" s="665"/>
      <c r="AF153" s="665"/>
      <c r="AG153" s="306"/>
      <c r="AH153" s="307" t="s">
        <v>2730</v>
      </c>
      <c r="AI153" s="335">
        <v>36892</v>
      </c>
      <c r="AJ153" s="335">
        <v>11658</v>
      </c>
      <c r="AK153" s="308"/>
      <c r="AL153" s="308"/>
      <c r="AM153" s="267" t="s">
        <v>2598</v>
      </c>
      <c r="AN153" s="507">
        <v>23031201</v>
      </c>
      <c r="AO153" s="730"/>
      <c r="AP153" s="730">
        <v>199251362</v>
      </c>
      <c r="AQ153" s="730"/>
      <c r="AR153" s="730"/>
      <c r="AS153" s="730"/>
      <c r="AT153" s="730"/>
      <c r="AU153" s="730"/>
      <c r="AV153" s="730">
        <f t="shared" si="64"/>
        <v>199251362</v>
      </c>
      <c r="AW153" s="530"/>
      <c r="AX153" s="474"/>
      <c r="AY153" s="474"/>
      <c r="AZ153" s="474"/>
      <c r="BA153" s="474"/>
      <c r="BB153" s="474"/>
      <c r="BC153" s="474"/>
      <c r="BD153" s="544">
        <f t="shared" si="65"/>
        <v>0</v>
      </c>
      <c r="BE153" s="530"/>
      <c r="BF153" s="474"/>
      <c r="BG153" s="474"/>
      <c r="BH153" s="474"/>
      <c r="BI153" s="474"/>
      <c r="BJ153" s="474"/>
      <c r="BK153" s="474"/>
      <c r="BL153" s="544">
        <f t="shared" si="66"/>
        <v>0</v>
      </c>
      <c r="BM153" s="530"/>
      <c r="BN153" s="474"/>
      <c r="BO153" s="474"/>
      <c r="BP153" s="474"/>
      <c r="BQ153" s="474"/>
      <c r="BR153" s="474"/>
      <c r="BS153" s="474"/>
      <c r="BT153" s="544">
        <f t="shared" si="67"/>
        <v>0</v>
      </c>
      <c r="BU153" s="556"/>
      <c r="BV153" s="663">
        <f t="shared" si="72"/>
        <v>100</v>
      </c>
      <c r="BW153" s="674">
        <f t="shared" si="73"/>
        <v>1</v>
      </c>
      <c r="BX153" s="674">
        <f t="shared" si="74"/>
        <v>1</v>
      </c>
      <c r="BY153" s="674">
        <f t="shared" si="75"/>
        <v>0</v>
      </c>
      <c r="BZ153" s="675">
        <f t="shared" si="76"/>
        <v>0</v>
      </c>
      <c r="CA153" s="675">
        <f t="shared" si="77"/>
        <v>0</v>
      </c>
    </row>
    <row r="154" spans="1:79" ht="81" hidden="1" customHeight="1" x14ac:dyDescent="0.25">
      <c r="A154" s="298" t="s">
        <v>386</v>
      </c>
      <c r="B154" s="299" t="str">
        <f>'PLAN INDICATIVO'!B150</f>
        <v>APSB</v>
      </c>
      <c r="C154" s="1547"/>
      <c r="D154" s="1549"/>
      <c r="E154" s="1549"/>
      <c r="F154" s="1549"/>
      <c r="G154" s="1549"/>
      <c r="H154" s="1549"/>
      <c r="I154" s="300">
        <f>'PLAN INDICATIVO'!I150</f>
        <v>0</v>
      </c>
      <c r="J154" s="300">
        <f>'PLAN INDICATIVO'!J150</f>
        <v>0</v>
      </c>
      <c r="K154" s="1425" t="str">
        <f>'PLAN INDICATIVO'!K150</f>
        <v>A.3.3.6</v>
      </c>
      <c r="L154" s="1425" t="str">
        <f>'PLAN INDICATIVO'!L150</f>
        <v>6. Agua limplia y saneamiento</v>
      </c>
      <c r="M154" s="1425" t="str">
        <f>'PLAN INDICATIVO'!M150</f>
        <v>EMSERPLA</v>
      </c>
      <c r="N154" s="1425" t="str">
        <f>'PLAN INDICATIVO'!N150</f>
        <v>MARIO MONTILLA CABRERA</v>
      </c>
      <c r="O154" s="1425" t="str">
        <f>'PLAN INDICATIVO'!O150</f>
        <v>Mantenimiento</v>
      </c>
      <c r="P154" s="16" t="str">
        <f>'PLAN INDICATIVO'!P150</f>
        <v>Incrementar  anualmente los servicios públicos  a 275 nuevos usuarios en el servicio de aseo, durante el cuatrienio.</v>
      </c>
      <c r="Q154" s="302" t="str">
        <f>'PLAN INDICATIVO'!Q150</f>
        <v>No. De nuevos usuarios con servicios públicos de aseo por año</v>
      </c>
      <c r="R154" s="303">
        <f>'PLAN INDICATIVO'!R150</f>
        <v>2015</v>
      </c>
      <c r="S154" s="304">
        <v>275</v>
      </c>
      <c r="T154" s="677">
        <v>1100</v>
      </c>
      <c r="U154" s="304">
        <v>275</v>
      </c>
      <c r="V154" s="687">
        <v>1000000</v>
      </c>
      <c r="W154" s="304">
        <v>275</v>
      </c>
      <c r="X154" s="687">
        <v>1000000</v>
      </c>
      <c r="Y154" s="304">
        <v>275</v>
      </c>
      <c r="Z154" s="687">
        <v>1000000</v>
      </c>
      <c r="AA154" s="305">
        <v>275</v>
      </c>
      <c r="AB154" s="687">
        <v>5000000</v>
      </c>
      <c r="AC154" s="665">
        <v>318</v>
      </c>
      <c r="AD154" s="665"/>
      <c r="AE154" s="665"/>
      <c r="AF154" s="665"/>
      <c r="AG154" s="306"/>
      <c r="AH154" s="307" t="s">
        <v>2731</v>
      </c>
      <c r="AI154" s="308"/>
      <c r="AJ154" s="308"/>
      <c r="AK154" s="308"/>
      <c r="AL154" s="308"/>
      <c r="AM154" s="267" t="s">
        <v>2598</v>
      </c>
      <c r="AN154" s="507">
        <v>23031201</v>
      </c>
      <c r="AO154" s="730"/>
      <c r="AP154" s="730">
        <v>2300000</v>
      </c>
      <c r="AQ154" s="730"/>
      <c r="AR154" s="730"/>
      <c r="AS154" s="730"/>
      <c r="AT154" s="730"/>
      <c r="AU154" s="730"/>
      <c r="AV154" s="730">
        <f t="shared" si="64"/>
        <v>2300000</v>
      </c>
      <c r="AW154" s="530"/>
      <c r="AX154" s="474"/>
      <c r="AY154" s="474"/>
      <c r="AZ154" s="474"/>
      <c r="BA154" s="474"/>
      <c r="BB154" s="474"/>
      <c r="BC154" s="474"/>
      <c r="BD154" s="544">
        <f t="shared" si="65"/>
        <v>0</v>
      </c>
      <c r="BE154" s="530"/>
      <c r="BF154" s="474"/>
      <c r="BG154" s="474"/>
      <c r="BH154" s="474"/>
      <c r="BI154" s="474"/>
      <c r="BJ154" s="474"/>
      <c r="BK154" s="474"/>
      <c r="BL154" s="544">
        <f t="shared" si="66"/>
        <v>0</v>
      </c>
      <c r="BM154" s="530"/>
      <c r="BN154" s="474"/>
      <c r="BO154" s="474"/>
      <c r="BP154" s="474"/>
      <c r="BQ154" s="474"/>
      <c r="BR154" s="474"/>
      <c r="BS154" s="474"/>
      <c r="BT154" s="544">
        <f t="shared" si="67"/>
        <v>0</v>
      </c>
      <c r="BU154" s="556"/>
      <c r="BV154" s="663">
        <f t="shared" si="72"/>
        <v>318</v>
      </c>
      <c r="BW154" s="674">
        <f t="shared" si="73"/>
        <v>0.28909090909090907</v>
      </c>
      <c r="BX154" s="674">
        <f t="shared" si="74"/>
        <v>1.1563636363636363</v>
      </c>
      <c r="BY154" s="674">
        <f t="shared" si="75"/>
        <v>0</v>
      </c>
      <c r="BZ154" s="675">
        <f t="shared" si="76"/>
        <v>0</v>
      </c>
      <c r="CA154" s="675">
        <f t="shared" si="77"/>
        <v>0</v>
      </c>
    </row>
    <row r="155" spans="1:79" ht="91.5" hidden="1" customHeight="1" thickBot="1" x14ac:dyDescent="0.3">
      <c r="A155" s="393" t="s">
        <v>386</v>
      </c>
      <c r="B155" s="394" t="str">
        <f>'PLAN INDICATIVO'!B151</f>
        <v>APSB</v>
      </c>
      <c r="C155" s="1547"/>
      <c r="D155" s="1550"/>
      <c r="E155" s="1550"/>
      <c r="F155" s="1550"/>
      <c r="G155" s="1550"/>
      <c r="H155" s="1550"/>
      <c r="I155" s="395">
        <f>'PLAN INDICATIVO'!I151</f>
        <v>0</v>
      </c>
      <c r="J155" s="395">
        <f>'PLAN INDICATIVO'!J151</f>
        <v>0</v>
      </c>
      <c r="K155" s="1426" t="str">
        <f>'PLAN INDICATIVO'!K151</f>
        <v>A.3.3.7</v>
      </c>
      <c r="L155" s="1426" t="str">
        <f>'PLAN INDICATIVO'!L151</f>
        <v>6. Agua limplia y saneamiento</v>
      </c>
      <c r="M155" s="1426" t="str">
        <f>'PLAN INDICATIVO'!M151</f>
        <v>EMSERPLA</v>
      </c>
      <c r="N155" s="1426" t="str">
        <f>'PLAN INDICATIVO'!N151</f>
        <v>MARIO MONTILLA CABRERA</v>
      </c>
      <c r="O155" s="1426" t="str">
        <f>'PLAN INDICATIVO'!O151</f>
        <v>Incremento</v>
      </c>
      <c r="P155" s="70" t="str">
        <f>'PLAN INDICATIVO'!P151</f>
        <v>Gestionar  esfuerzos con entidades públicas o privadas para formulación de un proyecto de  1 relleno sanitario regional en el occidente del Huila, durante el cuatrienio</v>
      </c>
      <c r="Q155" s="350" t="str">
        <f>'PLAN INDICATIVO'!Q151</f>
        <v>No. De proyecto gestionado</v>
      </c>
      <c r="R155" s="397">
        <f>'PLAN INDICATIVO'!R151</f>
        <v>2015</v>
      </c>
      <c r="S155" s="1433">
        <v>0</v>
      </c>
      <c r="T155" s="682">
        <v>1</v>
      </c>
      <c r="U155" s="1433">
        <v>0</v>
      </c>
      <c r="V155" s="687"/>
      <c r="W155" s="1433">
        <v>1</v>
      </c>
      <c r="X155" s="687">
        <v>10000000</v>
      </c>
      <c r="Y155" s="1433">
        <v>1</v>
      </c>
      <c r="Z155" s="687">
        <v>9000000</v>
      </c>
      <c r="AA155" s="424">
        <v>1</v>
      </c>
      <c r="AB155" s="687">
        <v>9320000</v>
      </c>
      <c r="AC155" s="668"/>
      <c r="AD155" s="668"/>
      <c r="AE155" s="668"/>
      <c r="AF155" s="668"/>
      <c r="AG155" s="455"/>
      <c r="AH155" s="456" t="s">
        <v>2732</v>
      </c>
      <c r="AI155" s="457"/>
      <c r="AJ155" s="457"/>
      <c r="AK155" s="457"/>
      <c r="AL155" s="457"/>
      <c r="AM155" s="436" t="s">
        <v>2594</v>
      </c>
      <c r="AN155" s="636"/>
      <c r="AO155" s="730"/>
      <c r="AP155" s="730"/>
      <c r="AQ155" s="730"/>
      <c r="AR155" s="730"/>
      <c r="AS155" s="730"/>
      <c r="AT155" s="730"/>
      <c r="AU155" s="730"/>
      <c r="AV155" s="730">
        <f t="shared" si="64"/>
        <v>0</v>
      </c>
      <c r="AW155" s="637"/>
      <c r="AX155" s="638"/>
      <c r="AY155" s="638"/>
      <c r="AZ155" s="638"/>
      <c r="BA155" s="638"/>
      <c r="BB155" s="638"/>
      <c r="BC155" s="638"/>
      <c r="BD155" s="625">
        <f t="shared" si="65"/>
        <v>0</v>
      </c>
      <c r="BE155" s="637"/>
      <c r="BF155" s="638"/>
      <c r="BG155" s="638"/>
      <c r="BH155" s="638"/>
      <c r="BI155" s="638"/>
      <c r="BJ155" s="638"/>
      <c r="BK155" s="638"/>
      <c r="BL155" s="625">
        <f t="shared" si="66"/>
        <v>0</v>
      </c>
      <c r="BM155" s="637"/>
      <c r="BN155" s="638"/>
      <c r="BO155" s="638"/>
      <c r="BP155" s="638"/>
      <c r="BQ155" s="638"/>
      <c r="BR155" s="638"/>
      <c r="BS155" s="638"/>
      <c r="BT155" s="625">
        <f t="shared" si="67"/>
        <v>0</v>
      </c>
      <c r="BU155" s="556"/>
      <c r="BV155" s="663">
        <f t="shared" si="72"/>
        <v>0</v>
      </c>
      <c r="BW155" s="674">
        <f t="shared" si="73"/>
        <v>0</v>
      </c>
      <c r="BX155" s="674" t="e">
        <f t="shared" si="74"/>
        <v>#DIV/0!</v>
      </c>
      <c r="BY155" s="674">
        <f t="shared" si="75"/>
        <v>0</v>
      </c>
      <c r="BZ155" s="675">
        <f t="shared" si="76"/>
        <v>0</v>
      </c>
      <c r="CA155" s="675">
        <f t="shared" si="77"/>
        <v>0</v>
      </c>
    </row>
    <row r="156" spans="1:79" ht="64.5" hidden="1" thickBot="1" x14ac:dyDescent="0.3">
      <c r="A156" s="428"/>
      <c r="B156" s="439" t="str">
        <f>'PLAN INDICATIVO'!B152</f>
        <v>Atención a grupos vulnerables - promoción social</v>
      </c>
      <c r="C156" s="1635" t="s">
        <v>2733</v>
      </c>
      <c r="D156" s="1609"/>
      <c r="E156" s="1609"/>
      <c r="F156" s="1609"/>
      <c r="G156" s="1609"/>
      <c r="H156" s="1609"/>
      <c r="I156" s="1609"/>
      <c r="J156" s="1609"/>
      <c r="K156" s="1609"/>
      <c r="L156" s="1609"/>
      <c r="M156" s="1609"/>
      <c r="N156" s="1609"/>
      <c r="O156" s="1609"/>
      <c r="P156" s="1609"/>
      <c r="Q156" s="1609"/>
      <c r="R156" s="1609"/>
      <c r="S156" s="1609"/>
      <c r="T156" s="1609"/>
      <c r="U156" s="1609"/>
      <c r="V156" s="1609"/>
      <c r="W156" s="1609"/>
      <c r="X156" s="1609"/>
      <c r="Y156" s="1609"/>
      <c r="Z156" s="1609"/>
      <c r="AA156" s="1609"/>
      <c r="AB156" s="1609"/>
      <c r="AC156" s="1609"/>
      <c r="AD156" s="1609"/>
      <c r="AE156" s="1609"/>
      <c r="AF156" s="1609"/>
      <c r="AG156" s="1609"/>
      <c r="AH156" s="1609"/>
      <c r="AI156" s="1609"/>
      <c r="AJ156" s="1609"/>
      <c r="AK156" s="1609"/>
      <c r="AL156" s="1610"/>
      <c r="AM156" s="640"/>
      <c r="AN156" s="626"/>
      <c r="AO156" s="627"/>
      <c r="AP156" s="628"/>
      <c r="AQ156" s="628"/>
      <c r="AR156" s="628"/>
      <c r="AS156" s="628"/>
      <c r="AT156" s="628"/>
      <c r="AU156" s="628"/>
      <c r="AV156" s="634">
        <f t="shared" si="64"/>
        <v>0</v>
      </c>
      <c r="AW156" s="627"/>
      <c r="AX156" s="628"/>
      <c r="AY156" s="628"/>
      <c r="AZ156" s="628"/>
      <c r="BA156" s="628"/>
      <c r="BB156" s="628"/>
      <c r="BC156" s="628"/>
      <c r="BD156" s="634">
        <f t="shared" si="65"/>
        <v>0</v>
      </c>
      <c r="BE156" s="627"/>
      <c r="BF156" s="628"/>
      <c r="BG156" s="628"/>
      <c r="BH156" s="628"/>
      <c r="BI156" s="628"/>
      <c r="BJ156" s="628"/>
      <c r="BK156" s="628"/>
      <c r="BL156" s="634">
        <f t="shared" si="66"/>
        <v>0</v>
      </c>
      <c r="BM156" s="627"/>
      <c r="BN156" s="628"/>
      <c r="BO156" s="628"/>
      <c r="BP156" s="628"/>
      <c r="BQ156" s="628"/>
      <c r="BR156" s="628"/>
      <c r="BS156" s="628"/>
      <c r="BT156" s="634">
        <f t="shared" si="67"/>
        <v>0</v>
      </c>
      <c r="BU156" s="652"/>
      <c r="BV156" s="663">
        <f t="shared" si="72"/>
        <v>0</v>
      </c>
      <c r="BW156" s="674" t="e">
        <f t="shared" si="73"/>
        <v>#DIV/0!</v>
      </c>
      <c r="BX156" s="674" t="e">
        <f t="shared" si="74"/>
        <v>#DIV/0!</v>
      </c>
      <c r="BY156" s="674" t="e">
        <f t="shared" si="75"/>
        <v>#DIV/0!</v>
      </c>
      <c r="BZ156" s="675" t="e">
        <f t="shared" si="76"/>
        <v>#DIV/0!</v>
      </c>
      <c r="CA156" s="675" t="e">
        <f t="shared" si="77"/>
        <v>#DIV/0!</v>
      </c>
    </row>
    <row r="157" spans="1:79" ht="63.75" hidden="1" x14ac:dyDescent="0.25">
      <c r="A157" s="391"/>
      <c r="B157" s="331" t="str">
        <f>'PLAN INDICATIVO'!B153</f>
        <v>Atención a grupos vulnerables - promoción social</v>
      </c>
      <c r="C157" s="1611" t="s">
        <v>2734</v>
      </c>
      <c r="D157" s="1612"/>
      <c r="E157" s="1612"/>
      <c r="F157" s="1612"/>
      <c r="G157" s="1612"/>
      <c r="H157" s="1612"/>
      <c r="I157" s="1612"/>
      <c r="J157" s="1612"/>
      <c r="K157" s="1612"/>
      <c r="L157" s="1612"/>
      <c r="M157" s="1612"/>
      <c r="N157" s="1612"/>
      <c r="O157" s="1612"/>
      <c r="P157" s="1613"/>
      <c r="Q157" s="318"/>
      <c r="R157" s="317"/>
      <c r="S157" s="319"/>
      <c r="T157" s="676"/>
      <c r="U157" s="319"/>
      <c r="V157" s="695">
        <f>SUM(V158:V181)</f>
        <v>334530000</v>
      </c>
      <c r="W157" s="319"/>
      <c r="X157" s="695">
        <f>SUM(X158:X181)</f>
        <v>95570000</v>
      </c>
      <c r="Y157" s="319"/>
      <c r="Z157" s="695">
        <f>SUM(Z158:Z181)</f>
        <v>98840000</v>
      </c>
      <c r="AA157" s="319"/>
      <c r="AB157" s="695">
        <f>SUM(AB158:AB181)</f>
        <v>102300000</v>
      </c>
      <c r="AC157" s="319"/>
      <c r="AD157" s="319"/>
      <c r="AE157" s="319"/>
      <c r="AF157" s="319"/>
      <c r="AG157" s="458"/>
      <c r="AH157" s="458"/>
      <c r="AI157" s="319"/>
      <c r="AJ157" s="319"/>
      <c r="AK157" s="319"/>
      <c r="AL157" s="319"/>
      <c r="AM157" s="319"/>
      <c r="AN157" s="639"/>
      <c r="AO157" s="631">
        <f>SUM(AO158:AO181)</f>
        <v>73301085</v>
      </c>
      <c r="AP157" s="631">
        <f>SUM(AP158:AP181)</f>
        <v>554886335</v>
      </c>
      <c r="AQ157" s="631" t="e">
        <f>(AQ158:AQ181)</f>
        <v>#VALUE!</v>
      </c>
      <c r="AR157" s="631" t="e">
        <f>(AR158:AR181)</f>
        <v>#VALUE!</v>
      </c>
      <c r="AS157" s="631" t="e">
        <f>(AS158:AS181)</f>
        <v>#VALUE!</v>
      </c>
      <c r="AT157" s="631" t="e">
        <f>(AT158:AT181)</f>
        <v>#VALUE!</v>
      </c>
      <c r="AU157" s="631" t="e">
        <f>(AU158:AU181)</f>
        <v>#VALUE!</v>
      </c>
      <c r="AV157" s="617" t="e">
        <f t="shared" si="64"/>
        <v>#VALUE!</v>
      </c>
      <c r="AW157" s="631" t="e">
        <f t="shared" ref="AW157:BC157" si="82">(AW158:AW181)</f>
        <v>#VALUE!</v>
      </c>
      <c r="AX157" s="631" t="e">
        <f t="shared" si="82"/>
        <v>#VALUE!</v>
      </c>
      <c r="AY157" s="631" t="e">
        <f t="shared" si="82"/>
        <v>#VALUE!</v>
      </c>
      <c r="AZ157" s="631" t="e">
        <f t="shared" si="82"/>
        <v>#VALUE!</v>
      </c>
      <c r="BA157" s="631" t="e">
        <f t="shared" si="82"/>
        <v>#VALUE!</v>
      </c>
      <c r="BB157" s="631" t="e">
        <f t="shared" si="82"/>
        <v>#VALUE!</v>
      </c>
      <c r="BC157" s="631" t="e">
        <f t="shared" si="82"/>
        <v>#VALUE!</v>
      </c>
      <c r="BD157" s="617" t="e">
        <f t="shared" si="65"/>
        <v>#VALUE!</v>
      </c>
      <c r="BE157" s="631" t="e">
        <f t="shared" ref="BE157:BK157" si="83">(BE158:BE181)</f>
        <v>#VALUE!</v>
      </c>
      <c r="BF157" s="631" t="e">
        <f t="shared" si="83"/>
        <v>#VALUE!</v>
      </c>
      <c r="BG157" s="631" t="e">
        <f t="shared" si="83"/>
        <v>#VALUE!</v>
      </c>
      <c r="BH157" s="631" t="e">
        <f t="shared" si="83"/>
        <v>#VALUE!</v>
      </c>
      <c r="BI157" s="631" t="e">
        <f t="shared" si="83"/>
        <v>#VALUE!</v>
      </c>
      <c r="BJ157" s="631" t="e">
        <f t="shared" si="83"/>
        <v>#VALUE!</v>
      </c>
      <c r="BK157" s="631" t="e">
        <f t="shared" si="83"/>
        <v>#VALUE!</v>
      </c>
      <c r="BL157" s="617" t="e">
        <f t="shared" si="66"/>
        <v>#VALUE!</v>
      </c>
      <c r="BM157" s="631" t="e">
        <f t="shared" ref="BM157:BS157" si="84">(BM158:BM181)</f>
        <v>#VALUE!</v>
      </c>
      <c r="BN157" s="631" t="e">
        <f t="shared" si="84"/>
        <v>#VALUE!</v>
      </c>
      <c r="BO157" s="631" t="e">
        <f t="shared" si="84"/>
        <v>#VALUE!</v>
      </c>
      <c r="BP157" s="631" t="e">
        <f t="shared" si="84"/>
        <v>#VALUE!</v>
      </c>
      <c r="BQ157" s="631" t="e">
        <f t="shared" si="84"/>
        <v>#VALUE!</v>
      </c>
      <c r="BR157" s="631" t="e">
        <f t="shared" si="84"/>
        <v>#VALUE!</v>
      </c>
      <c r="BS157" s="631" t="e">
        <f t="shared" si="84"/>
        <v>#VALUE!</v>
      </c>
      <c r="BT157" s="617" t="e">
        <f t="shared" si="67"/>
        <v>#VALUE!</v>
      </c>
      <c r="BU157" s="556"/>
      <c r="BV157" s="663">
        <f t="shared" si="72"/>
        <v>0</v>
      </c>
      <c r="BW157" s="674" t="e">
        <f t="shared" si="73"/>
        <v>#DIV/0!</v>
      </c>
      <c r="BX157" s="674" t="e">
        <f t="shared" si="74"/>
        <v>#DIV/0!</v>
      </c>
      <c r="BY157" s="674" t="e">
        <f t="shared" si="75"/>
        <v>#DIV/0!</v>
      </c>
      <c r="BZ157" s="675" t="e">
        <f t="shared" si="76"/>
        <v>#DIV/0!</v>
      </c>
      <c r="CA157" s="675" t="e">
        <f t="shared" si="77"/>
        <v>#DIV/0!</v>
      </c>
    </row>
    <row r="158" spans="1:79" ht="70.5" hidden="1" customHeight="1" x14ac:dyDescent="0.25">
      <c r="A158" s="298" t="s">
        <v>491</v>
      </c>
      <c r="B158" s="299" t="str">
        <f>'PLAN INDICATIVO'!B154</f>
        <v>Atención a grupos vulnerables - promoción social</v>
      </c>
      <c r="C158" s="1546" t="s">
        <v>492</v>
      </c>
      <c r="D158" s="1550" t="s">
        <v>493</v>
      </c>
      <c r="E158" s="1550" t="s">
        <v>494</v>
      </c>
      <c r="F158" s="1550">
        <v>2015</v>
      </c>
      <c r="G158" s="1550" t="s">
        <v>177</v>
      </c>
      <c r="H158" s="1550">
        <v>50</v>
      </c>
      <c r="I158" s="300">
        <f>'PLAN INDICATIVO'!I154</f>
        <v>0</v>
      </c>
      <c r="J158" s="300">
        <f>'PLAN INDICATIVO'!J154</f>
        <v>0</v>
      </c>
      <c r="K158" s="1425" t="str">
        <f>'PLAN INDICATIVO'!K154</f>
        <v>A.14.1.1</v>
      </c>
      <c r="L158" s="1425" t="str">
        <f>'PLAN INDICATIVO'!L154</f>
        <v>10. Reducción de las desigualdades</v>
      </c>
      <c r="M158" s="1425" t="s">
        <v>2735</v>
      </c>
      <c r="N158" s="1425" t="s">
        <v>2736</v>
      </c>
      <c r="O158" s="1425" t="str">
        <f>'PLAN INDICATIVO'!O154</f>
        <v>Mantenimiento</v>
      </c>
      <c r="P158" s="16" t="str">
        <f>'PLAN INDICATIVO'!P154</f>
        <v>Realizar 4 campañas anuales para incentivar la asistencia a controles de crecimiento y desarrollo de la población infantil.</v>
      </c>
      <c r="Q158" s="302" t="str">
        <f>'PLAN INDICATIVO'!Q154</f>
        <v>No. De Campañas implementadas por año</v>
      </c>
      <c r="R158" s="303">
        <f>'PLAN INDICATIVO'!R154</f>
        <v>2015</v>
      </c>
      <c r="S158" s="304">
        <v>0</v>
      </c>
      <c r="T158" s="677">
        <v>16</v>
      </c>
      <c r="U158" s="303">
        <v>4</v>
      </c>
      <c r="V158" s="687">
        <v>1000000</v>
      </c>
      <c r="W158" s="303">
        <v>4</v>
      </c>
      <c r="X158" s="687">
        <v>1000000</v>
      </c>
      <c r="Y158" s="303">
        <v>4</v>
      </c>
      <c r="Z158" s="687">
        <v>1000000</v>
      </c>
      <c r="AA158" s="303">
        <v>4</v>
      </c>
      <c r="AB158" s="687">
        <v>1000000</v>
      </c>
      <c r="AC158" s="669">
        <f>1+1+1+1</f>
        <v>4</v>
      </c>
      <c r="AD158" s="669"/>
      <c r="AE158" s="669"/>
      <c r="AF158" s="669"/>
      <c r="AG158" s="752" t="s">
        <v>2737</v>
      </c>
      <c r="AH158" s="355" t="s">
        <v>2738</v>
      </c>
      <c r="AI158" s="356">
        <v>42005</v>
      </c>
      <c r="AJ158" s="356">
        <v>42339</v>
      </c>
      <c r="AK158" s="357"/>
      <c r="AL158" s="358"/>
      <c r="AM158" s="267" t="s">
        <v>2598</v>
      </c>
      <c r="AN158" s="512" t="s">
        <v>2739</v>
      </c>
      <c r="AO158" s="525"/>
      <c r="AP158" s="721">
        <f>940000+736667</f>
        <v>1676667</v>
      </c>
      <c r="AQ158" s="310"/>
      <c r="AR158" s="310"/>
      <c r="AS158" s="310"/>
      <c r="AT158" s="310"/>
      <c r="AU158" s="310"/>
      <c r="AV158" s="544">
        <f t="shared" si="64"/>
        <v>1676667</v>
      </c>
      <c r="AW158" s="525"/>
      <c r="AX158" s="310"/>
      <c r="AY158" s="310"/>
      <c r="AZ158" s="310"/>
      <c r="BA158" s="310"/>
      <c r="BB158" s="310"/>
      <c r="BC158" s="310"/>
      <c r="BD158" s="544">
        <f t="shared" si="65"/>
        <v>0</v>
      </c>
      <c r="BE158" s="525"/>
      <c r="BF158" s="310"/>
      <c r="BG158" s="310"/>
      <c r="BH158" s="310"/>
      <c r="BI158" s="310"/>
      <c r="BJ158" s="310"/>
      <c r="BK158" s="310"/>
      <c r="BL158" s="544">
        <f t="shared" si="66"/>
        <v>0</v>
      </c>
      <c r="BM158" s="525"/>
      <c r="BN158" s="310"/>
      <c r="BO158" s="310"/>
      <c r="BP158" s="310"/>
      <c r="BQ158" s="310"/>
      <c r="BR158" s="310"/>
      <c r="BS158" s="310"/>
      <c r="BT158" s="544">
        <f t="shared" si="67"/>
        <v>0</v>
      </c>
      <c r="BU158" s="556"/>
      <c r="BV158" s="663">
        <f t="shared" si="72"/>
        <v>4</v>
      </c>
      <c r="BW158" s="674">
        <f t="shared" si="73"/>
        <v>0.25</v>
      </c>
      <c r="BX158" s="674">
        <f t="shared" si="74"/>
        <v>1</v>
      </c>
      <c r="BY158" s="674">
        <f t="shared" si="75"/>
        <v>0</v>
      </c>
      <c r="BZ158" s="675">
        <f t="shared" si="76"/>
        <v>0</v>
      </c>
      <c r="CA158" s="675">
        <f t="shared" si="77"/>
        <v>0</v>
      </c>
    </row>
    <row r="159" spans="1:79" ht="67.5" hidden="1" customHeight="1" x14ac:dyDescent="0.25">
      <c r="A159" s="298" t="s">
        <v>491</v>
      </c>
      <c r="B159" s="299" t="str">
        <f>'PLAN INDICATIVO'!B155</f>
        <v>Atención a grupos vulnerables - promoción social</v>
      </c>
      <c r="C159" s="1547"/>
      <c r="D159" s="1551"/>
      <c r="E159" s="1551"/>
      <c r="F159" s="1551"/>
      <c r="G159" s="1551"/>
      <c r="H159" s="1551"/>
      <c r="I159" s="300">
        <f>'PLAN INDICATIVO'!I155</f>
        <v>0</v>
      </c>
      <c r="J159" s="300">
        <f>'PLAN INDICATIVO'!J155</f>
        <v>0</v>
      </c>
      <c r="K159" s="1425" t="str">
        <f>'PLAN INDICATIVO'!K155</f>
        <v>A.14.1.2</v>
      </c>
      <c r="L159" s="1425" t="str">
        <f>'PLAN INDICATIVO'!L155</f>
        <v>10. Reducción de las desigualdades</v>
      </c>
      <c r="M159" s="1425" t="s">
        <v>2735</v>
      </c>
      <c r="N159" s="1425" t="s">
        <v>2736</v>
      </c>
      <c r="O159" s="1425" t="str">
        <f>'PLAN INDICATIVO'!O155</f>
        <v>Mantenimiento</v>
      </c>
      <c r="P159" s="16" t="str">
        <f>'PLAN INDICATIVO'!P155</f>
        <v>Implementar 1 política de infancia y adolescencia durante el cuatrienio</v>
      </c>
      <c r="Q159" s="302" t="str">
        <f>'PLAN INDICATIVO'!Q155</f>
        <v>No. De Política de infancia implementada</v>
      </c>
      <c r="R159" s="303">
        <f>'PLAN INDICATIVO'!R155</f>
        <v>2015</v>
      </c>
      <c r="S159" s="304">
        <v>0</v>
      </c>
      <c r="T159" s="677">
        <v>1</v>
      </c>
      <c r="U159" s="303">
        <v>0</v>
      </c>
      <c r="V159" s="687">
        <v>0</v>
      </c>
      <c r="W159" s="303">
        <v>1</v>
      </c>
      <c r="X159" s="687">
        <v>500000</v>
      </c>
      <c r="Y159" s="303">
        <v>1</v>
      </c>
      <c r="Z159" s="687">
        <v>500000</v>
      </c>
      <c r="AA159" s="303">
        <v>1</v>
      </c>
      <c r="AB159" s="687">
        <v>20000000</v>
      </c>
      <c r="AC159" s="669"/>
      <c r="AD159" s="669"/>
      <c r="AE159" s="669"/>
      <c r="AF159" s="669"/>
      <c r="AG159" s="341"/>
      <c r="AH159" s="355"/>
      <c r="AI159" s="359"/>
      <c r="AJ159" s="358"/>
      <c r="AK159" s="360"/>
      <c r="AL159" s="360"/>
      <c r="AM159" s="267" t="s">
        <v>2594</v>
      </c>
      <c r="AN159" s="469"/>
      <c r="AO159" s="525"/>
      <c r="AP159" s="310"/>
      <c r="AQ159" s="310"/>
      <c r="AR159" s="310"/>
      <c r="AS159" s="310"/>
      <c r="AT159" s="310"/>
      <c r="AU159" s="310"/>
      <c r="AV159" s="544">
        <f t="shared" si="64"/>
        <v>0</v>
      </c>
      <c r="AW159" s="531"/>
      <c r="AX159" s="310"/>
      <c r="AY159" s="310"/>
      <c r="AZ159" s="310"/>
      <c r="BA159" s="310"/>
      <c r="BB159" s="310"/>
      <c r="BC159" s="310"/>
      <c r="BD159" s="544">
        <f t="shared" si="65"/>
        <v>0</v>
      </c>
      <c r="BE159" s="531"/>
      <c r="BF159" s="310"/>
      <c r="BG159" s="310"/>
      <c r="BH159" s="310"/>
      <c r="BI159" s="310"/>
      <c r="BJ159" s="310"/>
      <c r="BK159" s="310"/>
      <c r="BL159" s="544">
        <f t="shared" si="66"/>
        <v>0</v>
      </c>
      <c r="BM159" s="531"/>
      <c r="BN159" s="310"/>
      <c r="BO159" s="310"/>
      <c r="BP159" s="310"/>
      <c r="BQ159" s="310"/>
      <c r="BR159" s="310"/>
      <c r="BS159" s="310"/>
      <c r="BT159" s="544">
        <f t="shared" si="67"/>
        <v>0</v>
      </c>
      <c r="BU159" s="556"/>
      <c r="BV159" s="663">
        <f t="shared" si="72"/>
        <v>0</v>
      </c>
      <c r="BW159" s="674">
        <f t="shared" si="73"/>
        <v>0</v>
      </c>
      <c r="BX159" s="674" t="e">
        <f t="shared" si="74"/>
        <v>#DIV/0!</v>
      </c>
      <c r="BY159" s="674">
        <f t="shared" si="75"/>
        <v>0</v>
      </c>
      <c r="BZ159" s="675">
        <f t="shared" si="76"/>
        <v>0</v>
      </c>
      <c r="CA159" s="675">
        <f t="shared" si="77"/>
        <v>0</v>
      </c>
    </row>
    <row r="160" spans="1:79" ht="66" hidden="1" customHeight="1" x14ac:dyDescent="0.25">
      <c r="A160" s="298" t="s">
        <v>491</v>
      </c>
      <c r="B160" s="299" t="str">
        <f>'PLAN INDICATIVO'!B156</f>
        <v>Atención a grupos vulnerables - promoción social</v>
      </c>
      <c r="C160" s="1547"/>
      <c r="D160" s="1551"/>
      <c r="E160" s="1551"/>
      <c r="F160" s="1551"/>
      <c r="G160" s="1551"/>
      <c r="H160" s="1551"/>
      <c r="I160" s="300">
        <f>'PLAN INDICATIVO'!I156</f>
        <v>0</v>
      </c>
      <c r="J160" s="300">
        <f>'PLAN INDICATIVO'!J156</f>
        <v>0</v>
      </c>
      <c r="K160" s="1425" t="str">
        <f>'PLAN INDICATIVO'!K156</f>
        <v>A.14.1.3</v>
      </c>
      <c r="L160" s="1425" t="str">
        <f>'PLAN INDICATIVO'!L156</f>
        <v>10. Reducción de las desigualdades</v>
      </c>
      <c r="M160" s="1425" t="s">
        <v>2735</v>
      </c>
      <c r="N160" s="1425" t="s">
        <v>2736</v>
      </c>
      <c r="O160" s="1425" t="str">
        <f>'PLAN INDICATIVO'!O156</f>
        <v>Mantenimiento</v>
      </c>
      <c r="P160" s="16" t="str">
        <f>'PLAN INDICATIVO'!P156</f>
        <v>Crear 1 mesa intersectorial de primera infancia, infancia y adolescencia del municipio y lograr su operativización cada año</v>
      </c>
      <c r="Q160" s="302" t="str">
        <f>'PLAN INDICATIVO'!Q156</f>
        <v>Mesa intersectorial creada y funcionando por año</v>
      </c>
      <c r="R160" s="303">
        <f>'PLAN INDICATIVO'!R156</f>
        <v>2015</v>
      </c>
      <c r="S160" s="304">
        <v>1</v>
      </c>
      <c r="T160" s="677">
        <v>1</v>
      </c>
      <c r="U160" s="303">
        <v>1</v>
      </c>
      <c r="V160" s="687">
        <v>1000000</v>
      </c>
      <c r="W160" s="303">
        <v>1</v>
      </c>
      <c r="X160" s="687">
        <v>500000</v>
      </c>
      <c r="Y160" s="303">
        <v>1</v>
      </c>
      <c r="Z160" s="687">
        <v>500000</v>
      </c>
      <c r="AA160" s="303">
        <v>1</v>
      </c>
      <c r="AB160" s="687">
        <v>500000</v>
      </c>
      <c r="AC160" s="669">
        <v>1</v>
      </c>
      <c r="AD160" s="669"/>
      <c r="AE160" s="669"/>
      <c r="AF160" s="669"/>
      <c r="AG160" s="341" t="s">
        <v>2740</v>
      </c>
      <c r="AH160" s="355" t="s">
        <v>2741</v>
      </c>
      <c r="AI160" s="356">
        <v>36982</v>
      </c>
      <c r="AJ160" s="356">
        <v>42339</v>
      </c>
      <c r="AK160" s="357"/>
      <c r="AL160" s="358"/>
      <c r="AM160" s="267" t="s">
        <v>2598</v>
      </c>
      <c r="AN160" s="512" t="s">
        <v>2742</v>
      </c>
      <c r="AO160" s="753"/>
      <c r="AP160" s="754">
        <v>940000</v>
      </c>
      <c r="AQ160" s="754"/>
      <c r="AR160" s="754"/>
      <c r="AS160" s="754"/>
      <c r="AT160" s="754"/>
      <c r="AU160" s="754"/>
      <c r="AV160" s="755">
        <f t="shared" si="64"/>
        <v>940000</v>
      </c>
      <c r="AW160" s="753"/>
      <c r="AX160" s="754"/>
      <c r="AY160" s="754"/>
      <c r="AZ160" s="754"/>
      <c r="BA160" s="754"/>
      <c r="BB160" s="754"/>
      <c r="BC160" s="754"/>
      <c r="BD160" s="755">
        <f t="shared" si="65"/>
        <v>0</v>
      </c>
      <c r="BE160" s="753"/>
      <c r="BF160" s="754"/>
      <c r="BG160" s="754"/>
      <c r="BH160" s="754"/>
      <c r="BI160" s="754"/>
      <c r="BJ160" s="754"/>
      <c r="BK160" s="754"/>
      <c r="BL160" s="755">
        <f t="shared" si="66"/>
        <v>0</v>
      </c>
      <c r="BM160" s="753"/>
      <c r="BN160" s="754"/>
      <c r="BO160" s="754"/>
      <c r="BP160" s="754"/>
      <c r="BQ160" s="754"/>
      <c r="BR160" s="754"/>
      <c r="BS160" s="754"/>
      <c r="BT160" s="544">
        <f t="shared" si="67"/>
        <v>0</v>
      </c>
      <c r="BU160" s="556"/>
      <c r="BV160" s="663">
        <f t="shared" si="72"/>
        <v>1</v>
      </c>
      <c r="BW160" s="674">
        <f t="shared" si="73"/>
        <v>1</v>
      </c>
      <c r="BX160" s="674">
        <f t="shared" si="74"/>
        <v>1</v>
      </c>
      <c r="BY160" s="674">
        <f t="shared" si="75"/>
        <v>0</v>
      </c>
      <c r="BZ160" s="675">
        <f t="shared" si="76"/>
        <v>0</v>
      </c>
      <c r="CA160" s="675">
        <f t="shared" si="77"/>
        <v>0</v>
      </c>
    </row>
    <row r="161" spans="1:79" ht="56.25" hidden="1" customHeight="1" x14ac:dyDescent="0.25">
      <c r="A161" s="298" t="s">
        <v>491</v>
      </c>
      <c r="B161" s="299" t="str">
        <f>'PLAN INDICATIVO'!B157</f>
        <v>Atención a grupos vulnerables - promoción social</v>
      </c>
      <c r="C161" s="1547"/>
      <c r="D161" s="1551"/>
      <c r="E161" s="1551"/>
      <c r="F161" s="1551"/>
      <c r="G161" s="1551"/>
      <c r="H161" s="1551"/>
      <c r="I161" s="300">
        <f>'PLAN INDICATIVO'!I157</f>
        <v>0</v>
      </c>
      <c r="J161" s="300">
        <f>'PLAN INDICATIVO'!J157</f>
        <v>0</v>
      </c>
      <c r="K161" s="1425" t="str">
        <f>'PLAN INDICATIVO'!K157</f>
        <v>A.14.1.4</v>
      </c>
      <c r="L161" s="1425" t="str">
        <f>'PLAN INDICATIVO'!L157</f>
        <v>10. Reducción de las desigualdades</v>
      </c>
      <c r="M161" s="1425" t="s">
        <v>2735</v>
      </c>
      <c r="N161" s="1425" t="s">
        <v>2736</v>
      </c>
      <c r="O161" s="1425" t="str">
        <f>'PLAN INDICATIVO'!O157</f>
        <v>Mantenimiento</v>
      </c>
      <c r="P161" s="16" t="str">
        <f>'PLAN INDICATIVO'!P157</f>
        <v>Mantener en funcionamiento 1 hogar de paso modalidad familiar cada año</v>
      </c>
      <c r="Q161" s="302" t="str">
        <f>'PLAN INDICATIVO'!Q157</f>
        <v>No. De Hogar de paso en funcionamiento por año</v>
      </c>
      <c r="R161" s="303">
        <f>'PLAN INDICATIVO'!R157</f>
        <v>2015</v>
      </c>
      <c r="S161" s="304">
        <v>1</v>
      </c>
      <c r="T161" s="677">
        <v>1</v>
      </c>
      <c r="U161" s="303">
        <v>1</v>
      </c>
      <c r="V161" s="687">
        <v>18000000</v>
      </c>
      <c r="W161" s="303">
        <v>1</v>
      </c>
      <c r="X161" s="687">
        <v>10330000</v>
      </c>
      <c r="Y161" s="303">
        <v>1</v>
      </c>
      <c r="Z161" s="687">
        <v>10240000</v>
      </c>
      <c r="AA161" s="303">
        <v>1</v>
      </c>
      <c r="AB161" s="687">
        <v>8500000</v>
      </c>
      <c r="AC161" s="669">
        <v>1</v>
      </c>
      <c r="AD161" s="669"/>
      <c r="AE161" s="669"/>
      <c r="AF161" s="669"/>
      <c r="AG161" s="341" t="s">
        <v>2743</v>
      </c>
      <c r="AH161" s="355" t="s">
        <v>2744</v>
      </c>
      <c r="AI161" s="356">
        <v>42401</v>
      </c>
      <c r="AJ161" s="356">
        <v>48183</v>
      </c>
      <c r="AK161" s="358"/>
      <c r="AL161" s="358"/>
      <c r="AM161" s="267" t="s">
        <v>2598</v>
      </c>
      <c r="AN161" s="512" t="s">
        <v>2745</v>
      </c>
      <c r="AO161" s="525">
        <v>18100000</v>
      </c>
      <c r="AP161" s="310"/>
      <c r="AQ161" s="310"/>
      <c r="AR161" s="310"/>
      <c r="AS161" s="310"/>
      <c r="AT161" s="310"/>
      <c r="AU161" s="310"/>
      <c r="AV161" s="544">
        <f t="shared" si="64"/>
        <v>18100000</v>
      </c>
      <c r="AW161" s="525"/>
      <c r="AX161" s="310"/>
      <c r="AY161" s="310"/>
      <c r="AZ161" s="310"/>
      <c r="BA161" s="310"/>
      <c r="BB161" s="310"/>
      <c r="BC161" s="310"/>
      <c r="BD161" s="544">
        <f t="shared" si="65"/>
        <v>0</v>
      </c>
      <c r="BE161" s="525"/>
      <c r="BF161" s="310"/>
      <c r="BG161" s="310"/>
      <c r="BH161" s="310"/>
      <c r="BI161" s="310"/>
      <c r="BJ161" s="310"/>
      <c r="BK161" s="310"/>
      <c r="BL161" s="544">
        <f t="shared" si="66"/>
        <v>0</v>
      </c>
      <c r="BM161" s="525"/>
      <c r="BN161" s="310"/>
      <c r="BO161" s="310"/>
      <c r="BP161" s="310"/>
      <c r="BQ161" s="310"/>
      <c r="BR161" s="310"/>
      <c r="BS161" s="310"/>
      <c r="BT161" s="544">
        <f t="shared" si="67"/>
        <v>0</v>
      </c>
      <c r="BU161" s="556"/>
      <c r="BV161" s="663">
        <f t="shared" si="72"/>
        <v>1</v>
      </c>
      <c r="BW161" s="674">
        <f t="shared" si="73"/>
        <v>1</v>
      </c>
      <c r="BX161" s="674">
        <f t="shared" si="74"/>
        <v>1</v>
      </c>
      <c r="BY161" s="674">
        <f t="shared" si="75"/>
        <v>0</v>
      </c>
      <c r="BZ161" s="675">
        <f t="shared" si="76"/>
        <v>0</v>
      </c>
      <c r="CA161" s="675">
        <f t="shared" si="77"/>
        <v>0</v>
      </c>
    </row>
    <row r="162" spans="1:79" ht="69.75" hidden="1" customHeight="1" x14ac:dyDescent="0.25">
      <c r="A162" s="298" t="s">
        <v>491</v>
      </c>
      <c r="B162" s="299" t="str">
        <f>'PLAN INDICATIVO'!B158</f>
        <v>Atención a grupos vulnerables - promoción social</v>
      </c>
      <c r="C162" s="1547"/>
      <c r="D162" s="1551"/>
      <c r="E162" s="1551"/>
      <c r="F162" s="1551"/>
      <c r="G162" s="1551"/>
      <c r="H162" s="1551"/>
      <c r="I162" s="300">
        <f>'PLAN INDICATIVO'!I158</f>
        <v>0</v>
      </c>
      <c r="J162" s="300">
        <f>'PLAN INDICATIVO'!J158</f>
        <v>0</v>
      </c>
      <c r="K162" s="1425" t="str">
        <f>'PLAN INDICATIVO'!K158</f>
        <v>A.14.1.5</v>
      </c>
      <c r="L162" s="1425" t="str">
        <f>'PLAN INDICATIVO'!L158</f>
        <v>10. Reducción de las desigualdades</v>
      </c>
      <c r="M162" s="1425" t="s">
        <v>2735</v>
      </c>
      <c r="N162" s="1425" t="s">
        <v>2736</v>
      </c>
      <c r="O162" s="1425" t="str">
        <f>'PLAN INDICATIVO'!O158</f>
        <v>Mantenimiento</v>
      </c>
      <c r="P162" s="16" t="str">
        <f>'PLAN INDICATIVO'!P158</f>
        <v xml:space="preserve">Mantener cada año 1 centro transitorio para ubicación provisional para adolescentes infractores de la ley penal funcionando y dotado </v>
      </c>
      <c r="Q162" s="302" t="str">
        <f>'PLAN INDICATIVO'!Q158</f>
        <v>centro transitorio para ubicación provisional para adolescentes infractores de la ley penal  funcionando y dotado, por año</v>
      </c>
      <c r="R162" s="303">
        <f>'PLAN INDICATIVO'!R158</f>
        <v>2015</v>
      </c>
      <c r="S162" s="304">
        <v>1</v>
      </c>
      <c r="T162" s="677">
        <v>1</v>
      </c>
      <c r="U162" s="303">
        <v>1</v>
      </c>
      <c r="V162" s="687">
        <v>11000000</v>
      </c>
      <c r="W162" s="303">
        <v>1</v>
      </c>
      <c r="X162" s="687">
        <v>1000000</v>
      </c>
      <c r="Y162" s="303">
        <v>1</v>
      </c>
      <c r="Z162" s="687">
        <v>4600000</v>
      </c>
      <c r="AA162" s="303">
        <v>1</v>
      </c>
      <c r="AB162" s="687">
        <v>18910000</v>
      </c>
      <c r="AC162" s="669">
        <v>1</v>
      </c>
      <c r="AD162" s="669"/>
      <c r="AE162" s="669"/>
      <c r="AF162" s="669"/>
      <c r="AG162" s="341" t="s">
        <v>2746</v>
      </c>
      <c r="AH162" s="355" t="s">
        <v>2747</v>
      </c>
      <c r="AI162" s="356">
        <v>42401</v>
      </c>
      <c r="AJ162" s="356">
        <v>48183</v>
      </c>
      <c r="AK162" s="358"/>
      <c r="AL162" s="358"/>
      <c r="AM162" s="267" t="s">
        <v>2598</v>
      </c>
      <c r="AN162" s="512" t="s">
        <v>2748</v>
      </c>
      <c r="AO162" s="525">
        <f>2600000+10000000+600000+4000000</f>
        <v>17200000</v>
      </c>
      <c r="AP162" s="310">
        <f>4200000+3600000+2200000+5000000</f>
        <v>15000000</v>
      </c>
      <c r="AQ162" s="310"/>
      <c r="AR162" s="310"/>
      <c r="AS162" s="310"/>
      <c r="AT162" s="310"/>
      <c r="AU162" s="310"/>
      <c r="AV162" s="544">
        <f t="shared" si="64"/>
        <v>32200000</v>
      </c>
      <c r="AW162" s="525"/>
      <c r="AX162" s="310"/>
      <c r="AY162" s="310"/>
      <c r="AZ162" s="310"/>
      <c r="BA162" s="310"/>
      <c r="BB162" s="310"/>
      <c r="BC162" s="310"/>
      <c r="BD162" s="544">
        <f t="shared" si="65"/>
        <v>0</v>
      </c>
      <c r="BE162" s="525"/>
      <c r="BF162" s="310"/>
      <c r="BG162" s="310"/>
      <c r="BH162" s="310"/>
      <c r="BI162" s="310"/>
      <c r="BJ162" s="310"/>
      <c r="BK162" s="310"/>
      <c r="BL162" s="544">
        <f t="shared" si="66"/>
        <v>0</v>
      </c>
      <c r="BM162" s="525"/>
      <c r="BN162" s="310"/>
      <c r="BO162" s="310"/>
      <c r="BP162" s="310"/>
      <c r="BQ162" s="310"/>
      <c r="BR162" s="310"/>
      <c r="BS162" s="310"/>
      <c r="BT162" s="544">
        <f t="shared" si="67"/>
        <v>0</v>
      </c>
      <c r="BU162" s="556"/>
      <c r="BV162" s="663">
        <f t="shared" si="72"/>
        <v>1</v>
      </c>
      <c r="BW162" s="674">
        <f t="shared" si="73"/>
        <v>1</v>
      </c>
      <c r="BX162" s="674">
        <f t="shared" si="74"/>
        <v>1</v>
      </c>
      <c r="BY162" s="674">
        <f t="shared" si="75"/>
        <v>0</v>
      </c>
      <c r="BZ162" s="675">
        <f t="shared" si="76"/>
        <v>0</v>
      </c>
      <c r="CA162" s="675">
        <f t="shared" si="77"/>
        <v>0</v>
      </c>
    </row>
    <row r="163" spans="1:79" ht="78" hidden="1" customHeight="1" x14ac:dyDescent="0.25">
      <c r="A163" s="298"/>
      <c r="B163" s="299" t="str">
        <f>'PLAN INDICATIVO'!B159</f>
        <v>Atención a grupos vulnerables - promoción social</v>
      </c>
      <c r="C163" s="1547"/>
      <c r="D163" s="1551"/>
      <c r="E163" s="1551"/>
      <c r="F163" s="1551"/>
      <c r="G163" s="1551"/>
      <c r="H163" s="1551"/>
      <c r="I163" s="300">
        <f>'PLAN INDICATIVO'!I159</f>
        <v>0</v>
      </c>
      <c r="J163" s="300">
        <f>'PLAN INDICATIVO'!J159</f>
        <v>0</v>
      </c>
      <c r="K163" s="1425" t="str">
        <f>'PLAN INDICATIVO'!K159</f>
        <v>A.14.1.6</v>
      </c>
      <c r="L163" s="1425" t="str">
        <f>'PLAN INDICATIVO'!L159</f>
        <v>10. Reducción de las desigualdades</v>
      </c>
      <c r="M163" s="1425" t="s">
        <v>2735</v>
      </c>
      <c r="N163" s="1425" t="s">
        <v>2736</v>
      </c>
      <c r="O163" s="1425" t="str">
        <f>'PLAN INDICATIVO'!O159</f>
        <v>Incremento</v>
      </c>
      <c r="P163" s="16" t="str">
        <f>'PLAN INDICATIVO'!P159</f>
        <v>Realizar 12 capacitaciones de sensibilización en pro de mejorar la calidad de vida de los NNA, durante el cuatrienio.</v>
      </c>
      <c r="Q163" s="302" t="str">
        <f>'PLAN INDICATIVO'!Q159</f>
        <v>No. De capacitaciones realizadas</v>
      </c>
      <c r="R163" s="303">
        <f>'PLAN INDICATIVO'!R159</f>
        <v>2015</v>
      </c>
      <c r="S163" s="304">
        <v>0</v>
      </c>
      <c r="T163" s="677">
        <v>12</v>
      </c>
      <c r="U163" s="303">
        <v>3</v>
      </c>
      <c r="V163" s="687">
        <v>1000000</v>
      </c>
      <c r="W163" s="303">
        <v>3</v>
      </c>
      <c r="X163" s="687">
        <v>500000</v>
      </c>
      <c r="Y163" s="303">
        <v>3</v>
      </c>
      <c r="Z163" s="687">
        <v>500000</v>
      </c>
      <c r="AA163" s="303">
        <v>3</v>
      </c>
      <c r="AB163" s="687">
        <v>500000</v>
      </c>
      <c r="AC163" s="665">
        <v>3</v>
      </c>
      <c r="AD163" s="665"/>
      <c r="AE163" s="665"/>
      <c r="AF163" s="665"/>
      <c r="AG163" s="266"/>
      <c r="AH163" s="355" t="s">
        <v>2749</v>
      </c>
      <c r="AI163" s="356"/>
      <c r="AJ163" s="356"/>
      <c r="AK163" s="358"/>
      <c r="AL163" s="358"/>
      <c r="AM163" s="267" t="s">
        <v>2598</v>
      </c>
      <c r="AN163" s="512" t="s">
        <v>2742</v>
      </c>
      <c r="AO163" s="525"/>
      <c r="AP163" s="310">
        <f>940000+2000000</f>
        <v>2940000</v>
      </c>
      <c r="AQ163" s="310"/>
      <c r="AR163" s="310"/>
      <c r="AS163" s="310"/>
      <c r="AT163" s="310"/>
      <c r="AU163" s="310"/>
      <c r="AV163" s="544">
        <f t="shared" si="64"/>
        <v>2940000</v>
      </c>
      <c r="AW163" s="525"/>
      <c r="AX163" s="310"/>
      <c r="AY163" s="310"/>
      <c r="AZ163" s="310"/>
      <c r="BA163" s="310"/>
      <c r="BB163" s="310"/>
      <c r="BC163" s="310"/>
      <c r="BD163" s="544">
        <f t="shared" si="65"/>
        <v>0</v>
      </c>
      <c r="BE163" s="525"/>
      <c r="BF163" s="310"/>
      <c r="BG163" s="310"/>
      <c r="BH163" s="310"/>
      <c r="BI163" s="310"/>
      <c r="BJ163" s="310"/>
      <c r="BK163" s="310"/>
      <c r="BL163" s="544">
        <f t="shared" si="66"/>
        <v>0</v>
      </c>
      <c r="BM163" s="525"/>
      <c r="BN163" s="310"/>
      <c r="BO163" s="310"/>
      <c r="BP163" s="310"/>
      <c r="BQ163" s="310"/>
      <c r="BR163" s="310"/>
      <c r="BS163" s="310"/>
      <c r="BT163" s="544">
        <f t="shared" si="67"/>
        <v>0</v>
      </c>
      <c r="BU163" s="556"/>
      <c r="BV163" s="663">
        <f t="shared" si="72"/>
        <v>3</v>
      </c>
      <c r="BW163" s="674">
        <f t="shared" si="73"/>
        <v>0.25</v>
      </c>
      <c r="BX163" s="674">
        <f t="shared" si="74"/>
        <v>1</v>
      </c>
      <c r="BY163" s="674">
        <f t="shared" si="75"/>
        <v>0</v>
      </c>
      <c r="BZ163" s="675">
        <f t="shared" si="76"/>
        <v>0</v>
      </c>
      <c r="CA163" s="675">
        <f t="shared" si="77"/>
        <v>0</v>
      </c>
    </row>
    <row r="164" spans="1:79" ht="82.5" hidden="1" customHeight="1" x14ac:dyDescent="0.25">
      <c r="A164" s="298" t="s">
        <v>491</v>
      </c>
      <c r="B164" s="299" t="str">
        <f>'PLAN INDICATIVO'!B160</f>
        <v>Atención a grupos vulnerables - promoción social</v>
      </c>
      <c r="C164" s="1547"/>
      <c r="D164" s="1551"/>
      <c r="E164" s="1551"/>
      <c r="F164" s="1551"/>
      <c r="G164" s="1551"/>
      <c r="H164" s="1551"/>
      <c r="I164" s="300">
        <f>'PLAN INDICATIVO'!I160</f>
        <v>0</v>
      </c>
      <c r="J164" s="300">
        <f>'PLAN INDICATIVO'!J160</f>
        <v>0</v>
      </c>
      <c r="K164" s="1425" t="str">
        <f>'PLAN INDICATIVO'!K160</f>
        <v>A.14.1.7</v>
      </c>
      <c r="L164" s="1425" t="str">
        <f>'PLAN INDICATIVO'!L160</f>
        <v>10. Reducción de las desigualdades</v>
      </c>
      <c r="M164" s="1425" t="s">
        <v>2735</v>
      </c>
      <c r="N164" s="1425" t="s">
        <v>2736</v>
      </c>
      <c r="O164" s="1425" t="str">
        <f>'PLAN INDICATIVO'!O160</f>
        <v>Incremento</v>
      </c>
      <c r="P164" s="16" t="str">
        <f>'PLAN INDICATIVO'!P160</f>
        <v xml:space="preserve">Realizar 12 acciones institucionales en pro de evitar el reclutamiento, lograr la desvinculación del conflicto armado y atender  a NNA afectados por conflicto armado, durante el cuatrienio. </v>
      </c>
      <c r="Q164" s="302" t="str">
        <f>'PLAN INDICATIVO'!Q160</f>
        <v>No. De acciones institucionales realizadas</v>
      </c>
      <c r="R164" s="303">
        <f>'PLAN INDICATIVO'!R160</f>
        <v>2015</v>
      </c>
      <c r="S164" s="304">
        <v>0</v>
      </c>
      <c r="T164" s="677">
        <v>12</v>
      </c>
      <c r="U164" s="303">
        <v>3</v>
      </c>
      <c r="V164" s="687">
        <v>500000</v>
      </c>
      <c r="W164" s="303">
        <v>3</v>
      </c>
      <c r="X164" s="687">
        <v>500000</v>
      </c>
      <c r="Y164" s="303">
        <v>3</v>
      </c>
      <c r="Z164" s="687">
        <v>500000</v>
      </c>
      <c r="AA164" s="303">
        <v>3</v>
      </c>
      <c r="AB164" s="687">
        <v>500000</v>
      </c>
      <c r="AC164" s="669">
        <v>3</v>
      </c>
      <c r="AD164" s="669"/>
      <c r="AE164" s="669"/>
      <c r="AF164" s="669"/>
      <c r="AG164" s="341" t="s">
        <v>2750</v>
      </c>
      <c r="AH164" s="355" t="s">
        <v>2751</v>
      </c>
      <c r="AI164" s="356">
        <v>11171</v>
      </c>
      <c r="AJ164" s="356">
        <v>48183</v>
      </c>
      <c r="AK164" s="358"/>
      <c r="AL164" s="358"/>
      <c r="AM164" s="267" t="s">
        <v>2598</v>
      </c>
      <c r="AN164" s="512" t="s">
        <v>2752</v>
      </c>
      <c r="AO164" s="525"/>
      <c r="AP164" s="310">
        <f>940000+2000000+736667</f>
        <v>3676667</v>
      </c>
      <c r="AQ164" s="310"/>
      <c r="AR164" s="310"/>
      <c r="AS164" s="310"/>
      <c r="AT164" s="310"/>
      <c r="AU164" s="310"/>
      <c r="AV164" s="544">
        <f t="shared" si="64"/>
        <v>3676667</v>
      </c>
      <c r="AW164" s="525"/>
      <c r="AX164" s="310"/>
      <c r="AY164" s="310"/>
      <c r="AZ164" s="310"/>
      <c r="BA164" s="310"/>
      <c r="BB164" s="310"/>
      <c r="BC164" s="310"/>
      <c r="BD164" s="544">
        <f t="shared" si="65"/>
        <v>0</v>
      </c>
      <c r="BE164" s="525"/>
      <c r="BF164" s="310"/>
      <c r="BG164" s="310"/>
      <c r="BH164" s="310"/>
      <c r="BI164" s="310"/>
      <c r="BJ164" s="310"/>
      <c r="BK164" s="310"/>
      <c r="BL164" s="544">
        <f t="shared" si="66"/>
        <v>0</v>
      </c>
      <c r="BM164" s="525"/>
      <c r="BN164" s="310"/>
      <c r="BO164" s="310"/>
      <c r="BP164" s="310"/>
      <c r="BQ164" s="310"/>
      <c r="BR164" s="310"/>
      <c r="BS164" s="310"/>
      <c r="BT164" s="544">
        <f t="shared" si="67"/>
        <v>0</v>
      </c>
      <c r="BU164" s="556"/>
      <c r="BV164" s="663">
        <f t="shared" si="72"/>
        <v>3</v>
      </c>
      <c r="BW164" s="674">
        <f t="shared" si="73"/>
        <v>0.25</v>
      </c>
      <c r="BX164" s="674">
        <f t="shared" si="74"/>
        <v>1</v>
      </c>
      <c r="BY164" s="674">
        <f t="shared" si="75"/>
        <v>0</v>
      </c>
      <c r="BZ164" s="675">
        <f t="shared" si="76"/>
        <v>0</v>
      </c>
      <c r="CA164" s="675">
        <f t="shared" si="77"/>
        <v>0</v>
      </c>
    </row>
    <row r="165" spans="1:79" ht="149.25" hidden="1" customHeight="1" x14ac:dyDescent="0.25">
      <c r="A165" s="298" t="s">
        <v>491</v>
      </c>
      <c r="B165" s="299" t="str">
        <f>'PLAN INDICATIVO'!B161</f>
        <v>Atención a grupos vulnerables - promoción social</v>
      </c>
      <c r="C165" s="1547"/>
      <c r="D165" s="1551"/>
      <c r="E165" s="1551"/>
      <c r="F165" s="1551"/>
      <c r="G165" s="1551"/>
      <c r="H165" s="1551"/>
      <c r="I165" s="300">
        <f>'PLAN INDICATIVO'!I161</f>
        <v>0</v>
      </c>
      <c r="J165" s="300">
        <f>'PLAN INDICATIVO'!J161</f>
        <v>0</v>
      </c>
      <c r="K165" s="1425" t="str">
        <f>'PLAN INDICATIVO'!K161</f>
        <v>A.14.1.8</v>
      </c>
      <c r="L165" s="1425" t="str">
        <f>'PLAN INDICATIVO'!L161</f>
        <v>10. Reducción de las desigualdades</v>
      </c>
      <c r="M165" s="1425" t="s">
        <v>2735</v>
      </c>
      <c r="N165" s="1425" t="s">
        <v>2736</v>
      </c>
      <c r="O165" s="1425" t="str">
        <f>'PLAN INDICATIVO'!O161</f>
        <v>Incremento</v>
      </c>
      <c r="P165" s="16" t="str">
        <f>'PLAN INDICATIVO'!P161</f>
        <v>Realizar 12 campañas  para prevenir cualquier tipo de maltrato y abuso sexual en NNA, durante el cuatrienio</v>
      </c>
      <c r="Q165" s="302" t="str">
        <f>'PLAN INDICATIVO'!Q161</f>
        <v>No. De Campañas implementadas</v>
      </c>
      <c r="R165" s="303">
        <f>'PLAN INDICATIVO'!R161</f>
        <v>2015</v>
      </c>
      <c r="S165" s="304">
        <v>2</v>
      </c>
      <c r="T165" s="677">
        <v>12</v>
      </c>
      <c r="U165" s="303">
        <v>3</v>
      </c>
      <c r="V165" s="687">
        <v>6000000</v>
      </c>
      <c r="W165" s="303">
        <v>3</v>
      </c>
      <c r="X165" s="687">
        <v>4000000</v>
      </c>
      <c r="Y165" s="303">
        <v>3</v>
      </c>
      <c r="Z165" s="687">
        <v>4000000</v>
      </c>
      <c r="AA165" s="303">
        <v>3</v>
      </c>
      <c r="AB165" s="687">
        <v>4000000</v>
      </c>
      <c r="AC165" s="669">
        <v>3</v>
      </c>
      <c r="AD165" s="669"/>
      <c r="AE165" s="669"/>
      <c r="AF165" s="669"/>
      <c r="AG165" s="341" t="s">
        <v>2753</v>
      </c>
      <c r="AH165" s="355" t="s">
        <v>2754</v>
      </c>
      <c r="AI165" s="356">
        <v>763</v>
      </c>
      <c r="AJ165" s="356">
        <v>48183</v>
      </c>
      <c r="AK165" s="358"/>
      <c r="AL165" s="358"/>
      <c r="AM165" s="267" t="s">
        <v>2598</v>
      </c>
      <c r="AN165" s="512">
        <v>231402</v>
      </c>
      <c r="AO165" s="525"/>
      <c r="AP165" s="310"/>
      <c r="AQ165" s="310"/>
      <c r="AR165" s="310"/>
      <c r="AS165" s="310"/>
      <c r="AT165" s="310"/>
      <c r="AU165" s="310"/>
      <c r="AV165" s="544">
        <f t="shared" si="64"/>
        <v>0</v>
      </c>
      <c r="AW165" s="525"/>
      <c r="AX165" s="310"/>
      <c r="AY165" s="310"/>
      <c r="AZ165" s="310"/>
      <c r="BA165" s="310"/>
      <c r="BB165" s="310"/>
      <c r="BC165" s="310"/>
      <c r="BD165" s="544">
        <f t="shared" si="65"/>
        <v>0</v>
      </c>
      <c r="BE165" s="525"/>
      <c r="BF165" s="310"/>
      <c r="BG165" s="310"/>
      <c r="BH165" s="310"/>
      <c r="BI165" s="310"/>
      <c r="BJ165" s="310"/>
      <c r="BK165" s="310"/>
      <c r="BL165" s="544">
        <f t="shared" si="66"/>
        <v>0</v>
      </c>
      <c r="BM165" s="525"/>
      <c r="BN165" s="310"/>
      <c r="BO165" s="310"/>
      <c r="BP165" s="310"/>
      <c r="BQ165" s="310"/>
      <c r="BR165" s="310"/>
      <c r="BS165" s="310"/>
      <c r="BT165" s="544">
        <f t="shared" si="67"/>
        <v>0</v>
      </c>
      <c r="BU165" s="556"/>
      <c r="BV165" s="663">
        <f t="shared" si="72"/>
        <v>3</v>
      </c>
      <c r="BW165" s="674">
        <f t="shared" si="73"/>
        <v>0.25</v>
      </c>
      <c r="BX165" s="674">
        <f t="shared" si="74"/>
        <v>1</v>
      </c>
      <c r="BY165" s="674">
        <f t="shared" si="75"/>
        <v>0</v>
      </c>
      <c r="BZ165" s="675">
        <f t="shared" si="76"/>
        <v>0</v>
      </c>
      <c r="CA165" s="675">
        <f t="shared" si="77"/>
        <v>0</v>
      </c>
    </row>
    <row r="166" spans="1:79" ht="141" hidden="1" customHeight="1" x14ac:dyDescent="0.25">
      <c r="A166" s="298" t="s">
        <v>491</v>
      </c>
      <c r="B166" s="299" t="str">
        <f>'PLAN INDICATIVO'!B162</f>
        <v>Atención a grupos vulnerables - promoción social</v>
      </c>
      <c r="C166" s="1547"/>
      <c r="D166" s="1551"/>
      <c r="E166" s="1551"/>
      <c r="F166" s="1551"/>
      <c r="G166" s="1551"/>
      <c r="H166" s="1551"/>
      <c r="I166" s="300">
        <f>'PLAN INDICATIVO'!I162</f>
        <v>0</v>
      </c>
      <c r="J166" s="300">
        <f>'PLAN INDICATIVO'!J162</f>
        <v>0</v>
      </c>
      <c r="K166" s="1425" t="str">
        <f>'PLAN INDICATIVO'!K162</f>
        <v>A.14.1.9</v>
      </c>
      <c r="L166" s="1425" t="str">
        <f>'PLAN INDICATIVO'!L162</f>
        <v>10. Reducción de las desigualdades</v>
      </c>
      <c r="M166" s="1425" t="s">
        <v>2735</v>
      </c>
      <c r="N166" s="1425" t="s">
        <v>2736</v>
      </c>
      <c r="O166" s="1425" t="str">
        <f>'PLAN INDICATIVO'!O162</f>
        <v>Mantenimiento</v>
      </c>
      <c r="P166" s="16" t="str">
        <f>'PLAN INDICATIVO'!P162</f>
        <v xml:space="preserve">Implementar 1 estrategia para buscar rehabilitación, resocialización y protección NNA, en articulación con el ICBF, en el cuatrienio </v>
      </c>
      <c r="Q166" s="302" t="str">
        <f>'PLAN INDICATIVO'!Q162</f>
        <v>No. De Estrategias implementadas</v>
      </c>
      <c r="R166" s="303">
        <f>'PLAN INDICATIVO'!R162</f>
        <v>2015</v>
      </c>
      <c r="S166" s="304">
        <v>0</v>
      </c>
      <c r="T166" s="677">
        <v>1</v>
      </c>
      <c r="U166" s="303">
        <v>1</v>
      </c>
      <c r="V166" s="687">
        <v>3000000</v>
      </c>
      <c r="W166" s="303">
        <v>1</v>
      </c>
      <c r="X166" s="687">
        <v>500000</v>
      </c>
      <c r="Y166" s="303">
        <v>1</v>
      </c>
      <c r="Z166" s="687">
        <v>500000</v>
      </c>
      <c r="AA166" s="303">
        <v>1</v>
      </c>
      <c r="AB166" s="687">
        <v>520000</v>
      </c>
      <c r="AC166" s="669">
        <v>1</v>
      </c>
      <c r="AD166" s="669"/>
      <c r="AE166" s="669"/>
      <c r="AF166" s="669"/>
      <c r="AG166" s="341" t="s">
        <v>2755</v>
      </c>
      <c r="AH166" s="355" t="s">
        <v>2756</v>
      </c>
      <c r="AI166" s="356">
        <v>763</v>
      </c>
      <c r="AJ166" s="356">
        <v>48122</v>
      </c>
      <c r="AK166" s="358"/>
      <c r="AL166" s="358"/>
      <c r="AM166" s="267" t="s">
        <v>2598</v>
      </c>
      <c r="AN166" s="512" t="s">
        <v>2742</v>
      </c>
      <c r="AO166" s="525"/>
      <c r="AP166" s="759">
        <f>2200000+940000+2000000</f>
        <v>5140000</v>
      </c>
      <c r="AQ166" s="310"/>
      <c r="AR166" s="310"/>
      <c r="AS166" s="310"/>
      <c r="AT166" s="310"/>
      <c r="AU166" s="310"/>
      <c r="AV166" s="544">
        <f t="shared" si="64"/>
        <v>5140000</v>
      </c>
      <c r="AW166" s="525"/>
      <c r="AX166" s="310"/>
      <c r="AY166" s="310"/>
      <c r="AZ166" s="310"/>
      <c r="BA166" s="310"/>
      <c r="BB166" s="310"/>
      <c r="BC166" s="310"/>
      <c r="BD166" s="544">
        <f t="shared" si="65"/>
        <v>0</v>
      </c>
      <c r="BE166" s="525"/>
      <c r="BF166" s="310"/>
      <c r="BG166" s="310"/>
      <c r="BH166" s="310"/>
      <c r="BI166" s="310"/>
      <c r="BJ166" s="310"/>
      <c r="BK166" s="310"/>
      <c r="BL166" s="544">
        <f t="shared" si="66"/>
        <v>0</v>
      </c>
      <c r="BM166" s="525"/>
      <c r="BN166" s="310"/>
      <c r="BO166" s="310"/>
      <c r="BP166" s="310"/>
      <c r="BQ166" s="310"/>
      <c r="BR166" s="310"/>
      <c r="BS166" s="310"/>
      <c r="BT166" s="544">
        <f t="shared" si="67"/>
        <v>0</v>
      </c>
      <c r="BU166" s="556"/>
      <c r="BV166" s="663">
        <f t="shared" si="72"/>
        <v>1</v>
      </c>
      <c r="BW166" s="674">
        <f t="shared" si="73"/>
        <v>1</v>
      </c>
      <c r="BX166" s="674">
        <f t="shared" si="74"/>
        <v>1</v>
      </c>
      <c r="BY166" s="674">
        <f t="shared" si="75"/>
        <v>0</v>
      </c>
      <c r="BZ166" s="675">
        <f t="shared" si="76"/>
        <v>0</v>
      </c>
      <c r="CA166" s="675">
        <f t="shared" si="77"/>
        <v>0</v>
      </c>
    </row>
    <row r="167" spans="1:79" ht="102.75" hidden="1" customHeight="1" x14ac:dyDescent="0.25">
      <c r="A167" s="298" t="s">
        <v>491</v>
      </c>
      <c r="B167" s="299" t="str">
        <f>'PLAN INDICATIVO'!B163</f>
        <v>Atención a grupos vulnerables - promoción social</v>
      </c>
      <c r="C167" s="1547"/>
      <c r="D167" s="1551"/>
      <c r="E167" s="1551"/>
      <c r="F167" s="1551"/>
      <c r="G167" s="1551"/>
      <c r="H167" s="1551"/>
      <c r="I167" s="300">
        <f>'PLAN INDICATIVO'!I163</f>
        <v>0</v>
      </c>
      <c r="J167" s="300">
        <f>'PLAN INDICATIVO'!J163</f>
        <v>0</v>
      </c>
      <c r="K167" s="1425" t="str">
        <f>'PLAN INDICATIVO'!K163</f>
        <v>A.14.1.10</v>
      </c>
      <c r="L167" s="1425" t="str">
        <f>'PLAN INDICATIVO'!L163</f>
        <v>10. Reducción de las desigualdades</v>
      </c>
      <c r="M167" s="1425" t="s">
        <v>2735</v>
      </c>
      <c r="N167" s="1425" t="s">
        <v>2736</v>
      </c>
      <c r="O167" s="1425" t="str">
        <f>'PLAN INDICATIVO'!O163</f>
        <v>Incremento</v>
      </c>
      <c r="P167" s="16" t="str">
        <f>'PLAN INDICATIVO'!P163</f>
        <v>Articular 2 estrategias con el ICBF y la gobernación del Huila, conducentes a lograr la inclusión al sistema educativo de NNA en situación de discapacidad y la Inclusión a programas de educación inicial, durante el cuatrienio</v>
      </c>
      <c r="Q167" s="302" t="str">
        <f>'PLAN INDICATIVO'!Q163</f>
        <v>No. De estrategias articuladas</v>
      </c>
      <c r="R167" s="303">
        <f>'PLAN INDICATIVO'!R163</f>
        <v>2015</v>
      </c>
      <c r="S167" s="304">
        <v>0</v>
      </c>
      <c r="T167" s="677">
        <v>2</v>
      </c>
      <c r="U167" s="303">
        <v>1</v>
      </c>
      <c r="V167" s="687">
        <v>500000</v>
      </c>
      <c r="W167" s="303">
        <v>0</v>
      </c>
      <c r="X167" s="687">
        <v>0</v>
      </c>
      <c r="Y167" s="303">
        <v>1</v>
      </c>
      <c r="Z167" s="687">
        <v>500000</v>
      </c>
      <c r="AA167" s="303">
        <v>0</v>
      </c>
      <c r="AB167" s="687">
        <v>0</v>
      </c>
      <c r="AC167" s="669">
        <v>1</v>
      </c>
      <c r="AD167" s="669"/>
      <c r="AE167" s="669"/>
      <c r="AF167" s="669"/>
      <c r="AG167" s="341" t="s">
        <v>2757</v>
      </c>
      <c r="AH167" s="355" t="s">
        <v>2758</v>
      </c>
      <c r="AI167" s="356">
        <v>763</v>
      </c>
      <c r="AJ167" s="356">
        <v>48183</v>
      </c>
      <c r="AK167" s="358"/>
      <c r="AL167" s="358"/>
      <c r="AM167" s="267" t="s">
        <v>2598</v>
      </c>
      <c r="AN167" s="512" t="s">
        <v>2759</v>
      </c>
      <c r="AO167" s="525"/>
      <c r="AP167" s="759">
        <f>2200000+2000000+736667</f>
        <v>4936667</v>
      </c>
      <c r="AQ167" s="310"/>
      <c r="AR167" s="310"/>
      <c r="AS167" s="310"/>
      <c r="AT167" s="310"/>
      <c r="AU167" s="310"/>
      <c r="AV167" s="544">
        <f t="shared" si="64"/>
        <v>4936667</v>
      </c>
      <c r="AW167" s="525"/>
      <c r="AX167" s="310"/>
      <c r="AY167" s="310"/>
      <c r="AZ167" s="310"/>
      <c r="BA167" s="310"/>
      <c r="BB167" s="310"/>
      <c r="BC167" s="310"/>
      <c r="BD167" s="544">
        <f t="shared" si="65"/>
        <v>0</v>
      </c>
      <c r="BE167" s="525"/>
      <c r="BF167" s="310"/>
      <c r="BG167" s="310"/>
      <c r="BH167" s="310"/>
      <c r="BI167" s="310"/>
      <c r="BJ167" s="310"/>
      <c r="BK167" s="310"/>
      <c r="BL167" s="544">
        <f t="shared" si="66"/>
        <v>0</v>
      </c>
      <c r="BM167" s="525"/>
      <c r="BN167" s="310"/>
      <c r="BO167" s="310"/>
      <c r="BP167" s="310"/>
      <c r="BQ167" s="310"/>
      <c r="BR167" s="310"/>
      <c r="BS167" s="310"/>
      <c r="BT167" s="544">
        <f t="shared" si="67"/>
        <v>0</v>
      </c>
      <c r="BU167" s="556"/>
      <c r="BV167" s="663">
        <f t="shared" si="72"/>
        <v>1</v>
      </c>
      <c r="BW167" s="674">
        <f t="shared" si="73"/>
        <v>0.5</v>
      </c>
      <c r="BX167" s="674">
        <f t="shared" si="74"/>
        <v>1</v>
      </c>
      <c r="BY167" s="674" t="e">
        <f t="shared" si="75"/>
        <v>#DIV/0!</v>
      </c>
      <c r="BZ167" s="675">
        <f t="shared" si="76"/>
        <v>0</v>
      </c>
      <c r="CA167" s="675" t="e">
        <f t="shared" si="77"/>
        <v>#DIV/0!</v>
      </c>
    </row>
    <row r="168" spans="1:79" ht="105.75" hidden="1" customHeight="1" x14ac:dyDescent="0.25">
      <c r="A168" s="298" t="s">
        <v>491</v>
      </c>
      <c r="B168" s="299" t="str">
        <f>'PLAN INDICATIVO'!B164</f>
        <v>Atención a grupos vulnerables - promoción social</v>
      </c>
      <c r="C168" s="1547"/>
      <c r="D168" s="1551"/>
      <c r="E168" s="1551"/>
      <c r="F168" s="1551"/>
      <c r="G168" s="1551"/>
      <c r="H168" s="1551"/>
      <c r="I168" s="300">
        <f>'PLAN INDICATIVO'!I164</f>
        <v>0</v>
      </c>
      <c r="J168" s="300">
        <f>'PLAN INDICATIVO'!J164</f>
        <v>0</v>
      </c>
      <c r="K168" s="1425" t="str">
        <f>'PLAN INDICATIVO'!K164</f>
        <v>A.14.1.11</v>
      </c>
      <c r="L168" s="1425" t="str">
        <f>'PLAN INDICATIVO'!L164</f>
        <v>10. Reducción de las desigualdades</v>
      </c>
      <c r="M168" s="1425" t="s">
        <v>2735</v>
      </c>
      <c r="N168" s="1425" t="s">
        <v>2736</v>
      </c>
      <c r="O168" s="1425" t="str">
        <f>'PLAN INDICATIVO'!O164</f>
        <v>Incremento</v>
      </c>
      <c r="P168" s="16" t="str">
        <f>'PLAN INDICATIVO'!P164</f>
        <v>Realizar 16  capacitaciones en IE durante el cuatrienio para fomentar los derechos de protección del los NNA.</v>
      </c>
      <c r="Q168" s="302" t="str">
        <f>'PLAN INDICATIVO'!Q164</f>
        <v>No. De capacitaciones realizadas</v>
      </c>
      <c r="R168" s="303">
        <f>'PLAN INDICATIVO'!R164</f>
        <v>2015</v>
      </c>
      <c r="S168" s="304">
        <v>0</v>
      </c>
      <c r="T168" s="677">
        <v>16</v>
      </c>
      <c r="U168" s="303">
        <v>4</v>
      </c>
      <c r="V168" s="687">
        <v>2000000</v>
      </c>
      <c r="W168" s="303">
        <v>4</v>
      </c>
      <c r="X168" s="687">
        <v>500000</v>
      </c>
      <c r="Y168" s="303">
        <v>4</v>
      </c>
      <c r="Z168" s="687">
        <v>500000</v>
      </c>
      <c r="AA168" s="303">
        <v>4</v>
      </c>
      <c r="AB168" s="687">
        <v>500000</v>
      </c>
      <c r="AC168" s="669">
        <v>4</v>
      </c>
      <c r="AD168" s="669"/>
      <c r="AE168" s="669"/>
      <c r="AF168" s="669"/>
      <c r="AG168" s="341" t="s">
        <v>2760</v>
      </c>
      <c r="AH168" s="355" t="s">
        <v>2761</v>
      </c>
      <c r="AI168" s="356">
        <v>763</v>
      </c>
      <c r="AJ168" s="356">
        <v>48153</v>
      </c>
      <c r="AK168" s="358"/>
      <c r="AL168" s="358"/>
      <c r="AM168" s="267" t="s">
        <v>2598</v>
      </c>
      <c r="AN168" s="512" t="s">
        <v>2742</v>
      </c>
      <c r="AO168" s="526"/>
      <c r="AP168" s="760">
        <f>940000+2000000</f>
        <v>2940000</v>
      </c>
      <c r="AQ168" s="470"/>
      <c r="AR168" s="470"/>
      <c r="AS168" s="470"/>
      <c r="AT168" s="470"/>
      <c r="AU168" s="470"/>
      <c r="AV168" s="544">
        <f t="shared" si="64"/>
        <v>2940000</v>
      </c>
      <c r="AW168" s="526"/>
      <c r="AX168" s="470"/>
      <c r="AY168" s="470"/>
      <c r="AZ168" s="470"/>
      <c r="BA168" s="470"/>
      <c r="BB168" s="470"/>
      <c r="BC168" s="470"/>
      <c r="BD168" s="544">
        <f t="shared" si="65"/>
        <v>0</v>
      </c>
      <c r="BE168" s="526"/>
      <c r="BF168" s="470"/>
      <c r="BG168" s="470"/>
      <c r="BH168" s="470"/>
      <c r="BI168" s="470"/>
      <c r="BJ168" s="470"/>
      <c r="BK168" s="470"/>
      <c r="BL168" s="544">
        <f t="shared" si="66"/>
        <v>0</v>
      </c>
      <c r="BM168" s="526"/>
      <c r="BN168" s="470"/>
      <c r="BO168" s="470"/>
      <c r="BP168" s="470"/>
      <c r="BQ168" s="470"/>
      <c r="BR168" s="470"/>
      <c r="BS168" s="470"/>
      <c r="BT168" s="544">
        <f t="shared" si="67"/>
        <v>0</v>
      </c>
      <c r="BU168" s="556"/>
      <c r="BV168" s="663">
        <f t="shared" si="72"/>
        <v>4</v>
      </c>
      <c r="BW168" s="674">
        <f t="shared" si="73"/>
        <v>0.25</v>
      </c>
      <c r="BX168" s="674">
        <f t="shared" si="74"/>
        <v>1</v>
      </c>
      <c r="BY168" s="674">
        <f t="shared" si="75"/>
        <v>0</v>
      </c>
      <c r="BZ168" s="675">
        <f t="shared" si="76"/>
        <v>0</v>
      </c>
      <c r="CA168" s="675">
        <f t="shared" si="77"/>
        <v>0</v>
      </c>
    </row>
    <row r="169" spans="1:79" ht="104.25" hidden="1" customHeight="1" x14ac:dyDescent="0.25">
      <c r="A169" s="298" t="s">
        <v>491</v>
      </c>
      <c r="B169" s="299" t="str">
        <f>'PLAN INDICATIVO'!B165</f>
        <v>Atención a grupos vulnerables - promoción social</v>
      </c>
      <c r="C169" s="1547"/>
      <c r="D169" s="1551"/>
      <c r="E169" s="1551"/>
      <c r="F169" s="1551"/>
      <c r="G169" s="1551"/>
      <c r="H169" s="1551"/>
      <c r="I169" s="300">
        <f>'PLAN INDICATIVO'!I165</f>
        <v>0</v>
      </c>
      <c r="J169" s="300">
        <f>'PLAN INDICATIVO'!J165</f>
        <v>0</v>
      </c>
      <c r="K169" s="1425" t="str">
        <f>'PLAN INDICATIVO'!K165</f>
        <v>A.14.1.12</v>
      </c>
      <c r="L169" s="1425" t="str">
        <f>'PLAN INDICATIVO'!L165</f>
        <v>10. Reducción de las desigualdades</v>
      </c>
      <c r="M169" s="1425" t="s">
        <v>2735</v>
      </c>
      <c r="N169" s="1425" t="s">
        <v>2736</v>
      </c>
      <c r="O169" s="1425" t="str">
        <f>'PLAN INDICATIVO'!O165</f>
        <v>Mantenimiento</v>
      </c>
      <c r="P169" s="16" t="str">
        <f>'PLAN INDICATIVO'!P165</f>
        <v xml:space="preserve">Realizar 1 seguimiento al programa nutricional desarrollado por la ESE municipal para NNA cada año. </v>
      </c>
      <c r="Q169" s="302" t="str">
        <f>'PLAN INDICATIVO'!Q165</f>
        <v>No. De seguimientos al programa nutricional realizados por año</v>
      </c>
      <c r="R169" s="303">
        <f>'PLAN INDICATIVO'!R165</f>
        <v>2015</v>
      </c>
      <c r="S169" s="304">
        <v>0</v>
      </c>
      <c r="T169" s="677">
        <v>1</v>
      </c>
      <c r="U169" s="303">
        <v>1</v>
      </c>
      <c r="V169" s="687">
        <v>500000</v>
      </c>
      <c r="W169" s="303">
        <v>1</v>
      </c>
      <c r="X169" s="687">
        <v>500000</v>
      </c>
      <c r="Y169" s="303">
        <v>1</v>
      </c>
      <c r="Z169" s="687">
        <v>500000</v>
      </c>
      <c r="AA169" s="303">
        <v>1</v>
      </c>
      <c r="AB169" s="687">
        <v>500000</v>
      </c>
      <c r="AC169" s="669">
        <v>1</v>
      </c>
      <c r="AD169" s="669"/>
      <c r="AE169" s="669"/>
      <c r="AF169" s="669"/>
      <c r="AG169" s="341" t="s">
        <v>2762</v>
      </c>
      <c r="AH169" s="355" t="s">
        <v>2763</v>
      </c>
      <c r="AI169" s="356">
        <v>852</v>
      </c>
      <c r="AJ169" s="356">
        <v>40391</v>
      </c>
      <c r="AK169" s="358"/>
      <c r="AL169" s="358"/>
      <c r="AM169" s="267" t="s">
        <v>2598</v>
      </c>
      <c r="AN169" s="512" t="s">
        <v>2759</v>
      </c>
      <c r="AO169" s="525"/>
      <c r="AP169" s="759">
        <f>2200000+736667</f>
        <v>2936667</v>
      </c>
      <c r="AQ169" s="310"/>
      <c r="AR169" s="310"/>
      <c r="AS169" s="310"/>
      <c r="AT169" s="310"/>
      <c r="AU169" s="310"/>
      <c r="AV169" s="544">
        <f t="shared" si="64"/>
        <v>2936667</v>
      </c>
      <c r="AW169" s="525"/>
      <c r="AX169" s="310"/>
      <c r="AY169" s="310"/>
      <c r="AZ169" s="310"/>
      <c r="BA169" s="310"/>
      <c r="BB169" s="310"/>
      <c r="BC169" s="310"/>
      <c r="BD169" s="544">
        <f t="shared" si="65"/>
        <v>0</v>
      </c>
      <c r="BE169" s="525"/>
      <c r="BF169" s="310"/>
      <c r="BG169" s="310"/>
      <c r="BH169" s="310"/>
      <c r="BI169" s="310"/>
      <c r="BJ169" s="310"/>
      <c r="BK169" s="310"/>
      <c r="BL169" s="544">
        <f t="shared" si="66"/>
        <v>0</v>
      </c>
      <c r="BM169" s="525"/>
      <c r="BN169" s="310"/>
      <c r="BO169" s="310"/>
      <c r="BP169" s="310"/>
      <c r="BQ169" s="310"/>
      <c r="BR169" s="310"/>
      <c r="BS169" s="310"/>
      <c r="BT169" s="544">
        <f t="shared" si="67"/>
        <v>0</v>
      </c>
      <c r="BU169" s="556"/>
      <c r="BV169" s="663">
        <f t="shared" si="72"/>
        <v>1</v>
      </c>
      <c r="BW169" s="674">
        <f t="shared" si="73"/>
        <v>1</v>
      </c>
      <c r="BX169" s="674">
        <f t="shared" si="74"/>
        <v>1</v>
      </c>
      <c r="BY169" s="674">
        <f t="shared" si="75"/>
        <v>0</v>
      </c>
      <c r="BZ169" s="675">
        <f t="shared" si="76"/>
        <v>0</v>
      </c>
      <c r="CA169" s="675">
        <f t="shared" si="77"/>
        <v>0</v>
      </c>
    </row>
    <row r="170" spans="1:79" ht="100.5" hidden="1" customHeight="1" x14ac:dyDescent="0.25">
      <c r="A170" s="298" t="s">
        <v>491</v>
      </c>
      <c r="B170" s="299" t="str">
        <f>'PLAN INDICATIVO'!B166</f>
        <v>Atención a grupos vulnerables - promoción social</v>
      </c>
      <c r="C170" s="1547"/>
      <c r="D170" s="1551"/>
      <c r="E170" s="1551"/>
      <c r="F170" s="1551"/>
      <c r="G170" s="1551"/>
      <c r="H170" s="1551"/>
      <c r="I170" s="300">
        <f>'PLAN INDICATIVO'!I166</f>
        <v>0</v>
      </c>
      <c r="J170" s="300">
        <f>'PLAN INDICATIVO'!J166</f>
        <v>0</v>
      </c>
      <c r="K170" s="1425" t="str">
        <f>'PLAN INDICATIVO'!K166</f>
        <v>A.14.1.13</v>
      </c>
      <c r="L170" s="1425" t="str">
        <f>'PLAN INDICATIVO'!L166</f>
        <v>10. Reducción de las desigualdades</v>
      </c>
      <c r="M170" s="1425" t="s">
        <v>2735</v>
      </c>
      <c r="N170" s="1425" t="s">
        <v>2736</v>
      </c>
      <c r="O170" s="1425" t="str">
        <f>'PLAN INDICATIVO'!O166</f>
        <v>Incremento</v>
      </c>
      <c r="P170" s="16" t="str">
        <f>'PLAN INDICATIVO'!P166</f>
        <v>Realizar 2 jornadas de identificación de NNA, articulada con la Registraduría, durante el cuatrienio</v>
      </c>
      <c r="Q170" s="302" t="str">
        <f>'PLAN INDICATIVO'!Q166</f>
        <v>No. De jornadas de identificación realizadas</v>
      </c>
      <c r="R170" s="303">
        <f>'PLAN INDICATIVO'!R166</f>
        <v>2015</v>
      </c>
      <c r="S170" s="304">
        <v>0</v>
      </c>
      <c r="T170" s="677">
        <v>2</v>
      </c>
      <c r="U170" s="303">
        <v>0</v>
      </c>
      <c r="V170" s="687">
        <v>0</v>
      </c>
      <c r="W170" s="303">
        <v>1</v>
      </c>
      <c r="X170" s="687">
        <v>500000</v>
      </c>
      <c r="Y170" s="303">
        <v>0</v>
      </c>
      <c r="Z170" s="687">
        <v>0</v>
      </c>
      <c r="AA170" s="303">
        <v>1</v>
      </c>
      <c r="AB170" s="687">
        <v>500000</v>
      </c>
      <c r="AC170" s="669"/>
      <c r="AD170" s="669"/>
      <c r="AE170" s="669"/>
      <c r="AF170" s="669"/>
      <c r="AG170" s="341" t="s">
        <v>2764</v>
      </c>
      <c r="AH170" s="355" t="s">
        <v>2765</v>
      </c>
      <c r="AI170" s="359"/>
      <c r="AJ170" s="358"/>
      <c r="AK170" s="358"/>
      <c r="AL170" s="358"/>
      <c r="AM170" s="267" t="s">
        <v>2594</v>
      </c>
      <c r="AN170" s="512"/>
      <c r="AO170" s="525"/>
      <c r="AP170" s="310"/>
      <c r="AQ170" s="310"/>
      <c r="AR170" s="310"/>
      <c r="AS170" s="310"/>
      <c r="AT170" s="310"/>
      <c r="AU170" s="310"/>
      <c r="AV170" s="544">
        <f t="shared" si="64"/>
        <v>0</v>
      </c>
      <c r="AW170" s="525"/>
      <c r="AX170" s="310"/>
      <c r="AY170" s="310"/>
      <c r="AZ170" s="310"/>
      <c r="BA170" s="310"/>
      <c r="BB170" s="310"/>
      <c r="BC170" s="310"/>
      <c r="BD170" s="544">
        <f t="shared" si="65"/>
        <v>0</v>
      </c>
      <c r="BE170" s="525"/>
      <c r="BF170" s="310"/>
      <c r="BG170" s="310"/>
      <c r="BH170" s="310"/>
      <c r="BI170" s="310"/>
      <c r="BJ170" s="310"/>
      <c r="BK170" s="310"/>
      <c r="BL170" s="544">
        <f t="shared" si="66"/>
        <v>0</v>
      </c>
      <c r="BM170" s="525"/>
      <c r="BN170" s="310"/>
      <c r="BO170" s="310"/>
      <c r="BP170" s="310"/>
      <c r="BQ170" s="310"/>
      <c r="BR170" s="310"/>
      <c r="BS170" s="310"/>
      <c r="BT170" s="544">
        <f t="shared" si="67"/>
        <v>0</v>
      </c>
      <c r="BU170" s="556"/>
      <c r="BV170" s="663">
        <f t="shared" si="72"/>
        <v>0</v>
      </c>
      <c r="BW170" s="674">
        <f t="shared" si="73"/>
        <v>0</v>
      </c>
      <c r="BX170" s="674" t="e">
        <f t="shared" si="74"/>
        <v>#DIV/0!</v>
      </c>
      <c r="BY170" s="674">
        <f t="shared" si="75"/>
        <v>0</v>
      </c>
      <c r="BZ170" s="675" t="e">
        <f t="shared" si="76"/>
        <v>#DIV/0!</v>
      </c>
      <c r="CA170" s="675">
        <f t="shared" si="77"/>
        <v>0</v>
      </c>
    </row>
    <row r="171" spans="1:79" ht="95.25" hidden="1" customHeight="1" x14ac:dyDescent="0.25">
      <c r="A171" s="298" t="s">
        <v>491</v>
      </c>
      <c r="B171" s="299" t="str">
        <f>'PLAN INDICATIVO'!B167</f>
        <v>Atención a grupos vulnerables - promoción social</v>
      </c>
      <c r="C171" s="1547"/>
      <c r="D171" s="1551"/>
      <c r="E171" s="1551"/>
      <c r="F171" s="1551"/>
      <c r="G171" s="1551"/>
      <c r="H171" s="1551"/>
      <c r="I171" s="300">
        <f>'PLAN INDICATIVO'!I167</f>
        <v>0</v>
      </c>
      <c r="J171" s="300">
        <f>'PLAN INDICATIVO'!J167</f>
        <v>0</v>
      </c>
      <c r="K171" s="1425" t="str">
        <f>'PLAN INDICATIVO'!K167</f>
        <v>A.14.1.14</v>
      </c>
      <c r="L171" s="1425" t="str">
        <f>'PLAN INDICATIVO'!L167</f>
        <v>10. Reducción de las desigualdades</v>
      </c>
      <c r="M171" s="1425" t="s">
        <v>2735</v>
      </c>
      <c r="N171" s="1425" t="s">
        <v>2736</v>
      </c>
      <c r="O171" s="1425" t="str">
        <f>'PLAN INDICATIVO'!O167</f>
        <v>Incremento</v>
      </c>
      <c r="P171" s="16" t="str">
        <f>'PLAN INDICATIVO'!P167</f>
        <v>Garantizar la participación de NNA en los 15 Consejos de Política Social, durante el cuatrienio</v>
      </c>
      <c r="Q171" s="302" t="str">
        <f>'PLAN INDICATIVO'!Q167</f>
        <v xml:space="preserve">No. de consejos de política social realizados en que participan los NNA. </v>
      </c>
      <c r="R171" s="303">
        <f>'PLAN INDICATIVO'!R167</f>
        <v>2015</v>
      </c>
      <c r="S171" s="304">
        <v>0</v>
      </c>
      <c r="T171" s="677">
        <v>15</v>
      </c>
      <c r="U171" s="303">
        <v>3</v>
      </c>
      <c r="V171" s="687">
        <v>500000</v>
      </c>
      <c r="W171" s="303">
        <v>4</v>
      </c>
      <c r="X171" s="687">
        <v>500000</v>
      </c>
      <c r="Y171" s="303">
        <v>4</v>
      </c>
      <c r="Z171" s="687">
        <v>500000</v>
      </c>
      <c r="AA171" s="303">
        <v>4</v>
      </c>
      <c r="AB171" s="687">
        <v>520000</v>
      </c>
      <c r="AC171" s="669">
        <v>3</v>
      </c>
      <c r="AD171" s="669"/>
      <c r="AE171" s="669"/>
      <c r="AF171" s="669"/>
      <c r="AG171" s="341" t="s">
        <v>2766</v>
      </c>
      <c r="AH171" s="355" t="s">
        <v>2767</v>
      </c>
      <c r="AI171" s="356">
        <v>3866</v>
      </c>
      <c r="AJ171" s="356">
        <v>48183</v>
      </c>
      <c r="AK171" s="358"/>
      <c r="AL171" s="358"/>
      <c r="AM171" s="267" t="s">
        <v>2598</v>
      </c>
      <c r="AN171" s="512"/>
      <c r="AO171" s="525"/>
      <c r="AP171" s="310"/>
      <c r="AQ171" s="310"/>
      <c r="AR171" s="310"/>
      <c r="AS171" s="310"/>
      <c r="AT171" s="310"/>
      <c r="AU171" s="310"/>
      <c r="AV171" s="544">
        <f t="shared" si="64"/>
        <v>0</v>
      </c>
      <c r="AW171" s="525"/>
      <c r="AX171" s="310"/>
      <c r="AY171" s="310"/>
      <c r="AZ171" s="310"/>
      <c r="BA171" s="310"/>
      <c r="BB171" s="310"/>
      <c r="BC171" s="310"/>
      <c r="BD171" s="544">
        <f t="shared" si="65"/>
        <v>0</v>
      </c>
      <c r="BE171" s="525"/>
      <c r="BF171" s="310"/>
      <c r="BG171" s="310"/>
      <c r="BH171" s="310"/>
      <c r="BI171" s="310"/>
      <c r="BJ171" s="310"/>
      <c r="BK171" s="310"/>
      <c r="BL171" s="544">
        <f t="shared" si="66"/>
        <v>0</v>
      </c>
      <c r="BM171" s="525"/>
      <c r="BN171" s="310"/>
      <c r="BO171" s="310"/>
      <c r="BP171" s="310"/>
      <c r="BQ171" s="310"/>
      <c r="BR171" s="310"/>
      <c r="BS171" s="310"/>
      <c r="BT171" s="544">
        <f t="shared" si="67"/>
        <v>0</v>
      </c>
      <c r="BU171" s="556"/>
      <c r="BV171" s="663">
        <f t="shared" si="72"/>
        <v>3</v>
      </c>
      <c r="BW171" s="674">
        <f t="shared" si="73"/>
        <v>0.2</v>
      </c>
      <c r="BX171" s="674">
        <f t="shared" si="74"/>
        <v>1</v>
      </c>
      <c r="BY171" s="674">
        <f t="shared" si="75"/>
        <v>0</v>
      </c>
      <c r="BZ171" s="675">
        <f t="shared" si="76"/>
        <v>0</v>
      </c>
      <c r="CA171" s="675">
        <f t="shared" si="77"/>
        <v>0</v>
      </c>
    </row>
    <row r="172" spans="1:79" s="231" customFormat="1" ht="82.5" hidden="1" customHeight="1" x14ac:dyDescent="0.25">
      <c r="A172" s="354" t="s">
        <v>491</v>
      </c>
      <c r="B172" s="299" t="str">
        <f>'PLAN INDICATIVO'!B168</f>
        <v>Atención a grupos vulnerables - promoción social</v>
      </c>
      <c r="C172" s="1599"/>
      <c r="D172" s="1599"/>
      <c r="E172" s="1599"/>
      <c r="F172" s="1599"/>
      <c r="G172" s="1599"/>
      <c r="H172" s="1599"/>
      <c r="I172" s="300">
        <f>'PLAN INDICATIVO'!I168</f>
        <v>0</v>
      </c>
      <c r="J172" s="300">
        <f>'PLAN INDICATIVO'!J168</f>
        <v>0</v>
      </c>
      <c r="K172" s="1425" t="str">
        <f>'PLAN INDICATIVO'!K168</f>
        <v>A.14.1.15</v>
      </c>
      <c r="L172" s="1425" t="str">
        <f>'PLAN INDICATIVO'!L168</f>
        <v>10. Reducción de las desigualdades</v>
      </c>
      <c r="M172" s="1425" t="s">
        <v>2735</v>
      </c>
      <c r="N172" s="1425" t="s">
        <v>2736</v>
      </c>
      <c r="O172" s="1425" t="str">
        <f>'PLAN INDICATIVO'!O168</f>
        <v>Mantenimiento</v>
      </c>
      <c r="P172" s="16" t="str">
        <f>'PLAN INDICATIVO'!P168</f>
        <v>Realizar 1 Celebración del día de la niñez cada año</v>
      </c>
      <c r="Q172" s="302" t="str">
        <f>'PLAN INDICATIVO'!Q168</f>
        <v>No. De celebraciones realizadas por año</v>
      </c>
      <c r="R172" s="303">
        <f>'PLAN INDICATIVO'!R168</f>
        <v>2015</v>
      </c>
      <c r="S172" s="304">
        <v>1</v>
      </c>
      <c r="T172" s="677">
        <v>1</v>
      </c>
      <c r="U172" s="303">
        <v>1</v>
      </c>
      <c r="V172" s="687">
        <v>18000000</v>
      </c>
      <c r="W172" s="303">
        <v>1</v>
      </c>
      <c r="X172" s="687">
        <v>9000000</v>
      </c>
      <c r="Y172" s="303">
        <v>1</v>
      </c>
      <c r="Z172" s="687">
        <v>9000000</v>
      </c>
      <c r="AA172" s="303">
        <v>1</v>
      </c>
      <c r="AB172" s="687">
        <v>10000000</v>
      </c>
      <c r="AC172" s="670">
        <v>1</v>
      </c>
      <c r="AD172" s="670"/>
      <c r="AE172" s="670"/>
      <c r="AF172" s="670"/>
      <c r="AG172" s="343" t="s">
        <v>2768</v>
      </c>
      <c r="AH172" s="361" t="s">
        <v>2769</v>
      </c>
      <c r="AI172" s="356">
        <v>11049</v>
      </c>
      <c r="AJ172" s="356">
        <v>11049</v>
      </c>
      <c r="AK172" s="362"/>
      <c r="AL172" s="362"/>
      <c r="AM172" s="267" t="s">
        <v>2598</v>
      </c>
      <c r="AN172" s="512" t="s">
        <v>2742</v>
      </c>
      <c r="AO172" s="528"/>
      <c r="AP172" s="761">
        <v>940000</v>
      </c>
      <c r="AQ172" s="472"/>
      <c r="AR172" s="472"/>
      <c r="AS172" s="472"/>
      <c r="AT172" s="472"/>
      <c r="AU172" s="472"/>
      <c r="AV172" s="544">
        <f t="shared" si="64"/>
        <v>940000</v>
      </c>
      <c r="AW172" s="528"/>
      <c r="AX172" s="472"/>
      <c r="AY172" s="472"/>
      <c r="AZ172" s="472"/>
      <c r="BA172" s="472"/>
      <c r="BB172" s="472"/>
      <c r="BC172" s="472"/>
      <c r="BD172" s="544">
        <f t="shared" si="65"/>
        <v>0</v>
      </c>
      <c r="BE172" s="528"/>
      <c r="BF172" s="472"/>
      <c r="BG172" s="472"/>
      <c r="BH172" s="472"/>
      <c r="BI172" s="472"/>
      <c r="BJ172" s="472"/>
      <c r="BK172" s="472"/>
      <c r="BL172" s="544">
        <f t="shared" si="66"/>
        <v>0</v>
      </c>
      <c r="BM172" s="528"/>
      <c r="BN172" s="472"/>
      <c r="BO172" s="472"/>
      <c r="BP172" s="472"/>
      <c r="BQ172" s="472"/>
      <c r="BR172" s="472"/>
      <c r="BS172" s="472"/>
      <c r="BT172" s="544">
        <f t="shared" si="67"/>
        <v>0</v>
      </c>
      <c r="BU172" s="653"/>
      <c r="BV172" s="663">
        <f t="shared" si="72"/>
        <v>1</v>
      </c>
      <c r="BW172" s="674">
        <f t="shared" si="73"/>
        <v>1</v>
      </c>
      <c r="BX172" s="674">
        <f t="shared" si="74"/>
        <v>1</v>
      </c>
      <c r="BY172" s="674">
        <f t="shared" si="75"/>
        <v>0</v>
      </c>
      <c r="BZ172" s="675">
        <f t="shared" si="76"/>
        <v>0</v>
      </c>
      <c r="CA172" s="675">
        <f t="shared" si="77"/>
        <v>0</v>
      </c>
    </row>
    <row r="173" spans="1:79" ht="89.25" hidden="1" customHeight="1" x14ac:dyDescent="0.25">
      <c r="A173" s="298" t="s">
        <v>491</v>
      </c>
      <c r="B173" s="299" t="str">
        <f>'PLAN INDICATIVO'!B169</f>
        <v>Atención a grupos vulnerables - promoción social</v>
      </c>
      <c r="C173" s="1547"/>
      <c r="D173" s="1551"/>
      <c r="E173" s="1551"/>
      <c r="F173" s="1551"/>
      <c r="G173" s="1551"/>
      <c r="H173" s="1551"/>
      <c r="I173" s="300">
        <f>'PLAN INDICATIVO'!I169</f>
        <v>0</v>
      </c>
      <c r="J173" s="300">
        <f>'PLAN INDICATIVO'!J169</f>
        <v>0</v>
      </c>
      <c r="K173" s="1425" t="str">
        <f>'PLAN INDICATIVO'!K169</f>
        <v>A.14.1.16</v>
      </c>
      <c r="L173" s="1425" t="str">
        <f>'PLAN INDICATIVO'!L169</f>
        <v>10. Reducción de las desigualdades</v>
      </c>
      <c r="M173" s="1425" t="s">
        <v>2735</v>
      </c>
      <c r="N173" s="1425" t="s">
        <v>2736</v>
      </c>
      <c r="O173" s="1425" t="str">
        <f>'PLAN INDICATIVO'!O169</f>
        <v>Mantenimiento</v>
      </c>
      <c r="P173" s="16" t="str">
        <f>'PLAN INDICATIVO'!P169</f>
        <v xml:space="preserve">Realizar 1 Celebración de la navidad a niños y niñas "caravana navideña por la paz", cada año. </v>
      </c>
      <c r="Q173" s="302" t="str">
        <f>'PLAN INDICATIVO'!Q169</f>
        <v>No. de celebraciones realizadas por año</v>
      </c>
      <c r="R173" s="303">
        <f>'PLAN INDICATIVO'!R169</f>
        <v>2015</v>
      </c>
      <c r="S173" s="304">
        <v>0</v>
      </c>
      <c r="T173" s="677">
        <v>1</v>
      </c>
      <c r="U173" s="303">
        <v>1</v>
      </c>
      <c r="V173" s="687">
        <v>30000000</v>
      </c>
      <c r="W173" s="303">
        <v>1</v>
      </c>
      <c r="X173" s="687">
        <v>9240000</v>
      </c>
      <c r="Y173" s="303">
        <v>1</v>
      </c>
      <c r="Z173" s="687">
        <v>9000000</v>
      </c>
      <c r="AA173" s="303">
        <v>1</v>
      </c>
      <c r="AB173" s="687">
        <v>10350000</v>
      </c>
      <c r="AC173" s="669">
        <v>1</v>
      </c>
      <c r="AD173" s="669"/>
      <c r="AE173" s="669"/>
      <c r="AF173" s="669"/>
      <c r="AG173" s="341" t="s">
        <v>2770</v>
      </c>
      <c r="AH173" s="355" t="s">
        <v>2771</v>
      </c>
      <c r="AI173" s="356">
        <v>5814</v>
      </c>
      <c r="AJ173" s="356">
        <v>11293</v>
      </c>
      <c r="AK173" s="358"/>
      <c r="AL173" s="358"/>
      <c r="AM173" s="267" t="s">
        <v>2598</v>
      </c>
      <c r="AN173" s="512" t="s">
        <v>2772</v>
      </c>
      <c r="AO173" s="525"/>
      <c r="AP173" s="310">
        <v>13930000</v>
      </c>
      <c r="AQ173" s="310"/>
      <c r="AR173" s="310"/>
      <c r="AS173" s="310"/>
      <c r="AT173" s="310"/>
      <c r="AU173" s="310"/>
      <c r="AV173" s="544">
        <f t="shared" si="64"/>
        <v>13930000</v>
      </c>
      <c r="AW173" s="525"/>
      <c r="AX173" s="310"/>
      <c r="AY173" s="310"/>
      <c r="AZ173" s="310"/>
      <c r="BA173" s="310"/>
      <c r="BB173" s="310"/>
      <c r="BC173" s="310"/>
      <c r="BD173" s="544">
        <f t="shared" si="65"/>
        <v>0</v>
      </c>
      <c r="BE173" s="525"/>
      <c r="BF173" s="310"/>
      <c r="BG173" s="310"/>
      <c r="BH173" s="310"/>
      <c r="BI173" s="310"/>
      <c r="BJ173" s="310"/>
      <c r="BK173" s="310"/>
      <c r="BL173" s="544">
        <f t="shared" si="66"/>
        <v>0</v>
      </c>
      <c r="BM173" s="525"/>
      <c r="BN173" s="310"/>
      <c r="BO173" s="310"/>
      <c r="BP173" s="310"/>
      <c r="BQ173" s="310"/>
      <c r="BR173" s="310"/>
      <c r="BS173" s="310"/>
      <c r="BT173" s="544">
        <f t="shared" si="67"/>
        <v>0</v>
      </c>
      <c r="BU173" s="556"/>
      <c r="BV173" s="663">
        <f t="shared" si="72"/>
        <v>1</v>
      </c>
      <c r="BW173" s="674">
        <f t="shared" si="73"/>
        <v>1</v>
      </c>
      <c r="BX173" s="674">
        <f t="shared" si="74"/>
        <v>1</v>
      </c>
      <c r="BY173" s="674">
        <f t="shared" si="75"/>
        <v>0</v>
      </c>
      <c r="BZ173" s="675">
        <f t="shared" si="76"/>
        <v>0</v>
      </c>
      <c r="CA173" s="675">
        <f t="shared" si="77"/>
        <v>0</v>
      </c>
    </row>
    <row r="174" spans="1:79" ht="93.75" hidden="1" customHeight="1" x14ac:dyDescent="0.25">
      <c r="A174" s="298" t="s">
        <v>491</v>
      </c>
      <c r="B174" s="299" t="str">
        <f>'PLAN INDICATIVO'!B170</f>
        <v>Atención a grupos vulnerables - promoción social</v>
      </c>
      <c r="C174" s="1547"/>
      <c r="D174" s="1551"/>
      <c r="E174" s="1551"/>
      <c r="F174" s="1551"/>
      <c r="G174" s="1551"/>
      <c r="H174" s="1551"/>
      <c r="I174" s="300">
        <f>'PLAN INDICATIVO'!I170</f>
        <v>0</v>
      </c>
      <c r="J174" s="300">
        <f>'PLAN INDICATIVO'!J170</f>
        <v>0</v>
      </c>
      <c r="K174" s="1425" t="str">
        <f>'PLAN INDICATIVO'!K170</f>
        <v>A.14.1.17</v>
      </c>
      <c r="L174" s="1425" t="str">
        <f>'PLAN INDICATIVO'!L170</f>
        <v>10. Reducción de las desigualdades</v>
      </c>
      <c r="M174" s="1425" t="s">
        <v>2735</v>
      </c>
      <c r="N174" s="1425" t="s">
        <v>2736</v>
      </c>
      <c r="O174" s="1425" t="str">
        <f>'PLAN INDICATIVO'!O170</f>
        <v>Incremento</v>
      </c>
      <c r="P174" s="16" t="str">
        <f>'PLAN INDICATIVO'!P170</f>
        <v>Realizar 12 programas  radiales de promoción de derechos y deberes en los NNA,  durante el cuatrienio</v>
      </c>
      <c r="Q174" s="302" t="str">
        <f>'PLAN INDICATIVO'!Q170</f>
        <v>No. De programas radiales realizados</v>
      </c>
      <c r="R174" s="303">
        <f>'PLAN INDICATIVO'!R170</f>
        <v>2015</v>
      </c>
      <c r="S174" s="304">
        <v>0</v>
      </c>
      <c r="T174" s="677">
        <v>12</v>
      </c>
      <c r="U174" s="303">
        <v>3</v>
      </c>
      <c r="V174" s="687">
        <v>500000</v>
      </c>
      <c r="W174" s="303">
        <v>3</v>
      </c>
      <c r="X174" s="687">
        <v>500000</v>
      </c>
      <c r="Y174" s="303">
        <v>3</v>
      </c>
      <c r="Z174" s="687">
        <v>500000</v>
      </c>
      <c r="AA174" s="303">
        <v>3</v>
      </c>
      <c r="AB174" s="687">
        <v>500000</v>
      </c>
      <c r="AC174" s="669">
        <v>3</v>
      </c>
      <c r="AD174" s="669"/>
      <c r="AE174" s="669"/>
      <c r="AF174" s="669"/>
      <c r="AG174" s="341" t="s">
        <v>2773</v>
      </c>
      <c r="AH174" s="355" t="s">
        <v>2774</v>
      </c>
      <c r="AI174" s="356">
        <v>5511</v>
      </c>
      <c r="AJ174" s="356">
        <v>11110</v>
      </c>
      <c r="AK174" s="358"/>
      <c r="AL174" s="358"/>
      <c r="AM174" s="267" t="s">
        <v>2598</v>
      </c>
      <c r="AN174" s="512" t="s">
        <v>2742</v>
      </c>
      <c r="AO174" s="525"/>
      <c r="AP174" s="759">
        <f>2200000+940000</f>
        <v>3140000</v>
      </c>
      <c r="AQ174" s="310"/>
      <c r="AR174" s="310"/>
      <c r="AS174" s="310"/>
      <c r="AT174" s="310"/>
      <c r="AU174" s="310"/>
      <c r="AV174" s="544">
        <f t="shared" si="64"/>
        <v>3140000</v>
      </c>
      <c r="AW174" s="525"/>
      <c r="AX174" s="310"/>
      <c r="AY174" s="310"/>
      <c r="AZ174" s="310"/>
      <c r="BA174" s="310"/>
      <c r="BB174" s="310"/>
      <c r="BC174" s="310"/>
      <c r="BD174" s="544">
        <f t="shared" si="65"/>
        <v>0</v>
      </c>
      <c r="BE174" s="525"/>
      <c r="BF174" s="310"/>
      <c r="BG174" s="310"/>
      <c r="BH174" s="310"/>
      <c r="BI174" s="310"/>
      <c r="BJ174" s="310"/>
      <c r="BK174" s="310"/>
      <c r="BL174" s="544">
        <f t="shared" si="66"/>
        <v>0</v>
      </c>
      <c r="BM174" s="525"/>
      <c r="BN174" s="310"/>
      <c r="BO174" s="310"/>
      <c r="BP174" s="310"/>
      <c r="BQ174" s="310"/>
      <c r="BR174" s="310"/>
      <c r="BS174" s="310"/>
      <c r="BT174" s="544">
        <f t="shared" si="67"/>
        <v>0</v>
      </c>
      <c r="BU174" s="556"/>
      <c r="BV174" s="663">
        <f t="shared" si="72"/>
        <v>3</v>
      </c>
      <c r="BW174" s="674">
        <f t="shared" si="73"/>
        <v>0.25</v>
      </c>
      <c r="BX174" s="674">
        <f t="shared" si="74"/>
        <v>1</v>
      </c>
      <c r="BY174" s="674">
        <f t="shared" si="75"/>
        <v>0</v>
      </c>
      <c r="BZ174" s="675">
        <f t="shared" si="76"/>
        <v>0</v>
      </c>
      <c r="CA174" s="675">
        <f t="shared" si="77"/>
        <v>0</v>
      </c>
    </row>
    <row r="175" spans="1:79" ht="87" hidden="1" customHeight="1" x14ac:dyDescent="0.25">
      <c r="A175" s="298" t="s">
        <v>491</v>
      </c>
      <c r="B175" s="299" t="str">
        <f>'PLAN INDICATIVO'!B171</f>
        <v>Atención a grupos vulnerables - promoción social</v>
      </c>
      <c r="C175" s="1547"/>
      <c r="D175" s="1551"/>
      <c r="E175" s="1551"/>
      <c r="F175" s="1551"/>
      <c r="G175" s="1551"/>
      <c r="H175" s="1551"/>
      <c r="I175" s="300">
        <f>'PLAN INDICATIVO'!I171</f>
        <v>0</v>
      </c>
      <c r="J175" s="300">
        <f>'PLAN INDICATIVO'!J171</f>
        <v>0</v>
      </c>
      <c r="K175" s="1425" t="str">
        <f>'PLAN INDICATIVO'!K171</f>
        <v>A.14.1.18</v>
      </c>
      <c r="L175" s="1425" t="str">
        <f>'PLAN INDICATIVO'!L171</f>
        <v>10. Reducción de las desigualdades</v>
      </c>
      <c r="M175" s="1425" t="s">
        <v>2735</v>
      </c>
      <c r="N175" s="1425" t="s">
        <v>2736</v>
      </c>
      <c r="O175" s="1425" t="str">
        <f>'PLAN INDICATIVO'!O171</f>
        <v>Mantenimiento</v>
      </c>
      <c r="P175" s="16" t="str">
        <f>'PLAN INDICATIVO'!P171</f>
        <v>Ejecutar 1 programa "No te madures biche, los niños, niñas y adolescentes unidos por el cambio", encaminado a disminuir el delito, y prevenir el consumo de alcohol y de Sustancias Psicoactivas cada año</v>
      </c>
      <c r="Q175" s="302" t="str">
        <f>'PLAN INDICATIVO'!Q171</f>
        <v>No. de programa ejecutado por año</v>
      </c>
      <c r="R175" s="303">
        <f>'PLAN INDICATIVO'!R171</f>
        <v>2015</v>
      </c>
      <c r="S175" s="304">
        <v>0</v>
      </c>
      <c r="T175" s="677">
        <v>1</v>
      </c>
      <c r="U175" s="303">
        <v>1</v>
      </c>
      <c r="V175" s="687">
        <v>10000000</v>
      </c>
      <c r="W175" s="303">
        <v>1</v>
      </c>
      <c r="X175" s="687">
        <v>500000</v>
      </c>
      <c r="Y175" s="303">
        <v>1</v>
      </c>
      <c r="Z175" s="687">
        <v>500000</v>
      </c>
      <c r="AA175" s="303">
        <v>1</v>
      </c>
      <c r="AB175" s="687">
        <v>500000</v>
      </c>
      <c r="AC175" s="669">
        <v>1</v>
      </c>
      <c r="AD175" s="669"/>
      <c r="AE175" s="669"/>
      <c r="AF175" s="669"/>
      <c r="AG175" s="341"/>
      <c r="AH175" s="738" t="s">
        <v>2775</v>
      </c>
      <c r="AI175" s="358"/>
      <c r="AJ175" s="358"/>
      <c r="AK175" s="358"/>
      <c r="AL175" s="358"/>
      <c r="AM175" s="709" t="s">
        <v>2598</v>
      </c>
      <c r="AN175" s="512"/>
      <c r="AO175" s="525"/>
      <c r="AP175" s="310"/>
      <c r="AQ175" s="310"/>
      <c r="AR175" s="310"/>
      <c r="AS175" s="310"/>
      <c r="AT175" s="310"/>
      <c r="AU175" s="310"/>
      <c r="AV175" s="544">
        <f t="shared" si="64"/>
        <v>0</v>
      </c>
      <c r="AW175" s="525"/>
      <c r="AX175" s="310"/>
      <c r="AY175" s="310"/>
      <c r="AZ175" s="310"/>
      <c r="BA175" s="310"/>
      <c r="BB175" s="310"/>
      <c r="BC175" s="310"/>
      <c r="BD175" s="544">
        <f t="shared" si="65"/>
        <v>0</v>
      </c>
      <c r="BE175" s="525"/>
      <c r="BF175" s="310"/>
      <c r="BG175" s="310"/>
      <c r="BH175" s="310"/>
      <c r="BI175" s="310"/>
      <c r="BJ175" s="310"/>
      <c r="BK175" s="310"/>
      <c r="BL175" s="544">
        <f t="shared" si="66"/>
        <v>0</v>
      </c>
      <c r="BM175" s="525"/>
      <c r="BN175" s="310"/>
      <c r="BO175" s="310"/>
      <c r="BP175" s="310"/>
      <c r="BQ175" s="310"/>
      <c r="BR175" s="310"/>
      <c r="BS175" s="310"/>
      <c r="BT175" s="544">
        <f t="shared" si="67"/>
        <v>0</v>
      </c>
      <c r="BU175" s="556"/>
      <c r="BV175" s="663">
        <f t="shared" si="72"/>
        <v>1</v>
      </c>
      <c r="BW175" s="674">
        <f t="shared" si="73"/>
        <v>1</v>
      </c>
      <c r="BX175" s="674">
        <f t="shared" si="74"/>
        <v>1</v>
      </c>
      <c r="BY175" s="674">
        <f t="shared" si="75"/>
        <v>0</v>
      </c>
      <c r="BZ175" s="675">
        <f t="shared" si="76"/>
        <v>0</v>
      </c>
      <c r="CA175" s="675">
        <f t="shared" si="77"/>
        <v>0</v>
      </c>
    </row>
    <row r="176" spans="1:79" ht="108.75" hidden="1" customHeight="1" x14ac:dyDescent="0.25">
      <c r="A176" s="298" t="s">
        <v>491</v>
      </c>
      <c r="B176" s="299" t="str">
        <f>'PLAN INDICATIVO'!B172</f>
        <v>Atención a grupos vulnerables - promoción social</v>
      </c>
      <c r="C176" s="1547"/>
      <c r="D176" s="1551"/>
      <c r="E176" s="1551"/>
      <c r="F176" s="1551"/>
      <c r="G176" s="1551"/>
      <c r="H176" s="1551"/>
      <c r="I176" s="300">
        <f>'PLAN INDICATIVO'!I172</f>
        <v>0</v>
      </c>
      <c r="J176" s="300">
        <f>'PLAN INDICATIVO'!J172</f>
        <v>0</v>
      </c>
      <c r="K176" s="1425" t="str">
        <f>'PLAN INDICATIVO'!K172</f>
        <v>A.14.1.19</v>
      </c>
      <c r="L176" s="1425" t="str">
        <f>'PLAN INDICATIVO'!L172</f>
        <v>10. Reducción de las desigualdades</v>
      </c>
      <c r="M176" s="1425" t="s">
        <v>2735</v>
      </c>
      <c r="N176" s="1425" t="s">
        <v>2736</v>
      </c>
      <c r="O176" s="1425" t="str">
        <f>'PLAN INDICATIVO'!O172</f>
        <v>Incremento</v>
      </c>
      <c r="P176" s="16" t="str">
        <f>'PLAN INDICATIVO'!P172</f>
        <v xml:space="preserve">Realizar 96 operativos de control de NNA en situación de calle o establecimientos de comercio, bares, discotecas, entre otros, que ofrezcan espectáculos para mayores de edad, en el cuatrienio. </v>
      </c>
      <c r="Q176" s="302" t="str">
        <f>'PLAN INDICATIVO'!Q172</f>
        <v xml:space="preserve">Número de operativos de control realizados a NNA en sitios para mayores de edad. </v>
      </c>
      <c r="R176" s="303">
        <f>'PLAN INDICATIVO'!R172</f>
        <v>2015</v>
      </c>
      <c r="S176" s="304">
        <v>48</v>
      </c>
      <c r="T176" s="677">
        <v>96</v>
      </c>
      <c r="U176" s="303">
        <v>24</v>
      </c>
      <c r="V176" s="687">
        <v>8130000</v>
      </c>
      <c r="W176" s="303">
        <v>24</v>
      </c>
      <c r="X176" s="687">
        <v>500000</v>
      </c>
      <c r="Y176" s="303">
        <v>24</v>
      </c>
      <c r="Z176" s="687">
        <v>500000</v>
      </c>
      <c r="AA176" s="303">
        <v>24</v>
      </c>
      <c r="AB176" s="687">
        <v>500000</v>
      </c>
      <c r="AC176" s="669">
        <f>16+6+2</f>
        <v>24</v>
      </c>
      <c r="AD176" s="669"/>
      <c r="AE176" s="669"/>
      <c r="AF176" s="669"/>
      <c r="AG176" s="341" t="s">
        <v>2776</v>
      </c>
      <c r="AH176" s="355" t="s">
        <v>2777</v>
      </c>
      <c r="AI176" s="356">
        <v>763</v>
      </c>
      <c r="AJ176" s="356">
        <v>11293</v>
      </c>
      <c r="AK176" s="358"/>
      <c r="AL176" s="358"/>
      <c r="AM176" s="267" t="s">
        <v>2598</v>
      </c>
      <c r="AN176" s="512" t="s">
        <v>2778</v>
      </c>
      <c r="AO176" s="525">
        <v>30001085</v>
      </c>
      <c r="AP176" s="310"/>
      <c r="AQ176" s="310"/>
      <c r="AR176" s="310"/>
      <c r="AS176" s="310"/>
      <c r="AT176" s="310"/>
      <c r="AU176" s="310"/>
      <c r="AV176" s="544">
        <f t="shared" si="64"/>
        <v>30001085</v>
      </c>
      <c r="AW176" s="525"/>
      <c r="AX176" s="310"/>
      <c r="AY176" s="310"/>
      <c r="AZ176" s="310"/>
      <c r="BA176" s="310"/>
      <c r="BB176" s="310"/>
      <c r="BC176" s="310"/>
      <c r="BD176" s="544">
        <f t="shared" si="65"/>
        <v>0</v>
      </c>
      <c r="BE176" s="525"/>
      <c r="BF176" s="310"/>
      <c r="BG176" s="310"/>
      <c r="BH176" s="310"/>
      <c r="BI176" s="310"/>
      <c r="BJ176" s="310"/>
      <c r="BK176" s="310"/>
      <c r="BL176" s="544">
        <f t="shared" si="66"/>
        <v>0</v>
      </c>
      <c r="BM176" s="525"/>
      <c r="BN176" s="310"/>
      <c r="BO176" s="310"/>
      <c r="BP176" s="310"/>
      <c r="BQ176" s="310"/>
      <c r="BR176" s="310"/>
      <c r="BS176" s="310"/>
      <c r="BT176" s="544">
        <f t="shared" si="67"/>
        <v>0</v>
      </c>
      <c r="BU176" s="556"/>
      <c r="BV176" s="663">
        <f t="shared" si="72"/>
        <v>24</v>
      </c>
      <c r="BW176" s="674">
        <f t="shared" si="73"/>
        <v>0.25</v>
      </c>
      <c r="BX176" s="674">
        <f t="shared" si="74"/>
        <v>1</v>
      </c>
      <c r="BY176" s="674">
        <f t="shared" si="75"/>
        <v>0</v>
      </c>
      <c r="BZ176" s="675">
        <f t="shared" si="76"/>
        <v>0</v>
      </c>
      <c r="CA176" s="675">
        <f t="shared" si="77"/>
        <v>0</v>
      </c>
    </row>
    <row r="177" spans="1:79" ht="111.75" hidden="1" customHeight="1" x14ac:dyDescent="0.25">
      <c r="A177" s="298" t="s">
        <v>491</v>
      </c>
      <c r="B177" s="299" t="str">
        <f>'PLAN INDICATIVO'!B173</f>
        <v>Atención a grupos vulnerables - promoción social</v>
      </c>
      <c r="C177" s="1547"/>
      <c r="D177" s="1551"/>
      <c r="E177" s="1551"/>
      <c r="F177" s="1551"/>
      <c r="G177" s="1551"/>
      <c r="H177" s="1551"/>
      <c r="I177" s="300">
        <f>'PLAN INDICATIVO'!I173</f>
        <v>0</v>
      </c>
      <c r="J177" s="300">
        <f>'PLAN INDICATIVO'!J173</f>
        <v>0</v>
      </c>
      <c r="K177" s="1425" t="str">
        <f>'PLAN INDICATIVO'!K173</f>
        <v>A.14.1.20</v>
      </c>
      <c r="L177" s="1425" t="str">
        <f>'PLAN INDICATIVO'!L173</f>
        <v>10. Reducción de las desigualdades</v>
      </c>
      <c r="M177" s="1425" t="s">
        <v>2735</v>
      </c>
      <c r="N177" s="1425" t="s">
        <v>2736</v>
      </c>
      <c r="O177" s="1425" t="str">
        <f>'PLAN INDICATIVO'!O173</f>
        <v>Mantenimiento</v>
      </c>
      <c r="P177" s="16" t="str">
        <f>'PLAN INDICATIVO'!P173</f>
        <v>Realizar 3 jornadas al año, de prevención de la violencia y control del delito, en establecimientos educativos, a través de operativos institucionales.</v>
      </c>
      <c r="Q177" s="302" t="str">
        <f>'PLAN INDICATIVO'!Q173</f>
        <v>No. De jornadas realizadas por año</v>
      </c>
      <c r="R177" s="303">
        <f>'PLAN INDICATIVO'!R173</f>
        <v>2015</v>
      </c>
      <c r="S177" s="304">
        <v>3</v>
      </c>
      <c r="T177" s="677">
        <v>3</v>
      </c>
      <c r="U177" s="303">
        <v>3</v>
      </c>
      <c r="V177" s="687">
        <v>500000</v>
      </c>
      <c r="W177" s="303">
        <v>3</v>
      </c>
      <c r="X177" s="687">
        <v>500000</v>
      </c>
      <c r="Y177" s="303">
        <v>3</v>
      </c>
      <c r="Z177" s="687">
        <v>500000</v>
      </c>
      <c r="AA177" s="303">
        <v>3</v>
      </c>
      <c r="AB177" s="687">
        <v>500000</v>
      </c>
      <c r="AC177" s="669">
        <v>3</v>
      </c>
      <c r="AD177" s="669"/>
      <c r="AE177" s="669"/>
      <c r="AF177" s="669"/>
      <c r="AG177" s="341" t="s">
        <v>2779</v>
      </c>
      <c r="AH177" s="355" t="s">
        <v>2780</v>
      </c>
      <c r="AI177" s="356">
        <v>763</v>
      </c>
      <c r="AJ177" s="356">
        <v>11140</v>
      </c>
      <c r="AK177" s="358"/>
      <c r="AL177" s="358"/>
      <c r="AM177" s="267" t="s">
        <v>2598</v>
      </c>
      <c r="AN177" s="512" t="s">
        <v>2742</v>
      </c>
      <c r="AO177" s="525"/>
      <c r="AP177" s="310">
        <f>1700000+2000000</f>
        <v>3700000</v>
      </c>
      <c r="AQ177" s="310"/>
      <c r="AR177" s="310"/>
      <c r="AS177" s="310"/>
      <c r="AT177" s="310"/>
      <c r="AU177" s="310"/>
      <c r="AV177" s="544">
        <f t="shared" si="64"/>
        <v>3700000</v>
      </c>
      <c r="AW177" s="525"/>
      <c r="AX177" s="310"/>
      <c r="AY177" s="310"/>
      <c r="AZ177" s="310"/>
      <c r="BA177" s="310"/>
      <c r="BB177" s="310"/>
      <c r="BC177" s="310"/>
      <c r="BD177" s="544">
        <f t="shared" si="65"/>
        <v>0</v>
      </c>
      <c r="BE177" s="525"/>
      <c r="BF177" s="310"/>
      <c r="BG177" s="310"/>
      <c r="BH177" s="310"/>
      <c r="BI177" s="310"/>
      <c r="BJ177" s="310"/>
      <c r="BK177" s="310"/>
      <c r="BL177" s="544">
        <f t="shared" si="66"/>
        <v>0</v>
      </c>
      <c r="BM177" s="525"/>
      <c r="BN177" s="310"/>
      <c r="BO177" s="310"/>
      <c r="BP177" s="310"/>
      <c r="BQ177" s="310"/>
      <c r="BR177" s="310"/>
      <c r="BS177" s="310"/>
      <c r="BT177" s="544">
        <f t="shared" si="67"/>
        <v>0</v>
      </c>
      <c r="BU177" s="556"/>
      <c r="BV177" s="663">
        <f t="shared" si="72"/>
        <v>3</v>
      </c>
      <c r="BW177" s="674">
        <f t="shared" si="73"/>
        <v>1</v>
      </c>
      <c r="BX177" s="674">
        <f t="shared" si="74"/>
        <v>1</v>
      </c>
      <c r="BY177" s="674">
        <f t="shared" si="75"/>
        <v>0</v>
      </c>
      <c r="BZ177" s="675">
        <f t="shared" si="76"/>
        <v>0</v>
      </c>
      <c r="CA177" s="675">
        <f t="shared" si="77"/>
        <v>0</v>
      </c>
    </row>
    <row r="178" spans="1:79" ht="123" hidden="1" customHeight="1" x14ac:dyDescent="0.25">
      <c r="A178" s="298" t="s">
        <v>491</v>
      </c>
      <c r="B178" s="299" t="str">
        <f>'PLAN INDICATIVO'!B174</f>
        <v>Atención a grupos vulnerables - promoción social</v>
      </c>
      <c r="C178" s="1547"/>
      <c r="D178" s="1551"/>
      <c r="E178" s="1551"/>
      <c r="F178" s="1551"/>
      <c r="G178" s="1551"/>
      <c r="H178" s="1551"/>
      <c r="I178" s="300">
        <f>'PLAN INDICATIVO'!I174</f>
        <v>0</v>
      </c>
      <c r="J178" s="300">
        <f>'PLAN INDICATIVO'!J174</f>
        <v>0</v>
      </c>
      <c r="K178" s="1425" t="str">
        <f>'PLAN INDICATIVO'!K174</f>
        <v>A.14.1.21</v>
      </c>
      <c r="L178" s="1425" t="str">
        <f>'PLAN INDICATIVO'!L174</f>
        <v>10. Reducción de las desigualdades</v>
      </c>
      <c r="M178" s="1425" t="s">
        <v>2735</v>
      </c>
      <c r="N178" s="1425" t="s">
        <v>2736</v>
      </c>
      <c r="O178" s="1425" t="str">
        <f>'PLAN INDICATIVO'!O174</f>
        <v>Mantenimiento</v>
      </c>
      <c r="P178" s="16" t="str">
        <f>'PLAN INDICATIVO'!P174</f>
        <v>Implementar 1 campaña para prevenir las peores formas de trabajo infantil, cada año</v>
      </c>
      <c r="Q178" s="302" t="str">
        <f>'PLAN INDICATIVO'!Q174</f>
        <v>Número de campañas implementadas por año</v>
      </c>
      <c r="R178" s="303">
        <f>'PLAN INDICATIVO'!R174</f>
        <v>2015</v>
      </c>
      <c r="S178" s="304">
        <v>1</v>
      </c>
      <c r="T178" s="677">
        <v>1</v>
      </c>
      <c r="U178" s="303">
        <v>1</v>
      </c>
      <c r="V178" s="687">
        <v>5000000</v>
      </c>
      <c r="W178" s="303">
        <v>1</v>
      </c>
      <c r="X178" s="687">
        <v>500000</v>
      </c>
      <c r="Y178" s="303">
        <v>1</v>
      </c>
      <c r="Z178" s="687">
        <v>500000</v>
      </c>
      <c r="AA178" s="303">
        <v>1</v>
      </c>
      <c r="AB178" s="687">
        <v>500000</v>
      </c>
      <c r="AC178" s="669">
        <v>1</v>
      </c>
      <c r="AD178" s="669"/>
      <c r="AE178" s="669"/>
      <c r="AF178" s="669"/>
      <c r="AG178" s="341" t="s">
        <v>2781</v>
      </c>
      <c r="AH178" s="355" t="s">
        <v>2782</v>
      </c>
      <c r="AI178" s="356">
        <v>763</v>
      </c>
      <c r="AJ178" s="356">
        <v>11232</v>
      </c>
      <c r="AK178" s="358"/>
      <c r="AL178" s="358"/>
      <c r="AM178" s="267" t="s">
        <v>2598</v>
      </c>
      <c r="AN178" s="512" t="s">
        <v>2783</v>
      </c>
      <c r="AO178" s="525"/>
      <c r="AP178" s="310">
        <f>4500000+736667</f>
        <v>5236667</v>
      </c>
      <c r="AQ178" s="310"/>
      <c r="AR178" s="310"/>
      <c r="AS178" s="310"/>
      <c r="AT178" s="310"/>
      <c r="AU178" s="310"/>
      <c r="AV178" s="544">
        <f t="shared" si="64"/>
        <v>5236667</v>
      </c>
      <c r="AW178" s="525"/>
      <c r="AX178" s="310"/>
      <c r="AY178" s="310"/>
      <c r="AZ178" s="310"/>
      <c r="BA178" s="310"/>
      <c r="BB178" s="310"/>
      <c r="BC178" s="310"/>
      <c r="BD178" s="544">
        <f t="shared" si="65"/>
        <v>0</v>
      </c>
      <c r="BE178" s="525"/>
      <c r="BF178" s="310"/>
      <c r="BG178" s="310"/>
      <c r="BH178" s="310"/>
      <c r="BI178" s="310"/>
      <c r="BJ178" s="310"/>
      <c r="BK178" s="310"/>
      <c r="BL178" s="544">
        <f t="shared" si="66"/>
        <v>0</v>
      </c>
      <c r="BM178" s="525"/>
      <c r="BN178" s="310"/>
      <c r="BO178" s="310"/>
      <c r="BP178" s="310"/>
      <c r="BQ178" s="310"/>
      <c r="BR178" s="310"/>
      <c r="BS178" s="310"/>
      <c r="BT178" s="544">
        <f t="shared" si="67"/>
        <v>0</v>
      </c>
      <c r="BU178" s="556"/>
      <c r="BV178" s="663">
        <f t="shared" si="72"/>
        <v>1</v>
      </c>
      <c r="BW178" s="674">
        <f t="shared" si="73"/>
        <v>1</v>
      </c>
      <c r="BX178" s="674">
        <f t="shared" si="74"/>
        <v>1</v>
      </c>
      <c r="BY178" s="674">
        <f t="shared" si="75"/>
        <v>0</v>
      </c>
      <c r="BZ178" s="675">
        <f t="shared" si="76"/>
        <v>0</v>
      </c>
      <c r="CA178" s="675">
        <f t="shared" si="77"/>
        <v>0</v>
      </c>
    </row>
    <row r="179" spans="1:79" ht="96.75" hidden="1" customHeight="1" x14ac:dyDescent="0.25">
      <c r="A179" s="298" t="s">
        <v>491</v>
      </c>
      <c r="B179" s="299" t="str">
        <f>'PLAN INDICATIVO'!B175</f>
        <v>Atención a grupos vulnerables - promoción social</v>
      </c>
      <c r="C179" s="1547"/>
      <c r="D179" s="1551"/>
      <c r="E179" s="1551"/>
      <c r="F179" s="1551"/>
      <c r="G179" s="1551"/>
      <c r="H179" s="1551"/>
      <c r="I179" s="300">
        <f>'PLAN INDICATIVO'!I175</f>
        <v>0</v>
      </c>
      <c r="J179" s="300">
        <f>'PLAN INDICATIVO'!J175</f>
        <v>0</v>
      </c>
      <c r="K179" s="1425" t="str">
        <f>'PLAN INDICATIVO'!K175</f>
        <v>A.14.1.22</v>
      </c>
      <c r="L179" s="1425" t="str">
        <f>'PLAN INDICATIVO'!L175</f>
        <v>10. Reducción de las desigualdades</v>
      </c>
      <c r="M179" s="1425" t="s">
        <v>2735</v>
      </c>
      <c r="N179" s="1425" t="s">
        <v>2736</v>
      </c>
      <c r="O179" s="1425" t="str">
        <f>'PLAN INDICATIVO'!O175</f>
        <v>Mantenimiento</v>
      </c>
      <c r="P179" s="16" t="str">
        <f>'PLAN INDICATIVO'!P175</f>
        <v>Realizar 1 celebración del día de la familia cada año, para el fomento y la consolidación de la unidad y convivencia pacifica familiar.</v>
      </c>
      <c r="Q179" s="302" t="str">
        <f>'PLAN INDICATIVO'!Q175</f>
        <v>No. De celebraciones anuales realizadas</v>
      </c>
      <c r="R179" s="303">
        <f>'PLAN INDICATIVO'!R175</f>
        <v>2015</v>
      </c>
      <c r="S179" s="304">
        <v>1</v>
      </c>
      <c r="T179" s="677">
        <v>1</v>
      </c>
      <c r="U179" s="303">
        <v>1</v>
      </c>
      <c r="V179" s="687">
        <v>4500000</v>
      </c>
      <c r="W179" s="303">
        <v>1</v>
      </c>
      <c r="X179" s="687">
        <v>4000000</v>
      </c>
      <c r="Y179" s="303">
        <v>1</v>
      </c>
      <c r="Z179" s="687">
        <v>4000000</v>
      </c>
      <c r="AA179" s="303">
        <v>1</v>
      </c>
      <c r="AB179" s="687">
        <v>4000000</v>
      </c>
      <c r="AC179" s="669">
        <v>1</v>
      </c>
      <c r="AD179" s="669"/>
      <c r="AE179" s="669"/>
      <c r="AF179" s="669"/>
      <c r="AG179" s="341" t="s">
        <v>2784</v>
      </c>
      <c r="AH179" s="355" t="s">
        <v>2785</v>
      </c>
      <c r="AI179" s="356">
        <v>763</v>
      </c>
      <c r="AJ179" s="356">
        <v>11079</v>
      </c>
      <c r="AK179" s="358"/>
      <c r="AL179" s="358"/>
      <c r="AM179" s="267" t="s">
        <v>2598</v>
      </c>
      <c r="AN179" s="512" t="s">
        <v>2742</v>
      </c>
      <c r="AO179" s="525"/>
      <c r="AP179" s="310">
        <v>940000</v>
      </c>
      <c r="AQ179" s="310"/>
      <c r="AR179" s="310"/>
      <c r="AS179" s="310"/>
      <c r="AT179" s="310"/>
      <c r="AU179" s="310"/>
      <c r="AV179" s="544">
        <f t="shared" si="64"/>
        <v>940000</v>
      </c>
      <c r="AW179" s="525"/>
      <c r="AX179" s="310"/>
      <c r="AY179" s="310"/>
      <c r="AZ179" s="310"/>
      <c r="BA179" s="310"/>
      <c r="BB179" s="310"/>
      <c r="BC179" s="310"/>
      <c r="BD179" s="544">
        <f t="shared" si="65"/>
        <v>0</v>
      </c>
      <c r="BE179" s="525"/>
      <c r="BF179" s="310"/>
      <c r="BG179" s="310"/>
      <c r="BH179" s="310"/>
      <c r="BI179" s="310"/>
      <c r="BJ179" s="310"/>
      <c r="BK179" s="310"/>
      <c r="BL179" s="544">
        <f t="shared" si="66"/>
        <v>0</v>
      </c>
      <c r="BM179" s="525"/>
      <c r="BN179" s="310"/>
      <c r="BO179" s="310"/>
      <c r="BP179" s="310"/>
      <c r="BQ179" s="310"/>
      <c r="BR179" s="310"/>
      <c r="BS179" s="310"/>
      <c r="BT179" s="544">
        <f t="shared" si="67"/>
        <v>0</v>
      </c>
      <c r="BU179" s="556"/>
      <c r="BV179" s="663">
        <f t="shared" si="72"/>
        <v>1</v>
      </c>
      <c r="BW179" s="674">
        <f t="shared" si="73"/>
        <v>1</v>
      </c>
      <c r="BX179" s="674">
        <f t="shared" si="74"/>
        <v>1</v>
      </c>
      <c r="BY179" s="674">
        <f t="shared" si="75"/>
        <v>0</v>
      </c>
      <c r="BZ179" s="675">
        <f t="shared" si="76"/>
        <v>0</v>
      </c>
      <c r="CA179" s="675">
        <f t="shared" si="77"/>
        <v>0</v>
      </c>
    </row>
    <row r="180" spans="1:79" ht="144" hidden="1" customHeight="1" x14ac:dyDescent="0.25">
      <c r="A180" s="298" t="s">
        <v>491</v>
      </c>
      <c r="B180" s="299" t="str">
        <f>'PLAN INDICATIVO'!B176</f>
        <v>Atención a grupos vulnerables - promoción social</v>
      </c>
      <c r="C180" s="1547"/>
      <c r="D180" s="1551"/>
      <c r="E180" s="1551"/>
      <c r="F180" s="1551"/>
      <c r="G180" s="1551"/>
      <c r="H180" s="1551"/>
      <c r="I180" s="300">
        <f>'PLAN INDICATIVO'!I176</f>
        <v>0</v>
      </c>
      <c r="J180" s="300">
        <f>'PLAN INDICATIVO'!J176</f>
        <v>0</v>
      </c>
      <c r="K180" s="1425" t="str">
        <f>'PLAN INDICATIVO'!K176</f>
        <v>A.14.1.23</v>
      </c>
      <c r="L180" s="1425" t="str">
        <f>'PLAN INDICATIVO'!L176</f>
        <v>10. Reducción de las desigualdades</v>
      </c>
      <c r="M180" s="1425" t="s">
        <v>2735</v>
      </c>
      <c r="N180" s="1425" t="s">
        <v>2736</v>
      </c>
      <c r="O180" s="1425" t="str">
        <f>'PLAN INDICATIVO'!O176</f>
        <v>Mantenimiento</v>
      </c>
      <c r="P180" s="16" t="str">
        <f>'PLAN INDICATIVO'!P176</f>
        <v>Ejecutar 1 plan de apoyo al personal que presta sus servicios en los programas de población vulnerable, como la infancia, adolescencia, juventud,  el adulto mayor, la población desplazada, los reintegrados, grupos étnicos, madres cabeza de hogar, víctimas del conflicto armado, entre otros.</v>
      </c>
      <c r="Q180" s="302" t="str">
        <f>'PLAN INDICATIVO'!Q176</f>
        <v>No. de planes de apoyo ejecutados por año</v>
      </c>
      <c r="R180" s="303">
        <f>'PLAN INDICATIVO'!R176</f>
        <v>2015</v>
      </c>
      <c r="S180" s="304">
        <v>1</v>
      </c>
      <c r="T180" s="677">
        <v>1</v>
      </c>
      <c r="U180" s="303">
        <v>1</v>
      </c>
      <c r="V180" s="687">
        <v>165370000</v>
      </c>
      <c r="W180" s="303">
        <v>1</v>
      </c>
      <c r="X180" s="687">
        <v>50000000</v>
      </c>
      <c r="Y180" s="303">
        <v>1</v>
      </c>
      <c r="Z180" s="687">
        <v>50000000</v>
      </c>
      <c r="AA180" s="303">
        <v>1</v>
      </c>
      <c r="AB180" s="687">
        <v>19000000</v>
      </c>
      <c r="AC180" s="669">
        <v>1</v>
      </c>
      <c r="AD180" s="669"/>
      <c r="AE180" s="669"/>
      <c r="AF180" s="669"/>
      <c r="AG180" s="341" t="s">
        <v>2786</v>
      </c>
      <c r="AH180" s="355" t="s">
        <v>2787</v>
      </c>
      <c r="AI180" s="358">
        <v>2017</v>
      </c>
      <c r="AJ180" s="358"/>
      <c r="AK180" s="358"/>
      <c r="AL180" s="358"/>
      <c r="AM180" s="267" t="s">
        <v>2598</v>
      </c>
      <c r="AN180" s="512" t="s">
        <v>2788</v>
      </c>
      <c r="AO180" s="525">
        <v>8000000</v>
      </c>
      <c r="AP180" s="310">
        <f>4173000+940000+1700000</f>
        <v>6813000</v>
      </c>
      <c r="AQ180" s="310"/>
      <c r="AR180" s="310"/>
      <c r="AS180" s="310"/>
      <c r="AT180" s="310"/>
      <c r="AU180" s="310"/>
      <c r="AV180" s="544">
        <f t="shared" si="64"/>
        <v>14813000</v>
      </c>
      <c r="AW180" s="525"/>
      <c r="AX180" s="310"/>
      <c r="AY180" s="310"/>
      <c r="AZ180" s="310"/>
      <c r="BA180" s="310"/>
      <c r="BB180" s="310"/>
      <c r="BC180" s="310"/>
      <c r="BD180" s="544">
        <f t="shared" si="65"/>
        <v>0</v>
      </c>
      <c r="BE180" s="525"/>
      <c r="BF180" s="310"/>
      <c r="BG180" s="310"/>
      <c r="BH180" s="310"/>
      <c r="BI180" s="310"/>
      <c r="BJ180" s="310"/>
      <c r="BK180" s="310"/>
      <c r="BL180" s="544">
        <f t="shared" si="66"/>
        <v>0</v>
      </c>
      <c r="BM180" s="525"/>
      <c r="BN180" s="310"/>
      <c r="BO180" s="310"/>
      <c r="BP180" s="310"/>
      <c r="BQ180" s="310"/>
      <c r="BR180" s="310"/>
      <c r="BS180" s="310"/>
      <c r="BT180" s="544">
        <f t="shared" si="67"/>
        <v>0</v>
      </c>
      <c r="BU180" s="556"/>
      <c r="BV180" s="663">
        <f t="shared" si="72"/>
        <v>1</v>
      </c>
      <c r="BW180" s="674">
        <f t="shared" si="73"/>
        <v>1</v>
      </c>
      <c r="BX180" s="674">
        <f t="shared" si="74"/>
        <v>1</v>
      </c>
      <c r="BY180" s="674">
        <f t="shared" si="75"/>
        <v>0</v>
      </c>
      <c r="BZ180" s="675">
        <f t="shared" si="76"/>
        <v>0</v>
      </c>
      <c r="CA180" s="675">
        <f t="shared" si="77"/>
        <v>0</v>
      </c>
    </row>
    <row r="181" spans="1:79" ht="74.25" hidden="1" customHeight="1" x14ac:dyDescent="0.25">
      <c r="A181" s="298" t="s">
        <v>491</v>
      </c>
      <c r="B181" s="299" t="str">
        <f>'PLAN INDICATIVO'!B177</f>
        <v>Atención a grupos vulnerables - promoción social</v>
      </c>
      <c r="C181" s="1548"/>
      <c r="D181" s="1552"/>
      <c r="E181" s="1552"/>
      <c r="F181" s="1552"/>
      <c r="G181" s="1552"/>
      <c r="H181" s="1552"/>
      <c r="I181" s="300">
        <f>'PLAN INDICATIVO'!I177</f>
        <v>0</v>
      </c>
      <c r="J181" s="300">
        <f>'PLAN INDICATIVO'!J177</f>
        <v>0</v>
      </c>
      <c r="K181" s="1425" t="str">
        <f>'PLAN INDICATIVO'!K177</f>
        <v>A.14.1.24</v>
      </c>
      <c r="L181" s="1425" t="str">
        <f>'PLAN INDICATIVO'!L177</f>
        <v>10. Reducción de las desigualdades</v>
      </c>
      <c r="M181" s="1425" t="s">
        <v>2735</v>
      </c>
      <c r="N181" s="1425" t="s">
        <v>2736</v>
      </c>
      <c r="O181" s="1425" t="str">
        <f>'PLAN INDICATIVO'!O177</f>
        <v>Incremento</v>
      </c>
      <c r="P181" s="16" t="str">
        <f>'PLAN INDICATIVO'!P177</f>
        <v xml:space="preserve">Construir 8 parques infantiles, durante el cuatrienio. </v>
      </c>
      <c r="Q181" s="302" t="str">
        <f>'PLAN INDICATIVO'!Q177</f>
        <v xml:space="preserve">No. de parques construidos </v>
      </c>
      <c r="R181" s="303">
        <f>'PLAN INDICATIVO'!R177</f>
        <v>2015</v>
      </c>
      <c r="S181" s="304" t="s">
        <v>177</v>
      </c>
      <c r="T181" s="677">
        <v>2</v>
      </c>
      <c r="U181" s="303">
        <v>0.3</v>
      </c>
      <c r="V181" s="687">
        <v>47530000</v>
      </c>
      <c r="W181" s="303">
        <v>0.7</v>
      </c>
      <c r="X181" s="687">
        <v>0</v>
      </c>
      <c r="Y181" s="303">
        <v>1</v>
      </c>
      <c r="Z181" s="687">
        <v>0</v>
      </c>
      <c r="AA181" s="303">
        <v>0</v>
      </c>
      <c r="AB181" s="687">
        <v>0</v>
      </c>
      <c r="AC181" s="669">
        <v>0.3</v>
      </c>
      <c r="AD181" s="669"/>
      <c r="AE181" s="669"/>
      <c r="AF181" s="669"/>
      <c r="AG181" s="341"/>
      <c r="AH181" s="355" t="s">
        <v>2789</v>
      </c>
      <c r="AI181" s="358"/>
      <c r="AJ181" s="358"/>
      <c r="AK181" s="358"/>
      <c r="AL181" s="358"/>
      <c r="AM181" s="267" t="s">
        <v>2598</v>
      </c>
      <c r="AN181" s="512" t="s">
        <v>2790</v>
      </c>
      <c r="AO181" s="525"/>
      <c r="AP181" s="310">
        <v>480000000</v>
      </c>
      <c r="AQ181" s="310"/>
      <c r="AR181" s="310"/>
      <c r="AS181" s="310"/>
      <c r="AT181" s="310"/>
      <c r="AU181" s="310"/>
      <c r="AV181" s="544">
        <f t="shared" si="64"/>
        <v>480000000</v>
      </c>
      <c r="AW181" s="525"/>
      <c r="AX181" s="310"/>
      <c r="AY181" s="310"/>
      <c r="AZ181" s="310"/>
      <c r="BA181" s="310"/>
      <c r="BB181" s="310"/>
      <c r="BC181" s="310"/>
      <c r="BD181" s="544">
        <f t="shared" si="65"/>
        <v>0</v>
      </c>
      <c r="BE181" s="525"/>
      <c r="BF181" s="310"/>
      <c r="BG181" s="310"/>
      <c r="BH181" s="310"/>
      <c r="BI181" s="310"/>
      <c r="BJ181" s="310"/>
      <c r="BK181" s="310"/>
      <c r="BL181" s="544">
        <f t="shared" si="66"/>
        <v>0</v>
      </c>
      <c r="BM181" s="525"/>
      <c r="BN181" s="310"/>
      <c r="BO181" s="310"/>
      <c r="BP181" s="310"/>
      <c r="BQ181" s="310"/>
      <c r="BR181" s="310"/>
      <c r="BS181" s="310"/>
      <c r="BT181" s="544">
        <f t="shared" si="67"/>
        <v>0</v>
      </c>
      <c r="BU181" s="556"/>
      <c r="BV181" s="663">
        <f t="shared" si="72"/>
        <v>0.3</v>
      </c>
      <c r="BW181" s="674">
        <f t="shared" si="73"/>
        <v>0.15</v>
      </c>
      <c r="BX181" s="674">
        <f t="shared" si="74"/>
        <v>1</v>
      </c>
      <c r="BY181" s="674">
        <f t="shared" si="75"/>
        <v>0</v>
      </c>
      <c r="BZ181" s="675">
        <f t="shared" si="76"/>
        <v>0</v>
      </c>
      <c r="CA181" s="675" t="e">
        <f t="shared" si="77"/>
        <v>#DIV/0!</v>
      </c>
    </row>
    <row r="182" spans="1:79" ht="25.5" hidden="1" customHeight="1" x14ac:dyDescent="0.25">
      <c r="A182" s="295" t="s">
        <v>491</v>
      </c>
      <c r="B182" s="24" t="str">
        <f>'PLAN INDICATIVO'!B179</f>
        <v>Atención a grupos vulnerables - promoción social</v>
      </c>
      <c r="C182" s="154"/>
      <c r="D182" s="2" t="s">
        <v>567</v>
      </c>
      <c r="E182" s="1"/>
      <c r="F182" s="1"/>
      <c r="G182" s="1"/>
      <c r="H182" s="1"/>
      <c r="I182" s="1"/>
      <c r="J182" s="1"/>
      <c r="K182" s="1"/>
      <c r="L182" s="1"/>
      <c r="M182" s="1"/>
      <c r="N182" s="17"/>
      <c r="O182" s="1"/>
      <c r="P182" s="22" t="s">
        <v>568</v>
      </c>
      <c r="Q182" s="22"/>
      <c r="R182" s="1"/>
      <c r="S182" s="261"/>
      <c r="T182" s="681"/>
      <c r="U182" s="261"/>
      <c r="V182" s="702">
        <f>SUM(V183:V192)</f>
        <v>19500000</v>
      </c>
      <c r="W182" s="261"/>
      <c r="X182" s="689">
        <f>SUM(X183:X192)</f>
        <v>17000000</v>
      </c>
      <c r="Y182" s="261"/>
      <c r="Z182" s="689">
        <f>SUM(Z183:Z192)</f>
        <v>17000000</v>
      </c>
      <c r="AA182" s="261"/>
      <c r="AB182" s="698">
        <f>SUM(AB183:AB192)</f>
        <v>17000000</v>
      </c>
      <c r="AC182" s="261"/>
      <c r="AD182" s="261"/>
      <c r="AE182" s="261"/>
      <c r="AF182" s="261"/>
      <c r="AG182" s="273"/>
      <c r="AH182" s="273"/>
      <c r="AI182" s="261"/>
      <c r="AJ182" s="261"/>
      <c r="AK182" s="261"/>
      <c r="AL182" s="261"/>
      <c r="AM182" s="261"/>
      <c r="AN182" s="635"/>
      <c r="AO182" s="616" t="e">
        <f>(AO183:AO192)</f>
        <v>#VALUE!</v>
      </c>
      <c r="AP182" s="616" t="e">
        <f t="shared" ref="AP182:AU182" si="85">(AP183:AP192)</f>
        <v>#VALUE!</v>
      </c>
      <c r="AQ182" s="616" t="e">
        <f t="shared" si="85"/>
        <v>#VALUE!</v>
      </c>
      <c r="AR182" s="616" t="e">
        <f t="shared" si="85"/>
        <v>#VALUE!</v>
      </c>
      <c r="AS182" s="616" t="e">
        <f t="shared" si="85"/>
        <v>#VALUE!</v>
      </c>
      <c r="AT182" s="616" t="e">
        <f t="shared" si="85"/>
        <v>#VALUE!</v>
      </c>
      <c r="AU182" s="616" t="e">
        <f t="shared" si="85"/>
        <v>#VALUE!</v>
      </c>
      <c r="AV182" s="617" t="e">
        <f t="shared" si="64"/>
        <v>#VALUE!</v>
      </c>
      <c r="AW182" s="616" t="e">
        <f t="shared" ref="AW182:BC182" si="86">(AW183:AW192)</f>
        <v>#VALUE!</v>
      </c>
      <c r="AX182" s="616" t="e">
        <f t="shared" si="86"/>
        <v>#VALUE!</v>
      </c>
      <c r="AY182" s="616" t="e">
        <f t="shared" si="86"/>
        <v>#VALUE!</v>
      </c>
      <c r="AZ182" s="616" t="e">
        <f t="shared" si="86"/>
        <v>#VALUE!</v>
      </c>
      <c r="BA182" s="616" t="e">
        <f t="shared" si="86"/>
        <v>#VALUE!</v>
      </c>
      <c r="BB182" s="616" t="e">
        <f t="shared" si="86"/>
        <v>#VALUE!</v>
      </c>
      <c r="BC182" s="616" t="e">
        <f t="shared" si="86"/>
        <v>#VALUE!</v>
      </c>
      <c r="BD182" s="617" t="e">
        <f t="shared" si="65"/>
        <v>#VALUE!</v>
      </c>
      <c r="BE182" s="616" t="e">
        <f t="shared" ref="BE182:BK182" si="87">(BE183:BE192)</f>
        <v>#VALUE!</v>
      </c>
      <c r="BF182" s="616" t="e">
        <f t="shared" si="87"/>
        <v>#VALUE!</v>
      </c>
      <c r="BG182" s="616" t="e">
        <f t="shared" si="87"/>
        <v>#VALUE!</v>
      </c>
      <c r="BH182" s="616" t="e">
        <f t="shared" si="87"/>
        <v>#VALUE!</v>
      </c>
      <c r="BI182" s="616" t="e">
        <f t="shared" si="87"/>
        <v>#VALUE!</v>
      </c>
      <c r="BJ182" s="616" t="e">
        <f t="shared" si="87"/>
        <v>#VALUE!</v>
      </c>
      <c r="BK182" s="616" t="e">
        <f t="shared" si="87"/>
        <v>#VALUE!</v>
      </c>
      <c r="BL182" s="617" t="e">
        <f t="shared" si="66"/>
        <v>#VALUE!</v>
      </c>
      <c r="BM182" s="616" t="e">
        <f t="shared" ref="BM182:BS182" si="88">(BM183:BM192)</f>
        <v>#VALUE!</v>
      </c>
      <c r="BN182" s="616" t="e">
        <f t="shared" si="88"/>
        <v>#VALUE!</v>
      </c>
      <c r="BO182" s="616" t="e">
        <f t="shared" si="88"/>
        <v>#VALUE!</v>
      </c>
      <c r="BP182" s="616" t="e">
        <f t="shared" si="88"/>
        <v>#VALUE!</v>
      </c>
      <c r="BQ182" s="616" t="e">
        <f t="shared" si="88"/>
        <v>#VALUE!</v>
      </c>
      <c r="BR182" s="616" t="e">
        <f t="shared" si="88"/>
        <v>#VALUE!</v>
      </c>
      <c r="BS182" s="616" t="e">
        <f t="shared" si="88"/>
        <v>#VALUE!</v>
      </c>
      <c r="BT182" s="617" t="e">
        <f t="shared" si="67"/>
        <v>#VALUE!</v>
      </c>
      <c r="BU182" s="556"/>
      <c r="BV182" s="663">
        <f t="shared" si="72"/>
        <v>0</v>
      </c>
      <c r="BW182" s="674" t="e">
        <f t="shared" si="73"/>
        <v>#DIV/0!</v>
      </c>
      <c r="BX182" s="674" t="e">
        <f t="shared" si="74"/>
        <v>#DIV/0!</v>
      </c>
      <c r="BY182" s="674" t="e">
        <f t="shared" si="75"/>
        <v>#DIV/0!</v>
      </c>
      <c r="BZ182" s="675" t="e">
        <f t="shared" si="76"/>
        <v>#DIV/0!</v>
      </c>
      <c r="CA182" s="675" t="e">
        <f t="shared" si="77"/>
        <v>#DIV/0!</v>
      </c>
    </row>
    <row r="183" spans="1:79" ht="97.5" hidden="1" customHeight="1" x14ac:dyDescent="0.25">
      <c r="A183" s="298" t="s">
        <v>491</v>
      </c>
      <c r="B183" s="299" t="str">
        <f>'PLAN INDICATIVO'!B180</f>
        <v>Atención a grupos vulnerables - promoción social</v>
      </c>
      <c r="C183" s="1546" t="s">
        <v>569</v>
      </c>
      <c r="D183" s="1550" t="s">
        <v>570</v>
      </c>
      <c r="E183" s="1550" t="s">
        <v>571</v>
      </c>
      <c r="F183" s="1550">
        <v>2015</v>
      </c>
      <c r="G183" s="1550" t="s">
        <v>177</v>
      </c>
      <c r="H183" s="1550">
        <v>10</v>
      </c>
      <c r="I183" s="300">
        <f>'PLAN INDICATIVO'!I180</f>
        <v>0</v>
      </c>
      <c r="J183" s="300">
        <f>'PLAN INDICATIVO'!J180</f>
        <v>0</v>
      </c>
      <c r="K183" s="1425" t="str">
        <f>'PLAN INDICATIVO'!K180</f>
        <v>A.14.2.1</v>
      </c>
      <c r="L183" s="1425" t="str">
        <f>'PLAN INDICATIVO'!L180</f>
        <v>10. Reducción de las desigualdades</v>
      </c>
      <c r="M183" s="1425" t="str">
        <f>'PLAN INDICATIVO'!M180</f>
        <v>Secretaría de Gobierno</v>
      </c>
      <c r="N183" s="1425" t="s">
        <v>2791</v>
      </c>
      <c r="O183" s="1425" t="str">
        <f>'PLAN INDICATIVO'!O180</f>
        <v>Mantenimiento</v>
      </c>
      <c r="P183" s="16" t="str">
        <f>'PLAN INDICATIVO'!P180</f>
        <v>implementar 1 plataforma de juventudes conformada y funcionando cada año</v>
      </c>
      <c r="Q183" s="302" t="str">
        <f>'PLAN INDICATIVO'!Q180</f>
        <v>1 plataforma implementada por año</v>
      </c>
      <c r="R183" s="303">
        <f>'PLAN INDICATIVO'!R180</f>
        <v>2015</v>
      </c>
      <c r="S183" s="304">
        <v>0</v>
      </c>
      <c r="T183" s="699">
        <v>1</v>
      </c>
      <c r="U183" s="303">
        <v>1</v>
      </c>
      <c r="V183" s="687">
        <v>3000000</v>
      </c>
      <c r="W183" s="303">
        <v>1</v>
      </c>
      <c r="X183" s="687">
        <v>3000000</v>
      </c>
      <c r="Y183" s="303">
        <v>1</v>
      </c>
      <c r="Z183" s="687">
        <v>3000000</v>
      </c>
      <c r="AA183" s="303">
        <v>1</v>
      </c>
      <c r="AB183" s="687">
        <v>3000000</v>
      </c>
      <c r="AC183" s="669">
        <v>1</v>
      </c>
      <c r="AD183" s="669"/>
      <c r="AE183" s="669"/>
      <c r="AF183" s="669"/>
      <c r="AG183" s="344"/>
      <c r="AH183" s="355" t="s">
        <v>2792</v>
      </c>
      <c r="AI183" s="356">
        <v>43862</v>
      </c>
      <c r="AJ183" s="356">
        <v>11383</v>
      </c>
      <c r="AK183" s="358"/>
      <c r="AL183" s="358"/>
      <c r="AM183" s="267" t="s">
        <v>2598</v>
      </c>
      <c r="AN183" s="512" t="s">
        <v>2793</v>
      </c>
      <c r="AO183" s="724"/>
      <c r="AP183" s="725">
        <v>4494000</v>
      </c>
      <c r="AQ183" s="725"/>
      <c r="AR183" s="725"/>
      <c r="AS183" s="725"/>
      <c r="AT183" s="725"/>
      <c r="AU183" s="725"/>
      <c r="AV183" s="726">
        <f t="shared" si="64"/>
        <v>4494000</v>
      </c>
      <c r="AW183" s="525"/>
      <c r="AX183" s="310"/>
      <c r="AY183" s="310"/>
      <c r="AZ183" s="310"/>
      <c r="BA183" s="310"/>
      <c r="BB183" s="310"/>
      <c r="BC183" s="310"/>
      <c r="BD183" s="544">
        <f t="shared" si="65"/>
        <v>0</v>
      </c>
      <c r="BE183" s="525"/>
      <c r="BF183" s="310"/>
      <c r="BG183" s="310"/>
      <c r="BH183" s="310"/>
      <c r="BI183" s="310"/>
      <c r="BJ183" s="310"/>
      <c r="BK183" s="310"/>
      <c r="BL183" s="544">
        <f t="shared" si="66"/>
        <v>0</v>
      </c>
      <c r="BM183" s="525"/>
      <c r="BN183" s="310"/>
      <c r="BO183" s="310"/>
      <c r="BP183" s="310"/>
      <c r="BQ183" s="310"/>
      <c r="BR183" s="310"/>
      <c r="BS183" s="310"/>
      <c r="BT183" s="544">
        <f t="shared" si="67"/>
        <v>0</v>
      </c>
      <c r="BU183" s="556"/>
      <c r="BV183" s="663">
        <f t="shared" si="72"/>
        <v>1</v>
      </c>
      <c r="BW183" s="674">
        <f t="shared" si="73"/>
        <v>1</v>
      </c>
      <c r="BX183" s="674">
        <f t="shared" si="74"/>
        <v>1</v>
      </c>
      <c r="BY183" s="674">
        <f t="shared" si="75"/>
        <v>0</v>
      </c>
      <c r="BZ183" s="675">
        <f t="shared" si="76"/>
        <v>0</v>
      </c>
      <c r="CA183" s="675">
        <f t="shared" si="77"/>
        <v>0</v>
      </c>
    </row>
    <row r="184" spans="1:79" ht="66" hidden="1" customHeight="1" x14ac:dyDescent="0.25">
      <c r="A184" s="298" t="s">
        <v>491</v>
      </c>
      <c r="B184" s="299" t="str">
        <f>'PLAN INDICATIVO'!B181</f>
        <v>Atención a grupos vulnerables - promoción social</v>
      </c>
      <c r="C184" s="1547"/>
      <c r="D184" s="1551"/>
      <c r="E184" s="1551"/>
      <c r="F184" s="1551"/>
      <c r="G184" s="1551"/>
      <c r="H184" s="1551"/>
      <c r="I184" s="300">
        <f>'PLAN INDICATIVO'!I181</f>
        <v>0</v>
      </c>
      <c r="J184" s="300">
        <f>'PLAN INDICATIVO'!J181</f>
        <v>0</v>
      </c>
      <c r="K184" s="1425" t="str">
        <f>'PLAN INDICATIVO'!K181</f>
        <v>A.14.2.2</v>
      </c>
      <c r="L184" s="1425" t="str">
        <f>'PLAN INDICATIVO'!L181</f>
        <v>10. Reducción de las desigualdades</v>
      </c>
      <c r="M184" s="1425" t="str">
        <f>'PLAN INDICATIVO'!M181</f>
        <v>Secretaría de Gobierno</v>
      </c>
      <c r="N184" s="1425" t="s">
        <v>2791</v>
      </c>
      <c r="O184" s="1425" t="str">
        <f>'PLAN INDICATIVO'!O181</f>
        <v>Incremento</v>
      </c>
      <c r="P184" s="16" t="str">
        <f>'PLAN INDICATIVO'!P181</f>
        <v xml:space="preserve">Realizar 8 asambleas de juventudes conforme a la Ley 1622/2013, durante el cuatrienio. </v>
      </c>
      <c r="Q184" s="302" t="str">
        <f>'PLAN INDICATIVO'!Q181</f>
        <v xml:space="preserve">No. de asambleas realizadas </v>
      </c>
      <c r="R184" s="303">
        <f>'PLAN INDICATIVO'!R181</f>
        <v>2015</v>
      </c>
      <c r="S184" s="304">
        <v>0</v>
      </c>
      <c r="T184" s="699">
        <v>8</v>
      </c>
      <c r="U184" s="303">
        <v>2</v>
      </c>
      <c r="V184" s="687">
        <v>1000000</v>
      </c>
      <c r="W184" s="303">
        <v>2</v>
      </c>
      <c r="X184" s="687">
        <v>500000</v>
      </c>
      <c r="Y184" s="303">
        <v>2</v>
      </c>
      <c r="Z184" s="687">
        <v>500000</v>
      </c>
      <c r="AA184" s="303">
        <v>2</v>
      </c>
      <c r="AB184" s="687">
        <v>500000</v>
      </c>
      <c r="AC184" s="669">
        <v>2</v>
      </c>
      <c r="AD184" s="669"/>
      <c r="AE184" s="669"/>
      <c r="AF184" s="669"/>
      <c r="AG184" s="341"/>
      <c r="AH184" s="355" t="s">
        <v>2794</v>
      </c>
      <c r="AI184" s="356">
        <v>43862</v>
      </c>
      <c r="AJ184" s="356">
        <v>11383</v>
      </c>
      <c r="AK184" s="358"/>
      <c r="AL184" s="358"/>
      <c r="AM184" s="267" t="s">
        <v>2598</v>
      </c>
      <c r="AN184" s="512" t="s">
        <v>2795</v>
      </c>
      <c r="AO184" s="724">
        <v>3745000</v>
      </c>
      <c r="AP184" s="725"/>
      <c r="AQ184" s="725"/>
      <c r="AR184" s="725"/>
      <c r="AS184" s="725"/>
      <c r="AT184" s="725"/>
      <c r="AU184" s="725"/>
      <c r="AV184" s="726">
        <f t="shared" si="64"/>
        <v>3745000</v>
      </c>
      <c r="AW184" s="525"/>
      <c r="AX184" s="310"/>
      <c r="AY184" s="310"/>
      <c r="AZ184" s="310"/>
      <c r="BA184" s="310"/>
      <c r="BB184" s="310"/>
      <c r="BC184" s="310"/>
      <c r="BD184" s="544">
        <f t="shared" si="65"/>
        <v>0</v>
      </c>
      <c r="BE184" s="525"/>
      <c r="BF184" s="310"/>
      <c r="BG184" s="310"/>
      <c r="BH184" s="310"/>
      <c r="BI184" s="310"/>
      <c r="BJ184" s="310"/>
      <c r="BK184" s="310"/>
      <c r="BL184" s="544">
        <f t="shared" si="66"/>
        <v>0</v>
      </c>
      <c r="BM184" s="525"/>
      <c r="BN184" s="310"/>
      <c r="BO184" s="310"/>
      <c r="BP184" s="310"/>
      <c r="BQ184" s="310"/>
      <c r="BR184" s="310"/>
      <c r="BS184" s="310"/>
      <c r="BT184" s="544">
        <f t="shared" si="67"/>
        <v>0</v>
      </c>
      <c r="BU184" s="556"/>
      <c r="BV184" s="663">
        <f t="shared" si="72"/>
        <v>2</v>
      </c>
      <c r="BW184" s="674">
        <f t="shared" si="73"/>
        <v>0.25</v>
      </c>
      <c r="BX184" s="674">
        <f t="shared" si="74"/>
        <v>1</v>
      </c>
      <c r="BY184" s="674">
        <f t="shared" si="75"/>
        <v>0</v>
      </c>
      <c r="BZ184" s="675">
        <f t="shared" si="76"/>
        <v>0</v>
      </c>
      <c r="CA184" s="675">
        <f t="shared" si="77"/>
        <v>0</v>
      </c>
    </row>
    <row r="185" spans="1:79" ht="89.25" hidden="1" x14ac:dyDescent="0.25">
      <c r="A185" s="298" t="s">
        <v>491</v>
      </c>
      <c r="B185" s="299" t="str">
        <f>'PLAN INDICATIVO'!B182</f>
        <v>Atención a grupos vulnerables - promoción social</v>
      </c>
      <c r="C185" s="1547"/>
      <c r="D185" s="1551"/>
      <c r="E185" s="1551"/>
      <c r="F185" s="1551"/>
      <c r="G185" s="1551"/>
      <c r="H185" s="1551"/>
      <c r="I185" s="300">
        <f>'PLAN INDICATIVO'!I182</f>
        <v>0</v>
      </c>
      <c r="J185" s="300">
        <f>'PLAN INDICATIVO'!J182</f>
        <v>0</v>
      </c>
      <c r="K185" s="1425" t="str">
        <f>'PLAN INDICATIVO'!K182</f>
        <v>A.14.2.3</v>
      </c>
      <c r="L185" s="1425" t="str">
        <f>'PLAN INDICATIVO'!L182</f>
        <v>10. Reducción de las desigualdades</v>
      </c>
      <c r="M185" s="1425" t="str">
        <f>'PLAN INDICATIVO'!M182</f>
        <v>Secretaría de Gobierno</v>
      </c>
      <c r="N185" s="1425" t="s">
        <v>2791</v>
      </c>
      <c r="O185" s="1425" t="str">
        <f>'PLAN INDICATIVO'!O182</f>
        <v>Incremento</v>
      </c>
      <c r="P185" s="16" t="str">
        <f>'PLAN INDICATIVO'!P182</f>
        <v xml:space="preserve">Realizar 4 reuniones de concertación entre el plataforma juvenil y el gabinete municipal, durante el cuatrienio. </v>
      </c>
      <c r="Q185" s="302" t="str">
        <f>'PLAN INDICATIVO'!Q182</f>
        <v>No. de reuniones de concertación realizadas.</v>
      </c>
      <c r="R185" s="303">
        <f>'PLAN INDICATIVO'!R182</f>
        <v>2015</v>
      </c>
      <c r="S185" s="304">
        <v>0</v>
      </c>
      <c r="T185" s="699">
        <v>4</v>
      </c>
      <c r="U185" s="303">
        <v>0</v>
      </c>
      <c r="V185" s="687"/>
      <c r="W185" s="303">
        <v>2</v>
      </c>
      <c r="X185" s="687">
        <v>500000</v>
      </c>
      <c r="Y185" s="303">
        <v>1</v>
      </c>
      <c r="Z185" s="687">
        <v>500000</v>
      </c>
      <c r="AA185" s="303">
        <v>1</v>
      </c>
      <c r="AB185" s="687">
        <v>500000</v>
      </c>
      <c r="AC185" s="669"/>
      <c r="AD185" s="669"/>
      <c r="AE185" s="669"/>
      <c r="AF185" s="669"/>
      <c r="AG185" s="341"/>
      <c r="AH185" s="355"/>
      <c r="AI185" s="358"/>
      <c r="AJ185" s="358"/>
      <c r="AK185" s="358"/>
      <c r="AL185" s="358"/>
      <c r="AM185" s="267" t="s">
        <v>2594</v>
      </c>
      <c r="AN185" s="512" t="s">
        <v>2717</v>
      </c>
      <c r="AO185" s="724"/>
      <c r="AP185" s="725"/>
      <c r="AQ185" s="725"/>
      <c r="AR185" s="725"/>
      <c r="AS185" s="725"/>
      <c r="AT185" s="725"/>
      <c r="AU185" s="725"/>
      <c r="AV185" s="726">
        <f t="shared" si="64"/>
        <v>0</v>
      </c>
      <c r="AW185" s="525"/>
      <c r="AX185" s="310"/>
      <c r="AY185" s="310"/>
      <c r="AZ185" s="310"/>
      <c r="BA185" s="310"/>
      <c r="BB185" s="310"/>
      <c r="BC185" s="310"/>
      <c r="BD185" s="544">
        <f t="shared" si="65"/>
        <v>0</v>
      </c>
      <c r="BE185" s="525"/>
      <c r="BF185" s="310"/>
      <c r="BG185" s="310"/>
      <c r="BH185" s="310"/>
      <c r="BI185" s="310"/>
      <c r="BJ185" s="310"/>
      <c r="BK185" s="310"/>
      <c r="BL185" s="544">
        <f t="shared" si="66"/>
        <v>0</v>
      </c>
      <c r="BM185" s="525"/>
      <c r="BN185" s="310"/>
      <c r="BO185" s="310"/>
      <c r="BP185" s="310"/>
      <c r="BQ185" s="310"/>
      <c r="BR185" s="310"/>
      <c r="BS185" s="310"/>
      <c r="BT185" s="544">
        <f t="shared" si="67"/>
        <v>0</v>
      </c>
      <c r="BU185" s="556"/>
      <c r="BV185" s="663">
        <f t="shared" si="72"/>
        <v>0</v>
      </c>
      <c r="BW185" s="674">
        <f t="shared" si="73"/>
        <v>0</v>
      </c>
      <c r="BX185" s="674" t="e">
        <f t="shared" si="74"/>
        <v>#DIV/0!</v>
      </c>
      <c r="BY185" s="674">
        <f t="shared" si="75"/>
        <v>0</v>
      </c>
      <c r="BZ185" s="675">
        <f t="shared" si="76"/>
        <v>0</v>
      </c>
      <c r="CA185" s="675">
        <f t="shared" si="77"/>
        <v>0</v>
      </c>
    </row>
    <row r="186" spans="1:79" ht="90.75" hidden="1" customHeight="1" x14ac:dyDescent="0.25">
      <c r="A186" s="298" t="s">
        <v>491</v>
      </c>
      <c r="B186" s="299" t="str">
        <f>'PLAN INDICATIVO'!B183</f>
        <v>Atención a grupos vulnerables - promoción social</v>
      </c>
      <c r="C186" s="1547"/>
      <c r="D186" s="1551"/>
      <c r="E186" s="1551"/>
      <c r="F186" s="1551"/>
      <c r="G186" s="1551"/>
      <c r="H186" s="1551"/>
      <c r="I186" s="300">
        <f>'PLAN INDICATIVO'!I183</f>
        <v>0</v>
      </c>
      <c r="J186" s="300">
        <f>'PLAN INDICATIVO'!J183</f>
        <v>0</v>
      </c>
      <c r="K186" s="1425" t="str">
        <f>'PLAN INDICATIVO'!K183</f>
        <v>A.14.2.4</v>
      </c>
      <c r="L186" s="1425" t="str">
        <f>'PLAN INDICATIVO'!L183</f>
        <v>10. Reducción de las desigualdades</v>
      </c>
      <c r="M186" s="1425" t="str">
        <f>'PLAN INDICATIVO'!M183</f>
        <v>Secretaría de Gobierno</v>
      </c>
      <c r="N186" s="1425" t="s">
        <v>2791</v>
      </c>
      <c r="O186" s="1425" t="str">
        <f>'PLAN INDICATIVO'!O183</f>
        <v>Incremento</v>
      </c>
      <c r="P186" s="16" t="str">
        <f>'PLAN INDICATIVO'!P183</f>
        <v xml:space="preserve">Realizar 4 festivales "Arte más conciencia por la dignidad y la paz", durante el cuatrienio. </v>
      </c>
      <c r="Q186" s="302" t="str">
        <f>'PLAN INDICATIVO'!Q183</f>
        <v>No. de festivales realizados</v>
      </c>
      <c r="R186" s="303">
        <f>'PLAN INDICATIVO'!R183</f>
        <v>2015</v>
      </c>
      <c r="S186" s="304">
        <v>0</v>
      </c>
      <c r="T186" s="699">
        <v>4</v>
      </c>
      <c r="U186" s="303">
        <v>1</v>
      </c>
      <c r="V186" s="687">
        <v>9000000</v>
      </c>
      <c r="W186" s="303">
        <v>1</v>
      </c>
      <c r="X186" s="687">
        <v>2000000</v>
      </c>
      <c r="Y186" s="303">
        <v>1</v>
      </c>
      <c r="Z186" s="687">
        <v>2000000</v>
      </c>
      <c r="AA186" s="303">
        <v>1</v>
      </c>
      <c r="AB186" s="687">
        <v>2000000</v>
      </c>
      <c r="AC186" s="669">
        <v>1</v>
      </c>
      <c r="AD186" s="669"/>
      <c r="AE186" s="669"/>
      <c r="AF186" s="669"/>
      <c r="AG186" s="341"/>
      <c r="AH186" s="355" t="s">
        <v>2796</v>
      </c>
      <c r="AI186" s="356">
        <v>38473</v>
      </c>
      <c r="AJ186" s="356">
        <v>46174</v>
      </c>
      <c r="AK186" s="358"/>
      <c r="AL186" s="358"/>
      <c r="AM186" s="267" t="s">
        <v>2598</v>
      </c>
      <c r="AN186" s="512" t="s">
        <v>2795</v>
      </c>
      <c r="AO186" s="724">
        <v>3745000</v>
      </c>
      <c r="AP186" s="725"/>
      <c r="AQ186" s="725"/>
      <c r="AR186" s="725"/>
      <c r="AS186" s="725"/>
      <c r="AT186" s="725"/>
      <c r="AU186" s="725"/>
      <c r="AV186" s="726">
        <f t="shared" si="64"/>
        <v>3745000</v>
      </c>
      <c r="AW186" s="531"/>
      <c r="AX186" s="310"/>
      <c r="AY186" s="310"/>
      <c r="AZ186" s="310"/>
      <c r="BA186" s="310"/>
      <c r="BB186" s="310"/>
      <c r="BC186" s="310"/>
      <c r="BD186" s="544">
        <f t="shared" si="65"/>
        <v>0</v>
      </c>
      <c r="BE186" s="531"/>
      <c r="BF186" s="310"/>
      <c r="BG186" s="310"/>
      <c r="BH186" s="310"/>
      <c r="BI186" s="310"/>
      <c r="BJ186" s="310"/>
      <c r="BK186" s="310"/>
      <c r="BL186" s="544">
        <f t="shared" si="66"/>
        <v>0</v>
      </c>
      <c r="BM186" s="531"/>
      <c r="BN186" s="310"/>
      <c r="BO186" s="310"/>
      <c r="BP186" s="310"/>
      <c r="BQ186" s="310"/>
      <c r="BR186" s="310"/>
      <c r="BS186" s="310"/>
      <c r="BT186" s="544">
        <f t="shared" si="67"/>
        <v>0</v>
      </c>
      <c r="BU186" s="556"/>
      <c r="BV186" s="663">
        <f t="shared" si="72"/>
        <v>1</v>
      </c>
      <c r="BW186" s="674">
        <f t="shared" si="73"/>
        <v>0.25</v>
      </c>
      <c r="BX186" s="674">
        <f t="shared" si="74"/>
        <v>1</v>
      </c>
      <c r="BY186" s="674">
        <f t="shared" si="75"/>
        <v>0</v>
      </c>
      <c r="BZ186" s="675">
        <f t="shared" si="76"/>
        <v>0</v>
      </c>
      <c r="CA186" s="675">
        <f t="shared" si="77"/>
        <v>0</v>
      </c>
    </row>
    <row r="187" spans="1:79" ht="76.5" hidden="1" x14ac:dyDescent="0.25">
      <c r="A187" s="298" t="s">
        <v>491</v>
      </c>
      <c r="B187" s="299" t="str">
        <f>'PLAN INDICATIVO'!B184</f>
        <v>Atención a grupos vulnerables - promoción social</v>
      </c>
      <c r="C187" s="1547"/>
      <c r="D187" s="1551"/>
      <c r="E187" s="1551"/>
      <c r="F187" s="1551"/>
      <c r="G187" s="1551"/>
      <c r="H187" s="1551"/>
      <c r="I187" s="300">
        <f>'PLAN INDICATIVO'!I184</f>
        <v>0</v>
      </c>
      <c r="J187" s="300">
        <f>'PLAN INDICATIVO'!J184</f>
        <v>0</v>
      </c>
      <c r="K187" s="1425" t="str">
        <f>'PLAN INDICATIVO'!K184</f>
        <v>A.14.2.5</v>
      </c>
      <c r="L187" s="1425" t="str">
        <f>'PLAN INDICATIVO'!L184</f>
        <v>10. Reducción de las desigualdades</v>
      </c>
      <c r="M187" s="1425" t="str">
        <f>'PLAN INDICATIVO'!M184</f>
        <v>Secretaría de Gobierno</v>
      </c>
      <c r="N187" s="1425" t="s">
        <v>2791</v>
      </c>
      <c r="O187" s="1425" t="str">
        <f>'PLAN INDICATIVO'!O184</f>
        <v>Mantenimiento</v>
      </c>
      <c r="P187" s="16" t="str">
        <f>'PLAN INDICATIVO'!P184</f>
        <v>implementar 1 Política municipal de juventud formulada durante el cuatrienio</v>
      </c>
      <c r="Q187" s="302" t="str">
        <f>'PLAN INDICATIVO'!Q184</f>
        <v>No. De políticas implementadas</v>
      </c>
      <c r="R187" s="303">
        <f>'PLAN INDICATIVO'!R184</f>
        <v>2015</v>
      </c>
      <c r="S187" s="304">
        <v>0</v>
      </c>
      <c r="T187" s="699">
        <v>1</v>
      </c>
      <c r="U187" s="303">
        <v>0</v>
      </c>
      <c r="V187" s="687"/>
      <c r="W187" s="303">
        <v>1</v>
      </c>
      <c r="X187" s="687">
        <v>5500000</v>
      </c>
      <c r="Y187" s="303">
        <v>1</v>
      </c>
      <c r="Z187" s="687">
        <v>5500000</v>
      </c>
      <c r="AA187" s="303">
        <v>1</v>
      </c>
      <c r="AB187" s="687">
        <v>6000000</v>
      </c>
      <c r="AC187" s="669"/>
      <c r="AD187" s="669"/>
      <c r="AE187" s="669"/>
      <c r="AF187" s="669"/>
      <c r="AG187" s="341"/>
      <c r="AH187" s="355"/>
      <c r="AI187" s="358"/>
      <c r="AJ187" s="358"/>
      <c r="AK187" s="358"/>
      <c r="AL187" s="358"/>
      <c r="AM187" s="267" t="s">
        <v>2594</v>
      </c>
      <c r="AN187" s="512"/>
      <c r="AO187" s="724"/>
      <c r="AP187" s="725"/>
      <c r="AQ187" s="725"/>
      <c r="AR187" s="725"/>
      <c r="AS187" s="725"/>
      <c r="AT187" s="725"/>
      <c r="AU187" s="725"/>
      <c r="AV187" s="726">
        <f t="shared" si="64"/>
        <v>0</v>
      </c>
      <c r="AW187" s="525"/>
      <c r="AX187" s="310"/>
      <c r="AY187" s="310"/>
      <c r="AZ187" s="310"/>
      <c r="BA187" s="310"/>
      <c r="BB187" s="310"/>
      <c r="BC187" s="310"/>
      <c r="BD187" s="544">
        <f t="shared" si="65"/>
        <v>0</v>
      </c>
      <c r="BE187" s="525"/>
      <c r="BF187" s="310"/>
      <c r="BG187" s="310"/>
      <c r="BH187" s="310"/>
      <c r="BI187" s="310"/>
      <c r="BJ187" s="310"/>
      <c r="BK187" s="310"/>
      <c r="BL187" s="544">
        <f t="shared" si="66"/>
        <v>0</v>
      </c>
      <c r="BM187" s="525"/>
      <c r="BN187" s="310"/>
      <c r="BO187" s="310"/>
      <c r="BP187" s="310"/>
      <c r="BQ187" s="310"/>
      <c r="BR187" s="310"/>
      <c r="BS187" s="310"/>
      <c r="BT187" s="544">
        <f t="shared" si="67"/>
        <v>0</v>
      </c>
      <c r="BU187" s="556"/>
      <c r="BV187" s="663">
        <f t="shared" si="72"/>
        <v>0</v>
      </c>
      <c r="BW187" s="674">
        <f t="shared" si="73"/>
        <v>0</v>
      </c>
      <c r="BX187" s="674" t="e">
        <f t="shared" si="74"/>
        <v>#DIV/0!</v>
      </c>
      <c r="BY187" s="674">
        <f t="shared" si="75"/>
        <v>0</v>
      </c>
      <c r="BZ187" s="675">
        <f t="shared" si="76"/>
        <v>0</v>
      </c>
      <c r="CA187" s="675">
        <f t="shared" si="77"/>
        <v>0</v>
      </c>
    </row>
    <row r="188" spans="1:79" ht="114.75" hidden="1" x14ac:dyDescent="0.25">
      <c r="A188" s="298" t="s">
        <v>491</v>
      </c>
      <c r="B188" s="299" t="str">
        <f>'PLAN INDICATIVO'!B185</f>
        <v>Atención a grupos vulnerables - promoción social</v>
      </c>
      <c r="C188" s="1547"/>
      <c r="D188" s="1551"/>
      <c r="E188" s="1551"/>
      <c r="F188" s="1551"/>
      <c r="G188" s="1551"/>
      <c r="H188" s="1551"/>
      <c r="I188" s="300">
        <f>'PLAN INDICATIVO'!I185</f>
        <v>0</v>
      </c>
      <c r="J188" s="300">
        <f>'PLAN INDICATIVO'!J185</f>
        <v>0</v>
      </c>
      <c r="K188" s="1425" t="str">
        <f>'PLAN INDICATIVO'!K185</f>
        <v>A.14.2.6</v>
      </c>
      <c r="L188" s="1425" t="str">
        <f>'PLAN INDICATIVO'!L185</f>
        <v>10. Reducción de las desigualdades</v>
      </c>
      <c r="M188" s="1425" t="str">
        <f>'PLAN INDICATIVO'!M185</f>
        <v>Secretaría de Gobierno</v>
      </c>
      <c r="N188" s="1425" t="s">
        <v>2791</v>
      </c>
      <c r="O188" s="1425" t="str">
        <f>'PLAN INDICATIVO'!O185</f>
        <v>Mantenimiento</v>
      </c>
      <c r="P188" s="16" t="str">
        <f>'PLAN INDICATIVO'!P185</f>
        <v>mantener 1 consejo municipal de juventud elegido, sesionando y gestionando, conforme a la Ley 1622/2013  durante el cuatrienio</v>
      </c>
      <c r="Q188" s="302" t="str">
        <f>'PLAN INDICATIVO'!Q185</f>
        <v xml:space="preserve">No. de consejos municipales sesionando y gestionando. </v>
      </c>
      <c r="R188" s="303">
        <f>'PLAN INDICATIVO'!R185</f>
        <v>2015</v>
      </c>
      <c r="S188" s="304">
        <v>0</v>
      </c>
      <c r="T188" s="699">
        <v>1</v>
      </c>
      <c r="U188" s="303">
        <v>0</v>
      </c>
      <c r="V188" s="687"/>
      <c r="W188" s="303">
        <v>1</v>
      </c>
      <c r="X188" s="687">
        <v>500000</v>
      </c>
      <c r="Y188" s="303">
        <v>1</v>
      </c>
      <c r="Z188" s="687">
        <v>500000</v>
      </c>
      <c r="AA188" s="303">
        <v>1</v>
      </c>
      <c r="AB188" s="687">
        <v>500000</v>
      </c>
      <c r="AC188" s="669"/>
      <c r="AD188" s="669"/>
      <c r="AE188" s="669"/>
      <c r="AF188" s="669"/>
      <c r="AG188" s="341"/>
      <c r="AH188" s="355"/>
      <c r="AI188" s="358"/>
      <c r="AJ188" s="358"/>
      <c r="AK188" s="358"/>
      <c r="AL188" s="358"/>
      <c r="AM188" s="267" t="s">
        <v>2594</v>
      </c>
      <c r="AN188" s="512"/>
      <c r="AO188" s="724"/>
      <c r="AP188" s="725"/>
      <c r="AQ188" s="725"/>
      <c r="AR188" s="725"/>
      <c r="AS188" s="725"/>
      <c r="AT188" s="725"/>
      <c r="AU188" s="725"/>
      <c r="AV188" s="726">
        <f t="shared" si="64"/>
        <v>0</v>
      </c>
      <c r="AW188" s="525"/>
      <c r="AX188" s="310"/>
      <c r="AY188" s="310"/>
      <c r="AZ188" s="310"/>
      <c r="BA188" s="310"/>
      <c r="BB188" s="310"/>
      <c r="BC188" s="310"/>
      <c r="BD188" s="544">
        <f t="shared" si="65"/>
        <v>0</v>
      </c>
      <c r="BE188" s="525"/>
      <c r="BF188" s="310"/>
      <c r="BG188" s="310"/>
      <c r="BH188" s="310"/>
      <c r="BI188" s="310"/>
      <c r="BJ188" s="310"/>
      <c r="BK188" s="310"/>
      <c r="BL188" s="544">
        <f t="shared" si="66"/>
        <v>0</v>
      </c>
      <c r="BM188" s="525"/>
      <c r="BN188" s="310"/>
      <c r="BO188" s="310"/>
      <c r="BP188" s="310"/>
      <c r="BQ188" s="310"/>
      <c r="BR188" s="310"/>
      <c r="BS188" s="310"/>
      <c r="BT188" s="544">
        <f t="shared" si="67"/>
        <v>0</v>
      </c>
      <c r="BU188" s="556"/>
      <c r="BV188" s="663">
        <f t="shared" si="72"/>
        <v>0</v>
      </c>
      <c r="BW188" s="674">
        <f t="shared" si="73"/>
        <v>0</v>
      </c>
      <c r="BX188" s="674" t="e">
        <f t="shared" si="74"/>
        <v>#DIV/0!</v>
      </c>
      <c r="BY188" s="674">
        <f t="shared" si="75"/>
        <v>0</v>
      </c>
      <c r="BZ188" s="675">
        <f t="shared" si="76"/>
        <v>0</v>
      </c>
      <c r="CA188" s="675">
        <f t="shared" si="77"/>
        <v>0</v>
      </c>
    </row>
    <row r="189" spans="1:79" ht="76.5" hidden="1" x14ac:dyDescent="0.25">
      <c r="A189" s="298" t="s">
        <v>491</v>
      </c>
      <c r="B189" s="299" t="str">
        <f>'PLAN INDICATIVO'!B186</f>
        <v>Atención a grupos vulnerables - promoción social</v>
      </c>
      <c r="C189" s="1547"/>
      <c r="D189" s="1551"/>
      <c r="E189" s="1551"/>
      <c r="F189" s="1551"/>
      <c r="G189" s="1551"/>
      <c r="H189" s="1551"/>
      <c r="I189" s="300">
        <f>'PLAN INDICATIVO'!I186</f>
        <v>0</v>
      </c>
      <c r="J189" s="300">
        <f>'PLAN INDICATIVO'!J186</f>
        <v>0</v>
      </c>
      <c r="K189" s="1425" t="str">
        <f>'PLAN INDICATIVO'!K186</f>
        <v>A.14.2.7</v>
      </c>
      <c r="L189" s="1425" t="str">
        <f>'PLAN INDICATIVO'!L186</f>
        <v>10. Reducción de las desigualdades</v>
      </c>
      <c r="M189" s="1425" t="str">
        <f>'PLAN INDICATIVO'!M186</f>
        <v>Secretaría de Gobierno</v>
      </c>
      <c r="N189" s="1425" t="s">
        <v>2791</v>
      </c>
      <c r="O189" s="1425" t="str">
        <f>'PLAN INDICATIVO'!O186</f>
        <v>Incremento</v>
      </c>
      <c r="P189" s="16" t="str">
        <f>'PLAN INDICATIVO'!P186</f>
        <v>Realizar 2 ofertas institucionales a población juvenil, para acceso a programas de desarrollo económico durante el cuatrienio</v>
      </c>
      <c r="Q189" s="302" t="str">
        <f>'PLAN INDICATIVO'!Q186</f>
        <v>Oferta realizada</v>
      </c>
      <c r="R189" s="303">
        <f>'PLAN INDICATIVO'!R186</f>
        <v>2015</v>
      </c>
      <c r="S189" s="304">
        <v>0</v>
      </c>
      <c r="T189" s="699">
        <v>2</v>
      </c>
      <c r="U189" s="303">
        <v>0</v>
      </c>
      <c r="V189" s="687"/>
      <c r="W189" s="303">
        <v>1</v>
      </c>
      <c r="X189" s="687">
        <v>500000</v>
      </c>
      <c r="Y189" s="303">
        <v>1</v>
      </c>
      <c r="Z189" s="687">
        <v>500000</v>
      </c>
      <c r="AA189" s="303">
        <v>0</v>
      </c>
      <c r="AB189" s="687"/>
      <c r="AC189" s="669"/>
      <c r="AD189" s="669"/>
      <c r="AE189" s="669"/>
      <c r="AF189" s="669"/>
      <c r="AG189" s="341"/>
      <c r="AH189" s="355"/>
      <c r="AI189" s="358"/>
      <c r="AJ189" s="358"/>
      <c r="AK189" s="358"/>
      <c r="AL189" s="358"/>
      <c r="AM189" s="267" t="s">
        <v>2594</v>
      </c>
      <c r="AN189" s="512"/>
      <c r="AO189" s="724"/>
      <c r="AP189" s="725"/>
      <c r="AQ189" s="725"/>
      <c r="AR189" s="725"/>
      <c r="AS189" s="725"/>
      <c r="AT189" s="725"/>
      <c r="AU189" s="725"/>
      <c r="AV189" s="726">
        <f t="shared" si="64"/>
        <v>0</v>
      </c>
      <c r="AW189" s="525"/>
      <c r="AX189" s="310"/>
      <c r="AY189" s="310"/>
      <c r="AZ189" s="310"/>
      <c r="BA189" s="310"/>
      <c r="BB189" s="310"/>
      <c r="BC189" s="310"/>
      <c r="BD189" s="544">
        <f t="shared" si="65"/>
        <v>0</v>
      </c>
      <c r="BE189" s="525"/>
      <c r="BF189" s="310"/>
      <c r="BG189" s="310"/>
      <c r="BH189" s="310"/>
      <c r="BI189" s="310"/>
      <c r="BJ189" s="310"/>
      <c r="BK189" s="310"/>
      <c r="BL189" s="544">
        <f t="shared" si="66"/>
        <v>0</v>
      </c>
      <c r="BM189" s="525"/>
      <c r="BN189" s="310"/>
      <c r="BO189" s="310"/>
      <c r="BP189" s="310"/>
      <c r="BQ189" s="310"/>
      <c r="BR189" s="310"/>
      <c r="BS189" s="310"/>
      <c r="BT189" s="544">
        <f t="shared" si="67"/>
        <v>0</v>
      </c>
      <c r="BU189" s="556"/>
      <c r="BV189" s="663">
        <f t="shared" si="72"/>
        <v>0</v>
      </c>
      <c r="BW189" s="674">
        <f t="shared" si="73"/>
        <v>0</v>
      </c>
      <c r="BX189" s="674" t="e">
        <f t="shared" si="74"/>
        <v>#DIV/0!</v>
      </c>
      <c r="BY189" s="674">
        <f t="shared" si="75"/>
        <v>0</v>
      </c>
      <c r="BZ189" s="675">
        <f t="shared" si="76"/>
        <v>0</v>
      </c>
      <c r="CA189" s="675" t="e">
        <f t="shared" si="77"/>
        <v>#DIV/0!</v>
      </c>
    </row>
    <row r="190" spans="1:79" ht="95.25" hidden="1" customHeight="1" x14ac:dyDescent="0.25">
      <c r="A190" s="298" t="s">
        <v>491</v>
      </c>
      <c r="B190" s="299" t="str">
        <f>'PLAN INDICATIVO'!B187</f>
        <v>Atención a grupos vulnerables - promoción social</v>
      </c>
      <c r="C190" s="1547"/>
      <c r="D190" s="1551"/>
      <c r="E190" s="1551"/>
      <c r="F190" s="1551"/>
      <c r="G190" s="1551"/>
      <c r="H190" s="1551"/>
      <c r="I190" s="300">
        <f>'PLAN INDICATIVO'!I187</f>
        <v>0</v>
      </c>
      <c r="J190" s="300">
        <f>'PLAN INDICATIVO'!J187</f>
        <v>0</v>
      </c>
      <c r="K190" s="1425" t="str">
        <f>'PLAN INDICATIVO'!K187</f>
        <v>A.14.2.8</v>
      </c>
      <c r="L190" s="1425" t="str">
        <f>'PLAN INDICATIVO'!L187</f>
        <v>10. Reducción de las desigualdades</v>
      </c>
      <c r="M190" s="1425" t="str">
        <f>'PLAN INDICATIVO'!M187</f>
        <v>Secretaría de Gobierno</v>
      </c>
      <c r="N190" s="1425" t="s">
        <v>2791</v>
      </c>
      <c r="O190" s="1425" t="str">
        <f>'PLAN INDICATIVO'!O187</f>
        <v>Incremento</v>
      </c>
      <c r="P190" s="16" t="str">
        <f>'PLAN INDICATIVO'!P187</f>
        <v>Realizar 4 encuentros municipales de juventudes, durante el cuatrienio.</v>
      </c>
      <c r="Q190" s="302" t="str">
        <f>'PLAN INDICATIVO'!Q187</f>
        <v>No. de encuentros realizados</v>
      </c>
      <c r="R190" s="303">
        <f>'PLAN INDICATIVO'!R187</f>
        <v>2015</v>
      </c>
      <c r="S190" s="304">
        <v>0</v>
      </c>
      <c r="T190" s="699">
        <v>4</v>
      </c>
      <c r="U190" s="303">
        <v>1</v>
      </c>
      <c r="V190" s="687">
        <v>3000000</v>
      </c>
      <c r="W190" s="303">
        <v>1</v>
      </c>
      <c r="X190" s="687">
        <v>1000000</v>
      </c>
      <c r="Y190" s="303">
        <v>1</v>
      </c>
      <c r="Z190" s="687">
        <v>1000000</v>
      </c>
      <c r="AA190" s="303">
        <v>1</v>
      </c>
      <c r="AB190" s="687">
        <v>1000000</v>
      </c>
      <c r="AC190" s="669">
        <v>1</v>
      </c>
      <c r="AD190" s="669"/>
      <c r="AE190" s="669"/>
      <c r="AF190" s="669"/>
      <c r="AG190" s="341" t="s">
        <v>2797</v>
      </c>
      <c r="AH190" s="355" t="s">
        <v>2798</v>
      </c>
      <c r="AI190" s="356">
        <v>11140</v>
      </c>
      <c r="AJ190" s="356">
        <v>11171</v>
      </c>
      <c r="AK190" s="358"/>
      <c r="AL190" s="358"/>
      <c r="AM190" s="267" t="s">
        <v>2598</v>
      </c>
      <c r="AN190" s="512" t="s">
        <v>2799</v>
      </c>
      <c r="AO190" s="724"/>
      <c r="AP190" s="725">
        <v>350000</v>
      </c>
      <c r="AQ190" s="725"/>
      <c r="AR190" s="725"/>
      <c r="AS190" s="725"/>
      <c r="AT190" s="725"/>
      <c r="AU190" s="725"/>
      <c r="AV190" s="726">
        <f t="shared" si="64"/>
        <v>350000</v>
      </c>
      <c r="AW190" s="525"/>
      <c r="AX190" s="310"/>
      <c r="AY190" s="310"/>
      <c r="AZ190" s="310"/>
      <c r="BA190" s="310"/>
      <c r="BB190" s="310"/>
      <c r="BC190" s="310"/>
      <c r="BD190" s="544">
        <f t="shared" si="65"/>
        <v>0</v>
      </c>
      <c r="BE190" s="525"/>
      <c r="BF190" s="310"/>
      <c r="BG190" s="310"/>
      <c r="BH190" s="310"/>
      <c r="BI190" s="310"/>
      <c r="BJ190" s="310"/>
      <c r="BK190" s="310"/>
      <c r="BL190" s="544">
        <f t="shared" si="66"/>
        <v>0</v>
      </c>
      <c r="BM190" s="525"/>
      <c r="BN190" s="310"/>
      <c r="BO190" s="310"/>
      <c r="BP190" s="310"/>
      <c r="BQ190" s="310"/>
      <c r="BR190" s="310"/>
      <c r="BS190" s="310"/>
      <c r="BT190" s="544">
        <f t="shared" si="67"/>
        <v>0</v>
      </c>
      <c r="BU190" s="556"/>
      <c r="BV190" s="663">
        <f t="shared" si="72"/>
        <v>1</v>
      </c>
      <c r="BW190" s="674">
        <f t="shared" si="73"/>
        <v>0.25</v>
      </c>
      <c r="BX190" s="674">
        <f t="shared" si="74"/>
        <v>1</v>
      </c>
      <c r="BY190" s="674">
        <f t="shared" si="75"/>
        <v>0</v>
      </c>
      <c r="BZ190" s="675">
        <f t="shared" si="76"/>
        <v>0</v>
      </c>
      <c r="CA190" s="675">
        <f t="shared" si="77"/>
        <v>0</v>
      </c>
    </row>
    <row r="191" spans="1:79" ht="73.5" hidden="1" customHeight="1" x14ac:dyDescent="0.25">
      <c r="A191" s="298" t="s">
        <v>491</v>
      </c>
      <c r="B191" s="299" t="str">
        <f>'PLAN INDICATIVO'!B188</f>
        <v>Atención a grupos vulnerables - promoción social</v>
      </c>
      <c r="C191" s="1547"/>
      <c r="D191" s="1551"/>
      <c r="E191" s="1551"/>
      <c r="F191" s="1551"/>
      <c r="G191" s="1551"/>
      <c r="H191" s="1551"/>
      <c r="I191" s="300">
        <f>'PLAN INDICATIVO'!I188</f>
        <v>0</v>
      </c>
      <c r="J191" s="300">
        <f>'PLAN INDICATIVO'!J188</f>
        <v>0</v>
      </c>
      <c r="K191" s="1425" t="str">
        <f>'PLAN INDICATIVO'!K188</f>
        <v>A.14.2.9</v>
      </c>
      <c r="L191" s="1425" t="str">
        <f>'PLAN INDICATIVO'!L188</f>
        <v>10. Reducción de las desigualdades</v>
      </c>
      <c r="M191" s="1425" t="str">
        <f>'PLAN INDICATIVO'!M188</f>
        <v>Secretaría de Gobierno</v>
      </c>
      <c r="N191" s="1425" t="s">
        <v>2791</v>
      </c>
      <c r="O191" s="1425" t="str">
        <f>'PLAN INDICATIVO'!O188</f>
        <v>Incremento</v>
      </c>
      <c r="P191" s="16" t="str">
        <f>'PLAN INDICATIVO'!P188</f>
        <v>Jóvenes participando en 15 consejos de política social en el cuatrienio</v>
      </c>
      <c r="Q191" s="302" t="str">
        <f>'PLAN INDICATIVO'!Q188</f>
        <v>Consejos de Política económica y social</v>
      </c>
      <c r="R191" s="303">
        <f>'PLAN INDICATIVO'!R188</f>
        <v>2015</v>
      </c>
      <c r="S191" s="304">
        <v>0</v>
      </c>
      <c r="T191" s="699">
        <v>15</v>
      </c>
      <c r="U191" s="303">
        <v>3</v>
      </c>
      <c r="V191" s="687">
        <v>500000</v>
      </c>
      <c r="W191" s="303">
        <v>4</v>
      </c>
      <c r="X191" s="687">
        <v>500000</v>
      </c>
      <c r="Y191" s="303">
        <v>4</v>
      </c>
      <c r="Z191" s="687">
        <v>500000</v>
      </c>
      <c r="AA191" s="303">
        <v>4</v>
      </c>
      <c r="AB191" s="687">
        <v>500000</v>
      </c>
      <c r="AC191" s="669">
        <f>1+1+1+1</f>
        <v>4</v>
      </c>
      <c r="AD191" s="669"/>
      <c r="AE191" s="669"/>
      <c r="AF191" s="669"/>
      <c r="AG191" s="341"/>
      <c r="AH191" s="355" t="s">
        <v>2800</v>
      </c>
      <c r="AI191" s="356">
        <v>40391</v>
      </c>
      <c r="AJ191" s="356">
        <v>11293</v>
      </c>
      <c r="AK191" s="358"/>
      <c r="AL191" s="358"/>
      <c r="AM191" s="267" t="s">
        <v>2598</v>
      </c>
      <c r="AN191" s="512" t="s">
        <v>2799</v>
      </c>
      <c r="AO191" s="724"/>
      <c r="AP191" s="725">
        <v>500000</v>
      </c>
      <c r="AQ191" s="725"/>
      <c r="AR191" s="725"/>
      <c r="AS191" s="725"/>
      <c r="AT191" s="725"/>
      <c r="AU191" s="725"/>
      <c r="AV191" s="726">
        <f t="shared" si="64"/>
        <v>500000</v>
      </c>
      <c r="AW191" s="525"/>
      <c r="AX191" s="310"/>
      <c r="AY191" s="310"/>
      <c r="AZ191" s="310"/>
      <c r="BA191" s="310"/>
      <c r="BB191" s="310"/>
      <c r="BC191" s="310"/>
      <c r="BD191" s="544">
        <f t="shared" si="65"/>
        <v>0</v>
      </c>
      <c r="BE191" s="525"/>
      <c r="BF191" s="310"/>
      <c r="BG191" s="310"/>
      <c r="BH191" s="310"/>
      <c r="BI191" s="310"/>
      <c r="BJ191" s="310"/>
      <c r="BK191" s="310"/>
      <c r="BL191" s="544">
        <f t="shared" si="66"/>
        <v>0</v>
      </c>
      <c r="BM191" s="525"/>
      <c r="BN191" s="310"/>
      <c r="BO191" s="310"/>
      <c r="BP191" s="310"/>
      <c r="BQ191" s="310"/>
      <c r="BR191" s="310"/>
      <c r="BS191" s="310"/>
      <c r="BT191" s="544">
        <f t="shared" si="67"/>
        <v>0</v>
      </c>
      <c r="BU191" s="556"/>
      <c r="BV191" s="663">
        <f t="shared" si="72"/>
        <v>4</v>
      </c>
      <c r="BW191" s="674">
        <f t="shared" si="73"/>
        <v>0.26666666666666666</v>
      </c>
      <c r="BX191" s="674">
        <f t="shared" si="74"/>
        <v>1.3333333333333333</v>
      </c>
      <c r="BY191" s="674">
        <f t="shared" si="75"/>
        <v>0</v>
      </c>
      <c r="BZ191" s="675">
        <f t="shared" si="76"/>
        <v>0</v>
      </c>
      <c r="CA191" s="675">
        <f t="shared" si="77"/>
        <v>0</v>
      </c>
    </row>
    <row r="192" spans="1:79" ht="95.25" hidden="1" customHeight="1" x14ac:dyDescent="0.25">
      <c r="A192" s="298" t="s">
        <v>491</v>
      </c>
      <c r="B192" s="299" t="str">
        <f>'PLAN INDICATIVO'!B189</f>
        <v>Atención a grupos vulnerables - promoción social</v>
      </c>
      <c r="C192" s="1548"/>
      <c r="D192" s="1552"/>
      <c r="E192" s="1552"/>
      <c r="F192" s="1552"/>
      <c r="G192" s="1552"/>
      <c r="H192" s="1552"/>
      <c r="I192" s="300">
        <f>'PLAN INDICATIVO'!I189</f>
        <v>0</v>
      </c>
      <c r="J192" s="300">
        <f>'PLAN INDICATIVO'!J189</f>
        <v>0</v>
      </c>
      <c r="K192" s="1425" t="str">
        <f>'PLAN INDICATIVO'!K189</f>
        <v>A.14.2.10</v>
      </c>
      <c r="L192" s="1425" t="str">
        <f>'PLAN INDICATIVO'!L189</f>
        <v>10. Reducción de las desigualdades</v>
      </c>
      <c r="M192" s="1425" t="str">
        <f>'PLAN INDICATIVO'!M189</f>
        <v>Secretaría de Gobierno</v>
      </c>
      <c r="N192" s="1425" t="s">
        <v>2791</v>
      </c>
      <c r="O192" s="1425" t="str">
        <f>'PLAN INDICATIVO'!O189</f>
        <v>Incremento</v>
      </c>
      <c r="P192" s="16" t="str">
        <f>'PLAN INDICATIVO'!P189</f>
        <v xml:space="preserve">Realizar 4 encuentros con personeros estudiantiles, durante el cuatrienio. </v>
      </c>
      <c r="Q192" s="302" t="str">
        <f>'PLAN INDICATIVO'!Q189</f>
        <v>No. de encuentros con personeros estudiantiles</v>
      </c>
      <c r="R192" s="303">
        <f>'PLAN INDICATIVO'!R189</f>
        <v>2015</v>
      </c>
      <c r="S192" s="304">
        <v>0</v>
      </c>
      <c r="T192" s="699">
        <v>4</v>
      </c>
      <c r="U192" s="303">
        <v>1</v>
      </c>
      <c r="V192" s="687">
        <v>3000000</v>
      </c>
      <c r="W192" s="303">
        <v>1</v>
      </c>
      <c r="X192" s="687">
        <v>3000000</v>
      </c>
      <c r="Y192" s="303">
        <v>1</v>
      </c>
      <c r="Z192" s="687">
        <v>3000000</v>
      </c>
      <c r="AA192" s="303">
        <v>1</v>
      </c>
      <c r="AB192" s="687">
        <v>3000000</v>
      </c>
      <c r="AC192" s="669">
        <v>1</v>
      </c>
      <c r="AD192" s="669"/>
      <c r="AE192" s="669"/>
      <c r="AF192" s="669"/>
      <c r="AG192" s="341" t="s">
        <v>2797</v>
      </c>
      <c r="AH192" s="355" t="s">
        <v>2801</v>
      </c>
      <c r="AI192" s="358"/>
      <c r="AJ192" s="358"/>
      <c r="AK192" s="358"/>
      <c r="AL192" s="358"/>
      <c r="AM192" s="267" t="s">
        <v>2598</v>
      </c>
      <c r="AN192" s="512" t="s">
        <v>2799</v>
      </c>
      <c r="AO192" s="724"/>
      <c r="AP192" s="725">
        <v>1700500</v>
      </c>
      <c r="AQ192" s="725"/>
      <c r="AR192" s="725"/>
      <c r="AS192" s="725"/>
      <c r="AT192" s="727"/>
      <c r="AU192" s="725"/>
      <c r="AV192" s="726">
        <f t="shared" si="64"/>
        <v>1700500</v>
      </c>
      <c r="AW192" s="525"/>
      <c r="AX192" s="310"/>
      <c r="AY192" s="310"/>
      <c r="AZ192" s="310"/>
      <c r="BA192" s="310"/>
      <c r="BB192" s="380"/>
      <c r="BC192" s="310"/>
      <c r="BD192" s="544">
        <f t="shared" si="65"/>
        <v>0</v>
      </c>
      <c r="BE192" s="525"/>
      <c r="BF192" s="310"/>
      <c r="BG192" s="310"/>
      <c r="BH192" s="310"/>
      <c r="BI192" s="310"/>
      <c r="BJ192" s="380"/>
      <c r="BK192" s="310"/>
      <c r="BL192" s="544">
        <f t="shared" si="66"/>
        <v>0</v>
      </c>
      <c r="BM192" s="525"/>
      <c r="BN192" s="310"/>
      <c r="BO192" s="310"/>
      <c r="BP192" s="310"/>
      <c r="BQ192" s="310"/>
      <c r="BR192" s="380"/>
      <c r="BS192" s="310"/>
      <c r="BT192" s="544">
        <f t="shared" si="67"/>
        <v>0</v>
      </c>
      <c r="BU192" s="556"/>
      <c r="BV192" s="663">
        <f t="shared" si="72"/>
        <v>1</v>
      </c>
      <c r="BW192" s="674">
        <f t="shared" si="73"/>
        <v>0.25</v>
      </c>
      <c r="BX192" s="674">
        <f t="shared" si="74"/>
        <v>1</v>
      </c>
      <c r="BY192" s="674">
        <f t="shared" si="75"/>
        <v>0</v>
      </c>
      <c r="BZ192" s="675">
        <f t="shared" si="76"/>
        <v>0</v>
      </c>
      <c r="CA192" s="675">
        <f t="shared" si="77"/>
        <v>0</v>
      </c>
    </row>
    <row r="193" spans="1:79" ht="63.75" hidden="1" x14ac:dyDescent="0.25">
      <c r="A193" s="295" t="s">
        <v>491</v>
      </c>
      <c r="B193" s="24" t="str">
        <f>'PLAN INDICATIVO'!B191</f>
        <v>Atención a grupos vulnerables - promoción social</v>
      </c>
      <c r="C193" s="1602" t="s">
        <v>602</v>
      </c>
      <c r="D193" s="1603"/>
      <c r="E193" s="1603"/>
      <c r="F193" s="1603"/>
      <c r="G193" s="1603"/>
      <c r="H193" s="1603"/>
      <c r="I193" s="1603"/>
      <c r="J193" s="1603"/>
      <c r="K193" s="1603"/>
      <c r="L193" s="1603"/>
      <c r="M193" s="1603"/>
      <c r="N193" s="1603"/>
      <c r="O193" s="1604"/>
      <c r="P193" s="365" t="s">
        <v>603</v>
      </c>
      <c r="Q193" s="62"/>
      <c r="R193" s="53"/>
      <c r="S193" s="275"/>
      <c r="T193" s="683"/>
      <c r="U193" s="275"/>
      <c r="V193" s="703">
        <f>SUM(V194:V200)</f>
        <v>9200000</v>
      </c>
      <c r="W193" s="275"/>
      <c r="X193" s="703">
        <f>SUM(X194:X200)</f>
        <v>14550000</v>
      </c>
      <c r="Y193" s="275"/>
      <c r="Z193" s="703">
        <f>SUM(Z194:Z200)</f>
        <v>19860000</v>
      </c>
      <c r="AA193" s="275"/>
      <c r="AB193" s="703">
        <f>SUM(AB194:AB200)</f>
        <v>10200000</v>
      </c>
      <c r="AC193" s="275"/>
      <c r="AD193" s="275"/>
      <c r="AE193" s="275"/>
      <c r="AF193" s="275"/>
      <c r="AG193" s="276"/>
      <c r="AH193" s="276"/>
      <c r="AI193" s="275"/>
      <c r="AJ193" s="275"/>
      <c r="AK193" s="275"/>
      <c r="AL193" s="275"/>
      <c r="AM193" s="275"/>
      <c r="AN193" s="642"/>
      <c r="AO193" s="643" t="e">
        <f>(AO194:AO200)</f>
        <v>#VALUE!</v>
      </c>
      <c r="AP193" s="643" t="e">
        <f t="shared" ref="AP193:AU193" si="89">(AP194:AP200)</f>
        <v>#VALUE!</v>
      </c>
      <c r="AQ193" s="643" t="e">
        <f t="shared" si="89"/>
        <v>#VALUE!</v>
      </c>
      <c r="AR193" s="643" t="e">
        <f t="shared" si="89"/>
        <v>#VALUE!</v>
      </c>
      <c r="AS193" s="643" t="e">
        <f t="shared" si="89"/>
        <v>#VALUE!</v>
      </c>
      <c r="AT193" s="643" t="e">
        <f t="shared" si="89"/>
        <v>#VALUE!</v>
      </c>
      <c r="AU193" s="643" t="e">
        <f t="shared" si="89"/>
        <v>#VALUE!</v>
      </c>
      <c r="AV193" s="617" t="e">
        <f t="shared" si="64"/>
        <v>#VALUE!</v>
      </c>
      <c r="AW193" s="643" t="e">
        <f t="shared" ref="AW193:BC193" si="90">(AW194:AW200)</f>
        <v>#VALUE!</v>
      </c>
      <c r="AX193" s="643" t="e">
        <f t="shared" si="90"/>
        <v>#VALUE!</v>
      </c>
      <c r="AY193" s="643" t="e">
        <f t="shared" si="90"/>
        <v>#VALUE!</v>
      </c>
      <c r="AZ193" s="643" t="e">
        <f t="shared" si="90"/>
        <v>#VALUE!</v>
      </c>
      <c r="BA193" s="643" t="e">
        <f t="shared" si="90"/>
        <v>#VALUE!</v>
      </c>
      <c r="BB193" s="643" t="e">
        <f t="shared" si="90"/>
        <v>#VALUE!</v>
      </c>
      <c r="BC193" s="643" t="e">
        <f t="shared" si="90"/>
        <v>#VALUE!</v>
      </c>
      <c r="BD193" s="617" t="e">
        <f t="shared" si="65"/>
        <v>#VALUE!</v>
      </c>
      <c r="BE193" s="643" t="e">
        <f t="shared" ref="BE193:BK193" si="91">(BE194:BE200)</f>
        <v>#VALUE!</v>
      </c>
      <c r="BF193" s="643" t="e">
        <f t="shared" si="91"/>
        <v>#VALUE!</v>
      </c>
      <c r="BG193" s="643" t="e">
        <f t="shared" si="91"/>
        <v>#VALUE!</v>
      </c>
      <c r="BH193" s="643" t="e">
        <f t="shared" si="91"/>
        <v>#VALUE!</v>
      </c>
      <c r="BI193" s="643" t="e">
        <f t="shared" si="91"/>
        <v>#VALUE!</v>
      </c>
      <c r="BJ193" s="643" t="e">
        <f t="shared" si="91"/>
        <v>#VALUE!</v>
      </c>
      <c r="BK193" s="643" t="e">
        <f t="shared" si="91"/>
        <v>#VALUE!</v>
      </c>
      <c r="BL193" s="617" t="e">
        <f t="shared" si="66"/>
        <v>#VALUE!</v>
      </c>
      <c r="BM193" s="643" t="e">
        <f t="shared" ref="BM193:BS193" si="92">(BM194:BM200)</f>
        <v>#VALUE!</v>
      </c>
      <c r="BN193" s="643" t="e">
        <f t="shared" si="92"/>
        <v>#VALUE!</v>
      </c>
      <c r="BO193" s="643" t="e">
        <f t="shared" si="92"/>
        <v>#VALUE!</v>
      </c>
      <c r="BP193" s="643" t="e">
        <f t="shared" si="92"/>
        <v>#VALUE!</v>
      </c>
      <c r="BQ193" s="643" t="e">
        <f t="shared" si="92"/>
        <v>#VALUE!</v>
      </c>
      <c r="BR193" s="643" t="e">
        <f t="shared" si="92"/>
        <v>#VALUE!</v>
      </c>
      <c r="BS193" s="643" t="e">
        <f t="shared" si="92"/>
        <v>#VALUE!</v>
      </c>
      <c r="BT193" s="617" t="e">
        <f t="shared" si="67"/>
        <v>#VALUE!</v>
      </c>
      <c r="BU193" s="556"/>
      <c r="BV193" s="663">
        <f t="shared" si="72"/>
        <v>0</v>
      </c>
      <c r="BW193" s="674" t="e">
        <f t="shared" si="73"/>
        <v>#DIV/0!</v>
      </c>
      <c r="BX193" s="674" t="e">
        <f t="shared" si="74"/>
        <v>#DIV/0!</v>
      </c>
      <c r="BY193" s="674" t="e">
        <f t="shared" si="75"/>
        <v>#DIV/0!</v>
      </c>
      <c r="BZ193" s="675" t="e">
        <f t="shared" si="76"/>
        <v>#DIV/0!</v>
      </c>
      <c r="CA193" s="675" t="e">
        <f t="shared" si="77"/>
        <v>#DIV/0!</v>
      </c>
    </row>
    <row r="194" spans="1:79" ht="89.25" hidden="1" x14ac:dyDescent="0.25">
      <c r="A194" s="298" t="s">
        <v>491</v>
      </c>
      <c r="B194" s="299" t="str">
        <f>'PLAN INDICATIVO'!B192</f>
        <v>Atención a grupos vulnerables - promoción social</v>
      </c>
      <c r="C194" s="1546" t="s">
        <v>604</v>
      </c>
      <c r="D194" s="1549" t="s">
        <v>605</v>
      </c>
      <c r="E194" s="1549" t="s">
        <v>606</v>
      </c>
      <c r="F194" s="1549">
        <v>2015</v>
      </c>
      <c r="G194" s="1549" t="s">
        <v>177</v>
      </c>
      <c r="H194" s="1549">
        <v>12</v>
      </c>
      <c r="I194" s="300">
        <f>'PLAN INDICATIVO'!I192</f>
        <v>0</v>
      </c>
      <c r="J194" s="300">
        <f>'PLAN INDICATIVO'!J192</f>
        <v>0</v>
      </c>
      <c r="K194" s="1425" t="str">
        <f>'PLAN INDICATIVO'!K192</f>
        <v>A.14.3.1</v>
      </c>
      <c r="L194" s="301" t="str">
        <f>'PLAN INDICATIVO'!L192</f>
        <v>5. Igualdad de Género</v>
      </c>
      <c r="M194" s="301" t="str">
        <f>'PLAN INDICATIVO'!M192</f>
        <v>Secretaría de Gobierno</v>
      </c>
      <c r="N194" s="1425" t="s">
        <v>2791</v>
      </c>
      <c r="O194" s="1425" t="str">
        <f>'PLAN INDICATIVO'!O192</f>
        <v>Incremento</v>
      </c>
      <c r="P194" s="16" t="str">
        <f>'PLAN INDICATIVO'!P192</f>
        <v>Crear e implementar 1 política municipal de equidad de género, durante el cuatrienio, para la mujer líder y emprendedora</v>
      </c>
      <c r="Q194" s="302" t="str">
        <f>'PLAN INDICATIVO'!Q192</f>
        <v>No. De políticas de equidad creadas</v>
      </c>
      <c r="R194" s="303">
        <f>'PLAN INDICATIVO'!R192</f>
        <v>2015</v>
      </c>
      <c r="S194" s="304">
        <v>0</v>
      </c>
      <c r="T194" s="699">
        <v>1</v>
      </c>
      <c r="U194" s="303">
        <v>0</v>
      </c>
      <c r="V194" s="687"/>
      <c r="W194" s="303">
        <v>1</v>
      </c>
      <c r="X194" s="687">
        <v>3000000</v>
      </c>
      <c r="Y194" s="303">
        <v>0</v>
      </c>
      <c r="Z194" s="687"/>
      <c r="AA194" s="303">
        <v>0</v>
      </c>
      <c r="AB194" s="687"/>
      <c r="AC194" s="669"/>
      <c r="AD194" s="669"/>
      <c r="AE194" s="669"/>
      <c r="AF194" s="669"/>
      <c r="AG194" s="277"/>
      <c r="AH194" s="355"/>
      <c r="AI194" s="358"/>
      <c r="AJ194" s="358"/>
      <c r="AK194" s="358"/>
      <c r="AL194" s="358"/>
      <c r="AM194" s="267" t="s">
        <v>2594</v>
      </c>
      <c r="AN194" s="512"/>
      <c r="AO194" s="525"/>
      <c r="AP194" s="310"/>
      <c r="AQ194" s="310"/>
      <c r="AR194" s="310"/>
      <c r="AS194" s="310"/>
      <c r="AT194" s="310"/>
      <c r="AU194" s="310"/>
      <c r="AV194" s="544">
        <f t="shared" si="64"/>
        <v>0</v>
      </c>
      <c r="AW194" s="525"/>
      <c r="AX194" s="310"/>
      <c r="AY194" s="310"/>
      <c r="AZ194" s="310"/>
      <c r="BA194" s="310"/>
      <c r="BB194" s="310"/>
      <c r="BC194" s="310"/>
      <c r="BD194" s="544">
        <f t="shared" si="65"/>
        <v>0</v>
      </c>
      <c r="BE194" s="525"/>
      <c r="BF194" s="310"/>
      <c r="BG194" s="310"/>
      <c r="BH194" s="310"/>
      <c r="BI194" s="310"/>
      <c r="BJ194" s="310"/>
      <c r="BK194" s="310"/>
      <c r="BL194" s="544">
        <f t="shared" si="66"/>
        <v>0</v>
      </c>
      <c r="BM194" s="525"/>
      <c r="BN194" s="310"/>
      <c r="BO194" s="310"/>
      <c r="BP194" s="310"/>
      <c r="BQ194" s="310"/>
      <c r="BR194" s="310"/>
      <c r="BS194" s="310"/>
      <c r="BT194" s="544">
        <f t="shared" si="67"/>
        <v>0</v>
      </c>
      <c r="BU194" s="556"/>
      <c r="BV194" s="663">
        <f t="shared" si="72"/>
        <v>0</v>
      </c>
      <c r="BW194" s="674">
        <f t="shared" si="73"/>
        <v>0</v>
      </c>
      <c r="BX194" s="674" t="e">
        <f t="shared" si="74"/>
        <v>#DIV/0!</v>
      </c>
      <c r="BY194" s="674">
        <f t="shared" si="75"/>
        <v>0</v>
      </c>
      <c r="BZ194" s="675" t="e">
        <f t="shared" si="76"/>
        <v>#DIV/0!</v>
      </c>
      <c r="CA194" s="675" t="e">
        <f t="shared" si="77"/>
        <v>#DIV/0!</v>
      </c>
    </row>
    <row r="195" spans="1:79" ht="94.5" hidden="1" customHeight="1" x14ac:dyDescent="0.25">
      <c r="A195" s="298" t="s">
        <v>491</v>
      </c>
      <c r="B195" s="299" t="str">
        <f>'PLAN INDICATIVO'!B193</f>
        <v>Atención a grupos vulnerables - promoción social</v>
      </c>
      <c r="C195" s="1547"/>
      <c r="D195" s="1549"/>
      <c r="E195" s="1549"/>
      <c r="F195" s="1549"/>
      <c r="G195" s="1549"/>
      <c r="H195" s="1549"/>
      <c r="I195" s="300">
        <f>'PLAN INDICATIVO'!I193</f>
        <v>0</v>
      </c>
      <c r="J195" s="300">
        <f>'PLAN INDICATIVO'!J193</f>
        <v>0</v>
      </c>
      <c r="K195" s="1425" t="str">
        <f>'PLAN INDICATIVO'!K193</f>
        <v>A.14.3.2</v>
      </c>
      <c r="L195" s="301" t="str">
        <f>'PLAN INDICATIVO'!L193</f>
        <v>5. Igualdad de Género</v>
      </c>
      <c r="M195" s="301" t="str">
        <f>'PLAN INDICATIVO'!M193</f>
        <v>Secretaría de Gobierno</v>
      </c>
      <c r="N195" s="1425" t="s">
        <v>2791</v>
      </c>
      <c r="O195" s="1425" t="str">
        <f>'PLAN INDICATIVO'!O193</f>
        <v>Incremento</v>
      </c>
      <c r="P195" s="16" t="str">
        <f>'PLAN INDICATIVO'!P193</f>
        <v>Reaizar 4 ferias de la mujer microempresaria  durante el cuatrienio</v>
      </c>
      <c r="Q195" s="302" t="str">
        <f>'PLAN INDICATIVO'!Q193</f>
        <v>No. De ferias realizadas</v>
      </c>
      <c r="R195" s="303">
        <f>'PLAN INDICATIVO'!R193</f>
        <v>2015</v>
      </c>
      <c r="S195" s="304">
        <v>0</v>
      </c>
      <c r="T195" s="699">
        <v>4</v>
      </c>
      <c r="U195" s="303">
        <v>1</v>
      </c>
      <c r="V195" s="687">
        <v>5000000</v>
      </c>
      <c r="W195" s="303">
        <v>1</v>
      </c>
      <c r="X195" s="687">
        <v>5000000</v>
      </c>
      <c r="Y195" s="303">
        <v>1</v>
      </c>
      <c r="Z195" s="687">
        <v>5360000</v>
      </c>
      <c r="AA195" s="303">
        <v>1</v>
      </c>
      <c r="AB195" s="687">
        <v>5440000</v>
      </c>
      <c r="AC195" s="669">
        <v>1</v>
      </c>
      <c r="AD195" s="669"/>
      <c r="AE195" s="669"/>
      <c r="AF195" s="669"/>
      <c r="AG195" s="341" t="s">
        <v>2802</v>
      </c>
      <c r="AH195" s="750" t="s">
        <v>2803</v>
      </c>
      <c r="AI195" s="363">
        <v>42398</v>
      </c>
      <c r="AJ195" s="363">
        <v>42401</v>
      </c>
      <c r="AK195" s="358"/>
      <c r="AL195" s="358"/>
      <c r="AM195" s="267" t="s">
        <v>2598</v>
      </c>
      <c r="AN195" s="512" t="s">
        <v>2804</v>
      </c>
      <c r="AO195" s="720">
        <v>5000000</v>
      </c>
      <c r="AP195" s="310"/>
      <c r="AQ195" s="310"/>
      <c r="AR195" s="310"/>
      <c r="AS195" s="310"/>
      <c r="AT195" s="310"/>
      <c r="AU195" s="310"/>
      <c r="AV195" s="544">
        <f t="shared" si="64"/>
        <v>5000000</v>
      </c>
      <c r="AW195" s="525"/>
      <c r="AX195" s="310"/>
      <c r="AY195" s="310"/>
      <c r="AZ195" s="310"/>
      <c r="BA195" s="310"/>
      <c r="BB195" s="310"/>
      <c r="BC195" s="310"/>
      <c r="BD195" s="544">
        <f t="shared" si="65"/>
        <v>0</v>
      </c>
      <c r="BE195" s="525"/>
      <c r="BF195" s="310"/>
      <c r="BG195" s="310"/>
      <c r="BH195" s="310"/>
      <c r="BI195" s="310"/>
      <c r="BJ195" s="310"/>
      <c r="BK195" s="310"/>
      <c r="BL195" s="544">
        <f t="shared" si="66"/>
        <v>0</v>
      </c>
      <c r="BM195" s="525"/>
      <c r="BN195" s="310"/>
      <c r="BO195" s="310"/>
      <c r="BP195" s="310"/>
      <c r="BQ195" s="310"/>
      <c r="BR195" s="310"/>
      <c r="BS195" s="310"/>
      <c r="BT195" s="544">
        <f t="shared" si="67"/>
        <v>0</v>
      </c>
      <c r="BU195" s="556"/>
      <c r="BV195" s="663">
        <f t="shared" si="72"/>
        <v>1</v>
      </c>
      <c r="BW195" s="674">
        <f t="shared" si="73"/>
        <v>0.25</v>
      </c>
      <c r="BX195" s="674">
        <f t="shared" si="74"/>
        <v>1</v>
      </c>
      <c r="BY195" s="674">
        <f t="shared" si="75"/>
        <v>0</v>
      </c>
      <c r="BZ195" s="675">
        <f t="shared" si="76"/>
        <v>0</v>
      </c>
      <c r="CA195" s="675">
        <f t="shared" si="77"/>
        <v>0</v>
      </c>
    </row>
    <row r="196" spans="1:79" ht="76.5" hidden="1" x14ac:dyDescent="0.25">
      <c r="A196" s="298" t="s">
        <v>491</v>
      </c>
      <c r="B196" s="299" t="str">
        <f>'PLAN INDICATIVO'!B194</f>
        <v>Atención a grupos vulnerables - promoción social</v>
      </c>
      <c r="C196" s="1547"/>
      <c r="D196" s="1549"/>
      <c r="E196" s="1549"/>
      <c r="F196" s="1549"/>
      <c r="G196" s="1549"/>
      <c r="H196" s="1549"/>
      <c r="I196" s="300">
        <f>'PLAN INDICATIVO'!I194</f>
        <v>0</v>
      </c>
      <c r="J196" s="300">
        <f>'PLAN INDICATIVO'!J194</f>
        <v>0</v>
      </c>
      <c r="K196" s="1425" t="str">
        <f>'PLAN INDICATIVO'!K194</f>
        <v>A.14.3.3</v>
      </c>
      <c r="L196" s="301" t="str">
        <f>'PLAN INDICATIVO'!L194</f>
        <v>5. Igualdad de Género</v>
      </c>
      <c r="M196" s="301" t="str">
        <f>'PLAN INDICATIVO'!M194</f>
        <v>Secretaría de Gobierno</v>
      </c>
      <c r="N196" s="1425" t="s">
        <v>2791</v>
      </c>
      <c r="O196" s="1425" t="str">
        <f>'PLAN INDICATIVO'!O194</f>
        <v>Incremento</v>
      </c>
      <c r="P196" s="16" t="str">
        <f>'PLAN INDICATIVO'!P194</f>
        <v>Realizar 1 oferta mediante el programa capital semilla a la mujer Plateña, para acceso a proyectos de desarrollo económico, durante el cuatrienio</v>
      </c>
      <c r="Q196" s="302" t="str">
        <f>'PLAN INDICATIVO'!Q194</f>
        <v>No. De ofertas realizadas</v>
      </c>
      <c r="R196" s="303">
        <f>'PLAN INDICATIVO'!R194</f>
        <v>2015</v>
      </c>
      <c r="S196" s="304">
        <v>0</v>
      </c>
      <c r="T196" s="699">
        <v>1</v>
      </c>
      <c r="U196" s="303">
        <v>0</v>
      </c>
      <c r="V196" s="687"/>
      <c r="W196" s="303">
        <v>0</v>
      </c>
      <c r="X196" s="687"/>
      <c r="Y196" s="303">
        <v>1</v>
      </c>
      <c r="Z196" s="687">
        <v>10000000</v>
      </c>
      <c r="AA196" s="303">
        <v>0</v>
      </c>
      <c r="AB196" s="687"/>
      <c r="AC196" s="669"/>
      <c r="AD196" s="669"/>
      <c r="AE196" s="669"/>
      <c r="AF196" s="669"/>
      <c r="AG196" s="277"/>
      <c r="AH196" s="355"/>
      <c r="AI196" s="358"/>
      <c r="AJ196" s="358"/>
      <c r="AK196" s="358"/>
      <c r="AL196" s="358"/>
      <c r="AM196" s="267" t="s">
        <v>2594</v>
      </c>
      <c r="AN196" s="512"/>
      <c r="AO196" s="525"/>
      <c r="AP196" s="310"/>
      <c r="AQ196" s="310"/>
      <c r="AR196" s="310"/>
      <c r="AS196" s="310"/>
      <c r="AT196" s="310"/>
      <c r="AU196" s="310"/>
      <c r="AV196" s="544">
        <f t="shared" si="64"/>
        <v>0</v>
      </c>
      <c r="AW196" s="525"/>
      <c r="AX196" s="310"/>
      <c r="AY196" s="310"/>
      <c r="AZ196" s="310"/>
      <c r="BA196" s="310"/>
      <c r="BB196" s="310"/>
      <c r="BC196" s="310"/>
      <c r="BD196" s="544">
        <f t="shared" si="65"/>
        <v>0</v>
      </c>
      <c r="BE196" s="525"/>
      <c r="BF196" s="310"/>
      <c r="BG196" s="310"/>
      <c r="BH196" s="310"/>
      <c r="BI196" s="310"/>
      <c r="BJ196" s="310"/>
      <c r="BK196" s="310"/>
      <c r="BL196" s="544">
        <f t="shared" si="66"/>
        <v>0</v>
      </c>
      <c r="BM196" s="525"/>
      <c r="BN196" s="310"/>
      <c r="BO196" s="310"/>
      <c r="BP196" s="310"/>
      <c r="BQ196" s="310"/>
      <c r="BR196" s="310"/>
      <c r="BS196" s="310"/>
      <c r="BT196" s="544">
        <f t="shared" si="67"/>
        <v>0</v>
      </c>
      <c r="BU196" s="556"/>
      <c r="BV196" s="663">
        <f t="shared" si="72"/>
        <v>0</v>
      </c>
      <c r="BW196" s="674">
        <f t="shared" si="73"/>
        <v>0</v>
      </c>
      <c r="BX196" s="674" t="e">
        <f t="shared" si="74"/>
        <v>#DIV/0!</v>
      </c>
      <c r="BY196" s="674" t="e">
        <f t="shared" si="75"/>
        <v>#DIV/0!</v>
      </c>
      <c r="BZ196" s="675">
        <f t="shared" si="76"/>
        <v>0</v>
      </c>
      <c r="CA196" s="675" t="e">
        <f t="shared" si="77"/>
        <v>#DIV/0!</v>
      </c>
    </row>
    <row r="197" spans="1:79" ht="76.5" hidden="1" x14ac:dyDescent="0.25">
      <c r="A197" s="298" t="s">
        <v>491</v>
      </c>
      <c r="B197" s="299" t="str">
        <f>'PLAN INDICATIVO'!B195</f>
        <v>Atención a grupos vulnerables - promoción social</v>
      </c>
      <c r="C197" s="1547"/>
      <c r="D197" s="1549"/>
      <c r="E197" s="1549"/>
      <c r="F197" s="1549"/>
      <c r="G197" s="1549"/>
      <c r="H197" s="1549"/>
      <c r="I197" s="300">
        <f>'PLAN INDICATIVO'!I195</f>
        <v>0</v>
      </c>
      <c r="J197" s="300">
        <f>'PLAN INDICATIVO'!J195</f>
        <v>0</v>
      </c>
      <c r="K197" s="1425" t="str">
        <f>'PLAN INDICATIVO'!K195</f>
        <v>A.14.3.4</v>
      </c>
      <c r="L197" s="301" t="str">
        <f>'PLAN INDICATIVO'!L195</f>
        <v>5. Igualdad de Género</v>
      </c>
      <c r="M197" s="301" t="str">
        <f>'PLAN INDICATIVO'!M195</f>
        <v>Secretaría de Gobierno</v>
      </c>
      <c r="N197" s="1425" t="s">
        <v>2791</v>
      </c>
      <c r="O197" s="1425" t="str">
        <f>'PLAN INDICATIVO'!O195</f>
        <v>Incremento</v>
      </c>
      <c r="P197" s="16" t="str">
        <f>'PLAN INDICATIVO'!P195</f>
        <v>Apoyo a un (1) programa para potencializar a la mujer plateña, como generadora de fuente de ingresos a partir de proyectos sociales y productivos.</v>
      </c>
      <c r="Q197" s="302" t="str">
        <f>'PLAN INDICATIVO'!Q195</f>
        <v>No. De apoyos realizados</v>
      </c>
      <c r="R197" s="303">
        <f>'PLAN INDICATIVO'!R195</f>
        <v>2015</v>
      </c>
      <c r="S197" s="304">
        <v>0</v>
      </c>
      <c r="T197" s="699">
        <v>1</v>
      </c>
      <c r="U197" s="303">
        <v>0</v>
      </c>
      <c r="V197" s="687"/>
      <c r="W197" s="303">
        <v>1</v>
      </c>
      <c r="X197" s="687">
        <v>1000000</v>
      </c>
      <c r="Y197" s="303">
        <v>0</v>
      </c>
      <c r="Z197" s="687"/>
      <c r="AA197" s="303">
        <v>0</v>
      </c>
      <c r="AB197" s="687"/>
      <c r="AC197" s="669"/>
      <c r="AD197" s="669"/>
      <c r="AE197" s="669"/>
      <c r="AF197" s="669"/>
      <c r="AG197" s="277"/>
      <c r="AH197" s="355"/>
      <c r="AI197" s="358"/>
      <c r="AJ197" s="358"/>
      <c r="AK197" s="358"/>
      <c r="AL197" s="358"/>
      <c r="AM197" s="267" t="s">
        <v>2594</v>
      </c>
      <c r="AN197" s="512"/>
      <c r="AO197" s="525"/>
      <c r="AP197" s="310"/>
      <c r="AQ197" s="310"/>
      <c r="AR197" s="310"/>
      <c r="AS197" s="310"/>
      <c r="AT197" s="310"/>
      <c r="AU197" s="310"/>
      <c r="AV197" s="544">
        <f t="shared" si="64"/>
        <v>0</v>
      </c>
      <c r="AW197" s="525"/>
      <c r="AX197" s="310"/>
      <c r="AY197" s="310"/>
      <c r="AZ197" s="310"/>
      <c r="BA197" s="310"/>
      <c r="BB197" s="310"/>
      <c r="BC197" s="310"/>
      <c r="BD197" s="544">
        <f t="shared" si="65"/>
        <v>0</v>
      </c>
      <c r="BE197" s="525"/>
      <c r="BF197" s="310"/>
      <c r="BG197" s="310"/>
      <c r="BH197" s="310"/>
      <c r="BI197" s="310"/>
      <c r="BJ197" s="310"/>
      <c r="BK197" s="310"/>
      <c r="BL197" s="544">
        <f t="shared" si="66"/>
        <v>0</v>
      </c>
      <c r="BM197" s="525"/>
      <c r="BN197" s="310"/>
      <c r="BO197" s="310"/>
      <c r="BP197" s="310"/>
      <c r="BQ197" s="310"/>
      <c r="BR197" s="310"/>
      <c r="BS197" s="310"/>
      <c r="BT197" s="544">
        <f t="shared" si="67"/>
        <v>0</v>
      </c>
      <c r="BU197" s="556"/>
      <c r="BV197" s="663">
        <f t="shared" si="72"/>
        <v>0</v>
      </c>
      <c r="BW197" s="674">
        <f t="shared" si="73"/>
        <v>0</v>
      </c>
      <c r="BX197" s="674" t="e">
        <f t="shared" si="74"/>
        <v>#DIV/0!</v>
      </c>
      <c r="BY197" s="674">
        <f t="shared" si="75"/>
        <v>0</v>
      </c>
      <c r="BZ197" s="675" t="e">
        <f t="shared" si="76"/>
        <v>#DIV/0!</v>
      </c>
      <c r="CA197" s="675" t="e">
        <f t="shared" si="77"/>
        <v>#DIV/0!</v>
      </c>
    </row>
    <row r="198" spans="1:79" ht="72" hidden="1" customHeight="1" x14ac:dyDescent="0.25">
      <c r="A198" s="298" t="s">
        <v>491</v>
      </c>
      <c r="B198" s="299" t="str">
        <f>'PLAN INDICATIVO'!B196</f>
        <v>Atención a grupos vulnerables - promoción social</v>
      </c>
      <c r="C198" s="1547"/>
      <c r="D198" s="1549"/>
      <c r="E198" s="1549"/>
      <c r="F198" s="1549"/>
      <c r="G198" s="1549"/>
      <c r="H198" s="1549"/>
      <c r="I198" s="300">
        <f>'PLAN INDICATIVO'!I196</f>
        <v>0</v>
      </c>
      <c r="J198" s="300">
        <f>'PLAN INDICATIVO'!J196</f>
        <v>0</v>
      </c>
      <c r="K198" s="1425" t="str">
        <f>'PLAN INDICATIVO'!K196</f>
        <v>A.14.3.5</v>
      </c>
      <c r="L198" s="301" t="str">
        <f>'PLAN INDICATIVO'!L196</f>
        <v>5. Igualdad de Género</v>
      </c>
      <c r="M198" s="301" t="str">
        <f>'PLAN INDICATIVO'!M196</f>
        <v>Secretaría de Gobierno</v>
      </c>
      <c r="N198" s="1425" t="s">
        <v>2791</v>
      </c>
      <c r="O198" s="1425" t="str">
        <f>'PLAN INDICATIVO'!O196</f>
        <v>Incremento</v>
      </c>
      <c r="P198" s="16" t="str">
        <f>'PLAN INDICATIVO'!P196</f>
        <v>Implementar 1 campaña cada año para prevenir violencia contra la mujer</v>
      </c>
      <c r="Q198" s="302" t="str">
        <f>'PLAN INDICATIVO'!Q196</f>
        <v>Campaña implementada</v>
      </c>
      <c r="R198" s="303">
        <f>'PLAN INDICATIVO'!R196</f>
        <v>2015</v>
      </c>
      <c r="S198" s="304">
        <v>1</v>
      </c>
      <c r="T198" s="699">
        <v>4</v>
      </c>
      <c r="U198" s="303">
        <v>1</v>
      </c>
      <c r="V198" s="687">
        <v>3200000</v>
      </c>
      <c r="W198" s="303">
        <v>1</v>
      </c>
      <c r="X198" s="687">
        <v>4550000</v>
      </c>
      <c r="Y198" s="303">
        <v>1</v>
      </c>
      <c r="Z198" s="687">
        <v>3500000</v>
      </c>
      <c r="AA198" s="303">
        <v>1</v>
      </c>
      <c r="AB198" s="687">
        <v>3760000</v>
      </c>
      <c r="AC198" s="669">
        <v>1</v>
      </c>
      <c r="AD198" s="669"/>
      <c r="AE198" s="669"/>
      <c r="AF198" s="669"/>
      <c r="AG198" s="341" t="s">
        <v>2802</v>
      </c>
      <c r="AH198" s="355" t="s">
        <v>2805</v>
      </c>
      <c r="AI198" s="363">
        <v>42401</v>
      </c>
      <c r="AJ198" s="363">
        <v>42735</v>
      </c>
      <c r="AK198" s="358"/>
      <c r="AL198" s="358"/>
      <c r="AM198" s="267" t="s">
        <v>2598</v>
      </c>
      <c r="AN198" s="512" t="s">
        <v>2804</v>
      </c>
      <c r="AO198" s="720">
        <v>5000000</v>
      </c>
      <c r="AP198" s="310"/>
      <c r="AQ198" s="310"/>
      <c r="AR198" s="310"/>
      <c r="AS198" s="310"/>
      <c r="AT198" s="310"/>
      <c r="AU198" s="310"/>
      <c r="AV198" s="544">
        <f t="shared" ref="AV198:AV261" si="93">SUM(AO198:AU198)</f>
        <v>5000000</v>
      </c>
      <c r="AW198" s="525"/>
      <c r="AX198" s="310"/>
      <c r="AY198" s="310"/>
      <c r="AZ198" s="310"/>
      <c r="BA198" s="310"/>
      <c r="BB198" s="310"/>
      <c r="BC198" s="310"/>
      <c r="BD198" s="544">
        <f t="shared" ref="BD198:BD261" si="94">SUM(AW198:BC198)</f>
        <v>0</v>
      </c>
      <c r="BE198" s="525"/>
      <c r="BF198" s="310"/>
      <c r="BG198" s="310"/>
      <c r="BH198" s="310"/>
      <c r="BI198" s="310"/>
      <c r="BJ198" s="310"/>
      <c r="BK198" s="310"/>
      <c r="BL198" s="544">
        <f t="shared" ref="BL198:BL261" si="95">SUM(BE198:BK198)</f>
        <v>0</v>
      </c>
      <c r="BM198" s="525"/>
      <c r="BN198" s="310"/>
      <c r="BO198" s="310"/>
      <c r="BP198" s="310"/>
      <c r="BQ198" s="310"/>
      <c r="BR198" s="310"/>
      <c r="BS198" s="310"/>
      <c r="BT198" s="544">
        <f t="shared" ref="BT198:BT261" si="96">SUM(BM198:BS198)</f>
        <v>0</v>
      </c>
      <c r="BU198" s="556"/>
      <c r="BV198" s="663">
        <f t="shared" si="72"/>
        <v>1</v>
      </c>
      <c r="BW198" s="674">
        <f t="shared" si="73"/>
        <v>0.25</v>
      </c>
      <c r="BX198" s="674">
        <f t="shared" si="74"/>
        <v>1</v>
      </c>
      <c r="BY198" s="674">
        <f t="shared" si="75"/>
        <v>0</v>
      </c>
      <c r="BZ198" s="675">
        <f t="shared" si="76"/>
        <v>0</v>
      </c>
      <c r="CA198" s="675">
        <f t="shared" si="77"/>
        <v>0</v>
      </c>
    </row>
    <row r="199" spans="1:79" ht="69" hidden="1" customHeight="1" x14ac:dyDescent="0.25">
      <c r="A199" s="298" t="s">
        <v>491</v>
      </c>
      <c r="B199" s="299" t="str">
        <f>'PLAN INDICATIVO'!B197</f>
        <v>Atención a grupos vulnerables - promoción social</v>
      </c>
      <c r="C199" s="1547"/>
      <c r="D199" s="1549"/>
      <c r="E199" s="1549"/>
      <c r="F199" s="1549"/>
      <c r="G199" s="1549"/>
      <c r="H199" s="1549"/>
      <c r="I199" s="300">
        <f>'PLAN INDICATIVO'!I197</f>
        <v>0</v>
      </c>
      <c r="J199" s="300">
        <f>'PLAN INDICATIVO'!J197</f>
        <v>0</v>
      </c>
      <c r="K199" s="1425" t="str">
        <f>'PLAN INDICATIVO'!K197</f>
        <v>A.14.3.6</v>
      </c>
      <c r="L199" s="301" t="str">
        <f>'PLAN INDICATIVO'!L197</f>
        <v>5. Igualdad de Género</v>
      </c>
      <c r="M199" s="301" t="str">
        <f>'PLAN INDICATIVO'!M197</f>
        <v>Secretaría de Gobierno</v>
      </c>
      <c r="N199" s="1425" t="s">
        <v>2791</v>
      </c>
      <c r="O199" s="1425" t="str">
        <f>'PLAN INDICATIVO'!O197</f>
        <v>Mantenimiento</v>
      </c>
      <c r="P199" s="16" t="str">
        <f>'PLAN INDICATIVO'!P197</f>
        <v>Realizar 2 sesiones del Consejo Comunitario de Mujeres por año</v>
      </c>
      <c r="Q199" s="302" t="str">
        <f>'PLAN INDICATIVO'!Q197</f>
        <v>No. De sesiones del consejo Comunitario de mujeres por año</v>
      </c>
      <c r="R199" s="303">
        <f>'PLAN INDICATIVO'!R197</f>
        <v>2015</v>
      </c>
      <c r="S199" s="304">
        <v>2</v>
      </c>
      <c r="T199" s="699">
        <v>2</v>
      </c>
      <c r="U199" s="303">
        <v>2</v>
      </c>
      <c r="V199" s="687">
        <v>500000</v>
      </c>
      <c r="W199" s="303">
        <v>2</v>
      </c>
      <c r="X199" s="687">
        <v>500000</v>
      </c>
      <c r="Y199" s="303">
        <v>2</v>
      </c>
      <c r="Z199" s="687">
        <v>500000</v>
      </c>
      <c r="AA199" s="303">
        <v>2</v>
      </c>
      <c r="AB199" s="687">
        <v>500000</v>
      </c>
      <c r="AC199" s="669">
        <v>2</v>
      </c>
      <c r="AD199" s="669"/>
      <c r="AE199" s="669"/>
      <c r="AF199" s="669"/>
      <c r="AG199" s="341" t="s">
        <v>2802</v>
      </c>
      <c r="AH199" s="355" t="s">
        <v>2806</v>
      </c>
      <c r="AI199" s="363">
        <v>42577</v>
      </c>
      <c r="AJ199" s="363">
        <v>42577</v>
      </c>
      <c r="AK199" s="358"/>
      <c r="AL199" s="358"/>
      <c r="AM199" s="267" t="s">
        <v>2598</v>
      </c>
      <c r="AN199" s="512" t="s">
        <v>2804</v>
      </c>
      <c r="AO199" s="525"/>
      <c r="AP199" s="721">
        <v>1400000</v>
      </c>
      <c r="AQ199" s="310"/>
      <c r="AR199" s="310"/>
      <c r="AS199" s="310"/>
      <c r="AT199" s="310"/>
      <c r="AU199" s="310"/>
      <c r="AV199" s="544">
        <f t="shared" si="93"/>
        <v>1400000</v>
      </c>
      <c r="AW199" s="525"/>
      <c r="AX199" s="310"/>
      <c r="AY199" s="310"/>
      <c r="AZ199" s="310"/>
      <c r="BA199" s="310"/>
      <c r="BB199" s="310"/>
      <c r="BC199" s="310"/>
      <c r="BD199" s="544">
        <f t="shared" si="94"/>
        <v>0</v>
      </c>
      <c r="BE199" s="525"/>
      <c r="BF199" s="310"/>
      <c r="BG199" s="310"/>
      <c r="BH199" s="310"/>
      <c r="BI199" s="310"/>
      <c r="BJ199" s="310"/>
      <c r="BK199" s="310"/>
      <c r="BL199" s="544">
        <f t="shared" si="95"/>
        <v>0</v>
      </c>
      <c r="BM199" s="525"/>
      <c r="BN199" s="310"/>
      <c r="BO199" s="310"/>
      <c r="BP199" s="310"/>
      <c r="BQ199" s="310"/>
      <c r="BR199" s="310"/>
      <c r="BS199" s="310"/>
      <c r="BT199" s="544">
        <f t="shared" si="96"/>
        <v>0</v>
      </c>
      <c r="BU199" s="556"/>
      <c r="BV199" s="663">
        <f t="shared" si="72"/>
        <v>2</v>
      </c>
      <c r="BW199" s="674">
        <f t="shared" si="73"/>
        <v>1</v>
      </c>
      <c r="BX199" s="674">
        <f t="shared" si="74"/>
        <v>1</v>
      </c>
      <c r="BY199" s="674">
        <f t="shared" si="75"/>
        <v>0</v>
      </c>
      <c r="BZ199" s="675">
        <f t="shared" si="76"/>
        <v>0</v>
      </c>
      <c r="CA199" s="675">
        <f t="shared" si="77"/>
        <v>0</v>
      </c>
    </row>
    <row r="200" spans="1:79" ht="64.5" hidden="1" customHeight="1" x14ac:dyDescent="0.25">
      <c r="A200" s="298" t="s">
        <v>491</v>
      </c>
      <c r="B200" s="299" t="str">
        <f>'PLAN INDICATIVO'!B198</f>
        <v>Atención a grupos vulnerables - promoción social</v>
      </c>
      <c r="C200" s="1548"/>
      <c r="D200" s="1549"/>
      <c r="E200" s="1549"/>
      <c r="F200" s="1549"/>
      <c r="G200" s="1549"/>
      <c r="H200" s="1549"/>
      <c r="I200" s="300">
        <f>'PLAN INDICATIVO'!I198</f>
        <v>0</v>
      </c>
      <c r="J200" s="300">
        <f>'PLAN INDICATIVO'!J198</f>
        <v>0</v>
      </c>
      <c r="K200" s="1425" t="str">
        <f>'PLAN INDICATIVO'!K198</f>
        <v>A.14.3.7</v>
      </c>
      <c r="L200" s="301" t="str">
        <f>'PLAN INDICATIVO'!L198</f>
        <v>5. Igualdad de Género</v>
      </c>
      <c r="M200" s="301" t="str">
        <f>'PLAN INDICATIVO'!M198</f>
        <v>Secretaría de Gobierno</v>
      </c>
      <c r="N200" s="1425" t="s">
        <v>2791</v>
      </c>
      <c r="O200" s="1425" t="str">
        <f>'PLAN INDICATIVO'!O198</f>
        <v>Mantenimiento</v>
      </c>
      <c r="P200" s="16" t="str">
        <f>'PLAN INDICATIVO'!P198</f>
        <v>Establecer 1 ruta de atención para el restablecimiento del derecho de las menores embarazadas y divulgarla</v>
      </c>
      <c r="Q200" s="302" t="str">
        <f>'PLAN INDICATIVO'!Q198</f>
        <v>No. De Ruta de atención establecida por año</v>
      </c>
      <c r="R200" s="303">
        <f>'PLAN INDICATIVO'!R198</f>
        <v>2015</v>
      </c>
      <c r="S200" s="304">
        <v>0</v>
      </c>
      <c r="T200" s="699">
        <v>1</v>
      </c>
      <c r="U200" s="303">
        <v>1</v>
      </c>
      <c r="V200" s="687">
        <v>500000</v>
      </c>
      <c r="W200" s="303">
        <v>1</v>
      </c>
      <c r="X200" s="687">
        <v>500000</v>
      </c>
      <c r="Y200" s="303">
        <v>1</v>
      </c>
      <c r="Z200" s="687">
        <v>500000</v>
      </c>
      <c r="AA200" s="303">
        <v>1</v>
      </c>
      <c r="AB200" s="687">
        <v>500000</v>
      </c>
      <c r="AC200" s="669">
        <v>0</v>
      </c>
      <c r="AD200" s="669"/>
      <c r="AE200" s="669"/>
      <c r="AF200" s="669"/>
      <c r="AG200" s="341" t="s">
        <v>2596</v>
      </c>
      <c r="AH200" s="355" t="s">
        <v>2807</v>
      </c>
      <c r="AI200" s="363">
        <v>42552</v>
      </c>
      <c r="AJ200" s="363">
        <v>42735</v>
      </c>
      <c r="AK200" s="358"/>
      <c r="AL200" s="358"/>
      <c r="AM200" s="267" t="s">
        <v>2600</v>
      </c>
      <c r="AN200" s="512" t="s">
        <v>2627</v>
      </c>
      <c r="AO200" s="525"/>
      <c r="AP200" s="310"/>
      <c r="AQ200" s="310"/>
      <c r="AR200" s="310"/>
      <c r="AS200" s="310"/>
      <c r="AT200" s="310"/>
      <c r="AU200" s="310"/>
      <c r="AV200" s="544">
        <f t="shared" si="93"/>
        <v>0</v>
      </c>
      <c r="AW200" s="525"/>
      <c r="AX200" s="310"/>
      <c r="AY200" s="310"/>
      <c r="AZ200" s="310"/>
      <c r="BA200" s="310"/>
      <c r="BB200" s="310"/>
      <c r="BC200" s="310"/>
      <c r="BD200" s="544">
        <f t="shared" si="94"/>
        <v>0</v>
      </c>
      <c r="BE200" s="525"/>
      <c r="BF200" s="310"/>
      <c r="BG200" s="310"/>
      <c r="BH200" s="310"/>
      <c r="BI200" s="310"/>
      <c r="BJ200" s="310"/>
      <c r="BK200" s="310"/>
      <c r="BL200" s="544">
        <f t="shared" si="95"/>
        <v>0</v>
      </c>
      <c r="BM200" s="525"/>
      <c r="BN200" s="310"/>
      <c r="BO200" s="310"/>
      <c r="BP200" s="310"/>
      <c r="BQ200" s="310"/>
      <c r="BR200" s="310"/>
      <c r="BS200" s="310"/>
      <c r="BT200" s="544">
        <f t="shared" si="96"/>
        <v>0</v>
      </c>
      <c r="BU200" s="556"/>
      <c r="BV200" s="663">
        <f t="shared" si="72"/>
        <v>0</v>
      </c>
      <c r="BW200" s="674">
        <f t="shared" si="73"/>
        <v>0</v>
      </c>
      <c r="BX200" s="674">
        <f t="shared" si="74"/>
        <v>0</v>
      </c>
      <c r="BY200" s="674">
        <f t="shared" si="75"/>
        <v>0</v>
      </c>
      <c r="BZ200" s="675">
        <f t="shared" si="76"/>
        <v>0</v>
      </c>
      <c r="CA200" s="675">
        <f t="shared" si="77"/>
        <v>0</v>
      </c>
    </row>
    <row r="201" spans="1:79" ht="34.5" hidden="1" customHeight="1" x14ac:dyDescent="0.25">
      <c r="A201" s="295" t="s">
        <v>491</v>
      </c>
      <c r="B201" s="24" t="str">
        <f>'PLAN INDICATIVO'!B199</f>
        <v>Atención a grupos vulnerables - promoción social</v>
      </c>
      <c r="C201" s="366"/>
      <c r="D201" s="367" t="s">
        <v>628</v>
      </c>
      <c r="E201" s="368"/>
      <c r="F201" s="368"/>
      <c r="G201" s="368"/>
      <c r="H201" s="368"/>
      <c r="I201" s="368"/>
      <c r="J201" s="368"/>
      <c r="K201" s="368"/>
      <c r="L201" s="368"/>
      <c r="M201" s="368"/>
      <c r="N201" s="364"/>
      <c r="O201" s="368"/>
      <c r="P201" s="365" t="s">
        <v>629</v>
      </c>
      <c r="Q201" s="22"/>
      <c r="R201" s="1"/>
      <c r="S201" s="261"/>
      <c r="T201" s="681"/>
      <c r="U201" s="261"/>
      <c r="V201" s="689">
        <f>SUM(V202:V211)</f>
        <v>585720000</v>
      </c>
      <c r="W201" s="261"/>
      <c r="X201" s="689">
        <f>SUM(X202:X211)</f>
        <v>56000000</v>
      </c>
      <c r="Y201" s="261"/>
      <c r="Z201" s="689">
        <f>SUM(Z202:Z211)</f>
        <v>56000000</v>
      </c>
      <c r="AA201" s="261"/>
      <c r="AB201" s="689">
        <f>SUM(AB202:AB211)</f>
        <v>56000000</v>
      </c>
      <c r="AC201" s="261"/>
      <c r="AD201" s="261"/>
      <c r="AE201" s="261"/>
      <c r="AF201" s="261"/>
      <c r="AG201" s="273"/>
      <c r="AH201" s="273"/>
      <c r="AI201" s="261"/>
      <c r="AJ201" s="261"/>
      <c r="AK201" s="261"/>
      <c r="AL201" s="261"/>
      <c r="AM201" s="261"/>
      <c r="AN201" s="635"/>
      <c r="AO201" s="758">
        <f>SUM(AO202:AO211)</f>
        <v>31520000</v>
      </c>
      <c r="AP201" s="616">
        <f t="shared" ref="AP201:AU201" si="97">SUM(AP202:AP211)</f>
        <v>0</v>
      </c>
      <c r="AQ201" s="616">
        <f t="shared" si="97"/>
        <v>0</v>
      </c>
      <c r="AR201" s="616">
        <f t="shared" si="97"/>
        <v>0</v>
      </c>
      <c r="AS201" s="616">
        <f t="shared" si="97"/>
        <v>0</v>
      </c>
      <c r="AT201" s="616">
        <f t="shared" si="97"/>
        <v>0</v>
      </c>
      <c r="AU201" s="616">
        <f t="shared" si="97"/>
        <v>0</v>
      </c>
      <c r="AV201" s="757">
        <f t="shared" si="93"/>
        <v>31520000</v>
      </c>
      <c r="AW201" s="616" t="e">
        <f t="shared" ref="AW201:BC201" si="98">(AW202:AW211)</f>
        <v>#VALUE!</v>
      </c>
      <c r="AX201" s="616" t="e">
        <f t="shared" si="98"/>
        <v>#VALUE!</v>
      </c>
      <c r="AY201" s="616" t="e">
        <f t="shared" si="98"/>
        <v>#VALUE!</v>
      </c>
      <c r="AZ201" s="616" t="e">
        <f t="shared" si="98"/>
        <v>#VALUE!</v>
      </c>
      <c r="BA201" s="616" t="e">
        <f t="shared" si="98"/>
        <v>#VALUE!</v>
      </c>
      <c r="BB201" s="616" t="e">
        <f t="shared" si="98"/>
        <v>#VALUE!</v>
      </c>
      <c r="BC201" s="616" t="e">
        <f t="shared" si="98"/>
        <v>#VALUE!</v>
      </c>
      <c r="BD201" s="617" t="e">
        <f t="shared" si="94"/>
        <v>#VALUE!</v>
      </c>
      <c r="BE201" s="616" t="e">
        <f t="shared" ref="BE201:BK201" si="99">(BE202:BE211)</f>
        <v>#VALUE!</v>
      </c>
      <c r="BF201" s="616" t="e">
        <f t="shared" si="99"/>
        <v>#VALUE!</v>
      </c>
      <c r="BG201" s="616" t="e">
        <f t="shared" si="99"/>
        <v>#VALUE!</v>
      </c>
      <c r="BH201" s="616" t="e">
        <f t="shared" si="99"/>
        <v>#VALUE!</v>
      </c>
      <c r="BI201" s="616" t="e">
        <f t="shared" si="99"/>
        <v>#VALUE!</v>
      </c>
      <c r="BJ201" s="616" t="e">
        <f t="shared" si="99"/>
        <v>#VALUE!</v>
      </c>
      <c r="BK201" s="616" t="e">
        <f t="shared" si="99"/>
        <v>#VALUE!</v>
      </c>
      <c r="BL201" s="617" t="e">
        <f t="shared" si="95"/>
        <v>#VALUE!</v>
      </c>
      <c r="BM201" s="616" t="e">
        <f t="shared" ref="BM201:BS201" si="100">(BM202:BM211)</f>
        <v>#VALUE!</v>
      </c>
      <c r="BN201" s="616" t="e">
        <f t="shared" si="100"/>
        <v>#VALUE!</v>
      </c>
      <c r="BO201" s="616" t="e">
        <f t="shared" si="100"/>
        <v>#VALUE!</v>
      </c>
      <c r="BP201" s="616" t="e">
        <f t="shared" si="100"/>
        <v>#VALUE!</v>
      </c>
      <c r="BQ201" s="616" t="e">
        <f t="shared" si="100"/>
        <v>#VALUE!</v>
      </c>
      <c r="BR201" s="616" t="e">
        <f t="shared" si="100"/>
        <v>#VALUE!</v>
      </c>
      <c r="BS201" s="616" t="e">
        <f t="shared" si="100"/>
        <v>#VALUE!</v>
      </c>
      <c r="BT201" s="617" t="e">
        <f t="shared" si="96"/>
        <v>#VALUE!</v>
      </c>
      <c r="BU201" s="556"/>
      <c r="BV201" s="663">
        <f t="shared" si="72"/>
        <v>0</v>
      </c>
      <c r="BW201" s="674" t="e">
        <f t="shared" si="73"/>
        <v>#DIV/0!</v>
      </c>
      <c r="BX201" s="674" t="e">
        <f t="shared" si="74"/>
        <v>#DIV/0!</v>
      </c>
      <c r="BY201" s="674" t="e">
        <f t="shared" si="75"/>
        <v>#DIV/0!</v>
      </c>
      <c r="BZ201" s="675" t="e">
        <f t="shared" si="76"/>
        <v>#DIV/0!</v>
      </c>
      <c r="CA201" s="675" t="e">
        <f t="shared" si="77"/>
        <v>#DIV/0!</v>
      </c>
    </row>
    <row r="202" spans="1:79" ht="92.25" hidden="1" customHeight="1" x14ac:dyDescent="0.25">
      <c r="A202" s="298" t="s">
        <v>491</v>
      </c>
      <c r="B202" s="299" t="str">
        <f>'PLAN INDICATIVO'!B200</f>
        <v>Atención a grupos vulnerables - promoción social</v>
      </c>
      <c r="C202" s="1546" t="s">
        <v>630</v>
      </c>
      <c r="D202" s="1549" t="s">
        <v>631</v>
      </c>
      <c r="E202" s="1549" t="s">
        <v>632</v>
      </c>
      <c r="F202" s="1549">
        <v>2015</v>
      </c>
      <c r="G202" s="1549" t="s">
        <v>177</v>
      </c>
      <c r="H202" s="1549">
        <v>35</v>
      </c>
      <c r="I202" s="300">
        <f>'PLAN INDICATIVO'!I200</f>
        <v>0</v>
      </c>
      <c r="J202" s="300">
        <f>'PLAN INDICATIVO'!J200</f>
        <v>0</v>
      </c>
      <c r="K202" s="1425" t="str">
        <f>'PLAN INDICATIVO'!K200</f>
        <v>A.14.4.1</v>
      </c>
      <c r="L202" s="301" t="str">
        <f>'PLAN INDICATIVO'!L200</f>
        <v>10. Reducción de las desigualdades</v>
      </c>
      <c r="M202" s="301" t="str">
        <f>'PLAN INDICATIVO'!M200</f>
        <v>Secretaría de Gobierno</v>
      </c>
      <c r="N202" s="1425" t="s">
        <v>2791</v>
      </c>
      <c r="O202" s="1425" t="str">
        <f>'PLAN INDICATIVO'!O200</f>
        <v>Incremento</v>
      </c>
      <c r="P202" s="16" t="str">
        <f>'PLAN INDICATIVO'!P200</f>
        <v xml:space="preserve">Realizar 8 jornadas de sensibilización para comunicar los derechos de las personas mayores, dirigidas a servidores públicos, instituciones educativas y comunidad en general del municipio, en el cuatrienio. </v>
      </c>
      <c r="Q202" s="302" t="str">
        <f>'PLAN INDICATIVO'!Q200</f>
        <v xml:space="preserve">No. de jornadas realizadas </v>
      </c>
      <c r="R202" s="303">
        <f>'PLAN INDICATIVO'!R200</f>
        <v>2015</v>
      </c>
      <c r="S202" s="304">
        <v>0</v>
      </c>
      <c r="T202" s="699">
        <v>8</v>
      </c>
      <c r="U202" s="303">
        <v>2</v>
      </c>
      <c r="V202" s="687">
        <v>2000000</v>
      </c>
      <c r="W202" s="303">
        <v>2</v>
      </c>
      <c r="X202" s="687">
        <v>3500000</v>
      </c>
      <c r="Y202" s="303">
        <v>2</v>
      </c>
      <c r="Z202" s="687">
        <v>2000000</v>
      </c>
      <c r="AA202" s="303">
        <v>2</v>
      </c>
      <c r="AB202" s="687">
        <v>3500000</v>
      </c>
      <c r="AC202" s="669">
        <v>2</v>
      </c>
      <c r="AD202" s="669"/>
      <c r="AE202" s="669"/>
      <c r="AF202" s="669"/>
      <c r="AG202" s="341" t="s">
        <v>2808</v>
      </c>
      <c r="AH202" s="355" t="s">
        <v>2809</v>
      </c>
      <c r="AI202" s="363">
        <v>42581</v>
      </c>
      <c r="AJ202" s="363">
        <v>42591</v>
      </c>
      <c r="AK202" s="358"/>
      <c r="AL202" s="358"/>
      <c r="AM202" s="756" t="s">
        <v>2598</v>
      </c>
      <c r="AN202" s="512" t="s">
        <v>2810</v>
      </c>
      <c r="AO202" s="525">
        <v>900000</v>
      </c>
      <c r="AP202" s="310"/>
      <c r="AQ202" s="310"/>
      <c r="AR202" s="310"/>
      <c r="AS202" s="310"/>
      <c r="AT202" s="310"/>
      <c r="AU202" s="310"/>
      <c r="AV202" s="544">
        <f t="shared" si="93"/>
        <v>900000</v>
      </c>
      <c r="AW202" s="525"/>
      <c r="AX202" s="310"/>
      <c r="AY202" s="310"/>
      <c r="AZ202" s="310"/>
      <c r="BA202" s="310"/>
      <c r="BB202" s="310"/>
      <c r="BC202" s="310"/>
      <c r="BD202" s="544">
        <f t="shared" si="94"/>
        <v>0</v>
      </c>
      <c r="BE202" s="525"/>
      <c r="BF202" s="310"/>
      <c r="BG202" s="310"/>
      <c r="BH202" s="310"/>
      <c r="BI202" s="310"/>
      <c r="BJ202" s="310"/>
      <c r="BK202" s="310"/>
      <c r="BL202" s="544">
        <f t="shared" si="95"/>
        <v>0</v>
      </c>
      <c r="BM202" s="525"/>
      <c r="BN202" s="310"/>
      <c r="BO202" s="310"/>
      <c r="BP202" s="310"/>
      <c r="BQ202" s="310"/>
      <c r="BR202" s="310"/>
      <c r="BS202" s="310"/>
      <c r="BT202" s="544">
        <f t="shared" si="96"/>
        <v>0</v>
      </c>
      <c r="BU202" s="556"/>
      <c r="BV202" s="663">
        <f t="shared" ref="BV202:BV265" si="101">AC202+AD202+AE202+AF202</f>
        <v>2</v>
      </c>
      <c r="BW202" s="674">
        <f t="shared" ref="BW202:BW265" si="102">BV202/T202</f>
        <v>0.25</v>
      </c>
      <c r="BX202" s="674">
        <f t="shared" ref="BX202:BX265" si="103">AC202/U202</f>
        <v>1</v>
      </c>
      <c r="BY202" s="674">
        <f t="shared" ref="BY202:BY265" si="104">AD202/W202</f>
        <v>0</v>
      </c>
      <c r="BZ202" s="675">
        <f t="shared" ref="BZ202:BZ265" si="105">AE202/Y202</f>
        <v>0</v>
      </c>
      <c r="CA202" s="675">
        <f t="shared" ref="CA202:CA265" si="106">AF202/AA202</f>
        <v>0</v>
      </c>
    </row>
    <row r="203" spans="1:79" ht="65.25" hidden="1" customHeight="1" x14ac:dyDescent="0.25">
      <c r="A203" s="298" t="s">
        <v>491</v>
      </c>
      <c r="B203" s="299" t="str">
        <f>'PLAN INDICATIVO'!B201</f>
        <v>Atención a grupos vulnerables - promoción social</v>
      </c>
      <c r="C203" s="1547"/>
      <c r="D203" s="1549"/>
      <c r="E203" s="1549"/>
      <c r="F203" s="1549"/>
      <c r="G203" s="1549"/>
      <c r="H203" s="1549"/>
      <c r="I203" s="300">
        <f>'PLAN INDICATIVO'!I201</f>
        <v>0</v>
      </c>
      <c r="J203" s="300">
        <f>'PLAN INDICATIVO'!J201</f>
        <v>0</v>
      </c>
      <c r="K203" s="1425" t="str">
        <f>'PLAN INDICATIVO'!K201</f>
        <v>A.14.4.2</v>
      </c>
      <c r="L203" s="301" t="str">
        <f>'PLAN INDICATIVO'!L201</f>
        <v>10. Reducción de las desigualdades</v>
      </c>
      <c r="M203" s="301" t="str">
        <f>'PLAN INDICATIVO'!M201</f>
        <v>Secretaría de Gobierno</v>
      </c>
      <c r="N203" s="1425" t="s">
        <v>2791</v>
      </c>
      <c r="O203" s="1425" t="str">
        <f>'PLAN INDICATIVO'!O201</f>
        <v>Incremento</v>
      </c>
      <c r="P203" s="16" t="str">
        <f>'PLAN INDICATIVO'!P201</f>
        <v xml:space="preserve">Realizar 1 Mejoramiento de la infraestructura y dotación de la Casa Centro día durante cuatrienio.  </v>
      </c>
      <c r="Q203" s="302" t="str">
        <f>'PLAN INDICATIVO'!Q201</f>
        <v>No. de mejoramientos realizados</v>
      </c>
      <c r="R203" s="303">
        <f>'PLAN INDICATIVO'!R201</f>
        <v>2015</v>
      </c>
      <c r="S203" s="304">
        <v>0</v>
      </c>
      <c r="T203" s="699">
        <v>1</v>
      </c>
      <c r="U203" s="303">
        <v>0.5</v>
      </c>
      <c r="V203" s="687">
        <v>20000000</v>
      </c>
      <c r="W203" s="303">
        <v>0.5</v>
      </c>
      <c r="X203" s="687"/>
      <c r="Y203" s="303">
        <v>0</v>
      </c>
      <c r="Z203" s="687"/>
      <c r="AA203" s="303">
        <v>0</v>
      </c>
      <c r="AB203" s="687"/>
      <c r="AC203" s="669">
        <v>0.5</v>
      </c>
      <c r="AD203" s="669"/>
      <c r="AE203" s="669"/>
      <c r="AF203" s="669"/>
      <c r="AG203" s="341" t="s">
        <v>2808</v>
      </c>
      <c r="AH203" s="355" t="s">
        <v>2811</v>
      </c>
      <c r="AI203" s="363">
        <v>42491</v>
      </c>
      <c r="AJ203" s="363">
        <v>42735</v>
      </c>
      <c r="AK203" s="358"/>
      <c r="AL203" s="358"/>
      <c r="AM203" s="267" t="s">
        <v>2598</v>
      </c>
      <c r="AN203" s="728" t="s">
        <v>2812</v>
      </c>
      <c r="AO203" s="525"/>
      <c r="AP203" s="310"/>
      <c r="AQ203" s="310"/>
      <c r="AR203" s="310"/>
      <c r="AS203" s="310"/>
      <c r="AT203" s="310"/>
      <c r="AU203" s="310"/>
      <c r="AV203" s="544">
        <f t="shared" si="93"/>
        <v>0</v>
      </c>
      <c r="AW203" s="525"/>
      <c r="AX203" s="310"/>
      <c r="AY203" s="310"/>
      <c r="AZ203" s="310"/>
      <c r="BA203" s="310"/>
      <c r="BB203" s="310"/>
      <c r="BC203" s="310"/>
      <c r="BD203" s="544">
        <f t="shared" si="94"/>
        <v>0</v>
      </c>
      <c r="BE203" s="525"/>
      <c r="BF203" s="310"/>
      <c r="BG203" s="310"/>
      <c r="BH203" s="310"/>
      <c r="BI203" s="310"/>
      <c r="BJ203" s="310"/>
      <c r="BK203" s="310"/>
      <c r="BL203" s="544">
        <f t="shared" si="95"/>
        <v>0</v>
      </c>
      <c r="BM203" s="525"/>
      <c r="BN203" s="310"/>
      <c r="BO203" s="310"/>
      <c r="BP203" s="310"/>
      <c r="BQ203" s="310"/>
      <c r="BR203" s="310"/>
      <c r="BS203" s="310"/>
      <c r="BT203" s="544">
        <f t="shared" si="96"/>
        <v>0</v>
      </c>
      <c r="BU203" s="556"/>
      <c r="BV203" s="663">
        <f t="shared" si="101"/>
        <v>0.5</v>
      </c>
      <c r="BW203" s="674">
        <f t="shared" si="102"/>
        <v>0.5</v>
      </c>
      <c r="BX203" s="674">
        <f t="shared" si="103"/>
        <v>1</v>
      </c>
      <c r="BY203" s="674">
        <f t="shared" si="104"/>
        <v>0</v>
      </c>
      <c r="BZ203" s="675" t="e">
        <f t="shared" si="105"/>
        <v>#DIV/0!</v>
      </c>
      <c r="CA203" s="675" t="e">
        <f t="shared" si="106"/>
        <v>#DIV/0!</v>
      </c>
    </row>
    <row r="204" spans="1:79" ht="77.25" hidden="1" customHeight="1" x14ac:dyDescent="0.25">
      <c r="A204" s="298" t="s">
        <v>491</v>
      </c>
      <c r="B204" s="299" t="str">
        <f>'PLAN INDICATIVO'!B202</f>
        <v>Atención a grupos vulnerables - promoción social</v>
      </c>
      <c r="C204" s="1547"/>
      <c r="D204" s="1549"/>
      <c r="E204" s="1549"/>
      <c r="F204" s="1549"/>
      <c r="G204" s="1549"/>
      <c r="H204" s="1549"/>
      <c r="I204" s="300">
        <f>'PLAN INDICATIVO'!I202</f>
        <v>0</v>
      </c>
      <c r="J204" s="300">
        <f>'PLAN INDICATIVO'!J202</f>
        <v>0</v>
      </c>
      <c r="K204" s="1425" t="str">
        <f>'PLAN INDICATIVO'!K202</f>
        <v>A.14.4.3</v>
      </c>
      <c r="L204" s="301" t="str">
        <f>'PLAN INDICATIVO'!L202</f>
        <v>10. Reducción de las desigualdades</v>
      </c>
      <c r="M204" s="301" t="str">
        <f>'PLAN INDICATIVO'!M202</f>
        <v>Secretaría de Gobierno</v>
      </c>
      <c r="N204" s="1425" t="s">
        <v>2791</v>
      </c>
      <c r="O204" s="1425" t="str">
        <f>'PLAN INDICATIVO'!O202</f>
        <v>Incremento</v>
      </c>
      <c r="P204" s="16" t="str">
        <f>'PLAN INDICATIVO'!P202</f>
        <v xml:space="preserve">Realizar 2 jornadas de caracterización de adultos mayores por fuera del sistema de salud, para lograr su inclusión durante el cuatrienio. </v>
      </c>
      <c r="Q204" s="302" t="str">
        <f>'PLAN INDICATIVO'!Q202</f>
        <v xml:space="preserve">No. de jornadas de caracterización realizadas </v>
      </c>
      <c r="R204" s="303">
        <f>'PLAN INDICATIVO'!R202</f>
        <v>2015</v>
      </c>
      <c r="S204" s="304">
        <v>0</v>
      </c>
      <c r="T204" s="699">
        <v>2</v>
      </c>
      <c r="U204" s="303">
        <v>1</v>
      </c>
      <c r="V204" s="687">
        <v>1500000</v>
      </c>
      <c r="W204" s="303">
        <v>0</v>
      </c>
      <c r="X204" s="687"/>
      <c r="Y204" s="303">
        <v>1</v>
      </c>
      <c r="Z204" s="687">
        <v>1500000</v>
      </c>
      <c r="AA204" s="303">
        <v>0</v>
      </c>
      <c r="AB204" s="687"/>
      <c r="AC204" s="669">
        <v>1</v>
      </c>
      <c r="AD204" s="669"/>
      <c r="AE204" s="669"/>
      <c r="AF204" s="669"/>
      <c r="AG204" s="341" t="s">
        <v>2808</v>
      </c>
      <c r="AH204" s="355" t="s">
        <v>2813</v>
      </c>
      <c r="AI204" s="363">
        <v>42482</v>
      </c>
      <c r="AJ204" s="363">
        <v>42572</v>
      </c>
      <c r="AK204" s="358"/>
      <c r="AL204" s="358"/>
      <c r="AM204" s="267" t="s">
        <v>2598</v>
      </c>
      <c r="AN204" s="512" t="s">
        <v>2810</v>
      </c>
      <c r="AO204" s="720">
        <v>4000000</v>
      </c>
      <c r="AP204" s="310"/>
      <c r="AQ204" s="310"/>
      <c r="AR204" s="310"/>
      <c r="AS204" s="310"/>
      <c r="AT204" s="310"/>
      <c r="AU204" s="310"/>
      <c r="AV204" s="544">
        <f t="shared" si="93"/>
        <v>4000000</v>
      </c>
      <c r="AW204" s="525"/>
      <c r="AX204" s="310"/>
      <c r="AY204" s="310"/>
      <c r="AZ204" s="310"/>
      <c r="BA204" s="310"/>
      <c r="BB204" s="310"/>
      <c r="BC204" s="310"/>
      <c r="BD204" s="544">
        <f t="shared" si="94"/>
        <v>0</v>
      </c>
      <c r="BE204" s="525"/>
      <c r="BF204" s="310"/>
      <c r="BG204" s="310"/>
      <c r="BH204" s="310"/>
      <c r="BI204" s="310"/>
      <c r="BJ204" s="310"/>
      <c r="BK204" s="310"/>
      <c r="BL204" s="544">
        <f t="shared" si="95"/>
        <v>0</v>
      </c>
      <c r="BM204" s="525"/>
      <c r="BN204" s="310"/>
      <c r="BO204" s="310"/>
      <c r="BP204" s="310"/>
      <c r="BQ204" s="310"/>
      <c r="BR204" s="310"/>
      <c r="BS204" s="310"/>
      <c r="BT204" s="544">
        <f t="shared" si="96"/>
        <v>0</v>
      </c>
      <c r="BU204" s="556"/>
      <c r="BV204" s="663">
        <f t="shared" si="101"/>
        <v>1</v>
      </c>
      <c r="BW204" s="674">
        <f t="shared" si="102"/>
        <v>0.5</v>
      </c>
      <c r="BX204" s="674">
        <f t="shared" si="103"/>
        <v>1</v>
      </c>
      <c r="BY204" s="674" t="e">
        <f t="shared" si="104"/>
        <v>#DIV/0!</v>
      </c>
      <c r="BZ204" s="675">
        <f t="shared" si="105"/>
        <v>0</v>
      </c>
      <c r="CA204" s="675" t="e">
        <f t="shared" si="106"/>
        <v>#DIV/0!</v>
      </c>
    </row>
    <row r="205" spans="1:79" ht="78.75" hidden="1" customHeight="1" x14ac:dyDescent="0.25">
      <c r="A205" s="298" t="s">
        <v>491</v>
      </c>
      <c r="B205" s="299" t="str">
        <f>'PLAN INDICATIVO'!B203</f>
        <v>Atención a grupos vulnerables - promoción social</v>
      </c>
      <c r="C205" s="1547"/>
      <c r="D205" s="1549"/>
      <c r="E205" s="1549"/>
      <c r="F205" s="1549"/>
      <c r="G205" s="1549"/>
      <c r="H205" s="1549"/>
      <c r="I205" s="300">
        <f>'PLAN INDICATIVO'!I203</f>
        <v>0</v>
      </c>
      <c r="J205" s="300">
        <f>'PLAN INDICATIVO'!J203</f>
        <v>0</v>
      </c>
      <c r="K205" s="1425" t="str">
        <f>'PLAN INDICATIVO'!K203</f>
        <v>A.14.4.4</v>
      </c>
      <c r="L205" s="301" t="str">
        <f>'PLAN INDICATIVO'!L203</f>
        <v>10. Reducción de las desigualdades</v>
      </c>
      <c r="M205" s="301" t="str">
        <f>'PLAN INDICATIVO'!M203</f>
        <v>Secretaría de Gobierno</v>
      </c>
      <c r="N205" s="1425" t="s">
        <v>2791</v>
      </c>
      <c r="O205" s="1425" t="str">
        <f>'PLAN INDICATIVO'!O203</f>
        <v>Incremento</v>
      </c>
      <c r="P205" s="16" t="str">
        <f>'PLAN INDICATIVO'!P203</f>
        <v xml:space="preserve">Realizar 4 actividades durante el cuatrienio, dirigidas a adultos mayores para lograr mejorar condiciones alimenticias. </v>
      </c>
      <c r="Q205" s="302" t="str">
        <f>'PLAN INDICATIVO'!Q203</f>
        <v xml:space="preserve">No. de actividades realizadas </v>
      </c>
      <c r="R205" s="303">
        <f>'PLAN INDICATIVO'!R203</f>
        <v>2015</v>
      </c>
      <c r="S205" s="304">
        <v>0</v>
      </c>
      <c r="T205" s="699">
        <v>4</v>
      </c>
      <c r="U205" s="303">
        <v>1</v>
      </c>
      <c r="V205" s="687">
        <v>5000000</v>
      </c>
      <c r="W205" s="303">
        <v>1</v>
      </c>
      <c r="X205" s="687">
        <v>5000000</v>
      </c>
      <c r="Y205" s="303">
        <v>1</v>
      </c>
      <c r="Z205" s="687">
        <v>5000000</v>
      </c>
      <c r="AA205" s="303">
        <v>1</v>
      </c>
      <c r="AB205" s="687">
        <v>5000000</v>
      </c>
      <c r="AC205" s="669">
        <v>1</v>
      </c>
      <c r="AD205" s="669"/>
      <c r="AE205" s="669"/>
      <c r="AF205" s="669"/>
      <c r="AG205" s="341" t="s">
        <v>2808</v>
      </c>
      <c r="AH205" s="355" t="s">
        <v>2814</v>
      </c>
      <c r="AI205" s="363">
        <v>42548</v>
      </c>
      <c r="AJ205" s="363">
        <v>42735</v>
      </c>
      <c r="AK205" s="358"/>
      <c r="AL205" s="358"/>
      <c r="AM205" s="267" t="s">
        <v>2598</v>
      </c>
      <c r="AN205" s="512" t="s">
        <v>2810</v>
      </c>
      <c r="AO205" s="720">
        <v>3000000</v>
      </c>
      <c r="AP205" s="310"/>
      <c r="AQ205" s="310"/>
      <c r="AR205" s="310"/>
      <c r="AS205" s="310"/>
      <c r="AT205" s="310"/>
      <c r="AU205" s="310"/>
      <c r="AV205" s="544">
        <f t="shared" si="93"/>
        <v>3000000</v>
      </c>
      <c r="AW205" s="525"/>
      <c r="AX205" s="310"/>
      <c r="AY205" s="310"/>
      <c r="AZ205" s="310"/>
      <c r="BA205" s="310"/>
      <c r="BB205" s="310"/>
      <c r="BC205" s="310"/>
      <c r="BD205" s="544">
        <f t="shared" si="94"/>
        <v>0</v>
      </c>
      <c r="BE205" s="525"/>
      <c r="BF205" s="310"/>
      <c r="BG205" s="310"/>
      <c r="BH205" s="310"/>
      <c r="BI205" s="310"/>
      <c r="BJ205" s="310"/>
      <c r="BK205" s="310"/>
      <c r="BL205" s="544">
        <f t="shared" si="95"/>
        <v>0</v>
      </c>
      <c r="BM205" s="525"/>
      <c r="BN205" s="310"/>
      <c r="BO205" s="310"/>
      <c r="BP205" s="310"/>
      <c r="BQ205" s="310"/>
      <c r="BR205" s="310"/>
      <c r="BS205" s="310"/>
      <c r="BT205" s="544">
        <f t="shared" si="96"/>
        <v>0</v>
      </c>
      <c r="BU205" s="556"/>
      <c r="BV205" s="663">
        <f t="shared" si="101"/>
        <v>1</v>
      </c>
      <c r="BW205" s="674">
        <f t="shared" si="102"/>
        <v>0.25</v>
      </c>
      <c r="BX205" s="674">
        <f t="shared" si="103"/>
        <v>1</v>
      </c>
      <c r="BY205" s="674">
        <f t="shared" si="104"/>
        <v>0</v>
      </c>
      <c r="BZ205" s="675">
        <f t="shared" si="105"/>
        <v>0</v>
      </c>
      <c r="CA205" s="675">
        <f t="shared" si="106"/>
        <v>0</v>
      </c>
    </row>
    <row r="206" spans="1:79" ht="85.5" hidden="1" customHeight="1" x14ac:dyDescent="0.25">
      <c r="A206" s="298" t="s">
        <v>491</v>
      </c>
      <c r="B206" s="299" t="str">
        <f>'PLAN INDICATIVO'!B204</f>
        <v>Atención a grupos vulnerables - promoción social</v>
      </c>
      <c r="C206" s="1547"/>
      <c r="D206" s="1549"/>
      <c r="E206" s="1549"/>
      <c r="F206" s="1549"/>
      <c r="G206" s="1549"/>
      <c r="H206" s="1549"/>
      <c r="I206" s="300">
        <f>'PLAN INDICATIVO'!I204</f>
        <v>0</v>
      </c>
      <c r="J206" s="300">
        <f>'PLAN INDICATIVO'!J204</f>
        <v>0</v>
      </c>
      <c r="K206" s="1425" t="str">
        <f>'PLAN INDICATIVO'!K204</f>
        <v>A.14.4.5</v>
      </c>
      <c r="L206" s="301" t="str">
        <f>'PLAN INDICATIVO'!L204</f>
        <v>10. Reducción de las desigualdades</v>
      </c>
      <c r="M206" s="301" t="str">
        <f>'PLAN INDICATIVO'!M204</f>
        <v>Secretaría de Gobierno</v>
      </c>
      <c r="N206" s="1425" t="s">
        <v>2791</v>
      </c>
      <c r="O206" s="1425" t="str">
        <f>'PLAN INDICATIVO'!O204</f>
        <v>Mantenimiento</v>
      </c>
      <c r="P206" s="16" t="str">
        <f>'PLAN INDICATIVO'!P204</f>
        <v xml:space="preserve">Realizar 4 jornadas al año, articuladas con secretaria de cultura y con deporte, para brindar espacios de recreación y entornos de hábitos saludables para adultos mayores. </v>
      </c>
      <c r="Q206" s="302" t="str">
        <f>'PLAN INDICATIVO'!Q204</f>
        <v>No. de jornadas realizadas por año</v>
      </c>
      <c r="R206" s="303">
        <f>'PLAN INDICATIVO'!R204</f>
        <v>2015</v>
      </c>
      <c r="S206" s="304">
        <v>0</v>
      </c>
      <c r="T206" s="699">
        <v>4</v>
      </c>
      <c r="U206" s="303">
        <v>4</v>
      </c>
      <c r="V206" s="687">
        <v>16000000</v>
      </c>
      <c r="W206" s="303">
        <v>4</v>
      </c>
      <c r="X206" s="687">
        <v>16000000</v>
      </c>
      <c r="Y206" s="303">
        <v>4</v>
      </c>
      <c r="Z206" s="687">
        <v>16000000</v>
      </c>
      <c r="AA206" s="303">
        <v>4</v>
      </c>
      <c r="AB206" s="687">
        <v>16000000</v>
      </c>
      <c r="AC206" s="669">
        <v>4</v>
      </c>
      <c r="AD206" s="669"/>
      <c r="AE206" s="669"/>
      <c r="AF206" s="669"/>
      <c r="AG206" s="341" t="s">
        <v>2808</v>
      </c>
      <c r="AH206" s="355" t="s">
        <v>2815</v>
      </c>
      <c r="AI206" s="363">
        <v>42492</v>
      </c>
      <c r="AJ206" s="363">
        <v>42735</v>
      </c>
      <c r="AK206" s="358"/>
      <c r="AL206" s="358"/>
      <c r="AM206" s="267" t="s">
        <v>2598</v>
      </c>
      <c r="AN206" s="512" t="s">
        <v>2052</v>
      </c>
      <c r="AO206" s="720">
        <v>2000000</v>
      </c>
      <c r="AP206" s="310"/>
      <c r="AQ206" s="310"/>
      <c r="AR206" s="310"/>
      <c r="AS206" s="310"/>
      <c r="AT206" s="310"/>
      <c r="AU206" s="310"/>
      <c r="AV206" s="544">
        <f t="shared" si="93"/>
        <v>2000000</v>
      </c>
      <c r="AW206" s="525"/>
      <c r="AX206" s="310"/>
      <c r="AY206" s="310"/>
      <c r="AZ206" s="310"/>
      <c r="BA206" s="310"/>
      <c r="BB206" s="310"/>
      <c r="BC206" s="310"/>
      <c r="BD206" s="544">
        <f t="shared" si="94"/>
        <v>0</v>
      </c>
      <c r="BE206" s="525"/>
      <c r="BF206" s="310"/>
      <c r="BG206" s="310"/>
      <c r="BH206" s="310"/>
      <c r="BI206" s="310"/>
      <c r="BJ206" s="310"/>
      <c r="BK206" s="310"/>
      <c r="BL206" s="544">
        <f t="shared" si="95"/>
        <v>0</v>
      </c>
      <c r="BM206" s="525"/>
      <c r="BN206" s="310"/>
      <c r="BO206" s="310"/>
      <c r="BP206" s="310"/>
      <c r="BQ206" s="310"/>
      <c r="BR206" s="310"/>
      <c r="BS206" s="310"/>
      <c r="BT206" s="544">
        <f t="shared" si="96"/>
        <v>0</v>
      </c>
      <c r="BU206" s="556"/>
      <c r="BV206" s="663">
        <f t="shared" si="101"/>
        <v>4</v>
      </c>
      <c r="BW206" s="674">
        <f t="shared" si="102"/>
        <v>1</v>
      </c>
      <c r="BX206" s="674">
        <f t="shared" si="103"/>
        <v>1</v>
      </c>
      <c r="BY206" s="674">
        <f t="shared" si="104"/>
        <v>0</v>
      </c>
      <c r="BZ206" s="675">
        <f t="shared" si="105"/>
        <v>0</v>
      </c>
      <c r="CA206" s="675">
        <f t="shared" si="106"/>
        <v>0</v>
      </c>
    </row>
    <row r="207" spans="1:79" ht="61.5" hidden="1" customHeight="1" x14ac:dyDescent="0.25">
      <c r="A207" s="298" t="s">
        <v>491</v>
      </c>
      <c r="B207" s="299" t="str">
        <f>'PLAN INDICATIVO'!B205</f>
        <v>Atención a grupos vulnerables - promoción social</v>
      </c>
      <c r="C207" s="1547"/>
      <c r="D207" s="1549"/>
      <c r="E207" s="1549"/>
      <c r="F207" s="1549"/>
      <c r="G207" s="1549"/>
      <c r="H207" s="1549"/>
      <c r="I207" s="1425" t="str">
        <f>'PLAN INDICATIVO'!I205</f>
        <v>SI</v>
      </c>
      <c r="J207" s="1425">
        <f>'PLAN INDICATIVO'!J205</f>
        <v>0</v>
      </c>
      <c r="K207" s="1425" t="str">
        <f>'PLAN INDICATIVO'!K205</f>
        <v>A.14.4.6</v>
      </c>
      <c r="L207" s="301" t="str">
        <f>'PLAN INDICATIVO'!L205</f>
        <v>10. Reducción de las desigualdades</v>
      </c>
      <c r="M207" s="301" t="str">
        <f>'PLAN INDICATIVO'!M205</f>
        <v>Secretaría de Gobierno</v>
      </c>
      <c r="N207" s="1425" t="s">
        <v>2791</v>
      </c>
      <c r="O207" s="1425" t="str">
        <f>'PLAN INDICATIVO'!O205</f>
        <v>Incremento</v>
      </c>
      <c r="P207" s="16" t="str">
        <f>'PLAN INDICATIVO'!P205</f>
        <v>Inscribir 1 proyecto para la construir de centro de atención para el adulto mayor "Villa de la sabiduría" durante el cuatrienio.</v>
      </c>
      <c r="Q207" s="302" t="str">
        <f>'PLAN INDICATIVO'!Q205</f>
        <v>No. de proyectos inscritos</v>
      </c>
      <c r="R207" s="303">
        <f>'PLAN INDICATIVO'!R205</f>
        <v>2015</v>
      </c>
      <c r="S207" s="304">
        <v>0</v>
      </c>
      <c r="T207" s="699">
        <v>1</v>
      </c>
      <c r="U207" s="303">
        <v>0.5</v>
      </c>
      <c r="V207" s="687">
        <v>500000000</v>
      </c>
      <c r="W207" s="303">
        <v>0</v>
      </c>
      <c r="X207" s="687"/>
      <c r="Y207" s="303">
        <v>0</v>
      </c>
      <c r="Z207" s="687"/>
      <c r="AA207" s="303">
        <v>0</v>
      </c>
      <c r="AB207" s="687"/>
      <c r="AC207" s="669">
        <v>0.5</v>
      </c>
      <c r="AD207" s="669"/>
      <c r="AE207" s="669"/>
      <c r="AF207" s="669"/>
      <c r="AG207" s="341" t="s">
        <v>2808</v>
      </c>
      <c r="AH207" s="355" t="s">
        <v>2816</v>
      </c>
      <c r="AI207" s="363">
        <v>42401</v>
      </c>
      <c r="AJ207" s="363">
        <v>42735</v>
      </c>
      <c r="AK207" s="358"/>
      <c r="AL207" s="358"/>
      <c r="AM207" s="267" t="s">
        <v>2598</v>
      </c>
      <c r="AN207" s="512"/>
      <c r="AO207" s="525"/>
      <c r="AP207" s="310"/>
      <c r="AQ207" s="310"/>
      <c r="AR207" s="310"/>
      <c r="AS207" s="310"/>
      <c r="AT207" s="310"/>
      <c r="AU207" s="310"/>
      <c r="AV207" s="544">
        <f t="shared" si="93"/>
        <v>0</v>
      </c>
      <c r="AW207" s="525"/>
      <c r="AX207" s="310"/>
      <c r="AY207" s="310"/>
      <c r="AZ207" s="310"/>
      <c r="BA207" s="310"/>
      <c r="BB207" s="310"/>
      <c r="BC207" s="310"/>
      <c r="BD207" s="544">
        <f t="shared" si="94"/>
        <v>0</v>
      </c>
      <c r="BE207" s="525"/>
      <c r="BF207" s="310"/>
      <c r="BG207" s="310"/>
      <c r="BH207" s="310"/>
      <c r="BI207" s="310"/>
      <c r="BJ207" s="310"/>
      <c r="BK207" s="310"/>
      <c r="BL207" s="544">
        <f t="shared" si="95"/>
        <v>0</v>
      </c>
      <c r="BM207" s="525"/>
      <c r="BN207" s="310"/>
      <c r="BO207" s="310"/>
      <c r="BP207" s="310"/>
      <c r="BQ207" s="310"/>
      <c r="BR207" s="310"/>
      <c r="BS207" s="310"/>
      <c r="BT207" s="544">
        <f t="shared" si="96"/>
        <v>0</v>
      </c>
      <c r="BU207" s="556"/>
      <c r="BV207" s="663">
        <f t="shared" si="101"/>
        <v>0.5</v>
      </c>
      <c r="BW207" s="674">
        <f t="shared" si="102"/>
        <v>0.5</v>
      </c>
      <c r="BX207" s="674">
        <f t="shared" si="103"/>
        <v>1</v>
      </c>
      <c r="BY207" s="674" t="e">
        <f t="shared" si="104"/>
        <v>#DIV/0!</v>
      </c>
      <c r="BZ207" s="675" t="e">
        <f t="shared" si="105"/>
        <v>#DIV/0!</v>
      </c>
      <c r="CA207" s="675" t="e">
        <f t="shared" si="106"/>
        <v>#DIV/0!</v>
      </c>
    </row>
    <row r="208" spans="1:79" ht="83.25" hidden="1" customHeight="1" x14ac:dyDescent="0.25">
      <c r="A208" s="298" t="s">
        <v>491</v>
      </c>
      <c r="B208" s="299" t="str">
        <f>'PLAN INDICATIVO'!B206</f>
        <v>Atención a grupos vulnerables - promoción social</v>
      </c>
      <c r="C208" s="1547"/>
      <c r="D208" s="1549"/>
      <c r="E208" s="1549"/>
      <c r="F208" s="1549"/>
      <c r="G208" s="1549"/>
      <c r="H208" s="1549"/>
      <c r="I208" s="300">
        <f>'PLAN INDICATIVO'!I206</f>
        <v>0</v>
      </c>
      <c r="J208" s="300">
        <f>'PLAN INDICATIVO'!J206</f>
        <v>0</v>
      </c>
      <c r="K208" s="1425" t="str">
        <f>'PLAN INDICATIVO'!K206</f>
        <v>A.14.4.7</v>
      </c>
      <c r="L208" s="301" t="str">
        <f>'PLAN INDICATIVO'!L206</f>
        <v>10. Reducción de las desigualdades</v>
      </c>
      <c r="M208" s="301" t="str">
        <f>'PLAN INDICATIVO'!M206</f>
        <v>Secretaría de Gobierno</v>
      </c>
      <c r="N208" s="1425" t="s">
        <v>2791</v>
      </c>
      <c r="O208" s="1425" t="str">
        <f>'PLAN INDICATIVO'!O206</f>
        <v>Mantenimiento</v>
      </c>
      <c r="P208" s="71" t="str">
        <f>'PLAN INDICATIVO'!P206</f>
        <v>Implementar 1 programa de manualidades para el adulto mayor, cada año</v>
      </c>
      <c r="Q208" s="302" t="str">
        <f>'PLAN INDICATIVO'!Q206</f>
        <v>No. de programas implementados por año</v>
      </c>
      <c r="R208" s="303">
        <f>'PLAN INDICATIVO'!R206</f>
        <v>2015</v>
      </c>
      <c r="S208" s="304">
        <v>0</v>
      </c>
      <c r="T208" s="699">
        <v>4</v>
      </c>
      <c r="U208" s="303">
        <v>1</v>
      </c>
      <c r="V208" s="687">
        <v>4720000</v>
      </c>
      <c r="W208" s="303">
        <v>1</v>
      </c>
      <c r="X208" s="687">
        <v>1000000</v>
      </c>
      <c r="Y208" s="303">
        <v>1</v>
      </c>
      <c r="Z208" s="687">
        <v>1000000</v>
      </c>
      <c r="AA208" s="303">
        <v>1</v>
      </c>
      <c r="AB208" s="687">
        <v>1000000</v>
      </c>
      <c r="AC208" s="669">
        <v>1</v>
      </c>
      <c r="AD208" s="669"/>
      <c r="AE208" s="669"/>
      <c r="AF208" s="669"/>
      <c r="AG208" s="341" t="s">
        <v>2808</v>
      </c>
      <c r="AH208" s="355" t="s">
        <v>2817</v>
      </c>
      <c r="AI208" s="363">
        <v>42491</v>
      </c>
      <c r="AJ208" s="363">
        <v>42643</v>
      </c>
      <c r="AK208" s="358"/>
      <c r="AL208" s="358"/>
      <c r="AM208" s="267" t="s">
        <v>2598</v>
      </c>
      <c r="AN208" s="512" t="s">
        <v>2810</v>
      </c>
      <c r="AO208" s="720">
        <v>1200000</v>
      </c>
      <c r="AP208" s="310"/>
      <c r="AQ208" s="310"/>
      <c r="AR208" s="310"/>
      <c r="AS208" s="310"/>
      <c r="AT208" s="310"/>
      <c r="AU208" s="310"/>
      <c r="AV208" s="544">
        <f t="shared" si="93"/>
        <v>1200000</v>
      </c>
      <c r="AW208" s="525"/>
      <c r="AX208" s="310"/>
      <c r="AY208" s="310"/>
      <c r="AZ208" s="310"/>
      <c r="BA208" s="310"/>
      <c r="BB208" s="310"/>
      <c r="BC208" s="310"/>
      <c r="BD208" s="544">
        <f t="shared" si="94"/>
        <v>0</v>
      </c>
      <c r="BE208" s="525"/>
      <c r="BF208" s="310"/>
      <c r="BG208" s="310"/>
      <c r="BH208" s="310"/>
      <c r="BI208" s="310"/>
      <c r="BJ208" s="310"/>
      <c r="BK208" s="310"/>
      <c r="BL208" s="544">
        <f t="shared" si="95"/>
        <v>0</v>
      </c>
      <c r="BM208" s="525"/>
      <c r="BN208" s="310"/>
      <c r="BO208" s="310"/>
      <c r="BP208" s="310"/>
      <c r="BQ208" s="310"/>
      <c r="BR208" s="310"/>
      <c r="BS208" s="310"/>
      <c r="BT208" s="544">
        <f t="shared" si="96"/>
        <v>0</v>
      </c>
      <c r="BU208" s="556"/>
      <c r="BV208" s="663">
        <f t="shared" si="101"/>
        <v>1</v>
      </c>
      <c r="BW208" s="674">
        <f t="shared" si="102"/>
        <v>0.25</v>
      </c>
      <c r="BX208" s="674">
        <f t="shared" si="103"/>
        <v>1</v>
      </c>
      <c r="BY208" s="674">
        <f t="shared" si="104"/>
        <v>0</v>
      </c>
      <c r="BZ208" s="675">
        <f t="shared" si="105"/>
        <v>0</v>
      </c>
      <c r="CA208" s="675">
        <f t="shared" si="106"/>
        <v>0</v>
      </c>
    </row>
    <row r="209" spans="1:79" ht="93" hidden="1" customHeight="1" x14ac:dyDescent="0.25">
      <c r="A209" s="298" t="s">
        <v>491</v>
      </c>
      <c r="B209" s="299" t="str">
        <f>'PLAN INDICATIVO'!B207</f>
        <v>Atención a grupos vulnerables - promoción social</v>
      </c>
      <c r="C209" s="1547"/>
      <c r="D209" s="1549"/>
      <c r="E209" s="1549"/>
      <c r="F209" s="1549"/>
      <c r="G209" s="1549"/>
      <c r="H209" s="1549"/>
      <c r="I209" s="300">
        <f>'PLAN INDICATIVO'!I207</f>
        <v>0</v>
      </c>
      <c r="J209" s="300">
        <f>'PLAN INDICATIVO'!J207</f>
        <v>0</v>
      </c>
      <c r="K209" s="1425" t="str">
        <f>'PLAN INDICATIVO'!K207</f>
        <v>A.14.4.8</v>
      </c>
      <c r="L209" s="301" t="str">
        <f>'PLAN INDICATIVO'!L207</f>
        <v>10. Reducción de las desigualdades</v>
      </c>
      <c r="M209" s="301" t="str">
        <f>'PLAN INDICATIVO'!M207</f>
        <v>Secretaría de Gobierno</v>
      </c>
      <c r="N209" s="1425" t="s">
        <v>2791</v>
      </c>
      <c r="O209" s="1425" t="str">
        <f>'PLAN INDICATIVO'!O207</f>
        <v>Incremento</v>
      </c>
      <c r="P209" s="71" t="str">
        <f>'PLAN INDICATIVO'!P207</f>
        <v xml:space="preserve">Realizar 8 celebraciones al adulto mayor, durante el cuatrienio. (día del adulto mayor y navidad) </v>
      </c>
      <c r="Q209" s="302" t="str">
        <f>'PLAN INDICATIVO'!Q207</f>
        <v xml:space="preserve">No. de celebraciones realizadas </v>
      </c>
      <c r="R209" s="303">
        <f>'PLAN INDICATIVO'!R207</f>
        <v>2015</v>
      </c>
      <c r="S209" s="304">
        <v>0</v>
      </c>
      <c r="T209" s="699">
        <v>8</v>
      </c>
      <c r="U209" s="303">
        <v>2</v>
      </c>
      <c r="V209" s="687">
        <v>10000000</v>
      </c>
      <c r="W209" s="303">
        <v>1</v>
      </c>
      <c r="X209" s="687">
        <v>4000000</v>
      </c>
      <c r="Y209" s="303">
        <v>1</v>
      </c>
      <c r="Z209" s="687">
        <v>4000000</v>
      </c>
      <c r="AA209" s="303">
        <v>1</v>
      </c>
      <c r="AB209" s="687">
        <v>4000000</v>
      </c>
      <c r="AC209" s="669">
        <v>2</v>
      </c>
      <c r="AD209" s="669"/>
      <c r="AE209" s="669"/>
      <c r="AF209" s="669"/>
      <c r="AG209" s="341" t="s">
        <v>2808</v>
      </c>
      <c r="AH209" s="355" t="s">
        <v>2818</v>
      </c>
      <c r="AI209" s="363">
        <v>42613</v>
      </c>
      <c r="AJ209" s="363">
        <v>42724</v>
      </c>
      <c r="AK209" s="358"/>
      <c r="AL209" s="358"/>
      <c r="AM209" s="267" t="s">
        <v>2598</v>
      </c>
      <c r="AN209" s="512" t="s">
        <v>2819</v>
      </c>
      <c r="AO209" s="720">
        <f>7920000+7000000+3500000</f>
        <v>18420000</v>
      </c>
      <c r="AP209" s="310"/>
      <c r="AQ209" s="310"/>
      <c r="AR209" s="310"/>
      <c r="AS209" s="310"/>
      <c r="AT209" s="310"/>
      <c r="AU209" s="310"/>
      <c r="AV209" s="544">
        <f t="shared" si="93"/>
        <v>18420000</v>
      </c>
      <c r="AW209" s="525"/>
      <c r="AX209" s="310"/>
      <c r="AY209" s="310"/>
      <c r="AZ209" s="310"/>
      <c r="BA209" s="310"/>
      <c r="BB209" s="310"/>
      <c r="BC209" s="310"/>
      <c r="BD209" s="544">
        <f t="shared" si="94"/>
        <v>0</v>
      </c>
      <c r="BE209" s="525"/>
      <c r="BF209" s="310"/>
      <c r="BG209" s="310"/>
      <c r="BH209" s="310"/>
      <c r="BI209" s="310"/>
      <c r="BJ209" s="310"/>
      <c r="BK209" s="310"/>
      <c r="BL209" s="544">
        <f t="shared" si="95"/>
        <v>0</v>
      </c>
      <c r="BM209" s="525"/>
      <c r="BN209" s="310"/>
      <c r="BO209" s="310"/>
      <c r="BP209" s="310"/>
      <c r="BQ209" s="310"/>
      <c r="BR209" s="310"/>
      <c r="BS209" s="310"/>
      <c r="BT209" s="544">
        <f t="shared" si="96"/>
        <v>0</v>
      </c>
      <c r="BU209" s="556"/>
      <c r="BV209" s="663">
        <f t="shared" si="101"/>
        <v>2</v>
      </c>
      <c r="BW209" s="674">
        <f t="shared" si="102"/>
        <v>0.25</v>
      </c>
      <c r="BX209" s="674">
        <f t="shared" si="103"/>
        <v>1</v>
      </c>
      <c r="BY209" s="674">
        <f t="shared" si="104"/>
        <v>0</v>
      </c>
      <c r="BZ209" s="675">
        <f t="shared" si="105"/>
        <v>0</v>
      </c>
      <c r="CA209" s="675">
        <f t="shared" si="106"/>
        <v>0</v>
      </c>
    </row>
    <row r="210" spans="1:79" ht="81" hidden="1" customHeight="1" x14ac:dyDescent="0.25">
      <c r="A210" s="298" t="s">
        <v>491</v>
      </c>
      <c r="B210" s="299" t="str">
        <f>'PLAN INDICATIVO'!B208</f>
        <v>Atención a grupos vulnerables - promoción social</v>
      </c>
      <c r="C210" s="1547"/>
      <c r="D210" s="1549"/>
      <c r="E210" s="1549"/>
      <c r="F210" s="1549"/>
      <c r="G210" s="1549"/>
      <c r="H210" s="1549"/>
      <c r="I210" s="300">
        <f>'PLAN INDICATIVO'!I208</f>
        <v>0</v>
      </c>
      <c r="J210" s="300">
        <f>'PLAN INDICATIVO'!J208</f>
        <v>0</v>
      </c>
      <c r="K210" s="1425" t="str">
        <f>'PLAN INDICATIVO'!K208</f>
        <v>A.14.4.9</v>
      </c>
      <c r="L210" s="301" t="str">
        <f>'PLAN INDICATIVO'!L208</f>
        <v>10. Reducción de las desigualdades</v>
      </c>
      <c r="M210" s="301" t="str">
        <f>'PLAN INDICATIVO'!M208</f>
        <v>Secretaría de Gobierno</v>
      </c>
      <c r="N210" s="1425" t="s">
        <v>2791</v>
      </c>
      <c r="O210" s="1425" t="str">
        <f>'PLAN INDICATIVO'!O208</f>
        <v>Mantenimiento</v>
      </c>
      <c r="P210" s="71" t="str">
        <f>'PLAN INDICATIVO'!P208</f>
        <v>Ejecutar 1 plan de apoyo para al talento humano que desarrolla funciones de atención y apoyo al adulto mayor, cada año</v>
      </c>
      <c r="Q210" s="302" t="str">
        <f>'PLAN INDICATIVO'!Q208</f>
        <v>No. de apoyos realizados por año</v>
      </c>
      <c r="R210" s="303">
        <f>'PLAN INDICATIVO'!R208</f>
        <v>2015</v>
      </c>
      <c r="S210" s="304">
        <v>1</v>
      </c>
      <c r="T210" s="699">
        <v>1</v>
      </c>
      <c r="U210" s="303">
        <v>1</v>
      </c>
      <c r="V210" s="687">
        <v>12000000</v>
      </c>
      <c r="W210" s="303">
        <v>1</v>
      </c>
      <c r="X210" s="687">
        <v>12000000</v>
      </c>
      <c r="Y210" s="303">
        <v>1</v>
      </c>
      <c r="Z210" s="687">
        <v>12000000</v>
      </c>
      <c r="AA210" s="303">
        <v>1</v>
      </c>
      <c r="AB210" s="687">
        <v>12000000</v>
      </c>
      <c r="AC210" s="669">
        <v>1</v>
      </c>
      <c r="AD210" s="669"/>
      <c r="AE210" s="669"/>
      <c r="AF210" s="669"/>
      <c r="AG210" s="341" t="s">
        <v>2808</v>
      </c>
      <c r="AH210" s="355" t="s">
        <v>2820</v>
      </c>
      <c r="AI210" s="363">
        <v>42552</v>
      </c>
      <c r="AJ210" s="363">
        <v>42735</v>
      </c>
      <c r="AK210" s="358"/>
      <c r="AL210" s="358"/>
      <c r="AM210" s="267" t="s">
        <v>2598</v>
      </c>
      <c r="AN210" s="512" t="s">
        <v>2810</v>
      </c>
      <c r="AO210" s="720">
        <v>2000000</v>
      </c>
      <c r="AP210" s="310"/>
      <c r="AQ210" s="310"/>
      <c r="AR210" s="310"/>
      <c r="AS210" s="310"/>
      <c r="AT210" s="310"/>
      <c r="AU210" s="310"/>
      <c r="AV210" s="544">
        <f t="shared" si="93"/>
        <v>2000000</v>
      </c>
      <c r="AW210" s="525"/>
      <c r="AX210" s="310"/>
      <c r="AY210" s="310"/>
      <c r="AZ210" s="310"/>
      <c r="BA210" s="310"/>
      <c r="BB210" s="310"/>
      <c r="BC210" s="310"/>
      <c r="BD210" s="544">
        <f t="shared" si="94"/>
        <v>0</v>
      </c>
      <c r="BE210" s="525"/>
      <c r="BF210" s="310"/>
      <c r="BG210" s="310"/>
      <c r="BH210" s="310"/>
      <c r="BI210" s="310"/>
      <c r="BJ210" s="310"/>
      <c r="BK210" s="310"/>
      <c r="BL210" s="544">
        <f t="shared" si="95"/>
        <v>0</v>
      </c>
      <c r="BM210" s="525"/>
      <c r="BN210" s="310"/>
      <c r="BO210" s="310"/>
      <c r="BP210" s="310"/>
      <c r="BQ210" s="310"/>
      <c r="BR210" s="310"/>
      <c r="BS210" s="310"/>
      <c r="BT210" s="544">
        <f t="shared" si="96"/>
        <v>0</v>
      </c>
      <c r="BU210" s="556"/>
      <c r="BV210" s="663">
        <f t="shared" si="101"/>
        <v>1</v>
      </c>
      <c r="BW210" s="674">
        <f t="shared" si="102"/>
        <v>1</v>
      </c>
      <c r="BX210" s="674">
        <f t="shared" si="103"/>
        <v>1</v>
      </c>
      <c r="BY210" s="674">
        <f t="shared" si="104"/>
        <v>0</v>
      </c>
      <c r="BZ210" s="675">
        <f t="shared" si="105"/>
        <v>0</v>
      </c>
      <c r="CA210" s="675">
        <f t="shared" si="106"/>
        <v>0</v>
      </c>
    </row>
    <row r="211" spans="1:79" ht="72" hidden="1" customHeight="1" x14ac:dyDescent="0.25">
      <c r="A211" s="298" t="s">
        <v>491</v>
      </c>
      <c r="B211" s="299" t="str">
        <f>'PLAN INDICATIVO'!B209</f>
        <v>Atención a grupos vulnerables - promoción social</v>
      </c>
      <c r="C211" s="1548"/>
      <c r="D211" s="1549"/>
      <c r="E211" s="1549"/>
      <c r="F211" s="1549"/>
      <c r="G211" s="1549"/>
      <c r="H211" s="1549"/>
      <c r="I211" s="300">
        <f>'PLAN INDICATIVO'!I209</f>
        <v>0</v>
      </c>
      <c r="J211" s="300">
        <f>'PLAN INDICATIVO'!J209</f>
        <v>0</v>
      </c>
      <c r="K211" s="1425" t="str">
        <f>'PLAN INDICATIVO'!K209</f>
        <v>A.14.4.10</v>
      </c>
      <c r="L211" s="301" t="str">
        <f>'PLAN INDICATIVO'!L209</f>
        <v>10. Reducción de las desigualdades</v>
      </c>
      <c r="M211" s="301" t="str">
        <f>'PLAN INDICATIVO'!M209</f>
        <v>Secretaría de Gobierno</v>
      </c>
      <c r="N211" s="1425" t="s">
        <v>2791</v>
      </c>
      <c r="O211" s="1425" t="str">
        <f>'PLAN INDICATIVO'!O209</f>
        <v>Mantenimiento</v>
      </c>
      <c r="P211" s="71" t="str">
        <f>'PLAN INDICATIVO'!P209</f>
        <v>Realizar 1 apoyo al hogar de paso del adulto mayor del municipio de la Plata Huila, cada año</v>
      </c>
      <c r="Q211" s="302" t="str">
        <f>'PLAN INDICATIVO'!Q209</f>
        <v>No. de apoyos realizados por año</v>
      </c>
      <c r="R211" s="303">
        <f>'PLAN INDICATIVO'!R209</f>
        <v>2015</v>
      </c>
      <c r="S211" s="304">
        <v>1</v>
      </c>
      <c r="T211" s="699">
        <v>1</v>
      </c>
      <c r="U211" s="303">
        <v>1</v>
      </c>
      <c r="V211" s="687">
        <v>14500000</v>
      </c>
      <c r="W211" s="303">
        <v>1</v>
      </c>
      <c r="X211" s="687">
        <v>14500000</v>
      </c>
      <c r="Y211" s="303">
        <v>1</v>
      </c>
      <c r="Z211" s="687">
        <v>14500000</v>
      </c>
      <c r="AA211" s="303">
        <v>1</v>
      </c>
      <c r="AB211" s="687">
        <v>14500000</v>
      </c>
      <c r="AC211" s="669">
        <v>0</v>
      </c>
      <c r="AD211" s="669"/>
      <c r="AE211" s="669"/>
      <c r="AF211" s="669"/>
      <c r="AG211" s="341" t="s">
        <v>2596</v>
      </c>
      <c r="AH211" s="355" t="s">
        <v>2821</v>
      </c>
      <c r="AI211" s="358"/>
      <c r="AJ211" s="358"/>
      <c r="AK211" s="358"/>
      <c r="AL211" s="358"/>
      <c r="AM211" s="267" t="s">
        <v>2600</v>
      </c>
      <c r="AN211" s="512" t="s">
        <v>2052</v>
      </c>
      <c r="AO211" s="525"/>
      <c r="AP211" s="310"/>
      <c r="AQ211" s="310"/>
      <c r="AR211" s="310"/>
      <c r="AS211" s="310"/>
      <c r="AT211" s="310"/>
      <c r="AU211" s="310"/>
      <c r="AV211" s="544">
        <f t="shared" si="93"/>
        <v>0</v>
      </c>
      <c r="AW211" s="525"/>
      <c r="AX211" s="310"/>
      <c r="AY211" s="310"/>
      <c r="AZ211" s="310"/>
      <c r="BA211" s="310"/>
      <c r="BB211" s="310"/>
      <c r="BC211" s="310"/>
      <c r="BD211" s="544">
        <f t="shared" si="94"/>
        <v>0</v>
      </c>
      <c r="BE211" s="525"/>
      <c r="BF211" s="310"/>
      <c r="BG211" s="310"/>
      <c r="BH211" s="310"/>
      <c r="BI211" s="310"/>
      <c r="BJ211" s="310"/>
      <c r="BK211" s="310"/>
      <c r="BL211" s="544">
        <f t="shared" si="95"/>
        <v>0</v>
      </c>
      <c r="BM211" s="525"/>
      <c r="BN211" s="310"/>
      <c r="BO211" s="310"/>
      <c r="BP211" s="310"/>
      <c r="BQ211" s="310"/>
      <c r="BR211" s="310"/>
      <c r="BS211" s="310"/>
      <c r="BT211" s="544">
        <f t="shared" si="96"/>
        <v>0</v>
      </c>
      <c r="BU211" s="556"/>
      <c r="BV211" s="663">
        <f t="shared" si="101"/>
        <v>0</v>
      </c>
      <c r="BW211" s="674">
        <f t="shared" si="102"/>
        <v>0</v>
      </c>
      <c r="BX211" s="674">
        <f t="shared" si="103"/>
        <v>0</v>
      </c>
      <c r="BY211" s="674">
        <f t="shared" si="104"/>
        <v>0</v>
      </c>
      <c r="BZ211" s="675">
        <f t="shared" si="105"/>
        <v>0</v>
      </c>
      <c r="CA211" s="675">
        <f t="shared" si="106"/>
        <v>0</v>
      </c>
    </row>
    <row r="212" spans="1:79" ht="63.75" hidden="1" x14ac:dyDescent="0.25">
      <c r="A212" s="295" t="s">
        <v>491</v>
      </c>
      <c r="B212" s="24" t="str">
        <f>'PLAN INDICATIVO'!B210</f>
        <v>Atención a grupos vulnerables - promoción social</v>
      </c>
      <c r="C212" s="1574" t="s">
        <v>662</v>
      </c>
      <c r="D212" s="1575"/>
      <c r="E212" s="1575"/>
      <c r="F212" s="1575"/>
      <c r="G212" s="1575"/>
      <c r="H212" s="1575"/>
      <c r="I212" s="1575"/>
      <c r="J212" s="1575"/>
      <c r="K212" s="1575"/>
      <c r="L212" s="1575"/>
      <c r="M212" s="1575"/>
      <c r="N212" s="1575"/>
      <c r="O212" s="1576"/>
      <c r="P212" s="369" t="s">
        <v>663</v>
      </c>
      <c r="Q212" s="22"/>
      <c r="R212" s="1"/>
      <c r="S212" s="261"/>
      <c r="T212" s="681"/>
      <c r="U212" s="261"/>
      <c r="V212" s="689">
        <f>SUM(V213:V220)</f>
        <v>12660000</v>
      </c>
      <c r="W212" s="261"/>
      <c r="X212" s="689">
        <f>SUM(X213:X220)</f>
        <v>12660000</v>
      </c>
      <c r="Y212" s="261"/>
      <c r="Z212" s="689">
        <f>SUM(Z213:Z220)</f>
        <v>12660000</v>
      </c>
      <c r="AA212" s="261"/>
      <c r="AB212" s="689">
        <f>SUM(AB213:AB220)</f>
        <v>12660000</v>
      </c>
      <c r="AC212" s="261"/>
      <c r="AD212" s="261"/>
      <c r="AE212" s="261"/>
      <c r="AF212" s="261"/>
      <c r="AG212" s="273"/>
      <c r="AH212" s="273"/>
      <c r="AI212" s="261"/>
      <c r="AJ212" s="261"/>
      <c r="AK212" s="261"/>
      <c r="AL212" s="261"/>
      <c r="AM212" s="261"/>
      <c r="AN212" s="635"/>
      <c r="AO212" s="616" t="e">
        <f>(AO213:AO220)</f>
        <v>#VALUE!</v>
      </c>
      <c r="AP212" s="616" t="e">
        <f t="shared" ref="AP212:AU212" si="107">(AP213:AP220)</f>
        <v>#VALUE!</v>
      </c>
      <c r="AQ212" s="616" t="e">
        <f t="shared" si="107"/>
        <v>#VALUE!</v>
      </c>
      <c r="AR212" s="616" t="e">
        <f t="shared" si="107"/>
        <v>#VALUE!</v>
      </c>
      <c r="AS212" s="616" t="e">
        <f t="shared" si="107"/>
        <v>#VALUE!</v>
      </c>
      <c r="AT212" s="616" t="e">
        <f t="shared" si="107"/>
        <v>#VALUE!</v>
      </c>
      <c r="AU212" s="616" t="e">
        <f t="shared" si="107"/>
        <v>#VALUE!</v>
      </c>
      <c r="AV212" s="617" t="e">
        <f t="shared" si="93"/>
        <v>#VALUE!</v>
      </c>
      <c r="AW212" s="616" t="e">
        <f t="shared" ref="AW212:BC212" si="108">(AW213:AW220)</f>
        <v>#VALUE!</v>
      </c>
      <c r="AX212" s="616" t="e">
        <f t="shared" si="108"/>
        <v>#VALUE!</v>
      </c>
      <c r="AY212" s="616" t="e">
        <f t="shared" si="108"/>
        <v>#VALUE!</v>
      </c>
      <c r="AZ212" s="616" t="e">
        <f t="shared" si="108"/>
        <v>#VALUE!</v>
      </c>
      <c r="BA212" s="616" t="e">
        <f t="shared" si="108"/>
        <v>#VALUE!</v>
      </c>
      <c r="BB212" s="616" t="e">
        <f t="shared" si="108"/>
        <v>#VALUE!</v>
      </c>
      <c r="BC212" s="616" t="e">
        <f t="shared" si="108"/>
        <v>#VALUE!</v>
      </c>
      <c r="BD212" s="617" t="e">
        <f t="shared" si="94"/>
        <v>#VALUE!</v>
      </c>
      <c r="BE212" s="616" t="e">
        <f t="shared" ref="BE212:BK212" si="109">(BE213:BE220)</f>
        <v>#VALUE!</v>
      </c>
      <c r="BF212" s="616" t="e">
        <f t="shared" si="109"/>
        <v>#VALUE!</v>
      </c>
      <c r="BG212" s="616" t="e">
        <f t="shared" si="109"/>
        <v>#VALUE!</v>
      </c>
      <c r="BH212" s="616" t="e">
        <f t="shared" si="109"/>
        <v>#VALUE!</v>
      </c>
      <c r="BI212" s="616" t="e">
        <f t="shared" si="109"/>
        <v>#VALUE!</v>
      </c>
      <c r="BJ212" s="616" t="e">
        <f t="shared" si="109"/>
        <v>#VALUE!</v>
      </c>
      <c r="BK212" s="616" t="e">
        <f t="shared" si="109"/>
        <v>#VALUE!</v>
      </c>
      <c r="BL212" s="617" t="e">
        <f t="shared" si="95"/>
        <v>#VALUE!</v>
      </c>
      <c r="BM212" s="616" t="e">
        <f t="shared" ref="BM212:BS212" si="110">(BM213:BM220)</f>
        <v>#VALUE!</v>
      </c>
      <c r="BN212" s="616" t="e">
        <f t="shared" si="110"/>
        <v>#VALUE!</v>
      </c>
      <c r="BO212" s="616" t="e">
        <f t="shared" si="110"/>
        <v>#VALUE!</v>
      </c>
      <c r="BP212" s="616" t="e">
        <f t="shared" si="110"/>
        <v>#VALUE!</v>
      </c>
      <c r="BQ212" s="616" t="e">
        <f t="shared" si="110"/>
        <v>#VALUE!</v>
      </c>
      <c r="BR212" s="616" t="e">
        <f t="shared" si="110"/>
        <v>#VALUE!</v>
      </c>
      <c r="BS212" s="616" t="e">
        <f t="shared" si="110"/>
        <v>#VALUE!</v>
      </c>
      <c r="BT212" s="617" t="e">
        <f t="shared" si="96"/>
        <v>#VALUE!</v>
      </c>
      <c r="BU212" s="556"/>
      <c r="BV212" s="663">
        <f t="shared" si="101"/>
        <v>0</v>
      </c>
      <c r="BW212" s="674" t="e">
        <f t="shared" si="102"/>
        <v>#DIV/0!</v>
      </c>
      <c r="BX212" s="674" t="e">
        <f t="shared" si="103"/>
        <v>#DIV/0!</v>
      </c>
      <c r="BY212" s="674" t="e">
        <f t="shared" si="104"/>
        <v>#DIV/0!</v>
      </c>
      <c r="BZ212" s="675" t="e">
        <f t="shared" si="105"/>
        <v>#DIV/0!</v>
      </c>
      <c r="CA212" s="675" t="e">
        <f t="shared" si="106"/>
        <v>#DIV/0!</v>
      </c>
    </row>
    <row r="213" spans="1:79" ht="68.25" hidden="1" customHeight="1" x14ac:dyDescent="0.25">
      <c r="A213" s="298" t="s">
        <v>491</v>
      </c>
      <c r="B213" s="299" t="str">
        <f>'PLAN INDICATIVO'!B211</f>
        <v>Atención a grupos vulnerables - promoción social</v>
      </c>
      <c r="C213" s="1546" t="s">
        <v>664</v>
      </c>
      <c r="D213" s="1549" t="s">
        <v>665</v>
      </c>
      <c r="E213" s="1549" t="s">
        <v>252</v>
      </c>
      <c r="F213" s="1549">
        <v>2015</v>
      </c>
      <c r="G213" s="1562">
        <v>11672</v>
      </c>
      <c r="H213" s="1562">
        <v>13500</v>
      </c>
      <c r="I213" s="300">
        <f>'PLAN INDICATIVO'!I211</f>
        <v>0</v>
      </c>
      <c r="J213" s="300">
        <f>'PLAN INDICATIVO'!J211</f>
        <v>0</v>
      </c>
      <c r="K213" s="1428" t="str">
        <f>'PLAN INDICATIVO'!K211</f>
        <v>A.14.5.1</v>
      </c>
      <c r="L213" s="301" t="str">
        <f>'PLAN INDICATIVO'!L211</f>
        <v>10. Reducción de las desigualdades</v>
      </c>
      <c r="M213" s="301" t="str">
        <f>'PLAN INDICATIVO'!M211</f>
        <v>Secretaría de Gobierno</v>
      </c>
      <c r="N213" s="1425" t="s">
        <v>2791</v>
      </c>
      <c r="O213" s="1425" t="str">
        <f>'PLAN INDICATIVO'!O211</f>
        <v>Mantenimiento</v>
      </c>
      <c r="P213" s="16" t="str">
        <f>'PLAN INDICATIVO'!P211</f>
        <v>Mantener actualizada 1 caracterización de la población indígena cada año</v>
      </c>
      <c r="Q213" s="302" t="str">
        <f>'PLAN INDICATIVO'!Q211</f>
        <v>No. De Caracterización realizada por año</v>
      </c>
      <c r="R213" s="303">
        <f>'PLAN INDICATIVO'!R211</f>
        <v>2015</v>
      </c>
      <c r="S213" s="304">
        <v>0</v>
      </c>
      <c r="T213" s="699">
        <v>1</v>
      </c>
      <c r="U213" s="303">
        <v>1</v>
      </c>
      <c r="V213" s="687">
        <v>2660000</v>
      </c>
      <c r="W213" s="303">
        <v>1</v>
      </c>
      <c r="X213" s="687">
        <v>2660000</v>
      </c>
      <c r="Y213" s="303">
        <v>1</v>
      </c>
      <c r="Z213" s="687">
        <v>2660000</v>
      </c>
      <c r="AA213" s="303">
        <v>1</v>
      </c>
      <c r="AB213" s="687">
        <v>2660000</v>
      </c>
      <c r="AC213" s="669">
        <v>1</v>
      </c>
      <c r="AD213" s="669"/>
      <c r="AE213" s="669"/>
      <c r="AF213" s="669"/>
      <c r="AG213" s="341" t="s">
        <v>2596</v>
      </c>
      <c r="AH213" s="355" t="s">
        <v>2822</v>
      </c>
      <c r="AI213" s="363">
        <v>42401</v>
      </c>
      <c r="AJ213" s="363">
        <v>42735</v>
      </c>
      <c r="AK213" s="358"/>
      <c r="AL213" s="358"/>
      <c r="AM213" s="267" t="s">
        <v>2598</v>
      </c>
      <c r="AN213" s="512"/>
      <c r="AO213" s="525"/>
      <c r="AP213" s="310"/>
      <c r="AQ213" s="310"/>
      <c r="AR213" s="310"/>
      <c r="AS213" s="310"/>
      <c r="AT213" s="310"/>
      <c r="AU213" s="310"/>
      <c r="AV213" s="544">
        <f t="shared" si="93"/>
        <v>0</v>
      </c>
      <c r="AW213" s="525"/>
      <c r="AX213" s="310"/>
      <c r="AY213" s="310"/>
      <c r="AZ213" s="310"/>
      <c r="BA213" s="310"/>
      <c r="BB213" s="310"/>
      <c r="BC213" s="310"/>
      <c r="BD213" s="544">
        <f t="shared" si="94"/>
        <v>0</v>
      </c>
      <c r="BE213" s="525"/>
      <c r="BF213" s="310"/>
      <c r="BG213" s="310"/>
      <c r="BH213" s="310"/>
      <c r="BI213" s="310"/>
      <c r="BJ213" s="310"/>
      <c r="BK213" s="310"/>
      <c r="BL213" s="544">
        <f t="shared" si="95"/>
        <v>0</v>
      </c>
      <c r="BM213" s="525"/>
      <c r="BN213" s="310"/>
      <c r="BO213" s="310"/>
      <c r="BP213" s="310"/>
      <c r="BQ213" s="310"/>
      <c r="BR213" s="310"/>
      <c r="BS213" s="310"/>
      <c r="BT213" s="544">
        <f t="shared" si="96"/>
        <v>0</v>
      </c>
      <c r="BU213" s="556"/>
      <c r="BV213" s="663">
        <f t="shared" si="101"/>
        <v>1</v>
      </c>
      <c r="BW213" s="674">
        <f t="shared" si="102"/>
        <v>1</v>
      </c>
      <c r="BX213" s="674">
        <f t="shared" si="103"/>
        <v>1</v>
      </c>
      <c r="BY213" s="674">
        <f t="shared" si="104"/>
        <v>0</v>
      </c>
      <c r="BZ213" s="675">
        <f t="shared" si="105"/>
        <v>0</v>
      </c>
      <c r="CA213" s="675">
        <f t="shared" si="106"/>
        <v>0</v>
      </c>
    </row>
    <row r="214" spans="1:79" ht="63" hidden="1" customHeight="1" x14ac:dyDescent="0.25">
      <c r="A214" s="298" t="s">
        <v>491</v>
      </c>
      <c r="B214" s="299" t="str">
        <f>'PLAN INDICATIVO'!B212</f>
        <v>Atención a grupos vulnerables - promoción social</v>
      </c>
      <c r="C214" s="1547"/>
      <c r="D214" s="1549"/>
      <c r="E214" s="1549"/>
      <c r="F214" s="1549"/>
      <c r="G214" s="1549"/>
      <c r="H214" s="1549"/>
      <c r="I214" s="300">
        <f>'PLAN INDICATIVO'!I212</f>
        <v>0</v>
      </c>
      <c r="J214" s="300">
        <f>'PLAN INDICATIVO'!J212</f>
        <v>0</v>
      </c>
      <c r="K214" s="1428" t="str">
        <f>'PLAN INDICATIVO'!K212</f>
        <v>A.14.5.2</v>
      </c>
      <c r="L214" s="301" t="str">
        <f>'PLAN INDICATIVO'!L212</f>
        <v>10. Reducción de las desigualdades</v>
      </c>
      <c r="M214" s="301" t="str">
        <f>'PLAN INDICATIVO'!M212</f>
        <v>Secretaría de Gobierno</v>
      </c>
      <c r="N214" s="1425" t="s">
        <v>2791</v>
      </c>
      <c r="O214" s="1425" t="str">
        <f>'PLAN INDICATIVO'!O212</f>
        <v>Incremento</v>
      </c>
      <c r="P214" s="16" t="str">
        <f>'PLAN INDICATIVO'!P212</f>
        <v>Realizar 2 Capacitaciones dirigidas a funcionarios municipales sobre promoción de derechos étnicos durante el cuatrienio</v>
      </c>
      <c r="Q214" s="302" t="str">
        <f>'PLAN INDICATIVO'!Q212</f>
        <v>No. De capacitaciones realizadas</v>
      </c>
      <c r="R214" s="303">
        <f>'PLAN INDICATIVO'!R212</f>
        <v>2015</v>
      </c>
      <c r="S214" s="304">
        <v>0</v>
      </c>
      <c r="T214" s="699">
        <v>2</v>
      </c>
      <c r="U214" s="303">
        <v>1</v>
      </c>
      <c r="V214" s="687">
        <v>2000000</v>
      </c>
      <c r="W214" s="303">
        <v>0</v>
      </c>
      <c r="X214" s="687"/>
      <c r="Y214" s="303">
        <v>1</v>
      </c>
      <c r="Z214" s="687">
        <v>500000</v>
      </c>
      <c r="AA214" s="303">
        <v>0</v>
      </c>
      <c r="AB214" s="687"/>
      <c r="AC214" s="669">
        <v>1</v>
      </c>
      <c r="AD214" s="669"/>
      <c r="AE214" s="669"/>
      <c r="AF214" s="669"/>
      <c r="AG214" s="277"/>
      <c r="AH214" s="355" t="s">
        <v>2823</v>
      </c>
      <c r="AI214" s="358"/>
      <c r="AJ214" s="358"/>
      <c r="AK214" s="358"/>
      <c r="AL214" s="358"/>
      <c r="AM214" s="267" t="s">
        <v>2598</v>
      </c>
      <c r="AN214" s="512"/>
      <c r="AO214" s="525"/>
      <c r="AP214" s="310"/>
      <c r="AQ214" s="310"/>
      <c r="AR214" s="310"/>
      <c r="AS214" s="310"/>
      <c r="AT214" s="310"/>
      <c r="AU214" s="310"/>
      <c r="AV214" s="544">
        <f t="shared" si="93"/>
        <v>0</v>
      </c>
      <c r="AW214" s="525"/>
      <c r="AX214" s="310"/>
      <c r="AY214" s="310"/>
      <c r="AZ214" s="310"/>
      <c r="BA214" s="310"/>
      <c r="BB214" s="310"/>
      <c r="BC214" s="310"/>
      <c r="BD214" s="544">
        <f t="shared" si="94"/>
        <v>0</v>
      </c>
      <c r="BE214" s="525"/>
      <c r="BF214" s="310"/>
      <c r="BG214" s="310"/>
      <c r="BH214" s="310"/>
      <c r="BI214" s="310"/>
      <c r="BJ214" s="310"/>
      <c r="BK214" s="310"/>
      <c r="BL214" s="544">
        <f t="shared" si="95"/>
        <v>0</v>
      </c>
      <c r="BM214" s="525"/>
      <c r="BN214" s="310"/>
      <c r="BO214" s="310"/>
      <c r="BP214" s="310"/>
      <c r="BQ214" s="310"/>
      <c r="BR214" s="310"/>
      <c r="BS214" s="310"/>
      <c r="BT214" s="544">
        <f t="shared" si="96"/>
        <v>0</v>
      </c>
      <c r="BU214" s="556"/>
      <c r="BV214" s="663">
        <f t="shared" si="101"/>
        <v>1</v>
      </c>
      <c r="BW214" s="674">
        <f t="shared" si="102"/>
        <v>0.5</v>
      </c>
      <c r="BX214" s="674">
        <f t="shared" si="103"/>
        <v>1</v>
      </c>
      <c r="BY214" s="674" t="e">
        <f t="shared" si="104"/>
        <v>#DIV/0!</v>
      </c>
      <c r="BZ214" s="675">
        <f t="shared" si="105"/>
        <v>0</v>
      </c>
      <c r="CA214" s="675" t="e">
        <f t="shared" si="106"/>
        <v>#DIV/0!</v>
      </c>
    </row>
    <row r="215" spans="1:79" ht="80.25" hidden="1" customHeight="1" x14ac:dyDescent="0.25">
      <c r="A215" s="298" t="s">
        <v>491</v>
      </c>
      <c r="B215" s="299" t="str">
        <f>'PLAN INDICATIVO'!B213</f>
        <v>Atención a grupos vulnerables - promoción social</v>
      </c>
      <c r="C215" s="1547"/>
      <c r="D215" s="1549"/>
      <c r="E215" s="1549"/>
      <c r="F215" s="1549"/>
      <c r="G215" s="1549"/>
      <c r="H215" s="1549"/>
      <c r="I215" s="300">
        <f>'PLAN INDICATIVO'!I213</f>
        <v>0</v>
      </c>
      <c r="J215" s="300">
        <f>'PLAN INDICATIVO'!J213</f>
        <v>0</v>
      </c>
      <c r="K215" s="1428" t="str">
        <f>'PLAN INDICATIVO'!K213</f>
        <v>A.14.5.3</v>
      </c>
      <c r="L215" s="301" t="str">
        <f>'PLAN INDICATIVO'!L213</f>
        <v>10. Reducción de las desigualdades</v>
      </c>
      <c r="M215" s="301" t="str">
        <f>'PLAN INDICATIVO'!M213</f>
        <v>Secretaría de Gobierno</v>
      </c>
      <c r="N215" s="1425" t="s">
        <v>2791</v>
      </c>
      <c r="O215" s="1425" t="str">
        <f>'PLAN INDICATIVO'!O213</f>
        <v>Incremento</v>
      </c>
      <c r="P215" s="16" t="str">
        <f>'PLAN INDICATIVO'!P213</f>
        <v>Adelantar 2 procesos en el cuatrienio  para que la población Étnica obtengan recursos  para el fortalecimiento de los sectores</v>
      </c>
      <c r="Q215" s="302" t="str">
        <f>'PLAN INDICATIVO'!Q213</f>
        <v>No. De procesos ejecutados</v>
      </c>
      <c r="R215" s="303">
        <f>'PLAN INDICATIVO'!R213</f>
        <v>2015</v>
      </c>
      <c r="S215" s="304">
        <v>0</v>
      </c>
      <c r="T215" s="699">
        <v>2</v>
      </c>
      <c r="U215" s="303">
        <v>0</v>
      </c>
      <c r="V215" s="687"/>
      <c r="W215" s="303">
        <v>1</v>
      </c>
      <c r="X215" s="687">
        <v>1000000</v>
      </c>
      <c r="Y215" s="303">
        <v>1</v>
      </c>
      <c r="Z215" s="687">
        <v>500000</v>
      </c>
      <c r="AA215" s="303">
        <v>0</v>
      </c>
      <c r="AB215" s="687"/>
      <c r="AC215" s="669"/>
      <c r="AD215" s="669"/>
      <c r="AE215" s="669"/>
      <c r="AF215" s="669"/>
      <c r="AG215" s="277"/>
      <c r="AH215" s="355"/>
      <c r="AI215" s="358"/>
      <c r="AJ215" s="358"/>
      <c r="AK215" s="358"/>
      <c r="AL215" s="358"/>
      <c r="AM215" s="267" t="s">
        <v>2594</v>
      </c>
      <c r="AN215" s="512"/>
      <c r="AO215" s="525"/>
      <c r="AP215" s="310"/>
      <c r="AQ215" s="310"/>
      <c r="AR215" s="310"/>
      <c r="AS215" s="310"/>
      <c r="AT215" s="310"/>
      <c r="AU215" s="310"/>
      <c r="AV215" s="544">
        <f t="shared" si="93"/>
        <v>0</v>
      </c>
      <c r="AW215" s="525"/>
      <c r="AX215" s="310"/>
      <c r="AY215" s="310"/>
      <c r="AZ215" s="310"/>
      <c r="BA215" s="310"/>
      <c r="BB215" s="310"/>
      <c r="BC215" s="310"/>
      <c r="BD215" s="544">
        <f t="shared" si="94"/>
        <v>0</v>
      </c>
      <c r="BE215" s="525"/>
      <c r="BF215" s="310"/>
      <c r="BG215" s="310"/>
      <c r="BH215" s="310"/>
      <c r="BI215" s="310"/>
      <c r="BJ215" s="310"/>
      <c r="BK215" s="310"/>
      <c r="BL215" s="544">
        <f t="shared" si="95"/>
        <v>0</v>
      </c>
      <c r="BM215" s="525"/>
      <c r="BN215" s="310"/>
      <c r="BO215" s="310"/>
      <c r="BP215" s="310"/>
      <c r="BQ215" s="310"/>
      <c r="BR215" s="310"/>
      <c r="BS215" s="310"/>
      <c r="BT215" s="544">
        <f t="shared" si="96"/>
        <v>0</v>
      </c>
      <c r="BU215" s="556"/>
      <c r="BV215" s="663">
        <f t="shared" si="101"/>
        <v>0</v>
      </c>
      <c r="BW215" s="674">
        <f t="shared" si="102"/>
        <v>0</v>
      </c>
      <c r="BX215" s="674" t="e">
        <f t="shared" si="103"/>
        <v>#DIV/0!</v>
      </c>
      <c r="BY215" s="674">
        <f t="shared" si="104"/>
        <v>0</v>
      </c>
      <c r="BZ215" s="675">
        <f t="shared" si="105"/>
        <v>0</v>
      </c>
      <c r="CA215" s="675" t="e">
        <f t="shared" si="106"/>
        <v>#DIV/0!</v>
      </c>
    </row>
    <row r="216" spans="1:79" ht="60.75" hidden="1" customHeight="1" x14ac:dyDescent="0.25">
      <c r="A216" s="298" t="s">
        <v>491</v>
      </c>
      <c r="B216" s="299" t="str">
        <f>'PLAN INDICATIVO'!B214</f>
        <v>Atención a grupos vulnerables - promoción social</v>
      </c>
      <c r="C216" s="1547"/>
      <c r="D216" s="1549"/>
      <c r="E216" s="1549"/>
      <c r="F216" s="1549"/>
      <c r="G216" s="1549"/>
      <c r="H216" s="1549"/>
      <c r="I216" s="300">
        <f>'PLAN INDICATIVO'!I214</f>
        <v>0</v>
      </c>
      <c r="J216" s="300">
        <f>'PLAN INDICATIVO'!J214</f>
        <v>0</v>
      </c>
      <c r="K216" s="1428" t="str">
        <f>'PLAN INDICATIVO'!K214</f>
        <v>A.14.5.4</v>
      </c>
      <c r="L216" s="301" t="str">
        <f>'PLAN INDICATIVO'!L214</f>
        <v>10. Reducción de las desigualdades</v>
      </c>
      <c r="M216" s="301" t="str">
        <f>'PLAN INDICATIVO'!M214</f>
        <v>Secretaría de Gobierno</v>
      </c>
      <c r="N216" s="1425" t="s">
        <v>2791</v>
      </c>
      <c r="O216" s="1425" t="str">
        <f>'PLAN INDICATIVO'!O214</f>
        <v>Incremento</v>
      </c>
      <c r="P216" s="16" t="str">
        <f>'PLAN INDICATIVO'!P214</f>
        <v>implementar 2 estrategias durante el cuatrienio para fortalecer costumbres y vivencias de la población indígena y afro</v>
      </c>
      <c r="Q216" s="302" t="str">
        <f>'PLAN INDICATIVO'!Q214</f>
        <v>No. De Estrategia Implementada</v>
      </c>
      <c r="R216" s="303">
        <f>'PLAN INDICATIVO'!R214</f>
        <v>2015</v>
      </c>
      <c r="S216" s="304">
        <v>0</v>
      </c>
      <c r="T216" s="699">
        <v>2</v>
      </c>
      <c r="U216" s="303">
        <v>1</v>
      </c>
      <c r="V216" s="687">
        <v>5000000</v>
      </c>
      <c r="W216" s="303">
        <v>0</v>
      </c>
      <c r="X216" s="687"/>
      <c r="Y216" s="303">
        <v>1</v>
      </c>
      <c r="Z216" s="687">
        <v>500000</v>
      </c>
      <c r="AA216" s="303">
        <v>0</v>
      </c>
      <c r="AB216" s="687"/>
      <c r="AC216" s="669">
        <v>1</v>
      </c>
      <c r="AD216" s="669"/>
      <c r="AE216" s="669"/>
      <c r="AF216" s="669"/>
      <c r="AG216" s="341" t="s">
        <v>2596</v>
      </c>
      <c r="AH216" s="355" t="s">
        <v>2824</v>
      </c>
      <c r="AI216" s="363">
        <v>42492</v>
      </c>
      <c r="AJ216" s="363">
        <v>42551</v>
      </c>
      <c r="AK216" s="358"/>
      <c r="AL216" s="358"/>
      <c r="AM216" s="267" t="s">
        <v>2598</v>
      </c>
      <c r="AN216" s="512"/>
      <c r="AO216" s="525"/>
      <c r="AP216" s="310"/>
      <c r="AQ216" s="310"/>
      <c r="AR216" s="310"/>
      <c r="AS216" s="310"/>
      <c r="AT216" s="310"/>
      <c r="AU216" s="310"/>
      <c r="AV216" s="544">
        <f t="shared" si="93"/>
        <v>0</v>
      </c>
      <c r="AW216" s="525"/>
      <c r="AX216" s="310"/>
      <c r="AY216" s="310"/>
      <c r="AZ216" s="310"/>
      <c r="BA216" s="310"/>
      <c r="BB216" s="310"/>
      <c r="BC216" s="310"/>
      <c r="BD216" s="544">
        <f t="shared" si="94"/>
        <v>0</v>
      </c>
      <c r="BE216" s="525"/>
      <c r="BF216" s="310"/>
      <c r="BG216" s="310"/>
      <c r="BH216" s="310"/>
      <c r="BI216" s="310"/>
      <c r="BJ216" s="310"/>
      <c r="BK216" s="310"/>
      <c r="BL216" s="544">
        <f t="shared" si="95"/>
        <v>0</v>
      </c>
      <c r="BM216" s="525"/>
      <c r="BN216" s="310"/>
      <c r="BO216" s="310"/>
      <c r="BP216" s="310"/>
      <c r="BQ216" s="310"/>
      <c r="BR216" s="310"/>
      <c r="BS216" s="310"/>
      <c r="BT216" s="544">
        <f t="shared" si="96"/>
        <v>0</v>
      </c>
      <c r="BU216" s="556"/>
      <c r="BV216" s="663">
        <f t="shared" si="101"/>
        <v>1</v>
      </c>
      <c r="BW216" s="674">
        <f t="shared" si="102"/>
        <v>0.5</v>
      </c>
      <c r="BX216" s="674">
        <f t="shared" si="103"/>
        <v>1</v>
      </c>
      <c r="BY216" s="674" t="e">
        <f t="shared" si="104"/>
        <v>#DIV/0!</v>
      </c>
      <c r="BZ216" s="675">
        <f t="shared" si="105"/>
        <v>0</v>
      </c>
      <c r="CA216" s="675" t="e">
        <f t="shared" si="106"/>
        <v>#DIV/0!</v>
      </c>
    </row>
    <row r="217" spans="1:79" ht="51.75" hidden="1" customHeight="1" x14ac:dyDescent="0.25">
      <c r="A217" s="298" t="s">
        <v>491</v>
      </c>
      <c r="B217" s="299" t="str">
        <f>'PLAN INDICATIVO'!B215</f>
        <v>Atención a grupos vulnerables - promoción social</v>
      </c>
      <c r="C217" s="1547"/>
      <c r="D217" s="1549"/>
      <c r="E217" s="1549"/>
      <c r="F217" s="1549"/>
      <c r="G217" s="1549"/>
      <c r="H217" s="1549"/>
      <c r="I217" s="300">
        <f>'PLAN INDICATIVO'!I215</f>
        <v>0</v>
      </c>
      <c r="J217" s="300">
        <f>'PLAN INDICATIVO'!J215</f>
        <v>0</v>
      </c>
      <c r="K217" s="1428" t="str">
        <f>'PLAN INDICATIVO'!K215</f>
        <v>A.14.5.5</v>
      </c>
      <c r="L217" s="301" t="str">
        <f>'PLAN INDICATIVO'!L215</f>
        <v>10. Reducción de las desigualdades</v>
      </c>
      <c r="M217" s="301" t="str">
        <f>'PLAN INDICATIVO'!M215</f>
        <v>Secretaría de Gobierno</v>
      </c>
      <c r="N217" s="1425" t="s">
        <v>2791</v>
      </c>
      <c r="O217" s="1425" t="str">
        <f>'PLAN INDICATIVO'!O215</f>
        <v>Incremento</v>
      </c>
      <c r="P217" s="16" t="str">
        <f>'PLAN INDICATIVO'!P215</f>
        <v>Realizar 2 planes de capacitación con enfoque diferencial étnico para cualificación del recurso humano durante el cuatrienio</v>
      </c>
      <c r="Q217" s="302" t="str">
        <f>'PLAN INDICATIVO'!Q215</f>
        <v>No. De planes de Capacitación realizadas</v>
      </c>
      <c r="R217" s="303">
        <f>'PLAN INDICATIVO'!R215</f>
        <v>2015</v>
      </c>
      <c r="S217" s="304">
        <v>0</v>
      </c>
      <c r="T217" s="699">
        <v>2</v>
      </c>
      <c r="U217" s="303">
        <v>0</v>
      </c>
      <c r="V217" s="687"/>
      <c r="W217" s="303">
        <v>1</v>
      </c>
      <c r="X217" s="687">
        <v>1000000</v>
      </c>
      <c r="Y217" s="303">
        <v>0</v>
      </c>
      <c r="Z217" s="687"/>
      <c r="AA217" s="303">
        <v>1</v>
      </c>
      <c r="AB217" s="687">
        <v>8000000</v>
      </c>
      <c r="AC217" s="669"/>
      <c r="AD217" s="669"/>
      <c r="AE217" s="669"/>
      <c r="AF217" s="669"/>
      <c r="AG217" s="277"/>
      <c r="AH217" s="355"/>
      <c r="AI217" s="358"/>
      <c r="AJ217" s="358"/>
      <c r="AK217" s="358"/>
      <c r="AL217" s="358"/>
      <c r="AM217" s="267" t="s">
        <v>2594</v>
      </c>
      <c r="AN217" s="512"/>
      <c r="AO217" s="525"/>
      <c r="AP217" s="310"/>
      <c r="AQ217" s="310"/>
      <c r="AR217" s="310"/>
      <c r="AS217" s="310"/>
      <c r="AT217" s="310"/>
      <c r="AU217" s="310"/>
      <c r="AV217" s="544">
        <f t="shared" si="93"/>
        <v>0</v>
      </c>
      <c r="AW217" s="525"/>
      <c r="AX217" s="310"/>
      <c r="AY217" s="310"/>
      <c r="AZ217" s="310"/>
      <c r="BA217" s="310"/>
      <c r="BB217" s="310"/>
      <c r="BC217" s="310"/>
      <c r="BD217" s="544">
        <f t="shared" si="94"/>
        <v>0</v>
      </c>
      <c r="BE217" s="525"/>
      <c r="BF217" s="310"/>
      <c r="BG217" s="310"/>
      <c r="BH217" s="310"/>
      <c r="BI217" s="310"/>
      <c r="BJ217" s="310"/>
      <c r="BK217" s="310"/>
      <c r="BL217" s="544">
        <f t="shared" si="95"/>
        <v>0</v>
      </c>
      <c r="BM217" s="525"/>
      <c r="BN217" s="310"/>
      <c r="BO217" s="310"/>
      <c r="BP217" s="310"/>
      <c r="BQ217" s="310"/>
      <c r="BR217" s="310"/>
      <c r="BS217" s="310"/>
      <c r="BT217" s="544">
        <f t="shared" si="96"/>
        <v>0</v>
      </c>
      <c r="BU217" s="556"/>
      <c r="BV217" s="663">
        <f t="shared" si="101"/>
        <v>0</v>
      </c>
      <c r="BW217" s="674">
        <f t="shared" si="102"/>
        <v>0</v>
      </c>
      <c r="BX217" s="674" t="e">
        <f t="shared" si="103"/>
        <v>#DIV/0!</v>
      </c>
      <c r="BY217" s="674">
        <f t="shared" si="104"/>
        <v>0</v>
      </c>
      <c r="BZ217" s="675" t="e">
        <f t="shared" si="105"/>
        <v>#DIV/0!</v>
      </c>
      <c r="CA217" s="675">
        <f t="shared" si="106"/>
        <v>0</v>
      </c>
    </row>
    <row r="218" spans="1:79" ht="55.5" hidden="1" customHeight="1" x14ac:dyDescent="0.25">
      <c r="A218" s="298" t="s">
        <v>491</v>
      </c>
      <c r="B218" s="299" t="str">
        <f>'PLAN INDICATIVO'!B216</f>
        <v>Atención a grupos vulnerables - promoción social</v>
      </c>
      <c r="C218" s="1547"/>
      <c r="D218" s="1549"/>
      <c r="E218" s="1549"/>
      <c r="F218" s="1549"/>
      <c r="G218" s="1549"/>
      <c r="H218" s="1549"/>
      <c r="I218" s="300">
        <f>'PLAN INDICATIVO'!I216</f>
        <v>0</v>
      </c>
      <c r="J218" s="300">
        <f>'PLAN INDICATIVO'!J216</f>
        <v>0</v>
      </c>
      <c r="K218" s="1428" t="str">
        <f>'PLAN INDICATIVO'!K216</f>
        <v>A.14.5.6</v>
      </c>
      <c r="L218" s="301" t="str">
        <f>'PLAN INDICATIVO'!L216</f>
        <v>10. Reducción de las desigualdades</v>
      </c>
      <c r="M218" s="301" t="str">
        <f>'PLAN INDICATIVO'!M216</f>
        <v>Secretaría de Gobierno</v>
      </c>
      <c r="N218" s="1425" t="s">
        <v>2791</v>
      </c>
      <c r="O218" s="1425" t="str">
        <f>'PLAN INDICATIVO'!O216</f>
        <v>Mantenimiento</v>
      </c>
      <c r="P218" s="16" t="str">
        <f>'PLAN INDICATIVO'!P216</f>
        <v>Realizar 1 actividad anual de enriquecimiento de la cultura ancestral</v>
      </c>
      <c r="Q218" s="302" t="str">
        <f>'PLAN INDICATIVO'!Q216</f>
        <v>No. De Actividad realizada por año</v>
      </c>
      <c r="R218" s="303">
        <f>'PLAN INDICATIVO'!R216</f>
        <v>2015</v>
      </c>
      <c r="S218" s="304">
        <v>0</v>
      </c>
      <c r="T218" s="699">
        <v>4</v>
      </c>
      <c r="U218" s="303">
        <v>1</v>
      </c>
      <c r="V218" s="687">
        <v>3000000</v>
      </c>
      <c r="W218" s="303">
        <v>1</v>
      </c>
      <c r="X218" s="687">
        <v>2000000</v>
      </c>
      <c r="Y218" s="303">
        <v>1</v>
      </c>
      <c r="Z218" s="687">
        <v>2000000</v>
      </c>
      <c r="AA218" s="303">
        <v>1</v>
      </c>
      <c r="AB218" s="687">
        <v>2000000</v>
      </c>
      <c r="AC218" s="669">
        <v>1</v>
      </c>
      <c r="AD218" s="669"/>
      <c r="AE218" s="669"/>
      <c r="AF218" s="669"/>
      <c r="AG218" s="341" t="s">
        <v>2596</v>
      </c>
      <c r="AH218" s="355" t="s">
        <v>2825</v>
      </c>
      <c r="AI218" s="363">
        <v>42490</v>
      </c>
      <c r="AJ218" s="363">
        <v>42490</v>
      </c>
      <c r="AK218" s="358"/>
      <c r="AL218" s="358"/>
      <c r="AM218" s="267" t="s">
        <v>2598</v>
      </c>
      <c r="AN218" s="512"/>
      <c r="AO218" s="525"/>
      <c r="AP218" s="310"/>
      <c r="AQ218" s="310"/>
      <c r="AR218" s="310"/>
      <c r="AS218" s="310"/>
      <c r="AT218" s="310"/>
      <c r="AU218" s="310"/>
      <c r="AV218" s="544">
        <f t="shared" si="93"/>
        <v>0</v>
      </c>
      <c r="AW218" s="525"/>
      <c r="AX218" s="310"/>
      <c r="AY218" s="310"/>
      <c r="AZ218" s="310"/>
      <c r="BA218" s="310"/>
      <c r="BB218" s="310"/>
      <c r="BC218" s="310"/>
      <c r="BD218" s="544">
        <f t="shared" si="94"/>
        <v>0</v>
      </c>
      <c r="BE218" s="525"/>
      <c r="BF218" s="310"/>
      <c r="BG218" s="310"/>
      <c r="BH218" s="310"/>
      <c r="BI218" s="310"/>
      <c r="BJ218" s="310"/>
      <c r="BK218" s="310"/>
      <c r="BL218" s="544">
        <f t="shared" si="95"/>
        <v>0</v>
      </c>
      <c r="BM218" s="525"/>
      <c r="BN218" s="310"/>
      <c r="BO218" s="310"/>
      <c r="BP218" s="310"/>
      <c r="BQ218" s="310"/>
      <c r="BR218" s="310"/>
      <c r="BS218" s="310"/>
      <c r="BT218" s="544">
        <f t="shared" si="96"/>
        <v>0</v>
      </c>
      <c r="BU218" s="556"/>
      <c r="BV218" s="663">
        <f t="shared" si="101"/>
        <v>1</v>
      </c>
      <c r="BW218" s="674">
        <f t="shared" si="102"/>
        <v>0.25</v>
      </c>
      <c r="BX218" s="674">
        <f t="shared" si="103"/>
        <v>1</v>
      </c>
      <c r="BY218" s="674">
        <f t="shared" si="104"/>
        <v>0</v>
      </c>
      <c r="BZ218" s="675">
        <f t="shared" si="105"/>
        <v>0</v>
      </c>
      <c r="CA218" s="675">
        <f t="shared" si="106"/>
        <v>0</v>
      </c>
    </row>
    <row r="219" spans="1:79" ht="63.75" hidden="1" x14ac:dyDescent="0.25">
      <c r="A219" s="298" t="s">
        <v>491</v>
      </c>
      <c r="B219" s="299" t="str">
        <f>'PLAN INDICATIVO'!B217</f>
        <v>Atención a grupos vulnerables - promoción social</v>
      </c>
      <c r="C219" s="1547"/>
      <c r="D219" s="1549"/>
      <c r="E219" s="1549"/>
      <c r="F219" s="1549"/>
      <c r="G219" s="1549"/>
      <c r="H219" s="1549"/>
      <c r="I219" s="371">
        <f>'PLAN INDICATIVO'!I217</f>
        <v>0</v>
      </c>
      <c r="J219" s="371">
        <f>'PLAN INDICATIVO'!J217</f>
        <v>0</v>
      </c>
      <c r="K219" s="1428" t="str">
        <f>'PLAN INDICATIVO'!K217</f>
        <v>A.14.5.7</v>
      </c>
      <c r="L219" s="301" t="str">
        <f>'PLAN INDICATIVO'!L217</f>
        <v>10. Reducción de las desigualdades</v>
      </c>
      <c r="M219" s="301" t="str">
        <f>'PLAN INDICATIVO'!M217</f>
        <v>Secretaría de Gobierno</v>
      </c>
      <c r="N219" s="1425" t="s">
        <v>2791</v>
      </c>
      <c r="O219" s="1425" t="str">
        <f>'PLAN INDICATIVO'!O217</f>
        <v>Incremento</v>
      </c>
      <c r="P219" s="71" t="str">
        <f>'PLAN INDICATIVO'!P217</f>
        <v>Realizar 2 proyectos de infraestructura durante el cuatrienio con destino a la población indígena</v>
      </c>
      <c r="Q219" s="345" t="str">
        <f>'PLAN INDICATIVO'!Q217</f>
        <v>No. De proyectos realizados</v>
      </c>
      <c r="R219" s="346">
        <f>'PLAN INDICATIVO'!R217</f>
        <v>2015</v>
      </c>
      <c r="S219" s="342">
        <v>0</v>
      </c>
      <c r="T219" s="704">
        <v>2</v>
      </c>
      <c r="U219" s="346">
        <v>0</v>
      </c>
      <c r="V219" s="687"/>
      <c r="W219" s="346">
        <v>1</v>
      </c>
      <c r="X219" s="687">
        <v>6000000</v>
      </c>
      <c r="Y219" s="346">
        <v>1</v>
      </c>
      <c r="Z219" s="687">
        <v>6000000</v>
      </c>
      <c r="AA219" s="346">
        <v>0</v>
      </c>
      <c r="AB219" s="687"/>
      <c r="AC219" s="670"/>
      <c r="AD219" s="670"/>
      <c r="AE219" s="670"/>
      <c r="AF219" s="670"/>
      <c r="AG219" s="278"/>
      <c r="AH219" s="361"/>
      <c r="AI219" s="362"/>
      <c r="AJ219" s="362"/>
      <c r="AK219" s="362"/>
      <c r="AL219" s="362"/>
      <c r="AM219" s="267" t="s">
        <v>2594</v>
      </c>
      <c r="AN219" s="513"/>
      <c r="AO219" s="528"/>
      <c r="AP219" s="472"/>
      <c r="AQ219" s="472"/>
      <c r="AR219" s="472"/>
      <c r="AS219" s="472"/>
      <c r="AT219" s="472"/>
      <c r="AU219" s="472"/>
      <c r="AV219" s="544">
        <f t="shared" si="93"/>
        <v>0</v>
      </c>
      <c r="AW219" s="528"/>
      <c r="AX219" s="472"/>
      <c r="AY219" s="472"/>
      <c r="AZ219" s="472"/>
      <c r="BA219" s="472"/>
      <c r="BB219" s="472"/>
      <c r="BC219" s="472"/>
      <c r="BD219" s="544">
        <f t="shared" si="94"/>
        <v>0</v>
      </c>
      <c r="BE219" s="528"/>
      <c r="BF219" s="472"/>
      <c r="BG219" s="472"/>
      <c r="BH219" s="472"/>
      <c r="BI219" s="472"/>
      <c r="BJ219" s="472"/>
      <c r="BK219" s="472"/>
      <c r="BL219" s="544">
        <f t="shared" si="95"/>
        <v>0</v>
      </c>
      <c r="BM219" s="528"/>
      <c r="BN219" s="472"/>
      <c r="BO219" s="472"/>
      <c r="BP219" s="472"/>
      <c r="BQ219" s="472"/>
      <c r="BR219" s="472"/>
      <c r="BS219" s="472"/>
      <c r="BT219" s="544">
        <f t="shared" si="96"/>
        <v>0</v>
      </c>
      <c r="BU219" s="556"/>
      <c r="BV219" s="663">
        <f t="shared" si="101"/>
        <v>0</v>
      </c>
      <c r="BW219" s="674">
        <f t="shared" si="102"/>
        <v>0</v>
      </c>
      <c r="BX219" s="674" t="e">
        <f t="shared" si="103"/>
        <v>#DIV/0!</v>
      </c>
      <c r="BY219" s="674">
        <f t="shared" si="104"/>
        <v>0</v>
      </c>
      <c r="BZ219" s="675">
        <f t="shared" si="105"/>
        <v>0</v>
      </c>
      <c r="CA219" s="675" t="e">
        <f t="shared" si="106"/>
        <v>#DIV/0!</v>
      </c>
    </row>
    <row r="220" spans="1:79" ht="63.75" hidden="1" x14ac:dyDescent="0.25">
      <c r="A220" s="298" t="s">
        <v>491</v>
      </c>
      <c r="B220" s="299" t="str">
        <f>'PLAN INDICATIVO'!B218</f>
        <v>Atención a grupos vulnerables - promoción social</v>
      </c>
      <c r="C220" s="1547"/>
      <c r="D220" s="1549"/>
      <c r="E220" s="1549"/>
      <c r="F220" s="1549"/>
      <c r="G220" s="1549"/>
      <c r="H220" s="1549"/>
      <c r="I220" s="300">
        <f>'PLAN INDICATIVO'!I218</f>
        <v>0</v>
      </c>
      <c r="J220" s="300">
        <f>'PLAN INDICATIVO'!J218</f>
        <v>0</v>
      </c>
      <c r="K220" s="1428" t="str">
        <f>'PLAN INDICATIVO'!K218</f>
        <v>A.14.5.8</v>
      </c>
      <c r="L220" s="301" t="str">
        <f>'PLAN INDICATIVO'!L218</f>
        <v>10. Reducción de las desigualdades</v>
      </c>
      <c r="M220" s="301" t="str">
        <f>'PLAN INDICATIVO'!M218</f>
        <v>Secretaría de Gobierno</v>
      </c>
      <c r="N220" s="1425" t="s">
        <v>2791</v>
      </c>
      <c r="O220" s="1425" t="str">
        <f>'PLAN INDICATIVO'!O218</f>
        <v>Incremento</v>
      </c>
      <c r="P220" s="16" t="str">
        <f>'PLAN INDICATIVO'!P218</f>
        <v>Realizar 1 foro educativo indígena durante el cuatrienio</v>
      </c>
      <c r="Q220" s="302" t="str">
        <f>'PLAN INDICATIVO'!Q218</f>
        <v>No. De foros realizados</v>
      </c>
      <c r="R220" s="303">
        <f>'PLAN INDICATIVO'!R218</f>
        <v>2015</v>
      </c>
      <c r="S220" s="304">
        <v>0</v>
      </c>
      <c r="T220" s="699">
        <v>1</v>
      </c>
      <c r="U220" s="303">
        <v>0</v>
      </c>
      <c r="V220" s="687"/>
      <c r="W220" s="303">
        <v>0</v>
      </c>
      <c r="X220" s="687"/>
      <c r="Y220" s="303">
        <v>1</v>
      </c>
      <c r="Z220" s="687">
        <v>500000</v>
      </c>
      <c r="AA220" s="303">
        <v>0</v>
      </c>
      <c r="AB220" s="687"/>
      <c r="AC220" s="669"/>
      <c r="AD220" s="669"/>
      <c r="AE220" s="669"/>
      <c r="AF220" s="669"/>
      <c r="AG220" s="277"/>
      <c r="AH220" s="355"/>
      <c r="AI220" s="358"/>
      <c r="AJ220" s="358"/>
      <c r="AK220" s="358"/>
      <c r="AL220" s="358"/>
      <c r="AM220" s="267" t="s">
        <v>2594</v>
      </c>
      <c r="AN220" s="512"/>
      <c r="AO220" s="525"/>
      <c r="AP220" s="310"/>
      <c r="AQ220" s="310"/>
      <c r="AR220" s="310"/>
      <c r="AS220" s="310"/>
      <c r="AT220" s="310"/>
      <c r="AU220" s="310"/>
      <c r="AV220" s="544">
        <f t="shared" si="93"/>
        <v>0</v>
      </c>
      <c r="AW220" s="525"/>
      <c r="AX220" s="310"/>
      <c r="AY220" s="310"/>
      <c r="AZ220" s="310"/>
      <c r="BA220" s="310"/>
      <c r="BB220" s="310"/>
      <c r="BC220" s="310"/>
      <c r="BD220" s="544">
        <f t="shared" si="94"/>
        <v>0</v>
      </c>
      <c r="BE220" s="525"/>
      <c r="BF220" s="310"/>
      <c r="BG220" s="310"/>
      <c r="BH220" s="310"/>
      <c r="BI220" s="310"/>
      <c r="BJ220" s="310"/>
      <c r="BK220" s="310"/>
      <c r="BL220" s="544">
        <f t="shared" si="95"/>
        <v>0</v>
      </c>
      <c r="BM220" s="525"/>
      <c r="BN220" s="310"/>
      <c r="BO220" s="310"/>
      <c r="BP220" s="310"/>
      <c r="BQ220" s="310"/>
      <c r="BR220" s="310"/>
      <c r="BS220" s="310"/>
      <c r="BT220" s="544">
        <f t="shared" si="96"/>
        <v>0</v>
      </c>
      <c r="BU220" s="556"/>
      <c r="BV220" s="663">
        <f t="shared" si="101"/>
        <v>0</v>
      </c>
      <c r="BW220" s="674">
        <f t="shared" si="102"/>
        <v>0</v>
      </c>
      <c r="BX220" s="674" t="e">
        <f t="shared" si="103"/>
        <v>#DIV/0!</v>
      </c>
      <c r="BY220" s="674" t="e">
        <f t="shared" si="104"/>
        <v>#DIV/0!</v>
      </c>
      <c r="BZ220" s="675">
        <f t="shared" si="105"/>
        <v>0</v>
      </c>
      <c r="CA220" s="675" t="e">
        <f t="shared" si="106"/>
        <v>#DIV/0!</v>
      </c>
    </row>
    <row r="221" spans="1:79" ht="63.75" hidden="1" x14ac:dyDescent="0.25">
      <c r="A221" s="298" t="s">
        <v>491</v>
      </c>
      <c r="B221" s="299" t="str">
        <f>'PLAN INDICATIVO'!B219</f>
        <v>Atención a grupos vulnerables - promoción social</v>
      </c>
      <c r="C221" s="1547"/>
      <c r="D221" s="1549"/>
      <c r="E221" s="1549"/>
      <c r="F221" s="1549"/>
      <c r="G221" s="1549"/>
      <c r="H221" s="1549"/>
      <c r="I221" s="1"/>
      <c r="J221" s="1"/>
      <c r="K221" s="370"/>
      <c r="L221" s="1"/>
      <c r="M221" s="1"/>
      <c r="N221" s="17"/>
      <c r="O221" s="1"/>
      <c r="P221" s="365" t="s">
        <v>689</v>
      </c>
      <c r="Q221" s="22"/>
      <c r="R221" s="1"/>
      <c r="S221" s="261"/>
      <c r="T221" s="681"/>
      <c r="U221" s="261"/>
      <c r="V221" s="689">
        <f>SUM(V222:V226)</f>
        <v>3000000</v>
      </c>
      <c r="W221" s="261"/>
      <c r="X221" s="689">
        <f>SUM(X222:X226)</f>
        <v>3000000</v>
      </c>
      <c r="Y221" s="261"/>
      <c r="Z221" s="689">
        <f>SUM(Z222:Z226)</f>
        <v>3000000</v>
      </c>
      <c r="AA221" s="261"/>
      <c r="AB221" s="689">
        <f>SUM(AB222:AB226)</f>
        <v>3000000</v>
      </c>
      <c r="AC221" s="261"/>
      <c r="AD221" s="261"/>
      <c r="AE221" s="261"/>
      <c r="AF221" s="261"/>
      <c r="AG221" s="273"/>
      <c r="AH221" s="273"/>
      <c r="AI221" s="261"/>
      <c r="AJ221" s="261"/>
      <c r="AK221" s="261"/>
      <c r="AL221" s="261"/>
      <c r="AM221" s="261"/>
      <c r="AN221" s="635"/>
      <c r="AO221" s="616" t="e">
        <f>(AO222:AO226)</f>
        <v>#VALUE!</v>
      </c>
      <c r="AP221" s="616" t="e">
        <f t="shared" ref="AP221:AU221" si="111">(AP222:AP226)</f>
        <v>#VALUE!</v>
      </c>
      <c r="AQ221" s="616" t="e">
        <f t="shared" si="111"/>
        <v>#VALUE!</v>
      </c>
      <c r="AR221" s="616" t="e">
        <f t="shared" si="111"/>
        <v>#VALUE!</v>
      </c>
      <c r="AS221" s="616" t="e">
        <f t="shared" si="111"/>
        <v>#VALUE!</v>
      </c>
      <c r="AT221" s="616" t="e">
        <f t="shared" si="111"/>
        <v>#VALUE!</v>
      </c>
      <c r="AU221" s="616" t="e">
        <f t="shared" si="111"/>
        <v>#VALUE!</v>
      </c>
      <c r="AV221" s="617" t="e">
        <f t="shared" si="93"/>
        <v>#VALUE!</v>
      </c>
      <c r="AW221" s="616" t="e">
        <f t="shared" ref="AW221:BC221" si="112">(AW222:AW226)</f>
        <v>#VALUE!</v>
      </c>
      <c r="AX221" s="616" t="e">
        <f t="shared" si="112"/>
        <v>#VALUE!</v>
      </c>
      <c r="AY221" s="616" t="e">
        <f t="shared" si="112"/>
        <v>#VALUE!</v>
      </c>
      <c r="AZ221" s="616" t="e">
        <f t="shared" si="112"/>
        <v>#VALUE!</v>
      </c>
      <c r="BA221" s="616" t="e">
        <f t="shared" si="112"/>
        <v>#VALUE!</v>
      </c>
      <c r="BB221" s="616" t="e">
        <f t="shared" si="112"/>
        <v>#VALUE!</v>
      </c>
      <c r="BC221" s="616" t="e">
        <f t="shared" si="112"/>
        <v>#VALUE!</v>
      </c>
      <c r="BD221" s="617" t="e">
        <f t="shared" si="94"/>
        <v>#VALUE!</v>
      </c>
      <c r="BE221" s="616" t="e">
        <f t="shared" ref="BE221:BK221" si="113">(BE222:BE226)</f>
        <v>#VALUE!</v>
      </c>
      <c r="BF221" s="616" t="e">
        <f t="shared" si="113"/>
        <v>#VALUE!</v>
      </c>
      <c r="BG221" s="616" t="e">
        <f t="shared" si="113"/>
        <v>#VALUE!</v>
      </c>
      <c r="BH221" s="616" t="e">
        <f t="shared" si="113"/>
        <v>#VALUE!</v>
      </c>
      <c r="BI221" s="616" t="e">
        <f t="shared" si="113"/>
        <v>#VALUE!</v>
      </c>
      <c r="BJ221" s="616" t="e">
        <f t="shared" si="113"/>
        <v>#VALUE!</v>
      </c>
      <c r="BK221" s="616" t="e">
        <f t="shared" si="113"/>
        <v>#VALUE!</v>
      </c>
      <c r="BL221" s="617" t="e">
        <f t="shared" si="95"/>
        <v>#VALUE!</v>
      </c>
      <c r="BM221" s="616" t="e">
        <f t="shared" ref="BM221:BS221" si="114">(BM222:BM226)</f>
        <v>#VALUE!</v>
      </c>
      <c r="BN221" s="616" t="e">
        <f t="shared" si="114"/>
        <v>#VALUE!</v>
      </c>
      <c r="BO221" s="616" t="e">
        <f t="shared" si="114"/>
        <v>#VALUE!</v>
      </c>
      <c r="BP221" s="616" t="e">
        <f t="shared" si="114"/>
        <v>#VALUE!</v>
      </c>
      <c r="BQ221" s="616" t="e">
        <f t="shared" si="114"/>
        <v>#VALUE!</v>
      </c>
      <c r="BR221" s="616" t="e">
        <f t="shared" si="114"/>
        <v>#VALUE!</v>
      </c>
      <c r="BS221" s="616" t="e">
        <f t="shared" si="114"/>
        <v>#VALUE!</v>
      </c>
      <c r="BT221" s="617" t="e">
        <f t="shared" si="96"/>
        <v>#VALUE!</v>
      </c>
      <c r="BU221" s="556"/>
      <c r="BV221" s="663">
        <f t="shared" si="101"/>
        <v>0</v>
      </c>
      <c r="BW221" s="674" t="e">
        <f t="shared" si="102"/>
        <v>#DIV/0!</v>
      </c>
      <c r="BX221" s="674" t="e">
        <f t="shared" si="103"/>
        <v>#DIV/0!</v>
      </c>
      <c r="BY221" s="674" t="e">
        <f t="shared" si="104"/>
        <v>#DIV/0!</v>
      </c>
      <c r="BZ221" s="675" t="e">
        <f t="shared" si="105"/>
        <v>#DIV/0!</v>
      </c>
      <c r="CA221" s="675" t="e">
        <f t="shared" si="106"/>
        <v>#DIV/0!</v>
      </c>
    </row>
    <row r="222" spans="1:79" ht="64.5" hidden="1" customHeight="1" x14ac:dyDescent="0.25">
      <c r="A222" s="298" t="s">
        <v>491</v>
      </c>
      <c r="B222" s="299" t="str">
        <f>'PLAN INDICATIVO'!B220</f>
        <v>Atención a grupos vulnerables - promoción social</v>
      </c>
      <c r="C222" s="1547"/>
      <c r="D222" s="1549"/>
      <c r="E222" s="1549"/>
      <c r="F222" s="1549"/>
      <c r="G222" s="1549"/>
      <c r="H222" s="1549"/>
      <c r="I222" s="300">
        <f>'PLAN INDICATIVO'!I220</f>
        <v>0</v>
      </c>
      <c r="J222" s="300">
        <f>'PLAN INDICATIVO'!J220</f>
        <v>0</v>
      </c>
      <c r="K222" s="1428" t="str">
        <f>'PLAN INDICATIVO'!K220</f>
        <v>A.14.5.9</v>
      </c>
      <c r="L222" s="301" t="str">
        <f>'PLAN INDICATIVO'!L220</f>
        <v>10. Reducción de las desigualdades</v>
      </c>
      <c r="M222" s="301" t="str">
        <f>'PLAN INDICATIVO'!M220</f>
        <v>Secretaría de Gobierno</v>
      </c>
      <c r="N222" s="1425" t="s">
        <v>2791</v>
      </c>
      <c r="O222" s="1425" t="str">
        <f>'PLAN INDICATIVO'!O220</f>
        <v>Incremento</v>
      </c>
      <c r="P222" s="16" t="str">
        <f>'PLAN INDICATIVO'!P220</f>
        <v>Realizar 4 capacitaciones durante el cuatrienio para mejorar cultura sobre derechos de población LGTBI</v>
      </c>
      <c r="Q222" s="302" t="str">
        <f>'PLAN INDICATIVO'!Q220</f>
        <v>No. De capacitaciones realizadas</v>
      </c>
      <c r="R222" s="303">
        <f>'PLAN INDICATIVO'!R220</f>
        <v>2015</v>
      </c>
      <c r="S222" s="304">
        <v>0</v>
      </c>
      <c r="T222" s="699">
        <v>4</v>
      </c>
      <c r="U222" s="303">
        <v>1</v>
      </c>
      <c r="V222" s="687">
        <v>1000000</v>
      </c>
      <c r="W222" s="303">
        <v>1</v>
      </c>
      <c r="X222" s="687">
        <v>600000</v>
      </c>
      <c r="Y222" s="303">
        <v>1</v>
      </c>
      <c r="Z222" s="687">
        <v>1000000</v>
      </c>
      <c r="AA222" s="303">
        <v>1</v>
      </c>
      <c r="AB222" s="687">
        <v>1000000</v>
      </c>
      <c r="AC222" s="669">
        <v>1</v>
      </c>
      <c r="AD222" s="669"/>
      <c r="AE222" s="669"/>
      <c r="AF222" s="669"/>
      <c r="AG222" s="341" t="s">
        <v>2802</v>
      </c>
      <c r="AH222" s="355" t="s">
        <v>2826</v>
      </c>
      <c r="AI222" s="363">
        <v>42482</v>
      </c>
      <c r="AJ222" s="363">
        <v>42482</v>
      </c>
      <c r="AK222" s="358"/>
      <c r="AL222" s="358"/>
      <c r="AM222" s="267" t="s">
        <v>2598</v>
      </c>
      <c r="AN222" s="512" t="s">
        <v>2827</v>
      </c>
      <c r="AO222" s="525"/>
      <c r="AP222" s="310">
        <v>2066000</v>
      </c>
      <c r="AQ222" s="310"/>
      <c r="AR222" s="310"/>
      <c r="AS222" s="310"/>
      <c r="AT222" s="310"/>
      <c r="AU222" s="310"/>
      <c r="AV222" s="544">
        <f t="shared" si="93"/>
        <v>2066000</v>
      </c>
      <c r="AW222" s="525"/>
      <c r="AX222" s="310"/>
      <c r="AY222" s="310"/>
      <c r="AZ222" s="310"/>
      <c r="BA222" s="310"/>
      <c r="BB222" s="310"/>
      <c r="BC222" s="310"/>
      <c r="BD222" s="544">
        <f t="shared" si="94"/>
        <v>0</v>
      </c>
      <c r="BE222" s="525"/>
      <c r="BF222" s="310"/>
      <c r="BG222" s="310"/>
      <c r="BH222" s="310"/>
      <c r="BI222" s="310"/>
      <c r="BJ222" s="310"/>
      <c r="BK222" s="310"/>
      <c r="BL222" s="544">
        <f t="shared" si="95"/>
        <v>0</v>
      </c>
      <c r="BM222" s="525"/>
      <c r="BN222" s="310"/>
      <c r="BO222" s="310"/>
      <c r="BP222" s="310"/>
      <c r="BQ222" s="310"/>
      <c r="BR222" s="310"/>
      <c r="BS222" s="310"/>
      <c r="BT222" s="544">
        <f t="shared" si="96"/>
        <v>0</v>
      </c>
      <c r="BU222" s="556"/>
      <c r="BV222" s="663">
        <f t="shared" si="101"/>
        <v>1</v>
      </c>
      <c r="BW222" s="674">
        <f t="shared" si="102"/>
        <v>0.25</v>
      </c>
      <c r="BX222" s="674">
        <f t="shared" si="103"/>
        <v>1</v>
      </c>
      <c r="BY222" s="674">
        <f t="shared" si="104"/>
        <v>0</v>
      </c>
      <c r="BZ222" s="675">
        <f t="shared" si="105"/>
        <v>0</v>
      </c>
      <c r="CA222" s="675">
        <f t="shared" si="106"/>
        <v>0</v>
      </c>
    </row>
    <row r="223" spans="1:79" ht="60" hidden="1" customHeight="1" x14ac:dyDescent="0.25">
      <c r="A223" s="298" t="s">
        <v>491</v>
      </c>
      <c r="B223" s="299" t="str">
        <f>'PLAN INDICATIVO'!B221</f>
        <v>Atención a grupos vulnerables - promoción social</v>
      </c>
      <c r="C223" s="1547"/>
      <c r="D223" s="1549"/>
      <c r="E223" s="1549"/>
      <c r="F223" s="1549"/>
      <c r="G223" s="1549"/>
      <c r="H223" s="1549"/>
      <c r="I223" s="300">
        <f>'PLAN INDICATIVO'!I221</f>
        <v>0</v>
      </c>
      <c r="J223" s="300">
        <f>'PLAN INDICATIVO'!J221</f>
        <v>0</v>
      </c>
      <c r="K223" s="1428" t="str">
        <f>'PLAN INDICATIVO'!K221</f>
        <v>A.14.5.10</v>
      </c>
      <c r="L223" s="301" t="str">
        <f>'PLAN INDICATIVO'!L221</f>
        <v>10. Reducción de las desigualdades</v>
      </c>
      <c r="M223" s="301" t="str">
        <f>'PLAN INDICATIVO'!M221</f>
        <v>Secretaría de Gobierno</v>
      </c>
      <c r="N223" s="1425" t="s">
        <v>2791</v>
      </c>
      <c r="O223" s="1425" t="str">
        <f>'PLAN INDICATIVO'!O221</f>
        <v>Incremento</v>
      </c>
      <c r="P223" s="16" t="str">
        <f>'PLAN INDICATIVO'!P221</f>
        <v>Realizar 4 Capacitaciones dirigidas a funcionarios municipales sobre promoción de derechos de población LGTBI durante el cuatrienio</v>
      </c>
      <c r="Q223" s="302" t="str">
        <f>'PLAN INDICATIVO'!Q221</f>
        <v>No. De capacitaciones realizadas</v>
      </c>
      <c r="R223" s="303">
        <f>'PLAN INDICATIVO'!R221</f>
        <v>2015</v>
      </c>
      <c r="S223" s="304">
        <v>0</v>
      </c>
      <c r="T223" s="699">
        <v>4</v>
      </c>
      <c r="U223" s="303">
        <v>1</v>
      </c>
      <c r="V223" s="687">
        <v>1000000</v>
      </c>
      <c r="W223" s="303">
        <v>1</v>
      </c>
      <c r="X223" s="687">
        <v>600000</v>
      </c>
      <c r="Y223" s="303">
        <v>1</v>
      </c>
      <c r="Z223" s="687">
        <v>1000000</v>
      </c>
      <c r="AA223" s="303">
        <v>1</v>
      </c>
      <c r="AB223" s="687">
        <v>1000000</v>
      </c>
      <c r="AC223" s="669">
        <v>1</v>
      </c>
      <c r="AD223" s="669"/>
      <c r="AE223" s="669"/>
      <c r="AF223" s="669"/>
      <c r="AG223" s="341" t="s">
        <v>2802</v>
      </c>
      <c r="AH223" s="355" t="s">
        <v>2828</v>
      </c>
      <c r="AI223" s="363">
        <v>42467</v>
      </c>
      <c r="AJ223" s="363">
        <v>42467</v>
      </c>
      <c r="AK223" s="358"/>
      <c r="AL223" s="358"/>
      <c r="AM223" s="267" t="s">
        <v>2598</v>
      </c>
      <c r="AN223" s="512" t="s">
        <v>2829</v>
      </c>
      <c r="AO223" s="525"/>
      <c r="AP223" s="310">
        <v>1500000</v>
      </c>
      <c r="AQ223" s="310"/>
      <c r="AR223" s="310"/>
      <c r="AS223" s="310"/>
      <c r="AT223" s="310"/>
      <c r="AU223" s="310"/>
      <c r="AV223" s="544">
        <f t="shared" si="93"/>
        <v>1500000</v>
      </c>
      <c r="AW223" s="525"/>
      <c r="AX223" s="310"/>
      <c r="AY223" s="310"/>
      <c r="AZ223" s="310"/>
      <c r="BA223" s="310"/>
      <c r="BB223" s="310"/>
      <c r="BC223" s="310"/>
      <c r="BD223" s="544">
        <f t="shared" si="94"/>
        <v>0</v>
      </c>
      <c r="BE223" s="525"/>
      <c r="BF223" s="310"/>
      <c r="BG223" s="310"/>
      <c r="BH223" s="310"/>
      <c r="BI223" s="310"/>
      <c r="BJ223" s="310"/>
      <c r="BK223" s="310"/>
      <c r="BL223" s="544">
        <f t="shared" si="95"/>
        <v>0</v>
      </c>
      <c r="BM223" s="525"/>
      <c r="BN223" s="310"/>
      <c r="BO223" s="310"/>
      <c r="BP223" s="310"/>
      <c r="BQ223" s="310"/>
      <c r="BR223" s="310"/>
      <c r="BS223" s="310"/>
      <c r="BT223" s="544">
        <f t="shared" si="96"/>
        <v>0</v>
      </c>
      <c r="BU223" s="556"/>
      <c r="BV223" s="663">
        <f t="shared" si="101"/>
        <v>1</v>
      </c>
      <c r="BW223" s="674">
        <f t="shared" si="102"/>
        <v>0.25</v>
      </c>
      <c r="BX223" s="674">
        <f t="shared" si="103"/>
        <v>1</v>
      </c>
      <c r="BY223" s="674">
        <f t="shared" si="104"/>
        <v>0</v>
      </c>
      <c r="BZ223" s="675">
        <f t="shared" si="105"/>
        <v>0</v>
      </c>
      <c r="CA223" s="675">
        <f t="shared" si="106"/>
        <v>0</v>
      </c>
    </row>
    <row r="224" spans="1:79" ht="89.25" hidden="1" x14ac:dyDescent="0.25">
      <c r="A224" s="298" t="s">
        <v>491</v>
      </c>
      <c r="B224" s="299" t="str">
        <f>'PLAN INDICATIVO'!B222</f>
        <v>Atención a grupos vulnerables - promoción social</v>
      </c>
      <c r="C224" s="1547"/>
      <c r="D224" s="1549"/>
      <c r="E224" s="1549"/>
      <c r="F224" s="1549"/>
      <c r="G224" s="1549"/>
      <c r="H224" s="1549"/>
      <c r="I224" s="300">
        <f>'PLAN INDICATIVO'!I222</f>
        <v>0</v>
      </c>
      <c r="J224" s="300">
        <f>'PLAN INDICATIVO'!J222</f>
        <v>0</v>
      </c>
      <c r="K224" s="1428" t="str">
        <f>'PLAN INDICATIVO'!K222</f>
        <v>A.14.5.11</v>
      </c>
      <c r="L224" s="301" t="str">
        <f>'PLAN INDICATIVO'!L222</f>
        <v>10. Reducción de las desigualdades</v>
      </c>
      <c r="M224" s="301" t="str">
        <f>'PLAN INDICATIVO'!M222</f>
        <v>Secretaría de Gobierno</v>
      </c>
      <c r="N224" s="1425" t="s">
        <v>2791</v>
      </c>
      <c r="O224" s="1425" t="str">
        <f>'PLAN INDICATIVO'!O222</f>
        <v>Incremento</v>
      </c>
      <c r="P224" s="16" t="str">
        <f>'PLAN INDICATIVO'!P222</f>
        <v>Establecer 1 protocolo de atención a población LGTBI y con divulgación durante el cuatrienio</v>
      </c>
      <c r="Q224" s="302" t="str">
        <f>'PLAN INDICATIVO'!Q222</f>
        <v>No. De Protocolos de atención establecidos</v>
      </c>
      <c r="R224" s="303">
        <f>'PLAN INDICATIVO'!R222</f>
        <v>2015</v>
      </c>
      <c r="S224" s="304">
        <v>0</v>
      </c>
      <c r="T224" s="699">
        <v>1</v>
      </c>
      <c r="U224" s="303">
        <v>0</v>
      </c>
      <c r="V224" s="687"/>
      <c r="W224" s="303">
        <v>1</v>
      </c>
      <c r="X224" s="687">
        <v>600000</v>
      </c>
      <c r="Y224" s="303">
        <v>0</v>
      </c>
      <c r="Z224" s="687"/>
      <c r="AA224" s="303">
        <v>0</v>
      </c>
      <c r="AB224" s="687"/>
      <c r="AC224" s="669"/>
      <c r="AD224" s="669"/>
      <c r="AE224" s="669"/>
      <c r="AF224" s="669"/>
      <c r="AG224" s="277"/>
      <c r="AH224" s="355"/>
      <c r="AI224" s="358"/>
      <c r="AJ224" s="358"/>
      <c r="AK224" s="358"/>
      <c r="AL224" s="358"/>
      <c r="AM224" s="267" t="s">
        <v>2594</v>
      </c>
      <c r="AN224" s="512"/>
      <c r="AO224" s="525"/>
      <c r="AP224" s="310"/>
      <c r="AQ224" s="310"/>
      <c r="AR224" s="310"/>
      <c r="AS224" s="310"/>
      <c r="AT224" s="310"/>
      <c r="AU224" s="310"/>
      <c r="AV224" s="544">
        <f t="shared" si="93"/>
        <v>0</v>
      </c>
      <c r="AW224" s="525"/>
      <c r="AX224" s="310"/>
      <c r="AY224" s="310"/>
      <c r="AZ224" s="310"/>
      <c r="BA224" s="310"/>
      <c r="BB224" s="310"/>
      <c r="BC224" s="310"/>
      <c r="BD224" s="544">
        <f t="shared" si="94"/>
        <v>0</v>
      </c>
      <c r="BE224" s="525"/>
      <c r="BF224" s="310"/>
      <c r="BG224" s="310"/>
      <c r="BH224" s="310"/>
      <c r="BI224" s="310"/>
      <c r="BJ224" s="310"/>
      <c r="BK224" s="310"/>
      <c r="BL224" s="544">
        <f t="shared" si="95"/>
        <v>0</v>
      </c>
      <c r="BM224" s="525"/>
      <c r="BN224" s="310"/>
      <c r="BO224" s="310"/>
      <c r="BP224" s="310"/>
      <c r="BQ224" s="310"/>
      <c r="BR224" s="310"/>
      <c r="BS224" s="310"/>
      <c r="BT224" s="544">
        <f t="shared" si="96"/>
        <v>0</v>
      </c>
      <c r="BU224" s="556"/>
      <c r="BV224" s="663">
        <f t="shared" si="101"/>
        <v>0</v>
      </c>
      <c r="BW224" s="674">
        <f t="shared" si="102"/>
        <v>0</v>
      </c>
      <c r="BX224" s="674" t="e">
        <f t="shared" si="103"/>
        <v>#DIV/0!</v>
      </c>
      <c r="BY224" s="674">
        <f t="shared" si="104"/>
        <v>0</v>
      </c>
      <c r="BZ224" s="675" t="e">
        <f t="shared" si="105"/>
        <v>#DIV/0!</v>
      </c>
      <c r="CA224" s="675" t="e">
        <f t="shared" si="106"/>
        <v>#DIV/0!</v>
      </c>
    </row>
    <row r="225" spans="1:79" ht="76.5" hidden="1" x14ac:dyDescent="0.25">
      <c r="A225" s="298" t="s">
        <v>491</v>
      </c>
      <c r="B225" s="299" t="str">
        <f>'PLAN INDICATIVO'!B223</f>
        <v>Atención a grupos vulnerables - promoción social</v>
      </c>
      <c r="C225" s="1547"/>
      <c r="D225" s="1549"/>
      <c r="E225" s="1549"/>
      <c r="F225" s="1549"/>
      <c r="G225" s="1549"/>
      <c r="H225" s="1549"/>
      <c r="I225" s="300">
        <f>'PLAN INDICATIVO'!I223</f>
        <v>0</v>
      </c>
      <c r="J225" s="300">
        <f>'PLAN INDICATIVO'!J223</f>
        <v>0</v>
      </c>
      <c r="K225" s="1428" t="str">
        <f>'PLAN INDICATIVO'!K223</f>
        <v>A.14.5.12</v>
      </c>
      <c r="L225" s="301" t="str">
        <f>'PLAN INDICATIVO'!L223</f>
        <v>10. Reducción de las desigualdades</v>
      </c>
      <c r="M225" s="301" t="str">
        <f>'PLAN INDICATIVO'!M223</f>
        <v>Secretaría de Gobierno</v>
      </c>
      <c r="N225" s="1425" t="s">
        <v>2791</v>
      </c>
      <c r="O225" s="1425" t="str">
        <f>'PLAN INDICATIVO'!O223</f>
        <v>Incremento</v>
      </c>
      <c r="P225" s="16" t="str">
        <f>'PLAN INDICATIVO'!P223</f>
        <v>Realizar 1 oferta mediante el programa capital semilla a población LGTBI, para acceso a programas de desarrollo económico durante el cuatrienio</v>
      </c>
      <c r="Q225" s="302" t="str">
        <f>'PLAN INDICATIVO'!Q223</f>
        <v xml:space="preserve">No. de ofertas realizadas </v>
      </c>
      <c r="R225" s="303">
        <f>'PLAN INDICATIVO'!R223</f>
        <v>2015</v>
      </c>
      <c r="S225" s="304">
        <v>0</v>
      </c>
      <c r="T225" s="699">
        <v>1</v>
      </c>
      <c r="U225" s="303">
        <v>0</v>
      </c>
      <c r="V225" s="687"/>
      <c r="W225" s="303">
        <v>1</v>
      </c>
      <c r="X225" s="687">
        <v>600000</v>
      </c>
      <c r="Y225" s="303">
        <v>0</v>
      </c>
      <c r="Z225" s="687"/>
      <c r="AA225" s="303">
        <v>0</v>
      </c>
      <c r="AB225" s="687"/>
      <c r="AC225" s="669"/>
      <c r="AD225" s="669"/>
      <c r="AE225" s="669"/>
      <c r="AF225" s="669"/>
      <c r="AG225" s="277"/>
      <c r="AH225" s="355"/>
      <c r="AI225" s="358"/>
      <c r="AJ225" s="358"/>
      <c r="AK225" s="358"/>
      <c r="AL225" s="358"/>
      <c r="AM225" s="267" t="s">
        <v>2594</v>
      </c>
      <c r="AN225" s="512"/>
      <c r="AO225" s="525"/>
      <c r="AP225" s="310"/>
      <c r="AQ225" s="310"/>
      <c r="AR225" s="310"/>
      <c r="AS225" s="310"/>
      <c r="AT225" s="310"/>
      <c r="AU225" s="310"/>
      <c r="AV225" s="544">
        <f t="shared" si="93"/>
        <v>0</v>
      </c>
      <c r="AW225" s="525"/>
      <c r="AX225" s="310"/>
      <c r="AY225" s="310"/>
      <c r="AZ225" s="310"/>
      <c r="BA225" s="310"/>
      <c r="BB225" s="310"/>
      <c r="BC225" s="310"/>
      <c r="BD225" s="544">
        <f t="shared" si="94"/>
        <v>0</v>
      </c>
      <c r="BE225" s="525"/>
      <c r="BF225" s="310"/>
      <c r="BG225" s="310"/>
      <c r="BH225" s="310"/>
      <c r="BI225" s="310"/>
      <c r="BJ225" s="310"/>
      <c r="BK225" s="310"/>
      <c r="BL225" s="544">
        <f t="shared" si="95"/>
        <v>0</v>
      </c>
      <c r="BM225" s="525"/>
      <c r="BN225" s="310"/>
      <c r="BO225" s="310"/>
      <c r="BP225" s="310"/>
      <c r="BQ225" s="310"/>
      <c r="BR225" s="310"/>
      <c r="BS225" s="310"/>
      <c r="BT225" s="544">
        <f t="shared" si="96"/>
        <v>0</v>
      </c>
      <c r="BU225" s="556"/>
      <c r="BV225" s="663">
        <f t="shared" si="101"/>
        <v>0</v>
      </c>
      <c r="BW225" s="674">
        <f t="shared" si="102"/>
        <v>0</v>
      </c>
      <c r="BX225" s="674" t="e">
        <f t="shared" si="103"/>
        <v>#DIV/0!</v>
      </c>
      <c r="BY225" s="674">
        <f t="shared" si="104"/>
        <v>0</v>
      </c>
      <c r="BZ225" s="675" t="e">
        <f t="shared" si="105"/>
        <v>#DIV/0!</v>
      </c>
      <c r="CA225" s="675" t="e">
        <f t="shared" si="106"/>
        <v>#DIV/0!</v>
      </c>
    </row>
    <row r="226" spans="1:79" ht="81" hidden="1" customHeight="1" x14ac:dyDescent="0.25">
      <c r="A226" s="298" t="s">
        <v>491</v>
      </c>
      <c r="B226" s="299" t="str">
        <f>'PLAN INDICATIVO'!B224</f>
        <v>Atención a grupos vulnerables - promoción social</v>
      </c>
      <c r="C226" s="1547"/>
      <c r="D226" s="1549"/>
      <c r="E226" s="1549"/>
      <c r="F226" s="1549"/>
      <c r="G226" s="1549"/>
      <c r="H226" s="1549"/>
      <c r="I226" s="300">
        <f>'PLAN INDICATIVO'!I224</f>
        <v>0</v>
      </c>
      <c r="J226" s="300">
        <f>'PLAN INDICATIVO'!J224</f>
        <v>0</v>
      </c>
      <c r="K226" s="1428" t="str">
        <f>'PLAN INDICATIVO'!K224</f>
        <v>A.14.5.13</v>
      </c>
      <c r="L226" s="301" t="str">
        <f>'PLAN INDICATIVO'!L224</f>
        <v>10. Reducción de las desigualdades</v>
      </c>
      <c r="M226" s="301" t="str">
        <f>'PLAN INDICATIVO'!M224</f>
        <v>Secretaría de Gobierno</v>
      </c>
      <c r="N226" s="1425" t="s">
        <v>2791</v>
      </c>
      <c r="O226" s="1425" t="str">
        <f>'PLAN INDICATIVO'!O224</f>
        <v>Incremento</v>
      </c>
      <c r="P226" s="16" t="str">
        <f>'PLAN INDICATIVO'!P224</f>
        <v>Realizar 8 socializaciones en Articulación con la secretaria de salud sobre la realidades de la población LGTBI    durante  el cuatrienio</v>
      </c>
      <c r="Q226" s="302" t="str">
        <f>'PLAN INDICATIVO'!Q224</f>
        <v>No.  De socializaciones realizadas</v>
      </c>
      <c r="R226" s="303">
        <f>'PLAN INDICATIVO'!R224</f>
        <v>2015</v>
      </c>
      <c r="S226" s="304">
        <v>0</v>
      </c>
      <c r="T226" s="699">
        <v>8</v>
      </c>
      <c r="U226" s="303">
        <v>2</v>
      </c>
      <c r="V226" s="687">
        <v>1000000</v>
      </c>
      <c r="W226" s="303">
        <v>2</v>
      </c>
      <c r="X226" s="687">
        <v>600000</v>
      </c>
      <c r="Y226" s="303">
        <v>2</v>
      </c>
      <c r="Z226" s="687">
        <v>1000000</v>
      </c>
      <c r="AA226" s="303">
        <v>2</v>
      </c>
      <c r="AB226" s="687">
        <v>1000000</v>
      </c>
      <c r="AC226" s="669">
        <v>2</v>
      </c>
      <c r="AD226" s="669"/>
      <c r="AE226" s="669"/>
      <c r="AF226" s="669"/>
      <c r="AG226" s="341" t="s">
        <v>2802</v>
      </c>
      <c r="AH226" s="355" t="s">
        <v>2830</v>
      </c>
      <c r="AI226" s="363">
        <v>42475</v>
      </c>
      <c r="AJ226" s="363">
        <v>42483</v>
      </c>
      <c r="AK226" s="358"/>
      <c r="AL226" s="358"/>
      <c r="AM226" s="267" t="s">
        <v>2598</v>
      </c>
      <c r="AN226" s="512" t="s">
        <v>2829</v>
      </c>
      <c r="AO226" s="525"/>
      <c r="AP226" s="310">
        <v>1500000</v>
      </c>
      <c r="AQ226" s="310"/>
      <c r="AR226" s="310"/>
      <c r="AS226" s="310"/>
      <c r="AT226" s="310"/>
      <c r="AU226" s="310"/>
      <c r="AV226" s="544">
        <f t="shared" si="93"/>
        <v>1500000</v>
      </c>
      <c r="AW226" s="525"/>
      <c r="AX226" s="310"/>
      <c r="AY226" s="310"/>
      <c r="AZ226" s="310"/>
      <c r="BA226" s="310"/>
      <c r="BB226" s="310"/>
      <c r="BC226" s="310"/>
      <c r="BD226" s="544">
        <f t="shared" si="94"/>
        <v>0</v>
      </c>
      <c r="BE226" s="525"/>
      <c r="BF226" s="310"/>
      <c r="BG226" s="310"/>
      <c r="BH226" s="310"/>
      <c r="BI226" s="310"/>
      <c r="BJ226" s="310"/>
      <c r="BK226" s="310"/>
      <c r="BL226" s="544">
        <f t="shared" si="95"/>
        <v>0</v>
      </c>
      <c r="BM226" s="525"/>
      <c r="BN226" s="310"/>
      <c r="BO226" s="310"/>
      <c r="BP226" s="310"/>
      <c r="BQ226" s="310"/>
      <c r="BR226" s="310"/>
      <c r="BS226" s="310"/>
      <c r="BT226" s="544">
        <f t="shared" si="96"/>
        <v>0</v>
      </c>
      <c r="BU226" s="556"/>
      <c r="BV226" s="663">
        <f t="shared" si="101"/>
        <v>2</v>
      </c>
      <c r="BW226" s="674">
        <f t="shared" si="102"/>
        <v>0.25</v>
      </c>
      <c r="BX226" s="674">
        <f t="shared" si="103"/>
        <v>1</v>
      </c>
      <c r="BY226" s="674">
        <f t="shared" si="104"/>
        <v>0</v>
      </c>
      <c r="BZ226" s="675">
        <f t="shared" si="105"/>
        <v>0</v>
      </c>
      <c r="CA226" s="675">
        <f t="shared" si="106"/>
        <v>0</v>
      </c>
    </row>
    <row r="227" spans="1:79" ht="21.75" hidden="1" customHeight="1" x14ac:dyDescent="0.25">
      <c r="A227" s="298" t="s">
        <v>491</v>
      </c>
      <c r="B227" s="299" t="str">
        <f>'PLAN INDICATIVO'!B225</f>
        <v>Atención a grupos vulnerables - promoción social</v>
      </c>
      <c r="C227" s="1547"/>
      <c r="D227" s="1549"/>
      <c r="E227" s="1549"/>
      <c r="F227" s="1549"/>
      <c r="G227" s="1549"/>
      <c r="H227" s="1549"/>
      <c r="I227" s="17"/>
      <c r="J227" s="17"/>
      <c r="K227" s="370"/>
      <c r="L227" s="17"/>
      <c r="M227" s="17"/>
      <c r="N227" s="17"/>
      <c r="O227" s="17"/>
      <c r="P227" s="369" t="s">
        <v>703</v>
      </c>
      <c r="Q227" s="25"/>
      <c r="R227" s="17"/>
      <c r="S227" s="270"/>
      <c r="T227" s="677"/>
      <c r="U227" s="270"/>
      <c r="V227" s="705">
        <f>SUM(V228:V234)</f>
        <v>40000000</v>
      </c>
      <c r="W227" s="270"/>
      <c r="X227" s="705">
        <f>SUM(X228:X234)</f>
        <v>40000000</v>
      </c>
      <c r="Y227" s="270"/>
      <c r="Z227" s="705">
        <f>SUM(Z228:Z234)</f>
        <v>40000000</v>
      </c>
      <c r="AA227" s="270"/>
      <c r="AB227" s="705">
        <f>SUM(AB228:AB234)</f>
        <v>40000000</v>
      </c>
      <c r="AC227" s="270"/>
      <c r="AD227" s="270"/>
      <c r="AE227" s="270"/>
      <c r="AF227" s="270"/>
      <c r="AG227" s="279"/>
      <c r="AH227" s="279"/>
      <c r="AI227" s="270"/>
      <c r="AJ227" s="270"/>
      <c r="AK227" s="270"/>
      <c r="AL227" s="270"/>
      <c r="AM227" s="270"/>
      <c r="AN227" s="644"/>
      <c r="AO227" s="616" t="e">
        <f>(AO228:AO234)</f>
        <v>#VALUE!</v>
      </c>
      <c r="AP227" s="616" t="e">
        <f t="shared" ref="AP227:AU227" si="115">(AP228:AP234)</f>
        <v>#VALUE!</v>
      </c>
      <c r="AQ227" s="616" t="e">
        <f t="shared" si="115"/>
        <v>#VALUE!</v>
      </c>
      <c r="AR227" s="616" t="e">
        <f t="shared" si="115"/>
        <v>#VALUE!</v>
      </c>
      <c r="AS227" s="616" t="e">
        <f t="shared" si="115"/>
        <v>#VALUE!</v>
      </c>
      <c r="AT227" s="616" t="e">
        <f t="shared" si="115"/>
        <v>#VALUE!</v>
      </c>
      <c r="AU227" s="616" t="e">
        <f t="shared" si="115"/>
        <v>#VALUE!</v>
      </c>
      <c r="AV227" s="617" t="e">
        <f t="shared" si="93"/>
        <v>#VALUE!</v>
      </c>
      <c r="AW227" s="616" t="e">
        <f t="shared" ref="AW227:BC227" si="116">(AW228:AW234)</f>
        <v>#VALUE!</v>
      </c>
      <c r="AX227" s="616" t="e">
        <f t="shared" si="116"/>
        <v>#VALUE!</v>
      </c>
      <c r="AY227" s="616" t="e">
        <f t="shared" si="116"/>
        <v>#VALUE!</v>
      </c>
      <c r="AZ227" s="616" t="e">
        <f t="shared" si="116"/>
        <v>#VALUE!</v>
      </c>
      <c r="BA227" s="616" t="e">
        <f t="shared" si="116"/>
        <v>#VALUE!</v>
      </c>
      <c r="BB227" s="616" t="e">
        <f t="shared" si="116"/>
        <v>#VALUE!</v>
      </c>
      <c r="BC227" s="616" t="e">
        <f t="shared" si="116"/>
        <v>#VALUE!</v>
      </c>
      <c r="BD227" s="617" t="e">
        <f t="shared" si="94"/>
        <v>#VALUE!</v>
      </c>
      <c r="BE227" s="616" t="e">
        <f t="shared" ref="BE227:BK227" si="117">(BE228:BE234)</f>
        <v>#VALUE!</v>
      </c>
      <c r="BF227" s="616" t="e">
        <f t="shared" si="117"/>
        <v>#VALUE!</v>
      </c>
      <c r="BG227" s="616" t="e">
        <f t="shared" si="117"/>
        <v>#VALUE!</v>
      </c>
      <c r="BH227" s="616" t="e">
        <f t="shared" si="117"/>
        <v>#VALUE!</v>
      </c>
      <c r="BI227" s="616" t="e">
        <f t="shared" si="117"/>
        <v>#VALUE!</v>
      </c>
      <c r="BJ227" s="616" t="e">
        <f t="shared" si="117"/>
        <v>#VALUE!</v>
      </c>
      <c r="BK227" s="616" t="e">
        <f t="shared" si="117"/>
        <v>#VALUE!</v>
      </c>
      <c r="BL227" s="617" t="e">
        <f t="shared" si="95"/>
        <v>#VALUE!</v>
      </c>
      <c r="BM227" s="616" t="e">
        <f t="shared" ref="BM227:BS227" si="118">(BM228:BM234)</f>
        <v>#VALUE!</v>
      </c>
      <c r="BN227" s="616" t="e">
        <f t="shared" si="118"/>
        <v>#VALUE!</v>
      </c>
      <c r="BO227" s="616" t="e">
        <f t="shared" si="118"/>
        <v>#VALUE!</v>
      </c>
      <c r="BP227" s="616" t="e">
        <f t="shared" si="118"/>
        <v>#VALUE!</v>
      </c>
      <c r="BQ227" s="616" t="e">
        <f t="shared" si="118"/>
        <v>#VALUE!</v>
      </c>
      <c r="BR227" s="616" t="e">
        <f t="shared" si="118"/>
        <v>#VALUE!</v>
      </c>
      <c r="BS227" s="616" t="e">
        <f t="shared" si="118"/>
        <v>#VALUE!</v>
      </c>
      <c r="BT227" s="617" t="e">
        <f t="shared" si="96"/>
        <v>#VALUE!</v>
      </c>
      <c r="BU227" s="556"/>
      <c r="BV227" s="663">
        <f t="shared" si="101"/>
        <v>0</v>
      </c>
      <c r="BW227" s="674" t="e">
        <f t="shared" si="102"/>
        <v>#DIV/0!</v>
      </c>
      <c r="BX227" s="674" t="e">
        <f t="shared" si="103"/>
        <v>#DIV/0!</v>
      </c>
      <c r="BY227" s="674" t="e">
        <f t="shared" si="104"/>
        <v>#DIV/0!</v>
      </c>
      <c r="BZ227" s="675" t="e">
        <f t="shared" si="105"/>
        <v>#DIV/0!</v>
      </c>
      <c r="CA227" s="675" t="e">
        <f t="shared" si="106"/>
        <v>#DIV/0!</v>
      </c>
    </row>
    <row r="228" spans="1:79" ht="87" hidden="1" customHeight="1" x14ac:dyDescent="0.25">
      <c r="A228" s="298" t="s">
        <v>491</v>
      </c>
      <c r="B228" s="299" t="str">
        <f>'PLAN INDICATIVO'!B226</f>
        <v>Atención a grupos vulnerables - promoción social</v>
      </c>
      <c r="C228" s="1547"/>
      <c r="D228" s="1549"/>
      <c r="E228" s="1549"/>
      <c r="F228" s="1549"/>
      <c r="G228" s="1549"/>
      <c r="H228" s="1549"/>
      <c r="I228" s="300">
        <f>'PLAN INDICATIVO'!I226</f>
        <v>0</v>
      </c>
      <c r="J228" s="300">
        <f>'PLAN INDICATIVO'!J226</f>
        <v>0</v>
      </c>
      <c r="K228" s="1428" t="str">
        <f>'PLAN INDICATIVO'!K226</f>
        <v>A.14.5.14</v>
      </c>
      <c r="L228" s="301" t="str">
        <f>'PLAN INDICATIVO'!L226</f>
        <v>10. Reducción de las desigualdades</v>
      </c>
      <c r="M228" s="301" t="str">
        <f>'PLAN INDICATIVO'!M226</f>
        <v>Secretaría de Gobierno</v>
      </c>
      <c r="N228" s="1425" t="s">
        <v>2791</v>
      </c>
      <c r="O228" s="1425" t="str">
        <f>'PLAN INDICATIVO'!O226</f>
        <v>Incremento</v>
      </c>
      <c r="P228" s="16" t="str">
        <f>'PLAN INDICATIVO'!P226</f>
        <v xml:space="preserve">Realizar 4 seguimientos y evaluación de la política pública para personas con discapacidad, durante el cuatrienio </v>
      </c>
      <c r="Q228" s="302" t="str">
        <f>'PLAN INDICATIVO'!Q226</f>
        <v xml:space="preserve">No. de seguimientos realizados </v>
      </c>
      <c r="R228" s="303">
        <f>'PLAN INDICATIVO'!R226</f>
        <v>2015</v>
      </c>
      <c r="S228" s="304">
        <v>0</v>
      </c>
      <c r="T228" s="699">
        <v>4</v>
      </c>
      <c r="U228" s="303">
        <v>1</v>
      </c>
      <c r="V228" s="687">
        <v>20000000</v>
      </c>
      <c r="W228" s="303">
        <v>1</v>
      </c>
      <c r="X228" s="687">
        <v>20000000</v>
      </c>
      <c r="Y228" s="303">
        <v>1</v>
      </c>
      <c r="Z228" s="687">
        <v>20000000</v>
      </c>
      <c r="AA228" s="303">
        <v>1</v>
      </c>
      <c r="AB228" s="687">
        <v>20000000</v>
      </c>
      <c r="AC228" s="669">
        <v>1</v>
      </c>
      <c r="AD228" s="669"/>
      <c r="AE228" s="669"/>
      <c r="AF228" s="669"/>
      <c r="AG228" s="341" t="s">
        <v>2831</v>
      </c>
      <c r="AH228" s="355" t="s">
        <v>2832</v>
      </c>
      <c r="AI228" s="363">
        <v>42675</v>
      </c>
      <c r="AJ228" s="363">
        <v>42735</v>
      </c>
      <c r="AK228" s="358" t="s">
        <v>2833</v>
      </c>
      <c r="AL228" s="358"/>
      <c r="AM228" s="267" t="s">
        <v>2598</v>
      </c>
      <c r="AN228" s="512">
        <v>231407041</v>
      </c>
      <c r="AO228" s="720">
        <v>4533350</v>
      </c>
      <c r="AP228" s="310"/>
      <c r="AQ228" s="310"/>
      <c r="AR228" s="310"/>
      <c r="AS228" s="310"/>
      <c r="AT228" s="310"/>
      <c r="AU228" s="310"/>
      <c r="AV228" s="544">
        <f t="shared" si="93"/>
        <v>4533350</v>
      </c>
      <c r="AW228" s="525"/>
      <c r="AX228" s="310"/>
      <c r="AY228" s="310"/>
      <c r="AZ228" s="310"/>
      <c r="BA228" s="310"/>
      <c r="BB228" s="310"/>
      <c r="BC228" s="310"/>
      <c r="BD228" s="544">
        <f t="shared" si="94"/>
        <v>0</v>
      </c>
      <c r="BE228" s="525"/>
      <c r="BF228" s="310"/>
      <c r="BG228" s="310"/>
      <c r="BH228" s="310"/>
      <c r="BI228" s="310"/>
      <c r="BJ228" s="310"/>
      <c r="BK228" s="310"/>
      <c r="BL228" s="544">
        <f t="shared" si="95"/>
        <v>0</v>
      </c>
      <c r="BM228" s="525"/>
      <c r="BN228" s="310"/>
      <c r="BO228" s="310"/>
      <c r="BP228" s="310"/>
      <c r="BQ228" s="310"/>
      <c r="BR228" s="310"/>
      <c r="BS228" s="310"/>
      <c r="BT228" s="544">
        <f t="shared" si="96"/>
        <v>0</v>
      </c>
      <c r="BU228" s="556"/>
      <c r="BV228" s="663">
        <f t="shared" si="101"/>
        <v>1</v>
      </c>
      <c r="BW228" s="674">
        <f t="shared" si="102"/>
        <v>0.25</v>
      </c>
      <c r="BX228" s="674">
        <f t="shared" si="103"/>
        <v>1</v>
      </c>
      <c r="BY228" s="674">
        <f t="shared" si="104"/>
        <v>0</v>
      </c>
      <c r="BZ228" s="675">
        <f t="shared" si="105"/>
        <v>0</v>
      </c>
      <c r="CA228" s="675">
        <f t="shared" si="106"/>
        <v>0</v>
      </c>
    </row>
    <row r="229" spans="1:79" ht="79.5" hidden="1" customHeight="1" x14ac:dyDescent="0.25">
      <c r="A229" s="298" t="s">
        <v>491</v>
      </c>
      <c r="B229" s="299" t="str">
        <f>'PLAN INDICATIVO'!B227</f>
        <v>Atención a grupos vulnerables - promoción social</v>
      </c>
      <c r="C229" s="1547"/>
      <c r="D229" s="1549"/>
      <c r="E229" s="1549"/>
      <c r="F229" s="1549"/>
      <c r="G229" s="1549"/>
      <c r="H229" s="1549"/>
      <c r="I229" s="300">
        <f>'PLAN INDICATIVO'!I227</f>
        <v>0</v>
      </c>
      <c r="J229" s="300">
        <f>'PLAN INDICATIVO'!J227</f>
        <v>0</v>
      </c>
      <c r="K229" s="1428" t="str">
        <f>'PLAN INDICATIVO'!K227</f>
        <v>A.14.5.15</v>
      </c>
      <c r="L229" s="301" t="str">
        <f>'PLAN INDICATIVO'!L227</f>
        <v>10. Reducción de las desigualdades</v>
      </c>
      <c r="M229" s="301" t="str">
        <f>'PLAN INDICATIVO'!M227</f>
        <v>Secretaría de Gobierno</v>
      </c>
      <c r="N229" s="1425" t="s">
        <v>2791</v>
      </c>
      <c r="O229" s="1425" t="str">
        <f>'PLAN INDICATIVO'!O227</f>
        <v>Incremento</v>
      </c>
      <c r="P229" s="16" t="str">
        <f>'PLAN INDICATIVO'!P227</f>
        <v>Desarrollar 2 campañas durante el cuatrienio dirigido a promoción de la participación de la población con discapacidad en oferta institucional con enfoque diferencial</v>
      </c>
      <c r="Q229" s="302" t="str">
        <f>'PLAN INDICATIVO'!Q227</f>
        <v xml:space="preserve">No. de campañas realizadas </v>
      </c>
      <c r="R229" s="303">
        <f>'PLAN INDICATIVO'!R227</f>
        <v>2015</v>
      </c>
      <c r="S229" s="304">
        <v>0</v>
      </c>
      <c r="T229" s="699">
        <v>2</v>
      </c>
      <c r="U229" s="303">
        <v>1</v>
      </c>
      <c r="V229" s="687"/>
      <c r="W229" s="303">
        <v>0</v>
      </c>
      <c r="X229" s="687"/>
      <c r="Y229" s="303">
        <v>0</v>
      </c>
      <c r="Z229" s="687"/>
      <c r="AA229" s="303">
        <v>1</v>
      </c>
      <c r="AB229" s="687">
        <v>10000000</v>
      </c>
      <c r="AC229" s="669">
        <v>2</v>
      </c>
      <c r="AD229" s="669"/>
      <c r="AE229" s="669"/>
      <c r="AF229" s="669"/>
      <c r="AG229" s="739"/>
      <c r="AH229" s="738" t="s">
        <v>2834</v>
      </c>
      <c r="AI229" s="358"/>
      <c r="AJ229" s="358"/>
      <c r="AK229" s="358"/>
      <c r="AL229" s="358"/>
      <c r="AM229" s="267" t="s">
        <v>2598</v>
      </c>
      <c r="AN229" s="512"/>
      <c r="AO229" s="525"/>
      <c r="AP229" s="310"/>
      <c r="AQ229" s="310"/>
      <c r="AR229" s="310"/>
      <c r="AS229" s="310"/>
      <c r="AT229" s="310"/>
      <c r="AU229" s="310"/>
      <c r="AV229" s="544">
        <f t="shared" si="93"/>
        <v>0</v>
      </c>
      <c r="AW229" s="525"/>
      <c r="AX229" s="310"/>
      <c r="AY229" s="310"/>
      <c r="AZ229" s="310"/>
      <c r="BA229" s="310"/>
      <c r="BB229" s="310"/>
      <c r="BC229" s="310"/>
      <c r="BD229" s="544">
        <f t="shared" si="94"/>
        <v>0</v>
      </c>
      <c r="BE229" s="525"/>
      <c r="BF229" s="310"/>
      <c r="BG229" s="310"/>
      <c r="BH229" s="310"/>
      <c r="BI229" s="310"/>
      <c r="BJ229" s="310"/>
      <c r="BK229" s="310"/>
      <c r="BL229" s="544">
        <f t="shared" si="95"/>
        <v>0</v>
      </c>
      <c r="BM229" s="525"/>
      <c r="BN229" s="310"/>
      <c r="BO229" s="310"/>
      <c r="BP229" s="310"/>
      <c r="BQ229" s="310"/>
      <c r="BR229" s="310"/>
      <c r="BS229" s="310"/>
      <c r="BT229" s="544">
        <f t="shared" si="96"/>
        <v>0</v>
      </c>
      <c r="BU229" s="556"/>
      <c r="BV229" s="663">
        <f t="shared" si="101"/>
        <v>2</v>
      </c>
      <c r="BW229" s="674">
        <f t="shared" si="102"/>
        <v>1</v>
      </c>
      <c r="BX229" s="674">
        <f t="shared" si="103"/>
        <v>2</v>
      </c>
      <c r="BY229" s="674" t="e">
        <f t="shared" si="104"/>
        <v>#DIV/0!</v>
      </c>
      <c r="BZ229" s="675" t="e">
        <f t="shared" si="105"/>
        <v>#DIV/0!</v>
      </c>
      <c r="CA229" s="675">
        <f t="shared" si="106"/>
        <v>0</v>
      </c>
    </row>
    <row r="230" spans="1:79" ht="64.5" hidden="1" x14ac:dyDescent="0.25">
      <c r="A230" s="298" t="s">
        <v>491</v>
      </c>
      <c r="B230" s="299" t="str">
        <f>'PLAN INDICATIVO'!B228</f>
        <v>Atención a grupos vulnerables - promoción social</v>
      </c>
      <c r="C230" s="1547"/>
      <c r="D230" s="1549"/>
      <c r="E230" s="1549"/>
      <c r="F230" s="1549"/>
      <c r="G230" s="1549"/>
      <c r="H230" s="1549"/>
      <c r="I230" s="300">
        <f>'PLAN INDICATIVO'!I228</f>
        <v>0</v>
      </c>
      <c r="J230" s="300">
        <f>'PLAN INDICATIVO'!J228</f>
        <v>0</v>
      </c>
      <c r="K230" s="1428" t="str">
        <f>'PLAN INDICATIVO'!K228</f>
        <v>A.14.5.16</v>
      </c>
      <c r="L230" s="301" t="str">
        <f>'PLAN INDICATIVO'!L228</f>
        <v>10. Reducción de las desigualdades</v>
      </c>
      <c r="M230" s="301" t="str">
        <f>'PLAN INDICATIVO'!M228</f>
        <v>Secretaría de Gobierno</v>
      </c>
      <c r="N230" s="1425" t="s">
        <v>2791</v>
      </c>
      <c r="O230" s="1425" t="str">
        <f>'PLAN INDICATIVO'!O228</f>
        <v>Incremento</v>
      </c>
      <c r="P230" s="71" t="str">
        <f>'PLAN INDICATIVO'!P228</f>
        <v>Realizar 1 proyecto para ayudas técnicas durante el cuatrienio para fortalecer la atención a la población en situación de discapacidad</v>
      </c>
      <c r="Q230" s="302" t="str">
        <f>'PLAN INDICATIVO'!Q228</f>
        <v xml:space="preserve">No. de proyectos realizados </v>
      </c>
      <c r="R230" s="303">
        <f>'PLAN INDICATIVO'!R228</f>
        <v>2015</v>
      </c>
      <c r="S230" s="304">
        <v>0</v>
      </c>
      <c r="T230" s="699">
        <v>1</v>
      </c>
      <c r="U230" s="303">
        <v>0</v>
      </c>
      <c r="V230" s="687"/>
      <c r="W230" s="303">
        <v>0</v>
      </c>
      <c r="X230" s="687"/>
      <c r="Y230" s="303">
        <v>1</v>
      </c>
      <c r="Z230" s="687">
        <v>10000000</v>
      </c>
      <c r="AA230" s="303">
        <v>0</v>
      </c>
      <c r="AB230" s="687"/>
      <c r="AC230" s="669"/>
      <c r="AD230" s="669"/>
      <c r="AE230" s="669"/>
      <c r="AF230" s="669"/>
      <c r="AG230" s="277"/>
      <c r="AH230" s="355"/>
      <c r="AI230" s="358"/>
      <c r="AJ230" s="358"/>
      <c r="AK230" s="358"/>
      <c r="AL230" s="358"/>
      <c r="AM230" s="267" t="s">
        <v>2594</v>
      </c>
      <c r="AN230" s="512"/>
      <c r="AO230" s="525"/>
      <c r="AP230" s="310"/>
      <c r="AQ230" s="310"/>
      <c r="AR230" s="310"/>
      <c r="AS230" s="310"/>
      <c r="AT230" s="310"/>
      <c r="AU230" s="310"/>
      <c r="AV230" s="544">
        <f t="shared" si="93"/>
        <v>0</v>
      </c>
      <c r="AW230" s="525"/>
      <c r="AX230" s="310"/>
      <c r="AY230" s="310"/>
      <c r="AZ230" s="310"/>
      <c r="BA230" s="310"/>
      <c r="BB230" s="310"/>
      <c r="BC230" s="310"/>
      <c r="BD230" s="544">
        <f t="shared" si="94"/>
        <v>0</v>
      </c>
      <c r="BE230" s="525"/>
      <c r="BF230" s="310"/>
      <c r="BG230" s="310"/>
      <c r="BH230" s="310"/>
      <c r="BI230" s="310"/>
      <c r="BJ230" s="310"/>
      <c r="BK230" s="310"/>
      <c r="BL230" s="544">
        <f t="shared" si="95"/>
        <v>0</v>
      </c>
      <c r="BM230" s="525"/>
      <c r="BN230" s="310"/>
      <c r="BO230" s="310"/>
      <c r="BP230" s="310"/>
      <c r="BQ230" s="310"/>
      <c r="BR230" s="310"/>
      <c r="BS230" s="310"/>
      <c r="BT230" s="544">
        <f t="shared" si="96"/>
        <v>0</v>
      </c>
      <c r="BU230" s="556"/>
      <c r="BV230" s="663">
        <f t="shared" si="101"/>
        <v>0</v>
      </c>
      <c r="BW230" s="674">
        <f t="shared" si="102"/>
        <v>0</v>
      </c>
      <c r="BX230" s="674" t="e">
        <f t="shared" si="103"/>
        <v>#DIV/0!</v>
      </c>
      <c r="BY230" s="674" t="e">
        <f t="shared" si="104"/>
        <v>#DIV/0!</v>
      </c>
      <c r="BZ230" s="675">
        <f t="shared" si="105"/>
        <v>0</v>
      </c>
      <c r="CA230" s="675" t="e">
        <f t="shared" si="106"/>
        <v>#DIV/0!</v>
      </c>
    </row>
    <row r="231" spans="1:79" ht="56.25" hidden="1" customHeight="1" x14ac:dyDescent="0.25">
      <c r="A231" s="298" t="s">
        <v>491</v>
      </c>
      <c r="B231" s="299" t="str">
        <f>'PLAN INDICATIVO'!B229</f>
        <v>Atención a grupos vulnerables - promoción social</v>
      </c>
      <c r="C231" s="1547"/>
      <c r="D231" s="1549"/>
      <c r="E231" s="1549"/>
      <c r="F231" s="1549"/>
      <c r="G231" s="1549"/>
      <c r="H231" s="1549"/>
      <c r="I231" s="300">
        <f>'PLAN INDICATIVO'!I229</f>
        <v>0</v>
      </c>
      <c r="J231" s="300">
        <f>'PLAN INDICATIVO'!J229</f>
        <v>0</v>
      </c>
      <c r="K231" s="1428" t="str">
        <f>'PLAN INDICATIVO'!K229</f>
        <v>A.14.5.17</v>
      </c>
      <c r="L231" s="301" t="str">
        <f>'PLAN INDICATIVO'!L229</f>
        <v>10. Reducción de las desigualdades</v>
      </c>
      <c r="M231" s="301" t="str">
        <f>'PLAN INDICATIVO'!M229</f>
        <v>Secretaría de Gobierno</v>
      </c>
      <c r="N231" s="1425" t="s">
        <v>2791</v>
      </c>
      <c r="O231" s="1425" t="str">
        <f>'PLAN INDICATIVO'!O229</f>
        <v>Incremento</v>
      </c>
      <c r="P231" s="71" t="str">
        <f>'PLAN INDICATIVO'!P229</f>
        <v xml:space="preserve">Realizar 4 celebraciones del día de la discapacidad, 2 de las fiestas tradicionales sampedrinas durante el cuatrienio. </v>
      </c>
      <c r="Q231" s="302" t="str">
        <f>'PLAN INDICATIVO'!Q229</f>
        <v xml:space="preserve">No. de celebraciones realizadas </v>
      </c>
      <c r="R231" s="303">
        <f>'PLAN INDICATIVO'!R229</f>
        <v>2015</v>
      </c>
      <c r="S231" s="304">
        <v>0</v>
      </c>
      <c r="T231" s="699">
        <v>4</v>
      </c>
      <c r="U231" s="303">
        <v>1</v>
      </c>
      <c r="V231" s="687">
        <v>20000000</v>
      </c>
      <c r="W231" s="303">
        <v>1</v>
      </c>
      <c r="X231" s="687">
        <v>20000000</v>
      </c>
      <c r="Y231" s="303">
        <v>1</v>
      </c>
      <c r="Z231" s="687">
        <v>10000000</v>
      </c>
      <c r="AA231" s="303">
        <v>1</v>
      </c>
      <c r="AB231" s="687">
        <v>5000000</v>
      </c>
      <c r="AC231" s="669">
        <v>1</v>
      </c>
      <c r="AD231" s="669"/>
      <c r="AE231" s="669"/>
      <c r="AF231" s="669"/>
      <c r="AG231" s="347" t="s">
        <v>2835</v>
      </c>
      <c r="AH231" s="355" t="s">
        <v>2836</v>
      </c>
      <c r="AI231" s="363">
        <v>42707</v>
      </c>
      <c r="AJ231" s="363">
        <v>42707</v>
      </c>
      <c r="AK231" s="358"/>
      <c r="AL231" s="358"/>
      <c r="AM231" s="267" t="s">
        <v>2598</v>
      </c>
      <c r="AN231" s="512" t="s">
        <v>2837</v>
      </c>
      <c r="AO231" s="525">
        <v>4221500</v>
      </c>
      <c r="AP231" s="310"/>
      <c r="AQ231" s="310"/>
      <c r="AR231" s="310"/>
      <c r="AS231" s="310"/>
      <c r="AT231" s="310"/>
      <c r="AU231" s="310"/>
      <c r="AV231" s="544">
        <f t="shared" si="93"/>
        <v>4221500</v>
      </c>
      <c r="AW231" s="525"/>
      <c r="AX231" s="310"/>
      <c r="AY231" s="310"/>
      <c r="AZ231" s="310"/>
      <c r="BA231" s="310"/>
      <c r="BB231" s="310"/>
      <c r="BC231" s="310"/>
      <c r="BD231" s="544">
        <f t="shared" si="94"/>
        <v>0</v>
      </c>
      <c r="BE231" s="525"/>
      <c r="BF231" s="310"/>
      <c r="BG231" s="310"/>
      <c r="BH231" s="310"/>
      <c r="BI231" s="310"/>
      <c r="BJ231" s="310"/>
      <c r="BK231" s="310"/>
      <c r="BL231" s="544">
        <f t="shared" si="95"/>
        <v>0</v>
      </c>
      <c r="BM231" s="525"/>
      <c r="BN231" s="310"/>
      <c r="BO231" s="310"/>
      <c r="BP231" s="310"/>
      <c r="BQ231" s="310"/>
      <c r="BR231" s="310"/>
      <c r="BS231" s="310"/>
      <c r="BT231" s="544">
        <f t="shared" si="96"/>
        <v>0</v>
      </c>
      <c r="BU231" s="556"/>
      <c r="BV231" s="663">
        <f t="shared" si="101"/>
        <v>1</v>
      </c>
      <c r="BW231" s="674">
        <f t="shared" si="102"/>
        <v>0.25</v>
      </c>
      <c r="BX231" s="674">
        <f t="shared" si="103"/>
        <v>1</v>
      </c>
      <c r="BY231" s="674">
        <f t="shared" si="104"/>
        <v>0</v>
      </c>
      <c r="BZ231" s="675">
        <f t="shared" si="105"/>
        <v>0</v>
      </c>
      <c r="CA231" s="675">
        <f t="shared" si="106"/>
        <v>0</v>
      </c>
    </row>
    <row r="232" spans="1:79" ht="63.75" hidden="1" x14ac:dyDescent="0.25">
      <c r="A232" s="298" t="s">
        <v>491</v>
      </c>
      <c r="B232" s="299" t="str">
        <f>'PLAN INDICATIVO'!B230</f>
        <v>Atención a grupos vulnerables - promoción social</v>
      </c>
      <c r="C232" s="1547"/>
      <c r="D232" s="1549"/>
      <c r="E232" s="1549"/>
      <c r="F232" s="1549"/>
      <c r="G232" s="1549"/>
      <c r="H232" s="1549"/>
      <c r="I232" s="300">
        <f>'PLAN INDICATIVO'!I230</f>
        <v>0</v>
      </c>
      <c r="J232" s="300">
        <f>'PLAN INDICATIVO'!J230</f>
        <v>0</v>
      </c>
      <c r="K232" s="1428" t="str">
        <f>'PLAN INDICATIVO'!K230</f>
        <v>A.14.5.18</v>
      </c>
      <c r="L232" s="301" t="str">
        <f>'PLAN INDICATIVO'!L230</f>
        <v>10. Reducción de las desigualdades</v>
      </c>
      <c r="M232" s="301" t="str">
        <f>'PLAN INDICATIVO'!M230</f>
        <v>Secretaría de Gobierno</v>
      </c>
      <c r="N232" s="1425" t="s">
        <v>2791</v>
      </c>
      <c r="O232" s="1425" t="str">
        <f>'PLAN INDICATIVO'!O230</f>
        <v>Incremento</v>
      </c>
      <c r="P232" s="71" t="str">
        <f>'PLAN INDICATIVO'!P230</f>
        <v xml:space="preserve">Realizar 1 estudio para la reubicación de la unidad de atención integral UAI, durante el cuatrienio. </v>
      </c>
      <c r="Q232" s="302" t="str">
        <f>'PLAN INDICATIVO'!Q230</f>
        <v xml:space="preserve">No. de estudios realizados </v>
      </c>
      <c r="R232" s="303">
        <f>'PLAN INDICATIVO'!R230</f>
        <v>2015</v>
      </c>
      <c r="S232" s="304">
        <v>0</v>
      </c>
      <c r="T232" s="699">
        <v>1</v>
      </c>
      <c r="U232" s="303">
        <v>0</v>
      </c>
      <c r="V232" s="687"/>
      <c r="W232" s="303">
        <v>0</v>
      </c>
      <c r="X232" s="687"/>
      <c r="Y232" s="303">
        <v>0</v>
      </c>
      <c r="Z232" s="687"/>
      <c r="AA232" s="303">
        <v>0</v>
      </c>
      <c r="AB232" s="687"/>
      <c r="AC232" s="669"/>
      <c r="AD232" s="669"/>
      <c r="AE232" s="669"/>
      <c r="AF232" s="669"/>
      <c r="AG232" s="277"/>
      <c r="AH232" s="355"/>
      <c r="AI232" s="358"/>
      <c r="AJ232" s="358"/>
      <c r="AK232" s="358"/>
      <c r="AL232" s="358"/>
      <c r="AM232" s="267" t="s">
        <v>2594</v>
      </c>
      <c r="AN232" s="512"/>
      <c r="AO232" s="525"/>
      <c r="AP232" s="310"/>
      <c r="AQ232" s="310"/>
      <c r="AR232" s="310"/>
      <c r="AS232" s="310"/>
      <c r="AT232" s="310"/>
      <c r="AU232" s="310"/>
      <c r="AV232" s="544">
        <f t="shared" si="93"/>
        <v>0</v>
      </c>
      <c r="AW232" s="525"/>
      <c r="AX232" s="310"/>
      <c r="AY232" s="310"/>
      <c r="AZ232" s="310"/>
      <c r="BA232" s="310"/>
      <c r="BB232" s="310"/>
      <c r="BC232" s="310"/>
      <c r="BD232" s="544">
        <f t="shared" si="94"/>
        <v>0</v>
      </c>
      <c r="BE232" s="525"/>
      <c r="BF232" s="310"/>
      <c r="BG232" s="310"/>
      <c r="BH232" s="310"/>
      <c r="BI232" s="310"/>
      <c r="BJ232" s="310"/>
      <c r="BK232" s="310"/>
      <c r="BL232" s="544">
        <f t="shared" si="95"/>
        <v>0</v>
      </c>
      <c r="BM232" s="525"/>
      <c r="BN232" s="310"/>
      <c r="BO232" s="310"/>
      <c r="BP232" s="310"/>
      <c r="BQ232" s="310"/>
      <c r="BR232" s="310"/>
      <c r="BS232" s="310"/>
      <c r="BT232" s="544">
        <f t="shared" si="96"/>
        <v>0</v>
      </c>
      <c r="BU232" s="556"/>
      <c r="BV232" s="663">
        <f t="shared" si="101"/>
        <v>0</v>
      </c>
      <c r="BW232" s="674">
        <f t="shared" si="102"/>
        <v>0</v>
      </c>
      <c r="BX232" s="674" t="e">
        <f t="shared" si="103"/>
        <v>#DIV/0!</v>
      </c>
      <c r="BY232" s="674" t="e">
        <f t="shared" si="104"/>
        <v>#DIV/0!</v>
      </c>
      <c r="BZ232" s="675" t="e">
        <f t="shared" si="105"/>
        <v>#DIV/0!</v>
      </c>
      <c r="CA232" s="675" t="e">
        <f t="shared" si="106"/>
        <v>#DIV/0!</v>
      </c>
    </row>
    <row r="233" spans="1:79" ht="76.5" hidden="1" x14ac:dyDescent="0.25">
      <c r="A233" s="298" t="s">
        <v>491</v>
      </c>
      <c r="B233" s="299" t="str">
        <f>'PLAN INDICATIVO'!B231</f>
        <v>Atención a grupos vulnerables - promoción social</v>
      </c>
      <c r="C233" s="1547"/>
      <c r="D233" s="1549"/>
      <c r="E233" s="1549"/>
      <c r="F233" s="1549"/>
      <c r="G233" s="1549"/>
      <c r="H233" s="1549"/>
      <c r="I233" s="300">
        <f>'PLAN INDICATIVO'!I231</f>
        <v>0</v>
      </c>
      <c r="J233" s="300">
        <f>'PLAN INDICATIVO'!J231</f>
        <v>0</v>
      </c>
      <c r="K233" s="1428" t="str">
        <f>'PLAN INDICATIVO'!K231</f>
        <v>A.14.5.19</v>
      </c>
      <c r="L233" s="301" t="str">
        <f>'PLAN INDICATIVO'!L231</f>
        <v>10. Reducción de las desigualdades</v>
      </c>
      <c r="M233" s="301" t="str">
        <f>'PLAN INDICATIVO'!M231</f>
        <v>Secretaría de Gobierno</v>
      </c>
      <c r="N233" s="1425" t="s">
        <v>2791</v>
      </c>
      <c r="O233" s="1425" t="str">
        <f>'PLAN INDICATIVO'!O231</f>
        <v>Incremento</v>
      </c>
      <c r="P233" s="71" t="str">
        <f>'PLAN INDICATIVO'!P231</f>
        <v>Realizar 1 caracterización de la población con discapacidad, durante el cuatrienio.</v>
      </c>
      <c r="Q233" s="302" t="str">
        <f>'PLAN INDICATIVO'!Q231</f>
        <v xml:space="preserve">No. de caracterizaciones realizadas </v>
      </c>
      <c r="R233" s="303">
        <f>'PLAN INDICATIVO'!R231</f>
        <v>2015</v>
      </c>
      <c r="S233" s="304">
        <v>0</v>
      </c>
      <c r="T233" s="699">
        <v>1</v>
      </c>
      <c r="U233" s="303">
        <v>0</v>
      </c>
      <c r="V233" s="687"/>
      <c r="W233" s="303">
        <v>0</v>
      </c>
      <c r="X233" s="687"/>
      <c r="Y233" s="303">
        <v>0</v>
      </c>
      <c r="Z233" s="687"/>
      <c r="AA233" s="303">
        <v>0</v>
      </c>
      <c r="AB233" s="687"/>
      <c r="AC233" s="669"/>
      <c r="AD233" s="669"/>
      <c r="AE233" s="669"/>
      <c r="AF233" s="669"/>
      <c r="AG233" s="277"/>
      <c r="AH233" s="355"/>
      <c r="AI233" s="358"/>
      <c r="AJ233" s="358"/>
      <c r="AK233" s="358"/>
      <c r="AL233" s="358"/>
      <c r="AM233" s="267" t="s">
        <v>2594</v>
      </c>
      <c r="AN233" s="512"/>
      <c r="AO233" s="525"/>
      <c r="AP233" s="310"/>
      <c r="AQ233" s="310"/>
      <c r="AR233" s="310"/>
      <c r="AS233" s="310"/>
      <c r="AT233" s="310"/>
      <c r="AU233" s="310"/>
      <c r="AV233" s="544">
        <f t="shared" si="93"/>
        <v>0</v>
      </c>
      <c r="AW233" s="525"/>
      <c r="AX233" s="310"/>
      <c r="AY233" s="310"/>
      <c r="AZ233" s="310"/>
      <c r="BA233" s="310"/>
      <c r="BB233" s="310"/>
      <c r="BC233" s="310"/>
      <c r="BD233" s="544">
        <f t="shared" si="94"/>
        <v>0</v>
      </c>
      <c r="BE233" s="525"/>
      <c r="BF233" s="310"/>
      <c r="BG233" s="310"/>
      <c r="BH233" s="310"/>
      <c r="BI233" s="310"/>
      <c r="BJ233" s="310"/>
      <c r="BK233" s="310"/>
      <c r="BL233" s="544">
        <f t="shared" si="95"/>
        <v>0</v>
      </c>
      <c r="BM233" s="525"/>
      <c r="BN233" s="310"/>
      <c r="BO233" s="310"/>
      <c r="BP233" s="310"/>
      <c r="BQ233" s="310"/>
      <c r="BR233" s="310"/>
      <c r="BS233" s="310"/>
      <c r="BT233" s="544">
        <f t="shared" si="96"/>
        <v>0</v>
      </c>
      <c r="BU233" s="556"/>
      <c r="BV233" s="663">
        <f t="shared" si="101"/>
        <v>0</v>
      </c>
      <c r="BW233" s="674">
        <f t="shared" si="102"/>
        <v>0</v>
      </c>
      <c r="BX233" s="674" t="e">
        <f t="shared" si="103"/>
        <v>#DIV/0!</v>
      </c>
      <c r="BY233" s="674" t="e">
        <f t="shared" si="104"/>
        <v>#DIV/0!</v>
      </c>
      <c r="BZ233" s="675" t="e">
        <f t="shared" si="105"/>
        <v>#DIV/0!</v>
      </c>
      <c r="CA233" s="675" t="e">
        <f t="shared" si="106"/>
        <v>#DIV/0!</v>
      </c>
    </row>
    <row r="234" spans="1:79" ht="76.5" hidden="1" x14ac:dyDescent="0.25">
      <c r="A234" s="298" t="s">
        <v>491</v>
      </c>
      <c r="B234" s="299" t="str">
        <f>'PLAN INDICATIVO'!B232</f>
        <v>Atención a grupos vulnerables - promoción social</v>
      </c>
      <c r="C234" s="1547"/>
      <c r="D234" s="1549"/>
      <c r="E234" s="1549"/>
      <c r="F234" s="1549"/>
      <c r="G234" s="1549"/>
      <c r="H234" s="1549"/>
      <c r="I234" s="300">
        <f>'PLAN INDICATIVO'!I232</f>
        <v>0</v>
      </c>
      <c r="J234" s="300">
        <f>'PLAN INDICATIVO'!J232</f>
        <v>0</v>
      </c>
      <c r="K234" s="1428" t="str">
        <f>'PLAN INDICATIVO'!K232</f>
        <v>A.14.5.20</v>
      </c>
      <c r="L234" s="301" t="str">
        <f>'PLAN INDICATIVO'!L232</f>
        <v>10. Reducción de las desigualdades</v>
      </c>
      <c r="M234" s="301" t="str">
        <f>'PLAN INDICATIVO'!M232</f>
        <v>Secretaría de Gobierno</v>
      </c>
      <c r="N234" s="1425" t="s">
        <v>2791</v>
      </c>
      <c r="O234" s="1425" t="str">
        <f>'PLAN INDICATIVO'!O232</f>
        <v>Incremento</v>
      </c>
      <c r="P234" s="16" t="str">
        <f>'PLAN INDICATIVO'!P232</f>
        <v>Realizar 2 ofertas institucionales  a población con discapacidad, para acceso a programas de desarrollo económico durante el cuatrienio</v>
      </c>
      <c r="Q234" s="302" t="str">
        <f>'PLAN INDICATIVO'!Q232</f>
        <v xml:space="preserve">No. de ofertas realizadas </v>
      </c>
      <c r="R234" s="303">
        <f>'PLAN INDICATIVO'!R232</f>
        <v>2015</v>
      </c>
      <c r="S234" s="304">
        <v>0</v>
      </c>
      <c r="T234" s="699">
        <v>2</v>
      </c>
      <c r="U234" s="303">
        <v>0</v>
      </c>
      <c r="V234" s="687"/>
      <c r="W234" s="303">
        <v>0</v>
      </c>
      <c r="X234" s="687"/>
      <c r="Y234" s="303">
        <v>0</v>
      </c>
      <c r="Z234" s="687"/>
      <c r="AA234" s="303">
        <v>1</v>
      </c>
      <c r="AB234" s="687">
        <v>5000000</v>
      </c>
      <c r="AC234" s="669"/>
      <c r="AD234" s="669"/>
      <c r="AE234" s="669"/>
      <c r="AF234" s="669"/>
      <c r="AG234" s="277"/>
      <c r="AH234" s="355"/>
      <c r="AI234" s="358"/>
      <c r="AJ234" s="358"/>
      <c r="AK234" s="358"/>
      <c r="AL234" s="358"/>
      <c r="AM234" s="267" t="s">
        <v>2594</v>
      </c>
      <c r="AN234" s="512"/>
      <c r="AO234" s="525"/>
      <c r="AP234" s="310"/>
      <c r="AQ234" s="310"/>
      <c r="AR234" s="310"/>
      <c r="AS234" s="310"/>
      <c r="AT234" s="310"/>
      <c r="AU234" s="310"/>
      <c r="AV234" s="544">
        <f t="shared" si="93"/>
        <v>0</v>
      </c>
      <c r="AW234" s="525"/>
      <c r="AX234" s="310"/>
      <c r="AY234" s="310"/>
      <c r="AZ234" s="310"/>
      <c r="BA234" s="310"/>
      <c r="BB234" s="310"/>
      <c r="BC234" s="310"/>
      <c r="BD234" s="544">
        <f t="shared" si="94"/>
        <v>0</v>
      </c>
      <c r="BE234" s="525"/>
      <c r="BF234" s="310"/>
      <c r="BG234" s="310"/>
      <c r="BH234" s="310"/>
      <c r="BI234" s="310"/>
      <c r="BJ234" s="310"/>
      <c r="BK234" s="310"/>
      <c r="BL234" s="544">
        <f t="shared" si="95"/>
        <v>0</v>
      </c>
      <c r="BM234" s="525"/>
      <c r="BN234" s="310"/>
      <c r="BO234" s="310"/>
      <c r="BP234" s="310"/>
      <c r="BQ234" s="310"/>
      <c r="BR234" s="310"/>
      <c r="BS234" s="310"/>
      <c r="BT234" s="544">
        <f t="shared" si="96"/>
        <v>0</v>
      </c>
      <c r="BU234" s="556"/>
      <c r="BV234" s="663">
        <f t="shared" si="101"/>
        <v>0</v>
      </c>
      <c r="BW234" s="674">
        <f t="shared" si="102"/>
        <v>0</v>
      </c>
      <c r="BX234" s="674" t="e">
        <f t="shared" si="103"/>
        <v>#DIV/0!</v>
      </c>
      <c r="BY234" s="674" t="e">
        <f t="shared" si="104"/>
        <v>#DIV/0!</v>
      </c>
      <c r="BZ234" s="675" t="e">
        <f t="shared" si="105"/>
        <v>#DIV/0!</v>
      </c>
      <c r="CA234" s="675">
        <f t="shared" si="106"/>
        <v>0</v>
      </c>
    </row>
    <row r="235" spans="1:79" ht="63.75" hidden="1" x14ac:dyDescent="0.25">
      <c r="A235" s="298" t="s">
        <v>491</v>
      </c>
      <c r="B235" s="299" t="str">
        <f>'PLAN INDICATIVO'!B233</f>
        <v>Atención a grupos vulnerables - promoción social</v>
      </c>
      <c r="C235" s="1547"/>
      <c r="D235" s="1549"/>
      <c r="E235" s="1549"/>
      <c r="F235" s="1549"/>
      <c r="G235" s="1549"/>
      <c r="H235" s="1549"/>
      <c r="I235" s="17"/>
      <c r="J235" s="17"/>
      <c r="K235" s="370"/>
      <c r="L235" s="17"/>
      <c r="M235" s="17"/>
      <c r="N235" s="17"/>
      <c r="O235" s="17"/>
      <c r="P235" s="62" t="s">
        <v>723</v>
      </c>
      <c r="Q235" s="25"/>
      <c r="R235" s="17"/>
      <c r="S235" s="270"/>
      <c r="T235" s="677"/>
      <c r="U235" s="270"/>
      <c r="V235" s="705">
        <f>SUM(V236:V241)</f>
        <v>62000000</v>
      </c>
      <c r="W235" s="270"/>
      <c r="X235" s="705">
        <f>SUM(X236:X241)</f>
        <v>52000000</v>
      </c>
      <c r="Y235" s="270"/>
      <c r="Z235" s="705">
        <f>SUM(Z236:Z241)</f>
        <v>52000000</v>
      </c>
      <c r="AA235" s="270"/>
      <c r="AB235" s="705">
        <f>SUM(AB236:AB241)</f>
        <v>52000000</v>
      </c>
      <c r="AC235" s="270"/>
      <c r="AD235" s="270"/>
      <c r="AE235" s="270"/>
      <c r="AF235" s="270"/>
      <c r="AG235" s="279"/>
      <c r="AH235" s="279"/>
      <c r="AI235" s="270"/>
      <c r="AJ235" s="270"/>
      <c r="AK235" s="270"/>
      <c r="AL235" s="270"/>
      <c r="AM235" s="270"/>
      <c r="AN235" s="644"/>
      <c r="AO235" s="619" t="e">
        <f>(AO236:AO241)</f>
        <v>#VALUE!</v>
      </c>
      <c r="AP235" s="619" t="e">
        <f t="shared" ref="AP235:AU235" si="119">(AP236:AP241)</f>
        <v>#VALUE!</v>
      </c>
      <c r="AQ235" s="619" t="e">
        <f t="shared" si="119"/>
        <v>#VALUE!</v>
      </c>
      <c r="AR235" s="619" t="e">
        <f t="shared" si="119"/>
        <v>#VALUE!</v>
      </c>
      <c r="AS235" s="619" t="e">
        <f t="shared" si="119"/>
        <v>#VALUE!</v>
      </c>
      <c r="AT235" s="619" t="e">
        <f t="shared" si="119"/>
        <v>#VALUE!</v>
      </c>
      <c r="AU235" s="619" t="e">
        <f t="shared" si="119"/>
        <v>#VALUE!</v>
      </c>
      <c r="AV235" s="617" t="e">
        <f t="shared" si="93"/>
        <v>#VALUE!</v>
      </c>
      <c r="AW235" s="619" t="e">
        <f t="shared" ref="AW235:BC235" si="120">(AW236:AW241)</f>
        <v>#VALUE!</v>
      </c>
      <c r="AX235" s="619" t="e">
        <f t="shared" si="120"/>
        <v>#VALUE!</v>
      </c>
      <c r="AY235" s="619" t="e">
        <f t="shared" si="120"/>
        <v>#VALUE!</v>
      </c>
      <c r="AZ235" s="619" t="e">
        <f t="shared" si="120"/>
        <v>#VALUE!</v>
      </c>
      <c r="BA235" s="619" t="e">
        <f t="shared" si="120"/>
        <v>#VALUE!</v>
      </c>
      <c r="BB235" s="619" t="e">
        <f t="shared" si="120"/>
        <v>#VALUE!</v>
      </c>
      <c r="BC235" s="619" t="e">
        <f t="shared" si="120"/>
        <v>#VALUE!</v>
      </c>
      <c r="BD235" s="617" t="e">
        <f t="shared" si="94"/>
        <v>#VALUE!</v>
      </c>
      <c r="BE235" s="619" t="e">
        <f t="shared" ref="BE235:BK235" si="121">(BE236:BE241)</f>
        <v>#VALUE!</v>
      </c>
      <c r="BF235" s="619" t="e">
        <f t="shared" si="121"/>
        <v>#VALUE!</v>
      </c>
      <c r="BG235" s="619" t="e">
        <f t="shared" si="121"/>
        <v>#VALUE!</v>
      </c>
      <c r="BH235" s="619" t="e">
        <f t="shared" si="121"/>
        <v>#VALUE!</v>
      </c>
      <c r="BI235" s="619" t="e">
        <f t="shared" si="121"/>
        <v>#VALUE!</v>
      </c>
      <c r="BJ235" s="619" t="e">
        <f t="shared" si="121"/>
        <v>#VALUE!</v>
      </c>
      <c r="BK235" s="619" t="e">
        <f t="shared" si="121"/>
        <v>#VALUE!</v>
      </c>
      <c r="BL235" s="617" t="e">
        <f t="shared" si="95"/>
        <v>#VALUE!</v>
      </c>
      <c r="BM235" s="619" t="e">
        <f t="shared" ref="BM235:BS235" si="122">(BM236:BM241)</f>
        <v>#VALUE!</v>
      </c>
      <c r="BN235" s="619" t="e">
        <f t="shared" si="122"/>
        <v>#VALUE!</v>
      </c>
      <c r="BO235" s="619" t="e">
        <f t="shared" si="122"/>
        <v>#VALUE!</v>
      </c>
      <c r="BP235" s="619" t="e">
        <f t="shared" si="122"/>
        <v>#VALUE!</v>
      </c>
      <c r="BQ235" s="619" t="e">
        <f t="shared" si="122"/>
        <v>#VALUE!</v>
      </c>
      <c r="BR235" s="619" t="e">
        <f t="shared" si="122"/>
        <v>#VALUE!</v>
      </c>
      <c r="BS235" s="619" t="e">
        <f t="shared" si="122"/>
        <v>#VALUE!</v>
      </c>
      <c r="BT235" s="617" t="e">
        <f t="shared" si="96"/>
        <v>#VALUE!</v>
      </c>
      <c r="BU235" s="556"/>
      <c r="BV235" s="663">
        <f t="shared" si="101"/>
        <v>0</v>
      </c>
      <c r="BW235" s="674" t="e">
        <f t="shared" si="102"/>
        <v>#DIV/0!</v>
      </c>
      <c r="BX235" s="674" t="e">
        <f t="shared" si="103"/>
        <v>#DIV/0!</v>
      </c>
      <c r="BY235" s="674" t="e">
        <f t="shared" si="104"/>
        <v>#DIV/0!</v>
      </c>
      <c r="BZ235" s="675" t="e">
        <f t="shared" si="105"/>
        <v>#DIV/0!</v>
      </c>
      <c r="CA235" s="675" t="e">
        <f t="shared" si="106"/>
        <v>#DIV/0!</v>
      </c>
    </row>
    <row r="236" spans="1:79" ht="60.75" hidden="1" customHeight="1" x14ac:dyDescent="0.25">
      <c r="A236" s="298" t="s">
        <v>491</v>
      </c>
      <c r="B236" s="299" t="str">
        <f>'PLAN INDICATIVO'!B234</f>
        <v>Atención a grupos vulnerables - promoción social</v>
      </c>
      <c r="C236" s="1547"/>
      <c r="D236" s="1549"/>
      <c r="E236" s="1549"/>
      <c r="F236" s="1549"/>
      <c r="G236" s="1549"/>
      <c r="H236" s="1549"/>
      <c r="I236" s="300">
        <f>'PLAN INDICATIVO'!I234</f>
        <v>0</v>
      </c>
      <c r="J236" s="300">
        <f>'PLAN INDICATIVO'!J234</f>
        <v>0</v>
      </c>
      <c r="K236" s="1428" t="str">
        <f>'PLAN INDICATIVO'!K234</f>
        <v>A.14.5.21</v>
      </c>
      <c r="L236" s="301" t="str">
        <f>'PLAN INDICATIVO'!L234</f>
        <v>10. Reducción de las desigualdades</v>
      </c>
      <c r="M236" s="301" t="str">
        <f>'PLAN INDICATIVO'!M234</f>
        <v>Secretaría de Gobierno</v>
      </c>
      <c r="N236" s="1425" t="s">
        <v>2791</v>
      </c>
      <c r="O236" s="1425" t="str">
        <f>'PLAN INDICATIVO'!O234</f>
        <v>Incremento</v>
      </c>
      <c r="P236" s="16" t="str">
        <f>'PLAN INDICATIVO'!P234</f>
        <v>Realizar 8 capacitaciones en el cuatrienio para la promoción de derechos de los afro descendiente</v>
      </c>
      <c r="Q236" s="302" t="str">
        <f>'PLAN INDICATIVO'!Q234</f>
        <v>No. De Capacitaciones realizadas</v>
      </c>
      <c r="R236" s="303">
        <f>'PLAN INDICATIVO'!R234</f>
        <v>2015</v>
      </c>
      <c r="S236" s="304">
        <v>0</v>
      </c>
      <c r="T236" s="699">
        <v>8</v>
      </c>
      <c r="U236" s="303">
        <v>2</v>
      </c>
      <c r="V236" s="687">
        <v>5000000</v>
      </c>
      <c r="W236" s="303">
        <v>2</v>
      </c>
      <c r="X236" s="687">
        <v>5000000</v>
      </c>
      <c r="Y236" s="303">
        <v>2</v>
      </c>
      <c r="Z236" s="687">
        <v>5000000</v>
      </c>
      <c r="AA236" s="303">
        <v>2</v>
      </c>
      <c r="AB236" s="687">
        <v>10000000</v>
      </c>
      <c r="AC236" s="669">
        <f>1+1</f>
        <v>2</v>
      </c>
      <c r="AD236" s="669"/>
      <c r="AE236" s="669"/>
      <c r="AF236" s="669"/>
      <c r="AG236" s="341" t="s">
        <v>2596</v>
      </c>
      <c r="AH236" s="355" t="s">
        <v>2838</v>
      </c>
      <c r="AI236" s="363">
        <v>42566</v>
      </c>
      <c r="AJ236" s="363">
        <v>42566</v>
      </c>
      <c r="AK236" s="358"/>
      <c r="AL236" s="358"/>
      <c r="AM236" s="267" t="s">
        <v>2598</v>
      </c>
      <c r="AN236" s="728" t="s">
        <v>2839</v>
      </c>
      <c r="AO236" s="724">
        <v>3000000</v>
      </c>
      <c r="AP236" s="721"/>
      <c r="AQ236" s="721"/>
      <c r="AR236" s="721"/>
      <c r="AS236" s="721"/>
      <c r="AT236" s="721"/>
      <c r="AU236" s="721"/>
      <c r="AV236" s="544">
        <f t="shared" si="93"/>
        <v>3000000</v>
      </c>
      <c r="AW236" s="525"/>
      <c r="AX236" s="310"/>
      <c r="AY236" s="310"/>
      <c r="AZ236" s="310"/>
      <c r="BA236" s="310"/>
      <c r="BB236" s="310"/>
      <c r="BC236" s="310"/>
      <c r="BD236" s="544">
        <f t="shared" si="94"/>
        <v>0</v>
      </c>
      <c r="BE236" s="525"/>
      <c r="BF236" s="310"/>
      <c r="BG236" s="310"/>
      <c r="BH236" s="310"/>
      <c r="BI236" s="310"/>
      <c r="BJ236" s="310"/>
      <c r="BK236" s="310"/>
      <c r="BL236" s="544">
        <f t="shared" si="95"/>
        <v>0</v>
      </c>
      <c r="BM236" s="525"/>
      <c r="BN236" s="310"/>
      <c r="BO236" s="310"/>
      <c r="BP236" s="310"/>
      <c r="BQ236" s="310"/>
      <c r="BR236" s="310"/>
      <c r="BS236" s="310"/>
      <c r="BT236" s="544">
        <f t="shared" si="96"/>
        <v>0</v>
      </c>
      <c r="BU236" s="556"/>
      <c r="BV236" s="663">
        <f t="shared" si="101"/>
        <v>2</v>
      </c>
      <c r="BW236" s="674">
        <f t="shared" si="102"/>
        <v>0.25</v>
      </c>
      <c r="BX236" s="674">
        <f t="shared" si="103"/>
        <v>1</v>
      </c>
      <c r="BY236" s="674">
        <f t="shared" si="104"/>
        <v>0</v>
      </c>
      <c r="BZ236" s="675">
        <f t="shared" si="105"/>
        <v>0</v>
      </c>
      <c r="CA236" s="675">
        <f t="shared" si="106"/>
        <v>0</v>
      </c>
    </row>
    <row r="237" spans="1:79" ht="89.25" hidden="1" x14ac:dyDescent="0.25">
      <c r="A237" s="298" t="s">
        <v>491</v>
      </c>
      <c r="B237" s="299">
        <f>'PLAN INDICATIVO'!B235</f>
        <v>0</v>
      </c>
      <c r="C237" s="1547"/>
      <c r="D237" s="1549"/>
      <c r="E237" s="1549"/>
      <c r="F237" s="1549"/>
      <c r="G237" s="1549"/>
      <c r="H237" s="1549"/>
      <c r="I237" s="300">
        <f>'PLAN INDICATIVO'!I235</f>
        <v>0</v>
      </c>
      <c r="J237" s="300">
        <f>'PLAN INDICATIVO'!J235</f>
        <v>0</v>
      </c>
      <c r="K237" s="1428" t="str">
        <f>'PLAN INDICATIVO'!K235</f>
        <v>A.14.5.22</v>
      </c>
      <c r="L237" s="301" t="str">
        <f>'PLAN INDICATIVO'!L235</f>
        <v>10. Reducción de las desigualdades</v>
      </c>
      <c r="M237" s="301" t="str">
        <f>'PLAN INDICATIVO'!M235</f>
        <v>Secretaría de Gobierno</v>
      </c>
      <c r="N237" s="1425" t="s">
        <v>2791</v>
      </c>
      <c r="O237" s="1425" t="str">
        <f>'PLAN INDICATIVO'!O235</f>
        <v>Incremento</v>
      </c>
      <c r="P237" s="16" t="str">
        <f>'PLAN INDICATIVO'!P235</f>
        <v xml:space="preserve">Realizar la Construcción, Adecuación y/o mantenimiento  de 3 espacios públicos, zonas verdes, parques, plazoletas o plazas de mercado, durante el cuatrienio </v>
      </c>
      <c r="Q237" s="302" t="str">
        <f>'PLAN INDICATIVO'!Q235</f>
        <v>No. De Planes Integrales afro implementados</v>
      </c>
      <c r="R237" s="303">
        <f>'PLAN INDICATIVO'!R235</f>
        <v>2015</v>
      </c>
      <c r="S237" s="304">
        <v>0</v>
      </c>
      <c r="T237" s="699">
        <v>1</v>
      </c>
      <c r="U237" s="303">
        <v>0</v>
      </c>
      <c r="V237" s="687"/>
      <c r="W237" s="303">
        <v>1</v>
      </c>
      <c r="X237" s="687">
        <v>5000000</v>
      </c>
      <c r="Y237" s="303">
        <v>0</v>
      </c>
      <c r="Z237" s="687"/>
      <c r="AA237" s="303">
        <v>0</v>
      </c>
      <c r="AB237" s="687"/>
      <c r="AC237" s="669"/>
      <c r="AD237" s="669"/>
      <c r="AE237" s="669"/>
      <c r="AF237" s="669"/>
      <c r="AG237" s="277"/>
      <c r="AH237" s="355"/>
      <c r="AI237" s="358"/>
      <c r="AJ237" s="358"/>
      <c r="AK237" s="358"/>
      <c r="AL237" s="358"/>
      <c r="AM237" s="267" t="s">
        <v>2594</v>
      </c>
      <c r="AN237" s="512"/>
      <c r="AO237" s="720"/>
      <c r="AP237" s="721"/>
      <c r="AQ237" s="721"/>
      <c r="AR237" s="721"/>
      <c r="AS237" s="721"/>
      <c r="AT237" s="721"/>
      <c r="AU237" s="721"/>
      <c r="AV237" s="544">
        <f t="shared" si="93"/>
        <v>0</v>
      </c>
      <c r="AW237" s="525"/>
      <c r="AX237" s="310"/>
      <c r="AY237" s="310"/>
      <c r="AZ237" s="310"/>
      <c r="BA237" s="310"/>
      <c r="BB237" s="310"/>
      <c r="BC237" s="310"/>
      <c r="BD237" s="544">
        <f t="shared" si="94"/>
        <v>0</v>
      </c>
      <c r="BE237" s="525"/>
      <c r="BF237" s="310"/>
      <c r="BG237" s="310"/>
      <c r="BH237" s="310"/>
      <c r="BI237" s="310"/>
      <c r="BJ237" s="310"/>
      <c r="BK237" s="310"/>
      <c r="BL237" s="544">
        <f t="shared" si="95"/>
        <v>0</v>
      </c>
      <c r="BM237" s="525"/>
      <c r="BN237" s="310"/>
      <c r="BO237" s="310"/>
      <c r="BP237" s="310"/>
      <c r="BQ237" s="310"/>
      <c r="BR237" s="310"/>
      <c r="BS237" s="310"/>
      <c r="BT237" s="544">
        <f t="shared" si="96"/>
        <v>0</v>
      </c>
      <c r="BU237" s="556"/>
      <c r="BV237" s="663">
        <f t="shared" si="101"/>
        <v>0</v>
      </c>
      <c r="BW237" s="674">
        <f t="shared" si="102"/>
        <v>0</v>
      </c>
      <c r="BX237" s="674" t="e">
        <f t="shared" si="103"/>
        <v>#DIV/0!</v>
      </c>
      <c r="BY237" s="674">
        <f t="shared" si="104"/>
        <v>0</v>
      </c>
      <c r="BZ237" s="675" t="e">
        <f t="shared" si="105"/>
        <v>#DIV/0!</v>
      </c>
      <c r="CA237" s="675" t="e">
        <f t="shared" si="106"/>
        <v>#DIV/0!</v>
      </c>
    </row>
    <row r="238" spans="1:79" ht="89.25" hidden="1" x14ac:dyDescent="0.25">
      <c r="A238" s="298" t="s">
        <v>491</v>
      </c>
      <c r="B238" s="299" t="str">
        <f>'PLAN INDICATIVO'!B236</f>
        <v>Atención a grupos vulnerables - promoción social</v>
      </c>
      <c r="C238" s="1547"/>
      <c r="D238" s="1549"/>
      <c r="E238" s="1549"/>
      <c r="F238" s="1549"/>
      <c r="G238" s="1549"/>
      <c r="H238" s="1549"/>
      <c r="I238" s="300">
        <f>'PLAN INDICATIVO'!I236</f>
        <v>0</v>
      </c>
      <c r="J238" s="300">
        <f>'PLAN INDICATIVO'!J236</f>
        <v>0</v>
      </c>
      <c r="K238" s="1428" t="str">
        <f>'PLAN INDICATIVO'!K236</f>
        <v>A.14.5.23</v>
      </c>
      <c r="L238" s="301" t="str">
        <f>'PLAN INDICATIVO'!L236</f>
        <v>10. Reducción de las desigualdades</v>
      </c>
      <c r="M238" s="301" t="str">
        <f>'PLAN INDICATIVO'!M236</f>
        <v>Secretaría de Gobierno</v>
      </c>
      <c r="N238" s="1425" t="s">
        <v>2791</v>
      </c>
      <c r="O238" s="1425" t="str">
        <f>'PLAN INDICATIVO'!O236</f>
        <v>Incremento</v>
      </c>
      <c r="P238" s="16" t="str">
        <f>'PLAN INDICATIVO'!P236</f>
        <v>Fortalecer 1 escuela artística con enfoque diferencial afro  durante el cuatrienio.</v>
      </c>
      <c r="Q238" s="302" t="str">
        <f>'PLAN INDICATIVO'!Q236</f>
        <v>No. De escuelas artísticas fortalecidas</v>
      </c>
      <c r="R238" s="303">
        <f>'PLAN INDICATIVO'!R236</f>
        <v>2015</v>
      </c>
      <c r="S238" s="304">
        <v>0</v>
      </c>
      <c r="T238" s="699">
        <v>1</v>
      </c>
      <c r="U238" s="303">
        <v>0</v>
      </c>
      <c r="V238" s="687"/>
      <c r="W238" s="303">
        <v>0</v>
      </c>
      <c r="X238" s="687"/>
      <c r="Y238" s="303">
        <v>1</v>
      </c>
      <c r="Z238" s="687">
        <v>5000000</v>
      </c>
      <c r="AA238" s="303">
        <v>0</v>
      </c>
      <c r="AB238" s="687"/>
      <c r="AC238" s="669"/>
      <c r="AD238" s="669"/>
      <c r="AE238" s="669"/>
      <c r="AF238" s="669"/>
      <c r="AG238" s="277"/>
      <c r="AH238" s="355"/>
      <c r="AI238" s="358"/>
      <c r="AJ238" s="358"/>
      <c r="AK238" s="358"/>
      <c r="AL238" s="358"/>
      <c r="AM238" s="267" t="s">
        <v>2594</v>
      </c>
      <c r="AN238" s="512"/>
      <c r="AO238" s="720"/>
      <c r="AP238" s="721"/>
      <c r="AQ238" s="721"/>
      <c r="AR238" s="721"/>
      <c r="AS238" s="721"/>
      <c r="AT238" s="721"/>
      <c r="AU238" s="721"/>
      <c r="AV238" s="544">
        <f t="shared" si="93"/>
        <v>0</v>
      </c>
      <c r="AW238" s="525"/>
      <c r="AX238" s="310"/>
      <c r="AY238" s="310"/>
      <c r="AZ238" s="310"/>
      <c r="BA238" s="310"/>
      <c r="BB238" s="310"/>
      <c r="BC238" s="310"/>
      <c r="BD238" s="544">
        <f t="shared" si="94"/>
        <v>0</v>
      </c>
      <c r="BE238" s="525"/>
      <c r="BF238" s="310"/>
      <c r="BG238" s="310"/>
      <c r="BH238" s="310"/>
      <c r="BI238" s="310"/>
      <c r="BJ238" s="310"/>
      <c r="BK238" s="310"/>
      <c r="BL238" s="544">
        <f t="shared" si="95"/>
        <v>0</v>
      </c>
      <c r="BM238" s="525"/>
      <c r="BN238" s="310"/>
      <c r="BO238" s="310"/>
      <c r="BP238" s="310"/>
      <c r="BQ238" s="310"/>
      <c r="BR238" s="310"/>
      <c r="BS238" s="310"/>
      <c r="BT238" s="544">
        <f t="shared" si="96"/>
        <v>0</v>
      </c>
      <c r="BU238" s="556"/>
      <c r="BV238" s="663">
        <f t="shared" si="101"/>
        <v>0</v>
      </c>
      <c r="BW238" s="674">
        <f t="shared" si="102"/>
        <v>0</v>
      </c>
      <c r="BX238" s="674" t="e">
        <f t="shared" si="103"/>
        <v>#DIV/0!</v>
      </c>
      <c r="BY238" s="674" t="e">
        <f t="shared" si="104"/>
        <v>#DIV/0!</v>
      </c>
      <c r="BZ238" s="675">
        <f t="shared" si="105"/>
        <v>0</v>
      </c>
      <c r="CA238" s="675" t="e">
        <f t="shared" si="106"/>
        <v>#DIV/0!</v>
      </c>
    </row>
    <row r="239" spans="1:79" ht="60" hidden="1" customHeight="1" x14ac:dyDescent="0.25">
      <c r="A239" s="298" t="s">
        <v>491</v>
      </c>
      <c r="B239" s="299" t="str">
        <f>'PLAN INDICATIVO'!B237</f>
        <v>Atención a grupos vulnerables - promoción social</v>
      </c>
      <c r="C239" s="1547"/>
      <c r="D239" s="1549"/>
      <c r="E239" s="1549"/>
      <c r="F239" s="1549"/>
      <c r="G239" s="1549"/>
      <c r="H239" s="1549"/>
      <c r="I239" s="300">
        <f>'PLAN INDICATIVO'!I237</f>
        <v>0</v>
      </c>
      <c r="J239" s="300">
        <f>'PLAN INDICATIVO'!J237</f>
        <v>0</v>
      </c>
      <c r="K239" s="1428" t="str">
        <f>'PLAN INDICATIVO'!K237</f>
        <v>A.14.5.24</v>
      </c>
      <c r="L239" s="301" t="str">
        <f>'PLAN INDICATIVO'!L237</f>
        <v>10. Reducción de las desigualdades</v>
      </c>
      <c r="M239" s="301" t="str">
        <f>'PLAN INDICATIVO'!M237</f>
        <v>Secretaría de Gobierno</v>
      </c>
      <c r="N239" s="1425" t="s">
        <v>2791</v>
      </c>
      <c r="O239" s="1425" t="str">
        <f>'PLAN INDICATIVO'!O237</f>
        <v>Incremento</v>
      </c>
      <c r="P239" s="16" t="str">
        <f>'PLAN INDICATIVO'!P237</f>
        <v>Crear 1 política municipal para la población afro, durante el cuatrienio</v>
      </c>
      <c r="Q239" s="302" t="str">
        <f>'PLAN INDICATIVO'!Q237</f>
        <v>No. De Políticas municipales creadas</v>
      </c>
      <c r="R239" s="303">
        <f>'PLAN INDICATIVO'!R237</f>
        <v>2015</v>
      </c>
      <c r="S239" s="304">
        <v>0</v>
      </c>
      <c r="T239" s="699">
        <v>1</v>
      </c>
      <c r="U239" s="303">
        <v>0.5</v>
      </c>
      <c r="V239" s="687">
        <v>5000000</v>
      </c>
      <c r="W239" s="303">
        <v>0.5</v>
      </c>
      <c r="X239" s="687"/>
      <c r="Y239" s="303">
        <v>0</v>
      </c>
      <c r="Z239" s="687"/>
      <c r="AA239" s="303">
        <v>0</v>
      </c>
      <c r="AB239" s="687"/>
      <c r="AC239" s="669">
        <v>0.5</v>
      </c>
      <c r="AD239" s="669"/>
      <c r="AE239" s="669"/>
      <c r="AF239" s="669"/>
      <c r="AG239" s="341" t="s">
        <v>2596</v>
      </c>
      <c r="AH239" s="355" t="s">
        <v>2840</v>
      </c>
      <c r="AI239" s="363">
        <v>42566</v>
      </c>
      <c r="AJ239" s="363">
        <v>42735</v>
      </c>
      <c r="AK239" s="358"/>
      <c r="AL239" s="358"/>
      <c r="AM239" s="267" t="s">
        <v>2598</v>
      </c>
      <c r="AN239" s="728" t="s">
        <v>2839</v>
      </c>
      <c r="AO239" s="802">
        <v>800000</v>
      </c>
      <c r="AP239" s="721"/>
      <c r="AQ239" s="721"/>
      <c r="AR239" s="721"/>
      <c r="AS239" s="721"/>
      <c r="AT239" s="721"/>
      <c r="AU239" s="721"/>
      <c r="AV239" s="544">
        <f t="shared" si="93"/>
        <v>800000</v>
      </c>
      <c r="AW239" s="525"/>
      <c r="AX239" s="310"/>
      <c r="AY239" s="310"/>
      <c r="AZ239" s="310"/>
      <c r="BA239" s="310"/>
      <c r="BB239" s="310"/>
      <c r="BC239" s="310"/>
      <c r="BD239" s="544">
        <f t="shared" si="94"/>
        <v>0</v>
      </c>
      <c r="BE239" s="525"/>
      <c r="BF239" s="310"/>
      <c r="BG239" s="310"/>
      <c r="BH239" s="310"/>
      <c r="BI239" s="310"/>
      <c r="BJ239" s="310"/>
      <c r="BK239" s="310"/>
      <c r="BL239" s="544">
        <f t="shared" si="95"/>
        <v>0</v>
      </c>
      <c r="BM239" s="525"/>
      <c r="BN239" s="310"/>
      <c r="BO239" s="310"/>
      <c r="BP239" s="310"/>
      <c r="BQ239" s="310"/>
      <c r="BR239" s="310"/>
      <c r="BS239" s="310"/>
      <c r="BT239" s="544">
        <f t="shared" si="96"/>
        <v>0</v>
      </c>
      <c r="BU239" s="556"/>
      <c r="BV239" s="663">
        <f t="shared" si="101"/>
        <v>0.5</v>
      </c>
      <c r="BW239" s="674">
        <f t="shared" si="102"/>
        <v>0.5</v>
      </c>
      <c r="BX239" s="674">
        <f t="shared" si="103"/>
        <v>1</v>
      </c>
      <c r="BY239" s="674">
        <f t="shared" si="104"/>
        <v>0</v>
      </c>
      <c r="BZ239" s="675" t="e">
        <f t="shared" si="105"/>
        <v>#DIV/0!</v>
      </c>
      <c r="CA239" s="675" t="e">
        <f t="shared" si="106"/>
        <v>#DIV/0!</v>
      </c>
    </row>
    <row r="240" spans="1:79" ht="65.25" hidden="1" customHeight="1" x14ac:dyDescent="0.25">
      <c r="A240" s="298" t="s">
        <v>491</v>
      </c>
      <c r="B240" s="299" t="str">
        <f>'PLAN INDICATIVO'!B238</f>
        <v>Atención a grupos vulnerables - promoción social</v>
      </c>
      <c r="C240" s="1547"/>
      <c r="D240" s="1549"/>
      <c r="E240" s="1549"/>
      <c r="F240" s="1549"/>
      <c r="G240" s="1549"/>
      <c r="H240" s="1549"/>
      <c r="I240" s="300">
        <f>'PLAN INDICATIVO'!I238</f>
        <v>0</v>
      </c>
      <c r="J240" s="300">
        <f>'PLAN INDICATIVO'!J238</f>
        <v>0</v>
      </c>
      <c r="K240" s="1428" t="str">
        <f>'PLAN INDICATIVO'!K238</f>
        <v>A.14.5.25</v>
      </c>
      <c r="L240" s="301" t="str">
        <f>'PLAN INDICATIVO'!L238</f>
        <v>10. Reducción de las desigualdades</v>
      </c>
      <c r="M240" s="301" t="str">
        <f>'PLAN INDICATIVO'!M238</f>
        <v>Secretaría de Gobierno</v>
      </c>
      <c r="N240" s="1425" t="s">
        <v>2791</v>
      </c>
      <c r="O240" s="1425" t="str">
        <f>'PLAN INDICATIVO'!O238</f>
        <v>Mantenimiento</v>
      </c>
      <c r="P240" s="74" t="str">
        <f>'PLAN INDICATIVO'!P238</f>
        <v>Implementar 1 programa de apoyo a otros grupos de población vulnerable, cada año</v>
      </c>
      <c r="Q240" s="302" t="str">
        <f>'PLAN INDICATIVO'!Q238</f>
        <v>No. de programas de aopoyo implementados por año</v>
      </c>
      <c r="R240" s="303">
        <f>'PLAN INDICATIVO'!R238</f>
        <v>2015</v>
      </c>
      <c r="S240" s="304">
        <v>1</v>
      </c>
      <c r="T240" s="699">
        <v>4</v>
      </c>
      <c r="U240" s="303">
        <v>1</v>
      </c>
      <c r="V240" s="687">
        <v>11000000</v>
      </c>
      <c r="W240" s="303">
        <v>1</v>
      </c>
      <c r="X240" s="687">
        <v>1000000</v>
      </c>
      <c r="Y240" s="303">
        <v>1</v>
      </c>
      <c r="Z240" s="687">
        <v>1000000</v>
      </c>
      <c r="AA240" s="303">
        <v>1</v>
      </c>
      <c r="AB240" s="687">
        <v>1000000</v>
      </c>
      <c r="AC240" s="669">
        <v>1</v>
      </c>
      <c r="AD240" s="669"/>
      <c r="AE240" s="669"/>
      <c r="AF240" s="669"/>
      <c r="AG240" s="341"/>
      <c r="AH240" s="355" t="s">
        <v>2841</v>
      </c>
      <c r="AI240" s="363">
        <v>42563</v>
      </c>
      <c r="AJ240" s="363">
        <v>42573</v>
      </c>
      <c r="AK240" s="358"/>
      <c r="AL240" s="358"/>
      <c r="AM240" s="267" t="s">
        <v>2598</v>
      </c>
      <c r="AN240" s="728" t="s">
        <v>2839</v>
      </c>
      <c r="AO240" s="801">
        <v>100000</v>
      </c>
      <c r="AP240" s="721"/>
      <c r="AQ240" s="721"/>
      <c r="AR240" s="721"/>
      <c r="AS240" s="721"/>
      <c r="AT240" s="721"/>
      <c r="AU240" s="721"/>
      <c r="AV240" s="544">
        <f t="shared" si="93"/>
        <v>100000</v>
      </c>
      <c r="AW240" s="525"/>
      <c r="AX240" s="310"/>
      <c r="AY240" s="310"/>
      <c r="AZ240" s="310"/>
      <c r="BA240" s="310"/>
      <c r="BB240" s="310"/>
      <c r="BC240" s="310"/>
      <c r="BD240" s="544">
        <f t="shared" si="94"/>
        <v>0</v>
      </c>
      <c r="BE240" s="525"/>
      <c r="BF240" s="310"/>
      <c r="BG240" s="310"/>
      <c r="BH240" s="310"/>
      <c r="BI240" s="310"/>
      <c r="BJ240" s="310"/>
      <c r="BK240" s="310"/>
      <c r="BL240" s="544">
        <f t="shared" si="95"/>
        <v>0</v>
      </c>
      <c r="BM240" s="525"/>
      <c r="BN240" s="310"/>
      <c r="BO240" s="310"/>
      <c r="BP240" s="310"/>
      <c r="BQ240" s="310"/>
      <c r="BR240" s="310"/>
      <c r="BS240" s="310"/>
      <c r="BT240" s="544">
        <f t="shared" si="96"/>
        <v>0</v>
      </c>
      <c r="BU240" s="556"/>
      <c r="BV240" s="663">
        <f t="shared" si="101"/>
        <v>1</v>
      </c>
      <c r="BW240" s="674">
        <f t="shared" si="102"/>
        <v>0.25</v>
      </c>
      <c r="BX240" s="674">
        <f t="shared" si="103"/>
        <v>1</v>
      </c>
      <c r="BY240" s="674">
        <f t="shared" si="104"/>
        <v>0</v>
      </c>
      <c r="BZ240" s="675">
        <f t="shared" si="105"/>
        <v>0</v>
      </c>
      <c r="CA240" s="675">
        <f t="shared" si="106"/>
        <v>0</v>
      </c>
    </row>
    <row r="241" spans="1:79" ht="140.25" hidden="1" customHeight="1" x14ac:dyDescent="0.25">
      <c r="A241" s="298" t="s">
        <v>491</v>
      </c>
      <c r="B241" s="299" t="str">
        <f>'PLAN INDICATIVO'!B239</f>
        <v>Atención a grupos vulnerables - promoción social</v>
      </c>
      <c r="C241" s="1548"/>
      <c r="D241" s="1549"/>
      <c r="E241" s="1549"/>
      <c r="F241" s="1549"/>
      <c r="G241" s="1549"/>
      <c r="H241" s="1549"/>
      <c r="I241" s="300">
        <f>'PLAN INDICATIVO'!I239</f>
        <v>0</v>
      </c>
      <c r="J241" s="300">
        <f>'PLAN INDICATIVO'!J239</f>
        <v>0</v>
      </c>
      <c r="K241" s="1428" t="str">
        <f>'PLAN INDICATIVO'!K239</f>
        <v>A.14.5.26</v>
      </c>
      <c r="L241" s="301" t="str">
        <f>'PLAN INDICATIVO'!L239</f>
        <v>1. Fin de la Pobreza</v>
      </c>
      <c r="M241" s="301" t="str">
        <f>'PLAN INDICATIVO'!M239</f>
        <v>Secretaría de Gobierno</v>
      </c>
      <c r="N241" s="1425" t="s">
        <v>2791</v>
      </c>
      <c r="O241" s="1425" t="str">
        <f>'PLAN INDICATIVO'!O239</f>
        <v>Mantenimiento</v>
      </c>
      <c r="P241" s="74" t="str">
        <f>'PLAN INDICATIVO'!P239</f>
        <v>Implementar 1 programa  para la superación de la pobreza  extrema en el marco de la red unidos y más familias en acción, entre otros, cada año</v>
      </c>
      <c r="Q241" s="302" t="str">
        <f>'PLAN INDICATIVO'!Q239</f>
        <v>No. de programas implementados</v>
      </c>
      <c r="R241" s="303">
        <f>'PLAN INDICATIVO'!R239</f>
        <v>2015</v>
      </c>
      <c r="S241" s="304">
        <v>1</v>
      </c>
      <c r="T241" s="699">
        <v>4</v>
      </c>
      <c r="U241" s="303">
        <v>1</v>
      </c>
      <c r="V241" s="687">
        <v>41000000</v>
      </c>
      <c r="W241" s="303">
        <v>1</v>
      </c>
      <c r="X241" s="687">
        <v>41000000</v>
      </c>
      <c r="Y241" s="303">
        <v>1</v>
      </c>
      <c r="Z241" s="687">
        <v>41000000</v>
      </c>
      <c r="AA241" s="303">
        <v>1</v>
      </c>
      <c r="AB241" s="687">
        <v>41000000</v>
      </c>
      <c r="AC241" s="669">
        <v>1</v>
      </c>
      <c r="AD241" s="669"/>
      <c r="AE241" s="669"/>
      <c r="AF241" s="669"/>
      <c r="AG241" s="341"/>
      <c r="AH241" s="355" t="s">
        <v>2842</v>
      </c>
      <c r="AI241" s="363">
        <v>42608</v>
      </c>
      <c r="AJ241" s="363">
        <v>42612</v>
      </c>
      <c r="AK241" s="358"/>
      <c r="AL241" s="358"/>
      <c r="AM241" s="267" t="s">
        <v>2598</v>
      </c>
      <c r="AN241" s="512" t="s">
        <v>2843</v>
      </c>
      <c r="AO241" s="720">
        <f>2210000+1100000</f>
        <v>3310000</v>
      </c>
      <c r="AP241" s="721">
        <v>8000000</v>
      </c>
      <c r="AQ241" s="721"/>
      <c r="AR241" s="721"/>
      <c r="AS241" s="721"/>
      <c r="AT241" s="721"/>
      <c r="AU241" s="721"/>
      <c r="AV241" s="544">
        <f t="shared" si="93"/>
        <v>11310000</v>
      </c>
      <c r="AW241" s="525"/>
      <c r="AX241" s="310"/>
      <c r="AY241" s="310"/>
      <c r="AZ241" s="310"/>
      <c r="BA241" s="310"/>
      <c r="BB241" s="310"/>
      <c r="BC241" s="310"/>
      <c r="BD241" s="544">
        <f t="shared" si="94"/>
        <v>0</v>
      </c>
      <c r="BE241" s="525"/>
      <c r="BF241" s="310"/>
      <c r="BG241" s="310"/>
      <c r="BH241" s="310"/>
      <c r="BI241" s="310"/>
      <c r="BJ241" s="310"/>
      <c r="BK241" s="310"/>
      <c r="BL241" s="544">
        <f t="shared" si="95"/>
        <v>0</v>
      </c>
      <c r="BM241" s="525"/>
      <c r="BN241" s="310"/>
      <c r="BO241" s="310"/>
      <c r="BP241" s="310"/>
      <c r="BQ241" s="310"/>
      <c r="BR241" s="310"/>
      <c r="BS241" s="310"/>
      <c r="BT241" s="544">
        <f t="shared" si="96"/>
        <v>0</v>
      </c>
      <c r="BU241" s="556"/>
      <c r="BV241" s="663">
        <f t="shared" si="101"/>
        <v>1</v>
      </c>
      <c r="BW241" s="674">
        <f t="shared" si="102"/>
        <v>0.25</v>
      </c>
      <c r="BX241" s="674">
        <f t="shared" si="103"/>
        <v>1</v>
      </c>
      <c r="BY241" s="674">
        <f t="shared" si="104"/>
        <v>0</v>
      </c>
      <c r="BZ241" s="675">
        <f t="shared" si="105"/>
        <v>0</v>
      </c>
      <c r="CA241" s="675">
        <f t="shared" si="106"/>
        <v>0</v>
      </c>
    </row>
    <row r="242" spans="1:79" ht="11.25" hidden="1" customHeight="1" x14ac:dyDescent="0.25">
      <c r="A242" s="153" t="s">
        <v>491</v>
      </c>
      <c r="B242" s="19" t="e">
        <f>'PLAN INDICATIVO'!#REF!</f>
        <v>#REF!</v>
      </c>
      <c r="C242" s="7"/>
      <c r="D242" s="1442"/>
      <c r="E242" s="1442"/>
      <c r="F242" s="1442"/>
      <c r="G242" s="1442"/>
      <c r="H242" s="1442"/>
      <c r="I242" s="1442"/>
      <c r="J242" s="1442"/>
      <c r="K242" s="1442"/>
      <c r="L242" s="1442"/>
      <c r="M242" s="1442"/>
      <c r="N242" s="1442"/>
      <c r="O242" s="1442"/>
      <c r="P242" s="1440"/>
      <c r="Q242" s="1440"/>
      <c r="R242" s="1442"/>
      <c r="S242" s="265"/>
      <c r="T242" s="699"/>
      <c r="U242" s="303"/>
      <c r="V242" s="265"/>
      <c r="W242" s="303">
        <v>0</v>
      </c>
      <c r="X242" s="265"/>
      <c r="Y242" s="303">
        <v>0</v>
      </c>
      <c r="Z242" s="265"/>
      <c r="AA242" s="303">
        <v>1</v>
      </c>
      <c r="AB242" s="265"/>
      <c r="AC242" s="265"/>
      <c r="AD242" s="265"/>
      <c r="AE242" s="265"/>
      <c r="AF242" s="265"/>
      <c r="AG242" s="274"/>
      <c r="AH242" s="274"/>
      <c r="AI242" s="265"/>
      <c r="AJ242" s="265"/>
      <c r="AK242" s="265"/>
      <c r="AL242" s="265"/>
      <c r="AM242" s="265"/>
      <c r="AN242" s="512"/>
      <c r="AO242" s="525"/>
      <c r="AP242" s="310"/>
      <c r="AQ242" s="310"/>
      <c r="AR242" s="310"/>
      <c r="AS242" s="310"/>
      <c r="AT242" s="310"/>
      <c r="AU242" s="310"/>
      <c r="AV242" s="544">
        <f t="shared" si="93"/>
        <v>0</v>
      </c>
      <c r="AW242" s="525"/>
      <c r="AX242" s="310"/>
      <c r="AY242" s="310"/>
      <c r="AZ242" s="310"/>
      <c r="BA242" s="310"/>
      <c r="BB242" s="310"/>
      <c r="BC242" s="310"/>
      <c r="BD242" s="544">
        <f t="shared" si="94"/>
        <v>0</v>
      </c>
      <c r="BE242" s="525"/>
      <c r="BF242" s="310"/>
      <c r="BG242" s="310"/>
      <c r="BH242" s="310"/>
      <c r="BI242" s="310"/>
      <c r="BJ242" s="310"/>
      <c r="BK242" s="310"/>
      <c r="BL242" s="544">
        <f t="shared" si="95"/>
        <v>0</v>
      </c>
      <c r="BM242" s="525"/>
      <c r="BN242" s="310"/>
      <c r="BO242" s="310"/>
      <c r="BP242" s="310"/>
      <c r="BQ242" s="310"/>
      <c r="BR242" s="310"/>
      <c r="BS242" s="310"/>
      <c r="BT242" s="544">
        <f t="shared" si="96"/>
        <v>0</v>
      </c>
      <c r="BU242" s="556"/>
      <c r="BV242" s="663">
        <f t="shared" si="101"/>
        <v>0</v>
      </c>
      <c r="BW242" s="674" t="e">
        <f t="shared" si="102"/>
        <v>#DIV/0!</v>
      </c>
      <c r="BX242" s="674" t="e">
        <f t="shared" si="103"/>
        <v>#DIV/0!</v>
      </c>
      <c r="BY242" s="674" t="e">
        <f t="shared" si="104"/>
        <v>#DIV/0!</v>
      </c>
      <c r="BZ242" s="675" t="e">
        <f t="shared" si="105"/>
        <v>#DIV/0!</v>
      </c>
      <c r="CA242" s="675">
        <f t="shared" si="106"/>
        <v>0</v>
      </c>
    </row>
    <row r="243" spans="1:79" ht="33.75" hidden="1" customHeight="1" x14ac:dyDescent="0.25">
      <c r="A243" s="295" t="s">
        <v>491</v>
      </c>
      <c r="B243" s="24" t="str">
        <f>'PLAN INDICATIVO'!B241</f>
        <v>Atención a grupos vulnerables - promoción social</v>
      </c>
      <c r="C243" s="1574" t="s">
        <v>743</v>
      </c>
      <c r="D243" s="1575"/>
      <c r="E243" s="1575"/>
      <c r="F243" s="1575"/>
      <c r="G243" s="1575"/>
      <c r="H243" s="1575"/>
      <c r="I243" s="1575"/>
      <c r="J243" s="1575"/>
      <c r="K243" s="1575"/>
      <c r="L243" s="1575"/>
      <c r="M243" s="1575"/>
      <c r="N243" s="1575"/>
      <c r="O243" s="1576"/>
      <c r="P243" s="369" t="s">
        <v>744</v>
      </c>
      <c r="Q243" s="22"/>
      <c r="R243" s="1"/>
      <c r="S243" s="261"/>
      <c r="T243" s="681"/>
      <c r="U243" s="261"/>
      <c r="V243" s="689">
        <f>SUM(V244:V260)</f>
        <v>47400000</v>
      </c>
      <c r="W243" s="261"/>
      <c r="X243" s="689">
        <f>SUM(X244:X260)</f>
        <v>49030000</v>
      </c>
      <c r="Y243" s="261"/>
      <c r="Z243" s="689">
        <f>SUM(Z244:Z260)</f>
        <v>50700000</v>
      </c>
      <c r="AA243" s="261"/>
      <c r="AB243" s="689">
        <f>SUM(AB244:AB260)</f>
        <v>51600000</v>
      </c>
      <c r="AC243" s="261"/>
      <c r="AD243" s="261"/>
      <c r="AE243" s="261"/>
      <c r="AF243" s="261"/>
      <c r="AG243" s="273"/>
      <c r="AH243" s="273"/>
      <c r="AI243" s="261"/>
      <c r="AJ243" s="261"/>
      <c r="AK243" s="261"/>
      <c r="AL243" s="261"/>
      <c r="AM243" s="261"/>
      <c r="AN243" s="635"/>
      <c r="AO243" s="616" t="e">
        <f>(AO244:AO260)</f>
        <v>#VALUE!</v>
      </c>
      <c r="AP243" s="616" t="e">
        <f t="shared" ref="AP243:AU243" si="123">(AP244:AP260)</f>
        <v>#VALUE!</v>
      </c>
      <c r="AQ243" s="616" t="e">
        <f t="shared" si="123"/>
        <v>#VALUE!</v>
      </c>
      <c r="AR243" s="616" t="e">
        <f t="shared" si="123"/>
        <v>#VALUE!</v>
      </c>
      <c r="AS243" s="616" t="e">
        <f t="shared" si="123"/>
        <v>#VALUE!</v>
      </c>
      <c r="AT243" s="616" t="e">
        <f t="shared" si="123"/>
        <v>#VALUE!</v>
      </c>
      <c r="AU243" s="616" t="e">
        <f t="shared" si="123"/>
        <v>#VALUE!</v>
      </c>
      <c r="AV243" s="617" t="e">
        <f t="shared" si="93"/>
        <v>#VALUE!</v>
      </c>
      <c r="AW243" s="616" t="e">
        <f t="shared" ref="AW243:BC243" si="124">(AW244:AW260)</f>
        <v>#VALUE!</v>
      </c>
      <c r="AX243" s="616" t="e">
        <f t="shared" si="124"/>
        <v>#VALUE!</v>
      </c>
      <c r="AY243" s="616" t="e">
        <f t="shared" si="124"/>
        <v>#VALUE!</v>
      </c>
      <c r="AZ243" s="616" t="e">
        <f t="shared" si="124"/>
        <v>#VALUE!</v>
      </c>
      <c r="BA243" s="616" t="e">
        <f t="shared" si="124"/>
        <v>#VALUE!</v>
      </c>
      <c r="BB243" s="616" t="e">
        <f t="shared" si="124"/>
        <v>#VALUE!</v>
      </c>
      <c r="BC243" s="616" t="e">
        <f t="shared" si="124"/>
        <v>#VALUE!</v>
      </c>
      <c r="BD243" s="617" t="e">
        <f t="shared" si="94"/>
        <v>#VALUE!</v>
      </c>
      <c r="BE243" s="616" t="e">
        <f t="shared" ref="BE243:BK243" si="125">(BE244:BE260)</f>
        <v>#VALUE!</v>
      </c>
      <c r="BF243" s="616" t="e">
        <f t="shared" si="125"/>
        <v>#VALUE!</v>
      </c>
      <c r="BG243" s="616" t="e">
        <f t="shared" si="125"/>
        <v>#VALUE!</v>
      </c>
      <c r="BH243" s="616" t="e">
        <f t="shared" si="125"/>
        <v>#VALUE!</v>
      </c>
      <c r="BI243" s="616" t="e">
        <f t="shared" si="125"/>
        <v>#VALUE!</v>
      </c>
      <c r="BJ243" s="616" t="e">
        <f t="shared" si="125"/>
        <v>#VALUE!</v>
      </c>
      <c r="BK243" s="616" t="e">
        <f t="shared" si="125"/>
        <v>#VALUE!</v>
      </c>
      <c r="BL243" s="617" t="e">
        <f t="shared" si="95"/>
        <v>#VALUE!</v>
      </c>
      <c r="BM243" s="616" t="e">
        <f t="shared" ref="BM243:BS243" si="126">(BM244:BM260)</f>
        <v>#VALUE!</v>
      </c>
      <c r="BN243" s="616" t="e">
        <f t="shared" si="126"/>
        <v>#VALUE!</v>
      </c>
      <c r="BO243" s="616" t="e">
        <f t="shared" si="126"/>
        <v>#VALUE!</v>
      </c>
      <c r="BP243" s="616" t="e">
        <f t="shared" si="126"/>
        <v>#VALUE!</v>
      </c>
      <c r="BQ243" s="616" t="e">
        <f t="shared" si="126"/>
        <v>#VALUE!</v>
      </c>
      <c r="BR243" s="616" t="e">
        <f t="shared" si="126"/>
        <v>#VALUE!</v>
      </c>
      <c r="BS243" s="616" t="e">
        <f t="shared" si="126"/>
        <v>#VALUE!</v>
      </c>
      <c r="BT243" s="617" t="e">
        <f t="shared" si="96"/>
        <v>#VALUE!</v>
      </c>
      <c r="BU243" s="556"/>
      <c r="BV243" s="663">
        <f t="shared" si="101"/>
        <v>0</v>
      </c>
      <c r="BW243" s="674" t="e">
        <f t="shared" si="102"/>
        <v>#DIV/0!</v>
      </c>
      <c r="BX243" s="674" t="e">
        <f t="shared" si="103"/>
        <v>#DIV/0!</v>
      </c>
      <c r="BY243" s="674" t="e">
        <f t="shared" si="104"/>
        <v>#DIV/0!</v>
      </c>
      <c r="BZ243" s="675" t="e">
        <f t="shared" si="105"/>
        <v>#DIV/0!</v>
      </c>
      <c r="CA243" s="675" t="e">
        <f t="shared" si="106"/>
        <v>#DIV/0!</v>
      </c>
    </row>
    <row r="244" spans="1:79" ht="97.5" hidden="1" customHeight="1" x14ac:dyDescent="0.25">
      <c r="A244" s="298" t="s">
        <v>491</v>
      </c>
      <c r="B244" s="299" t="str">
        <f>'PLAN INDICATIVO'!B242</f>
        <v>Atención a grupos vulnerables - promoción social</v>
      </c>
      <c r="C244" s="1546" t="s">
        <v>745</v>
      </c>
      <c r="D244" s="1550" t="s">
        <v>746</v>
      </c>
      <c r="E244" s="1550" t="s">
        <v>747</v>
      </c>
      <c r="F244" s="1550">
        <v>2015</v>
      </c>
      <c r="G244" s="1550">
        <v>1</v>
      </c>
      <c r="H244" s="1550">
        <v>1</v>
      </c>
      <c r="I244" s="300">
        <f>'PLAN INDICATIVO'!I242</f>
        <v>0</v>
      </c>
      <c r="J244" s="300">
        <f>'PLAN INDICATIVO'!J242</f>
        <v>0</v>
      </c>
      <c r="K244" s="1425" t="str">
        <f>'PLAN INDICATIVO'!K242</f>
        <v>A.14.6.1</v>
      </c>
      <c r="L244" s="301" t="str">
        <f>'PLAN INDICATIVO'!L242</f>
        <v>10. Reducción de las desigualdades</v>
      </c>
      <c r="M244" s="301" t="str">
        <f>'PLAN INDICATIVO'!M242</f>
        <v>Secretaría de Gobierno</v>
      </c>
      <c r="N244" s="1425" t="s">
        <v>2791</v>
      </c>
      <c r="O244" s="1425" t="str">
        <f>'PLAN INDICATIVO'!O242</f>
        <v>Incremento</v>
      </c>
      <c r="P244" s="16" t="str">
        <f>'PLAN INDICATIVO'!P242</f>
        <v>Realizar 16  plenarias de mesa de trabajo para garantizar la participación de la construcción política de victimas durante el cuatrienio</v>
      </c>
      <c r="Q244" s="302" t="str">
        <f>'PLAN INDICATIVO'!Q242</f>
        <v>No. De mesa de trabajo realizadas</v>
      </c>
      <c r="R244" s="303">
        <f>'PLAN INDICATIVO'!R242</f>
        <v>2015</v>
      </c>
      <c r="S244" s="304">
        <v>4</v>
      </c>
      <c r="T244" s="699">
        <v>16</v>
      </c>
      <c r="U244" s="303">
        <v>4</v>
      </c>
      <c r="V244" s="687">
        <v>6500000</v>
      </c>
      <c r="W244" s="303">
        <v>4</v>
      </c>
      <c r="X244" s="687">
        <v>2500000</v>
      </c>
      <c r="Y244" s="303">
        <v>4</v>
      </c>
      <c r="Z244" s="687">
        <v>4000000</v>
      </c>
      <c r="AA244" s="303">
        <v>4</v>
      </c>
      <c r="AB244" s="687">
        <v>4500000</v>
      </c>
      <c r="AC244" s="669">
        <v>4</v>
      </c>
      <c r="AD244" s="669"/>
      <c r="AE244" s="669"/>
      <c r="AF244" s="669"/>
      <c r="AG244" s="1579" t="s">
        <v>2844</v>
      </c>
      <c r="AH244" s="355" t="s">
        <v>2845</v>
      </c>
      <c r="AI244" s="363">
        <v>42552</v>
      </c>
      <c r="AJ244" s="363">
        <v>42582</v>
      </c>
      <c r="AK244" s="358"/>
      <c r="AL244" s="358"/>
      <c r="AM244" s="267" t="s">
        <v>2598</v>
      </c>
      <c r="AN244" s="512" t="s">
        <v>2846</v>
      </c>
      <c r="AO244" s="528">
        <f>1000000+2052800</f>
        <v>3052800</v>
      </c>
      <c r="AP244" s="472"/>
      <c r="AQ244" s="472"/>
      <c r="AR244" s="472"/>
      <c r="AS244" s="472"/>
      <c r="AT244" s="472"/>
      <c r="AU244" s="472"/>
      <c r="AV244" s="544">
        <f t="shared" si="93"/>
        <v>3052800</v>
      </c>
      <c r="AW244" s="528"/>
      <c r="AX244" s="472"/>
      <c r="AY244" s="472"/>
      <c r="AZ244" s="472"/>
      <c r="BA244" s="472"/>
      <c r="BB244" s="472"/>
      <c r="BC244" s="472"/>
      <c r="BD244" s="544">
        <f t="shared" si="94"/>
        <v>0</v>
      </c>
      <c r="BE244" s="528"/>
      <c r="BF244" s="472"/>
      <c r="BG244" s="472"/>
      <c r="BH244" s="472"/>
      <c r="BI244" s="472"/>
      <c r="BJ244" s="472"/>
      <c r="BK244" s="472"/>
      <c r="BL244" s="544">
        <f t="shared" si="95"/>
        <v>0</v>
      </c>
      <c r="BM244" s="528"/>
      <c r="BN244" s="472"/>
      <c r="BO244" s="472"/>
      <c r="BP244" s="472"/>
      <c r="BQ244" s="472"/>
      <c r="BR244" s="472"/>
      <c r="BS244" s="472"/>
      <c r="BT244" s="544">
        <f t="shared" si="96"/>
        <v>0</v>
      </c>
      <c r="BU244" s="556"/>
      <c r="BV244" s="663">
        <f t="shared" si="101"/>
        <v>4</v>
      </c>
      <c r="BW244" s="674">
        <f t="shared" si="102"/>
        <v>0.25</v>
      </c>
      <c r="BX244" s="674">
        <f t="shared" si="103"/>
        <v>1</v>
      </c>
      <c r="BY244" s="674">
        <f t="shared" si="104"/>
        <v>0</v>
      </c>
      <c r="BZ244" s="675">
        <f t="shared" si="105"/>
        <v>0</v>
      </c>
      <c r="CA244" s="675">
        <f t="shared" si="106"/>
        <v>0</v>
      </c>
    </row>
    <row r="245" spans="1:79" ht="51.75" hidden="1" customHeight="1" x14ac:dyDescent="0.25">
      <c r="A245" s="298" t="s">
        <v>491</v>
      </c>
      <c r="B245" s="299" t="str">
        <f>'PLAN INDICATIVO'!B243</f>
        <v>Atención a grupos vulnerables - promoción social</v>
      </c>
      <c r="C245" s="1547"/>
      <c r="D245" s="1551"/>
      <c r="E245" s="1551"/>
      <c r="F245" s="1551"/>
      <c r="G245" s="1551"/>
      <c r="H245" s="1551"/>
      <c r="I245" s="300">
        <f>'PLAN INDICATIVO'!I243</f>
        <v>0</v>
      </c>
      <c r="J245" s="300">
        <f>'PLAN INDICATIVO'!J243</f>
        <v>0</v>
      </c>
      <c r="K245" s="1425" t="str">
        <f>'PLAN INDICATIVO'!K243</f>
        <v>A.14.6.2</v>
      </c>
      <c r="L245" s="301" t="str">
        <f>'PLAN INDICATIVO'!L243</f>
        <v>10. Reducción de las desigualdades</v>
      </c>
      <c r="M245" s="301" t="str">
        <f>'PLAN INDICATIVO'!M243</f>
        <v>Secretaría de Gobierno</v>
      </c>
      <c r="N245" s="1425" t="s">
        <v>2791</v>
      </c>
      <c r="O245" s="1425" t="str">
        <f>'PLAN INDICATIVO'!O243</f>
        <v>Mantenimiento</v>
      </c>
      <c r="P245" s="16" t="str">
        <f>'PLAN INDICATIVO'!P243</f>
        <v>1 estrategia implementada cada año mediante los enlaces municipales, para atención integral de la población víctima</v>
      </c>
      <c r="Q245" s="302" t="str">
        <f>'PLAN INDICATIVO'!Q243</f>
        <v>No. De estrategias implementadas por año</v>
      </c>
      <c r="R245" s="303">
        <f>'PLAN INDICATIVO'!R243</f>
        <v>2015</v>
      </c>
      <c r="S245" s="304">
        <v>1</v>
      </c>
      <c r="T245" s="699">
        <v>4</v>
      </c>
      <c r="U245" s="303">
        <v>1</v>
      </c>
      <c r="V245" s="687">
        <v>11600000</v>
      </c>
      <c r="W245" s="303">
        <v>1</v>
      </c>
      <c r="X245" s="687">
        <v>12500000</v>
      </c>
      <c r="Y245" s="303">
        <v>1</v>
      </c>
      <c r="Z245" s="687">
        <v>12500000</v>
      </c>
      <c r="AA245" s="303">
        <v>1</v>
      </c>
      <c r="AB245" s="687">
        <v>13000000</v>
      </c>
      <c r="AC245" s="669">
        <v>1</v>
      </c>
      <c r="AD245" s="669"/>
      <c r="AE245" s="669"/>
      <c r="AF245" s="669"/>
      <c r="AG245" s="1580"/>
      <c r="AH245" s="355" t="s">
        <v>2847</v>
      </c>
      <c r="AI245" s="363">
        <v>42386</v>
      </c>
      <c r="AJ245" s="363">
        <v>42735</v>
      </c>
      <c r="AK245" s="358"/>
      <c r="AL245" s="358"/>
      <c r="AM245" s="267" t="s">
        <v>2598</v>
      </c>
      <c r="AN245" s="512" t="s">
        <v>2848</v>
      </c>
      <c r="AO245" s="528"/>
      <c r="AP245" s="472">
        <v>11000000</v>
      </c>
      <c r="AQ245" s="472"/>
      <c r="AR245" s="472"/>
      <c r="AS245" s="472"/>
      <c r="AT245" s="472"/>
      <c r="AU245" s="472"/>
      <c r="AV245" s="544">
        <f t="shared" si="93"/>
        <v>11000000</v>
      </c>
      <c r="AW245" s="528"/>
      <c r="AX245" s="472"/>
      <c r="AY245" s="472"/>
      <c r="AZ245" s="472"/>
      <c r="BA245" s="472"/>
      <c r="BB245" s="472"/>
      <c r="BC245" s="472"/>
      <c r="BD245" s="544">
        <f t="shared" si="94"/>
        <v>0</v>
      </c>
      <c r="BE245" s="528"/>
      <c r="BF245" s="472"/>
      <c r="BG245" s="472"/>
      <c r="BH245" s="472"/>
      <c r="BI245" s="472"/>
      <c r="BJ245" s="472"/>
      <c r="BK245" s="472"/>
      <c r="BL245" s="544">
        <f t="shared" si="95"/>
        <v>0</v>
      </c>
      <c r="BM245" s="528"/>
      <c r="BN245" s="472"/>
      <c r="BO245" s="472"/>
      <c r="BP245" s="472"/>
      <c r="BQ245" s="472"/>
      <c r="BR245" s="472"/>
      <c r="BS245" s="472"/>
      <c r="BT245" s="544">
        <f t="shared" si="96"/>
        <v>0</v>
      </c>
      <c r="BU245" s="556"/>
      <c r="BV245" s="663">
        <f t="shared" si="101"/>
        <v>1</v>
      </c>
      <c r="BW245" s="674">
        <f t="shared" si="102"/>
        <v>0.25</v>
      </c>
      <c r="BX245" s="674">
        <f t="shared" si="103"/>
        <v>1</v>
      </c>
      <c r="BY245" s="674">
        <f t="shared" si="104"/>
        <v>0</v>
      </c>
      <c r="BZ245" s="675">
        <f t="shared" si="105"/>
        <v>0</v>
      </c>
      <c r="CA245" s="675">
        <f t="shared" si="106"/>
        <v>0</v>
      </c>
    </row>
    <row r="246" spans="1:79" ht="72.75" hidden="1" customHeight="1" x14ac:dyDescent="0.25">
      <c r="A246" s="298" t="s">
        <v>491</v>
      </c>
      <c r="B246" s="299" t="str">
        <f>'PLAN INDICATIVO'!B244</f>
        <v>Atención a grupos vulnerables - promoción social</v>
      </c>
      <c r="C246" s="1547"/>
      <c r="D246" s="1551"/>
      <c r="E246" s="1551"/>
      <c r="F246" s="1551"/>
      <c r="G246" s="1551"/>
      <c r="H246" s="1551"/>
      <c r="I246" s="300">
        <f>'PLAN INDICATIVO'!I244</f>
        <v>0</v>
      </c>
      <c r="J246" s="300">
        <f>'PLAN INDICATIVO'!J244</f>
        <v>0</v>
      </c>
      <c r="K246" s="1425" t="str">
        <f>'PLAN INDICATIVO'!K244</f>
        <v>A.14.6.3</v>
      </c>
      <c r="L246" s="301" t="str">
        <f>'PLAN INDICATIVO'!L244</f>
        <v>10. Reducción de las desigualdades</v>
      </c>
      <c r="M246" s="301" t="str">
        <f>'PLAN INDICATIVO'!M244</f>
        <v>Secretaría de Gobierno</v>
      </c>
      <c r="N246" s="1425" t="s">
        <v>2791</v>
      </c>
      <c r="O246" s="1425" t="str">
        <f>'PLAN INDICATIVO'!O244</f>
        <v>Mantenimiento</v>
      </c>
      <c r="P246" s="16" t="str">
        <f>'PLAN INDICATIVO'!P244</f>
        <v>Implementar 2 jornadas al año para brindar servicios de salud y vacunación infantil a la población victima</v>
      </c>
      <c r="Q246" s="302" t="str">
        <f>'PLAN INDICATIVO'!Q244</f>
        <v>No. De Jornadas de vacunación realizadas por año</v>
      </c>
      <c r="R246" s="303">
        <f>'PLAN INDICATIVO'!R244</f>
        <v>2015</v>
      </c>
      <c r="S246" s="304">
        <v>0</v>
      </c>
      <c r="T246" s="699">
        <v>8</v>
      </c>
      <c r="U246" s="303">
        <v>2</v>
      </c>
      <c r="V246" s="687">
        <v>8000000</v>
      </c>
      <c r="W246" s="303">
        <v>2</v>
      </c>
      <c r="X246" s="687">
        <v>500000</v>
      </c>
      <c r="Y246" s="303">
        <v>2</v>
      </c>
      <c r="Z246" s="687">
        <v>500000</v>
      </c>
      <c r="AA246" s="303">
        <v>2</v>
      </c>
      <c r="AB246" s="687">
        <v>500000</v>
      </c>
      <c r="AC246" s="669">
        <v>2</v>
      </c>
      <c r="AD246" s="669"/>
      <c r="AE246" s="669"/>
      <c r="AF246" s="669"/>
      <c r="AG246" s="1580"/>
      <c r="AH246" s="355" t="s">
        <v>2849</v>
      </c>
      <c r="AI246" s="363">
        <v>42552</v>
      </c>
      <c r="AJ246" s="363">
        <v>42735</v>
      </c>
      <c r="AK246" s="358"/>
      <c r="AL246" s="358"/>
      <c r="AM246" s="267" t="s">
        <v>2598</v>
      </c>
      <c r="AN246" s="512" t="s">
        <v>2848</v>
      </c>
      <c r="AO246" s="528"/>
      <c r="AP246" s="472">
        <v>500000</v>
      </c>
      <c r="AQ246" s="472"/>
      <c r="AR246" s="472"/>
      <c r="AS246" s="472"/>
      <c r="AT246" s="472"/>
      <c r="AU246" s="472"/>
      <c r="AV246" s="544">
        <f t="shared" si="93"/>
        <v>500000</v>
      </c>
      <c r="AW246" s="528"/>
      <c r="AX246" s="472"/>
      <c r="AY246" s="472"/>
      <c r="AZ246" s="472"/>
      <c r="BA246" s="472"/>
      <c r="BB246" s="472"/>
      <c r="BC246" s="472"/>
      <c r="BD246" s="544">
        <f t="shared" si="94"/>
        <v>0</v>
      </c>
      <c r="BE246" s="528"/>
      <c r="BF246" s="472"/>
      <c r="BG246" s="472"/>
      <c r="BH246" s="472"/>
      <c r="BI246" s="472"/>
      <c r="BJ246" s="472"/>
      <c r="BK246" s="472"/>
      <c r="BL246" s="544">
        <f t="shared" si="95"/>
        <v>0</v>
      </c>
      <c r="BM246" s="528"/>
      <c r="BN246" s="472"/>
      <c r="BO246" s="472"/>
      <c r="BP246" s="472"/>
      <c r="BQ246" s="472"/>
      <c r="BR246" s="472"/>
      <c r="BS246" s="472"/>
      <c r="BT246" s="544">
        <f t="shared" si="96"/>
        <v>0</v>
      </c>
      <c r="BU246" s="556"/>
      <c r="BV246" s="663">
        <f t="shared" si="101"/>
        <v>2</v>
      </c>
      <c r="BW246" s="674">
        <f t="shared" si="102"/>
        <v>0.25</v>
      </c>
      <c r="BX246" s="674">
        <f t="shared" si="103"/>
        <v>1</v>
      </c>
      <c r="BY246" s="674">
        <f t="shared" si="104"/>
        <v>0</v>
      </c>
      <c r="BZ246" s="675">
        <f t="shared" si="105"/>
        <v>0</v>
      </c>
      <c r="CA246" s="675">
        <f t="shared" si="106"/>
        <v>0</v>
      </c>
    </row>
    <row r="247" spans="1:79" ht="69" hidden="1" customHeight="1" x14ac:dyDescent="0.25">
      <c r="A247" s="298" t="s">
        <v>491</v>
      </c>
      <c r="B247" s="299" t="str">
        <f>'PLAN INDICATIVO'!B245</f>
        <v>Atención a grupos vulnerables - promoción social</v>
      </c>
      <c r="C247" s="1547"/>
      <c r="D247" s="1551"/>
      <c r="E247" s="1551"/>
      <c r="F247" s="1551"/>
      <c r="G247" s="1551"/>
      <c r="H247" s="1551"/>
      <c r="I247" s="300">
        <f>'PLAN INDICATIVO'!I245</f>
        <v>0</v>
      </c>
      <c r="J247" s="300">
        <f>'PLAN INDICATIVO'!J245</f>
        <v>0</v>
      </c>
      <c r="K247" s="1425" t="str">
        <f>'PLAN INDICATIVO'!K245</f>
        <v>A.14.6.4</v>
      </c>
      <c r="L247" s="301" t="str">
        <f>'PLAN INDICATIVO'!L245</f>
        <v>10. Reducción de las desigualdades</v>
      </c>
      <c r="M247" s="301" t="str">
        <f>'PLAN INDICATIVO'!M245</f>
        <v>Secretaría de Gobierno</v>
      </c>
      <c r="N247" s="1425" t="s">
        <v>2791</v>
      </c>
      <c r="O247" s="1425" t="str">
        <f>'PLAN INDICATIVO'!O245</f>
        <v>Mantenimiento</v>
      </c>
      <c r="P247" s="16" t="str">
        <f>'PLAN INDICATIVO'!P245</f>
        <v>Participar en 2 consejos educativos en el año para proteger y fiscalizar que se brinden los servicios educativos a las víctimas</v>
      </c>
      <c r="Q247" s="302" t="str">
        <f>'PLAN INDICATIVO'!Q245</f>
        <v>No. de consejo educativos realizados por año</v>
      </c>
      <c r="R247" s="303">
        <f>'PLAN INDICATIVO'!R245</f>
        <v>2015</v>
      </c>
      <c r="S247" s="304">
        <v>0</v>
      </c>
      <c r="T247" s="699">
        <v>8</v>
      </c>
      <c r="U247" s="303">
        <v>2</v>
      </c>
      <c r="V247" s="687">
        <v>2800000</v>
      </c>
      <c r="W247" s="303">
        <v>2</v>
      </c>
      <c r="X247" s="687">
        <v>500000</v>
      </c>
      <c r="Y247" s="303">
        <v>2</v>
      </c>
      <c r="Z247" s="687">
        <v>500000</v>
      </c>
      <c r="AA247" s="303">
        <v>2</v>
      </c>
      <c r="AB247" s="687">
        <v>500000</v>
      </c>
      <c r="AC247" s="669">
        <v>2</v>
      </c>
      <c r="AD247" s="669"/>
      <c r="AE247" s="669"/>
      <c r="AF247" s="669"/>
      <c r="AG247" s="1581"/>
      <c r="AH247" s="355" t="s">
        <v>2850</v>
      </c>
      <c r="AI247" s="363">
        <v>42552</v>
      </c>
      <c r="AJ247" s="363">
        <v>42735</v>
      </c>
      <c r="AK247" s="358"/>
      <c r="AL247" s="358"/>
      <c r="AM247" s="267" t="s">
        <v>2598</v>
      </c>
      <c r="AN247" s="512" t="s">
        <v>2596</v>
      </c>
      <c r="AO247" s="528"/>
      <c r="AP247" s="472"/>
      <c r="AQ247" s="472"/>
      <c r="AR247" s="472"/>
      <c r="AS247" s="472"/>
      <c r="AT247" s="472"/>
      <c r="AU247" s="472"/>
      <c r="AV247" s="544">
        <f t="shared" si="93"/>
        <v>0</v>
      </c>
      <c r="AW247" s="528"/>
      <c r="AX247" s="472"/>
      <c r="AY247" s="472"/>
      <c r="AZ247" s="472"/>
      <c r="BA247" s="472"/>
      <c r="BB247" s="472"/>
      <c r="BC247" s="472"/>
      <c r="BD247" s="544">
        <f t="shared" si="94"/>
        <v>0</v>
      </c>
      <c r="BE247" s="528"/>
      <c r="BF247" s="472"/>
      <c r="BG247" s="472"/>
      <c r="BH247" s="472"/>
      <c r="BI247" s="472"/>
      <c r="BJ247" s="472"/>
      <c r="BK247" s="472"/>
      <c r="BL247" s="544">
        <f t="shared" si="95"/>
        <v>0</v>
      </c>
      <c r="BM247" s="528"/>
      <c r="BN247" s="472"/>
      <c r="BO247" s="472"/>
      <c r="BP247" s="472"/>
      <c r="BQ247" s="472"/>
      <c r="BR247" s="472"/>
      <c r="BS247" s="472"/>
      <c r="BT247" s="544">
        <f t="shared" si="96"/>
        <v>0</v>
      </c>
      <c r="BU247" s="556"/>
      <c r="BV247" s="663">
        <f t="shared" si="101"/>
        <v>2</v>
      </c>
      <c r="BW247" s="674">
        <f t="shared" si="102"/>
        <v>0.25</v>
      </c>
      <c r="BX247" s="674">
        <f t="shared" si="103"/>
        <v>1</v>
      </c>
      <c r="BY247" s="674">
        <f t="shared" si="104"/>
        <v>0</v>
      </c>
      <c r="BZ247" s="675">
        <f t="shared" si="105"/>
        <v>0</v>
      </c>
      <c r="CA247" s="675">
        <f t="shared" si="106"/>
        <v>0</v>
      </c>
    </row>
    <row r="248" spans="1:79" ht="102" hidden="1" x14ac:dyDescent="0.25">
      <c r="A248" s="298" t="s">
        <v>491</v>
      </c>
      <c r="B248" s="299" t="str">
        <f>'PLAN INDICATIVO'!B246</f>
        <v>Atención a grupos vulnerables - promoción social</v>
      </c>
      <c r="C248" s="1547"/>
      <c r="D248" s="1551"/>
      <c r="E248" s="1551"/>
      <c r="F248" s="1551"/>
      <c r="G248" s="1551"/>
      <c r="H248" s="1551"/>
      <c r="I248" s="300">
        <f>'PLAN INDICATIVO'!I246</f>
        <v>0</v>
      </c>
      <c r="J248" s="300">
        <f>'PLAN INDICATIVO'!J246</f>
        <v>0</v>
      </c>
      <c r="K248" s="1425" t="str">
        <f>'PLAN INDICATIVO'!K246</f>
        <v>A.14.6.5</v>
      </c>
      <c r="L248" s="301" t="str">
        <f>'PLAN INDICATIVO'!L246</f>
        <v>10. Reducción de las desigualdades</v>
      </c>
      <c r="M248" s="301" t="str">
        <f>'PLAN INDICATIVO'!M246</f>
        <v>Secretaría de Gobierno</v>
      </c>
      <c r="N248" s="1425" t="s">
        <v>2791</v>
      </c>
      <c r="O248" s="1425" t="str">
        <f>'PLAN INDICATIVO'!O246</f>
        <v>Incremento</v>
      </c>
      <c r="P248" s="16" t="str">
        <f>'PLAN INDICATIVO'!P246</f>
        <v>Realizar 2 campañas de  sensibilización y fortalecimiento a las iniciativas del gobierno nacional con las víctimas del conflicto donde se busque el retorno y la reunificación familiar durante el cuatrienio</v>
      </c>
      <c r="Q248" s="302" t="str">
        <f>'PLAN INDICATIVO'!Q246</f>
        <v>No. De Campañas realizadas</v>
      </c>
      <c r="R248" s="303">
        <f>'PLAN INDICATIVO'!R246</f>
        <v>2015</v>
      </c>
      <c r="S248" s="304">
        <v>0</v>
      </c>
      <c r="T248" s="699">
        <v>2</v>
      </c>
      <c r="U248" s="303">
        <v>0</v>
      </c>
      <c r="V248" s="687"/>
      <c r="W248" s="303">
        <v>1</v>
      </c>
      <c r="X248" s="687">
        <v>500000</v>
      </c>
      <c r="Y248" s="303">
        <v>1</v>
      </c>
      <c r="Z248" s="687">
        <v>500000</v>
      </c>
      <c r="AA248" s="303">
        <v>0</v>
      </c>
      <c r="AB248" s="687"/>
      <c r="AC248" s="669"/>
      <c r="AD248" s="669"/>
      <c r="AE248" s="669"/>
      <c r="AF248" s="669"/>
      <c r="AG248" s="277"/>
      <c r="AH248" s="355"/>
      <c r="AI248" s="358"/>
      <c r="AJ248" s="358"/>
      <c r="AK248" s="358"/>
      <c r="AL248" s="358"/>
      <c r="AM248" s="267" t="s">
        <v>2594</v>
      </c>
      <c r="AN248" s="512"/>
      <c r="AO248" s="528"/>
      <c r="AP248" s="472"/>
      <c r="AQ248" s="472"/>
      <c r="AR248" s="472"/>
      <c r="AS248" s="472"/>
      <c r="AT248" s="472"/>
      <c r="AU248" s="472"/>
      <c r="AV248" s="544">
        <f t="shared" si="93"/>
        <v>0</v>
      </c>
      <c r="AW248" s="528"/>
      <c r="AX248" s="472"/>
      <c r="AY248" s="472"/>
      <c r="AZ248" s="472"/>
      <c r="BA248" s="472"/>
      <c r="BB248" s="472"/>
      <c r="BC248" s="472"/>
      <c r="BD248" s="544">
        <f t="shared" si="94"/>
        <v>0</v>
      </c>
      <c r="BE248" s="528"/>
      <c r="BF248" s="472"/>
      <c r="BG248" s="472"/>
      <c r="BH248" s="472"/>
      <c r="BI248" s="472"/>
      <c r="BJ248" s="472"/>
      <c r="BK248" s="472"/>
      <c r="BL248" s="544">
        <f t="shared" si="95"/>
        <v>0</v>
      </c>
      <c r="BM248" s="528"/>
      <c r="BN248" s="472"/>
      <c r="BO248" s="472"/>
      <c r="BP248" s="472"/>
      <c r="BQ248" s="472"/>
      <c r="BR248" s="472"/>
      <c r="BS248" s="472"/>
      <c r="BT248" s="544">
        <f t="shared" si="96"/>
        <v>0</v>
      </c>
      <c r="BU248" s="556"/>
      <c r="BV248" s="663">
        <f t="shared" si="101"/>
        <v>0</v>
      </c>
      <c r="BW248" s="674">
        <f t="shared" si="102"/>
        <v>0</v>
      </c>
      <c r="BX248" s="674" t="e">
        <f t="shared" si="103"/>
        <v>#DIV/0!</v>
      </c>
      <c r="BY248" s="674">
        <f t="shared" si="104"/>
        <v>0</v>
      </c>
      <c r="BZ248" s="675">
        <f t="shared" si="105"/>
        <v>0</v>
      </c>
      <c r="CA248" s="675" t="e">
        <f t="shared" si="106"/>
        <v>#DIV/0!</v>
      </c>
    </row>
    <row r="249" spans="1:79" ht="102" hidden="1" x14ac:dyDescent="0.25">
      <c r="A249" s="298" t="s">
        <v>491</v>
      </c>
      <c r="B249" s="299" t="str">
        <f>'PLAN INDICATIVO'!B247</f>
        <v>Atención a grupos vulnerables - promoción social</v>
      </c>
      <c r="C249" s="1547"/>
      <c r="D249" s="1551"/>
      <c r="E249" s="1551"/>
      <c r="F249" s="1551"/>
      <c r="G249" s="1551"/>
      <c r="H249" s="1551"/>
      <c r="I249" s="300">
        <f>'PLAN INDICATIVO'!I247</f>
        <v>0</v>
      </c>
      <c r="J249" s="300">
        <f>'PLAN INDICATIVO'!J247</f>
        <v>0</v>
      </c>
      <c r="K249" s="1425" t="str">
        <f>'PLAN INDICATIVO'!K247</f>
        <v>A.14.6.6</v>
      </c>
      <c r="L249" s="301" t="str">
        <f>'PLAN INDICATIVO'!L247</f>
        <v>10. Reducción de las desigualdades</v>
      </c>
      <c r="M249" s="301" t="str">
        <f>'PLAN INDICATIVO'!M247</f>
        <v>Secretaría de Gobierno</v>
      </c>
      <c r="N249" s="1425" t="s">
        <v>2791</v>
      </c>
      <c r="O249" s="1425" t="str">
        <f>'PLAN INDICATIVO'!O247</f>
        <v>Incremento</v>
      </c>
      <c r="P249" s="16" t="str">
        <f>'PLAN INDICATIVO'!P247</f>
        <v xml:space="preserve">Realizar 3 jornadas de articulación institucional  entre la Registraduría, ejército nacional y funcionarios del SISBEN para lograr identidad de población víctima del conflicto armado, durante el cuatrienio. </v>
      </c>
      <c r="Q249" s="302" t="str">
        <f>'PLAN INDICATIVO'!Q247</f>
        <v>No. De Jornadas de oferta realizadas</v>
      </c>
      <c r="R249" s="303">
        <f>'PLAN INDICATIVO'!R247</f>
        <v>2015</v>
      </c>
      <c r="S249" s="304">
        <v>0</v>
      </c>
      <c r="T249" s="699">
        <v>3</v>
      </c>
      <c r="U249" s="303">
        <v>0</v>
      </c>
      <c r="V249" s="687"/>
      <c r="W249" s="303">
        <v>1</v>
      </c>
      <c r="X249" s="687">
        <v>500000</v>
      </c>
      <c r="Y249" s="303">
        <v>1</v>
      </c>
      <c r="Z249" s="687">
        <v>500000</v>
      </c>
      <c r="AA249" s="303">
        <v>1</v>
      </c>
      <c r="AB249" s="687">
        <v>500000</v>
      </c>
      <c r="AC249" s="669">
        <v>2</v>
      </c>
      <c r="AD249" s="669"/>
      <c r="AE249" s="669"/>
      <c r="AF249" s="669"/>
      <c r="AG249" s="277"/>
      <c r="AH249" s="355"/>
      <c r="AI249" s="358"/>
      <c r="AJ249" s="358"/>
      <c r="AK249" s="358"/>
      <c r="AL249" s="358"/>
      <c r="AM249" s="267" t="s">
        <v>2594</v>
      </c>
      <c r="AN249" s="512"/>
      <c r="AO249" s="528"/>
      <c r="AP249" s="472"/>
      <c r="AQ249" s="472"/>
      <c r="AR249" s="472"/>
      <c r="AS249" s="472"/>
      <c r="AT249" s="472"/>
      <c r="AU249" s="472"/>
      <c r="AV249" s="544">
        <f t="shared" si="93"/>
        <v>0</v>
      </c>
      <c r="AW249" s="528"/>
      <c r="AX249" s="472"/>
      <c r="AY249" s="472"/>
      <c r="AZ249" s="472"/>
      <c r="BA249" s="472"/>
      <c r="BB249" s="472"/>
      <c r="BC249" s="472"/>
      <c r="BD249" s="544">
        <f t="shared" si="94"/>
        <v>0</v>
      </c>
      <c r="BE249" s="528"/>
      <c r="BF249" s="472"/>
      <c r="BG249" s="472"/>
      <c r="BH249" s="472"/>
      <c r="BI249" s="472"/>
      <c r="BJ249" s="472"/>
      <c r="BK249" s="472"/>
      <c r="BL249" s="544">
        <f t="shared" si="95"/>
        <v>0</v>
      </c>
      <c r="BM249" s="528"/>
      <c r="BN249" s="472"/>
      <c r="BO249" s="472"/>
      <c r="BP249" s="472"/>
      <c r="BQ249" s="472"/>
      <c r="BR249" s="472"/>
      <c r="BS249" s="472"/>
      <c r="BT249" s="544">
        <f t="shared" si="96"/>
        <v>0</v>
      </c>
      <c r="BU249" s="556"/>
      <c r="BV249" s="663">
        <f t="shared" si="101"/>
        <v>2</v>
      </c>
      <c r="BW249" s="674">
        <f t="shared" si="102"/>
        <v>0.66666666666666663</v>
      </c>
      <c r="BX249" s="674" t="e">
        <f t="shared" si="103"/>
        <v>#DIV/0!</v>
      </c>
      <c r="BY249" s="674">
        <f t="shared" si="104"/>
        <v>0</v>
      </c>
      <c r="BZ249" s="675">
        <f t="shared" si="105"/>
        <v>0</v>
      </c>
      <c r="CA249" s="675">
        <f t="shared" si="106"/>
        <v>0</v>
      </c>
    </row>
    <row r="250" spans="1:79" ht="89.25" hidden="1" x14ac:dyDescent="0.25">
      <c r="A250" s="298" t="s">
        <v>491</v>
      </c>
      <c r="B250" s="299" t="str">
        <f>'PLAN INDICATIVO'!B248</f>
        <v>Atención a grupos vulnerables - promoción social</v>
      </c>
      <c r="C250" s="1547"/>
      <c r="D250" s="1551"/>
      <c r="E250" s="1551"/>
      <c r="F250" s="1551"/>
      <c r="G250" s="1551"/>
      <c r="H250" s="1551"/>
      <c r="I250" s="300">
        <f>'PLAN INDICATIVO'!I248</f>
        <v>0</v>
      </c>
      <c r="J250" s="300">
        <f>'PLAN INDICATIVO'!J248</f>
        <v>0</v>
      </c>
      <c r="K250" s="1425" t="str">
        <f>'PLAN INDICATIVO'!K248</f>
        <v>A.14.6.7</v>
      </c>
      <c r="L250" s="301" t="str">
        <f>'PLAN INDICATIVO'!L248</f>
        <v>10. Reducción de las desigualdades</v>
      </c>
      <c r="M250" s="301" t="str">
        <f>'PLAN INDICATIVO'!M248</f>
        <v>Secretaría de Gobierno</v>
      </c>
      <c r="N250" s="1425" t="s">
        <v>2791</v>
      </c>
      <c r="O250" s="1425" t="str">
        <f>'PLAN INDICATIVO'!O248</f>
        <v>Incremento</v>
      </c>
      <c r="P250" s="16" t="str">
        <f>'PLAN INDICATIVO'!P248</f>
        <v>Desarrollar 3 proyectos productivos articulados con el programa  capital semilla para generar unidades productivas y mejorar ingresos de población víctima del conflicto armado,  durante el cuatrienio</v>
      </c>
      <c r="Q250" s="302" t="str">
        <f>'PLAN INDICATIVO'!Q248</f>
        <v>No. De Proyectos productivos articulados</v>
      </c>
      <c r="R250" s="303">
        <f>'PLAN INDICATIVO'!R248</f>
        <v>2015</v>
      </c>
      <c r="S250" s="304">
        <v>0</v>
      </c>
      <c r="T250" s="699">
        <v>3</v>
      </c>
      <c r="U250" s="303">
        <v>0</v>
      </c>
      <c r="V250" s="687"/>
      <c r="W250" s="303">
        <v>1</v>
      </c>
      <c r="X250" s="687">
        <v>16330000</v>
      </c>
      <c r="Y250" s="303">
        <v>1</v>
      </c>
      <c r="Z250" s="687">
        <v>16700000</v>
      </c>
      <c r="AA250" s="303">
        <v>1</v>
      </c>
      <c r="AB250" s="687">
        <v>17100000</v>
      </c>
      <c r="AC250" s="669">
        <v>1</v>
      </c>
      <c r="AD250" s="669"/>
      <c r="AE250" s="669"/>
      <c r="AF250" s="669"/>
      <c r="AG250" s="277"/>
      <c r="AH250" s="355"/>
      <c r="AI250" s="358"/>
      <c r="AJ250" s="358"/>
      <c r="AK250" s="358"/>
      <c r="AL250" s="358"/>
      <c r="AM250" s="267" t="s">
        <v>2598</v>
      </c>
      <c r="AN250" s="512"/>
      <c r="AO250" s="528"/>
      <c r="AP250" s="472"/>
      <c r="AQ250" s="472"/>
      <c r="AR250" s="472"/>
      <c r="AS250" s="472"/>
      <c r="AT250" s="472"/>
      <c r="AU250" s="472"/>
      <c r="AV250" s="544">
        <f t="shared" si="93"/>
        <v>0</v>
      </c>
      <c r="AW250" s="528"/>
      <c r="AX250" s="472"/>
      <c r="AY250" s="472"/>
      <c r="AZ250" s="472"/>
      <c r="BA250" s="472"/>
      <c r="BB250" s="472"/>
      <c r="BC250" s="472"/>
      <c r="BD250" s="544">
        <f t="shared" si="94"/>
        <v>0</v>
      </c>
      <c r="BE250" s="528"/>
      <c r="BF250" s="472"/>
      <c r="BG250" s="472"/>
      <c r="BH250" s="472"/>
      <c r="BI250" s="472"/>
      <c r="BJ250" s="472"/>
      <c r="BK250" s="472"/>
      <c r="BL250" s="544">
        <f t="shared" si="95"/>
        <v>0</v>
      </c>
      <c r="BM250" s="528"/>
      <c r="BN250" s="472"/>
      <c r="BO250" s="472"/>
      <c r="BP250" s="472"/>
      <c r="BQ250" s="472"/>
      <c r="BR250" s="472"/>
      <c r="BS250" s="472"/>
      <c r="BT250" s="544">
        <f t="shared" si="96"/>
        <v>0</v>
      </c>
      <c r="BU250" s="556"/>
      <c r="BV250" s="663">
        <f t="shared" si="101"/>
        <v>1</v>
      </c>
      <c r="BW250" s="674">
        <f t="shared" si="102"/>
        <v>0.33333333333333331</v>
      </c>
      <c r="BX250" s="674">
        <v>1</v>
      </c>
      <c r="BY250" s="674">
        <f t="shared" si="104"/>
        <v>0</v>
      </c>
      <c r="BZ250" s="675">
        <f t="shared" si="105"/>
        <v>0</v>
      </c>
      <c r="CA250" s="675">
        <f t="shared" si="106"/>
        <v>0</v>
      </c>
    </row>
    <row r="251" spans="1:79" ht="102" hidden="1" x14ac:dyDescent="0.25">
      <c r="A251" s="298" t="s">
        <v>491</v>
      </c>
      <c r="B251" s="299" t="str">
        <f>'PLAN INDICATIVO'!B249</f>
        <v>Atención a grupos vulnerables - promoción social</v>
      </c>
      <c r="C251" s="1547"/>
      <c r="D251" s="1551"/>
      <c r="E251" s="1551"/>
      <c r="F251" s="1551"/>
      <c r="G251" s="1551"/>
      <c r="H251" s="1551"/>
      <c r="I251" s="300">
        <f>'PLAN INDICATIVO'!I249</f>
        <v>0</v>
      </c>
      <c r="J251" s="300">
        <f>'PLAN INDICATIVO'!J249</f>
        <v>0</v>
      </c>
      <c r="K251" s="1425" t="str">
        <f>'PLAN INDICATIVO'!K249</f>
        <v>A.14.6.8</v>
      </c>
      <c r="L251" s="301" t="str">
        <f>'PLAN INDICATIVO'!L249</f>
        <v>10. Reducción de las desigualdades</v>
      </c>
      <c r="M251" s="301" t="str">
        <f>'PLAN INDICATIVO'!M249</f>
        <v>Secretaría de Gobierno</v>
      </c>
      <c r="N251" s="1425" t="s">
        <v>2791</v>
      </c>
      <c r="O251" s="1425" t="str">
        <f>'PLAN INDICATIVO'!O249</f>
        <v>Incremento</v>
      </c>
      <c r="P251" s="16" t="str">
        <f>'PLAN INDICATIVO'!P249</f>
        <v>Apoyar 3 unidades de negocio establecidas por las personas en proceso de reintegración, a través del beneficio de inserción económica brindado por la Agencia Colombiana Para La Reintegración, durante el cuatrienio</v>
      </c>
      <c r="Q251" s="302" t="str">
        <f>'PLAN INDICATIVO'!Q249</f>
        <v>No. De Unidades de negocio apoyadas</v>
      </c>
      <c r="R251" s="303">
        <f>'PLAN INDICATIVO'!R249</f>
        <v>2015</v>
      </c>
      <c r="S251" s="304">
        <v>0</v>
      </c>
      <c r="T251" s="699">
        <v>3</v>
      </c>
      <c r="U251" s="303">
        <v>0</v>
      </c>
      <c r="V251" s="687"/>
      <c r="W251" s="303">
        <v>1</v>
      </c>
      <c r="X251" s="687">
        <v>3200000</v>
      </c>
      <c r="Y251" s="303">
        <v>1</v>
      </c>
      <c r="Z251" s="687">
        <v>3500000</v>
      </c>
      <c r="AA251" s="303">
        <v>1</v>
      </c>
      <c r="AB251" s="687">
        <v>3500000</v>
      </c>
      <c r="AC251" s="669"/>
      <c r="AD251" s="669"/>
      <c r="AE251" s="669"/>
      <c r="AF251" s="669"/>
      <c r="AG251" s="277"/>
      <c r="AH251" s="355"/>
      <c r="AI251" s="358"/>
      <c r="AJ251" s="358"/>
      <c r="AK251" s="358"/>
      <c r="AL251" s="358"/>
      <c r="AM251" s="267" t="s">
        <v>2594</v>
      </c>
      <c r="AN251" s="512"/>
      <c r="AO251" s="528"/>
      <c r="AP251" s="472"/>
      <c r="AQ251" s="472"/>
      <c r="AR251" s="472"/>
      <c r="AS251" s="472"/>
      <c r="AT251" s="472"/>
      <c r="AU251" s="472"/>
      <c r="AV251" s="544">
        <f t="shared" si="93"/>
        <v>0</v>
      </c>
      <c r="AW251" s="528"/>
      <c r="AX251" s="472"/>
      <c r="AY251" s="472"/>
      <c r="AZ251" s="472"/>
      <c r="BA251" s="472"/>
      <c r="BB251" s="472"/>
      <c r="BC251" s="472"/>
      <c r="BD251" s="544">
        <f t="shared" si="94"/>
        <v>0</v>
      </c>
      <c r="BE251" s="528"/>
      <c r="BF251" s="472"/>
      <c r="BG251" s="472"/>
      <c r="BH251" s="472"/>
      <c r="BI251" s="472"/>
      <c r="BJ251" s="472"/>
      <c r="BK251" s="472"/>
      <c r="BL251" s="544">
        <f t="shared" si="95"/>
        <v>0</v>
      </c>
      <c r="BM251" s="528"/>
      <c r="BN251" s="472"/>
      <c r="BO251" s="472"/>
      <c r="BP251" s="472"/>
      <c r="BQ251" s="472"/>
      <c r="BR251" s="472"/>
      <c r="BS251" s="472"/>
      <c r="BT251" s="544">
        <f t="shared" si="96"/>
        <v>0</v>
      </c>
      <c r="BU251" s="556"/>
      <c r="BV251" s="663">
        <f t="shared" si="101"/>
        <v>0</v>
      </c>
      <c r="BW251" s="674">
        <f t="shared" si="102"/>
        <v>0</v>
      </c>
      <c r="BX251" s="674" t="e">
        <f t="shared" si="103"/>
        <v>#DIV/0!</v>
      </c>
      <c r="BY251" s="674">
        <f t="shared" si="104"/>
        <v>0</v>
      </c>
      <c r="BZ251" s="675">
        <f t="shared" si="105"/>
        <v>0</v>
      </c>
      <c r="CA251" s="675">
        <f t="shared" si="106"/>
        <v>0</v>
      </c>
    </row>
    <row r="252" spans="1:79" ht="76.5" hidden="1" x14ac:dyDescent="0.25">
      <c r="A252" s="298" t="s">
        <v>491</v>
      </c>
      <c r="B252" s="299" t="str">
        <f>'PLAN INDICATIVO'!B250</f>
        <v>Atención a grupos vulnerables - promoción social</v>
      </c>
      <c r="C252" s="1547"/>
      <c r="D252" s="1551"/>
      <c r="E252" s="1551"/>
      <c r="F252" s="1551"/>
      <c r="G252" s="1551"/>
      <c r="H252" s="1551"/>
      <c r="I252" s="300">
        <f>'PLAN INDICATIVO'!I250</f>
        <v>0</v>
      </c>
      <c r="J252" s="300">
        <f>'PLAN INDICATIVO'!J250</f>
        <v>0</v>
      </c>
      <c r="K252" s="1425" t="str">
        <f>'PLAN INDICATIVO'!K250</f>
        <v>A.14.6.9</v>
      </c>
      <c r="L252" s="301" t="str">
        <f>'PLAN INDICATIVO'!L250</f>
        <v>10. Reducción de las desigualdades</v>
      </c>
      <c r="M252" s="301" t="str">
        <f>'PLAN INDICATIVO'!M250</f>
        <v>Secretaría de Gobierno</v>
      </c>
      <c r="N252" s="1425" t="s">
        <v>2791</v>
      </c>
      <c r="O252" s="1425" t="str">
        <f>'PLAN INDICATIVO'!O250</f>
        <v>Incremento</v>
      </c>
      <c r="P252" s="16" t="str">
        <f>'PLAN INDICATIVO'!P250</f>
        <v xml:space="preserve">Realizar 1 oferta institucional a la población víctima del conflicto armado  para acceso a programas de vivienda nueva o mejoramiento de las mismas, durante el cuatrienio. </v>
      </c>
      <c r="Q252" s="302" t="str">
        <f>'PLAN INDICATIVO'!Q250</f>
        <v xml:space="preserve">No. de ofertas realizadas </v>
      </c>
      <c r="R252" s="303">
        <f>'PLAN INDICATIVO'!R250</f>
        <v>2015</v>
      </c>
      <c r="S252" s="304">
        <v>0</v>
      </c>
      <c r="T252" s="699">
        <v>1</v>
      </c>
      <c r="U252" s="303">
        <v>0</v>
      </c>
      <c r="V252" s="687"/>
      <c r="W252" s="303">
        <v>1</v>
      </c>
      <c r="X252" s="687">
        <v>500000</v>
      </c>
      <c r="Y252" s="303">
        <v>0</v>
      </c>
      <c r="Z252" s="687"/>
      <c r="AA252" s="303">
        <v>0</v>
      </c>
      <c r="AB252" s="687"/>
      <c r="AC252" s="669"/>
      <c r="AD252" s="669"/>
      <c r="AE252" s="669"/>
      <c r="AF252" s="669"/>
      <c r="AG252" s="277"/>
      <c r="AH252" s="355"/>
      <c r="AI252" s="358"/>
      <c r="AJ252" s="358"/>
      <c r="AK252" s="358"/>
      <c r="AL252" s="358"/>
      <c r="AM252" s="267" t="s">
        <v>2594</v>
      </c>
      <c r="AN252" s="512"/>
      <c r="AO252" s="528"/>
      <c r="AP252" s="472"/>
      <c r="AQ252" s="472"/>
      <c r="AR252" s="472"/>
      <c r="AS252" s="472"/>
      <c r="AT252" s="472"/>
      <c r="AU252" s="472"/>
      <c r="AV252" s="544">
        <f t="shared" si="93"/>
        <v>0</v>
      </c>
      <c r="AW252" s="528"/>
      <c r="AX252" s="472"/>
      <c r="AY252" s="472"/>
      <c r="AZ252" s="472"/>
      <c r="BA252" s="472"/>
      <c r="BB252" s="472"/>
      <c r="BC252" s="472"/>
      <c r="BD252" s="544">
        <f t="shared" si="94"/>
        <v>0</v>
      </c>
      <c r="BE252" s="528"/>
      <c r="BF252" s="472"/>
      <c r="BG252" s="472"/>
      <c r="BH252" s="472"/>
      <c r="BI252" s="472"/>
      <c r="BJ252" s="472"/>
      <c r="BK252" s="472"/>
      <c r="BL252" s="544">
        <f t="shared" si="95"/>
        <v>0</v>
      </c>
      <c r="BM252" s="528"/>
      <c r="BN252" s="472"/>
      <c r="BO252" s="472"/>
      <c r="BP252" s="472"/>
      <c r="BQ252" s="472"/>
      <c r="BR252" s="472"/>
      <c r="BS252" s="472"/>
      <c r="BT252" s="544">
        <f t="shared" si="96"/>
        <v>0</v>
      </c>
      <c r="BU252" s="556"/>
      <c r="BV252" s="663">
        <f t="shared" si="101"/>
        <v>0</v>
      </c>
      <c r="BW252" s="674">
        <f t="shared" si="102"/>
        <v>0</v>
      </c>
      <c r="BX252" s="674" t="e">
        <f t="shared" si="103"/>
        <v>#DIV/0!</v>
      </c>
      <c r="BY252" s="674">
        <f t="shared" si="104"/>
        <v>0</v>
      </c>
      <c r="BZ252" s="675" t="e">
        <f t="shared" si="105"/>
        <v>#DIV/0!</v>
      </c>
      <c r="CA252" s="675" t="e">
        <f t="shared" si="106"/>
        <v>#DIV/0!</v>
      </c>
    </row>
    <row r="253" spans="1:79" ht="66" hidden="1" customHeight="1" x14ac:dyDescent="0.25">
      <c r="A253" s="298" t="s">
        <v>491</v>
      </c>
      <c r="B253" s="299" t="str">
        <f>'PLAN INDICATIVO'!B251</f>
        <v>Atención a grupos vulnerables - promoción social</v>
      </c>
      <c r="C253" s="1547"/>
      <c r="D253" s="1551"/>
      <c r="E253" s="1551"/>
      <c r="F253" s="1551"/>
      <c r="G253" s="1551"/>
      <c r="H253" s="1551"/>
      <c r="I253" s="300">
        <f>'PLAN INDICATIVO'!I251</f>
        <v>0</v>
      </c>
      <c r="J253" s="300">
        <f>'PLAN INDICATIVO'!J251</f>
        <v>0</v>
      </c>
      <c r="K253" s="1425" t="str">
        <f>'PLAN INDICATIVO'!K251</f>
        <v>A.14.6.10</v>
      </c>
      <c r="L253" s="301" t="str">
        <f>'PLAN INDICATIVO'!L251</f>
        <v>10. Reducción de las desigualdades</v>
      </c>
      <c r="M253" s="301" t="str">
        <f>'PLAN INDICATIVO'!M251</f>
        <v>Secretaría de Gobierno</v>
      </c>
      <c r="N253" s="1425" t="s">
        <v>2791</v>
      </c>
      <c r="O253" s="1425" t="str">
        <f>'PLAN INDICATIVO'!O251</f>
        <v>Incremento</v>
      </c>
      <c r="P253" s="16" t="str">
        <f>'PLAN INDICATIVO'!P251</f>
        <v xml:space="preserve">Realizar 4 conmemoraciones del día de las víctimas, durante el cuatrienio. </v>
      </c>
      <c r="Q253" s="302" t="str">
        <f>'PLAN INDICATIVO'!Q251</f>
        <v xml:space="preserve">No. De Conmemoraciones realizadas </v>
      </c>
      <c r="R253" s="303">
        <f>'PLAN INDICATIVO'!R251</f>
        <v>2015</v>
      </c>
      <c r="S253" s="304">
        <v>1</v>
      </c>
      <c r="T253" s="699">
        <v>4</v>
      </c>
      <c r="U253" s="303">
        <v>1</v>
      </c>
      <c r="V253" s="687">
        <v>1500000</v>
      </c>
      <c r="W253" s="303">
        <v>1</v>
      </c>
      <c r="X253" s="687">
        <v>1500000</v>
      </c>
      <c r="Y253" s="303">
        <v>1</v>
      </c>
      <c r="Z253" s="687">
        <v>1500000</v>
      </c>
      <c r="AA253" s="303">
        <v>1</v>
      </c>
      <c r="AB253" s="687">
        <v>1500000</v>
      </c>
      <c r="AC253" s="669">
        <v>1</v>
      </c>
      <c r="AD253" s="669"/>
      <c r="AE253" s="669"/>
      <c r="AF253" s="669"/>
      <c r="AG253" s="341" t="s">
        <v>2596</v>
      </c>
      <c r="AH253" s="355" t="s">
        <v>2851</v>
      </c>
      <c r="AI253" s="363">
        <v>42469</v>
      </c>
      <c r="AJ253" s="363">
        <v>42469</v>
      </c>
      <c r="AK253" s="358"/>
      <c r="AL253" s="358"/>
      <c r="AM253" s="267" t="s">
        <v>2598</v>
      </c>
      <c r="AN253" s="512" t="s">
        <v>2852</v>
      </c>
      <c r="AO253" s="528"/>
      <c r="AP253" s="472">
        <v>100000</v>
      </c>
      <c r="AQ253" s="472"/>
      <c r="AR253" s="472"/>
      <c r="AS253" s="472"/>
      <c r="AT253" s="472"/>
      <c r="AU253" s="472"/>
      <c r="AV253" s="544">
        <f t="shared" si="93"/>
        <v>100000</v>
      </c>
      <c r="AW253" s="528"/>
      <c r="AX253" s="472"/>
      <c r="AY253" s="472"/>
      <c r="AZ253" s="472"/>
      <c r="BA253" s="472"/>
      <c r="BB253" s="472"/>
      <c r="BC253" s="472"/>
      <c r="BD253" s="544">
        <f t="shared" si="94"/>
        <v>0</v>
      </c>
      <c r="BE253" s="528"/>
      <c r="BF253" s="472"/>
      <c r="BG253" s="472"/>
      <c r="BH253" s="472"/>
      <c r="BI253" s="472"/>
      <c r="BJ253" s="472"/>
      <c r="BK253" s="472"/>
      <c r="BL253" s="544">
        <f t="shared" si="95"/>
        <v>0</v>
      </c>
      <c r="BM253" s="528"/>
      <c r="BN253" s="472"/>
      <c r="BO253" s="472"/>
      <c r="BP253" s="472"/>
      <c r="BQ253" s="472"/>
      <c r="BR253" s="472"/>
      <c r="BS253" s="472"/>
      <c r="BT253" s="544">
        <f t="shared" si="96"/>
        <v>0</v>
      </c>
      <c r="BU253" s="556"/>
      <c r="BV253" s="663">
        <f t="shared" si="101"/>
        <v>1</v>
      </c>
      <c r="BW253" s="674">
        <f t="shared" si="102"/>
        <v>0.25</v>
      </c>
      <c r="BX253" s="674">
        <f t="shared" si="103"/>
        <v>1</v>
      </c>
      <c r="BY253" s="674">
        <f t="shared" si="104"/>
        <v>0</v>
      </c>
      <c r="BZ253" s="675">
        <f t="shared" si="105"/>
        <v>0</v>
      </c>
      <c r="CA253" s="675">
        <f t="shared" si="106"/>
        <v>0</v>
      </c>
    </row>
    <row r="254" spans="1:79" ht="75" hidden="1" customHeight="1" x14ac:dyDescent="0.25">
      <c r="A254" s="298" t="s">
        <v>491</v>
      </c>
      <c r="B254" s="299" t="str">
        <f>'PLAN INDICATIVO'!B252</f>
        <v>Atención a grupos vulnerables - promoción social</v>
      </c>
      <c r="C254" s="1547"/>
      <c r="D254" s="1551"/>
      <c r="E254" s="1551"/>
      <c r="F254" s="1551"/>
      <c r="G254" s="1551"/>
      <c r="H254" s="1551"/>
      <c r="I254" s="300">
        <f>'PLAN INDICATIVO'!I252</f>
        <v>0</v>
      </c>
      <c r="J254" s="300">
        <f>'PLAN INDICATIVO'!J252</f>
        <v>0</v>
      </c>
      <c r="K254" s="1425" t="str">
        <f>'PLAN INDICATIVO'!K252</f>
        <v>A.14.6.11</v>
      </c>
      <c r="L254" s="301" t="str">
        <f>'PLAN INDICATIVO'!L252</f>
        <v>10. Reducción de las desigualdades</v>
      </c>
      <c r="M254" s="301" t="str">
        <f>'PLAN INDICATIVO'!M252</f>
        <v>Secretaría de Gobierno</v>
      </c>
      <c r="N254" s="1425" t="s">
        <v>2791</v>
      </c>
      <c r="O254" s="1425" t="str">
        <f>'PLAN INDICATIVO'!O252</f>
        <v>Mantenimiento</v>
      </c>
      <c r="P254" s="16" t="str">
        <f>'PLAN INDICATIVO'!P252</f>
        <v>Realizar cada año 1 apoyo a las diferentes instituciones del gobierno departamental y nacional donde se coadyuve en los procesos de reparación integral de las victimas del conflicto armado.</v>
      </c>
      <c r="Q254" s="302" t="str">
        <f>'PLAN INDICATIVO'!Q252</f>
        <v>No. De Jornadas Realizadas por año</v>
      </c>
      <c r="R254" s="303">
        <f>'PLAN INDICATIVO'!R252</f>
        <v>2015</v>
      </c>
      <c r="S254" s="304">
        <v>0</v>
      </c>
      <c r="T254" s="699">
        <v>4</v>
      </c>
      <c r="U254" s="303">
        <v>1</v>
      </c>
      <c r="V254" s="687">
        <v>2630000</v>
      </c>
      <c r="W254" s="303">
        <v>1</v>
      </c>
      <c r="X254" s="687">
        <v>500000</v>
      </c>
      <c r="Y254" s="303">
        <v>1</v>
      </c>
      <c r="Z254" s="687">
        <v>500000</v>
      </c>
      <c r="AA254" s="303">
        <v>1</v>
      </c>
      <c r="AB254" s="687">
        <v>500000</v>
      </c>
      <c r="AC254" s="669">
        <v>1</v>
      </c>
      <c r="AD254" s="669"/>
      <c r="AE254" s="669"/>
      <c r="AF254" s="669"/>
      <c r="AG254" s="341" t="s">
        <v>2596</v>
      </c>
      <c r="AH254" s="355" t="s">
        <v>2853</v>
      </c>
      <c r="AI254" s="363">
        <v>42614</v>
      </c>
      <c r="AJ254" s="363">
        <v>42643</v>
      </c>
      <c r="AK254" s="358"/>
      <c r="AL254" s="358"/>
      <c r="AM254" s="267" t="s">
        <v>2598</v>
      </c>
      <c r="AN254" s="512" t="s">
        <v>2854</v>
      </c>
      <c r="AO254" s="528">
        <v>1500000</v>
      </c>
      <c r="AP254" s="472"/>
      <c r="AQ254" s="472"/>
      <c r="AR254" s="472"/>
      <c r="AS254" s="472"/>
      <c r="AT254" s="472"/>
      <c r="AU254" s="472"/>
      <c r="AV254" s="544">
        <f t="shared" si="93"/>
        <v>1500000</v>
      </c>
      <c r="AW254" s="528"/>
      <c r="AX254" s="472"/>
      <c r="AY254" s="472"/>
      <c r="AZ254" s="472"/>
      <c r="BA254" s="472"/>
      <c r="BB254" s="472"/>
      <c r="BC254" s="472"/>
      <c r="BD254" s="544">
        <f t="shared" si="94"/>
        <v>0</v>
      </c>
      <c r="BE254" s="528"/>
      <c r="BF254" s="472"/>
      <c r="BG254" s="472"/>
      <c r="BH254" s="472"/>
      <c r="BI254" s="472"/>
      <c r="BJ254" s="472"/>
      <c r="BK254" s="472"/>
      <c r="BL254" s="544">
        <f t="shared" si="95"/>
        <v>0</v>
      </c>
      <c r="BM254" s="528"/>
      <c r="BN254" s="472"/>
      <c r="BO254" s="472"/>
      <c r="BP254" s="472"/>
      <c r="BQ254" s="472"/>
      <c r="BR254" s="472"/>
      <c r="BS254" s="472"/>
      <c r="BT254" s="544">
        <f t="shared" si="96"/>
        <v>0</v>
      </c>
      <c r="BU254" s="556"/>
      <c r="BV254" s="663">
        <f t="shared" si="101"/>
        <v>1</v>
      </c>
      <c r="BW254" s="674">
        <f t="shared" si="102"/>
        <v>0.25</v>
      </c>
      <c r="BX254" s="674">
        <f t="shared" si="103"/>
        <v>1</v>
      </c>
      <c r="BY254" s="674">
        <f t="shared" si="104"/>
        <v>0</v>
      </c>
      <c r="BZ254" s="675">
        <f t="shared" si="105"/>
        <v>0</v>
      </c>
      <c r="CA254" s="675">
        <f t="shared" si="106"/>
        <v>0</v>
      </c>
    </row>
    <row r="255" spans="1:79" ht="75" hidden="1" customHeight="1" x14ac:dyDescent="0.25">
      <c r="A255" s="298" t="s">
        <v>491</v>
      </c>
      <c r="B255" s="299" t="str">
        <f>'PLAN INDICATIVO'!B253</f>
        <v>Atención a grupos vulnerables - promoción social</v>
      </c>
      <c r="C255" s="1547"/>
      <c r="D255" s="1551"/>
      <c r="E255" s="1551"/>
      <c r="F255" s="1551"/>
      <c r="G255" s="1551"/>
      <c r="H255" s="1551"/>
      <c r="I255" s="300">
        <f>'PLAN INDICATIVO'!I253</f>
        <v>0</v>
      </c>
      <c r="J255" s="300">
        <f>'PLAN INDICATIVO'!J253</f>
        <v>0</v>
      </c>
      <c r="K255" s="1425" t="str">
        <f>'PLAN INDICATIVO'!K253</f>
        <v>A.14.6.12</v>
      </c>
      <c r="L255" s="301" t="str">
        <f>'PLAN INDICATIVO'!L253</f>
        <v>10. Reducción de las desigualdades</v>
      </c>
      <c r="M255" s="301" t="str">
        <f>'PLAN INDICATIVO'!M253</f>
        <v>Secretaría de Gobierno</v>
      </c>
      <c r="N255" s="1425" t="s">
        <v>2791</v>
      </c>
      <c r="O255" s="1425" t="str">
        <f>'PLAN INDICATIVO'!O253</f>
        <v>Mantenimiento</v>
      </c>
      <c r="P255" s="16" t="str">
        <f>'PLAN INDICATIVO'!P253</f>
        <v>Realizar 1 plan de apoyo a las mujeres victimas residentes en el municipio, cada año</v>
      </c>
      <c r="Q255" s="302" t="str">
        <f>'PLAN INDICATIVO'!Q253</f>
        <v>No. de apoyos otorgados por año</v>
      </c>
      <c r="R255" s="303">
        <f>'PLAN INDICATIVO'!R253</f>
        <v>2015</v>
      </c>
      <c r="S255" s="304">
        <v>1</v>
      </c>
      <c r="T255" s="699">
        <v>4</v>
      </c>
      <c r="U255" s="303">
        <v>1</v>
      </c>
      <c r="V255" s="687">
        <v>1370000</v>
      </c>
      <c r="W255" s="303">
        <v>1</v>
      </c>
      <c r="X255" s="687">
        <v>1000000</v>
      </c>
      <c r="Y255" s="303">
        <v>1</v>
      </c>
      <c r="Z255" s="687">
        <v>1500000</v>
      </c>
      <c r="AA255" s="303">
        <v>1</v>
      </c>
      <c r="AB255" s="687">
        <v>1500000</v>
      </c>
      <c r="AC255" s="669">
        <v>1</v>
      </c>
      <c r="AD255" s="669"/>
      <c r="AE255" s="669"/>
      <c r="AF255" s="669"/>
      <c r="AG255" s="341" t="s">
        <v>2596</v>
      </c>
      <c r="AH255" s="355" t="s">
        <v>2855</v>
      </c>
      <c r="AI255" s="363">
        <v>42552</v>
      </c>
      <c r="AJ255" s="363">
        <v>42735</v>
      </c>
      <c r="AK255" s="358"/>
      <c r="AL255" s="358"/>
      <c r="AM255" s="267" t="s">
        <v>2598</v>
      </c>
      <c r="AN255" s="512" t="s">
        <v>2854</v>
      </c>
      <c r="AO255" s="528">
        <v>1370000</v>
      </c>
      <c r="AP255" s="472"/>
      <c r="AQ255" s="472"/>
      <c r="AR255" s="472"/>
      <c r="AS255" s="472"/>
      <c r="AT255" s="472"/>
      <c r="AU255" s="472"/>
      <c r="AV255" s="544">
        <f t="shared" si="93"/>
        <v>1370000</v>
      </c>
      <c r="AW255" s="528"/>
      <c r="AX255" s="472"/>
      <c r="AY255" s="472"/>
      <c r="AZ255" s="472"/>
      <c r="BA255" s="472"/>
      <c r="BB255" s="472"/>
      <c r="BC255" s="472"/>
      <c r="BD255" s="544">
        <f t="shared" si="94"/>
        <v>0</v>
      </c>
      <c r="BE255" s="528"/>
      <c r="BF255" s="472"/>
      <c r="BG255" s="472"/>
      <c r="BH255" s="472"/>
      <c r="BI255" s="472"/>
      <c r="BJ255" s="472"/>
      <c r="BK255" s="472"/>
      <c r="BL255" s="544">
        <f t="shared" si="95"/>
        <v>0</v>
      </c>
      <c r="BM255" s="528"/>
      <c r="BN255" s="472"/>
      <c r="BO255" s="472"/>
      <c r="BP255" s="472"/>
      <c r="BQ255" s="472"/>
      <c r="BR255" s="472"/>
      <c r="BS255" s="472"/>
      <c r="BT255" s="544">
        <f t="shared" si="96"/>
        <v>0</v>
      </c>
      <c r="BU255" s="556"/>
      <c r="BV255" s="663">
        <f t="shared" si="101"/>
        <v>1</v>
      </c>
      <c r="BW255" s="674">
        <f t="shared" si="102"/>
        <v>0.25</v>
      </c>
      <c r="BX255" s="674">
        <f t="shared" si="103"/>
        <v>1</v>
      </c>
      <c r="BY255" s="674">
        <f t="shared" si="104"/>
        <v>0</v>
      </c>
      <c r="BZ255" s="675">
        <f t="shared" si="105"/>
        <v>0</v>
      </c>
      <c r="CA255" s="675">
        <f t="shared" si="106"/>
        <v>0</v>
      </c>
    </row>
    <row r="256" spans="1:79" ht="76.5" hidden="1" x14ac:dyDescent="0.25">
      <c r="A256" s="298" t="s">
        <v>491</v>
      </c>
      <c r="B256" s="299" t="str">
        <f>'PLAN INDICATIVO'!B254</f>
        <v>Atención a grupos vulnerables - promoción social</v>
      </c>
      <c r="C256" s="1547"/>
      <c r="D256" s="1551"/>
      <c r="E256" s="1551"/>
      <c r="F256" s="1551"/>
      <c r="G256" s="1551"/>
      <c r="H256" s="1551"/>
      <c r="I256" s="300">
        <f>'PLAN INDICATIVO'!I254</f>
        <v>0</v>
      </c>
      <c r="J256" s="300">
        <f>'PLAN INDICATIVO'!J254</f>
        <v>0</v>
      </c>
      <c r="K256" s="1425" t="str">
        <f>'PLAN INDICATIVO'!K254</f>
        <v>A.14.6.13</v>
      </c>
      <c r="L256" s="301" t="str">
        <f>'PLAN INDICATIVO'!L254</f>
        <v>10. Reducción de las desigualdades</v>
      </c>
      <c r="M256" s="301" t="str">
        <f>'PLAN INDICATIVO'!M254</f>
        <v>Secretaría de Gobierno</v>
      </c>
      <c r="N256" s="1425" t="s">
        <v>2791</v>
      </c>
      <c r="O256" s="1425" t="str">
        <f>'PLAN INDICATIVO'!O254</f>
        <v>Incremento</v>
      </c>
      <c r="P256" s="16" t="str">
        <f>'PLAN INDICATIVO'!P254</f>
        <v xml:space="preserve">Realizar 1 caracterización de la población víctima del conflicto armado, durante el cuatrienio. </v>
      </c>
      <c r="Q256" s="302" t="str">
        <f>'PLAN INDICATIVO'!Q254</f>
        <v xml:space="preserve">No. de caracterizaciones realizadas </v>
      </c>
      <c r="R256" s="303">
        <f>'PLAN INDICATIVO'!R254</f>
        <v>2015</v>
      </c>
      <c r="S256" s="304">
        <v>0</v>
      </c>
      <c r="T256" s="699">
        <v>1</v>
      </c>
      <c r="U256" s="303">
        <v>0</v>
      </c>
      <c r="V256" s="687"/>
      <c r="W256" s="303">
        <v>1</v>
      </c>
      <c r="X256" s="687">
        <v>500000</v>
      </c>
      <c r="Y256" s="303">
        <v>0</v>
      </c>
      <c r="Z256" s="687"/>
      <c r="AA256" s="303">
        <v>0</v>
      </c>
      <c r="AB256" s="687"/>
      <c r="AC256" s="669"/>
      <c r="AD256" s="669"/>
      <c r="AE256" s="669"/>
      <c r="AF256" s="669"/>
      <c r="AG256" s="277"/>
      <c r="AH256" s="355"/>
      <c r="AI256" s="358"/>
      <c r="AJ256" s="358"/>
      <c r="AK256" s="358"/>
      <c r="AL256" s="358"/>
      <c r="AM256" s="267" t="s">
        <v>2594</v>
      </c>
      <c r="AN256" s="512"/>
      <c r="AO256" s="528"/>
      <c r="AP256" s="472"/>
      <c r="AQ256" s="472"/>
      <c r="AR256" s="472"/>
      <c r="AS256" s="472"/>
      <c r="AT256" s="472"/>
      <c r="AU256" s="472"/>
      <c r="AV256" s="544">
        <f t="shared" si="93"/>
        <v>0</v>
      </c>
      <c r="AW256" s="528"/>
      <c r="AX256" s="472"/>
      <c r="AY256" s="472"/>
      <c r="AZ256" s="472"/>
      <c r="BA256" s="472"/>
      <c r="BB256" s="472"/>
      <c r="BC256" s="472"/>
      <c r="BD256" s="544">
        <f t="shared" si="94"/>
        <v>0</v>
      </c>
      <c r="BE256" s="528"/>
      <c r="BF256" s="472"/>
      <c r="BG256" s="472"/>
      <c r="BH256" s="472"/>
      <c r="BI256" s="472"/>
      <c r="BJ256" s="472"/>
      <c r="BK256" s="472"/>
      <c r="BL256" s="544">
        <f t="shared" si="95"/>
        <v>0</v>
      </c>
      <c r="BM256" s="528"/>
      <c r="BN256" s="472"/>
      <c r="BO256" s="472"/>
      <c r="BP256" s="472"/>
      <c r="BQ256" s="472"/>
      <c r="BR256" s="472"/>
      <c r="BS256" s="472"/>
      <c r="BT256" s="544">
        <f t="shared" si="96"/>
        <v>0</v>
      </c>
      <c r="BU256" s="556"/>
      <c r="BV256" s="663">
        <f t="shared" si="101"/>
        <v>0</v>
      </c>
      <c r="BW256" s="674">
        <f t="shared" si="102"/>
        <v>0</v>
      </c>
      <c r="BX256" s="674" t="e">
        <f t="shared" si="103"/>
        <v>#DIV/0!</v>
      </c>
      <c r="BY256" s="674">
        <f t="shared" si="104"/>
        <v>0</v>
      </c>
      <c r="BZ256" s="675" t="e">
        <f t="shared" si="105"/>
        <v>#DIV/0!</v>
      </c>
      <c r="CA256" s="675" t="e">
        <f t="shared" si="106"/>
        <v>#DIV/0!</v>
      </c>
    </row>
    <row r="257" spans="1:79" ht="51.75" hidden="1" customHeight="1" x14ac:dyDescent="0.25">
      <c r="A257" s="298" t="s">
        <v>491</v>
      </c>
      <c r="B257" s="299" t="str">
        <f>'PLAN INDICATIVO'!B255</f>
        <v>Atención a grupos vulnerables - promoción social</v>
      </c>
      <c r="C257" s="1547"/>
      <c r="D257" s="1551"/>
      <c r="E257" s="1551"/>
      <c r="F257" s="1551"/>
      <c r="G257" s="1551"/>
      <c r="H257" s="1551"/>
      <c r="I257" s="300">
        <f>'PLAN INDICATIVO'!I255</f>
        <v>0</v>
      </c>
      <c r="J257" s="300">
        <f>'PLAN INDICATIVO'!J255</f>
        <v>0</v>
      </c>
      <c r="K257" s="1425" t="str">
        <f>'PLAN INDICATIVO'!K255</f>
        <v>A.14.6.14</v>
      </c>
      <c r="L257" s="301" t="str">
        <f>'PLAN INDICATIVO'!L255</f>
        <v>10. Reducción de las desigualdades</v>
      </c>
      <c r="M257" s="301" t="str">
        <f>'PLAN INDICATIVO'!M255</f>
        <v>Secretaría de Gobierno</v>
      </c>
      <c r="N257" s="1425" t="s">
        <v>2791</v>
      </c>
      <c r="O257" s="1425" t="str">
        <f>'PLAN INDICATIVO'!O255</f>
        <v>Mantenimiento</v>
      </c>
      <c r="P257" s="16" t="str">
        <f>'PLAN INDICATIVO'!P255</f>
        <v xml:space="preserve">Ejecutar 1 plan de auxilio funerario a la población víctima del conflicto armado cada año </v>
      </c>
      <c r="Q257" s="302" t="str">
        <f>'PLAN INDICATIVO'!Q255</f>
        <v>No. de planes implementados por año</v>
      </c>
      <c r="R257" s="303">
        <f>'PLAN INDICATIVO'!R255</f>
        <v>2015</v>
      </c>
      <c r="S257" s="304">
        <v>1</v>
      </c>
      <c r="T257" s="699">
        <v>4</v>
      </c>
      <c r="U257" s="303">
        <v>1</v>
      </c>
      <c r="V257" s="687">
        <v>2000000</v>
      </c>
      <c r="W257" s="303">
        <v>1</v>
      </c>
      <c r="X257" s="687">
        <v>2000000</v>
      </c>
      <c r="Y257" s="303">
        <v>1</v>
      </c>
      <c r="Z257" s="687">
        <v>2000000</v>
      </c>
      <c r="AA257" s="303">
        <v>1</v>
      </c>
      <c r="AB257" s="687">
        <v>2000000</v>
      </c>
      <c r="AC257" s="669">
        <v>1</v>
      </c>
      <c r="AD257" s="669"/>
      <c r="AE257" s="669"/>
      <c r="AF257" s="669"/>
      <c r="AG257" s="341" t="s">
        <v>2596</v>
      </c>
      <c r="AH257" s="355" t="s">
        <v>2856</v>
      </c>
      <c r="AI257" s="363">
        <v>42491</v>
      </c>
      <c r="AJ257" s="363">
        <v>42551</v>
      </c>
      <c r="AK257" s="358"/>
      <c r="AL257" s="358"/>
      <c r="AM257" s="267" t="s">
        <v>2598</v>
      </c>
      <c r="AN257" s="512" t="s">
        <v>2854</v>
      </c>
      <c r="AO257" s="528">
        <v>500000</v>
      </c>
      <c r="AP257" s="472"/>
      <c r="AQ257" s="472"/>
      <c r="AR257" s="472"/>
      <c r="AS257" s="472"/>
      <c r="AT257" s="472"/>
      <c r="AU257" s="472"/>
      <c r="AV257" s="544">
        <f t="shared" si="93"/>
        <v>500000</v>
      </c>
      <c r="AW257" s="528"/>
      <c r="AX257" s="472"/>
      <c r="AY257" s="472"/>
      <c r="AZ257" s="472"/>
      <c r="BA257" s="472"/>
      <c r="BB257" s="472"/>
      <c r="BC257" s="472"/>
      <c r="BD257" s="544">
        <f t="shared" si="94"/>
        <v>0</v>
      </c>
      <c r="BE257" s="528"/>
      <c r="BF257" s="472"/>
      <c r="BG257" s="472"/>
      <c r="BH257" s="472"/>
      <c r="BI257" s="472"/>
      <c r="BJ257" s="472"/>
      <c r="BK257" s="472"/>
      <c r="BL257" s="544">
        <f t="shared" si="95"/>
        <v>0</v>
      </c>
      <c r="BM257" s="528"/>
      <c r="BN257" s="472"/>
      <c r="BO257" s="472"/>
      <c r="BP257" s="472"/>
      <c r="BQ257" s="472"/>
      <c r="BR257" s="472"/>
      <c r="BS257" s="472"/>
      <c r="BT257" s="544">
        <f t="shared" si="96"/>
        <v>0</v>
      </c>
      <c r="BU257" s="556"/>
      <c r="BV257" s="663">
        <f t="shared" si="101"/>
        <v>1</v>
      </c>
      <c r="BW257" s="674">
        <f t="shared" si="102"/>
        <v>0.25</v>
      </c>
      <c r="BX257" s="674">
        <f t="shared" si="103"/>
        <v>1</v>
      </c>
      <c r="BY257" s="674">
        <f t="shared" si="104"/>
        <v>0</v>
      </c>
      <c r="BZ257" s="675">
        <f t="shared" si="105"/>
        <v>0</v>
      </c>
      <c r="CA257" s="675">
        <f t="shared" si="106"/>
        <v>0</v>
      </c>
    </row>
    <row r="258" spans="1:79" ht="48" hidden="1" customHeight="1" x14ac:dyDescent="0.25">
      <c r="A258" s="298" t="s">
        <v>491</v>
      </c>
      <c r="B258" s="299" t="str">
        <f>'PLAN INDICATIVO'!B256</f>
        <v>Atención a grupos vulnerables - promoción social</v>
      </c>
      <c r="C258" s="1547"/>
      <c r="D258" s="1551"/>
      <c r="E258" s="1551"/>
      <c r="F258" s="1551"/>
      <c r="G258" s="1551"/>
      <c r="H258" s="1551"/>
      <c r="I258" s="300">
        <f>'PLAN INDICATIVO'!I256</f>
        <v>0</v>
      </c>
      <c r="J258" s="300">
        <f>'PLAN INDICATIVO'!J256</f>
        <v>0</v>
      </c>
      <c r="K258" s="1425" t="str">
        <f>'PLAN INDICATIVO'!K256</f>
        <v>A.14.6.15</v>
      </c>
      <c r="L258" s="301" t="str">
        <f>'PLAN INDICATIVO'!L256</f>
        <v>10. Reducción de las desigualdades</v>
      </c>
      <c r="M258" s="301" t="str">
        <f>'PLAN INDICATIVO'!M256</f>
        <v>Secretaría de Gobierno</v>
      </c>
      <c r="N258" s="1425" t="s">
        <v>2791</v>
      </c>
      <c r="O258" s="1425" t="str">
        <f>'PLAN INDICATIVO'!O256</f>
        <v>Mantenimiento</v>
      </c>
      <c r="P258" s="16" t="str">
        <f>'PLAN INDICATIVO'!P256</f>
        <v>Ejecutar 1 programa de atención en ayuda humanitaria de inmediatez a la población víctima del conflicto armado cada año</v>
      </c>
      <c r="Q258" s="302" t="str">
        <f>'PLAN INDICATIVO'!Q256</f>
        <v>No. de programas implementados  por año</v>
      </c>
      <c r="R258" s="303">
        <f>'PLAN INDICATIVO'!R256</f>
        <v>2015</v>
      </c>
      <c r="S258" s="304">
        <v>1</v>
      </c>
      <c r="T258" s="699">
        <v>4</v>
      </c>
      <c r="U258" s="303">
        <v>1</v>
      </c>
      <c r="V258" s="687">
        <v>5000000</v>
      </c>
      <c r="W258" s="303">
        <v>1</v>
      </c>
      <c r="X258" s="687">
        <v>5000000</v>
      </c>
      <c r="Y258" s="303">
        <v>1</v>
      </c>
      <c r="Z258" s="687">
        <v>5000000</v>
      </c>
      <c r="AA258" s="303">
        <v>1</v>
      </c>
      <c r="AB258" s="687">
        <v>5000000</v>
      </c>
      <c r="AC258" s="669">
        <v>1</v>
      </c>
      <c r="AD258" s="669"/>
      <c r="AE258" s="669"/>
      <c r="AF258" s="669"/>
      <c r="AG258" s="341" t="s">
        <v>2596</v>
      </c>
      <c r="AH258" s="355" t="s">
        <v>2857</v>
      </c>
      <c r="AI258" s="363">
        <v>42552</v>
      </c>
      <c r="AJ258" s="363">
        <v>42735</v>
      </c>
      <c r="AK258" s="358"/>
      <c r="AL258" s="358"/>
      <c r="AM258" s="267" t="s">
        <v>2598</v>
      </c>
      <c r="AN258" s="512" t="s">
        <v>2858</v>
      </c>
      <c r="AO258" s="528">
        <v>5000000</v>
      </c>
      <c r="AP258" s="472"/>
      <c r="AQ258" s="472"/>
      <c r="AR258" s="472"/>
      <c r="AS258" s="472"/>
      <c r="AT258" s="472"/>
      <c r="AU258" s="472"/>
      <c r="AV258" s="544">
        <f t="shared" si="93"/>
        <v>5000000</v>
      </c>
      <c r="AW258" s="528"/>
      <c r="AX258" s="472"/>
      <c r="AY258" s="472"/>
      <c r="AZ258" s="472"/>
      <c r="BA258" s="472"/>
      <c r="BB258" s="472"/>
      <c r="BC258" s="472"/>
      <c r="BD258" s="544">
        <f t="shared" si="94"/>
        <v>0</v>
      </c>
      <c r="BE258" s="528"/>
      <c r="BF258" s="472"/>
      <c r="BG258" s="472"/>
      <c r="BH258" s="472"/>
      <c r="BI258" s="472"/>
      <c r="BJ258" s="472"/>
      <c r="BK258" s="472"/>
      <c r="BL258" s="544">
        <f t="shared" si="95"/>
        <v>0</v>
      </c>
      <c r="BM258" s="528"/>
      <c r="BN258" s="472"/>
      <c r="BO258" s="472"/>
      <c r="BP258" s="472"/>
      <c r="BQ258" s="472"/>
      <c r="BR258" s="472"/>
      <c r="BS258" s="472"/>
      <c r="BT258" s="544">
        <f t="shared" si="96"/>
        <v>0</v>
      </c>
      <c r="BU258" s="556"/>
      <c r="BV258" s="663">
        <f t="shared" si="101"/>
        <v>1</v>
      </c>
      <c r="BW258" s="674">
        <f t="shared" si="102"/>
        <v>0.25</v>
      </c>
      <c r="BX258" s="674">
        <f t="shared" si="103"/>
        <v>1</v>
      </c>
      <c r="BY258" s="674">
        <f t="shared" si="104"/>
        <v>0</v>
      </c>
      <c r="BZ258" s="675">
        <f t="shared" si="105"/>
        <v>0</v>
      </c>
      <c r="CA258" s="675">
        <f t="shared" si="106"/>
        <v>0</v>
      </c>
    </row>
    <row r="259" spans="1:79" ht="86.25" hidden="1" customHeight="1" x14ac:dyDescent="0.25">
      <c r="A259" s="298" t="s">
        <v>491</v>
      </c>
      <c r="B259" s="299" t="str">
        <f>'PLAN INDICATIVO'!B257</f>
        <v>Atención a grupos vulnerables - promoción social</v>
      </c>
      <c r="C259" s="1547"/>
      <c r="D259" s="1551"/>
      <c r="E259" s="1551"/>
      <c r="F259" s="1551"/>
      <c r="G259" s="1551"/>
      <c r="H259" s="1551"/>
      <c r="I259" s="300">
        <f>'PLAN INDICATIVO'!I257</f>
        <v>0</v>
      </c>
      <c r="J259" s="300">
        <f>'PLAN INDICATIVO'!J257</f>
        <v>0</v>
      </c>
      <c r="K259" s="1425" t="str">
        <f>'PLAN INDICATIVO'!K257</f>
        <v>A.14.6.16</v>
      </c>
      <c r="L259" s="301" t="str">
        <f>'PLAN INDICATIVO'!L257</f>
        <v>10. Reducción de las desigualdades</v>
      </c>
      <c r="M259" s="301" t="str">
        <f>'PLAN INDICATIVO'!M257</f>
        <v>Secretaría de Gobierno</v>
      </c>
      <c r="N259" s="1425" t="s">
        <v>2791</v>
      </c>
      <c r="O259" s="1425" t="str">
        <f>'PLAN INDICATIVO'!O257</f>
        <v>Incremento</v>
      </c>
      <c r="P259" s="16" t="str">
        <f>'PLAN INDICATIVO'!P257</f>
        <v xml:space="preserve">Realizar 4 jornadas de sensibilización para comunicar los derechos de la población víctima del conflicto armado, dirigidas a servidores públicos, instituciones educativas y comunidad en general del municipio, en el cuatrienio. </v>
      </c>
      <c r="Q259" s="302" t="str">
        <f>'PLAN INDICATIVO'!Q257</f>
        <v>No. de jornadas de sensibilización realizadas</v>
      </c>
      <c r="R259" s="303">
        <f>'PLAN INDICATIVO'!R257</f>
        <v>2015</v>
      </c>
      <c r="S259" s="304">
        <v>1</v>
      </c>
      <c r="T259" s="699">
        <v>4</v>
      </c>
      <c r="U259" s="303">
        <v>1</v>
      </c>
      <c r="V259" s="687">
        <v>5000000</v>
      </c>
      <c r="W259" s="303">
        <v>1</v>
      </c>
      <c r="X259" s="687">
        <v>500000</v>
      </c>
      <c r="Y259" s="303">
        <v>1</v>
      </c>
      <c r="Z259" s="687">
        <v>500000</v>
      </c>
      <c r="AA259" s="303">
        <v>1</v>
      </c>
      <c r="AB259" s="687">
        <v>1500000</v>
      </c>
      <c r="AC259" s="669">
        <v>1</v>
      </c>
      <c r="AD259" s="669"/>
      <c r="AE259" s="669"/>
      <c r="AF259" s="669"/>
      <c r="AG259" s="341" t="s">
        <v>2596</v>
      </c>
      <c r="AH259" s="355" t="s">
        <v>2859</v>
      </c>
      <c r="AI259" s="363">
        <v>42492</v>
      </c>
      <c r="AJ259" s="363">
        <v>42551</v>
      </c>
      <c r="AK259" s="358"/>
      <c r="AL259" s="358"/>
      <c r="AM259" s="267" t="s">
        <v>2598</v>
      </c>
      <c r="AN259" s="512" t="s">
        <v>2852</v>
      </c>
      <c r="AO259" s="528"/>
      <c r="AP259" s="472">
        <v>100000</v>
      </c>
      <c r="AQ259" s="472"/>
      <c r="AR259" s="472"/>
      <c r="AS259" s="472"/>
      <c r="AT259" s="472"/>
      <c r="AU259" s="472"/>
      <c r="AV259" s="544">
        <f t="shared" si="93"/>
        <v>100000</v>
      </c>
      <c r="AW259" s="528"/>
      <c r="AX259" s="472"/>
      <c r="AY259" s="472"/>
      <c r="AZ259" s="472"/>
      <c r="BA259" s="472"/>
      <c r="BB259" s="472"/>
      <c r="BC259" s="472"/>
      <c r="BD259" s="544">
        <f t="shared" si="94"/>
        <v>0</v>
      </c>
      <c r="BE259" s="528"/>
      <c r="BF259" s="472"/>
      <c r="BG259" s="472"/>
      <c r="BH259" s="472"/>
      <c r="BI259" s="472"/>
      <c r="BJ259" s="472"/>
      <c r="BK259" s="472"/>
      <c r="BL259" s="544">
        <f t="shared" si="95"/>
        <v>0</v>
      </c>
      <c r="BM259" s="528"/>
      <c r="BN259" s="472"/>
      <c r="BO259" s="472"/>
      <c r="BP259" s="472"/>
      <c r="BQ259" s="472"/>
      <c r="BR259" s="472"/>
      <c r="BS259" s="472"/>
      <c r="BT259" s="544">
        <f t="shared" si="96"/>
        <v>0</v>
      </c>
      <c r="BU259" s="556"/>
      <c r="BV259" s="663">
        <f t="shared" si="101"/>
        <v>1</v>
      </c>
      <c r="BW259" s="674">
        <f t="shared" si="102"/>
        <v>0.25</v>
      </c>
      <c r="BX259" s="674">
        <f t="shared" si="103"/>
        <v>1</v>
      </c>
      <c r="BY259" s="674">
        <f t="shared" si="104"/>
        <v>0</v>
      </c>
      <c r="BZ259" s="675">
        <f t="shared" si="105"/>
        <v>0</v>
      </c>
      <c r="CA259" s="675">
        <f t="shared" si="106"/>
        <v>0</v>
      </c>
    </row>
    <row r="260" spans="1:79" ht="88.5" hidden="1" customHeight="1" thickBot="1" x14ac:dyDescent="0.3">
      <c r="A260" s="393" t="s">
        <v>491</v>
      </c>
      <c r="B260" s="394" t="str">
        <f>'PLAN INDICATIVO'!B258</f>
        <v>Atención a grupos vulnerables - promoción social</v>
      </c>
      <c r="C260" s="1547"/>
      <c r="D260" s="1551"/>
      <c r="E260" s="1551"/>
      <c r="F260" s="1551"/>
      <c r="G260" s="1551"/>
      <c r="H260" s="1551"/>
      <c r="I260" s="395">
        <f>'PLAN INDICATIVO'!I258</f>
        <v>0</v>
      </c>
      <c r="J260" s="395">
        <f>'PLAN INDICATIVO'!J258</f>
        <v>0</v>
      </c>
      <c r="K260" s="1426" t="str">
        <f>'PLAN INDICATIVO'!K258</f>
        <v>A.14.6.17</v>
      </c>
      <c r="L260" s="396" t="str">
        <f>'PLAN INDICATIVO'!L258</f>
        <v>10. Reducción de las desigualdades</v>
      </c>
      <c r="M260" s="396" t="str">
        <f>'PLAN INDICATIVO'!M258</f>
        <v>Secretaría de Gobierno</v>
      </c>
      <c r="N260" s="1425" t="s">
        <v>2791</v>
      </c>
      <c r="O260" s="1426" t="str">
        <f>'PLAN INDICATIVO'!O258</f>
        <v>Incremento</v>
      </c>
      <c r="P260" s="70" t="str">
        <f>'PLAN INDICATIVO'!P258</f>
        <v>Apoyar 1 proceso de reintegración comunitaria (MAMBRÚ) en el municipio de la Plata, liderado por la Agencia Colombiana Para La Reintegración, durante el cuatrienio</v>
      </c>
      <c r="Q260" s="350" t="str">
        <f>'PLAN INDICATIVO'!Q258</f>
        <v>No. de apoyos a procesos de reintegración realizados</v>
      </c>
      <c r="R260" s="397">
        <f>'PLAN INDICATIVO'!R258</f>
        <v>2015</v>
      </c>
      <c r="S260" s="1433">
        <v>0</v>
      </c>
      <c r="T260" s="699">
        <v>1</v>
      </c>
      <c r="U260" s="303">
        <v>1</v>
      </c>
      <c r="V260" s="687">
        <v>1000000</v>
      </c>
      <c r="W260" s="303">
        <v>0</v>
      </c>
      <c r="X260" s="687">
        <v>1000000</v>
      </c>
      <c r="Y260" s="303">
        <v>0</v>
      </c>
      <c r="Z260" s="687">
        <v>1000000</v>
      </c>
      <c r="AA260" s="303">
        <v>0</v>
      </c>
      <c r="AB260" s="687"/>
      <c r="AC260" s="671">
        <v>1</v>
      </c>
      <c r="AD260" s="671"/>
      <c r="AE260" s="671"/>
      <c r="AF260" s="671"/>
      <c r="AG260" s="398" t="s">
        <v>2860</v>
      </c>
      <c r="AH260" s="399" t="s">
        <v>2861</v>
      </c>
      <c r="AI260" s="363">
        <v>42552</v>
      </c>
      <c r="AJ260" s="363">
        <v>42735</v>
      </c>
      <c r="AK260" s="358"/>
      <c r="AL260" s="358"/>
      <c r="AM260" s="267" t="s">
        <v>2598</v>
      </c>
      <c r="AN260" s="512" t="s">
        <v>2854</v>
      </c>
      <c r="AO260" s="525">
        <v>1000000</v>
      </c>
      <c r="AP260" s="310"/>
      <c r="AQ260" s="310"/>
      <c r="AR260" s="310"/>
      <c r="AS260" s="310"/>
      <c r="AT260" s="310"/>
      <c r="AU260" s="310"/>
      <c r="AV260" s="544">
        <f t="shared" si="93"/>
        <v>1000000</v>
      </c>
      <c r="AW260" s="525"/>
      <c r="AX260" s="310"/>
      <c r="AY260" s="310"/>
      <c r="AZ260" s="310"/>
      <c r="BA260" s="310"/>
      <c r="BB260" s="310"/>
      <c r="BC260" s="310"/>
      <c r="BD260" s="544">
        <f t="shared" si="94"/>
        <v>0</v>
      </c>
      <c r="BE260" s="525"/>
      <c r="BF260" s="310"/>
      <c r="BG260" s="310"/>
      <c r="BH260" s="310"/>
      <c r="BI260" s="310"/>
      <c r="BJ260" s="310"/>
      <c r="BK260" s="310"/>
      <c r="BL260" s="544">
        <f t="shared" si="95"/>
        <v>0</v>
      </c>
      <c r="BM260" s="525"/>
      <c r="BN260" s="310"/>
      <c r="BO260" s="310"/>
      <c r="BP260" s="310"/>
      <c r="BQ260" s="310"/>
      <c r="BR260" s="310"/>
      <c r="BS260" s="310"/>
      <c r="BT260" s="544">
        <f t="shared" si="96"/>
        <v>0</v>
      </c>
      <c r="BU260" s="556"/>
      <c r="BV260" s="663">
        <f t="shared" si="101"/>
        <v>1</v>
      </c>
      <c r="BW260" s="674">
        <f t="shared" si="102"/>
        <v>1</v>
      </c>
      <c r="BX260" s="674">
        <f t="shared" si="103"/>
        <v>1</v>
      </c>
      <c r="BY260" s="674" t="e">
        <f t="shared" si="104"/>
        <v>#DIV/0!</v>
      </c>
      <c r="BZ260" s="675" t="e">
        <f t="shared" si="105"/>
        <v>#DIV/0!</v>
      </c>
      <c r="CA260" s="675" t="e">
        <f t="shared" si="106"/>
        <v>#DIV/0!</v>
      </c>
    </row>
    <row r="261" spans="1:79" ht="38.25" hidden="1" customHeight="1" thickBot="1" x14ac:dyDescent="0.3">
      <c r="A261" s="401"/>
      <c r="B261" s="402"/>
      <c r="C261" s="687" t="s">
        <v>2862</v>
      </c>
      <c r="D261" s="687"/>
      <c r="E261" s="687"/>
      <c r="F261" s="687"/>
      <c r="G261" s="687"/>
      <c r="H261" s="687"/>
      <c r="I261" s="687"/>
      <c r="J261" s="687"/>
      <c r="K261" s="687"/>
      <c r="L261" s="687"/>
      <c r="M261" s="687"/>
      <c r="N261" s="687"/>
      <c r="O261" s="762"/>
      <c r="P261" s="762"/>
      <c r="Q261" s="762"/>
      <c r="R261" s="762"/>
      <c r="S261" s="762"/>
      <c r="T261" s="762"/>
      <c r="U261" s="762"/>
      <c r="V261" s="762"/>
      <c r="W261" s="762"/>
      <c r="X261" s="762"/>
      <c r="Y261" s="762"/>
      <c r="Z261" s="762"/>
      <c r="AA261" s="762"/>
      <c r="AB261" s="762"/>
      <c r="AC261" s="762"/>
      <c r="AD261" s="762"/>
      <c r="AE261" s="762"/>
      <c r="AF261" s="762"/>
      <c r="AG261" s="762"/>
      <c r="AH261" s="454"/>
      <c r="AI261" s="322"/>
      <c r="AJ261" s="292"/>
      <c r="AK261" s="292"/>
      <c r="AL261" s="292"/>
      <c r="AM261" s="292"/>
      <c r="AN261" s="504"/>
      <c r="AO261" s="632"/>
      <c r="AP261" s="633"/>
      <c r="AQ261" s="633"/>
      <c r="AR261" s="633"/>
      <c r="AS261" s="633"/>
      <c r="AT261" s="633"/>
      <c r="AU261" s="633"/>
      <c r="AV261" s="555">
        <f t="shared" si="93"/>
        <v>0</v>
      </c>
      <c r="AW261" s="632"/>
      <c r="AX261" s="633"/>
      <c r="AY261" s="633"/>
      <c r="AZ261" s="633"/>
      <c r="BA261" s="633"/>
      <c r="BB261" s="633"/>
      <c r="BC261" s="633"/>
      <c r="BD261" s="555">
        <f t="shared" si="94"/>
        <v>0</v>
      </c>
      <c r="BE261" s="632"/>
      <c r="BF261" s="633"/>
      <c r="BG261" s="633"/>
      <c r="BH261" s="633"/>
      <c r="BI261" s="633"/>
      <c r="BJ261" s="633"/>
      <c r="BK261" s="633"/>
      <c r="BL261" s="555">
        <f t="shared" si="95"/>
        <v>0</v>
      </c>
      <c r="BM261" s="632"/>
      <c r="BN261" s="633"/>
      <c r="BO261" s="633"/>
      <c r="BP261" s="633"/>
      <c r="BQ261" s="633"/>
      <c r="BR261" s="633"/>
      <c r="BS261" s="633"/>
      <c r="BT261" s="555">
        <f t="shared" si="96"/>
        <v>0</v>
      </c>
      <c r="BU261" s="556"/>
      <c r="BV261" s="663">
        <f t="shared" si="101"/>
        <v>0</v>
      </c>
      <c r="BW261" s="674" t="e">
        <f t="shared" si="102"/>
        <v>#DIV/0!</v>
      </c>
      <c r="BX261" s="674" t="e">
        <f t="shared" si="103"/>
        <v>#DIV/0!</v>
      </c>
      <c r="BY261" s="674" t="e">
        <f t="shared" si="104"/>
        <v>#DIV/0!</v>
      </c>
      <c r="BZ261" s="675" t="e">
        <f t="shared" si="105"/>
        <v>#DIV/0!</v>
      </c>
      <c r="CA261" s="675" t="e">
        <f t="shared" si="106"/>
        <v>#DIV/0!</v>
      </c>
    </row>
    <row r="262" spans="1:79" ht="15" hidden="1" customHeight="1" x14ac:dyDescent="0.25">
      <c r="A262" s="423"/>
      <c r="B262" s="446" t="e">
        <f>'PLAN INDICATIVO'!#REF!</f>
        <v>#REF!</v>
      </c>
      <c r="C262" s="447"/>
      <c r="D262" s="448"/>
      <c r="E262" s="448"/>
      <c r="F262" s="448"/>
      <c r="G262" s="448"/>
      <c r="H262" s="448"/>
      <c r="I262" s="448"/>
      <c r="J262" s="448"/>
      <c r="K262" s="448"/>
      <c r="L262" s="448"/>
      <c r="M262" s="448"/>
      <c r="N262" s="449"/>
      <c r="O262" s="448"/>
      <c r="P262" s="450"/>
      <c r="Q262" s="450"/>
      <c r="R262" s="448"/>
      <c r="S262" s="451"/>
      <c r="T262" s="676"/>
      <c r="U262" s="451"/>
      <c r="V262" s="451"/>
      <c r="W262" s="451"/>
      <c r="X262" s="451"/>
      <c r="Y262" s="451"/>
      <c r="Z262" s="451"/>
      <c r="AA262" s="452"/>
      <c r="AB262" s="452"/>
      <c r="AC262" s="452"/>
      <c r="AD262" s="452"/>
      <c r="AE262" s="452"/>
      <c r="AF262" s="452"/>
      <c r="AG262" s="453"/>
      <c r="AH262" s="453"/>
      <c r="AI262" s="294"/>
      <c r="AJ262" s="294"/>
      <c r="AK262" s="294"/>
      <c r="AL262" s="294"/>
      <c r="AM262" s="294"/>
      <c r="AN262" s="506"/>
      <c r="AO262" s="524"/>
      <c r="AP262" s="374"/>
      <c r="AQ262" s="374"/>
      <c r="AR262" s="374"/>
      <c r="AS262" s="374"/>
      <c r="AT262" s="374"/>
      <c r="AU262" s="374"/>
      <c r="AV262" s="544">
        <f t="shared" ref="AV262:AV325" si="127">SUM(AO262:AU262)</f>
        <v>0</v>
      </c>
      <c r="AW262" s="524"/>
      <c r="AX262" s="374"/>
      <c r="AY262" s="374"/>
      <c r="AZ262" s="374"/>
      <c r="BA262" s="374"/>
      <c r="BB262" s="374"/>
      <c r="BC262" s="374"/>
      <c r="BD262" s="544">
        <f t="shared" ref="BD262:BD325" si="128">SUM(AW262:BC262)</f>
        <v>0</v>
      </c>
      <c r="BE262" s="524"/>
      <c r="BF262" s="374"/>
      <c r="BG262" s="374"/>
      <c r="BH262" s="374"/>
      <c r="BI262" s="374"/>
      <c r="BJ262" s="374"/>
      <c r="BK262" s="374"/>
      <c r="BL262" s="544">
        <f t="shared" ref="BL262:BL325" si="129">SUM(BE262:BK262)</f>
        <v>0</v>
      </c>
      <c r="BM262" s="524"/>
      <c r="BN262" s="374"/>
      <c r="BO262" s="374"/>
      <c r="BP262" s="374"/>
      <c r="BQ262" s="374"/>
      <c r="BR262" s="374"/>
      <c r="BS262" s="374"/>
      <c r="BT262" s="544">
        <f t="shared" ref="BT262:BT325" si="130">SUM(BM262:BS262)</f>
        <v>0</v>
      </c>
      <c r="BU262" s="556"/>
      <c r="BV262" s="663">
        <f t="shared" si="101"/>
        <v>0</v>
      </c>
      <c r="BW262" s="674" t="e">
        <f t="shared" si="102"/>
        <v>#DIV/0!</v>
      </c>
      <c r="BX262" s="674" t="e">
        <f t="shared" si="103"/>
        <v>#DIV/0!</v>
      </c>
      <c r="BY262" s="674" t="e">
        <f t="shared" si="104"/>
        <v>#DIV/0!</v>
      </c>
      <c r="BZ262" s="675" t="e">
        <f t="shared" si="105"/>
        <v>#DIV/0!</v>
      </c>
      <c r="CA262" s="675" t="e">
        <f t="shared" si="106"/>
        <v>#DIV/0!</v>
      </c>
    </row>
    <row r="263" spans="1:79" ht="25.5" hidden="1" x14ac:dyDescent="0.25">
      <c r="A263" s="423"/>
      <c r="B263" s="293" t="str">
        <f>'PLAN INDICATIVO'!B260</f>
        <v>Promoción del desarrollo</v>
      </c>
      <c r="C263" s="1595" t="s">
        <v>2863</v>
      </c>
      <c r="D263" s="1596"/>
      <c r="E263" s="1596"/>
      <c r="F263" s="1596"/>
      <c r="G263" s="1596"/>
      <c r="H263" s="1596"/>
      <c r="I263" s="1596"/>
      <c r="J263" s="1596"/>
      <c r="K263" s="1596"/>
      <c r="L263" s="1596"/>
      <c r="M263" s="1596"/>
      <c r="N263" s="1596"/>
      <c r="O263" s="1596"/>
      <c r="P263" s="1596"/>
      <c r="Q263" s="1596"/>
      <c r="R263" s="1596"/>
      <c r="S263" s="1596"/>
      <c r="T263" s="1596"/>
      <c r="U263" s="1596"/>
      <c r="V263" s="1596"/>
      <c r="W263" s="1596"/>
      <c r="X263" s="1596"/>
      <c r="Y263" s="1596"/>
      <c r="Z263" s="1596"/>
      <c r="AA263" s="1596"/>
      <c r="AB263" s="1596"/>
      <c r="AC263" s="1596"/>
      <c r="AD263" s="1596"/>
      <c r="AE263" s="1596"/>
      <c r="AF263" s="1596"/>
      <c r="AG263" s="1596"/>
      <c r="AH263" s="1596"/>
      <c r="AI263" s="1596"/>
      <c r="AJ263" s="1596"/>
      <c r="AK263" s="1596"/>
      <c r="AL263" s="1597"/>
      <c r="AM263" s="294"/>
      <c r="AN263" s="506"/>
      <c r="AO263" s="524"/>
      <c r="AP263" s="374"/>
      <c r="AQ263" s="374"/>
      <c r="AR263" s="374"/>
      <c r="AS263" s="374"/>
      <c r="AT263" s="374"/>
      <c r="AU263" s="374"/>
      <c r="AV263" s="544">
        <f t="shared" si="127"/>
        <v>0</v>
      </c>
      <c r="AW263" s="524"/>
      <c r="AX263" s="374"/>
      <c r="AY263" s="374"/>
      <c r="AZ263" s="374"/>
      <c r="BA263" s="374"/>
      <c r="BB263" s="374"/>
      <c r="BC263" s="374"/>
      <c r="BD263" s="544">
        <f t="shared" si="128"/>
        <v>0</v>
      </c>
      <c r="BE263" s="524"/>
      <c r="BF263" s="374"/>
      <c r="BG263" s="374"/>
      <c r="BH263" s="374"/>
      <c r="BI263" s="374"/>
      <c r="BJ263" s="374"/>
      <c r="BK263" s="374"/>
      <c r="BL263" s="544">
        <f t="shared" si="129"/>
        <v>0</v>
      </c>
      <c r="BM263" s="524"/>
      <c r="BN263" s="374"/>
      <c r="BO263" s="374"/>
      <c r="BP263" s="374"/>
      <c r="BQ263" s="374"/>
      <c r="BR263" s="374"/>
      <c r="BS263" s="374"/>
      <c r="BT263" s="544">
        <f t="shared" si="130"/>
        <v>0</v>
      </c>
      <c r="BU263" s="556"/>
      <c r="BV263" s="663">
        <f t="shared" si="101"/>
        <v>0</v>
      </c>
      <c r="BW263" s="674" t="e">
        <f t="shared" si="102"/>
        <v>#DIV/0!</v>
      </c>
      <c r="BX263" s="674" t="e">
        <f t="shared" si="103"/>
        <v>#DIV/0!</v>
      </c>
      <c r="BY263" s="674" t="e">
        <f t="shared" si="104"/>
        <v>#DIV/0!</v>
      </c>
      <c r="BZ263" s="675" t="e">
        <f t="shared" si="105"/>
        <v>#DIV/0!</v>
      </c>
      <c r="CA263" s="675" t="e">
        <f t="shared" si="106"/>
        <v>#DIV/0!</v>
      </c>
    </row>
    <row r="264" spans="1:79" ht="25.5" hidden="1" x14ac:dyDescent="0.25">
      <c r="A264" s="296"/>
      <c r="B264" s="24" t="str">
        <f>'PLAN INDICATIVO'!B261</f>
        <v>Promoción del desarrollo</v>
      </c>
      <c r="C264" s="1574" t="s">
        <v>799</v>
      </c>
      <c r="D264" s="1575"/>
      <c r="E264" s="1575"/>
      <c r="F264" s="1575"/>
      <c r="G264" s="1575"/>
      <c r="H264" s="1575"/>
      <c r="I264" s="1575"/>
      <c r="J264" s="1575"/>
      <c r="K264" s="1575"/>
      <c r="L264" s="1575"/>
      <c r="M264" s="1575"/>
      <c r="N264" s="1575"/>
      <c r="O264" s="1576"/>
      <c r="P264" s="22"/>
      <c r="Q264" s="22"/>
      <c r="R264" s="1"/>
      <c r="S264" s="261"/>
      <c r="T264" s="681"/>
      <c r="U264" s="261"/>
      <c r="V264" s="689">
        <f>SUM(V265:V275)</f>
        <v>24000000</v>
      </c>
      <c r="W264" s="261"/>
      <c r="X264" s="689">
        <f>SUM(X265:X275)</f>
        <v>59000000</v>
      </c>
      <c r="Y264" s="261"/>
      <c r="Z264" s="689">
        <f>SUM(Z265:Z275)</f>
        <v>40000000</v>
      </c>
      <c r="AA264" s="262"/>
      <c r="AB264" s="690">
        <f>SUM(AB265:AB275)</f>
        <v>40000000</v>
      </c>
      <c r="AC264" s="262"/>
      <c r="AD264" s="262"/>
      <c r="AE264" s="262"/>
      <c r="AF264" s="262"/>
      <c r="AG264" s="263"/>
      <c r="AH264" s="263"/>
      <c r="AI264" s="262"/>
      <c r="AJ264" s="262"/>
      <c r="AK264" s="262"/>
      <c r="AL264" s="262"/>
      <c r="AM264" s="262"/>
      <c r="AN264" s="612"/>
      <c r="AO264" s="616" t="e">
        <f>(AO265:AO275)</f>
        <v>#VALUE!</v>
      </c>
      <c r="AP264" s="616" t="e">
        <f t="shared" ref="AP264:AU264" si="131">(AP265:AP275)</f>
        <v>#VALUE!</v>
      </c>
      <c r="AQ264" s="616" t="e">
        <f t="shared" si="131"/>
        <v>#VALUE!</v>
      </c>
      <c r="AR264" s="616" t="e">
        <f t="shared" si="131"/>
        <v>#VALUE!</v>
      </c>
      <c r="AS264" s="616" t="e">
        <f t="shared" si="131"/>
        <v>#VALUE!</v>
      </c>
      <c r="AT264" s="616" t="e">
        <f t="shared" si="131"/>
        <v>#VALUE!</v>
      </c>
      <c r="AU264" s="616" t="e">
        <f t="shared" si="131"/>
        <v>#VALUE!</v>
      </c>
      <c r="AV264" s="617" t="e">
        <f t="shared" si="127"/>
        <v>#VALUE!</v>
      </c>
      <c r="AW264" s="616" t="e">
        <f t="shared" ref="AW264:BC264" si="132">(AW265:AW275)</f>
        <v>#VALUE!</v>
      </c>
      <c r="AX264" s="616" t="e">
        <f t="shared" si="132"/>
        <v>#VALUE!</v>
      </c>
      <c r="AY264" s="616" t="e">
        <f t="shared" si="132"/>
        <v>#VALUE!</v>
      </c>
      <c r="AZ264" s="616" t="e">
        <f t="shared" si="132"/>
        <v>#VALUE!</v>
      </c>
      <c r="BA264" s="616" t="e">
        <f t="shared" si="132"/>
        <v>#VALUE!</v>
      </c>
      <c r="BB264" s="616" t="e">
        <f t="shared" si="132"/>
        <v>#VALUE!</v>
      </c>
      <c r="BC264" s="616" t="e">
        <f t="shared" si="132"/>
        <v>#VALUE!</v>
      </c>
      <c r="BD264" s="617" t="e">
        <f t="shared" si="128"/>
        <v>#VALUE!</v>
      </c>
      <c r="BE264" s="616" t="e">
        <f t="shared" ref="BE264:BK264" si="133">(BE265:BE275)</f>
        <v>#VALUE!</v>
      </c>
      <c r="BF264" s="616" t="e">
        <f t="shared" si="133"/>
        <v>#VALUE!</v>
      </c>
      <c r="BG264" s="616" t="e">
        <f t="shared" si="133"/>
        <v>#VALUE!</v>
      </c>
      <c r="BH264" s="616" t="e">
        <f t="shared" si="133"/>
        <v>#VALUE!</v>
      </c>
      <c r="BI264" s="616" t="e">
        <f t="shared" si="133"/>
        <v>#VALUE!</v>
      </c>
      <c r="BJ264" s="616" t="e">
        <f t="shared" si="133"/>
        <v>#VALUE!</v>
      </c>
      <c r="BK264" s="616" t="e">
        <f t="shared" si="133"/>
        <v>#VALUE!</v>
      </c>
      <c r="BL264" s="617" t="e">
        <f t="shared" si="129"/>
        <v>#VALUE!</v>
      </c>
      <c r="BM264" s="616" t="e">
        <f t="shared" ref="BM264:BS264" si="134">(BM265:BM275)</f>
        <v>#VALUE!</v>
      </c>
      <c r="BN264" s="616" t="e">
        <f t="shared" si="134"/>
        <v>#VALUE!</v>
      </c>
      <c r="BO264" s="616" t="e">
        <f t="shared" si="134"/>
        <v>#VALUE!</v>
      </c>
      <c r="BP264" s="616" t="e">
        <f t="shared" si="134"/>
        <v>#VALUE!</v>
      </c>
      <c r="BQ264" s="616" t="e">
        <f t="shared" si="134"/>
        <v>#VALUE!</v>
      </c>
      <c r="BR264" s="616" t="e">
        <f t="shared" si="134"/>
        <v>#VALUE!</v>
      </c>
      <c r="BS264" s="616" t="e">
        <f t="shared" si="134"/>
        <v>#VALUE!</v>
      </c>
      <c r="BT264" s="617" t="e">
        <f t="shared" si="130"/>
        <v>#VALUE!</v>
      </c>
      <c r="BU264" s="556"/>
      <c r="BV264" s="663">
        <f t="shared" si="101"/>
        <v>0</v>
      </c>
      <c r="BW264" s="674" t="e">
        <f t="shared" si="102"/>
        <v>#DIV/0!</v>
      </c>
      <c r="BX264" s="674" t="e">
        <f t="shared" si="103"/>
        <v>#DIV/0!</v>
      </c>
      <c r="BY264" s="674" t="e">
        <f t="shared" si="104"/>
        <v>#DIV/0!</v>
      </c>
      <c r="BZ264" s="675" t="e">
        <f t="shared" si="105"/>
        <v>#DIV/0!</v>
      </c>
      <c r="CA264" s="675" t="e">
        <f t="shared" si="106"/>
        <v>#DIV/0!</v>
      </c>
    </row>
    <row r="265" spans="1:79" ht="42.75" hidden="1" customHeight="1" x14ac:dyDescent="0.25">
      <c r="A265" s="298" t="s">
        <v>800</v>
      </c>
      <c r="B265" s="299" t="str">
        <f>'PLAN INDICATIVO'!B262</f>
        <v>Desarrollo Económico/Promoción del desarrollo</v>
      </c>
      <c r="C265" s="1546" t="s">
        <v>802</v>
      </c>
      <c r="D265" s="1549" t="s">
        <v>803</v>
      </c>
      <c r="E265" s="1549" t="s">
        <v>804</v>
      </c>
      <c r="F265" s="1549">
        <v>2015</v>
      </c>
      <c r="G265" s="1549">
        <v>696</v>
      </c>
      <c r="H265" s="1549">
        <v>800</v>
      </c>
      <c r="I265" s="300">
        <f>'PLAN INDICATIVO'!I262</f>
        <v>0</v>
      </c>
      <c r="J265" s="300">
        <f>'PLAN INDICATIVO'!J262</f>
        <v>0</v>
      </c>
      <c r="K265" s="1425" t="str">
        <f>'PLAN INDICATIVO'!K262</f>
        <v>A.13.1.1</v>
      </c>
      <c r="L265" s="301" t="str">
        <f>'PLAN INDICATIVO'!L262</f>
        <v>8. Trabajo decente y crecimiento económico</v>
      </c>
      <c r="M265" s="301" t="str">
        <f>'PLAN INDICATIVO'!M262</f>
        <v>Secretaría de Gobierno</v>
      </c>
      <c r="N265" s="1425" t="s">
        <v>2791</v>
      </c>
      <c r="O265" s="1425" t="str">
        <f>'PLAN INDICATIVO'!O262</f>
        <v>Incremento</v>
      </c>
      <c r="P265" s="16" t="str">
        <f>'PLAN INDICATIVO'!P262</f>
        <v>Implementar 1 Plan local de productividad y competitividad durante el cuatrienio</v>
      </c>
      <c r="Q265" s="302" t="str">
        <f>'PLAN INDICATIVO'!Q262</f>
        <v>No. De Planes implementados</v>
      </c>
      <c r="R265" s="303">
        <f>'PLAN INDICATIVO'!R262</f>
        <v>2015</v>
      </c>
      <c r="S265" s="304">
        <v>0</v>
      </c>
      <c r="T265" s="498">
        <v>1</v>
      </c>
      <c r="U265" s="303">
        <v>0</v>
      </c>
      <c r="V265" s="687"/>
      <c r="W265" s="572">
        <v>1</v>
      </c>
      <c r="X265" s="687">
        <v>16000000</v>
      </c>
      <c r="Y265" s="572">
        <v>0</v>
      </c>
      <c r="Z265" s="687"/>
      <c r="AA265" s="572">
        <v>0</v>
      </c>
      <c r="AB265" s="687"/>
      <c r="AC265" s="665"/>
      <c r="AD265" s="665"/>
      <c r="AE265" s="665"/>
      <c r="AF265" s="665"/>
      <c r="AG265" s="306"/>
      <c r="AH265" s="307"/>
      <c r="AI265" s="308"/>
      <c r="AJ265" s="308"/>
      <c r="AK265" s="308"/>
      <c r="AL265" s="308"/>
      <c r="AM265" s="267" t="s">
        <v>2594</v>
      </c>
      <c r="AN265" s="507"/>
      <c r="AO265" s="525"/>
      <c r="AP265" s="310"/>
      <c r="AQ265" s="310"/>
      <c r="AR265" s="310"/>
      <c r="AS265" s="310"/>
      <c r="AT265" s="310"/>
      <c r="AU265" s="310"/>
      <c r="AV265" s="544">
        <f t="shared" si="127"/>
        <v>0</v>
      </c>
      <c r="AW265" s="525"/>
      <c r="AX265" s="310"/>
      <c r="AY265" s="310"/>
      <c r="AZ265" s="310"/>
      <c r="BA265" s="310"/>
      <c r="BB265" s="310"/>
      <c r="BC265" s="310"/>
      <c r="BD265" s="544">
        <f t="shared" si="128"/>
        <v>0</v>
      </c>
      <c r="BE265" s="525"/>
      <c r="BF265" s="310"/>
      <c r="BG265" s="310"/>
      <c r="BH265" s="310"/>
      <c r="BI265" s="310"/>
      <c r="BJ265" s="310"/>
      <c r="BK265" s="310"/>
      <c r="BL265" s="544">
        <f t="shared" si="129"/>
        <v>0</v>
      </c>
      <c r="BM265" s="525"/>
      <c r="BN265" s="310"/>
      <c r="BO265" s="310"/>
      <c r="BP265" s="310"/>
      <c r="BQ265" s="310"/>
      <c r="BR265" s="310"/>
      <c r="BS265" s="310"/>
      <c r="BT265" s="544">
        <f t="shared" si="130"/>
        <v>0</v>
      </c>
      <c r="BU265" s="556"/>
      <c r="BV265" s="663">
        <f t="shared" si="101"/>
        <v>0</v>
      </c>
      <c r="BW265" s="674">
        <f t="shared" si="102"/>
        <v>0</v>
      </c>
      <c r="BX265" s="674" t="e">
        <f t="shared" si="103"/>
        <v>#DIV/0!</v>
      </c>
      <c r="BY265" s="674">
        <f t="shared" si="104"/>
        <v>0</v>
      </c>
      <c r="BZ265" s="675" t="e">
        <f t="shared" si="105"/>
        <v>#DIV/0!</v>
      </c>
      <c r="CA265" s="675" t="e">
        <f t="shared" si="106"/>
        <v>#DIV/0!</v>
      </c>
    </row>
    <row r="266" spans="1:79" ht="60" hidden="1" customHeight="1" x14ac:dyDescent="0.25">
      <c r="A266" s="298" t="s">
        <v>800</v>
      </c>
      <c r="B266" s="299" t="str">
        <f>'PLAN INDICATIVO'!B263</f>
        <v>Desarrollo Económico/Promoción del desarrollo</v>
      </c>
      <c r="C266" s="1547"/>
      <c r="D266" s="1549"/>
      <c r="E266" s="1549"/>
      <c r="F266" s="1549"/>
      <c r="G266" s="1549"/>
      <c r="H266" s="1549"/>
      <c r="I266" s="300">
        <f>'PLAN INDICATIVO'!I263</f>
        <v>0</v>
      </c>
      <c r="J266" s="300">
        <f>'PLAN INDICATIVO'!J263</f>
        <v>0</v>
      </c>
      <c r="K266" s="1425" t="str">
        <f>'PLAN INDICATIVO'!K263</f>
        <v>A.13.1.2</v>
      </c>
      <c r="L266" s="301" t="str">
        <f>'PLAN INDICATIVO'!L263</f>
        <v>8. Trabajo decente y crecimiento económico</v>
      </c>
      <c r="M266" s="301" t="str">
        <f>'PLAN INDICATIVO'!M263</f>
        <v>Secretaría de Gobierno</v>
      </c>
      <c r="N266" s="1425" t="s">
        <v>2791</v>
      </c>
      <c r="O266" s="1425" t="str">
        <f>'PLAN INDICATIVO'!O263</f>
        <v>Incremento</v>
      </c>
      <c r="P266" s="16" t="str">
        <f>'PLAN INDICATIVO'!P263</f>
        <v xml:space="preserve">Lograr 1 proyecto de acuerdo aprobado para otorgar incentivos tributarios para la instalación de nuevas empresas durante el cuatrienio </v>
      </c>
      <c r="Q266" s="302" t="str">
        <f>'PLAN INDICATIVO'!Q263</f>
        <v xml:space="preserve">No. De Proyecto Logrados </v>
      </c>
      <c r="R266" s="303">
        <f>'PLAN INDICATIVO'!R263</f>
        <v>2015</v>
      </c>
      <c r="S266" s="304">
        <v>0</v>
      </c>
      <c r="T266" s="498">
        <v>1</v>
      </c>
      <c r="U266" s="303">
        <v>0</v>
      </c>
      <c r="V266" s="687"/>
      <c r="W266" s="572">
        <v>1</v>
      </c>
      <c r="X266" s="687">
        <v>500000</v>
      </c>
      <c r="Y266" s="572">
        <v>0</v>
      </c>
      <c r="Z266" s="687"/>
      <c r="AA266" s="572">
        <v>0</v>
      </c>
      <c r="AB266" s="687"/>
      <c r="AC266" s="665"/>
      <c r="AD266" s="665"/>
      <c r="AE266" s="665"/>
      <c r="AF266" s="665"/>
      <c r="AG266" s="306"/>
      <c r="AH266" s="307"/>
      <c r="AI266" s="308"/>
      <c r="AJ266" s="308"/>
      <c r="AK266" s="308"/>
      <c r="AL266" s="308"/>
      <c r="AM266" s="267" t="s">
        <v>2594</v>
      </c>
      <c r="AN266" s="507"/>
      <c r="AO266" s="525"/>
      <c r="AP266" s="310"/>
      <c r="AQ266" s="310"/>
      <c r="AR266" s="310"/>
      <c r="AS266" s="310"/>
      <c r="AT266" s="310"/>
      <c r="AU266" s="310"/>
      <c r="AV266" s="544">
        <f t="shared" si="127"/>
        <v>0</v>
      </c>
      <c r="AW266" s="525"/>
      <c r="AX266" s="310"/>
      <c r="AY266" s="310"/>
      <c r="AZ266" s="310"/>
      <c r="BA266" s="310"/>
      <c r="BB266" s="310"/>
      <c r="BC266" s="310"/>
      <c r="BD266" s="544">
        <f t="shared" si="128"/>
        <v>0</v>
      </c>
      <c r="BE266" s="525"/>
      <c r="BF266" s="310"/>
      <c r="BG266" s="310"/>
      <c r="BH266" s="310"/>
      <c r="BI266" s="310"/>
      <c r="BJ266" s="310"/>
      <c r="BK266" s="310"/>
      <c r="BL266" s="544">
        <f t="shared" si="129"/>
        <v>0</v>
      </c>
      <c r="BM266" s="525"/>
      <c r="BN266" s="310"/>
      <c r="BO266" s="310"/>
      <c r="BP266" s="310"/>
      <c r="BQ266" s="310"/>
      <c r="BR266" s="310"/>
      <c r="BS266" s="310"/>
      <c r="BT266" s="544">
        <f t="shared" si="130"/>
        <v>0</v>
      </c>
      <c r="BU266" s="556"/>
      <c r="BV266" s="663">
        <f t="shared" ref="BV266:BV329" si="135">AC266+AD266+AE266+AF266</f>
        <v>0</v>
      </c>
      <c r="BW266" s="674">
        <f t="shared" ref="BW266:BW329" si="136">BV266/T266</f>
        <v>0</v>
      </c>
      <c r="BX266" s="674" t="e">
        <f t="shared" ref="BX266:BX329" si="137">AC266/U266</f>
        <v>#DIV/0!</v>
      </c>
      <c r="BY266" s="674">
        <f t="shared" ref="BY266:BY329" si="138">AD266/W266</f>
        <v>0</v>
      </c>
      <c r="BZ266" s="675" t="e">
        <f t="shared" ref="BZ266:BZ329" si="139">AE266/Y266</f>
        <v>#DIV/0!</v>
      </c>
      <c r="CA266" s="675" t="e">
        <f t="shared" ref="CA266:CA329" si="140">AF266/AA266</f>
        <v>#DIV/0!</v>
      </c>
    </row>
    <row r="267" spans="1:79" ht="36.75" hidden="1" customHeight="1" x14ac:dyDescent="0.25">
      <c r="A267" s="298" t="s">
        <v>800</v>
      </c>
      <c r="B267" s="299" t="str">
        <f>'PLAN INDICATIVO'!B264</f>
        <v>Desarrollo Económico/Promoción del desarrollo</v>
      </c>
      <c r="C267" s="1547"/>
      <c r="D267" s="1549"/>
      <c r="E267" s="1549"/>
      <c r="F267" s="1549"/>
      <c r="G267" s="1549"/>
      <c r="H267" s="1549"/>
      <c r="I267" s="300">
        <f>'PLAN INDICATIVO'!I264</f>
        <v>0</v>
      </c>
      <c r="J267" s="300">
        <f>'PLAN INDICATIVO'!J264</f>
        <v>0</v>
      </c>
      <c r="K267" s="1425" t="str">
        <f>'PLAN INDICATIVO'!K264</f>
        <v>A.13.1.3</v>
      </c>
      <c r="L267" s="301" t="str">
        <f>'PLAN INDICATIVO'!L264</f>
        <v>8. Trabajo decente y crecimiento económico</v>
      </c>
      <c r="M267" s="301" t="str">
        <f>'PLAN INDICATIVO'!M264</f>
        <v>Secretaría de Gobierno</v>
      </c>
      <c r="N267" s="1425" t="s">
        <v>2791</v>
      </c>
      <c r="O267" s="1425" t="str">
        <f>'PLAN INDICATIVO'!O264</f>
        <v>Incremento</v>
      </c>
      <c r="P267" s="16" t="str">
        <f>'PLAN INDICATIVO'!P264</f>
        <v>Implementar 1 estrategia para el manejo de vendedores ambulantes durante  del cuatrienio</v>
      </c>
      <c r="Q267" s="302" t="str">
        <f>'PLAN INDICATIVO'!Q264</f>
        <v xml:space="preserve">No. De Estrategias implementada </v>
      </c>
      <c r="R267" s="303">
        <f>'PLAN INDICATIVO'!R264</f>
        <v>2015</v>
      </c>
      <c r="S267" s="304">
        <v>0</v>
      </c>
      <c r="T267" s="498">
        <v>1</v>
      </c>
      <c r="U267" s="303">
        <v>0</v>
      </c>
      <c r="V267" s="687"/>
      <c r="W267" s="572">
        <v>1</v>
      </c>
      <c r="X267" s="687">
        <v>10000000</v>
      </c>
      <c r="Y267" s="572">
        <v>0</v>
      </c>
      <c r="Z267" s="687"/>
      <c r="AA267" s="572">
        <v>0</v>
      </c>
      <c r="AB267" s="687"/>
      <c r="AC267" s="665"/>
      <c r="AD267" s="665"/>
      <c r="AE267" s="665"/>
      <c r="AF267" s="665"/>
      <c r="AG267" s="306"/>
      <c r="AH267" s="307"/>
      <c r="AI267" s="308"/>
      <c r="AJ267" s="308"/>
      <c r="AK267" s="308"/>
      <c r="AL267" s="308"/>
      <c r="AM267" s="267" t="s">
        <v>2594</v>
      </c>
      <c r="AN267" s="507"/>
      <c r="AO267" s="525"/>
      <c r="AP267" s="310"/>
      <c r="AQ267" s="310"/>
      <c r="AR267" s="310"/>
      <c r="AS267" s="310"/>
      <c r="AT267" s="310"/>
      <c r="AU267" s="310"/>
      <c r="AV267" s="544">
        <f t="shared" si="127"/>
        <v>0</v>
      </c>
      <c r="AW267" s="525"/>
      <c r="AX267" s="310"/>
      <c r="AY267" s="310"/>
      <c r="AZ267" s="310"/>
      <c r="BA267" s="310"/>
      <c r="BB267" s="310"/>
      <c r="BC267" s="310"/>
      <c r="BD267" s="544">
        <f t="shared" si="128"/>
        <v>0</v>
      </c>
      <c r="BE267" s="525"/>
      <c r="BF267" s="310"/>
      <c r="BG267" s="310"/>
      <c r="BH267" s="310"/>
      <c r="BI267" s="310"/>
      <c r="BJ267" s="310"/>
      <c r="BK267" s="310"/>
      <c r="BL267" s="544">
        <f t="shared" si="129"/>
        <v>0</v>
      </c>
      <c r="BM267" s="525"/>
      <c r="BN267" s="310"/>
      <c r="BO267" s="310"/>
      <c r="BP267" s="310"/>
      <c r="BQ267" s="310"/>
      <c r="BR267" s="310"/>
      <c r="BS267" s="310"/>
      <c r="BT267" s="544">
        <f t="shared" si="130"/>
        <v>0</v>
      </c>
      <c r="BU267" s="556"/>
      <c r="BV267" s="663">
        <f t="shared" si="135"/>
        <v>0</v>
      </c>
      <c r="BW267" s="674">
        <f t="shared" si="136"/>
        <v>0</v>
      </c>
      <c r="BX267" s="674" t="e">
        <f t="shared" si="137"/>
        <v>#DIV/0!</v>
      </c>
      <c r="BY267" s="674">
        <f t="shared" si="138"/>
        <v>0</v>
      </c>
      <c r="BZ267" s="675" t="e">
        <f t="shared" si="139"/>
        <v>#DIV/0!</v>
      </c>
      <c r="CA267" s="675" t="e">
        <f t="shared" si="140"/>
        <v>#DIV/0!</v>
      </c>
    </row>
    <row r="268" spans="1:79" ht="81.75" hidden="1" customHeight="1" x14ac:dyDescent="0.25">
      <c r="A268" s="298" t="s">
        <v>800</v>
      </c>
      <c r="B268" s="299" t="str">
        <f>'PLAN INDICATIVO'!B265</f>
        <v>Desarrollo Económico/Promoción del desarrollo</v>
      </c>
      <c r="C268" s="1547"/>
      <c r="D268" s="1549"/>
      <c r="E268" s="1549"/>
      <c r="F268" s="1549"/>
      <c r="G268" s="1549"/>
      <c r="H268" s="1549"/>
      <c r="I268" s="300">
        <f>'PLAN INDICATIVO'!I265</f>
        <v>0</v>
      </c>
      <c r="J268" s="300">
        <f>'PLAN INDICATIVO'!J265</f>
        <v>0</v>
      </c>
      <c r="K268" s="1425" t="str">
        <f>'PLAN INDICATIVO'!K265</f>
        <v>A.13.1.4</v>
      </c>
      <c r="L268" s="301" t="str">
        <f>'PLAN INDICATIVO'!L265</f>
        <v>8. Trabajo decente y crecimiento económico</v>
      </c>
      <c r="M268" s="301" t="str">
        <f>'PLAN INDICATIVO'!M265</f>
        <v>Secretaría de Gobierno</v>
      </c>
      <c r="N268" s="1425" t="s">
        <v>2791</v>
      </c>
      <c r="O268" s="1425" t="str">
        <f>'PLAN INDICATIVO'!O265</f>
        <v>Incremento</v>
      </c>
      <c r="P268" s="16" t="str">
        <f>'PLAN INDICATIVO'!P265</f>
        <v>Realizar 2 convenios interadministrativos dirigidos a disminuir la informalidad durante el cuatrienio</v>
      </c>
      <c r="Q268" s="302" t="str">
        <f>'PLAN INDICATIVO'!Q265</f>
        <v>No. De convenios interadministrativos suscritos</v>
      </c>
      <c r="R268" s="303">
        <f>'PLAN INDICATIVO'!R265</f>
        <v>2015</v>
      </c>
      <c r="S268" s="304">
        <v>0</v>
      </c>
      <c r="T268" s="498">
        <v>2</v>
      </c>
      <c r="U268" s="303">
        <v>0</v>
      </c>
      <c r="V268" s="687"/>
      <c r="W268" s="572">
        <v>1</v>
      </c>
      <c r="X268" s="687">
        <v>500000</v>
      </c>
      <c r="Y268" s="572">
        <v>1</v>
      </c>
      <c r="Z268" s="687">
        <v>5000000</v>
      </c>
      <c r="AA268" s="572">
        <v>0</v>
      </c>
      <c r="AB268" s="687"/>
      <c r="AC268" s="665"/>
      <c r="AD268" s="665"/>
      <c r="AE268" s="665"/>
      <c r="AF268" s="665"/>
      <c r="AG268" s="306"/>
      <c r="AH268" s="307"/>
      <c r="AI268" s="308"/>
      <c r="AJ268" s="308"/>
      <c r="AK268" s="308"/>
      <c r="AL268" s="308"/>
      <c r="AM268" s="267" t="s">
        <v>2594</v>
      </c>
      <c r="AN268" s="507"/>
      <c r="AO268" s="525"/>
      <c r="AP268" s="310"/>
      <c r="AQ268" s="310"/>
      <c r="AR268" s="310"/>
      <c r="AS268" s="310"/>
      <c r="AT268" s="310"/>
      <c r="AU268" s="310"/>
      <c r="AV268" s="544">
        <f t="shared" si="127"/>
        <v>0</v>
      </c>
      <c r="AW268" s="525"/>
      <c r="AX268" s="310"/>
      <c r="AY268" s="310"/>
      <c r="AZ268" s="310"/>
      <c r="BA268" s="310"/>
      <c r="BB268" s="310"/>
      <c r="BC268" s="310"/>
      <c r="BD268" s="544">
        <f t="shared" si="128"/>
        <v>0</v>
      </c>
      <c r="BE268" s="525"/>
      <c r="BF268" s="310"/>
      <c r="BG268" s="310"/>
      <c r="BH268" s="310"/>
      <c r="BI268" s="310"/>
      <c r="BJ268" s="310"/>
      <c r="BK268" s="310"/>
      <c r="BL268" s="544">
        <f t="shared" si="129"/>
        <v>0</v>
      </c>
      <c r="BM268" s="525"/>
      <c r="BN268" s="310"/>
      <c r="BO268" s="310"/>
      <c r="BP268" s="310"/>
      <c r="BQ268" s="310"/>
      <c r="BR268" s="310"/>
      <c r="BS268" s="310"/>
      <c r="BT268" s="544">
        <f t="shared" si="130"/>
        <v>0</v>
      </c>
      <c r="BU268" s="556"/>
      <c r="BV268" s="663">
        <f t="shared" si="135"/>
        <v>0</v>
      </c>
      <c r="BW268" s="674">
        <f t="shared" si="136"/>
        <v>0</v>
      </c>
      <c r="BX268" s="674" t="e">
        <f t="shared" si="137"/>
        <v>#DIV/0!</v>
      </c>
      <c r="BY268" s="674">
        <f t="shared" si="138"/>
        <v>0</v>
      </c>
      <c r="BZ268" s="675">
        <f t="shared" si="139"/>
        <v>0</v>
      </c>
      <c r="CA268" s="675" t="e">
        <f t="shared" si="140"/>
        <v>#DIV/0!</v>
      </c>
    </row>
    <row r="269" spans="1:79" ht="50.25" hidden="1" customHeight="1" x14ac:dyDescent="0.25">
      <c r="A269" s="298" t="s">
        <v>800</v>
      </c>
      <c r="B269" s="299" t="str">
        <f>'PLAN INDICATIVO'!B266</f>
        <v>Desarrollo Económico/Promoción del desarrollo</v>
      </c>
      <c r="C269" s="1547"/>
      <c r="D269" s="1549"/>
      <c r="E269" s="1549"/>
      <c r="F269" s="1549"/>
      <c r="G269" s="1549"/>
      <c r="H269" s="1549"/>
      <c r="I269" s="300">
        <f>'PLAN INDICATIVO'!I266</f>
        <v>0</v>
      </c>
      <c r="J269" s="300">
        <f>'PLAN INDICATIVO'!J266</f>
        <v>0</v>
      </c>
      <c r="K269" s="1425" t="str">
        <f>'PLAN INDICATIVO'!K266</f>
        <v>A.13.1.5</v>
      </c>
      <c r="L269" s="301" t="str">
        <f>'PLAN INDICATIVO'!L266</f>
        <v>8. Trabajo decente y crecimiento económico</v>
      </c>
      <c r="M269" s="301" t="str">
        <f>'PLAN INDICATIVO'!M266</f>
        <v>Secretaría de Gobierno</v>
      </c>
      <c r="N269" s="1425" t="s">
        <v>2791</v>
      </c>
      <c r="O269" s="1425" t="str">
        <f>'PLAN INDICATIVO'!O266</f>
        <v>Incremento</v>
      </c>
      <c r="P269" s="16" t="str">
        <f>'PLAN INDICATIVO'!P266</f>
        <v>Apoyar 20 empresas  para su formalización durante el cuatrienio</v>
      </c>
      <c r="Q269" s="302" t="str">
        <f>'PLAN INDICATIVO'!Q266</f>
        <v>No. De empresas apoyadas</v>
      </c>
      <c r="R269" s="303">
        <f>'PLAN INDICATIVO'!R266</f>
        <v>2015</v>
      </c>
      <c r="S269" s="304">
        <v>0</v>
      </c>
      <c r="T269" s="498">
        <v>20</v>
      </c>
      <c r="U269" s="303">
        <v>0</v>
      </c>
      <c r="V269" s="687"/>
      <c r="W269" s="572">
        <v>5</v>
      </c>
      <c r="X269" s="687">
        <v>10000000</v>
      </c>
      <c r="Y269" s="572">
        <v>5</v>
      </c>
      <c r="Z269" s="687">
        <v>7000000</v>
      </c>
      <c r="AA269" s="572">
        <v>10</v>
      </c>
      <c r="AB269" s="687">
        <v>10000000</v>
      </c>
      <c r="AC269" s="665"/>
      <c r="AD269" s="665"/>
      <c r="AE269" s="665"/>
      <c r="AF269" s="665"/>
      <c r="AG269" s="306"/>
      <c r="AH269" s="307"/>
      <c r="AI269" s="308"/>
      <c r="AJ269" s="308"/>
      <c r="AK269" s="308"/>
      <c r="AL269" s="308"/>
      <c r="AM269" s="267" t="s">
        <v>2594</v>
      </c>
      <c r="AN269" s="507"/>
      <c r="AO269" s="525"/>
      <c r="AP269" s="310"/>
      <c r="AQ269" s="310"/>
      <c r="AR269" s="310"/>
      <c r="AS269" s="310"/>
      <c r="AT269" s="310"/>
      <c r="AU269" s="310"/>
      <c r="AV269" s="544">
        <f t="shared" si="127"/>
        <v>0</v>
      </c>
      <c r="AW269" s="525"/>
      <c r="AX269" s="310"/>
      <c r="AY269" s="310"/>
      <c r="AZ269" s="310"/>
      <c r="BA269" s="310"/>
      <c r="BB269" s="310"/>
      <c r="BC269" s="310"/>
      <c r="BD269" s="544">
        <f t="shared" si="128"/>
        <v>0</v>
      </c>
      <c r="BE269" s="525"/>
      <c r="BF269" s="310"/>
      <c r="BG269" s="310"/>
      <c r="BH269" s="310"/>
      <c r="BI269" s="310"/>
      <c r="BJ269" s="310"/>
      <c r="BK269" s="310"/>
      <c r="BL269" s="544">
        <f t="shared" si="129"/>
        <v>0</v>
      </c>
      <c r="BM269" s="525"/>
      <c r="BN269" s="310"/>
      <c r="BO269" s="310"/>
      <c r="BP269" s="310"/>
      <c r="BQ269" s="310"/>
      <c r="BR269" s="310"/>
      <c r="BS269" s="310"/>
      <c r="BT269" s="544">
        <f t="shared" si="130"/>
        <v>0</v>
      </c>
      <c r="BU269" s="556"/>
      <c r="BV269" s="663">
        <f t="shared" si="135"/>
        <v>0</v>
      </c>
      <c r="BW269" s="674">
        <f t="shared" si="136"/>
        <v>0</v>
      </c>
      <c r="BX269" s="674" t="e">
        <f t="shared" si="137"/>
        <v>#DIV/0!</v>
      </c>
      <c r="BY269" s="674">
        <f t="shared" si="138"/>
        <v>0</v>
      </c>
      <c r="BZ269" s="675">
        <f t="shared" si="139"/>
        <v>0</v>
      </c>
      <c r="CA269" s="675">
        <f t="shared" si="140"/>
        <v>0</v>
      </c>
    </row>
    <row r="270" spans="1:79" s="231" customFormat="1" ht="81" hidden="1" customHeight="1" x14ac:dyDescent="0.25">
      <c r="A270" s="354" t="s">
        <v>800</v>
      </c>
      <c r="B270" s="299" t="str">
        <f>'PLAN INDICATIVO'!B267</f>
        <v>Desarrollo Económico/Promoción del desarrollo</v>
      </c>
      <c r="C270" s="1599"/>
      <c r="D270" s="1601"/>
      <c r="E270" s="1601"/>
      <c r="F270" s="1601"/>
      <c r="G270" s="1601"/>
      <c r="H270" s="1601"/>
      <c r="I270" s="371">
        <f>'PLAN INDICATIVO'!I267</f>
        <v>0</v>
      </c>
      <c r="J270" s="371">
        <f>'PLAN INDICATIVO'!J267</f>
        <v>0</v>
      </c>
      <c r="K270" s="1432" t="str">
        <f>'PLAN INDICATIVO'!K267</f>
        <v>A.13.1.6</v>
      </c>
      <c r="L270" s="372" t="str">
        <f>'PLAN INDICATIVO'!L267</f>
        <v>8. Trabajo decente y crecimiento económico</v>
      </c>
      <c r="M270" s="372" t="str">
        <f>'PLAN INDICATIVO'!M267</f>
        <v>Secretaría de Gobierno</v>
      </c>
      <c r="N270" s="1425" t="s">
        <v>2791</v>
      </c>
      <c r="O270" s="1432" t="str">
        <f>'PLAN INDICATIVO'!O267</f>
        <v>Incremento</v>
      </c>
      <c r="P270" s="71" t="str">
        <f>'PLAN INDICATIVO'!P267</f>
        <v>Capacitar 2.000 jóvenes  para desarrollar actividades laborales durante el cuatrienio</v>
      </c>
      <c r="Q270" s="302" t="str">
        <f>'PLAN INDICATIVO'!Q267</f>
        <v>No. De jóvenes capacitados</v>
      </c>
      <c r="R270" s="303">
        <f>'PLAN INDICATIVO'!R267</f>
        <v>2015</v>
      </c>
      <c r="S270" s="304" t="s">
        <v>177</v>
      </c>
      <c r="T270" s="498">
        <v>2000</v>
      </c>
      <c r="U270" s="303">
        <v>500</v>
      </c>
      <c r="V270" s="687">
        <v>10000000</v>
      </c>
      <c r="W270" s="572">
        <v>500</v>
      </c>
      <c r="X270" s="687">
        <v>10000000</v>
      </c>
      <c r="Y270" s="572">
        <v>500</v>
      </c>
      <c r="Z270" s="687">
        <v>10000000</v>
      </c>
      <c r="AA270" s="572">
        <v>500</v>
      </c>
      <c r="AB270" s="687">
        <v>10000000</v>
      </c>
      <c r="AC270" s="667">
        <v>0</v>
      </c>
      <c r="AD270" s="667"/>
      <c r="AE270" s="667"/>
      <c r="AF270" s="667"/>
      <c r="AG270" s="338"/>
      <c r="AH270" s="336" t="s">
        <v>2864</v>
      </c>
      <c r="AI270" s="339">
        <v>40391</v>
      </c>
      <c r="AJ270" s="339">
        <v>11293</v>
      </c>
      <c r="AK270" s="337"/>
      <c r="AL270" s="337"/>
      <c r="AM270" s="267" t="s">
        <v>2600</v>
      </c>
      <c r="AN270" s="510">
        <v>2313</v>
      </c>
      <c r="AO270" s="528"/>
      <c r="AP270" s="472"/>
      <c r="AQ270" s="472"/>
      <c r="AR270" s="472"/>
      <c r="AS270" s="472"/>
      <c r="AT270" s="472"/>
      <c r="AU270" s="472"/>
      <c r="AV270" s="544">
        <f t="shared" si="127"/>
        <v>0</v>
      </c>
      <c r="AW270" s="528"/>
      <c r="AX270" s="472"/>
      <c r="AY270" s="472"/>
      <c r="AZ270" s="472"/>
      <c r="BA270" s="472"/>
      <c r="BB270" s="472"/>
      <c r="BC270" s="472"/>
      <c r="BD270" s="544">
        <f t="shared" si="128"/>
        <v>0</v>
      </c>
      <c r="BE270" s="528"/>
      <c r="BF270" s="472"/>
      <c r="BG270" s="472"/>
      <c r="BH270" s="472"/>
      <c r="BI270" s="472"/>
      <c r="BJ270" s="472"/>
      <c r="BK270" s="472"/>
      <c r="BL270" s="544">
        <f t="shared" si="129"/>
        <v>0</v>
      </c>
      <c r="BM270" s="528"/>
      <c r="BN270" s="472"/>
      <c r="BO270" s="472"/>
      <c r="BP270" s="472"/>
      <c r="BQ270" s="472"/>
      <c r="BR270" s="472"/>
      <c r="BS270" s="472"/>
      <c r="BT270" s="544">
        <f t="shared" si="130"/>
        <v>0</v>
      </c>
      <c r="BU270" s="653"/>
      <c r="BV270" s="663">
        <f t="shared" si="135"/>
        <v>0</v>
      </c>
      <c r="BW270" s="674">
        <f t="shared" si="136"/>
        <v>0</v>
      </c>
      <c r="BX270" s="674">
        <f t="shared" si="137"/>
        <v>0</v>
      </c>
      <c r="BY270" s="674">
        <f t="shared" si="138"/>
        <v>0</v>
      </c>
      <c r="BZ270" s="675">
        <f t="shared" si="139"/>
        <v>0</v>
      </c>
      <c r="CA270" s="675">
        <f t="shared" si="140"/>
        <v>0</v>
      </c>
    </row>
    <row r="271" spans="1:79" ht="54.75" hidden="1" customHeight="1" x14ac:dyDescent="0.25">
      <c r="A271" s="298" t="s">
        <v>800</v>
      </c>
      <c r="B271" s="299" t="str">
        <f>'PLAN INDICATIVO'!B268</f>
        <v>Desarrollo Económico/Promoción del desarrollo</v>
      </c>
      <c r="C271" s="1547"/>
      <c r="D271" s="1549"/>
      <c r="E271" s="1549"/>
      <c r="F271" s="1549"/>
      <c r="G271" s="1549"/>
      <c r="H271" s="1549"/>
      <c r="I271" s="300">
        <f>'PLAN INDICATIVO'!I268</f>
        <v>0</v>
      </c>
      <c r="J271" s="300">
        <f>'PLAN INDICATIVO'!J268</f>
        <v>0</v>
      </c>
      <c r="K271" s="1425" t="str">
        <f>'PLAN INDICATIVO'!K268</f>
        <v>A.13.1.7</v>
      </c>
      <c r="L271" s="301" t="str">
        <f>'PLAN INDICATIVO'!L268</f>
        <v>8. Trabajo decente y crecimiento económico</v>
      </c>
      <c r="M271" s="301" t="str">
        <f>'PLAN INDICATIVO'!M268</f>
        <v>Secretaría de Gobierno</v>
      </c>
      <c r="N271" s="1425" t="s">
        <v>2791</v>
      </c>
      <c r="O271" s="1425" t="str">
        <f>'PLAN INDICATIVO'!O268</f>
        <v>Incremento</v>
      </c>
      <c r="P271" s="16" t="str">
        <f>'PLAN INDICATIVO'!P268</f>
        <v>Suscribir 4 convenios para apoyo a MIPYMES durante el cuatrienio</v>
      </c>
      <c r="Q271" s="302" t="str">
        <f>'PLAN INDICATIVO'!Q268</f>
        <v>No. De convenios  suscritos</v>
      </c>
      <c r="R271" s="303">
        <f>'PLAN INDICATIVO'!R268</f>
        <v>2015</v>
      </c>
      <c r="S271" s="304">
        <v>0</v>
      </c>
      <c r="T271" s="498">
        <v>4</v>
      </c>
      <c r="U271" s="303">
        <v>1</v>
      </c>
      <c r="V271" s="687">
        <v>1000000</v>
      </c>
      <c r="W271" s="572">
        <v>1</v>
      </c>
      <c r="X271" s="687">
        <v>500000</v>
      </c>
      <c r="Y271" s="572">
        <v>1</v>
      </c>
      <c r="Z271" s="687">
        <v>1000000</v>
      </c>
      <c r="AA271" s="572">
        <v>1</v>
      </c>
      <c r="AB271" s="687">
        <v>5000000</v>
      </c>
      <c r="AC271" s="665">
        <v>3</v>
      </c>
      <c r="AD271" s="665"/>
      <c r="AE271" s="665"/>
      <c r="AF271" s="665"/>
      <c r="AG271" s="306"/>
      <c r="AH271" s="307" t="s">
        <v>2865</v>
      </c>
      <c r="AI271" s="339">
        <v>40391</v>
      </c>
      <c r="AJ271" s="339">
        <v>11293</v>
      </c>
      <c r="AK271" s="308"/>
      <c r="AL271" s="308"/>
      <c r="AM271" s="267" t="s">
        <v>2598</v>
      </c>
      <c r="AN271" s="507">
        <v>2313</v>
      </c>
      <c r="AO271" s="525"/>
      <c r="AP271" s="310"/>
      <c r="AQ271" s="310"/>
      <c r="AR271" s="310"/>
      <c r="AS271" s="310"/>
      <c r="AT271" s="310"/>
      <c r="AU271" s="310"/>
      <c r="AV271" s="544">
        <f t="shared" si="127"/>
        <v>0</v>
      </c>
      <c r="AW271" s="525"/>
      <c r="AX271" s="310"/>
      <c r="AY271" s="310"/>
      <c r="AZ271" s="310"/>
      <c r="BA271" s="310"/>
      <c r="BB271" s="310"/>
      <c r="BC271" s="310"/>
      <c r="BD271" s="544">
        <f t="shared" si="128"/>
        <v>0</v>
      </c>
      <c r="BE271" s="525"/>
      <c r="BF271" s="310"/>
      <c r="BG271" s="310"/>
      <c r="BH271" s="310"/>
      <c r="BI271" s="310"/>
      <c r="BJ271" s="310"/>
      <c r="BK271" s="310"/>
      <c r="BL271" s="544">
        <f t="shared" si="129"/>
        <v>0</v>
      </c>
      <c r="BM271" s="525"/>
      <c r="BN271" s="310"/>
      <c r="BO271" s="310"/>
      <c r="BP271" s="310"/>
      <c r="BQ271" s="310"/>
      <c r="BR271" s="310"/>
      <c r="BS271" s="310"/>
      <c r="BT271" s="544">
        <f t="shared" si="130"/>
        <v>0</v>
      </c>
      <c r="BU271" s="556"/>
      <c r="BV271" s="663">
        <f t="shared" si="135"/>
        <v>3</v>
      </c>
      <c r="BW271" s="674">
        <f t="shared" si="136"/>
        <v>0.75</v>
      </c>
      <c r="BX271" s="674">
        <f t="shared" si="137"/>
        <v>3</v>
      </c>
      <c r="BY271" s="674">
        <f t="shared" si="138"/>
        <v>0</v>
      </c>
      <c r="BZ271" s="675">
        <f t="shared" si="139"/>
        <v>0</v>
      </c>
      <c r="CA271" s="675">
        <f t="shared" si="140"/>
        <v>0</v>
      </c>
    </row>
    <row r="272" spans="1:79" ht="39" hidden="1" customHeight="1" x14ac:dyDescent="0.25">
      <c r="A272" s="298" t="s">
        <v>800</v>
      </c>
      <c r="B272" s="299" t="str">
        <f>'PLAN INDICATIVO'!B269</f>
        <v>Desarrollo Económico/Promoción del desarrollo</v>
      </c>
      <c r="C272" s="1547"/>
      <c r="D272" s="1549"/>
      <c r="E272" s="1549"/>
      <c r="F272" s="1549"/>
      <c r="G272" s="1549"/>
      <c r="H272" s="1549"/>
      <c r="I272" s="300">
        <f>'PLAN INDICATIVO'!I269</f>
        <v>0</v>
      </c>
      <c r="J272" s="300">
        <f>'PLAN INDICATIVO'!J269</f>
        <v>0</v>
      </c>
      <c r="K272" s="1425" t="str">
        <f>'PLAN INDICATIVO'!K269</f>
        <v>A.13.1.8</v>
      </c>
      <c r="L272" s="301" t="str">
        <f>'PLAN INDICATIVO'!L269</f>
        <v>8. Trabajo decente y crecimiento económico</v>
      </c>
      <c r="M272" s="301" t="str">
        <f>'PLAN INDICATIVO'!M269</f>
        <v>Secretaría de Gobierno</v>
      </c>
      <c r="N272" s="1425" t="s">
        <v>2791</v>
      </c>
      <c r="O272" s="1425" t="str">
        <f>'PLAN INDICATIVO'!O269</f>
        <v>Incremento</v>
      </c>
      <c r="P272" s="16" t="str">
        <f>'PLAN INDICATIVO'!P269</f>
        <v>Realizar 4 ruedas de negocio para mejorar comercialización de producción local, durante el cuatrienio</v>
      </c>
      <c r="Q272" s="302" t="str">
        <f>'PLAN INDICATIVO'!Q269</f>
        <v>No. De ruedas de negocios realizadas</v>
      </c>
      <c r="R272" s="303">
        <f>'PLAN INDICATIVO'!R269</f>
        <v>2015</v>
      </c>
      <c r="S272" s="304">
        <v>0</v>
      </c>
      <c r="T272" s="498">
        <v>4</v>
      </c>
      <c r="U272" s="303">
        <v>1</v>
      </c>
      <c r="V272" s="687">
        <v>1000000</v>
      </c>
      <c r="W272" s="572">
        <v>1</v>
      </c>
      <c r="X272" s="687">
        <v>500000</v>
      </c>
      <c r="Y272" s="572">
        <v>1</v>
      </c>
      <c r="Z272" s="687">
        <v>1000000</v>
      </c>
      <c r="AA272" s="572">
        <v>1</v>
      </c>
      <c r="AB272" s="687">
        <v>1000000</v>
      </c>
      <c r="AC272" s="665">
        <v>1</v>
      </c>
      <c r="AD272" s="665"/>
      <c r="AE272" s="665"/>
      <c r="AF272" s="665"/>
      <c r="AG272" s="306"/>
      <c r="AH272" s="307" t="s">
        <v>2866</v>
      </c>
      <c r="AI272" s="335">
        <v>47300</v>
      </c>
      <c r="AJ272" s="335">
        <v>37104</v>
      </c>
      <c r="AK272" s="308"/>
      <c r="AL272" s="308"/>
      <c r="AM272" s="267" t="s">
        <v>2598</v>
      </c>
      <c r="AN272" s="507">
        <v>2313</v>
      </c>
      <c r="AO272" s="525"/>
      <c r="AP272" s="310"/>
      <c r="AQ272" s="310"/>
      <c r="AR272" s="310"/>
      <c r="AS272" s="310"/>
      <c r="AT272" s="310"/>
      <c r="AU272" s="310"/>
      <c r="AV272" s="544">
        <f t="shared" si="127"/>
        <v>0</v>
      </c>
      <c r="AW272" s="525"/>
      <c r="AX272" s="310"/>
      <c r="AY272" s="310"/>
      <c r="AZ272" s="310"/>
      <c r="BA272" s="310"/>
      <c r="BB272" s="310"/>
      <c r="BC272" s="310"/>
      <c r="BD272" s="544">
        <f t="shared" si="128"/>
        <v>0</v>
      </c>
      <c r="BE272" s="525"/>
      <c r="BF272" s="310"/>
      <c r="BG272" s="310"/>
      <c r="BH272" s="310"/>
      <c r="BI272" s="310"/>
      <c r="BJ272" s="310"/>
      <c r="BK272" s="310"/>
      <c r="BL272" s="544">
        <f t="shared" si="129"/>
        <v>0</v>
      </c>
      <c r="BM272" s="525"/>
      <c r="BN272" s="310"/>
      <c r="BO272" s="310"/>
      <c r="BP272" s="310"/>
      <c r="BQ272" s="310"/>
      <c r="BR272" s="310"/>
      <c r="BS272" s="310"/>
      <c r="BT272" s="544">
        <f t="shared" si="130"/>
        <v>0</v>
      </c>
      <c r="BU272" s="556"/>
      <c r="BV272" s="663">
        <f t="shared" si="135"/>
        <v>1</v>
      </c>
      <c r="BW272" s="674">
        <f t="shared" si="136"/>
        <v>0.25</v>
      </c>
      <c r="BX272" s="674">
        <f t="shared" si="137"/>
        <v>1</v>
      </c>
      <c r="BY272" s="674">
        <f t="shared" si="138"/>
        <v>0</v>
      </c>
      <c r="BZ272" s="675">
        <f t="shared" si="139"/>
        <v>0</v>
      </c>
      <c r="CA272" s="675">
        <f t="shared" si="140"/>
        <v>0</v>
      </c>
    </row>
    <row r="273" spans="1:79" s="231" customFormat="1" ht="47.25" hidden="1" customHeight="1" x14ac:dyDescent="0.25">
      <c r="A273" s="354" t="s">
        <v>800</v>
      </c>
      <c r="B273" s="299" t="str">
        <f>'PLAN INDICATIVO'!B270</f>
        <v>Desarrollo Económico/Promoción del desarrollo</v>
      </c>
      <c r="C273" s="1599"/>
      <c r="D273" s="1601"/>
      <c r="E273" s="1601"/>
      <c r="F273" s="1601"/>
      <c r="G273" s="1601"/>
      <c r="H273" s="1601"/>
      <c r="I273" s="371">
        <f>'PLAN INDICATIVO'!I270</f>
        <v>0</v>
      </c>
      <c r="J273" s="371">
        <f>'PLAN INDICATIVO'!J270</f>
        <v>0</v>
      </c>
      <c r="K273" s="1432" t="str">
        <f>'PLAN INDICATIVO'!K270</f>
        <v>A.13.1.9</v>
      </c>
      <c r="L273" s="372" t="str">
        <f>'PLAN INDICATIVO'!L270</f>
        <v>8. Trabajo decente y crecimiento económico</v>
      </c>
      <c r="M273" s="372" t="str">
        <f>'PLAN INDICATIVO'!M270</f>
        <v>Secretaría de Gobierno</v>
      </c>
      <c r="N273" s="1425" t="s">
        <v>2791</v>
      </c>
      <c r="O273" s="1432" t="str">
        <f>'PLAN INDICATIVO'!O270</f>
        <v>Mantenimiento</v>
      </c>
      <c r="P273" s="71" t="str">
        <f>'PLAN INDICATIVO'!P270</f>
        <v>Realizar 3 eventos cada año para promoción y fomento empresarial</v>
      </c>
      <c r="Q273" s="302" t="str">
        <f>'PLAN INDICATIVO'!Q270</f>
        <v>No. De eventos realizados por año</v>
      </c>
      <c r="R273" s="303">
        <f>'PLAN INDICATIVO'!R270</f>
        <v>2015</v>
      </c>
      <c r="S273" s="304">
        <v>2</v>
      </c>
      <c r="T273" s="498">
        <v>12</v>
      </c>
      <c r="U273" s="303">
        <v>3</v>
      </c>
      <c r="V273" s="687">
        <v>10000000</v>
      </c>
      <c r="W273" s="572">
        <v>3</v>
      </c>
      <c r="X273" s="687">
        <v>10000000</v>
      </c>
      <c r="Y273" s="572">
        <v>3</v>
      </c>
      <c r="Z273" s="687">
        <v>10000000</v>
      </c>
      <c r="AA273" s="572">
        <v>3</v>
      </c>
      <c r="AB273" s="687">
        <v>10000000</v>
      </c>
      <c r="AC273" s="667">
        <v>3</v>
      </c>
      <c r="AD273" s="667"/>
      <c r="AE273" s="667"/>
      <c r="AF273" s="667"/>
      <c r="AG273" s="338"/>
      <c r="AH273" s="336" t="s">
        <v>2867</v>
      </c>
      <c r="AI273" s="335">
        <v>47119</v>
      </c>
      <c r="AJ273" s="335">
        <v>47727</v>
      </c>
      <c r="AK273" s="337"/>
      <c r="AL273" s="337"/>
      <c r="AM273" s="280" t="s">
        <v>2598</v>
      </c>
      <c r="AN273" s="507">
        <v>2313</v>
      </c>
      <c r="AO273" s="528"/>
      <c r="AP273" s="472"/>
      <c r="AQ273" s="472"/>
      <c r="AR273" s="472"/>
      <c r="AS273" s="472"/>
      <c r="AT273" s="472"/>
      <c r="AU273" s="472"/>
      <c r="AV273" s="544">
        <f t="shared" si="127"/>
        <v>0</v>
      </c>
      <c r="AW273" s="528"/>
      <c r="AX273" s="472"/>
      <c r="AY273" s="472"/>
      <c r="AZ273" s="472"/>
      <c r="BA273" s="472"/>
      <c r="BB273" s="472"/>
      <c r="BC273" s="472"/>
      <c r="BD273" s="544">
        <f t="shared" si="128"/>
        <v>0</v>
      </c>
      <c r="BE273" s="528"/>
      <c r="BF273" s="472"/>
      <c r="BG273" s="472"/>
      <c r="BH273" s="472"/>
      <c r="BI273" s="472"/>
      <c r="BJ273" s="472"/>
      <c r="BK273" s="472"/>
      <c r="BL273" s="544">
        <f t="shared" si="129"/>
        <v>0</v>
      </c>
      <c r="BM273" s="528"/>
      <c r="BN273" s="472"/>
      <c r="BO273" s="472"/>
      <c r="BP273" s="472"/>
      <c r="BQ273" s="472"/>
      <c r="BR273" s="472"/>
      <c r="BS273" s="472"/>
      <c r="BT273" s="544">
        <f t="shared" si="130"/>
        <v>0</v>
      </c>
      <c r="BU273" s="653"/>
      <c r="BV273" s="663">
        <f t="shared" si="135"/>
        <v>3</v>
      </c>
      <c r="BW273" s="674">
        <f t="shared" si="136"/>
        <v>0.25</v>
      </c>
      <c r="BX273" s="674">
        <f t="shared" si="137"/>
        <v>1</v>
      </c>
      <c r="BY273" s="674">
        <f t="shared" si="138"/>
        <v>0</v>
      </c>
      <c r="BZ273" s="675">
        <f t="shared" si="139"/>
        <v>0</v>
      </c>
      <c r="CA273" s="675">
        <f t="shared" si="140"/>
        <v>0</v>
      </c>
    </row>
    <row r="274" spans="1:79" s="231" customFormat="1" ht="76.5" hidden="1" x14ac:dyDescent="0.25">
      <c r="A274" s="354" t="s">
        <v>800</v>
      </c>
      <c r="B274" s="299" t="str">
        <f>'PLAN INDICATIVO'!B271</f>
        <v>Desarrollo Económico/Promoción del desarrollo</v>
      </c>
      <c r="C274" s="1599"/>
      <c r="D274" s="1601"/>
      <c r="E274" s="1601"/>
      <c r="F274" s="1601"/>
      <c r="G274" s="1601"/>
      <c r="H274" s="1601"/>
      <c r="I274" s="371">
        <f>'PLAN INDICATIVO'!I271</f>
        <v>0</v>
      </c>
      <c r="J274" s="371">
        <f>'PLAN INDICATIVO'!J271</f>
        <v>0</v>
      </c>
      <c r="K274" s="1432" t="str">
        <f>'PLAN INDICATIVO'!K271</f>
        <v>A.13.1.10</v>
      </c>
      <c r="L274" s="372" t="str">
        <f>'PLAN INDICATIVO'!L271</f>
        <v>8. Trabajo decente y crecimiento económico</v>
      </c>
      <c r="M274" s="372" t="str">
        <f>'PLAN INDICATIVO'!M271</f>
        <v>Secretaría de Gobierno</v>
      </c>
      <c r="N274" s="1425" t="s">
        <v>2791</v>
      </c>
      <c r="O274" s="1432" t="str">
        <f>'PLAN INDICATIVO'!O271</f>
        <v>Incremento</v>
      </c>
      <c r="P274" s="71" t="str">
        <f>'PLAN INDICATIVO'!P271</f>
        <v>Implementar 1 programa de formación para el empleo cada año</v>
      </c>
      <c r="Q274" s="302" t="str">
        <f>'PLAN INDICATIVO'!Q271</f>
        <v>No. De Programa implementado por año</v>
      </c>
      <c r="R274" s="303">
        <f>'PLAN INDICATIVO'!R271</f>
        <v>2015</v>
      </c>
      <c r="S274" s="304">
        <v>1</v>
      </c>
      <c r="T274" s="498">
        <v>4</v>
      </c>
      <c r="U274" s="303">
        <v>1</v>
      </c>
      <c r="V274" s="687">
        <v>1000000</v>
      </c>
      <c r="W274" s="572">
        <v>1</v>
      </c>
      <c r="X274" s="687">
        <v>500000</v>
      </c>
      <c r="Y274" s="572">
        <v>1</v>
      </c>
      <c r="Z274" s="687">
        <v>1000000</v>
      </c>
      <c r="AA274" s="572">
        <v>1</v>
      </c>
      <c r="AB274" s="687">
        <v>1000000</v>
      </c>
      <c r="AC274" s="667">
        <v>0</v>
      </c>
      <c r="AD274" s="667"/>
      <c r="AE274" s="667"/>
      <c r="AF274" s="667"/>
      <c r="AG274" s="338"/>
      <c r="AH274" s="336"/>
      <c r="AI274" s="337"/>
      <c r="AJ274" s="337"/>
      <c r="AK274" s="337"/>
      <c r="AL274" s="337"/>
      <c r="AM274" s="280" t="s">
        <v>2600</v>
      </c>
      <c r="AN274" s="510"/>
      <c r="AO274" s="528"/>
      <c r="AP274" s="472"/>
      <c r="AQ274" s="472"/>
      <c r="AR274" s="472"/>
      <c r="AS274" s="472"/>
      <c r="AT274" s="472"/>
      <c r="AU274" s="472"/>
      <c r="AV274" s="544">
        <f t="shared" si="127"/>
        <v>0</v>
      </c>
      <c r="AW274" s="528"/>
      <c r="AX274" s="472"/>
      <c r="AY274" s="472"/>
      <c r="AZ274" s="472"/>
      <c r="BA274" s="472"/>
      <c r="BB274" s="472"/>
      <c r="BC274" s="472"/>
      <c r="BD274" s="544">
        <f t="shared" si="128"/>
        <v>0</v>
      </c>
      <c r="BE274" s="528"/>
      <c r="BF274" s="472"/>
      <c r="BG274" s="472"/>
      <c r="BH274" s="472"/>
      <c r="BI274" s="472"/>
      <c r="BJ274" s="472"/>
      <c r="BK274" s="472"/>
      <c r="BL274" s="544">
        <f t="shared" si="129"/>
        <v>0</v>
      </c>
      <c r="BM274" s="528"/>
      <c r="BN274" s="472"/>
      <c r="BO274" s="472"/>
      <c r="BP274" s="472"/>
      <c r="BQ274" s="472"/>
      <c r="BR274" s="472"/>
      <c r="BS274" s="472"/>
      <c r="BT274" s="544">
        <f t="shared" si="130"/>
        <v>0</v>
      </c>
      <c r="BU274" s="653"/>
      <c r="BV274" s="663">
        <f t="shared" si="135"/>
        <v>0</v>
      </c>
      <c r="BW274" s="674">
        <f t="shared" si="136"/>
        <v>0</v>
      </c>
      <c r="BX274" s="674">
        <f t="shared" si="137"/>
        <v>0</v>
      </c>
      <c r="BY274" s="674">
        <f t="shared" si="138"/>
        <v>0</v>
      </c>
      <c r="BZ274" s="675">
        <f t="shared" si="139"/>
        <v>0</v>
      </c>
      <c r="CA274" s="675">
        <f t="shared" si="140"/>
        <v>0</v>
      </c>
    </row>
    <row r="275" spans="1:79" ht="63.75" hidden="1" x14ac:dyDescent="0.25">
      <c r="A275" s="298" t="s">
        <v>800</v>
      </c>
      <c r="B275" s="299" t="str">
        <f>'PLAN INDICATIVO'!B272</f>
        <v>Desarrollo Económico/Promoción del desarrollo</v>
      </c>
      <c r="C275" s="1548"/>
      <c r="D275" s="1549"/>
      <c r="E275" s="1549"/>
      <c r="F275" s="1549"/>
      <c r="G275" s="1549"/>
      <c r="H275" s="1549"/>
      <c r="I275" s="300">
        <f>'PLAN INDICATIVO'!I272</f>
        <v>0</v>
      </c>
      <c r="J275" s="300">
        <f>'PLAN INDICATIVO'!J272</f>
        <v>0</v>
      </c>
      <c r="K275" s="1425" t="str">
        <f>'PLAN INDICATIVO'!K272</f>
        <v>A.13.1.11</v>
      </c>
      <c r="L275" s="301" t="str">
        <f>'PLAN INDICATIVO'!L272</f>
        <v>8. Trabajo decente y crecimiento económico</v>
      </c>
      <c r="M275" s="301" t="str">
        <f>'PLAN INDICATIVO'!M272</f>
        <v>Secretaría de Gobierno</v>
      </c>
      <c r="N275" s="1425" t="s">
        <v>2791</v>
      </c>
      <c r="O275" s="1425" t="str">
        <f>'PLAN INDICATIVO'!O272</f>
        <v>Mantenimiento</v>
      </c>
      <c r="P275" s="16" t="str">
        <f>'PLAN INDICATIVO'!P272</f>
        <v>Implementar 1 programa para generación de empleo cada año</v>
      </c>
      <c r="Q275" s="302" t="str">
        <f>'PLAN INDICATIVO'!Q272</f>
        <v>Programa implementado por año</v>
      </c>
      <c r="R275" s="303">
        <f>'PLAN INDICATIVO'!R272</f>
        <v>2015</v>
      </c>
      <c r="S275" s="304">
        <v>1</v>
      </c>
      <c r="T275" s="498">
        <v>1</v>
      </c>
      <c r="U275" s="303">
        <v>1</v>
      </c>
      <c r="V275" s="687">
        <v>1000000</v>
      </c>
      <c r="W275" s="572">
        <v>1</v>
      </c>
      <c r="X275" s="687">
        <v>500000</v>
      </c>
      <c r="Y275" s="572">
        <v>1</v>
      </c>
      <c r="Z275" s="687">
        <v>5000000</v>
      </c>
      <c r="AA275" s="572">
        <v>1</v>
      </c>
      <c r="AB275" s="687">
        <v>3000000</v>
      </c>
      <c r="AC275" s="665"/>
      <c r="AD275" s="665"/>
      <c r="AE275" s="665"/>
      <c r="AF275" s="665"/>
      <c r="AG275" s="306"/>
      <c r="AH275" s="307" t="s">
        <v>2868</v>
      </c>
      <c r="AI275" s="308"/>
      <c r="AJ275" s="308"/>
      <c r="AK275" s="308"/>
      <c r="AL275" s="308"/>
      <c r="AM275" s="281" t="s">
        <v>2600</v>
      </c>
      <c r="AN275" s="507">
        <v>2313</v>
      </c>
      <c r="AO275" s="525"/>
      <c r="AP275" s="310"/>
      <c r="AQ275" s="310"/>
      <c r="AR275" s="310"/>
      <c r="AS275" s="310"/>
      <c r="AT275" s="310"/>
      <c r="AU275" s="310"/>
      <c r="AV275" s="544">
        <f t="shared" si="127"/>
        <v>0</v>
      </c>
      <c r="AW275" s="525"/>
      <c r="AX275" s="310"/>
      <c r="AY275" s="310"/>
      <c r="AZ275" s="310"/>
      <c r="BA275" s="310"/>
      <c r="BB275" s="310"/>
      <c r="BC275" s="310"/>
      <c r="BD275" s="544">
        <f t="shared" si="128"/>
        <v>0</v>
      </c>
      <c r="BE275" s="525"/>
      <c r="BF275" s="310"/>
      <c r="BG275" s="310"/>
      <c r="BH275" s="310"/>
      <c r="BI275" s="310"/>
      <c r="BJ275" s="310"/>
      <c r="BK275" s="310"/>
      <c r="BL275" s="544">
        <f t="shared" si="129"/>
        <v>0</v>
      </c>
      <c r="BM275" s="525"/>
      <c r="BN275" s="310"/>
      <c r="BO275" s="310"/>
      <c r="BP275" s="310"/>
      <c r="BQ275" s="310"/>
      <c r="BR275" s="310"/>
      <c r="BS275" s="310"/>
      <c r="BT275" s="544">
        <f t="shared" si="130"/>
        <v>0</v>
      </c>
      <c r="BU275" s="556"/>
      <c r="BV275" s="663">
        <f t="shared" si="135"/>
        <v>0</v>
      </c>
      <c r="BW275" s="674">
        <f t="shared" si="136"/>
        <v>0</v>
      </c>
      <c r="BX275" s="674">
        <f t="shared" si="137"/>
        <v>0</v>
      </c>
      <c r="BY275" s="674">
        <f t="shared" si="138"/>
        <v>0</v>
      </c>
      <c r="BZ275" s="675">
        <f t="shared" si="139"/>
        <v>0</v>
      </c>
      <c r="CA275" s="675">
        <f t="shared" si="140"/>
        <v>0</v>
      </c>
    </row>
    <row r="276" spans="1:79" ht="25.5" hidden="1" x14ac:dyDescent="0.25">
      <c r="A276" s="295" t="s">
        <v>800</v>
      </c>
      <c r="B276" s="24" t="str">
        <f>'PLAN INDICATIVO'!B273</f>
        <v>Promoción del desarrollo</v>
      </c>
      <c r="C276" s="1574" t="s">
        <v>839</v>
      </c>
      <c r="D276" s="1575"/>
      <c r="E276" s="1575"/>
      <c r="F276" s="1575"/>
      <c r="G276" s="1575"/>
      <c r="H276" s="1575"/>
      <c r="I276" s="1575"/>
      <c r="J276" s="1575"/>
      <c r="K276" s="1575"/>
      <c r="L276" s="1575"/>
      <c r="M276" s="1575"/>
      <c r="N276" s="1575"/>
      <c r="O276" s="1576"/>
      <c r="P276" s="22"/>
      <c r="Q276" s="22"/>
      <c r="R276" s="1"/>
      <c r="S276" s="261"/>
      <c r="T276" s="681"/>
      <c r="U276" s="261"/>
      <c r="V276" s="689">
        <f>SUM(V277:V288)</f>
        <v>7000000</v>
      </c>
      <c r="W276" s="261"/>
      <c r="X276" s="689">
        <f>SUM(X277:X288)</f>
        <v>10000000</v>
      </c>
      <c r="Y276" s="261"/>
      <c r="Z276" s="689">
        <f>SUM(Z277:Z288)</f>
        <v>14500000</v>
      </c>
      <c r="AA276" s="262"/>
      <c r="AB276" s="690">
        <f>SUM(AB277:AB288)</f>
        <v>15000000</v>
      </c>
      <c r="AC276" s="262"/>
      <c r="AD276" s="262"/>
      <c r="AE276" s="262"/>
      <c r="AF276" s="262"/>
      <c r="AG276" s="263"/>
      <c r="AH276" s="263"/>
      <c r="AI276" s="262"/>
      <c r="AJ276" s="262"/>
      <c r="AK276" s="262"/>
      <c r="AL276" s="262"/>
      <c r="AM276" s="262"/>
      <c r="AN276" s="612"/>
      <c r="AO276" s="616" t="e">
        <f>(AO277:AO288)</f>
        <v>#VALUE!</v>
      </c>
      <c r="AP276" s="616" t="e">
        <f t="shared" ref="AP276:AU276" si="141">(AP277:AP288)</f>
        <v>#VALUE!</v>
      </c>
      <c r="AQ276" s="616" t="e">
        <f t="shared" si="141"/>
        <v>#VALUE!</v>
      </c>
      <c r="AR276" s="616" t="e">
        <f t="shared" si="141"/>
        <v>#VALUE!</v>
      </c>
      <c r="AS276" s="616" t="e">
        <f t="shared" si="141"/>
        <v>#VALUE!</v>
      </c>
      <c r="AT276" s="616" t="e">
        <f t="shared" si="141"/>
        <v>#VALUE!</v>
      </c>
      <c r="AU276" s="616" t="e">
        <f t="shared" si="141"/>
        <v>#VALUE!</v>
      </c>
      <c r="AV276" s="617" t="e">
        <f t="shared" si="127"/>
        <v>#VALUE!</v>
      </c>
      <c r="AW276" s="616" t="e">
        <f t="shared" ref="AW276:BC276" si="142">(AW277:AW288)</f>
        <v>#VALUE!</v>
      </c>
      <c r="AX276" s="616" t="e">
        <f t="shared" si="142"/>
        <v>#VALUE!</v>
      </c>
      <c r="AY276" s="616" t="e">
        <f t="shared" si="142"/>
        <v>#VALUE!</v>
      </c>
      <c r="AZ276" s="616" t="e">
        <f t="shared" si="142"/>
        <v>#VALUE!</v>
      </c>
      <c r="BA276" s="616" t="e">
        <f t="shared" si="142"/>
        <v>#VALUE!</v>
      </c>
      <c r="BB276" s="616" t="e">
        <f t="shared" si="142"/>
        <v>#VALUE!</v>
      </c>
      <c r="BC276" s="616" t="e">
        <f t="shared" si="142"/>
        <v>#VALUE!</v>
      </c>
      <c r="BD276" s="617" t="e">
        <f t="shared" si="128"/>
        <v>#VALUE!</v>
      </c>
      <c r="BE276" s="616" t="e">
        <f t="shared" ref="BE276:BK276" si="143">(BE277:BE288)</f>
        <v>#VALUE!</v>
      </c>
      <c r="BF276" s="616" t="e">
        <f t="shared" si="143"/>
        <v>#VALUE!</v>
      </c>
      <c r="BG276" s="616" t="e">
        <f t="shared" si="143"/>
        <v>#VALUE!</v>
      </c>
      <c r="BH276" s="616" t="e">
        <f t="shared" si="143"/>
        <v>#VALUE!</v>
      </c>
      <c r="BI276" s="616" t="e">
        <f t="shared" si="143"/>
        <v>#VALUE!</v>
      </c>
      <c r="BJ276" s="616" t="e">
        <f t="shared" si="143"/>
        <v>#VALUE!</v>
      </c>
      <c r="BK276" s="616" t="e">
        <f t="shared" si="143"/>
        <v>#VALUE!</v>
      </c>
      <c r="BL276" s="617" t="e">
        <f t="shared" si="129"/>
        <v>#VALUE!</v>
      </c>
      <c r="BM276" s="616" t="e">
        <f t="shared" ref="BM276:BS276" si="144">(BM277:BM288)</f>
        <v>#VALUE!</v>
      </c>
      <c r="BN276" s="616" t="e">
        <f t="shared" si="144"/>
        <v>#VALUE!</v>
      </c>
      <c r="BO276" s="616" t="e">
        <f t="shared" si="144"/>
        <v>#VALUE!</v>
      </c>
      <c r="BP276" s="616" t="e">
        <f t="shared" si="144"/>
        <v>#VALUE!</v>
      </c>
      <c r="BQ276" s="616" t="e">
        <f t="shared" si="144"/>
        <v>#VALUE!</v>
      </c>
      <c r="BR276" s="616" t="e">
        <f t="shared" si="144"/>
        <v>#VALUE!</v>
      </c>
      <c r="BS276" s="616" t="e">
        <f t="shared" si="144"/>
        <v>#VALUE!</v>
      </c>
      <c r="BT276" s="617" t="e">
        <f t="shared" si="130"/>
        <v>#VALUE!</v>
      </c>
      <c r="BU276" s="556"/>
      <c r="BV276" s="663">
        <f t="shared" si="135"/>
        <v>0</v>
      </c>
      <c r="BW276" s="674" t="e">
        <f t="shared" si="136"/>
        <v>#DIV/0!</v>
      </c>
      <c r="BX276" s="674" t="e">
        <f t="shared" si="137"/>
        <v>#DIV/0!</v>
      </c>
      <c r="BY276" s="674" t="e">
        <f t="shared" si="138"/>
        <v>#DIV/0!</v>
      </c>
      <c r="BZ276" s="675" t="e">
        <f t="shared" si="139"/>
        <v>#DIV/0!</v>
      </c>
      <c r="CA276" s="675" t="e">
        <f t="shared" si="140"/>
        <v>#DIV/0!</v>
      </c>
    </row>
    <row r="277" spans="1:79" ht="47.25" hidden="1" customHeight="1" x14ac:dyDescent="0.25">
      <c r="A277" s="298" t="s">
        <v>800</v>
      </c>
      <c r="B277" s="299" t="str">
        <f>'PLAN INDICATIVO'!B274</f>
        <v>Desarrollo Económico/Promoción del desarrollo</v>
      </c>
      <c r="C277" s="1546" t="s">
        <v>840</v>
      </c>
      <c r="D277" s="1549" t="s">
        <v>841</v>
      </c>
      <c r="E277" s="1549" t="s">
        <v>842</v>
      </c>
      <c r="F277" s="1549">
        <v>2015</v>
      </c>
      <c r="G277" s="1562">
        <v>20000</v>
      </c>
      <c r="H277" s="1562">
        <v>22000</v>
      </c>
      <c r="I277" s="300">
        <f>'PLAN INDICATIVO'!I274</f>
        <v>0</v>
      </c>
      <c r="J277" s="300">
        <f>'PLAN INDICATIVO'!J274</f>
        <v>0</v>
      </c>
      <c r="K277" s="1428" t="str">
        <f>'PLAN INDICATIVO'!K274</f>
        <v>A.13.2.1</v>
      </c>
      <c r="L277" s="301" t="str">
        <f>'PLAN INDICATIVO'!L274</f>
        <v>8. Trabajo decente y crecimiento económico</v>
      </c>
      <c r="M277" s="301" t="str">
        <f>'PLAN INDICATIVO'!M274</f>
        <v>Secretaría de Educación, Cultura, deporte y Turismo</v>
      </c>
      <c r="N277" s="1425" t="str">
        <f>'PLAN INDICATIVO'!N274</f>
        <v>YIMI FERNANDO LOSADA PAYA</v>
      </c>
      <c r="O277" s="1425" t="str">
        <f>'PLAN INDICATIVO'!O274</f>
        <v>Incremento</v>
      </c>
      <c r="P277" s="16" t="str">
        <f>'PLAN INDICATIVO'!P274</f>
        <v>Crear 1 plan estratégico de  turismo para el Municipio de la Plata, durante el cuatrienio</v>
      </c>
      <c r="Q277" s="302" t="str">
        <f>'PLAN INDICATIVO'!Q274</f>
        <v>No. De planes estratégicos creados</v>
      </c>
      <c r="R277" s="303">
        <f>'PLAN INDICATIVO'!R274</f>
        <v>2015</v>
      </c>
      <c r="S277" s="304">
        <v>0</v>
      </c>
      <c r="T277" s="498">
        <v>1</v>
      </c>
      <c r="U277" s="303">
        <v>0</v>
      </c>
      <c r="V277" s="687"/>
      <c r="W277" s="572">
        <v>0</v>
      </c>
      <c r="X277" s="687"/>
      <c r="Y277" s="572">
        <v>1</v>
      </c>
      <c r="Z277" s="687">
        <v>500000</v>
      </c>
      <c r="AA277" s="572">
        <v>1</v>
      </c>
      <c r="AB277" s="687">
        <v>500000</v>
      </c>
      <c r="AC277" s="665"/>
      <c r="AD277" s="665"/>
      <c r="AE277" s="665"/>
      <c r="AF277" s="665"/>
      <c r="AG277" s="266"/>
      <c r="AH277" s="307"/>
      <c r="AI277" s="308"/>
      <c r="AJ277" s="308"/>
      <c r="AK277" s="308"/>
      <c r="AL277" s="308"/>
      <c r="AM277" s="267" t="s">
        <v>2594</v>
      </c>
      <c r="AN277" s="507"/>
      <c r="AO277" s="525"/>
      <c r="AP277" s="310"/>
      <c r="AQ277" s="310"/>
      <c r="AR277" s="310"/>
      <c r="AS277" s="310"/>
      <c r="AT277" s="310"/>
      <c r="AU277" s="310"/>
      <c r="AV277" s="544">
        <f t="shared" si="127"/>
        <v>0</v>
      </c>
      <c r="AW277" s="525"/>
      <c r="AX277" s="310"/>
      <c r="AY277" s="310"/>
      <c r="AZ277" s="310"/>
      <c r="BA277" s="310"/>
      <c r="BB277" s="310"/>
      <c r="BC277" s="310"/>
      <c r="BD277" s="544">
        <f t="shared" si="128"/>
        <v>0</v>
      </c>
      <c r="BE277" s="525"/>
      <c r="BF277" s="310"/>
      <c r="BG277" s="310"/>
      <c r="BH277" s="310"/>
      <c r="BI277" s="310"/>
      <c r="BJ277" s="310"/>
      <c r="BK277" s="310"/>
      <c r="BL277" s="544">
        <f t="shared" si="129"/>
        <v>0</v>
      </c>
      <c r="BM277" s="525"/>
      <c r="BN277" s="310"/>
      <c r="BO277" s="310"/>
      <c r="BP277" s="310"/>
      <c r="BQ277" s="310"/>
      <c r="BR277" s="310"/>
      <c r="BS277" s="310"/>
      <c r="BT277" s="544">
        <f t="shared" si="130"/>
        <v>0</v>
      </c>
      <c r="BU277" s="556"/>
      <c r="BV277" s="663">
        <f t="shared" si="135"/>
        <v>0</v>
      </c>
      <c r="BW277" s="674">
        <f t="shared" si="136"/>
        <v>0</v>
      </c>
      <c r="BX277" s="674" t="e">
        <f t="shared" si="137"/>
        <v>#DIV/0!</v>
      </c>
      <c r="BY277" s="674" t="e">
        <f t="shared" si="138"/>
        <v>#DIV/0!</v>
      </c>
      <c r="BZ277" s="675">
        <f t="shared" si="139"/>
        <v>0</v>
      </c>
      <c r="CA277" s="675">
        <f t="shared" si="140"/>
        <v>0</v>
      </c>
    </row>
    <row r="278" spans="1:79" ht="75.75" hidden="1" customHeight="1" x14ac:dyDescent="0.25">
      <c r="A278" s="298" t="s">
        <v>800</v>
      </c>
      <c r="B278" s="299" t="str">
        <f>'PLAN INDICATIVO'!B275</f>
        <v>Desarrollo Económico/Promoción del desarrollo</v>
      </c>
      <c r="C278" s="1547"/>
      <c r="D278" s="1549"/>
      <c r="E278" s="1549"/>
      <c r="F278" s="1549"/>
      <c r="G278" s="1549"/>
      <c r="H278" s="1549"/>
      <c r="I278" s="300">
        <f>'PLAN INDICATIVO'!I275</f>
        <v>0</v>
      </c>
      <c r="J278" s="300">
        <f>'PLAN INDICATIVO'!J275</f>
        <v>0</v>
      </c>
      <c r="K278" s="1428" t="str">
        <f>'PLAN INDICATIVO'!K275</f>
        <v>A.13.2.2</v>
      </c>
      <c r="L278" s="301" t="str">
        <f>'PLAN INDICATIVO'!L275</f>
        <v>8. Trabajo decente y crecimiento económico</v>
      </c>
      <c r="M278" s="301" t="str">
        <f>'PLAN INDICATIVO'!M275</f>
        <v>Secretaría de Educación, Cultura, deporte y Turismo</v>
      </c>
      <c r="N278" s="1425" t="str">
        <f>'PLAN INDICATIVO'!N275</f>
        <v>YIMI FERNANDO LOSADA PAYA</v>
      </c>
      <c r="O278" s="1425" t="str">
        <f>'PLAN INDICATIVO'!O275</f>
        <v>Incremento</v>
      </c>
      <c r="P278" s="16" t="str">
        <f>'PLAN INDICATIVO'!P275</f>
        <v>Realizar 8 capacitaciones durante el cuatrienio, en temas de interés para el fortalecimiento del sector del turismo</v>
      </c>
      <c r="Q278" s="302" t="str">
        <f>'PLAN INDICATIVO'!Q275</f>
        <v>No. De capacitaciones realizadas</v>
      </c>
      <c r="R278" s="303">
        <f>'PLAN INDICATIVO'!R275</f>
        <v>2015</v>
      </c>
      <c r="S278" s="304">
        <v>0</v>
      </c>
      <c r="T278" s="498">
        <v>8</v>
      </c>
      <c r="U278" s="303">
        <v>1</v>
      </c>
      <c r="V278" s="687"/>
      <c r="W278" s="572">
        <v>2</v>
      </c>
      <c r="X278" s="687">
        <v>5000000</v>
      </c>
      <c r="Y278" s="572">
        <v>3</v>
      </c>
      <c r="Z278" s="687">
        <v>5000000</v>
      </c>
      <c r="AA278" s="572">
        <v>2</v>
      </c>
      <c r="AB278" s="687">
        <v>5000000</v>
      </c>
      <c r="AC278" s="665">
        <v>1</v>
      </c>
      <c r="AD278" s="665"/>
      <c r="AE278" s="665"/>
      <c r="AF278" s="665"/>
      <c r="AG278" s="306" t="s">
        <v>2869</v>
      </c>
      <c r="AH278" s="307" t="s">
        <v>2870</v>
      </c>
      <c r="AI278" s="309">
        <v>42552</v>
      </c>
      <c r="AJ278" s="309">
        <v>42735</v>
      </c>
      <c r="AK278" s="308"/>
      <c r="AL278" s="308"/>
      <c r="AM278" s="267" t="s">
        <v>2598</v>
      </c>
      <c r="AN278" s="507" t="s">
        <v>2871</v>
      </c>
      <c r="AO278" s="525">
        <v>2000000</v>
      </c>
      <c r="AP278" s="310"/>
      <c r="AQ278" s="310"/>
      <c r="AR278" s="310"/>
      <c r="AS278" s="310"/>
      <c r="AT278" s="310"/>
      <c r="AU278" s="310"/>
      <c r="AV278" s="544">
        <f t="shared" si="127"/>
        <v>2000000</v>
      </c>
      <c r="AW278" s="525"/>
      <c r="AX278" s="310"/>
      <c r="AY278" s="310"/>
      <c r="AZ278" s="310"/>
      <c r="BA278" s="310"/>
      <c r="BB278" s="310"/>
      <c r="BC278" s="310"/>
      <c r="BD278" s="544">
        <f t="shared" si="128"/>
        <v>0</v>
      </c>
      <c r="BE278" s="525"/>
      <c r="BF278" s="310"/>
      <c r="BG278" s="310"/>
      <c r="BH278" s="310"/>
      <c r="BI278" s="310"/>
      <c r="BJ278" s="310"/>
      <c r="BK278" s="310"/>
      <c r="BL278" s="544">
        <f t="shared" si="129"/>
        <v>0</v>
      </c>
      <c r="BM278" s="525"/>
      <c r="BN278" s="310"/>
      <c r="BO278" s="310"/>
      <c r="BP278" s="310"/>
      <c r="BQ278" s="310"/>
      <c r="BR278" s="310"/>
      <c r="BS278" s="310"/>
      <c r="BT278" s="544">
        <f t="shared" si="130"/>
        <v>0</v>
      </c>
      <c r="BU278" s="556"/>
      <c r="BV278" s="663">
        <f t="shared" si="135"/>
        <v>1</v>
      </c>
      <c r="BW278" s="674">
        <f t="shared" si="136"/>
        <v>0.125</v>
      </c>
      <c r="BX278" s="674">
        <f t="shared" si="137"/>
        <v>1</v>
      </c>
      <c r="BY278" s="674">
        <f t="shared" si="138"/>
        <v>0</v>
      </c>
      <c r="BZ278" s="675">
        <f t="shared" si="139"/>
        <v>0</v>
      </c>
      <c r="CA278" s="675">
        <f t="shared" si="140"/>
        <v>0</v>
      </c>
    </row>
    <row r="279" spans="1:79" ht="88.5" hidden="1" customHeight="1" x14ac:dyDescent="0.25">
      <c r="A279" s="298" t="s">
        <v>800</v>
      </c>
      <c r="B279" s="299" t="str">
        <f>'PLAN INDICATIVO'!B276</f>
        <v>Desarrollo Económico/Promoción del desarrollo</v>
      </c>
      <c r="C279" s="1547"/>
      <c r="D279" s="1549"/>
      <c r="E279" s="1549"/>
      <c r="F279" s="1549"/>
      <c r="G279" s="1549"/>
      <c r="H279" s="1549"/>
      <c r="I279" s="300">
        <f>'PLAN INDICATIVO'!I276</f>
        <v>0</v>
      </c>
      <c r="J279" s="300">
        <f>'PLAN INDICATIVO'!J276</f>
        <v>0</v>
      </c>
      <c r="K279" s="1428" t="str">
        <f>'PLAN INDICATIVO'!K276</f>
        <v>A.13.2.3</v>
      </c>
      <c r="L279" s="301" t="str">
        <f>'PLAN INDICATIVO'!L276</f>
        <v>8. Trabajo decente y crecimiento económico</v>
      </c>
      <c r="M279" s="301" t="str">
        <f>'PLAN INDICATIVO'!M276</f>
        <v>Secretaría de Educación, Cultura, deporte y Turismo</v>
      </c>
      <c r="N279" s="1425" t="str">
        <f>'PLAN INDICATIVO'!N276</f>
        <v>YIMI FERNANDO LOSADA PAYA</v>
      </c>
      <c r="O279" s="1425" t="str">
        <f>'PLAN INDICATIVO'!O276</f>
        <v>Incremento</v>
      </c>
      <c r="P279" s="16" t="str">
        <f>'PLAN INDICATIVO'!P276</f>
        <v>Buscar una alternativa para ofertar líneas de crédito blando con bajas tasas de interés dirigidas al mejoramiento de la planta turística, durante el cuatrienio.</v>
      </c>
      <c r="Q279" s="302" t="str">
        <f>'PLAN INDICATIVO'!Q276</f>
        <v>No. De alternativas para líneas de crédito gestionadas</v>
      </c>
      <c r="R279" s="303">
        <f>'PLAN INDICATIVO'!R276</f>
        <v>2015</v>
      </c>
      <c r="S279" s="304">
        <v>0</v>
      </c>
      <c r="T279" s="498">
        <v>2</v>
      </c>
      <c r="U279" s="303">
        <v>0</v>
      </c>
      <c r="V279" s="687"/>
      <c r="W279" s="572">
        <v>0</v>
      </c>
      <c r="X279" s="687"/>
      <c r="Y279" s="572">
        <v>1</v>
      </c>
      <c r="Z279" s="687">
        <v>500000</v>
      </c>
      <c r="AA279" s="572">
        <v>1</v>
      </c>
      <c r="AB279" s="687">
        <v>500000</v>
      </c>
      <c r="AC279" s="665"/>
      <c r="AD279" s="665"/>
      <c r="AE279" s="665"/>
      <c r="AF279" s="665"/>
      <c r="AG279" s="266"/>
      <c r="AH279" s="307"/>
      <c r="AI279" s="308"/>
      <c r="AJ279" s="308"/>
      <c r="AK279" s="308"/>
      <c r="AL279" s="308"/>
      <c r="AM279" s="267" t="s">
        <v>2594</v>
      </c>
      <c r="AN279" s="507"/>
      <c r="AO279" s="525"/>
      <c r="AP279" s="310"/>
      <c r="AQ279" s="310"/>
      <c r="AR279" s="310"/>
      <c r="AS279" s="310"/>
      <c r="AT279" s="310"/>
      <c r="AU279" s="310"/>
      <c r="AV279" s="544">
        <f t="shared" si="127"/>
        <v>0</v>
      </c>
      <c r="AW279" s="525"/>
      <c r="AX279" s="310"/>
      <c r="AY279" s="310"/>
      <c r="AZ279" s="310"/>
      <c r="BA279" s="310"/>
      <c r="BB279" s="310"/>
      <c r="BC279" s="310"/>
      <c r="BD279" s="544">
        <f t="shared" si="128"/>
        <v>0</v>
      </c>
      <c r="BE279" s="525"/>
      <c r="BF279" s="310"/>
      <c r="BG279" s="310"/>
      <c r="BH279" s="310"/>
      <c r="BI279" s="310"/>
      <c r="BJ279" s="310"/>
      <c r="BK279" s="310"/>
      <c r="BL279" s="544">
        <f t="shared" si="129"/>
        <v>0</v>
      </c>
      <c r="BM279" s="525"/>
      <c r="BN279" s="310"/>
      <c r="BO279" s="310"/>
      <c r="BP279" s="310"/>
      <c r="BQ279" s="310"/>
      <c r="BR279" s="310"/>
      <c r="BS279" s="310"/>
      <c r="BT279" s="544">
        <f t="shared" si="130"/>
        <v>0</v>
      </c>
      <c r="BU279" s="556"/>
      <c r="BV279" s="663">
        <f t="shared" si="135"/>
        <v>0</v>
      </c>
      <c r="BW279" s="674">
        <f t="shared" si="136"/>
        <v>0</v>
      </c>
      <c r="BX279" s="674" t="e">
        <f t="shared" si="137"/>
        <v>#DIV/0!</v>
      </c>
      <c r="BY279" s="674" t="e">
        <f t="shared" si="138"/>
        <v>#DIV/0!</v>
      </c>
      <c r="BZ279" s="675">
        <f t="shared" si="139"/>
        <v>0</v>
      </c>
      <c r="CA279" s="675">
        <f t="shared" si="140"/>
        <v>0</v>
      </c>
    </row>
    <row r="280" spans="1:79" ht="54.75" hidden="1" customHeight="1" x14ac:dyDescent="0.25">
      <c r="A280" s="298" t="s">
        <v>800</v>
      </c>
      <c r="B280" s="299" t="str">
        <f>'PLAN INDICATIVO'!B277</f>
        <v>Desarrollo Económico/Promoción del desarrollo</v>
      </c>
      <c r="C280" s="1547"/>
      <c r="D280" s="1549"/>
      <c r="E280" s="1549"/>
      <c r="F280" s="1549"/>
      <c r="G280" s="1549"/>
      <c r="H280" s="1549"/>
      <c r="I280" s="300">
        <f>'PLAN INDICATIVO'!I277</f>
        <v>0</v>
      </c>
      <c r="J280" s="300">
        <f>'PLAN INDICATIVO'!J277</f>
        <v>0</v>
      </c>
      <c r="K280" s="1428" t="str">
        <f>'PLAN INDICATIVO'!K277</f>
        <v>A.13.2.4</v>
      </c>
      <c r="L280" s="301" t="str">
        <f>'PLAN INDICATIVO'!L277</f>
        <v>8. Trabajo decente y crecimiento económico</v>
      </c>
      <c r="M280" s="301" t="str">
        <f>'PLAN INDICATIVO'!M277</f>
        <v>Secretaría de Educación, Cultura, deporte y Turismo</v>
      </c>
      <c r="N280" s="1425" t="str">
        <f>'PLAN INDICATIVO'!N277</f>
        <v>YIMI FERNANDO LOSADA PAYA</v>
      </c>
      <c r="O280" s="1425" t="str">
        <f>'PLAN INDICATIVO'!O277</f>
        <v>Incremento</v>
      </c>
      <c r="P280" s="16" t="str">
        <f>'PLAN INDICATIVO'!P277</f>
        <v>Apoyar 2 proyectos de desarrollo económico que permitan el crecimiento acelerado de las empresas turísticas.</v>
      </c>
      <c r="Q280" s="302" t="str">
        <f>'PLAN INDICATIVO'!Q277</f>
        <v>No. De Proyectos apoyados</v>
      </c>
      <c r="R280" s="303">
        <f>'PLAN INDICATIVO'!R277</f>
        <v>2015</v>
      </c>
      <c r="S280" s="304">
        <v>0</v>
      </c>
      <c r="T280" s="498">
        <v>4</v>
      </c>
      <c r="U280" s="303">
        <v>0</v>
      </c>
      <c r="V280" s="687"/>
      <c r="W280" s="572">
        <v>0</v>
      </c>
      <c r="X280" s="687"/>
      <c r="Y280" s="572">
        <v>2</v>
      </c>
      <c r="Z280" s="687">
        <v>500000</v>
      </c>
      <c r="AA280" s="572">
        <v>2</v>
      </c>
      <c r="AB280" s="687">
        <v>500000</v>
      </c>
      <c r="AC280" s="665"/>
      <c r="AD280" s="665"/>
      <c r="AE280" s="665"/>
      <c r="AF280" s="665"/>
      <c r="AG280" s="266"/>
      <c r="AH280" s="307"/>
      <c r="AI280" s="308"/>
      <c r="AJ280" s="308"/>
      <c r="AK280" s="308"/>
      <c r="AL280" s="308"/>
      <c r="AM280" s="267" t="s">
        <v>2594</v>
      </c>
      <c r="AN280" s="507"/>
      <c r="AO280" s="525"/>
      <c r="AP280" s="310"/>
      <c r="AQ280" s="310"/>
      <c r="AR280" s="310"/>
      <c r="AS280" s="310"/>
      <c r="AT280" s="310"/>
      <c r="AU280" s="310"/>
      <c r="AV280" s="544">
        <f t="shared" si="127"/>
        <v>0</v>
      </c>
      <c r="AW280" s="525"/>
      <c r="AX280" s="310"/>
      <c r="AY280" s="310"/>
      <c r="AZ280" s="310"/>
      <c r="BA280" s="310"/>
      <c r="BB280" s="310"/>
      <c r="BC280" s="310"/>
      <c r="BD280" s="544">
        <f t="shared" si="128"/>
        <v>0</v>
      </c>
      <c r="BE280" s="525"/>
      <c r="BF280" s="310"/>
      <c r="BG280" s="310"/>
      <c r="BH280" s="310"/>
      <c r="BI280" s="310"/>
      <c r="BJ280" s="310"/>
      <c r="BK280" s="310"/>
      <c r="BL280" s="544">
        <f t="shared" si="129"/>
        <v>0</v>
      </c>
      <c r="BM280" s="525"/>
      <c r="BN280" s="310"/>
      <c r="BO280" s="310"/>
      <c r="BP280" s="310"/>
      <c r="BQ280" s="310"/>
      <c r="BR280" s="310"/>
      <c r="BS280" s="310"/>
      <c r="BT280" s="544">
        <f t="shared" si="130"/>
        <v>0</v>
      </c>
      <c r="BU280" s="556"/>
      <c r="BV280" s="663">
        <f t="shared" si="135"/>
        <v>0</v>
      </c>
      <c r="BW280" s="674">
        <f t="shared" si="136"/>
        <v>0</v>
      </c>
      <c r="BX280" s="674" t="e">
        <f t="shared" si="137"/>
        <v>#DIV/0!</v>
      </c>
      <c r="BY280" s="674" t="e">
        <f t="shared" si="138"/>
        <v>#DIV/0!</v>
      </c>
      <c r="BZ280" s="675">
        <f t="shared" si="139"/>
        <v>0</v>
      </c>
      <c r="CA280" s="675">
        <f t="shared" si="140"/>
        <v>0</v>
      </c>
    </row>
    <row r="281" spans="1:79" ht="64.5" hidden="1" customHeight="1" x14ac:dyDescent="0.25">
      <c r="A281" s="298" t="s">
        <v>800</v>
      </c>
      <c r="B281" s="299" t="str">
        <f>'PLAN INDICATIVO'!B278</f>
        <v>Desarrollo Económico/Promoción del desarrollo</v>
      </c>
      <c r="C281" s="1547"/>
      <c r="D281" s="1549"/>
      <c r="E281" s="1549"/>
      <c r="F281" s="1549"/>
      <c r="G281" s="1549"/>
      <c r="H281" s="1549"/>
      <c r="I281" s="300">
        <f>'PLAN INDICATIVO'!I278</f>
        <v>0</v>
      </c>
      <c r="J281" s="300">
        <f>'PLAN INDICATIVO'!J278</f>
        <v>0</v>
      </c>
      <c r="K281" s="1428" t="str">
        <f>'PLAN INDICATIVO'!K278</f>
        <v>A.13.2.5</v>
      </c>
      <c r="L281" s="301" t="str">
        <f>'PLAN INDICATIVO'!L278</f>
        <v>8. Trabajo decente y crecimiento económico</v>
      </c>
      <c r="M281" s="301" t="str">
        <f>'PLAN INDICATIVO'!M278</f>
        <v>Secretaría de Educación, Cultura, deporte y Turismo</v>
      </c>
      <c r="N281" s="1425" t="str">
        <f>'PLAN INDICATIVO'!N278</f>
        <v>YIMI FERNANDO LOSADA PAYA</v>
      </c>
      <c r="O281" s="1425" t="str">
        <f>'PLAN INDICATIVO'!O278</f>
        <v>Incremento</v>
      </c>
      <c r="P281" s="16" t="str">
        <f>'PLAN INDICATIVO'!P278</f>
        <v>Implementar 4 proyectos para identificación de los atractivos que requieren intervención y Ejecutar obras para la recuperación y adecuación que permita la atención de público.</v>
      </c>
      <c r="Q281" s="302" t="str">
        <f>'PLAN INDICATIVO'!Q278</f>
        <v>No. De Proyectos implementados</v>
      </c>
      <c r="R281" s="303">
        <f>'PLAN INDICATIVO'!R278</f>
        <v>2015</v>
      </c>
      <c r="S281" s="304">
        <v>0</v>
      </c>
      <c r="T281" s="498">
        <v>4</v>
      </c>
      <c r="U281" s="303">
        <v>0</v>
      </c>
      <c r="V281" s="687">
        <v>2000000</v>
      </c>
      <c r="W281" s="572">
        <v>2</v>
      </c>
      <c r="X281" s="687">
        <v>1000000</v>
      </c>
      <c r="Y281" s="572">
        <v>3</v>
      </c>
      <c r="Z281" s="687">
        <v>500000</v>
      </c>
      <c r="AA281" s="572">
        <v>4</v>
      </c>
      <c r="AB281" s="687">
        <v>500000</v>
      </c>
      <c r="AC281" s="665"/>
      <c r="AD281" s="665"/>
      <c r="AE281" s="665"/>
      <c r="AF281" s="665"/>
      <c r="AG281" s="266"/>
      <c r="AH281" s="307"/>
      <c r="AI281" s="308"/>
      <c r="AJ281" s="308"/>
      <c r="AK281" s="308"/>
      <c r="AL281" s="308"/>
      <c r="AM281" s="267" t="s">
        <v>2594</v>
      </c>
      <c r="AN281" s="507"/>
      <c r="AO281" s="525"/>
      <c r="AP281" s="310"/>
      <c r="AQ281" s="310"/>
      <c r="AR281" s="310"/>
      <c r="AS281" s="310"/>
      <c r="AT281" s="310"/>
      <c r="AU281" s="310"/>
      <c r="AV281" s="544">
        <f t="shared" si="127"/>
        <v>0</v>
      </c>
      <c r="AW281" s="525"/>
      <c r="AX281" s="310"/>
      <c r="AY281" s="310"/>
      <c r="AZ281" s="310"/>
      <c r="BA281" s="310"/>
      <c r="BB281" s="310"/>
      <c r="BC281" s="310"/>
      <c r="BD281" s="544">
        <f t="shared" si="128"/>
        <v>0</v>
      </c>
      <c r="BE281" s="525"/>
      <c r="BF281" s="310"/>
      <c r="BG281" s="310"/>
      <c r="BH281" s="310"/>
      <c r="BI281" s="310"/>
      <c r="BJ281" s="310"/>
      <c r="BK281" s="310"/>
      <c r="BL281" s="544">
        <f t="shared" si="129"/>
        <v>0</v>
      </c>
      <c r="BM281" s="525"/>
      <c r="BN281" s="310"/>
      <c r="BO281" s="310"/>
      <c r="BP281" s="310"/>
      <c r="BQ281" s="310"/>
      <c r="BR281" s="310"/>
      <c r="BS281" s="310"/>
      <c r="BT281" s="544">
        <f t="shared" si="130"/>
        <v>0</v>
      </c>
      <c r="BU281" s="556"/>
      <c r="BV281" s="663">
        <f t="shared" si="135"/>
        <v>0</v>
      </c>
      <c r="BW281" s="674">
        <f t="shared" si="136"/>
        <v>0</v>
      </c>
      <c r="BX281" s="674" t="e">
        <f t="shared" si="137"/>
        <v>#DIV/0!</v>
      </c>
      <c r="BY281" s="674">
        <f t="shared" si="138"/>
        <v>0</v>
      </c>
      <c r="BZ281" s="675">
        <f t="shared" si="139"/>
        <v>0</v>
      </c>
      <c r="CA281" s="675">
        <f t="shared" si="140"/>
        <v>0</v>
      </c>
    </row>
    <row r="282" spans="1:79" ht="33" hidden="1" customHeight="1" x14ac:dyDescent="0.25">
      <c r="A282" s="298" t="s">
        <v>800</v>
      </c>
      <c r="B282" s="299" t="str">
        <f>'PLAN INDICATIVO'!B279</f>
        <v>Desarrollo Económico/Promoción del desarrollo</v>
      </c>
      <c r="C282" s="1547"/>
      <c r="D282" s="1549"/>
      <c r="E282" s="1549"/>
      <c r="F282" s="1549"/>
      <c r="G282" s="1549"/>
      <c r="H282" s="1549"/>
      <c r="I282" s="300">
        <f>'PLAN INDICATIVO'!I279</f>
        <v>0</v>
      </c>
      <c r="J282" s="300">
        <f>'PLAN INDICATIVO'!J279</f>
        <v>0</v>
      </c>
      <c r="K282" s="1428" t="str">
        <f>'PLAN INDICATIVO'!K279</f>
        <v>A.13.2.6</v>
      </c>
      <c r="L282" s="301" t="str">
        <f>'PLAN INDICATIVO'!L279</f>
        <v>8. Trabajo decente y crecimiento económico</v>
      </c>
      <c r="M282" s="301" t="str">
        <f>'PLAN INDICATIVO'!M279</f>
        <v>Secretaría de Educación, Cultura, deporte y Turismo</v>
      </c>
      <c r="N282" s="1425" t="str">
        <f>'PLAN INDICATIVO'!N279</f>
        <v>YIMI FERNANDO LOSADA PAYA</v>
      </c>
      <c r="O282" s="1425" t="str">
        <f>'PLAN INDICATIVO'!O279</f>
        <v>Incremento</v>
      </c>
      <c r="P282" s="16" t="str">
        <f>'PLAN INDICATIVO'!P279</f>
        <v>Realizar la instalación de material informativo de los principales atractivos  y culturales del municipio.</v>
      </c>
      <c r="Q282" s="302" t="str">
        <f>'PLAN INDICATIVO'!Q279</f>
        <v>No. Material informativo instalado</v>
      </c>
      <c r="R282" s="303">
        <f>'PLAN INDICATIVO'!R279</f>
        <v>2015</v>
      </c>
      <c r="S282" s="304">
        <v>0</v>
      </c>
      <c r="T282" s="498">
        <v>1</v>
      </c>
      <c r="U282" s="303">
        <v>0</v>
      </c>
      <c r="V282" s="687"/>
      <c r="W282" s="572">
        <v>0</v>
      </c>
      <c r="X282" s="687"/>
      <c r="Y282" s="572">
        <v>1</v>
      </c>
      <c r="Z282" s="687">
        <v>500000</v>
      </c>
      <c r="AA282" s="572">
        <v>0</v>
      </c>
      <c r="AB282" s="687">
        <v>500000</v>
      </c>
      <c r="AC282" s="665"/>
      <c r="AD282" s="665"/>
      <c r="AE282" s="665"/>
      <c r="AF282" s="665"/>
      <c r="AG282" s="266"/>
      <c r="AH282" s="307"/>
      <c r="AI282" s="308"/>
      <c r="AJ282" s="308"/>
      <c r="AK282" s="308"/>
      <c r="AL282" s="308"/>
      <c r="AM282" s="267" t="s">
        <v>2594</v>
      </c>
      <c r="AN282" s="507"/>
      <c r="AO282" s="525"/>
      <c r="AP282" s="310"/>
      <c r="AQ282" s="310"/>
      <c r="AR282" s="310"/>
      <c r="AS282" s="310"/>
      <c r="AT282" s="310"/>
      <c r="AU282" s="310"/>
      <c r="AV282" s="544">
        <f t="shared" si="127"/>
        <v>0</v>
      </c>
      <c r="AW282" s="525"/>
      <c r="AX282" s="310"/>
      <c r="AY282" s="310"/>
      <c r="AZ282" s="310"/>
      <c r="BA282" s="310"/>
      <c r="BB282" s="310"/>
      <c r="BC282" s="310"/>
      <c r="BD282" s="544">
        <f t="shared" si="128"/>
        <v>0</v>
      </c>
      <c r="BE282" s="525"/>
      <c r="BF282" s="310"/>
      <c r="BG282" s="310"/>
      <c r="BH282" s="310"/>
      <c r="BI282" s="310"/>
      <c r="BJ282" s="310"/>
      <c r="BK282" s="310"/>
      <c r="BL282" s="544">
        <f t="shared" si="129"/>
        <v>0</v>
      </c>
      <c r="BM282" s="525"/>
      <c r="BN282" s="310"/>
      <c r="BO282" s="310"/>
      <c r="BP282" s="310"/>
      <c r="BQ282" s="310"/>
      <c r="BR282" s="310"/>
      <c r="BS282" s="310"/>
      <c r="BT282" s="544">
        <f t="shared" si="130"/>
        <v>0</v>
      </c>
      <c r="BU282" s="556"/>
      <c r="BV282" s="663">
        <f t="shared" si="135"/>
        <v>0</v>
      </c>
      <c r="BW282" s="674">
        <f t="shared" si="136"/>
        <v>0</v>
      </c>
      <c r="BX282" s="674" t="e">
        <f t="shared" si="137"/>
        <v>#DIV/0!</v>
      </c>
      <c r="BY282" s="674" t="e">
        <f t="shared" si="138"/>
        <v>#DIV/0!</v>
      </c>
      <c r="BZ282" s="675">
        <f t="shared" si="139"/>
        <v>0</v>
      </c>
      <c r="CA282" s="675" t="e">
        <f t="shared" si="140"/>
        <v>#DIV/0!</v>
      </c>
    </row>
    <row r="283" spans="1:79" ht="39" hidden="1" customHeight="1" x14ac:dyDescent="0.25">
      <c r="A283" s="298" t="s">
        <v>800</v>
      </c>
      <c r="B283" s="299" t="str">
        <f>'PLAN INDICATIVO'!B280</f>
        <v>Desarrollo Económico/Promoción del desarrollo</v>
      </c>
      <c r="C283" s="1547"/>
      <c r="D283" s="1549"/>
      <c r="E283" s="1549"/>
      <c r="F283" s="1549"/>
      <c r="G283" s="1549"/>
      <c r="H283" s="1549"/>
      <c r="I283" s="300">
        <f>'PLAN INDICATIVO'!I280</f>
        <v>0</v>
      </c>
      <c r="J283" s="300">
        <f>'PLAN INDICATIVO'!J280</f>
        <v>0</v>
      </c>
      <c r="K283" s="1428" t="str">
        <f>'PLAN INDICATIVO'!K280</f>
        <v>A.13.2.7</v>
      </c>
      <c r="L283" s="301" t="str">
        <f>'PLAN INDICATIVO'!L280</f>
        <v>8. Trabajo decente y crecimiento económico</v>
      </c>
      <c r="M283" s="301" t="str">
        <f>'PLAN INDICATIVO'!M280</f>
        <v>Secretaría de Educación, Cultura, deporte y Turismo</v>
      </c>
      <c r="N283" s="1425" t="str">
        <f>'PLAN INDICATIVO'!N280</f>
        <v>YIMI FERNANDO LOSADA PAYA</v>
      </c>
      <c r="O283" s="1425" t="str">
        <f>'PLAN INDICATIVO'!O280</f>
        <v>Incremento</v>
      </c>
      <c r="P283" s="16" t="str">
        <f>'PLAN INDICATIVO'!P280</f>
        <v>Apoyar 2 proyectos de desarrollo turístico con capital semilla a nuevas empresas que por su nivel de innovación sean merecedoras de tal beneficio, durante el cuatrienio</v>
      </c>
      <c r="Q283" s="302" t="str">
        <f>'PLAN INDICATIVO'!Q280</f>
        <v>No. Proyectos apoyados</v>
      </c>
      <c r="R283" s="303">
        <f>'PLAN INDICATIVO'!R280</f>
        <v>2015</v>
      </c>
      <c r="S283" s="304">
        <v>0</v>
      </c>
      <c r="T283" s="498">
        <v>2</v>
      </c>
      <c r="U283" s="303">
        <v>0</v>
      </c>
      <c r="V283" s="687"/>
      <c r="W283" s="572">
        <v>0</v>
      </c>
      <c r="X283" s="687"/>
      <c r="Y283" s="572">
        <v>1</v>
      </c>
      <c r="Z283" s="687">
        <v>500000</v>
      </c>
      <c r="AA283" s="572">
        <v>2</v>
      </c>
      <c r="AB283" s="687">
        <v>500000</v>
      </c>
      <c r="AC283" s="665"/>
      <c r="AD283" s="665"/>
      <c r="AE283" s="665"/>
      <c r="AF283" s="665"/>
      <c r="AG283" s="266"/>
      <c r="AH283" s="307"/>
      <c r="AI283" s="308"/>
      <c r="AJ283" s="308"/>
      <c r="AK283" s="308"/>
      <c r="AL283" s="308"/>
      <c r="AM283" s="267" t="s">
        <v>2594</v>
      </c>
      <c r="AN283" s="507"/>
      <c r="AO283" s="525"/>
      <c r="AP283" s="310"/>
      <c r="AQ283" s="310"/>
      <c r="AR283" s="310"/>
      <c r="AS283" s="310"/>
      <c r="AT283" s="310"/>
      <c r="AU283" s="310"/>
      <c r="AV283" s="544">
        <f t="shared" si="127"/>
        <v>0</v>
      </c>
      <c r="AW283" s="525"/>
      <c r="AX283" s="310"/>
      <c r="AY283" s="310"/>
      <c r="AZ283" s="310"/>
      <c r="BA283" s="310"/>
      <c r="BB283" s="310"/>
      <c r="BC283" s="310"/>
      <c r="BD283" s="544">
        <f t="shared" si="128"/>
        <v>0</v>
      </c>
      <c r="BE283" s="525"/>
      <c r="BF283" s="310"/>
      <c r="BG283" s="310"/>
      <c r="BH283" s="310"/>
      <c r="BI283" s="310"/>
      <c r="BJ283" s="310"/>
      <c r="BK283" s="310"/>
      <c r="BL283" s="544">
        <f t="shared" si="129"/>
        <v>0</v>
      </c>
      <c r="BM283" s="525"/>
      <c r="BN283" s="310"/>
      <c r="BO283" s="310"/>
      <c r="BP283" s="310"/>
      <c r="BQ283" s="310"/>
      <c r="BR283" s="310"/>
      <c r="BS283" s="310"/>
      <c r="BT283" s="544">
        <f t="shared" si="130"/>
        <v>0</v>
      </c>
      <c r="BU283" s="556"/>
      <c r="BV283" s="663">
        <f t="shared" si="135"/>
        <v>0</v>
      </c>
      <c r="BW283" s="674">
        <f t="shared" si="136"/>
        <v>0</v>
      </c>
      <c r="BX283" s="674" t="e">
        <f t="shared" si="137"/>
        <v>#DIV/0!</v>
      </c>
      <c r="BY283" s="674" t="e">
        <f t="shared" si="138"/>
        <v>#DIV/0!</v>
      </c>
      <c r="BZ283" s="675">
        <f t="shared" si="139"/>
        <v>0</v>
      </c>
      <c r="CA283" s="675">
        <f t="shared" si="140"/>
        <v>0</v>
      </c>
    </row>
    <row r="284" spans="1:79" ht="75.75" hidden="1" customHeight="1" x14ac:dyDescent="0.25">
      <c r="A284" s="298" t="s">
        <v>800</v>
      </c>
      <c r="B284" s="299" t="str">
        <f>'PLAN INDICATIVO'!B281</f>
        <v>Desarrollo Económico/Promoción del desarrollo</v>
      </c>
      <c r="C284" s="1547"/>
      <c r="D284" s="1549"/>
      <c r="E284" s="1549"/>
      <c r="F284" s="1549"/>
      <c r="G284" s="1549"/>
      <c r="H284" s="1549"/>
      <c r="I284" s="300">
        <f>'PLAN INDICATIVO'!I281</f>
        <v>0</v>
      </c>
      <c r="J284" s="300">
        <f>'PLAN INDICATIVO'!J281</f>
        <v>0</v>
      </c>
      <c r="K284" s="1428" t="str">
        <f>'PLAN INDICATIVO'!K281</f>
        <v>A.13.2.8</v>
      </c>
      <c r="L284" s="301" t="str">
        <f>'PLAN INDICATIVO'!L281</f>
        <v>8. Trabajo decente y crecimiento económico</v>
      </c>
      <c r="M284" s="301" t="str">
        <f>'PLAN INDICATIVO'!M281</f>
        <v>Secretaría de Educación, Cultura, deporte y Turismo</v>
      </c>
      <c r="N284" s="1425" t="str">
        <f>'PLAN INDICATIVO'!N281</f>
        <v>YIMI FERNANDO LOSADA PAYA</v>
      </c>
      <c r="O284" s="1425" t="str">
        <f>'PLAN INDICATIVO'!O281</f>
        <v>Incremento</v>
      </c>
      <c r="P284" s="16" t="str">
        <f>'PLAN INDICATIVO'!P281</f>
        <v>Formular 2 proyectos durante el cuatrienio para buscar apoyo económico que permitan la creación de nuevas empresas.</v>
      </c>
      <c r="Q284" s="302" t="str">
        <f>'PLAN INDICATIVO'!Q281</f>
        <v>No. Proyectos formulados</v>
      </c>
      <c r="R284" s="303">
        <f>'PLAN INDICATIVO'!R281</f>
        <v>2015</v>
      </c>
      <c r="S284" s="304">
        <v>0</v>
      </c>
      <c r="T284" s="498">
        <v>2</v>
      </c>
      <c r="U284" s="303">
        <v>0</v>
      </c>
      <c r="V284" s="687"/>
      <c r="W284" s="572">
        <v>0</v>
      </c>
      <c r="X284" s="687"/>
      <c r="Y284" s="572">
        <v>1</v>
      </c>
      <c r="Z284" s="687">
        <v>500000</v>
      </c>
      <c r="AA284" s="572">
        <v>2</v>
      </c>
      <c r="AB284" s="687">
        <v>500000</v>
      </c>
      <c r="AC284" s="665"/>
      <c r="AD284" s="665"/>
      <c r="AE284" s="665"/>
      <c r="AF284" s="665"/>
      <c r="AG284" s="266"/>
      <c r="AH284" s="307"/>
      <c r="AI284" s="308"/>
      <c r="AJ284" s="308"/>
      <c r="AK284" s="308"/>
      <c r="AL284" s="308"/>
      <c r="AM284" s="267" t="s">
        <v>2594</v>
      </c>
      <c r="AN284" s="507"/>
      <c r="AO284" s="525"/>
      <c r="AP284" s="310"/>
      <c r="AQ284" s="310"/>
      <c r="AR284" s="310"/>
      <c r="AS284" s="310"/>
      <c r="AT284" s="310"/>
      <c r="AU284" s="310"/>
      <c r="AV284" s="544">
        <f t="shared" si="127"/>
        <v>0</v>
      </c>
      <c r="AW284" s="525"/>
      <c r="AX284" s="310"/>
      <c r="AY284" s="310"/>
      <c r="AZ284" s="310"/>
      <c r="BA284" s="310"/>
      <c r="BB284" s="310"/>
      <c r="BC284" s="310"/>
      <c r="BD284" s="544">
        <f t="shared" si="128"/>
        <v>0</v>
      </c>
      <c r="BE284" s="525"/>
      <c r="BF284" s="310"/>
      <c r="BG284" s="310"/>
      <c r="BH284" s="310"/>
      <c r="BI284" s="310"/>
      <c r="BJ284" s="310"/>
      <c r="BK284" s="310"/>
      <c r="BL284" s="544">
        <f t="shared" si="129"/>
        <v>0</v>
      </c>
      <c r="BM284" s="525"/>
      <c r="BN284" s="310"/>
      <c r="BO284" s="310"/>
      <c r="BP284" s="310"/>
      <c r="BQ284" s="310"/>
      <c r="BR284" s="310"/>
      <c r="BS284" s="310"/>
      <c r="BT284" s="544">
        <f t="shared" si="130"/>
        <v>0</v>
      </c>
      <c r="BU284" s="556"/>
      <c r="BV284" s="663">
        <f t="shared" si="135"/>
        <v>0</v>
      </c>
      <c r="BW284" s="674">
        <f t="shared" si="136"/>
        <v>0</v>
      </c>
      <c r="BX284" s="674" t="e">
        <f t="shared" si="137"/>
        <v>#DIV/0!</v>
      </c>
      <c r="BY284" s="674" t="e">
        <f t="shared" si="138"/>
        <v>#DIV/0!</v>
      </c>
      <c r="BZ284" s="675">
        <f t="shared" si="139"/>
        <v>0</v>
      </c>
      <c r="CA284" s="675">
        <f t="shared" si="140"/>
        <v>0</v>
      </c>
    </row>
    <row r="285" spans="1:79" ht="47.25" hidden="1" customHeight="1" x14ac:dyDescent="0.25">
      <c r="A285" s="298" t="s">
        <v>800</v>
      </c>
      <c r="B285" s="299" t="str">
        <f>'PLAN INDICATIVO'!B282</f>
        <v>Desarrollo Económico/Promoción del desarrollo</v>
      </c>
      <c r="C285" s="1547"/>
      <c r="D285" s="1549"/>
      <c r="E285" s="1549"/>
      <c r="F285" s="1549"/>
      <c r="G285" s="1549"/>
      <c r="H285" s="1549"/>
      <c r="I285" s="300">
        <f>'PLAN INDICATIVO'!I282</f>
        <v>0</v>
      </c>
      <c r="J285" s="300">
        <f>'PLAN INDICATIVO'!J282</f>
        <v>0</v>
      </c>
      <c r="K285" s="1428" t="str">
        <f>'PLAN INDICATIVO'!K282</f>
        <v>A.13.2.9</v>
      </c>
      <c r="L285" s="301" t="str">
        <f>'PLAN INDICATIVO'!L282</f>
        <v>8. Trabajo decente y crecimiento económico</v>
      </c>
      <c r="M285" s="301" t="str">
        <f>'PLAN INDICATIVO'!M282</f>
        <v>Secretaría de Educación, Cultura, deporte y Turismo</v>
      </c>
      <c r="N285" s="1425" t="str">
        <f>'PLAN INDICATIVO'!N282</f>
        <v>YIMI FERNANDO LOSADA PAYA</v>
      </c>
      <c r="O285" s="1425" t="str">
        <f>'PLAN INDICATIVO'!O282</f>
        <v>Incremento</v>
      </c>
      <c r="P285" s="16" t="str">
        <f>'PLAN INDICATIVO'!P282</f>
        <v>Crear 1 documento de cátedra plateña durante el cuatrienio, que permita a los pobladores conocer sobre los recursos, atractivos y actividades turísticas y culturales del Municipio.</v>
      </c>
      <c r="Q285" s="302" t="str">
        <f>'PLAN INDICATIVO'!Q282</f>
        <v>No. Documento creado</v>
      </c>
      <c r="R285" s="303">
        <f>'PLAN INDICATIVO'!R282</f>
        <v>2015</v>
      </c>
      <c r="S285" s="304">
        <v>0</v>
      </c>
      <c r="T285" s="498">
        <v>1</v>
      </c>
      <c r="U285" s="303">
        <v>0</v>
      </c>
      <c r="V285" s="687"/>
      <c r="W285" s="572">
        <v>1</v>
      </c>
      <c r="X285" s="687">
        <v>1000000</v>
      </c>
      <c r="Y285" s="572">
        <v>1</v>
      </c>
      <c r="Z285" s="687">
        <v>500000</v>
      </c>
      <c r="AA285" s="572">
        <v>1</v>
      </c>
      <c r="AB285" s="687">
        <v>500000</v>
      </c>
      <c r="AC285" s="665"/>
      <c r="AD285" s="665"/>
      <c r="AE285" s="665"/>
      <c r="AF285" s="665"/>
      <c r="AG285" s="266"/>
      <c r="AH285" s="307"/>
      <c r="AI285" s="308"/>
      <c r="AJ285" s="308"/>
      <c r="AK285" s="308"/>
      <c r="AL285" s="308"/>
      <c r="AM285" s="267" t="s">
        <v>2594</v>
      </c>
      <c r="AN285" s="507"/>
      <c r="AO285" s="525"/>
      <c r="AP285" s="310"/>
      <c r="AQ285" s="310"/>
      <c r="AR285" s="310"/>
      <c r="AS285" s="310"/>
      <c r="AT285" s="310"/>
      <c r="AU285" s="310"/>
      <c r="AV285" s="544">
        <f t="shared" si="127"/>
        <v>0</v>
      </c>
      <c r="AW285" s="525"/>
      <c r="AX285" s="310"/>
      <c r="AY285" s="310"/>
      <c r="AZ285" s="310"/>
      <c r="BA285" s="310"/>
      <c r="BB285" s="310"/>
      <c r="BC285" s="310"/>
      <c r="BD285" s="544">
        <f t="shared" si="128"/>
        <v>0</v>
      </c>
      <c r="BE285" s="525"/>
      <c r="BF285" s="310"/>
      <c r="BG285" s="310"/>
      <c r="BH285" s="310"/>
      <c r="BI285" s="310"/>
      <c r="BJ285" s="310"/>
      <c r="BK285" s="310"/>
      <c r="BL285" s="544">
        <f t="shared" si="129"/>
        <v>0</v>
      </c>
      <c r="BM285" s="525"/>
      <c r="BN285" s="310"/>
      <c r="BO285" s="310"/>
      <c r="BP285" s="310"/>
      <c r="BQ285" s="310"/>
      <c r="BR285" s="310"/>
      <c r="BS285" s="310"/>
      <c r="BT285" s="544">
        <f t="shared" si="130"/>
        <v>0</v>
      </c>
      <c r="BU285" s="556"/>
      <c r="BV285" s="663">
        <f t="shared" si="135"/>
        <v>0</v>
      </c>
      <c r="BW285" s="674">
        <f t="shared" si="136"/>
        <v>0</v>
      </c>
      <c r="BX285" s="674" t="e">
        <f t="shared" si="137"/>
        <v>#DIV/0!</v>
      </c>
      <c r="BY285" s="674">
        <f t="shared" si="138"/>
        <v>0</v>
      </c>
      <c r="BZ285" s="675">
        <f t="shared" si="139"/>
        <v>0</v>
      </c>
      <c r="CA285" s="675">
        <f t="shared" si="140"/>
        <v>0</v>
      </c>
    </row>
    <row r="286" spans="1:79" ht="77.25" hidden="1" customHeight="1" x14ac:dyDescent="0.25">
      <c r="A286" s="298" t="s">
        <v>800</v>
      </c>
      <c r="B286" s="299" t="str">
        <f>'PLAN INDICATIVO'!B283</f>
        <v>Desarrollo Económico/Promoción del desarrollo</v>
      </c>
      <c r="C286" s="1547"/>
      <c r="D286" s="1549"/>
      <c r="E286" s="1549"/>
      <c r="F286" s="1549"/>
      <c r="G286" s="1549"/>
      <c r="H286" s="1549"/>
      <c r="I286" s="300">
        <f>'PLAN INDICATIVO'!I283</f>
        <v>0</v>
      </c>
      <c r="J286" s="300">
        <f>'PLAN INDICATIVO'!J283</f>
        <v>0</v>
      </c>
      <c r="K286" s="1428" t="str">
        <f>'PLAN INDICATIVO'!K283</f>
        <v>A.13.2.10</v>
      </c>
      <c r="L286" s="301" t="str">
        <f>'PLAN INDICATIVO'!L283</f>
        <v>8. Trabajo decente y crecimiento económico</v>
      </c>
      <c r="M286" s="301" t="str">
        <f>'PLAN INDICATIVO'!M283</f>
        <v>Secretaría de Educación, Cultura, deporte y Turismo</v>
      </c>
      <c r="N286" s="1425" t="str">
        <f>'PLAN INDICATIVO'!N283</f>
        <v>YIMI FERNANDO LOSADA PAYA</v>
      </c>
      <c r="O286" s="1425" t="str">
        <f>'PLAN INDICATIVO'!O283</f>
        <v>Incremento</v>
      </c>
      <c r="P286" s="16" t="str">
        <f>'PLAN INDICATIVO'!P283</f>
        <v>Realizar 4 mingas comunitarias destinadas a la protección y conservación del patrimonio turístico del municipio</v>
      </c>
      <c r="Q286" s="302" t="str">
        <f>'PLAN INDICATIVO'!Q283</f>
        <v>No. de mingas realizadas</v>
      </c>
      <c r="R286" s="303">
        <f>'PLAN INDICATIVO'!R283</f>
        <v>2015</v>
      </c>
      <c r="S286" s="304">
        <v>0</v>
      </c>
      <c r="T286" s="498">
        <v>4</v>
      </c>
      <c r="U286" s="303">
        <v>1</v>
      </c>
      <c r="V286" s="687">
        <v>5000000</v>
      </c>
      <c r="W286" s="572">
        <v>1</v>
      </c>
      <c r="X286" s="687">
        <v>1000000</v>
      </c>
      <c r="Y286" s="572">
        <v>1</v>
      </c>
      <c r="Z286" s="687">
        <v>500000</v>
      </c>
      <c r="AA286" s="572">
        <v>1</v>
      </c>
      <c r="AB286" s="687">
        <v>500000</v>
      </c>
      <c r="AC286" s="665">
        <v>1</v>
      </c>
      <c r="AD286" s="665"/>
      <c r="AE286" s="665"/>
      <c r="AF286" s="665"/>
      <c r="AG286" s="306" t="s">
        <v>2869</v>
      </c>
      <c r="AH286" s="307" t="s">
        <v>2872</v>
      </c>
      <c r="AI286" s="309">
        <v>42552</v>
      </c>
      <c r="AJ286" s="309">
        <v>42735</v>
      </c>
      <c r="AK286" s="308"/>
      <c r="AL286" s="308"/>
      <c r="AM286" s="267" t="s">
        <v>2598</v>
      </c>
      <c r="AN286" s="507" t="s">
        <v>2871</v>
      </c>
      <c r="AO286" s="310">
        <v>3000000</v>
      </c>
      <c r="AP286" s="310"/>
      <c r="AQ286" s="310"/>
      <c r="AR286" s="310"/>
      <c r="AS286" s="310"/>
      <c r="AT286" s="310"/>
      <c r="AU286" s="310"/>
      <c r="AV286" s="544">
        <f t="shared" si="127"/>
        <v>3000000</v>
      </c>
      <c r="AW286" s="525"/>
      <c r="AX286" s="310"/>
      <c r="AY286" s="310"/>
      <c r="AZ286" s="310"/>
      <c r="BA286" s="310"/>
      <c r="BB286" s="310"/>
      <c r="BC286" s="310"/>
      <c r="BD286" s="544">
        <f t="shared" si="128"/>
        <v>0</v>
      </c>
      <c r="BE286" s="525"/>
      <c r="BF286" s="310"/>
      <c r="BG286" s="310"/>
      <c r="BH286" s="310"/>
      <c r="BI286" s="310"/>
      <c r="BJ286" s="310"/>
      <c r="BK286" s="310"/>
      <c r="BL286" s="544">
        <f t="shared" si="129"/>
        <v>0</v>
      </c>
      <c r="BM286" s="525"/>
      <c r="BN286" s="310"/>
      <c r="BO286" s="310"/>
      <c r="BP286" s="310"/>
      <c r="BQ286" s="310"/>
      <c r="BR286" s="310"/>
      <c r="BS286" s="310"/>
      <c r="BT286" s="544">
        <f t="shared" si="130"/>
        <v>0</v>
      </c>
      <c r="BU286" s="556"/>
      <c r="BV286" s="663">
        <f t="shared" si="135"/>
        <v>1</v>
      </c>
      <c r="BW286" s="674">
        <f t="shared" si="136"/>
        <v>0.25</v>
      </c>
      <c r="BX286" s="674">
        <f t="shared" si="137"/>
        <v>1</v>
      </c>
      <c r="BY286" s="674">
        <f t="shared" si="138"/>
        <v>0</v>
      </c>
      <c r="BZ286" s="675">
        <f t="shared" si="139"/>
        <v>0</v>
      </c>
      <c r="CA286" s="675">
        <f t="shared" si="140"/>
        <v>0</v>
      </c>
    </row>
    <row r="287" spans="1:79" ht="77.25" hidden="1" customHeight="1" x14ac:dyDescent="0.25">
      <c r="A287" s="298" t="s">
        <v>800</v>
      </c>
      <c r="B287" s="299" t="str">
        <f>'PLAN INDICATIVO'!B284</f>
        <v>Desarrollo Económico/Promoción del desarrollo</v>
      </c>
      <c r="C287" s="1547"/>
      <c r="D287" s="1549"/>
      <c r="E287" s="1549"/>
      <c r="F287" s="1549"/>
      <c r="G287" s="1549"/>
      <c r="H287" s="1549"/>
      <c r="I287" s="300">
        <f>'PLAN INDICATIVO'!I284</f>
        <v>0</v>
      </c>
      <c r="J287" s="300">
        <f>'PLAN INDICATIVO'!J284</f>
        <v>0</v>
      </c>
      <c r="K287" s="1428" t="str">
        <f>'PLAN INDICATIVO'!K284</f>
        <v>A.13.2.11</v>
      </c>
      <c r="L287" s="301" t="str">
        <f>'PLAN INDICATIVO'!L284</f>
        <v>8. Trabajo decente y crecimiento económico</v>
      </c>
      <c r="M287" s="301" t="str">
        <f>'PLAN INDICATIVO'!M284</f>
        <v>Secretaría de Educación, Cultura, deporte y Turismo</v>
      </c>
      <c r="N287" s="1425" t="str">
        <f>'PLAN INDICATIVO'!N284</f>
        <v>YIMI FERNANDO LOSADA PAYA</v>
      </c>
      <c r="O287" s="1425" t="str">
        <f>'PLAN INDICATIVO'!O284</f>
        <v>Incremento</v>
      </c>
      <c r="P287" s="16" t="str">
        <f>'PLAN INDICATIVO'!P284</f>
        <v>Capacitar a 60  actores del sector turístico, en  estrategias de marketing relacional, social marketing y branding, durante el cuatrienio</v>
      </c>
      <c r="Q287" s="302" t="str">
        <f>'PLAN INDICATIVO'!Q284</f>
        <v>No. de  actores capacitados</v>
      </c>
      <c r="R287" s="303">
        <f>'PLAN INDICATIVO'!R284</f>
        <v>2015</v>
      </c>
      <c r="S287" s="304">
        <v>0</v>
      </c>
      <c r="T287" s="498">
        <v>60</v>
      </c>
      <c r="U287" s="303">
        <v>0</v>
      </c>
      <c r="V287" s="687">
        <v>0</v>
      </c>
      <c r="W287" s="572">
        <v>30</v>
      </c>
      <c r="X287" s="687">
        <v>1000000</v>
      </c>
      <c r="Y287" s="572">
        <v>30</v>
      </c>
      <c r="Z287" s="687">
        <v>4500000</v>
      </c>
      <c r="AA287" s="572">
        <v>0</v>
      </c>
      <c r="AB287" s="687">
        <v>5000000</v>
      </c>
      <c r="AC287" s="665"/>
      <c r="AD287" s="665"/>
      <c r="AE287" s="665"/>
      <c r="AF287" s="665"/>
      <c r="AG287" s="266"/>
      <c r="AH287" s="307"/>
      <c r="AI287" s="308"/>
      <c r="AJ287" s="308"/>
      <c r="AK287" s="308"/>
      <c r="AL287" s="308"/>
      <c r="AM287" s="267" t="s">
        <v>2594</v>
      </c>
      <c r="AN287" s="507"/>
      <c r="AO287" s="525"/>
      <c r="AP287" s="310"/>
      <c r="AQ287" s="310"/>
      <c r="AR287" s="310"/>
      <c r="AS287" s="310"/>
      <c r="AT287" s="310"/>
      <c r="AU287" s="310"/>
      <c r="AV287" s="544">
        <f t="shared" si="127"/>
        <v>0</v>
      </c>
      <c r="AW287" s="525"/>
      <c r="AX287" s="310"/>
      <c r="AY287" s="310"/>
      <c r="AZ287" s="310"/>
      <c r="BA287" s="310"/>
      <c r="BB287" s="310"/>
      <c r="BC287" s="310"/>
      <c r="BD287" s="544">
        <f t="shared" si="128"/>
        <v>0</v>
      </c>
      <c r="BE287" s="525"/>
      <c r="BF287" s="310"/>
      <c r="BG287" s="310"/>
      <c r="BH287" s="310"/>
      <c r="BI287" s="310"/>
      <c r="BJ287" s="310"/>
      <c r="BK287" s="310"/>
      <c r="BL287" s="544">
        <f t="shared" si="129"/>
        <v>0</v>
      </c>
      <c r="BM287" s="525"/>
      <c r="BN287" s="310"/>
      <c r="BO287" s="310"/>
      <c r="BP287" s="310"/>
      <c r="BQ287" s="310"/>
      <c r="BR287" s="310"/>
      <c r="BS287" s="310"/>
      <c r="BT287" s="544">
        <f t="shared" si="130"/>
        <v>0</v>
      </c>
      <c r="BU287" s="556"/>
      <c r="BV287" s="663">
        <f t="shared" si="135"/>
        <v>0</v>
      </c>
      <c r="BW287" s="674">
        <f t="shared" si="136"/>
        <v>0</v>
      </c>
      <c r="BX287" s="674" t="e">
        <f t="shared" si="137"/>
        <v>#DIV/0!</v>
      </c>
      <c r="BY287" s="674">
        <f t="shared" si="138"/>
        <v>0</v>
      </c>
      <c r="BZ287" s="675">
        <f t="shared" si="139"/>
        <v>0</v>
      </c>
      <c r="CA287" s="675" t="e">
        <f t="shared" si="140"/>
        <v>#DIV/0!</v>
      </c>
    </row>
    <row r="288" spans="1:79" ht="77.25" hidden="1" customHeight="1" x14ac:dyDescent="0.25">
      <c r="A288" s="298" t="s">
        <v>800</v>
      </c>
      <c r="B288" s="299" t="str">
        <f>'PLAN INDICATIVO'!B285</f>
        <v>Desarrollo Económico/Promoción del desarrollo</v>
      </c>
      <c r="C288" s="1548"/>
      <c r="D288" s="1549"/>
      <c r="E288" s="1549"/>
      <c r="F288" s="1549"/>
      <c r="G288" s="1549"/>
      <c r="H288" s="1549"/>
      <c r="I288" s="300">
        <f>'PLAN INDICATIVO'!I285</f>
        <v>0</v>
      </c>
      <c r="J288" s="300">
        <f>'PLAN INDICATIVO'!J285</f>
        <v>0</v>
      </c>
      <c r="K288" s="1428" t="str">
        <f>'PLAN INDICATIVO'!K285</f>
        <v>A.13.2.12</v>
      </c>
      <c r="L288" s="301" t="str">
        <f>'PLAN INDICATIVO'!L285</f>
        <v>8. Trabajo decente y crecimiento económico</v>
      </c>
      <c r="M288" s="301" t="str">
        <f>'PLAN INDICATIVO'!M285</f>
        <v>Secretaría de Educación, Cultura, deporte y Turismo</v>
      </c>
      <c r="N288" s="1425" t="str">
        <f>'PLAN INDICATIVO'!N285</f>
        <v>YIMI FERNANDO LOSADA PAYA</v>
      </c>
      <c r="O288" s="1425" t="str">
        <f>'PLAN INDICATIVO'!O285</f>
        <v>Mantenimiento</v>
      </c>
      <c r="P288" s="16" t="str">
        <f>'PLAN INDICATIVO'!P285</f>
        <v>Realizar 1 Diseño de formas tradicionales de promoción, tales como revistas, página WEB, participación en ferias y eventos, ruedas de negocios y misiones o fam trips, entre otros</v>
      </c>
      <c r="Q288" s="302" t="str">
        <f>'PLAN INDICATIVO'!Q285</f>
        <v>No. De Diseño de promoción creado</v>
      </c>
      <c r="R288" s="303">
        <f>'PLAN INDICATIVO'!R285</f>
        <v>2015</v>
      </c>
      <c r="S288" s="304">
        <v>0</v>
      </c>
      <c r="T288" s="498">
        <v>1</v>
      </c>
      <c r="U288" s="303">
        <v>0</v>
      </c>
      <c r="V288" s="687">
        <v>0</v>
      </c>
      <c r="W288" s="572">
        <v>0.33</v>
      </c>
      <c r="X288" s="687">
        <v>1000000</v>
      </c>
      <c r="Y288" s="572">
        <v>0.33</v>
      </c>
      <c r="Z288" s="687">
        <v>500000</v>
      </c>
      <c r="AA288" s="572">
        <v>0.34</v>
      </c>
      <c r="AB288" s="687">
        <v>500000</v>
      </c>
      <c r="AC288" s="665"/>
      <c r="AD288" s="665"/>
      <c r="AE288" s="665"/>
      <c r="AF288" s="665"/>
      <c r="AG288" s="266"/>
      <c r="AH288" s="307"/>
      <c r="AI288" s="308"/>
      <c r="AJ288" s="308"/>
      <c r="AK288" s="308"/>
      <c r="AL288" s="308"/>
      <c r="AM288" s="267" t="s">
        <v>2594</v>
      </c>
      <c r="AN288" s="507"/>
      <c r="AO288" s="525"/>
      <c r="AP288" s="310"/>
      <c r="AQ288" s="310"/>
      <c r="AR288" s="310"/>
      <c r="AS288" s="310"/>
      <c r="AT288" s="310"/>
      <c r="AU288" s="310"/>
      <c r="AV288" s="544">
        <f t="shared" si="127"/>
        <v>0</v>
      </c>
      <c r="AW288" s="525"/>
      <c r="AX288" s="310"/>
      <c r="AY288" s="310"/>
      <c r="AZ288" s="310"/>
      <c r="BA288" s="310"/>
      <c r="BB288" s="310"/>
      <c r="BC288" s="310"/>
      <c r="BD288" s="544">
        <f t="shared" si="128"/>
        <v>0</v>
      </c>
      <c r="BE288" s="525"/>
      <c r="BF288" s="310"/>
      <c r="BG288" s="310"/>
      <c r="BH288" s="310"/>
      <c r="BI288" s="310"/>
      <c r="BJ288" s="310"/>
      <c r="BK288" s="310"/>
      <c r="BL288" s="544">
        <f t="shared" si="129"/>
        <v>0</v>
      </c>
      <c r="BM288" s="525"/>
      <c r="BN288" s="310"/>
      <c r="BO288" s="310"/>
      <c r="BP288" s="310"/>
      <c r="BQ288" s="310"/>
      <c r="BR288" s="310"/>
      <c r="BS288" s="310"/>
      <c r="BT288" s="544">
        <f t="shared" si="130"/>
        <v>0</v>
      </c>
      <c r="BU288" s="556"/>
      <c r="BV288" s="663">
        <f t="shared" si="135"/>
        <v>0</v>
      </c>
      <c r="BW288" s="674">
        <f t="shared" si="136"/>
        <v>0</v>
      </c>
      <c r="BX288" s="674" t="e">
        <f t="shared" si="137"/>
        <v>#DIV/0!</v>
      </c>
      <c r="BY288" s="674">
        <f t="shared" si="138"/>
        <v>0</v>
      </c>
      <c r="BZ288" s="675">
        <f t="shared" si="139"/>
        <v>0</v>
      </c>
      <c r="CA288" s="675">
        <f t="shared" si="140"/>
        <v>0</v>
      </c>
    </row>
    <row r="289" spans="1:100" s="3" customFormat="1" ht="42" hidden="1" customHeight="1" x14ac:dyDescent="0.25">
      <c r="A289" s="295" t="s">
        <v>800</v>
      </c>
      <c r="B289" s="24" t="str">
        <f>'PLAN INDICATIVO'!B286</f>
        <v>Promoción del desarrollo</v>
      </c>
      <c r="C289" s="6"/>
      <c r="D289" s="2" t="s">
        <v>878</v>
      </c>
      <c r="E289" s="1"/>
      <c r="F289" s="1"/>
      <c r="G289" s="1"/>
      <c r="H289" s="1"/>
      <c r="I289" s="1"/>
      <c r="J289" s="1"/>
      <c r="K289" s="1"/>
      <c r="L289" s="1"/>
      <c r="M289" s="1"/>
      <c r="N289" s="17"/>
      <c r="O289" s="1"/>
      <c r="P289" s="22"/>
      <c r="Q289" s="22"/>
      <c r="R289" s="1"/>
      <c r="S289" s="261"/>
      <c r="T289" s="681"/>
      <c r="U289" s="261"/>
      <c r="V289" s="261"/>
      <c r="W289" s="261"/>
      <c r="X289" s="689">
        <f>SUM(X290:X293)</f>
        <v>1000000</v>
      </c>
      <c r="Y289" s="261"/>
      <c r="Z289" s="689">
        <f>SUM(Z292:Z293)</f>
        <v>1000000</v>
      </c>
      <c r="AA289" s="262"/>
      <c r="AB289" s="689">
        <f>SUM(AB290:AB293)</f>
        <v>500000</v>
      </c>
      <c r="AC289" s="262"/>
      <c r="AD289" s="262"/>
      <c r="AE289" s="262"/>
      <c r="AF289" s="262"/>
      <c r="AG289" s="263"/>
      <c r="AH289" s="263"/>
      <c r="AI289" s="264">
        <f t="shared" ref="AI289:AN289" si="145">SUM(AI294:AI305)</f>
        <v>201804</v>
      </c>
      <c r="AJ289" s="264">
        <f t="shared" si="145"/>
        <v>150668</v>
      </c>
      <c r="AK289" s="264">
        <f t="shared" si="145"/>
        <v>0</v>
      </c>
      <c r="AL289" s="264">
        <f t="shared" si="145"/>
        <v>0</v>
      </c>
      <c r="AM289" s="264">
        <f t="shared" si="145"/>
        <v>0</v>
      </c>
      <c r="AN289" s="645">
        <f t="shared" si="145"/>
        <v>0</v>
      </c>
      <c r="AO289" s="616" t="e">
        <f>(AO290:AO293)</f>
        <v>#VALUE!</v>
      </c>
      <c r="AP289" s="616" t="e">
        <f t="shared" ref="AP289:AU289" si="146">(AP290:AP293)</f>
        <v>#VALUE!</v>
      </c>
      <c r="AQ289" s="616" t="e">
        <f t="shared" si="146"/>
        <v>#VALUE!</v>
      </c>
      <c r="AR289" s="616" t="e">
        <f t="shared" si="146"/>
        <v>#VALUE!</v>
      </c>
      <c r="AS289" s="616" t="e">
        <f t="shared" si="146"/>
        <v>#VALUE!</v>
      </c>
      <c r="AT289" s="616" t="e">
        <f t="shared" si="146"/>
        <v>#VALUE!</v>
      </c>
      <c r="AU289" s="616" t="e">
        <f t="shared" si="146"/>
        <v>#VALUE!</v>
      </c>
      <c r="AV289" s="617" t="e">
        <f t="shared" si="127"/>
        <v>#VALUE!</v>
      </c>
      <c r="AW289" s="616" t="e">
        <f t="shared" ref="AW289:BC289" si="147">(AW290:AW293)</f>
        <v>#VALUE!</v>
      </c>
      <c r="AX289" s="616" t="e">
        <f t="shared" si="147"/>
        <v>#VALUE!</v>
      </c>
      <c r="AY289" s="616" t="e">
        <f t="shared" si="147"/>
        <v>#VALUE!</v>
      </c>
      <c r="AZ289" s="616" t="e">
        <f t="shared" si="147"/>
        <v>#VALUE!</v>
      </c>
      <c r="BA289" s="616" t="e">
        <f t="shared" si="147"/>
        <v>#VALUE!</v>
      </c>
      <c r="BB289" s="616" t="e">
        <f t="shared" si="147"/>
        <v>#VALUE!</v>
      </c>
      <c r="BC289" s="616" t="e">
        <f t="shared" si="147"/>
        <v>#VALUE!</v>
      </c>
      <c r="BD289" s="617" t="e">
        <f t="shared" si="128"/>
        <v>#VALUE!</v>
      </c>
      <c r="BE289" s="616" t="e">
        <f t="shared" ref="BE289:BK289" si="148">(BE290:BE293)</f>
        <v>#VALUE!</v>
      </c>
      <c r="BF289" s="616" t="e">
        <f t="shared" si="148"/>
        <v>#VALUE!</v>
      </c>
      <c r="BG289" s="616" t="e">
        <f t="shared" si="148"/>
        <v>#VALUE!</v>
      </c>
      <c r="BH289" s="616" t="e">
        <f t="shared" si="148"/>
        <v>#VALUE!</v>
      </c>
      <c r="BI289" s="616" t="e">
        <f t="shared" si="148"/>
        <v>#VALUE!</v>
      </c>
      <c r="BJ289" s="616" t="e">
        <f t="shared" si="148"/>
        <v>#VALUE!</v>
      </c>
      <c r="BK289" s="616" t="e">
        <f t="shared" si="148"/>
        <v>#VALUE!</v>
      </c>
      <c r="BL289" s="617" t="e">
        <f t="shared" si="129"/>
        <v>#VALUE!</v>
      </c>
      <c r="BM289" s="616" t="e">
        <f t="shared" ref="BM289:BS289" si="149">(BM290:BM293)</f>
        <v>#VALUE!</v>
      </c>
      <c r="BN289" s="616" t="e">
        <f t="shared" si="149"/>
        <v>#VALUE!</v>
      </c>
      <c r="BO289" s="616" t="e">
        <f t="shared" si="149"/>
        <v>#VALUE!</v>
      </c>
      <c r="BP289" s="616" t="e">
        <f t="shared" si="149"/>
        <v>#VALUE!</v>
      </c>
      <c r="BQ289" s="616" t="e">
        <f t="shared" si="149"/>
        <v>#VALUE!</v>
      </c>
      <c r="BR289" s="616" t="e">
        <f t="shared" si="149"/>
        <v>#VALUE!</v>
      </c>
      <c r="BS289" s="616" t="e">
        <f t="shared" si="149"/>
        <v>#VALUE!</v>
      </c>
      <c r="BT289" s="617" t="e">
        <f t="shared" si="130"/>
        <v>#VALUE!</v>
      </c>
      <c r="BU289" s="600"/>
      <c r="BV289" s="663">
        <f t="shared" si="135"/>
        <v>0</v>
      </c>
      <c r="BW289" s="674" t="e">
        <f t="shared" si="136"/>
        <v>#DIV/0!</v>
      </c>
      <c r="BX289" s="674" t="e">
        <f t="shared" si="137"/>
        <v>#DIV/0!</v>
      </c>
      <c r="BY289" s="674" t="e">
        <f t="shared" si="138"/>
        <v>#DIV/0!</v>
      </c>
      <c r="BZ289" s="675" t="e">
        <f t="shared" si="139"/>
        <v>#DIV/0!</v>
      </c>
      <c r="CA289" s="675" t="e">
        <f t="shared" si="140"/>
        <v>#DIV/0!</v>
      </c>
      <c r="CB289"/>
      <c r="CC289"/>
      <c r="CD289"/>
      <c r="CE289"/>
      <c r="CF289"/>
      <c r="CG289"/>
      <c r="CH289"/>
      <c r="CI289" s="539">
        <f>SUM(CI294:CI305)</f>
        <v>0</v>
      </c>
      <c r="CJ289" s="539">
        <f>SUM(CJ294:CJ305)</f>
        <v>0</v>
      </c>
      <c r="CK289" s="539">
        <f>SUM(CK294:CK305)</f>
        <v>0</v>
      </c>
      <c r="CL289" s="539">
        <f>SUM(CL294:CL305)</f>
        <v>0</v>
      </c>
      <c r="CM289" s="539">
        <f>SUM(CF289:CL289)</f>
        <v>0</v>
      </c>
      <c r="CN289" s="539" t="e">
        <f>+CF289+BX289+AQ289+AI289</f>
        <v>#DIV/0!</v>
      </c>
      <c r="CO289" s="522" t="e">
        <f>+CG289+BY289+AR289+AJ289</f>
        <v>#DIV/0!</v>
      </c>
      <c r="CP289" s="34" t="e">
        <f>+CH289+BZ289+AS289+AK289</f>
        <v>#DIV/0!</v>
      </c>
      <c r="CQ289" s="34" t="e">
        <f>+CI289+CA289+AT289+AL289</f>
        <v>#DIV/0!</v>
      </c>
      <c r="CR289" s="34" t="e">
        <f>+CJ289+CB289+AU289+AM289</f>
        <v>#VALUE!</v>
      </c>
      <c r="CS289" s="34">
        <f>+AN289+CC289+CK289</f>
        <v>0</v>
      </c>
      <c r="CT289" s="34" t="e">
        <f>+CL289+CD289+AV289+AO289</f>
        <v>#VALUE!</v>
      </c>
      <c r="CU289" s="34" t="e">
        <f>+CM289+CE289+BU289+AP289</f>
        <v>#VALUE!</v>
      </c>
      <c r="CV289" s="40"/>
    </row>
    <row r="290" spans="1:100" s="3" customFormat="1" ht="114.75" hidden="1" customHeight="1" x14ac:dyDescent="0.2">
      <c r="A290" s="373" t="s">
        <v>800</v>
      </c>
      <c r="B290" s="299" t="str">
        <f>'PLAN INDICATIVO'!B287</f>
        <v>Desarrollo Económico/Promoción del desarrollo</v>
      </c>
      <c r="C290" s="1546" t="s">
        <v>879</v>
      </c>
      <c r="D290" s="1550" t="s">
        <v>880</v>
      </c>
      <c r="E290" s="1550" t="s">
        <v>881</v>
      </c>
      <c r="F290" s="1550">
        <v>2015</v>
      </c>
      <c r="G290" s="1550">
        <v>0</v>
      </c>
      <c r="H290" s="1550">
        <v>1</v>
      </c>
      <c r="I290" s="300">
        <f>'PLAN INDICATIVO'!I287</f>
        <v>0</v>
      </c>
      <c r="J290" s="300">
        <f>'PLAN INDICATIVO'!J287</f>
        <v>0</v>
      </c>
      <c r="K290" s="1428" t="str">
        <f>'PLAN INDICATIVO'!K287</f>
        <v>A.13.3.1</v>
      </c>
      <c r="L290" s="301" t="str">
        <f>'PLAN INDICATIVO'!L287</f>
        <v>9. Industria, innovación e infraestructura</v>
      </c>
      <c r="M290" s="301" t="s">
        <v>497</v>
      </c>
      <c r="N290" s="1425" t="s">
        <v>2791</v>
      </c>
      <c r="O290" s="1425" t="str">
        <f>'PLAN INDICATIVO'!O287</f>
        <v>Incremento</v>
      </c>
      <c r="P290" s="16" t="str">
        <f>'PLAN INDICATIVO'!P287</f>
        <v>Apoyar para la creación de un centro de investigación o desarrollo tecnológico</v>
      </c>
      <c r="Q290" s="302" t="str">
        <f>'PLAN INDICATIVO'!Q287</f>
        <v>No. De apoyos gestionados en el cuatrenio.</v>
      </c>
      <c r="R290" s="303">
        <f>'PLAN INDICATIVO'!R287</f>
        <v>2015</v>
      </c>
      <c r="S290" s="304">
        <v>0</v>
      </c>
      <c r="T290" s="498">
        <v>1</v>
      </c>
      <c r="U290" s="304">
        <v>1</v>
      </c>
      <c r="V290" s="304"/>
      <c r="W290" s="303">
        <v>0</v>
      </c>
      <c r="X290" s="687"/>
      <c r="Y290" s="303">
        <v>1</v>
      </c>
      <c r="Z290" s="304"/>
      <c r="AA290" s="303">
        <v>0</v>
      </c>
      <c r="AB290" s="305"/>
      <c r="AC290" s="665">
        <v>1</v>
      </c>
      <c r="AD290" s="665"/>
      <c r="AE290" s="665"/>
      <c r="AF290" s="665"/>
      <c r="AG290" s="307" t="s">
        <v>2873</v>
      </c>
      <c r="AH290" s="307" t="s">
        <v>2874</v>
      </c>
      <c r="AI290" s="374"/>
      <c r="AJ290" s="374"/>
      <c r="AK290" s="374"/>
      <c r="AL290" s="374"/>
      <c r="AM290" s="267" t="s">
        <v>2598</v>
      </c>
      <c r="AN290" s="509" t="s">
        <v>2875</v>
      </c>
      <c r="AO290" s="524"/>
      <c r="AP290" s="310">
        <v>2766000</v>
      </c>
      <c r="AQ290" s="374"/>
      <c r="AR290" s="374"/>
      <c r="AS290" s="374"/>
      <c r="AT290" s="374"/>
      <c r="AU290" s="374"/>
      <c r="AV290" s="544">
        <f t="shared" si="127"/>
        <v>2766000</v>
      </c>
      <c r="AW290" s="524"/>
      <c r="AX290" s="374"/>
      <c r="AY290" s="374"/>
      <c r="AZ290" s="374"/>
      <c r="BA290" s="374"/>
      <c r="BB290" s="374"/>
      <c r="BC290" s="374"/>
      <c r="BD290" s="544">
        <f t="shared" si="128"/>
        <v>0</v>
      </c>
      <c r="BE290" s="524"/>
      <c r="BF290" s="374"/>
      <c r="BG290" s="374"/>
      <c r="BH290" s="374"/>
      <c r="BI290" s="374"/>
      <c r="BJ290" s="374"/>
      <c r="BK290" s="374"/>
      <c r="BL290" s="544">
        <f t="shared" si="129"/>
        <v>0</v>
      </c>
      <c r="BM290" s="524"/>
      <c r="BN290" s="374"/>
      <c r="BO290" s="374"/>
      <c r="BP290" s="374"/>
      <c r="BQ290" s="374"/>
      <c r="BR290" s="374"/>
      <c r="BS290" s="374"/>
      <c r="BT290" s="544">
        <f t="shared" si="130"/>
        <v>0</v>
      </c>
      <c r="BU290" s="600"/>
      <c r="BV290" s="663">
        <f t="shared" si="135"/>
        <v>1</v>
      </c>
      <c r="BW290" s="674">
        <f t="shared" si="136"/>
        <v>1</v>
      </c>
      <c r="BX290" s="674">
        <f t="shared" si="137"/>
        <v>1</v>
      </c>
      <c r="BY290" s="674" t="e">
        <f t="shared" si="138"/>
        <v>#DIV/0!</v>
      </c>
      <c r="BZ290" s="675">
        <f t="shared" si="139"/>
        <v>0</v>
      </c>
      <c r="CA290" s="675" t="e">
        <f t="shared" si="140"/>
        <v>#DIV/0!</v>
      </c>
      <c r="CB290" s="540"/>
      <c r="CC290" s="540"/>
      <c r="CD290" s="540"/>
      <c r="CE290" s="540"/>
      <c r="CF290" s="540"/>
      <c r="CG290" s="540"/>
      <c r="CH290" s="540"/>
      <c r="CI290" s="540"/>
      <c r="CJ290" s="540"/>
      <c r="CK290" s="540"/>
      <c r="CL290" s="540"/>
      <c r="CM290" s="540"/>
      <c r="CN290" s="540"/>
      <c r="CO290" s="523"/>
      <c r="CP290" s="32"/>
      <c r="CQ290" s="32"/>
      <c r="CR290" s="32"/>
      <c r="CS290" s="32"/>
      <c r="CT290" s="32"/>
      <c r="CU290" s="32"/>
      <c r="CV290" s="40"/>
    </row>
    <row r="291" spans="1:100" s="3" customFormat="1" ht="89.25" hidden="1" x14ac:dyDescent="0.2">
      <c r="A291" s="373" t="s">
        <v>800</v>
      </c>
      <c r="B291" s="299" t="str">
        <f>'PLAN INDICATIVO'!B288</f>
        <v>Desarrollo Económico/Promoción del desarrollo</v>
      </c>
      <c r="C291" s="1547"/>
      <c r="D291" s="1551"/>
      <c r="E291" s="1551"/>
      <c r="F291" s="1551"/>
      <c r="G291" s="1551"/>
      <c r="H291" s="1551"/>
      <c r="I291" s="300">
        <f>'PLAN INDICATIVO'!I288</f>
        <v>0</v>
      </c>
      <c r="J291" s="300">
        <f>'PLAN INDICATIVO'!J288</f>
        <v>0</v>
      </c>
      <c r="K291" s="1428" t="str">
        <f>'PLAN INDICATIVO'!K288</f>
        <v>A.13.3.2</v>
      </c>
      <c r="L291" s="301" t="str">
        <f>'PLAN INDICATIVO'!L288</f>
        <v>9. Industria, innovación e infraestructura</v>
      </c>
      <c r="M291" s="301" t="s">
        <v>497</v>
      </c>
      <c r="N291" s="1425" t="s">
        <v>2791</v>
      </c>
      <c r="O291" s="1425" t="str">
        <f>'PLAN INDICATIVO'!O288</f>
        <v>Incremento</v>
      </c>
      <c r="P291" s="16" t="str">
        <f>'PLAN INDICATIVO'!P288</f>
        <v>Apoyo para la creación de grupos de investigación categorizados por Colciencias.</v>
      </c>
      <c r="Q291" s="302" t="str">
        <f>'PLAN INDICATIVO'!Q288</f>
        <v>No. De apoyos gestionados en el cuatrienio.</v>
      </c>
      <c r="R291" s="303">
        <f>'PLAN INDICATIVO'!R288</f>
        <v>2015</v>
      </c>
      <c r="S291" s="304">
        <v>0</v>
      </c>
      <c r="T291" s="498">
        <v>1</v>
      </c>
      <c r="U291" s="304">
        <v>0</v>
      </c>
      <c r="V291" s="304"/>
      <c r="W291" s="303">
        <v>1</v>
      </c>
      <c r="X291" s="687">
        <v>500000</v>
      </c>
      <c r="Y291" s="303">
        <v>0</v>
      </c>
      <c r="Z291" s="304"/>
      <c r="AA291" s="303">
        <v>0</v>
      </c>
      <c r="AB291" s="305"/>
      <c r="AC291" s="665">
        <v>0</v>
      </c>
      <c r="AD291" s="665"/>
      <c r="AE291" s="665"/>
      <c r="AF291" s="665"/>
      <c r="AG291" s="266"/>
      <c r="AH291" s="307"/>
      <c r="AI291" s="374"/>
      <c r="AJ291" s="374"/>
      <c r="AK291" s="374"/>
      <c r="AL291" s="374"/>
      <c r="AM291" s="267" t="s">
        <v>2594</v>
      </c>
      <c r="AN291" s="514"/>
      <c r="AO291" s="524"/>
      <c r="AP291" s="374"/>
      <c r="AQ291" s="374"/>
      <c r="AR291" s="374"/>
      <c r="AS291" s="374"/>
      <c r="AT291" s="374"/>
      <c r="AU291" s="374"/>
      <c r="AV291" s="544">
        <f t="shared" si="127"/>
        <v>0</v>
      </c>
      <c r="AW291" s="524"/>
      <c r="AX291" s="374"/>
      <c r="AY291" s="374"/>
      <c r="AZ291" s="374"/>
      <c r="BA291" s="374"/>
      <c r="BB291" s="374"/>
      <c r="BC291" s="374"/>
      <c r="BD291" s="544">
        <f t="shared" si="128"/>
        <v>0</v>
      </c>
      <c r="BE291" s="524"/>
      <c r="BF291" s="374"/>
      <c r="BG291" s="374"/>
      <c r="BH291" s="374"/>
      <c r="BI291" s="374"/>
      <c r="BJ291" s="374"/>
      <c r="BK291" s="374"/>
      <c r="BL291" s="544">
        <f t="shared" si="129"/>
        <v>0</v>
      </c>
      <c r="BM291" s="524"/>
      <c r="BN291" s="374"/>
      <c r="BO291" s="374"/>
      <c r="BP291" s="374"/>
      <c r="BQ291" s="374"/>
      <c r="BR291" s="374"/>
      <c r="BS291" s="374"/>
      <c r="BT291" s="544">
        <f t="shared" si="130"/>
        <v>0</v>
      </c>
      <c r="BU291" s="600"/>
      <c r="BV291" s="663">
        <f t="shared" si="135"/>
        <v>0</v>
      </c>
      <c r="BW291" s="674">
        <f t="shared" si="136"/>
        <v>0</v>
      </c>
      <c r="BX291" s="674" t="e">
        <f t="shared" si="137"/>
        <v>#DIV/0!</v>
      </c>
      <c r="BY291" s="674">
        <f t="shared" si="138"/>
        <v>0</v>
      </c>
      <c r="BZ291" s="675" t="e">
        <f t="shared" si="139"/>
        <v>#DIV/0!</v>
      </c>
      <c r="CA291" s="675" t="e">
        <f t="shared" si="140"/>
        <v>#DIV/0!</v>
      </c>
      <c r="CB291" s="540"/>
      <c r="CC291" s="540"/>
      <c r="CD291" s="540"/>
      <c r="CE291" s="540"/>
      <c r="CF291" s="540"/>
      <c r="CG291" s="540"/>
      <c r="CH291" s="540"/>
      <c r="CI291" s="540"/>
      <c r="CJ291" s="540"/>
      <c r="CK291" s="540"/>
      <c r="CL291" s="540"/>
      <c r="CM291" s="540"/>
      <c r="CN291" s="540"/>
      <c r="CO291" s="523"/>
      <c r="CP291" s="32"/>
      <c r="CQ291" s="32"/>
      <c r="CR291" s="32"/>
      <c r="CS291" s="32"/>
      <c r="CT291" s="32"/>
      <c r="CU291" s="32"/>
      <c r="CV291" s="40"/>
    </row>
    <row r="292" spans="1:100" s="3" customFormat="1" ht="63.75" hidden="1" x14ac:dyDescent="0.2">
      <c r="A292" s="298" t="s">
        <v>800</v>
      </c>
      <c r="B292" s="299" t="str">
        <f>'PLAN INDICATIVO'!B289</f>
        <v>Desarrollo Económico/Promoción del desarrollo</v>
      </c>
      <c r="C292" s="1547"/>
      <c r="D292" s="1551"/>
      <c r="E292" s="1551"/>
      <c r="F292" s="1551"/>
      <c r="G292" s="1551"/>
      <c r="H292" s="1551"/>
      <c r="I292" s="300">
        <f>'PLAN INDICATIVO'!I289</f>
        <v>0</v>
      </c>
      <c r="J292" s="300">
        <f>'PLAN INDICATIVO'!J289</f>
        <v>0</v>
      </c>
      <c r="K292" s="1428" t="str">
        <f>'PLAN INDICATIVO'!K289</f>
        <v>A.13.3.3</v>
      </c>
      <c r="L292" s="301" t="str">
        <f>'PLAN INDICATIVO'!L289</f>
        <v>9. Industria, innovación e infraestructura</v>
      </c>
      <c r="M292" s="301" t="s">
        <v>497</v>
      </c>
      <c r="N292" s="1425" t="s">
        <v>2791</v>
      </c>
      <c r="O292" s="1425" t="str">
        <f>'PLAN INDICATIVO'!O289</f>
        <v>Incremento</v>
      </c>
      <c r="P292" s="16" t="str">
        <f>'PLAN INDICATIVO'!P289</f>
        <v>Implementar 1 punto vive digital para mejorar acceso a competitividad local</v>
      </c>
      <c r="Q292" s="302" t="str">
        <f>'PLAN INDICATIVO'!Q289</f>
        <v>Punto vive digital implementado</v>
      </c>
      <c r="R292" s="303">
        <f>'PLAN INDICATIVO'!R289</f>
        <v>2015</v>
      </c>
      <c r="S292" s="304">
        <v>0</v>
      </c>
      <c r="T292" s="498">
        <v>1</v>
      </c>
      <c r="U292" s="304">
        <v>0</v>
      </c>
      <c r="V292" s="304"/>
      <c r="W292" s="303">
        <v>0</v>
      </c>
      <c r="X292" s="687"/>
      <c r="Y292" s="303">
        <v>1</v>
      </c>
      <c r="Z292" s="687">
        <v>500000</v>
      </c>
      <c r="AA292" s="303">
        <v>0</v>
      </c>
      <c r="AB292" s="305"/>
      <c r="AC292" s="665">
        <v>4</v>
      </c>
      <c r="AD292" s="665"/>
      <c r="AE292" s="665"/>
      <c r="AF292" s="665"/>
      <c r="AG292" s="306">
        <v>0</v>
      </c>
      <c r="AH292" s="307">
        <v>1</v>
      </c>
      <c r="AI292" s="310"/>
      <c r="AJ292" s="310"/>
      <c r="AK292" s="310"/>
      <c r="AL292" s="310"/>
      <c r="AM292" s="267" t="s">
        <v>2598</v>
      </c>
      <c r="AN292" s="509"/>
      <c r="AO292" s="525"/>
      <c r="AP292" s="310"/>
      <c r="AQ292" s="310"/>
      <c r="AR292" s="310"/>
      <c r="AS292" s="310"/>
      <c r="AT292" s="310"/>
      <c r="AU292" s="310"/>
      <c r="AV292" s="544">
        <f t="shared" si="127"/>
        <v>0</v>
      </c>
      <c r="AW292" s="525"/>
      <c r="AX292" s="310"/>
      <c r="AY292" s="310"/>
      <c r="AZ292" s="310"/>
      <c r="BA292" s="310"/>
      <c r="BB292" s="310"/>
      <c r="BC292" s="310"/>
      <c r="BD292" s="544">
        <f t="shared" si="128"/>
        <v>0</v>
      </c>
      <c r="BE292" s="525"/>
      <c r="BF292" s="310"/>
      <c r="BG292" s="310"/>
      <c r="BH292" s="310"/>
      <c r="BI292" s="310"/>
      <c r="BJ292" s="310"/>
      <c r="BK292" s="310"/>
      <c r="BL292" s="544">
        <f t="shared" si="129"/>
        <v>0</v>
      </c>
      <c r="BM292" s="525"/>
      <c r="BN292" s="310"/>
      <c r="BO292" s="310"/>
      <c r="BP292" s="310"/>
      <c r="BQ292" s="310"/>
      <c r="BR292" s="310"/>
      <c r="BS292" s="310"/>
      <c r="BT292" s="544">
        <f t="shared" si="130"/>
        <v>0</v>
      </c>
      <c r="BU292" s="648">
        <f>SUM(AQ292:AV292)</f>
        <v>0</v>
      </c>
      <c r="BV292" s="663">
        <f t="shared" si="135"/>
        <v>4</v>
      </c>
      <c r="BW292" s="674">
        <f t="shared" si="136"/>
        <v>4</v>
      </c>
      <c r="BX292" s="674">
        <v>4</v>
      </c>
      <c r="BY292" s="674" t="e">
        <f t="shared" si="138"/>
        <v>#DIV/0!</v>
      </c>
      <c r="BZ292" s="675">
        <f t="shared" si="139"/>
        <v>0</v>
      </c>
      <c r="CA292" s="675" t="e">
        <f t="shared" si="140"/>
        <v>#DIV/0!</v>
      </c>
      <c r="CB292" s="75"/>
      <c r="CC292" s="75"/>
      <c r="CD292" s="75"/>
      <c r="CE292" s="75"/>
      <c r="CF292" s="75"/>
      <c r="CG292" s="75"/>
      <c r="CH292" s="75"/>
      <c r="CI292" s="75"/>
      <c r="CJ292" s="75"/>
      <c r="CK292" s="75"/>
      <c r="CL292" s="75"/>
      <c r="CM292" s="75">
        <f>SUM(CF292:CL292)</f>
        <v>0</v>
      </c>
      <c r="CN292" s="75">
        <f>+CF292+BX292+AQ292+AI292</f>
        <v>4</v>
      </c>
      <c r="CO292" s="521" t="e">
        <f>+CG292+BY292+AR292+AJ292</f>
        <v>#DIV/0!</v>
      </c>
      <c r="CP292" s="42">
        <f>+CH292+BZ292+AS292+AK292</f>
        <v>0</v>
      </c>
      <c r="CQ292" s="42" t="e">
        <f>+CI292+CA292+AT292+AL292</f>
        <v>#DIV/0!</v>
      </c>
      <c r="CR292" s="42" t="e">
        <f>+CJ292+CB292+AU292+AM292</f>
        <v>#VALUE!</v>
      </c>
      <c r="CS292" s="42">
        <f>+AN292+CC292+CK292</f>
        <v>0</v>
      </c>
      <c r="CT292" s="42">
        <f>+CL292+CD292+AV292+AO292</f>
        <v>0</v>
      </c>
      <c r="CU292" s="42">
        <f>+CM292+CE292+BU292+AP292</f>
        <v>0</v>
      </c>
      <c r="CV292" s="40"/>
    </row>
    <row r="293" spans="1:100" s="3" customFormat="1" ht="127.5" hidden="1" x14ac:dyDescent="0.2">
      <c r="A293" s="373" t="s">
        <v>800</v>
      </c>
      <c r="B293" s="299" t="str">
        <f>'PLAN INDICATIVO'!B290</f>
        <v>Desarrollo Económico/Promoción del desarrollo</v>
      </c>
      <c r="C293" s="1547"/>
      <c r="D293" s="1552"/>
      <c r="E293" s="1552"/>
      <c r="F293" s="1552"/>
      <c r="G293" s="1552"/>
      <c r="H293" s="1552"/>
      <c r="I293" s="300">
        <f>'PLAN INDICATIVO'!I290</f>
        <v>0</v>
      </c>
      <c r="J293" s="300">
        <f>'PLAN INDICATIVO'!J290</f>
        <v>0</v>
      </c>
      <c r="K293" s="1428" t="str">
        <f>'PLAN INDICATIVO'!K290</f>
        <v>A.13.3.4</v>
      </c>
      <c r="L293" s="301" t="str">
        <f>'PLAN INDICATIVO'!L290</f>
        <v>9. Industria, innovación e infraestructura</v>
      </c>
      <c r="M293" s="301" t="s">
        <v>497</v>
      </c>
      <c r="N293" s="1425" t="s">
        <v>2791</v>
      </c>
      <c r="O293" s="1425" t="str">
        <f>'PLAN INDICATIVO'!O290</f>
        <v>Incremento</v>
      </c>
      <c r="P293" s="16" t="str">
        <f>'PLAN INDICATIVO'!P290</f>
        <v>Formular 4 proyectos de ciencia, tecnología e imnovacion durante el cuatrienio, ante entidades del orden departamental, nacional e internacional</v>
      </c>
      <c r="Q293" s="302" t="str">
        <f>'PLAN INDICATIVO'!Q290</f>
        <v>No. De proyectos apoyados y/o gestionados en el cuatrenio.</v>
      </c>
      <c r="R293" s="303">
        <f>'PLAN INDICATIVO'!R290</f>
        <v>2015</v>
      </c>
      <c r="S293" s="304">
        <v>0</v>
      </c>
      <c r="T293" s="498">
        <v>4</v>
      </c>
      <c r="U293" s="304">
        <v>0</v>
      </c>
      <c r="V293" s="304"/>
      <c r="W293" s="303">
        <v>1</v>
      </c>
      <c r="X293" s="687">
        <v>500000</v>
      </c>
      <c r="Y293" s="303">
        <v>1</v>
      </c>
      <c r="Z293" s="687">
        <v>500000</v>
      </c>
      <c r="AA293" s="303">
        <v>2</v>
      </c>
      <c r="AB293" s="687">
        <v>500000</v>
      </c>
      <c r="AC293" s="665">
        <v>0</v>
      </c>
      <c r="AD293" s="665"/>
      <c r="AE293" s="665"/>
      <c r="AF293" s="665"/>
      <c r="AG293" s="266"/>
      <c r="AH293" s="307"/>
      <c r="AI293" s="374"/>
      <c r="AJ293" s="374"/>
      <c r="AK293" s="374"/>
      <c r="AL293" s="374"/>
      <c r="AM293" s="267" t="s">
        <v>2594</v>
      </c>
      <c r="AN293" s="514"/>
      <c r="AO293" s="524"/>
      <c r="AP293" s="374"/>
      <c r="AQ293" s="374"/>
      <c r="AR293" s="374"/>
      <c r="AS293" s="374"/>
      <c r="AT293" s="374"/>
      <c r="AU293" s="374"/>
      <c r="AV293" s="544">
        <f t="shared" si="127"/>
        <v>0</v>
      </c>
      <c r="AW293" s="524"/>
      <c r="AX293" s="374"/>
      <c r="AY293" s="374"/>
      <c r="AZ293" s="374"/>
      <c r="BA293" s="374"/>
      <c r="BB293" s="374"/>
      <c r="BC293" s="374"/>
      <c r="BD293" s="544">
        <f t="shared" si="128"/>
        <v>0</v>
      </c>
      <c r="BE293" s="524"/>
      <c r="BF293" s="374"/>
      <c r="BG293" s="374"/>
      <c r="BH293" s="374"/>
      <c r="BI293" s="374"/>
      <c r="BJ293" s="374"/>
      <c r="BK293" s="374"/>
      <c r="BL293" s="544">
        <f t="shared" si="129"/>
        <v>0</v>
      </c>
      <c r="BM293" s="524"/>
      <c r="BN293" s="374"/>
      <c r="BO293" s="374"/>
      <c r="BP293" s="374"/>
      <c r="BQ293" s="374"/>
      <c r="BR293" s="374"/>
      <c r="BS293" s="374"/>
      <c r="BT293" s="544">
        <f t="shared" si="130"/>
        <v>0</v>
      </c>
      <c r="BU293" s="600"/>
      <c r="BV293" s="663">
        <f t="shared" si="135"/>
        <v>0</v>
      </c>
      <c r="BW293" s="674">
        <f t="shared" si="136"/>
        <v>0</v>
      </c>
      <c r="BX293" s="674" t="e">
        <f t="shared" si="137"/>
        <v>#DIV/0!</v>
      </c>
      <c r="BY293" s="674">
        <f t="shared" si="138"/>
        <v>0</v>
      </c>
      <c r="BZ293" s="675">
        <f t="shared" si="139"/>
        <v>0</v>
      </c>
      <c r="CA293" s="675">
        <f t="shared" si="140"/>
        <v>0</v>
      </c>
      <c r="CB293" s="540"/>
      <c r="CC293" s="540"/>
      <c r="CD293" s="540"/>
      <c r="CE293" s="540"/>
      <c r="CF293" s="540"/>
      <c r="CG293" s="540"/>
      <c r="CH293" s="540"/>
      <c r="CI293" s="540"/>
      <c r="CJ293" s="540"/>
      <c r="CK293" s="540"/>
      <c r="CL293" s="540"/>
      <c r="CM293" s="540"/>
      <c r="CN293" s="540"/>
      <c r="CO293" s="523"/>
      <c r="CP293" s="32"/>
      <c r="CQ293" s="32"/>
      <c r="CR293" s="32"/>
      <c r="CS293" s="32"/>
      <c r="CT293" s="32"/>
      <c r="CU293" s="32"/>
      <c r="CV293" s="40"/>
    </row>
    <row r="294" spans="1:100" ht="5.25" hidden="1" customHeight="1" x14ac:dyDescent="0.25">
      <c r="A294" s="420"/>
      <c r="B294" s="297" t="e">
        <f>'PLAN INDICATIVO'!#REF!</f>
        <v>#REF!</v>
      </c>
      <c r="C294" s="297"/>
      <c r="D294" s="291"/>
      <c r="E294" s="291"/>
      <c r="F294" s="291"/>
      <c r="G294" s="291"/>
      <c r="H294" s="291"/>
      <c r="I294" s="291"/>
      <c r="J294" s="291"/>
      <c r="K294" s="291"/>
      <c r="L294" s="291"/>
      <c r="M294" s="291"/>
      <c r="N294" s="291"/>
      <c r="O294" s="291"/>
      <c r="P294" s="408"/>
      <c r="Q294" s="408"/>
      <c r="R294" s="291"/>
      <c r="S294" s="409"/>
      <c r="T294" s="677"/>
      <c r="U294" s="409">
        <v>0</v>
      </c>
      <c r="V294" s="409"/>
      <c r="W294" s="409"/>
      <c r="X294" s="409"/>
      <c r="Y294" s="409"/>
      <c r="Z294" s="409"/>
      <c r="AA294" s="410"/>
      <c r="AB294" s="410"/>
      <c r="AC294" s="410"/>
      <c r="AD294" s="410"/>
      <c r="AE294" s="410"/>
      <c r="AF294" s="410"/>
      <c r="AG294" s="411"/>
      <c r="AH294" s="411"/>
      <c r="AI294" s="410"/>
      <c r="AJ294" s="410"/>
      <c r="AK294" s="410"/>
      <c r="AL294" s="410"/>
      <c r="AM294" s="410"/>
      <c r="AN294" s="507"/>
      <c r="AO294" s="525"/>
      <c r="AP294" s="310"/>
      <c r="AQ294" s="310"/>
      <c r="AR294" s="310"/>
      <c r="AS294" s="310"/>
      <c r="AT294" s="310"/>
      <c r="AU294" s="310"/>
      <c r="AV294" s="544">
        <f t="shared" si="127"/>
        <v>0</v>
      </c>
      <c r="AW294" s="525"/>
      <c r="AX294" s="310"/>
      <c r="AY294" s="310"/>
      <c r="AZ294" s="310"/>
      <c r="BA294" s="310"/>
      <c r="BB294" s="310"/>
      <c r="BC294" s="310"/>
      <c r="BD294" s="544">
        <f t="shared" si="128"/>
        <v>0</v>
      </c>
      <c r="BE294" s="525"/>
      <c r="BF294" s="310"/>
      <c r="BG294" s="310"/>
      <c r="BH294" s="310"/>
      <c r="BI294" s="310"/>
      <c r="BJ294" s="310"/>
      <c r="BK294" s="310"/>
      <c r="BL294" s="544">
        <f t="shared" si="129"/>
        <v>0</v>
      </c>
      <c r="BM294" s="525"/>
      <c r="BN294" s="310"/>
      <c r="BO294" s="310"/>
      <c r="BP294" s="310"/>
      <c r="BQ294" s="310"/>
      <c r="BR294" s="310"/>
      <c r="BS294" s="310"/>
      <c r="BT294" s="544">
        <f t="shared" si="130"/>
        <v>0</v>
      </c>
      <c r="BU294" s="556"/>
      <c r="BV294" s="663">
        <f t="shared" si="135"/>
        <v>0</v>
      </c>
      <c r="BW294" s="674" t="e">
        <f t="shared" si="136"/>
        <v>#DIV/0!</v>
      </c>
      <c r="BX294" s="674" t="e">
        <f t="shared" si="137"/>
        <v>#DIV/0!</v>
      </c>
      <c r="BY294" s="674" t="e">
        <f t="shared" si="138"/>
        <v>#DIV/0!</v>
      </c>
      <c r="BZ294" s="675" t="e">
        <f t="shared" si="139"/>
        <v>#DIV/0!</v>
      </c>
      <c r="CA294" s="675" t="e">
        <f t="shared" si="140"/>
        <v>#DIV/0!</v>
      </c>
    </row>
    <row r="295" spans="1:100" ht="38.25" hidden="1" customHeight="1" x14ac:dyDescent="0.25">
      <c r="A295" s="423"/>
      <c r="B295" s="293" t="str">
        <f>'PLAN INDICATIVO'!B291</f>
        <v>Agropecuario</v>
      </c>
      <c r="C295" s="1629" t="s">
        <v>2876</v>
      </c>
      <c r="D295" s="1630"/>
      <c r="E295" s="1630"/>
      <c r="F295" s="1630"/>
      <c r="G295" s="1630"/>
      <c r="H295" s="1630"/>
      <c r="I295" s="1630"/>
      <c r="J295" s="1630"/>
      <c r="K295" s="1630"/>
      <c r="L295" s="1630"/>
      <c r="M295" s="1630"/>
      <c r="N295" s="1630"/>
      <c r="O295" s="1630"/>
      <c r="P295" s="1630"/>
      <c r="Q295" s="1630"/>
      <c r="R295" s="1630"/>
      <c r="S295" s="1630"/>
      <c r="T295" s="1630"/>
      <c r="U295" s="1630"/>
      <c r="V295" s="1630"/>
      <c r="W295" s="1630"/>
      <c r="X295" s="1630"/>
      <c r="Y295" s="1630"/>
      <c r="Z295" s="1630"/>
      <c r="AA295" s="1630"/>
      <c r="AB295" s="1630"/>
      <c r="AC295" s="1630"/>
      <c r="AD295" s="1630"/>
      <c r="AE295" s="1630"/>
      <c r="AF295" s="1630"/>
      <c r="AG295" s="1630"/>
      <c r="AH295" s="1630"/>
      <c r="AI295" s="1630"/>
      <c r="AJ295" s="1630"/>
      <c r="AK295" s="1630"/>
      <c r="AL295" s="1631"/>
      <c r="AM295" s="294"/>
      <c r="AN295" s="506"/>
      <c r="AO295" s="524"/>
      <c r="AP295" s="374"/>
      <c r="AQ295" s="374"/>
      <c r="AR295" s="374"/>
      <c r="AS295" s="374"/>
      <c r="AT295" s="374"/>
      <c r="AU295" s="374"/>
      <c r="AV295" s="544">
        <f t="shared" si="127"/>
        <v>0</v>
      </c>
      <c r="AW295" s="524"/>
      <c r="AX295" s="374"/>
      <c r="AY295" s="374"/>
      <c r="AZ295" s="374"/>
      <c r="BA295" s="374"/>
      <c r="BB295" s="374"/>
      <c r="BC295" s="374"/>
      <c r="BD295" s="544">
        <f t="shared" si="128"/>
        <v>0</v>
      </c>
      <c r="BE295" s="524"/>
      <c r="BF295" s="374"/>
      <c r="BG295" s="374"/>
      <c r="BH295" s="374"/>
      <c r="BI295" s="374"/>
      <c r="BJ295" s="374"/>
      <c r="BK295" s="374"/>
      <c r="BL295" s="544">
        <f t="shared" si="129"/>
        <v>0</v>
      </c>
      <c r="BM295" s="524"/>
      <c r="BN295" s="374"/>
      <c r="BO295" s="374"/>
      <c r="BP295" s="374"/>
      <c r="BQ295" s="374"/>
      <c r="BR295" s="374"/>
      <c r="BS295" s="374"/>
      <c r="BT295" s="544">
        <f t="shared" si="130"/>
        <v>0</v>
      </c>
      <c r="BU295" s="556"/>
      <c r="BV295" s="663">
        <f t="shared" si="135"/>
        <v>0</v>
      </c>
      <c r="BW295" s="674" t="e">
        <f t="shared" si="136"/>
        <v>#DIV/0!</v>
      </c>
      <c r="BX295" s="674" t="e">
        <f t="shared" si="137"/>
        <v>#DIV/0!</v>
      </c>
      <c r="BY295" s="674" t="e">
        <f t="shared" si="138"/>
        <v>#DIV/0!</v>
      </c>
      <c r="BZ295" s="675" t="e">
        <f t="shared" si="139"/>
        <v>#DIV/0!</v>
      </c>
      <c r="CA295" s="675" t="e">
        <f t="shared" si="140"/>
        <v>#DIV/0!</v>
      </c>
    </row>
    <row r="296" spans="1:100" ht="18" hidden="1" x14ac:dyDescent="0.25">
      <c r="A296" s="296"/>
      <c r="B296" s="24" t="str">
        <f>'PLAN INDICATIVO'!B292</f>
        <v>Agropecuario</v>
      </c>
      <c r="C296" s="1574" t="s">
        <v>895</v>
      </c>
      <c r="D296" s="1575"/>
      <c r="E296" s="1575"/>
      <c r="F296" s="1575"/>
      <c r="G296" s="1575"/>
      <c r="H296" s="1575"/>
      <c r="I296" s="1575"/>
      <c r="J296" s="1575"/>
      <c r="K296" s="1575"/>
      <c r="L296" s="1575"/>
      <c r="M296" s="1575"/>
      <c r="N296" s="1575"/>
      <c r="O296" s="1576"/>
      <c r="P296" s="22"/>
      <c r="Q296" s="22"/>
      <c r="R296" s="1"/>
      <c r="S296" s="261"/>
      <c r="T296" s="681"/>
      <c r="U296" s="261"/>
      <c r="V296" s="689">
        <f>SUM(V297:V329)</f>
        <v>235700000</v>
      </c>
      <c r="W296" s="261"/>
      <c r="X296" s="689">
        <f>SUM(X297:X329)</f>
        <v>273000000</v>
      </c>
      <c r="Y296" s="261"/>
      <c r="Z296" s="689">
        <f>SUM(Z297:Z329)</f>
        <v>401000000</v>
      </c>
      <c r="AA296" s="262"/>
      <c r="AB296" s="690">
        <f>SUM(AB297:AB329)</f>
        <v>237000000</v>
      </c>
      <c r="AC296" s="262"/>
      <c r="AD296" s="262"/>
      <c r="AE296" s="262"/>
      <c r="AF296" s="262"/>
      <c r="AG296" s="263"/>
      <c r="AH296" s="263"/>
      <c r="AI296" s="262"/>
      <c r="AJ296" s="262"/>
      <c r="AK296" s="262"/>
      <c r="AL296" s="262"/>
      <c r="AM296" s="262"/>
      <c r="AN296" s="612"/>
      <c r="AO296" s="616" t="e">
        <f>(AO297:AO329)</f>
        <v>#VALUE!</v>
      </c>
      <c r="AP296" s="616" t="e">
        <f t="shared" ref="AP296:AU296" si="150">(AP297:AP329)</f>
        <v>#VALUE!</v>
      </c>
      <c r="AQ296" s="616" t="e">
        <f t="shared" si="150"/>
        <v>#VALUE!</v>
      </c>
      <c r="AR296" s="616" t="e">
        <f t="shared" si="150"/>
        <v>#VALUE!</v>
      </c>
      <c r="AS296" s="616" t="e">
        <f t="shared" si="150"/>
        <v>#VALUE!</v>
      </c>
      <c r="AT296" s="616" t="e">
        <f t="shared" si="150"/>
        <v>#VALUE!</v>
      </c>
      <c r="AU296" s="616" t="e">
        <f t="shared" si="150"/>
        <v>#VALUE!</v>
      </c>
      <c r="AV296" s="617" t="e">
        <f t="shared" si="127"/>
        <v>#VALUE!</v>
      </c>
      <c r="AW296" s="616" t="e">
        <f t="shared" ref="AW296:BC296" si="151">(AW297:AW329)</f>
        <v>#VALUE!</v>
      </c>
      <c r="AX296" s="616" t="e">
        <f t="shared" si="151"/>
        <v>#VALUE!</v>
      </c>
      <c r="AY296" s="616" t="e">
        <f t="shared" si="151"/>
        <v>#VALUE!</v>
      </c>
      <c r="AZ296" s="616" t="e">
        <f t="shared" si="151"/>
        <v>#VALUE!</v>
      </c>
      <c r="BA296" s="616" t="e">
        <f t="shared" si="151"/>
        <v>#VALUE!</v>
      </c>
      <c r="BB296" s="616" t="e">
        <f t="shared" si="151"/>
        <v>#VALUE!</v>
      </c>
      <c r="BC296" s="616" t="e">
        <f t="shared" si="151"/>
        <v>#VALUE!</v>
      </c>
      <c r="BD296" s="617" t="e">
        <f t="shared" si="128"/>
        <v>#VALUE!</v>
      </c>
      <c r="BE296" s="616" t="e">
        <f t="shared" ref="BE296:BK296" si="152">(BE297:BE329)</f>
        <v>#VALUE!</v>
      </c>
      <c r="BF296" s="616" t="e">
        <f t="shared" si="152"/>
        <v>#VALUE!</v>
      </c>
      <c r="BG296" s="616" t="e">
        <f t="shared" si="152"/>
        <v>#VALUE!</v>
      </c>
      <c r="BH296" s="616" t="e">
        <f t="shared" si="152"/>
        <v>#VALUE!</v>
      </c>
      <c r="BI296" s="616" t="e">
        <f t="shared" si="152"/>
        <v>#VALUE!</v>
      </c>
      <c r="BJ296" s="616" t="e">
        <f t="shared" si="152"/>
        <v>#VALUE!</v>
      </c>
      <c r="BK296" s="616" t="e">
        <f t="shared" si="152"/>
        <v>#VALUE!</v>
      </c>
      <c r="BL296" s="617" t="e">
        <f t="shared" si="129"/>
        <v>#VALUE!</v>
      </c>
      <c r="BM296" s="616" t="e">
        <f t="shared" ref="BM296:BS296" si="153">(BM297:BM329)</f>
        <v>#VALUE!</v>
      </c>
      <c r="BN296" s="616" t="e">
        <f t="shared" si="153"/>
        <v>#VALUE!</v>
      </c>
      <c r="BO296" s="616" t="e">
        <f t="shared" si="153"/>
        <v>#VALUE!</v>
      </c>
      <c r="BP296" s="616" t="e">
        <f t="shared" si="153"/>
        <v>#VALUE!</v>
      </c>
      <c r="BQ296" s="616" t="e">
        <f t="shared" si="153"/>
        <v>#VALUE!</v>
      </c>
      <c r="BR296" s="616" t="e">
        <f t="shared" si="153"/>
        <v>#VALUE!</v>
      </c>
      <c r="BS296" s="616" t="e">
        <f t="shared" si="153"/>
        <v>#VALUE!</v>
      </c>
      <c r="BT296" s="617" t="e">
        <f t="shared" si="130"/>
        <v>#VALUE!</v>
      </c>
      <c r="BU296" s="556"/>
      <c r="BV296" s="663">
        <f t="shared" si="135"/>
        <v>0</v>
      </c>
      <c r="BW296" s="674" t="e">
        <f t="shared" si="136"/>
        <v>#DIV/0!</v>
      </c>
      <c r="BX296" s="674" t="e">
        <f t="shared" si="137"/>
        <v>#DIV/0!</v>
      </c>
      <c r="BY296" s="674" t="e">
        <f t="shared" si="138"/>
        <v>#DIV/0!</v>
      </c>
      <c r="BZ296" s="675" t="e">
        <f t="shared" si="139"/>
        <v>#DIV/0!</v>
      </c>
      <c r="CA296" s="675" t="e">
        <f t="shared" si="140"/>
        <v>#DIV/0!</v>
      </c>
    </row>
    <row r="297" spans="1:100" ht="34.5" hidden="1" customHeight="1" x14ac:dyDescent="0.25">
      <c r="A297" s="298" t="s">
        <v>896</v>
      </c>
      <c r="B297" s="299" t="str">
        <f>'PLAN INDICATIVO'!B293</f>
        <v>Agropecuario</v>
      </c>
      <c r="C297" s="1546" t="s">
        <v>897</v>
      </c>
      <c r="D297" s="1549" t="s">
        <v>898</v>
      </c>
      <c r="E297" s="1549" t="s">
        <v>899</v>
      </c>
      <c r="F297" s="1549">
        <v>2015</v>
      </c>
      <c r="G297" s="1562">
        <v>3803</v>
      </c>
      <c r="H297" s="1562">
        <v>4200</v>
      </c>
      <c r="I297" s="1425" t="str">
        <f>'PLAN INDICATIVO'!I293</f>
        <v>SI</v>
      </c>
      <c r="J297" s="1425">
        <f>'PLAN INDICATIVO'!J293</f>
        <v>0</v>
      </c>
      <c r="K297" s="1428" t="str">
        <f>'PLAN INDICATIVO'!K293</f>
        <v>A.8.1.1</v>
      </c>
      <c r="L297" s="301" t="str">
        <f>'PLAN INDICATIVO'!L293</f>
        <v>12. Producción y consumo responsables</v>
      </c>
      <c r="M297" s="301" t="str">
        <f>'PLAN INDICATIVO'!M293</f>
        <v>Unidad de Desarrollo Rural</v>
      </c>
      <c r="N297" s="1425" t="str">
        <f>'PLAN INDICATIVO'!N293</f>
        <v>GABRIEL ERNESTO CAMPOS ALVIRA</v>
      </c>
      <c r="O297" s="1425" t="str">
        <f>'PLAN INDICATIVO'!O293</f>
        <v>Mantenimiento</v>
      </c>
      <c r="P297" s="16" t="str">
        <f>'PLAN INDICATIVO'!P293</f>
        <v>Adecuar una planta de sacrificio con el objetivo de cumplir las políticas públicas nacionales, durante el cuatrienio</v>
      </c>
      <c r="Q297" s="302" t="str">
        <f>'PLAN INDICATIVO'!Q293</f>
        <v>No. De planta de sacrificio adecuadas</v>
      </c>
      <c r="R297" s="303">
        <f>'PLAN INDICATIVO'!R293</f>
        <v>2015</v>
      </c>
      <c r="S297" s="304">
        <v>0</v>
      </c>
      <c r="T297" s="498">
        <v>1</v>
      </c>
      <c r="U297" s="303">
        <v>0</v>
      </c>
      <c r="V297" s="687"/>
      <c r="W297" s="572">
        <v>0</v>
      </c>
      <c r="X297" s="687"/>
      <c r="Y297" s="572">
        <v>1</v>
      </c>
      <c r="Z297" s="687">
        <v>200000000</v>
      </c>
      <c r="AA297" s="572">
        <v>1</v>
      </c>
      <c r="AB297" s="687">
        <v>3000000</v>
      </c>
      <c r="AC297" s="665">
        <v>0</v>
      </c>
      <c r="AD297" s="665"/>
      <c r="AE297" s="665"/>
      <c r="AF297" s="665"/>
      <c r="AG297" s="266"/>
      <c r="AH297" s="307"/>
      <c r="AI297" s="308"/>
      <c r="AJ297" s="308"/>
      <c r="AK297" s="308"/>
      <c r="AL297" s="308"/>
      <c r="AM297" s="267" t="s">
        <v>2594</v>
      </c>
      <c r="AN297" s="507"/>
      <c r="AO297" s="729"/>
      <c r="AP297" s="730"/>
      <c r="AQ297" s="730"/>
      <c r="AR297" s="730"/>
      <c r="AS297" s="730"/>
      <c r="AT297" s="730"/>
      <c r="AU297" s="730"/>
      <c r="AV297" s="731">
        <f t="shared" si="127"/>
        <v>0</v>
      </c>
      <c r="AW297" s="525"/>
      <c r="AX297" s="310"/>
      <c r="AY297" s="310"/>
      <c r="AZ297" s="310"/>
      <c r="BA297" s="310"/>
      <c r="BB297" s="310"/>
      <c r="BC297" s="310"/>
      <c r="BD297" s="544">
        <f t="shared" si="128"/>
        <v>0</v>
      </c>
      <c r="BE297" s="525"/>
      <c r="BF297" s="310"/>
      <c r="BG297" s="310"/>
      <c r="BH297" s="310"/>
      <c r="BI297" s="310"/>
      <c r="BJ297" s="310"/>
      <c r="BK297" s="310"/>
      <c r="BL297" s="544">
        <f t="shared" si="129"/>
        <v>0</v>
      </c>
      <c r="BM297" s="525"/>
      <c r="BN297" s="310"/>
      <c r="BO297" s="310"/>
      <c r="BP297" s="310"/>
      <c r="BQ297" s="310"/>
      <c r="BR297" s="310"/>
      <c r="BS297" s="310"/>
      <c r="BT297" s="544">
        <f t="shared" si="130"/>
        <v>0</v>
      </c>
      <c r="BU297" s="556"/>
      <c r="BV297" s="663">
        <f t="shared" si="135"/>
        <v>0</v>
      </c>
      <c r="BW297" s="674">
        <f t="shared" si="136"/>
        <v>0</v>
      </c>
      <c r="BX297" s="674" t="e">
        <f t="shared" si="137"/>
        <v>#DIV/0!</v>
      </c>
      <c r="BY297" s="674" t="e">
        <f t="shared" si="138"/>
        <v>#DIV/0!</v>
      </c>
      <c r="BZ297" s="675">
        <f t="shared" si="139"/>
        <v>0</v>
      </c>
      <c r="CA297" s="675">
        <f t="shared" si="140"/>
        <v>0</v>
      </c>
    </row>
    <row r="298" spans="1:100" ht="36.75" hidden="1" customHeight="1" x14ac:dyDescent="0.25">
      <c r="A298" s="298" t="s">
        <v>896</v>
      </c>
      <c r="B298" s="299" t="str">
        <f>'PLAN INDICATIVO'!B294</f>
        <v>Agropecuario</v>
      </c>
      <c r="C298" s="1547"/>
      <c r="D298" s="1549"/>
      <c r="E298" s="1549"/>
      <c r="F298" s="1549"/>
      <c r="G298" s="1549"/>
      <c r="H298" s="1549"/>
      <c r="I298" s="300">
        <f>'PLAN INDICATIVO'!I294</f>
        <v>0</v>
      </c>
      <c r="J298" s="300">
        <f>'PLAN INDICATIVO'!J294</f>
        <v>0</v>
      </c>
      <c r="K298" s="1428" t="str">
        <f>'PLAN INDICATIVO'!K294</f>
        <v>A.8.1.2</v>
      </c>
      <c r="L298" s="301" t="str">
        <f>'PLAN INDICATIVO'!L294</f>
        <v>12. Producción y consumo responsables</v>
      </c>
      <c r="M298" s="301" t="str">
        <f>'PLAN INDICATIVO'!M294</f>
        <v>Unidad de Desarrollo Rural</v>
      </c>
      <c r="N298" s="1425" t="str">
        <f>'PLAN INDICATIVO'!N294</f>
        <v>GABRIEL ERNESTO CAMPOS ALVIRA</v>
      </c>
      <c r="O298" s="1425" t="str">
        <f>'PLAN INDICATIVO'!O294</f>
        <v>Incremento</v>
      </c>
      <c r="P298" s="16" t="str">
        <f>'PLAN INDICATIVO'!P294</f>
        <v>Presentar 14 proyectos productivos por grupos asociativos de mujer rural que permitan incorporarla a la equidad de género, con acompañamiento técnico y social, durante el cuatrienio</v>
      </c>
      <c r="Q298" s="302" t="str">
        <f>'PLAN INDICATIVO'!Q294</f>
        <v>No. De proyectos presentados</v>
      </c>
      <c r="R298" s="303">
        <f>'PLAN INDICATIVO'!R294</f>
        <v>2015</v>
      </c>
      <c r="S298" s="304">
        <v>0</v>
      </c>
      <c r="T298" s="498">
        <v>14</v>
      </c>
      <c r="U298" s="303">
        <v>0</v>
      </c>
      <c r="V298" s="687"/>
      <c r="W298" s="572">
        <v>5</v>
      </c>
      <c r="X298" s="687">
        <v>12000000</v>
      </c>
      <c r="Y298" s="572">
        <v>5</v>
      </c>
      <c r="Z298" s="687">
        <v>2000000</v>
      </c>
      <c r="AA298" s="572">
        <v>4</v>
      </c>
      <c r="AB298" s="687">
        <v>3000000</v>
      </c>
      <c r="AC298" s="665">
        <v>5</v>
      </c>
      <c r="AD298" s="665"/>
      <c r="AE298" s="665"/>
      <c r="AF298" s="665"/>
      <c r="AG298" s="266"/>
      <c r="AH298" s="307"/>
      <c r="AI298" s="308"/>
      <c r="AJ298" s="308"/>
      <c r="AK298" s="308"/>
      <c r="AL298" s="308"/>
      <c r="AM298" s="267" t="s">
        <v>2594</v>
      </c>
      <c r="AN298" s="507"/>
      <c r="AO298" s="729"/>
      <c r="AP298" s="730"/>
      <c r="AQ298" s="730"/>
      <c r="AR298" s="730"/>
      <c r="AS298" s="730"/>
      <c r="AT298" s="730"/>
      <c r="AU298" s="730"/>
      <c r="AV298" s="731">
        <f t="shared" si="127"/>
        <v>0</v>
      </c>
      <c r="AW298" s="525"/>
      <c r="AX298" s="310"/>
      <c r="AY298" s="310"/>
      <c r="AZ298" s="310"/>
      <c r="BA298" s="310"/>
      <c r="BB298" s="310"/>
      <c r="BC298" s="310"/>
      <c r="BD298" s="544">
        <f t="shared" si="128"/>
        <v>0</v>
      </c>
      <c r="BE298" s="525"/>
      <c r="BF298" s="310"/>
      <c r="BG298" s="310"/>
      <c r="BH298" s="310"/>
      <c r="BI298" s="310"/>
      <c r="BJ298" s="310"/>
      <c r="BK298" s="310"/>
      <c r="BL298" s="544">
        <f t="shared" si="129"/>
        <v>0</v>
      </c>
      <c r="BM298" s="525"/>
      <c r="BN298" s="310"/>
      <c r="BO298" s="310"/>
      <c r="BP298" s="310"/>
      <c r="BQ298" s="310"/>
      <c r="BR298" s="310"/>
      <c r="BS298" s="310"/>
      <c r="BT298" s="544">
        <f t="shared" si="130"/>
        <v>0</v>
      </c>
      <c r="BU298" s="556"/>
      <c r="BV298" s="663">
        <f t="shared" si="135"/>
        <v>5</v>
      </c>
      <c r="BW298" s="674">
        <f t="shared" si="136"/>
        <v>0.35714285714285715</v>
      </c>
      <c r="BX298" s="674" t="e">
        <f t="shared" si="137"/>
        <v>#DIV/0!</v>
      </c>
      <c r="BY298" s="674">
        <f t="shared" si="138"/>
        <v>0</v>
      </c>
      <c r="BZ298" s="675">
        <f t="shared" si="139"/>
        <v>0</v>
      </c>
      <c r="CA298" s="675">
        <f t="shared" si="140"/>
        <v>0</v>
      </c>
    </row>
    <row r="299" spans="1:100" ht="37.5" hidden="1" customHeight="1" x14ac:dyDescent="0.25">
      <c r="A299" s="298" t="s">
        <v>896</v>
      </c>
      <c r="B299" s="299" t="str">
        <f>'PLAN INDICATIVO'!B295</f>
        <v>Agropecuario</v>
      </c>
      <c r="C299" s="1547"/>
      <c r="D299" s="1549"/>
      <c r="E299" s="1549"/>
      <c r="F299" s="1549"/>
      <c r="G299" s="1549"/>
      <c r="H299" s="1549"/>
      <c r="I299" s="300">
        <f>'PLAN INDICATIVO'!I295</f>
        <v>0</v>
      </c>
      <c r="J299" s="300">
        <f>'PLAN INDICATIVO'!J295</f>
        <v>0</v>
      </c>
      <c r="K299" s="1428" t="str">
        <f>'PLAN INDICATIVO'!K295</f>
        <v>A.8.1.3</v>
      </c>
      <c r="L299" s="301" t="str">
        <f>'PLAN INDICATIVO'!L295</f>
        <v>12. Producción y consumo responsables</v>
      </c>
      <c r="M299" s="301" t="str">
        <f>'PLAN INDICATIVO'!M295</f>
        <v>Unidad de Desarrollo Rural</v>
      </c>
      <c r="N299" s="1425" t="str">
        <f>'PLAN INDICATIVO'!N295</f>
        <v>GABRIEL ERNESTO CAMPOS ALVIRA</v>
      </c>
      <c r="O299" s="1425" t="str">
        <f>'PLAN INDICATIVO'!O295</f>
        <v>Incremento</v>
      </c>
      <c r="P299" s="16" t="str">
        <f>'PLAN INDICATIVO'!P295</f>
        <v>Apoyar 3 proyectos de comercialización de productos agropecuarios con acompañamiento técnico y social durante el cuatrienio.</v>
      </c>
      <c r="Q299" s="302" t="str">
        <f>'PLAN INDICATIVO'!Q295</f>
        <v xml:space="preserve">No. De proyectos apoyados </v>
      </c>
      <c r="R299" s="303">
        <f>'PLAN INDICATIVO'!R295</f>
        <v>2015</v>
      </c>
      <c r="S299" s="304">
        <v>0</v>
      </c>
      <c r="T299" s="498">
        <v>3</v>
      </c>
      <c r="U299" s="303">
        <v>0</v>
      </c>
      <c r="V299" s="687"/>
      <c r="W299" s="572">
        <v>1</v>
      </c>
      <c r="X299" s="687">
        <v>2000000</v>
      </c>
      <c r="Y299" s="572">
        <v>1</v>
      </c>
      <c r="Z299" s="687">
        <v>2000000</v>
      </c>
      <c r="AA299" s="572">
        <v>1</v>
      </c>
      <c r="AB299" s="687">
        <v>3000000</v>
      </c>
      <c r="AC299" s="665">
        <v>1</v>
      </c>
      <c r="AD299" s="665"/>
      <c r="AE299" s="665"/>
      <c r="AF299" s="665"/>
      <c r="AG299" s="266"/>
      <c r="AH299" s="307"/>
      <c r="AI299" s="308"/>
      <c r="AJ299" s="308"/>
      <c r="AK299" s="308"/>
      <c r="AL299" s="308"/>
      <c r="AM299" s="267" t="s">
        <v>2594</v>
      </c>
      <c r="AN299" s="507"/>
      <c r="AO299" s="729"/>
      <c r="AP299" s="730"/>
      <c r="AQ299" s="730"/>
      <c r="AR299" s="730"/>
      <c r="AS299" s="730"/>
      <c r="AT299" s="730"/>
      <c r="AU299" s="730"/>
      <c r="AV299" s="731">
        <f t="shared" si="127"/>
        <v>0</v>
      </c>
      <c r="AW299" s="525"/>
      <c r="AX299" s="310"/>
      <c r="AY299" s="310"/>
      <c r="AZ299" s="310"/>
      <c r="BA299" s="310"/>
      <c r="BB299" s="310"/>
      <c r="BC299" s="310"/>
      <c r="BD299" s="544">
        <f t="shared" si="128"/>
        <v>0</v>
      </c>
      <c r="BE299" s="525"/>
      <c r="BF299" s="310"/>
      <c r="BG299" s="310"/>
      <c r="BH299" s="310"/>
      <c r="BI299" s="310"/>
      <c r="BJ299" s="310"/>
      <c r="BK299" s="310"/>
      <c r="BL299" s="544">
        <f t="shared" si="129"/>
        <v>0</v>
      </c>
      <c r="BM299" s="525"/>
      <c r="BN299" s="310"/>
      <c r="BO299" s="310"/>
      <c r="BP299" s="310"/>
      <c r="BQ299" s="310"/>
      <c r="BR299" s="310"/>
      <c r="BS299" s="310"/>
      <c r="BT299" s="544">
        <f t="shared" si="130"/>
        <v>0</v>
      </c>
      <c r="BU299" s="556"/>
      <c r="BV299" s="663">
        <f t="shared" si="135"/>
        <v>1</v>
      </c>
      <c r="BW299" s="674">
        <f t="shared" si="136"/>
        <v>0.33333333333333331</v>
      </c>
      <c r="BX299" s="674" t="e">
        <f t="shared" si="137"/>
        <v>#DIV/0!</v>
      </c>
      <c r="BY299" s="674">
        <f t="shared" si="138"/>
        <v>0</v>
      </c>
      <c r="BZ299" s="675">
        <f t="shared" si="139"/>
        <v>0</v>
      </c>
      <c r="CA299" s="675">
        <f t="shared" si="140"/>
        <v>0</v>
      </c>
    </row>
    <row r="300" spans="1:100" ht="97.5" hidden="1" customHeight="1" x14ac:dyDescent="0.25">
      <c r="A300" s="298" t="s">
        <v>896</v>
      </c>
      <c r="B300" s="299" t="str">
        <f>'PLAN INDICATIVO'!B296</f>
        <v>Agropecuario</v>
      </c>
      <c r="C300" s="1547"/>
      <c r="D300" s="1549"/>
      <c r="E300" s="1549"/>
      <c r="F300" s="1549"/>
      <c r="G300" s="1549"/>
      <c r="H300" s="1549"/>
      <c r="I300" s="300">
        <f>'PLAN INDICATIVO'!I296</f>
        <v>0</v>
      </c>
      <c r="J300" s="300">
        <f>'PLAN INDICATIVO'!J296</f>
        <v>0</v>
      </c>
      <c r="K300" s="1428" t="str">
        <f>'PLAN INDICATIVO'!K296</f>
        <v>A.8.1.4</v>
      </c>
      <c r="L300" s="301" t="str">
        <f>'PLAN INDICATIVO'!L296</f>
        <v>12. Producción y consumo responsables</v>
      </c>
      <c r="M300" s="301" t="str">
        <f>'PLAN INDICATIVO'!M296</f>
        <v>Unidad de Desarrollo Rural</v>
      </c>
      <c r="N300" s="1425" t="str">
        <f>'PLAN INDICATIVO'!N296</f>
        <v>GABRIEL ERNESTO CAMPOS ALVIRA</v>
      </c>
      <c r="O300" s="1425" t="str">
        <f>'PLAN INDICATIVO'!O296</f>
        <v>Incremento</v>
      </c>
      <c r="P300" s="16" t="str">
        <f>'PLAN INDICATIVO'!P296</f>
        <v>Realizar 4 campañas donde permita la sanidad agropecuaria e inocuidad de los alimentos en el Municipio durante el cuatrienio</v>
      </c>
      <c r="Q300" s="302" t="str">
        <f>'PLAN INDICATIVO'!Q296</f>
        <v>No. De campañas realizadas</v>
      </c>
      <c r="R300" s="303">
        <f>'PLAN INDICATIVO'!R296</f>
        <v>2015</v>
      </c>
      <c r="S300" s="304">
        <v>0</v>
      </c>
      <c r="T300" s="498">
        <v>4</v>
      </c>
      <c r="U300" s="303">
        <v>1</v>
      </c>
      <c r="V300" s="687">
        <v>1000000</v>
      </c>
      <c r="W300" s="572">
        <v>1</v>
      </c>
      <c r="X300" s="687">
        <v>1000000</v>
      </c>
      <c r="Y300" s="572">
        <v>1</v>
      </c>
      <c r="Z300" s="687">
        <v>1000000</v>
      </c>
      <c r="AA300" s="572">
        <v>1</v>
      </c>
      <c r="AB300" s="687">
        <v>1000000</v>
      </c>
      <c r="AC300" s="665">
        <v>1</v>
      </c>
      <c r="AD300" s="665"/>
      <c r="AE300" s="665"/>
      <c r="AF300" s="665"/>
      <c r="AG300" s="306" t="s">
        <v>2877</v>
      </c>
      <c r="AH300" s="307" t="s">
        <v>2878</v>
      </c>
      <c r="AI300" s="335">
        <v>37135</v>
      </c>
      <c r="AJ300" s="335">
        <v>11232</v>
      </c>
      <c r="AK300" s="308"/>
      <c r="AL300" s="308"/>
      <c r="AM300" s="267" t="s">
        <v>2598</v>
      </c>
      <c r="AN300" s="507" t="s">
        <v>2879</v>
      </c>
      <c r="AO300" s="729">
        <v>7400000</v>
      </c>
      <c r="AP300" s="730"/>
      <c r="AQ300" s="730"/>
      <c r="AR300" s="730"/>
      <c r="AS300" s="730"/>
      <c r="AT300" s="730"/>
      <c r="AU300" s="730"/>
      <c r="AV300" s="731">
        <f t="shared" si="127"/>
        <v>7400000</v>
      </c>
      <c r="AW300" s="525"/>
      <c r="AX300" s="310"/>
      <c r="AY300" s="310"/>
      <c r="AZ300" s="310"/>
      <c r="BA300" s="310"/>
      <c r="BB300" s="310"/>
      <c r="BC300" s="310"/>
      <c r="BD300" s="544">
        <f t="shared" si="128"/>
        <v>0</v>
      </c>
      <c r="BE300" s="525"/>
      <c r="BF300" s="310"/>
      <c r="BG300" s="310"/>
      <c r="BH300" s="310"/>
      <c r="BI300" s="310"/>
      <c r="BJ300" s="310"/>
      <c r="BK300" s="310"/>
      <c r="BL300" s="544">
        <f t="shared" si="129"/>
        <v>0</v>
      </c>
      <c r="BM300" s="525"/>
      <c r="BN300" s="310"/>
      <c r="BO300" s="310"/>
      <c r="BP300" s="310"/>
      <c r="BQ300" s="310"/>
      <c r="BR300" s="310"/>
      <c r="BS300" s="310"/>
      <c r="BT300" s="544">
        <f t="shared" si="130"/>
        <v>0</v>
      </c>
      <c r="BU300" s="556"/>
      <c r="BV300" s="663">
        <f t="shared" si="135"/>
        <v>1</v>
      </c>
      <c r="BW300" s="674">
        <f t="shared" si="136"/>
        <v>0.25</v>
      </c>
      <c r="BX300" s="674">
        <f t="shared" si="137"/>
        <v>1</v>
      </c>
      <c r="BY300" s="674">
        <f t="shared" si="138"/>
        <v>0</v>
      </c>
      <c r="BZ300" s="675">
        <f t="shared" si="139"/>
        <v>0</v>
      </c>
      <c r="CA300" s="675">
        <f t="shared" si="140"/>
        <v>0</v>
      </c>
    </row>
    <row r="301" spans="1:100" ht="30" hidden="1" customHeight="1" x14ac:dyDescent="0.25">
      <c r="A301" s="298" t="s">
        <v>896</v>
      </c>
      <c r="B301" s="299" t="str">
        <f>'PLAN INDICATIVO'!B297</f>
        <v>Agropecuario</v>
      </c>
      <c r="C301" s="1547"/>
      <c r="D301" s="1549"/>
      <c r="E301" s="1549"/>
      <c r="F301" s="1549"/>
      <c r="G301" s="1549"/>
      <c r="H301" s="1549"/>
      <c r="I301" s="300">
        <f>'PLAN INDICATIVO'!I297</f>
        <v>0</v>
      </c>
      <c r="J301" s="300">
        <f>'PLAN INDICATIVO'!J297</f>
        <v>0</v>
      </c>
      <c r="K301" s="1428" t="str">
        <f>'PLAN INDICATIVO'!K297</f>
        <v>A.8.1.5</v>
      </c>
      <c r="L301" s="301" t="str">
        <f>'PLAN INDICATIVO'!L297</f>
        <v>12. Producción y consumo responsables</v>
      </c>
      <c r="M301" s="301" t="str">
        <f>'PLAN INDICATIVO'!M297</f>
        <v>Unidad de Desarrollo Rural</v>
      </c>
      <c r="N301" s="1425" t="str">
        <f>'PLAN INDICATIVO'!N297</f>
        <v>GABRIEL ERNESTO CAMPOS ALVIRA</v>
      </c>
      <c r="O301" s="1425" t="str">
        <f>'PLAN INDICATIVO'!O297</f>
        <v>Incremento</v>
      </c>
      <c r="P301" s="16" t="str">
        <f>'PLAN INDICATIVO'!P297</f>
        <v xml:space="preserve">Mantener la frontera agrícola a 100 has de cultivos estacionarios y no estacionarios, durante el cuatrienio </v>
      </c>
      <c r="Q301" s="302" t="str">
        <f>'PLAN INDICATIVO'!Q297</f>
        <v>No. De hectáreas diversificadas con cultivos estacionarios y no estacionarios</v>
      </c>
      <c r="R301" s="303">
        <f>'PLAN INDICATIVO'!R297</f>
        <v>2015</v>
      </c>
      <c r="S301" s="304">
        <v>0</v>
      </c>
      <c r="T301" s="498">
        <v>100</v>
      </c>
      <c r="U301" s="303">
        <v>0</v>
      </c>
      <c r="V301" s="687"/>
      <c r="W301" s="572">
        <v>33</v>
      </c>
      <c r="X301" s="687">
        <v>5000000</v>
      </c>
      <c r="Y301" s="572">
        <v>33</v>
      </c>
      <c r="Z301" s="687">
        <v>5000000</v>
      </c>
      <c r="AA301" s="572">
        <v>34</v>
      </c>
      <c r="AB301" s="687">
        <v>7000000</v>
      </c>
      <c r="AC301" s="665"/>
      <c r="AD301" s="665"/>
      <c r="AE301" s="665"/>
      <c r="AF301" s="665"/>
      <c r="AG301" s="266"/>
      <c r="AH301" s="307"/>
      <c r="AI301" s="308"/>
      <c r="AJ301" s="308"/>
      <c r="AK301" s="308"/>
      <c r="AL301" s="308"/>
      <c r="AM301" s="267" t="s">
        <v>2594</v>
      </c>
      <c r="AN301" s="507"/>
      <c r="AO301" s="729"/>
      <c r="AP301" s="730"/>
      <c r="AQ301" s="730"/>
      <c r="AR301" s="730"/>
      <c r="AS301" s="730"/>
      <c r="AT301" s="730"/>
      <c r="AU301" s="730"/>
      <c r="AV301" s="731">
        <f t="shared" si="127"/>
        <v>0</v>
      </c>
      <c r="AW301" s="525"/>
      <c r="AX301" s="310"/>
      <c r="AY301" s="310"/>
      <c r="AZ301" s="310"/>
      <c r="BA301" s="310"/>
      <c r="BB301" s="310"/>
      <c r="BC301" s="310"/>
      <c r="BD301" s="544">
        <f t="shared" si="128"/>
        <v>0</v>
      </c>
      <c r="BE301" s="525"/>
      <c r="BF301" s="310"/>
      <c r="BG301" s="310"/>
      <c r="BH301" s="310"/>
      <c r="BI301" s="310"/>
      <c r="BJ301" s="310"/>
      <c r="BK301" s="310"/>
      <c r="BL301" s="544">
        <f t="shared" si="129"/>
        <v>0</v>
      </c>
      <c r="BM301" s="525"/>
      <c r="BN301" s="310"/>
      <c r="BO301" s="310"/>
      <c r="BP301" s="310"/>
      <c r="BQ301" s="310"/>
      <c r="BR301" s="310"/>
      <c r="BS301" s="310"/>
      <c r="BT301" s="544">
        <f t="shared" si="130"/>
        <v>0</v>
      </c>
      <c r="BU301" s="556"/>
      <c r="BV301" s="663">
        <f t="shared" si="135"/>
        <v>0</v>
      </c>
      <c r="BW301" s="674">
        <f t="shared" si="136"/>
        <v>0</v>
      </c>
      <c r="BX301" s="674" t="e">
        <f t="shared" si="137"/>
        <v>#DIV/0!</v>
      </c>
      <c r="BY301" s="674">
        <f t="shared" si="138"/>
        <v>0</v>
      </c>
      <c r="BZ301" s="675">
        <f t="shared" si="139"/>
        <v>0</v>
      </c>
      <c r="CA301" s="675">
        <f t="shared" si="140"/>
        <v>0</v>
      </c>
    </row>
    <row r="302" spans="1:100" ht="82.5" hidden="1" customHeight="1" x14ac:dyDescent="0.25">
      <c r="A302" s="298" t="s">
        <v>896</v>
      </c>
      <c r="B302" s="299" t="str">
        <f>'PLAN INDICATIVO'!B298</f>
        <v>Agropecuario</v>
      </c>
      <c r="C302" s="1547"/>
      <c r="D302" s="1549"/>
      <c r="E302" s="1549"/>
      <c r="F302" s="1549"/>
      <c r="G302" s="1549"/>
      <c r="H302" s="1549"/>
      <c r="I302" s="300">
        <f>'PLAN INDICATIVO'!I298</f>
        <v>0</v>
      </c>
      <c r="J302" s="300">
        <f>'PLAN INDICATIVO'!J298</f>
        <v>0</v>
      </c>
      <c r="K302" s="1428" t="str">
        <f>'PLAN INDICATIVO'!K298</f>
        <v>A.8.1.6</v>
      </c>
      <c r="L302" s="301" t="str">
        <f>'PLAN INDICATIVO'!L298</f>
        <v>12. Producción y consumo responsables</v>
      </c>
      <c r="M302" s="301" t="str">
        <f>'PLAN INDICATIVO'!M298</f>
        <v>Unidad de Desarrollo Rural</v>
      </c>
      <c r="N302" s="1425" t="str">
        <f>'PLAN INDICATIVO'!N298</f>
        <v>GABRIEL ERNESTO CAMPOS ALVIRA</v>
      </c>
      <c r="O302" s="1425" t="str">
        <f>'PLAN INDICATIVO'!O298</f>
        <v>Mantenimiento</v>
      </c>
      <c r="P302" s="16" t="str">
        <f>'PLAN INDICATIVO'!P298</f>
        <v xml:space="preserve">Mantener 1 convenio suscritos con el comité de cafeteros para el mejoramiento del sector cada año, durante el cuatrienio </v>
      </c>
      <c r="Q302" s="302" t="str">
        <f>'PLAN INDICATIVO'!Q298</f>
        <v>No. De convenios suscritos por año</v>
      </c>
      <c r="R302" s="303">
        <f>'PLAN INDICATIVO'!R298</f>
        <v>2015</v>
      </c>
      <c r="S302" s="304">
        <v>0</v>
      </c>
      <c r="T302" s="498">
        <v>1</v>
      </c>
      <c r="U302" s="303">
        <v>1</v>
      </c>
      <c r="V302" s="687">
        <v>60700000</v>
      </c>
      <c r="W302" s="572">
        <v>1</v>
      </c>
      <c r="X302" s="687">
        <v>35000000</v>
      </c>
      <c r="Y302" s="572">
        <v>1</v>
      </c>
      <c r="Z302" s="687">
        <v>35000000</v>
      </c>
      <c r="AA302" s="572">
        <v>1</v>
      </c>
      <c r="AB302" s="687">
        <v>40000000</v>
      </c>
      <c r="AC302" s="665">
        <v>0</v>
      </c>
      <c r="AD302" s="665"/>
      <c r="AE302" s="665"/>
      <c r="AF302" s="665"/>
      <c r="AG302" s="272" t="s">
        <v>2880</v>
      </c>
      <c r="AH302" s="307" t="s">
        <v>2881</v>
      </c>
      <c r="AI302" s="335">
        <v>37073</v>
      </c>
      <c r="AJ302" s="335">
        <v>11293</v>
      </c>
      <c r="AK302" s="308"/>
      <c r="AL302" s="308"/>
      <c r="AM302" s="267" t="s">
        <v>2600</v>
      </c>
      <c r="AN302" s="507"/>
      <c r="AO302" s="729"/>
      <c r="AP302" s="730"/>
      <c r="AQ302" s="730"/>
      <c r="AR302" s="730"/>
      <c r="AS302" s="730"/>
      <c r="AT302" s="730"/>
      <c r="AU302" s="730"/>
      <c r="AV302" s="731">
        <f t="shared" si="127"/>
        <v>0</v>
      </c>
      <c r="AW302" s="525"/>
      <c r="AX302" s="310"/>
      <c r="AY302" s="310"/>
      <c r="AZ302" s="310"/>
      <c r="BA302" s="310"/>
      <c r="BB302" s="310"/>
      <c r="BC302" s="310"/>
      <c r="BD302" s="544">
        <f t="shared" si="128"/>
        <v>0</v>
      </c>
      <c r="BE302" s="525"/>
      <c r="BF302" s="310"/>
      <c r="BG302" s="310"/>
      <c r="BH302" s="310"/>
      <c r="BI302" s="310"/>
      <c r="BJ302" s="310"/>
      <c r="BK302" s="310"/>
      <c r="BL302" s="544">
        <f t="shared" si="129"/>
        <v>0</v>
      </c>
      <c r="BM302" s="525"/>
      <c r="BN302" s="310"/>
      <c r="BO302" s="310"/>
      <c r="BP302" s="310"/>
      <c r="BQ302" s="310"/>
      <c r="BR302" s="310"/>
      <c r="BS302" s="310"/>
      <c r="BT302" s="544">
        <f t="shared" si="130"/>
        <v>0</v>
      </c>
      <c r="BU302" s="556"/>
      <c r="BV302" s="663">
        <f t="shared" si="135"/>
        <v>0</v>
      </c>
      <c r="BW302" s="674">
        <f t="shared" si="136"/>
        <v>0</v>
      </c>
      <c r="BX302" s="674">
        <f t="shared" si="137"/>
        <v>0</v>
      </c>
      <c r="BY302" s="674">
        <f t="shared" si="138"/>
        <v>0</v>
      </c>
      <c r="BZ302" s="675">
        <f t="shared" si="139"/>
        <v>0</v>
      </c>
      <c r="CA302" s="675">
        <f t="shared" si="140"/>
        <v>0</v>
      </c>
    </row>
    <row r="303" spans="1:100" ht="82.5" hidden="1" customHeight="1" x14ac:dyDescent="0.25">
      <c r="A303" s="298" t="s">
        <v>896</v>
      </c>
      <c r="B303" s="299" t="str">
        <f>'PLAN INDICATIVO'!B299</f>
        <v>Agropecuario</v>
      </c>
      <c r="C303" s="1547"/>
      <c r="D303" s="1549"/>
      <c r="E303" s="1549"/>
      <c r="F303" s="1549"/>
      <c r="G303" s="1549"/>
      <c r="H303" s="1549"/>
      <c r="I303" s="300">
        <f>'PLAN INDICATIVO'!I299</f>
        <v>0</v>
      </c>
      <c r="J303" s="300">
        <f>'PLAN INDICATIVO'!J299</f>
        <v>0</v>
      </c>
      <c r="K303" s="1428" t="str">
        <f>'PLAN INDICATIVO'!K299</f>
        <v>A.8.1.7</v>
      </c>
      <c r="L303" s="301" t="str">
        <f>'PLAN INDICATIVO'!L299</f>
        <v>12. Producción y consumo responsables</v>
      </c>
      <c r="M303" s="301" t="str">
        <f>'PLAN INDICATIVO'!M299</f>
        <v>Unidad de Desarrollo Rural</v>
      </c>
      <c r="N303" s="1425" t="str">
        <f>'PLAN INDICATIVO'!N299</f>
        <v>GABRIEL ERNESTO CAMPOS ALVIRA</v>
      </c>
      <c r="O303" s="1425" t="str">
        <f>'PLAN INDICATIVO'!O299</f>
        <v>Incremento</v>
      </c>
      <c r="P303" s="16" t="str">
        <f>'PLAN INDICATIVO'!P299</f>
        <v>Otorgar 25 apoyos   a  las asociaciones o Empresarios del Campo del municipio de la Plata, durante el cuatrienio.</v>
      </c>
      <c r="Q303" s="302" t="str">
        <f>'PLAN INDICATIVO'!Q299</f>
        <v>No. De apoyos otorgados</v>
      </c>
      <c r="R303" s="303">
        <f>'PLAN INDICATIVO'!R299</f>
        <v>2015</v>
      </c>
      <c r="S303" s="304">
        <v>0</v>
      </c>
      <c r="T303" s="498">
        <v>25</v>
      </c>
      <c r="U303" s="303">
        <v>6</v>
      </c>
      <c r="V303" s="687">
        <v>5000000</v>
      </c>
      <c r="W303" s="572">
        <v>6</v>
      </c>
      <c r="X303" s="687">
        <v>2000000</v>
      </c>
      <c r="Y303" s="572">
        <v>6</v>
      </c>
      <c r="Z303" s="687">
        <v>5000000</v>
      </c>
      <c r="AA303" s="572">
        <v>7</v>
      </c>
      <c r="AB303" s="687">
        <v>5000000</v>
      </c>
      <c r="AC303" s="665">
        <v>6</v>
      </c>
      <c r="AD303" s="665"/>
      <c r="AE303" s="665"/>
      <c r="AF303" s="665"/>
      <c r="AG303" s="272" t="s">
        <v>2882</v>
      </c>
      <c r="AH303" s="307" t="s">
        <v>2883</v>
      </c>
      <c r="AI303" s="309">
        <v>42583</v>
      </c>
      <c r="AJ303" s="309">
        <v>42673</v>
      </c>
      <c r="AK303" s="308"/>
      <c r="AL303" s="308"/>
      <c r="AM303" s="267" t="s">
        <v>2598</v>
      </c>
      <c r="AN303" s="507" t="s">
        <v>2884</v>
      </c>
      <c r="AO303" s="729">
        <v>8354670</v>
      </c>
      <c r="AP303" s="730">
        <v>12395330</v>
      </c>
      <c r="AQ303" s="730"/>
      <c r="AR303" s="730"/>
      <c r="AS303" s="730"/>
      <c r="AT303" s="730"/>
      <c r="AU303" s="730"/>
      <c r="AV303" s="731">
        <f t="shared" si="127"/>
        <v>20750000</v>
      </c>
      <c r="AW303" s="525"/>
      <c r="AX303" s="310"/>
      <c r="AY303" s="310"/>
      <c r="AZ303" s="310"/>
      <c r="BA303" s="310"/>
      <c r="BB303" s="310"/>
      <c r="BC303" s="310"/>
      <c r="BD303" s="544">
        <f t="shared" si="128"/>
        <v>0</v>
      </c>
      <c r="BE303" s="525"/>
      <c r="BF303" s="310"/>
      <c r="BG303" s="310"/>
      <c r="BH303" s="310"/>
      <c r="BI303" s="310"/>
      <c r="BJ303" s="310"/>
      <c r="BK303" s="310"/>
      <c r="BL303" s="544">
        <f t="shared" si="129"/>
        <v>0</v>
      </c>
      <c r="BM303" s="525"/>
      <c r="BN303" s="310"/>
      <c r="BO303" s="310"/>
      <c r="BP303" s="310"/>
      <c r="BQ303" s="310"/>
      <c r="BR303" s="310"/>
      <c r="BS303" s="310"/>
      <c r="BT303" s="544">
        <f t="shared" si="130"/>
        <v>0</v>
      </c>
      <c r="BU303" s="556"/>
      <c r="BV303" s="663">
        <f t="shared" si="135"/>
        <v>6</v>
      </c>
      <c r="BW303" s="674">
        <f t="shared" si="136"/>
        <v>0.24</v>
      </c>
      <c r="BX303" s="674">
        <f t="shared" si="137"/>
        <v>1</v>
      </c>
      <c r="BY303" s="674">
        <f t="shared" si="138"/>
        <v>0</v>
      </c>
      <c r="BZ303" s="675">
        <f t="shared" si="139"/>
        <v>0</v>
      </c>
      <c r="CA303" s="675">
        <f t="shared" si="140"/>
        <v>0</v>
      </c>
    </row>
    <row r="304" spans="1:100" ht="101.25" hidden="1" customHeight="1" x14ac:dyDescent="0.25">
      <c r="A304" s="298" t="s">
        <v>896</v>
      </c>
      <c r="B304" s="299" t="str">
        <f>'PLAN INDICATIVO'!B300</f>
        <v>Agropecuario</v>
      </c>
      <c r="C304" s="1547"/>
      <c r="D304" s="1549"/>
      <c r="E304" s="1549"/>
      <c r="F304" s="1549"/>
      <c r="G304" s="1549"/>
      <c r="H304" s="1549"/>
      <c r="I304" s="300">
        <f>'PLAN INDICATIVO'!I300</f>
        <v>0</v>
      </c>
      <c r="J304" s="300">
        <f>'PLAN INDICATIVO'!J300</f>
        <v>0</v>
      </c>
      <c r="K304" s="1428" t="str">
        <f>'PLAN INDICATIVO'!K300</f>
        <v>A.8.1.8</v>
      </c>
      <c r="L304" s="301" t="str">
        <f>'PLAN INDICATIVO'!L300</f>
        <v>12. Producción y consumo responsables</v>
      </c>
      <c r="M304" s="301" t="str">
        <f>'PLAN INDICATIVO'!M300</f>
        <v>Unidad de Desarrollo Rural</v>
      </c>
      <c r="N304" s="1425" t="str">
        <f>'PLAN INDICATIVO'!N300</f>
        <v>GABRIEL ERNESTO CAMPOS ALVIRA</v>
      </c>
      <c r="O304" s="1425" t="str">
        <f>'PLAN INDICATIVO'!O300</f>
        <v>Incremento</v>
      </c>
      <c r="P304" s="16" t="str">
        <f>'PLAN INDICATIVO'!P300</f>
        <v>Brindar a 800 productores agropecuarios asistencia técnica para mejorar producción agropecuaria durante el cuatrienio</v>
      </c>
      <c r="Q304" s="302" t="str">
        <f>'PLAN INDICATIVO'!Q300</f>
        <v>No. De productores agropecuarios con asistencia técnica</v>
      </c>
      <c r="R304" s="303">
        <f>'PLAN INDICATIVO'!R300</f>
        <v>2015</v>
      </c>
      <c r="S304" s="304">
        <v>400</v>
      </c>
      <c r="T304" s="498">
        <v>800</v>
      </c>
      <c r="U304" s="303">
        <v>200</v>
      </c>
      <c r="V304" s="687">
        <v>12000000</v>
      </c>
      <c r="W304" s="572">
        <v>200</v>
      </c>
      <c r="X304" s="687">
        <v>5000000</v>
      </c>
      <c r="Y304" s="572">
        <v>200</v>
      </c>
      <c r="Z304" s="687">
        <v>5000000</v>
      </c>
      <c r="AA304" s="572">
        <v>200</v>
      </c>
      <c r="AB304" s="687">
        <v>12000000</v>
      </c>
      <c r="AC304" s="665">
        <v>200</v>
      </c>
      <c r="AD304" s="665"/>
      <c r="AE304" s="665"/>
      <c r="AF304" s="665"/>
      <c r="AG304" s="272" t="s">
        <v>2882</v>
      </c>
      <c r="AH304" s="307" t="s">
        <v>2885</v>
      </c>
      <c r="AI304" s="309">
        <v>42552</v>
      </c>
      <c r="AJ304" s="309">
        <v>42735</v>
      </c>
      <c r="AK304" s="308"/>
      <c r="AL304" s="308"/>
      <c r="AM304" s="267" t="s">
        <v>2598</v>
      </c>
      <c r="AN304" s="508" t="s">
        <v>2886</v>
      </c>
      <c r="AO304" s="729"/>
      <c r="AP304" s="730">
        <v>10000000</v>
      </c>
      <c r="AQ304" s="730"/>
      <c r="AR304" s="730"/>
      <c r="AS304" s="730"/>
      <c r="AT304" s="730"/>
      <c r="AU304" s="730"/>
      <c r="AV304" s="731">
        <f t="shared" si="127"/>
        <v>10000000</v>
      </c>
      <c r="AW304" s="525"/>
      <c r="AX304" s="310"/>
      <c r="AY304" s="310"/>
      <c r="AZ304" s="310"/>
      <c r="BA304" s="310"/>
      <c r="BB304" s="310"/>
      <c r="BC304" s="310"/>
      <c r="BD304" s="544">
        <f t="shared" si="128"/>
        <v>0</v>
      </c>
      <c r="BE304" s="525"/>
      <c r="BF304" s="310"/>
      <c r="BG304" s="310"/>
      <c r="BH304" s="310"/>
      <c r="BI304" s="310"/>
      <c r="BJ304" s="310"/>
      <c r="BK304" s="310"/>
      <c r="BL304" s="544">
        <f t="shared" si="129"/>
        <v>0</v>
      </c>
      <c r="BM304" s="525"/>
      <c r="BN304" s="310"/>
      <c r="BO304" s="310"/>
      <c r="BP304" s="310"/>
      <c r="BQ304" s="310"/>
      <c r="BR304" s="310"/>
      <c r="BS304" s="310"/>
      <c r="BT304" s="544">
        <f t="shared" si="130"/>
        <v>0</v>
      </c>
      <c r="BU304" s="556"/>
      <c r="BV304" s="663">
        <f t="shared" si="135"/>
        <v>200</v>
      </c>
      <c r="BW304" s="674">
        <f t="shared" si="136"/>
        <v>0.25</v>
      </c>
      <c r="BX304" s="674">
        <f t="shared" si="137"/>
        <v>1</v>
      </c>
      <c r="BY304" s="674">
        <f t="shared" si="138"/>
        <v>0</v>
      </c>
      <c r="BZ304" s="675">
        <f t="shared" si="139"/>
        <v>0</v>
      </c>
      <c r="CA304" s="675">
        <f t="shared" si="140"/>
        <v>0</v>
      </c>
    </row>
    <row r="305" spans="1:79" ht="75" hidden="1" customHeight="1" x14ac:dyDescent="0.25">
      <c r="A305" s="298" t="s">
        <v>896</v>
      </c>
      <c r="B305" s="299" t="str">
        <f>'PLAN INDICATIVO'!B301</f>
        <v>Agropecuario</v>
      </c>
      <c r="C305" s="1547"/>
      <c r="D305" s="1549"/>
      <c r="E305" s="1549"/>
      <c r="F305" s="1549"/>
      <c r="G305" s="1549"/>
      <c r="H305" s="1549"/>
      <c r="I305" s="300">
        <f>'PLAN INDICATIVO'!I301</f>
        <v>0</v>
      </c>
      <c r="J305" s="300">
        <f>'PLAN INDICATIVO'!J301</f>
        <v>0</v>
      </c>
      <c r="K305" s="1428" t="str">
        <f>'PLAN INDICATIVO'!K301</f>
        <v>A.8.1.9</v>
      </c>
      <c r="L305" s="301" t="str">
        <f>'PLAN INDICATIVO'!L301</f>
        <v>12. Producción y consumo responsables</v>
      </c>
      <c r="M305" s="301" t="str">
        <f>'PLAN INDICATIVO'!M301</f>
        <v>Unidad de Desarrollo Rural</v>
      </c>
      <c r="N305" s="1425" t="str">
        <f>'PLAN INDICATIVO'!N301</f>
        <v>GABRIEL ERNESTO CAMPOS ALVIRA</v>
      </c>
      <c r="O305" s="1425" t="str">
        <f>'PLAN INDICATIVO'!O301</f>
        <v>Incremento</v>
      </c>
      <c r="P305" s="16" t="str">
        <f>'PLAN INDICATIVO'!P301</f>
        <v>Realizar acompañamiento técnico y social a 2.000  familias vulnerables   en la implementación de agricultura rural durante el cuatrienio.</v>
      </c>
      <c r="Q305" s="302" t="str">
        <f>'PLAN INDICATIVO'!Q301</f>
        <v>No. De familias con acompañamiento técnico</v>
      </c>
      <c r="R305" s="303">
        <f>'PLAN INDICATIVO'!R301</f>
        <v>2015</v>
      </c>
      <c r="S305" s="304" t="s">
        <v>177</v>
      </c>
      <c r="T305" s="498">
        <v>2000</v>
      </c>
      <c r="U305" s="303">
        <v>500</v>
      </c>
      <c r="V305" s="687">
        <v>20000000</v>
      </c>
      <c r="W305" s="572">
        <v>500</v>
      </c>
      <c r="X305" s="687">
        <v>5000000</v>
      </c>
      <c r="Y305" s="572">
        <v>500</v>
      </c>
      <c r="Z305" s="687">
        <v>14000000</v>
      </c>
      <c r="AA305" s="572">
        <v>500</v>
      </c>
      <c r="AB305" s="687">
        <v>16000000</v>
      </c>
      <c r="AC305" s="665">
        <v>500</v>
      </c>
      <c r="AD305" s="665"/>
      <c r="AE305" s="665"/>
      <c r="AF305" s="665"/>
      <c r="AG305" s="272" t="s">
        <v>2887</v>
      </c>
      <c r="AH305" s="307" t="s">
        <v>2888</v>
      </c>
      <c r="AI305" s="309">
        <v>42461</v>
      </c>
      <c r="AJ305" s="309">
        <v>42735</v>
      </c>
      <c r="AK305" s="308"/>
      <c r="AL305" s="308"/>
      <c r="AM305" s="267" t="s">
        <v>2598</v>
      </c>
      <c r="AN305" s="507" t="s">
        <v>2889</v>
      </c>
      <c r="AO305" s="729">
        <v>30504870</v>
      </c>
      <c r="AP305" s="730"/>
      <c r="AQ305" s="730"/>
      <c r="AR305" s="730"/>
      <c r="AS305" s="730"/>
      <c r="AT305" s="730"/>
      <c r="AU305" s="730"/>
      <c r="AV305" s="731">
        <f t="shared" si="127"/>
        <v>30504870</v>
      </c>
      <c r="AW305" s="525"/>
      <c r="AX305" s="310"/>
      <c r="AY305" s="310"/>
      <c r="AZ305" s="310"/>
      <c r="BA305" s="310"/>
      <c r="BB305" s="310"/>
      <c r="BC305" s="310"/>
      <c r="BD305" s="544">
        <f t="shared" si="128"/>
        <v>0</v>
      </c>
      <c r="BE305" s="525"/>
      <c r="BF305" s="310"/>
      <c r="BG305" s="310"/>
      <c r="BH305" s="310"/>
      <c r="BI305" s="310"/>
      <c r="BJ305" s="310"/>
      <c r="BK305" s="310"/>
      <c r="BL305" s="544">
        <f t="shared" si="129"/>
        <v>0</v>
      </c>
      <c r="BM305" s="525"/>
      <c r="BN305" s="310"/>
      <c r="BO305" s="310"/>
      <c r="BP305" s="310"/>
      <c r="BQ305" s="310"/>
      <c r="BR305" s="310"/>
      <c r="BS305" s="310"/>
      <c r="BT305" s="544">
        <f t="shared" si="130"/>
        <v>0</v>
      </c>
      <c r="BU305" s="556"/>
      <c r="BV305" s="663">
        <f t="shared" si="135"/>
        <v>500</v>
      </c>
      <c r="BW305" s="674">
        <f t="shared" si="136"/>
        <v>0.25</v>
      </c>
      <c r="BX305" s="674">
        <f t="shared" si="137"/>
        <v>1</v>
      </c>
      <c r="BY305" s="674">
        <f t="shared" si="138"/>
        <v>0</v>
      </c>
      <c r="BZ305" s="675">
        <f t="shared" si="139"/>
        <v>0</v>
      </c>
      <c r="CA305" s="675">
        <f t="shared" si="140"/>
        <v>0</v>
      </c>
    </row>
    <row r="306" spans="1:79" ht="72" hidden="1" customHeight="1" x14ac:dyDescent="0.25">
      <c r="A306" s="298" t="s">
        <v>896</v>
      </c>
      <c r="B306" s="299" t="str">
        <f>'PLAN INDICATIVO'!B302</f>
        <v>Agropecuario</v>
      </c>
      <c r="C306" s="1547"/>
      <c r="D306" s="1549"/>
      <c r="E306" s="1549"/>
      <c r="F306" s="1549"/>
      <c r="G306" s="1549"/>
      <c r="H306" s="1549"/>
      <c r="I306" s="300">
        <f>'PLAN INDICATIVO'!I302</f>
        <v>0</v>
      </c>
      <c r="J306" s="300">
        <f>'PLAN INDICATIVO'!J302</f>
        <v>0</v>
      </c>
      <c r="K306" s="1428" t="str">
        <f>'PLAN INDICATIVO'!K302</f>
        <v>A.8.1.10</v>
      </c>
      <c r="L306" s="301" t="str">
        <f>'PLAN INDICATIVO'!L302</f>
        <v>12. Producción y consumo responsables</v>
      </c>
      <c r="M306" s="301" t="str">
        <f>'PLAN INDICATIVO'!M302</f>
        <v>Unidad de Desarrollo Rural</v>
      </c>
      <c r="N306" s="1425" t="str">
        <f>'PLAN INDICATIVO'!N302</f>
        <v>GABRIEL ERNESTO CAMPOS ALVIRA</v>
      </c>
      <c r="O306" s="1425" t="str">
        <f>'PLAN INDICATIVO'!O302</f>
        <v>Incremento</v>
      </c>
      <c r="P306" s="16" t="str">
        <f>'PLAN INDICATIVO'!P302</f>
        <v>Realizar acompañamiento técnico y social a 1.000  familias en la implementación de agricultura en la zona urbana durante el cuatrienio.</v>
      </c>
      <c r="Q306" s="302" t="str">
        <f>'PLAN INDICATIVO'!Q302</f>
        <v>No. De familias beneficiadas</v>
      </c>
      <c r="R306" s="303">
        <f>'PLAN INDICATIVO'!R302</f>
        <v>2015</v>
      </c>
      <c r="S306" s="304" t="s">
        <v>177</v>
      </c>
      <c r="T306" s="498">
        <v>1000</v>
      </c>
      <c r="U306" s="303">
        <v>250</v>
      </c>
      <c r="V306" s="687">
        <v>15000000</v>
      </c>
      <c r="W306" s="572">
        <v>250</v>
      </c>
      <c r="X306" s="687">
        <v>3000000</v>
      </c>
      <c r="Y306" s="572">
        <v>250</v>
      </c>
      <c r="Z306" s="687">
        <v>14000000</v>
      </c>
      <c r="AA306" s="572">
        <v>250</v>
      </c>
      <c r="AB306" s="687">
        <v>15000000</v>
      </c>
      <c r="AC306" s="665">
        <v>250</v>
      </c>
      <c r="AD306" s="665"/>
      <c r="AE306" s="665"/>
      <c r="AF306" s="665"/>
      <c r="AG306" s="272" t="s">
        <v>2887</v>
      </c>
      <c r="AH306" s="307" t="s">
        <v>2890</v>
      </c>
      <c r="AI306" s="309">
        <v>42461</v>
      </c>
      <c r="AJ306" s="309">
        <v>42735</v>
      </c>
      <c r="AK306" s="308"/>
      <c r="AL306" s="308"/>
      <c r="AM306" s="267" t="s">
        <v>2598</v>
      </c>
      <c r="AN306" s="507" t="s">
        <v>2891</v>
      </c>
      <c r="AO306" s="729"/>
      <c r="AP306" s="730">
        <v>18695330</v>
      </c>
      <c r="AQ306" s="730"/>
      <c r="AR306" s="730"/>
      <c r="AS306" s="730"/>
      <c r="AT306" s="730"/>
      <c r="AU306" s="730"/>
      <c r="AV306" s="731">
        <f t="shared" si="127"/>
        <v>18695330</v>
      </c>
      <c r="AW306" s="525"/>
      <c r="AX306" s="310"/>
      <c r="AY306" s="310"/>
      <c r="AZ306" s="310"/>
      <c r="BA306" s="310"/>
      <c r="BB306" s="310"/>
      <c r="BC306" s="310"/>
      <c r="BD306" s="544">
        <f t="shared" si="128"/>
        <v>0</v>
      </c>
      <c r="BE306" s="525"/>
      <c r="BF306" s="310"/>
      <c r="BG306" s="310"/>
      <c r="BH306" s="310"/>
      <c r="BI306" s="310"/>
      <c r="BJ306" s="310"/>
      <c r="BK306" s="310"/>
      <c r="BL306" s="544">
        <f t="shared" si="129"/>
        <v>0</v>
      </c>
      <c r="BM306" s="525"/>
      <c r="BN306" s="310"/>
      <c r="BO306" s="310"/>
      <c r="BP306" s="310"/>
      <c r="BQ306" s="310"/>
      <c r="BR306" s="310"/>
      <c r="BS306" s="310"/>
      <c r="BT306" s="544">
        <f t="shared" si="130"/>
        <v>0</v>
      </c>
      <c r="BU306" s="556"/>
      <c r="BV306" s="663">
        <f t="shared" si="135"/>
        <v>250</v>
      </c>
      <c r="BW306" s="674">
        <f t="shared" si="136"/>
        <v>0.25</v>
      </c>
      <c r="BX306" s="674">
        <f t="shared" si="137"/>
        <v>1</v>
      </c>
      <c r="BY306" s="674">
        <f t="shared" si="138"/>
        <v>0</v>
      </c>
      <c r="BZ306" s="675">
        <f t="shared" si="139"/>
        <v>0</v>
      </c>
      <c r="CA306" s="675">
        <f t="shared" si="140"/>
        <v>0</v>
      </c>
    </row>
    <row r="307" spans="1:79" ht="78" hidden="1" customHeight="1" x14ac:dyDescent="0.25">
      <c r="A307" s="298" t="s">
        <v>896</v>
      </c>
      <c r="B307" s="299" t="str">
        <f>'PLAN INDICATIVO'!B303</f>
        <v>Agropecuario</v>
      </c>
      <c r="C307" s="1547"/>
      <c r="D307" s="1549"/>
      <c r="E307" s="1549"/>
      <c r="F307" s="1549"/>
      <c r="G307" s="1549"/>
      <c r="H307" s="1549"/>
      <c r="I307" s="300">
        <f>'PLAN INDICATIVO'!I303</f>
        <v>0</v>
      </c>
      <c r="J307" s="300">
        <f>'PLAN INDICATIVO'!J303</f>
        <v>0</v>
      </c>
      <c r="K307" s="1428" t="str">
        <f>'PLAN INDICATIVO'!K303</f>
        <v>A.8.1.11</v>
      </c>
      <c r="L307" s="301" t="str">
        <f>'PLAN INDICATIVO'!L303</f>
        <v>12. Producción y consumo responsables</v>
      </c>
      <c r="M307" s="301" t="str">
        <f>'PLAN INDICATIVO'!M303</f>
        <v>Unidad de Desarrollo Rural</v>
      </c>
      <c r="N307" s="1425" t="str">
        <f>'PLAN INDICATIVO'!N303</f>
        <v>GABRIEL ERNESTO CAMPOS ALVIRA</v>
      </c>
      <c r="O307" s="1425" t="str">
        <f>'PLAN INDICATIVO'!O303</f>
        <v>Incremento</v>
      </c>
      <c r="P307" s="16" t="str">
        <f>'PLAN INDICATIVO'!P303</f>
        <v>Realizar 6 actividades cada año, para fortalecimiento de mercados campesinos "María Helena Cortes"</v>
      </c>
      <c r="Q307" s="302" t="str">
        <f>'PLAN INDICATIVO'!Q303</f>
        <v>No. De actividades realizadas por año</v>
      </c>
      <c r="R307" s="303">
        <f>'PLAN INDICATIVO'!R303</f>
        <v>2015</v>
      </c>
      <c r="S307" s="304">
        <v>0</v>
      </c>
      <c r="T307" s="498">
        <v>24</v>
      </c>
      <c r="U307" s="303">
        <v>6</v>
      </c>
      <c r="V307" s="687">
        <v>10000000</v>
      </c>
      <c r="W307" s="572">
        <v>6</v>
      </c>
      <c r="X307" s="687">
        <v>2000000</v>
      </c>
      <c r="Y307" s="572">
        <v>6</v>
      </c>
      <c r="Z307" s="687">
        <v>9000000</v>
      </c>
      <c r="AA307" s="572">
        <v>6</v>
      </c>
      <c r="AB307" s="687">
        <v>10000000</v>
      </c>
      <c r="AC307" s="665">
        <v>10</v>
      </c>
      <c r="AD307" s="665"/>
      <c r="AE307" s="665"/>
      <c r="AF307" s="665"/>
      <c r="AG307" s="272" t="s">
        <v>2887</v>
      </c>
      <c r="AH307" s="307" t="s">
        <v>2892</v>
      </c>
      <c r="AI307" s="309">
        <v>42583</v>
      </c>
      <c r="AJ307" s="309">
        <v>42735</v>
      </c>
      <c r="AK307" s="308"/>
      <c r="AL307" s="308"/>
      <c r="AM307" s="267" t="s">
        <v>2598</v>
      </c>
      <c r="AN307" s="744" t="s">
        <v>2893</v>
      </c>
      <c r="AO307" s="745">
        <v>3084993</v>
      </c>
      <c r="AP307" s="745"/>
      <c r="AQ307" s="751"/>
      <c r="AR307" s="751"/>
      <c r="AS307" s="751"/>
      <c r="AT307" s="730"/>
      <c r="AU307" s="730"/>
      <c r="AV307" s="731">
        <f t="shared" si="127"/>
        <v>3084993</v>
      </c>
      <c r="AW307" s="525"/>
      <c r="AX307" s="310"/>
      <c r="AY307" s="310"/>
      <c r="AZ307" s="310"/>
      <c r="BA307" s="310"/>
      <c r="BB307" s="310"/>
      <c r="BC307" s="310"/>
      <c r="BD307" s="544">
        <f t="shared" si="128"/>
        <v>0</v>
      </c>
      <c r="BE307" s="525"/>
      <c r="BF307" s="310"/>
      <c r="BG307" s="310"/>
      <c r="BH307" s="310"/>
      <c r="BI307" s="310"/>
      <c r="BJ307" s="310"/>
      <c r="BK307" s="310"/>
      <c r="BL307" s="544">
        <f t="shared" si="129"/>
        <v>0</v>
      </c>
      <c r="BM307" s="525"/>
      <c r="BN307" s="310"/>
      <c r="BO307" s="310"/>
      <c r="BP307" s="310"/>
      <c r="BQ307" s="310"/>
      <c r="BR307" s="310"/>
      <c r="BS307" s="310"/>
      <c r="BT307" s="544">
        <f t="shared" si="130"/>
        <v>0</v>
      </c>
      <c r="BU307" s="556"/>
      <c r="BV307" s="663">
        <f t="shared" si="135"/>
        <v>10</v>
      </c>
      <c r="BW307" s="674">
        <f t="shared" si="136"/>
        <v>0.41666666666666669</v>
      </c>
      <c r="BX307" s="674">
        <f t="shared" si="137"/>
        <v>1.6666666666666667</v>
      </c>
      <c r="BY307" s="674">
        <f t="shared" si="138"/>
        <v>0</v>
      </c>
      <c r="BZ307" s="675">
        <f t="shared" si="139"/>
        <v>0</v>
      </c>
      <c r="CA307" s="675">
        <f t="shared" si="140"/>
        <v>0</v>
      </c>
    </row>
    <row r="308" spans="1:79" ht="72" hidden="1" customHeight="1" x14ac:dyDescent="0.25">
      <c r="A308" s="298" t="s">
        <v>896</v>
      </c>
      <c r="B308" s="299" t="str">
        <f>'PLAN INDICATIVO'!B304</f>
        <v>Agropecuario</v>
      </c>
      <c r="C308" s="1547"/>
      <c r="D308" s="1549"/>
      <c r="E308" s="1549"/>
      <c r="F308" s="1549"/>
      <c r="G308" s="1549"/>
      <c r="H308" s="1549"/>
      <c r="I308" s="300">
        <f>'PLAN INDICATIVO'!I304</f>
        <v>0</v>
      </c>
      <c r="J308" s="300">
        <f>'PLAN INDICATIVO'!J304</f>
        <v>0</v>
      </c>
      <c r="K308" s="1428" t="str">
        <f>'PLAN INDICATIVO'!K304</f>
        <v>A.8.1.12</v>
      </c>
      <c r="L308" s="301" t="str">
        <f>'PLAN INDICATIVO'!L304</f>
        <v>12. Producción y consumo responsables</v>
      </c>
      <c r="M308" s="301" t="str">
        <f>'PLAN INDICATIVO'!M304</f>
        <v>Unidad de Desarrollo Rural</v>
      </c>
      <c r="N308" s="1425" t="str">
        <f>'PLAN INDICATIVO'!N304</f>
        <v>GABRIEL ERNESTO CAMPOS ALVIRA</v>
      </c>
      <c r="O308" s="1425" t="str">
        <f>'PLAN INDICATIVO'!O304</f>
        <v>Incremento</v>
      </c>
      <c r="P308" s="16" t="str">
        <f>'PLAN INDICATIVO'!P304</f>
        <v>Realizar 10 capacitaciones en busca del fortalecimiento en la agricultura, cada año</v>
      </c>
      <c r="Q308" s="302" t="str">
        <f>'PLAN INDICATIVO'!Q304</f>
        <v>No. De capacitaciones realizadas por año</v>
      </c>
      <c r="R308" s="303">
        <f>'PLAN INDICATIVO'!R304</f>
        <v>2015</v>
      </c>
      <c r="S308" s="304">
        <v>0</v>
      </c>
      <c r="T308" s="498">
        <v>40</v>
      </c>
      <c r="U308" s="303">
        <v>10</v>
      </c>
      <c r="V308" s="687">
        <v>4000000</v>
      </c>
      <c r="W308" s="572">
        <v>10</v>
      </c>
      <c r="X308" s="687">
        <v>1500000</v>
      </c>
      <c r="Y308" s="572">
        <v>10</v>
      </c>
      <c r="Z308" s="687">
        <v>4000000</v>
      </c>
      <c r="AA308" s="572">
        <v>10</v>
      </c>
      <c r="AB308" s="687">
        <v>4000000</v>
      </c>
      <c r="AC308" s="665">
        <f>3+7</f>
        <v>10</v>
      </c>
      <c r="AD308" s="665"/>
      <c r="AE308" s="665"/>
      <c r="AF308" s="665"/>
      <c r="AG308" s="272" t="s">
        <v>2887</v>
      </c>
      <c r="AH308" s="307" t="s">
        <v>2894</v>
      </c>
      <c r="AI308" s="309">
        <v>42461</v>
      </c>
      <c r="AJ308" s="309">
        <v>42735</v>
      </c>
      <c r="AK308" s="308"/>
      <c r="AL308" s="308"/>
      <c r="AM308" s="267" t="s">
        <v>2598</v>
      </c>
      <c r="AN308" s="507" t="s">
        <v>2895</v>
      </c>
      <c r="AO308" s="729"/>
      <c r="AP308" s="730">
        <v>1400000</v>
      </c>
      <c r="AQ308" s="730"/>
      <c r="AR308" s="730"/>
      <c r="AS308" s="730"/>
      <c r="AT308" s="730"/>
      <c r="AU308" s="751">
        <v>2000000</v>
      </c>
      <c r="AV308" s="731">
        <f t="shared" si="127"/>
        <v>3400000</v>
      </c>
      <c r="AW308" s="525"/>
      <c r="AX308" s="310"/>
      <c r="AY308" s="310"/>
      <c r="AZ308" s="310"/>
      <c r="BA308" s="310"/>
      <c r="BB308" s="310"/>
      <c r="BC308" s="310"/>
      <c r="BD308" s="544">
        <f t="shared" si="128"/>
        <v>0</v>
      </c>
      <c r="BE308" s="525"/>
      <c r="BF308" s="310"/>
      <c r="BG308" s="310"/>
      <c r="BH308" s="310"/>
      <c r="BI308" s="310"/>
      <c r="BJ308" s="310"/>
      <c r="BK308" s="310"/>
      <c r="BL308" s="544">
        <f t="shared" si="129"/>
        <v>0</v>
      </c>
      <c r="BM308" s="525"/>
      <c r="BN308" s="310"/>
      <c r="BO308" s="310"/>
      <c r="BP308" s="310"/>
      <c r="BQ308" s="310"/>
      <c r="BR308" s="310"/>
      <c r="BS308" s="310"/>
      <c r="BT308" s="544">
        <f t="shared" si="130"/>
        <v>0</v>
      </c>
      <c r="BU308" s="556"/>
      <c r="BV308" s="663">
        <f t="shared" si="135"/>
        <v>10</v>
      </c>
      <c r="BW308" s="674">
        <f t="shared" si="136"/>
        <v>0.25</v>
      </c>
      <c r="BX308" s="674">
        <f t="shared" si="137"/>
        <v>1</v>
      </c>
      <c r="BY308" s="674">
        <f t="shared" si="138"/>
        <v>0</v>
      </c>
      <c r="BZ308" s="675">
        <f t="shared" si="139"/>
        <v>0</v>
      </c>
      <c r="CA308" s="675">
        <f t="shared" si="140"/>
        <v>0</v>
      </c>
    </row>
    <row r="309" spans="1:79" ht="92.25" hidden="1" customHeight="1" x14ac:dyDescent="0.25">
      <c r="A309" s="298" t="s">
        <v>896</v>
      </c>
      <c r="B309" s="299" t="str">
        <f>'PLAN INDICATIVO'!B305</f>
        <v>Agropecuario</v>
      </c>
      <c r="C309" s="1547"/>
      <c r="D309" s="1549"/>
      <c r="E309" s="1549"/>
      <c r="F309" s="1549"/>
      <c r="G309" s="1549"/>
      <c r="H309" s="1549"/>
      <c r="I309" s="300">
        <f>'PLAN INDICATIVO'!I305</f>
        <v>0</v>
      </c>
      <c r="J309" s="300">
        <f>'PLAN INDICATIVO'!J305</f>
        <v>0</v>
      </c>
      <c r="K309" s="1428" t="str">
        <f>'PLAN INDICATIVO'!K305</f>
        <v>A.8.1.13</v>
      </c>
      <c r="L309" s="301" t="str">
        <f>'PLAN INDICATIVO'!L305</f>
        <v>12. Producción y consumo responsables</v>
      </c>
      <c r="M309" s="301" t="str">
        <f>'PLAN INDICATIVO'!M305</f>
        <v>Unidad de Desarrollo Rural</v>
      </c>
      <c r="N309" s="1425" t="str">
        <f>'PLAN INDICATIVO'!N305</f>
        <v>GABRIEL ERNESTO CAMPOS ALVIRA</v>
      </c>
      <c r="O309" s="1425" t="str">
        <f>'PLAN INDICATIVO'!O305</f>
        <v>Incremento</v>
      </c>
      <c r="P309" s="16" t="str">
        <f>'PLAN INDICATIVO'!P305</f>
        <v>Asegurar 100 has cultivadas con frutales y cultivos permanentes con garantía de sostenibilidad técnica y comercial en el municipio de La Plata, durante el cuatrienio</v>
      </c>
      <c r="Q309" s="302" t="str">
        <f>'PLAN INDICATIVO'!Q305</f>
        <v>No. De hectáreas cultivadas</v>
      </c>
      <c r="R309" s="303">
        <f>'PLAN INDICATIVO'!R305</f>
        <v>2015</v>
      </c>
      <c r="S309" s="304">
        <v>0</v>
      </c>
      <c r="T309" s="498">
        <v>100</v>
      </c>
      <c r="U309" s="303">
        <v>25</v>
      </c>
      <c r="V309" s="687">
        <v>14000000</v>
      </c>
      <c r="W309" s="572">
        <v>25</v>
      </c>
      <c r="X309" s="687">
        <v>3000000</v>
      </c>
      <c r="Y309" s="572">
        <v>25</v>
      </c>
      <c r="Z309" s="687">
        <v>12000000</v>
      </c>
      <c r="AA309" s="572">
        <v>25</v>
      </c>
      <c r="AB309" s="687">
        <v>15000000</v>
      </c>
      <c r="AC309" s="665">
        <v>25</v>
      </c>
      <c r="AD309" s="665"/>
      <c r="AE309" s="665"/>
      <c r="AF309" s="665"/>
      <c r="AG309" s="306" t="s">
        <v>2896</v>
      </c>
      <c r="AH309" s="307" t="s">
        <v>2897</v>
      </c>
      <c r="AI309" s="309">
        <v>42552</v>
      </c>
      <c r="AJ309" s="309">
        <v>42735</v>
      </c>
      <c r="AK309" s="308"/>
      <c r="AL309" s="308"/>
      <c r="AM309" s="267" t="s">
        <v>2598</v>
      </c>
      <c r="AN309" s="507"/>
      <c r="AO309" s="729"/>
      <c r="AP309" s="730"/>
      <c r="AQ309" s="730"/>
      <c r="AR309" s="730"/>
      <c r="AS309" s="730"/>
      <c r="AT309" s="730"/>
      <c r="AU309" s="751">
        <v>1500000</v>
      </c>
      <c r="AV309" s="731">
        <f t="shared" si="127"/>
        <v>1500000</v>
      </c>
      <c r="AW309" s="525"/>
      <c r="AX309" s="310"/>
      <c r="AY309" s="310"/>
      <c r="AZ309" s="310"/>
      <c r="BA309" s="310"/>
      <c r="BB309" s="310"/>
      <c r="BC309" s="310"/>
      <c r="BD309" s="544">
        <f t="shared" si="128"/>
        <v>0</v>
      </c>
      <c r="BE309" s="525"/>
      <c r="BF309" s="310"/>
      <c r="BG309" s="310"/>
      <c r="BH309" s="310"/>
      <c r="BI309" s="310"/>
      <c r="BJ309" s="310"/>
      <c r="BK309" s="310"/>
      <c r="BL309" s="544">
        <f t="shared" si="129"/>
        <v>0</v>
      </c>
      <c r="BM309" s="525"/>
      <c r="BN309" s="310"/>
      <c r="BO309" s="310"/>
      <c r="BP309" s="310"/>
      <c r="BQ309" s="310"/>
      <c r="BR309" s="310"/>
      <c r="BS309" s="310"/>
      <c r="BT309" s="544">
        <f t="shared" si="130"/>
        <v>0</v>
      </c>
      <c r="BU309" s="556"/>
      <c r="BV309" s="663">
        <f t="shared" si="135"/>
        <v>25</v>
      </c>
      <c r="BW309" s="674">
        <f t="shared" si="136"/>
        <v>0.25</v>
      </c>
      <c r="BX309" s="674">
        <f t="shared" si="137"/>
        <v>1</v>
      </c>
      <c r="BY309" s="674">
        <f t="shared" si="138"/>
        <v>0</v>
      </c>
      <c r="BZ309" s="675">
        <f t="shared" si="139"/>
        <v>0</v>
      </c>
      <c r="CA309" s="675">
        <f t="shared" si="140"/>
        <v>0</v>
      </c>
    </row>
    <row r="310" spans="1:79" ht="92.25" hidden="1" customHeight="1" x14ac:dyDescent="0.25">
      <c r="A310" s="298" t="s">
        <v>896</v>
      </c>
      <c r="B310" s="299" t="str">
        <f>'PLAN INDICATIVO'!B306</f>
        <v>Agropecuario</v>
      </c>
      <c r="C310" s="1547"/>
      <c r="D310" s="1549"/>
      <c r="E310" s="1549"/>
      <c r="F310" s="1549"/>
      <c r="G310" s="1549"/>
      <c r="H310" s="1549"/>
      <c r="I310" s="300">
        <f>'PLAN INDICATIVO'!I306</f>
        <v>0</v>
      </c>
      <c r="J310" s="300">
        <f>'PLAN INDICATIVO'!J306</f>
        <v>0</v>
      </c>
      <c r="K310" s="1428" t="str">
        <f>'PLAN INDICATIVO'!K306</f>
        <v>A.8.1.14</v>
      </c>
      <c r="L310" s="301" t="str">
        <f>'PLAN INDICATIVO'!L306</f>
        <v>12. Producción y consumo responsables</v>
      </c>
      <c r="M310" s="301" t="str">
        <f>'PLAN INDICATIVO'!M306</f>
        <v>Unidad de Desarrollo Rural</v>
      </c>
      <c r="N310" s="1425" t="str">
        <f>'PLAN INDICATIVO'!N306</f>
        <v>GABRIEL ERNESTO CAMPOS ALVIRA</v>
      </c>
      <c r="O310" s="1425" t="str">
        <f>'PLAN INDICATIVO'!O306</f>
        <v>Incremento</v>
      </c>
      <c r="P310" s="16" t="str">
        <f>'PLAN INDICATIVO'!P306</f>
        <v xml:space="preserve">Capacitar 200 grupos productores de cafés  en compañía con Sena y cámara de comercio, con objetivo de garantizar su calidad, durante el cuatrienio </v>
      </c>
      <c r="Q310" s="302" t="str">
        <f>'PLAN INDICATIVO'!Q306</f>
        <v>No. De grupos capacitados</v>
      </c>
      <c r="R310" s="303">
        <f>'PLAN INDICATIVO'!R306</f>
        <v>2015</v>
      </c>
      <c r="S310" s="304">
        <v>0</v>
      </c>
      <c r="T310" s="498">
        <v>200</v>
      </c>
      <c r="U310" s="303">
        <v>50</v>
      </c>
      <c r="V310" s="687">
        <v>10000000</v>
      </c>
      <c r="W310" s="572">
        <v>50</v>
      </c>
      <c r="X310" s="687">
        <v>5000000</v>
      </c>
      <c r="Y310" s="572">
        <v>50</v>
      </c>
      <c r="Z310" s="687">
        <v>9000000</v>
      </c>
      <c r="AA310" s="572">
        <v>50</v>
      </c>
      <c r="AB310" s="687">
        <v>10000000</v>
      </c>
      <c r="AC310" s="665">
        <v>50</v>
      </c>
      <c r="AD310" s="665"/>
      <c r="AE310" s="665"/>
      <c r="AF310" s="665"/>
      <c r="AG310" s="306" t="s">
        <v>2887</v>
      </c>
      <c r="AH310" s="307" t="s">
        <v>2898</v>
      </c>
      <c r="AI310" s="309">
        <v>42461</v>
      </c>
      <c r="AJ310" s="309">
        <v>42490</v>
      </c>
      <c r="AK310" s="308"/>
      <c r="AL310" s="308"/>
      <c r="AM310" s="267" t="s">
        <v>2598</v>
      </c>
      <c r="AN310" s="507" t="s">
        <v>2899</v>
      </c>
      <c r="AO310" s="740"/>
      <c r="AP310" s="730">
        <v>3500000</v>
      </c>
      <c r="AQ310" s="730"/>
      <c r="AR310" s="730"/>
      <c r="AS310" s="730"/>
      <c r="AT310" s="730"/>
      <c r="AU310" s="751"/>
      <c r="AV310" s="731">
        <f t="shared" si="127"/>
        <v>3500000</v>
      </c>
      <c r="AW310" s="531"/>
      <c r="AX310" s="310"/>
      <c r="AY310" s="310"/>
      <c r="AZ310" s="310"/>
      <c r="BA310" s="310"/>
      <c r="BB310" s="310"/>
      <c r="BC310" s="310"/>
      <c r="BD310" s="544">
        <f t="shared" si="128"/>
        <v>0</v>
      </c>
      <c r="BE310" s="531"/>
      <c r="BF310" s="310"/>
      <c r="BG310" s="310"/>
      <c r="BH310" s="310"/>
      <c r="BI310" s="310"/>
      <c r="BJ310" s="310"/>
      <c r="BK310" s="310"/>
      <c r="BL310" s="544">
        <f t="shared" si="129"/>
        <v>0</v>
      </c>
      <c r="BM310" s="531"/>
      <c r="BN310" s="310"/>
      <c r="BO310" s="310"/>
      <c r="BP310" s="310"/>
      <c r="BQ310" s="310"/>
      <c r="BR310" s="310"/>
      <c r="BS310" s="310"/>
      <c r="BT310" s="544">
        <f t="shared" si="130"/>
        <v>0</v>
      </c>
      <c r="BU310" s="556"/>
      <c r="BV310" s="663">
        <f t="shared" si="135"/>
        <v>50</v>
      </c>
      <c r="BW310" s="674">
        <f t="shared" si="136"/>
        <v>0.25</v>
      </c>
      <c r="BX310" s="674">
        <f t="shared" si="137"/>
        <v>1</v>
      </c>
      <c r="BY310" s="674">
        <f t="shared" si="138"/>
        <v>0</v>
      </c>
      <c r="BZ310" s="675">
        <f t="shared" si="139"/>
        <v>0</v>
      </c>
      <c r="CA310" s="675">
        <f t="shared" si="140"/>
        <v>0</v>
      </c>
    </row>
    <row r="311" spans="1:79" ht="87.75" hidden="1" customHeight="1" x14ac:dyDescent="0.25">
      <c r="A311" s="298" t="s">
        <v>896</v>
      </c>
      <c r="B311" s="299" t="str">
        <f>'PLAN INDICATIVO'!B307</f>
        <v>Agropecuario</v>
      </c>
      <c r="C311" s="1547"/>
      <c r="D311" s="1549"/>
      <c r="E311" s="1549"/>
      <c r="F311" s="1549"/>
      <c r="G311" s="1549"/>
      <c r="H311" s="1549"/>
      <c r="I311" s="300">
        <f>'PLAN INDICATIVO'!I307</f>
        <v>0</v>
      </c>
      <c r="J311" s="300">
        <f>'PLAN INDICATIVO'!J307</f>
        <v>0</v>
      </c>
      <c r="K311" s="1428" t="str">
        <f>'PLAN INDICATIVO'!K307</f>
        <v>A.8.1.15</v>
      </c>
      <c r="L311" s="301" t="str">
        <f>'PLAN INDICATIVO'!L307</f>
        <v>12. Producción y consumo responsables</v>
      </c>
      <c r="M311" s="301" t="str">
        <f>'PLAN INDICATIVO'!M307</f>
        <v>Unidad de Desarrollo Rural</v>
      </c>
      <c r="N311" s="1425" t="str">
        <f>'PLAN INDICATIVO'!N307</f>
        <v>GABRIEL ERNESTO CAMPOS ALVIRA</v>
      </c>
      <c r="O311" s="1425" t="str">
        <f>'PLAN INDICATIVO'!O307</f>
        <v>Incremento</v>
      </c>
      <c r="P311" s="16" t="str">
        <f>'PLAN INDICATIVO'!P307</f>
        <v>Realizar 1  certámenes anuales  feriales de apoyo al desarrollo agropecuario</v>
      </c>
      <c r="Q311" s="302" t="str">
        <f>'PLAN INDICATIVO'!Q307</f>
        <v>No. De certámenes realizados por año</v>
      </c>
      <c r="R311" s="303">
        <f>'PLAN INDICATIVO'!R307</f>
        <v>2015</v>
      </c>
      <c r="S311" s="304">
        <v>1</v>
      </c>
      <c r="T311" s="498">
        <v>2</v>
      </c>
      <c r="U311" s="303">
        <v>2</v>
      </c>
      <c r="V311" s="687">
        <v>50000000</v>
      </c>
      <c r="W311" s="572">
        <v>2</v>
      </c>
      <c r="X311" s="687">
        <v>15000000</v>
      </c>
      <c r="Y311" s="572">
        <v>2</v>
      </c>
      <c r="Z311" s="687">
        <v>20000000</v>
      </c>
      <c r="AA311" s="572">
        <v>2</v>
      </c>
      <c r="AB311" s="687">
        <v>20000000</v>
      </c>
      <c r="AC311" s="665">
        <f>1+1</f>
        <v>2</v>
      </c>
      <c r="AD311" s="665"/>
      <c r="AE311" s="665"/>
      <c r="AF311" s="665"/>
      <c r="AG311" s="306" t="s">
        <v>2887</v>
      </c>
      <c r="AH311" s="307" t="s">
        <v>2900</v>
      </c>
      <c r="AI311" s="309">
        <v>42398</v>
      </c>
      <c r="AJ311" s="309">
        <v>42401</v>
      </c>
      <c r="AK311" s="308"/>
      <c r="AL311" s="308"/>
      <c r="AM311" s="267" t="s">
        <v>2598</v>
      </c>
      <c r="AN311" s="507" t="s">
        <v>2901</v>
      </c>
      <c r="AO311" s="740">
        <f>10000000+5000000</f>
        <v>15000000</v>
      </c>
      <c r="AP311" s="730">
        <v>35000000</v>
      </c>
      <c r="AQ311" s="730"/>
      <c r="AR311" s="730"/>
      <c r="AS311" s="730"/>
      <c r="AT311" s="730"/>
      <c r="AU311" s="751">
        <f>5000000+1000000</f>
        <v>6000000</v>
      </c>
      <c r="AV311" s="731">
        <f t="shared" si="127"/>
        <v>56000000</v>
      </c>
      <c r="AW311" s="531"/>
      <c r="AX311" s="310"/>
      <c r="AY311" s="310"/>
      <c r="AZ311" s="310"/>
      <c r="BA311" s="310"/>
      <c r="BB311" s="310"/>
      <c r="BC311" s="310"/>
      <c r="BD311" s="544">
        <f t="shared" si="128"/>
        <v>0</v>
      </c>
      <c r="BE311" s="531"/>
      <c r="BF311" s="310"/>
      <c r="BG311" s="310"/>
      <c r="BH311" s="310"/>
      <c r="BI311" s="310"/>
      <c r="BJ311" s="310"/>
      <c r="BK311" s="310"/>
      <c r="BL311" s="544">
        <f t="shared" si="129"/>
        <v>0</v>
      </c>
      <c r="BM311" s="531"/>
      <c r="BN311" s="310"/>
      <c r="BO311" s="310"/>
      <c r="BP311" s="310"/>
      <c r="BQ311" s="310"/>
      <c r="BR311" s="310"/>
      <c r="BS311" s="310"/>
      <c r="BT311" s="544">
        <f t="shared" si="130"/>
        <v>0</v>
      </c>
      <c r="BU311" s="556"/>
      <c r="BV311" s="663">
        <f t="shared" si="135"/>
        <v>2</v>
      </c>
      <c r="BW311" s="674">
        <f t="shared" si="136"/>
        <v>1</v>
      </c>
      <c r="BX311" s="674">
        <f t="shared" si="137"/>
        <v>1</v>
      </c>
      <c r="BY311" s="674">
        <f t="shared" si="138"/>
        <v>0</v>
      </c>
      <c r="BZ311" s="675">
        <f t="shared" si="139"/>
        <v>0</v>
      </c>
      <c r="CA311" s="675">
        <f t="shared" si="140"/>
        <v>0</v>
      </c>
    </row>
    <row r="312" spans="1:79" ht="45.75" hidden="1" customHeight="1" x14ac:dyDescent="0.25">
      <c r="A312" s="298" t="s">
        <v>896</v>
      </c>
      <c r="B312" s="299" t="str">
        <f>'PLAN INDICATIVO'!B308</f>
        <v>Agropecuario</v>
      </c>
      <c r="C312" s="1547"/>
      <c r="D312" s="1549"/>
      <c r="E312" s="1549"/>
      <c r="F312" s="1549"/>
      <c r="G312" s="1549"/>
      <c r="H312" s="1549"/>
      <c r="I312" s="300">
        <f>'PLAN INDICATIVO'!I308</f>
        <v>0</v>
      </c>
      <c r="J312" s="300">
        <f>'PLAN INDICATIVO'!J308</f>
        <v>0</v>
      </c>
      <c r="K312" s="1428" t="str">
        <f>'PLAN INDICATIVO'!K308</f>
        <v>A.8.1.16</v>
      </c>
      <c r="L312" s="301" t="str">
        <f>'PLAN INDICATIVO'!L308</f>
        <v>12. Producción y consumo responsables</v>
      </c>
      <c r="M312" s="301" t="str">
        <f>'PLAN INDICATIVO'!M308</f>
        <v>Unidad de Desarrollo Rural</v>
      </c>
      <c r="N312" s="1425" t="str">
        <f>'PLAN INDICATIVO'!N308</f>
        <v>GABRIEL ERNESTO CAMPOS ALVIRA</v>
      </c>
      <c r="O312" s="1425" t="str">
        <f>'PLAN INDICATIVO'!O308</f>
        <v>Incremento</v>
      </c>
      <c r="P312" s="16" t="str">
        <f>'PLAN INDICATIVO'!P308</f>
        <v>Realizar  2 actividades que permita  mejorar producción agropecuaria</v>
      </c>
      <c r="Q312" s="302" t="str">
        <f>'PLAN INDICATIVO'!Q308</f>
        <v>No. Actividades realizadas</v>
      </c>
      <c r="R312" s="303">
        <f>'PLAN INDICATIVO'!R308</f>
        <v>2015</v>
      </c>
      <c r="S312" s="304">
        <v>0</v>
      </c>
      <c r="T312" s="498">
        <v>2</v>
      </c>
      <c r="U312" s="303">
        <v>0</v>
      </c>
      <c r="V312" s="687"/>
      <c r="W312" s="572">
        <v>0</v>
      </c>
      <c r="X312" s="687"/>
      <c r="Y312" s="572">
        <v>1</v>
      </c>
      <c r="Z312" s="687">
        <v>3000000</v>
      </c>
      <c r="AA312" s="572">
        <v>1</v>
      </c>
      <c r="AB312" s="687">
        <v>3000000</v>
      </c>
      <c r="AC312" s="665">
        <v>2</v>
      </c>
      <c r="AD312" s="665"/>
      <c r="AE312" s="665"/>
      <c r="AF312" s="665"/>
      <c r="AG312" s="266"/>
      <c r="AH312" s="307"/>
      <c r="AI312" s="308"/>
      <c r="AJ312" s="308"/>
      <c r="AK312" s="308"/>
      <c r="AL312" s="308"/>
      <c r="AM312" s="267" t="s">
        <v>2594</v>
      </c>
      <c r="AN312" s="507"/>
      <c r="AO312" s="729"/>
      <c r="AP312" s="730"/>
      <c r="AQ312" s="730"/>
      <c r="AR312" s="730"/>
      <c r="AS312" s="730"/>
      <c r="AT312" s="730"/>
      <c r="AU312" s="730"/>
      <c r="AV312" s="731">
        <f t="shared" si="127"/>
        <v>0</v>
      </c>
      <c r="AW312" s="525"/>
      <c r="AX312" s="310"/>
      <c r="AY312" s="310"/>
      <c r="AZ312" s="310"/>
      <c r="BA312" s="310"/>
      <c r="BB312" s="310"/>
      <c r="BC312" s="310"/>
      <c r="BD312" s="544">
        <f t="shared" si="128"/>
        <v>0</v>
      </c>
      <c r="BE312" s="525"/>
      <c r="BF312" s="310"/>
      <c r="BG312" s="310"/>
      <c r="BH312" s="310"/>
      <c r="BI312" s="310"/>
      <c r="BJ312" s="310"/>
      <c r="BK312" s="310"/>
      <c r="BL312" s="544">
        <f t="shared" si="129"/>
        <v>0</v>
      </c>
      <c r="BM312" s="525"/>
      <c r="BN312" s="310"/>
      <c r="BO312" s="310"/>
      <c r="BP312" s="310"/>
      <c r="BQ312" s="310"/>
      <c r="BR312" s="310"/>
      <c r="BS312" s="310"/>
      <c r="BT312" s="544">
        <f t="shared" si="130"/>
        <v>0</v>
      </c>
      <c r="BU312" s="556"/>
      <c r="BV312" s="663">
        <f t="shared" si="135"/>
        <v>2</v>
      </c>
      <c r="BW312" s="674">
        <f t="shared" si="136"/>
        <v>1</v>
      </c>
      <c r="BX312" s="674" t="e">
        <f t="shared" si="137"/>
        <v>#DIV/0!</v>
      </c>
      <c r="BY312" s="674" t="e">
        <f t="shared" si="138"/>
        <v>#DIV/0!</v>
      </c>
      <c r="BZ312" s="675">
        <f t="shared" si="139"/>
        <v>0</v>
      </c>
      <c r="CA312" s="675">
        <f t="shared" si="140"/>
        <v>0</v>
      </c>
    </row>
    <row r="313" spans="1:79" ht="63" hidden="1" customHeight="1" x14ac:dyDescent="0.25">
      <c r="A313" s="298" t="s">
        <v>896</v>
      </c>
      <c r="B313" s="299" t="str">
        <f>'PLAN INDICATIVO'!B309</f>
        <v>Agropecuario</v>
      </c>
      <c r="C313" s="1547"/>
      <c r="D313" s="1549"/>
      <c r="E313" s="1549"/>
      <c r="F313" s="1549"/>
      <c r="G313" s="1549"/>
      <c r="H313" s="1549"/>
      <c r="I313" s="300">
        <f>'PLAN INDICATIVO'!I309</f>
        <v>0</v>
      </c>
      <c r="J313" s="300">
        <f>'PLAN INDICATIVO'!J309</f>
        <v>0</v>
      </c>
      <c r="K313" s="1428" t="str">
        <f>'PLAN INDICATIVO'!K309</f>
        <v>A.8.1.17</v>
      </c>
      <c r="L313" s="301" t="str">
        <f>'PLAN INDICATIVO'!L309</f>
        <v>12. Producción y consumo responsables</v>
      </c>
      <c r="M313" s="301" t="str">
        <f>'PLAN INDICATIVO'!M309</f>
        <v>Unidad de Desarrollo Rural</v>
      </c>
      <c r="N313" s="1425" t="str">
        <f>'PLAN INDICATIVO'!N309</f>
        <v>GABRIEL ERNESTO CAMPOS ALVIRA</v>
      </c>
      <c r="O313" s="1425" t="str">
        <f>'PLAN INDICATIVO'!O309</f>
        <v>Incremento</v>
      </c>
      <c r="P313" s="16" t="str">
        <f>'PLAN INDICATIVO'!P309</f>
        <v>Apoyar 1 proyecto para implementar la infraestructura de secado y beneficio de café, durante cuatrienio</v>
      </c>
      <c r="Q313" s="302" t="str">
        <f>'PLAN INDICATIVO'!Q309</f>
        <v>No. De proyectos elaborados</v>
      </c>
      <c r="R313" s="303">
        <f>'PLAN INDICATIVO'!R309</f>
        <v>2015</v>
      </c>
      <c r="S313" s="304">
        <v>0</v>
      </c>
      <c r="T313" s="498">
        <v>1</v>
      </c>
      <c r="U313" s="303">
        <v>0</v>
      </c>
      <c r="V313" s="687"/>
      <c r="W313" s="572">
        <v>1</v>
      </c>
      <c r="X313" s="687">
        <v>5000000</v>
      </c>
      <c r="Y313" s="572">
        <v>1</v>
      </c>
      <c r="Z313" s="687">
        <v>2000000</v>
      </c>
      <c r="AA313" s="572">
        <v>1</v>
      </c>
      <c r="AB313" s="687">
        <v>7000000</v>
      </c>
      <c r="AC313" s="665"/>
      <c r="AD313" s="665"/>
      <c r="AE313" s="665"/>
      <c r="AF313" s="665"/>
      <c r="AG313" s="266"/>
      <c r="AH313" s="307"/>
      <c r="AI313" s="308"/>
      <c r="AJ313" s="308"/>
      <c r="AK313" s="308"/>
      <c r="AL313" s="308"/>
      <c r="AM313" s="267" t="s">
        <v>2594</v>
      </c>
      <c r="AN313" s="507"/>
      <c r="AO313" s="729"/>
      <c r="AP313" s="730"/>
      <c r="AQ313" s="730"/>
      <c r="AR313" s="730"/>
      <c r="AS313" s="730"/>
      <c r="AT313" s="730"/>
      <c r="AU313" s="730"/>
      <c r="AV313" s="731">
        <f t="shared" si="127"/>
        <v>0</v>
      </c>
      <c r="AW313" s="525"/>
      <c r="AX313" s="310"/>
      <c r="AY313" s="310"/>
      <c r="AZ313" s="310"/>
      <c r="BA313" s="310"/>
      <c r="BB313" s="310"/>
      <c r="BC313" s="310"/>
      <c r="BD313" s="544">
        <f t="shared" si="128"/>
        <v>0</v>
      </c>
      <c r="BE313" s="525"/>
      <c r="BF313" s="310"/>
      <c r="BG313" s="310"/>
      <c r="BH313" s="310"/>
      <c r="BI313" s="310"/>
      <c r="BJ313" s="310"/>
      <c r="BK313" s="310"/>
      <c r="BL313" s="544">
        <f t="shared" si="129"/>
        <v>0</v>
      </c>
      <c r="BM313" s="525"/>
      <c r="BN313" s="310"/>
      <c r="BO313" s="310"/>
      <c r="BP313" s="310"/>
      <c r="BQ313" s="310"/>
      <c r="BR313" s="310"/>
      <c r="BS313" s="310"/>
      <c r="BT313" s="544">
        <f t="shared" si="130"/>
        <v>0</v>
      </c>
      <c r="BU313" s="556"/>
      <c r="BV313" s="663">
        <f t="shared" si="135"/>
        <v>0</v>
      </c>
      <c r="BW313" s="674">
        <f t="shared" si="136"/>
        <v>0</v>
      </c>
      <c r="BX313" s="674" t="e">
        <f t="shared" si="137"/>
        <v>#DIV/0!</v>
      </c>
      <c r="BY313" s="674">
        <f t="shared" si="138"/>
        <v>0</v>
      </c>
      <c r="BZ313" s="675">
        <f t="shared" si="139"/>
        <v>0</v>
      </c>
      <c r="CA313" s="675">
        <f t="shared" si="140"/>
        <v>0</v>
      </c>
    </row>
    <row r="314" spans="1:79" ht="56.25" hidden="1" customHeight="1" x14ac:dyDescent="0.25">
      <c r="A314" s="298" t="s">
        <v>896</v>
      </c>
      <c r="B314" s="299" t="str">
        <f>'PLAN INDICATIVO'!B310</f>
        <v>Agropecuario</v>
      </c>
      <c r="C314" s="1547"/>
      <c r="D314" s="1549"/>
      <c r="E314" s="1549"/>
      <c r="F314" s="1549"/>
      <c r="G314" s="1549"/>
      <c r="H314" s="1549"/>
      <c r="I314" s="300">
        <f>'PLAN INDICATIVO'!I310</f>
        <v>0</v>
      </c>
      <c r="J314" s="300">
        <f>'PLAN INDICATIVO'!J310</f>
        <v>0</v>
      </c>
      <c r="K314" s="1428" t="str">
        <f>'PLAN INDICATIVO'!K310</f>
        <v>A.8.1.18</v>
      </c>
      <c r="L314" s="301" t="str">
        <f>'PLAN INDICATIVO'!L310</f>
        <v>12. Producción y consumo responsables</v>
      </c>
      <c r="M314" s="301" t="str">
        <f>'PLAN INDICATIVO'!M310</f>
        <v>Unidad de Desarrollo Rural</v>
      </c>
      <c r="N314" s="1425" t="str">
        <f>'PLAN INDICATIVO'!N310</f>
        <v>GABRIEL ERNESTO CAMPOS ALVIRA</v>
      </c>
      <c r="O314" s="1425" t="str">
        <f>'PLAN INDICATIVO'!O310</f>
        <v>Incremento</v>
      </c>
      <c r="P314" s="16" t="str">
        <f>'PLAN INDICATIVO'!P310</f>
        <v>Apoyar 3 alianzas productivas, para el sector agroindustrial, durante el cuatrenio</v>
      </c>
      <c r="Q314" s="302" t="str">
        <f>'PLAN INDICATIVO'!Q310</f>
        <v>No. De alianzas productivas apoyadas</v>
      </c>
      <c r="R314" s="303">
        <f>'PLAN INDICATIVO'!R310</f>
        <v>2015</v>
      </c>
      <c r="S314" s="304">
        <v>0</v>
      </c>
      <c r="T314" s="498">
        <v>3</v>
      </c>
      <c r="U314" s="303">
        <v>0</v>
      </c>
      <c r="V314" s="687"/>
      <c r="W314" s="572">
        <v>1</v>
      </c>
      <c r="X314" s="687">
        <v>5000000</v>
      </c>
      <c r="Y314" s="572">
        <v>1</v>
      </c>
      <c r="Z314" s="687">
        <v>8000000</v>
      </c>
      <c r="AA314" s="572">
        <v>1</v>
      </c>
      <c r="AB314" s="687">
        <v>10000000</v>
      </c>
      <c r="AC314" s="665"/>
      <c r="AD314" s="665"/>
      <c r="AE314" s="665"/>
      <c r="AF314" s="665"/>
      <c r="AG314" s="266"/>
      <c r="AH314" s="307"/>
      <c r="AI314" s="308"/>
      <c r="AJ314" s="308"/>
      <c r="AK314" s="308"/>
      <c r="AL314" s="308"/>
      <c r="AM314" s="267" t="s">
        <v>2594</v>
      </c>
      <c r="AN314" s="507"/>
      <c r="AO314" s="729"/>
      <c r="AP314" s="730"/>
      <c r="AQ314" s="730"/>
      <c r="AR314" s="730"/>
      <c r="AS314" s="730"/>
      <c r="AT314" s="730"/>
      <c r="AU314" s="730"/>
      <c r="AV314" s="731">
        <f t="shared" si="127"/>
        <v>0</v>
      </c>
      <c r="AW314" s="525"/>
      <c r="AX314" s="310"/>
      <c r="AY314" s="310"/>
      <c r="AZ314" s="310"/>
      <c r="BA314" s="310"/>
      <c r="BB314" s="310"/>
      <c r="BC314" s="310"/>
      <c r="BD314" s="544">
        <f t="shared" si="128"/>
        <v>0</v>
      </c>
      <c r="BE314" s="525"/>
      <c r="BF314" s="310"/>
      <c r="BG314" s="310"/>
      <c r="BH314" s="310"/>
      <c r="BI314" s="310"/>
      <c r="BJ314" s="310"/>
      <c r="BK314" s="310"/>
      <c r="BL314" s="544">
        <f t="shared" si="129"/>
        <v>0</v>
      </c>
      <c r="BM314" s="525"/>
      <c r="BN314" s="310"/>
      <c r="BO314" s="310"/>
      <c r="BP314" s="310"/>
      <c r="BQ314" s="310"/>
      <c r="BR314" s="310"/>
      <c r="BS314" s="310"/>
      <c r="BT314" s="544">
        <f t="shared" si="130"/>
        <v>0</v>
      </c>
      <c r="BU314" s="556"/>
      <c r="BV314" s="663">
        <f t="shared" si="135"/>
        <v>0</v>
      </c>
      <c r="BW314" s="674">
        <f t="shared" si="136"/>
        <v>0</v>
      </c>
      <c r="BX314" s="674" t="e">
        <f t="shared" si="137"/>
        <v>#DIV/0!</v>
      </c>
      <c r="BY314" s="674">
        <f t="shared" si="138"/>
        <v>0</v>
      </c>
      <c r="BZ314" s="675">
        <f t="shared" si="139"/>
        <v>0</v>
      </c>
      <c r="CA314" s="675">
        <f t="shared" si="140"/>
        <v>0</v>
      </c>
    </row>
    <row r="315" spans="1:79" ht="62.25" hidden="1" customHeight="1" x14ac:dyDescent="0.25">
      <c r="A315" s="298" t="s">
        <v>896</v>
      </c>
      <c r="B315" s="299" t="str">
        <f>'PLAN INDICATIVO'!B311</f>
        <v>Agropecuario</v>
      </c>
      <c r="C315" s="1547"/>
      <c r="D315" s="1549"/>
      <c r="E315" s="1549"/>
      <c r="F315" s="1549"/>
      <c r="G315" s="1549"/>
      <c r="H315" s="1549"/>
      <c r="I315" s="300">
        <f>'PLAN INDICATIVO'!I311</f>
        <v>0</v>
      </c>
      <c r="J315" s="300">
        <f>'PLAN INDICATIVO'!J311</f>
        <v>0</v>
      </c>
      <c r="K315" s="1428" t="str">
        <f>'PLAN INDICATIVO'!K311</f>
        <v>A.8.1.19</v>
      </c>
      <c r="L315" s="301" t="str">
        <f>'PLAN INDICATIVO'!L311</f>
        <v>12. Producción y consumo responsables</v>
      </c>
      <c r="M315" s="301" t="str">
        <f>'PLAN INDICATIVO'!M311</f>
        <v>Unidad de Desarrollo Rural</v>
      </c>
      <c r="N315" s="1425" t="str">
        <f>'PLAN INDICATIVO'!N311</f>
        <v>GABRIEL ERNESTO CAMPOS ALVIRA</v>
      </c>
      <c r="O315" s="1425" t="str">
        <f>'PLAN INDICATIVO'!O311</f>
        <v>Incremento</v>
      </c>
      <c r="P315" s="16" t="str">
        <f>'PLAN INDICATIVO'!P311</f>
        <v>Realizar 4 jornadas, para la divulgación de oferta institucional para la  financiación en proyectos productivos.</v>
      </c>
      <c r="Q315" s="302" t="str">
        <f>'PLAN INDICATIVO'!Q311</f>
        <v>No. De jornadas realizadas</v>
      </c>
      <c r="R315" s="303">
        <f>'PLAN INDICATIVO'!R311</f>
        <v>2015</v>
      </c>
      <c r="S315" s="304">
        <v>0</v>
      </c>
      <c r="T315" s="498">
        <v>4</v>
      </c>
      <c r="U315" s="303">
        <v>1</v>
      </c>
      <c r="V315" s="687">
        <v>500000</v>
      </c>
      <c r="W315" s="572">
        <v>1</v>
      </c>
      <c r="X315" s="687">
        <v>500000</v>
      </c>
      <c r="Y315" s="572">
        <v>1</v>
      </c>
      <c r="Z315" s="687">
        <v>500000</v>
      </c>
      <c r="AA315" s="572">
        <v>1</v>
      </c>
      <c r="AB315" s="687">
        <v>1000000</v>
      </c>
      <c r="AC315" s="665">
        <v>1</v>
      </c>
      <c r="AD315" s="665"/>
      <c r="AE315" s="665"/>
      <c r="AF315" s="665"/>
      <c r="AG315" s="306" t="s">
        <v>2902</v>
      </c>
      <c r="AH315" s="307" t="s">
        <v>2903</v>
      </c>
      <c r="AI315" s="309">
        <v>42588</v>
      </c>
      <c r="AJ315" s="309">
        <v>42588</v>
      </c>
      <c r="AK315" s="308"/>
      <c r="AL315" s="308"/>
      <c r="AM315" s="267" t="s">
        <v>2598</v>
      </c>
      <c r="AN315" s="507" t="s">
        <v>2895</v>
      </c>
      <c r="AO315" s="729">
        <v>5100000</v>
      </c>
      <c r="AP315" s="730"/>
      <c r="AQ315" s="730"/>
      <c r="AR315" s="730"/>
      <c r="AS315" s="730"/>
      <c r="AT315" s="730"/>
      <c r="AU315" s="730"/>
      <c r="AV315" s="731">
        <f t="shared" si="127"/>
        <v>5100000</v>
      </c>
      <c r="AW315" s="525"/>
      <c r="AX315" s="310"/>
      <c r="AY315" s="310"/>
      <c r="AZ315" s="310"/>
      <c r="BA315" s="310"/>
      <c r="BB315" s="310"/>
      <c r="BC315" s="310"/>
      <c r="BD315" s="544">
        <f t="shared" si="128"/>
        <v>0</v>
      </c>
      <c r="BE315" s="525"/>
      <c r="BF315" s="310"/>
      <c r="BG315" s="310"/>
      <c r="BH315" s="310"/>
      <c r="BI315" s="310"/>
      <c r="BJ315" s="310"/>
      <c r="BK315" s="310"/>
      <c r="BL315" s="544">
        <f t="shared" si="129"/>
        <v>0</v>
      </c>
      <c r="BM315" s="525"/>
      <c r="BN315" s="310"/>
      <c r="BO315" s="310"/>
      <c r="BP315" s="310"/>
      <c r="BQ315" s="310"/>
      <c r="BR315" s="310"/>
      <c r="BS315" s="310"/>
      <c r="BT315" s="544">
        <f t="shared" si="130"/>
        <v>0</v>
      </c>
      <c r="BU315" s="556"/>
      <c r="BV315" s="663">
        <f t="shared" si="135"/>
        <v>1</v>
      </c>
      <c r="BW315" s="674">
        <f t="shared" si="136"/>
        <v>0.25</v>
      </c>
      <c r="BX315" s="674">
        <f t="shared" si="137"/>
        <v>1</v>
      </c>
      <c r="BY315" s="674">
        <f t="shared" si="138"/>
        <v>0</v>
      </c>
      <c r="BZ315" s="675">
        <f t="shared" si="139"/>
        <v>0</v>
      </c>
      <c r="CA315" s="675">
        <f t="shared" si="140"/>
        <v>0</v>
      </c>
    </row>
    <row r="316" spans="1:79" ht="89.25" hidden="1" customHeight="1" x14ac:dyDescent="0.25">
      <c r="A316" s="298" t="s">
        <v>896</v>
      </c>
      <c r="B316" s="299" t="str">
        <f>'PLAN INDICATIVO'!B312</f>
        <v>Agropecuario</v>
      </c>
      <c r="C316" s="1547"/>
      <c r="D316" s="1549"/>
      <c r="E316" s="1549"/>
      <c r="F316" s="1549"/>
      <c r="G316" s="1549"/>
      <c r="H316" s="1549"/>
      <c r="I316" s="1425" t="str">
        <f>'PLAN INDICATIVO'!I312</f>
        <v>SI</v>
      </c>
      <c r="J316" s="1425">
        <f>'PLAN INDICATIVO'!J312</f>
        <v>0</v>
      </c>
      <c r="K316" s="1428" t="str">
        <f>'PLAN INDICATIVO'!K312</f>
        <v>A.8.1.20</v>
      </c>
      <c r="L316" s="301" t="str">
        <f>'PLAN INDICATIVO'!L312</f>
        <v>12. Producción y consumo responsables</v>
      </c>
      <c r="M316" s="301" t="str">
        <f>'PLAN INDICATIVO'!M312</f>
        <v>Unidad de Desarrollo Rural</v>
      </c>
      <c r="N316" s="1425" t="str">
        <f>'PLAN INDICATIVO'!N312</f>
        <v>GABRIEL ERNESTO CAMPOS ALVIRA</v>
      </c>
      <c r="O316" s="1425" t="str">
        <f>'PLAN INDICATIVO'!O312</f>
        <v>Incremento</v>
      </c>
      <c r="P316" s="16" t="str">
        <f>'PLAN INDICATIVO'!P312</f>
        <v>Apoyar la construcción de 1 instalación para el fortalecimiento de los moreros de Santa Martha, en el cuatrienio</v>
      </c>
      <c r="Q316" s="302" t="str">
        <f>'PLAN INDICATIVO'!Q312</f>
        <v>No. De instalaciones apoyadas</v>
      </c>
      <c r="R316" s="303">
        <f>'PLAN INDICATIVO'!R312</f>
        <v>2015</v>
      </c>
      <c r="S316" s="304">
        <v>0</v>
      </c>
      <c r="T316" s="498">
        <v>1</v>
      </c>
      <c r="U316" s="303">
        <v>0</v>
      </c>
      <c r="V316" s="687"/>
      <c r="W316" s="572">
        <v>1</v>
      </c>
      <c r="X316" s="687">
        <v>100000000</v>
      </c>
      <c r="Y316" s="572">
        <v>1</v>
      </c>
      <c r="Z316" s="687">
        <v>500000</v>
      </c>
      <c r="AA316" s="572">
        <v>1</v>
      </c>
      <c r="AB316" s="687">
        <v>1000000</v>
      </c>
      <c r="AC316" s="665"/>
      <c r="AD316" s="665"/>
      <c r="AE316" s="665"/>
      <c r="AF316" s="665"/>
      <c r="AG316" s="266"/>
      <c r="AH316" s="307"/>
      <c r="AI316" s="308"/>
      <c r="AJ316" s="308"/>
      <c r="AK316" s="308"/>
      <c r="AL316" s="308"/>
      <c r="AM316" s="267" t="s">
        <v>2594</v>
      </c>
      <c r="AN316" s="507"/>
      <c r="AO316" s="729"/>
      <c r="AP316" s="730"/>
      <c r="AQ316" s="730"/>
      <c r="AR316" s="730"/>
      <c r="AS316" s="730"/>
      <c r="AT316" s="730"/>
      <c r="AU316" s="730"/>
      <c r="AV316" s="731">
        <f t="shared" si="127"/>
        <v>0</v>
      </c>
      <c r="AW316" s="525"/>
      <c r="AX316" s="310"/>
      <c r="AY316" s="310"/>
      <c r="AZ316" s="310"/>
      <c r="BA316" s="310"/>
      <c r="BB316" s="310"/>
      <c r="BC316" s="310"/>
      <c r="BD316" s="544">
        <f t="shared" si="128"/>
        <v>0</v>
      </c>
      <c r="BE316" s="525"/>
      <c r="BF316" s="310"/>
      <c r="BG316" s="310"/>
      <c r="BH316" s="310"/>
      <c r="BI316" s="310"/>
      <c r="BJ316" s="310"/>
      <c r="BK316" s="310"/>
      <c r="BL316" s="544">
        <f t="shared" si="129"/>
        <v>0</v>
      </c>
      <c r="BM316" s="525"/>
      <c r="BN316" s="310"/>
      <c r="BO316" s="310"/>
      <c r="BP316" s="310"/>
      <c r="BQ316" s="310"/>
      <c r="BR316" s="310"/>
      <c r="BS316" s="310"/>
      <c r="BT316" s="544">
        <f t="shared" si="130"/>
        <v>0</v>
      </c>
      <c r="BU316" s="556"/>
      <c r="BV316" s="663">
        <f t="shared" si="135"/>
        <v>0</v>
      </c>
      <c r="BW316" s="674">
        <f t="shared" si="136"/>
        <v>0</v>
      </c>
      <c r="BX316" s="674" t="e">
        <f t="shared" si="137"/>
        <v>#DIV/0!</v>
      </c>
      <c r="BY316" s="674">
        <f t="shared" si="138"/>
        <v>0</v>
      </c>
      <c r="BZ316" s="675">
        <f t="shared" si="139"/>
        <v>0</v>
      </c>
      <c r="CA316" s="675">
        <f t="shared" si="140"/>
        <v>0</v>
      </c>
    </row>
    <row r="317" spans="1:79" ht="73.5" hidden="1" customHeight="1" x14ac:dyDescent="0.25">
      <c r="A317" s="298" t="s">
        <v>896</v>
      </c>
      <c r="B317" s="299" t="str">
        <f>'PLAN INDICATIVO'!B313</f>
        <v>Agropecuario</v>
      </c>
      <c r="C317" s="1547"/>
      <c r="D317" s="1549"/>
      <c r="E317" s="1549"/>
      <c r="F317" s="1549"/>
      <c r="G317" s="1549"/>
      <c r="H317" s="1549"/>
      <c r="I317" s="1425" t="str">
        <f>'PLAN INDICATIVO'!I313</f>
        <v>SI</v>
      </c>
      <c r="J317" s="1425">
        <f>'PLAN INDICATIVO'!J313</f>
        <v>0</v>
      </c>
      <c r="K317" s="1428" t="str">
        <f>'PLAN INDICATIVO'!K313</f>
        <v>A.8.1.21</v>
      </c>
      <c r="L317" s="301" t="str">
        <f>'PLAN INDICATIVO'!L313</f>
        <v>12. Producción y consumo responsables</v>
      </c>
      <c r="M317" s="301" t="str">
        <f>'PLAN INDICATIVO'!M313</f>
        <v>Unidad de Desarrollo Rural</v>
      </c>
      <c r="N317" s="1425" t="str">
        <f>'PLAN INDICATIVO'!N313</f>
        <v>GABRIEL ERNESTO CAMPOS ALVIRA</v>
      </c>
      <c r="O317" s="1425" t="str">
        <f>'PLAN INDICATIVO'!O313</f>
        <v>Incremento</v>
      </c>
      <c r="P317" s="16" t="str">
        <f>'PLAN INDICATIVO'!P313</f>
        <v>Apoyar la construcción de 1 centro de acopio agrícola en el sector urbano, durante el cuatrienio</v>
      </c>
      <c r="Q317" s="302" t="str">
        <f>'PLAN INDICATIVO'!Q313</f>
        <v>No. De centros de acopio construidos</v>
      </c>
      <c r="R317" s="303">
        <f>'PLAN INDICATIVO'!R313</f>
        <v>2015</v>
      </c>
      <c r="S317" s="304">
        <v>0</v>
      </c>
      <c r="T317" s="498">
        <v>1</v>
      </c>
      <c r="U317" s="303">
        <v>0.25</v>
      </c>
      <c r="V317" s="687">
        <v>500000</v>
      </c>
      <c r="W317" s="572">
        <v>0.25</v>
      </c>
      <c r="X317" s="687">
        <v>500000</v>
      </c>
      <c r="Y317" s="572">
        <v>0.25</v>
      </c>
      <c r="Z317" s="687">
        <v>500000</v>
      </c>
      <c r="AA317" s="572">
        <v>0.25</v>
      </c>
      <c r="AB317" s="687">
        <v>1000000</v>
      </c>
      <c r="AC317" s="665">
        <v>1</v>
      </c>
      <c r="AD317" s="665"/>
      <c r="AE317" s="665"/>
      <c r="AF317" s="665"/>
      <c r="AG317" s="306" t="s">
        <v>2904</v>
      </c>
      <c r="AH317" s="307" t="s">
        <v>2905</v>
      </c>
      <c r="AI317" s="309">
        <v>42401</v>
      </c>
      <c r="AJ317" s="309">
        <v>42612</v>
      </c>
      <c r="AK317" s="308"/>
      <c r="AL317" s="308"/>
      <c r="AM317" s="267" t="s">
        <v>2598</v>
      </c>
      <c r="AN317" s="743" t="s">
        <v>2906</v>
      </c>
      <c r="AO317" s="729"/>
      <c r="AP317" s="730"/>
      <c r="AQ317" s="730"/>
      <c r="AR317" s="730"/>
      <c r="AS317" s="730"/>
      <c r="AT317" s="730">
        <v>570000000</v>
      </c>
      <c r="AU317" s="730"/>
      <c r="AV317" s="731">
        <f t="shared" si="127"/>
        <v>570000000</v>
      </c>
      <c r="AW317" s="525"/>
      <c r="AX317" s="310"/>
      <c r="AY317" s="310"/>
      <c r="AZ317" s="310"/>
      <c r="BA317" s="310"/>
      <c r="BB317" s="310"/>
      <c r="BC317" s="310"/>
      <c r="BD317" s="544">
        <f t="shared" si="128"/>
        <v>0</v>
      </c>
      <c r="BE317" s="525"/>
      <c r="BF317" s="310"/>
      <c r="BG317" s="310"/>
      <c r="BH317" s="310"/>
      <c r="BI317" s="310"/>
      <c r="BJ317" s="310"/>
      <c r="BK317" s="310"/>
      <c r="BL317" s="544">
        <f t="shared" si="129"/>
        <v>0</v>
      </c>
      <c r="BM317" s="525"/>
      <c r="BN317" s="310"/>
      <c r="BO317" s="310"/>
      <c r="BP317" s="310"/>
      <c r="BQ317" s="310"/>
      <c r="BR317" s="310"/>
      <c r="BS317" s="310"/>
      <c r="BT317" s="544">
        <f t="shared" si="130"/>
        <v>0</v>
      </c>
      <c r="BU317" s="556"/>
      <c r="BV317" s="663">
        <f t="shared" si="135"/>
        <v>1</v>
      </c>
      <c r="BW317" s="674">
        <f t="shared" si="136"/>
        <v>1</v>
      </c>
      <c r="BX317" s="674">
        <f t="shared" si="137"/>
        <v>4</v>
      </c>
      <c r="BY317" s="674">
        <f t="shared" si="138"/>
        <v>0</v>
      </c>
      <c r="BZ317" s="675">
        <f t="shared" si="139"/>
        <v>0</v>
      </c>
      <c r="CA317" s="675">
        <f t="shared" si="140"/>
        <v>0</v>
      </c>
    </row>
    <row r="318" spans="1:79" ht="68.25" hidden="1" customHeight="1" x14ac:dyDescent="0.25">
      <c r="A318" s="298" t="s">
        <v>896</v>
      </c>
      <c r="B318" s="299" t="str">
        <f>'PLAN INDICATIVO'!B314</f>
        <v>Agropecuario</v>
      </c>
      <c r="C318" s="1547"/>
      <c r="D318" s="1549"/>
      <c r="E318" s="1549"/>
      <c r="F318" s="1549"/>
      <c r="G318" s="1549"/>
      <c r="H318" s="1549"/>
      <c r="I318" s="300">
        <f>'PLAN INDICATIVO'!I314</f>
        <v>0</v>
      </c>
      <c r="J318" s="300">
        <f>'PLAN INDICATIVO'!J314</f>
        <v>0</v>
      </c>
      <c r="K318" s="1428" t="str">
        <f>'PLAN INDICATIVO'!K314</f>
        <v>A.8.1.22</v>
      </c>
      <c r="L318" s="301" t="str">
        <f>'PLAN INDICATIVO'!L314</f>
        <v>12. Producción y consumo responsables</v>
      </c>
      <c r="M318" s="301" t="str">
        <f>'PLAN INDICATIVO'!M314</f>
        <v>Unidad de Desarrollo Rural</v>
      </c>
      <c r="N318" s="1425" t="str">
        <f>'PLAN INDICATIVO'!N314</f>
        <v>GABRIEL ERNESTO CAMPOS ALVIRA</v>
      </c>
      <c r="O318" s="1425" t="str">
        <f>'PLAN INDICATIVO'!O314</f>
        <v>Incremento</v>
      </c>
      <c r="P318" s="16" t="str">
        <f>'PLAN INDICATIVO'!P314</f>
        <v>Apoyar 2 proyectos para Fincas Demostrativas, durante el cuatrienio</v>
      </c>
      <c r="Q318" s="302" t="str">
        <f>'PLAN INDICATIVO'!Q314</f>
        <v>No. De proyectos apoyados</v>
      </c>
      <c r="R318" s="303">
        <f>'PLAN INDICATIVO'!R314</f>
        <v>2015</v>
      </c>
      <c r="S318" s="304">
        <v>0</v>
      </c>
      <c r="T318" s="498">
        <v>2</v>
      </c>
      <c r="U318" s="303">
        <v>1</v>
      </c>
      <c r="V318" s="687">
        <v>5000000</v>
      </c>
      <c r="W318" s="572">
        <v>1</v>
      </c>
      <c r="X318" s="687">
        <v>2500000</v>
      </c>
      <c r="Y318" s="572">
        <v>2</v>
      </c>
      <c r="Z318" s="687">
        <v>1000000</v>
      </c>
      <c r="AA318" s="572">
        <v>2</v>
      </c>
      <c r="AB318" s="687">
        <v>2000000</v>
      </c>
      <c r="AC318" s="665">
        <v>1</v>
      </c>
      <c r="AD318" s="665"/>
      <c r="AE318" s="665"/>
      <c r="AF318" s="665"/>
      <c r="AG318" s="306" t="s">
        <v>2907</v>
      </c>
      <c r="AH318" s="307" t="s">
        <v>2908</v>
      </c>
      <c r="AI318" s="309">
        <v>42401</v>
      </c>
      <c r="AJ318" s="309">
        <v>42551</v>
      </c>
      <c r="AK318" s="308"/>
      <c r="AL318" s="308"/>
      <c r="AM318" s="267" t="s">
        <v>2598</v>
      </c>
      <c r="AN318" s="507" t="s">
        <v>2895</v>
      </c>
      <c r="AO318" s="740">
        <v>2600000</v>
      </c>
      <c r="AP318" s="730"/>
      <c r="AQ318" s="730"/>
      <c r="AR318" s="730"/>
      <c r="AS318" s="730"/>
      <c r="AT318" s="730"/>
      <c r="AU318" s="763"/>
      <c r="AV318" s="731">
        <f t="shared" si="127"/>
        <v>2600000</v>
      </c>
      <c r="AW318" s="531"/>
      <c r="AX318" s="310"/>
      <c r="AY318" s="310"/>
      <c r="AZ318" s="310"/>
      <c r="BA318" s="310"/>
      <c r="BB318" s="310"/>
      <c r="BC318" s="380"/>
      <c r="BD318" s="544">
        <f t="shared" si="128"/>
        <v>0</v>
      </c>
      <c r="BE318" s="531"/>
      <c r="BF318" s="310"/>
      <c r="BG318" s="310"/>
      <c r="BH318" s="310"/>
      <c r="BI318" s="310"/>
      <c r="BJ318" s="310"/>
      <c r="BK318" s="380"/>
      <c r="BL318" s="544">
        <f t="shared" si="129"/>
        <v>0</v>
      </c>
      <c r="BM318" s="531"/>
      <c r="BN318" s="310"/>
      <c r="BO318" s="310"/>
      <c r="BP318" s="310"/>
      <c r="BQ318" s="310"/>
      <c r="BR318" s="310"/>
      <c r="BS318" s="380"/>
      <c r="BT318" s="544">
        <f t="shared" si="130"/>
        <v>0</v>
      </c>
      <c r="BU318" s="556"/>
      <c r="BV318" s="663">
        <f t="shared" si="135"/>
        <v>1</v>
      </c>
      <c r="BW318" s="674">
        <f t="shared" si="136"/>
        <v>0.5</v>
      </c>
      <c r="BX318" s="674">
        <f t="shared" si="137"/>
        <v>1</v>
      </c>
      <c r="BY318" s="674">
        <f t="shared" si="138"/>
        <v>0</v>
      </c>
      <c r="BZ318" s="675">
        <f t="shared" si="139"/>
        <v>0</v>
      </c>
      <c r="CA318" s="675">
        <f t="shared" si="140"/>
        <v>0</v>
      </c>
    </row>
    <row r="319" spans="1:79" ht="69" hidden="1" customHeight="1" x14ac:dyDescent="0.25">
      <c r="A319" s="298" t="s">
        <v>896</v>
      </c>
      <c r="B319" s="299" t="str">
        <f>'PLAN INDICATIVO'!B315</f>
        <v>Agropecuario</v>
      </c>
      <c r="C319" s="1547"/>
      <c r="D319" s="1549"/>
      <c r="E319" s="1549"/>
      <c r="F319" s="1549"/>
      <c r="G319" s="1549"/>
      <c r="H319" s="1549"/>
      <c r="I319" s="300">
        <f>'PLAN INDICATIVO'!I315</f>
        <v>0</v>
      </c>
      <c r="J319" s="375">
        <f>'PLAN INDICATIVO'!J315</f>
        <v>0</v>
      </c>
      <c r="K319" s="1428" t="str">
        <f>'PLAN INDICATIVO'!K315</f>
        <v>A.8.1.23</v>
      </c>
      <c r="L319" s="301" t="str">
        <f>'PLAN INDICATIVO'!L315</f>
        <v>12. Producción y consumo responsables</v>
      </c>
      <c r="M319" s="301" t="str">
        <f>'PLAN INDICATIVO'!M315</f>
        <v>Unidad de Desarrollo Rural</v>
      </c>
      <c r="N319" s="1425" t="str">
        <f>'PLAN INDICATIVO'!N315</f>
        <v>GABRIEL ERNESTO CAMPOS ALVIRA</v>
      </c>
      <c r="O319" s="1425" t="str">
        <f>'PLAN INDICATIVO'!O315</f>
        <v>Incremento</v>
      </c>
      <c r="P319" s="16" t="str">
        <f>'PLAN INDICATIVO'!P315</f>
        <v>Apoyar 1 proyecto para la implantación de una planta pasteurizadora en el municipio durante el cuatrienio</v>
      </c>
      <c r="Q319" s="348" t="str">
        <f>'PLAN INDICATIVO'!Q315</f>
        <v>No. De proyectos apoyados</v>
      </c>
      <c r="R319" s="303">
        <f>'PLAN INDICATIVO'!R315</f>
        <v>2015</v>
      </c>
      <c r="S319" s="304">
        <v>0</v>
      </c>
      <c r="T319" s="498">
        <v>1</v>
      </c>
      <c r="U319" s="303">
        <v>1</v>
      </c>
      <c r="V319" s="687">
        <v>500000</v>
      </c>
      <c r="W319" s="572">
        <v>1</v>
      </c>
      <c r="X319" s="687">
        <v>500000</v>
      </c>
      <c r="Y319" s="572">
        <v>0</v>
      </c>
      <c r="Z319" s="687"/>
      <c r="AA319" s="572">
        <v>0</v>
      </c>
      <c r="AB319" s="687"/>
      <c r="AC319" s="665">
        <v>1</v>
      </c>
      <c r="AD319" s="665"/>
      <c r="AE319" s="665"/>
      <c r="AF319" s="665"/>
      <c r="AG319" s="306"/>
      <c r="AH319" s="764" t="s">
        <v>2909</v>
      </c>
      <c r="AI319" s="308"/>
      <c r="AJ319" s="308"/>
      <c r="AK319" s="308"/>
      <c r="AL319" s="308"/>
      <c r="AM319" s="267" t="s">
        <v>2598</v>
      </c>
      <c r="AN319" s="507" t="s">
        <v>2910</v>
      </c>
      <c r="AO319" s="729"/>
      <c r="AP319" s="730"/>
      <c r="AQ319" s="730"/>
      <c r="AR319" s="730"/>
      <c r="AS319" s="730"/>
      <c r="AT319" s="730"/>
      <c r="AU319" s="730"/>
      <c r="AV319" s="731">
        <f t="shared" si="127"/>
        <v>0</v>
      </c>
      <c r="AW319" s="525"/>
      <c r="AX319" s="310"/>
      <c r="AY319" s="310"/>
      <c r="AZ319" s="310"/>
      <c r="BA319" s="310"/>
      <c r="BB319" s="310"/>
      <c r="BC319" s="310"/>
      <c r="BD319" s="544">
        <f t="shared" si="128"/>
        <v>0</v>
      </c>
      <c r="BE319" s="525"/>
      <c r="BF319" s="310"/>
      <c r="BG319" s="310"/>
      <c r="BH319" s="310"/>
      <c r="BI319" s="310"/>
      <c r="BJ319" s="310"/>
      <c r="BK319" s="310"/>
      <c r="BL319" s="544">
        <f t="shared" si="129"/>
        <v>0</v>
      </c>
      <c r="BM319" s="525"/>
      <c r="BN319" s="310"/>
      <c r="BO319" s="310"/>
      <c r="BP319" s="310"/>
      <c r="BQ319" s="310"/>
      <c r="BR319" s="310"/>
      <c r="BS319" s="310"/>
      <c r="BT319" s="544">
        <f t="shared" si="130"/>
        <v>0</v>
      </c>
      <c r="BU319" s="556"/>
      <c r="BV319" s="663">
        <f t="shared" si="135"/>
        <v>1</v>
      </c>
      <c r="BW319" s="674">
        <f t="shared" si="136"/>
        <v>1</v>
      </c>
      <c r="BX319" s="674">
        <f t="shared" si="137"/>
        <v>1</v>
      </c>
      <c r="BY319" s="674">
        <f t="shared" si="138"/>
        <v>0</v>
      </c>
      <c r="BZ319" s="675" t="e">
        <f t="shared" si="139"/>
        <v>#DIV/0!</v>
      </c>
      <c r="CA319" s="675" t="e">
        <f t="shared" si="140"/>
        <v>#DIV/0!</v>
      </c>
    </row>
    <row r="320" spans="1:79" ht="82.5" hidden="1" customHeight="1" x14ac:dyDescent="0.25">
      <c r="A320" s="298" t="s">
        <v>896</v>
      </c>
      <c r="B320" s="299" t="str">
        <f>'PLAN INDICATIVO'!B316</f>
        <v>Agropecuario</v>
      </c>
      <c r="C320" s="1547"/>
      <c r="D320" s="1549"/>
      <c r="E320" s="1549"/>
      <c r="F320" s="1549"/>
      <c r="G320" s="1549"/>
      <c r="H320" s="1549"/>
      <c r="I320" s="300">
        <f>'PLAN INDICATIVO'!I316</f>
        <v>0</v>
      </c>
      <c r="J320" s="375">
        <f>'PLAN INDICATIVO'!J316</f>
        <v>0</v>
      </c>
      <c r="K320" s="1428" t="str">
        <f>'PLAN INDICATIVO'!K316</f>
        <v>A.8.1.24</v>
      </c>
      <c r="L320" s="301" t="str">
        <f>'PLAN INDICATIVO'!L316</f>
        <v>2. Hambre cero</v>
      </c>
      <c r="M320" s="301" t="str">
        <f>'PLAN INDICATIVO'!M316</f>
        <v>Unidad de Desarrollo Rural</v>
      </c>
      <c r="N320" s="1425" t="str">
        <f>'PLAN INDICATIVO'!N316</f>
        <v>GABRIEL ERNESTO CAMPOS ALVIRA</v>
      </c>
      <c r="O320" s="1425" t="str">
        <f>'PLAN INDICATIVO'!O316</f>
        <v>Incremento</v>
      </c>
      <c r="P320" s="71" t="str">
        <f>'PLAN INDICATIVO'!P316</f>
        <v>Apoyar a 600  familias en seguridad alimentaria durante el cuatrienio.</v>
      </c>
      <c r="Q320" s="348" t="str">
        <f>'PLAN INDICATIVO'!Q316</f>
        <v xml:space="preserve">No. De familias apoyadas </v>
      </c>
      <c r="R320" s="303" t="str">
        <f>'PLAN INDICATIVO'!R316</f>
        <v>2012 -2015</v>
      </c>
      <c r="S320" s="304">
        <v>750</v>
      </c>
      <c r="T320" s="498">
        <v>600</v>
      </c>
      <c r="U320" s="303">
        <v>0</v>
      </c>
      <c r="V320" s="687"/>
      <c r="W320" s="684">
        <v>600</v>
      </c>
      <c r="X320" s="687">
        <v>4500000</v>
      </c>
      <c r="Y320" s="572">
        <v>0</v>
      </c>
      <c r="Z320" s="687">
        <v>2000000</v>
      </c>
      <c r="AA320" s="572">
        <v>0</v>
      </c>
      <c r="AB320" s="687">
        <v>1000000</v>
      </c>
      <c r="AC320" s="665"/>
      <c r="AD320" s="665"/>
      <c r="AE320" s="665"/>
      <c r="AF320" s="665"/>
      <c r="AG320" s="306"/>
      <c r="AH320" s="307" t="s">
        <v>2911</v>
      </c>
      <c r="AI320" s="309">
        <v>42384</v>
      </c>
      <c r="AJ320" s="309">
        <v>42643</v>
      </c>
      <c r="AK320" s="308"/>
      <c r="AL320" s="308"/>
      <c r="AM320" s="267" t="s">
        <v>2594</v>
      </c>
      <c r="AN320" s="507" t="s">
        <v>2627</v>
      </c>
      <c r="AO320" s="729"/>
      <c r="AP320" s="730"/>
      <c r="AQ320" s="730"/>
      <c r="AR320" s="730"/>
      <c r="AS320" s="730"/>
      <c r="AT320" s="730"/>
      <c r="AU320" s="730"/>
      <c r="AV320" s="731">
        <f t="shared" si="127"/>
        <v>0</v>
      </c>
      <c r="AW320" s="525"/>
      <c r="AX320" s="310"/>
      <c r="AY320" s="310"/>
      <c r="AZ320" s="310"/>
      <c r="BA320" s="310"/>
      <c r="BB320" s="310"/>
      <c r="BC320" s="310"/>
      <c r="BD320" s="544">
        <f t="shared" si="128"/>
        <v>0</v>
      </c>
      <c r="BE320" s="525"/>
      <c r="BF320" s="310"/>
      <c r="BG320" s="310"/>
      <c r="BH320" s="310"/>
      <c r="BI320" s="310"/>
      <c r="BJ320" s="310"/>
      <c r="BK320" s="310"/>
      <c r="BL320" s="544">
        <f t="shared" si="129"/>
        <v>0</v>
      </c>
      <c r="BM320" s="525"/>
      <c r="BN320" s="310"/>
      <c r="BO320" s="310"/>
      <c r="BP320" s="310"/>
      <c r="BQ320" s="310"/>
      <c r="BR320" s="310"/>
      <c r="BS320" s="310"/>
      <c r="BT320" s="544">
        <f t="shared" si="130"/>
        <v>0</v>
      </c>
      <c r="BU320" s="556"/>
      <c r="BV320" s="663">
        <f t="shared" si="135"/>
        <v>0</v>
      </c>
      <c r="BW320" s="674">
        <f t="shared" si="136"/>
        <v>0</v>
      </c>
      <c r="BX320" s="674" t="e">
        <f t="shared" si="137"/>
        <v>#DIV/0!</v>
      </c>
      <c r="BY320" s="674">
        <f t="shared" si="138"/>
        <v>0</v>
      </c>
      <c r="BZ320" s="675" t="e">
        <f t="shared" si="139"/>
        <v>#DIV/0!</v>
      </c>
      <c r="CA320" s="675" t="e">
        <f t="shared" si="140"/>
        <v>#DIV/0!</v>
      </c>
    </row>
    <row r="321" spans="1:79" ht="102" hidden="1" x14ac:dyDescent="0.25">
      <c r="A321" s="298" t="s">
        <v>896</v>
      </c>
      <c r="B321" s="299" t="str">
        <f>'PLAN INDICATIVO'!B317</f>
        <v>Agropecuario</v>
      </c>
      <c r="C321" s="1547"/>
      <c r="D321" s="1549"/>
      <c r="E321" s="1549"/>
      <c r="F321" s="1549"/>
      <c r="G321" s="1549"/>
      <c r="H321" s="1549"/>
      <c r="I321" s="300">
        <f>'PLAN INDICATIVO'!I317</f>
        <v>0</v>
      </c>
      <c r="J321" s="375">
        <f>'PLAN INDICATIVO'!J317</f>
        <v>0</v>
      </c>
      <c r="K321" s="1428" t="str">
        <f>'PLAN INDICATIVO'!K317</f>
        <v>A.8.1.25</v>
      </c>
      <c r="L321" s="301" t="str">
        <f>'PLAN INDICATIVO'!L317</f>
        <v>12. Producción y consumo responsables</v>
      </c>
      <c r="M321" s="301" t="str">
        <f>'PLAN INDICATIVO'!M317</f>
        <v>Unidad de Desarrollo Rural</v>
      </c>
      <c r="N321" s="1425" t="str">
        <f>'PLAN INDICATIVO'!N317</f>
        <v>GABRIEL ERNESTO CAMPOS ALVIRA</v>
      </c>
      <c r="O321" s="1425" t="str">
        <f>'PLAN INDICATIVO'!O317</f>
        <v>Incremento</v>
      </c>
      <c r="P321" s="16" t="str">
        <f>'PLAN INDICATIVO'!P317</f>
        <v>Realizar 100 Mejoramientos genéticos bovinos en el Municipio de La Plata durante el cuatrienio.</v>
      </c>
      <c r="Q321" s="348" t="str">
        <f>'PLAN INDICATIVO'!Q317</f>
        <v>No. De mejoramientos genéticos realizados.</v>
      </c>
      <c r="R321" s="303" t="str">
        <f>'PLAN INDICATIVO'!R317</f>
        <v>2012 -2015</v>
      </c>
      <c r="S321" s="304">
        <v>450</v>
      </c>
      <c r="T321" s="498">
        <v>100</v>
      </c>
      <c r="U321" s="303">
        <v>0</v>
      </c>
      <c r="V321" s="687"/>
      <c r="W321" s="572">
        <v>0</v>
      </c>
      <c r="X321" s="687"/>
      <c r="Y321" s="572">
        <v>50</v>
      </c>
      <c r="Z321" s="687">
        <v>4000000</v>
      </c>
      <c r="AA321" s="572">
        <v>50</v>
      </c>
      <c r="AB321" s="687">
        <v>6000000</v>
      </c>
      <c r="AC321" s="665">
        <v>40</v>
      </c>
      <c r="AD321" s="665"/>
      <c r="AE321" s="665"/>
      <c r="AF321" s="665"/>
      <c r="AG321" s="266"/>
      <c r="AH321" s="307"/>
      <c r="AI321" s="308"/>
      <c r="AJ321" s="308"/>
      <c r="AK321" s="308"/>
      <c r="AL321" s="308"/>
      <c r="AM321" s="267" t="s">
        <v>2594</v>
      </c>
      <c r="AN321" s="507"/>
      <c r="AO321" s="729">
        <v>3200000</v>
      </c>
      <c r="AP321" s="730">
        <v>5600000</v>
      </c>
      <c r="AQ321" s="730"/>
      <c r="AR321" s="730"/>
      <c r="AS321" s="730"/>
      <c r="AT321" s="730"/>
      <c r="AU321" s="730"/>
      <c r="AV321" s="731">
        <f t="shared" si="127"/>
        <v>8800000</v>
      </c>
      <c r="AW321" s="525"/>
      <c r="AX321" s="310"/>
      <c r="AY321" s="310"/>
      <c r="AZ321" s="310"/>
      <c r="BA321" s="310"/>
      <c r="BB321" s="310"/>
      <c r="BC321" s="310"/>
      <c r="BD321" s="544">
        <f t="shared" si="128"/>
        <v>0</v>
      </c>
      <c r="BE321" s="525"/>
      <c r="BF321" s="310"/>
      <c r="BG321" s="310"/>
      <c r="BH321" s="310"/>
      <c r="BI321" s="310"/>
      <c r="BJ321" s="310"/>
      <c r="BK321" s="310"/>
      <c r="BL321" s="544">
        <f t="shared" si="129"/>
        <v>0</v>
      </c>
      <c r="BM321" s="525"/>
      <c r="BN321" s="310"/>
      <c r="BO321" s="310"/>
      <c r="BP321" s="310"/>
      <c r="BQ321" s="310"/>
      <c r="BR321" s="310"/>
      <c r="BS321" s="310"/>
      <c r="BT321" s="544">
        <f t="shared" si="130"/>
        <v>0</v>
      </c>
      <c r="BU321" s="556"/>
      <c r="BV321" s="663">
        <f t="shared" si="135"/>
        <v>40</v>
      </c>
      <c r="BW321" s="674">
        <f t="shared" si="136"/>
        <v>0.4</v>
      </c>
      <c r="BX321" s="674" t="e">
        <f t="shared" si="137"/>
        <v>#DIV/0!</v>
      </c>
      <c r="BY321" s="674" t="e">
        <f t="shared" si="138"/>
        <v>#DIV/0!</v>
      </c>
      <c r="BZ321" s="675">
        <f t="shared" si="139"/>
        <v>0</v>
      </c>
      <c r="CA321" s="675">
        <f t="shared" si="140"/>
        <v>0</v>
      </c>
    </row>
    <row r="322" spans="1:79" ht="63.75" hidden="1" x14ac:dyDescent="0.25">
      <c r="A322" s="298" t="s">
        <v>896</v>
      </c>
      <c r="B322" s="299" t="str">
        <f>'PLAN INDICATIVO'!B318</f>
        <v>Agropecuario</v>
      </c>
      <c r="C322" s="1547"/>
      <c r="D322" s="1549"/>
      <c r="E322" s="1549"/>
      <c r="F322" s="1549"/>
      <c r="G322" s="1549"/>
      <c r="H322" s="1549"/>
      <c r="I322" s="300">
        <f>'PLAN INDICATIVO'!I318</f>
        <v>0</v>
      </c>
      <c r="J322" s="375">
        <f>'PLAN INDICATIVO'!J318</f>
        <v>0</v>
      </c>
      <c r="K322" s="1428" t="str">
        <f>'PLAN INDICATIVO'!K318</f>
        <v>A.8.1.26</v>
      </c>
      <c r="L322" s="301" t="str">
        <f>'PLAN INDICATIVO'!L318</f>
        <v>12. Producción y consumo responsables</v>
      </c>
      <c r="M322" s="301" t="str">
        <f>'PLAN INDICATIVO'!M318</f>
        <v>Unidad de Desarrollo Rural</v>
      </c>
      <c r="N322" s="1425" t="str">
        <f>'PLAN INDICATIVO'!N318</f>
        <v>GABRIEL ERNESTO CAMPOS ALVIRA</v>
      </c>
      <c r="O322" s="1425" t="str">
        <f>'PLAN INDICATIVO'!O318</f>
        <v>Incremento</v>
      </c>
      <c r="P322" s="16" t="str">
        <f>'PLAN INDICATIVO'!P318</f>
        <v>Instalar 10 secaderos de café tipo invernadero durante el cuatrienio</v>
      </c>
      <c r="Q322" s="348" t="str">
        <f>'PLAN INDICATIVO'!Q318</f>
        <v xml:space="preserve">No. De Secaderos instalados </v>
      </c>
      <c r="R322" s="303">
        <f>'PLAN INDICATIVO'!R318</f>
        <v>2015</v>
      </c>
      <c r="S322" s="304">
        <v>0</v>
      </c>
      <c r="T322" s="498">
        <v>10</v>
      </c>
      <c r="U322" s="303">
        <v>0</v>
      </c>
      <c r="V322" s="687"/>
      <c r="W322" s="572">
        <v>5</v>
      </c>
      <c r="X322" s="687">
        <v>5000000</v>
      </c>
      <c r="Y322" s="572">
        <v>3</v>
      </c>
      <c r="Z322" s="687">
        <v>5000000</v>
      </c>
      <c r="AA322" s="572">
        <v>2</v>
      </c>
      <c r="AB322" s="687">
        <v>1000000</v>
      </c>
      <c r="AC322" s="665"/>
      <c r="AD322" s="665"/>
      <c r="AE322" s="665"/>
      <c r="AF322" s="665"/>
      <c r="AG322" s="266"/>
      <c r="AH322" s="307"/>
      <c r="AI322" s="308"/>
      <c r="AJ322" s="308"/>
      <c r="AK322" s="308"/>
      <c r="AL322" s="308"/>
      <c r="AM322" s="267" t="s">
        <v>2594</v>
      </c>
      <c r="AN322" s="507"/>
      <c r="AO322" s="729"/>
      <c r="AP322" s="730"/>
      <c r="AQ322" s="730"/>
      <c r="AR322" s="730"/>
      <c r="AS322" s="730"/>
      <c r="AT322" s="730"/>
      <c r="AU322" s="730"/>
      <c r="AV322" s="731">
        <f t="shared" si="127"/>
        <v>0</v>
      </c>
      <c r="AW322" s="525"/>
      <c r="AX322" s="310"/>
      <c r="AY322" s="310"/>
      <c r="AZ322" s="310"/>
      <c r="BA322" s="310"/>
      <c r="BB322" s="310"/>
      <c r="BC322" s="310"/>
      <c r="BD322" s="544">
        <f t="shared" si="128"/>
        <v>0</v>
      </c>
      <c r="BE322" s="525"/>
      <c r="BF322" s="310"/>
      <c r="BG322" s="310"/>
      <c r="BH322" s="310"/>
      <c r="BI322" s="310"/>
      <c r="BJ322" s="310"/>
      <c r="BK322" s="310"/>
      <c r="BL322" s="544">
        <f t="shared" si="129"/>
        <v>0</v>
      </c>
      <c r="BM322" s="525"/>
      <c r="BN322" s="310"/>
      <c r="BO322" s="310"/>
      <c r="BP322" s="310"/>
      <c r="BQ322" s="310"/>
      <c r="BR322" s="310"/>
      <c r="BS322" s="310"/>
      <c r="BT322" s="544">
        <f t="shared" si="130"/>
        <v>0</v>
      </c>
      <c r="BU322" s="556"/>
      <c r="BV322" s="663">
        <f t="shared" si="135"/>
        <v>0</v>
      </c>
      <c r="BW322" s="674">
        <f t="shared" si="136"/>
        <v>0</v>
      </c>
      <c r="BX322" s="674" t="e">
        <f t="shared" si="137"/>
        <v>#DIV/0!</v>
      </c>
      <c r="BY322" s="674">
        <f t="shared" si="138"/>
        <v>0</v>
      </c>
      <c r="BZ322" s="675">
        <f t="shared" si="139"/>
        <v>0</v>
      </c>
      <c r="CA322" s="675">
        <f t="shared" si="140"/>
        <v>0</v>
      </c>
    </row>
    <row r="323" spans="1:79" ht="102" hidden="1" x14ac:dyDescent="0.25">
      <c r="A323" s="298" t="s">
        <v>896</v>
      </c>
      <c r="B323" s="299" t="str">
        <f>'PLAN INDICATIVO'!B319</f>
        <v>Agropecuario</v>
      </c>
      <c r="C323" s="1547"/>
      <c r="D323" s="1549"/>
      <c r="E323" s="1549"/>
      <c r="F323" s="1549"/>
      <c r="G323" s="1549"/>
      <c r="H323" s="1549"/>
      <c r="I323" s="300">
        <f>'PLAN INDICATIVO'!I319</f>
        <v>0</v>
      </c>
      <c r="J323" s="375">
        <f>'PLAN INDICATIVO'!J319</f>
        <v>0</v>
      </c>
      <c r="K323" s="1428" t="str">
        <f>'PLAN INDICATIVO'!K319</f>
        <v>A.8.1.27</v>
      </c>
      <c r="L323" s="301" t="str">
        <f>'PLAN INDICATIVO'!L319</f>
        <v>12. Producción y consumo responsables</v>
      </c>
      <c r="M323" s="301" t="str">
        <f>'PLAN INDICATIVO'!M319</f>
        <v>Unidad de Desarrollo Rural</v>
      </c>
      <c r="N323" s="1425" t="str">
        <f>'PLAN INDICATIVO'!N319</f>
        <v>GABRIEL ERNESTO CAMPOS ALVIRA</v>
      </c>
      <c r="O323" s="1425" t="str">
        <f>'PLAN INDICATIVO'!O319</f>
        <v>Incremento</v>
      </c>
      <c r="P323" s="16" t="str">
        <f>'PLAN INDICATIVO'!P319</f>
        <v>Apoyar la Implementación de una (1)  microcentral de beneficio para productores de café en el Municipio durante el cuatrenio.</v>
      </c>
      <c r="Q323" s="348" t="str">
        <f>'PLAN INDICATIVO'!Q319</f>
        <v>No. De apoyos ofrecidos microcentral implementada</v>
      </c>
      <c r="R323" s="303">
        <f>'PLAN INDICATIVO'!R319</f>
        <v>2015</v>
      </c>
      <c r="S323" s="304">
        <v>0</v>
      </c>
      <c r="T323" s="498">
        <v>1</v>
      </c>
      <c r="U323" s="303">
        <v>0</v>
      </c>
      <c r="V323" s="687"/>
      <c r="W323" s="572">
        <v>0.33</v>
      </c>
      <c r="X323" s="687">
        <v>3000000</v>
      </c>
      <c r="Y323" s="572">
        <v>0.33</v>
      </c>
      <c r="Z323" s="687">
        <v>500000</v>
      </c>
      <c r="AA323" s="572">
        <v>0.34</v>
      </c>
      <c r="AB323" s="687">
        <v>1000000</v>
      </c>
      <c r="AC323" s="665"/>
      <c r="AD323" s="665"/>
      <c r="AE323" s="665"/>
      <c r="AF323" s="665"/>
      <c r="AG323" s="266"/>
      <c r="AH323" s="307"/>
      <c r="AI323" s="308"/>
      <c r="AJ323" s="308"/>
      <c r="AK323" s="308"/>
      <c r="AL323" s="308"/>
      <c r="AM323" s="267" t="s">
        <v>2594</v>
      </c>
      <c r="AN323" s="507"/>
      <c r="AO323" s="729"/>
      <c r="AP323" s="730"/>
      <c r="AQ323" s="730"/>
      <c r="AR323" s="730"/>
      <c r="AS323" s="730"/>
      <c r="AT323" s="730"/>
      <c r="AU323" s="730"/>
      <c r="AV323" s="731">
        <f t="shared" si="127"/>
        <v>0</v>
      </c>
      <c r="AW323" s="525"/>
      <c r="AX323" s="310"/>
      <c r="AY323" s="310"/>
      <c r="AZ323" s="310"/>
      <c r="BA323" s="310"/>
      <c r="BB323" s="310"/>
      <c r="BC323" s="310"/>
      <c r="BD323" s="544">
        <f t="shared" si="128"/>
        <v>0</v>
      </c>
      <c r="BE323" s="525"/>
      <c r="BF323" s="310"/>
      <c r="BG323" s="310"/>
      <c r="BH323" s="310"/>
      <c r="BI323" s="310"/>
      <c r="BJ323" s="310"/>
      <c r="BK323" s="310"/>
      <c r="BL323" s="544">
        <f t="shared" si="129"/>
        <v>0</v>
      </c>
      <c r="BM323" s="525"/>
      <c r="BN323" s="310"/>
      <c r="BO323" s="310"/>
      <c r="BP323" s="310"/>
      <c r="BQ323" s="310"/>
      <c r="BR323" s="310"/>
      <c r="BS323" s="310"/>
      <c r="BT323" s="544">
        <f t="shared" si="130"/>
        <v>0</v>
      </c>
      <c r="BU323" s="556"/>
      <c r="BV323" s="663">
        <f t="shared" si="135"/>
        <v>0</v>
      </c>
      <c r="BW323" s="674">
        <f t="shared" si="136"/>
        <v>0</v>
      </c>
      <c r="BX323" s="674" t="e">
        <f t="shared" si="137"/>
        <v>#DIV/0!</v>
      </c>
      <c r="BY323" s="674">
        <f t="shared" si="138"/>
        <v>0</v>
      </c>
      <c r="BZ323" s="675">
        <f t="shared" si="139"/>
        <v>0</v>
      </c>
      <c r="CA323" s="675">
        <f t="shared" si="140"/>
        <v>0</v>
      </c>
    </row>
    <row r="324" spans="1:79" ht="76.5" hidden="1" x14ac:dyDescent="0.25">
      <c r="A324" s="298" t="s">
        <v>896</v>
      </c>
      <c r="B324" s="299" t="str">
        <f>'PLAN INDICATIVO'!B320</f>
        <v>Agropecuario</v>
      </c>
      <c r="C324" s="1547"/>
      <c r="D324" s="1549"/>
      <c r="E324" s="1549"/>
      <c r="F324" s="1549"/>
      <c r="G324" s="1549"/>
      <c r="H324" s="1549"/>
      <c r="I324" s="300">
        <f>'PLAN INDICATIVO'!I320</f>
        <v>0</v>
      </c>
      <c r="J324" s="375">
        <f>'PLAN INDICATIVO'!J320</f>
        <v>0</v>
      </c>
      <c r="K324" s="1428" t="str">
        <f>'PLAN INDICATIVO'!K320</f>
        <v>A.8.1.28</v>
      </c>
      <c r="L324" s="301" t="str">
        <f>'PLAN INDICATIVO'!L320</f>
        <v>12. Producción y consumo responsables</v>
      </c>
      <c r="M324" s="301" t="str">
        <f>'PLAN INDICATIVO'!M320</f>
        <v>Unidad de Desarrollo Rural</v>
      </c>
      <c r="N324" s="1425" t="str">
        <f>'PLAN INDICATIVO'!N320</f>
        <v>GABRIEL ERNESTO CAMPOS ALVIRA</v>
      </c>
      <c r="O324" s="1425" t="str">
        <f>'PLAN INDICATIVO'!O320</f>
        <v>Incremento</v>
      </c>
      <c r="P324" s="16" t="str">
        <f>'PLAN INDICATIVO'!P320</f>
        <v>Implementar 1 Proyecto de cofinanciación agropecuario en convenio con entidades financiera durante el cuatrienio</v>
      </c>
      <c r="Q324" s="348" t="str">
        <f>'PLAN INDICATIVO'!Q320</f>
        <v xml:space="preserve">No. De Proyectos implementados </v>
      </c>
      <c r="R324" s="303">
        <f>'PLAN INDICATIVO'!R320</f>
        <v>2015</v>
      </c>
      <c r="S324" s="304">
        <v>1</v>
      </c>
      <c r="T324" s="498">
        <v>1</v>
      </c>
      <c r="U324" s="303">
        <v>0</v>
      </c>
      <c r="V324" s="687"/>
      <c r="W324" s="572">
        <v>0</v>
      </c>
      <c r="X324" s="687"/>
      <c r="Y324" s="572">
        <v>1</v>
      </c>
      <c r="Z324" s="687">
        <v>4000000</v>
      </c>
      <c r="AA324" s="572">
        <v>0</v>
      </c>
      <c r="AB324" s="687"/>
      <c r="AC324" s="665"/>
      <c r="AD324" s="665"/>
      <c r="AE324" s="665"/>
      <c r="AF324" s="665"/>
      <c r="AG324" s="266"/>
      <c r="AH324" s="307"/>
      <c r="AI324" s="308"/>
      <c r="AJ324" s="308"/>
      <c r="AK324" s="308"/>
      <c r="AL324" s="308"/>
      <c r="AM324" s="267" t="s">
        <v>2594</v>
      </c>
      <c r="AN324" s="507"/>
      <c r="AO324" s="729"/>
      <c r="AP324" s="730"/>
      <c r="AQ324" s="730"/>
      <c r="AR324" s="730"/>
      <c r="AS324" s="730"/>
      <c r="AT324" s="730"/>
      <c r="AU324" s="730"/>
      <c r="AV324" s="731">
        <f t="shared" si="127"/>
        <v>0</v>
      </c>
      <c r="AW324" s="525"/>
      <c r="AX324" s="310"/>
      <c r="AY324" s="310"/>
      <c r="AZ324" s="310"/>
      <c r="BA324" s="310"/>
      <c r="BB324" s="310"/>
      <c r="BC324" s="310"/>
      <c r="BD324" s="544">
        <f t="shared" si="128"/>
        <v>0</v>
      </c>
      <c r="BE324" s="525"/>
      <c r="BF324" s="310"/>
      <c r="BG324" s="310"/>
      <c r="BH324" s="310"/>
      <c r="BI324" s="310"/>
      <c r="BJ324" s="310"/>
      <c r="BK324" s="310"/>
      <c r="BL324" s="544">
        <f t="shared" si="129"/>
        <v>0</v>
      </c>
      <c r="BM324" s="525"/>
      <c r="BN324" s="310"/>
      <c r="BO324" s="310"/>
      <c r="BP324" s="310"/>
      <c r="BQ324" s="310"/>
      <c r="BR324" s="310"/>
      <c r="BS324" s="310"/>
      <c r="BT324" s="544">
        <f t="shared" si="130"/>
        <v>0</v>
      </c>
      <c r="BU324" s="556"/>
      <c r="BV324" s="663">
        <f t="shared" si="135"/>
        <v>0</v>
      </c>
      <c r="BW324" s="674">
        <f t="shared" si="136"/>
        <v>0</v>
      </c>
      <c r="BX324" s="674" t="e">
        <f t="shared" si="137"/>
        <v>#DIV/0!</v>
      </c>
      <c r="BY324" s="674" t="e">
        <f t="shared" si="138"/>
        <v>#DIV/0!</v>
      </c>
      <c r="BZ324" s="675">
        <f t="shared" si="139"/>
        <v>0</v>
      </c>
      <c r="CA324" s="675" t="e">
        <f t="shared" si="140"/>
        <v>#DIV/0!</v>
      </c>
    </row>
    <row r="325" spans="1:79" ht="95.25" hidden="1" customHeight="1" x14ac:dyDescent="0.25">
      <c r="A325" s="298" t="s">
        <v>896</v>
      </c>
      <c r="B325" s="299" t="str">
        <f>'PLAN INDICATIVO'!B321</f>
        <v>Agropecuario</v>
      </c>
      <c r="C325" s="1547"/>
      <c r="D325" s="1549"/>
      <c r="E325" s="1549"/>
      <c r="F325" s="1549"/>
      <c r="G325" s="1549"/>
      <c r="H325" s="1549"/>
      <c r="I325" s="300">
        <f>'PLAN INDICATIVO'!I321</f>
        <v>0</v>
      </c>
      <c r="J325" s="375">
        <f>'PLAN INDICATIVO'!J321</f>
        <v>0</v>
      </c>
      <c r="K325" s="1428" t="str">
        <f>'PLAN INDICATIVO'!K321</f>
        <v>A.8.1.29</v>
      </c>
      <c r="L325" s="301" t="str">
        <f>'PLAN INDICATIVO'!L321</f>
        <v>12. Producción y consumo responsables</v>
      </c>
      <c r="M325" s="301" t="str">
        <f>'PLAN INDICATIVO'!M321</f>
        <v>Unidad de Desarrollo Rural</v>
      </c>
      <c r="N325" s="1425" t="str">
        <f>'PLAN INDICATIVO'!N321</f>
        <v>GABRIEL ERNESTO CAMPOS ALVIRA</v>
      </c>
      <c r="O325" s="1425" t="str">
        <f>'PLAN INDICATIVO'!O321</f>
        <v>Mantenimiento</v>
      </c>
      <c r="P325" s="16" t="str">
        <f>'PLAN INDICATIVO'!P321</f>
        <v>Realizar 1 Celebración anual del día del campesino  durante el cuatrienio.</v>
      </c>
      <c r="Q325" s="348" t="str">
        <f>'PLAN INDICATIVO'!Q321</f>
        <v>No. De celebraciones realizadas por año</v>
      </c>
      <c r="R325" s="303">
        <f>'PLAN INDICATIVO'!R321</f>
        <v>2015</v>
      </c>
      <c r="S325" s="304">
        <v>1</v>
      </c>
      <c r="T325" s="498">
        <v>1</v>
      </c>
      <c r="U325" s="303">
        <v>1</v>
      </c>
      <c r="V325" s="687">
        <v>4500000</v>
      </c>
      <c r="W325" s="572">
        <v>1</v>
      </c>
      <c r="X325" s="687">
        <v>2000000</v>
      </c>
      <c r="Y325" s="572">
        <v>1</v>
      </c>
      <c r="Z325" s="687">
        <v>500000</v>
      </c>
      <c r="AA325" s="572">
        <v>1</v>
      </c>
      <c r="AB325" s="687">
        <v>1000000</v>
      </c>
      <c r="AC325" s="665">
        <v>5</v>
      </c>
      <c r="AD325" s="665"/>
      <c r="AE325" s="665"/>
      <c r="AF325" s="665"/>
      <c r="AG325" s="306" t="s">
        <v>2912</v>
      </c>
      <c r="AH325" s="307" t="s">
        <v>2913</v>
      </c>
      <c r="AI325" s="309">
        <v>42504</v>
      </c>
      <c r="AJ325" s="309">
        <v>42627</v>
      </c>
      <c r="AK325" s="308"/>
      <c r="AL325" s="308"/>
      <c r="AM325" s="267" t="s">
        <v>2598</v>
      </c>
      <c r="AN325" s="507" t="s">
        <v>2893</v>
      </c>
      <c r="AO325" s="729">
        <v>11908307</v>
      </c>
      <c r="AP325" s="730"/>
      <c r="AQ325" s="730"/>
      <c r="AR325" s="730"/>
      <c r="AS325" s="730"/>
      <c r="AT325" s="730"/>
      <c r="AU325" s="730"/>
      <c r="AV325" s="731">
        <f t="shared" si="127"/>
        <v>11908307</v>
      </c>
      <c r="AW325" s="525"/>
      <c r="AX325" s="310"/>
      <c r="AY325" s="310"/>
      <c r="AZ325" s="310"/>
      <c r="BA325" s="310"/>
      <c r="BB325" s="310"/>
      <c r="BC325" s="310"/>
      <c r="BD325" s="544">
        <f t="shared" si="128"/>
        <v>0</v>
      </c>
      <c r="BE325" s="525"/>
      <c r="BF325" s="310"/>
      <c r="BG325" s="310"/>
      <c r="BH325" s="310"/>
      <c r="BI325" s="310"/>
      <c r="BJ325" s="310"/>
      <c r="BK325" s="310"/>
      <c r="BL325" s="544">
        <f t="shared" si="129"/>
        <v>0</v>
      </c>
      <c r="BM325" s="525"/>
      <c r="BN325" s="310"/>
      <c r="BO325" s="310"/>
      <c r="BP325" s="310"/>
      <c r="BQ325" s="310"/>
      <c r="BR325" s="310"/>
      <c r="BS325" s="310"/>
      <c r="BT325" s="544">
        <f t="shared" si="130"/>
        <v>0</v>
      </c>
      <c r="BU325" s="556"/>
      <c r="BV325" s="663">
        <f t="shared" si="135"/>
        <v>5</v>
      </c>
      <c r="BW325" s="674">
        <f t="shared" si="136"/>
        <v>5</v>
      </c>
      <c r="BX325" s="674">
        <f t="shared" si="137"/>
        <v>5</v>
      </c>
      <c r="BY325" s="674">
        <f t="shared" si="138"/>
        <v>0</v>
      </c>
      <c r="BZ325" s="675">
        <f t="shared" si="139"/>
        <v>0</v>
      </c>
      <c r="CA325" s="675">
        <f t="shared" si="140"/>
        <v>0</v>
      </c>
    </row>
    <row r="326" spans="1:79" ht="52.5" hidden="1" customHeight="1" x14ac:dyDescent="0.25">
      <c r="A326" s="298" t="s">
        <v>896</v>
      </c>
      <c r="B326" s="299" t="str">
        <f>'PLAN INDICATIVO'!B322</f>
        <v>Agropecuario</v>
      </c>
      <c r="C326" s="1547"/>
      <c r="D326" s="1549"/>
      <c r="E326" s="1549"/>
      <c r="F326" s="1549"/>
      <c r="G326" s="1549"/>
      <c r="H326" s="1549"/>
      <c r="I326" s="300">
        <f>'PLAN INDICATIVO'!I322</f>
        <v>0</v>
      </c>
      <c r="J326" s="375">
        <f>'PLAN INDICATIVO'!J322</f>
        <v>0</v>
      </c>
      <c r="K326" s="1428" t="str">
        <f>'PLAN INDICATIVO'!K322</f>
        <v>A.8.1.30</v>
      </c>
      <c r="L326" s="301" t="str">
        <f>'PLAN INDICATIVO'!L322</f>
        <v>12. Producción y consumo responsables</v>
      </c>
      <c r="M326" s="301" t="str">
        <f>'PLAN INDICATIVO'!M322</f>
        <v>Unidad de Desarrollo Rural</v>
      </c>
      <c r="N326" s="1425" t="str">
        <f>'PLAN INDICATIVO'!N322</f>
        <v>GABRIEL ERNESTO CAMPOS ALVIRA</v>
      </c>
      <c r="O326" s="1425" t="str">
        <f>'PLAN INDICATIVO'!O322</f>
        <v>Incremento</v>
      </c>
      <c r="P326" s="16" t="str">
        <f>'PLAN INDICATIVO'!P322</f>
        <v>Apoyar la construcción y/o mejoramiento de 1 distrito de riego, durante el cuatrienio</v>
      </c>
      <c r="Q326" s="348" t="str">
        <f>'PLAN INDICATIVO'!Q322</f>
        <v>No. distrito de riego apoyado
para su construcción y/o
mejoramiento</v>
      </c>
      <c r="R326" s="303">
        <f>'PLAN INDICATIVO'!R322</f>
        <v>2015</v>
      </c>
      <c r="S326" s="304">
        <v>0</v>
      </c>
      <c r="T326" s="498">
        <v>1</v>
      </c>
      <c r="U326" s="303">
        <v>0</v>
      </c>
      <c r="V326" s="687"/>
      <c r="W326" s="572">
        <v>1</v>
      </c>
      <c r="X326" s="687">
        <v>19000000</v>
      </c>
      <c r="Y326" s="572">
        <v>1</v>
      </c>
      <c r="Z326" s="687">
        <v>500000</v>
      </c>
      <c r="AA326" s="572">
        <v>1</v>
      </c>
      <c r="AB326" s="687">
        <v>5000000</v>
      </c>
      <c r="AC326" s="665"/>
      <c r="AD326" s="665"/>
      <c r="AE326" s="665"/>
      <c r="AF326" s="665"/>
      <c r="AG326" s="266"/>
      <c r="AH326" s="307"/>
      <c r="AI326" s="308"/>
      <c r="AJ326" s="308"/>
      <c r="AK326" s="308"/>
      <c r="AL326" s="308"/>
      <c r="AM326" s="267" t="s">
        <v>2594</v>
      </c>
      <c r="AN326" s="507"/>
      <c r="AO326" s="729"/>
      <c r="AP326" s="730"/>
      <c r="AQ326" s="730"/>
      <c r="AR326" s="730"/>
      <c r="AS326" s="730"/>
      <c r="AT326" s="730"/>
      <c r="AU326" s="730"/>
      <c r="AV326" s="731">
        <f>SUM(AO326:AU326)</f>
        <v>0</v>
      </c>
      <c r="AW326" s="525"/>
      <c r="AX326" s="310"/>
      <c r="AY326" s="310"/>
      <c r="AZ326" s="310"/>
      <c r="BA326" s="310"/>
      <c r="BB326" s="310"/>
      <c r="BC326" s="310"/>
      <c r="BD326" s="544">
        <f t="shared" ref="BD326:BD390" si="154">SUM(AW326:BC326)</f>
        <v>0</v>
      </c>
      <c r="BE326" s="525"/>
      <c r="BF326" s="310"/>
      <c r="BG326" s="310"/>
      <c r="BH326" s="310"/>
      <c r="BI326" s="310"/>
      <c r="BJ326" s="310"/>
      <c r="BK326" s="310"/>
      <c r="BL326" s="544">
        <f t="shared" ref="BL326:BL390" si="155">SUM(BE326:BK326)</f>
        <v>0</v>
      </c>
      <c r="BM326" s="525"/>
      <c r="BN326" s="310"/>
      <c r="BO326" s="310"/>
      <c r="BP326" s="310"/>
      <c r="BQ326" s="310"/>
      <c r="BR326" s="310"/>
      <c r="BS326" s="310"/>
      <c r="BT326" s="544">
        <f t="shared" ref="BT326:BT390" si="156">SUM(BM326:BS326)</f>
        <v>0</v>
      </c>
      <c r="BU326" s="556"/>
      <c r="BV326" s="663">
        <f t="shared" si="135"/>
        <v>0</v>
      </c>
      <c r="BW326" s="674">
        <f t="shared" si="136"/>
        <v>0</v>
      </c>
      <c r="BX326" s="674" t="e">
        <f t="shared" si="137"/>
        <v>#DIV/0!</v>
      </c>
      <c r="BY326" s="674">
        <f t="shared" si="138"/>
        <v>0</v>
      </c>
      <c r="BZ326" s="675">
        <f t="shared" si="139"/>
        <v>0</v>
      </c>
      <c r="CA326" s="675">
        <f t="shared" si="140"/>
        <v>0</v>
      </c>
    </row>
    <row r="327" spans="1:79" ht="75" hidden="1" customHeight="1" x14ac:dyDescent="0.25">
      <c r="A327" s="298" t="s">
        <v>896</v>
      </c>
      <c r="B327" s="299" t="str">
        <f>'PLAN INDICATIVO'!B323</f>
        <v>Agropecuario</v>
      </c>
      <c r="C327" s="1547"/>
      <c r="D327" s="1549"/>
      <c r="E327" s="1549"/>
      <c r="F327" s="1549"/>
      <c r="G327" s="1549"/>
      <c r="H327" s="1549"/>
      <c r="I327" s="300">
        <f>'PLAN INDICATIVO'!I323</f>
        <v>0</v>
      </c>
      <c r="J327" s="375">
        <f>'PLAN INDICATIVO'!J323</f>
        <v>0</v>
      </c>
      <c r="K327" s="1428" t="str">
        <f>'PLAN INDICATIVO'!K323</f>
        <v>A.8.1.31</v>
      </c>
      <c r="L327" s="301" t="str">
        <f>'PLAN INDICATIVO'!L323</f>
        <v>12. Producción y consumo responsables</v>
      </c>
      <c r="M327" s="301" t="str">
        <f>'PLAN INDICATIVO'!M323</f>
        <v>Unidad de Desarrollo Rural</v>
      </c>
      <c r="N327" s="1425" t="str">
        <f>'PLAN INDICATIVO'!N323</f>
        <v>GABRIEL ERNESTO CAMPOS ALVIRA</v>
      </c>
      <c r="O327" s="1425" t="str">
        <f>'PLAN INDICATIVO'!O323</f>
        <v>Incremento</v>
      </c>
      <c r="P327" s="16" t="str">
        <f>'PLAN INDICATIVO'!P323</f>
        <v>Apoyar lo construcción de 20 reservorios de agua para mejorar producción agropecuario, durante el cuatrienio</v>
      </c>
      <c r="Q327" s="348" t="str">
        <f>'PLAN INDICATIVO'!Q323</f>
        <v>No. De reservorios apoyados</v>
      </c>
      <c r="R327" s="303">
        <f>'PLAN INDICATIVO'!R323</f>
        <v>2015</v>
      </c>
      <c r="S327" s="304">
        <v>0</v>
      </c>
      <c r="T327" s="498">
        <v>20</v>
      </c>
      <c r="U327" s="303">
        <v>5</v>
      </c>
      <c r="V327" s="687">
        <v>3000000</v>
      </c>
      <c r="W327" s="572">
        <v>5</v>
      </c>
      <c r="X327" s="687">
        <v>3000000</v>
      </c>
      <c r="Y327" s="572">
        <v>5</v>
      </c>
      <c r="Z327" s="687">
        <v>3000000</v>
      </c>
      <c r="AA327" s="572">
        <v>5</v>
      </c>
      <c r="AB327" s="687">
        <v>3000000</v>
      </c>
      <c r="AC327" s="665">
        <v>13</v>
      </c>
      <c r="AD327" s="665"/>
      <c r="AE327" s="665"/>
      <c r="AF327" s="665"/>
      <c r="AG327" s="306" t="s">
        <v>2887</v>
      </c>
      <c r="AH327" s="307" t="s">
        <v>2914</v>
      </c>
      <c r="AI327" s="308"/>
      <c r="AJ327" s="308"/>
      <c r="AK327" s="308"/>
      <c r="AL327" s="308"/>
      <c r="AM327" s="267" t="s">
        <v>2598</v>
      </c>
      <c r="AN327" s="507" t="s">
        <v>2915</v>
      </c>
      <c r="AO327" s="729"/>
      <c r="AP327" s="730"/>
      <c r="AQ327" s="751">
        <v>104000000</v>
      </c>
      <c r="AR327" s="751"/>
      <c r="AS327" s="730"/>
      <c r="AT327" s="730"/>
      <c r="AU327" s="730"/>
      <c r="AV327" s="731">
        <f>SUM(AO327:AU327)</f>
        <v>104000000</v>
      </c>
      <c r="AW327" s="525"/>
      <c r="AX327" s="310"/>
      <c r="AY327" s="310"/>
      <c r="AZ327" s="310"/>
      <c r="BA327" s="310"/>
      <c r="BB327" s="310"/>
      <c r="BC327" s="310"/>
      <c r="BD327" s="544">
        <f t="shared" si="154"/>
        <v>0</v>
      </c>
      <c r="BE327" s="525"/>
      <c r="BF327" s="310"/>
      <c r="BG327" s="310"/>
      <c r="BH327" s="310"/>
      <c r="BI327" s="310"/>
      <c r="BJ327" s="310"/>
      <c r="BK327" s="310"/>
      <c r="BL327" s="544">
        <f t="shared" si="155"/>
        <v>0</v>
      </c>
      <c r="BM327" s="525"/>
      <c r="BN327" s="310"/>
      <c r="BO327" s="310"/>
      <c r="BP327" s="310"/>
      <c r="BQ327" s="310"/>
      <c r="BR327" s="310"/>
      <c r="BS327" s="310"/>
      <c r="BT327" s="544">
        <f t="shared" si="156"/>
        <v>0</v>
      </c>
      <c r="BU327" s="556"/>
      <c r="BV327" s="663">
        <f t="shared" si="135"/>
        <v>13</v>
      </c>
      <c r="BW327" s="674">
        <f t="shared" si="136"/>
        <v>0.65</v>
      </c>
      <c r="BX327" s="674">
        <f t="shared" si="137"/>
        <v>2.6</v>
      </c>
      <c r="BY327" s="674">
        <f t="shared" si="138"/>
        <v>0</v>
      </c>
      <c r="BZ327" s="675">
        <f t="shared" si="139"/>
        <v>0</v>
      </c>
      <c r="CA327" s="675">
        <f t="shared" si="140"/>
        <v>0</v>
      </c>
    </row>
    <row r="328" spans="1:79" ht="90" hidden="1" customHeight="1" x14ac:dyDescent="0.25">
      <c r="A328" s="298" t="s">
        <v>896</v>
      </c>
      <c r="B328" s="299" t="str">
        <f>'PLAN INDICATIVO'!B324</f>
        <v>Agropecuario</v>
      </c>
      <c r="C328" s="1547"/>
      <c r="D328" s="1549"/>
      <c r="E328" s="1549"/>
      <c r="F328" s="1549"/>
      <c r="G328" s="1549"/>
      <c r="H328" s="1549"/>
      <c r="I328" s="300">
        <f>'PLAN INDICATIVO'!I324</f>
        <v>0</v>
      </c>
      <c r="J328" s="375">
        <f>'PLAN INDICATIVO'!J324</f>
        <v>0</v>
      </c>
      <c r="K328" s="1428" t="str">
        <f>'PLAN INDICATIVO'!K324</f>
        <v>A.8.1.32</v>
      </c>
      <c r="L328" s="301" t="str">
        <f>'PLAN INDICATIVO'!L324</f>
        <v>12. Producción y consumo responsables</v>
      </c>
      <c r="M328" s="301" t="str">
        <f>'PLAN INDICATIVO'!M324</f>
        <v>Unidad de Desarrollo Rural</v>
      </c>
      <c r="N328" s="1425" t="str">
        <f>'PLAN INDICATIVO'!N324</f>
        <v>GABRIEL ERNESTO CAMPOS ALVIRA</v>
      </c>
      <c r="O328" s="1425" t="str">
        <f>'PLAN INDICATIVO'!O324</f>
        <v>Incremento</v>
      </c>
      <c r="P328" s="16" t="str">
        <f>'PLAN INDICATIVO'!P324</f>
        <v>Otorgar 30 incentivos de capital semilla para pequeños empresarios rurales, durante el cuatrienio</v>
      </c>
      <c r="Q328" s="348" t="str">
        <f>'PLAN INDICATIVO'!Q324</f>
        <v xml:space="preserve">No. De incentivos otorgados </v>
      </c>
      <c r="R328" s="303">
        <f>'PLAN INDICATIVO'!R324</f>
        <v>2015</v>
      </c>
      <c r="S328" s="304">
        <v>0</v>
      </c>
      <c r="T328" s="498">
        <v>30</v>
      </c>
      <c r="U328" s="303">
        <v>0</v>
      </c>
      <c r="V328" s="687">
        <v>10000000</v>
      </c>
      <c r="W328" s="572">
        <v>10</v>
      </c>
      <c r="X328" s="687">
        <v>18000000</v>
      </c>
      <c r="Y328" s="572">
        <v>10</v>
      </c>
      <c r="Z328" s="687">
        <v>19000000</v>
      </c>
      <c r="AA328" s="572">
        <v>10</v>
      </c>
      <c r="AB328" s="687">
        <v>20000000</v>
      </c>
      <c r="AC328" s="665">
        <v>10</v>
      </c>
      <c r="AD328" s="665"/>
      <c r="AE328" s="665"/>
      <c r="AF328" s="665"/>
      <c r="AG328" s="306" t="s">
        <v>2887</v>
      </c>
      <c r="AH328" s="307" t="s">
        <v>2916</v>
      </c>
      <c r="AI328" s="308"/>
      <c r="AJ328" s="308"/>
      <c r="AK328" s="308"/>
      <c r="AL328" s="308"/>
      <c r="AM328" s="267" t="s">
        <v>2598</v>
      </c>
      <c r="AN328" s="507" t="s">
        <v>2895</v>
      </c>
      <c r="AO328" s="729">
        <v>3000000</v>
      </c>
      <c r="AP328" s="729"/>
      <c r="AQ328" s="730"/>
      <c r="AR328" s="730"/>
      <c r="AS328" s="730"/>
      <c r="AT328" s="730"/>
      <c r="AU328" s="730"/>
      <c r="AV328" s="731">
        <f>SUM(AO328:AU328)</f>
        <v>3000000</v>
      </c>
      <c r="AW328" s="525"/>
      <c r="AX328" s="310"/>
      <c r="AY328" s="310"/>
      <c r="AZ328" s="310"/>
      <c r="BA328" s="310"/>
      <c r="BB328" s="310"/>
      <c r="BC328" s="310"/>
      <c r="BD328" s="544">
        <f t="shared" si="154"/>
        <v>0</v>
      </c>
      <c r="BE328" s="525"/>
      <c r="BF328" s="310"/>
      <c r="BG328" s="310"/>
      <c r="BH328" s="310"/>
      <c r="BI328" s="310"/>
      <c r="BJ328" s="310"/>
      <c r="BK328" s="310"/>
      <c r="BL328" s="544">
        <f t="shared" si="155"/>
        <v>0</v>
      </c>
      <c r="BM328" s="525"/>
      <c r="BN328" s="310"/>
      <c r="BO328" s="310"/>
      <c r="BP328" s="310"/>
      <c r="BQ328" s="310"/>
      <c r="BR328" s="310"/>
      <c r="BS328" s="310"/>
      <c r="BT328" s="544">
        <f t="shared" si="156"/>
        <v>0</v>
      </c>
      <c r="BU328" s="556"/>
      <c r="BV328" s="663">
        <f t="shared" si="135"/>
        <v>10</v>
      </c>
      <c r="BW328" s="674">
        <f t="shared" si="136"/>
        <v>0.33333333333333331</v>
      </c>
      <c r="BX328" s="674" t="e">
        <f t="shared" si="137"/>
        <v>#DIV/0!</v>
      </c>
      <c r="BY328" s="674">
        <f t="shared" si="138"/>
        <v>0</v>
      </c>
      <c r="BZ328" s="675">
        <f t="shared" si="139"/>
        <v>0</v>
      </c>
      <c r="CA328" s="675">
        <f t="shared" si="140"/>
        <v>0</v>
      </c>
    </row>
    <row r="329" spans="1:79" ht="69.75" hidden="1" customHeight="1" x14ac:dyDescent="0.25">
      <c r="A329" s="298" t="s">
        <v>896</v>
      </c>
      <c r="B329" s="299" t="str">
        <f>'PLAN INDICATIVO'!B325</f>
        <v>Agropecuario</v>
      </c>
      <c r="C329" s="1548"/>
      <c r="D329" s="1549"/>
      <c r="E329" s="1549"/>
      <c r="F329" s="1549"/>
      <c r="G329" s="1549"/>
      <c r="H329" s="1549"/>
      <c r="I329" s="300">
        <f>'PLAN INDICATIVO'!I325</f>
        <v>0</v>
      </c>
      <c r="J329" s="300">
        <f>'PLAN INDICATIVO'!J325</f>
        <v>0</v>
      </c>
      <c r="K329" s="1428" t="str">
        <f>'PLAN INDICATIVO'!K325</f>
        <v>A.8.1.33</v>
      </c>
      <c r="L329" s="301" t="str">
        <f>'PLAN INDICATIVO'!L325</f>
        <v>12. Producción y consumo responsables</v>
      </c>
      <c r="M329" s="301" t="str">
        <f>'PLAN INDICATIVO'!M325</f>
        <v>Unidad de Desarrollo Rural</v>
      </c>
      <c r="N329" s="1425" t="str">
        <f>'PLAN INDICATIVO'!N325</f>
        <v>GABRIEL ERNESTO CAMPOS ALVIRA</v>
      </c>
      <c r="O329" s="1425" t="str">
        <f>'PLAN INDICATIVO'!O325</f>
        <v>Incremento</v>
      </c>
      <c r="P329" s="16" t="str">
        <f>'PLAN INDICATIVO'!P325</f>
        <v>Otorgar 40 incentivos de capital semilla para personas  víctimas del conflicto, con acompañamiento técnico y social, durante el cuatrienio</v>
      </c>
      <c r="Q329" s="348" t="str">
        <f>'PLAN INDICATIVO'!Q325</f>
        <v xml:space="preserve">No. De incentivos otorgados </v>
      </c>
      <c r="R329" s="303">
        <f>'PLAN INDICATIVO'!R325</f>
        <v>2015</v>
      </c>
      <c r="S329" s="304">
        <v>19</v>
      </c>
      <c r="T329" s="498">
        <v>40</v>
      </c>
      <c r="U329" s="303">
        <v>10</v>
      </c>
      <c r="V329" s="687">
        <v>10000000</v>
      </c>
      <c r="W329" s="572">
        <v>10</v>
      </c>
      <c r="X329" s="687">
        <v>8000000</v>
      </c>
      <c r="Y329" s="572">
        <v>10</v>
      </c>
      <c r="Z329" s="687">
        <v>10000000</v>
      </c>
      <c r="AA329" s="572">
        <v>10</v>
      </c>
      <c r="AB329" s="687">
        <v>10000000</v>
      </c>
      <c r="AC329" s="665">
        <v>10</v>
      </c>
      <c r="AD329" s="665"/>
      <c r="AE329" s="665"/>
      <c r="AF329" s="665"/>
      <c r="AG329" s="306"/>
      <c r="AH329" s="307" t="s">
        <v>2917</v>
      </c>
      <c r="AI329" s="309">
        <v>42522</v>
      </c>
      <c r="AJ329" s="309">
        <v>42674</v>
      </c>
      <c r="AK329" s="308"/>
      <c r="AL329" s="308"/>
      <c r="AM329" s="267" t="s">
        <v>2598</v>
      </c>
      <c r="AN329" s="507" t="s">
        <v>2895</v>
      </c>
      <c r="AO329" s="729">
        <v>2100000</v>
      </c>
      <c r="AP329" s="730"/>
      <c r="AQ329" s="730"/>
      <c r="AR329" s="730"/>
      <c r="AS329" s="730"/>
      <c r="AT329" s="730"/>
      <c r="AU329" s="730"/>
      <c r="AV329" s="731">
        <f>SUM(AO329:AU329)</f>
        <v>2100000</v>
      </c>
      <c r="AW329" s="525"/>
      <c r="AX329" s="310"/>
      <c r="AY329" s="310"/>
      <c r="AZ329" s="310"/>
      <c r="BA329" s="310"/>
      <c r="BB329" s="310"/>
      <c r="BC329" s="310"/>
      <c r="BD329" s="544">
        <f t="shared" si="154"/>
        <v>0</v>
      </c>
      <c r="BE329" s="525"/>
      <c r="BF329" s="310"/>
      <c r="BG329" s="310"/>
      <c r="BH329" s="310"/>
      <c r="BI329" s="310"/>
      <c r="BJ329" s="310"/>
      <c r="BK329" s="310"/>
      <c r="BL329" s="544">
        <f t="shared" si="155"/>
        <v>0</v>
      </c>
      <c r="BM329" s="525"/>
      <c r="BN329" s="310"/>
      <c r="BO329" s="310"/>
      <c r="BP329" s="310"/>
      <c r="BQ329" s="310"/>
      <c r="BR329" s="310"/>
      <c r="BS329" s="310"/>
      <c r="BT329" s="544">
        <f t="shared" si="156"/>
        <v>0</v>
      </c>
      <c r="BU329" s="556"/>
      <c r="BV329" s="663">
        <f t="shared" si="135"/>
        <v>10</v>
      </c>
      <c r="BW329" s="674">
        <f t="shared" si="136"/>
        <v>0.25</v>
      </c>
      <c r="BX329" s="674">
        <f t="shared" si="137"/>
        <v>1</v>
      </c>
      <c r="BY329" s="674">
        <f t="shared" si="138"/>
        <v>0</v>
      </c>
      <c r="BZ329" s="675">
        <f t="shared" si="139"/>
        <v>0</v>
      </c>
      <c r="CA329" s="675">
        <f t="shared" si="140"/>
        <v>0</v>
      </c>
    </row>
    <row r="330" spans="1:79" ht="6" hidden="1" customHeight="1" thickBot="1" x14ac:dyDescent="0.3">
      <c r="A330" s="406"/>
      <c r="B330" s="412" t="e">
        <f>'PLAN INDICATIVO'!#REF!</f>
        <v>#REF!</v>
      </c>
      <c r="C330" s="297"/>
      <c r="D330" s="291"/>
      <c r="E330" s="291"/>
      <c r="F330" s="291"/>
      <c r="G330" s="291"/>
      <c r="H330" s="291"/>
      <c r="I330" s="291"/>
      <c r="J330" s="291"/>
      <c r="K330" s="421"/>
      <c r="L330" s="421"/>
      <c r="M330" s="421"/>
      <c r="N330" s="291"/>
      <c r="O330" s="421"/>
      <c r="P330" s="422"/>
      <c r="Q330" s="408"/>
      <c r="R330" s="291"/>
      <c r="S330" s="409"/>
      <c r="T330" s="677"/>
      <c r="U330" s="409"/>
      <c r="V330" s="409"/>
      <c r="W330" s="409"/>
      <c r="X330" s="409"/>
      <c r="Y330" s="409"/>
      <c r="Z330" s="409"/>
      <c r="AA330" s="410"/>
      <c r="AB330" s="410"/>
      <c r="AC330" s="410"/>
      <c r="AD330" s="410"/>
      <c r="AE330" s="410"/>
      <c r="AF330" s="410"/>
      <c r="AG330" s="411"/>
      <c r="AH330" s="411"/>
      <c r="AI330" s="410"/>
      <c r="AJ330" s="410"/>
      <c r="AK330" s="410"/>
      <c r="AL330" s="410"/>
      <c r="AM330" s="410"/>
      <c r="AN330" s="507"/>
      <c r="AO330" s="729"/>
      <c r="AP330" s="730"/>
      <c r="AQ330" s="730"/>
      <c r="AR330" s="730"/>
      <c r="AS330" s="730"/>
      <c r="AT330" s="730"/>
      <c r="AU330" s="730"/>
      <c r="AV330" s="731">
        <f t="shared" ref="AV330:AV390" si="157">SUM(AO330:AU330)</f>
        <v>0</v>
      </c>
      <c r="AW330" s="525"/>
      <c r="AX330" s="310"/>
      <c r="AY330" s="310"/>
      <c r="AZ330" s="310"/>
      <c r="BA330" s="310"/>
      <c r="BB330" s="310"/>
      <c r="BC330" s="310"/>
      <c r="BD330" s="544">
        <f t="shared" si="154"/>
        <v>0</v>
      </c>
      <c r="BE330" s="525"/>
      <c r="BF330" s="310"/>
      <c r="BG330" s="310"/>
      <c r="BH330" s="310"/>
      <c r="BI330" s="310"/>
      <c r="BJ330" s="310"/>
      <c r="BK330" s="310"/>
      <c r="BL330" s="544">
        <f t="shared" si="155"/>
        <v>0</v>
      </c>
      <c r="BM330" s="525"/>
      <c r="BN330" s="310"/>
      <c r="BO330" s="310"/>
      <c r="BP330" s="310"/>
      <c r="BQ330" s="310"/>
      <c r="BR330" s="310"/>
      <c r="BS330" s="310"/>
      <c r="BT330" s="544">
        <f t="shared" si="156"/>
        <v>0</v>
      </c>
      <c r="BU330" s="556"/>
      <c r="BV330" s="663">
        <f t="shared" ref="BV330:BV394" si="158">AC330+AD330+AE330+AF330</f>
        <v>0</v>
      </c>
      <c r="BW330" s="674" t="e">
        <f t="shared" ref="BW330:BW394" si="159">BV330/T330</f>
        <v>#DIV/0!</v>
      </c>
      <c r="BX330" s="674" t="e">
        <f t="shared" ref="BX330:BX394" si="160">AC330/U330</f>
        <v>#DIV/0!</v>
      </c>
      <c r="BY330" s="674" t="e">
        <f t="shared" ref="BY330:BY394" si="161">AD330/W330</f>
        <v>#DIV/0!</v>
      </c>
      <c r="BZ330" s="675" t="e">
        <f t="shared" ref="BZ330:BZ394" si="162">AE330/Y330</f>
        <v>#DIV/0!</v>
      </c>
      <c r="CA330" s="675" t="e">
        <f t="shared" ref="CA330:CA394" si="163">AF330/AA330</f>
        <v>#DIV/0!</v>
      </c>
    </row>
    <row r="331" spans="1:79" ht="35.25" hidden="1" customHeight="1" thickBot="1" x14ac:dyDescent="0.3">
      <c r="A331" s="428"/>
      <c r="B331" s="429" t="str">
        <f>'PLAN INDICATIVO'!B326</f>
        <v>TRANSPORTE</v>
      </c>
      <c r="C331" s="1627" t="s">
        <v>2918</v>
      </c>
      <c r="D331" s="1627"/>
      <c r="E331" s="1627"/>
      <c r="F331" s="1627"/>
      <c r="G331" s="1627"/>
      <c r="H331" s="1627"/>
      <c r="I331" s="1627"/>
      <c r="J331" s="1627"/>
      <c r="K331" s="1627"/>
      <c r="L331" s="1627"/>
      <c r="M331" s="1627"/>
      <c r="N331" s="1627"/>
      <c r="O331" s="1627"/>
      <c r="P331" s="1627"/>
      <c r="Q331" s="1627"/>
      <c r="R331" s="1627"/>
      <c r="S331" s="1627"/>
      <c r="T331" s="1627"/>
      <c r="U331" s="1627"/>
      <c r="V331" s="1627"/>
      <c r="W331" s="1627"/>
      <c r="X331" s="1627"/>
      <c r="Y331" s="1627"/>
      <c r="Z331" s="1627"/>
      <c r="AA331" s="1627"/>
      <c r="AB331" s="1627"/>
      <c r="AC331" s="1627"/>
      <c r="AD331" s="1627"/>
      <c r="AE331" s="1627"/>
      <c r="AF331" s="1627"/>
      <c r="AG331" s="1627"/>
      <c r="AH331" s="1627"/>
      <c r="AI331" s="1627"/>
      <c r="AJ331" s="1627"/>
      <c r="AK331" s="1627"/>
      <c r="AL331" s="1628"/>
      <c r="AM331" s="294"/>
      <c r="AN331" s="506"/>
      <c r="AO331" s="741"/>
      <c r="AP331" s="742"/>
      <c r="AQ331" s="742"/>
      <c r="AR331" s="742"/>
      <c r="AS331" s="742"/>
      <c r="AT331" s="742"/>
      <c r="AU331" s="742"/>
      <c r="AV331" s="731">
        <f t="shared" si="157"/>
        <v>0</v>
      </c>
      <c r="AW331" s="524"/>
      <c r="AX331" s="374"/>
      <c r="AY331" s="374"/>
      <c r="AZ331" s="374"/>
      <c r="BA331" s="374"/>
      <c r="BB331" s="374"/>
      <c r="BC331" s="374"/>
      <c r="BD331" s="544">
        <f t="shared" si="154"/>
        <v>0</v>
      </c>
      <c r="BE331" s="524"/>
      <c r="BF331" s="374"/>
      <c r="BG331" s="374"/>
      <c r="BH331" s="374"/>
      <c r="BI331" s="374"/>
      <c r="BJ331" s="374"/>
      <c r="BK331" s="374"/>
      <c r="BL331" s="544">
        <f t="shared" si="155"/>
        <v>0</v>
      </c>
      <c r="BM331" s="524"/>
      <c r="BN331" s="374"/>
      <c r="BO331" s="374"/>
      <c r="BP331" s="374"/>
      <c r="BQ331" s="374"/>
      <c r="BR331" s="374"/>
      <c r="BS331" s="374"/>
      <c r="BT331" s="544">
        <f t="shared" si="156"/>
        <v>0</v>
      </c>
      <c r="BU331" s="556"/>
      <c r="BV331" s="663">
        <f t="shared" si="158"/>
        <v>0</v>
      </c>
      <c r="BW331" s="674" t="e">
        <f t="shared" si="159"/>
        <v>#DIV/0!</v>
      </c>
      <c r="BX331" s="674" t="e">
        <f t="shared" si="160"/>
        <v>#DIV/0!</v>
      </c>
      <c r="BY331" s="674" t="e">
        <f t="shared" si="161"/>
        <v>#DIV/0!</v>
      </c>
      <c r="BZ331" s="675" t="e">
        <f t="shared" si="162"/>
        <v>#DIV/0!</v>
      </c>
      <c r="CA331" s="675" t="e">
        <f t="shared" si="163"/>
        <v>#DIV/0!</v>
      </c>
    </row>
    <row r="332" spans="1:79" ht="18" hidden="1" x14ac:dyDescent="0.25">
      <c r="A332" s="296"/>
      <c r="B332" s="331" t="str">
        <f>'PLAN INDICATIVO'!B327</f>
        <v>Transporte</v>
      </c>
      <c r="C332" s="1574" t="s">
        <v>1001</v>
      </c>
      <c r="D332" s="1575"/>
      <c r="E332" s="1575"/>
      <c r="F332" s="1575"/>
      <c r="G332" s="1575"/>
      <c r="H332" s="1575"/>
      <c r="I332" s="1575"/>
      <c r="J332" s="1575"/>
      <c r="K332" s="1575"/>
      <c r="L332" s="1575"/>
      <c r="M332" s="1575"/>
      <c r="N332" s="1575"/>
      <c r="O332" s="1576"/>
      <c r="P332" s="22"/>
      <c r="Q332" s="22"/>
      <c r="R332" s="1"/>
      <c r="S332" s="261"/>
      <c r="T332" s="681"/>
      <c r="U332" s="261"/>
      <c r="V332" s="707">
        <f>SUM(V333:V354)</f>
        <v>1326400000</v>
      </c>
      <c r="W332" s="261"/>
      <c r="X332" s="689">
        <f>SUM(X333:X354)</f>
        <v>3074000000</v>
      </c>
      <c r="Y332" s="261"/>
      <c r="Z332" s="689">
        <f>SUM(Z333:Z354)</f>
        <v>1901000000</v>
      </c>
      <c r="AA332" s="262"/>
      <c r="AB332" s="690">
        <f>SUM(AB333:AB354)</f>
        <v>716000000</v>
      </c>
      <c r="AC332" s="262"/>
      <c r="AD332" s="262"/>
      <c r="AE332" s="262"/>
      <c r="AF332" s="262"/>
      <c r="AG332" s="263"/>
      <c r="AH332" s="263"/>
      <c r="AI332" s="262"/>
      <c r="AJ332" s="262"/>
      <c r="AK332" s="262"/>
      <c r="AL332" s="262"/>
      <c r="AM332" s="262"/>
      <c r="AN332" s="612"/>
      <c r="AO332" s="616" t="e">
        <f>(AO333:AO354)</f>
        <v>#VALUE!</v>
      </c>
      <c r="AP332" s="616" t="e">
        <f t="shared" ref="AP332:AU332" si="164">(AP333:AP354)</f>
        <v>#VALUE!</v>
      </c>
      <c r="AQ332" s="616" t="e">
        <f t="shared" si="164"/>
        <v>#VALUE!</v>
      </c>
      <c r="AR332" s="616" t="e">
        <f t="shared" si="164"/>
        <v>#VALUE!</v>
      </c>
      <c r="AS332" s="616" t="e">
        <f t="shared" si="164"/>
        <v>#VALUE!</v>
      </c>
      <c r="AT332" s="616" t="e">
        <f t="shared" si="164"/>
        <v>#VALUE!</v>
      </c>
      <c r="AU332" s="616" t="e">
        <f t="shared" si="164"/>
        <v>#VALUE!</v>
      </c>
      <c r="AV332" s="617" t="e">
        <f t="shared" si="157"/>
        <v>#VALUE!</v>
      </c>
      <c r="AW332" s="616" t="e">
        <f t="shared" ref="AW332:BC332" si="165">(AW333:AW354)</f>
        <v>#VALUE!</v>
      </c>
      <c r="AX332" s="616" t="e">
        <f t="shared" si="165"/>
        <v>#VALUE!</v>
      </c>
      <c r="AY332" s="616" t="e">
        <f t="shared" si="165"/>
        <v>#VALUE!</v>
      </c>
      <c r="AZ332" s="616" t="e">
        <f t="shared" si="165"/>
        <v>#VALUE!</v>
      </c>
      <c r="BA332" s="616" t="e">
        <f t="shared" si="165"/>
        <v>#VALUE!</v>
      </c>
      <c r="BB332" s="616" t="e">
        <f t="shared" si="165"/>
        <v>#VALUE!</v>
      </c>
      <c r="BC332" s="616" t="e">
        <f t="shared" si="165"/>
        <v>#VALUE!</v>
      </c>
      <c r="BD332" s="617" t="e">
        <f t="shared" si="154"/>
        <v>#VALUE!</v>
      </c>
      <c r="BE332" s="616" t="e">
        <f t="shared" ref="BE332:BK332" si="166">(BE333:BE354)</f>
        <v>#VALUE!</v>
      </c>
      <c r="BF332" s="616" t="e">
        <f t="shared" si="166"/>
        <v>#VALUE!</v>
      </c>
      <c r="BG332" s="616" t="e">
        <f t="shared" si="166"/>
        <v>#VALUE!</v>
      </c>
      <c r="BH332" s="616" t="e">
        <f t="shared" si="166"/>
        <v>#VALUE!</v>
      </c>
      <c r="BI332" s="616" t="e">
        <f t="shared" si="166"/>
        <v>#VALUE!</v>
      </c>
      <c r="BJ332" s="616" t="e">
        <f t="shared" si="166"/>
        <v>#VALUE!</v>
      </c>
      <c r="BK332" s="616" t="e">
        <f t="shared" si="166"/>
        <v>#VALUE!</v>
      </c>
      <c r="BL332" s="617" t="e">
        <f t="shared" si="155"/>
        <v>#VALUE!</v>
      </c>
      <c r="BM332" s="616" t="e">
        <f t="shared" ref="BM332:BS332" si="167">(BM333:BM354)</f>
        <v>#VALUE!</v>
      </c>
      <c r="BN332" s="616" t="e">
        <f t="shared" si="167"/>
        <v>#VALUE!</v>
      </c>
      <c r="BO332" s="616" t="e">
        <f t="shared" si="167"/>
        <v>#VALUE!</v>
      </c>
      <c r="BP332" s="616" t="e">
        <f t="shared" si="167"/>
        <v>#VALUE!</v>
      </c>
      <c r="BQ332" s="616" t="e">
        <f t="shared" si="167"/>
        <v>#VALUE!</v>
      </c>
      <c r="BR332" s="616" t="e">
        <f t="shared" si="167"/>
        <v>#VALUE!</v>
      </c>
      <c r="BS332" s="616" t="e">
        <f t="shared" si="167"/>
        <v>#VALUE!</v>
      </c>
      <c r="BT332" s="617" t="e">
        <f t="shared" si="156"/>
        <v>#VALUE!</v>
      </c>
      <c r="BU332" s="556"/>
      <c r="BV332" s="663">
        <f t="shared" si="158"/>
        <v>0</v>
      </c>
      <c r="BW332" s="674" t="e">
        <f t="shared" si="159"/>
        <v>#DIV/0!</v>
      </c>
      <c r="BX332" s="674" t="e">
        <f t="shared" si="160"/>
        <v>#DIV/0!</v>
      </c>
      <c r="BY332" s="674" t="e">
        <f t="shared" si="161"/>
        <v>#DIV/0!</v>
      </c>
      <c r="BZ332" s="675" t="e">
        <f t="shared" si="162"/>
        <v>#DIV/0!</v>
      </c>
      <c r="CA332" s="675" t="e">
        <f t="shared" si="163"/>
        <v>#DIV/0!</v>
      </c>
    </row>
    <row r="333" spans="1:79" ht="102" hidden="1" x14ac:dyDescent="0.25">
      <c r="A333" s="298" t="s">
        <v>1002</v>
      </c>
      <c r="B333" s="299" t="str">
        <f>'PLAN INDICATIVO'!B328</f>
        <v>Transporte</v>
      </c>
      <c r="C333" s="1546" t="s">
        <v>1003</v>
      </c>
      <c r="D333" s="1550" t="s">
        <v>1004</v>
      </c>
      <c r="E333" s="1550" t="s">
        <v>1005</v>
      </c>
      <c r="F333" s="1550">
        <v>2015</v>
      </c>
      <c r="G333" s="1550">
        <v>98</v>
      </c>
      <c r="H333" s="1550">
        <v>98</v>
      </c>
      <c r="I333" s="300">
        <f>'PLAN INDICATIVO'!I328</f>
        <v>0</v>
      </c>
      <c r="J333" s="300">
        <f>'PLAN INDICATIVO'!J328</f>
        <v>0</v>
      </c>
      <c r="K333" s="1425" t="str">
        <f>'PLAN INDICATIVO'!K328</f>
        <v>A.9.1.1</v>
      </c>
      <c r="L333" s="301" t="str">
        <f>'PLAN INDICATIVO'!L328</f>
        <v>11. Ciudades y comunidades sostenibles</v>
      </c>
      <c r="M333" s="301" t="str">
        <f>'PLAN INDICATIVO'!M328</f>
        <v xml:space="preserve">Secretaría de Tránsito </v>
      </c>
      <c r="N333" s="1425" t="str">
        <f>'PLAN INDICATIVO'!N328</f>
        <v>LUIS ALFREDO GOMEZ CLAVIJO</v>
      </c>
      <c r="O333" s="1425" t="str">
        <f>'PLAN INDICATIVO'!O328</f>
        <v>Mantenimiento</v>
      </c>
      <c r="P333" s="16" t="str">
        <f>'PLAN INDICATIVO'!P328</f>
        <v>Implementar 1 observatorio de accidentalidad durante el cuatrienio</v>
      </c>
      <c r="Q333" s="302" t="str">
        <f>'PLAN INDICATIVO'!Q328</f>
        <v>No. Observatorio de accidental implementado</v>
      </c>
      <c r="R333" s="303">
        <f>'PLAN INDICATIVO'!R328</f>
        <v>2015</v>
      </c>
      <c r="S333" s="304">
        <v>0</v>
      </c>
      <c r="T333" s="498">
        <v>1</v>
      </c>
      <c r="U333" s="303">
        <v>0</v>
      </c>
      <c r="V333" s="304"/>
      <c r="W333" s="572">
        <v>1</v>
      </c>
      <c r="X333" s="687">
        <v>5000000</v>
      </c>
      <c r="Y333" s="572">
        <v>1</v>
      </c>
      <c r="Z333" s="687">
        <v>10000000</v>
      </c>
      <c r="AA333" s="572">
        <v>1</v>
      </c>
      <c r="AB333" s="687">
        <v>10000000</v>
      </c>
      <c r="AC333" s="665"/>
      <c r="AD333" s="665"/>
      <c r="AE333" s="665"/>
      <c r="AF333" s="665"/>
      <c r="AG333" s="266"/>
      <c r="AH333" s="307"/>
      <c r="AI333" s="308"/>
      <c r="AJ333" s="308"/>
      <c r="AK333" s="308"/>
      <c r="AL333" s="308"/>
      <c r="AM333" s="267" t="s">
        <v>2594</v>
      </c>
      <c r="AN333" s="507"/>
      <c r="AO333" s="525"/>
      <c r="AP333" s="310"/>
      <c r="AQ333" s="310"/>
      <c r="AR333" s="310"/>
      <c r="AS333" s="310"/>
      <c r="AT333" s="310"/>
      <c r="AU333" s="310"/>
      <c r="AV333" s="544">
        <f t="shared" si="157"/>
        <v>0</v>
      </c>
      <c r="AW333" s="525"/>
      <c r="AX333" s="310"/>
      <c r="AY333" s="310"/>
      <c r="AZ333" s="310"/>
      <c r="BA333" s="310"/>
      <c r="BB333" s="310"/>
      <c r="BC333" s="310"/>
      <c r="BD333" s="544">
        <f t="shared" si="154"/>
        <v>0</v>
      </c>
      <c r="BE333" s="525"/>
      <c r="BF333" s="310"/>
      <c r="BG333" s="310"/>
      <c r="BH333" s="310"/>
      <c r="BI333" s="310"/>
      <c r="BJ333" s="310"/>
      <c r="BK333" s="310"/>
      <c r="BL333" s="544">
        <f t="shared" si="155"/>
        <v>0</v>
      </c>
      <c r="BM333" s="525"/>
      <c r="BN333" s="310"/>
      <c r="BO333" s="310"/>
      <c r="BP333" s="310"/>
      <c r="BQ333" s="310"/>
      <c r="BR333" s="310"/>
      <c r="BS333" s="310"/>
      <c r="BT333" s="544">
        <f t="shared" si="156"/>
        <v>0</v>
      </c>
      <c r="BU333" s="556"/>
      <c r="BV333" s="663">
        <f t="shared" si="158"/>
        <v>0</v>
      </c>
      <c r="BW333" s="674">
        <f t="shared" si="159"/>
        <v>0</v>
      </c>
      <c r="BX333" s="674" t="e">
        <f t="shared" si="160"/>
        <v>#DIV/0!</v>
      </c>
      <c r="BY333" s="674">
        <f t="shared" si="161"/>
        <v>0</v>
      </c>
      <c r="BZ333" s="675">
        <f t="shared" si="162"/>
        <v>0</v>
      </c>
      <c r="CA333" s="675">
        <f t="shared" si="163"/>
        <v>0</v>
      </c>
    </row>
    <row r="334" spans="1:79" ht="79.5" hidden="1" customHeight="1" x14ac:dyDescent="0.25">
      <c r="A334" s="298" t="s">
        <v>1002</v>
      </c>
      <c r="B334" s="299" t="str">
        <f>'PLAN INDICATIVO'!B329</f>
        <v>Transporte</v>
      </c>
      <c r="C334" s="1547"/>
      <c r="D334" s="1551"/>
      <c r="E334" s="1551"/>
      <c r="F334" s="1551"/>
      <c r="G334" s="1551"/>
      <c r="H334" s="1551"/>
      <c r="I334" s="300">
        <f>'PLAN INDICATIVO'!I329</f>
        <v>0</v>
      </c>
      <c r="J334" s="300">
        <f>'PLAN INDICATIVO'!J329</f>
        <v>0</v>
      </c>
      <c r="K334" s="1425" t="str">
        <f>'PLAN INDICATIVO'!K329</f>
        <v>A.9.1.2</v>
      </c>
      <c r="L334" s="301" t="str">
        <f>'PLAN INDICATIVO'!L329</f>
        <v>11. Ciudades y comunidades sostenibles</v>
      </c>
      <c r="M334" s="301" t="str">
        <f>'PLAN INDICATIVO'!M329</f>
        <v xml:space="preserve">Secretaría de Tránsito </v>
      </c>
      <c r="N334" s="1425" t="str">
        <f>'PLAN INDICATIVO'!N329</f>
        <v>LUIS ALFREDO GOMEZ CLAVIJO</v>
      </c>
      <c r="O334" s="1425" t="str">
        <f>'PLAN INDICATIVO'!O329</f>
        <v>Incremento</v>
      </c>
      <c r="P334" s="16" t="str">
        <f>'PLAN INDICATIVO'!P329</f>
        <v>Realizar 4 campañas de sensibilización sobre la importancia de utilizar garajes y así evitar el hurto de los vehículos en el cuatrienio</v>
      </c>
      <c r="Q334" s="302" t="str">
        <f>'PLAN INDICATIVO'!Q329</f>
        <v>No. Campañas realizadas</v>
      </c>
      <c r="R334" s="303">
        <f>'PLAN INDICATIVO'!R329</f>
        <v>2015</v>
      </c>
      <c r="S334" s="304">
        <v>0</v>
      </c>
      <c r="T334" s="498">
        <v>4</v>
      </c>
      <c r="U334" s="303">
        <v>1</v>
      </c>
      <c r="V334" s="687">
        <v>10000000</v>
      </c>
      <c r="W334" s="572">
        <v>1</v>
      </c>
      <c r="X334" s="687">
        <v>10000000</v>
      </c>
      <c r="Y334" s="572">
        <v>1</v>
      </c>
      <c r="Z334" s="687">
        <v>10000000</v>
      </c>
      <c r="AA334" s="572">
        <v>1</v>
      </c>
      <c r="AB334" s="687">
        <v>15000000</v>
      </c>
      <c r="AC334" s="665">
        <v>4</v>
      </c>
      <c r="AD334" s="665"/>
      <c r="AE334" s="665"/>
      <c r="AF334" s="665"/>
      <c r="AG334" s="306" t="s">
        <v>2831</v>
      </c>
      <c r="AH334" s="307" t="s">
        <v>2919</v>
      </c>
      <c r="AI334" s="335">
        <v>37043</v>
      </c>
      <c r="AJ334" s="335">
        <v>11140</v>
      </c>
      <c r="AK334" s="308"/>
      <c r="AL334" s="308"/>
      <c r="AM334" s="267" t="s">
        <v>2598</v>
      </c>
      <c r="AN334" s="507" t="s">
        <v>2831</v>
      </c>
      <c r="AO334" s="525">
        <v>1000000</v>
      </c>
      <c r="AP334" s="310"/>
      <c r="AQ334" s="380"/>
      <c r="AR334" s="310"/>
      <c r="AS334" s="310"/>
      <c r="AT334" s="310"/>
      <c r="AU334" s="310"/>
      <c r="AV334" s="544">
        <f t="shared" si="157"/>
        <v>1000000</v>
      </c>
      <c r="AW334" s="525"/>
      <c r="AX334" s="310"/>
      <c r="AY334" s="380"/>
      <c r="AZ334" s="310"/>
      <c r="BA334" s="310"/>
      <c r="BB334" s="310"/>
      <c r="BC334" s="310"/>
      <c r="BD334" s="544">
        <f t="shared" si="154"/>
        <v>0</v>
      </c>
      <c r="BE334" s="525"/>
      <c r="BF334" s="310"/>
      <c r="BG334" s="380"/>
      <c r="BH334" s="310"/>
      <c r="BI334" s="310"/>
      <c r="BJ334" s="310"/>
      <c r="BK334" s="310"/>
      <c r="BL334" s="544">
        <f t="shared" si="155"/>
        <v>0</v>
      </c>
      <c r="BM334" s="525"/>
      <c r="BN334" s="310"/>
      <c r="BO334" s="380"/>
      <c r="BP334" s="310"/>
      <c r="BQ334" s="310"/>
      <c r="BR334" s="310"/>
      <c r="BS334" s="310"/>
      <c r="BT334" s="544">
        <f t="shared" si="156"/>
        <v>0</v>
      </c>
      <c r="BU334" s="556"/>
      <c r="BV334" s="663">
        <f t="shared" si="158"/>
        <v>4</v>
      </c>
      <c r="BW334" s="674">
        <f t="shared" si="159"/>
        <v>1</v>
      </c>
      <c r="BX334" s="674">
        <f t="shared" si="160"/>
        <v>4</v>
      </c>
      <c r="BY334" s="674">
        <f t="shared" si="161"/>
        <v>0</v>
      </c>
      <c r="BZ334" s="675">
        <f t="shared" si="162"/>
        <v>0</v>
      </c>
      <c r="CA334" s="675">
        <f t="shared" si="163"/>
        <v>0</v>
      </c>
    </row>
    <row r="335" spans="1:79" ht="178.5" hidden="1" x14ac:dyDescent="0.25">
      <c r="A335" s="298" t="s">
        <v>1002</v>
      </c>
      <c r="B335" s="299" t="str">
        <f>'PLAN INDICATIVO'!B330</f>
        <v>Transporte</v>
      </c>
      <c r="C335" s="1547"/>
      <c r="D335" s="1551"/>
      <c r="E335" s="1551"/>
      <c r="F335" s="1551"/>
      <c r="G335" s="1551"/>
      <c r="H335" s="1551"/>
      <c r="I335" s="300">
        <f>'PLAN INDICATIVO'!I330</f>
        <v>0</v>
      </c>
      <c r="J335" s="300">
        <f>'PLAN INDICATIVO'!J330</f>
        <v>0</v>
      </c>
      <c r="K335" s="1425" t="str">
        <f>'PLAN INDICATIVO'!K330</f>
        <v>A.9.1.3</v>
      </c>
      <c r="L335" s="301" t="str">
        <f>'PLAN INDICATIVO'!L330</f>
        <v>11. Ciudades y comunidades sostenibles</v>
      </c>
      <c r="M335" s="301" t="str">
        <f>'PLAN INDICATIVO'!M330</f>
        <v xml:space="preserve">Secretaría de Tránsito </v>
      </c>
      <c r="N335" s="1425" t="str">
        <f>'PLAN INDICATIVO'!N330</f>
        <v>LUIS ALFREDO GOMEZ CLAVIJO</v>
      </c>
      <c r="O335" s="1425" t="str">
        <f>'PLAN INDICATIVO'!O330</f>
        <v>Incremento</v>
      </c>
      <c r="P335" s="16" t="str">
        <f>'PLAN INDICATIVO'!P330</f>
        <v xml:space="preserve">Implementar 1 estrategia para la ubicación de zonas azules en el municipio de La Plata, en el cuatrienio </v>
      </c>
      <c r="Q335" s="302" t="str">
        <f>'PLAN INDICATIVO'!Q330</f>
        <v>No. De estrategias implementadas</v>
      </c>
      <c r="R335" s="303">
        <f>'PLAN INDICATIVO'!R330</f>
        <v>2015</v>
      </c>
      <c r="S335" s="304">
        <v>0</v>
      </c>
      <c r="T335" s="498">
        <v>1</v>
      </c>
      <c r="U335" s="303">
        <v>0</v>
      </c>
      <c r="V335" s="687"/>
      <c r="W335" s="572">
        <v>1</v>
      </c>
      <c r="X335" s="687">
        <v>5000000</v>
      </c>
      <c r="Y335" s="572">
        <v>0</v>
      </c>
      <c r="Z335" s="687"/>
      <c r="AA335" s="572">
        <v>0</v>
      </c>
      <c r="AB335" s="687"/>
      <c r="AC335" s="665">
        <v>0.5</v>
      </c>
      <c r="AD335" s="665"/>
      <c r="AE335" s="665"/>
      <c r="AF335" s="665"/>
      <c r="AG335" s="266"/>
      <c r="AH335" s="307" t="s">
        <v>2920</v>
      </c>
      <c r="AI335" s="308"/>
      <c r="AJ335" s="308"/>
      <c r="AK335" s="308"/>
      <c r="AL335" s="308"/>
      <c r="AM335" s="267" t="s">
        <v>2594</v>
      </c>
      <c r="AN335" s="507"/>
      <c r="AO335" s="525"/>
      <c r="AP335" s="310"/>
      <c r="AQ335" s="380"/>
      <c r="AR335" s="310"/>
      <c r="AS335" s="310"/>
      <c r="AT335" s="310"/>
      <c r="AU335" s="310"/>
      <c r="AV335" s="544">
        <f t="shared" si="157"/>
        <v>0</v>
      </c>
      <c r="AW335" s="525"/>
      <c r="AX335" s="310"/>
      <c r="AY335" s="380"/>
      <c r="AZ335" s="310"/>
      <c r="BA335" s="310"/>
      <c r="BB335" s="310"/>
      <c r="BC335" s="310"/>
      <c r="BD335" s="544">
        <f t="shared" si="154"/>
        <v>0</v>
      </c>
      <c r="BE335" s="525"/>
      <c r="BF335" s="310"/>
      <c r="BG335" s="380"/>
      <c r="BH335" s="310"/>
      <c r="BI335" s="310"/>
      <c r="BJ335" s="310"/>
      <c r="BK335" s="310"/>
      <c r="BL335" s="544">
        <f t="shared" si="155"/>
        <v>0</v>
      </c>
      <c r="BM335" s="525"/>
      <c r="BN335" s="310"/>
      <c r="BO335" s="380"/>
      <c r="BP335" s="310"/>
      <c r="BQ335" s="310"/>
      <c r="BR335" s="310"/>
      <c r="BS335" s="310"/>
      <c r="BT335" s="544">
        <f t="shared" si="156"/>
        <v>0</v>
      </c>
      <c r="BU335" s="556"/>
      <c r="BV335" s="663">
        <f t="shared" si="158"/>
        <v>0.5</v>
      </c>
      <c r="BW335" s="674">
        <f t="shared" si="159"/>
        <v>0.5</v>
      </c>
      <c r="BX335" s="674" t="e">
        <f t="shared" si="160"/>
        <v>#DIV/0!</v>
      </c>
      <c r="BY335" s="674">
        <f t="shared" si="161"/>
        <v>0</v>
      </c>
      <c r="BZ335" s="675" t="e">
        <f t="shared" si="162"/>
        <v>#DIV/0!</v>
      </c>
      <c r="CA335" s="675" t="e">
        <f t="shared" si="163"/>
        <v>#DIV/0!</v>
      </c>
    </row>
    <row r="336" spans="1:79" ht="88.5" hidden="1" customHeight="1" x14ac:dyDescent="0.25">
      <c r="A336" s="298" t="s">
        <v>1002</v>
      </c>
      <c r="B336" s="299" t="str">
        <f>'PLAN INDICATIVO'!B331</f>
        <v>Transporte</v>
      </c>
      <c r="C336" s="1547"/>
      <c r="D336" s="1551"/>
      <c r="E336" s="1551"/>
      <c r="F336" s="1551"/>
      <c r="G336" s="1551"/>
      <c r="H336" s="1551"/>
      <c r="I336" s="1425" t="str">
        <f>'PLAN INDICATIVO'!I331</f>
        <v>SI</v>
      </c>
      <c r="J336" s="1425">
        <f>'PLAN INDICATIVO'!J331</f>
        <v>0</v>
      </c>
      <c r="K336" s="1425" t="str">
        <f>'PLAN INDICATIVO'!K331</f>
        <v>A.9.1.4</v>
      </c>
      <c r="L336" s="301" t="str">
        <f>'PLAN INDICATIVO'!L331</f>
        <v>11. Ciudades y comunidades sostenibles</v>
      </c>
      <c r="M336" s="301" t="str">
        <f>'PLAN INDICATIVO'!M331</f>
        <v xml:space="preserve">Secretaría de Tránsito </v>
      </c>
      <c r="N336" s="1425" t="str">
        <f>'PLAN INDICATIVO'!N331</f>
        <v>LUIS ALFREDO GOMEZ CLAVIJO</v>
      </c>
      <c r="O336" s="1425" t="str">
        <f>'PLAN INDICATIVO'!O331</f>
        <v>Mantenimiento</v>
      </c>
      <c r="P336" s="16" t="str">
        <f>'PLAN INDICATIVO'!P331</f>
        <v>Implementar cada año 1 programa de optimización tecnológica y de sistema de semaforización de la secretaría de tránsito municipal, durante el cuatrienio</v>
      </c>
      <c r="Q336" s="302" t="str">
        <f>'PLAN INDICATIVO'!Q331</f>
        <v>No. De Programa implementado por año</v>
      </c>
      <c r="R336" s="303">
        <f>'PLAN INDICATIVO'!R331</f>
        <v>2015</v>
      </c>
      <c r="S336" s="304">
        <v>0</v>
      </c>
      <c r="T336" s="498">
        <v>1</v>
      </c>
      <c r="U336" s="303">
        <v>1</v>
      </c>
      <c r="V336" s="687">
        <v>20000000</v>
      </c>
      <c r="W336" s="572">
        <v>1</v>
      </c>
      <c r="X336" s="687">
        <v>5000000</v>
      </c>
      <c r="Y336" s="572">
        <v>1</v>
      </c>
      <c r="Z336" s="687">
        <v>20000000</v>
      </c>
      <c r="AA336" s="572">
        <v>1</v>
      </c>
      <c r="AB336" s="687">
        <v>15000000</v>
      </c>
      <c r="AC336" s="837">
        <v>0</v>
      </c>
      <c r="AD336" s="665"/>
      <c r="AE336" s="665"/>
      <c r="AF336" s="665"/>
      <c r="AG336" s="306" t="s">
        <v>2596</v>
      </c>
      <c r="AH336" s="307" t="s">
        <v>2921</v>
      </c>
      <c r="AI336" s="335">
        <v>11140</v>
      </c>
      <c r="AJ336" s="335">
        <v>11658</v>
      </c>
      <c r="AK336" s="308"/>
      <c r="AL336" s="308"/>
      <c r="AM336" s="267" t="s">
        <v>2600</v>
      </c>
      <c r="AN336" s="507"/>
      <c r="AO336" s="525"/>
      <c r="AP336" s="310"/>
      <c r="AQ336" s="380"/>
      <c r="AR336" s="310"/>
      <c r="AS336" s="310"/>
      <c r="AT336" s="310"/>
      <c r="AU336" s="310"/>
      <c r="AV336" s="544">
        <f t="shared" si="157"/>
        <v>0</v>
      </c>
      <c r="AW336" s="525"/>
      <c r="AX336" s="310"/>
      <c r="AY336" s="380"/>
      <c r="AZ336" s="310"/>
      <c r="BA336" s="310"/>
      <c r="BB336" s="310"/>
      <c r="BC336" s="310"/>
      <c r="BD336" s="544">
        <f t="shared" si="154"/>
        <v>0</v>
      </c>
      <c r="BE336" s="525"/>
      <c r="BF336" s="310"/>
      <c r="BG336" s="380"/>
      <c r="BH336" s="310"/>
      <c r="BI336" s="310"/>
      <c r="BJ336" s="310"/>
      <c r="BK336" s="310"/>
      <c r="BL336" s="544">
        <f t="shared" si="155"/>
        <v>0</v>
      </c>
      <c r="BM336" s="525"/>
      <c r="BN336" s="310"/>
      <c r="BO336" s="380"/>
      <c r="BP336" s="310"/>
      <c r="BQ336" s="310"/>
      <c r="BR336" s="310"/>
      <c r="BS336" s="310"/>
      <c r="BT336" s="544">
        <f t="shared" si="156"/>
        <v>0</v>
      </c>
      <c r="BU336" s="556"/>
      <c r="BV336" s="663">
        <f t="shared" si="158"/>
        <v>0</v>
      </c>
      <c r="BW336" s="674">
        <f t="shared" si="159"/>
        <v>0</v>
      </c>
      <c r="BX336" s="674">
        <f t="shared" si="160"/>
        <v>0</v>
      </c>
      <c r="BY336" s="674">
        <f t="shared" si="161"/>
        <v>0</v>
      </c>
      <c r="BZ336" s="675">
        <f t="shared" si="162"/>
        <v>0</v>
      </c>
      <c r="CA336" s="675">
        <f t="shared" si="163"/>
        <v>0</v>
      </c>
    </row>
    <row r="337" spans="1:79" ht="71.25" hidden="1" customHeight="1" x14ac:dyDescent="0.25">
      <c r="A337" s="298" t="s">
        <v>1002</v>
      </c>
      <c r="B337" s="299" t="str">
        <f>'PLAN INDICATIVO'!B332</f>
        <v>Transporte</v>
      </c>
      <c r="C337" s="1547"/>
      <c r="D337" s="1551"/>
      <c r="E337" s="1551"/>
      <c r="F337" s="1551"/>
      <c r="G337" s="1551"/>
      <c r="H337" s="1551"/>
      <c r="I337" s="300">
        <f>'PLAN INDICATIVO'!I332</f>
        <v>0</v>
      </c>
      <c r="J337" s="300">
        <f>'PLAN INDICATIVO'!J332</f>
        <v>0</v>
      </c>
      <c r="K337" s="1425" t="str">
        <f>'PLAN INDICATIVO'!K332</f>
        <v>A.9.1.5</v>
      </c>
      <c r="L337" s="301" t="str">
        <f>'PLAN INDICATIVO'!L332</f>
        <v>11. Ciudades y comunidades sostenibles</v>
      </c>
      <c r="M337" s="301" t="str">
        <f>'PLAN INDICATIVO'!M332</f>
        <v xml:space="preserve">Secretaría de Tránsito </v>
      </c>
      <c r="N337" s="1425" t="str">
        <f>'PLAN INDICATIVO'!N332</f>
        <v>LUIS ALFREDO GOMEZ CLAVIJO</v>
      </c>
      <c r="O337" s="1425" t="str">
        <f>'PLAN INDICATIVO'!O332</f>
        <v>Mantenimiento</v>
      </c>
      <c r="P337" s="16" t="str">
        <f>'PLAN INDICATIVO'!P332</f>
        <v>Realizar 3 reuniones anuales con el consejo municipal de transporte</v>
      </c>
      <c r="Q337" s="302" t="str">
        <f>'PLAN INDICATIVO'!Q332</f>
        <v>No. de reuniones realizadas por año</v>
      </c>
      <c r="R337" s="303">
        <f>'PLAN INDICATIVO'!R332</f>
        <v>2015</v>
      </c>
      <c r="S337" s="304">
        <v>0</v>
      </c>
      <c r="T337" s="498">
        <v>3</v>
      </c>
      <c r="U337" s="303">
        <v>3</v>
      </c>
      <c r="V337" s="687">
        <v>10000000</v>
      </c>
      <c r="W337" s="572">
        <v>3</v>
      </c>
      <c r="X337" s="687">
        <v>5000000</v>
      </c>
      <c r="Y337" s="572">
        <v>3</v>
      </c>
      <c r="Z337" s="687">
        <v>10000000</v>
      </c>
      <c r="AA337" s="572">
        <v>3</v>
      </c>
      <c r="AB337" s="687">
        <v>5000000</v>
      </c>
      <c r="AC337" s="665">
        <v>3</v>
      </c>
      <c r="AD337" s="665"/>
      <c r="AE337" s="665"/>
      <c r="AF337" s="665"/>
      <c r="AG337" s="306" t="s">
        <v>2831</v>
      </c>
      <c r="AH337" s="307" t="s">
        <v>2922</v>
      </c>
      <c r="AI337" s="335">
        <v>37104</v>
      </c>
      <c r="AJ337" s="335">
        <v>11658</v>
      </c>
      <c r="AK337" s="308"/>
      <c r="AL337" s="308"/>
      <c r="AM337" s="267" t="s">
        <v>2598</v>
      </c>
      <c r="AN337" s="507" t="s">
        <v>2831</v>
      </c>
      <c r="AO337" s="525">
        <v>29081749</v>
      </c>
      <c r="AP337" s="310"/>
      <c r="AQ337" s="310"/>
      <c r="AR337" s="310"/>
      <c r="AS337" s="310"/>
      <c r="AT337" s="310"/>
      <c r="AU337" s="310"/>
      <c r="AV337" s="544">
        <f t="shared" si="157"/>
        <v>29081749</v>
      </c>
      <c r="AW337" s="525"/>
      <c r="AX337" s="310"/>
      <c r="AY337" s="310"/>
      <c r="AZ337" s="310"/>
      <c r="BA337" s="310"/>
      <c r="BB337" s="310"/>
      <c r="BC337" s="310"/>
      <c r="BD337" s="544">
        <f t="shared" si="154"/>
        <v>0</v>
      </c>
      <c r="BE337" s="525"/>
      <c r="BF337" s="310"/>
      <c r="BG337" s="310"/>
      <c r="BH337" s="310"/>
      <c r="BI337" s="310"/>
      <c r="BJ337" s="310"/>
      <c r="BK337" s="310"/>
      <c r="BL337" s="544">
        <f t="shared" si="155"/>
        <v>0</v>
      </c>
      <c r="BM337" s="525"/>
      <c r="BN337" s="310"/>
      <c r="BO337" s="310"/>
      <c r="BP337" s="310"/>
      <c r="BQ337" s="310"/>
      <c r="BR337" s="310"/>
      <c r="BS337" s="310"/>
      <c r="BT337" s="544">
        <f t="shared" si="156"/>
        <v>0</v>
      </c>
      <c r="BU337" s="556"/>
      <c r="BV337" s="663">
        <f t="shared" si="158"/>
        <v>3</v>
      </c>
      <c r="BW337" s="674">
        <f t="shared" si="159"/>
        <v>1</v>
      </c>
      <c r="BX337" s="674">
        <f t="shared" si="160"/>
        <v>1</v>
      </c>
      <c r="BY337" s="674">
        <f t="shared" si="161"/>
        <v>0</v>
      </c>
      <c r="BZ337" s="675">
        <f t="shared" si="162"/>
        <v>0</v>
      </c>
      <c r="CA337" s="675">
        <f t="shared" si="163"/>
        <v>0</v>
      </c>
    </row>
    <row r="338" spans="1:79" ht="94.5" hidden="1" customHeight="1" x14ac:dyDescent="0.25">
      <c r="A338" s="298" t="s">
        <v>1002</v>
      </c>
      <c r="B338" s="299" t="str">
        <f>'PLAN INDICATIVO'!B333</f>
        <v>Transporte</v>
      </c>
      <c r="C338" s="1547"/>
      <c r="D338" s="1551"/>
      <c r="E338" s="1551"/>
      <c r="F338" s="1551"/>
      <c r="G338" s="1551"/>
      <c r="H338" s="1551"/>
      <c r="I338" s="300">
        <f>'PLAN INDICATIVO'!I333</f>
        <v>0</v>
      </c>
      <c r="J338" s="300">
        <f>'PLAN INDICATIVO'!J333</f>
        <v>0</v>
      </c>
      <c r="K338" s="1425" t="str">
        <f>'PLAN INDICATIVO'!K333</f>
        <v>A.9.1.6</v>
      </c>
      <c r="L338" s="301" t="str">
        <f>'PLAN INDICATIVO'!L333</f>
        <v>11. Ciudades y comunidades sostenibles</v>
      </c>
      <c r="M338" s="301" t="str">
        <f>'PLAN INDICATIVO'!M333</f>
        <v xml:space="preserve">Secretaría de Tránsito </v>
      </c>
      <c r="N338" s="1425" t="str">
        <f>'PLAN INDICATIVO'!N333</f>
        <v>LUIS ALFREDO GOMEZ CLAVIJO</v>
      </c>
      <c r="O338" s="1425" t="str">
        <f>'PLAN INDICATIVO'!O333</f>
        <v>Mantenimiento</v>
      </c>
      <c r="P338" s="16" t="str">
        <f>'PLAN INDICATIVO'!P333</f>
        <v>Crear 1 plan de medios orientados a informar sobre los avances en materia de transporte y movilidad, y promover la seguridad vial cada año</v>
      </c>
      <c r="Q338" s="302" t="str">
        <f>'PLAN INDICATIVO'!Q333</f>
        <v>No. De Planes creados</v>
      </c>
      <c r="R338" s="303">
        <f>'PLAN INDICATIVO'!R333</f>
        <v>2015</v>
      </c>
      <c r="S338" s="304">
        <v>0</v>
      </c>
      <c r="T338" s="498">
        <v>1</v>
      </c>
      <c r="U338" s="303">
        <v>1</v>
      </c>
      <c r="V338" s="687">
        <v>20000000</v>
      </c>
      <c r="W338" s="572">
        <v>1</v>
      </c>
      <c r="X338" s="687">
        <v>10000000</v>
      </c>
      <c r="Y338" s="572">
        <v>1</v>
      </c>
      <c r="Z338" s="687">
        <v>20000000</v>
      </c>
      <c r="AA338" s="572">
        <v>1</v>
      </c>
      <c r="AB338" s="687">
        <v>15000000</v>
      </c>
      <c r="AC338" s="665">
        <v>1</v>
      </c>
      <c r="AD338" s="665"/>
      <c r="AE338" s="665"/>
      <c r="AF338" s="665"/>
      <c r="AG338" s="306"/>
      <c r="AH338" s="307" t="s">
        <v>2923</v>
      </c>
      <c r="AI338" s="335">
        <v>37043</v>
      </c>
      <c r="AJ338" s="335">
        <v>11110</v>
      </c>
      <c r="AK338" s="308"/>
      <c r="AL338" s="308"/>
      <c r="AM338" s="267" t="s">
        <v>2598</v>
      </c>
      <c r="AN338" s="507" t="s">
        <v>2831</v>
      </c>
      <c r="AO338" s="525">
        <v>1000000</v>
      </c>
      <c r="AP338" s="310"/>
      <c r="AQ338" s="310"/>
      <c r="AR338" s="310"/>
      <c r="AS338" s="310"/>
      <c r="AT338" s="310"/>
      <c r="AU338" s="310"/>
      <c r="AV338" s="544">
        <f t="shared" si="157"/>
        <v>1000000</v>
      </c>
      <c r="AW338" s="525"/>
      <c r="AX338" s="310"/>
      <c r="AY338" s="310"/>
      <c r="AZ338" s="310"/>
      <c r="BA338" s="310"/>
      <c r="BB338" s="310"/>
      <c r="BC338" s="310"/>
      <c r="BD338" s="544">
        <f t="shared" si="154"/>
        <v>0</v>
      </c>
      <c r="BE338" s="525"/>
      <c r="BF338" s="310"/>
      <c r="BG338" s="310"/>
      <c r="BH338" s="310"/>
      <c r="BI338" s="310"/>
      <c r="BJ338" s="310"/>
      <c r="BK338" s="310"/>
      <c r="BL338" s="544">
        <f t="shared" si="155"/>
        <v>0</v>
      </c>
      <c r="BM338" s="525"/>
      <c r="BN338" s="310"/>
      <c r="BO338" s="310"/>
      <c r="BP338" s="310"/>
      <c r="BQ338" s="310"/>
      <c r="BR338" s="310"/>
      <c r="BS338" s="310"/>
      <c r="BT338" s="544">
        <f t="shared" si="156"/>
        <v>0</v>
      </c>
      <c r="BU338" s="556"/>
      <c r="BV338" s="663">
        <f t="shared" si="158"/>
        <v>1</v>
      </c>
      <c r="BW338" s="674">
        <f t="shared" si="159"/>
        <v>1</v>
      </c>
      <c r="BX338" s="674">
        <f t="shared" si="160"/>
        <v>1</v>
      </c>
      <c r="BY338" s="674">
        <f t="shared" si="161"/>
        <v>0</v>
      </c>
      <c r="BZ338" s="675">
        <f t="shared" si="162"/>
        <v>0</v>
      </c>
      <c r="CA338" s="675">
        <f t="shared" si="163"/>
        <v>0</v>
      </c>
    </row>
    <row r="339" spans="1:79" ht="91.5" hidden="1" customHeight="1" x14ac:dyDescent="0.25">
      <c r="A339" s="298" t="s">
        <v>1002</v>
      </c>
      <c r="B339" s="299" t="str">
        <f>'PLAN INDICATIVO'!B334</f>
        <v>Transporte</v>
      </c>
      <c r="C339" s="1547"/>
      <c r="D339" s="1551"/>
      <c r="E339" s="1551"/>
      <c r="F339" s="1551"/>
      <c r="G339" s="1551"/>
      <c r="H339" s="1551"/>
      <c r="I339" s="300">
        <f>'PLAN INDICATIVO'!I334</f>
        <v>0</v>
      </c>
      <c r="J339" s="300">
        <f>'PLAN INDICATIVO'!J334</f>
        <v>0</v>
      </c>
      <c r="K339" s="1425" t="str">
        <f>'PLAN INDICATIVO'!K334</f>
        <v>A.9.1.7</v>
      </c>
      <c r="L339" s="301" t="str">
        <f>'PLAN INDICATIVO'!L334</f>
        <v>11. Ciudades y comunidades sostenibles</v>
      </c>
      <c r="M339" s="301" t="str">
        <f>'PLAN INDICATIVO'!M334</f>
        <v xml:space="preserve">Secretaría de Tránsito </v>
      </c>
      <c r="N339" s="1425" t="str">
        <f>'PLAN INDICATIVO'!N334</f>
        <v>LUIS ALFREDO GOMEZ CLAVIJO</v>
      </c>
      <c r="O339" s="1425" t="str">
        <f>'PLAN INDICATIVO'!O334</f>
        <v>Incremento</v>
      </c>
      <c r="P339" s="16" t="str">
        <f>'PLAN INDICATIVO'!P334</f>
        <v>Implementar 1 estrategia encaminada a aumentar la matrícula y traspasos de vehículos, la seguridad vial y la eficiencia administrativa en la secretaria de tránsito, durante el cuatrienio</v>
      </c>
      <c r="Q339" s="302" t="str">
        <f>'PLAN INDICATIVO'!Q334</f>
        <v>No. Estrategias implementadas.</v>
      </c>
      <c r="R339" s="303">
        <f>'PLAN INDICATIVO'!R334</f>
        <v>2015</v>
      </c>
      <c r="S339" s="304">
        <v>0</v>
      </c>
      <c r="T339" s="498">
        <v>1</v>
      </c>
      <c r="U339" s="303">
        <v>1</v>
      </c>
      <c r="V339" s="687">
        <v>70000000</v>
      </c>
      <c r="W339" s="572">
        <v>0</v>
      </c>
      <c r="X339" s="687"/>
      <c r="Y339" s="572">
        <v>0</v>
      </c>
      <c r="Z339" s="687"/>
      <c r="AA339" s="572">
        <v>0</v>
      </c>
      <c r="AB339" s="687"/>
      <c r="AC339" s="665">
        <v>0.1</v>
      </c>
      <c r="AD339" s="665"/>
      <c r="AE339" s="665"/>
      <c r="AF339" s="665"/>
      <c r="AG339" s="306" t="s">
        <v>2831</v>
      </c>
      <c r="AH339" s="307" t="s">
        <v>2924</v>
      </c>
      <c r="AI339" s="335">
        <v>37104</v>
      </c>
      <c r="AJ339" s="335">
        <v>11202</v>
      </c>
      <c r="AK339" s="308"/>
      <c r="AL339" s="308"/>
      <c r="AM339" s="267" t="s">
        <v>2600</v>
      </c>
      <c r="AN339" s="507" t="s">
        <v>2831</v>
      </c>
      <c r="AO339" s="525">
        <v>29081749</v>
      </c>
      <c r="AP339" s="310"/>
      <c r="AQ339" s="310"/>
      <c r="AR339" s="310"/>
      <c r="AS339" s="310"/>
      <c r="AT339" s="310"/>
      <c r="AU339" s="310"/>
      <c r="AV339" s="544">
        <f t="shared" si="157"/>
        <v>29081749</v>
      </c>
      <c r="AW339" s="525"/>
      <c r="AX339" s="310"/>
      <c r="AY339" s="310"/>
      <c r="AZ339" s="310"/>
      <c r="BA339" s="310"/>
      <c r="BB339" s="310"/>
      <c r="BC339" s="310"/>
      <c r="BD339" s="544">
        <f t="shared" si="154"/>
        <v>0</v>
      </c>
      <c r="BE339" s="525"/>
      <c r="BF339" s="310"/>
      <c r="BG339" s="310"/>
      <c r="BH339" s="310"/>
      <c r="BI339" s="310"/>
      <c r="BJ339" s="310"/>
      <c r="BK339" s="310"/>
      <c r="BL339" s="544">
        <f t="shared" si="155"/>
        <v>0</v>
      </c>
      <c r="BM339" s="525"/>
      <c r="BN339" s="310"/>
      <c r="BO339" s="310"/>
      <c r="BP339" s="310"/>
      <c r="BQ339" s="310"/>
      <c r="BR339" s="310"/>
      <c r="BS339" s="310"/>
      <c r="BT339" s="544">
        <f t="shared" si="156"/>
        <v>0</v>
      </c>
      <c r="BU339" s="556"/>
      <c r="BV339" s="663">
        <f t="shared" si="158"/>
        <v>0.1</v>
      </c>
      <c r="BW339" s="674">
        <f t="shared" si="159"/>
        <v>0.1</v>
      </c>
      <c r="BX339" s="674">
        <f t="shared" si="160"/>
        <v>0.1</v>
      </c>
      <c r="BY339" s="674" t="e">
        <f t="shared" si="161"/>
        <v>#DIV/0!</v>
      </c>
      <c r="BZ339" s="675" t="e">
        <f t="shared" si="162"/>
        <v>#DIV/0!</v>
      </c>
      <c r="CA339" s="675" t="e">
        <f t="shared" si="163"/>
        <v>#DIV/0!</v>
      </c>
    </row>
    <row r="340" spans="1:79" ht="77.25" hidden="1" customHeight="1" x14ac:dyDescent="0.25">
      <c r="A340" s="298" t="s">
        <v>1002</v>
      </c>
      <c r="B340" s="299" t="str">
        <f>'PLAN INDICATIVO'!B335</f>
        <v>Transporte</v>
      </c>
      <c r="C340" s="1547"/>
      <c r="D340" s="1551"/>
      <c r="E340" s="1551"/>
      <c r="F340" s="1551"/>
      <c r="G340" s="1551"/>
      <c r="H340" s="1551"/>
      <c r="I340" s="300">
        <f>'PLAN INDICATIVO'!I335</f>
        <v>0</v>
      </c>
      <c r="J340" s="300">
        <f>'PLAN INDICATIVO'!J335</f>
        <v>0</v>
      </c>
      <c r="K340" s="1425" t="str">
        <f>'PLAN INDICATIVO'!K335</f>
        <v>A.9.1.8</v>
      </c>
      <c r="L340" s="301" t="str">
        <f>'PLAN INDICATIVO'!L335</f>
        <v>11. Ciudades y comunidades sostenibles</v>
      </c>
      <c r="M340" s="301" t="str">
        <f>'PLAN INDICATIVO'!M335</f>
        <v xml:space="preserve">Secretaría de Tránsito </v>
      </c>
      <c r="N340" s="1425" t="str">
        <f>'PLAN INDICATIVO'!N335</f>
        <v>LUIS ALFREDO GOMEZ CLAVIJO</v>
      </c>
      <c r="O340" s="1425" t="str">
        <f>'PLAN INDICATIVO'!O335</f>
        <v>Incremento</v>
      </c>
      <c r="P340" s="16" t="str">
        <f>'PLAN INDICATIVO'!P335</f>
        <v>Formulación e implementación de 2 programa de señalización y demarcación vial, durante el cuatrienio</v>
      </c>
      <c r="Q340" s="302" t="str">
        <f>'PLAN INDICATIVO'!Q335</f>
        <v xml:space="preserve">No. De programas formulados e implementados </v>
      </c>
      <c r="R340" s="303">
        <f>'PLAN INDICATIVO'!R335</f>
        <v>2015</v>
      </c>
      <c r="S340" s="304">
        <v>0</v>
      </c>
      <c r="T340" s="498">
        <v>2</v>
      </c>
      <c r="U340" s="303">
        <v>0</v>
      </c>
      <c r="V340" s="687"/>
      <c r="W340" s="572">
        <v>1</v>
      </c>
      <c r="X340" s="687">
        <v>10000000</v>
      </c>
      <c r="Y340" s="572">
        <v>0</v>
      </c>
      <c r="Z340" s="687"/>
      <c r="AA340" s="572">
        <v>1</v>
      </c>
      <c r="AB340" s="687">
        <v>50000000</v>
      </c>
      <c r="AC340" s="665"/>
      <c r="AD340" s="665"/>
      <c r="AE340" s="665"/>
      <c r="AF340" s="665"/>
      <c r="AG340" s="266"/>
      <c r="AH340" s="307"/>
      <c r="AI340" s="308"/>
      <c r="AJ340" s="308"/>
      <c r="AK340" s="308"/>
      <c r="AL340" s="308"/>
      <c r="AM340" s="267" t="s">
        <v>2594</v>
      </c>
      <c r="AN340" s="507"/>
      <c r="AO340" s="525"/>
      <c r="AP340" s="310"/>
      <c r="AQ340" s="310"/>
      <c r="AR340" s="310"/>
      <c r="AS340" s="310"/>
      <c r="AT340" s="310"/>
      <c r="AU340" s="310"/>
      <c r="AV340" s="544">
        <f t="shared" si="157"/>
        <v>0</v>
      </c>
      <c r="AW340" s="525"/>
      <c r="AX340" s="310"/>
      <c r="AY340" s="310"/>
      <c r="AZ340" s="310"/>
      <c r="BA340" s="310"/>
      <c r="BB340" s="310"/>
      <c r="BC340" s="310"/>
      <c r="BD340" s="544">
        <f t="shared" si="154"/>
        <v>0</v>
      </c>
      <c r="BE340" s="525"/>
      <c r="BF340" s="310"/>
      <c r="BG340" s="310"/>
      <c r="BH340" s="310"/>
      <c r="BI340" s="310"/>
      <c r="BJ340" s="310"/>
      <c r="BK340" s="310"/>
      <c r="BL340" s="544">
        <f t="shared" si="155"/>
        <v>0</v>
      </c>
      <c r="BM340" s="525"/>
      <c r="BN340" s="310"/>
      <c r="BO340" s="310"/>
      <c r="BP340" s="310"/>
      <c r="BQ340" s="310"/>
      <c r="BR340" s="310"/>
      <c r="BS340" s="310"/>
      <c r="BT340" s="544">
        <f t="shared" si="156"/>
        <v>0</v>
      </c>
      <c r="BU340" s="556"/>
      <c r="BV340" s="663">
        <f t="shared" si="158"/>
        <v>0</v>
      </c>
      <c r="BW340" s="674">
        <f t="shared" si="159"/>
        <v>0</v>
      </c>
      <c r="BX340" s="674" t="e">
        <f t="shared" si="160"/>
        <v>#DIV/0!</v>
      </c>
      <c r="BY340" s="674">
        <f t="shared" si="161"/>
        <v>0</v>
      </c>
      <c r="BZ340" s="675" t="e">
        <f t="shared" si="162"/>
        <v>#DIV/0!</v>
      </c>
      <c r="CA340" s="675">
        <f t="shared" si="163"/>
        <v>0</v>
      </c>
    </row>
    <row r="341" spans="1:79" ht="49.5" hidden="1" customHeight="1" x14ac:dyDescent="0.25">
      <c r="A341" s="298" t="s">
        <v>1002</v>
      </c>
      <c r="B341" s="299" t="str">
        <f>'PLAN INDICATIVO'!B336</f>
        <v>Transporte</v>
      </c>
      <c r="C341" s="1547"/>
      <c r="D341" s="1551"/>
      <c r="E341" s="1551"/>
      <c r="F341" s="1551"/>
      <c r="G341" s="1551"/>
      <c r="H341" s="1551"/>
      <c r="I341" s="300">
        <f>'PLAN INDICATIVO'!I336</f>
        <v>0</v>
      </c>
      <c r="J341" s="300">
        <f>'PLAN INDICATIVO'!J336</f>
        <v>0</v>
      </c>
      <c r="K341" s="1425" t="str">
        <f>'PLAN INDICATIVO'!K336</f>
        <v>A.9.1.9</v>
      </c>
      <c r="L341" s="301" t="str">
        <f>'PLAN INDICATIVO'!L336</f>
        <v>11. Ciudades y comunidades sostenibles</v>
      </c>
      <c r="M341" s="301" t="str">
        <f>'PLAN INDICATIVO'!M336</f>
        <v xml:space="preserve">Secretaría de Tránsito </v>
      </c>
      <c r="N341" s="1425" t="str">
        <f>'PLAN INDICATIVO'!N336</f>
        <v>LUIS ALFREDO GOMEZ CLAVIJO</v>
      </c>
      <c r="O341" s="1425" t="str">
        <f>'PLAN INDICATIVO'!O336</f>
        <v>Incremento</v>
      </c>
      <c r="P341" s="856" t="str">
        <f>'PLAN INDICATIVO'!P336</f>
        <v>Realizar 700 operativos en el sector urbano y rural para el control del cumplimiento de las normas de tránsito en el cuatrienio</v>
      </c>
      <c r="Q341" s="302" t="str">
        <f>'PLAN INDICATIVO'!Q336</f>
        <v>No. Operativos realizado</v>
      </c>
      <c r="R341" s="303">
        <f>'PLAN INDICATIVO'!R336</f>
        <v>2015</v>
      </c>
      <c r="S341" s="304">
        <v>0</v>
      </c>
      <c r="T341" s="498">
        <v>700</v>
      </c>
      <c r="U341" s="303">
        <v>100</v>
      </c>
      <c r="V341" s="687">
        <v>20000000</v>
      </c>
      <c r="W341" s="572">
        <v>200</v>
      </c>
      <c r="X341" s="687">
        <v>10000000</v>
      </c>
      <c r="Y341" s="572">
        <v>200</v>
      </c>
      <c r="Z341" s="687">
        <v>50000000</v>
      </c>
      <c r="AA341" s="572">
        <v>200</v>
      </c>
      <c r="AB341" s="687">
        <v>20000000</v>
      </c>
      <c r="AC341" s="665">
        <v>448</v>
      </c>
      <c r="AD341" s="665"/>
      <c r="AE341" s="665"/>
      <c r="AF341" s="665"/>
      <c r="AG341" s="306" t="s">
        <v>2831</v>
      </c>
      <c r="AH341" s="307" t="s">
        <v>2925</v>
      </c>
      <c r="AI341" s="335">
        <v>36923</v>
      </c>
      <c r="AJ341" s="335">
        <v>11658</v>
      </c>
      <c r="AK341" s="308"/>
      <c r="AL341" s="308"/>
      <c r="AM341" s="267" t="s">
        <v>2598</v>
      </c>
      <c r="AN341" s="507" t="s">
        <v>2831</v>
      </c>
      <c r="AO341" s="525">
        <v>90514000</v>
      </c>
      <c r="AP341" s="310"/>
      <c r="AQ341" s="310"/>
      <c r="AR341" s="310"/>
      <c r="AS341" s="310"/>
      <c r="AT341" s="310"/>
      <c r="AU341" s="310"/>
      <c r="AV341" s="544">
        <f t="shared" si="157"/>
        <v>90514000</v>
      </c>
      <c r="AW341" s="525"/>
      <c r="AX341" s="310"/>
      <c r="AY341" s="310"/>
      <c r="AZ341" s="310"/>
      <c r="BA341" s="310"/>
      <c r="BB341" s="310"/>
      <c r="BC341" s="310"/>
      <c r="BD341" s="544">
        <f t="shared" si="154"/>
        <v>0</v>
      </c>
      <c r="BE341" s="525"/>
      <c r="BF341" s="310"/>
      <c r="BG341" s="310"/>
      <c r="BH341" s="310"/>
      <c r="BI341" s="310"/>
      <c r="BJ341" s="310"/>
      <c r="BK341" s="310"/>
      <c r="BL341" s="544">
        <f t="shared" si="155"/>
        <v>0</v>
      </c>
      <c r="BM341" s="525"/>
      <c r="BN341" s="310"/>
      <c r="BO341" s="310"/>
      <c r="BP341" s="310"/>
      <c r="BQ341" s="310"/>
      <c r="BR341" s="310"/>
      <c r="BS341" s="310"/>
      <c r="BT341" s="544">
        <f t="shared" si="156"/>
        <v>0</v>
      </c>
      <c r="BU341" s="556"/>
      <c r="BV341" s="663">
        <f t="shared" si="158"/>
        <v>448</v>
      </c>
      <c r="BW341" s="674">
        <f t="shared" si="159"/>
        <v>0.64</v>
      </c>
      <c r="BX341" s="674">
        <f t="shared" si="160"/>
        <v>4.4800000000000004</v>
      </c>
      <c r="BY341" s="674">
        <f t="shared" si="161"/>
        <v>0</v>
      </c>
      <c r="BZ341" s="675">
        <f t="shared" si="162"/>
        <v>0</v>
      </c>
      <c r="CA341" s="675">
        <f t="shared" si="163"/>
        <v>0</v>
      </c>
    </row>
    <row r="342" spans="1:79" ht="39" hidden="1" customHeight="1" x14ac:dyDescent="0.25">
      <c r="A342" s="298" t="s">
        <v>1002</v>
      </c>
      <c r="B342" s="299" t="str">
        <f>'PLAN INDICATIVO'!B337</f>
        <v>Transporte</v>
      </c>
      <c r="C342" s="1547"/>
      <c r="D342" s="1551"/>
      <c r="E342" s="1551"/>
      <c r="F342" s="1551"/>
      <c r="G342" s="1551"/>
      <c r="H342" s="1551"/>
      <c r="I342" s="300">
        <f>'PLAN INDICATIVO'!I337</f>
        <v>0</v>
      </c>
      <c r="J342" s="300">
        <f>'PLAN INDICATIVO'!J337</f>
        <v>0</v>
      </c>
      <c r="K342" s="1425" t="str">
        <f>'PLAN INDICATIVO'!K337</f>
        <v>A.9.1.10</v>
      </c>
      <c r="L342" s="301" t="str">
        <f>'PLAN INDICATIVO'!L337</f>
        <v>11. Ciudades y comunidades sostenibles</v>
      </c>
      <c r="M342" s="301" t="str">
        <f>'PLAN INDICATIVO'!M337</f>
        <v xml:space="preserve">Secretaría de Tránsito </v>
      </c>
      <c r="N342" s="1425" t="str">
        <f>'PLAN INDICATIVO'!N337</f>
        <v>LUIS ALFREDO GOMEZ CLAVIJO</v>
      </c>
      <c r="O342" s="1425" t="str">
        <f>'PLAN INDICATIVO'!O337</f>
        <v>Mantenimiento</v>
      </c>
      <c r="P342" s="16" t="str">
        <f>'PLAN INDICATIVO'!P337</f>
        <v>Contratar 17 nuevos agentes de tránsito durante el cuatrienio</v>
      </c>
      <c r="Q342" s="302" t="str">
        <f>'PLAN INDICATIVO'!Q337</f>
        <v>No. de Agentes contratados</v>
      </c>
      <c r="R342" s="303">
        <f>'PLAN INDICATIVO'!R337</f>
        <v>2015</v>
      </c>
      <c r="S342" s="304">
        <v>0</v>
      </c>
      <c r="T342" s="498">
        <v>17</v>
      </c>
      <c r="U342" s="1463">
        <v>17</v>
      </c>
      <c r="V342" s="687">
        <v>100000000</v>
      </c>
      <c r="W342" s="715">
        <v>17</v>
      </c>
      <c r="X342" s="687">
        <v>30000000</v>
      </c>
      <c r="Y342" s="715">
        <v>17</v>
      </c>
      <c r="Z342" s="687">
        <v>130000000</v>
      </c>
      <c r="AA342" s="715">
        <v>17</v>
      </c>
      <c r="AB342" s="687">
        <v>60000000</v>
      </c>
      <c r="AC342" s="665">
        <v>17</v>
      </c>
      <c r="AD342" s="665"/>
      <c r="AE342" s="665"/>
      <c r="AF342" s="665"/>
      <c r="AG342" s="306" t="s">
        <v>2596</v>
      </c>
      <c r="AH342" s="307" t="s">
        <v>2926</v>
      </c>
      <c r="AI342" s="335">
        <v>36951</v>
      </c>
      <c r="AJ342" s="335">
        <v>11658</v>
      </c>
      <c r="AK342" s="308"/>
      <c r="AL342" s="308"/>
      <c r="AM342" s="267" t="s">
        <v>2598</v>
      </c>
      <c r="AN342" s="507" t="s">
        <v>1942</v>
      </c>
      <c r="AO342" s="525">
        <v>100000000</v>
      </c>
      <c r="AP342" s="310"/>
      <c r="AQ342" s="310"/>
      <c r="AR342" s="310"/>
      <c r="AS342" s="310"/>
      <c r="AT342" s="310"/>
      <c r="AU342" s="310"/>
      <c r="AV342" s="544">
        <f t="shared" si="157"/>
        <v>100000000</v>
      </c>
      <c r="AW342" s="525"/>
      <c r="AX342" s="310"/>
      <c r="AY342" s="310"/>
      <c r="AZ342" s="310"/>
      <c r="BA342" s="310"/>
      <c r="BB342" s="310"/>
      <c r="BC342" s="310"/>
      <c r="BD342" s="544">
        <f t="shared" si="154"/>
        <v>0</v>
      </c>
      <c r="BE342" s="525"/>
      <c r="BF342" s="310"/>
      <c r="BG342" s="310"/>
      <c r="BH342" s="310"/>
      <c r="BI342" s="310"/>
      <c r="BJ342" s="310"/>
      <c r="BK342" s="310"/>
      <c r="BL342" s="544">
        <f t="shared" si="155"/>
        <v>0</v>
      </c>
      <c r="BM342" s="525"/>
      <c r="BN342" s="310"/>
      <c r="BO342" s="310"/>
      <c r="BP342" s="310"/>
      <c r="BQ342" s="310"/>
      <c r="BR342" s="310"/>
      <c r="BS342" s="310"/>
      <c r="BT342" s="544">
        <f t="shared" si="156"/>
        <v>0</v>
      </c>
      <c r="BU342" s="556"/>
      <c r="BV342" s="663">
        <f t="shared" si="158"/>
        <v>17</v>
      </c>
      <c r="BW342" s="674">
        <f t="shared" si="159"/>
        <v>1</v>
      </c>
      <c r="BX342" s="674">
        <f t="shared" si="160"/>
        <v>1</v>
      </c>
      <c r="BY342" s="674">
        <f t="shared" si="161"/>
        <v>0</v>
      </c>
      <c r="BZ342" s="675">
        <f t="shared" si="162"/>
        <v>0</v>
      </c>
      <c r="CA342" s="675">
        <f t="shared" si="163"/>
        <v>0</v>
      </c>
    </row>
    <row r="343" spans="1:79" ht="91.5" hidden="1" customHeight="1" x14ac:dyDescent="0.25">
      <c r="A343" s="298" t="s">
        <v>1002</v>
      </c>
      <c r="B343" s="299" t="str">
        <f>'PLAN INDICATIVO'!B338</f>
        <v>Transporte</v>
      </c>
      <c r="C343" s="1547"/>
      <c r="D343" s="1551"/>
      <c r="E343" s="1551"/>
      <c r="F343" s="1551"/>
      <c r="G343" s="1551"/>
      <c r="H343" s="1551"/>
      <c r="I343" s="300">
        <f>'PLAN INDICATIVO'!I338</f>
        <v>0</v>
      </c>
      <c r="J343" s="300">
        <f>'PLAN INDICATIVO'!J338</f>
        <v>0</v>
      </c>
      <c r="K343" s="1425" t="str">
        <f>'PLAN INDICATIVO'!K338</f>
        <v>A.9.1.11</v>
      </c>
      <c r="L343" s="301" t="str">
        <f>'PLAN INDICATIVO'!L338</f>
        <v>11. Ciudades y comunidades sostenibles</v>
      </c>
      <c r="M343" s="301" t="str">
        <f>'PLAN INDICATIVO'!M338</f>
        <v xml:space="preserve">Secretaría de Tránsito </v>
      </c>
      <c r="N343" s="1425" t="str">
        <f>'PLAN INDICATIVO'!N338</f>
        <v>LUIS ALFREDO GOMEZ CLAVIJO</v>
      </c>
      <c r="O343" s="1425" t="str">
        <f>'PLAN INDICATIVO'!O338</f>
        <v>Mantenimiento</v>
      </c>
      <c r="P343" s="16" t="str">
        <f>'PLAN INDICATIVO'!P338</f>
        <v>Implementar el plan maestro de movilidad y seguridad vial cada año</v>
      </c>
      <c r="Q343" s="302" t="str">
        <f>'PLAN INDICATIVO'!Q338</f>
        <v xml:space="preserve">Plan maestro de movilidad implementado por año. </v>
      </c>
      <c r="R343" s="303">
        <f>'PLAN INDICATIVO'!R338</f>
        <v>2015</v>
      </c>
      <c r="S343" s="304">
        <v>1</v>
      </c>
      <c r="T343" s="498">
        <v>1</v>
      </c>
      <c r="U343" s="303">
        <v>1</v>
      </c>
      <c r="V343" s="687">
        <v>10000000</v>
      </c>
      <c r="W343" s="572">
        <v>1</v>
      </c>
      <c r="X343" s="687">
        <v>10000000</v>
      </c>
      <c r="Y343" s="572">
        <v>1</v>
      </c>
      <c r="Z343" s="687">
        <v>10000000</v>
      </c>
      <c r="AA343" s="572">
        <v>1</v>
      </c>
      <c r="AB343" s="687">
        <v>10000000</v>
      </c>
      <c r="AC343" s="665">
        <v>1</v>
      </c>
      <c r="AD343" s="665"/>
      <c r="AE343" s="665"/>
      <c r="AF343" s="665"/>
      <c r="AG343" s="306" t="s">
        <v>2596</v>
      </c>
      <c r="AH343" s="307" t="s">
        <v>2927</v>
      </c>
      <c r="AI343" s="335">
        <v>42005</v>
      </c>
      <c r="AJ343" s="308"/>
      <c r="AK343" s="308"/>
      <c r="AL343" s="308"/>
      <c r="AM343" s="267" t="s">
        <v>2598</v>
      </c>
      <c r="AN343" s="507" t="s">
        <v>2831</v>
      </c>
      <c r="AO343" s="525">
        <v>18500000</v>
      </c>
      <c r="AP343" s="310"/>
      <c r="AQ343" s="310"/>
      <c r="AR343" s="310"/>
      <c r="AS343" s="310"/>
      <c r="AT343" s="310"/>
      <c r="AU343" s="310"/>
      <c r="AV343" s="544">
        <f t="shared" si="157"/>
        <v>18500000</v>
      </c>
      <c r="AW343" s="525"/>
      <c r="AX343" s="310"/>
      <c r="AY343" s="310"/>
      <c r="AZ343" s="310"/>
      <c r="BA343" s="310"/>
      <c r="BB343" s="310"/>
      <c r="BC343" s="310"/>
      <c r="BD343" s="544">
        <f t="shared" si="154"/>
        <v>0</v>
      </c>
      <c r="BE343" s="525"/>
      <c r="BF343" s="310"/>
      <c r="BG343" s="310"/>
      <c r="BH343" s="310"/>
      <c r="BI343" s="310"/>
      <c r="BJ343" s="310"/>
      <c r="BK343" s="310"/>
      <c r="BL343" s="544">
        <f t="shared" si="155"/>
        <v>0</v>
      </c>
      <c r="BM343" s="525"/>
      <c r="BN343" s="310"/>
      <c r="BO343" s="310"/>
      <c r="BP343" s="310"/>
      <c r="BQ343" s="310"/>
      <c r="BR343" s="310"/>
      <c r="BS343" s="310"/>
      <c r="BT343" s="544">
        <f t="shared" si="156"/>
        <v>0</v>
      </c>
      <c r="BU343" s="556"/>
      <c r="BV343" s="663">
        <f t="shared" si="158"/>
        <v>1</v>
      </c>
      <c r="BW343" s="674">
        <f t="shared" si="159"/>
        <v>1</v>
      </c>
      <c r="BX343" s="674">
        <f t="shared" si="160"/>
        <v>1</v>
      </c>
      <c r="BY343" s="674">
        <f t="shared" si="161"/>
        <v>0</v>
      </c>
      <c r="BZ343" s="675">
        <f t="shared" si="162"/>
        <v>0</v>
      </c>
      <c r="CA343" s="675">
        <f t="shared" si="163"/>
        <v>0</v>
      </c>
    </row>
    <row r="344" spans="1:79" s="865" customFormat="1" ht="29.25" hidden="1" customHeight="1" x14ac:dyDescent="0.25">
      <c r="A344" s="858"/>
      <c r="B344" s="24"/>
      <c r="C344" s="1547"/>
      <c r="D344" s="1551"/>
      <c r="E344" s="1551"/>
      <c r="F344" s="1551"/>
      <c r="G344" s="1551"/>
      <c r="H344" s="1551"/>
      <c r="I344" s="859"/>
      <c r="J344" s="859"/>
      <c r="K344" s="17"/>
      <c r="L344" s="57"/>
      <c r="M344" s="57"/>
      <c r="N344" s="17"/>
      <c r="O344" s="17"/>
      <c r="P344" s="25"/>
      <c r="Q344" s="25"/>
      <c r="R344" s="17"/>
      <c r="S344" s="270"/>
      <c r="T344" s="66"/>
      <c r="U344" s="17"/>
      <c r="V344" s="698"/>
      <c r="W344" s="66"/>
      <c r="X344" s="698"/>
      <c r="Y344" s="66"/>
      <c r="Z344" s="698"/>
      <c r="AA344" s="66"/>
      <c r="AB344" s="698"/>
      <c r="AC344" s="271"/>
      <c r="AD344" s="271"/>
      <c r="AE344" s="271"/>
      <c r="AF344" s="271"/>
      <c r="AG344" s="272"/>
      <c r="AH344" s="272"/>
      <c r="AI344" s="860"/>
      <c r="AJ344" s="271"/>
      <c r="AK344" s="271"/>
      <c r="AL344" s="271"/>
      <c r="AM344" s="267"/>
      <c r="AN344" s="861"/>
      <c r="AO344" s="619"/>
      <c r="AP344" s="862"/>
      <c r="AQ344" s="862"/>
      <c r="AR344" s="862"/>
      <c r="AS344" s="862"/>
      <c r="AT344" s="862"/>
      <c r="AU344" s="862"/>
      <c r="AV344" s="617"/>
      <c r="AW344" s="619"/>
      <c r="AX344" s="862"/>
      <c r="AY344" s="862"/>
      <c r="AZ344" s="862"/>
      <c r="BA344" s="862"/>
      <c r="BB344" s="862"/>
      <c r="BC344" s="862"/>
      <c r="BD344" s="617"/>
      <c r="BE344" s="619"/>
      <c r="BF344" s="862"/>
      <c r="BG344" s="862"/>
      <c r="BH344" s="862"/>
      <c r="BI344" s="862"/>
      <c r="BJ344" s="862"/>
      <c r="BK344" s="862"/>
      <c r="BL344" s="617"/>
      <c r="BM344" s="619"/>
      <c r="BN344" s="862"/>
      <c r="BO344" s="862"/>
      <c r="BP344" s="862"/>
      <c r="BQ344" s="862"/>
      <c r="BR344" s="862"/>
      <c r="BS344" s="862"/>
      <c r="BT344" s="617"/>
      <c r="BU344" s="226"/>
      <c r="BV344" s="863"/>
      <c r="BW344" s="864"/>
      <c r="BX344" s="864"/>
      <c r="BY344" s="864"/>
      <c r="BZ344" s="1450"/>
      <c r="CA344" s="1450"/>
    </row>
    <row r="345" spans="1:79" ht="92.25" hidden="1" customHeight="1" x14ac:dyDescent="0.25">
      <c r="A345" s="298" t="s">
        <v>1002</v>
      </c>
      <c r="B345" s="299" t="str">
        <f>'PLAN INDICATIVO'!B339</f>
        <v>Transporte</v>
      </c>
      <c r="C345" s="1547"/>
      <c r="D345" s="1551"/>
      <c r="E345" s="1551"/>
      <c r="F345" s="1551"/>
      <c r="G345" s="1551"/>
      <c r="H345" s="1551"/>
      <c r="I345" s="300">
        <f>'PLAN INDICATIVO'!I339</f>
        <v>0</v>
      </c>
      <c r="J345" s="300">
        <f>'PLAN INDICATIVO'!J339</f>
        <v>0</v>
      </c>
      <c r="K345" s="1425" t="str">
        <f>'PLAN INDICATIVO'!K339</f>
        <v>A.9.1.12</v>
      </c>
      <c r="L345" s="301" t="str">
        <f>'PLAN INDICATIVO'!L339</f>
        <v>11. Ciudades y comunidades sostenibles</v>
      </c>
      <c r="M345" s="301" t="str">
        <f>'PLAN INDICATIVO'!M339</f>
        <v>Secretaría de Obras Civiles</v>
      </c>
      <c r="N345" s="1425" t="s">
        <v>2928</v>
      </c>
      <c r="O345" s="1425" t="str">
        <f>'PLAN INDICATIVO'!O339</f>
        <v>Incremento</v>
      </c>
      <c r="P345" s="16" t="str">
        <f>'PLAN INDICATIVO'!P339</f>
        <v>Realizar 4 mantenimientos correctivos o preventivos a maquinaria pesada del municipio durante el cuatrienio.</v>
      </c>
      <c r="Q345" s="302" t="str">
        <f>'PLAN INDICATIVO'!Q339</f>
        <v xml:space="preserve">No. de mantenimientos realizados </v>
      </c>
      <c r="R345" s="303">
        <f>'PLAN INDICATIVO'!R339</f>
        <v>2015</v>
      </c>
      <c r="S345" s="304">
        <v>1</v>
      </c>
      <c r="T345" s="498">
        <v>4</v>
      </c>
      <c r="U345" s="303">
        <v>1</v>
      </c>
      <c r="V345" s="687">
        <v>30000000</v>
      </c>
      <c r="W345" s="572">
        <v>1</v>
      </c>
      <c r="X345" s="687">
        <v>60000000</v>
      </c>
      <c r="Y345" s="572">
        <v>1</v>
      </c>
      <c r="Z345" s="687">
        <v>30000000</v>
      </c>
      <c r="AA345" s="572">
        <v>1</v>
      </c>
      <c r="AB345" s="687">
        <v>30000000</v>
      </c>
      <c r="AC345" s="665">
        <v>1</v>
      </c>
      <c r="AD345" s="665"/>
      <c r="AE345" s="665"/>
      <c r="AF345" s="665"/>
      <c r="AG345" s="306" t="s">
        <v>2929</v>
      </c>
      <c r="AH345" s="307" t="s">
        <v>2930</v>
      </c>
      <c r="AI345" s="335">
        <v>42186</v>
      </c>
      <c r="AJ345" s="335">
        <v>42339</v>
      </c>
      <c r="AK345" s="308"/>
      <c r="AL345" s="308"/>
      <c r="AM345" s="267" t="s">
        <v>2598</v>
      </c>
      <c r="AN345" s="507" t="s">
        <v>2931</v>
      </c>
      <c r="AO345" s="525">
        <v>54942000</v>
      </c>
      <c r="AP345" s="310"/>
      <c r="AQ345" s="380"/>
      <c r="AR345" s="310"/>
      <c r="AS345" s="310"/>
      <c r="AT345" s="310"/>
      <c r="AU345" s="310"/>
      <c r="AV345" s="544">
        <f t="shared" si="157"/>
        <v>54942000</v>
      </c>
      <c r="AW345" s="525"/>
      <c r="AX345" s="310"/>
      <c r="AY345" s="380"/>
      <c r="AZ345" s="310"/>
      <c r="BA345" s="310"/>
      <c r="BB345" s="310"/>
      <c r="BC345" s="310"/>
      <c r="BD345" s="544">
        <f t="shared" si="154"/>
        <v>0</v>
      </c>
      <c r="BE345" s="525"/>
      <c r="BF345" s="310"/>
      <c r="BG345" s="380"/>
      <c r="BH345" s="310"/>
      <c r="BI345" s="310"/>
      <c r="BJ345" s="310"/>
      <c r="BK345" s="310"/>
      <c r="BL345" s="544">
        <f t="shared" si="155"/>
        <v>0</v>
      </c>
      <c r="BM345" s="525"/>
      <c r="BN345" s="310"/>
      <c r="BO345" s="380"/>
      <c r="BP345" s="310"/>
      <c r="BQ345" s="310"/>
      <c r="BR345" s="310"/>
      <c r="BS345" s="310"/>
      <c r="BT345" s="544">
        <f t="shared" si="156"/>
        <v>0</v>
      </c>
      <c r="BU345" s="556"/>
      <c r="BV345" s="663">
        <f t="shared" si="158"/>
        <v>1</v>
      </c>
      <c r="BW345" s="674">
        <f t="shared" si="159"/>
        <v>0.25</v>
      </c>
      <c r="BX345" s="674">
        <f t="shared" si="160"/>
        <v>1</v>
      </c>
      <c r="BY345" s="674">
        <f t="shared" si="161"/>
        <v>0</v>
      </c>
      <c r="BZ345" s="675">
        <f t="shared" si="162"/>
        <v>0</v>
      </c>
      <c r="CA345" s="675">
        <f t="shared" si="163"/>
        <v>0</v>
      </c>
    </row>
    <row r="346" spans="1:79" ht="81" hidden="1" customHeight="1" x14ac:dyDescent="0.25">
      <c r="A346" s="298" t="s">
        <v>1002</v>
      </c>
      <c r="B346" s="299" t="str">
        <f>'PLAN INDICATIVO'!B340</f>
        <v>Transporte</v>
      </c>
      <c r="C346" s="1547"/>
      <c r="D346" s="1551"/>
      <c r="E346" s="1551"/>
      <c r="F346" s="1551"/>
      <c r="G346" s="1551"/>
      <c r="H346" s="1551"/>
      <c r="I346" s="1425" t="str">
        <f>'PLAN INDICATIVO'!I340</f>
        <v>SI</v>
      </c>
      <c r="J346" s="1425">
        <f>'PLAN INDICATIVO'!J340</f>
        <v>0</v>
      </c>
      <c r="K346" s="1425" t="str">
        <f>'PLAN INDICATIVO'!K340</f>
        <v>A.9.1.13</v>
      </c>
      <c r="L346" s="301" t="str">
        <f>'PLAN INDICATIVO'!L340</f>
        <v>11. Ciudades y comunidades sostenibles</v>
      </c>
      <c r="M346" s="301" t="str">
        <f>'PLAN INDICATIVO'!M340</f>
        <v>Secretaría de Obras Civiles</v>
      </c>
      <c r="N346" s="1425" t="s">
        <v>2928</v>
      </c>
      <c r="O346" s="1425" t="str">
        <f>'PLAN INDICATIVO'!O340</f>
        <v>Incremento</v>
      </c>
      <c r="P346" s="16" t="str">
        <f>'PLAN INDICATIVO'!P340</f>
        <v>Adquirir un kit de maquinaria para hacer el mantenimiento a la red vial, durante el cuatrienio.</v>
      </c>
      <c r="Q346" s="302" t="str">
        <f>'PLAN INDICATIVO'!Q340</f>
        <v>No. De Kit de maquinaria adquirido</v>
      </c>
      <c r="R346" s="303">
        <f>'PLAN INDICATIVO'!R340</f>
        <v>2015</v>
      </c>
      <c r="S346" s="304">
        <v>0</v>
      </c>
      <c r="T346" s="498">
        <v>1</v>
      </c>
      <c r="U346" s="303">
        <v>0</v>
      </c>
      <c r="V346" s="687"/>
      <c r="W346" s="572">
        <v>1</v>
      </c>
      <c r="X346" s="687">
        <v>1000000000</v>
      </c>
      <c r="Y346" s="572">
        <v>0</v>
      </c>
      <c r="Z346" s="687"/>
      <c r="AA346" s="572">
        <v>0</v>
      </c>
      <c r="AB346" s="687"/>
      <c r="AC346" s="665"/>
      <c r="AD346" s="665"/>
      <c r="AE346" s="665"/>
      <c r="AF346" s="665"/>
      <c r="AG346" s="266"/>
      <c r="AH346" s="307" t="s">
        <v>2932</v>
      </c>
      <c r="AI346" s="308"/>
      <c r="AJ346" s="308"/>
      <c r="AK346" s="308"/>
      <c r="AL346" s="308"/>
      <c r="AM346" s="267" t="s">
        <v>2594</v>
      </c>
      <c r="AN346" s="507"/>
      <c r="AO346" s="525">
        <v>0</v>
      </c>
      <c r="AP346" s="310"/>
      <c r="AQ346" s="310"/>
      <c r="AR346" s="310"/>
      <c r="AS346" s="310"/>
      <c r="AT346" s="310"/>
      <c r="AU346" s="310"/>
      <c r="AV346" s="544">
        <f t="shared" si="157"/>
        <v>0</v>
      </c>
      <c r="AW346" s="525"/>
      <c r="AX346" s="310"/>
      <c r="AY346" s="310"/>
      <c r="AZ346" s="310"/>
      <c r="BA346" s="310"/>
      <c r="BB346" s="310"/>
      <c r="BC346" s="310"/>
      <c r="BD346" s="544">
        <f t="shared" si="154"/>
        <v>0</v>
      </c>
      <c r="BE346" s="525"/>
      <c r="BF346" s="310"/>
      <c r="BG346" s="310"/>
      <c r="BH346" s="310"/>
      <c r="BI346" s="310"/>
      <c r="BJ346" s="310"/>
      <c r="BK346" s="310"/>
      <c r="BL346" s="544">
        <f t="shared" si="155"/>
        <v>0</v>
      </c>
      <c r="BM346" s="525"/>
      <c r="BN346" s="310"/>
      <c r="BO346" s="310"/>
      <c r="BP346" s="310"/>
      <c r="BQ346" s="310"/>
      <c r="BR346" s="310"/>
      <c r="BS346" s="310"/>
      <c r="BT346" s="544">
        <f t="shared" si="156"/>
        <v>0</v>
      </c>
      <c r="BU346" s="556"/>
      <c r="BV346" s="663">
        <f t="shared" si="158"/>
        <v>0</v>
      </c>
      <c r="BW346" s="674">
        <f t="shared" si="159"/>
        <v>0</v>
      </c>
      <c r="BX346" s="674" t="e">
        <f t="shared" si="160"/>
        <v>#DIV/0!</v>
      </c>
      <c r="BY346" s="674">
        <f t="shared" si="161"/>
        <v>0</v>
      </c>
      <c r="BZ346" s="675" t="e">
        <f t="shared" si="162"/>
        <v>#DIV/0!</v>
      </c>
      <c r="CA346" s="675" t="e">
        <f t="shared" si="163"/>
        <v>#DIV/0!</v>
      </c>
    </row>
    <row r="347" spans="1:79" ht="51" hidden="1" customHeight="1" x14ac:dyDescent="0.25">
      <c r="A347" s="298" t="s">
        <v>1002</v>
      </c>
      <c r="B347" s="299" t="str">
        <f>'PLAN INDICATIVO'!B341</f>
        <v>Transporte</v>
      </c>
      <c r="C347" s="1547"/>
      <c r="D347" s="1551"/>
      <c r="E347" s="1551"/>
      <c r="F347" s="1551"/>
      <c r="G347" s="1551"/>
      <c r="H347" s="1551"/>
      <c r="I347" s="1425" t="str">
        <f>'PLAN INDICATIVO'!I341</f>
        <v>SI</v>
      </c>
      <c r="J347" s="1425">
        <f>'PLAN INDICATIVO'!J341</f>
        <v>0</v>
      </c>
      <c r="K347" s="1425" t="str">
        <f>'PLAN INDICATIVO'!K341</f>
        <v>A.9.1.14</v>
      </c>
      <c r="L347" s="301" t="str">
        <f>'PLAN INDICATIVO'!L341</f>
        <v>11. Ciudades y comunidades sostenibles</v>
      </c>
      <c r="M347" s="301" t="str">
        <f>'PLAN INDICATIVO'!M341</f>
        <v>Secretaría de Obras Civiles</v>
      </c>
      <c r="N347" s="1425" t="s">
        <v>2933</v>
      </c>
      <c r="O347" s="1425" t="str">
        <f>'PLAN INDICATIVO'!O341</f>
        <v>Incremento</v>
      </c>
      <c r="P347" s="820" t="str">
        <f>'PLAN INDICATIVO'!P341</f>
        <v>Formular  de 1 diseño e ingeniería de detalle para la construcción de la vía circunvalar.</v>
      </c>
      <c r="Q347" s="302" t="str">
        <f>'PLAN INDICATIVO'!Q341</f>
        <v xml:space="preserve">No. De Estudios y diseños formulados </v>
      </c>
      <c r="R347" s="303">
        <f>'PLAN INDICATIVO'!R341</f>
        <v>2015</v>
      </c>
      <c r="S347" s="304">
        <v>0</v>
      </c>
      <c r="T347" s="498">
        <v>1</v>
      </c>
      <c r="U347" s="303">
        <v>0.5</v>
      </c>
      <c r="V347" s="687">
        <v>2800000</v>
      </c>
      <c r="W347" s="572">
        <v>0.5</v>
      </c>
      <c r="X347" s="687">
        <v>400000000</v>
      </c>
      <c r="Y347" s="572">
        <v>0</v>
      </c>
      <c r="Z347" s="687"/>
      <c r="AA347" s="572">
        <v>0</v>
      </c>
      <c r="AB347" s="687"/>
      <c r="AC347" s="857">
        <v>0.3</v>
      </c>
      <c r="AD347" s="665"/>
      <c r="AE347" s="665"/>
      <c r="AF347" s="665"/>
      <c r="AG347" s="306" t="s">
        <v>2934</v>
      </c>
      <c r="AH347" s="307" t="s">
        <v>2935</v>
      </c>
      <c r="AI347" s="335">
        <v>42186</v>
      </c>
      <c r="AJ347" s="335">
        <v>42339</v>
      </c>
      <c r="AK347" s="308"/>
      <c r="AL347" s="308"/>
      <c r="AM347" s="267" t="s">
        <v>2600</v>
      </c>
      <c r="AN347" s="507" t="s">
        <v>1938</v>
      </c>
      <c r="AO347" s="310">
        <v>2516</v>
      </c>
      <c r="AP347" s="310"/>
      <c r="AQ347" s="310"/>
      <c r="AR347" s="310"/>
      <c r="AS347" s="310"/>
      <c r="AT347" s="310"/>
      <c r="AU347" s="310"/>
      <c r="AV347" s="544">
        <v>2516000</v>
      </c>
      <c r="AW347" s="525"/>
      <c r="AX347" s="310"/>
      <c r="AY347" s="310"/>
      <c r="AZ347" s="310"/>
      <c r="BA347" s="310"/>
      <c r="BB347" s="310"/>
      <c r="BC347" s="310"/>
      <c r="BD347" s="544">
        <f t="shared" si="154"/>
        <v>0</v>
      </c>
      <c r="BE347" s="525"/>
      <c r="BF347" s="310"/>
      <c r="BG347" s="310"/>
      <c r="BH347" s="310"/>
      <c r="BI347" s="310"/>
      <c r="BJ347" s="310"/>
      <c r="BK347" s="310"/>
      <c r="BL347" s="544">
        <f t="shared" si="155"/>
        <v>0</v>
      </c>
      <c r="BM347" s="525"/>
      <c r="BN347" s="310"/>
      <c r="BO347" s="310"/>
      <c r="BP347" s="310"/>
      <c r="BQ347" s="310"/>
      <c r="BR347" s="310"/>
      <c r="BS347" s="310"/>
      <c r="BT347" s="544">
        <f t="shared" si="156"/>
        <v>0</v>
      </c>
      <c r="BU347" s="556"/>
      <c r="BV347" s="663">
        <f t="shared" si="158"/>
        <v>0.3</v>
      </c>
      <c r="BW347" s="674">
        <f t="shared" si="159"/>
        <v>0.3</v>
      </c>
      <c r="BX347" s="674">
        <f t="shared" si="160"/>
        <v>0.6</v>
      </c>
      <c r="BY347" s="674">
        <f t="shared" si="161"/>
        <v>0</v>
      </c>
      <c r="BZ347" s="675" t="e">
        <f t="shared" si="162"/>
        <v>#DIV/0!</v>
      </c>
      <c r="CA347" s="675" t="e">
        <f t="shared" si="163"/>
        <v>#DIV/0!</v>
      </c>
    </row>
    <row r="348" spans="1:79" ht="50.25" hidden="1" customHeight="1" x14ac:dyDescent="0.25">
      <c r="A348" s="298" t="s">
        <v>1002</v>
      </c>
      <c r="B348" s="299" t="str">
        <f>'PLAN INDICATIVO'!B342</f>
        <v>Transporte</v>
      </c>
      <c r="C348" s="1547"/>
      <c r="D348" s="1551"/>
      <c r="E348" s="1551"/>
      <c r="F348" s="1551"/>
      <c r="G348" s="1551"/>
      <c r="H348" s="1551"/>
      <c r="I348" s="1425" t="str">
        <f>'PLAN INDICATIVO'!I342</f>
        <v>SI</v>
      </c>
      <c r="J348" s="1425">
        <f>'PLAN INDICATIVO'!J342</f>
        <v>0</v>
      </c>
      <c r="K348" s="1425" t="str">
        <f>'PLAN INDICATIVO'!K342</f>
        <v>A.9.1.15</v>
      </c>
      <c r="L348" s="301" t="str">
        <f>'PLAN INDICATIVO'!L342</f>
        <v>11. Ciudades y comunidades sostenibles</v>
      </c>
      <c r="M348" s="301" t="str">
        <f>'PLAN INDICATIVO'!M342</f>
        <v>Secretaría de Obras Civiles</v>
      </c>
      <c r="N348" s="1425" t="s">
        <v>2933</v>
      </c>
      <c r="O348" s="1425" t="str">
        <f>'PLAN INDICATIVO'!O342</f>
        <v>Incremento</v>
      </c>
      <c r="P348" s="16" t="str">
        <f>'PLAN INDICATIVO'!P342</f>
        <v>Pavimentar 34.000 m2 de vías en el sector urbano y/o centros poblados, durante el cuatrienio.</v>
      </c>
      <c r="Q348" s="302" t="str">
        <f>'PLAN INDICATIVO'!Q342</f>
        <v>No. de m2 de vías pavimentados</v>
      </c>
      <c r="R348" s="303">
        <f>'PLAN INDICATIVO'!R342</f>
        <v>2015</v>
      </c>
      <c r="S348" s="304">
        <v>0</v>
      </c>
      <c r="T348" s="498">
        <v>34000</v>
      </c>
      <c r="U348" s="303">
        <v>7000</v>
      </c>
      <c r="V348" s="687">
        <v>758000000</v>
      </c>
      <c r="W348" s="572">
        <v>9000</v>
      </c>
      <c r="X348" s="687">
        <v>1064000000</v>
      </c>
      <c r="Y348" s="572">
        <v>9000</v>
      </c>
      <c r="Z348" s="687">
        <v>1100000000</v>
      </c>
      <c r="AA348" s="572">
        <v>9000</v>
      </c>
      <c r="AB348" s="687">
        <v>150000000</v>
      </c>
      <c r="AC348" s="665">
        <f>6403+4542.3+1602.3+6553.02</f>
        <v>19100.62</v>
      </c>
      <c r="AD348" s="665"/>
      <c r="AE348" s="665"/>
      <c r="AF348" s="665"/>
      <c r="AG348" s="306" t="s">
        <v>2936</v>
      </c>
      <c r="AH348" s="307" t="s">
        <v>2937</v>
      </c>
      <c r="AI348" s="335">
        <v>36982</v>
      </c>
      <c r="AJ348" s="335">
        <v>42339</v>
      </c>
      <c r="AK348" s="308"/>
      <c r="AL348" s="308"/>
      <c r="AM348" s="267" t="s">
        <v>2598</v>
      </c>
      <c r="AN348" s="507" t="s">
        <v>2938</v>
      </c>
      <c r="AO348" s="525"/>
      <c r="AP348" s="310"/>
      <c r="AQ348" s="310"/>
      <c r="AR348" s="310">
        <v>159074000</v>
      </c>
      <c r="AS348" s="310"/>
      <c r="AT348" s="310"/>
      <c r="AU348" s="310"/>
      <c r="AV348" s="544">
        <f t="shared" si="157"/>
        <v>159074000</v>
      </c>
      <c r="AW348" s="525"/>
      <c r="AX348" s="310"/>
      <c r="AY348" s="310"/>
      <c r="AZ348" s="310"/>
      <c r="BA348" s="310"/>
      <c r="BB348" s="310"/>
      <c r="BC348" s="310"/>
      <c r="BD348" s="544">
        <f t="shared" si="154"/>
        <v>0</v>
      </c>
      <c r="BE348" s="525"/>
      <c r="BF348" s="310"/>
      <c r="BG348" s="310"/>
      <c r="BH348" s="310"/>
      <c r="BI348" s="310"/>
      <c r="BJ348" s="310"/>
      <c r="BK348" s="310"/>
      <c r="BL348" s="544">
        <f t="shared" si="155"/>
        <v>0</v>
      </c>
      <c r="BM348" s="525"/>
      <c r="BN348" s="310"/>
      <c r="BO348" s="310"/>
      <c r="BP348" s="310"/>
      <c r="BQ348" s="310"/>
      <c r="BR348" s="310"/>
      <c r="BS348" s="310"/>
      <c r="BT348" s="544">
        <f t="shared" si="156"/>
        <v>0</v>
      </c>
      <c r="BU348" s="556"/>
      <c r="BV348" s="663">
        <f t="shared" si="158"/>
        <v>19100.62</v>
      </c>
      <c r="BW348" s="674">
        <f t="shared" si="159"/>
        <v>0.56178294117647054</v>
      </c>
      <c r="BX348" s="674">
        <f t="shared" si="160"/>
        <v>2.7286599999999996</v>
      </c>
      <c r="BY348" s="674">
        <f t="shared" si="161"/>
        <v>0</v>
      </c>
      <c r="BZ348" s="675">
        <f t="shared" si="162"/>
        <v>0</v>
      </c>
      <c r="CA348" s="675">
        <f t="shared" si="163"/>
        <v>0</v>
      </c>
    </row>
    <row r="349" spans="1:79" ht="54" hidden="1" customHeight="1" x14ac:dyDescent="0.25">
      <c r="A349" s="298" t="s">
        <v>1002</v>
      </c>
      <c r="B349" s="299" t="str">
        <f>'PLAN INDICATIVO'!B343</f>
        <v>Transporte</v>
      </c>
      <c r="C349" s="1547"/>
      <c r="D349" s="1551"/>
      <c r="E349" s="1551"/>
      <c r="F349" s="1551"/>
      <c r="G349" s="1551"/>
      <c r="H349" s="1551"/>
      <c r="I349" s="1425" t="str">
        <f>'PLAN INDICATIVO'!I343</f>
        <v>SI</v>
      </c>
      <c r="J349" s="1425">
        <f>'PLAN INDICATIVO'!J343</f>
        <v>0</v>
      </c>
      <c r="K349" s="1425" t="str">
        <f>'PLAN INDICATIVO'!K343</f>
        <v>A.9.1.16</v>
      </c>
      <c r="L349" s="301" t="str">
        <f>'PLAN INDICATIVO'!L343</f>
        <v>11. Ciudades y comunidades sostenibles</v>
      </c>
      <c r="M349" s="301" t="str">
        <f>'PLAN INDICATIVO'!M343</f>
        <v>Secretaría de Obras Civiles</v>
      </c>
      <c r="N349" s="1425" t="s">
        <v>2933</v>
      </c>
      <c r="O349" s="1425" t="str">
        <f>'PLAN INDICATIVO'!O343</f>
        <v>Incremento</v>
      </c>
      <c r="P349" s="16" t="str">
        <f>'PLAN INDICATIVO'!P343</f>
        <v>Construir 1200 ml de andenes en el sector urbano y/o los centros poblados, durante el cuatrienio.</v>
      </c>
      <c r="Q349" s="302" t="str">
        <f>'PLAN INDICATIVO'!Q343</f>
        <v>No. de metros lineales de andenes construidos</v>
      </c>
      <c r="R349" s="303">
        <f>'PLAN INDICATIVO'!R343</f>
        <v>2015</v>
      </c>
      <c r="S349" s="304">
        <v>0</v>
      </c>
      <c r="T349" s="498">
        <v>1200</v>
      </c>
      <c r="U349" s="303">
        <v>400</v>
      </c>
      <c r="V349" s="687">
        <v>15000000</v>
      </c>
      <c r="W349" s="572">
        <v>400</v>
      </c>
      <c r="X349" s="687">
        <v>75000000</v>
      </c>
      <c r="Y349" s="572">
        <v>400</v>
      </c>
      <c r="Z349" s="687">
        <v>15000000</v>
      </c>
      <c r="AA349" s="572">
        <v>400</v>
      </c>
      <c r="AB349" s="687">
        <v>50000000</v>
      </c>
      <c r="AC349" s="665">
        <f>104+600</f>
        <v>704</v>
      </c>
      <c r="AD349" s="665"/>
      <c r="AE349" s="665"/>
      <c r="AF349" s="665"/>
      <c r="AG349" s="306" t="s">
        <v>2596</v>
      </c>
      <c r="AH349" s="307" t="s">
        <v>2939</v>
      </c>
      <c r="AI349" s="335">
        <v>42186</v>
      </c>
      <c r="AJ349" s="335">
        <v>42339</v>
      </c>
      <c r="AK349" s="308"/>
      <c r="AL349" s="308"/>
      <c r="AM349" s="267" t="s">
        <v>2598</v>
      </c>
      <c r="AN349" s="507">
        <v>230901</v>
      </c>
      <c r="AO349" s="525"/>
      <c r="AP349" s="310"/>
      <c r="AQ349" s="310"/>
      <c r="AR349" s="310">
        <v>35285000</v>
      </c>
      <c r="AS349" s="310"/>
      <c r="AT349" s="310"/>
      <c r="AU349" s="310"/>
      <c r="AV349" s="544">
        <f t="shared" si="157"/>
        <v>35285000</v>
      </c>
      <c r="AW349" s="525"/>
      <c r="AX349" s="310"/>
      <c r="AY349" s="310"/>
      <c r="AZ349" s="310"/>
      <c r="BA349" s="310"/>
      <c r="BB349" s="310"/>
      <c r="BC349" s="310"/>
      <c r="BD349" s="544">
        <f t="shared" si="154"/>
        <v>0</v>
      </c>
      <c r="BE349" s="525"/>
      <c r="BF349" s="310"/>
      <c r="BG349" s="310"/>
      <c r="BH349" s="310"/>
      <c r="BI349" s="310"/>
      <c r="BJ349" s="310"/>
      <c r="BK349" s="310"/>
      <c r="BL349" s="544">
        <f t="shared" si="155"/>
        <v>0</v>
      </c>
      <c r="BM349" s="525"/>
      <c r="BN349" s="310"/>
      <c r="BO349" s="310"/>
      <c r="BP349" s="310"/>
      <c r="BQ349" s="310"/>
      <c r="BR349" s="310"/>
      <c r="BS349" s="310"/>
      <c r="BT349" s="544">
        <f t="shared" si="156"/>
        <v>0</v>
      </c>
      <c r="BU349" s="556"/>
      <c r="BV349" s="663">
        <f t="shared" si="158"/>
        <v>704</v>
      </c>
      <c r="BW349" s="674">
        <f t="shared" si="159"/>
        <v>0.58666666666666667</v>
      </c>
      <c r="BX349" s="674">
        <f t="shared" si="160"/>
        <v>1.76</v>
      </c>
      <c r="BY349" s="674">
        <f t="shared" si="161"/>
        <v>0</v>
      </c>
      <c r="BZ349" s="675">
        <f t="shared" si="162"/>
        <v>0</v>
      </c>
      <c r="CA349" s="675">
        <f t="shared" si="163"/>
        <v>0</v>
      </c>
    </row>
    <row r="350" spans="1:79" ht="58.5" hidden="1" customHeight="1" x14ac:dyDescent="0.25">
      <c r="A350" s="298" t="s">
        <v>1002</v>
      </c>
      <c r="B350" s="299" t="str">
        <f>'PLAN INDICATIVO'!B344</f>
        <v>Transporte</v>
      </c>
      <c r="C350" s="1547"/>
      <c r="D350" s="1551"/>
      <c r="E350" s="1551"/>
      <c r="F350" s="1551"/>
      <c r="G350" s="1551"/>
      <c r="H350" s="1551"/>
      <c r="I350" s="300">
        <f>'PLAN INDICATIVO'!I344</f>
        <v>0</v>
      </c>
      <c r="J350" s="300">
        <f>'PLAN INDICATIVO'!J344</f>
        <v>0</v>
      </c>
      <c r="K350" s="1425" t="str">
        <f>'PLAN INDICATIVO'!K344</f>
        <v>A.9.1.17</v>
      </c>
      <c r="L350" s="301" t="str">
        <f>'PLAN INDICATIVO'!L344</f>
        <v>11. Ciudades y comunidades sostenibles</v>
      </c>
      <c r="M350" s="301" t="str">
        <f>'PLAN INDICATIVO'!M344</f>
        <v>Secretaría de Obras Civiles</v>
      </c>
      <c r="N350" s="1425" t="s">
        <v>2933</v>
      </c>
      <c r="O350" s="1425" t="str">
        <f>'PLAN INDICATIVO'!O344</f>
        <v>Incremento</v>
      </c>
      <c r="P350" s="16" t="str">
        <f>'PLAN INDICATIVO'!P344</f>
        <v>Realizar mantenimiento rutinario de 500 km  de la red vial terciaria rural y centros poblados, durante el cuatrienio.</v>
      </c>
      <c r="Q350" s="302" t="str">
        <f>'PLAN INDICATIVO'!Q344</f>
        <v>No. de Km de red vial mantenida</v>
      </c>
      <c r="R350" s="303">
        <f>'PLAN INDICATIVO'!R344</f>
        <v>2015</v>
      </c>
      <c r="S350" s="304">
        <v>0</v>
      </c>
      <c r="T350" s="498">
        <v>500</v>
      </c>
      <c r="U350" s="303">
        <v>125</v>
      </c>
      <c r="V350" s="687">
        <v>180600000</v>
      </c>
      <c r="W350" s="572">
        <v>125</v>
      </c>
      <c r="X350" s="687">
        <v>120000000</v>
      </c>
      <c r="Y350" s="572">
        <v>125</v>
      </c>
      <c r="Z350" s="687">
        <v>185000000</v>
      </c>
      <c r="AA350" s="572">
        <v>125</v>
      </c>
      <c r="AB350" s="687">
        <v>150000000</v>
      </c>
      <c r="AC350" s="665">
        <v>130</v>
      </c>
      <c r="AD350" s="665"/>
      <c r="AE350" s="665"/>
      <c r="AF350" s="665"/>
      <c r="AG350" s="306" t="s">
        <v>2596</v>
      </c>
      <c r="AH350" s="307" t="s">
        <v>2940</v>
      </c>
      <c r="AI350" s="335">
        <v>42005</v>
      </c>
      <c r="AJ350" s="335">
        <v>11293</v>
      </c>
      <c r="AK350" s="308"/>
      <c r="AL350" s="308"/>
      <c r="AM350" s="267" t="s">
        <v>2598</v>
      </c>
      <c r="AN350" s="507" t="s">
        <v>2941</v>
      </c>
      <c r="AO350" s="525"/>
      <c r="AP350" s="310">
        <v>94686000</v>
      </c>
      <c r="AQ350" s="310"/>
      <c r="AR350" s="310"/>
      <c r="AS350" s="310"/>
      <c r="AT350" s="310"/>
      <c r="AU350" s="310"/>
      <c r="AV350" s="544">
        <f t="shared" si="157"/>
        <v>94686000</v>
      </c>
      <c r="AW350" s="525"/>
      <c r="AX350" s="310"/>
      <c r="AY350" s="310"/>
      <c r="AZ350" s="310"/>
      <c r="BA350" s="310"/>
      <c r="BB350" s="310"/>
      <c r="BC350" s="310"/>
      <c r="BD350" s="544">
        <f t="shared" si="154"/>
        <v>0</v>
      </c>
      <c r="BE350" s="525"/>
      <c r="BF350" s="310"/>
      <c r="BG350" s="310"/>
      <c r="BH350" s="310"/>
      <c r="BI350" s="310"/>
      <c r="BJ350" s="310"/>
      <c r="BK350" s="310"/>
      <c r="BL350" s="544">
        <f t="shared" si="155"/>
        <v>0</v>
      </c>
      <c r="BM350" s="525"/>
      <c r="BN350" s="310"/>
      <c r="BO350" s="310"/>
      <c r="BP350" s="310"/>
      <c r="BQ350" s="310"/>
      <c r="BR350" s="310"/>
      <c r="BS350" s="310"/>
      <c r="BT350" s="544">
        <f t="shared" si="156"/>
        <v>0</v>
      </c>
      <c r="BU350" s="556"/>
      <c r="BV350" s="663">
        <f t="shared" si="158"/>
        <v>130</v>
      </c>
      <c r="BW350" s="674">
        <f t="shared" si="159"/>
        <v>0.26</v>
      </c>
      <c r="BX350" s="674">
        <f t="shared" si="160"/>
        <v>1.04</v>
      </c>
      <c r="BY350" s="674">
        <f t="shared" si="161"/>
        <v>0</v>
      </c>
      <c r="BZ350" s="675">
        <f t="shared" si="162"/>
        <v>0</v>
      </c>
      <c r="CA350" s="675">
        <f t="shared" si="163"/>
        <v>0</v>
      </c>
    </row>
    <row r="351" spans="1:79" ht="53.25" hidden="1" customHeight="1" x14ac:dyDescent="0.25">
      <c r="A351" s="298" t="s">
        <v>1002</v>
      </c>
      <c r="B351" s="299" t="str">
        <f>'PLAN INDICATIVO'!B345</f>
        <v>Transporte</v>
      </c>
      <c r="C351" s="1547"/>
      <c r="D351" s="1551"/>
      <c r="E351" s="1551"/>
      <c r="F351" s="1551"/>
      <c r="G351" s="1551"/>
      <c r="H351" s="1551"/>
      <c r="I351" s="1425" t="str">
        <f>'PLAN INDICATIVO'!I345</f>
        <v>SI</v>
      </c>
      <c r="J351" s="1425">
        <f>'PLAN INDICATIVO'!J345</f>
        <v>0</v>
      </c>
      <c r="K351" s="1425" t="str">
        <f>'PLAN INDICATIVO'!K345</f>
        <v>A.9.1.18</v>
      </c>
      <c r="L351" s="301" t="str">
        <f>'PLAN INDICATIVO'!L345</f>
        <v>11. Ciudades y comunidades sostenibles</v>
      </c>
      <c r="M351" s="301" t="str">
        <f>'PLAN INDICATIVO'!M345</f>
        <v>Secretaría de Obras Civiles</v>
      </c>
      <c r="N351" s="1425" t="s">
        <v>2933</v>
      </c>
      <c r="O351" s="1425" t="str">
        <f>'PLAN INDICATIVO'!O345</f>
        <v>Incremento</v>
      </c>
      <c r="P351" s="16" t="str">
        <f>'PLAN INDICATIVO'!P345</f>
        <v>Construir  3.500 ml en placa huella</v>
      </c>
      <c r="Q351" s="302" t="str">
        <f>'PLAN INDICATIVO'!Q345</f>
        <v>No. de Metros lineales de placa huella construida</v>
      </c>
      <c r="R351" s="303">
        <f>'PLAN INDICATIVO'!R345</f>
        <v>2015</v>
      </c>
      <c r="S351" s="304">
        <v>0</v>
      </c>
      <c r="T351" s="498">
        <v>3000</v>
      </c>
      <c r="U351" s="303">
        <v>300</v>
      </c>
      <c r="V351" s="687">
        <v>10000000</v>
      </c>
      <c r="W351" s="572">
        <v>700</v>
      </c>
      <c r="X351" s="687">
        <v>130000000</v>
      </c>
      <c r="Y351" s="572">
        <v>1000</v>
      </c>
      <c r="Z351" s="687">
        <v>165000000</v>
      </c>
      <c r="AA351" s="572">
        <v>1000</v>
      </c>
      <c r="AB351" s="687">
        <v>35000000</v>
      </c>
      <c r="AC351" s="665">
        <v>493.5</v>
      </c>
      <c r="AD351" s="665"/>
      <c r="AE351" s="665"/>
      <c r="AF351" s="665"/>
      <c r="AG351" s="306" t="s">
        <v>2596</v>
      </c>
      <c r="AH351" s="307" t="s">
        <v>2942</v>
      </c>
      <c r="AI351" s="335">
        <v>42186</v>
      </c>
      <c r="AJ351" s="335">
        <v>42339</v>
      </c>
      <c r="AK351" s="308"/>
      <c r="AL351" s="308"/>
      <c r="AM351" s="267" t="s">
        <v>2598</v>
      </c>
      <c r="AN351" s="507" t="s">
        <v>2943</v>
      </c>
      <c r="AO351" s="525"/>
      <c r="AP351" s="310"/>
      <c r="AQ351" s="310"/>
      <c r="AR351" s="310">
        <v>372710000</v>
      </c>
      <c r="AS351" s="310"/>
      <c r="AT351" s="310"/>
      <c r="AU351" s="310"/>
      <c r="AV351" s="544">
        <f t="shared" si="157"/>
        <v>372710000</v>
      </c>
      <c r="AW351" s="525"/>
      <c r="AX351" s="310"/>
      <c r="AY351" s="310"/>
      <c r="AZ351" s="310"/>
      <c r="BA351" s="310"/>
      <c r="BB351" s="310"/>
      <c r="BC351" s="310"/>
      <c r="BD351" s="544">
        <f t="shared" si="154"/>
        <v>0</v>
      </c>
      <c r="BE351" s="525"/>
      <c r="BF351" s="310"/>
      <c r="BG351" s="310"/>
      <c r="BH351" s="310"/>
      <c r="BI351" s="310"/>
      <c r="BJ351" s="310"/>
      <c r="BK351" s="310"/>
      <c r="BL351" s="544">
        <f t="shared" si="155"/>
        <v>0</v>
      </c>
      <c r="BM351" s="525"/>
      <c r="BN351" s="310"/>
      <c r="BO351" s="310"/>
      <c r="BP351" s="310"/>
      <c r="BQ351" s="310"/>
      <c r="BR351" s="310"/>
      <c r="BS351" s="310"/>
      <c r="BT351" s="544">
        <f t="shared" si="156"/>
        <v>0</v>
      </c>
      <c r="BU351" s="556"/>
      <c r="BV351" s="663">
        <f t="shared" si="158"/>
        <v>493.5</v>
      </c>
      <c r="BW351" s="674">
        <f t="shared" si="159"/>
        <v>0.16450000000000001</v>
      </c>
      <c r="BX351" s="674">
        <f t="shared" si="160"/>
        <v>1.645</v>
      </c>
      <c r="BY351" s="674">
        <f t="shared" si="161"/>
        <v>0</v>
      </c>
      <c r="BZ351" s="675">
        <f t="shared" si="162"/>
        <v>0</v>
      </c>
      <c r="CA351" s="675">
        <f t="shared" si="163"/>
        <v>0</v>
      </c>
    </row>
    <row r="352" spans="1:79" ht="45" hidden="1" customHeight="1" x14ac:dyDescent="0.25">
      <c r="A352" s="298" t="s">
        <v>1002</v>
      </c>
      <c r="B352" s="299" t="str">
        <f>'PLAN INDICATIVO'!B346</f>
        <v>Transporte</v>
      </c>
      <c r="C352" s="1547"/>
      <c r="D352" s="1551"/>
      <c r="E352" s="1551"/>
      <c r="F352" s="1551"/>
      <c r="G352" s="1551"/>
      <c r="H352" s="1551"/>
      <c r="I352" s="1425" t="str">
        <f>'PLAN INDICATIVO'!I346</f>
        <v>SI</v>
      </c>
      <c r="J352" s="1425">
        <f>'PLAN INDICATIVO'!J346</f>
        <v>0</v>
      </c>
      <c r="K352" s="1425" t="str">
        <f>'PLAN INDICATIVO'!K346</f>
        <v>A.9.1.19</v>
      </c>
      <c r="L352" s="301" t="str">
        <f>'PLAN INDICATIVO'!L346</f>
        <v>11. Ciudades y comunidades sostenibles</v>
      </c>
      <c r="M352" s="301" t="str">
        <f>'PLAN INDICATIVO'!M346</f>
        <v>Secretaría de Obras Civiles</v>
      </c>
      <c r="N352" s="1425" t="s">
        <v>2933</v>
      </c>
      <c r="O352" s="1425" t="str">
        <f>'PLAN INDICATIVO'!O346</f>
        <v>Incremento</v>
      </c>
      <c r="P352" s="16" t="str">
        <f>'PLAN INDICATIVO'!P346</f>
        <v>Realizar la construcción y/o mejoramiento de 85 obras de arte viales,  en el cuatrienio.</v>
      </c>
      <c r="Q352" s="302" t="str">
        <f>'PLAN INDICATIVO'!Q346</f>
        <v>No. de obras de arte construidas o mejoradas</v>
      </c>
      <c r="R352" s="303">
        <f>'PLAN INDICATIVO'!R346</f>
        <v>2015</v>
      </c>
      <c r="S352" s="304">
        <v>0</v>
      </c>
      <c r="T352" s="498">
        <v>120</v>
      </c>
      <c r="U352" s="303">
        <v>20</v>
      </c>
      <c r="V352" s="687">
        <v>10000000</v>
      </c>
      <c r="W352" s="572">
        <v>20</v>
      </c>
      <c r="X352" s="687">
        <v>20000000</v>
      </c>
      <c r="Y352" s="572">
        <v>40</v>
      </c>
      <c r="Z352" s="687">
        <v>36000000</v>
      </c>
      <c r="AA352" s="572">
        <v>40</v>
      </c>
      <c r="AB352" s="687">
        <v>21000000</v>
      </c>
      <c r="AC352" s="665">
        <v>30</v>
      </c>
      <c r="AD352" s="665"/>
      <c r="AE352" s="665"/>
      <c r="AF352" s="665"/>
      <c r="AG352" s="306" t="s">
        <v>2596</v>
      </c>
      <c r="AH352" s="307" t="s">
        <v>2944</v>
      </c>
      <c r="AI352" s="335">
        <v>42186</v>
      </c>
      <c r="AJ352" s="335">
        <v>42339</v>
      </c>
      <c r="AK352" s="308"/>
      <c r="AL352" s="308"/>
      <c r="AM352" s="267" t="s">
        <v>2598</v>
      </c>
      <c r="AN352" s="507" t="s">
        <v>2945</v>
      </c>
      <c r="AO352" s="525">
        <v>14236196</v>
      </c>
      <c r="AP352" s="310">
        <v>49868535</v>
      </c>
      <c r="AQ352" s="310"/>
      <c r="AR352" s="310">
        <v>24140269</v>
      </c>
      <c r="AS352" s="310"/>
      <c r="AT352" s="310"/>
      <c r="AU352" s="310"/>
      <c r="AV352" s="544">
        <f t="shared" si="157"/>
        <v>88245000</v>
      </c>
      <c r="AW352" s="525"/>
      <c r="AX352" s="310"/>
      <c r="AY352" s="310"/>
      <c r="AZ352" s="310"/>
      <c r="BA352" s="310"/>
      <c r="BB352" s="310"/>
      <c r="BC352" s="310"/>
      <c r="BD352" s="544">
        <f t="shared" si="154"/>
        <v>0</v>
      </c>
      <c r="BE352" s="525"/>
      <c r="BF352" s="310"/>
      <c r="BG352" s="310"/>
      <c r="BH352" s="310"/>
      <c r="BI352" s="310"/>
      <c r="BJ352" s="310"/>
      <c r="BK352" s="310"/>
      <c r="BL352" s="544">
        <f t="shared" si="155"/>
        <v>0</v>
      </c>
      <c r="BM352" s="525"/>
      <c r="BN352" s="310"/>
      <c r="BO352" s="310"/>
      <c r="BP352" s="310"/>
      <c r="BQ352" s="310"/>
      <c r="BR352" s="310"/>
      <c r="BS352" s="310"/>
      <c r="BT352" s="544">
        <f t="shared" si="156"/>
        <v>0</v>
      </c>
      <c r="BU352" s="556"/>
      <c r="BV352" s="663">
        <f t="shared" si="158"/>
        <v>30</v>
      </c>
      <c r="BW352" s="674">
        <f t="shared" si="159"/>
        <v>0.25</v>
      </c>
      <c r="BX352" s="674">
        <f t="shared" si="160"/>
        <v>1.5</v>
      </c>
      <c r="BY352" s="674">
        <f t="shared" si="161"/>
        <v>0</v>
      </c>
      <c r="BZ352" s="675">
        <f t="shared" si="162"/>
        <v>0</v>
      </c>
      <c r="CA352" s="675">
        <f t="shared" si="163"/>
        <v>0</v>
      </c>
    </row>
    <row r="353" spans="1:79" ht="36.75" hidden="1" customHeight="1" x14ac:dyDescent="0.25">
      <c r="A353" s="298" t="s">
        <v>1002</v>
      </c>
      <c r="B353" s="299" t="str">
        <f>'PLAN INDICATIVO'!B347</f>
        <v>Transporte</v>
      </c>
      <c r="C353" s="1547"/>
      <c r="D353" s="1551"/>
      <c r="E353" s="1551"/>
      <c r="F353" s="1551"/>
      <c r="G353" s="1551"/>
      <c r="H353" s="1551"/>
      <c r="I353" s="1425" t="str">
        <f>'PLAN INDICATIVO'!I347</f>
        <v>SI</v>
      </c>
      <c r="J353" s="1425">
        <f>'PLAN INDICATIVO'!J347</f>
        <v>0</v>
      </c>
      <c r="K353" s="1425" t="str">
        <f>'PLAN INDICATIVO'!K347</f>
        <v>A.9.1.20</v>
      </c>
      <c r="L353" s="301" t="str">
        <f>'PLAN INDICATIVO'!L347</f>
        <v>11. Ciudades y comunidades sostenibles</v>
      </c>
      <c r="M353" s="301" t="str">
        <f>'PLAN INDICATIVO'!M347</f>
        <v>Secretaría de Obras Civiles</v>
      </c>
      <c r="N353" s="1425" t="s">
        <v>2933</v>
      </c>
      <c r="O353" s="1425" t="str">
        <f>'PLAN INDICATIVO'!O347</f>
        <v>Incremento</v>
      </c>
      <c r="P353" s="16" t="str">
        <f>'PLAN INDICATIVO'!P347</f>
        <v>Realizar la construcción y/o mejoramiento de  6  puentes vehiculares.</v>
      </c>
      <c r="Q353" s="302" t="str">
        <f>'PLAN INDICATIVO'!Q347</f>
        <v>No. de puentes vehiculares construidos</v>
      </c>
      <c r="R353" s="303">
        <f>'PLAN INDICATIVO'!R347</f>
        <v>2015</v>
      </c>
      <c r="S353" s="304">
        <v>0</v>
      </c>
      <c r="T353" s="498">
        <v>4</v>
      </c>
      <c r="U353" s="303">
        <v>1</v>
      </c>
      <c r="V353" s="687">
        <v>50000000</v>
      </c>
      <c r="W353" s="572">
        <v>1</v>
      </c>
      <c r="X353" s="687">
        <v>55000000</v>
      </c>
      <c r="Y353" s="572">
        <v>1</v>
      </c>
      <c r="Z353" s="687">
        <v>100000000</v>
      </c>
      <c r="AA353" s="572">
        <v>1</v>
      </c>
      <c r="AB353" s="687">
        <v>45000000</v>
      </c>
      <c r="AC353" s="857">
        <v>0</v>
      </c>
      <c r="AD353" s="665"/>
      <c r="AE353" s="665"/>
      <c r="AF353" s="665"/>
      <c r="AG353" s="306" t="s">
        <v>2934</v>
      </c>
      <c r="AH353" s="307" t="s">
        <v>2935</v>
      </c>
      <c r="AI353" s="335">
        <v>42186</v>
      </c>
      <c r="AJ353" s="335">
        <v>42339</v>
      </c>
      <c r="AK353" s="308"/>
      <c r="AL353" s="308"/>
      <c r="AM353" s="267" t="s">
        <v>2600</v>
      </c>
      <c r="AN353" s="507" t="s">
        <v>2596</v>
      </c>
      <c r="AO353" s="525"/>
      <c r="AP353" s="310"/>
      <c r="AQ353" s="310"/>
      <c r="AR353" s="310"/>
      <c r="AS353" s="310"/>
      <c r="AT353" s="310"/>
      <c r="AU353" s="310"/>
      <c r="AV353" s="544">
        <f t="shared" si="157"/>
        <v>0</v>
      </c>
      <c r="AW353" s="525"/>
      <c r="AX353" s="310"/>
      <c r="AY353" s="310"/>
      <c r="AZ353" s="310"/>
      <c r="BA353" s="310"/>
      <c r="BB353" s="310"/>
      <c r="BC353" s="310"/>
      <c r="BD353" s="544">
        <f t="shared" si="154"/>
        <v>0</v>
      </c>
      <c r="BE353" s="525"/>
      <c r="BF353" s="310"/>
      <c r="BG353" s="310"/>
      <c r="BH353" s="310"/>
      <c r="BI353" s="310"/>
      <c r="BJ353" s="310"/>
      <c r="BK353" s="310"/>
      <c r="BL353" s="544">
        <f t="shared" si="155"/>
        <v>0</v>
      </c>
      <c r="BM353" s="525"/>
      <c r="BN353" s="310"/>
      <c r="BO353" s="310"/>
      <c r="BP353" s="310"/>
      <c r="BQ353" s="310"/>
      <c r="BR353" s="310"/>
      <c r="BS353" s="310"/>
      <c r="BT353" s="544">
        <f t="shared" si="156"/>
        <v>0</v>
      </c>
      <c r="BU353" s="556"/>
      <c r="BV353" s="663">
        <f t="shared" si="158"/>
        <v>0</v>
      </c>
      <c r="BW353" s="674">
        <f t="shared" si="159"/>
        <v>0</v>
      </c>
      <c r="BX353" s="674">
        <f t="shared" si="160"/>
        <v>0</v>
      </c>
      <c r="BY353" s="674">
        <f t="shared" si="161"/>
        <v>0</v>
      </c>
      <c r="BZ353" s="675">
        <f t="shared" si="162"/>
        <v>0</v>
      </c>
      <c r="CA353" s="675">
        <f t="shared" si="163"/>
        <v>0</v>
      </c>
    </row>
    <row r="354" spans="1:79" ht="60" hidden="1" customHeight="1" x14ac:dyDescent="0.25">
      <c r="A354" s="298" t="s">
        <v>1002</v>
      </c>
      <c r="B354" s="299" t="str">
        <f>'PLAN INDICATIVO'!B348</f>
        <v>Transporte</v>
      </c>
      <c r="C354" s="1548"/>
      <c r="D354" s="1552"/>
      <c r="E354" s="1552"/>
      <c r="F354" s="1552"/>
      <c r="G354" s="1552"/>
      <c r="H354" s="1552"/>
      <c r="I354" s="1425" t="str">
        <f>'PLAN INDICATIVO'!I348</f>
        <v>SI</v>
      </c>
      <c r="J354" s="1425">
        <f>'PLAN INDICATIVO'!J348</f>
        <v>0</v>
      </c>
      <c r="K354" s="1425" t="str">
        <f>'PLAN INDICATIVO'!K348</f>
        <v>A.9.1.21</v>
      </c>
      <c r="L354" s="301" t="str">
        <f>'PLAN INDICATIVO'!L348</f>
        <v>11. Ciudades y comunidades sostenibles</v>
      </c>
      <c r="M354" s="301" t="str">
        <f>'PLAN INDICATIVO'!M348</f>
        <v>Secretaría de Obras Civiles</v>
      </c>
      <c r="N354" s="1425" t="s">
        <v>2933</v>
      </c>
      <c r="O354" s="1425" t="str">
        <f>'PLAN INDICATIVO'!O348</f>
        <v>Incremento</v>
      </c>
      <c r="P354" s="16" t="str">
        <f>'PLAN INDICATIVO'!P348</f>
        <v>Realizar apoyo institucional para la Construcción y/o ampliación  de  3.000 ml  de vías terciarias durante el cuatrienio.</v>
      </c>
      <c r="Q354" s="302" t="str">
        <f>'PLAN INDICATIVO'!Q348</f>
        <v>No. de metros lineales de vías terciarias construidas</v>
      </c>
      <c r="R354" s="303">
        <f>'PLAN INDICATIVO'!R348</f>
        <v>2015</v>
      </c>
      <c r="S354" s="304">
        <v>0</v>
      </c>
      <c r="T354" s="498">
        <v>1000</v>
      </c>
      <c r="U354" s="303">
        <v>250</v>
      </c>
      <c r="V354" s="687">
        <v>10000000</v>
      </c>
      <c r="W354" s="572">
        <v>250</v>
      </c>
      <c r="X354" s="687">
        <v>50000000</v>
      </c>
      <c r="Y354" s="572">
        <v>250</v>
      </c>
      <c r="Z354" s="687">
        <v>10000000</v>
      </c>
      <c r="AA354" s="572">
        <v>250</v>
      </c>
      <c r="AB354" s="687">
        <v>35000000</v>
      </c>
      <c r="AC354" s="665">
        <v>1000</v>
      </c>
      <c r="AD354" s="665"/>
      <c r="AE354" s="665"/>
      <c r="AF354" s="665"/>
      <c r="AG354" s="306" t="s">
        <v>2831</v>
      </c>
      <c r="AH354" s="307" t="s">
        <v>2946</v>
      </c>
      <c r="AI354" s="335">
        <v>36982</v>
      </c>
      <c r="AJ354" s="335">
        <v>11140</v>
      </c>
      <c r="AK354" s="308"/>
      <c r="AL354" s="308"/>
      <c r="AM354" s="267" t="s">
        <v>2598</v>
      </c>
      <c r="AN354" s="507" t="s">
        <v>2947</v>
      </c>
      <c r="AO354" s="793">
        <v>3000000</v>
      </c>
      <c r="AP354" s="794">
        <v>7063000</v>
      </c>
      <c r="AQ354" s="794"/>
      <c r="AR354" s="794"/>
      <c r="AS354" s="310"/>
      <c r="AT354" s="310"/>
      <c r="AU354" s="310"/>
      <c r="AV354" s="544">
        <f t="shared" si="157"/>
        <v>10063000</v>
      </c>
      <c r="AW354" s="525"/>
      <c r="AX354" s="310"/>
      <c r="AY354" s="310"/>
      <c r="AZ354" s="310"/>
      <c r="BA354" s="310"/>
      <c r="BB354" s="310"/>
      <c r="BC354" s="310"/>
      <c r="BD354" s="544">
        <f t="shared" si="154"/>
        <v>0</v>
      </c>
      <c r="BE354" s="525"/>
      <c r="BF354" s="310"/>
      <c r="BG354" s="310"/>
      <c r="BH354" s="310"/>
      <c r="BI354" s="310"/>
      <c r="BJ354" s="310"/>
      <c r="BK354" s="310"/>
      <c r="BL354" s="544">
        <f t="shared" si="155"/>
        <v>0</v>
      </c>
      <c r="BM354" s="525"/>
      <c r="BN354" s="310"/>
      <c r="BO354" s="310"/>
      <c r="BP354" s="310"/>
      <c r="BQ354" s="310"/>
      <c r="BR354" s="310"/>
      <c r="BS354" s="310"/>
      <c r="BT354" s="544">
        <f t="shared" si="156"/>
        <v>0</v>
      </c>
      <c r="BU354" s="556"/>
      <c r="BV354" s="663">
        <f t="shared" si="158"/>
        <v>1000</v>
      </c>
      <c r="BW354" s="674">
        <f t="shared" si="159"/>
        <v>1</v>
      </c>
      <c r="BX354" s="674">
        <f t="shared" si="160"/>
        <v>4</v>
      </c>
      <c r="BY354" s="674">
        <f t="shared" si="161"/>
        <v>0</v>
      </c>
      <c r="BZ354" s="675">
        <f t="shared" si="162"/>
        <v>0</v>
      </c>
      <c r="CA354" s="675">
        <f t="shared" si="163"/>
        <v>0</v>
      </c>
    </row>
    <row r="355" spans="1:79" ht="9.75" hidden="1" customHeight="1" thickBot="1" x14ac:dyDescent="0.3">
      <c r="A355" s="406"/>
      <c r="B355" s="412" t="e">
        <f>'PLAN INDICATIVO'!#REF!</f>
        <v>#REF!</v>
      </c>
      <c r="C355" s="413"/>
      <c r="D355" s="414"/>
      <c r="E355" s="414"/>
      <c r="F355" s="414"/>
      <c r="G355" s="414"/>
      <c r="H355" s="414"/>
      <c r="I355" s="415"/>
      <c r="J355" s="415"/>
      <c r="K355" s="415"/>
      <c r="L355" s="415"/>
      <c r="M355" s="415"/>
      <c r="N355" s="415"/>
      <c r="O355" s="415"/>
      <c r="P355" s="416"/>
      <c r="Q355" s="416"/>
      <c r="R355" s="415"/>
      <c r="S355" s="417"/>
      <c r="T355" s="682"/>
      <c r="U355" s="417"/>
      <c r="V355" s="417"/>
      <c r="W355" s="417"/>
      <c r="X355" s="417"/>
      <c r="Y355" s="417"/>
      <c r="Z355" s="417"/>
      <c r="AA355" s="418"/>
      <c r="AB355" s="418"/>
      <c r="AC355" s="418"/>
      <c r="AD355" s="418"/>
      <c r="AE355" s="418"/>
      <c r="AF355" s="418"/>
      <c r="AG355" s="419"/>
      <c r="AH355" s="419"/>
      <c r="AI355" s="418"/>
      <c r="AJ355" s="418"/>
      <c r="AK355" s="418"/>
      <c r="AL355" s="418"/>
      <c r="AM355" s="410"/>
      <c r="AN355" s="870"/>
      <c r="AO355" s="871"/>
      <c r="AP355" s="872"/>
      <c r="AQ355" s="872"/>
      <c r="AR355" s="872"/>
      <c r="AS355" s="872"/>
      <c r="AT355" s="872"/>
      <c r="AU355" s="872"/>
      <c r="AV355" s="555">
        <f t="shared" si="157"/>
        <v>0</v>
      </c>
      <c r="AW355" s="871"/>
      <c r="AX355" s="872"/>
      <c r="AY355" s="872"/>
      <c r="AZ355" s="872"/>
      <c r="BA355" s="872"/>
      <c r="BB355" s="872"/>
      <c r="BC355" s="872"/>
      <c r="BD355" s="555">
        <f t="shared" si="154"/>
        <v>0</v>
      </c>
      <c r="BE355" s="871"/>
      <c r="BF355" s="872"/>
      <c r="BG355" s="872"/>
      <c r="BH355" s="872"/>
      <c r="BI355" s="872"/>
      <c r="BJ355" s="872"/>
      <c r="BK355" s="872"/>
      <c r="BL355" s="555">
        <f t="shared" si="155"/>
        <v>0</v>
      </c>
      <c r="BM355" s="871"/>
      <c r="BN355" s="872"/>
      <c r="BO355" s="872"/>
      <c r="BP355" s="872"/>
      <c r="BQ355" s="872"/>
      <c r="BR355" s="872"/>
      <c r="BS355" s="872"/>
      <c r="BT355" s="555">
        <f t="shared" si="156"/>
        <v>0</v>
      </c>
      <c r="BU355" s="556"/>
      <c r="BV355" s="873">
        <f t="shared" si="158"/>
        <v>0</v>
      </c>
      <c r="BW355" s="874" t="e">
        <f t="shared" si="159"/>
        <v>#DIV/0!</v>
      </c>
      <c r="BX355" s="874" t="e">
        <f t="shared" si="160"/>
        <v>#DIV/0!</v>
      </c>
      <c r="BY355" s="874" t="e">
        <f t="shared" si="161"/>
        <v>#DIV/0!</v>
      </c>
      <c r="BZ355" s="875" t="e">
        <f t="shared" si="162"/>
        <v>#DIV/0!</v>
      </c>
      <c r="CA355" s="875" t="e">
        <f t="shared" si="163"/>
        <v>#DIV/0!</v>
      </c>
    </row>
    <row r="356" spans="1:79" ht="36" hidden="1" customHeight="1" thickBot="1" x14ac:dyDescent="0.3">
      <c r="A356" s="428"/>
      <c r="B356" s="439" t="str">
        <f>'PLAN INDICATIVO'!B349</f>
        <v>Servicios Públicos</v>
      </c>
      <c r="C356" s="1636" t="s">
        <v>2948</v>
      </c>
      <c r="D356" s="1627"/>
      <c r="E356" s="1627"/>
      <c r="F356" s="1627"/>
      <c r="G356" s="1627"/>
      <c r="H356" s="1627"/>
      <c r="I356" s="1627"/>
      <c r="J356" s="1627"/>
      <c r="K356" s="1627"/>
      <c r="L356" s="1627"/>
      <c r="M356" s="1627"/>
      <c r="N356" s="1627"/>
      <c r="O356" s="1627"/>
      <c r="P356" s="1627"/>
      <c r="Q356" s="1627"/>
      <c r="R356" s="1627"/>
      <c r="S356" s="1627"/>
      <c r="T356" s="1627"/>
      <c r="U356" s="1627"/>
      <c r="V356" s="1627"/>
      <c r="W356" s="1627"/>
      <c r="X356" s="1627"/>
      <c r="Y356" s="1627"/>
      <c r="Z356" s="1627"/>
      <c r="AA356" s="1627"/>
      <c r="AB356" s="1627"/>
      <c r="AC356" s="1627"/>
      <c r="AD356" s="1627"/>
      <c r="AE356" s="1627"/>
      <c r="AF356" s="1627"/>
      <c r="AG356" s="1627"/>
      <c r="AH356" s="1627"/>
      <c r="AI356" s="1627"/>
      <c r="AJ356" s="1627"/>
      <c r="AK356" s="1627"/>
      <c r="AL356" s="1628"/>
      <c r="AM356" s="435"/>
      <c r="AN356" s="506"/>
      <c r="AO356" s="524"/>
      <c r="AP356" s="374"/>
      <c r="AQ356" s="374"/>
      <c r="AR356" s="374"/>
      <c r="AS356" s="374"/>
      <c r="AT356" s="374"/>
      <c r="AU356" s="374"/>
      <c r="AV356" s="544">
        <f t="shared" si="157"/>
        <v>0</v>
      </c>
      <c r="AW356" s="524"/>
      <c r="AX356" s="374"/>
      <c r="AY356" s="374"/>
      <c r="AZ356" s="374"/>
      <c r="BA356" s="374"/>
      <c r="BB356" s="374"/>
      <c r="BC356" s="374"/>
      <c r="BD356" s="544">
        <f t="shared" si="154"/>
        <v>0</v>
      </c>
      <c r="BE356" s="524"/>
      <c r="BF356" s="374"/>
      <c r="BG356" s="374"/>
      <c r="BH356" s="374"/>
      <c r="BI356" s="374"/>
      <c r="BJ356" s="374"/>
      <c r="BK356" s="374"/>
      <c r="BL356" s="544">
        <f t="shared" si="155"/>
        <v>0</v>
      </c>
      <c r="BM356" s="524"/>
      <c r="BN356" s="374"/>
      <c r="BO356" s="374"/>
      <c r="BP356" s="374"/>
      <c r="BQ356" s="374"/>
      <c r="BR356" s="374"/>
      <c r="BS356" s="374"/>
      <c r="BT356" s="544">
        <f t="shared" si="156"/>
        <v>0</v>
      </c>
      <c r="BU356" s="556"/>
      <c r="BV356" s="663">
        <f t="shared" si="158"/>
        <v>0</v>
      </c>
      <c r="BW356" s="674" t="e">
        <f t="shared" si="159"/>
        <v>#DIV/0!</v>
      </c>
      <c r="BX356" s="674" t="e">
        <f t="shared" si="160"/>
        <v>#DIV/0!</v>
      </c>
      <c r="BY356" s="674" t="e">
        <f t="shared" si="161"/>
        <v>#DIV/0!</v>
      </c>
      <c r="BZ356" s="675" t="e">
        <f t="shared" si="162"/>
        <v>#DIV/0!</v>
      </c>
      <c r="CA356" s="675" t="e">
        <f t="shared" si="163"/>
        <v>#DIV/0!</v>
      </c>
    </row>
    <row r="357" spans="1:79" ht="25.5" hidden="1" x14ac:dyDescent="0.25">
      <c r="A357" s="296"/>
      <c r="B357" s="331" t="str">
        <f>'PLAN INDICATIVO'!B350</f>
        <v>Otros Servicios Públicos</v>
      </c>
      <c r="C357" s="1605" t="s">
        <v>1072</v>
      </c>
      <c r="D357" s="1606"/>
      <c r="E357" s="1606"/>
      <c r="F357" s="1606"/>
      <c r="G357" s="1606"/>
      <c r="H357" s="1606"/>
      <c r="I357" s="1606"/>
      <c r="J357" s="1606"/>
      <c r="K357" s="1606"/>
      <c r="L357" s="1606"/>
      <c r="M357" s="1606"/>
      <c r="N357" s="1606"/>
      <c r="O357" s="1607"/>
      <c r="P357" s="318"/>
      <c r="Q357" s="318"/>
      <c r="R357" s="317"/>
      <c r="S357" s="319"/>
      <c r="T357" s="676"/>
      <c r="U357" s="319"/>
      <c r="V357" s="695">
        <f>SUM(V358:V359)</f>
        <v>1048500000</v>
      </c>
      <c r="W357" s="319"/>
      <c r="X357" s="695">
        <f>SUM(X358:X359)</f>
        <v>752000000</v>
      </c>
      <c r="Y357" s="319"/>
      <c r="Z357" s="695">
        <f>SUM(Z358:Z359)</f>
        <v>759540000</v>
      </c>
      <c r="AA357" s="320"/>
      <c r="AB357" s="708">
        <f>SUM(AB358:AB359)</f>
        <v>1297660000</v>
      </c>
      <c r="AC357" s="320"/>
      <c r="AD357" s="320"/>
      <c r="AE357" s="320"/>
      <c r="AF357" s="320"/>
      <c r="AG357" s="321"/>
      <c r="AH357" s="321"/>
      <c r="AI357" s="320"/>
      <c r="AJ357" s="320"/>
      <c r="AK357" s="320"/>
      <c r="AL357" s="320"/>
      <c r="AM357" s="262"/>
      <c r="AN357" s="612"/>
      <c r="AO357" s="616" t="e">
        <f>(AO358:AO359)</f>
        <v>#VALUE!</v>
      </c>
      <c r="AP357" s="616" t="e">
        <f t="shared" ref="AP357:AU357" si="168">(AP358:AP359)</f>
        <v>#VALUE!</v>
      </c>
      <c r="AQ357" s="616" t="e">
        <f t="shared" si="168"/>
        <v>#VALUE!</v>
      </c>
      <c r="AR357" s="616" t="e">
        <f t="shared" si="168"/>
        <v>#VALUE!</v>
      </c>
      <c r="AS357" s="616" t="e">
        <f t="shared" si="168"/>
        <v>#VALUE!</v>
      </c>
      <c r="AT357" s="616" t="e">
        <f t="shared" si="168"/>
        <v>#VALUE!</v>
      </c>
      <c r="AU357" s="616" t="e">
        <f t="shared" si="168"/>
        <v>#VALUE!</v>
      </c>
      <c r="AV357" s="617" t="e">
        <f t="shared" si="157"/>
        <v>#VALUE!</v>
      </c>
      <c r="AW357" s="616" t="e">
        <f t="shared" ref="AW357:BC357" si="169">(AW358:AW359)</f>
        <v>#VALUE!</v>
      </c>
      <c r="AX357" s="616" t="e">
        <f t="shared" si="169"/>
        <v>#VALUE!</v>
      </c>
      <c r="AY357" s="616" t="e">
        <f t="shared" si="169"/>
        <v>#VALUE!</v>
      </c>
      <c r="AZ357" s="616" t="e">
        <f t="shared" si="169"/>
        <v>#VALUE!</v>
      </c>
      <c r="BA357" s="616" t="e">
        <f t="shared" si="169"/>
        <v>#VALUE!</v>
      </c>
      <c r="BB357" s="616" t="e">
        <f t="shared" si="169"/>
        <v>#VALUE!</v>
      </c>
      <c r="BC357" s="616" t="e">
        <f t="shared" si="169"/>
        <v>#VALUE!</v>
      </c>
      <c r="BD357" s="617" t="e">
        <f t="shared" si="154"/>
        <v>#VALUE!</v>
      </c>
      <c r="BE357" s="616" t="e">
        <f t="shared" ref="BE357:BK357" si="170">(BE358:BE359)</f>
        <v>#VALUE!</v>
      </c>
      <c r="BF357" s="616" t="e">
        <f t="shared" si="170"/>
        <v>#VALUE!</v>
      </c>
      <c r="BG357" s="616" t="e">
        <f t="shared" si="170"/>
        <v>#VALUE!</v>
      </c>
      <c r="BH357" s="616" t="e">
        <f t="shared" si="170"/>
        <v>#VALUE!</v>
      </c>
      <c r="BI357" s="616" t="e">
        <f t="shared" si="170"/>
        <v>#VALUE!</v>
      </c>
      <c r="BJ357" s="616" t="e">
        <f t="shared" si="170"/>
        <v>#VALUE!</v>
      </c>
      <c r="BK357" s="616" t="e">
        <f t="shared" si="170"/>
        <v>#VALUE!</v>
      </c>
      <c r="BL357" s="617" t="e">
        <f t="shared" si="155"/>
        <v>#VALUE!</v>
      </c>
      <c r="BM357" s="616" t="e">
        <f t="shared" ref="BM357:BS357" si="171">(BM358:BM359)</f>
        <v>#VALUE!</v>
      </c>
      <c r="BN357" s="616" t="e">
        <f t="shared" si="171"/>
        <v>#VALUE!</v>
      </c>
      <c r="BO357" s="616" t="e">
        <f t="shared" si="171"/>
        <v>#VALUE!</v>
      </c>
      <c r="BP357" s="616" t="e">
        <f t="shared" si="171"/>
        <v>#VALUE!</v>
      </c>
      <c r="BQ357" s="616" t="e">
        <f t="shared" si="171"/>
        <v>#VALUE!</v>
      </c>
      <c r="BR357" s="616" t="e">
        <f t="shared" si="171"/>
        <v>#VALUE!</v>
      </c>
      <c r="BS357" s="616" t="e">
        <f t="shared" si="171"/>
        <v>#VALUE!</v>
      </c>
      <c r="BT357" s="617" t="e">
        <f t="shared" si="156"/>
        <v>#VALUE!</v>
      </c>
      <c r="BU357" s="556"/>
      <c r="BV357" s="863">
        <f t="shared" si="158"/>
        <v>0</v>
      </c>
      <c r="BW357" s="864" t="e">
        <f t="shared" si="159"/>
        <v>#DIV/0!</v>
      </c>
      <c r="BX357" s="864" t="e">
        <f t="shared" si="160"/>
        <v>#DIV/0!</v>
      </c>
      <c r="BY357" s="864" t="e">
        <f t="shared" si="161"/>
        <v>#DIV/0!</v>
      </c>
      <c r="BZ357" s="1450" t="e">
        <f t="shared" si="162"/>
        <v>#DIV/0!</v>
      </c>
      <c r="CA357" s="1450" t="e">
        <f t="shared" si="163"/>
        <v>#DIV/0!</v>
      </c>
    </row>
    <row r="358" spans="1:79" ht="75.75" hidden="1" customHeight="1" x14ac:dyDescent="0.25">
      <c r="A358" s="298" t="s">
        <v>1073</v>
      </c>
      <c r="B358" s="299" t="str">
        <f>'PLAN INDICATIVO'!B351</f>
        <v>Otros Servicios Públicos</v>
      </c>
      <c r="C358" s="1429" t="s">
        <v>1074</v>
      </c>
      <c r="D358" s="1425" t="s">
        <v>1075</v>
      </c>
      <c r="E358" s="1425" t="s">
        <v>1076</v>
      </c>
      <c r="F358" s="1425">
        <v>2005</v>
      </c>
      <c r="G358" s="1425">
        <v>92.6</v>
      </c>
      <c r="H358" s="1425">
        <v>94</v>
      </c>
      <c r="I358" s="1425" t="str">
        <f>'PLAN INDICATIVO'!I351</f>
        <v>SI</v>
      </c>
      <c r="J358" s="1425">
        <f>'PLAN INDICATIVO'!J351</f>
        <v>0</v>
      </c>
      <c r="K358" s="1425" t="str">
        <f>'PLAN INDICATIVO'!K351</f>
        <v>A.6.1.1</v>
      </c>
      <c r="L358" s="301" t="str">
        <f>'PLAN INDICATIVO'!L351</f>
        <v>7. Energía Asequible y no contaminante</v>
      </c>
      <c r="M358" s="301" t="str">
        <f>'PLAN INDICATIVO'!M351</f>
        <v>Secretaría de Obras Civiles</v>
      </c>
      <c r="N358" s="1425" t="s">
        <v>2933</v>
      </c>
      <c r="O358" s="1425" t="str">
        <f>'PLAN INDICATIVO'!O351</f>
        <v>Incremento</v>
      </c>
      <c r="P358" s="16" t="str">
        <f>'PLAN INDICATIVO'!P351</f>
        <v>Aumentar la cobertura  en electrificación  a 300 nuevas familias, durante el cuatrienio.</v>
      </c>
      <c r="Q358" s="302" t="str">
        <f>'PLAN INDICATIVO'!Q351</f>
        <v>No. De familias beneficiadas con electrificación</v>
      </c>
      <c r="R358" s="303">
        <f>'PLAN INDICATIVO'!R351</f>
        <v>2015</v>
      </c>
      <c r="S358" s="304">
        <v>0</v>
      </c>
      <c r="T358" s="677">
        <v>300</v>
      </c>
      <c r="U358" s="303">
        <v>100</v>
      </c>
      <c r="V358" s="687">
        <v>398500000</v>
      </c>
      <c r="W358" s="572">
        <v>50</v>
      </c>
      <c r="X358" s="687">
        <v>46000000</v>
      </c>
      <c r="Y358" s="572">
        <v>50</v>
      </c>
      <c r="Z358" s="687">
        <v>56500000</v>
      </c>
      <c r="AA358" s="572">
        <v>100</v>
      </c>
      <c r="AB358" s="687">
        <v>566500000</v>
      </c>
      <c r="AC358" s="665">
        <v>79</v>
      </c>
      <c r="AD358" s="665"/>
      <c r="AE358" s="665"/>
      <c r="AF358" s="665"/>
      <c r="AG358" s="306" t="s">
        <v>2831</v>
      </c>
      <c r="AH358" s="307" t="s">
        <v>2949</v>
      </c>
      <c r="AI358" s="335">
        <v>36892</v>
      </c>
      <c r="AJ358" s="335">
        <v>11110</v>
      </c>
      <c r="AK358" s="308"/>
      <c r="AL358" s="308"/>
      <c r="AM358" s="267" t="s">
        <v>2604</v>
      </c>
      <c r="AN358" s="507" t="s">
        <v>1855</v>
      </c>
      <c r="AO358" s="525"/>
      <c r="AP358" s="310"/>
      <c r="AQ358" s="310"/>
      <c r="AR358" s="310"/>
      <c r="AS358" s="310"/>
      <c r="AT358" s="310"/>
      <c r="AU358" s="310"/>
      <c r="AV358" s="544">
        <f t="shared" si="157"/>
        <v>0</v>
      </c>
      <c r="AW358" s="525"/>
      <c r="AX358" s="310"/>
      <c r="AY358" s="310"/>
      <c r="AZ358" s="310"/>
      <c r="BA358" s="310"/>
      <c r="BB358" s="310"/>
      <c r="BC358" s="310"/>
      <c r="BD358" s="544">
        <f t="shared" si="154"/>
        <v>0</v>
      </c>
      <c r="BE358" s="525"/>
      <c r="BF358" s="310"/>
      <c r="BG358" s="310"/>
      <c r="BH358" s="310"/>
      <c r="BI358" s="310"/>
      <c r="BJ358" s="310"/>
      <c r="BK358" s="310"/>
      <c r="BL358" s="544">
        <f t="shared" si="155"/>
        <v>0</v>
      </c>
      <c r="BM358" s="525"/>
      <c r="BN358" s="310"/>
      <c r="BO358" s="310"/>
      <c r="BP358" s="310"/>
      <c r="BQ358" s="310"/>
      <c r="BR358" s="310"/>
      <c r="BS358" s="310"/>
      <c r="BT358" s="544">
        <f t="shared" si="156"/>
        <v>0</v>
      </c>
      <c r="BU358" s="556"/>
      <c r="BV358" s="663">
        <f t="shared" si="158"/>
        <v>79</v>
      </c>
      <c r="BW358" s="674">
        <f t="shared" si="159"/>
        <v>0.26333333333333331</v>
      </c>
      <c r="BX358" s="674">
        <f t="shared" si="160"/>
        <v>0.79</v>
      </c>
      <c r="BY358" s="674">
        <f t="shared" si="161"/>
        <v>0</v>
      </c>
      <c r="BZ358" s="675">
        <f t="shared" si="162"/>
        <v>0</v>
      </c>
      <c r="CA358" s="675">
        <f t="shared" si="163"/>
        <v>0</v>
      </c>
    </row>
    <row r="359" spans="1:79" ht="55.5" hidden="1" customHeight="1" x14ac:dyDescent="0.25">
      <c r="A359" s="298" t="s">
        <v>1073</v>
      </c>
      <c r="B359" s="299" t="str">
        <f>'PLAN INDICATIVO'!B352</f>
        <v>Otros Servicios Públicos</v>
      </c>
      <c r="C359" s="1429" t="s">
        <v>1081</v>
      </c>
      <c r="D359" s="1425" t="s">
        <v>1082</v>
      </c>
      <c r="E359" s="1425" t="s">
        <v>1083</v>
      </c>
      <c r="F359" s="1425">
        <v>2005</v>
      </c>
      <c r="G359" s="1425">
        <v>95</v>
      </c>
      <c r="H359" s="1425">
        <v>95</v>
      </c>
      <c r="I359" s="300">
        <f>'PLAN INDICATIVO'!I352</f>
        <v>0</v>
      </c>
      <c r="J359" s="300">
        <f>'PLAN INDICATIVO'!J352</f>
        <v>0</v>
      </c>
      <c r="K359" s="1425" t="str">
        <f>'PLAN INDICATIVO'!K352</f>
        <v>A.6.2.1</v>
      </c>
      <c r="L359" s="301" t="str">
        <f>'PLAN INDICATIVO'!L352</f>
        <v>7. Energía Asequible y no contaminante</v>
      </c>
      <c r="M359" s="301" t="str">
        <f>'PLAN INDICATIVO'!M352</f>
        <v>Secretaría de Obras Civiles</v>
      </c>
      <c r="N359" s="1425" t="s">
        <v>2933</v>
      </c>
      <c r="O359" s="1425" t="str">
        <f>'PLAN INDICATIVO'!O352</f>
        <v>Mantenimiento</v>
      </c>
      <c r="P359" s="16" t="str">
        <f>'PLAN INDICATIVO'!P352</f>
        <v>Implementar  1 programa de mantenimiento y/o ampliación anual al sistema de alumbrado público.</v>
      </c>
      <c r="Q359" s="302" t="str">
        <f>'PLAN INDICATIVO'!Q352</f>
        <v>No. de mantenimientos implementados por año</v>
      </c>
      <c r="R359" s="303">
        <f>'PLAN INDICATIVO'!R352</f>
        <v>2015</v>
      </c>
      <c r="S359" s="304">
        <v>0</v>
      </c>
      <c r="T359" s="677">
        <v>1</v>
      </c>
      <c r="U359" s="303">
        <v>0.25</v>
      </c>
      <c r="V359" s="687">
        <v>650000000</v>
      </c>
      <c r="W359" s="572">
        <v>1</v>
      </c>
      <c r="X359" s="687">
        <v>706000000</v>
      </c>
      <c r="Y359" s="572">
        <v>1</v>
      </c>
      <c r="Z359" s="687">
        <v>703040000</v>
      </c>
      <c r="AA359" s="572">
        <v>1</v>
      </c>
      <c r="AB359" s="687">
        <v>731160000</v>
      </c>
      <c r="AC359" s="665">
        <v>0.25</v>
      </c>
      <c r="AD359" s="665"/>
      <c r="AE359" s="665"/>
      <c r="AF359" s="665"/>
      <c r="AG359" s="306" t="s">
        <v>2831</v>
      </c>
      <c r="AH359" s="307" t="s">
        <v>2950</v>
      </c>
      <c r="AI359" s="308"/>
      <c r="AJ359" s="308"/>
      <c r="AK359" s="308"/>
      <c r="AL359" s="308"/>
      <c r="AM359" s="267" t="s">
        <v>2598</v>
      </c>
      <c r="AN359" s="515" t="s">
        <v>2951</v>
      </c>
      <c r="AO359" s="525"/>
      <c r="AP359" s="310"/>
      <c r="AQ359" s="310"/>
      <c r="AR359" s="310"/>
      <c r="AS359" s="310"/>
      <c r="AT359" s="310"/>
      <c r="AU359" s="310"/>
      <c r="AV359" s="544">
        <f t="shared" si="157"/>
        <v>0</v>
      </c>
      <c r="AW359" s="525"/>
      <c r="AX359" s="310"/>
      <c r="AY359" s="310"/>
      <c r="AZ359" s="310"/>
      <c r="BA359" s="310"/>
      <c r="BB359" s="310"/>
      <c r="BC359" s="310"/>
      <c r="BD359" s="544">
        <f t="shared" si="154"/>
        <v>0</v>
      </c>
      <c r="BE359" s="525"/>
      <c r="BF359" s="310"/>
      <c r="BG359" s="310"/>
      <c r="BH359" s="310"/>
      <c r="BI359" s="310"/>
      <c r="BJ359" s="310"/>
      <c r="BK359" s="310"/>
      <c r="BL359" s="544">
        <f t="shared" si="155"/>
        <v>0</v>
      </c>
      <c r="BM359" s="525"/>
      <c r="BN359" s="310"/>
      <c r="BO359" s="310"/>
      <c r="BP359" s="310"/>
      <c r="BQ359" s="310"/>
      <c r="BR359" s="310"/>
      <c r="BS359" s="310"/>
      <c r="BT359" s="544">
        <f t="shared" si="156"/>
        <v>0</v>
      </c>
      <c r="BU359" s="556"/>
      <c r="BV359" s="663">
        <f t="shared" si="158"/>
        <v>0.25</v>
      </c>
      <c r="BW359" s="674">
        <f t="shared" si="159"/>
        <v>0.25</v>
      </c>
      <c r="BX359" s="674">
        <f t="shared" si="160"/>
        <v>1</v>
      </c>
      <c r="BY359" s="674">
        <f t="shared" si="161"/>
        <v>0</v>
      </c>
      <c r="BZ359" s="675">
        <f t="shared" si="162"/>
        <v>0</v>
      </c>
      <c r="CA359" s="675">
        <f t="shared" si="163"/>
        <v>0</v>
      </c>
    </row>
    <row r="360" spans="1:79" ht="25.5" hidden="1" x14ac:dyDescent="0.25">
      <c r="A360" s="295" t="s">
        <v>1073</v>
      </c>
      <c r="B360" s="24" t="str">
        <f>'PLAN INDICATIVO'!B353</f>
        <v>Otros Servicios Públicos</v>
      </c>
      <c r="C360" s="1574" t="s">
        <v>1087</v>
      </c>
      <c r="D360" s="1575"/>
      <c r="E360" s="1575"/>
      <c r="F360" s="1575"/>
      <c r="G360" s="1575"/>
      <c r="H360" s="1575"/>
      <c r="I360" s="1575"/>
      <c r="J360" s="1575"/>
      <c r="K360" s="1575"/>
      <c r="L360" s="1575"/>
      <c r="M360" s="1575"/>
      <c r="N360" s="1575"/>
      <c r="O360" s="1576"/>
      <c r="P360" s="22"/>
      <c r="Q360" s="22"/>
      <c r="R360" s="1"/>
      <c r="S360" s="261"/>
      <c r="T360" s="681"/>
      <c r="U360" s="261"/>
      <c r="V360" s="261"/>
      <c r="W360" s="261"/>
      <c r="X360" s="707">
        <v>14900000000</v>
      </c>
      <c r="Y360" s="261"/>
      <c r="Z360" s="261"/>
      <c r="AA360" s="262"/>
      <c r="AB360" s="262"/>
      <c r="AC360" s="262"/>
      <c r="AD360" s="262"/>
      <c r="AE360" s="262"/>
      <c r="AF360" s="262"/>
      <c r="AG360" s="263"/>
      <c r="AH360" s="263"/>
      <c r="AI360" s="262"/>
      <c r="AJ360" s="262"/>
      <c r="AK360" s="262"/>
      <c r="AL360" s="262"/>
      <c r="AM360" s="262"/>
      <c r="AN360" s="612"/>
      <c r="AO360" s="616">
        <f>(AO361)</f>
        <v>0</v>
      </c>
      <c r="AP360" s="264"/>
      <c r="AQ360" s="264"/>
      <c r="AR360" s="264"/>
      <c r="AS360" s="264"/>
      <c r="AT360" s="264"/>
      <c r="AU360" s="264"/>
      <c r="AV360" s="617">
        <f t="shared" si="157"/>
        <v>0</v>
      </c>
      <c r="AW360" s="616">
        <f>(AW361)</f>
        <v>0</v>
      </c>
      <c r="AX360" s="264"/>
      <c r="AY360" s="264"/>
      <c r="AZ360" s="264"/>
      <c r="BA360" s="264"/>
      <c r="BB360" s="264"/>
      <c r="BC360" s="264"/>
      <c r="BD360" s="617">
        <f t="shared" si="154"/>
        <v>0</v>
      </c>
      <c r="BE360" s="616">
        <f>(BE361)</f>
        <v>0</v>
      </c>
      <c r="BF360" s="264"/>
      <c r="BG360" s="264"/>
      <c r="BH360" s="264"/>
      <c r="BI360" s="264"/>
      <c r="BJ360" s="264"/>
      <c r="BK360" s="264"/>
      <c r="BL360" s="617">
        <f t="shared" si="155"/>
        <v>0</v>
      </c>
      <c r="BM360" s="616">
        <f>(BM361)</f>
        <v>0</v>
      </c>
      <c r="BN360" s="264"/>
      <c r="BO360" s="264"/>
      <c r="BP360" s="264"/>
      <c r="BQ360" s="264"/>
      <c r="BR360" s="264"/>
      <c r="BS360" s="264"/>
      <c r="BT360" s="617">
        <f t="shared" si="156"/>
        <v>0</v>
      </c>
      <c r="BU360" s="556"/>
      <c r="BV360" s="863">
        <f t="shared" si="158"/>
        <v>0</v>
      </c>
      <c r="BW360" s="864" t="e">
        <f t="shared" si="159"/>
        <v>#DIV/0!</v>
      </c>
      <c r="BX360" s="864" t="e">
        <f t="shared" si="160"/>
        <v>#DIV/0!</v>
      </c>
      <c r="BY360" s="864" t="e">
        <f t="shared" si="161"/>
        <v>#DIV/0!</v>
      </c>
      <c r="BZ360" s="1450" t="e">
        <f t="shared" si="162"/>
        <v>#DIV/0!</v>
      </c>
      <c r="CA360" s="1450" t="e">
        <f t="shared" si="163"/>
        <v>#DIV/0!</v>
      </c>
    </row>
    <row r="361" spans="1:79" ht="85.5" hidden="1" customHeight="1" thickBot="1" x14ac:dyDescent="0.3">
      <c r="A361" s="393" t="s">
        <v>1073</v>
      </c>
      <c r="B361" s="394" t="str">
        <f>'PLAN INDICATIVO'!B354</f>
        <v>Otros Servicios Públicos</v>
      </c>
      <c r="C361" s="1423" t="s">
        <v>1088</v>
      </c>
      <c r="D361" s="1426" t="s">
        <v>1089</v>
      </c>
      <c r="E361" s="1426" t="s">
        <v>1090</v>
      </c>
      <c r="F361" s="1426">
        <v>2005</v>
      </c>
      <c r="G361" s="1426">
        <v>87.9</v>
      </c>
      <c r="H361" s="1426">
        <v>90</v>
      </c>
      <c r="I361" s="1426" t="str">
        <f>'PLAN INDICATIVO'!I354</f>
        <v>SI</v>
      </c>
      <c r="J361" s="1426">
        <f>'PLAN INDICATIVO'!J354</f>
        <v>0</v>
      </c>
      <c r="K361" s="1426" t="str">
        <f>'PLAN INDICATIVO'!K354</f>
        <v>A.6.3.1</v>
      </c>
      <c r="L361" s="396" t="str">
        <f>'PLAN INDICATIVO'!L354</f>
        <v>7. Energía Asequible y no contaminante</v>
      </c>
      <c r="M361" s="396" t="str">
        <f>'PLAN INDICATIVO'!M354</f>
        <v>Secretaría de Obras Civiles</v>
      </c>
      <c r="N361" s="1425" t="s">
        <v>2933</v>
      </c>
      <c r="O361" s="1426" t="str">
        <f>'PLAN INDICATIVO'!O354</f>
        <v>Incremento</v>
      </c>
      <c r="P361" s="70" t="str">
        <f>'PLAN INDICATIVO'!P354</f>
        <v>Aumentar la cobertura  en gasoducto a 500 nuevas familias del sector urbano y rural, durante el cuatrienio.</v>
      </c>
      <c r="Q361" s="350" t="str">
        <f>'PLAN INDICATIVO'!Q354</f>
        <v>No. De familias beneficiadas con Gasificación</v>
      </c>
      <c r="R361" s="397">
        <f>'PLAN INDICATIVO'!R354</f>
        <v>2015</v>
      </c>
      <c r="S361" s="1433">
        <v>0</v>
      </c>
      <c r="T361" s="682">
        <v>500</v>
      </c>
      <c r="U361" s="1433">
        <v>0</v>
      </c>
      <c r="V361" s="687"/>
      <c r="W361" s="1433">
        <v>100</v>
      </c>
      <c r="X361" s="687">
        <v>14900000</v>
      </c>
      <c r="Y361" s="1433">
        <v>200</v>
      </c>
      <c r="Z361" s="687">
        <v>6700000</v>
      </c>
      <c r="AA361" s="424">
        <v>200</v>
      </c>
      <c r="AB361" s="687">
        <v>800000000</v>
      </c>
      <c r="AC361" s="672">
        <v>0</v>
      </c>
      <c r="AD361" s="672"/>
      <c r="AE361" s="672"/>
      <c r="AF361" s="672"/>
      <c r="AG361" s="425"/>
      <c r="AH361" s="426"/>
      <c r="AI361" s="427"/>
      <c r="AJ361" s="427"/>
      <c r="AK361" s="427"/>
      <c r="AL361" s="427"/>
      <c r="AM361" s="436" t="s">
        <v>2594</v>
      </c>
      <c r="AN361" s="516"/>
      <c r="AO361" s="525"/>
      <c r="AP361" s="310"/>
      <c r="AQ361" s="310"/>
      <c r="AR361" s="310"/>
      <c r="AS361" s="310"/>
      <c r="AT361" s="310"/>
      <c r="AU361" s="310"/>
      <c r="AV361" s="544">
        <f t="shared" si="157"/>
        <v>0</v>
      </c>
      <c r="AW361" s="525"/>
      <c r="AX361" s="310"/>
      <c r="AY361" s="310"/>
      <c r="AZ361" s="310"/>
      <c r="BA361" s="310"/>
      <c r="BB361" s="310"/>
      <c r="BC361" s="310"/>
      <c r="BD361" s="544">
        <f t="shared" si="154"/>
        <v>0</v>
      </c>
      <c r="BE361" s="525"/>
      <c r="BF361" s="310"/>
      <c r="BG361" s="310"/>
      <c r="BH361" s="310"/>
      <c r="BI361" s="310"/>
      <c r="BJ361" s="310"/>
      <c r="BK361" s="310"/>
      <c r="BL361" s="544">
        <f t="shared" si="155"/>
        <v>0</v>
      </c>
      <c r="BM361" s="525"/>
      <c r="BN361" s="310"/>
      <c r="BO361" s="310"/>
      <c r="BP361" s="310"/>
      <c r="BQ361" s="310"/>
      <c r="BR361" s="310"/>
      <c r="BS361" s="310"/>
      <c r="BT361" s="544">
        <f t="shared" si="156"/>
        <v>0</v>
      </c>
      <c r="BU361" s="556"/>
      <c r="BV361" s="663">
        <f t="shared" si="158"/>
        <v>0</v>
      </c>
      <c r="BW361" s="674">
        <f t="shared" si="159"/>
        <v>0</v>
      </c>
      <c r="BX361" s="674" t="e">
        <f t="shared" si="160"/>
        <v>#DIV/0!</v>
      </c>
      <c r="BY361" s="674">
        <f t="shared" si="161"/>
        <v>0</v>
      </c>
      <c r="BZ361" s="675">
        <f t="shared" si="162"/>
        <v>0</v>
      </c>
      <c r="CA361" s="675">
        <f t="shared" si="163"/>
        <v>0</v>
      </c>
    </row>
    <row r="362" spans="1:79" ht="60.75" hidden="1" customHeight="1" thickBot="1" x14ac:dyDescent="0.3">
      <c r="A362" s="401"/>
      <c r="B362" s="405" t="str">
        <f>'PLAN INDICATIVO'!B355</f>
        <v>DIMENSIÓN INSTITUCIONAL</v>
      </c>
      <c r="C362" s="1632" t="s">
        <v>2952</v>
      </c>
      <c r="D362" s="1633"/>
      <c r="E362" s="1633"/>
      <c r="F362" s="1633"/>
      <c r="G362" s="1633"/>
      <c r="H362" s="1633"/>
      <c r="I362" s="1633"/>
      <c r="J362" s="1633"/>
      <c r="K362" s="1633"/>
      <c r="L362" s="1633"/>
      <c r="M362" s="1633"/>
      <c r="N362" s="1633"/>
      <c r="O362" s="1633"/>
      <c r="P362" s="1633"/>
      <c r="Q362" s="1633"/>
      <c r="R362" s="1633"/>
      <c r="S362" s="1633"/>
      <c r="T362" s="1633"/>
      <c r="U362" s="1633"/>
      <c r="V362" s="1633"/>
      <c r="W362" s="1633"/>
      <c r="X362" s="1633"/>
      <c r="Y362" s="1633"/>
      <c r="Z362" s="1633"/>
      <c r="AA362" s="1633"/>
      <c r="AB362" s="1633"/>
      <c r="AC362" s="1633"/>
      <c r="AD362" s="1633"/>
      <c r="AE362" s="1633"/>
      <c r="AF362" s="1633"/>
      <c r="AG362" s="1633"/>
      <c r="AH362" s="1633"/>
      <c r="AI362" s="1633"/>
      <c r="AJ362" s="1633"/>
      <c r="AK362" s="1633"/>
      <c r="AL362" s="1634"/>
      <c r="AM362" s="662"/>
      <c r="AN362" s="641"/>
      <c r="AO362" s="632"/>
      <c r="AP362" s="633"/>
      <c r="AQ362" s="633"/>
      <c r="AR362" s="633"/>
      <c r="AS362" s="633"/>
      <c r="AT362" s="633"/>
      <c r="AU362" s="633"/>
      <c r="AV362" s="555">
        <f t="shared" si="157"/>
        <v>0</v>
      </c>
      <c r="AW362" s="632"/>
      <c r="AX362" s="633"/>
      <c r="AY362" s="633"/>
      <c r="AZ362" s="633"/>
      <c r="BA362" s="633"/>
      <c r="BB362" s="633"/>
      <c r="BC362" s="633"/>
      <c r="BD362" s="555">
        <f t="shared" si="154"/>
        <v>0</v>
      </c>
      <c r="BE362" s="632"/>
      <c r="BF362" s="633"/>
      <c r="BG362" s="633"/>
      <c r="BH362" s="633"/>
      <c r="BI362" s="633"/>
      <c r="BJ362" s="633"/>
      <c r="BK362" s="633"/>
      <c r="BL362" s="555">
        <f t="shared" si="155"/>
        <v>0</v>
      </c>
      <c r="BM362" s="632"/>
      <c r="BN362" s="633"/>
      <c r="BO362" s="633"/>
      <c r="BP362" s="633"/>
      <c r="BQ362" s="633"/>
      <c r="BR362" s="633"/>
      <c r="BS362" s="633"/>
      <c r="BT362" s="555">
        <f t="shared" si="156"/>
        <v>0</v>
      </c>
      <c r="BU362" s="556"/>
      <c r="BV362" s="873">
        <f t="shared" si="158"/>
        <v>0</v>
      </c>
      <c r="BW362" s="874" t="e">
        <f t="shared" si="159"/>
        <v>#DIV/0!</v>
      </c>
      <c r="BX362" s="874" t="e">
        <f t="shared" si="160"/>
        <v>#DIV/0!</v>
      </c>
      <c r="BY362" s="874" t="e">
        <f t="shared" si="161"/>
        <v>#DIV/0!</v>
      </c>
      <c r="BZ362" s="875" t="e">
        <f t="shared" si="162"/>
        <v>#DIV/0!</v>
      </c>
      <c r="CA362" s="875" t="e">
        <f t="shared" si="163"/>
        <v>#DIV/0!</v>
      </c>
    </row>
    <row r="363" spans="1:79" ht="6" hidden="1" customHeight="1" x14ac:dyDescent="0.25">
      <c r="A363" s="290"/>
      <c r="B363" s="430" t="e">
        <f>'PLAN INDICATIVO'!#REF!</f>
        <v>#REF!</v>
      </c>
      <c r="C363" s="431"/>
      <c r="D363" s="381"/>
      <c r="E363" s="381"/>
      <c r="F363" s="381"/>
      <c r="G363" s="381"/>
      <c r="H363" s="381"/>
      <c r="I363" s="381"/>
      <c r="J363" s="381"/>
      <c r="K363" s="381"/>
      <c r="L363" s="381"/>
      <c r="M363" s="381"/>
      <c r="N363" s="382"/>
      <c r="O363" s="381"/>
      <c r="P363" s="383"/>
      <c r="Q363" s="383"/>
      <c r="R363" s="381"/>
      <c r="S363" s="432"/>
      <c r="T363" s="676"/>
      <c r="U363" s="432"/>
      <c r="V363" s="432"/>
      <c r="W363" s="432"/>
      <c r="X363" s="432"/>
      <c r="Y363" s="432"/>
      <c r="Z363" s="432"/>
      <c r="AA363" s="433"/>
      <c r="AB363" s="433"/>
      <c r="AC363" s="433"/>
      <c r="AD363" s="433"/>
      <c r="AE363" s="433"/>
      <c r="AF363" s="433"/>
      <c r="AG363" s="434"/>
      <c r="AH363" s="434"/>
      <c r="AI363" s="433"/>
      <c r="AJ363" s="433"/>
      <c r="AK363" s="433"/>
      <c r="AL363" s="433"/>
      <c r="AM363" s="433"/>
      <c r="AN363" s="518"/>
      <c r="AO363" s="524"/>
      <c r="AP363" s="374"/>
      <c r="AQ363" s="374"/>
      <c r="AR363" s="374"/>
      <c r="AS363" s="374"/>
      <c r="AT363" s="374"/>
      <c r="AU363" s="374"/>
      <c r="AV363" s="544">
        <f t="shared" si="157"/>
        <v>0</v>
      </c>
      <c r="AW363" s="524"/>
      <c r="AX363" s="374"/>
      <c r="AY363" s="374"/>
      <c r="AZ363" s="374"/>
      <c r="BA363" s="374"/>
      <c r="BB363" s="374"/>
      <c r="BC363" s="374"/>
      <c r="BD363" s="544">
        <f t="shared" si="154"/>
        <v>0</v>
      </c>
      <c r="BE363" s="524"/>
      <c r="BF363" s="374"/>
      <c r="BG363" s="374"/>
      <c r="BH363" s="374"/>
      <c r="BI363" s="374"/>
      <c r="BJ363" s="374"/>
      <c r="BK363" s="374"/>
      <c r="BL363" s="544">
        <f t="shared" si="155"/>
        <v>0</v>
      </c>
      <c r="BM363" s="524"/>
      <c r="BN363" s="374"/>
      <c r="BO363" s="374"/>
      <c r="BP363" s="374"/>
      <c r="BQ363" s="374"/>
      <c r="BR363" s="374"/>
      <c r="BS363" s="374"/>
      <c r="BT363" s="544">
        <f t="shared" si="156"/>
        <v>0</v>
      </c>
      <c r="BU363" s="556"/>
      <c r="BV363" s="663">
        <f t="shared" si="158"/>
        <v>0</v>
      </c>
      <c r="BW363" s="674" t="e">
        <f t="shared" si="159"/>
        <v>#DIV/0!</v>
      </c>
      <c r="BX363" s="674" t="e">
        <f t="shared" si="160"/>
        <v>#DIV/0!</v>
      </c>
      <c r="BY363" s="674" t="e">
        <f t="shared" si="161"/>
        <v>#DIV/0!</v>
      </c>
      <c r="BZ363" s="675" t="e">
        <f t="shared" si="162"/>
        <v>#DIV/0!</v>
      </c>
      <c r="CA363" s="675" t="e">
        <f t="shared" si="163"/>
        <v>#DIV/0!</v>
      </c>
    </row>
    <row r="364" spans="1:79" ht="23.25" hidden="1" x14ac:dyDescent="0.25">
      <c r="A364" s="423"/>
      <c r="B364" s="293" t="str">
        <f>'PLAN INDICATIVO'!B356</f>
        <v xml:space="preserve">Equipamiento </v>
      </c>
      <c r="C364" s="1595" t="s">
        <v>2953</v>
      </c>
      <c r="D364" s="1596"/>
      <c r="E364" s="1596"/>
      <c r="F364" s="1596"/>
      <c r="G364" s="1596"/>
      <c r="H364" s="1596"/>
      <c r="I364" s="1596"/>
      <c r="J364" s="1596"/>
      <c r="K364" s="1596"/>
      <c r="L364" s="1596"/>
      <c r="M364" s="1596"/>
      <c r="N364" s="1596"/>
      <c r="O364" s="1596"/>
      <c r="P364" s="1596"/>
      <c r="Q364" s="1596"/>
      <c r="R364" s="1596"/>
      <c r="S364" s="1596"/>
      <c r="T364" s="1596"/>
      <c r="U364" s="1596"/>
      <c r="V364" s="1596"/>
      <c r="W364" s="1596"/>
      <c r="X364" s="1596"/>
      <c r="Y364" s="1596"/>
      <c r="Z364" s="1596"/>
      <c r="AA364" s="1596"/>
      <c r="AB364" s="1596"/>
      <c r="AC364" s="1596"/>
      <c r="AD364" s="1596"/>
      <c r="AE364" s="1596"/>
      <c r="AF364" s="1596"/>
      <c r="AG364" s="1597"/>
      <c r="AH364" s="646"/>
      <c r="AI364" s="294"/>
      <c r="AJ364" s="294"/>
      <c r="AK364" s="294"/>
      <c r="AL364" s="294"/>
      <c r="AM364" s="294"/>
      <c r="AN364" s="505"/>
      <c r="AO364" s="541"/>
      <c r="AP364" s="542"/>
      <c r="AQ364" s="542"/>
      <c r="AR364" s="542"/>
      <c r="AS364" s="542"/>
      <c r="AT364" s="542"/>
      <c r="AU364" s="542"/>
      <c r="AV364" s="543">
        <f t="shared" si="157"/>
        <v>0</v>
      </c>
      <c r="AW364" s="541"/>
      <c r="AX364" s="542"/>
      <c r="AY364" s="542"/>
      <c r="AZ364" s="542"/>
      <c r="BA364" s="542"/>
      <c r="BB364" s="542"/>
      <c r="BC364" s="542"/>
      <c r="BD364" s="543">
        <f t="shared" si="154"/>
        <v>0</v>
      </c>
      <c r="BE364" s="541"/>
      <c r="BF364" s="542"/>
      <c r="BG364" s="542"/>
      <c r="BH364" s="542"/>
      <c r="BI364" s="542"/>
      <c r="BJ364" s="542"/>
      <c r="BK364" s="542"/>
      <c r="BL364" s="543">
        <f t="shared" si="155"/>
        <v>0</v>
      </c>
      <c r="BM364" s="541"/>
      <c r="BN364" s="542"/>
      <c r="BO364" s="542"/>
      <c r="BP364" s="542"/>
      <c r="BQ364" s="542"/>
      <c r="BR364" s="542"/>
      <c r="BS364" s="542"/>
      <c r="BT364" s="543">
        <f t="shared" si="156"/>
        <v>0</v>
      </c>
      <c r="BU364" s="556"/>
      <c r="BV364" s="663">
        <f t="shared" si="158"/>
        <v>0</v>
      </c>
      <c r="BW364" s="674" t="e">
        <f t="shared" si="159"/>
        <v>#DIV/0!</v>
      </c>
      <c r="BX364" s="674" t="e">
        <f t="shared" si="160"/>
        <v>#DIV/0!</v>
      </c>
      <c r="BY364" s="674" t="e">
        <f t="shared" si="161"/>
        <v>#DIV/0!</v>
      </c>
      <c r="BZ364" s="675" t="e">
        <f t="shared" si="162"/>
        <v>#DIV/0!</v>
      </c>
      <c r="CA364" s="675" t="e">
        <f t="shared" si="163"/>
        <v>#DIV/0!</v>
      </c>
    </row>
    <row r="365" spans="1:79" ht="18" hidden="1" x14ac:dyDescent="0.25">
      <c r="A365" s="296"/>
      <c r="B365" s="24" t="str">
        <f>'PLAN INDICATIVO'!B357</f>
        <v xml:space="preserve">Equipamiento </v>
      </c>
      <c r="C365" s="1574" t="s">
        <v>1096</v>
      </c>
      <c r="D365" s="1575"/>
      <c r="E365" s="1575"/>
      <c r="F365" s="1575"/>
      <c r="G365" s="1575"/>
      <c r="H365" s="1575"/>
      <c r="I365" s="1575"/>
      <c r="J365" s="1575"/>
      <c r="K365" s="1575"/>
      <c r="L365" s="1575"/>
      <c r="M365" s="1575"/>
      <c r="N365" s="1575"/>
      <c r="O365" s="1576"/>
      <c r="P365" s="22"/>
      <c r="Q365" s="22"/>
      <c r="R365" s="1"/>
      <c r="S365" s="261"/>
      <c r="T365" s="681"/>
      <c r="U365" s="261"/>
      <c r="V365" s="689">
        <f>SUM(V366:V374)</f>
        <v>1075900000</v>
      </c>
      <c r="W365" s="261"/>
      <c r="X365" s="689">
        <f>SUM(X366:X374)</f>
        <v>1613000000</v>
      </c>
      <c r="Y365" s="261"/>
      <c r="Z365" s="689">
        <f>SUM(Z366:Z374)</f>
        <v>106900000</v>
      </c>
      <c r="AA365" s="262"/>
      <c r="AB365" s="690">
        <f>SUM(AB366:AB374)</f>
        <v>111000000</v>
      </c>
      <c r="AC365" s="262"/>
      <c r="AD365" s="262"/>
      <c r="AE365" s="262"/>
      <c r="AF365" s="262"/>
      <c r="AG365" s="263"/>
      <c r="AH365" s="263"/>
      <c r="AI365" s="262"/>
      <c r="AJ365" s="262"/>
      <c r="AK365" s="262"/>
      <c r="AL365" s="262"/>
      <c r="AM365" s="262"/>
      <c r="AN365" s="612"/>
      <c r="AO365" s="616" t="e">
        <f>(AO366:AO374)</f>
        <v>#VALUE!</v>
      </c>
      <c r="AP365" s="616" t="e">
        <f t="shared" ref="AP365:AU365" si="172">(AP366:AP374)</f>
        <v>#VALUE!</v>
      </c>
      <c r="AQ365" s="616" t="e">
        <f t="shared" si="172"/>
        <v>#VALUE!</v>
      </c>
      <c r="AR365" s="616" t="e">
        <f t="shared" si="172"/>
        <v>#VALUE!</v>
      </c>
      <c r="AS365" s="616" t="e">
        <f t="shared" si="172"/>
        <v>#VALUE!</v>
      </c>
      <c r="AT365" s="616" t="e">
        <f t="shared" si="172"/>
        <v>#VALUE!</v>
      </c>
      <c r="AU365" s="616" t="e">
        <f t="shared" si="172"/>
        <v>#VALUE!</v>
      </c>
      <c r="AV365" s="617" t="e">
        <f t="shared" si="157"/>
        <v>#VALUE!</v>
      </c>
      <c r="AW365" s="616" t="e">
        <f t="shared" ref="AW365:BC365" si="173">(AW366:AW374)</f>
        <v>#VALUE!</v>
      </c>
      <c r="AX365" s="616" t="e">
        <f t="shared" si="173"/>
        <v>#VALUE!</v>
      </c>
      <c r="AY365" s="616" t="e">
        <f t="shared" si="173"/>
        <v>#VALUE!</v>
      </c>
      <c r="AZ365" s="616" t="e">
        <f t="shared" si="173"/>
        <v>#VALUE!</v>
      </c>
      <c r="BA365" s="616" t="e">
        <f t="shared" si="173"/>
        <v>#VALUE!</v>
      </c>
      <c r="BB365" s="616" t="e">
        <f t="shared" si="173"/>
        <v>#VALUE!</v>
      </c>
      <c r="BC365" s="616" t="e">
        <f t="shared" si="173"/>
        <v>#VALUE!</v>
      </c>
      <c r="BD365" s="617" t="e">
        <f t="shared" si="154"/>
        <v>#VALUE!</v>
      </c>
      <c r="BE365" s="616" t="e">
        <f t="shared" ref="BE365:BK365" si="174">(BE366:BE374)</f>
        <v>#VALUE!</v>
      </c>
      <c r="BF365" s="616" t="e">
        <f t="shared" si="174"/>
        <v>#VALUE!</v>
      </c>
      <c r="BG365" s="616" t="e">
        <f t="shared" si="174"/>
        <v>#VALUE!</v>
      </c>
      <c r="BH365" s="616" t="e">
        <f t="shared" si="174"/>
        <v>#VALUE!</v>
      </c>
      <c r="BI365" s="616" t="e">
        <f t="shared" si="174"/>
        <v>#VALUE!</v>
      </c>
      <c r="BJ365" s="616" t="e">
        <f t="shared" si="174"/>
        <v>#VALUE!</v>
      </c>
      <c r="BK365" s="616" t="e">
        <f t="shared" si="174"/>
        <v>#VALUE!</v>
      </c>
      <c r="BL365" s="617" t="e">
        <f t="shared" si="155"/>
        <v>#VALUE!</v>
      </c>
      <c r="BM365" s="616" t="e">
        <f t="shared" ref="BM365:BS365" si="175">(BM366:BM374)</f>
        <v>#VALUE!</v>
      </c>
      <c r="BN365" s="616" t="e">
        <f t="shared" si="175"/>
        <v>#VALUE!</v>
      </c>
      <c r="BO365" s="616" t="e">
        <f t="shared" si="175"/>
        <v>#VALUE!</v>
      </c>
      <c r="BP365" s="616" t="e">
        <f t="shared" si="175"/>
        <v>#VALUE!</v>
      </c>
      <c r="BQ365" s="616" t="e">
        <f t="shared" si="175"/>
        <v>#VALUE!</v>
      </c>
      <c r="BR365" s="616" t="e">
        <f t="shared" si="175"/>
        <v>#VALUE!</v>
      </c>
      <c r="BS365" s="616" t="e">
        <f t="shared" si="175"/>
        <v>#VALUE!</v>
      </c>
      <c r="BT365" s="617" t="e">
        <f t="shared" si="156"/>
        <v>#VALUE!</v>
      </c>
      <c r="BU365" s="556"/>
      <c r="BV365" s="663">
        <f t="shared" si="158"/>
        <v>0</v>
      </c>
      <c r="BW365" s="674" t="e">
        <f t="shared" si="159"/>
        <v>#DIV/0!</v>
      </c>
      <c r="BX365" s="674" t="e">
        <f t="shared" si="160"/>
        <v>#DIV/0!</v>
      </c>
      <c r="BY365" s="674" t="e">
        <f t="shared" si="161"/>
        <v>#DIV/0!</v>
      </c>
      <c r="BZ365" s="675" t="e">
        <f t="shared" si="162"/>
        <v>#DIV/0!</v>
      </c>
      <c r="CA365" s="675" t="e">
        <f t="shared" si="163"/>
        <v>#DIV/0!</v>
      </c>
    </row>
    <row r="366" spans="1:79" ht="123.75" hidden="1" customHeight="1" x14ac:dyDescent="0.25">
      <c r="A366" s="298" t="s">
        <v>1097</v>
      </c>
      <c r="B366" s="299" t="str">
        <f>'PLAN INDICATIVO'!B358</f>
        <v xml:space="preserve">Equipamiento </v>
      </c>
      <c r="C366" s="1546" t="s">
        <v>1098</v>
      </c>
      <c r="D366" s="1549" t="s">
        <v>1099</v>
      </c>
      <c r="E366" s="1549" t="s">
        <v>1100</v>
      </c>
      <c r="F366" s="1549">
        <v>2015</v>
      </c>
      <c r="G366" s="1549" t="s">
        <v>177</v>
      </c>
      <c r="H366" s="1549">
        <v>80</v>
      </c>
      <c r="I366" s="1425" t="str">
        <f>'PLAN INDICATIVO'!I358</f>
        <v>SI</v>
      </c>
      <c r="J366" s="1425">
        <f>'PLAN INDICATIVO'!J358</f>
        <v>0</v>
      </c>
      <c r="K366" s="1425" t="str">
        <f>'PLAN INDICATIVO'!K358</f>
        <v>A.15.1.1</v>
      </c>
      <c r="L366" s="301" t="str">
        <f>'PLAN INDICATIVO'!L358</f>
        <v>11. Ciudades y comunidades sostenibles</v>
      </c>
      <c r="M366" s="301" t="str">
        <f>'PLAN INDICATIVO'!M358</f>
        <v>Departamento Municipal de Planeación</v>
      </c>
      <c r="N366" s="1425" t="s">
        <v>2954</v>
      </c>
      <c r="O366" s="1425" t="str">
        <f>'PLAN INDICATIVO'!O358</f>
        <v>Incremento</v>
      </c>
      <c r="P366" s="16" t="str">
        <f>'PLAN INDICATIVO'!P358</f>
        <v>Realizar la construcción, adecuación y/o mantenimiento de 4 instalaciones públicas,  durante el cuatrienio (palacio municipal, casa de la cultura, casa de la justicia, entre otros)</v>
      </c>
      <c r="Q366" s="302" t="str">
        <f>'PLAN INDICATIVO'!Q358</f>
        <v>No. De instalaciones administrativas construidas, adecuadas o con mantenimiento durante el cuatrienio</v>
      </c>
      <c r="R366" s="303">
        <f>'PLAN INDICATIVO'!R358</f>
        <v>2015</v>
      </c>
      <c r="S366" s="304">
        <v>0</v>
      </c>
      <c r="T366" s="498">
        <v>4</v>
      </c>
      <c r="U366" s="303">
        <v>1</v>
      </c>
      <c r="V366" s="687">
        <v>22100000</v>
      </c>
      <c r="W366" s="572">
        <v>1</v>
      </c>
      <c r="X366" s="687">
        <v>1000000000</v>
      </c>
      <c r="Y366" s="572">
        <v>1</v>
      </c>
      <c r="Z366" s="687">
        <v>52400000</v>
      </c>
      <c r="AA366" s="572">
        <v>1</v>
      </c>
      <c r="AB366" s="687">
        <v>99000000</v>
      </c>
      <c r="AC366" s="665">
        <v>1</v>
      </c>
      <c r="AD366" s="665"/>
      <c r="AE366" s="665"/>
      <c r="AF366" s="665"/>
      <c r="AG366" s="306" t="s">
        <v>2955</v>
      </c>
      <c r="AH366" s="307" t="s">
        <v>2956</v>
      </c>
      <c r="AI366" s="335">
        <v>37104</v>
      </c>
      <c r="AJ366" s="335">
        <v>11232</v>
      </c>
      <c r="AK366" s="308"/>
      <c r="AL366" s="308"/>
      <c r="AM366" s="267" t="s">
        <v>2604</v>
      </c>
      <c r="AN366" s="507" t="s">
        <v>2957</v>
      </c>
      <c r="AO366" s="525"/>
      <c r="AP366" s="310">
        <f>25796520+10000000+2200000</f>
        <v>37996520</v>
      </c>
      <c r="AQ366" s="310"/>
      <c r="AR366" s="310"/>
      <c r="AS366" s="310"/>
      <c r="AT366" s="310"/>
      <c r="AU366" s="310"/>
      <c r="AV366" s="544">
        <f t="shared" si="157"/>
        <v>37996520</v>
      </c>
      <c r="AW366" s="525"/>
      <c r="AX366" s="310"/>
      <c r="AY366" s="310"/>
      <c r="AZ366" s="310"/>
      <c r="BA366" s="310"/>
      <c r="BB366" s="310"/>
      <c r="BC366" s="310"/>
      <c r="BD366" s="544">
        <f t="shared" si="154"/>
        <v>0</v>
      </c>
      <c r="BE366" s="525"/>
      <c r="BF366" s="310"/>
      <c r="BG366" s="310"/>
      <c r="BH366" s="310"/>
      <c r="BI366" s="310"/>
      <c r="BJ366" s="310"/>
      <c r="BK366" s="310"/>
      <c r="BL366" s="544">
        <f t="shared" si="155"/>
        <v>0</v>
      </c>
      <c r="BM366" s="525"/>
      <c r="BN366" s="310"/>
      <c r="BO366" s="310"/>
      <c r="BP366" s="310"/>
      <c r="BQ366" s="310"/>
      <c r="BR366" s="310"/>
      <c r="BS366" s="310"/>
      <c r="BT366" s="544">
        <f t="shared" si="156"/>
        <v>0</v>
      </c>
      <c r="BU366" s="556"/>
      <c r="BV366" s="663">
        <f t="shared" si="158"/>
        <v>1</v>
      </c>
      <c r="BW366" s="674">
        <f t="shared" si="159"/>
        <v>0.25</v>
      </c>
      <c r="BX366" s="674">
        <f t="shared" si="160"/>
        <v>1</v>
      </c>
      <c r="BY366" s="674">
        <f t="shared" si="161"/>
        <v>0</v>
      </c>
      <c r="BZ366" s="675">
        <f t="shared" si="162"/>
        <v>0</v>
      </c>
      <c r="CA366" s="675">
        <f t="shared" si="163"/>
        <v>0</v>
      </c>
    </row>
    <row r="367" spans="1:79" ht="81.75" hidden="1" customHeight="1" x14ac:dyDescent="0.25">
      <c r="A367" s="298" t="s">
        <v>1097</v>
      </c>
      <c r="B367" s="299" t="str">
        <f>'PLAN INDICATIVO'!B359</f>
        <v xml:space="preserve">Equipamiento </v>
      </c>
      <c r="C367" s="1547"/>
      <c r="D367" s="1549"/>
      <c r="E367" s="1549"/>
      <c r="F367" s="1549"/>
      <c r="G367" s="1549"/>
      <c r="H367" s="1549"/>
      <c r="I367" s="1425" t="str">
        <f>'PLAN INDICATIVO'!I359</f>
        <v>si</v>
      </c>
      <c r="J367" s="1425">
        <f>'PLAN INDICATIVO'!J359</f>
        <v>0</v>
      </c>
      <c r="K367" s="1425" t="str">
        <f>'PLAN INDICATIVO'!K359</f>
        <v>A.15.1.2</v>
      </c>
      <c r="L367" s="301" t="str">
        <f>'PLAN INDICATIVO'!L359</f>
        <v>11. Ciudades y comunidades sostenibles</v>
      </c>
      <c r="M367" s="301" t="str">
        <f>'PLAN INDICATIVO'!M359</f>
        <v>Departamento Municipal de Planeación</v>
      </c>
      <c r="N367" s="1425" t="s">
        <v>2954</v>
      </c>
      <c r="O367" s="1425" t="str">
        <f>'PLAN INDICATIVO'!O359</f>
        <v>Incremento</v>
      </c>
      <c r="P367" s="16" t="str">
        <f>'PLAN INDICATIVO'!P359</f>
        <v xml:space="preserve">Realizar la Construcción, Adecuación y/o mantenimiento  de 3 espacios públicos, zonas verdes, parques, plazoletas o plazas de mercado, durante el cuatrienio </v>
      </c>
      <c r="Q367" s="302" t="str">
        <f>'PLAN INDICATIVO'!Q359</f>
        <v>No. De espacios públicos con mejoramiento y/o mantenimiento durante el cuatrienio</v>
      </c>
      <c r="R367" s="303">
        <f>'PLAN INDICATIVO'!R359</f>
        <v>2015</v>
      </c>
      <c r="S367" s="304">
        <v>1</v>
      </c>
      <c r="T367" s="498">
        <v>3</v>
      </c>
      <c r="U367" s="303">
        <v>1</v>
      </c>
      <c r="V367" s="687">
        <v>149800000</v>
      </c>
      <c r="W367" s="572">
        <v>1</v>
      </c>
      <c r="X367" s="687">
        <v>52000000</v>
      </c>
      <c r="Y367" s="572">
        <v>1</v>
      </c>
      <c r="Z367" s="687">
        <v>40000000</v>
      </c>
      <c r="AA367" s="572">
        <v>0</v>
      </c>
      <c r="AB367" s="687"/>
      <c r="AC367" s="665">
        <v>0.3</v>
      </c>
      <c r="AD367" s="665"/>
      <c r="AE367" s="665"/>
      <c r="AF367" s="665"/>
      <c r="AG367" s="338"/>
      <c r="AH367" s="336" t="s">
        <v>2958</v>
      </c>
      <c r="AI367" s="339">
        <v>37104</v>
      </c>
      <c r="AJ367" s="339">
        <v>11293</v>
      </c>
      <c r="AK367" s="337"/>
      <c r="AL367" s="337"/>
      <c r="AM367" s="267" t="s">
        <v>2604</v>
      </c>
      <c r="AN367" s="510">
        <v>231510</v>
      </c>
      <c r="AO367" s="528">
        <v>7000000</v>
      </c>
      <c r="AP367" s="472"/>
      <c r="AQ367" s="472"/>
      <c r="AR367" s="472"/>
      <c r="AS367" s="472"/>
      <c r="AT367" s="472"/>
      <c r="AU367" s="472">
        <v>16794</v>
      </c>
      <c r="AV367" s="544">
        <f t="shared" si="157"/>
        <v>7016794</v>
      </c>
      <c r="AW367" s="528"/>
      <c r="AX367" s="472"/>
      <c r="AY367" s="472"/>
      <c r="AZ367" s="472"/>
      <c r="BA367" s="472"/>
      <c r="BB367" s="472"/>
      <c r="BC367" s="472"/>
      <c r="BD367" s="544">
        <f t="shared" si="154"/>
        <v>0</v>
      </c>
      <c r="BE367" s="528"/>
      <c r="BF367" s="472"/>
      <c r="BG367" s="472"/>
      <c r="BH367" s="472"/>
      <c r="BI367" s="472"/>
      <c r="BJ367" s="472"/>
      <c r="BK367" s="472"/>
      <c r="BL367" s="544">
        <f t="shared" si="155"/>
        <v>0</v>
      </c>
      <c r="BM367" s="528"/>
      <c r="BN367" s="472"/>
      <c r="BO367" s="472"/>
      <c r="BP367" s="472"/>
      <c r="BQ367" s="472"/>
      <c r="BR367" s="472"/>
      <c r="BS367" s="472"/>
      <c r="BT367" s="544">
        <f t="shared" si="156"/>
        <v>0</v>
      </c>
      <c r="BU367" s="556"/>
      <c r="BV367" s="663">
        <f t="shared" si="158"/>
        <v>0.3</v>
      </c>
      <c r="BW367" s="674">
        <f t="shared" si="159"/>
        <v>9.9999999999999992E-2</v>
      </c>
      <c r="BX367" s="674">
        <f t="shared" si="160"/>
        <v>0.3</v>
      </c>
      <c r="BY367" s="674">
        <f t="shared" si="161"/>
        <v>0</v>
      </c>
      <c r="BZ367" s="675">
        <f t="shared" si="162"/>
        <v>0</v>
      </c>
      <c r="CA367" s="675" t="e">
        <f t="shared" si="163"/>
        <v>#DIV/0!</v>
      </c>
    </row>
    <row r="368" spans="1:79" ht="69" hidden="1" customHeight="1" x14ac:dyDescent="0.25">
      <c r="A368" s="298" t="s">
        <v>1097</v>
      </c>
      <c r="B368" s="299" t="str">
        <f>'PLAN INDICATIVO'!B360</f>
        <v xml:space="preserve">Equipamiento </v>
      </c>
      <c r="C368" s="1547"/>
      <c r="D368" s="1549"/>
      <c r="E368" s="1549"/>
      <c r="F368" s="1549"/>
      <c r="G368" s="1549"/>
      <c r="H368" s="1549"/>
      <c r="I368" s="1425" t="str">
        <f>'PLAN INDICATIVO'!I360</f>
        <v>SI</v>
      </c>
      <c r="J368" s="1425">
        <f>'PLAN INDICATIVO'!J360</f>
        <v>0</v>
      </c>
      <c r="K368" s="1425" t="str">
        <f>'PLAN INDICATIVO'!K360</f>
        <v>A.15.1.3</v>
      </c>
      <c r="L368" s="301" t="str">
        <f>'PLAN INDICATIVO'!L360</f>
        <v>11. Ciudades y comunidades sostenibles</v>
      </c>
      <c r="M368" s="301" t="str">
        <f>'PLAN INDICATIVO'!M360</f>
        <v>Departamento Municipal de Planeación</v>
      </c>
      <c r="N368" s="1425" t="s">
        <v>2954</v>
      </c>
      <c r="O368" s="1425" t="str">
        <f>'PLAN INDICATIVO'!O360</f>
        <v>Incremento</v>
      </c>
      <c r="P368" s="16" t="str">
        <f>'PLAN INDICATIVO'!P360</f>
        <v>Inscribir 1 proyecto para gestionar recursos y/o reubicar la plaza de mercado durante el cuatrienio</v>
      </c>
      <c r="Q368" s="302" t="str">
        <f>'PLAN INDICATIVO'!Q360</f>
        <v>No. Proyectos inscritos</v>
      </c>
      <c r="R368" s="303">
        <f>'PLAN INDICATIVO'!R360</f>
        <v>2015</v>
      </c>
      <c r="S368" s="304">
        <v>0</v>
      </c>
      <c r="T368" s="498">
        <v>1</v>
      </c>
      <c r="U368" s="303">
        <v>0</v>
      </c>
      <c r="V368" s="687"/>
      <c r="W368" s="572">
        <v>1</v>
      </c>
      <c r="X368" s="687">
        <v>1000000</v>
      </c>
      <c r="Y368" s="572">
        <v>0</v>
      </c>
      <c r="Z368" s="687"/>
      <c r="AA368" s="572">
        <v>0</v>
      </c>
      <c r="AB368" s="687"/>
      <c r="AC368" s="665">
        <v>0</v>
      </c>
      <c r="AD368" s="665"/>
      <c r="AE368" s="665"/>
      <c r="AF368" s="665"/>
      <c r="AG368" s="306"/>
      <c r="AH368" s="307"/>
      <c r="AI368" s="308"/>
      <c r="AJ368" s="308"/>
      <c r="AK368" s="308"/>
      <c r="AL368" s="308"/>
      <c r="AM368" s="267" t="s">
        <v>2594</v>
      </c>
      <c r="AN368" s="507"/>
      <c r="AO368" s="528"/>
      <c r="AP368" s="310"/>
      <c r="AQ368" s="310"/>
      <c r="AR368" s="310"/>
      <c r="AS368" s="310"/>
      <c r="AT368" s="310"/>
      <c r="AU368" s="310"/>
      <c r="AV368" s="544">
        <f t="shared" si="157"/>
        <v>0</v>
      </c>
      <c r="AW368" s="525"/>
      <c r="AX368" s="310"/>
      <c r="AY368" s="310"/>
      <c r="AZ368" s="310"/>
      <c r="BA368" s="310"/>
      <c r="BB368" s="310"/>
      <c r="BC368" s="310"/>
      <c r="BD368" s="544">
        <f t="shared" si="154"/>
        <v>0</v>
      </c>
      <c r="BE368" s="525"/>
      <c r="BF368" s="310"/>
      <c r="BG368" s="310"/>
      <c r="BH368" s="310"/>
      <c r="BI368" s="310"/>
      <c r="BJ368" s="310"/>
      <c r="BK368" s="310"/>
      <c r="BL368" s="544">
        <f t="shared" si="155"/>
        <v>0</v>
      </c>
      <c r="BM368" s="525"/>
      <c r="BN368" s="310"/>
      <c r="BO368" s="310"/>
      <c r="BP368" s="310"/>
      <c r="BQ368" s="310"/>
      <c r="BR368" s="310"/>
      <c r="BS368" s="310"/>
      <c r="BT368" s="544">
        <f t="shared" si="156"/>
        <v>0</v>
      </c>
      <c r="BU368" s="556"/>
      <c r="BV368" s="663">
        <f t="shared" si="158"/>
        <v>0</v>
      </c>
      <c r="BW368" s="674">
        <f t="shared" si="159"/>
        <v>0</v>
      </c>
      <c r="BX368" s="674" t="e">
        <f t="shared" si="160"/>
        <v>#DIV/0!</v>
      </c>
      <c r="BY368" s="674">
        <f t="shared" si="161"/>
        <v>0</v>
      </c>
      <c r="BZ368" s="675" t="e">
        <f t="shared" si="162"/>
        <v>#DIV/0!</v>
      </c>
      <c r="CA368" s="675" t="e">
        <f t="shared" si="163"/>
        <v>#DIV/0!</v>
      </c>
    </row>
    <row r="369" spans="1:79" ht="51.75" hidden="1" customHeight="1" x14ac:dyDescent="0.25">
      <c r="A369" s="298" t="s">
        <v>1097</v>
      </c>
      <c r="B369" s="299" t="str">
        <f>'PLAN INDICATIVO'!B361</f>
        <v xml:space="preserve">Equipamiento </v>
      </c>
      <c r="C369" s="1547"/>
      <c r="D369" s="1549"/>
      <c r="E369" s="1549"/>
      <c r="F369" s="1549"/>
      <c r="G369" s="1549"/>
      <c r="H369" s="1549"/>
      <c r="I369" s="1425" t="str">
        <f>'PLAN INDICATIVO'!I361</f>
        <v>SI</v>
      </c>
      <c r="J369" s="1425">
        <f>'PLAN INDICATIVO'!J361</f>
        <v>0</v>
      </c>
      <c r="K369" s="1425" t="str">
        <f>'PLAN INDICATIVO'!K361</f>
        <v>A.15.1.4</v>
      </c>
      <c r="L369" s="301" t="str">
        <f>'PLAN INDICATIVO'!L361</f>
        <v>11. Ciudades y comunidades sostenibles</v>
      </c>
      <c r="M369" s="301" t="str">
        <f>'PLAN INDICATIVO'!M361</f>
        <v>Departamento Municipal de Planeación</v>
      </c>
      <c r="N369" s="1425" t="s">
        <v>2954</v>
      </c>
      <c r="O369" s="1425" t="str">
        <f>'PLAN INDICATIVO'!O361</f>
        <v>Incremento</v>
      </c>
      <c r="P369" s="16" t="str">
        <f>'PLAN INDICATIVO'!P361</f>
        <v>Realizar 1 obra de adecuación, dotación y/o mantenimiento de  las instalaciones del honorable Concejo Municipal, durante el cuatrienio</v>
      </c>
      <c r="Q369" s="302" t="str">
        <f>'PLAN INDICATIVO'!Q361</f>
        <v>No. De Adecuaciones o mantenimientos realizados</v>
      </c>
      <c r="R369" s="303">
        <f>'PLAN INDICATIVO'!R361</f>
        <v>2015</v>
      </c>
      <c r="S369" s="304">
        <v>0</v>
      </c>
      <c r="T369" s="498">
        <v>1</v>
      </c>
      <c r="U369" s="303">
        <v>1</v>
      </c>
      <c r="V369" s="687">
        <v>25000000</v>
      </c>
      <c r="W369" s="572">
        <v>0</v>
      </c>
      <c r="X369" s="687"/>
      <c r="Y369" s="572">
        <v>0</v>
      </c>
      <c r="Z369" s="687"/>
      <c r="AA369" s="572">
        <v>0</v>
      </c>
      <c r="AB369" s="687"/>
      <c r="AC369" s="665">
        <v>1</v>
      </c>
      <c r="AD369" s="665"/>
      <c r="AE369" s="665"/>
      <c r="AF369" s="665"/>
      <c r="AG369" s="306"/>
      <c r="AH369" s="307" t="s">
        <v>2959</v>
      </c>
      <c r="AI369" s="335">
        <v>37104</v>
      </c>
      <c r="AJ369" s="335">
        <v>11293</v>
      </c>
      <c r="AK369" s="308"/>
      <c r="AL369" s="308"/>
      <c r="AM369" s="267" t="s">
        <v>2598</v>
      </c>
      <c r="AN369" s="507" t="s">
        <v>2960</v>
      </c>
      <c r="AO369" s="525">
        <v>20000000</v>
      </c>
      <c r="AP369" s="310"/>
      <c r="AQ369" s="310"/>
      <c r="AR369" s="310"/>
      <c r="AS369" s="310"/>
      <c r="AT369" s="310"/>
      <c r="AU369" s="310"/>
      <c r="AV369" s="544">
        <f t="shared" si="157"/>
        <v>20000000</v>
      </c>
      <c r="AW369" s="525"/>
      <c r="AX369" s="310"/>
      <c r="AY369" s="310"/>
      <c r="AZ369" s="310"/>
      <c r="BA369" s="310"/>
      <c r="BB369" s="310"/>
      <c r="BC369" s="310"/>
      <c r="BD369" s="544">
        <f t="shared" si="154"/>
        <v>0</v>
      </c>
      <c r="BE369" s="525"/>
      <c r="BF369" s="310"/>
      <c r="BG369" s="310"/>
      <c r="BH369" s="310"/>
      <c r="BI369" s="310"/>
      <c r="BJ369" s="310"/>
      <c r="BK369" s="310"/>
      <c r="BL369" s="544">
        <f t="shared" si="155"/>
        <v>0</v>
      </c>
      <c r="BM369" s="525"/>
      <c r="BN369" s="310"/>
      <c r="BO369" s="310"/>
      <c r="BP369" s="310"/>
      <c r="BQ369" s="310"/>
      <c r="BR369" s="310"/>
      <c r="BS369" s="310"/>
      <c r="BT369" s="544">
        <f t="shared" si="156"/>
        <v>0</v>
      </c>
      <c r="BU369" s="556"/>
      <c r="BV369" s="663">
        <f t="shared" si="158"/>
        <v>1</v>
      </c>
      <c r="BW369" s="674">
        <f t="shared" si="159"/>
        <v>1</v>
      </c>
      <c r="BX369" s="674">
        <f t="shared" si="160"/>
        <v>1</v>
      </c>
      <c r="BY369" s="674" t="e">
        <f t="shared" si="161"/>
        <v>#DIV/0!</v>
      </c>
      <c r="BZ369" s="675" t="e">
        <f t="shared" si="162"/>
        <v>#DIV/0!</v>
      </c>
      <c r="CA369" s="675" t="e">
        <f t="shared" si="163"/>
        <v>#DIV/0!</v>
      </c>
    </row>
    <row r="370" spans="1:79" ht="84" hidden="1" customHeight="1" x14ac:dyDescent="0.25">
      <c r="A370" s="298" t="s">
        <v>1097</v>
      </c>
      <c r="B370" s="299" t="str">
        <f>'PLAN INDICATIVO'!B362</f>
        <v xml:space="preserve">Equipamiento </v>
      </c>
      <c r="C370" s="1547"/>
      <c r="D370" s="1549"/>
      <c r="E370" s="1549"/>
      <c r="F370" s="1549"/>
      <c r="G370" s="1549"/>
      <c r="H370" s="1549"/>
      <c r="I370" s="1425" t="str">
        <f>'PLAN INDICATIVO'!I362</f>
        <v>SI</v>
      </c>
      <c r="J370" s="1425">
        <f>'PLAN INDICATIVO'!J362</f>
        <v>0</v>
      </c>
      <c r="K370" s="1425" t="str">
        <f>'PLAN INDICATIVO'!K362</f>
        <v>A.15.1.5</v>
      </c>
      <c r="L370" s="301" t="str">
        <f>'PLAN INDICATIVO'!L362</f>
        <v>11. Ciudades y comunidades sostenibles</v>
      </c>
      <c r="M370" s="301" t="str">
        <f>'PLAN INDICATIVO'!M362</f>
        <v>Departamento Municipal de Planeación</v>
      </c>
      <c r="N370" s="1425" t="s">
        <v>2954</v>
      </c>
      <c r="O370" s="1425" t="str">
        <f>'PLAN INDICATIVO'!O362</f>
        <v>Incremento</v>
      </c>
      <c r="P370" s="16" t="str">
        <f>'PLAN INDICATIVO'!P362</f>
        <v>Realizar 1 proyecto inscrito, con apoyo y gestión de recursos para la reubicación de la estación de policía del La Plata, durante el cuatrienio</v>
      </c>
      <c r="Q370" s="302" t="str">
        <f>'PLAN INDICATIVO'!Q362</f>
        <v>No. De proyectos realizados durante el cuatrienio</v>
      </c>
      <c r="R370" s="303">
        <f>'PLAN INDICATIVO'!R362</f>
        <v>2015</v>
      </c>
      <c r="S370" s="304">
        <v>0</v>
      </c>
      <c r="T370" s="498">
        <v>1</v>
      </c>
      <c r="U370" s="303">
        <v>0</v>
      </c>
      <c r="V370" s="687"/>
      <c r="W370" s="572">
        <v>1</v>
      </c>
      <c r="X370" s="687">
        <v>510000000</v>
      </c>
      <c r="Y370" s="572">
        <v>0</v>
      </c>
      <c r="Z370" s="687"/>
      <c r="AA370" s="572">
        <v>0</v>
      </c>
      <c r="AB370" s="687"/>
      <c r="AC370" s="665">
        <v>0</v>
      </c>
      <c r="AD370" s="665"/>
      <c r="AE370" s="665"/>
      <c r="AF370" s="665"/>
      <c r="AG370" s="306"/>
      <c r="AH370" s="307"/>
      <c r="AI370" s="308"/>
      <c r="AJ370" s="308"/>
      <c r="AK370" s="308"/>
      <c r="AL370" s="308"/>
      <c r="AM370" s="267" t="s">
        <v>2594</v>
      </c>
      <c r="AN370" s="507"/>
      <c r="AO370" s="525"/>
      <c r="AP370" s="310"/>
      <c r="AQ370" s="310"/>
      <c r="AR370" s="310"/>
      <c r="AS370" s="310"/>
      <c r="AT370" s="310"/>
      <c r="AU370" s="310"/>
      <c r="AV370" s="544">
        <f t="shared" si="157"/>
        <v>0</v>
      </c>
      <c r="AW370" s="525"/>
      <c r="AX370" s="310"/>
      <c r="AY370" s="310"/>
      <c r="AZ370" s="310"/>
      <c r="BA370" s="310"/>
      <c r="BB370" s="310"/>
      <c r="BC370" s="310"/>
      <c r="BD370" s="544">
        <f t="shared" si="154"/>
        <v>0</v>
      </c>
      <c r="BE370" s="525"/>
      <c r="BF370" s="310"/>
      <c r="BG370" s="310"/>
      <c r="BH370" s="310"/>
      <c r="BI370" s="310"/>
      <c r="BJ370" s="310"/>
      <c r="BK370" s="310"/>
      <c r="BL370" s="544">
        <f t="shared" si="155"/>
        <v>0</v>
      </c>
      <c r="BM370" s="525"/>
      <c r="BN370" s="310"/>
      <c r="BO370" s="310"/>
      <c r="BP370" s="310"/>
      <c r="BQ370" s="310"/>
      <c r="BR370" s="310"/>
      <c r="BS370" s="310"/>
      <c r="BT370" s="544">
        <f t="shared" si="156"/>
        <v>0</v>
      </c>
      <c r="BU370" s="556"/>
      <c r="BV370" s="663">
        <f t="shared" si="158"/>
        <v>0</v>
      </c>
      <c r="BW370" s="674">
        <f t="shared" si="159"/>
        <v>0</v>
      </c>
      <c r="BX370" s="674" t="e">
        <f t="shared" si="160"/>
        <v>#DIV/0!</v>
      </c>
      <c r="BY370" s="674">
        <f t="shared" si="161"/>
        <v>0</v>
      </c>
      <c r="BZ370" s="675" t="e">
        <f t="shared" si="162"/>
        <v>#DIV/0!</v>
      </c>
      <c r="CA370" s="675" t="e">
        <f t="shared" si="163"/>
        <v>#DIV/0!</v>
      </c>
    </row>
    <row r="371" spans="1:79" ht="36" hidden="1" customHeight="1" x14ac:dyDescent="0.25">
      <c r="A371" s="298" t="s">
        <v>1097</v>
      </c>
      <c r="B371" s="299" t="str">
        <f>'PLAN INDICATIVO'!B363</f>
        <v xml:space="preserve">Equipamiento </v>
      </c>
      <c r="C371" s="1547"/>
      <c r="D371" s="1549"/>
      <c r="E371" s="1549"/>
      <c r="F371" s="1549"/>
      <c r="G371" s="1549"/>
      <c r="H371" s="1549"/>
      <c r="I371" s="300">
        <f>'PLAN INDICATIVO'!I363</f>
        <v>0</v>
      </c>
      <c r="J371" s="300">
        <f>'PLAN INDICATIVO'!J363</f>
        <v>0</v>
      </c>
      <c r="K371" s="1425" t="str">
        <f>'PLAN INDICATIVO'!K363</f>
        <v>A.15.1.6</v>
      </c>
      <c r="L371" s="301" t="str">
        <f>'PLAN INDICATIVO'!L363</f>
        <v>11. Ciudades y comunidades sostenibles</v>
      </c>
      <c r="M371" s="301" t="str">
        <f>'PLAN INDICATIVO'!M363</f>
        <v>Departamento Municipal de Planeación</v>
      </c>
      <c r="N371" s="1425" t="s">
        <v>2954</v>
      </c>
      <c r="O371" s="1425" t="str">
        <f>'PLAN INDICATIVO'!O363</f>
        <v>Incremento</v>
      </c>
      <c r="P371" s="16" t="str">
        <f>'PLAN INDICATIVO'!P363</f>
        <v>Construir 1 centro de integración ciudadana durante el cuatrienio</v>
      </c>
      <c r="Q371" s="302" t="str">
        <f>'PLAN INDICATIVO'!Q363</f>
        <v>No. De centros de integración construidos</v>
      </c>
      <c r="R371" s="303">
        <f>'PLAN INDICATIVO'!R363</f>
        <v>2015</v>
      </c>
      <c r="S371" s="304">
        <v>0</v>
      </c>
      <c r="T371" s="498">
        <v>1</v>
      </c>
      <c r="U371" s="303">
        <v>1</v>
      </c>
      <c r="V371" s="687">
        <v>879000000</v>
      </c>
      <c r="W371" s="572">
        <v>0</v>
      </c>
      <c r="X371" s="687"/>
      <c r="Y371" s="572">
        <v>0</v>
      </c>
      <c r="Z371" s="687"/>
      <c r="AA371" s="572">
        <v>0</v>
      </c>
      <c r="AB371" s="687"/>
      <c r="AC371" s="665">
        <v>0.3</v>
      </c>
      <c r="AD371" s="665"/>
      <c r="AE371" s="665"/>
      <c r="AF371" s="665"/>
      <c r="AG371" s="349"/>
      <c r="AH371" s="764" t="s">
        <v>2961</v>
      </c>
      <c r="AI371" s="376"/>
      <c r="AJ371" s="376"/>
      <c r="AK371" s="376"/>
      <c r="AL371" s="376"/>
      <c r="AM371" s="267" t="s">
        <v>2600</v>
      </c>
      <c r="AN371" s="519"/>
      <c r="AO371" s="532"/>
      <c r="AP371" s="475"/>
      <c r="AQ371" s="475"/>
      <c r="AR371" s="475"/>
      <c r="AS371" s="475"/>
      <c r="AT371" s="475"/>
      <c r="AU371" s="475"/>
      <c r="AV371" s="544">
        <f t="shared" si="157"/>
        <v>0</v>
      </c>
      <c r="AW371" s="532"/>
      <c r="AX371" s="475"/>
      <c r="AY371" s="475"/>
      <c r="AZ371" s="475"/>
      <c r="BA371" s="475"/>
      <c r="BB371" s="475"/>
      <c r="BC371" s="475"/>
      <c r="BD371" s="544">
        <f t="shared" si="154"/>
        <v>0</v>
      </c>
      <c r="BE371" s="532"/>
      <c r="BF371" s="475"/>
      <c r="BG371" s="475"/>
      <c r="BH371" s="475"/>
      <c r="BI371" s="475"/>
      <c r="BJ371" s="475"/>
      <c r="BK371" s="475"/>
      <c r="BL371" s="544">
        <f t="shared" si="155"/>
        <v>0</v>
      </c>
      <c r="BM371" s="532"/>
      <c r="BN371" s="475"/>
      <c r="BO371" s="475"/>
      <c r="BP371" s="475"/>
      <c r="BQ371" s="475"/>
      <c r="BR371" s="475"/>
      <c r="BS371" s="475"/>
      <c r="BT371" s="544">
        <f t="shared" si="156"/>
        <v>0</v>
      </c>
      <c r="BU371" s="556"/>
      <c r="BV371" s="663">
        <f t="shared" si="158"/>
        <v>0.3</v>
      </c>
      <c r="BW371" s="674">
        <f t="shared" si="159"/>
        <v>0.3</v>
      </c>
      <c r="BX371" s="674">
        <f t="shared" si="160"/>
        <v>0.3</v>
      </c>
      <c r="BY371" s="674" t="e">
        <f t="shared" si="161"/>
        <v>#DIV/0!</v>
      </c>
      <c r="BZ371" s="675" t="e">
        <f t="shared" si="162"/>
        <v>#DIV/0!</v>
      </c>
      <c r="CA371" s="675" t="e">
        <f t="shared" si="163"/>
        <v>#DIV/0!</v>
      </c>
    </row>
    <row r="372" spans="1:79" ht="95.25" hidden="1" customHeight="1" x14ac:dyDescent="0.25">
      <c r="A372" s="298" t="s">
        <v>1097</v>
      </c>
      <c r="B372" s="299" t="str">
        <f>'PLAN INDICATIVO'!B364</f>
        <v xml:space="preserve">Equipamiento </v>
      </c>
      <c r="C372" s="1547"/>
      <c r="D372" s="1549"/>
      <c r="E372" s="1549"/>
      <c r="F372" s="1549"/>
      <c r="G372" s="1549"/>
      <c r="H372" s="1549"/>
      <c r="I372" s="300">
        <f>'PLAN INDICATIVO'!I364</f>
        <v>0</v>
      </c>
      <c r="J372" s="300">
        <f>'PLAN INDICATIVO'!J364</f>
        <v>0</v>
      </c>
      <c r="K372" s="1425" t="str">
        <f>'PLAN INDICATIVO'!K364</f>
        <v>A.15.1.7</v>
      </c>
      <c r="L372" s="301" t="str">
        <f>'PLAN INDICATIVO'!L364</f>
        <v>11. Ciudades y comunidades sostenibles</v>
      </c>
      <c r="M372" s="301" t="str">
        <f>'PLAN INDICATIVO'!M364</f>
        <v>Departamento Municipal de Planeación</v>
      </c>
      <c r="N372" s="1425" t="s">
        <v>2954</v>
      </c>
      <c r="O372" s="1425" t="str">
        <f>'PLAN INDICATIVO'!O364</f>
        <v>Incremento</v>
      </c>
      <c r="P372" s="16" t="str">
        <f>'PLAN INDICATIVO'!P364</f>
        <v>Construir y/o mejorar en coordinación con la ESE San Sebastian, 6 puestos de Salud durante el cuatrienio.</v>
      </c>
      <c r="Q372" s="302" t="str">
        <f>'PLAN INDICATIVO'!Q364</f>
        <v>No. De centros de salud construidos y/o mejorados</v>
      </c>
      <c r="R372" s="303">
        <f>'PLAN INDICATIVO'!R364</f>
        <v>2015</v>
      </c>
      <c r="S372" s="304">
        <v>0</v>
      </c>
      <c r="T372" s="498">
        <v>6</v>
      </c>
      <c r="U372" s="303">
        <v>0</v>
      </c>
      <c r="V372" s="687"/>
      <c r="W372" s="572">
        <v>2</v>
      </c>
      <c r="X372" s="687">
        <v>10000000</v>
      </c>
      <c r="Y372" s="572">
        <v>2</v>
      </c>
      <c r="Z372" s="687">
        <v>14500000</v>
      </c>
      <c r="AA372" s="572">
        <v>2</v>
      </c>
      <c r="AB372" s="687">
        <v>12000000</v>
      </c>
      <c r="AC372" s="665">
        <v>0</v>
      </c>
      <c r="AD372" s="665"/>
      <c r="AE372" s="665"/>
      <c r="AF372" s="665"/>
      <c r="AG372" s="306"/>
      <c r="AH372" s="307"/>
      <c r="AI372" s="308"/>
      <c r="AJ372" s="308"/>
      <c r="AK372" s="308"/>
      <c r="AL372" s="308"/>
      <c r="AM372" s="267" t="s">
        <v>2594</v>
      </c>
      <c r="AN372" s="507"/>
      <c r="AO372" s="525"/>
      <c r="AP372" s="310"/>
      <c r="AQ372" s="310"/>
      <c r="AR372" s="310"/>
      <c r="AS372" s="310"/>
      <c r="AT372" s="310"/>
      <c r="AU372" s="310"/>
      <c r="AV372" s="544">
        <f t="shared" si="157"/>
        <v>0</v>
      </c>
      <c r="AW372" s="525"/>
      <c r="AX372" s="310"/>
      <c r="AY372" s="310"/>
      <c r="AZ372" s="310"/>
      <c r="BA372" s="310"/>
      <c r="BB372" s="310"/>
      <c r="BC372" s="310"/>
      <c r="BD372" s="544">
        <f t="shared" si="154"/>
        <v>0</v>
      </c>
      <c r="BE372" s="525"/>
      <c r="BF372" s="310"/>
      <c r="BG372" s="310"/>
      <c r="BH372" s="310"/>
      <c r="BI372" s="310"/>
      <c r="BJ372" s="310"/>
      <c r="BK372" s="310"/>
      <c r="BL372" s="544">
        <f t="shared" si="155"/>
        <v>0</v>
      </c>
      <c r="BM372" s="525"/>
      <c r="BN372" s="310"/>
      <c r="BO372" s="310"/>
      <c r="BP372" s="310"/>
      <c r="BQ372" s="310"/>
      <c r="BR372" s="310"/>
      <c r="BS372" s="310"/>
      <c r="BT372" s="544">
        <f t="shared" si="156"/>
        <v>0</v>
      </c>
      <c r="BU372" s="556"/>
      <c r="BV372" s="663">
        <f t="shared" si="158"/>
        <v>0</v>
      </c>
      <c r="BW372" s="674">
        <f t="shared" si="159"/>
        <v>0</v>
      </c>
      <c r="BX372" s="674" t="e">
        <f t="shared" si="160"/>
        <v>#DIV/0!</v>
      </c>
      <c r="BY372" s="674">
        <f t="shared" si="161"/>
        <v>0</v>
      </c>
      <c r="BZ372" s="675">
        <f t="shared" si="162"/>
        <v>0</v>
      </c>
      <c r="CA372" s="675">
        <f t="shared" si="163"/>
        <v>0</v>
      </c>
    </row>
    <row r="373" spans="1:79" ht="75" hidden="1" customHeight="1" x14ac:dyDescent="0.25">
      <c r="A373" s="298" t="s">
        <v>1097</v>
      </c>
      <c r="B373" s="299" t="str">
        <f>'PLAN INDICATIVO'!B365</f>
        <v xml:space="preserve">Equipamiento </v>
      </c>
      <c r="C373" s="1547"/>
      <c r="D373" s="1549"/>
      <c r="E373" s="1549"/>
      <c r="F373" s="1549"/>
      <c r="G373" s="1549"/>
      <c r="H373" s="1549"/>
      <c r="I373" s="300">
        <f>'PLAN INDICATIVO'!I365</f>
        <v>0</v>
      </c>
      <c r="J373" s="300">
        <f>'PLAN INDICATIVO'!J365</f>
        <v>0</v>
      </c>
      <c r="K373" s="1425" t="str">
        <f>'PLAN INDICATIVO'!K365</f>
        <v>A.15.1.8</v>
      </c>
      <c r="L373" s="301" t="str">
        <f>'PLAN INDICATIVO'!L365</f>
        <v>11. Ciudades y comunidades sostenibles</v>
      </c>
      <c r="M373" s="301" t="str">
        <f>'PLAN INDICATIVO'!M365</f>
        <v>Departamento Municipal de Planeación</v>
      </c>
      <c r="N373" s="1425" t="s">
        <v>2954</v>
      </c>
      <c r="O373" s="1425" t="str">
        <f>'PLAN INDICATIVO'!O365</f>
        <v>Incremento</v>
      </c>
      <c r="P373" s="16" t="str">
        <f>'PLAN INDICATIVO'!P365</f>
        <v>Adquirir 1 lote y realizar obras de adecuación para alojamiento de maquinaria pesada, durante el cuatrienio, y/o para Obras de Infraestructura.</v>
      </c>
      <c r="Q373" s="302" t="str">
        <f>'PLAN INDICATIVO'!Q365</f>
        <v xml:space="preserve">No. De lotes adquiridos </v>
      </c>
      <c r="R373" s="303">
        <f>'PLAN INDICATIVO'!R365</f>
        <v>2015</v>
      </c>
      <c r="S373" s="304">
        <v>0</v>
      </c>
      <c r="T373" s="498">
        <v>1</v>
      </c>
      <c r="U373" s="303">
        <v>0</v>
      </c>
      <c r="V373" s="687"/>
      <c r="W373" s="572">
        <v>1</v>
      </c>
      <c r="X373" s="687">
        <v>30000000</v>
      </c>
      <c r="Y373" s="572">
        <v>0</v>
      </c>
      <c r="Z373" s="687"/>
      <c r="AA373" s="572">
        <v>0</v>
      </c>
      <c r="AB373" s="687"/>
      <c r="AC373" s="665">
        <v>0</v>
      </c>
      <c r="AD373" s="665"/>
      <c r="AE373" s="665"/>
      <c r="AF373" s="665"/>
      <c r="AG373" s="306"/>
      <c r="AH373" s="307"/>
      <c r="AI373" s="308"/>
      <c r="AJ373" s="308"/>
      <c r="AK373" s="308"/>
      <c r="AL373" s="308"/>
      <c r="AM373" s="267" t="s">
        <v>2594</v>
      </c>
      <c r="AN373" s="507"/>
      <c r="AO373" s="525"/>
      <c r="AP373" s="310"/>
      <c r="AQ373" s="310"/>
      <c r="AR373" s="310"/>
      <c r="AS373" s="310"/>
      <c r="AT373" s="310"/>
      <c r="AU373" s="310"/>
      <c r="AV373" s="544">
        <f t="shared" si="157"/>
        <v>0</v>
      </c>
      <c r="AW373" s="525"/>
      <c r="AX373" s="310"/>
      <c r="AY373" s="310"/>
      <c r="AZ373" s="310"/>
      <c r="BA373" s="310"/>
      <c r="BB373" s="310"/>
      <c r="BC373" s="310"/>
      <c r="BD373" s="544">
        <f t="shared" si="154"/>
        <v>0</v>
      </c>
      <c r="BE373" s="525"/>
      <c r="BF373" s="310"/>
      <c r="BG373" s="310"/>
      <c r="BH373" s="310"/>
      <c r="BI373" s="310"/>
      <c r="BJ373" s="310"/>
      <c r="BK373" s="310"/>
      <c r="BL373" s="544">
        <f t="shared" si="155"/>
        <v>0</v>
      </c>
      <c r="BM373" s="525"/>
      <c r="BN373" s="310"/>
      <c r="BO373" s="310"/>
      <c r="BP373" s="310"/>
      <c r="BQ373" s="310"/>
      <c r="BR373" s="310"/>
      <c r="BS373" s="310"/>
      <c r="BT373" s="544">
        <f t="shared" si="156"/>
        <v>0</v>
      </c>
      <c r="BU373" s="556"/>
      <c r="BV373" s="663">
        <f t="shared" si="158"/>
        <v>0</v>
      </c>
      <c r="BW373" s="674">
        <f t="shared" si="159"/>
        <v>0</v>
      </c>
      <c r="BX373" s="674" t="e">
        <f t="shared" si="160"/>
        <v>#DIV/0!</v>
      </c>
      <c r="BY373" s="674">
        <f t="shared" si="161"/>
        <v>0</v>
      </c>
      <c r="BZ373" s="675" t="e">
        <f t="shared" si="162"/>
        <v>#DIV/0!</v>
      </c>
      <c r="CA373" s="675" t="e">
        <f t="shared" si="163"/>
        <v>#DIV/0!</v>
      </c>
    </row>
    <row r="374" spans="1:79" ht="165.75" hidden="1" x14ac:dyDescent="0.25">
      <c r="A374" s="298" t="s">
        <v>1097</v>
      </c>
      <c r="B374" s="299" t="str">
        <f>'PLAN INDICATIVO'!B366</f>
        <v xml:space="preserve">Equipamiento </v>
      </c>
      <c r="C374" s="1548"/>
      <c r="D374" s="1549"/>
      <c r="E374" s="1549"/>
      <c r="F374" s="1549"/>
      <c r="G374" s="1549"/>
      <c r="H374" s="1549"/>
      <c r="I374" s="300">
        <f>'PLAN INDICATIVO'!I366</f>
        <v>0</v>
      </c>
      <c r="J374" s="300">
        <f>'PLAN INDICATIVO'!J366</f>
        <v>0</v>
      </c>
      <c r="K374" s="1425" t="str">
        <f>'PLAN INDICATIVO'!K366</f>
        <v>A.15.1.9</v>
      </c>
      <c r="L374" s="301" t="str">
        <f>'PLAN INDICATIVO'!L366</f>
        <v>11. Ciudades y comunidades sostenibles</v>
      </c>
      <c r="M374" s="301" t="str">
        <f>'PLAN INDICATIVO'!M366</f>
        <v>Departamento Municipal de Planeación</v>
      </c>
      <c r="N374" s="1425" t="s">
        <v>2954</v>
      </c>
      <c r="O374" s="1425" t="str">
        <f>'PLAN INDICATIVO'!O366</f>
        <v>Incremento</v>
      </c>
      <c r="P374" s="16" t="str">
        <f>'PLAN INDICATIVO'!P366</f>
        <v>Promover la donación de un (1) lote para la construcción del tecnoparque del Servicion Nacional de Aprendisaje SENA como apoyo a las investigaciones y prácticas agropecuarias.</v>
      </c>
      <c r="Q374" s="302" t="str">
        <f>'PLAN INDICATIVO'!Q366</f>
        <v>No. De acciones realizadas para la donación del lote durante el cuatrenio</v>
      </c>
      <c r="R374" s="303">
        <f>'PLAN INDICATIVO'!R366</f>
        <v>2015</v>
      </c>
      <c r="S374" s="304">
        <v>0</v>
      </c>
      <c r="T374" s="498">
        <v>1</v>
      </c>
      <c r="U374" s="303">
        <v>0</v>
      </c>
      <c r="V374" s="687"/>
      <c r="W374" s="572">
        <v>1</v>
      </c>
      <c r="X374" s="687">
        <v>10000000</v>
      </c>
      <c r="Y374" s="572">
        <v>0</v>
      </c>
      <c r="Z374" s="687"/>
      <c r="AA374" s="572">
        <v>0</v>
      </c>
      <c r="AB374" s="687"/>
      <c r="AC374" s="665">
        <v>0</v>
      </c>
      <c r="AD374" s="665"/>
      <c r="AE374" s="665"/>
      <c r="AF374" s="665"/>
      <c r="AG374" s="306"/>
      <c r="AH374" s="307"/>
      <c r="AI374" s="308"/>
      <c r="AJ374" s="308"/>
      <c r="AK374" s="308"/>
      <c r="AL374" s="308"/>
      <c r="AM374" s="267" t="s">
        <v>2594</v>
      </c>
      <c r="AN374" s="507"/>
      <c r="AO374" s="525"/>
      <c r="AP374" s="310"/>
      <c r="AQ374" s="310"/>
      <c r="AR374" s="310"/>
      <c r="AS374" s="310"/>
      <c r="AT374" s="310"/>
      <c r="AU374" s="310"/>
      <c r="AV374" s="544">
        <f t="shared" si="157"/>
        <v>0</v>
      </c>
      <c r="AW374" s="525"/>
      <c r="AX374" s="310"/>
      <c r="AY374" s="310"/>
      <c r="AZ374" s="310"/>
      <c r="BA374" s="310"/>
      <c r="BB374" s="310"/>
      <c r="BC374" s="310"/>
      <c r="BD374" s="544">
        <f t="shared" si="154"/>
        <v>0</v>
      </c>
      <c r="BE374" s="525"/>
      <c r="BF374" s="310"/>
      <c r="BG374" s="310"/>
      <c r="BH374" s="310"/>
      <c r="BI374" s="310"/>
      <c r="BJ374" s="310"/>
      <c r="BK374" s="310"/>
      <c r="BL374" s="544">
        <f t="shared" si="155"/>
        <v>0</v>
      </c>
      <c r="BM374" s="525"/>
      <c r="BN374" s="310"/>
      <c r="BO374" s="310"/>
      <c r="BP374" s="310"/>
      <c r="BQ374" s="310"/>
      <c r="BR374" s="310"/>
      <c r="BS374" s="310"/>
      <c r="BT374" s="544">
        <f t="shared" si="156"/>
        <v>0</v>
      </c>
      <c r="BU374" s="556"/>
      <c r="BV374" s="663">
        <f t="shared" si="158"/>
        <v>0</v>
      </c>
      <c r="BW374" s="674">
        <f t="shared" si="159"/>
        <v>0</v>
      </c>
      <c r="BX374" s="674" t="e">
        <f t="shared" si="160"/>
        <v>#DIV/0!</v>
      </c>
      <c r="BY374" s="674">
        <f t="shared" si="161"/>
        <v>0</v>
      </c>
      <c r="BZ374" s="675" t="e">
        <f t="shared" si="162"/>
        <v>#DIV/0!</v>
      </c>
      <c r="CA374" s="675" t="e">
        <f t="shared" si="163"/>
        <v>#DIV/0!</v>
      </c>
    </row>
    <row r="375" spans="1:79" ht="6" hidden="1" customHeight="1" thickBot="1" x14ac:dyDescent="0.3">
      <c r="A375" s="406"/>
      <c r="B375" s="407" t="e">
        <f>'PLAN INDICATIVO'!#REF!</f>
        <v>#REF!</v>
      </c>
      <c r="C375" s="403"/>
      <c r="D375" s="291"/>
      <c r="E375" s="291"/>
      <c r="F375" s="291"/>
      <c r="G375" s="291"/>
      <c r="H375" s="291"/>
      <c r="I375" s="291"/>
      <c r="J375" s="291"/>
      <c r="K375" s="291"/>
      <c r="L375" s="291"/>
      <c r="M375" s="291"/>
      <c r="N375" s="291"/>
      <c r="O375" s="291"/>
      <c r="P375" s="408"/>
      <c r="Q375" s="408"/>
      <c r="R375" s="291"/>
      <c r="S375" s="409"/>
      <c r="T375" s="677"/>
      <c r="U375" s="409"/>
      <c r="V375" s="409"/>
      <c r="W375" s="409"/>
      <c r="X375" s="409"/>
      <c r="Y375" s="409"/>
      <c r="Z375" s="409"/>
      <c r="AA375" s="410"/>
      <c r="AB375" s="410"/>
      <c r="AC375" s="410"/>
      <c r="AD375" s="410"/>
      <c r="AE375" s="410"/>
      <c r="AF375" s="410"/>
      <c r="AG375" s="411"/>
      <c r="AH375" s="411"/>
      <c r="AI375" s="410"/>
      <c r="AJ375" s="410"/>
      <c r="AK375" s="410"/>
      <c r="AL375" s="410"/>
      <c r="AM375" s="410"/>
      <c r="AN375" s="507"/>
      <c r="AO375" s="525"/>
      <c r="AP375" s="310"/>
      <c r="AQ375" s="310"/>
      <c r="AR375" s="310"/>
      <c r="AS375" s="310"/>
      <c r="AT375" s="310"/>
      <c r="AU375" s="310"/>
      <c r="AV375" s="544">
        <f t="shared" si="157"/>
        <v>0</v>
      </c>
      <c r="AW375" s="525"/>
      <c r="AX375" s="310"/>
      <c r="AY375" s="310"/>
      <c r="AZ375" s="310"/>
      <c r="BA375" s="310"/>
      <c r="BB375" s="310"/>
      <c r="BC375" s="310"/>
      <c r="BD375" s="544">
        <f t="shared" si="154"/>
        <v>0</v>
      </c>
      <c r="BE375" s="525"/>
      <c r="BF375" s="310"/>
      <c r="BG375" s="310"/>
      <c r="BH375" s="310"/>
      <c r="BI375" s="310"/>
      <c r="BJ375" s="310"/>
      <c r="BK375" s="310"/>
      <c r="BL375" s="544">
        <f t="shared" si="155"/>
        <v>0</v>
      </c>
      <c r="BM375" s="525"/>
      <c r="BN375" s="310"/>
      <c r="BO375" s="310"/>
      <c r="BP375" s="310"/>
      <c r="BQ375" s="310"/>
      <c r="BR375" s="310"/>
      <c r="BS375" s="310"/>
      <c r="BT375" s="544">
        <f t="shared" si="156"/>
        <v>0</v>
      </c>
      <c r="BU375" s="556"/>
      <c r="BV375" s="663">
        <f t="shared" si="158"/>
        <v>0</v>
      </c>
      <c r="BW375" s="674" t="e">
        <f t="shared" si="159"/>
        <v>#DIV/0!</v>
      </c>
      <c r="BX375" s="674" t="e">
        <f t="shared" si="160"/>
        <v>#DIV/0!</v>
      </c>
      <c r="BY375" s="674" t="e">
        <f t="shared" si="161"/>
        <v>#DIV/0!</v>
      </c>
      <c r="BZ375" s="675" t="e">
        <f t="shared" si="162"/>
        <v>#DIV/0!</v>
      </c>
      <c r="CA375" s="675" t="e">
        <f t="shared" si="163"/>
        <v>#DIV/0!</v>
      </c>
    </row>
    <row r="376" spans="1:79" ht="51.75" hidden="1" thickBot="1" x14ac:dyDescent="0.3">
      <c r="A376" s="428"/>
      <c r="B376" s="429" t="str">
        <f>'PLAN INDICATIVO'!B367</f>
        <v>FORTALECIMIENTO INSTITUCIONAL</v>
      </c>
      <c r="C376" s="1578" t="s">
        <v>1133</v>
      </c>
      <c r="D376" s="1578"/>
      <c r="E376" s="1578"/>
      <c r="F376" s="1578"/>
      <c r="G376" s="1578"/>
      <c r="H376" s="1578"/>
      <c r="I376" s="1578"/>
      <c r="J376" s="1578"/>
      <c r="K376" s="1578"/>
      <c r="L376" s="1578"/>
      <c r="M376" s="1578"/>
      <c r="N376" s="1578"/>
      <c r="O376" s="1578"/>
      <c r="P376" s="1578"/>
      <c r="Q376" s="1578"/>
      <c r="R376" s="1578"/>
      <c r="S376" s="1578"/>
      <c r="T376" s="1578"/>
      <c r="U376" s="1578"/>
      <c r="V376" s="1578"/>
      <c r="W376" s="1578"/>
      <c r="X376" s="1578"/>
      <c r="Y376" s="1578"/>
      <c r="Z376" s="1578"/>
      <c r="AA376" s="1578"/>
      <c r="AB376" s="1578"/>
      <c r="AC376" s="1578"/>
      <c r="AD376" s="1578"/>
      <c r="AE376" s="1578"/>
      <c r="AF376" s="1578"/>
      <c r="AG376" s="1578"/>
      <c r="AH376" s="1578"/>
      <c r="AI376" s="1578"/>
      <c r="AJ376" s="1578"/>
      <c r="AK376" s="1578"/>
      <c r="AL376" s="1644"/>
      <c r="AM376" s="294"/>
      <c r="AN376" s="294"/>
      <c r="AO376" s="294"/>
      <c r="AP376" s="294"/>
      <c r="AQ376" s="294"/>
      <c r="AR376" s="294"/>
      <c r="AS376" s="294"/>
      <c r="AT376" s="294"/>
      <c r="AU376" s="294"/>
      <c r="AV376" s="294">
        <f t="shared" si="157"/>
        <v>0</v>
      </c>
      <c r="AW376" s="294"/>
      <c r="AX376" s="294"/>
      <c r="AY376" s="294"/>
      <c r="AZ376" s="294"/>
      <c r="BA376" s="294"/>
      <c r="BB376" s="294"/>
      <c r="BC376" s="294"/>
      <c r="BD376" s="294">
        <f t="shared" si="154"/>
        <v>0</v>
      </c>
      <c r="BE376" s="294"/>
      <c r="BF376" s="294"/>
      <c r="BG376" s="294"/>
      <c r="BH376" s="294"/>
      <c r="BI376" s="294"/>
      <c r="BJ376" s="294"/>
      <c r="BK376" s="294"/>
      <c r="BL376" s="294">
        <f t="shared" si="155"/>
        <v>0</v>
      </c>
      <c r="BM376" s="294"/>
      <c r="BN376" s="294"/>
      <c r="BO376" s="294"/>
      <c r="BP376" s="294"/>
      <c r="BQ376" s="294"/>
      <c r="BR376" s="294"/>
      <c r="BS376" s="294"/>
      <c r="BT376" s="294">
        <f t="shared" si="156"/>
        <v>0</v>
      </c>
      <c r="BU376" s="294"/>
      <c r="BV376" s="294">
        <f t="shared" si="158"/>
        <v>0</v>
      </c>
      <c r="BW376" s="294" t="e">
        <f t="shared" si="159"/>
        <v>#DIV/0!</v>
      </c>
      <c r="BX376" s="294" t="e">
        <f t="shared" si="160"/>
        <v>#DIV/0!</v>
      </c>
      <c r="BY376" s="674" t="e">
        <f t="shared" si="161"/>
        <v>#DIV/0!</v>
      </c>
      <c r="BZ376" s="675" t="e">
        <f t="shared" si="162"/>
        <v>#DIV/0!</v>
      </c>
      <c r="CA376" s="675" t="e">
        <f t="shared" si="163"/>
        <v>#DIV/0!</v>
      </c>
    </row>
    <row r="377" spans="1:79" ht="25.5" hidden="1" x14ac:dyDescent="0.25">
      <c r="A377" s="296"/>
      <c r="B377" s="331" t="str">
        <f>'PLAN INDICATIVO'!B368</f>
        <v>Fortalecimiento institucional</v>
      </c>
      <c r="C377" s="1574" t="s">
        <v>1134</v>
      </c>
      <c r="D377" s="1575"/>
      <c r="E377" s="1575"/>
      <c r="F377" s="1575"/>
      <c r="G377" s="1575"/>
      <c r="H377" s="1575"/>
      <c r="I377" s="1575"/>
      <c r="J377" s="1575"/>
      <c r="K377" s="1575"/>
      <c r="L377" s="1575"/>
      <c r="M377" s="1575"/>
      <c r="N377" s="1575"/>
      <c r="O377" s="1576"/>
      <c r="P377" s="22"/>
      <c r="Q377" s="22"/>
      <c r="R377" s="1"/>
      <c r="S377" s="261"/>
      <c r="T377" s="681"/>
      <c r="U377" s="261"/>
      <c r="V377" s="689">
        <f>SUM(V378:V402)</f>
        <v>722800000</v>
      </c>
      <c r="W377" s="261"/>
      <c r="X377" s="689">
        <f>SUM(X378:X402)</f>
        <v>1070000000</v>
      </c>
      <c r="Y377" s="261"/>
      <c r="Z377" s="689">
        <f>SUM(Z378:Z402)</f>
        <v>754000000</v>
      </c>
      <c r="AA377" s="262"/>
      <c r="AB377" s="690">
        <f>SUM(AB378:AB402)</f>
        <v>773000000</v>
      </c>
      <c r="AC377" s="262"/>
      <c r="AD377" s="262"/>
      <c r="AE377" s="262"/>
      <c r="AF377" s="262"/>
      <c r="AG377" s="263"/>
      <c r="AH377" s="263"/>
      <c r="AI377" s="262"/>
      <c r="AJ377" s="262"/>
      <c r="AK377" s="262"/>
      <c r="AL377" s="262"/>
      <c r="AM377" s="262"/>
      <c r="AN377" s="612"/>
      <c r="AO377" s="616" t="e">
        <f>(AO378:AO402)</f>
        <v>#VALUE!</v>
      </c>
      <c r="AP377" s="616" t="e">
        <f t="shared" ref="AP377:AU377" si="176">(AP378:AP402)</f>
        <v>#VALUE!</v>
      </c>
      <c r="AQ377" s="616" t="e">
        <f t="shared" si="176"/>
        <v>#VALUE!</v>
      </c>
      <c r="AR377" s="616" t="e">
        <f t="shared" si="176"/>
        <v>#VALUE!</v>
      </c>
      <c r="AS377" s="616" t="e">
        <f t="shared" si="176"/>
        <v>#VALUE!</v>
      </c>
      <c r="AT377" s="616" t="e">
        <f t="shared" si="176"/>
        <v>#VALUE!</v>
      </c>
      <c r="AU377" s="616" t="e">
        <f t="shared" si="176"/>
        <v>#VALUE!</v>
      </c>
      <c r="AV377" s="617" t="e">
        <f t="shared" si="157"/>
        <v>#VALUE!</v>
      </c>
      <c r="AW377" s="616" t="e">
        <f t="shared" ref="AW377:BC377" si="177">(AW378:AW402)</f>
        <v>#VALUE!</v>
      </c>
      <c r="AX377" s="616" t="e">
        <f t="shared" si="177"/>
        <v>#VALUE!</v>
      </c>
      <c r="AY377" s="616" t="e">
        <f t="shared" si="177"/>
        <v>#VALUE!</v>
      </c>
      <c r="AZ377" s="616" t="e">
        <f t="shared" si="177"/>
        <v>#VALUE!</v>
      </c>
      <c r="BA377" s="616" t="e">
        <f t="shared" si="177"/>
        <v>#VALUE!</v>
      </c>
      <c r="BB377" s="616" t="e">
        <f t="shared" si="177"/>
        <v>#VALUE!</v>
      </c>
      <c r="BC377" s="616" t="e">
        <f t="shared" si="177"/>
        <v>#VALUE!</v>
      </c>
      <c r="BD377" s="617" t="e">
        <f t="shared" si="154"/>
        <v>#VALUE!</v>
      </c>
      <c r="BE377" s="616" t="e">
        <f t="shared" ref="BE377:BK377" si="178">(BE378:BE402)</f>
        <v>#VALUE!</v>
      </c>
      <c r="BF377" s="616" t="e">
        <f t="shared" si="178"/>
        <v>#VALUE!</v>
      </c>
      <c r="BG377" s="616" t="e">
        <f t="shared" si="178"/>
        <v>#VALUE!</v>
      </c>
      <c r="BH377" s="616" t="e">
        <f t="shared" si="178"/>
        <v>#VALUE!</v>
      </c>
      <c r="BI377" s="616" t="e">
        <f t="shared" si="178"/>
        <v>#VALUE!</v>
      </c>
      <c r="BJ377" s="616" t="e">
        <f t="shared" si="178"/>
        <v>#VALUE!</v>
      </c>
      <c r="BK377" s="616" t="e">
        <f t="shared" si="178"/>
        <v>#VALUE!</v>
      </c>
      <c r="BL377" s="617" t="e">
        <f t="shared" si="155"/>
        <v>#VALUE!</v>
      </c>
      <c r="BM377" s="616" t="e">
        <f t="shared" ref="BM377:BS377" si="179">(BM378:BM402)</f>
        <v>#VALUE!</v>
      </c>
      <c r="BN377" s="616" t="e">
        <f t="shared" si="179"/>
        <v>#VALUE!</v>
      </c>
      <c r="BO377" s="616" t="e">
        <f t="shared" si="179"/>
        <v>#VALUE!</v>
      </c>
      <c r="BP377" s="616" t="e">
        <f t="shared" si="179"/>
        <v>#VALUE!</v>
      </c>
      <c r="BQ377" s="616" t="e">
        <f t="shared" si="179"/>
        <v>#VALUE!</v>
      </c>
      <c r="BR377" s="616" t="e">
        <f t="shared" si="179"/>
        <v>#VALUE!</v>
      </c>
      <c r="BS377" s="616" t="e">
        <f t="shared" si="179"/>
        <v>#VALUE!</v>
      </c>
      <c r="BT377" s="617" t="e">
        <f t="shared" si="156"/>
        <v>#VALUE!</v>
      </c>
      <c r="BU377" s="556"/>
      <c r="BV377" s="863">
        <f t="shared" si="158"/>
        <v>0</v>
      </c>
      <c r="BW377" s="864" t="e">
        <f t="shared" si="159"/>
        <v>#DIV/0!</v>
      </c>
      <c r="BX377" s="864" t="e">
        <f t="shared" si="160"/>
        <v>#DIV/0!</v>
      </c>
      <c r="BY377" s="864" t="e">
        <f t="shared" si="161"/>
        <v>#DIV/0!</v>
      </c>
      <c r="BZ377" s="1450" t="e">
        <f t="shared" si="162"/>
        <v>#DIV/0!</v>
      </c>
      <c r="CA377" s="1450" t="e">
        <f t="shared" si="163"/>
        <v>#DIV/0!</v>
      </c>
    </row>
    <row r="378" spans="1:79" ht="69.75" hidden="1" customHeight="1" x14ac:dyDescent="0.25">
      <c r="A378" s="298" t="s">
        <v>1135</v>
      </c>
      <c r="B378" s="299" t="str">
        <f>'PLAN INDICATIVO'!B369</f>
        <v>Fortalecimiento institucional</v>
      </c>
      <c r="C378" s="1546" t="s">
        <v>1136</v>
      </c>
      <c r="D378" s="1549" t="s">
        <v>1137</v>
      </c>
      <c r="E378" s="1549" t="s">
        <v>1138</v>
      </c>
      <c r="F378" s="1549">
        <v>2015</v>
      </c>
      <c r="G378" s="1549">
        <v>75.61</v>
      </c>
      <c r="H378" s="1549">
        <v>78</v>
      </c>
      <c r="I378" s="300">
        <f>'PLAN INDICATIVO'!I369</f>
        <v>0</v>
      </c>
      <c r="J378" s="300">
        <f>'PLAN INDICATIVO'!J369</f>
        <v>0</v>
      </c>
      <c r="K378" s="1425" t="str">
        <f>'PLAN INDICATIVO'!K369</f>
        <v>A.17.1.1</v>
      </c>
      <c r="L378" s="301" t="str">
        <f>'PLAN INDICATIVO'!L369</f>
        <v>16. Paz, justicia e instituciones sólidas</v>
      </c>
      <c r="M378" s="301" t="str">
        <f>'PLAN INDICATIVO'!M369</f>
        <v>Secretaría de Hacienda</v>
      </c>
      <c r="N378" s="1425" t="s">
        <v>2530</v>
      </c>
      <c r="O378" s="1425" t="str">
        <f>'PLAN INDICATIVO'!O369</f>
        <v>Incremento</v>
      </c>
      <c r="P378" s="16" t="str">
        <f>'PLAN INDICATIVO'!P369</f>
        <v>Implementar 8 estrategias para aumento de ingresos propios del municipio durante el cuatrienio.</v>
      </c>
      <c r="Q378" s="302" t="str">
        <f>'PLAN INDICATIVO'!Q369</f>
        <v>No. De Estrategias implementadas</v>
      </c>
      <c r="R378" s="303">
        <f>'PLAN INDICATIVO'!R369</f>
        <v>2015</v>
      </c>
      <c r="S378" s="304">
        <v>2</v>
      </c>
      <c r="T378" s="498">
        <v>8</v>
      </c>
      <c r="U378" s="303">
        <v>2</v>
      </c>
      <c r="V378" s="687">
        <v>42300000</v>
      </c>
      <c r="W378" s="572">
        <v>2</v>
      </c>
      <c r="X378" s="687">
        <v>49000000</v>
      </c>
      <c r="Y378" s="572">
        <v>2</v>
      </c>
      <c r="Z378" s="687">
        <v>50000000</v>
      </c>
      <c r="AA378" s="572">
        <v>2</v>
      </c>
      <c r="AB378" s="687">
        <v>50000000</v>
      </c>
      <c r="AC378" s="665">
        <v>2</v>
      </c>
      <c r="AD378" s="665"/>
      <c r="AE378" s="665"/>
      <c r="AF378" s="665"/>
      <c r="AG378" s="306" t="s">
        <v>2962</v>
      </c>
      <c r="AH378" s="307" t="s">
        <v>2963</v>
      </c>
      <c r="AI378" s="335">
        <v>40238</v>
      </c>
      <c r="AJ378" s="335">
        <v>11232</v>
      </c>
      <c r="AK378" s="308"/>
      <c r="AL378" s="308"/>
      <c r="AM378" s="267" t="s">
        <v>2598</v>
      </c>
      <c r="AN378" s="507">
        <v>231702</v>
      </c>
      <c r="AO378" s="525"/>
      <c r="AP378" s="310"/>
      <c r="AQ378" s="310"/>
      <c r="AR378" s="310"/>
      <c r="AS378" s="310"/>
      <c r="AT378" s="310"/>
      <c r="AU378" s="310"/>
      <c r="AV378" s="544">
        <f t="shared" si="157"/>
        <v>0</v>
      </c>
      <c r="AW378" s="525"/>
      <c r="AX378" s="310"/>
      <c r="AY378" s="310"/>
      <c r="AZ378" s="310"/>
      <c r="BA378" s="310"/>
      <c r="BB378" s="310"/>
      <c r="BC378" s="310"/>
      <c r="BD378" s="544">
        <f t="shared" si="154"/>
        <v>0</v>
      </c>
      <c r="BE378" s="525"/>
      <c r="BF378" s="310"/>
      <c r="BG378" s="310"/>
      <c r="BH378" s="310"/>
      <c r="BI378" s="310"/>
      <c r="BJ378" s="310"/>
      <c r="BK378" s="310"/>
      <c r="BL378" s="544">
        <f t="shared" si="155"/>
        <v>0</v>
      </c>
      <c r="BM378" s="525"/>
      <c r="BN378" s="310"/>
      <c r="BO378" s="310"/>
      <c r="BP378" s="310"/>
      <c r="BQ378" s="310"/>
      <c r="BR378" s="310"/>
      <c r="BS378" s="310"/>
      <c r="BT378" s="544">
        <f t="shared" si="156"/>
        <v>0</v>
      </c>
      <c r="BU378" s="556"/>
      <c r="BV378" s="663">
        <f t="shared" si="158"/>
        <v>2</v>
      </c>
      <c r="BW378" s="674">
        <f t="shared" si="159"/>
        <v>0.25</v>
      </c>
      <c r="BX378" s="674">
        <f t="shared" si="160"/>
        <v>1</v>
      </c>
      <c r="BY378" s="674">
        <f t="shared" si="161"/>
        <v>0</v>
      </c>
      <c r="BZ378" s="675">
        <f t="shared" si="162"/>
        <v>0</v>
      </c>
      <c r="CA378" s="675">
        <f t="shared" si="163"/>
        <v>0</v>
      </c>
    </row>
    <row r="379" spans="1:79" ht="49.5" hidden="1" customHeight="1" x14ac:dyDescent="0.25">
      <c r="A379" s="298" t="s">
        <v>1135</v>
      </c>
      <c r="B379" s="299" t="str">
        <f>'PLAN INDICATIVO'!B370</f>
        <v>Fortalecimiento institucional</v>
      </c>
      <c r="C379" s="1547"/>
      <c r="D379" s="1549"/>
      <c r="E379" s="1549"/>
      <c r="F379" s="1549"/>
      <c r="G379" s="1549"/>
      <c r="H379" s="1549"/>
      <c r="I379" s="300">
        <f>'PLAN INDICATIVO'!I370</f>
        <v>0</v>
      </c>
      <c r="J379" s="300">
        <f>'PLAN INDICATIVO'!J370</f>
        <v>0</v>
      </c>
      <c r="K379" s="1425" t="str">
        <f>'PLAN INDICATIVO'!K370</f>
        <v>A.17.1.2</v>
      </c>
      <c r="L379" s="301" t="str">
        <f>'PLAN INDICATIVO'!L370</f>
        <v>16. Paz, justicia e instituciones sólidas</v>
      </c>
      <c r="M379" s="301" t="str">
        <f>'PLAN INDICATIVO'!M370</f>
        <v>Secretaría de Hacienda</v>
      </c>
      <c r="N379" s="1425" t="s">
        <v>2530</v>
      </c>
      <c r="O379" s="1425" t="str">
        <f>'PLAN INDICATIVO'!O370</f>
        <v>Incremento</v>
      </c>
      <c r="P379" s="16" t="str">
        <f>'PLAN INDICATIVO'!P370</f>
        <v>Realizar 2 revisiones  a la deuda pública para mejorar condiciones durante el cuatrienio</v>
      </c>
      <c r="Q379" s="302" t="str">
        <f>'PLAN INDICATIVO'!Q370</f>
        <v>No. De Revisiones realizadas</v>
      </c>
      <c r="R379" s="303">
        <f>'PLAN INDICATIVO'!R370</f>
        <v>2015</v>
      </c>
      <c r="S379" s="304">
        <v>2</v>
      </c>
      <c r="T379" s="498">
        <v>2</v>
      </c>
      <c r="U379" s="303">
        <v>1</v>
      </c>
      <c r="V379" s="687">
        <v>15000000</v>
      </c>
      <c r="W379" s="572">
        <v>0</v>
      </c>
      <c r="X379" s="687"/>
      <c r="Y379" s="572">
        <v>1</v>
      </c>
      <c r="Z379" s="687">
        <v>1000000</v>
      </c>
      <c r="AA379" s="572">
        <v>0</v>
      </c>
      <c r="AB379" s="687"/>
      <c r="AC379" s="665">
        <v>1</v>
      </c>
      <c r="AD379" s="665"/>
      <c r="AE379" s="665"/>
      <c r="AF379" s="665"/>
      <c r="AG379" s="306"/>
      <c r="AH379" s="307" t="s">
        <v>2964</v>
      </c>
      <c r="AI379" s="335">
        <v>40299</v>
      </c>
      <c r="AJ379" s="335">
        <v>11232</v>
      </c>
      <c r="AK379" s="308"/>
      <c r="AL379" s="308"/>
      <c r="AM379" s="267" t="s">
        <v>2598</v>
      </c>
      <c r="AN379" s="507">
        <v>2317</v>
      </c>
      <c r="AO379" s="525"/>
      <c r="AP379" s="310"/>
      <c r="AQ379" s="310"/>
      <c r="AR379" s="310"/>
      <c r="AS379" s="310"/>
      <c r="AT379" s="310"/>
      <c r="AU379" s="310"/>
      <c r="AV379" s="544">
        <f t="shared" si="157"/>
        <v>0</v>
      </c>
      <c r="AW379" s="525"/>
      <c r="AX379" s="310"/>
      <c r="AY379" s="310"/>
      <c r="AZ379" s="310"/>
      <c r="BA379" s="310"/>
      <c r="BB379" s="310"/>
      <c r="BC379" s="310"/>
      <c r="BD379" s="544">
        <f t="shared" si="154"/>
        <v>0</v>
      </c>
      <c r="BE379" s="525"/>
      <c r="BF379" s="310"/>
      <c r="BG379" s="310"/>
      <c r="BH379" s="310"/>
      <c r="BI379" s="310"/>
      <c r="BJ379" s="310"/>
      <c r="BK379" s="310"/>
      <c r="BL379" s="544">
        <f t="shared" si="155"/>
        <v>0</v>
      </c>
      <c r="BM379" s="525"/>
      <c r="BN379" s="310"/>
      <c r="BO379" s="310"/>
      <c r="BP379" s="310"/>
      <c r="BQ379" s="310"/>
      <c r="BR379" s="310"/>
      <c r="BS379" s="310"/>
      <c r="BT379" s="544">
        <f t="shared" si="156"/>
        <v>0</v>
      </c>
      <c r="BU379" s="556"/>
      <c r="BV379" s="663">
        <f t="shared" si="158"/>
        <v>1</v>
      </c>
      <c r="BW379" s="674">
        <f t="shared" si="159"/>
        <v>0.5</v>
      </c>
      <c r="BX379" s="674">
        <f t="shared" si="160"/>
        <v>1</v>
      </c>
      <c r="BY379" s="674" t="e">
        <f t="shared" si="161"/>
        <v>#DIV/0!</v>
      </c>
      <c r="BZ379" s="675">
        <f t="shared" si="162"/>
        <v>0</v>
      </c>
      <c r="CA379" s="675" t="e">
        <f t="shared" si="163"/>
        <v>#DIV/0!</v>
      </c>
    </row>
    <row r="380" spans="1:79" ht="53.25" hidden="1" customHeight="1" x14ac:dyDescent="0.25">
      <c r="A380" s="298" t="s">
        <v>1135</v>
      </c>
      <c r="B380" s="299" t="str">
        <f>'PLAN INDICATIVO'!B371</f>
        <v>Fortalecimiento institucional</v>
      </c>
      <c r="C380" s="1547"/>
      <c r="D380" s="1549"/>
      <c r="E380" s="1549"/>
      <c r="F380" s="1549"/>
      <c r="G380" s="1549"/>
      <c r="H380" s="1549"/>
      <c r="I380" s="300">
        <f>'PLAN INDICATIVO'!I371</f>
        <v>0</v>
      </c>
      <c r="J380" s="300">
        <f>'PLAN INDICATIVO'!J371</f>
        <v>0</v>
      </c>
      <c r="K380" s="1425" t="str">
        <f>'PLAN INDICATIVO'!K371</f>
        <v>A.17.1.3</v>
      </c>
      <c r="L380" s="301" t="str">
        <f>'PLAN INDICATIVO'!L371</f>
        <v>16. Paz, justicia e instituciones sólidas</v>
      </c>
      <c r="M380" s="301" t="str">
        <f>'PLAN INDICATIVO'!M371</f>
        <v>Secretaría de Hacienda</v>
      </c>
      <c r="N380" s="1425" t="s">
        <v>2530</v>
      </c>
      <c r="O380" s="1425" t="str">
        <f>'PLAN INDICATIVO'!O371</f>
        <v>Incremento</v>
      </c>
      <c r="P380" s="16" t="str">
        <f>'PLAN INDICATIVO'!P371</f>
        <v>Realizar 2 capacitaciones referente a gestión fiscal dirigida a funcionarios durante el cuatrienio</v>
      </c>
      <c r="Q380" s="302" t="str">
        <f>'PLAN INDICATIVO'!Q371</f>
        <v>No. de capacitaciones realizadas</v>
      </c>
      <c r="R380" s="303">
        <f>'PLAN INDICATIVO'!R371</f>
        <v>2015</v>
      </c>
      <c r="S380" s="304">
        <v>0</v>
      </c>
      <c r="T380" s="498">
        <v>2</v>
      </c>
      <c r="U380" s="303">
        <v>1</v>
      </c>
      <c r="V380" s="687">
        <v>10000000</v>
      </c>
      <c r="W380" s="572">
        <v>0</v>
      </c>
      <c r="X380" s="687"/>
      <c r="Y380" s="572">
        <v>1</v>
      </c>
      <c r="Z380" s="687">
        <v>1000000</v>
      </c>
      <c r="AA380" s="572">
        <v>0</v>
      </c>
      <c r="AB380" s="687"/>
      <c r="AC380" s="665">
        <v>0</v>
      </c>
      <c r="AD380" s="665"/>
      <c r="AE380" s="665"/>
      <c r="AF380" s="665"/>
      <c r="AG380" s="306"/>
      <c r="AH380" s="307" t="s">
        <v>2965</v>
      </c>
      <c r="AI380" s="335">
        <v>40391</v>
      </c>
      <c r="AJ380" s="335">
        <v>11171</v>
      </c>
      <c r="AK380" s="308"/>
      <c r="AL380" s="308" t="s">
        <v>2717</v>
      </c>
      <c r="AM380" s="267" t="s">
        <v>2600</v>
      </c>
      <c r="AN380" s="507">
        <v>2317</v>
      </c>
      <c r="AO380" s="525"/>
      <c r="AP380" s="310"/>
      <c r="AQ380" s="310"/>
      <c r="AR380" s="310"/>
      <c r="AS380" s="310"/>
      <c r="AT380" s="310"/>
      <c r="AU380" s="310"/>
      <c r="AV380" s="544">
        <f t="shared" si="157"/>
        <v>0</v>
      </c>
      <c r="AW380" s="525"/>
      <c r="AX380" s="310"/>
      <c r="AY380" s="310"/>
      <c r="AZ380" s="310"/>
      <c r="BA380" s="310"/>
      <c r="BB380" s="310"/>
      <c r="BC380" s="310"/>
      <c r="BD380" s="544">
        <f t="shared" si="154"/>
        <v>0</v>
      </c>
      <c r="BE380" s="525"/>
      <c r="BF380" s="310"/>
      <c r="BG380" s="310"/>
      <c r="BH380" s="310"/>
      <c r="BI380" s="310"/>
      <c r="BJ380" s="310"/>
      <c r="BK380" s="310"/>
      <c r="BL380" s="544">
        <f t="shared" si="155"/>
        <v>0</v>
      </c>
      <c r="BM380" s="525"/>
      <c r="BN380" s="310"/>
      <c r="BO380" s="310"/>
      <c r="BP380" s="310"/>
      <c r="BQ380" s="310"/>
      <c r="BR380" s="310"/>
      <c r="BS380" s="310"/>
      <c r="BT380" s="544">
        <f t="shared" si="156"/>
        <v>0</v>
      </c>
      <c r="BU380" s="556"/>
      <c r="BV380" s="663">
        <f t="shared" si="158"/>
        <v>0</v>
      </c>
      <c r="BW380" s="674">
        <f t="shared" si="159"/>
        <v>0</v>
      </c>
      <c r="BX380" s="674">
        <f t="shared" si="160"/>
        <v>0</v>
      </c>
      <c r="BY380" s="674" t="e">
        <f t="shared" si="161"/>
        <v>#DIV/0!</v>
      </c>
      <c r="BZ380" s="675">
        <f t="shared" si="162"/>
        <v>0</v>
      </c>
      <c r="CA380" s="675" t="e">
        <f t="shared" si="163"/>
        <v>#DIV/0!</v>
      </c>
    </row>
    <row r="381" spans="1:79" ht="63" hidden="1" customHeight="1" x14ac:dyDescent="0.25">
      <c r="A381" s="298" t="s">
        <v>1135</v>
      </c>
      <c r="B381" s="299" t="str">
        <f>'PLAN INDICATIVO'!B372</f>
        <v>Fortalecimiento institucional</v>
      </c>
      <c r="C381" s="1547"/>
      <c r="D381" s="1549"/>
      <c r="E381" s="1549"/>
      <c r="F381" s="1549"/>
      <c r="G381" s="1549"/>
      <c r="H381" s="1549"/>
      <c r="I381" s="300">
        <f>'PLAN INDICATIVO'!I372</f>
        <v>0</v>
      </c>
      <c r="J381" s="300">
        <f>'PLAN INDICATIVO'!J372</f>
        <v>0</v>
      </c>
      <c r="K381" s="1425" t="str">
        <f>'PLAN INDICATIVO'!K372</f>
        <v>A.17.1.4</v>
      </c>
      <c r="L381" s="301" t="str">
        <f>'PLAN INDICATIVO'!L372</f>
        <v>16. Paz, justicia e instituciones sólidas</v>
      </c>
      <c r="M381" s="301" t="str">
        <f>'PLAN INDICATIVO'!M372</f>
        <v>Secretaría de Hacienda</v>
      </c>
      <c r="N381" s="1425" t="s">
        <v>2530</v>
      </c>
      <c r="O381" s="1425" t="str">
        <f>'PLAN INDICATIVO'!O372</f>
        <v>Mantenimiento</v>
      </c>
      <c r="P381" s="16" t="str">
        <f>'PLAN INDICATIVO'!P372</f>
        <v>Realizar 3 actividades de fiscalización a gastos e ingresos cada año</v>
      </c>
      <c r="Q381" s="302" t="str">
        <f>'PLAN INDICATIVO'!Q372</f>
        <v>No. de actividades realizadas por año</v>
      </c>
      <c r="R381" s="303">
        <f>'PLAN INDICATIVO'!R372</f>
        <v>2015</v>
      </c>
      <c r="S381" s="304">
        <v>2</v>
      </c>
      <c r="T381" s="498">
        <v>3</v>
      </c>
      <c r="U381" s="303">
        <v>3</v>
      </c>
      <c r="V381" s="687">
        <v>25000000</v>
      </c>
      <c r="W381" s="572">
        <v>3</v>
      </c>
      <c r="X381" s="687">
        <v>1000000</v>
      </c>
      <c r="Y381" s="572">
        <v>3</v>
      </c>
      <c r="Z381" s="687">
        <v>1000000</v>
      </c>
      <c r="AA381" s="572">
        <v>3</v>
      </c>
      <c r="AB381" s="687">
        <v>1000000</v>
      </c>
      <c r="AC381" s="665">
        <v>3</v>
      </c>
      <c r="AD381" s="665"/>
      <c r="AE381" s="665"/>
      <c r="AF381" s="665"/>
      <c r="AG381" s="306"/>
      <c r="AH381" s="307" t="s">
        <v>2966</v>
      </c>
      <c r="AI381" s="335">
        <v>40299</v>
      </c>
      <c r="AJ381" s="335">
        <v>11232</v>
      </c>
      <c r="AK381" s="308"/>
      <c r="AL381" s="308"/>
      <c r="AM381" s="267" t="s">
        <v>2598</v>
      </c>
      <c r="AN381" s="507">
        <v>2317</v>
      </c>
      <c r="AO381" s="525"/>
      <c r="AP381" s="310"/>
      <c r="AQ381" s="310"/>
      <c r="AR381" s="310"/>
      <c r="AS381" s="310"/>
      <c r="AT381" s="310"/>
      <c r="AU381" s="310"/>
      <c r="AV381" s="544">
        <f t="shared" si="157"/>
        <v>0</v>
      </c>
      <c r="AW381" s="525"/>
      <c r="AX381" s="310"/>
      <c r="AY381" s="310"/>
      <c r="AZ381" s="310"/>
      <c r="BA381" s="310"/>
      <c r="BB381" s="310"/>
      <c r="BC381" s="310"/>
      <c r="BD381" s="544">
        <f t="shared" si="154"/>
        <v>0</v>
      </c>
      <c r="BE381" s="525"/>
      <c r="BF381" s="310"/>
      <c r="BG381" s="310"/>
      <c r="BH381" s="310"/>
      <c r="BI381" s="310"/>
      <c r="BJ381" s="310"/>
      <c r="BK381" s="310"/>
      <c r="BL381" s="544">
        <f t="shared" si="155"/>
        <v>0</v>
      </c>
      <c r="BM381" s="525"/>
      <c r="BN381" s="310"/>
      <c r="BO381" s="310"/>
      <c r="BP381" s="310"/>
      <c r="BQ381" s="310"/>
      <c r="BR381" s="310"/>
      <c r="BS381" s="310"/>
      <c r="BT381" s="544">
        <f t="shared" si="156"/>
        <v>0</v>
      </c>
      <c r="BU381" s="556"/>
      <c r="BV381" s="663">
        <f t="shared" si="158"/>
        <v>3</v>
      </c>
      <c r="BW381" s="674">
        <f t="shared" si="159"/>
        <v>1</v>
      </c>
      <c r="BX381" s="674">
        <f t="shared" si="160"/>
        <v>1</v>
      </c>
      <c r="BY381" s="674">
        <f t="shared" si="161"/>
        <v>0</v>
      </c>
      <c r="BZ381" s="675">
        <f t="shared" si="162"/>
        <v>0</v>
      </c>
      <c r="CA381" s="675">
        <f t="shared" si="163"/>
        <v>0</v>
      </c>
    </row>
    <row r="382" spans="1:79" ht="42" hidden="1" customHeight="1" x14ac:dyDescent="0.25">
      <c r="A382" s="298" t="s">
        <v>1135</v>
      </c>
      <c r="B382" s="299" t="str">
        <f>'PLAN INDICATIVO'!B373</f>
        <v>Fortalecimiento institucional</v>
      </c>
      <c r="C382" s="1547"/>
      <c r="D382" s="1549"/>
      <c r="E382" s="1549"/>
      <c r="F382" s="1549"/>
      <c r="G382" s="1549"/>
      <c r="H382" s="1549"/>
      <c r="I382" s="1425" t="str">
        <f>'PLAN INDICATIVO'!I373</f>
        <v>si</v>
      </c>
      <c r="J382" s="1425">
        <f>'PLAN INDICATIVO'!J373</f>
        <v>0</v>
      </c>
      <c r="K382" s="1425" t="str">
        <f>'PLAN INDICATIVO'!K373</f>
        <v>A.17.1.5</v>
      </c>
      <c r="L382" s="301" t="str">
        <f>'PLAN INDICATIVO'!L373</f>
        <v>16. Paz, justicia e instituciones sólidas</v>
      </c>
      <c r="M382" s="301" t="str">
        <f>'PLAN INDICATIVO'!M373</f>
        <v>Departamento Municipal de Planeación</v>
      </c>
      <c r="N382" s="1425" t="s">
        <v>2954</v>
      </c>
      <c r="O382" s="1425" t="str">
        <f>'PLAN INDICATIVO'!O373</f>
        <v>Incremento</v>
      </c>
      <c r="P382" s="16" t="str">
        <f>'PLAN INDICATIVO'!P373</f>
        <v>Actualizar y aprobar 1 PBOT durante el cuatrienio</v>
      </c>
      <c r="Q382" s="302" t="str">
        <f>'PLAN INDICATIVO'!Q373</f>
        <v>No. De PBOT actualizado y aprobado</v>
      </c>
      <c r="R382" s="303">
        <f>'PLAN INDICATIVO'!R373</f>
        <v>2015</v>
      </c>
      <c r="S382" s="304">
        <v>0</v>
      </c>
      <c r="T382" s="498">
        <v>1</v>
      </c>
      <c r="U382" s="303">
        <v>0</v>
      </c>
      <c r="V382" s="687"/>
      <c r="W382" s="572">
        <v>1</v>
      </c>
      <c r="X382" s="687">
        <v>301000000</v>
      </c>
      <c r="Y382" s="572">
        <v>0</v>
      </c>
      <c r="Z382" s="687"/>
      <c r="AA382" s="572">
        <v>0</v>
      </c>
      <c r="AB382" s="687"/>
      <c r="AC382" s="665"/>
      <c r="AD382" s="665"/>
      <c r="AE382" s="665"/>
      <c r="AF382" s="665"/>
      <c r="AG382" s="306"/>
      <c r="AH382" s="307"/>
      <c r="AI382" s="308" t="s">
        <v>2717</v>
      </c>
      <c r="AJ382" s="308"/>
      <c r="AK382" s="308"/>
      <c r="AL382" s="308"/>
      <c r="AM382" s="267" t="s">
        <v>2594</v>
      </c>
      <c r="AN382" s="507"/>
      <c r="AO382" s="525"/>
      <c r="AP382" s="310"/>
      <c r="AQ382" s="310"/>
      <c r="AR382" s="310"/>
      <c r="AS382" s="310"/>
      <c r="AT382" s="310"/>
      <c r="AU382" s="310"/>
      <c r="AV382" s="544">
        <f t="shared" si="157"/>
        <v>0</v>
      </c>
      <c r="AW382" s="525"/>
      <c r="AX382" s="310"/>
      <c r="AY382" s="310"/>
      <c r="AZ382" s="310"/>
      <c r="BA382" s="310"/>
      <c r="BB382" s="310"/>
      <c r="BC382" s="310"/>
      <c r="BD382" s="544">
        <f t="shared" si="154"/>
        <v>0</v>
      </c>
      <c r="BE382" s="525"/>
      <c r="BF382" s="310"/>
      <c r="BG382" s="310"/>
      <c r="BH382" s="310"/>
      <c r="BI382" s="310"/>
      <c r="BJ382" s="310"/>
      <c r="BK382" s="310"/>
      <c r="BL382" s="544">
        <f t="shared" si="155"/>
        <v>0</v>
      </c>
      <c r="BM382" s="525"/>
      <c r="BN382" s="310"/>
      <c r="BO382" s="310"/>
      <c r="BP382" s="310"/>
      <c r="BQ382" s="310"/>
      <c r="BR382" s="310"/>
      <c r="BS382" s="310"/>
      <c r="BT382" s="544">
        <f t="shared" si="156"/>
        <v>0</v>
      </c>
      <c r="BU382" s="556"/>
      <c r="BV382" s="663">
        <f t="shared" si="158"/>
        <v>0</v>
      </c>
      <c r="BW382" s="674">
        <f t="shared" si="159"/>
        <v>0</v>
      </c>
      <c r="BX382" s="674" t="e">
        <f t="shared" si="160"/>
        <v>#DIV/0!</v>
      </c>
      <c r="BY382" s="674">
        <f t="shared" si="161"/>
        <v>0</v>
      </c>
      <c r="BZ382" s="675" t="e">
        <f t="shared" si="162"/>
        <v>#DIV/0!</v>
      </c>
      <c r="CA382" s="675" t="e">
        <f t="shared" si="163"/>
        <v>#DIV/0!</v>
      </c>
    </row>
    <row r="383" spans="1:79" ht="72" hidden="1" customHeight="1" x14ac:dyDescent="0.25">
      <c r="A383" s="298" t="s">
        <v>1135</v>
      </c>
      <c r="B383" s="299" t="str">
        <f>'PLAN INDICATIVO'!B374</f>
        <v>Fortalecimiento institucional</v>
      </c>
      <c r="C383" s="1547"/>
      <c r="D383" s="1549"/>
      <c r="E383" s="1549"/>
      <c r="F383" s="1549"/>
      <c r="G383" s="1549"/>
      <c r="H383" s="1549"/>
      <c r="I383" s="300">
        <f>'PLAN INDICATIVO'!I374</f>
        <v>0</v>
      </c>
      <c r="J383" s="300">
        <f>'PLAN INDICATIVO'!J374</f>
        <v>0</v>
      </c>
      <c r="K383" s="1425" t="str">
        <f>'PLAN INDICATIVO'!K374</f>
        <v>A.17.1.6</v>
      </c>
      <c r="L383" s="301" t="str">
        <f>'PLAN INDICATIVO'!L374</f>
        <v>16. Paz, justicia e instituciones sólidas</v>
      </c>
      <c r="M383" s="301" t="str">
        <f>'PLAN INDICATIVO'!M374</f>
        <v>Secretaría de Gobierno</v>
      </c>
      <c r="N383" s="1425" t="s">
        <v>2791</v>
      </c>
      <c r="O383" s="1425" t="str">
        <f>'PLAN INDICATIVO'!O374</f>
        <v>Incremento</v>
      </c>
      <c r="P383" s="16" t="str">
        <f>'PLAN INDICATIVO'!P374</f>
        <v>Realizar 1 estudio para la reorganización funcional del municipio durante el cuatrienio (manuales de funciones y procedimientos)</v>
      </c>
      <c r="Q383" s="302" t="str">
        <f>'PLAN INDICATIVO'!Q374</f>
        <v>No. De Estudio de reorganización administrativa realizados</v>
      </c>
      <c r="R383" s="303">
        <f>'PLAN INDICATIVO'!R374</f>
        <v>2015</v>
      </c>
      <c r="S383" s="304">
        <v>0</v>
      </c>
      <c r="T383" s="498">
        <v>1</v>
      </c>
      <c r="U383" s="303">
        <v>1</v>
      </c>
      <c r="V383" s="687">
        <v>50000000</v>
      </c>
      <c r="W383" s="572">
        <v>0</v>
      </c>
      <c r="X383" s="687"/>
      <c r="Y383" s="572">
        <v>0</v>
      </c>
      <c r="Z383" s="687"/>
      <c r="AA383" s="572">
        <v>0</v>
      </c>
      <c r="AB383" s="687"/>
      <c r="AC383" s="665">
        <v>0</v>
      </c>
      <c r="AD383" s="665"/>
      <c r="AE383" s="665"/>
      <c r="AF383" s="665"/>
      <c r="AG383" s="306"/>
      <c r="AH383" s="307" t="s">
        <v>2967</v>
      </c>
      <c r="AI383" s="335">
        <v>44044</v>
      </c>
      <c r="AJ383" s="335">
        <v>47818</v>
      </c>
      <c r="AK383" s="308"/>
      <c r="AL383" s="308" t="s">
        <v>2717</v>
      </c>
      <c r="AM383" s="281" t="s">
        <v>2600</v>
      </c>
      <c r="AN383" s="507">
        <v>2313</v>
      </c>
      <c r="AO383" s="525"/>
      <c r="AP383" s="310"/>
      <c r="AQ383" s="310"/>
      <c r="AR383" s="310"/>
      <c r="AS383" s="310"/>
      <c r="AT383" s="310"/>
      <c r="AU383" s="310"/>
      <c r="AV383" s="544">
        <f t="shared" si="157"/>
        <v>0</v>
      </c>
      <c r="AW383" s="525"/>
      <c r="AX383" s="310"/>
      <c r="AY383" s="310"/>
      <c r="AZ383" s="310"/>
      <c r="BA383" s="310"/>
      <c r="BB383" s="310"/>
      <c r="BC383" s="310"/>
      <c r="BD383" s="544">
        <f t="shared" si="154"/>
        <v>0</v>
      </c>
      <c r="BE383" s="525"/>
      <c r="BF383" s="310"/>
      <c r="BG383" s="310"/>
      <c r="BH383" s="310"/>
      <c r="BI383" s="310"/>
      <c r="BJ383" s="310"/>
      <c r="BK383" s="310"/>
      <c r="BL383" s="544">
        <f t="shared" si="155"/>
        <v>0</v>
      </c>
      <c r="BM383" s="525"/>
      <c r="BN383" s="310"/>
      <c r="BO383" s="310"/>
      <c r="BP383" s="310"/>
      <c r="BQ383" s="310"/>
      <c r="BR383" s="310"/>
      <c r="BS383" s="310"/>
      <c r="BT383" s="544">
        <f t="shared" si="156"/>
        <v>0</v>
      </c>
      <c r="BU383" s="556"/>
      <c r="BV383" s="663">
        <f t="shared" si="158"/>
        <v>0</v>
      </c>
      <c r="BW383" s="674">
        <f t="shared" si="159"/>
        <v>0</v>
      </c>
      <c r="BX383" s="674">
        <f t="shared" si="160"/>
        <v>0</v>
      </c>
      <c r="BY383" s="674" t="e">
        <f t="shared" si="161"/>
        <v>#DIV/0!</v>
      </c>
      <c r="BZ383" s="675" t="e">
        <f t="shared" si="162"/>
        <v>#DIV/0!</v>
      </c>
      <c r="CA383" s="675" t="e">
        <f t="shared" si="163"/>
        <v>#DIV/0!</v>
      </c>
    </row>
    <row r="384" spans="1:79" ht="75.75" hidden="1" customHeight="1" x14ac:dyDescent="0.25">
      <c r="A384" s="298" t="s">
        <v>1135</v>
      </c>
      <c r="B384" s="299" t="str">
        <f>'PLAN INDICATIVO'!B375</f>
        <v>Fortalecimiento institucional</v>
      </c>
      <c r="C384" s="1547"/>
      <c r="D384" s="1549"/>
      <c r="E384" s="1549"/>
      <c r="F384" s="1549"/>
      <c r="G384" s="1549"/>
      <c r="H384" s="1549"/>
      <c r="I384" s="300">
        <f>'PLAN INDICATIVO'!I375</f>
        <v>0</v>
      </c>
      <c r="J384" s="300">
        <f>'PLAN INDICATIVO'!J375</f>
        <v>0</v>
      </c>
      <c r="K384" s="1425" t="str">
        <f>'PLAN INDICATIVO'!K375</f>
        <v>A.17.1.7</v>
      </c>
      <c r="L384" s="301" t="str">
        <f>'PLAN INDICATIVO'!L375</f>
        <v>16. Paz, justicia e instituciones sólidas</v>
      </c>
      <c r="M384" s="301" t="str">
        <f>'PLAN INDICATIVO'!M375</f>
        <v>Secretaría de Gobierno</v>
      </c>
      <c r="N384" s="1425" t="s">
        <v>2791</v>
      </c>
      <c r="O384" s="1425" t="str">
        <f>'PLAN INDICATIVO'!O375</f>
        <v>Mantenimiento</v>
      </c>
      <c r="P384" s="16" t="str">
        <f>'PLAN INDICATIVO'!P375</f>
        <v>Ejecutar 1 programa anual para el fortalecimiento administrativo, técnico, jurídico y/o profesional de la administración municipal.</v>
      </c>
      <c r="Q384" s="302" t="str">
        <f>'PLAN INDICATIVO'!Q375</f>
        <v>No. De programas ejecutados anualmente</v>
      </c>
      <c r="R384" s="303">
        <f>'PLAN INDICATIVO'!R375</f>
        <v>2015</v>
      </c>
      <c r="S384" s="304">
        <v>1</v>
      </c>
      <c r="T384" s="498">
        <v>1</v>
      </c>
      <c r="U384" s="303">
        <v>1</v>
      </c>
      <c r="V384" s="687">
        <v>221800000</v>
      </c>
      <c r="W384" s="572">
        <v>1</v>
      </c>
      <c r="X384" s="687">
        <v>270000000</v>
      </c>
      <c r="Y384" s="572">
        <v>1</v>
      </c>
      <c r="Z384" s="687">
        <v>280000000</v>
      </c>
      <c r="AA384" s="572">
        <v>1</v>
      </c>
      <c r="AB384" s="687">
        <v>290000000</v>
      </c>
      <c r="AC384" s="665">
        <v>1</v>
      </c>
      <c r="AD384" s="665"/>
      <c r="AE384" s="665"/>
      <c r="AF384" s="665"/>
      <c r="AG384" s="306"/>
      <c r="AH384" s="769" t="s">
        <v>2968</v>
      </c>
      <c r="AI384" s="335">
        <v>37469</v>
      </c>
      <c r="AJ384" s="335">
        <v>47696</v>
      </c>
      <c r="AK384" s="308"/>
      <c r="AL384" s="308"/>
      <c r="AM384" s="281" t="s">
        <v>2598</v>
      </c>
      <c r="AN384" s="507">
        <v>2317</v>
      </c>
      <c r="AO384" s="525"/>
      <c r="AP384" s="310"/>
      <c r="AQ384" s="310"/>
      <c r="AR384" s="310"/>
      <c r="AS384" s="310"/>
      <c r="AT384" s="310"/>
      <c r="AU384" s="310"/>
      <c r="AV384" s="544">
        <f t="shared" si="157"/>
        <v>0</v>
      </c>
      <c r="AW384" s="525"/>
      <c r="AX384" s="310"/>
      <c r="AY384" s="310"/>
      <c r="AZ384" s="310"/>
      <c r="BA384" s="310"/>
      <c r="BB384" s="310"/>
      <c r="BC384" s="310"/>
      <c r="BD384" s="544">
        <f t="shared" si="154"/>
        <v>0</v>
      </c>
      <c r="BE384" s="525"/>
      <c r="BF384" s="310"/>
      <c r="BG384" s="310"/>
      <c r="BH384" s="310"/>
      <c r="BI384" s="310"/>
      <c r="BJ384" s="310"/>
      <c r="BK384" s="310"/>
      <c r="BL384" s="544">
        <f t="shared" si="155"/>
        <v>0</v>
      </c>
      <c r="BM384" s="525"/>
      <c r="BN384" s="310"/>
      <c r="BO384" s="310"/>
      <c r="BP384" s="310"/>
      <c r="BQ384" s="310"/>
      <c r="BR384" s="310"/>
      <c r="BS384" s="310"/>
      <c r="BT384" s="544">
        <f t="shared" si="156"/>
        <v>0</v>
      </c>
      <c r="BU384" s="556"/>
      <c r="BV384" s="663">
        <f t="shared" si="158"/>
        <v>1</v>
      </c>
      <c r="BW384" s="674">
        <f t="shared" si="159"/>
        <v>1</v>
      </c>
      <c r="BX384" s="674">
        <f t="shared" si="160"/>
        <v>1</v>
      </c>
      <c r="BY384" s="674">
        <f t="shared" si="161"/>
        <v>0</v>
      </c>
      <c r="BZ384" s="675">
        <f t="shared" si="162"/>
        <v>0</v>
      </c>
      <c r="CA384" s="675">
        <f t="shared" si="163"/>
        <v>0</v>
      </c>
    </row>
    <row r="385" spans="1:79" ht="39.75" hidden="1" customHeight="1" x14ac:dyDescent="0.25">
      <c r="A385" s="298" t="s">
        <v>1135</v>
      </c>
      <c r="B385" s="299" t="str">
        <f>'PLAN INDICATIVO'!B376</f>
        <v>Fortalecimiento institucional</v>
      </c>
      <c r="C385" s="1547"/>
      <c r="D385" s="1549"/>
      <c r="E385" s="1549"/>
      <c r="F385" s="1549"/>
      <c r="G385" s="1549"/>
      <c r="H385" s="1549"/>
      <c r="I385" s="300">
        <f>'PLAN INDICATIVO'!I376</f>
        <v>0</v>
      </c>
      <c r="J385" s="300">
        <f>'PLAN INDICATIVO'!J376</f>
        <v>0</v>
      </c>
      <c r="K385" s="1425" t="str">
        <f>'PLAN INDICATIVO'!K376</f>
        <v>A.17.1.8</v>
      </c>
      <c r="L385" s="301" t="str">
        <f>'PLAN INDICATIVO'!L376</f>
        <v>16. Paz, justicia e instituciones sólidas</v>
      </c>
      <c r="M385" s="301" t="str">
        <f>'PLAN INDICATIVO'!M376</f>
        <v>Secretaría de Gobierno</v>
      </c>
      <c r="N385" s="1425" t="s">
        <v>2791</v>
      </c>
      <c r="O385" s="1425" t="str">
        <f>'PLAN INDICATIVO'!O376</f>
        <v>Incremento</v>
      </c>
      <c r="P385" s="16" t="str">
        <f>'PLAN INDICATIVO'!P376</f>
        <v>Apoyar 4 veedurías públicas para vigilancia a la contratación pública durante el cuatrienio</v>
      </c>
      <c r="Q385" s="302" t="str">
        <f>'PLAN INDICATIVO'!Q376</f>
        <v>No. de veedurías apoyadas</v>
      </c>
      <c r="R385" s="303">
        <f>'PLAN INDICATIVO'!R376</f>
        <v>2015</v>
      </c>
      <c r="S385" s="304">
        <v>4</v>
      </c>
      <c r="T385" s="498">
        <v>4</v>
      </c>
      <c r="U385" s="303">
        <v>1</v>
      </c>
      <c r="V385" s="687">
        <v>500000</v>
      </c>
      <c r="W385" s="572">
        <v>1</v>
      </c>
      <c r="X385" s="687">
        <v>1000000</v>
      </c>
      <c r="Y385" s="572">
        <v>1</v>
      </c>
      <c r="Z385" s="687">
        <v>1000000</v>
      </c>
      <c r="AA385" s="572">
        <v>1</v>
      </c>
      <c r="AB385" s="687">
        <v>1000000</v>
      </c>
      <c r="AC385" s="665">
        <v>1</v>
      </c>
      <c r="AD385" s="665"/>
      <c r="AE385" s="665"/>
      <c r="AF385" s="665"/>
      <c r="AG385" s="306"/>
      <c r="AH385" s="307" t="s">
        <v>2969</v>
      </c>
      <c r="AI385" s="308"/>
      <c r="AJ385" s="308"/>
      <c r="AK385" s="308"/>
      <c r="AL385" s="308"/>
      <c r="AM385" s="281" t="s">
        <v>2598</v>
      </c>
      <c r="AN385" s="507">
        <v>2313</v>
      </c>
      <c r="AO385" s="525"/>
      <c r="AP385" s="310"/>
      <c r="AQ385" s="310"/>
      <c r="AR385" s="310"/>
      <c r="AS385" s="310"/>
      <c r="AT385" s="310"/>
      <c r="AU385" s="310"/>
      <c r="AV385" s="544">
        <f t="shared" si="157"/>
        <v>0</v>
      </c>
      <c r="AW385" s="525"/>
      <c r="AX385" s="310"/>
      <c r="AY385" s="310"/>
      <c r="AZ385" s="310"/>
      <c r="BA385" s="310"/>
      <c r="BB385" s="310"/>
      <c r="BC385" s="310"/>
      <c r="BD385" s="544">
        <f t="shared" si="154"/>
        <v>0</v>
      </c>
      <c r="BE385" s="525"/>
      <c r="BF385" s="310"/>
      <c r="BG385" s="310"/>
      <c r="BH385" s="310"/>
      <c r="BI385" s="310"/>
      <c r="BJ385" s="310"/>
      <c r="BK385" s="310"/>
      <c r="BL385" s="544">
        <f t="shared" si="155"/>
        <v>0</v>
      </c>
      <c r="BM385" s="525"/>
      <c r="BN385" s="310"/>
      <c r="BO385" s="310"/>
      <c r="BP385" s="310"/>
      <c r="BQ385" s="310"/>
      <c r="BR385" s="310"/>
      <c r="BS385" s="310"/>
      <c r="BT385" s="544">
        <f t="shared" si="156"/>
        <v>0</v>
      </c>
      <c r="BU385" s="556"/>
      <c r="BV385" s="663">
        <f t="shared" si="158"/>
        <v>1</v>
      </c>
      <c r="BW385" s="674">
        <f t="shared" si="159"/>
        <v>0.25</v>
      </c>
      <c r="BX385" s="674">
        <f t="shared" si="160"/>
        <v>1</v>
      </c>
      <c r="BY385" s="674">
        <f t="shared" si="161"/>
        <v>0</v>
      </c>
      <c r="BZ385" s="675">
        <f t="shared" si="162"/>
        <v>0</v>
      </c>
      <c r="CA385" s="675">
        <f t="shared" si="163"/>
        <v>0</v>
      </c>
    </row>
    <row r="386" spans="1:79" ht="41.25" hidden="1" customHeight="1" x14ac:dyDescent="0.25">
      <c r="A386" s="298" t="s">
        <v>1135</v>
      </c>
      <c r="B386" s="299" t="str">
        <f>'PLAN INDICATIVO'!B377</f>
        <v>Fortalecimiento institucional</v>
      </c>
      <c r="C386" s="1547"/>
      <c r="D386" s="1549"/>
      <c r="E386" s="1549"/>
      <c r="F386" s="1549"/>
      <c r="G386" s="1549"/>
      <c r="H386" s="1549"/>
      <c r="I386" s="300">
        <f>'PLAN INDICATIVO'!I377</f>
        <v>0</v>
      </c>
      <c r="J386" s="300">
        <f>'PLAN INDICATIVO'!J377</f>
        <v>0</v>
      </c>
      <c r="K386" s="1425" t="str">
        <f>'PLAN INDICATIVO'!K377</f>
        <v>A.17.1.9</v>
      </c>
      <c r="L386" s="301" t="str">
        <f>'PLAN INDICATIVO'!L377</f>
        <v>16. Paz, justicia e instituciones sólidas</v>
      </c>
      <c r="M386" s="301" t="str">
        <f>'PLAN INDICATIVO'!M377</f>
        <v>Secretaría de Gobierno</v>
      </c>
      <c r="N386" s="1425" t="s">
        <v>2791</v>
      </c>
      <c r="O386" s="1425" t="str">
        <f>'PLAN INDICATIVO'!O377</f>
        <v>Mantenimiento</v>
      </c>
      <c r="P386" s="16" t="str">
        <f>'PLAN INDICATIVO'!P377</f>
        <v>100% de la contratación pública, presentada en el SECOP</v>
      </c>
      <c r="Q386" s="302" t="str">
        <f>'PLAN INDICATIVO'!Q377</f>
        <v>Porcentaje de la contratación   publicada en SECOP</v>
      </c>
      <c r="R386" s="303">
        <f>'PLAN INDICATIVO'!R377</f>
        <v>2015</v>
      </c>
      <c r="S386" s="304" t="s">
        <v>177</v>
      </c>
      <c r="T386" s="498">
        <v>100</v>
      </c>
      <c r="U386" s="303">
        <v>100</v>
      </c>
      <c r="V386" s="687">
        <v>1000000</v>
      </c>
      <c r="W386" s="572">
        <v>100</v>
      </c>
      <c r="X386" s="687">
        <v>16000000</v>
      </c>
      <c r="Y386" s="572">
        <v>100</v>
      </c>
      <c r="Z386" s="687">
        <v>1000000</v>
      </c>
      <c r="AA386" s="572">
        <v>100</v>
      </c>
      <c r="AB386" s="687">
        <v>1000000</v>
      </c>
      <c r="AC386" s="665">
        <v>100</v>
      </c>
      <c r="AD386" s="665"/>
      <c r="AE386" s="665"/>
      <c r="AF386" s="665"/>
      <c r="AG386" s="306"/>
      <c r="AH386" s="307" t="s">
        <v>2970</v>
      </c>
      <c r="AI386" s="335">
        <v>36892</v>
      </c>
      <c r="AJ386" s="335">
        <v>11658</v>
      </c>
      <c r="AK386" s="308"/>
      <c r="AL386" s="308"/>
      <c r="AM386" s="281" t="s">
        <v>2598</v>
      </c>
      <c r="AN386" s="310" t="s">
        <v>2971</v>
      </c>
      <c r="AO386" s="310"/>
      <c r="AP386" s="310">
        <v>14559200</v>
      </c>
      <c r="AQ386" s="310"/>
      <c r="AR386" s="310"/>
      <c r="AS386" s="310"/>
      <c r="AT386" s="310"/>
      <c r="AU386" s="310"/>
      <c r="AV386" s="544">
        <f t="shared" si="157"/>
        <v>14559200</v>
      </c>
      <c r="AW386" s="525"/>
      <c r="AX386" s="310"/>
      <c r="AY386" s="310"/>
      <c r="AZ386" s="310"/>
      <c r="BA386" s="310"/>
      <c r="BB386" s="310"/>
      <c r="BC386" s="310"/>
      <c r="BD386" s="544">
        <f t="shared" si="154"/>
        <v>0</v>
      </c>
      <c r="BE386" s="525"/>
      <c r="BF386" s="310"/>
      <c r="BG386" s="310"/>
      <c r="BH386" s="310"/>
      <c r="BI386" s="310"/>
      <c r="BJ386" s="310"/>
      <c r="BK386" s="310"/>
      <c r="BL386" s="544">
        <f t="shared" si="155"/>
        <v>0</v>
      </c>
      <c r="BM386" s="525"/>
      <c r="BN386" s="310"/>
      <c r="BO386" s="310"/>
      <c r="BP386" s="310"/>
      <c r="BQ386" s="310"/>
      <c r="BR386" s="310"/>
      <c r="BS386" s="310"/>
      <c r="BT386" s="544">
        <f t="shared" si="156"/>
        <v>0</v>
      </c>
      <c r="BU386" s="556"/>
      <c r="BV386" s="663">
        <f t="shared" si="158"/>
        <v>100</v>
      </c>
      <c r="BW386" s="674">
        <f t="shared" si="159"/>
        <v>1</v>
      </c>
      <c r="BX386" s="674">
        <f t="shared" si="160"/>
        <v>1</v>
      </c>
      <c r="BY386" s="674">
        <f t="shared" si="161"/>
        <v>0</v>
      </c>
      <c r="BZ386" s="675">
        <f t="shared" si="162"/>
        <v>0</v>
      </c>
      <c r="CA386" s="675">
        <f t="shared" si="163"/>
        <v>0</v>
      </c>
    </row>
    <row r="387" spans="1:79" ht="47.25" hidden="1" customHeight="1" x14ac:dyDescent="0.25">
      <c r="A387" s="298" t="s">
        <v>1135</v>
      </c>
      <c r="B387" s="299" t="str">
        <f>'PLAN INDICATIVO'!B378</f>
        <v>Fortalecimiento institucional</v>
      </c>
      <c r="C387" s="1547"/>
      <c r="D387" s="1549"/>
      <c r="E387" s="1549"/>
      <c r="F387" s="1549"/>
      <c r="G387" s="1549"/>
      <c r="H387" s="1549"/>
      <c r="I387" s="300">
        <f>'PLAN INDICATIVO'!I378</f>
        <v>0</v>
      </c>
      <c r="J387" s="300">
        <f>'PLAN INDICATIVO'!J378</f>
        <v>0</v>
      </c>
      <c r="K387" s="1425" t="str">
        <f>'PLAN INDICATIVO'!K378</f>
        <v>A.17.1.10</v>
      </c>
      <c r="L387" s="301" t="str">
        <f>'PLAN INDICATIVO'!L378</f>
        <v>16. Paz, justicia e instituciones sólidas</v>
      </c>
      <c r="M387" s="301" t="str">
        <f>'PLAN INDICATIVO'!M378</f>
        <v>Secretaría de Gobierno</v>
      </c>
      <c r="N387" s="1425" t="s">
        <v>2791</v>
      </c>
      <c r="O387" s="1425" t="str">
        <f>'PLAN INDICATIVO'!O378</f>
        <v>Mantenimiento</v>
      </c>
      <c r="P387" s="16" t="str">
        <f>'PLAN INDICATIVO'!P378</f>
        <v>Implementar 1 plan de capacitación a funcionarios públicos cada año</v>
      </c>
      <c r="Q387" s="302" t="str">
        <f>'PLAN INDICATIVO'!Q378</f>
        <v>Plan de capacitación implementado por año</v>
      </c>
      <c r="R387" s="303">
        <f>'PLAN INDICATIVO'!R378</f>
        <v>2015</v>
      </c>
      <c r="S387" s="304">
        <v>1</v>
      </c>
      <c r="T387" s="498">
        <v>1</v>
      </c>
      <c r="U387" s="303">
        <v>1</v>
      </c>
      <c r="V387" s="687">
        <v>20000000</v>
      </c>
      <c r="W387" s="572">
        <v>1</v>
      </c>
      <c r="X387" s="687">
        <v>40000000</v>
      </c>
      <c r="Y387" s="572">
        <v>1</v>
      </c>
      <c r="Z387" s="687">
        <v>40000000</v>
      </c>
      <c r="AA387" s="572">
        <v>1</v>
      </c>
      <c r="AB387" s="687">
        <v>40000000</v>
      </c>
      <c r="AC387" s="665">
        <v>1</v>
      </c>
      <c r="AD387" s="665"/>
      <c r="AE387" s="665"/>
      <c r="AF387" s="665"/>
      <c r="AG387" s="306"/>
      <c r="AH387" s="307" t="s">
        <v>2972</v>
      </c>
      <c r="AI387" s="335">
        <v>36892</v>
      </c>
      <c r="AJ387" s="335">
        <v>11658</v>
      </c>
      <c r="AK387" s="308"/>
      <c r="AL387" s="308"/>
      <c r="AM387" s="281" t="s">
        <v>2598</v>
      </c>
      <c r="AN387" s="507" t="s">
        <v>2973</v>
      </c>
      <c r="AO387" s="310">
        <v>20219982</v>
      </c>
      <c r="AP387" s="310">
        <v>1500000</v>
      </c>
      <c r="AQ387" s="310"/>
      <c r="AR387" s="310"/>
      <c r="AS387" s="310"/>
      <c r="AT387" s="310"/>
      <c r="AU387" s="310"/>
      <c r="AV387" s="544">
        <f t="shared" si="157"/>
        <v>21719982</v>
      </c>
      <c r="AW387" s="525"/>
      <c r="AX387" s="310"/>
      <c r="AY387" s="310"/>
      <c r="AZ387" s="310"/>
      <c r="BA387" s="310"/>
      <c r="BB387" s="310"/>
      <c r="BC387" s="310"/>
      <c r="BD387" s="544">
        <f t="shared" si="154"/>
        <v>0</v>
      </c>
      <c r="BE387" s="525"/>
      <c r="BF387" s="310"/>
      <c r="BG387" s="310"/>
      <c r="BH387" s="310"/>
      <c r="BI387" s="310"/>
      <c r="BJ387" s="310"/>
      <c r="BK387" s="310"/>
      <c r="BL387" s="544">
        <f t="shared" si="155"/>
        <v>0</v>
      </c>
      <c r="BM387" s="525"/>
      <c r="BN387" s="310"/>
      <c r="BO387" s="310"/>
      <c r="BP387" s="310"/>
      <c r="BQ387" s="310"/>
      <c r="BR387" s="310"/>
      <c r="BS387" s="310"/>
      <c r="BT387" s="544">
        <f t="shared" si="156"/>
        <v>0</v>
      </c>
      <c r="BU387" s="556"/>
      <c r="BV387" s="663">
        <f t="shared" si="158"/>
        <v>1</v>
      </c>
      <c r="BW387" s="674">
        <f t="shared" si="159"/>
        <v>1</v>
      </c>
      <c r="BX387" s="674">
        <f t="shared" si="160"/>
        <v>1</v>
      </c>
      <c r="BY387" s="674">
        <f t="shared" si="161"/>
        <v>0</v>
      </c>
      <c r="BZ387" s="675">
        <f t="shared" si="162"/>
        <v>0</v>
      </c>
      <c r="CA387" s="675">
        <f t="shared" si="163"/>
        <v>0</v>
      </c>
    </row>
    <row r="388" spans="1:79" ht="42" hidden="1" customHeight="1" x14ac:dyDescent="0.25">
      <c r="A388" s="298" t="s">
        <v>1135</v>
      </c>
      <c r="B388" s="299" t="str">
        <f>'PLAN INDICATIVO'!B379</f>
        <v>Fortalecimiento institucional</v>
      </c>
      <c r="C388" s="1547"/>
      <c r="D388" s="1549"/>
      <c r="E388" s="1549"/>
      <c r="F388" s="1549"/>
      <c r="G388" s="1549"/>
      <c r="H388" s="1549"/>
      <c r="I388" s="1425" t="str">
        <f>'PLAN INDICATIVO'!I379</f>
        <v>SI</v>
      </c>
      <c r="J388" s="1425">
        <f>'PLAN INDICATIVO'!J379</f>
        <v>0</v>
      </c>
      <c r="K388" s="1425" t="str">
        <f>'PLAN INDICATIVO'!K379</f>
        <v>A.17.1.11</v>
      </c>
      <c r="L388" s="301" t="str">
        <f>'PLAN INDICATIVO'!L379</f>
        <v>16. Paz, justicia e instituciones sólidas</v>
      </c>
      <c r="M388" s="301" t="str">
        <f>'PLAN INDICATIVO'!M379</f>
        <v>Departamento Municipal de Planeación</v>
      </c>
      <c r="N388" s="1425" t="s">
        <v>2954</v>
      </c>
      <c r="O388" s="1425" t="str">
        <f>'PLAN INDICATIVO'!O379</f>
        <v>Incremento</v>
      </c>
      <c r="P388" s="16" t="str">
        <f>'PLAN INDICATIVO'!P379</f>
        <v>Realizar 1 actualización catastral durante el cuatrienio</v>
      </c>
      <c r="Q388" s="302" t="str">
        <f>'PLAN INDICATIVO'!Q379</f>
        <v>No. De actualizaciones catastrales realizadas durante el cuatrienio</v>
      </c>
      <c r="R388" s="303">
        <f>'PLAN INDICATIVO'!R379</f>
        <v>2015</v>
      </c>
      <c r="S388" s="304">
        <v>0</v>
      </c>
      <c r="T388" s="498">
        <v>1</v>
      </c>
      <c r="U388" s="303">
        <v>0</v>
      </c>
      <c r="V388" s="687"/>
      <c r="W388" s="572">
        <v>1</v>
      </c>
      <c r="X388" s="687">
        <v>96000000</v>
      </c>
      <c r="Y388" s="572">
        <v>0</v>
      </c>
      <c r="Z388" s="687"/>
      <c r="AA388" s="572">
        <v>0</v>
      </c>
      <c r="AB388" s="687"/>
      <c r="AC388" s="665">
        <v>0</v>
      </c>
      <c r="AD388" s="665"/>
      <c r="AE388" s="665"/>
      <c r="AF388" s="665"/>
      <c r="AG388" s="306"/>
      <c r="AH388" s="307"/>
      <c r="AI388" s="308"/>
      <c r="AJ388" s="308"/>
      <c r="AK388" s="308"/>
      <c r="AL388" s="308"/>
      <c r="AM388" s="267" t="s">
        <v>2594</v>
      </c>
      <c r="AN388" s="507"/>
      <c r="AO388" s="310"/>
      <c r="AP388" s="310"/>
      <c r="AQ388" s="310"/>
      <c r="AR388" s="310"/>
      <c r="AS388" s="310"/>
      <c r="AT388" s="310"/>
      <c r="AU388" s="310"/>
      <c r="AV388" s="544">
        <f t="shared" si="157"/>
        <v>0</v>
      </c>
      <c r="AW388" s="525"/>
      <c r="AX388" s="310"/>
      <c r="AY388" s="310"/>
      <c r="AZ388" s="310"/>
      <c r="BA388" s="310"/>
      <c r="BB388" s="310"/>
      <c r="BC388" s="310"/>
      <c r="BD388" s="544">
        <f t="shared" si="154"/>
        <v>0</v>
      </c>
      <c r="BE388" s="525"/>
      <c r="BF388" s="310"/>
      <c r="BG388" s="310"/>
      <c r="BH388" s="310"/>
      <c r="BI388" s="310"/>
      <c r="BJ388" s="310"/>
      <c r="BK388" s="310"/>
      <c r="BL388" s="544">
        <f t="shared" si="155"/>
        <v>0</v>
      </c>
      <c r="BM388" s="525"/>
      <c r="BN388" s="310"/>
      <c r="BO388" s="310"/>
      <c r="BP388" s="310"/>
      <c r="BQ388" s="310"/>
      <c r="BR388" s="310"/>
      <c r="BS388" s="310"/>
      <c r="BT388" s="544">
        <f t="shared" si="156"/>
        <v>0</v>
      </c>
      <c r="BU388" s="556"/>
      <c r="BV388" s="663">
        <f t="shared" si="158"/>
        <v>0</v>
      </c>
      <c r="BW388" s="674">
        <f t="shared" si="159"/>
        <v>0</v>
      </c>
      <c r="BX388" s="674" t="e">
        <f t="shared" si="160"/>
        <v>#DIV/0!</v>
      </c>
      <c r="BY388" s="674">
        <f t="shared" si="161"/>
        <v>0</v>
      </c>
      <c r="BZ388" s="675" t="e">
        <f t="shared" si="162"/>
        <v>#DIV/0!</v>
      </c>
      <c r="CA388" s="675" t="e">
        <f t="shared" si="163"/>
        <v>#DIV/0!</v>
      </c>
    </row>
    <row r="389" spans="1:79" ht="46.5" hidden="1" customHeight="1" x14ac:dyDescent="0.25">
      <c r="A389" s="298" t="s">
        <v>1135</v>
      </c>
      <c r="B389" s="299" t="str">
        <f>'PLAN INDICATIVO'!B380</f>
        <v>Fortalecimiento institucional</v>
      </c>
      <c r="C389" s="1547"/>
      <c r="D389" s="1549"/>
      <c r="E389" s="1549"/>
      <c r="F389" s="1549"/>
      <c r="G389" s="1549"/>
      <c r="H389" s="1549"/>
      <c r="I389" s="300">
        <f>'PLAN INDICATIVO'!I380</f>
        <v>0</v>
      </c>
      <c r="J389" s="300">
        <f>'PLAN INDICATIVO'!J380</f>
        <v>0</v>
      </c>
      <c r="K389" s="1425" t="str">
        <f>'PLAN INDICATIVO'!K380</f>
        <v>A.17.1.12</v>
      </c>
      <c r="L389" s="301" t="str">
        <f>'PLAN INDICATIVO'!L380</f>
        <v>16. Paz, justicia e instituciones sólidas</v>
      </c>
      <c r="M389" s="301" t="str">
        <f>'PLAN INDICATIVO'!M380</f>
        <v>Departamento Municipal de Planeación</v>
      </c>
      <c r="N389" s="1425" t="s">
        <v>2954</v>
      </c>
      <c r="O389" s="1425" t="str">
        <f>'PLAN INDICATIVO'!O380</f>
        <v>Mantenimiento</v>
      </c>
      <c r="P389" s="16" t="str">
        <f>'PLAN INDICATIVO'!P380</f>
        <v>Realizar 1 seguimientos al año al  Plan de desarrollo</v>
      </c>
      <c r="Q389" s="302" t="str">
        <f>'PLAN INDICATIVO'!Q380</f>
        <v xml:space="preserve">No. de seguimientos  al PBOT y/o Plan de Desarrollo por año </v>
      </c>
      <c r="R389" s="303">
        <f>'PLAN INDICATIVO'!R380</f>
        <v>2015</v>
      </c>
      <c r="S389" s="304">
        <v>0</v>
      </c>
      <c r="T389" s="498">
        <v>2</v>
      </c>
      <c r="U389" s="303">
        <v>1</v>
      </c>
      <c r="V389" s="687">
        <v>70000000</v>
      </c>
      <c r="W389" s="572">
        <v>2</v>
      </c>
      <c r="X389" s="687">
        <v>40000000</v>
      </c>
      <c r="Y389" s="572">
        <v>2</v>
      </c>
      <c r="Z389" s="687">
        <v>40000000</v>
      </c>
      <c r="AA389" s="572">
        <v>2</v>
      </c>
      <c r="AB389" s="687">
        <v>40000000</v>
      </c>
      <c r="AC389" s="665">
        <v>1</v>
      </c>
      <c r="AD389" s="665"/>
      <c r="AE389" s="665"/>
      <c r="AF389" s="665"/>
      <c r="AG389" s="306"/>
      <c r="AH389" s="307"/>
      <c r="AI389" s="308"/>
      <c r="AJ389" s="308"/>
      <c r="AK389" s="308"/>
      <c r="AL389" s="308"/>
      <c r="AM389" s="267" t="s">
        <v>2598</v>
      </c>
      <c r="AN389" s="507" t="s">
        <v>2974</v>
      </c>
      <c r="AO389" s="525"/>
      <c r="AP389" s="310">
        <v>5250000</v>
      </c>
      <c r="AQ389" s="310"/>
      <c r="AR389" s="310"/>
      <c r="AS389" s="310"/>
      <c r="AT389" s="310"/>
      <c r="AU389" s="310"/>
      <c r="AV389" s="544">
        <f t="shared" si="157"/>
        <v>5250000</v>
      </c>
      <c r="AW389" s="525"/>
      <c r="AX389" s="310"/>
      <c r="AY389" s="310"/>
      <c r="AZ389" s="310"/>
      <c r="BA389" s="310"/>
      <c r="BB389" s="310"/>
      <c r="BC389" s="310"/>
      <c r="BD389" s="544">
        <f t="shared" si="154"/>
        <v>0</v>
      </c>
      <c r="BE389" s="525"/>
      <c r="BF389" s="310"/>
      <c r="BG389" s="310"/>
      <c r="BH389" s="310"/>
      <c r="BI389" s="310"/>
      <c r="BJ389" s="310"/>
      <c r="BK389" s="310"/>
      <c r="BL389" s="544">
        <f t="shared" si="155"/>
        <v>0</v>
      </c>
      <c r="BM389" s="525"/>
      <c r="BN389" s="310"/>
      <c r="BO389" s="310"/>
      <c r="BP389" s="310"/>
      <c r="BQ389" s="310"/>
      <c r="BR389" s="310"/>
      <c r="BS389" s="310"/>
      <c r="BT389" s="544">
        <f t="shared" si="156"/>
        <v>0</v>
      </c>
      <c r="BU389" s="556"/>
      <c r="BV389" s="663">
        <f t="shared" si="158"/>
        <v>1</v>
      </c>
      <c r="BW389" s="674">
        <f t="shared" si="159"/>
        <v>0.5</v>
      </c>
      <c r="BX389" s="674">
        <f t="shared" si="160"/>
        <v>1</v>
      </c>
      <c r="BY389" s="674">
        <f t="shared" si="161"/>
        <v>0</v>
      </c>
      <c r="BZ389" s="675">
        <f t="shared" si="162"/>
        <v>0</v>
      </c>
      <c r="CA389" s="675">
        <f t="shared" si="163"/>
        <v>0</v>
      </c>
    </row>
    <row r="390" spans="1:79" s="231" customFormat="1" ht="73.5" hidden="1" customHeight="1" x14ac:dyDescent="0.25">
      <c r="A390" s="354" t="s">
        <v>1135</v>
      </c>
      <c r="B390" s="299" t="str">
        <f>'PLAN INDICATIVO'!B381</f>
        <v>Fortalecimiento institucional</v>
      </c>
      <c r="C390" s="1598"/>
      <c r="D390" s="1600"/>
      <c r="E390" s="1600"/>
      <c r="F390" s="1600"/>
      <c r="G390" s="1600"/>
      <c r="H390" s="1600"/>
      <c r="I390" s="371">
        <f>'PLAN INDICATIVO'!I381</f>
        <v>0</v>
      </c>
      <c r="J390" s="371">
        <f>'PLAN INDICATIVO'!J381</f>
        <v>0</v>
      </c>
      <c r="K390" s="1432" t="str">
        <f>'PLAN INDICATIVO'!K381</f>
        <v>A.17.1.13</v>
      </c>
      <c r="L390" s="372" t="str">
        <f>'PLAN INDICATIVO'!L381</f>
        <v>16. Paz, justicia e instituciones sólidas</v>
      </c>
      <c r="M390" s="372" t="str">
        <f>'PLAN INDICATIVO'!M381</f>
        <v>Secretaría de Gobierno</v>
      </c>
      <c r="N390" s="1425" t="s">
        <v>2791</v>
      </c>
      <c r="O390" s="1432" t="str">
        <f>'PLAN INDICATIVO'!O381</f>
        <v>Incremento</v>
      </c>
      <c r="P390" s="71" t="str">
        <f>'PLAN INDICATIVO'!P381</f>
        <v>Lograr una calificacion de 70 puntos en la política de gobierno digital.</v>
      </c>
      <c r="Q390" s="345" t="str">
        <f>'PLAN INDICATIVO'!Q381</f>
        <v>Puntaje política gobierno digital (DAFP)</v>
      </c>
      <c r="R390" s="346">
        <f>'PLAN INDICATIVO'!R381</f>
        <v>2015</v>
      </c>
      <c r="S390" s="342">
        <v>64</v>
      </c>
      <c r="T390" s="498">
        <v>70</v>
      </c>
      <c r="U390" s="303">
        <v>65</v>
      </c>
      <c r="V390" s="687">
        <v>20000000</v>
      </c>
      <c r="W390" s="572">
        <v>67</v>
      </c>
      <c r="X390" s="687">
        <v>1000000</v>
      </c>
      <c r="Y390" s="572">
        <v>70</v>
      </c>
      <c r="Z390" s="687">
        <v>74000000</v>
      </c>
      <c r="AA390" s="572">
        <v>70</v>
      </c>
      <c r="AB390" s="687">
        <v>1000000</v>
      </c>
      <c r="AC390" s="667">
        <v>0</v>
      </c>
      <c r="AD390" s="667"/>
      <c r="AE390" s="667"/>
      <c r="AF390" s="667"/>
      <c r="AG390" s="338"/>
      <c r="AH390" s="336"/>
      <c r="AI390" s="337"/>
      <c r="AJ390" s="337"/>
      <c r="AK390" s="337"/>
      <c r="AL390" s="337"/>
      <c r="AM390" s="267" t="s">
        <v>2600</v>
      </c>
      <c r="AN390" s="510">
        <v>2313</v>
      </c>
      <c r="AO390" s="310"/>
      <c r="AP390" s="310"/>
      <c r="AQ390" s="310"/>
      <c r="AR390" s="310"/>
      <c r="AS390" s="310"/>
      <c r="AT390" s="310"/>
      <c r="AU390" s="310"/>
      <c r="AV390" s="310">
        <f t="shared" si="157"/>
        <v>0</v>
      </c>
      <c r="AW390" s="851"/>
      <c r="AX390" s="852"/>
      <c r="AY390" s="852"/>
      <c r="AZ390" s="852"/>
      <c r="BA390" s="852"/>
      <c r="BB390" s="852"/>
      <c r="BC390" s="852"/>
      <c r="BD390" s="853">
        <f t="shared" si="154"/>
        <v>0</v>
      </c>
      <c r="BE390" s="851"/>
      <c r="BF390" s="852"/>
      <c r="BG390" s="852"/>
      <c r="BH390" s="852"/>
      <c r="BI390" s="852"/>
      <c r="BJ390" s="852"/>
      <c r="BK390" s="852"/>
      <c r="BL390" s="853">
        <f t="shared" si="155"/>
        <v>0</v>
      </c>
      <c r="BM390" s="851"/>
      <c r="BN390" s="852"/>
      <c r="BO390" s="852"/>
      <c r="BP390" s="852"/>
      <c r="BQ390" s="852"/>
      <c r="BR390" s="472"/>
      <c r="BS390" s="472"/>
      <c r="BT390" s="544">
        <f t="shared" si="156"/>
        <v>0</v>
      </c>
      <c r="BU390" s="653"/>
      <c r="BV390" s="663">
        <f t="shared" si="158"/>
        <v>0</v>
      </c>
      <c r="BW390" s="674">
        <f t="shared" si="159"/>
        <v>0</v>
      </c>
      <c r="BX390" s="674">
        <f t="shared" si="160"/>
        <v>0</v>
      </c>
      <c r="BY390" s="674">
        <f t="shared" si="161"/>
        <v>0</v>
      </c>
      <c r="BZ390" s="675">
        <f t="shared" si="162"/>
        <v>0</v>
      </c>
      <c r="CA390" s="675">
        <f t="shared" si="163"/>
        <v>0</v>
      </c>
    </row>
    <row r="391" spans="1:79" ht="59.25" hidden="1" customHeight="1" x14ac:dyDescent="0.25">
      <c r="A391" s="298" t="s">
        <v>1135</v>
      </c>
      <c r="B391" s="299" t="str">
        <f>'PLAN INDICATIVO'!B382</f>
        <v>Fortalecimiento institucional</v>
      </c>
      <c r="C391" s="1547"/>
      <c r="D391" s="1549"/>
      <c r="E391" s="1549"/>
      <c r="F391" s="1549"/>
      <c r="G391" s="1549"/>
      <c r="H391" s="1549"/>
      <c r="I391" s="300">
        <f>'PLAN INDICATIVO'!I382</f>
        <v>0</v>
      </c>
      <c r="J391" s="300">
        <f>'PLAN INDICATIVO'!J382</f>
        <v>0</v>
      </c>
      <c r="K391" s="1425" t="str">
        <f>'PLAN INDICATIVO'!K382</f>
        <v>A.17.1.14</v>
      </c>
      <c r="L391" s="301" t="str">
        <f>'PLAN INDICATIVO'!L382</f>
        <v>16. Paz, justicia e instituciones sólidas</v>
      </c>
      <c r="M391" s="301" t="str">
        <f>'PLAN INDICATIVO'!M382</f>
        <v>Secretaría de Gobierno</v>
      </c>
      <c r="N391" s="1425" t="s">
        <v>2791</v>
      </c>
      <c r="O391" s="1425" t="str">
        <f>'PLAN INDICATIVO'!O382</f>
        <v>Incremento</v>
      </c>
      <c r="P391" s="16" t="str">
        <f>'PLAN INDICATIVO'!P382</f>
        <v>Implementar 4 programas durante el cuatrienio para mantenimiento, mejoramiento y dotaciones de software y equipos  para el fortalecimiento institucional municipal</v>
      </c>
      <c r="Q391" s="302" t="str">
        <f>'PLAN INDICATIVO'!Q382</f>
        <v xml:space="preserve">No. Programas implementados </v>
      </c>
      <c r="R391" s="303">
        <f>'PLAN INDICATIVO'!R382</f>
        <v>2015</v>
      </c>
      <c r="S391" s="304">
        <v>1</v>
      </c>
      <c r="T391" s="498">
        <v>4</v>
      </c>
      <c r="U391" s="303">
        <v>1</v>
      </c>
      <c r="V391" s="687">
        <v>97200000</v>
      </c>
      <c r="W391" s="572">
        <v>1</v>
      </c>
      <c r="X391" s="687">
        <v>187000000</v>
      </c>
      <c r="Y391" s="572">
        <v>1</v>
      </c>
      <c r="Z391" s="687">
        <v>210000000</v>
      </c>
      <c r="AA391" s="572">
        <v>1</v>
      </c>
      <c r="AB391" s="687">
        <v>214000000</v>
      </c>
      <c r="AC391" s="665">
        <v>1</v>
      </c>
      <c r="AD391" s="665"/>
      <c r="AE391" s="665"/>
      <c r="AF391" s="665"/>
      <c r="AG391" s="306"/>
      <c r="AH391" s="307" t="s">
        <v>2975</v>
      </c>
      <c r="AI391" s="335">
        <v>46204</v>
      </c>
      <c r="AJ391" s="335">
        <v>11658</v>
      </c>
      <c r="AK391" s="308"/>
      <c r="AL391" s="308"/>
      <c r="AM391" s="281" t="s">
        <v>2598</v>
      </c>
      <c r="AN391" s="507" t="s">
        <v>2976</v>
      </c>
      <c r="AO391" s="310">
        <v>9218200</v>
      </c>
      <c r="AP391" s="310">
        <f>5000000+5000000</f>
        <v>10000000</v>
      </c>
      <c r="AQ391" s="310"/>
      <c r="AR391" s="310"/>
      <c r="AS391" s="310"/>
      <c r="AT391" s="310"/>
      <c r="AU391" s="310"/>
      <c r="AV391" s="544">
        <f>AO391+AP391+AQ391+AR391+AS391+AT391+AU391</f>
        <v>19218200</v>
      </c>
      <c r="AW391" s="525"/>
      <c r="AX391" s="310"/>
      <c r="AY391" s="310"/>
      <c r="AZ391" s="310"/>
      <c r="BA391" s="310"/>
      <c r="BB391" s="310"/>
      <c r="BC391" s="310"/>
      <c r="BD391" s="544">
        <f t="shared" ref="BD391:BD454" si="180">SUM(AW391:BC391)</f>
        <v>0</v>
      </c>
      <c r="BE391" s="525"/>
      <c r="BF391" s="310"/>
      <c r="BG391" s="310"/>
      <c r="BH391" s="310"/>
      <c r="BI391" s="310"/>
      <c r="BJ391" s="310"/>
      <c r="BK391" s="310"/>
      <c r="BL391" s="544">
        <f t="shared" ref="BL391:BL454" si="181">SUM(BE391:BK391)</f>
        <v>0</v>
      </c>
      <c r="BM391" s="525"/>
      <c r="BN391" s="310"/>
      <c r="BO391" s="310"/>
      <c r="BP391" s="310"/>
      <c r="BQ391" s="310"/>
      <c r="BR391" s="310"/>
      <c r="BS391" s="310"/>
      <c r="BT391" s="544">
        <f t="shared" ref="BT391:BT454" si="182">SUM(BM391:BS391)</f>
        <v>0</v>
      </c>
      <c r="BU391" s="556"/>
      <c r="BV391" s="663">
        <f t="shared" si="158"/>
        <v>1</v>
      </c>
      <c r="BW391" s="674">
        <f t="shared" si="159"/>
        <v>0.25</v>
      </c>
      <c r="BX391" s="674">
        <f t="shared" si="160"/>
        <v>1</v>
      </c>
      <c r="BY391" s="674">
        <f t="shared" si="161"/>
        <v>0</v>
      </c>
      <c r="BZ391" s="675">
        <f t="shared" si="162"/>
        <v>0</v>
      </c>
      <c r="CA391" s="675">
        <f t="shared" si="163"/>
        <v>0</v>
      </c>
    </row>
    <row r="392" spans="1:79" s="231" customFormat="1" ht="54" hidden="1" customHeight="1" x14ac:dyDescent="0.25">
      <c r="A392" s="354" t="s">
        <v>1135</v>
      </c>
      <c r="B392" s="299" t="str">
        <f>'PLAN INDICATIVO'!B383</f>
        <v>Fortalecimiento institucional</v>
      </c>
      <c r="C392" s="1599"/>
      <c r="D392" s="1601"/>
      <c r="E392" s="1601"/>
      <c r="F392" s="1601"/>
      <c r="G392" s="1601"/>
      <c r="H392" s="1601"/>
      <c r="I392" s="371">
        <f>'PLAN INDICATIVO'!I383</f>
        <v>0</v>
      </c>
      <c r="J392" s="371">
        <f>'PLAN INDICATIVO'!J383</f>
        <v>0</v>
      </c>
      <c r="K392" s="1432" t="str">
        <f>'PLAN INDICATIVO'!K383</f>
        <v>A.17.1.15</v>
      </c>
      <c r="L392" s="372" t="str">
        <f>'PLAN INDICATIVO'!L383</f>
        <v>16. Paz, justicia e instituciones sólidas</v>
      </c>
      <c r="M392" s="372" t="str">
        <f>'PLAN INDICATIVO'!M383</f>
        <v>Departamento Municipal de Planeación</v>
      </c>
      <c r="N392" s="1425" t="s">
        <v>2791</v>
      </c>
      <c r="O392" s="1432" t="str">
        <f>'PLAN INDICATIVO'!O383</f>
        <v>Mantenimiento</v>
      </c>
      <c r="P392" s="71" t="str">
        <f>'PLAN INDICATIVO'!P383</f>
        <v>Lograr una calificación de 80 puntos en la dimensión de control interno del MIPG</v>
      </c>
      <c r="Q392" s="302" t="str">
        <f>'PLAN INDICATIVO'!Q383</f>
        <v>Lograr una calificación de 80 puntos en la dimensión de control interno del MIPG</v>
      </c>
      <c r="R392" s="303">
        <f>'PLAN INDICATIVO'!R383</f>
        <v>2015</v>
      </c>
      <c r="S392" s="304">
        <v>97.65</v>
      </c>
      <c r="T392" s="498">
        <v>90</v>
      </c>
      <c r="U392" s="303">
        <v>90</v>
      </c>
      <c r="V392" s="687">
        <v>130000000</v>
      </c>
      <c r="W392" s="572">
        <v>90</v>
      </c>
      <c r="X392" s="687">
        <v>36000000</v>
      </c>
      <c r="Y392" s="572">
        <v>90</v>
      </c>
      <c r="Z392" s="687">
        <v>20000000</v>
      </c>
      <c r="AA392" s="572">
        <v>90</v>
      </c>
      <c r="AB392" s="687">
        <v>50000000</v>
      </c>
      <c r="AC392" s="667">
        <v>90</v>
      </c>
      <c r="AD392" s="667"/>
      <c r="AE392" s="667"/>
      <c r="AF392" s="667"/>
      <c r="AG392" s="338" t="s">
        <v>2977</v>
      </c>
      <c r="AH392" s="336" t="s">
        <v>2978</v>
      </c>
      <c r="AI392" s="335">
        <v>46054</v>
      </c>
      <c r="AJ392" s="335">
        <v>11658</v>
      </c>
      <c r="AK392" s="337"/>
      <c r="AL392" s="337"/>
      <c r="AM392" s="281" t="s">
        <v>2598</v>
      </c>
      <c r="AN392" s="510" t="s">
        <v>2979</v>
      </c>
      <c r="AO392" s="310">
        <v>1800000</v>
      </c>
      <c r="AP392" s="310">
        <f>38083000+15300000</f>
        <v>53383000</v>
      </c>
      <c r="AQ392" s="310"/>
      <c r="AR392" s="310"/>
      <c r="AS392" s="310"/>
      <c r="AT392" s="472"/>
      <c r="AU392" s="472"/>
      <c r="AV392" s="544">
        <f t="shared" ref="AV392:AV454" si="183">SUM(AO392:AU392)</f>
        <v>55183000</v>
      </c>
      <c r="AW392" s="528"/>
      <c r="AX392" s="472"/>
      <c r="AY392" s="472"/>
      <c r="AZ392" s="472"/>
      <c r="BA392" s="472"/>
      <c r="BB392" s="472"/>
      <c r="BC392" s="472"/>
      <c r="BD392" s="544">
        <f t="shared" si="180"/>
        <v>0</v>
      </c>
      <c r="BE392" s="528"/>
      <c r="BF392" s="472"/>
      <c r="BG392" s="472"/>
      <c r="BH392" s="472"/>
      <c r="BI392" s="472"/>
      <c r="BJ392" s="472"/>
      <c r="BK392" s="472"/>
      <c r="BL392" s="544">
        <f t="shared" si="181"/>
        <v>0</v>
      </c>
      <c r="BM392" s="528"/>
      <c r="BN392" s="472"/>
      <c r="BO392" s="472"/>
      <c r="BP392" s="472"/>
      <c r="BQ392" s="472"/>
      <c r="BR392" s="472"/>
      <c r="BS392" s="472"/>
      <c r="BT392" s="544">
        <f t="shared" si="182"/>
        <v>0</v>
      </c>
      <c r="BU392" s="653"/>
      <c r="BV392" s="663">
        <f t="shared" si="158"/>
        <v>90</v>
      </c>
      <c r="BW392" s="674">
        <f t="shared" si="159"/>
        <v>1</v>
      </c>
      <c r="BX392" s="674">
        <f t="shared" si="160"/>
        <v>1</v>
      </c>
      <c r="BY392" s="674">
        <f t="shared" si="161"/>
        <v>0</v>
      </c>
      <c r="BZ392" s="675">
        <f t="shared" si="162"/>
        <v>0</v>
      </c>
      <c r="CA392" s="675">
        <f t="shared" si="163"/>
        <v>0</v>
      </c>
    </row>
    <row r="393" spans="1:79" ht="52.5" hidden="1" customHeight="1" x14ac:dyDescent="0.25">
      <c r="A393" s="298" t="s">
        <v>1135</v>
      </c>
      <c r="B393" s="299" t="str">
        <f>'PLAN INDICATIVO'!B384</f>
        <v>Fortalecimiento institucional</v>
      </c>
      <c r="C393" s="1547"/>
      <c r="D393" s="1549"/>
      <c r="E393" s="1549"/>
      <c r="F393" s="1549"/>
      <c r="G393" s="1549"/>
      <c r="H393" s="1549"/>
      <c r="I393" s="300">
        <f>'PLAN INDICATIVO'!I384</f>
        <v>0</v>
      </c>
      <c r="J393" s="300">
        <f>'PLAN INDICATIVO'!J384</f>
        <v>0</v>
      </c>
      <c r="K393" s="1425" t="str">
        <f>'PLAN INDICATIVO'!K384</f>
        <v>A.17.1.16</v>
      </c>
      <c r="L393" s="301" t="str">
        <f>'PLAN INDICATIVO'!L384</f>
        <v>16. Paz, justicia e instituciones sólidas</v>
      </c>
      <c r="M393" s="301" t="str">
        <f>'PLAN INDICATIVO'!M384</f>
        <v>Departamento Municipal de Planeación</v>
      </c>
      <c r="N393" s="1425" t="s">
        <v>2954</v>
      </c>
      <c r="O393" s="1425" t="str">
        <f>'PLAN INDICATIVO'!O384</f>
        <v>Mantenimiento</v>
      </c>
      <c r="P393" s="16" t="str">
        <f>'PLAN INDICATIVO'!P384</f>
        <v>Lograr una calificación de 80 puntos en el índice de desempeño Institucional del MIPG</v>
      </c>
      <c r="Q393" s="302" t="str">
        <f>'PLAN INDICATIVO'!Q384</f>
        <v>Indice desempeño institucional (DAFP)</v>
      </c>
      <c r="R393" s="303">
        <f>'PLAN INDICATIVO'!R384</f>
        <v>2015</v>
      </c>
      <c r="S393" s="304">
        <v>0</v>
      </c>
      <c r="T393" s="498">
        <v>1</v>
      </c>
      <c r="U393" s="303">
        <v>1</v>
      </c>
      <c r="V393" s="687">
        <v>6000000</v>
      </c>
      <c r="W393" s="572">
        <v>1</v>
      </c>
      <c r="X393" s="687">
        <v>1000000</v>
      </c>
      <c r="Y393" s="572">
        <v>1</v>
      </c>
      <c r="Z393" s="687">
        <v>1000000</v>
      </c>
      <c r="AA393" s="572">
        <v>1</v>
      </c>
      <c r="AB393" s="687">
        <v>53000000</v>
      </c>
      <c r="AC393" s="665">
        <v>1</v>
      </c>
      <c r="AD393" s="665"/>
      <c r="AE393" s="665"/>
      <c r="AF393" s="665"/>
      <c r="AG393" s="338" t="s">
        <v>2977</v>
      </c>
      <c r="AH393" s="307" t="s">
        <v>2980</v>
      </c>
      <c r="AI393" s="335">
        <v>46266</v>
      </c>
      <c r="AJ393" s="335">
        <v>11658</v>
      </c>
      <c r="AK393" s="308"/>
      <c r="AL393" s="308"/>
      <c r="AM393" s="281" t="s">
        <v>2598</v>
      </c>
      <c r="AN393" s="507" t="s">
        <v>2981</v>
      </c>
      <c r="AO393" s="525">
        <v>5500000</v>
      </c>
      <c r="AP393" s="310"/>
      <c r="AQ393" s="310"/>
      <c r="AR393" s="310"/>
      <c r="AS393" s="310"/>
      <c r="AT393" s="310"/>
      <c r="AU393" s="310"/>
      <c r="AV393" s="544">
        <f t="shared" si="183"/>
        <v>5500000</v>
      </c>
      <c r="AW393" s="525"/>
      <c r="AX393" s="310"/>
      <c r="AY393" s="310"/>
      <c r="AZ393" s="310"/>
      <c r="BA393" s="310"/>
      <c r="BB393" s="310"/>
      <c r="BC393" s="310"/>
      <c r="BD393" s="544">
        <f t="shared" si="180"/>
        <v>0</v>
      </c>
      <c r="BE393" s="525"/>
      <c r="BF393" s="310"/>
      <c r="BG393" s="310"/>
      <c r="BH393" s="310"/>
      <c r="BI393" s="310"/>
      <c r="BJ393" s="310"/>
      <c r="BK393" s="310"/>
      <c r="BL393" s="544">
        <f t="shared" si="181"/>
        <v>0</v>
      </c>
      <c r="BM393" s="525"/>
      <c r="BN393" s="310"/>
      <c r="BO393" s="310"/>
      <c r="BP393" s="310"/>
      <c r="BQ393" s="310"/>
      <c r="BR393" s="310"/>
      <c r="BS393" s="310"/>
      <c r="BT393" s="544">
        <f t="shared" si="182"/>
        <v>0</v>
      </c>
      <c r="BU393" s="556"/>
      <c r="BV393" s="663">
        <f t="shared" si="158"/>
        <v>1</v>
      </c>
      <c r="BW393" s="674">
        <f t="shared" si="159"/>
        <v>1</v>
      </c>
      <c r="BX393" s="674">
        <f t="shared" si="160"/>
        <v>1</v>
      </c>
      <c r="BY393" s="674">
        <f t="shared" si="161"/>
        <v>0</v>
      </c>
      <c r="BZ393" s="675">
        <f t="shared" si="162"/>
        <v>0</v>
      </c>
      <c r="CA393" s="675">
        <f t="shared" si="163"/>
        <v>0</v>
      </c>
    </row>
    <row r="394" spans="1:79" ht="51.75" hidden="1" customHeight="1" x14ac:dyDescent="0.25">
      <c r="A394" s="298" t="s">
        <v>1135</v>
      </c>
      <c r="B394" s="299" t="str">
        <f>'PLAN INDICATIVO'!B385</f>
        <v>Fortalecimiento institucional</v>
      </c>
      <c r="C394" s="1547"/>
      <c r="D394" s="1549"/>
      <c r="E394" s="1549"/>
      <c r="F394" s="1549"/>
      <c r="G394" s="1549"/>
      <c r="H394" s="1549"/>
      <c r="I394" s="300">
        <f>'PLAN INDICATIVO'!I385</f>
        <v>0</v>
      </c>
      <c r="J394" s="300">
        <f>'PLAN INDICATIVO'!J385</f>
        <v>0</v>
      </c>
      <c r="K394" s="1425" t="str">
        <f>'PLAN INDICATIVO'!K385</f>
        <v>A.17.1.17</v>
      </c>
      <c r="L394" s="301" t="str">
        <f>'PLAN INDICATIVO'!L385</f>
        <v>16. Paz, justicia e instituciones sólidas</v>
      </c>
      <c r="M394" s="301" t="str">
        <f>'PLAN INDICATIVO'!M385</f>
        <v>Secretaría de Gobierno</v>
      </c>
      <c r="N394" s="1425" t="s">
        <v>2791</v>
      </c>
      <c r="O394" s="1425" t="str">
        <f>'PLAN INDICATIVO'!O385</f>
        <v>Incremento</v>
      </c>
      <c r="P394" s="16" t="str">
        <f>'PLAN INDICATIVO'!P385</f>
        <v>Apoyar 2 proyectos durante el cuatrienio encaminados a fortalecer los semilleros de investigación</v>
      </c>
      <c r="Q394" s="302" t="str">
        <f>'PLAN INDICATIVO'!Q385</f>
        <v>No. De proyectos apoyados</v>
      </c>
      <c r="R394" s="303">
        <f>'PLAN INDICATIVO'!R385</f>
        <v>2015</v>
      </c>
      <c r="S394" s="304">
        <v>0</v>
      </c>
      <c r="T394" s="498">
        <v>2</v>
      </c>
      <c r="U394" s="303">
        <v>0</v>
      </c>
      <c r="V394" s="687"/>
      <c r="W394" s="572">
        <v>0</v>
      </c>
      <c r="X394" s="687"/>
      <c r="Y394" s="572">
        <v>1</v>
      </c>
      <c r="Z394" s="687">
        <v>1000000</v>
      </c>
      <c r="AA394" s="572">
        <v>1</v>
      </c>
      <c r="AB394" s="687">
        <v>1000000</v>
      </c>
      <c r="AC394" s="665"/>
      <c r="AD394" s="665"/>
      <c r="AE394" s="665"/>
      <c r="AF394" s="665"/>
      <c r="AG394" s="306"/>
      <c r="AH394" s="307"/>
      <c r="AI394" s="308"/>
      <c r="AJ394" s="308"/>
      <c r="AK394" s="308"/>
      <c r="AL394" s="308"/>
      <c r="AM394" s="281" t="s">
        <v>2594</v>
      </c>
      <c r="AN394" s="507">
        <v>2313</v>
      </c>
      <c r="AO394" s="525"/>
      <c r="AP394" s="310"/>
      <c r="AQ394" s="310"/>
      <c r="AR394" s="310"/>
      <c r="AS394" s="310"/>
      <c r="AT394" s="310"/>
      <c r="AU394" s="310"/>
      <c r="AV394" s="544">
        <f t="shared" si="183"/>
        <v>0</v>
      </c>
      <c r="AW394" s="525"/>
      <c r="AX394" s="310"/>
      <c r="AY394" s="310"/>
      <c r="AZ394" s="310"/>
      <c r="BA394" s="310"/>
      <c r="BB394" s="310"/>
      <c r="BC394" s="310"/>
      <c r="BD394" s="544">
        <f t="shared" si="180"/>
        <v>0</v>
      </c>
      <c r="BE394" s="525"/>
      <c r="BF394" s="310"/>
      <c r="BG394" s="310"/>
      <c r="BH394" s="310"/>
      <c r="BI394" s="310"/>
      <c r="BJ394" s="310"/>
      <c r="BK394" s="310"/>
      <c r="BL394" s="544">
        <f t="shared" si="181"/>
        <v>0</v>
      </c>
      <c r="BM394" s="525"/>
      <c r="BN394" s="310"/>
      <c r="BO394" s="310"/>
      <c r="BP394" s="310"/>
      <c r="BQ394" s="310"/>
      <c r="BR394" s="310"/>
      <c r="BS394" s="310"/>
      <c r="BT394" s="544">
        <f t="shared" si="182"/>
        <v>0</v>
      </c>
      <c r="BU394" s="556"/>
      <c r="BV394" s="663">
        <f t="shared" si="158"/>
        <v>0</v>
      </c>
      <c r="BW394" s="674">
        <f t="shared" si="159"/>
        <v>0</v>
      </c>
      <c r="BX394" s="674" t="e">
        <f t="shared" si="160"/>
        <v>#DIV/0!</v>
      </c>
      <c r="BY394" s="674" t="e">
        <f t="shared" si="161"/>
        <v>#DIV/0!</v>
      </c>
      <c r="BZ394" s="675">
        <f t="shared" si="162"/>
        <v>0</v>
      </c>
      <c r="CA394" s="675">
        <f t="shared" si="163"/>
        <v>0</v>
      </c>
    </row>
    <row r="395" spans="1:79" ht="47.25" hidden="1" customHeight="1" x14ac:dyDescent="0.25">
      <c r="A395" s="298" t="s">
        <v>1135</v>
      </c>
      <c r="B395" s="299" t="str">
        <f>'PLAN INDICATIVO'!B386</f>
        <v>Fortalecimiento institucional</v>
      </c>
      <c r="C395" s="1547"/>
      <c r="D395" s="1549"/>
      <c r="E395" s="1549"/>
      <c r="F395" s="1549"/>
      <c r="G395" s="1549"/>
      <c r="H395" s="1549"/>
      <c r="I395" s="300">
        <f>'PLAN INDICATIVO'!I386</f>
        <v>0</v>
      </c>
      <c r="J395" s="300">
        <f>'PLAN INDICATIVO'!J386</f>
        <v>0</v>
      </c>
      <c r="K395" s="1425" t="str">
        <f>'PLAN INDICATIVO'!K386</f>
        <v>A.17.1.18</v>
      </c>
      <c r="L395" s="301" t="str">
        <f>'PLAN INDICATIVO'!L386</f>
        <v>16. Paz, justicia e instituciones sólidas</v>
      </c>
      <c r="M395" s="301" t="str">
        <f>'PLAN INDICATIVO'!M386</f>
        <v>Secretaría de Gobierno</v>
      </c>
      <c r="N395" s="1425" t="s">
        <v>2791</v>
      </c>
      <c r="O395" s="1425" t="str">
        <f>'PLAN INDICATIVO'!O386</f>
        <v>Incremento</v>
      </c>
      <c r="P395" s="16" t="str">
        <f>'PLAN INDICATIVO'!P386</f>
        <v>Implementar 2 Campañas para mejorar el uso de material obsoleto y reciclaje de equipos de cómputo</v>
      </c>
      <c r="Q395" s="302" t="str">
        <f>'PLAN INDICATIVO'!Q386</f>
        <v>No. De campañas implementadas</v>
      </c>
      <c r="R395" s="303">
        <f>'PLAN INDICATIVO'!R386</f>
        <v>2015</v>
      </c>
      <c r="S395" s="304">
        <v>0</v>
      </c>
      <c r="T395" s="498">
        <v>2</v>
      </c>
      <c r="U395" s="303">
        <v>1</v>
      </c>
      <c r="V395" s="687">
        <v>500000</v>
      </c>
      <c r="W395" s="572">
        <v>0</v>
      </c>
      <c r="X395" s="687"/>
      <c r="Y395" s="572">
        <v>1</v>
      </c>
      <c r="Z395" s="687">
        <v>1000000</v>
      </c>
      <c r="AA395" s="572">
        <v>0</v>
      </c>
      <c r="AB395" s="687"/>
      <c r="AC395" s="665">
        <v>1</v>
      </c>
      <c r="AD395" s="665"/>
      <c r="AE395" s="665"/>
      <c r="AF395" s="665"/>
      <c r="AG395" s="306"/>
      <c r="AH395" s="307" t="s">
        <v>2982</v>
      </c>
      <c r="AI395" s="335">
        <v>46174</v>
      </c>
      <c r="AJ395" s="335">
        <v>11658</v>
      </c>
      <c r="AK395" s="308"/>
      <c r="AL395" s="308" t="s">
        <v>2717</v>
      </c>
      <c r="AM395" s="281" t="s">
        <v>2598</v>
      </c>
      <c r="AN395" s="507">
        <v>2313</v>
      </c>
      <c r="AO395" s="525"/>
      <c r="AP395" s="310"/>
      <c r="AQ395" s="310"/>
      <c r="AR395" s="310"/>
      <c r="AS395" s="310"/>
      <c r="AT395" s="310"/>
      <c r="AU395" s="310"/>
      <c r="AV395" s="544">
        <f t="shared" si="183"/>
        <v>0</v>
      </c>
      <c r="AW395" s="525"/>
      <c r="AX395" s="310"/>
      <c r="AY395" s="310"/>
      <c r="AZ395" s="310"/>
      <c r="BA395" s="310"/>
      <c r="BB395" s="310"/>
      <c r="BC395" s="310"/>
      <c r="BD395" s="544">
        <f t="shared" si="180"/>
        <v>0</v>
      </c>
      <c r="BE395" s="525"/>
      <c r="BF395" s="310"/>
      <c r="BG395" s="310"/>
      <c r="BH395" s="310"/>
      <c r="BI395" s="310"/>
      <c r="BJ395" s="310"/>
      <c r="BK395" s="310"/>
      <c r="BL395" s="544">
        <f t="shared" si="181"/>
        <v>0</v>
      </c>
      <c r="BM395" s="525"/>
      <c r="BN395" s="310"/>
      <c r="BO395" s="310"/>
      <c r="BP395" s="310"/>
      <c r="BQ395" s="310"/>
      <c r="BR395" s="310"/>
      <c r="BS395" s="310"/>
      <c r="BT395" s="544">
        <f t="shared" si="182"/>
        <v>0</v>
      </c>
      <c r="BU395" s="556"/>
      <c r="BV395" s="663">
        <f t="shared" ref="BV395:BV458" si="184">AC395+AD395+AE395+AF395</f>
        <v>1</v>
      </c>
      <c r="BW395" s="674">
        <f t="shared" ref="BW395:BW458" si="185">BV395/T395</f>
        <v>0.5</v>
      </c>
      <c r="BX395" s="674">
        <f t="shared" ref="BX395:BX458" si="186">AC395/U395</f>
        <v>1</v>
      </c>
      <c r="BY395" s="674" t="e">
        <f t="shared" ref="BY395:BY458" si="187">AD395/W395</f>
        <v>#DIV/0!</v>
      </c>
      <c r="BZ395" s="675">
        <f t="shared" ref="BZ395:BZ458" si="188">AE395/Y395</f>
        <v>0</v>
      </c>
      <c r="CA395" s="675" t="e">
        <f t="shared" ref="CA395:CA458" si="189">AF395/AA395</f>
        <v>#DIV/0!</v>
      </c>
    </row>
    <row r="396" spans="1:79" ht="69" hidden="1" customHeight="1" x14ac:dyDescent="0.25">
      <c r="A396" s="298" t="s">
        <v>1135</v>
      </c>
      <c r="B396" s="299" t="str">
        <f>'PLAN INDICATIVO'!B387</f>
        <v>Fortalecimiento institucional</v>
      </c>
      <c r="C396" s="1547"/>
      <c r="D396" s="1549"/>
      <c r="E396" s="1549"/>
      <c r="F396" s="1549"/>
      <c r="G396" s="1549"/>
      <c r="H396" s="1549"/>
      <c r="I396" s="300">
        <f>'PLAN INDICATIVO'!I387</f>
        <v>0</v>
      </c>
      <c r="J396" s="300">
        <f>'PLAN INDICATIVO'!J387</f>
        <v>0</v>
      </c>
      <c r="K396" s="1425" t="str">
        <f>'PLAN INDICATIVO'!K387</f>
        <v>A.17.1.19</v>
      </c>
      <c r="L396" s="301" t="str">
        <f>'PLAN INDICATIVO'!L387</f>
        <v>16. Paz, justicia e instituciones sólidas</v>
      </c>
      <c r="M396" s="301" t="str">
        <f>'PLAN INDICATIVO'!M387</f>
        <v>Departamento Municipal de Planeación</v>
      </c>
      <c r="N396" s="1425" t="s">
        <v>2954</v>
      </c>
      <c r="O396" s="1425" t="str">
        <f>'PLAN INDICATIVO'!O387</f>
        <v>Incremento</v>
      </c>
      <c r="P396" s="16" t="str">
        <f>'PLAN INDICATIVO'!P387</f>
        <v>Realizar 4  audiencias de rendición de cuentas con uso de las TIC</v>
      </c>
      <c r="Q396" s="302" t="str">
        <f>'PLAN INDICATIVO'!Q387</f>
        <v>No, de informes de audiencias de rendición realizados</v>
      </c>
      <c r="R396" s="303">
        <f>'PLAN INDICATIVO'!R387</f>
        <v>2015</v>
      </c>
      <c r="S396" s="304">
        <v>1</v>
      </c>
      <c r="T396" s="498">
        <v>4</v>
      </c>
      <c r="U396" s="303">
        <v>1</v>
      </c>
      <c r="V396" s="687">
        <v>10000000</v>
      </c>
      <c r="W396" s="572">
        <v>1</v>
      </c>
      <c r="X396" s="687">
        <v>10000000</v>
      </c>
      <c r="Y396" s="572">
        <v>1</v>
      </c>
      <c r="Z396" s="687">
        <v>20000000</v>
      </c>
      <c r="AA396" s="572">
        <v>1</v>
      </c>
      <c r="AB396" s="687">
        <v>20000000</v>
      </c>
      <c r="AC396" s="665">
        <v>1</v>
      </c>
      <c r="AD396" s="665"/>
      <c r="AE396" s="665"/>
      <c r="AF396" s="665"/>
      <c r="AG396" s="306"/>
      <c r="AH396" s="307"/>
      <c r="AI396" s="308"/>
      <c r="AJ396" s="308"/>
      <c r="AK396" s="308"/>
      <c r="AL396" s="308"/>
      <c r="AM396" s="267" t="s">
        <v>2598</v>
      </c>
      <c r="AN396" s="507"/>
      <c r="AO396" s="793"/>
      <c r="AP396" s="794"/>
      <c r="AQ396" s="794"/>
      <c r="AR396" s="794"/>
      <c r="AS396" s="794"/>
      <c r="AT396" s="794"/>
      <c r="AU396" s="310"/>
      <c r="AV396" s="544">
        <f t="shared" si="183"/>
        <v>0</v>
      </c>
      <c r="AW396" s="525"/>
      <c r="AX396" s="310"/>
      <c r="AY396" s="310"/>
      <c r="AZ396" s="310"/>
      <c r="BA396" s="310"/>
      <c r="BB396" s="310"/>
      <c r="BC396" s="310"/>
      <c r="BD396" s="544">
        <f t="shared" si="180"/>
        <v>0</v>
      </c>
      <c r="BE396" s="525"/>
      <c r="BF396" s="310"/>
      <c r="BG396" s="310"/>
      <c r="BH396" s="310"/>
      <c r="BI396" s="310"/>
      <c r="BJ396" s="310"/>
      <c r="BK396" s="310"/>
      <c r="BL396" s="544">
        <f t="shared" si="181"/>
        <v>0</v>
      </c>
      <c r="BM396" s="525"/>
      <c r="BN396" s="310"/>
      <c r="BO396" s="310"/>
      <c r="BP396" s="310"/>
      <c r="BQ396" s="310"/>
      <c r="BR396" s="310"/>
      <c r="BS396" s="310"/>
      <c r="BT396" s="544">
        <f t="shared" si="182"/>
        <v>0</v>
      </c>
      <c r="BU396" s="556"/>
      <c r="BV396" s="663">
        <f t="shared" si="184"/>
        <v>1</v>
      </c>
      <c r="BW396" s="674">
        <f t="shared" si="185"/>
        <v>0.25</v>
      </c>
      <c r="BX396" s="674">
        <f t="shared" si="186"/>
        <v>1</v>
      </c>
      <c r="BY396" s="674">
        <f t="shared" si="187"/>
        <v>0</v>
      </c>
      <c r="BZ396" s="675">
        <f t="shared" si="188"/>
        <v>0</v>
      </c>
      <c r="CA396" s="675">
        <f t="shared" si="189"/>
        <v>0</v>
      </c>
    </row>
    <row r="397" spans="1:79" ht="48.75" hidden="1" customHeight="1" x14ac:dyDescent="0.25">
      <c r="A397" s="298" t="s">
        <v>1135</v>
      </c>
      <c r="B397" s="299" t="str">
        <f>'PLAN INDICATIVO'!B388</f>
        <v>Fortalecimiento institucional</v>
      </c>
      <c r="C397" s="1547"/>
      <c r="D397" s="1549"/>
      <c r="E397" s="1549"/>
      <c r="F397" s="1549"/>
      <c r="G397" s="1549"/>
      <c r="H397" s="1549"/>
      <c r="I397" s="300">
        <f>'PLAN INDICATIVO'!I388</f>
        <v>0</v>
      </c>
      <c r="J397" s="300">
        <f>'PLAN INDICATIVO'!J388</f>
        <v>0</v>
      </c>
      <c r="K397" s="1425" t="str">
        <f>'PLAN INDICATIVO'!K388</f>
        <v>A.17.1.20</v>
      </c>
      <c r="L397" s="301" t="str">
        <f>'PLAN INDICATIVO'!L388</f>
        <v>16. Paz, justicia e instituciones sólidas</v>
      </c>
      <c r="M397" s="301" t="str">
        <f>'PLAN INDICATIVO'!M388</f>
        <v>Secretaría de Gobierno</v>
      </c>
      <c r="N397" s="1425" t="s">
        <v>2791</v>
      </c>
      <c r="O397" s="1425" t="str">
        <f>'PLAN INDICATIVO'!O388</f>
        <v>Incremento</v>
      </c>
      <c r="P397" s="16" t="str">
        <f>'PLAN INDICATIVO'!P388</f>
        <v>Integrar 2 trámites o servicios a la plataforma NO mas filas</v>
      </c>
      <c r="Q397" s="302" t="str">
        <f>'PLAN INDICATIVO'!Q388</f>
        <v>No. De trámites o servicios integrados</v>
      </c>
      <c r="R397" s="303">
        <f>'PLAN INDICATIVO'!R388</f>
        <v>2015</v>
      </c>
      <c r="S397" s="304">
        <v>0</v>
      </c>
      <c r="T397" s="498">
        <v>2</v>
      </c>
      <c r="U397" s="303">
        <v>0</v>
      </c>
      <c r="V397" s="687"/>
      <c r="W397" s="572">
        <v>1</v>
      </c>
      <c r="X397" s="687">
        <v>1000000</v>
      </c>
      <c r="Y397" s="572">
        <v>1</v>
      </c>
      <c r="Z397" s="687">
        <v>10000000</v>
      </c>
      <c r="AA397" s="572">
        <v>0</v>
      </c>
      <c r="AB397" s="687"/>
      <c r="AC397" s="665"/>
      <c r="AD397" s="665"/>
      <c r="AE397" s="665"/>
      <c r="AF397" s="665"/>
      <c r="AG397" s="306"/>
      <c r="AH397" s="307"/>
      <c r="AI397" s="308"/>
      <c r="AJ397" s="308"/>
      <c r="AK397" s="308"/>
      <c r="AL397" s="308"/>
      <c r="AM397" s="281" t="s">
        <v>2594</v>
      </c>
      <c r="AN397" s="507">
        <v>2313</v>
      </c>
      <c r="AO397" s="525"/>
      <c r="AP397" s="310"/>
      <c r="AQ397" s="310"/>
      <c r="AR397" s="310"/>
      <c r="AS397" s="310"/>
      <c r="AT397" s="310"/>
      <c r="AU397" s="310"/>
      <c r="AV397" s="544">
        <f t="shared" si="183"/>
        <v>0</v>
      </c>
      <c r="AW397" s="525"/>
      <c r="AX397" s="310"/>
      <c r="AY397" s="310"/>
      <c r="AZ397" s="310"/>
      <c r="BA397" s="310"/>
      <c r="BB397" s="310"/>
      <c r="BC397" s="310"/>
      <c r="BD397" s="544">
        <f t="shared" si="180"/>
        <v>0</v>
      </c>
      <c r="BE397" s="525"/>
      <c r="BF397" s="310"/>
      <c r="BG397" s="310"/>
      <c r="BH397" s="310"/>
      <c r="BI397" s="310"/>
      <c r="BJ397" s="310"/>
      <c r="BK397" s="310"/>
      <c r="BL397" s="544">
        <f t="shared" si="181"/>
        <v>0</v>
      </c>
      <c r="BM397" s="525"/>
      <c r="BN397" s="310"/>
      <c r="BO397" s="310"/>
      <c r="BP397" s="310"/>
      <c r="BQ397" s="310"/>
      <c r="BR397" s="310"/>
      <c r="BS397" s="310"/>
      <c r="BT397" s="544">
        <f t="shared" si="182"/>
        <v>0</v>
      </c>
      <c r="BU397" s="556"/>
      <c r="BV397" s="663">
        <f t="shared" si="184"/>
        <v>0</v>
      </c>
      <c r="BW397" s="674">
        <f t="shared" si="185"/>
        <v>0</v>
      </c>
      <c r="BX397" s="674" t="e">
        <f t="shared" si="186"/>
        <v>#DIV/0!</v>
      </c>
      <c r="BY397" s="674">
        <f t="shared" si="187"/>
        <v>0</v>
      </c>
      <c r="BZ397" s="675">
        <f t="shared" si="188"/>
        <v>0</v>
      </c>
      <c r="CA397" s="675" t="e">
        <f t="shared" si="189"/>
        <v>#DIV/0!</v>
      </c>
    </row>
    <row r="398" spans="1:79" ht="81.75" hidden="1" customHeight="1" x14ac:dyDescent="0.25">
      <c r="A398" s="298" t="s">
        <v>1135</v>
      </c>
      <c r="B398" s="299" t="str">
        <f>'PLAN INDICATIVO'!B389</f>
        <v>Fortalecimiento institucional</v>
      </c>
      <c r="C398" s="1547"/>
      <c r="D398" s="1549"/>
      <c r="E398" s="1549"/>
      <c r="F398" s="1549"/>
      <c r="G398" s="1549"/>
      <c r="H398" s="1549"/>
      <c r="I398" s="300">
        <f>'PLAN INDICATIVO'!I389</f>
        <v>0</v>
      </c>
      <c r="J398" s="300">
        <f>'PLAN INDICATIVO'!J389</f>
        <v>0</v>
      </c>
      <c r="K398" s="1425" t="str">
        <f>'PLAN INDICATIVO'!K389</f>
        <v>A.17.1.21</v>
      </c>
      <c r="L398" s="301" t="str">
        <f>'PLAN INDICATIVO'!L389</f>
        <v>16. Paz, justicia e instituciones sólidas</v>
      </c>
      <c r="M398" s="301" t="str">
        <f>'PLAN INDICATIVO'!M389</f>
        <v>Secretaría de Gobierno</v>
      </c>
      <c r="N398" s="1425" t="s">
        <v>2791</v>
      </c>
      <c r="O398" s="1425" t="str">
        <f>'PLAN INDICATIVO'!O389</f>
        <v>Incremento</v>
      </c>
      <c r="P398" s="16" t="str">
        <f>'PLAN INDICATIVO'!P389</f>
        <v>Ejecutar 4 capacitaciones durante el cuatrienio a funcionarios municipales para mejorar indicadores de Gobierno en línea</v>
      </c>
      <c r="Q398" s="302" t="str">
        <f>'PLAN INDICATIVO'!Q389</f>
        <v>No. de capacitaciones ejecutadas</v>
      </c>
      <c r="R398" s="303">
        <f>'PLAN INDICATIVO'!R389</f>
        <v>2015</v>
      </c>
      <c r="S398" s="304">
        <v>0</v>
      </c>
      <c r="T398" s="498">
        <v>4</v>
      </c>
      <c r="U398" s="303">
        <v>1</v>
      </c>
      <c r="V398" s="687">
        <v>1500000</v>
      </c>
      <c r="W398" s="572">
        <v>1</v>
      </c>
      <c r="X398" s="687">
        <v>1000000</v>
      </c>
      <c r="Y398" s="572">
        <v>1</v>
      </c>
      <c r="Z398" s="687">
        <v>1000000</v>
      </c>
      <c r="AA398" s="572">
        <v>1</v>
      </c>
      <c r="AB398" s="687">
        <v>10000000</v>
      </c>
      <c r="AC398" s="665">
        <v>1</v>
      </c>
      <c r="AD398" s="665"/>
      <c r="AE398" s="665"/>
      <c r="AF398" s="665"/>
      <c r="AG398" s="306"/>
      <c r="AH398" s="307" t="s">
        <v>2983</v>
      </c>
      <c r="AI398" s="335">
        <v>37500</v>
      </c>
      <c r="AJ398" s="335">
        <v>47727</v>
      </c>
      <c r="AK398" s="308"/>
      <c r="AL398" s="308"/>
      <c r="AM398" s="281" t="s">
        <v>2598</v>
      </c>
      <c r="AN398" s="507">
        <v>2313</v>
      </c>
      <c r="AO398" s="525"/>
      <c r="AP398" s="310"/>
      <c r="AQ398" s="310"/>
      <c r="AR398" s="310"/>
      <c r="AS398" s="310"/>
      <c r="AT398" s="310"/>
      <c r="AU398" s="310"/>
      <c r="AV398" s="544">
        <f t="shared" si="183"/>
        <v>0</v>
      </c>
      <c r="AW398" s="525"/>
      <c r="AX398" s="310"/>
      <c r="AY398" s="310"/>
      <c r="AZ398" s="310"/>
      <c r="BA398" s="310"/>
      <c r="BB398" s="310"/>
      <c r="BC398" s="310"/>
      <c r="BD398" s="544">
        <f t="shared" si="180"/>
        <v>0</v>
      </c>
      <c r="BE398" s="525"/>
      <c r="BF398" s="310"/>
      <c r="BG398" s="310"/>
      <c r="BH398" s="310"/>
      <c r="BI398" s="310"/>
      <c r="BJ398" s="310"/>
      <c r="BK398" s="310"/>
      <c r="BL398" s="544">
        <f t="shared" si="181"/>
        <v>0</v>
      </c>
      <c r="BM398" s="525"/>
      <c r="BN398" s="310"/>
      <c r="BO398" s="310"/>
      <c r="BP398" s="310"/>
      <c r="BQ398" s="310"/>
      <c r="BR398" s="310"/>
      <c r="BS398" s="310"/>
      <c r="BT398" s="544">
        <f t="shared" si="182"/>
        <v>0</v>
      </c>
      <c r="BU398" s="556"/>
      <c r="BV398" s="663">
        <f t="shared" si="184"/>
        <v>1</v>
      </c>
      <c r="BW398" s="674">
        <f t="shared" si="185"/>
        <v>0.25</v>
      </c>
      <c r="BX398" s="674">
        <f t="shared" si="186"/>
        <v>1</v>
      </c>
      <c r="BY398" s="674">
        <f t="shared" si="187"/>
        <v>0</v>
      </c>
      <c r="BZ398" s="675">
        <f t="shared" si="188"/>
        <v>0</v>
      </c>
      <c r="CA398" s="675">
        <f t="shared" si="189"/>
        <v>0</v>
      </c>
    </row>
    <row r="399" spans="1:79" ht="57" hidden="1" customHeight="1" x14ac:dyDescent="0.25">
      <c r="A399" s="298" t="s">
        <v>1135</v>
      </c>
      <c r="B399" s="299" t="str">
        <f>'PLAN INDICATIVO'!B390</f>
        <v>Fortalecimiento institucional</v>
      </c>
      <c r="C399" s="1547"/>
      <c r="D399" s="1549"/>
      <c r="E399" s="1549"/>
      <c r="F399" s="1549"/>
      <c r="G399" s="1549"/>
      <c r="H399" s="1549"/>
      <c r="I399" s="300">
        <f>'PLAN INDICATIVO'!I390</f>
        <v>0</v>
      </c>
      <c r="J399" s="300">
        <f>'PLAN INDICATIVO'!J390</f>
        <v>0</v>
      </c>
      <c r="K399" s="1425" t="str">
        <f>'PLAN INDICATIVO'!K390</f>
        <v>A.17.1.22</v>
      </c>
      <c r="L399" s="301" t="str">
        <f>'PLAN INDICATIVO'!L390</f>
        <v>16. Paz, justicia e instituciones sólidas</v>
      </c>
      <c r="M399" s="301" t="str">
        <f>'PLAN INDICATIVO'!M390</f>
        <v>Departamento Municipal de Planeación</v>
      </c>
      <c r="N399" s="1425" t="s">
        <v>2954</v>
      </c>
      <c r="O399" s="1425" t="str">
        <f>'PLAN INDICATIVO'!O390</f>
        <v>Incremento</v>
      </c>
      <c r="P399" s="16" t="str">
        <f>'PLAN INDICATIVO'!P390</f>
        <v>Realizar 2 revisiones y/o actualizaciones a la estratificación socioeconómica del municipio, durante el cuatrienio</v>
      </c>
      <c r="Q399" s="302" t="str">
        <f>'PLAN INDICATIVO'!Q390</f>
        <v>No. De revisiones o actualizaciones realizadas</v>
      </c>
      <c r="R399" s="303">
        <f>'PLAN INDICATIVO'!R390</f>
        <v>2015</v>
      </c>
      <c r="S399" s="304">
        <v>0</v>
      </c>
      <c r="T399" s="498">
        <v>2</v>
      </c>
      <c r="U399" s="303">
        <v>0</v>
      </c>
      <c r="V399" s="687"/>
      <c r="W399" s="572">
        <v>1</v>
      </c>
      <c r="X399" s="687">
        <v>16000000</v>
      </c>
      <c r="Y399" s="572">
        <v>0</v>
      </c>
      <c r="Z399" s="687"/>
      <c r="AA399" s="572">
        <v>1</v>
      </c>
      <c r="AB399" s="687">
        <v>1000000</v>
      </c>
      <c r="AC399" s="665"/>
      <c r="AD399" s="665"/>
      <c r="AE399" s="665"/>
      <c r="AF399" s="665"/>
      <c r="AG399" s="306"/>
      <c r="AH399" s="307"/>
      <c r="AI399" s="308"/>
      <c r="AJ399" s="308"/>
      <c r="AK399" s="308"/>
      <c r="AL399" s="308"/>
      <c r="AM399" s="281" t="s">
        <v>2594</v>
      </c>
      <c r="AN399" s="507">
        <v>2313</v>
      </c>
      <c r="AO399" s="525"/>
      <c r="AP399" s="310"/>
      <c r="AQ399" s="310"/>
      <c r="AR399" s="310"/>
      <c r="AS399" s="310"/>
      <c r="AT399" s="310"/>
      <c r="AU399" s="310"/>
      <c r="AV399" s="544">
        <f t="shared" si="183"/>
        <v>0</v>
      </c>
      <c r="AW399" s="525"/>
      <c r="AX399" s="310"/>
      <c r="AY399" s="310"/>
      <c r="AZ399" s="310"/>
      <c r="BA399" s="310"/>
      <c r="BB399" s="310"/>
      <c r="BC399" s="310"/>
      <c r="BD399" s="544">
        <f t="shared" si="180"/>
        <v>0</v>
      </c>
      <c r="BE399" s="525"/>
      <c r="BF399" s="310"/>
      <c r="BG399" s="310"/>
      <c r="BH399" s="310"/>
      <c r="BI399" s="310"/>
      <c r="BJ399" s="310"/>
      <c r="BK399" s="310"/>
      <c r="BL399" s="544">
        <f t="shared" si="181"/>
        <v>0</v>
      </c>
      <c r="BM399" s="525"/>
      <c r="BN399" s="310"/>
      <c r="BO399" s="310"/>
      <c r="BP399" s="310"/>
      <c r="BQ399" s="310"/>
      <c r="BR399" s="310"/>
      <c r="BS399" s="310"/>
      <c r="BT399" s="544">
        <f t="shared" si="182"/>
        <v>0</v>
      </c>
      <c r="BU399" s="556"/>
      <c r="BV399" s="663">
        <f t="shared" si="184"/>
        <v>0</v>
      </c>
      <c r="BW399" s="674">
        <f t="shared" si="185"/>
        <v>0</v>
      </c>
      <c r="BX399" s="674" t="e">
        <f t="shared" si="186"/>
        <v>#DIV/0!</v>
      </c>
      <c r="BY399" s="674">
        <f t="shared" si="187"/>
        <v>0</v>
      </c>
      <c r="BZ399" s="675" t="e">
        <f t="shared" si="188"/>
        <v>#DIV/0!</v>
      </c>
      <c r="CA399" s="675">
        <f t="shared" si="189"/>
        <v>0</v>
      </c>
    </row>
    <row r="400" spans="1:79" ht="52.5" hidden="1" customHeight="1" x14ac:dyDescent="0.25">
      <c r="A400" s="298" t="s">
        <v>1135</v>
      </c>
      <c r="B400" s="299" t="str">
        <f>'PLAN INDICATIVO'!B391</f>
        <v>Fortalecimiento institucional</v>
      </c>
      <c r="C400" s="1547"/>
      <c r="D400" s="1549"/>
      <c r="E400" s="1549"/>
      <c r="F400" s="1549"/>
      <c r="G400" s="1549"/>
      <c r="H400" s="1549"/>
      <c r="I400" s="300">
        <f>'PLAN INDICATIVO'!I391</f>
        <v>0</v>
      </c>
      <c r="J400" s="300">
        <f>'PLAN INDICATIVO'!J391</f>
        <v>0</v>
      </c>
      <c r="K400" s="1425" t="str">
        <f>'PLAN INDICATIVO'!K391</f>
        <v>A.17.1.23</v>
      </c>
      <c r="L400" s="301" t="str">
        <f>'PLAN INDICATIVO'!L391</f>
        <v>16. Paz, justicia e instituciones sólidas</v>
      </c>
      <c r="M400" s="301" t="str">
        <f>'PLAN INDICATIVO'!M391</f>
        <v>Secretaría de Gobierno</v>
      </c>
      <c r="N400" s="1425" t="s">
        <v>2791</v>
      </c>
      <c r="O400" s="1425" t="str">
        <f>'PLAN INDICATIVO'!O391</f>
        <v>Incremento</v>
      </c>
      <c r="P400" s="16" t="str">
        <f>'PLAN INDICATIVO'!P391</f>
        <v>Ejecutar 1 programa de articulación de Gobierno en Línea y MECI implementado cada año</v>
      </c>
      <c r="Q400" s="302" t="str">
        <f>'PLAN INDICATIVO'!Q391</f>
        <v>No. De programas Ejecutados</v>
      </c>
      <c r="R400" s="303">
        <f>'PLAN INDICATIVO'!R391</f>
        <v>2015</v>
      </c>
      <c r="S400" s="304">
        <v>0</v>
      </c>
      <c r="T400" s="498">
        <v>2</v>
      </c>
      <c r="U400" s="303">
        <v>1</v>
      </c>
      <c r="V400" s="687">
        <v>1000000</v>
      </c>
      <c r="W400" s="572">
        <v>1</v>
      </c>
      <c r="X400" s="687">
        <v>1000000</v>
      </c>
      <c r="Y400" s="572">
        <v>0</v>
      </c>
      <c r="Z400" s="687"/>
      <c r="AA400" s="572">
        <v>0</v>
      </c>
      <c r="AB400" s="687"/>
      <c r="AC400" s="665">
        <v>1</v>
      </c>
      <c r="AD400" s="665"/>
      <c r="AE400" s="665"/>
      <c r="AF400" s="665"/>
      <c r="AG400" s="338" t="s">
        <v>2977</v>
      </c>
      <c r="AH400" s="307"/>
      <c r="AI400" s="308"/>
      <c r="AJ400" s="308"/>
      <c r="AK400" s="308"/>
      <c r="AL400" s="308"/>
      <c r="AM400" s="281" t="s">
        <v>2598</v>
      </c>
      <c r="AN400" s="507" t="s">
        <v>2984</v>
      </c>
      <c r="AO400" s="525"/>
      <c r="AP400" s="310">
        <f>8750000+4083000+5250000</f>
        <v>18083000</v>
      </c>
      <c r="AQ400" s="310"/>
      <c r="AR400" s="310"/>
      <c r="AS400" s="310"/>
      <c r="AT400" s="310"/>
      <c r="AU400" s="310"/>
      <c r="AV400" s="544">
        <f t="shared" si="183"/>
        <v>18083000</v>
      </c>
      <c r="AW400" s="525"/>
      <c r="AX400" s="310"/>
      <c r="AY400" s="310"/>
      <c r="AZ400" s="310"/>
      <c r="BA400" s="310"/>
      <c r="BB400" s="310"/>
      <c r="BC400" s="310"/>
      <c r="BD400" s="544">
        <f t="shared" si="180"/>
        <v>0</v>
      </c>
      <c r="BE400" s="525"/>
      <c r="BF400" s="310"/>
      <c r="BG400" s="310"/>
      <c r="BH400" s="310"/>
      <c r="BI400" s="310"/>
      <c r="BJ400" s="310"/>
      <c r="BK400" s="310"/>
      <c r="BL400" s="544">
        <f t="shared" si="181"/>
        <v>0</v>
      </c>
      <c r="BM400" s="525"/>
      <c r="BN400" s="310"/>
      <c r="BO400" s="310"/>
      <c r="BP400" s="310"/>
      <c r="BQ400" s="310"/>
      <c r="BR400" s="310"/>
      <c r="BS400" s="310"/>
      <c r="BT400" s="544">
        <f t="shared" si="182"/>
        <v>0</v>
      </c>
      <c r="BU400" s="556"/>
      <c r="BV400" s="663">
        <f t="shared" si="184"/>
        <v>1</v>
      </c>
      <c r="BW400" s="674">
        <f t="shared" si="185"/>
        <v>0.5</v>
      </c>
      <c r="BX400" s="674">
        <f t="shared" si="186"/>
        <v>1</v>
      </c>
      <c r="BY400" s="674">
        <f t="shared" si="187"/>
        <v>0</v>
      </c>
      <c r="BZ400" s="675" t="e">
        <f t="shared" si="188"/>
        <v>#DIV/0!</v>
      </c>
      <c r="CA400" s="675" t="e">
        <f t="shared" si="189"/>
        <v>#DIV/0!</v>
      </c>
    </row>
    <row r="401" spans="1:79" ht="39.75" hidden="1" customHeight="1" x14ac:dyDescent="0.25">
      <c r="A401" s="298" t="s">
        <v>1135</v>
      </c>
      <c r="B401" s="299" t="str">
        <f>'PLAN INDICATIVO'!B392</f>
        <v>Fortalecimiento institucional</v>
      </c>
      <c r="C401" s="1547"/>
      <c r="D401" s="1549"/>
      <c r="E401" s="1549"/>
      <c r="F401" s="1549"/>
      <c r="G401" s="1549"/>
      <c r="H401" s="1549"/>
      <c r="I401" s="300">
        <f>'PLAN INDICATIVO'!I392</f>
        <v>0</v>
      </c>
      <c r="J401" s="300">
        <f>'PLAN INDICATIVO'!J392</f>
        <v>0</v>
      </c>
      <c r="K401" s="1425" t="str">
        <f>'PLAN INDICATIVO'!K392</f>
        <v>A.17.1.24</v>
      </c>
      <c r="L401" s="301" t="str">
        <f>'PLAN INDICATIVO'!L392</f>
        <v>16. Paz, justicia e instituciones sólidas</v>
      </c>
      <c r="M401" s="301" t="str">
        <f>'PLAN INDICATIVO'!M392</f>
        <v>Secretaría de Gobierno</v>
      </c>
      <c r="N401" s="1425" t="s">
        <v>2791</v>
      </c>
      <c r="O401" s="1425" t="str">
        <f>'PLAN INDICATIVO'!O392</f>
        <v>Incremento</v>
      </c>
      <c r="P401" s="16" t="str">
        <f>'PLAN INDICATIVO'!P392</f>
        <v>Implementar 1 Estrategia de cero papel  durante el cuatrienio</v>
      </c>
      <c r="Q401" s="302" t="str">
        <f>'PLAN INDICATIVO'!Q392</f>
        <v>No. De estrategias implementadas</v>
      </c>
      <c r="R401" s="303">
        <f>'PLAN INDICATIVO'!R392</f>
        <v>2015</v>
      </c>
      <c r="S401" s="304">
        <v>0</v>
      </c>
      <c r="T401" s="498">
        <v>2</v>
      </c>
      <c r="U401" s="303">
        <v>1</v>
      </c>
      <c r="V401" s="687">
        <v>1000000</v>
      </c>
      <c r="W401" s="572">
        <v>1</v>
      </c>
      <c r="X401" s="687">
        <v>1000000</v>
      </c>
      <c r="Y401" s="572">
        <v>0</v>
      </c>
      <c r="Z401" s="687"/>
      <c r="AA401" s="572">
        <v>0</v>
      </c>
      <c r="AB401" s="687"/>
      <c r="AC401" s="665"/>
      <c r="AD401" s="665"/>
      <c r="AE401" s="665"/>
      <c r="AF401" s="665"/>
      <c r="AG401" s="306"/>
      <c r="AH401" s="307"/>
      <c r="AI401" s="308"/>
      <c r="AJ401" s="308"/>
      <c r="AK401" s="308"/>
      <c r="AL401" s="308"/>
      <c r="AM401" s="281" t="s">
        <v>2594</v>
      </c>
      <c r="AN401" s="507">
        <v>2313</v>
      </c>
      <c r="AO401" s="525"/>
      <c r="AP401" s="310"/>
      <c r="AQ401" s="310"/>
      <c r="AR401" s="310"/>
      <c r="AS401" s="310"/>
      <c r="AT401" s="310"/>
      <c r="AU401" s="310"/>
      <c r="AV401" s="544">
        <f t="shared" si="183"/>
        <v>0</v>
      </c>
      <c r="AW401" s="525"/>
      <c r="AX401" s="310"/>
      <c r="AY401" s="310"/>
      <c r="AZ401" s="310"/>
      <c r="BA401" s="310"/>
      <c r="BB401" s="310"/>
      <c r="BC401" s="310"/>
      <c r="BD401" s="544">
        <f t="shared" si="180"/>
        <v>0</v>
      </c>
      <c r="BE401" s="525"/>
      <c r="BF401" s="310"/>
      <c r="BG401" s="310"/>
      <c r="BH401" s="310"/>
      <c r="BI401" s="310"/>
      <c r="BJ401" s="310"/>
      <c r="BK401" s="310"/>
      <c r="BL401" s="544">
        <f t="shared" si="181"/>
        <v>0</v>
      </c>
      <c r="BM401" s="525"/>
      <c r="BN401" s="310"/>
      <c r="BO401" s="310"/>
      <c r="BP401" s="310"/>
      <c r="BQ401" s="310"/>
      <c r="BR401" s="310"/>
      <c r="BS401" s="310"/>
      <c r="BT401" s="544">
        <f t="shared" si="182"/>
        <v>0</v>
      </c>
      <c r="BU401" s="556"/>
      <c r="BV401" s="663">
        <f t="shared" si="184"/>
        <v>0</v>
      </c>
      <c r="BW401" s="674">
        <f t="shared" si="185"/>
        <v>0</v>
      </c>
      <c r="BX401" s="674">
        <f t="shared" si="186"/>
        <v>0</v>
      </c>
      <c r="BY401" s="674">
        <f t="shared" si="187"/>
        <v>0</v>
      </c>
      <c r="BZ401" s="675" t="e">
        <f t="shared" si="188"/>
        <v>#DIV/0!</v>
      </c>
      <c r="CA401" s="675" t="e">
        <f t="shared" si="189"/>
        <v>#DIV/0!</v>
      </c>
    </row>
    <row r="402" spans="1:79" ht="76.5" hidden="1" x14ac:dyDescent="0.25">
      <c r="A402" s="393" t="s">
        <v>1135</v>
      </c>
      <c r="B402" s="394" t="str">
        <f>'PLAN INDICATIVO'!B393</f>
        <v>Fortalecimiento institucional</v>
      </c>
      <c r="C402" s="1548"/>
      <c r="D402" s="1549"/>
      <c r="E402" s="1549"/>
      <c r="F402" s="1549"/>
      <c r="G402" s="1549"/>
      <c r="H402" s="1549"/>
      <c r="I402" s="300">
        <f>'PLAN INDICATIVO'!I393</f>
        <v>0</v>
      </c>
      <c r="J402" s="300">
        <f>'PLAN INDICATIVO'!J393</f>
        <v>0</v>
      </c>
      <c r="K402" s="1425" t="str">
        <f>'PLAN INDICATIVO'!K393</f>
        <v>A.17.1.25</v>
      </c>
      <c r="L402" s="301" t="str">
        <f>'PLAN INDICATIVO'!L393</f>
        <v>16. Paz, justicia e instituciones sólidas</v>
      </c>
      <c r="M402" s="301" t="str">
        <f>'PLAN INDICATIVO'!M393</f>
        <v>Secretaría de Gobierno</v>
      </c>
      <c r="N402" s="1425" t="s">
        <v>2791</v>
      </c>
      <c r="O402" s="1425" t="str">
        <f>'PLAN INDICATIVO'!O393</f>
        <v>Incremento</v>
      </c>
      <c r="P402" s="16" t="str">
        <f>'PLAN INDICATIVO'!P393</f>
        <v>Adquisición de 2 ambulacias para fortalecer el parque automotor en servicios de salud, durante el cuatrienio</v>
      </c>
      <c r="Q402" s="302" t="str">
        <f>'PLAN INDICATIVO'!Q393</f>
        <v xml:space="preserve">No. De ambulancias adquiridas  </v>
      </c>
      <c r="R402" s="303">
        <f>'PLAN INDICATIVO'!R393</f>
        <v>2015</v>
      </c>
      <c r="S402" s="304">
        <v>0</v>
      </c>
      <c r="T402" s="498">
        <v>2</v>
      </c>
      <c r="U402" s="303">
        <v>0</v>
      </c>
      <c r="V402" s="687"/>
      <c r="W402" s="572">
        <v>1</v>
      </c>
      <c r="X402" s="687">
        <v>1000000</v>
      </c>
      <c r="Y402" s="572">
        <v>1</v>
      </c>
      <c r="Z402" s="687">
        <v>1000000</v>
      </c>
      <c r="AA402" s="572">
        <v>0</v>
      </c>
      <c r="AB402" s="687"/>
      <c r="AC402" s="665">
        <v>1</v>
      </c>
      <c r="AD402" s="665"/>
      <c r="AE402" s="665"/>
      <c r="AF402" s="665"/>
      <c r="AG402" s="306"/>
      <c r="AH402" s="307" t="s">
        <v>2985</v>
      </c>
      <c r="AI402" s="308"/>
      <c r="AJ402" s="308"/>
      <c r="AK402" s="308"/>
      <c r="AL402" s="308"/>
      <c r="AM402" s="281" t="s">
        <v>2594</v>
      </c>
      <c r="AN402" s="507" t="s">
        <v>2986</v>
      </c>
      <c r="AO402" s="525"/>
      <c r="AP402" s="310">
        <v>89000000</v>
      </c>
      <c r="AQ402" s="310"/>
      <c r="AR402" s="310"/>
      <c r="AS402" s="310"/>
      <c r="AT402" s="310"/>
      <c r="AU402" s="310"/>
      <c r="AV402" s="544">
        <f t="shared" si="183"/>
        <v>89000000</v>
      </c>
      <c r="AW402" s="525"/>
      <c r="AX402" s="310"/>
      <c r="AY402" s="310"/>
      <c r="AZ402" s="310"/>
      <c r="BA402" s="310"/>
      <c r="BB402" s="310"/>
      <c r="BC402" s="310"/>
      <c r="BD402" s="544">
        <f t="shared" si="180"/>
        <v>0</v>
      </c>
      <c r="BE402" s="525"/>
      <c r="BF402" s="310"/>
      <c r="BG402" s="310"/>
      <c r="BH402" s="310"/>
      <c r="BI402" s="310"/>
      <c r="BJ402" s="310"/>
      <c r="BK402" s="310"/>
      <c r="BL402" s="544">
        <f t="shared" si="181"/>
        <v>0</v>
      </c>
      <c r="BM402" s="525"/>
      <c r="BN402" s="310"/>
      <c r="BO402" s="310"/>
      <c r="BP402" s="310"/>
      <c r="BQ402" s="310"/>
      <c r="BR402" s="310"/>
      <c r="BS402" s="310"/>
      <c r="BT402" s="544">
        <f t="shared" si="182"/>
        <v>0</v>
      </c>
      <c r="BU402" s="556"/>
      <c r="BV402" s="663">
        <f t="shared" si="184"/>
        <v>1</v>
      </c>
      <c r="BW402" s="674">
        <f t="shared" si="185"/>
        <v>0.5</v>
      </c>
      <c r="BX402" s="674" t="e">
        <f t="shared" si="186"/>
        <v>#DIV/0!</v>
      </c>
      <c r="BY402" s="674">
        <f t="shared" si="187"/>
        <v>0</v>
      </c>
      <c r="BZ402" s="675">
        <f t="shared" si="188"/>
        <v>0</v>
      </c>
      <c r="CA402" s="675" t="e">
        <f t="shared" si="189"/>
        <v>#DIV/0!</v>
      </c>
    </row>
    <row r="403" spans="1:79" ht="27" hidden="1" thickBot="1" x14ac:dyDescent="0.3">
      <c r="A403" s="428"/>
      <c r="B403" s="438" t="str">
        <f>'PLAN INDICATIVO'!B394</f>
        <v>DESARROLLO COMUNITARIO</v>
      </c>
      <c r="C403" s="1578" t="s">
        <v>1217</v>
      </c>
      <c r="D403" s="1578"/>
      <c r="E403" s="1578"/>
      <c r="F403" s="1578"/>
      <c r="G403" s="1578"/>
      <c r="H403" s="1578"/>
      <c r="I403" s="1578"/>
      <c r="J403" s="1578"/>
      <c r="K403" s="1578"/>
      <c r="L403" s="1578"/>
      <c r="M403" s="1578"/>
      <c r="N403" s="1578"/>
      <c r="O403" s="1578"/>
      <c r="P403" s="1578"/>
      <c r="Q403" s="1578"/>
      <c r="R403" s="1578"/>
      <c r="S403" s="1578"/>
      <c r="T403" s="1578"/>
      <c r="U403" s="1578"/>
      <c r="V403" s="1578"/>
      <c r="W403" s="1578"/>
      <c r="X403" s="1578"/>
      <c r="Y403" s="1578"/>
      <c r="Z403" s="1578"/>
      <c r="AA403" s="1578"/>
      <c r="AB403" s="1578"/>
      <c r="AC403" s="1578"/>
      <c r="AD403" s="1578"/>
      <c r="AE403" s="1578"/>
      <c r="AF403" s="1578"/>
      <c r="AG403" s="1578"/>
      <c r="AH403" s="1578"/>
      <c r="AI403" s="1578"/>
      <c r="AJ403" s="1578"/>
      <c r="AK403" s="1578"/>
      <c r="AL403" s="1644"/>
      <c r="AM403" s="294"/>
      <c r="AN403" s="506"/>
      <c r="AO403" s="524"/>
      <c r="AP403" s="374"/>
      <c r="AQ403" s="374"/>
      <c r="AR403" s="374"/>
      <c r="AS403" s="374"/>
      <c r="AT403" s="374"/>
      <c r="AU403" s="374"/>
      <c r="AV403" s="544">
        <f t="shared" si="183"/>
        <v>0</v>
      </c>
      <c r="AW403" s="524"/>
      <c r="AX403" s="374"/>
      <c r="AY403" s="374"/>
      <c r="AZ403" s="374"/>
      <c r="BA403" s="374"/>
      <c r="BB403" s="374"/>
      <c r="BC403" s="374"/>
      <c r="BD403" s="544">
        <f t="shared" si="180"/>
        <v>0</v>
      </c>
      <c r="BE403" s="524"/>
      <c r="BF403" s="374"/>
      <c r="BG403" s="374"/>
      <c r="BH403" s="374"/>
      <c r="BI403" s="374"/>
      <c r="BJ403" s="374"/>
      <c r="BK403" s="374"/>
      <c r="BL403" s="544">
        <f t="shared" si="181"/>
        <v>0</v>
      </c>
      <c r="BM403" s="524"/>
      <c r="BN403" s="374"/>
      <c r="BO403" s="374"/>
      <c r="BP403" s="374"/>
      <c r="BQ403" s="374"/>
      <c r="BR403" s="374"/>
      <c r="BS403" s="374"/>
      <c r="BT403" s="544">
        <f t="shared" si="182"/>
        <v>0</v>
      </c>
      <c r="BU403" s="556"/>
      <c r="BV403" s="663">
        <f t="shared" si="184"/>
        <v>0</v>
      </c>
      <c r="BW403" s="674" t="e">
        <f t="shared" si="185"/>
        <v>#DIV/0!</v>
      </c>
      <c r="BX403" s="674" t="e">
        <f t="shared" si="186"/>
        <v>#DIV/0!</v>
      </c>
      <c r="BY403" s="674" t="e">
        <f t="shared" si="187"/>
        <v>#DIV/0!</v>
      </c>
      <c r="BZ403" s="675" t="e">
        <f t="shared" si="188"/>
        <v>#DIV/0!</v>
      </c>
      <c r="CA403" s="675" t="e">
        <f t="shared" si="189"/>
        <v>#DIV/0!</v>
      </c>
    </row>
    <row r="404" spans="1:79" ht="18" hidden="1" x14ac:dyDescent="0.25">
      <c r="A404" s="296"/>
      <c r="B404" s="404" t="str">
        <f>'PLAN INDICATIVO'!B395</f>
        <v>Desarrollo comunitario</v>
      </c>
      <c r="C404" s="1574" t="s">
        <v>1219</v>
      </c>
      <c r="D404" s="1575"/>
      <c r="E404" s="1575"/>
      <c r="F404" s="1575"/>
      <c r="G404" s="1575"/>
      <c r="H404" s="1575"/>
      <c r="I404" s="1575"/>
      <c r="J404" s="1575"/>
      <c r="K404" s="1575"/>
      <c r="L404" s="1575"/>
      <c r="M404" s="1575"/>
      <c r="N404" s="1575"/>
      <c r="O404" s="1576"/>
      <c r="P404" s="22"/>
      <c r="Q404" s="22"/>
      <c r="R404" s="1"/>
      <c r="S404" s="261"/>
      <c r="T404" s="681"/>
      <c r="U404" s="261"/>
      <c r="V404" s="689">
        <f>SUM(V405:V415)</f>
        <v>50000000</v>
      </c>
      <c r="W404" s="261"/>
      <c r="X404" s="689">
        <f>SUM(X405:X415)</f>
        <v>59000000</v>
      </c>
      <c r="Y404" s="261"/>
      <c r="Z404" s="689">
        <f>SUM(Z405:Z415)</f>
        <v>50000000</v>
      </c>
      <c r="AA404" s="262"/>
      <c r="AB404" s="690">
        <f>SUM(AB405:AB415)</f>
        <v>50000000</v>
      </c>
      <c r="AC404" s="262"/>
      <c r="AD404" s="262"/>
      <c r="AE404" s="262"/>
      <c r="AF404" s="262"/>
      <c r="AG404" s="263"/>
      <c r="AH404" s="263"/>
      <c r="AI404" s="262"/>
      <c r="AJ404" s="262"/>
      <c r="AK404" s="262"/>
      <c r="AL404" s="262"/>
      <c r="AM404" s="262"/>
      <c r="AN404" s="612"/>
      <c r="AO404" s="616" t="e">
        <f>(AO405:AO415)</f>
        <v>#VALUE!</v>
      </c>
      <c r="AP404" s="616" t="e">
        <f t="shared" ref="AP404:AU404" si="190">(AP405:AP415)</f>
        <v>#VALUE!</v>
      </c>
      <c r="AQ404" s="616" t="e">
        <f t="shared" si="190"/>
        <v>#VALUE!</v>
      </c>
      <c r="AR404" s="616" t="e">
        <f t="shared" si="190"/>
        <v>#VALUE!</v>
      </c>
      <c r="AS404" s="616" t="e">
        <f t="shared" si="190"/>
        <v>#VALUE!</v>
      </c>
      <c r="AT404" s="616" t="e">
        <f t="shared" si="190"/>
        <v>#VALUE!</v>
      </c>
      <c r="AU404" s="616" t="e">
        <f t="shared" si="190"/>
        <v>#VALUE!</v>
      </c>
      <c r="AV404" s="617" t="e">
        <f t="shared" si="183"/>
        <v>#VALUE!</v>
      </c>
      <c r="AW404" s="616" t="e">
        <f t="shared" ref="AW404:BC404" si="191">(AW405:AW415)</f>
        <v>#VALUE!</v>
      </c>
      <c r="AX404" s="616" t="e">
        <f t="shared" si="191"/>
        <v>#VALUE!</v>
      </c>
      <c r="AY404" s="616" t="e">
        <f t="shared" si="191"/>
        <v>#VALUE!</v>
      </c>
      <c r="AZ404" s="616" t="e">
        <f t="shared" si="191"/>
        <v>#VALUE!</v>
      </c>
      <c r="BA404" s="616" t="e">
        <f t="shared" si="191"/>
        <v>#VALUE!</v>
      </c>
      <c r="BB404" s="616" t="e">
        <f t="shared" si="191"/>
        <v>#VALUE!</v>
      </c>
      <c r="BC404" s="616" t="e">
        <f t="shared" si="191"/>
        <v>#VALUE!</v>
      </c>
      <c r="BD404" s="617" t="e">
        <f t="shared" si="180"/>
        <v>#VALUE!</v>
      </c>
      <c r="BE404" s="616" t="e">
        <f t="shared" ref="BE404:BK404" si="192">(BE405:BE415)</f>
        <v>#VALUE!</v>
      </c>
      <c r="BF404" s="616" t="e">
        <f t="shared" si="192"/>
        <v>#VALUE!</v>
      </c>
      <c r="BG404" s="616" t="e">
        <f t="shared" si="192"/>
        <v>#VALUE!</v>
      </c>
      <c r="BH404" s="616" t="e">
        <f t="shared" si="192"/>
        <v>#VALUE!</v>
      </c>
      <c r="BI404" s="616" t="e">
        <f t="shared" si="192"/>
        <v>#VALUE!</v>
      </c>
      <c r="BJ404" s="616" t="e">
        <f t="shared" si="192"/>
        <v>#VALUE!</v>
      </c>
      <c r="BK404" s="616" t="e">
        <f t="shared" si="192"/>
        <v>#VALUE!</v>
      </c>
      <c r="BL404" s="617" t="e">
        <f t="shared" si="181"/>
        <v>#VALUE!</v>
      </c>
      <c r="BM404" s="616" t="e">
        <f t="shared" ref="BM404:BS404" si="193">(BM405:BM415)</f>
        <v>#VALUE!</v>
      </c>
      <c r="BN404" s="616" t="e">
        <f t="shared" si="193"/>
        <v>#VALUE!</v>
      </c>
      <c r="BO404" s="616" t="e">
        <f t="shared" si="193"/>
        <v>#VALUE!</v>
      </c>
      <c r="BP404" s="616" t="e">
        <f t="shared" si="193"/>
        <v>#VALUE!</v>
      </c>
      <c r="BQ404" s="616" t="e">
        <f t="shared" si="193"/>
        <v>#VALUE!</v>
      </c>
      <c r="BR404" s="616" t="e">
        <f t="shared" si="193"/>
        <v>#VALUE!</v>
      </c>
      <c r="BS404" s="616" t="e">
        <f t="shared" si="193"/>
        <v>#VALUE!</v>
      </c>
      <c r="BT404" s="617" t="e">
        <f t="shared" si="182"/>
        <v>#VALUE!</v>
      </c>
      <c r="BU404" s="556"/>
      <c r="BV404" s="863">
        <f t="shared" si="184"/>
        <v>0</v>
      </c>
      <c r="BW404" s="864" t="e">
        <f t="shared" si="185"/>
        <v>#DIV/0!</v>
      </c>
      <c r="BX404" s="864" t="e">
        <f t="shared" si="186"/>
        <v>#DIV/0!</v>
      </c>
      <c r="BY404" s="864" t="e">
        <f t="shared" si="187"/>
        <v>#DIV/0!</v>
      </c>
      <c r="BZ404" s="1450" t="e">
        <f t="shared" si="188"/>
        <v>#DIV/0!</v>
      </c>
      <c r="CA404" s="1450" t="e">
        <f t="shared" si="189"/>
        <v>#DIV/0!</v>
      </c>
    </row>
    <row r="405" spans="1:79" ht="83.25" hidden="1" customHeight="1" x14ac:dyDescent="0.25">
      <c r="A405" s="298" t="s">
        <v>1220</v>
      </c>
      <c r="B405" s="299" t="str">
        <f>'PLAN INDICATIVO'!B396</f>
        <v>Desarrollo comunitario</v>
      </c>
      <c r="C405" s="1546" t="s">
        <v>1221</v>
      </c>
      <c r="D405" s="1549" t="s">
        <v>1222</v>
      </c>
      <c r="E405" s="1549" t="s">
        <v>1223</v>
      </c>
      <c r="F405" s="1549">
        <v>2015</v>
      </c>
      <c r="G405" s="1549" t="s">
        <v>177</v>
      </c>
      <c r="H405" s="1549">
        <v>70</v>
      </c>
      <c r="I405" s="300">
        <f>'PLAN INDICATIVO'!I396</f>
        <v>0</v>
      </c>
      <c r="J405" s="300">
        <f>'PLAN INDICATIVO'!J396</f>
        <v>0</v>
      </c>
      <c r="K405" s="1425" t="str">
        <f>'PLAN INDICATIVO'!K396</f>
        <v>A.16.1.1</v>
      </c>
      <c r="L405" s="301" t="str">
        <f>'PLAN INDICATIVO'!L396</f>
        <v>16. Paz, justicia e instituciones sólidas</v>
      </c>
      <c r="M405" s="301" t="str">
        <f>'PLAN INDICATIVO'!M396</f>
        <v>Secretaría de Desarrollo Social</v>
      </c>
      <c r="N405" s="1425" t="str">
        <f>'PLAN INDICATIVO'!N396</f>
        <v>HERNAN RODRIGUEZ FALLA</v>
      </c>
      <c r="O405" s="1425" t="str">
        <f>'PLAN INDICATIVO'!O396</f>
        <v>Incremento</v>
      </c>
      <c r="P405" s="16" t="str">
        <f>'PLAN INDICATIVO'!P396</f>
        <v>Realizar 4 celebraciones del día de la acción comunal durante el cuatrienio</v>
      </c>
      <c r="Q405" s="302" t="str">
        <f>'PLAN INDICATIVO'!Q396</f>
        <v>No. De celebraciones realizadas</v>
      </c>
      <c r="R405" s="303">
        <f>'PLAN INDICATIVO'!R396</f>
        <v>2015</v>
      </c>
      <c r="S405" s="304">
        <v>0</v>
      </c>
      <c r="T405" s="699">
        <v>4</v>
      </c>
      <c r="U405" s="303">
        <v>1</v>
      </c>
      <c r="V405" s="687">
        <v>7000000</v>
      </c>
      <c r="W405" s="303">
        <v>1</v>
      </c>
      <c r="X405" s="687">
        <v>7000000</v>
      </c>
      <c r="Y405" s="303">
        <v>1</v>
      </c>
      <c r="Z405" s="687">
        <v>7000000</v>
      </c>
      <c r="AA405" s="303">
        <v>1</v>
      </c>
      <c r="AB405" s="687">
        <v>7000000</v>
      </c>
      <c r="AC405" s="669">
        <v>1</v>
      </c>
      <c r="AD405" s="669"/>
      <c r="AE405" s="669"/>
      <c r="AF405" s="669"/>
      <c r="AG405" s="341" t="s">
        <v>2987</v>
      </c>
      <c r="AH405" s="355" t="s">
        <v>2988</v>
      </c>
      <c r="AI405" s="358" t="s">
        <v>2989</v>
      </c>
      <c r="AJ405" s="358" t="s">
        <v>2990</v>
      </c>
      <c r="AK405" s="358"/>
      <c r="AL405" s="358"/>
      <c r="AM405" s="267" t="s">
        <v>2598</v>
      </c>
      <c r="AN405" s="512" t="s">
        <v>2991</v>
      </c>
      <c r="AO405" s="525"/>
      <c r="AP405" s="310">
        <v>7850000</v>
      </c>
      <c r="AQ405" s="380"/>
      <c r="AR405" s="310"/>
      <c r="AS405" s="310"/>
      <c r="AT405" s="310"/>
      <c r="AU405" s="310"/>
      <c r="AV405" s="544">
        <f t="shared" si="183"/>
        <v>7850000</v>
      </c>
      <c r="AW405" s="525"/>
      <c r="AX405" s="310"/>
      <c r="AY405" s="380"/>
      <c r="AZ405" s="310"/>
      <c r="BA405" s="310"/>
      <c r="BB405" s="310"/>
      <c r="BC405" s="310"/>
      <c r="BD405" s="544">
        <f t="shared" si="180"/>
        <v>0</v>
      </c>
      <c r="BE405" s="525"/>
      <c r="BF405" s="310"/>
      <c r="BG405" s="380"/>
      <c r="BH405" s="310"/>
      <c r="BI405" s="310"/>
      <c r="BJ405" s="310"/>
      <c r="BK405" s="310"/>
      <c r="BL405" s="544">
        <f t="shared" si="181"/>
        <v>0</v>
      </c>
      <c r="BM405" s="525"/>
      <c r="BN405" s="310"/>
      <c r="BO405" s="380"/>
      <c r="BP405" s="310"/>
      <c r="BQ405" s="310"/>
      <c r="BR405" s="310"/>
      <c r="BS405" s="310"/>
      <c r="BT405" s="544">
        <f t="shared" si="182"/>
        <v>0</v>
      </c>
      <c r="BU405" s="556"/>
      <c r="BV405" s="663">
        <f t="shared" si="184"/>
        <v>1</v>
      </c>
      <c r="BW405" s="674">
        <f t="shared" si="185"/>
        <v>0.25</v>
      </c>
      <c r="BX405" s="674">
        <f t="shared" si="186"/>
        <v>1</v>
      </c>
      <c r="BY405" s="674">
        <f t="shared" si="187"/>
        <v>0</v>
      </c>
      <c r="BZ405" s="675">
        <f t="shared" si="188"/>
        <v>0</v>
      </c>
      <c r="CA405" s="675">
        <f t="shared" si="189"/>
        <v>0</v>
      </c>
    </row>
    <row r="406" spans="1:79" ht="76.5" hidden="1" customHeight="1" x14ac:dyDescent="0.25">
      <c r="A406" s="298" t="s">
        <v>1220</v>
      </c>
      <c r="B406" s="299" t="str">
        <f>'PLAN INDICATIVO'!B397</f>
        <v>Desarrollo comunitario</v>
      </c>
      <c r="C406" s="1547"/>
      <c r="D406" s="1549"/>
      <c r="E406" s="1549"/>
      <c r="F406" s="1549"/>
      <c r="G406" s="1549"/>
      <c r="H406" s="1549"/>
      <c r="I406" s="300">
        <f>'PLAN INDICATIVO'!I397</f>
        <v>0</v>
      </c>
      <c r="J406" s="300">
        <f>'PLAN INDICATIVO'!J397</f>
        <v>0</v>
      </c>
      <c r="K406" s="1425" t="str">
        <f>'PLAN INDICATIVO'!K397</f>
        <v>A.16.1.2</v>
      </c>
      <c r="L406" s="301" t="str">
        <f>'PLAN INDICATIVO'!L397</f>
        <v>16. Paz, justicia e instituciones sólidas</v>
      </c>
      <c r="M406" s="301" t="str">
        <f>'PLAN INDICATIVO'!M397</f>
        <v>Secretaría de Desarrollo Social</v>
      </c>
      <c r="N406" s="1425" t="str">
        <f>'PLAN INDICATIVO'!N397</f>
        <v>HERNAN RODRIGUEZ FALLA</v>
      </c>
      <c r="O406" s="1425" t="str">
        <f>'PLAN INDICATIVO'!O397</f>
        <v>Incremento</v>
      </c>
      <c r="P406" s="820" t="str">
        <f>'PLAN INDICATIVO'!P397</f>
        <v>Ejecutar 35  proyectos de inversión durante el cuatrienio con vinculación de las juntas de acción comunal</v>
      </c>
      <c r="Q406" s="302" t="str">
        <f>'PLAN INDICATIVO'!Q397</f>
        <v>No. De proyectos Ejecutados</v>
      </c>
      <c r="R406" s="303">
        <f>'PLAN INDICATIVO'!R397</f>
        <v>2015</v>
      </c>
      <c r="S406" s="304">
        <v>0</v>
      </c>
      <c r="T406" s="699">
        <v>4</v>
      </c>
      <c r="U406" s="303">
        <v>1</v>
      </c>
      <c r="V406" s="687">
        <v>5000000</v>
      </c>
      <c r="W406" s="303">
        <v>1</v>
      </c>
      <c r="X406" s="687">
        <v>1000000</v>
      </c>
      <c r="Y406" s="303">
        <v>1</v>
      </c>
      <c r="Z406" s="687">
        <v>1000000</v>
      </c>
      <c r="AA406" s="303">
        <v>1</v>
      </c>
      <c r="AB406" s="687">
        <v>1000000</v>
      </c>
      <c r="AC406" s="669">
        <v>17</v>
      </c>
      <c r="AD406" s="669"/>
      <c r="AE406" s="669"/>
      <c r="AF406" s="669"/>
      <c r="AG406" s="341" t="s">
        <v>2987</v>
      </c>
      <c r="AH406" s="355" t="s">
        <v>2992</v>
      </c>
      <c r="AI406" s="358" t="s">
        <v>2993</v>
      </c>
      <c r="AJ406" s="358" t="s">
        <v>2994</v>
      </c>
      <c r="AK406" s="358"/>
      <c r="AL406" s="358"/>
      <c r="AM406" s="267" t="s">
        <v>2598</v>
      </c>
      <c r="AN406" s="512"/>
      <c r="AO406" s="720"/>
      <c r="AP406" s="721">
        <v>200000</v>
      </c>
      <c r="AQ406" s="723"/>
      <c r="AR406" s="721"/>
      <c r="AS406" s="721"/>
      <c r="AT406" s="721"/>
      <c r="AU406" s="721"/>
      <c r="AV406" s="722">
        <f t="shared" si="183"/>
        <v>200000</v>
      </c>
      <c r="AW406" s="525"/>
      <c r="AX406" s="310"/>
      <c r="AY406" s="380"/>
      <c r="AZ406" s="310"/>
      <c r="BA406" s="310"/>
      <c r="BB406" s="310"/>
      <c r="BC406" s="310"/>
      <c r="BD406" s="544">
        <f t="shared" si="180"/>
        <v>0</v>
      </c>
      <c r="BE406" s="525"/>
      <c r="BF406" s="310"/>
      <c r="BG406" s="380"/>
      <c r="BH406" s="310"/>
      <c r="BI406" s="310"/>
      <c r="BJ406" s="310"/>
      <c r="BK406" s="310"/>
      <c r="BL406" s="544">
        <f t="shared" si="181"/>
        <v>0</v>
      </c>
      <c r="BM406" s="525"/>
      <c r="BN406" s="310"/>
      <c r="BO406" s="380"/>
      <c r="BP406" s="310"/>
      <c r="BQ406" s="310"/>
      <c r="BR406" s="310"/>
      <c r="BS406" s="310"/>
      <c r="BT406" s="544">
        <f t="shared" si="182"/>
        <v>0</v>
      </c>
      <c r="BU406" s="556"/>
      <c r="BV406" s="663">
        <f t="shared" si="184"/>
        <v>17</v>
      </c>
      <c r="BW406" s="674">
        <f t="shared" si="185"/>
        <v>4.25</v>
      </c>
      <c r="BX406" s="674">
        <f t="shared" si="186"/>
        <v>17</v>
      </c>
      <c r="BY406" s="674">
        <f t="shared" si="187"/>
        <v>0</v>
      </c>
      <c r="BZ406" s="675">
        <f t="shared" si="188"/>
        <v>0</v>
      </c>
      <c r="CA406" s="675">
        <f t="shared" si="189"/>
        <v>0</v>
      </c>
    </row>
    <row r="407" spans="1:79" ht="91.5" hidden="1" customHeight="1" x14ac:dyDescent="0.25">
      <c r="A407" s="298" t="s">
        <v>1220</v>
      </c>
      <c r="B407" s="299" t="str">
        <f>'PLAN INDICATIVO'!B398</f>
        <v>Desarrollo comunitario</v>
      </c>
      <c r="C407" s="1547"/>
      <c r="D407" s="1549"/>
      <c r="E407" s="1549"/>
      <c r="F407" s="1549"/>
      <c r="G407" s="1549"/>
      <c r="H407" s="1549"/>
      <c r="I407" s="300">
        <f>'PLAN INDICATIVO'!I398</f>
        <v>0</v>
      </c>
      <c r="J407" s="300">
        <f>'PLAN INDICATIVO'!J398</f>
        <v>0</v>
      </c>
      <c r="K407" s="1425" t="str">
        <f>'PLAN INDICATIVO'!K398</f>
        <v>A.16.1.3</v>
      </c>
      <c r="L407" s="301" t="str">
        <f>'PLAN INDICATIVO'!L398</f>
        <v>16. Paz, justicia e instituciones sólidas</v>
      </c>
      <c r="M407" s="301" t="str">
        <f>'PLAN INDICATIVO'!M398</f>
        <v>Secretaría de Desarrollo Social</v>
      </c>
      <c r="N407" s="1425" t="str">
        <f>'PLAN INDICATIVO'!N398</f>
        <v>HERNAN RODRIGUEZ FALLA</v>
      </c>
      <c r="O407" s="1425" t="str">
        <f>'PLAN INDICATIVO'!O398</f>
        <v>Mantenimiento</v>
      </c>
      <c r="P407" s="16" t="str">
        <f>'PLAN INDICATIVO'!P398</f>
        <v>lograr que 1 Oficina de apoyo a las JAC este funcionando cada año</v>
      </c>
      <c r="Q407" s="302" t="str">
        <f>'PLAN INDICATIVO'!Q398</f>
        <v>No. De Oficina funcionando cada año</v>
      </c>
      <c r="R407" s="303">
        <f>'PLAN INDICATIVO'!R398</f>
        <v>2015</v>
      </c>
      <c r="S407" s="304">
        <v>1</v>
      </c>
      <c r="T407" s="699">
        <v>4</v>
      </c>
      <c r="U407" s="303">
        <v>1</v>
      </c>
      <c r="V407" s="687">
        <v>5000000</v>
      </c>
      <c r="W407" s="303">
        <v>1</v>
      </c>
      <c r="X407" s="687">
        <v>10000000</v>
      </c>
      <c r="Y407" s="303">
        <v>1</v>
      </c>
      <c r="Z407" s="687">
        <v>10000000</v>
      </c>
      <c r="AA407" s="303">
        <v>1</v>
      </c>
      <c r="AB407" s="687">
        <v>10000000</v>
      </c>
      <c r="AC407" s="669">
        <v>1</v>
      </c>
      <c r="AD407" s="669"/>
      <c r="AE407" s="669"/>
      <c r="AF407" s="669"/>
      <c r="AG407" s="341" t="s">
        <v>2987</v>
      </c>
      <c r="AH407" s="355" t="s">
        <v>2995</v>
      </c>
      <c r="AI407" s="358" t="s">
        <v>2996</v>
      </c>
      <c r="AJ407" s="358" t="s">
        <v>2997</v>
      </c>
      <c r="AK407" s="358"/>
      <c r="AL407" s="358"/>
      <c r="AM407" s="281" t="s">
        <v>2598</v>
      </c>
      <c r="AN407" s="728" t="s">
        <v>2998</v>
      </c>
      <c r="AO407" s="737"/>
      <c r="AP407" s="737">
        <v>1000</v>
      </c>
      <c r="AQ407" s="380"/>
      <c r="AR407" s="310"/>
      <c r="AS407" s="310"/>
      <c r="AT407" s="310"/>
      <c r="AU407" s="310"/>
      <c r="AV407" s="722">
        <f t="shared" si="183"/>
        <v>1000</v>
      </c>
      <c r="AW407" s="525"/>
      <c r="AX407" s="310"/>
      <c r="AY407" s="380"/>
      <c r="AZ407" s="310"/>
      <c r="BA407" s="310"/>
      <c r="BB407" s="310"/>
      <c r="BC407" s="310"/>
      <c r="BD407" s="544">
        <f t="shared" si="180"/>
        <v>0</v>
      </c>
      <c r="BE407" s="525"/>
      <c r="BF407" s="310"/>
      <c r="BG407" s="380"/>
      <c r="BH407" s="310"/>
      <c r="BI407" s="310"/>
      <c r="BJ407" s="310"/>
      <c r="BK407" s="310"/>
      <c r="BL407" s="544">
        <f t="shared" si="181"/>
        <v>0</v>
      </c>
      <c r="BM407" s="525"/>
      <c r="BN407" s="310"/>
      <c r="BO407" s="380"/>
      <c r="BP407" s="310"/>
      <c r="BQ407" s="310"/>
      <c r="BR407" s="310"/>
      <c r="BS407" s="310"/>
      <c r="BT407" s="544">
        <f t="shared" si="182"/>
        <v>0</v>
      </c>
      <c r="BU407" s="556"/>
      <c r="BV407" s="663">
        <f t="shared" si="184"/>
        <v>1</v>
      </c>
      <c r="BW407" s="674">
        <f t="shared" si="185"/>
        <v>0.25</v>
      </c>
      <c r="BX407" s="674">
        <f t="shared" si="186"/>
        <v>1</v>
      </c>
      <c r="BY407" s="674">
        <f t="shared" si="187"/>
        <v>0</v>
      </c>
      <c r="BZ407" s="675">
        <f t="shared" si="188"/>
        <v>0</v>
      </c>
      <c r="CA407" s="675">
        <f t="shared" si="189"/>
        <v>0</v>
      </c>
    </row>
    <row r="408" spans="1:79" ht="113.25" hidden="1" customHeight="1" x14ac:dyDescent="0.25">
      <c r="A408" s="298" t="s">
        <v>1220</v>
      </c>
      <c r="B408" s="299" t="str">
        <f>'PLAN INDICATIVO'!B399</f>
        <v>Desarrollo comunitario</v>
      </c>
      <c r="C408" s="1547"/>
      <c r="D408" s="1549"/>
      <c r="E408" s="1549"/>
      <c r="F408" s="1549"/>
      <c r="G408" s="1549"/>
      <c r="H408" s="1549"/>
      <c r="I408" s="300">
        <f>'PLAN INDICATIVO'!I399</f>
        <v>0</v>
      </c>
      <c r="J408" s="300">
        <f>'PLAN INDICATIVO'!J399</f>
        <v>0</v>
      </c>
      <c r="K408" s="1425" t="str">
        <f>'PLAN INDICATIVO'!K399</f>
        <v>A.16.1.4</v>
      </c>
      <c r="L408" s="301" t="str">
        <f>'PLAN INDICATIVO'!L399</f>
        <v>16. Paz, justicia e instituciones sólidas</v>
      </c>
      <c r="M408" s="301" t="str">
        <f>'PLAN INDICATIVO'!M399</f>
        <v>Secretaría de Desarrollo Social</v>
      </c>
      <c r="N408" s="1425" t="str">
        <f>'PLAN INDICATIVO'!N399</f>
        <v>HERNAN RODRIGUEZ FALLA</v>
      </c>
      <c r="O408" s="1425" t="str">
        <f>'PLAN INDICATIVO'!O399</f>
        <v>Incremento</v>
      </c>
      <c r="P408" s="16" t="str">
        <f>'PLAN INDICATIVO'!P399</f>
        <v>Realizar 4 procesos de capacitación y asesoría en participación comunitaria, entre otras, que contribuyan con el fortalecimiento comunal para consolidar procesos de participación ciudadana y control social durante el cuatrenio.</v>
      </c>
      <c r="Q408" s="302" t="str">
        <f>'PLAN INDICATIVO'!Q399</f>
        <v>No.  capacitaciones y asesoría realizadas durante el cuatrenio</v>
      </c>
      <c r="R408" s="303">
        <f>'PLAN INDICATIVO'!R399</f>
        <v>2015</v>
      </c>
      <c r="S408" s="304">
        <v>1</v>
      </c>
      <c r="T408" s="699">
        <v>4</v>
      </c>
      <c r="U408" s="303">
        <v>1</v>
      </c>
      <c r="V408" s="687">
        <v>2500000</v>
      </c>
      <c r="W408" s="303">
        <v>1</v>
      </c>
      <c r="X408" s="687">
        <v>1000000</v>
      </c>
      <c r="Y408" s="303">
        <v>1</v>
      </c>
      <c r="Z408" s="687">
        <v>1000000</v>
      </c>
      <c r="AA408" s="303">
        <v>1</v>
      </c>
      <c r="AB408" s="687">
        <v>1000000</v>
      </c>
      <c r="AC408" s="669">
        <v>1</v>
      </c>
      <c r="AD408" s="669"/>
      <c r="AE408" s="669"/>
      <c r="AF408" s="669"/>
      <c r="AG408" s="341" t="s">
        <v>2987</v>
      </c>
      <c r="AH408" s="355" t="s">
        <v>2999</v>
      </c>
      <c r="AI408" s="358" t="s">
        <v>3000</v>
      </c>
      <c r="AJ408" s="358" t="s">
        <v>3001</v>
      </c>
      <c r="AK408" s="358"/>
      <c r="AL408" s="358"/>
      <c r="AM408" s="267" t="s">
        <v>2598</v>
      </c>
      <c r="AN408" s="512">
        <v>231603</v>
      </c>
      <c r="AO408" s="526">
        <v>2975000</v>
      </c>
      <c r="AP408" s="470"/>
      <c r="AQ408" s="380"/>
      <c r="AR408" s="470"/>
      <c r="AS408" s="470"/>
      <c r="AT408" s="470"/>
      <c r="AU408" s="470"/>
      <c r="AV408" s="722">
        <f t="shared" si="183"/>
        <v>2975000</v>
      </c>
      <c r="AW408" s="526"/>
      <c r="AX408" s="470"/>
      <c r="AY408" s="380"/>
      <c r="AZ408" s="470"/>
      <c r="BA408" s="470"/>
      <c r="BB408" s="470"/>
      <c r="BC408" s="470"/>
      <c r="BD408" s="544">
        <f t="shared" si="180"/>
        <v>0</v>
      </c>
      <c r="BE408" s="526"/>
      <c r="BF408" s="470"/>
      <c r="BG408" s="380"/>
      <c r="BH408" s="470"/>
      <c r="BI408" s="470"/>
      <c r="BJ408" s="470"/>
      <c r="BK408" s="470"/>
      <c r="BL408" s="544">
        <f t="shared" si="181"/>
        <v>0</v>
      </c>
      <c r="BM408" s="526"/>
      <c r="BN408" s="470"/>
      <c r="BO408" s="380"/>
      <c r="BP408" s="470"/>
      <c r="BQ408" s="470"/>
      <c r="BR408" s="470"/>
      <c r="BS408" s="470"/>
      <c r="BT408" s="544">
        <f t="shared" si="182"/>
        <v>0</v>
      </c>
      <c r="BU408" s="556"/>
      <c r="BV408" s="663">
        <f t="shared" si="184"/>
        <v>1</v>
      </c>
      <c r="BW408" s="674">
        <f t="shared" si="185"/>
        <v>0.25</v>
      </c>
      <c r="BX408" s="674">
        <f t="shared" si="186"/>
        <v>1</v>
      </c>
      <c r="BY408" s="674">
        <f t="shared" si="187"/>
        <v>0</v>
      </c>
      <c r="BZ408" s="675">
        <f t="shared" si="188"/>
        <v>0</v>
      </c>
      <c r="CA408" s="675">
        <f t="shared" si="189"/>
        <v>0</v>
      </c>
    </row>
    <row r="409" spans="1:79" ht="131.25" hidden="1" customHeight="1" x14ac:dyDescent="0.25">
      <c r="A409" s="298" t="s">
        <v>1220</v>
      </c>
      <c r="B409" s="299" t="str">
        <f>'PLAN INDICATIVO'!B400</f>
        <v>Desarrollo comunitario</v>
      </c>
      <c r="C409" s="1547"/>
      <c r="D409" s="1549"/>
      <c r="E409" s="1549"/>
      <c r="F409" s="1549"/>
      <c r="G409" s="1549"/>
      <c r="H409" s="1549"/>
      <c r="I409" s="300">
        <f>'PLAN INDICATIVO'!I400</f>
        <v>0</v>
      </c>
      <c r="J409" s="300">
        <f>'PLAN INDICATIVO'!J400</f>
        <v>0</v>
      </c>
      <c r="K409" s="1425" t="str">
        <f>'PLAN INDICATIVO'!K400</f>
        <v>A.16.1.5</v>
      </c>
      <c r="L409" s="301" t="str">
        <f>'PLAN INDICATIVO'!L400</f>
        <v>16. Paz, justicia e instituciones sólidas</v>
      </c>
      <c r="M409" s="301" t="str">
        <f>'PLAN INDICATIVO'!M400</f>
        <v>Secretaría de Desarrollo Social</v>
      </c>
      <c r="N409" s="1425" t="str">
        <f>'PLAN INDICATIVO'!N400</f>
        <v>HERNAN RODRIGUEZ FALLA</v>
      </c>
      <c r="O409" s="1425" t="str">
        <f>'PLAN INDICATIVO'!O400</f>
        <v>Incremento</v>
      </c>
      <c r="P409" s="16" t="str">
        <f>'PLAN INDICATIVO'!P400</f>
        <v>Realizar 4 consejos de convivencia y buen gobierno  para concertación de desarrollo local, durante el cuatrienio</v>
      </c>
      <c r="Q409" s="302" t="str">
        <f>'PLAN INDICATIVO'!Q400</f>
        <v>No. De consejos de convivencia realziados</v>
      </c>
      <c r="R409" s="303">
        <f>'PLAN INDICATIVO'!R400</f>
        <v>2015</v>
      </c>
      <c r="S409" s="304">
        <v>0</v>
      </c>
      <c r="T409" s="699">
        <v>4</v>
      </c>
      <c r="U409" s="303">
        <v>1</v>
      </c>
      <c r="V409" s="687">
        <v>500000</v>
      </c>
      <c r="W409" s="303">
        <v>1</v>
      </c>
      <c r="X409" s="687">
        <v>500000</v>
      </c>
      <c r="Y409" s="303">
        <v>1</v>
      </c>
      <c r="Z409" s="687">
        <v>1000000</v>
      </c>
      <c r="AA409" s="303">
        <v>1</v>
      </c>
      <c r="AB409" s="687">
        <v>1000000</v>
      </c>
      <c r="AC409" s="669">
        <v>1</v>
      </c>
      <c r="AD409" s="669"/>
      <c r="AE409" s="669"/>
      <c r="AF409" s="669"/>
      <c r="AG409" s="341" t="s">
        <v>2987</v>
      </c>
      <c r="AH409" s="355" t="s">
        <v>3002</v>
      </c>
      <c r="AI409" s="358" t="s">
        <v>2989</v>
      </c>
      <c r="AJ409" s="358" t="s">
        <v>2990</v>
      </c>
      <c r="AK409" s="358"/>
      <c r="AL409" s="358"/>
      <c r="AM409" s="267" t="s">
        <v>2598</v>
      </c>
      <c r="AN409" s="512"/>
      <c r="AO409" s="525"/>
      <c r="AP409" s="310">
        <v>554</v>
      </c>
      <c r="AQ409" s="380"/>
      <c r="AR409" s="310"/>
      <c r="AS409" s="310"/>
      <c r="AT409" s="310"/>
      <c r="AU409" s="310"/>
      <c r="AV409" s="722">
        <f t="shared" si="183"/>
        <v>554</v>
      </c>
      <c r="AW409" s="525"/>
      <c r="AX409" s="310"/>
      <c r="AY409" s="380"/>
      <c r="AZ409" s="310"/>
      <c r="BA409" s="310"/>
      <c r="BB409" s="310"/>
      <c r="BC409" s="310"/>
      <c r="BD409" s="544">
        <f t="shared" si="180"/>
        <v>0</v>
      </c>
      <c r="BE409" s="525"/>
      <c r="BF409" s="310"/>
      <c r="BG409" s="380"/>
      <c r="BH409" s="310"/>
      <c r="BI409" s="310"/>
      <c r="BJ409" s="310"/>
      <c r="BK409" s="310"/>
      <c r="BL409" s="544">
        <f t="shared" si="181"/>
        <v>0</v>
      </c>
      <c r="BM409" s="525"/>
      <c r="BN409" s="310"/>
      <c r="BO409" s="380"/>
      <c r="BP409" s="310"/>
      <c r="BQ409" s="310"/>
      <c r="BR409" s="310"/>
      <c r="BS409" s="310"/>
      <c r="BT409" s="544">
        <f t="shared" si="182"/>
        <v>0</v>
      </c>
      <c r="BU409" s="556"/>
      <c r="BV409" s="663">
        <f t="shared" si="184"/>
        <v>1</v>
      </c>
      <c r="BW409" s="674">
        <f t="shared" si="185"/>
        <v>0.25</v>
      </c>
      <c r="BX409" s="674">
        <f t="shared" si="186"/>
        <v>1</v>
      </c>
      <c r="BY409" s="674">
        <f t="shared" si="187"/>
        <v>0</v>
      </c>
      <c r="BZ409" s="675">
        <f t="shared" si="188"/>
        <v>0</v>
      </c>
      <c r="CA409" s="675">
        <f t="shared" si="189"/>
        <v>0</v>
      </c>
    </row>
    <row r="410" spans="1:79" ht="90.75" hidden="1" customHeight="1" x14ac:dyDescent="0.25">
      <c r="A410" s="298" t="s">
        <v>1220</v>
      </c>
      <c r="B410" s="299" t="str">
        <f>'PLAN INDICATIVO'!B401</f>
        <v>Desarrollo comunitario</v>
      </c>
      <c r="C410" s="1547"/>
      <c r="D410" s="1549"/>
      <c r="E410" s="1549"/>
      <c r="F410" s="1549"/>
      <c r="G410" s="1549"/>
      <c r="H410" s="1549"/>
      <c r="I410" s="300">
        <f>'PLAN INDICATIVO'!I401</f>
        <v>0</v>
      </c>
      <c r="J410" s="300">
        <f>'PLAN INDICATIVO'!J401</f>
        <v>0</v>
      </c>
      <c r="K410" s="1425" t="str">
        <f>'PLAN INDICATIVO'!K401</f>
        <v>A.16.1.6</v>
      </c>
      <c r="L410" s="301" t="str">
        <f>'PLAN INDICATIVO'!L401</f>
        <v>16. Paz, justicia e instituciones sólidas</v>
      </c>
      <c r="M410" s="301" t="str">
        <f>'PLAN INDICATIVO'!M401</f>
        <v>Secretaría de Desarrollo Social</v>
      </c>
      <c r="N410" s="1425" t="str">
        <f>'PLAN INDICATIVO'!N401</f>
        <v>HERNAN RODRIGUEZ FALLA</v>
      </c>
      <c r="O410" s="1425" t="str">
        <f>'PLAN INDICATIVO'!O401</f>
        <v>Incremento</v>
      </c>
      <c r="P410" s="16" t="str">
        <f>'PLAN INDICATIVO'!P401</f>
        <v xml:space="preserve">Realizas cuatro (4) capacitaciones de Veedurías ciudadanas para control social en el cuatrienio. </v>
      </c>
      <c r="Q410" s="302" t="str">
        <f>'PLAN INDICATIVO'!Q401</f>
        <v xml:space="preserve">No. De veedurías capacitadas </v>
      </c>
      <c r="R410" s="303">
        <f>'PLAN INDICATIVO'!R401</f>
        <v>2015</v>
      </c>
      <c r="S410" s="304">
        <v>0</v>
      </c>
      <c r="T410" s="699">
        <v>4</v>
      </c>
      <c r="U410" s="303">
        <v>1</v>
      </c>
      <c r="V410" s="687">
        <v>2000000</v>
      </c>
      <c r="W410" s="303">
        <v>1</v>
      </c>
      <c r="X410" s="687">
        <v>1000000</v>
      </c>
      <c r="Y410" s="303">
        <v>1</v>
      </c>
      <c r="Z410" s="687">
        <v>1000000</v>
      </c>
      <c r="AA410" s="303">
        <v>1</v>
      </c>
      <c r="AB410" s="687">
        <v>1000000</v>
      </c>
      <c r="AC410" s="669">
        <v>1</v>
      </c>
      <c r="AD410" s="669"/>
      <c r="AE410" s="669"/>
      <c r="AF410" s="669"/>
      <c r="AG410" s="341" t="s">
        <v>2987</v>
      </c>
      <c r="AH410" s="355" t="s">
        <v>3003</v>
      </c>
      <c r="AI410" s="358" t="s">
        <v>2993</v>
      </c>
      <c r="AJ410" s="358" t="s">
        <v>3004</v>
      </c>
      <c r="AK410" s="358"/>
      <c r="AL410" s="358"/>
      <c r="AM410" s="267" t="s">
        <v>2598</v>
      </c>
      <c r="AN410" s="512">
        <v>2316</v>
      </c>
      <c r="AO410" s="525"/>
      <c r="AP410" s="310">
        <v>553</v>
      </c>
      <c r="AQ410" s="380"/>
      <c r="AR410" s="310"/>
      <c r="AS410" s="310"/>
      <c r="AT410" s="310"/>
      <c r="AU410" s="310"/>
      <c r="AV410" s="722">
        <f t="shared" si="183"/>
        <v>553</v>
      </c>
      <c r="AW410" s="525"/>
      <c r="AX410" s="310"/>
      <c r="AY410" s="380"/>
      <c r="AZ410" s="310"/>
      <c r="BA410" s="310"/>
      <c r="BB410" s="310"/>
      <c r="BC410" s="310"/>
      <c r="BD410" s="544">
        <f t="shared" si="180"/>
        <v>0</v>
      </c>
      <c r="BE410" s="525"/>
      <c r="BF410" s="310"/>
      <c r="BG410" s="380"/>
      <c r="BH410" s="310"/>
      <c r="BI410" s="310"/>
      <c r="BJ410" s="310"/>
      <c r="BK410" s="310"/>
      <c r="BL410" s="544">
        <f t="shared" si="181"/>
        <v>0</v>
      </c>
      <c r="BM410" s="525"/>
      <c r="BN410" s="310"/>
      <c r="BO410" s="380"/>
      <c r="BP410" s="310"/>
      <c r="BQ410" s="310"/>
      <c r="BR410" s="310"/>
      <c r="BS410" s="310"/>
      <c r="BT410" s="544">
        <f t="shared" si="182"/>
        <v>0</v>
      </c>
      <c r="BU410" s="556"/>
      <c r="BV410" s="663">
        <f t="shared" si="184"/>
        <v>1</v>
      </c>
      <c r="BW410" s="674">
        <f t="shared" si="185"/>
        <v>0.25</v>
      </c>
      <c r="BX410" s="674">
        <f t="shared" si="186"/>
        <v>1</v>
      </c>
      <c r="BY410" s="674">
        <f t="shared" si="187"/>
        <v>0</v>
      </c>
      <c r="BZ410" s="675">
        <f t="shared" si="188"/>
        <v>0</v>
      </c>
      <c r="CA410" s="675">
        <f t="shared" si="189"/>
        <v>0</v>
      </c>
    </row>
    <row r="411" spans="1:79" ht="45.75" hidden="1" customHeight="1" x14ac:dyDescent="0.25">
      <c r="A411" s="298" t="s">
        <v>1220</v>
      </c>
      <c r="B411" s="299" t="str">
        <f>'PLAN INDICATIVO'!B402</f>
        <v>Desarrollo comunitario</v>
      </c>
      <c r="C411" s="1547"/>
      <c r="D411" s="1549"/>
      <c r="E411" s="1549"/>
      <c r="F411" s="1549"/>
      <c r="G411" s="1549"/>
      <c r="H411" s="1549"/>
      <c r="I411" s="300">
        <f>'PLAN INDICATIVO'!I402</f>
        <v>0</v>
      </c>
      <c r="J411" s="300">
        <f>'PLAN INDICATIVO'!J402</f>
        <v>0</v>
      </c>
      <c r="K411" s="1425" t="str">
        <f>'PLAN INDICATIVO'!K402</f>
        <v>A.16.1.7</v>
      </c>
      <c r="L411" s="301" t="str">
        <f>'PLAN INDICATIVO'!L402</f>
        <v>16. Paz, justicia e instituciones sólidas</v>
      </c>
      <c r="M411" s="301" t="str">
        <f>'PLAN INDICATIVO'!M402</f>
        <v>Secretaría de Desarrollo Social</v>
      </c>
      <c r="N411" s="1425" t="str">
        <f>'PLAN INDICATIVO'!N402</f>
        <v>HERNAN RODRIGUEZ FALLA</v>
      </c>
      <c r="O411" s="1425" t="str">
        <f>'PLAN INDICATIVO'!O402</f>
        <v>Incremento</v>
      </c>
      <c r="P411" s="224" t="str">
        <f>'PLAN INDICATIVO'!P402</f>
        <v>Implementar 1 punto de acceso adicional para fortalecimiento de las TIC en desarrollo comunitario durante el cuatrienio</v>
      </c>
      <c r="Q411" s="302" t="str">
        <f>'PLAN INDICATIVO'!Q402</f>
        <v>No. De puntos de acceso creados</v>
      </c>
      <c r="R411" s="303">
        <f>'PLAN INDICATIVO'!R402</f>
        <v>2015</v>
      </c>
      <c r="S411" s="304">
        <v>0</v>
      </c>
      <c r="T411" s="699">
        <v>1</v>
      </c>
      <c r="U411" s="303">
        <v>0</v>
      </c>
      <c r="V411" s="687"/>
      <c r="W411" s="303">
        <v>1</v>
      </c>
      <c r="X411" s="687">
        <v>1000000</v>
      </c>
      <c r="Y411" s="303">
        <v>0</v>
      </c>
      <c r="Z411" s="687"/>
      <c r="AA411" s="303">
        <v>0</v>
      </c>
      <c r="AB411" s="687"/>
      <c r="AC411" s="669"/>
      <c r="AD411" s="669"/>
      <c r="AE411" s="669"/>
      <c r="AF411" s="669"/>
      <c r="AG411" s="277"/>
      <c r="AH411" s="355"/>
      <c r="AI411" s="358"/>
      <c r="AJ411" s="358"/>
      <c r="AK411" s="358"/>
      <c r="AL411" s="358"/>
      <c r="AM411" s="267" t="s">
        <v>2594</v>
      </c>
      <c r="AN411" s="512"/>
      <c r="AO411" s="525"/>
      <c r="AP411" s="310"/>
      <c r="AQ411" s="380"/>
      <c r="AR411" s="310"/>
      <c r="AS411" s="310"/>
      <c r="AT411" s="310"/>
      <c r="AU411" s="310"/>
      <c r="AV411" s="544">
        <f t="shared" si="183"/>
        <v>0</v>
      </c>
      <c r="AW411" s="525"/>
      <c r="AX411" s="310"/>
      <c r="AY411" s="380"/>
      <c r="AZ411" s="310"/>
      <c r="BA411" s="310"/>
      <c r="BB411" s="310"/>
      <c r="BC411" s="310"/>
      <c r="BD411" s="544">
        <f t="shared" si="180"/>
        <v>0</v>
      </c>
      <c r="BE411" s="525"/>
      <c r="BF411" s="310"/>
      <c r="BG411" s="380"/>
      <c r="BH411" s="310"/>
      <c r="BI411" s="310"/>
      <c r="BJ411" s="310"/>
      <c r="BK411" s="310"/>
      <c r="BL411" s="544">
        <f t="shared" si="181"/>
        <v>0</v>
      </c>
      <c r="BM411" s="525"/>
      <c r="BN411" s="310"/>
      <c r="BO411" s="380"/>
      <c r="BP411" s="310"/>
      <c r="BQ411" s="310"/>
      <c r="BR411" s="310"/>
      <c r="BS411" s="310"/>
      <c r="BT411" s="544">
        <f t="shared" si="182"/>
        <v>0</v>
      </c>
      <c r="BU411" s="556"/>
      <c r="BV411" s="663">
        <f t="shared" si="184"/>
        <v>0</v>
      </c>
      <c r="BW411" s="674">
        <f t="shared" si="185"/>
        <v>0</v>
      </c>
      <c r="BX411" s="674" t="e">
        <f t="shared" si="186"/>
        <v>#DIV/0!</v>
      </c>
      <c r="BY411" s="674">
        <f t="shared" si="187"/>
        <v>0</v>
      </c>
      <c r="BZ411" s="675" t="e">
        <f t="shared" si="188"/>
        <v>#DIV/0!</v>
      </c>
      <c r="CA411" s="675" t="e">
        <f t="shared" si="189"/>
        <v>#DIV/0!</v>
      </c>
    </row>
    <row r="412" spans="1:79" ht="48" hidden="1" customHeight="1" x14ac:dyDescent="0.25">
      <c r="A412" s="298" t="s">
        <v>1220</v>
      </c>
      <c r="B412" s="299" t="str">
        <f>'PLAN INDICATIVO'!B403</f>
        <v>Desarrollo comunitario</v>
      </c>
      <c r="C412" s="1547"/>
      <c r="D412" s="1549"/>
      <c r="E412" s="1549"/>
      <c r="F412" s="1549"/>
      <c r="G412" s="1549"/>
      <c r="H412" s="1549"/>
      <c r="I412" s="300">
        <f>'PLAN INDICATIVO'!I403</f>
        <v>0</v>
      </c>
      <c r="J412" s="300">
        <f>'PLAN INDICATIVO'!J403</f>
        <v>0</v>
      </c>
      <c r="K412" s="1425" t="str">
        <f>'PLAN INDICATIVO'!K403</f>
        <v>A.16.1.8</v>
      </c>
      <c r="L412" s="301" t="str">
        <f>'PLAN INDICATIVO'!L403</f>
        <v>16. Paz, justicia e instituciones sólidas</v>
      </c>
      <c r="M412" s="301" t="str">
        <f>'PLAN INDICATIVO'!M403</f>
        <v>Secretaría de Desarrollo Social</v>
      </c>
      <c r="N412" s="1425" t="str">
        <f>'PLAN INDICATIVO'!N403</f>
        <v>HERNAN RODRIGUEZ FALLA</v>
      </c>
      <c r="O412" s="1425" t="str">
        <f>'PLAN INDICATIVO'!O403</f>
        <v>Incremento</v>
      </c>
      <c r="P412" s="224" t="str">
        <f>'PLAN INDICATIVO'!P403</f>
        <v>Capacitar 120 personas durante el cuatrienio en el programa formador de formadores para el fomento de la participación ciudadana   del sector urbano y rural</v>
      </c>
      <c r="Q412" s="302" t="str">
        <f>'PLAN INDICATIVO'!Q403</f>
        <v>No. Personas capacitadas</v>
      </c>
      <c r="R412" s="303">
        <f>'PLAN INDICATIVO'!R403</f>
        <v>2015</v>
      </c>
      <c r="S412" s="304">
        <v>0</v>
      </c>
      <c r="T412" s="699">
        <v>120</v>
      </c>
      <c r="U412" s="303">
        <v>0</v>
      </c>
      <c r="V412" s="687"/>
      <c r="W412" s="303">
        <v>40</v>
      </c>
      <c r="X412" s="687">
        <v>7000000</v>
      </c>
      <c r="Y412" s="303">
        <v>40</v>
      </c>
      <c r="Z412" s="687">
        <v>7000000</v>
      </c>
      <c r="AA412" s="303">
        <v>40</v>
      </c>
      <c r="AB412" s="687">
        <v>7000000</v>
      </c>
      <c r="AC412" s="669"/>
      <c r="AD412" s="669"/>
      <c r="AE412" s="669"/>
      <c r="AF412" s="669"/>
      <c r="AG412" s="277"/>
      <c r="AH412" s="355"/>
      <c r="AI412" s="358"/>
      <c r="AJ412" s="358"/>
      <c r="AK412" s="358"/>
      <c r="AL412" s="358"/>
      <c r="AM412" s="267" t="s">
        <v>2594</v>
      </c>
      <c r="AN412" s="512" t="s">
        <v>3005</v>
      </c>
      <c r="AO412" s="525"/>
      <c r="AP412" s="310">
        <v>8000000</v>
      </c>
      <c r="AQ412" s="380"/>
      <c r="AR412" s="310"/>
      <c r="AS412" s="310"/>
      <c r="AT412" s="310"/>
      <c r="AU412" s="310"/>
      <c r="AV412" s="544">
        <f t="shared" si="183"/>
        <v>8000000</v>
      </c>
      <c r="AW412" s="525"/>
      <c r="AX412" s="310"/>
      <c r="AY412" s="380"/>
      <c r="AZ412" s="310"/>
      <c r="BA412" s="310"/>
      <c r="BB412" s="310"/>
      <c r="BC412" s="310"/>
      <c r="BD412" s="544">
        <f t="shared" si="180"/>
        <v>0</v>
      </c>
      <c r="BE412" s="525"/>
      <c r="BF412" s="310"/>
      <c r="BG412" s="380"/>
      <c r="BH412" s="310"/>
      <c r="BI412" s="310"/>
      <c r="BJ412" s="310"/>
      <c r="BK412" s="310"/>
      <c r="BL412" s="544">
        <f t="shared" si="181"/>
        <v>0</v>
      </c>
      <c r="BM412" s="525"/>
      <c r="BN412" s="310"/>
      <c r="BO412" s="380"/>
      <c r="BP412" s="310"/>
      <c r="BQ412" s="310"/>
      <c r="BR412" s="310"/>
      <c r="BS412" s="310"/>
      <c r="BT412" s="544">
        <f t="shared" si="182"/>
        <v>0</v>
      </c>
      <c r="BU412" s="556"/>
      <c r="BV412" s="663">
        <f t="shared" si="184"/>
        <v>0</v>
      </c>
      <c r="BW412" s="674">
        <f t="shared" si="185"/>
        <v>0</v>
      </c>
      <c r="BX412" s="674" t="e">
        <f t="shared" si="186"/>
        <v>#DIV/0!</v>
      </c>
      <c r="BY412" s="674">
        <f t="shared" si="187"/>
        <v>0</v>
      </c>
      <c r="BZ412" s="675">
        <f t="shared" si="188"/>
        <v>0</v>
      </c>
      <c r="CA412" s="675">
        <f t="shared" si="189"/>
        <v>0</v>
      </c>
    </row>
    <row r="413" spans="1:79" ht="52.5" hidden="1" customHeight="1" x14ac:dyDescent="0.25">
      <c r="A413" s="298" t="s">
        <v>1220</v>
      </c>
      <c r="B413" s="299" t="str">
        <f>'PLAN INDICATIVO'!B404</f>
        <v>Desarrollo comunitario</v>
      </c>
      <c r="C413" s="1547"/>
      <c r="D413" s="1549"/>
      <c r="E413" s="1549"/>
      <c r="F413" s="1549"/>
      <c r="G413" s="1549"/>
      <c r="H413" s="1549"/>
      <c r="I413" s="300">
        <f>'PLAN INDICATIVO'!I404</f>
        <v>0</v>
      </c>
      <c r="J413" s="300">
        <f>'PLAN INDICATIVO'!J404</f>
        <v>0</v>
      </c>
      <c r="K413" s="1425" t="str">
        <f>'PLAN INDICATIVO'!K404</f>
        <v>A.16.1.9</v>
      </c>
      <c r="L413" s="301" t="str">
        <f>'PLAN INDICATIVO'!L404</f>
        <v>16. Paz, justicia e instituciones sólidas</v>
      </c>
      <c r="M413" s="301" t="str">
        <f>'PLAN INDICATIVO'!M404</f>
        <v>Secretaría de Desarrollo Social</v>
      </c>
      <c r="N413" s="1425" t="str">
        <f>'PLAN INDICATIVO'!N404</f>
        <v>HERNAN RODRIGUEZ FALLA</v>
      </c>
      <c r="O413" s="1425" t="str">
        <f>'PLAN INDICATIVO'!O404</f>
        <v>Incremento</v>
      </c>
      <c r="P413" s="16" t="str">
        <f>'PLAN INDICATIVO'!P404</f>
        <v>Realizar 4 rendiciones de cuentas medibles y claras para la comunidad durante el cuatrienio</v>
      </c>
      <c r="Q413" s="302" t="str">
        <f>'PLAN INDICATIVO'!Q404</f>
        <v>No. De rendiciones de cuentas medibles</v>
      </c>
      <c r="R413" s="303">
        <f>'PLAN INDICATIVO'!R404</f>
        <v>2015</v>
      </c>
      <c r="S413" s="304">
        <v>1</v>
      </c>
      <c r="T413" s="699">
        <v>4</v>
      </c>
      <c r="U413" s="303">
        <v>1</v>
      </c>
      <c r="V413" s="687">
        <v>5000000</v>
      </c>
      <c r="W413" s="303">
        <v>1</v>
      </c>
      <c r="X413" s="687">
        <v>10000000</v>
      </c>
      <c r="Y413" s="303">
        <v>1</v>
      </c>
      <c r="Z413" s="687">
        <v>1000000</v>
      </c>
      <c r="AA413" s="303">
        <v>1</v>
      </c>
      <c r="AB413" s="687">
        <v>1000000</v>
      </c>
      <c r="AC413" s="669">
        <v>1</v>
      </c>
      <c r="AD413" s="669"/>
      <c r="AE413" s="669"/>
      <c r="AF413" s="669"/>
      <c r="AG413" s="341" t="s">
        <v>2596</v>
      </c>
      <c r="AH413" s="355" t="s">
        <v>3006</v>
      </c>
      <c r="AI413" s="358" t="s">
        <v>3007</v>
      </c>
      <c r="AJ413" s="358" t="s">
        <v>3007</v>
      </c>
      <c r="AK413" s="358"/>
      <c r="AL413" s="358"/>
      <c r="AM413" s="267" t="s">
        <v>2598</v>
      </c>
      <c r="AN413" s="512" t="s">
        <v>2141</v>
      </c>
      <c r="AO413" s="525"/>
      <c r="AP413" s="310">
        <v>7480000</v>
      </c>
      <c r="AQ413" s="380"/>
      <c r="AR413" s="310"/>
      <c r="AS413" s="310"/>
      <c r="AT413" s="310"/>
      <c r="AU413" s="310"/>
      <c r="AV413" s="544">
        <f t="shared" si="183"/>
        <v>7480000</v>
      </c>
      <c r="AW413" s="525"/>
      <c r="AX413" s="310"/>
      <c r="AY413" s="380"/>
      <c r="AZ413" s="310"/>
      <c r="BA413" s="310"/>
      <c r="BB413" s="310"/>
      <c r="BC413" s="310"/>
      <c r="BD413" s="544">
        <f t="shared" si="180"/>
        <v>0</v>
      </c>
      <c r="BE413" s="525"/>
      <c r="BF413" s="310"/>
      <c r="BG413" s="380"/>
      <c r="BH413" s="310"/>
      <c r="BI413" s="310"/>
      <c r="BJ413" s="310"/>
      <c r="BK413" s="310"/>
      <c r="BL413" s="544">
        <f t="shared" si="181"/>
        <v>0</v>
      </c>
      <c r="BM413" s="525"/>
      <c r="BN413" s="310"/>
      <c r="BO413" s="380"/>
      <c r="BP413" s="310"/>
      <c r="BQ413" s="310"/>
      <c r="BR413" s="310"/>
      <c r="BS413" s="310"/>
      <c r="BT413" s="544">
        <f t="shared" si="182"/>
        <v>0</v>
      </c>
      <c r="BU413" s="556"/>
      <c r="BV413" s="663">
        <f t="shared" si="184"/>
        <v>1</v>
      </c>
      <c r="BW413" s="674">
        <f t="shared" si="185"/>
        <v>0.25</v>
      </c>
      <c r="BX413" s="674">
        <f t="shared" si="186"/>
        <v>1</v>
      </c>
      <c r="BY413" s="674">
        <f t="shared" si="187"/>
        <v>0</v>
      </c>
      <c r="BZ413" s="675">
        <f t="shared" si="188"/>
        <v>0</v>
      </c>
      <c r="CA413" s="675">
        <f t="shared" si="189"/>
        <v>0</v>
      </c>
    </row>
    <row r="414" spans="1:79" ht="100.5" hidden="1" customHeight="1" x14ac:dyDescent="0.25">
      <c r="A414" s="298" t="s">
        <v>1220</v>
      </c>
      <c r="B414" s="299" t="str">
        <f>'PLAN INDICATIVO'!B405</f>
        <v>Desarrollo comunitario</v>
      </c>
      <c r="C414" s="1547"/>
      <c r="D414" s="1549"/>
      <c r="E414" s="1549"/>
      <c r="F414" s="1549"/>
      <c r="G414" s="1549"/>
      <c r="H414" s="1549"/>
      <c r="I414" s="300">
        <f>'PLAN INDICATIVO'!I405</f>
        <v>0</v>
      </c>
      <c r="J414" s="300">
        <f>'PLAN INDICATIVO'!J405</f>
        <v>0</v>
      </c>
      <c r="K414" s="1425" t="str">
        <f>'PLAN INDICATIVO'!K405</f>
        <v>A.16.1.10</v>
      </c>
      <c r="L414" s="301" t="str">
        <f>'PLAN INDICATIVO'!L405</f>
        <v>16. Paz, justicia e instituciones sólidas</v>
      </c>
      <c r="M414" s="301" t="str">
        <f>'PLAN INDICATIVO'!M405</f>
        <v>Secretaría de Desarrollo Social</v>
      </c>
      <c r="N414" s="1425" t="str">
        <f>'PLAN INDICATIVO'!N405</f>
        <v>HERNAN RODRIGUEZ FALLA</v>
      </c>
      <c r="O414" s="1425" t="str">
        <f>'PLAN INDICATIVO'!O405</f>
        <v>Mantenimiento</v>
      </c>
      <c r="P414" s="16" t="str">
        <f>'PLAN INDICATIVO'!P405</f>
        <v>Implementar 1 programa de capacitación, asesoría y asistencia técnica para consolidar procesos de participación ciudadana y control social, cada año</v>
      </c>
      <c r="Q414" s="302" t="str">
        <f>'PLAN INDICATIVO'!Q405</f>
        <v>No. de programas de capacitación, asesoría y asistencia técnica, implementados por año</v>
      </c>
      <c r="R414" s="303">
        <f>'PLAN INDICATIVO'!R405</f>
        <v>2015</v>
      </c>
      <c r="S414" s="304">
        <v>1</v>
      </c>
      <c r="T414" s="699">
        <v>4</v>
      </c>
      <c r="U414" s="303">
        <v>1</v>
      </c>
      <c r="V414" s="687">
        <v>20000000</v>
      </c>
      <c r="W414" s="303">
        <v>1</v>
      </c>
      <c r="X414" s="687">
        <v>20000000</v>
      </c>
      <c r="Y414" s="303">
        <v>1</v>
      </c>
      <c r="Z414" s="687">
        <v>20000000</v>
      </c>
      <c r="AA414" s="303">
        <v>1</v>
      </c>
      <c r="AB414" s="687">
        <v>20000000</v>
      </c>
      <c r="AC414" s="669">
        <v>1</v>
      </c>
      <c r="AD414" s="669"/>
      <c r="AE414" s="669"/>
      <c r="AF414" s="669"/>
      <c r="AG414" s="341" t="s">
        <v>2596</v>
      </c>
      <c r="AH414" s="355" t="s">
        <v>3008</v>
      </c>
      <c r="AI414" s="358" t="s">
        <v>3009</v>
      </c>
      <c r="AJ414" s="358" t="s">
        <v>3010</v>
      </c>
      <c r="AK414" s="358"/>
      <c r="AL414" s="358"/>
      <c r="AM414" s="281" t="s">
        <v>2598</v>
      </c>
      <c r="AN414" s="512" t="s">
        <v>2143</v>
      </c>
      <c r="AO414" s="525"/>
      <c r="AP414" s="310">
        <v>554000</v>
      </c>
      <c r="AQ414" s="380"/>
      <c r="AR414" s="310"/>
      <c r="AS414" s="310"/>
      <c r="AT414" s="310"/>
      <c r="AU414" s="310"/>
      <c r="AV414" s="544">
        <f t="shared" si="183"/>
        <v>554000</v>
      </c>
      <c r="AW414" s="525"/>
      <c r="AX414" s="310"/>
      <c r="AY414" s="380"/>
      <c r="AZ414" s="310"/>
      <c r="BA414" s="310"/>
      <c r="BB414" s="310"/>
      <c r="BC414" s="310"/>
      <c r="BD414" s="544">
        <f t="shared" si="180"/>
        <v>0</v>
      </c>
      <c r="BE414" s="525"/>
      <c r="BF414" s="310"/>
      <c r="BG414" s="380"/>
      <c r="BH414" s="310"/>
      <c r="BI414" s="310"/>
      <c r="BJ414" s="310"/>
      <c r="BK414" s="310"/>
      <c r="BL414" s="544">
        <f t="shared" si="181"/>
        <v>0</v>
      </c>
      <c r="BM414" s="525"/>
      <c r="BN414" s="310"/>
      <c r="BO414" s="380"/>
      <c r="BP414" s="310"/>
      <c r="BQ414" s="310"/>
      <c r="BR414" s="310"/>
      <c r="BS414" s="310"/>
      <c r="BT414" s="544">
        <f t="shared" si="182"/>
        <v>0</v>
      </c>
      <c r="BU414" s="556"/>
      <c r="BV414" s="663">
        <f t="shared" si="184"/>
        <v>1</v>
      </c>
      <c r="BW414" s="674">
        <f t="shared" si="185"/>
        <v>0.25</v>
      </c>
      <c r="BX414" s="674">
        <f t="shared" si="186"/>
        <v>1</v>
      </c>
      <c r="BY414" s="674">
        <f t="shared" si="187"/>
        <v>0</v>
      </c>
      <c r="BZ414" s="675">
        <f t="shared" si="188"/>
        <v>0</v>
      </c>
      <c r="CA414" s="675">
        <f t="shared" si="189"/>
        <v>0</v>
      </c>
    </row>
    <row r="415" spans="1:79" ht="65.25" hidden="1" customHeight="1" thickBot="1" x14ac:dyDescent="0.3">
      <c r="A415" s="393" t="s">
        <v>1220</v>
      </c>
      <c r="B415" s="394" t="str">
        <f>'PLAN INDICATIVO'!B406</f>
        <v>Desarrollo comunitario</v>
      </c>
      <c r="C415" s="1547"/>
      <c r="D415" s="1550"/>
      <c r="E415" s="1550"/>
      <c r="F415" s="1550"/>
      <c r="G415" s="1550"/>
      <c r="H415" s="1550"/>
      <c r="I415" s="395">
        <f>'PLAN INDICATIVO'!I406</f>
        <v>0</v>
      </c>
      <c r="J415" s="395">
        <f>'PLAN INDICATIVO'!J406</f>
        <v>0</v>
      </c>
      <c r="K415" s="1426" t="str">
        <f>'PLAN INDICATIVO'!K406</f>
        <v>A.16.1.11</v>
      </c>
      <c r="L415" s="396" t="str">
        <f>'PLAN INDICATIVO'!L406</f>
        <v>16. Paz, justicia e instituciones sólidas</v>
      </c>
      <c r="M415" s="396" t="str">
        <f>'PLAN INDICATIVO'!M406</f>
        <v>Secretaría de Desarrollo Social</v>
      </c>
      <c r="N415" s="1426" t="str">
        <f>'PLAN INDICATIVO'!N406</f>
        <v>HERNAN RODRIGUEZ FALLA</v>
      </c>
      <c r="O415" s="1426" t="str">
        <f>'PLAN INDICATIVO'!O406</f>
        <v>Incremento</v>
      </c>
      <c r="P415" s="70" t="str">
        <f>'PLAN INDICATIVO'!P406</f>
        <v>Presentar 4 informes impresos durante el cuatrienio para divulgación de rendición de cuentas</v>
      </c>
      <c r="Q415" s="350" t="str">
        <f>'PLAN INDICATIVO'!Q406</f>
        <v>Informes impresos de rendición de cuentas</v>
      </c>
      <c r="R415" s="397">
        <f>'PLAN INDICATIVO'!R406</f>
        <v>2015</v>
      </c>
      <c r="S415" s="1433">
        <v>0</v>
      </c>
      <c r="T415" s="699">
        <v>4</v>
      </c>
      <c r="U415" s="303">
        <v>1</v>
      </c>
      <c r="V415" s="687">
        <v>3000000</v>
      </c>
      <c r="W415" s="303">
        <v>1</v>
      </c>
      <c r="X415" s="687">
        <v>500000</v>
      </c>
      <c r="Y415" s="303">
        <v>1</v>
      </c>
      <c r="Z415" s="687">
        <v>1000000</v>
      </c>
      <c r="AA415" s="303">
        <v>1</v>
      </c>
      <c r="AB415" s="687">
        <v>1000000</v>
      </c>
      <c r="AC415" s="671">
        <v>1</v>
      </c>
      <c r="AD415" s="671"/>
      <c r="AE415" s="671"/>
      <c r="AF415" s="671"/>
      <c r="AG415" s="398" t="s">
        <v>2596</v>
      </c>
      <c r="AH415" s="399" t="s">
        <v>3011</v>
      </c>
      <c r="AI415" s="400" t="s">
        <v>3010</v>
      </c>
      <c r="AJ415" s="400" t="s">
        <v>3007</v>
      </c>
      <c r="AK415" s="400"/>
      <c r="AL415" s="400"/>
      <c r="AM415" s="267" t="s">
        <v>2598</v>
      </c>
      <c r="AN415" s="512" t="s">
        <v>3005</v>
      </c>
      <c r="AO415" s="525"/>
      <c r="AP415" s="310">
        <v>468000</v>
      </c>
      <c r="AQ415" s="380"/>
      <c r="AR415" s="310"/>
      <c r="AS415" s="310"/>
      <c r="AT415" s="310"/>
      <c r="AU415" s="310"/>
      <c r="AV415" s="544">
        <f t="shared" si="183"/>
        <v>468000</v>
      </c>
      <c r="AW415" s="525"/>
      <c r="AX415" s="310"/>
      <c r="AY415" s="380"/>
      <c r="AZ415" s="310"/>
      <c r="BA415" s="310"/>
      <c r="BB415" s="310"/>
      <c r="BC415" s="310"/>
      <c r="BD415" s="544">
        <f t="shared" si="180"/>
        <v>0</v>
      </c>
      <c r="BE415" s="525"/>
      <c r="BF415" s="310"/>
      <c r="BG415" s="380"/>
      <c r="BH415" s="310"/>
      <c r="BI415" s="310"/>
      <c r="BJ415" s="310"/>
      <c r="BK415" s="310"/>
      <c r="BL415" s="544">
        <f t="shared" si="181"/>
        <v>0</v>
      </c>
      <c r="BM415" s="525"/>
      <c r="BN415" s="310"/>
      <c r="BO415" s="380"/>
      <c r="BP415" s="310"/>
      <c r="BQ415" s="310"/>
      <c r="BR415" s="310"/>
      <c r="BS415" s="310"/>
      <c r="BT415" s="544">
        <f t="shared" si="182"/>
        <v>0</v>
      </c>
      <c r="BU415" s="556"/>
      <c r="BV415" s="663">
        <f t="shared" si="184"/>
        <v>1</v>
      </c>
      <c r="BW415" s="674">
        <f t="shared" si="185"/>
        <v>0.25</v>
      </c>
      <c r="BX415" s="674">
        <f t="shared" si="186"/>
        <v>1</v>
      </c>
      <c r="BY415" s="674">
        <f t="shared" si="187"/>
        <v>0</v>
      </c>
      <c r="BZ415" s="675">
        <f t="shared" si="188"/>
        <v>0</v>
      </c>
      <c r="CA415" s="675">
        <f t="shared" si="189"/>
        <v>0</v>
      </c>
    </row>
    <row r="416" spans="1:79" ht="27" hidden="1" thickBot="1" x14ac:dyDescent="0.3">
      <c r="A416" s="428"/>
      <c r="B416" s="439"/>
      <c r="C416" s="1577" t="s">
        <v>1258</v>
      </c>
      <c r="D416" s="1578"/>
      <c r="E416" s="1578"/>
      <c r="F416" s="1578"/>
      <c r="G416" s="1578"/>
      <c r="H416" s="1578"/>
      <c r="I416" s="1578"/>
      <c r="J416" s="1578"/>
      <c r="K416" s="1578"/>
      <c r="L416" s="1578"/>
      <c r="M416" s="1578"/>
      <c r="N416" s="1578"/>
      <c r="O416" s="1578"/>
      <c r="P416" s="1578"/>
      <c r="Q416" s="1578"/>
      <c r="R416" s="1578"/>
      <c r="S416" s="1578"/>
      <c r="T416" s="1578"/>
      <c r="U416" s="1578"/>
      <c r="V416" s="1578"/>
      <c r="W416" s="1578"/>
      <c r="X416" s="1578"/>
      <c r="Y416" s="1578"/>
      <c r="Z416" s="1578"/>
      <c r="AA416" s="1578"/>
      <c r="AB416" s="1578"/>
      <c r="AC416" s="1578"/>
      <c r="AD416" s="1578"/>
      <c r="AE416" s="1578"/>
      <c r="AF416" s="1578"/>
      <c r="AG416" s="1578"/>
      <c r="AH416" s="1578"/>
      <c r="AI416" s="1578"/>
      <c r="AJ416" s="1578"/>
      <c r="AK416" s="1578"/>
      <c r="AL416" s="1644"/>
      <c r="AM416" s="1577"/>
      <c r="AN416" s="1578"/>
      <c r="AO416" s="1578"/>
      <c r="AP416" s="1578"/>
      <c r="AQ416" s="1578"/>
      <c r="AR416" s="1578"/>
      <c r="AS416" s="1578"/>
      <c r="AT416" s="1578"/>
      <c r="AU416" s="1578"/>
      <c r="AV416" s="1578">
        <f t="shared" si="183"/>
        <v>0</v>
      </c>
      <c r="AW416" s="1578"/>
      <c r="AX416" s="1578"/>
      <c r="AY416" s="1578"/>
      <c r="AZ416" s="1578"/>
      <c r="BA416" s="1578"/>
      <c r="BB416" s="1578"/>
      <c r="BC416" s="1578"/>
      <c r="BD416" s="1578">
        <f t="shared" si="180"/>
        <v>0</v>
      </c>
      <c r="BE416" s="1578"/>
      <c r="BF416" s="1578"/>
      <c r="BG416" s="1578"/>
      <c r="BH416" s="1578"/>
      <c r="BI416" s="1578"/>
      <c r="BJ416" s="1578"/>
      <c r="BK416" s="1578"/>
      <c r="BL416" s="1578">
        <f t="shared" si="181"/>
        <v>0</v>
      </c>
      <c r="BM416" s="1578"/>
      <c r="BN416" s="1578"/>
      <c r="BO416" s="1578"/>
      <c r="BP416" s="1578"/>
      <c r="BQ416" s="1578"/>
      <c r="BR416" s="1578"/>
      <c r="BS416" s="1578"/>
      <c r="BT416" s="1578">
        <f t="shared" si="182"/>
        <v>0</v>
      </c>
      <c r="BU416" s="556"/>
      <c r="BV416" s="876">
        <f t="shared" si="184"/>
        <v>0</v>
      </c>
      <c r="BW416" s="877" t="e">
        <f t="shared" si="185"/>
        <v>#DIV/0!</v>
      </c>
      <c r="BX416" s="877" t="e">
        <f t="shared" si="186"/>
        <v>#DIV/0!</v>
      </c>
      <c r="BY416" s="877" t="e">
        <f t="shared" si="187"/>
        <v>#DIV/0!</v>
      </c>
      <c r="BZ416" s="878" t="e">
        <f t="shared" si="188"/>
        <v>#DIV/0!</v>
      </c>
      <c r="CA416" s="878" t="e">
        <f t="shared" si="189"/>
        <v>#DIV/0!</v>
      </c>
    </row>
    <row r="417" spans="1:79" ht="25.5" hidden="1" x14ac:dyDescent="0.25">
      <c r="A417" s="296"/>
      <c r="B417" s="331" t="str">
        <f>'PLAN INDICATIVO'!B408</f>
        <v>Justicia y seguridad</v>
      </c>
      <c r="C417" s="1605" t="s">
        <v>1260</v>
      </c>
      <c r="D417" s="1606"/>
      <c r="E417" s="1606"/>
      <c r="F417" s="1606"/>
      <c r="G417" s="1606"/>
      <c r="H417" s="1606"/>
      <c r="I417" s="1606"/>
      <c r="J417" s="1606"/>
      <c r="K417" s="1606"/>
      <c r="L417" s="1606"/>
      <c r="M417" s="1606"/>
      <c r="N417" s="1606"/>
      <c r="O417" s="1607"/>
      <c r="P417" s="318"/>
      <c r="Q417" s="318"/>
      <c r="R417" s="317"/>
      <c r="S417" s="319"/>
      <c r="T417" s="676"/>
      <c r="U417" s="319"/>
      <c r="V417" s="695">
        <f>SUM(V418:V431)</f>
        <v>1110700000</v>
      </c>
      <c r="W417" s="319"/>
      <c r="X417" s="695">
        <f>SUM(X418:X431)</f>
        <v>326000000</v>
      </c>
      <c r="Y417" s="319"/>
      <c r="Z417" s="695">
        <f>SUM(Z418:Z431)</f>
        <v>301000000</v>
      </c>
      <c r="AA417" s="320"/>
      <c r="AB417" s="708">
        <f>SUM(AB418:AB431)</f>
        <v>306000000</v>
      </c>
      <c r="AC417" s="320"/>
      <c r="AD417" s="320"/>
      <c r="AE417" s="320"/>
      <c r="AF417" s="320"/>
      <c r="AG417" s="321"/>
      <c r="AH417" s="321"/>
      <c r="AI417" s="320"/>
      <c r="AJ417" s="320"/>
      <c r="AK417" s="320"/>
      <c r="AL417" s="320"/>
      <c r="AM417" s="262"/>
      <c r="AN417" s="612"/>
      <c r="AO417" s="616" t="e">
        <f>(AO418:AO431)</f>
        <v>#VALUE!</v>
      </c>
      <c r="AP417" s="616" t="e">
        <f t="shared" ref="AP417:AU417" si="194">(AP418:AP431)</f>
        <v>#VALUE!</v>
      </c>
      <c r="AQ417" s="616" t="e">
        <f t="shared" si="194"/>
        <v>#VALUE!</v>
      </c>
      <c r="AR417" s="616" t="e">
        <f t="shared" si="194"/>
        <v>#VALUE!</v>
      </c>
      <c r="AS417" s="616" t="e">
        <f t="shared" si="194"/>
        <v>#VALUE!</v>
      </c>
      <c r="AT417" s="616" t="e">
        <f t="shared" si="194"/>
        <v>#VALUE!</v>
      </c>
      <c r="AU417" s="616" t="e">
        <f t="shared" si="194"/>
        <v>#VALUE!</v>
      </c>
      <c r="AV417" s="617" t="e">
        <f t="shared" si="183"/>
        <v>#VALUE!</v>
      </c>
      <c r="AW417" s="616" t="e">
        <f t="shared" ref="AW417:BC417" si="195">(AW418:AW431)</f>
        <v>#VALUE!</v>
      </c>
      <c r="AX417" s="616" t="e">
        <f t="shared" si="195"/>
        <v>#VALUE!</v>
      </c>
      <c r="AY417" s="616" t="e">
        <f t="shared" si="195"/>
        <v>#VALUE!</v>
      </c>
      <c r="AZ417" s="616" t="e">
        <f t="shared" si="195"/>
        <v>#VALUE!</v>
      </c>
      <c r="BA417" s="616" t="e">
        <f t="shared" si="195"/>
        <v>#VALUE!</v>
      </c>
      <c r="BB417" s="616" t="e">
        <f t="shared" si="195"/>
        <v>#VALUE!</v>
      </c>
      <c r="BC417" s="616" t="e">
        <f t="shared" si="195"/>
        <v>#VALUE!</v>
      </c>
      <c r="BD417" s="617" t="e">
        <f t="shared" si="180"/>
        <v>#VALUE!</v>
      </c>
      <c r="BE417" s="616" t="e">
        <f t="shared" ref="BE417:BK417" si="196">(BE418:BE431)</f>
        <v>#VALUE!</v>
      </c>
      <c r="BF417" s="616" t="e">
        <f t="shared" si="196"/>
        <v>#VALUE!</v>
      </c>
      <c r="BG417" s="616" t="e">
        <f t="shared" si="196"/>
        <v>#VALUE!</v>
      </c>
      <c r="BH417" s="616" t="e">
        <f t="shared" si="196"/>
        <v>#VALUE!</v>
      </c>
      <c r="BI417" s="616" t="e">
        <f t="shared" si="196"/>
        <v>#VALUE!</v>
      </c>
      <c r="BJ417" s="616" t="e">
        <f t="shared" si="196"/>
        <v>#VALUE!</v>
      </c>
      <c r="BK417" s="616" t="e">
        <f t="shared" si="196"/>
        <v>#VALUE!</v>
      </c>
      <c r="BL417" s="617" t="e">
        <f t="shared" si="181"/>
        <v>#VALUE!</v>
      </c>
      <c r="BM417" s="616" t="e">
        <f t="shared" ref="BM417:BS417" si="197">(BM418:BM431)</f>
        <v>#VALUE!</v>
      </c>
      <c r="BN417" s="616" t="e">
        <f t="shared" si="197"/>
        <v>#VALUE!</v>
      </c>
      <c r="BO417" s="616" t="e">
        <f t="shared" si="197"/>
        <v>#VALUE!</v>
      </c>
      <c r="BP417" s="616" t="e">
        <f t="shared" si="197"/>
        <v>#VALUE!</v>
      </c>
      <c r="BQ417" s="616" t="e">
        <f t="shared" si="197"/>
        <v>#VALUE!</v>
      </c>
      <c r="BR417" s="616" t="e">
        <f t="shared" si="197"/>
        <v>#VALUE!</v>
      </c>
      <c r="BS417" s="616" t="e">
        <f t="shared" si="197"/>
        <v>#VALUE!</v>
      </c>
      <c r="BT417" s="617" t="e">
        <f t="shared" si="182"/>
        <v>#VALUE!</v>
      </c>
      <c r="BU417" s="556"/>
      <c r="BV417" s="863">
        <f t="shared" si="184"/>
        <v>0</v>
      </c>
      <c r="BW417" s="864" t="e">
        <f t="shared" si="185"/>
        <v>#DIV/0!</v>
      </c>
      <c r="BX417" s="864" t="e">
        <f t="shared" si="186"/>
        <v>#DIV/0!</v>
      </c>
      <c r="BY417" s="864" t="e">
        <f t="shared" si="187"/>
        <v>#DIV/0!</v>
      </c>
      <c r="BZ417" s="1450" t="e">
        <f t="shared" si="188"/>
        <v>#DIV/0!</v>
      </c>
      <c r="CA417" s="1450" t="e">
        <f t="shared" si="189"/>
        <v>#DIV/0!</v>
      </c>
    </row>
    <row r="418" spans="1:79" ht="46.5" hidden="1" customHeight="1" x14ac:dyDescent="0.25">
      <c r="A418" s="298" t="s">
        <v>1261</v>
      </c>
      <c r="B418" s="299" t="str">
        <f>'PLAN INDICATIVO'!B409</f>
        <v>Justicia y seguridad</v>
      </c>
      <c r="C418" s="1546" t="s">
        <v>1262</v>
      </c>
      <c r="D418" s="1550" t="s">
        <v>1263</v>
      </c>
      <c r="E418" s="1550" t="s">
        <v>1264</v>
      </c>
      <c r="F418" s="1550">
        <v>2015</v>
      </c>
      <c r="G418" s="1550">
        <v>6.49</v>
      </c>
      <c r="H418" s="1550" t="s">
        <v>1265</v>
      </c>
      <c r="I418" s="300">
        <f>'PLAN INDICATIVO'!I409</f>
        <v>0</v>
      </c>
      <c r="J418" s="300">
        <f>'PLAN INDICATIVO'!J409</f>
        <v>0</v>
      </c>
      <c r="K418" s="1425" t="str">
        <f>'PLAN INDICATIVO'!K409</f>
        <v>A.18.1.1</v>
      </c>
      <c r="L418" s="301" t="str">
        <f>'PLAN INDICATIVO'!L409</f>
        <v>16. Paz, justicia e instituciones sólidas</v>
      </c>
      <c r="M418" s="301" t="str">
        <f>'PLAN INDICATIVO'!M409</f>
        <v>Secretaría de Gobierno</v>
      </c>
      <c r="N418" s="1425" t="s">
        <v>2791</v>
      </c>
      <c r="O418" s="1425" t="str">
        <f>'PLAN INDICATIVO'!O409</f>
        <v>Mantenimiento</v>
      </c>
      <c r="P418" s="16" t="str">
        <f>'PLAN INDICATIVO'!P409</f>
        <v>Implementar 1 Plan Integral de Convivencia y Seguridad Ciudadanocada año</v>
      </c>
      <c r="Q418" s="302" t="str">
        <f>'PLAN INDICATIVO'!Q409</f>
        <v>No. De PICSC implementado cada año</v>
      </c>
      <c r="R418" s="303">
        <f>'PLAN INDICATIVO'!R409</f>
        <v>2015</v>
      </c>
      <c r="S418" s="304">
        <v>0</v>
      </c>
      <c r="T418" s="699">
        <v>4</v>
      </c>
      <c r="U418" s="303">
        <v>1</v>
      </c>
      <c r="V418" s="687">
        <v>147000000</v>
      </c>
      <c r="W418" s="303">
        <v>1</v>
      </c>
      <c r="X418" s="687">
        <v>250000000</v>
      </c>
      <c r="Y418" s="303">
        <v>1</v>
      </c>
      <c r="Z418" s="687">
        <v>255000000</v>
      </c>
      <c r="AA418" s="303">
        <v>1</v>
      </c>
      <c r="AB418" s="687">
        <v>260000000</v>
      </c>
      <c r="AC418" s="670">
        <v>1</v>
      </c>
      <c r="AD418" s="670"/>
      <c r="AE418" s="670"/>
      <c r="AF418" s="670"/>
      <c r="AG418" s="343"/>
      <c r="AH418" s="361" t="s">
        <v>3012</v>
      </c>
      <c r="AI418" s="362"/>
      <c r="AJ418" s="362"/>
      <c r="AK418" s="362"/>
      <c r="AL418" s="362"/>
      <c r="AM418" s="281" t="s">
        <v>2598</v>
      </c>
      <c r="AN418" s="513" t="s">
        <v>3013</v>
      </c>
      <c r="AO418" s="528">
        <v>149671300</v>
      </c>
      <c r="AP418" s="545"/>
      <c r="AQ418" s="472"/>
      <c r="AR418" s="472"/>
      <c r="AS418" s="472"/>
      <c r="AT418" s="472"/>
      <c r="AU418" s="472"/>
      <c r="AV418" s="544">
        <f t="shared" si="183"/>
        <v>149671300</v>
      </c>
      <c r="AW418" s="528"/>
      <c r="AX418" s="545"/>
      <c r="AY418" s="472"/>
      <c r="AZ418" s="472"/>
      <c r="BA418" s="472"/>
      <c r="BB418" s="472"/>
      <c r="BC418" s="472"/>
      <c r="BD418" s="544">
        <f t="shared" si="180"/>
        <v>0</v>
      </c>
      <c r="BE418" s="528"/>
      <c r="BF418" s="545"/>
      <c r="BG418" s="472"/>
      <c r="BH418" s="472"/>
      <c r="BI418" s="472"/>
      <c r="BJ418" s="472"/>
      <c r="BK418" s="472"/>
      <c r="BL418" s="544">
        <f t="shared" si="181"/>
        <v>0</v>
      </c>
      <c r="BM418" s="528"/>
      <c r="BN418" s="545"/>
      <c r="BO418" s="472"/>
      <c r="BP418" s="472"/>
      <c r="BQ418" s="472"/>
      <c r="BR418" s="472"/>
      <c r="BS418" s="472"/>
      <c r="BT418" s="544">
        <f t="shared" si="182"/>
        <v>0</v>
      </c>
      <c r="BU418" s="556"/>
      <c r="BV418" s="663">
        <f t="shared" si="184"/>
        <v>1</v>
      </c>
      <c r="BW418" s="674">
        <f t="shared" si="185"/>
        <v>0.25</v>
      </c>
      <c r="BX418" s="674">
        <f t="shared" si="186"/>
        <v>1</v>
      </c>
      <c r="BY418" s="674">
        <f t="shared" si="187"/>
        <v>0</v>
      </c>
      <c r="BZ418" s="675">
        <f t="shared" si="188"/>
        <v>0</v>
      </c>
      <c r="CA418" s="675">
        <f t="shared" si="189"/>
        <v>0</v>
      </c>
    </row>
    <row r="419" spans="1:79" ht="39.75" hidden="1" customHeight="1" x14ac:dyDescent="0.25">
      <c r="A419" s="298" t="s">
        <v>1261</v>
      </c>
      <c r="B419" s="299" t="str">
        <f>'PLAN INDICATIVO'!B410</f>
        <v>Justicia y seguridad</v>
      </c>
      <c r="C419" s="1547"/>
      <c r="D419" s="1551"/>
      <c r="E419" s="1551"/>
      <c r="F419" s="1551"/>
      <c r="G419" s="1551"/>
      <c r="H419" s="1551"/>
      <c r="I419" s="300">
        <f>'PLAN INDICATIVO'!I410</f>
        <v>0</v>
      </c>
      <c r="J419" s="300">
        <f>'PLAN INDICATIVO'!J410</f>
        <v>0</v>
      </c>
      <c r="K419" s="1425" t="str">
        <f>'PLAN INDICATIVO'!K410</f>
        <v>A.18.1.2</v>
      </c>
      <c r="L419" s="301" t="str">
        <f>'PLAN INDICATIVO'!L410</f>
        <v>16. Paz, justicia e instituciones sólidas</v>
      </c>
      <c r="M419" s="301" t="str">
        <f>'PLAN INDICATIVO'!M410</f>
        <v>Secretaría de Gobierno</v>
      </c>
      <c r="N419" s="1425" t="s">
        <v>2791</v>
      </c>
      <c r="O419" s="1425" t="str">
        <f>'PLAN INDICATIVO'!O410</f>
        <v>Mantenimiento</v>
      </c>
      <c r="P419" s="16" t="str">
        <f>'PLAN INDICATIVO'!P410</f>
        <v>Realizar 12 consejos de seguridad ordinarios  cada año</v>
      </c>
      <c r="Q419" s="302" t="str">
        <f>'PLAN INDICATIVO'!Q410</f>
        <v>No. Consejos de seguridad realizados por año</v>
      </c>
      <c r="R419" s="303">
        <f>'PLAN INDICATIVO'!R410</f>
        <v>2015</v>
      </c>
      <c r="S419" s="304">
        <v>0</v>
      </c>
      <c r="T419" s="699">
        <v>48</v>
      </c>
      <c r="U419" s="303">
        <v>12</v>
      </c>
      <c r="V419" s="687">
        <v>7500000</v>
      </c>
      <c r="W419" s="303">
        <v>12</v>
      </c>
      <c r="X419" s="687">
        <v>500000</v>
      </c>
      <c r="Y419" s="303">
        <v>12</v>
      </c>
      <c r="Z419" s="687">
        <v>1000000</v>
      </c>
      <c r="AA419" s="303">
        <v>12</v>
      </c>
      <c r="AB419" s="687">
        <v>1000000</v>
      </c>
      <c r="AC419" s="669">
        <v>10</v>
      </c>
      <c r="AD419" s="669"/>
      <c r="AE419" s="669"/>
      <c r="AF419" s="669"/>
      <c r="AG419" s="341"/>
      <c r="AH419" s="355" t="s">
        <v>3014</v>
      </c>
      <c r="AI419" s="358" t="s">
        <v>3015</v>
      </c>
      <c r="AJ419" s="358" t="s">
        <v>3016</v>
      </c>
      <c r="AK419" s="358"/>
      <c r="AL419" s="358"/>
      <c r="AM419" s="281" t="s">
        <v>2598</v>
      </c>
      <c r="AN419" s="513" t="s">
        <v>3013</v>
      </c>
      <c r="AO419" s="525">
        <v>1000000</v>
      </c>
      <c r="AP419" s="310"/>
      <c r="AQ419" s="310"/>
      <c r="AR419" s="310"/>
      <c r="AS419" s="310"/>
      <c r="AT419" s="310"/>
      <c r="AU419" s="310"/>
      <c r="AV419" s="544">
        <f t="shared" si="183"/>
        <v>1000000</v>
      </c>
      <c r="AW419" s="525"/>
      <c r="AX419" s="310"/>
      <c r="AY419" s="310"/>
      <c r="AZ419" s="310"/>
      <c r="BA419" s="310"/>
      <c r="BB419" s="310"/>
      <c r="BC419" s="310"/>
      <c r="BD419" s="544">
        <f t="shared" si="180"/>
        <v>0</v>
      </c>
      <c r="BE419" s="525"/>
      <c r="BF419" s="310"/>
      <c r="BG419" s="310"/>
      <c r="BH419" s="310"/>
      <c r="BI419" s="310"/>
      <c r="BJ419" s="310"/>
      <c r="BK419" s="310"/>
      <c r="BL419" s="544">
        <f t="shared" si="181"/>
        <v>0</v>
      </c>
      <c r="BM419" s="525"/>
      <c r="BN419" s="310"/>
      <c r="BO419" s="310"/>
      <c r="BP419" s="310"/>
      <c r="BQ419" s="310"/>
      <c r="BR419" s="310"/>
      <c r="BS419" s="310"/>
      <c r="BT419" s="544">
        <f t="shared" si="182"/>
        <v>0</v>
      </c>
      <c r="BU419" s="556"/>
      <c r="BV419" s="663">
        <f t="shared" si="184"/>
        <v>10</v>
      </c>
      <c r="BW419" s="674">
        <f t="shared" si="185"/>
        <v>0.20833333333333334</v>
      </c>
      <c r="BX419" s="674">
        <f t="shared" si="186"/>
        <v>0.83333333333333337</v>
      </c>
      <c r="BY419" s="674">
        <f t="shared" si="187"/>
        <v>0</v>
      </c>
      <c r="BZ419" s="675">
        <f t="shared" si="188"/>
        <v>0</v>
      </c>
      <c r="CA419" s="675">
        <f t="shared" si="189"/>
        <v>0</v>
      </c>
    </row>
    <row r="420" spans="1:79" ht="39" hidden="1" customHeight="1" x14ac:dyDescent="0.25">
      <c r="A420" s="298" t="s">
        <v>1261</v>
      </c>
      <c r="B420" s="299" t="str">
        <f>'PLAN INDICATIVO'!B411</f>
        <v>Justicia y seguridad</v>
      </c>
      <c r="C420" s="1547"/>
      <c r="D420" s="1551"/>
      <c r="E420" s="1551"/>
      <c r="F420" s="1551"/>
      <c r="G420" s="1551"/>
      <c r="H420" s="1551"/>
      <c r="I420" s="300">
        <f>'PLAN INDICATIVO'!I411</f>
        <v>0</v>
      </c>
      <c r="J420" s="300">
        <f>'PLAN INDICATIVO'!J411</f>
        <v>0</v>
      </c>
      <c r="K420" s="1425" t="str">
        <f>'PLAN INDICATIVO'!K411</f>
        <v>A.18.1.3</v>
      </c>
      <c r="L420" s="301" t="str">
        <f>'PLAN INDICATIVO'!L411</f>
        <v>16. Paz, justicia e instituciones sólidas</v>
      </c>
      <c r="M420" s="301" t="str">
        <f>'PLAN INDICATIVO'!M411</f>
        <v>Secretaría de Gobierno</v>
      </c>
      <c r="N420" s="1425" t="s">
        <v>2791</v>
      </c>
      <c r="O420" s="1425" t="str">
        <f>'PLAN INDICATIVO'!O411</f>
        <v>Incremento</v>
      </c>
      <c r="P420" s="16" t="str">
        <f>'PLAN INDICATIVO'!P411</f>
        <v>Celebrar 4 reuniones de Comité de Orden público en el Cuatrienio</v>
      </c>
      <c r="Q420" s="302" t="str">
        <f>'PLAN INDICATIVO'!Q411</f>
        <v>No. De comités de orden públicos realizado</v>
      </c>
      <c r="R420" s="303">
        <f>'PLAN INDICATIVO'!R411</f>
        <v>2015</v>
      </c>
      <c r="S420" s="304">
        <v>0</v>
      </c>
      <c r="T420" s="699">
        <v>4</v>
      </c>
      <c r="U420" s="303">
        <v>1</v>
      </c>
      <c r="V420" s="687">
        <v>7500000</v>
      </c>
      <c r="W420" s="303">
        <v>1</v>
      </c>
      <c r="X420" s="687">
        <v>500000</v>
      </c>
      <c r="Y420" s="303">
        <v>1</v>
      </c>
      <c r="Z420" s="687">
        <v>1000000</v>
      </c>
      <c r="AA420" s="303">
        <v>1</v>
      </c>
      <c r="AB420" s="687">
        <v>1000000</v>
      </c>
      <c r="AC420" s="669">
        <v>4</v>
      </c>
      <c r="AD420" s="669"/>
      <c r="AE420" s="669"/>
      <c r="AF420" s="669"/>
      <c r="AG420" s="341"/>
      <c r="AH420" s="355" t="s">
        <v>3017</v>
      </c>
      <c r="AI420" s="356">
        <v>37469</v>
      </c>
      <c r="AJ420" s="356">
        <v>11293</v>
      </c>
      <c r="AK420" s="358"/>
      <c r="AL420" s="358"/>
      <c r="AM420" s="267" t="s">
        <v>2598</v>
      </c>
      <c r="AN420" s="513" t="s">
        <v>3013</v>
      </c>
      <c r="AO420" s="525">
        <v>1000000</v>
      </c>
      <c r="AP420" s="310"/>
      <c r="AQ420" s="310"/>
      <c r="AR420" s="310"/>
      <c r="AS420" s="310"/>
      <c r="AT420" s="310"/>
      <c r="AU420" s="310"/>
      <c r="AV420" s="544">
        <f t="shared" si="183"/>
        <v>1000000</v>
      </c>
      <c r="AW420" s="525"/>
      <c r="AX420" s="310"/>
      <c r="AY420" s="310"/>
      <c r="AZ420" s="310"/>
      <c r="BA420" s="310"/>
      <c r="BB420" s="310"/>
      <c r="BC420" s="310"/>
      <c r="BD420" s="544">
        <f t="shared" si="180"/>
        <v>0</v>
      </c>
      <c r="BE420" s="525"/>
      <c r="BF420" s="310"/>
      <c r="BG420" s="310"/>
      <c r="BH420" s="310"/>
      <c r="BI420" s="310"/>
      <c r="BJ420" s="310"/>
      <c r="BK420" s="310"/>
      <c r="BL420" s="544">
        <f t="shared" si="181"/>
        <v>0</v>
      </c>
      <c r="BM420" s="525"/>
      <c r="BN420" s="310"/>
      <c r="BO420" s="310"/>
      <c r="BP420" s="310"/>
      <c r="BQ420" s="310"/>
      <c r="BR420" s="310"/>
      <c r="BS420" s="310"/>
      <c r="BT420" s="544">
        <f t="shared" si="182"/>
        <v>0</v>
      </c>
      <c r="BU420" s="556"/>
      <c r="BV420" s="663">
        <f t="shared" si="184"/>
        <v>4</v>
      </c>
      <c r="BW420" s="674">
        <f t="shared" si="185"/>
        <v>1</v>
      </c>
      <c r="BX420" s="674">
        <f t="shared" si="186"/>
        <v>4</v>
      </c>
      <c r="BY420" s="674">
        <f t="shared" si="187"/>
        <v>0</v>
      </c>
      <c r="BZ420" s="675">
        <f t="shared" si="188"/>
        <v>0</v>
      </c>
      <c r="CA420" s="675">
        <f t="shared" si="189"/>
        <v>0</v>
      </c>
    </row>
    <row r="421" spans="1:79" ht="50.25" hidden="1" customHeight="1" x14ac:dyDescent="0.25">
      <c r="A421" s="298" t="s">
        <v>1261</v>
      </c>
      <c r="B421" s="299" t="str">
        <f>'PLAN INDICATIVO'!B412</f>
        <v>Justicia y seguridad</v>
      </c>
      <c r="C421" s="1547"/>
      <c r="D421" s="1551"/>
      <c r="E421" s="1551"/>
      <c r="F421" s="1551"/>
      <c r="G421" s="1551"/>
      <c r="H421" s="1551"/>
      <c r="I421" s="300">
        <f>'PLAN INDICATIVO'!I412</f>
        <v>0</v>
      </c>
      <c r="J421" s="300">
        <f>'PLAN INDICATIVO'!J412</f>
        <v>0</v>
      </c>
      <c r="K421" s="1425" t="str">
        <f>'PLAN INDICATIVO'!K412</f>
        <v>A.18.1.4</v>
      </c>
      <c r="L421" s="301" t="str">
        <f>'PLAN INDICATIVO'!L412</f>
        <v>16. Paz, justicia e instituciones sólidas</v>
      </c>
      <c r="M421" s="301" t="str">
        <f>'PLAN INDICATIVO'!M412</f>
        <v>Secretaría de Gobierno</v>
      </c>
      <c r="N421" s="1425" t="s">
        <v>2791</v>
      </c>
      <c r="O421" s="1425" t="str">
        <f>'PLAN INDICATIVO'!O412</f>
        <v>Mantenimiento</v>
      </c>
      <c r="P421" s="16" t="str">
        <f>'PLAN INDICATIVO'!P412</f>
        <v>Presentar 2 informes del observatorio del delito por la fuerza pública cada año</v>
      </c>
      <c r="Q421" s="302" t="str">
        <f>'PLAN INDICATIVO'!Q412</f>
        <v>No. De informes presentados por año</v>
      </c>
      <c r="R421" s="303">
        <f>'PLAN INDICATIVO'!R412</f>
        <v>2015</v>
      </c>
      <c r="S421" s="304">
        <v>0</v>
      </c>
      <c r="T421" s="699">
        <v>8</v>
      </c>
      <c r="U421" s="303">
        <v>2</v>
      </c>
      <c r="V421" s="687">
        <v>9000000</v>
      </c>
      <c r="W421" s="303">
        <v>2</v>
      </c>
      <c r="X421" s="687">
        <v>500000</v>
      </c>
      <c r="Y421" s="303">
        <v>2</v>
      </c>
      <c r="Z421" s="687">
        <v>1000000</v>
      </c>
      <c r="AA421" s="303">
        <v>2</v>
      </c>
      <c r="AB421" s="687">
        <v>1000000</v>
      </c>
      <c r="AC421" s="669">
        <v>1</v>
      </c>
      <c r="AD421" s="669"/>
      <c r="AE421" s="669"/>
      <c r="AF421" s="669"/>
      <c r="AG421" s="341"/>
      <c r="AH421" s="355" t="s">
        <v>3018</v>
      </c>
      <c r="AI421" s="358" t="s">
        <v>3015</v>
      </c>
      <c r="AJ421" s="356">
        <v>11293</v>
      </c>
      <c r="AK421" s="358"/>
      <c r="AL421" s="358"/>
      <c r="AM421" s="281" t="s">
        <v>2598</v>
      </c>
      <c r="AN421" s="512"/>
      <c r="AO421" s="753"/>
      <c r="AP421" s="310"/>
      <c r="AQ421" s="310"/>
      <c r="AR421" s="310"/>
      <c r="AS421" s="310"/>
      <c r="AT421" s="310"/>
      <c r="AU421" s="310"/>
      <c r="AV421" s="544">
        <f t="shared" si="183"/>
        <v>0</v>
      </c>
      <c r="AW421" s="525"/>
      <c r="AX421" s="310"/>
      <c r="AY421" s="310"/>
      <c r="AZ421" s="310"/>
      <c r="BA421" s="310"/>
      <c r="BB421" s="310"/>
      <c r="BC421" s="310"/>
      <c r="BD421" s="544">
        <f t="shared" si="180"/>
        <v>0</v>
      </c>
      <c r="BE421" s="525"/>
      <c r="BF421" s="310"/>
      <c r="BG421" s="310"/>
      <c r="BH421" s="310"/>
      <c r="BI421" s="310"/>
      <c r="BJ421" s="310"/>
      <c r="BK421" s="310"/>
      <c r="BL421" s="544">
        <f t="shared" si="181"/>
        <v>0</v>
      </c>
      <c r="BM421" s="525"/>
      <c r="BN421" s="310"/>
      <c r="BO421" s="310"/>
      <c r="BP421" s="310"/>
      <c r="BQ421" s="310"/>
      <c r="BR421" s="310"/>
      <c r="BS421" s="310"/>
      <c r="BT421" s="544">
        <f t="shared" si="182"/>
        <v>0</v>
      </c>
      <c r="BU421" s="556"/>
      <c r="BV421" s="663">
        <f t="shared" si="184"/>
        <v>1</v>
      </c>
      <c r="BW421" s="674">
        <f t="shared" si="185"/>
        <v>0.125</v>
      </c>
      <c r="BX421" s="674">
        <f t="shared" si="186"/>
        <v>0.5</v>
      </c>
      <c r="BY421" s="674">
        <f t="shared" si="187"/>
        <v>0</v>
      </c>
      <c r="BZ421" s="675">
        <f t="shared" si="188"/>
        <v>0</v>
      </c>
      <c r="CA421" s="675">
        <f t="shared" si="189"/>
        <v>0</v>
      </c>
    </row>
    <row r="422" spans="1:79" ht="73.5" hidden="1" customHeight="1" x14ac:dyDescent="0.25">
      <c r="A422" s="298" t="s">
        <v>1261</v>
      </c>
      <c r="B422" s="299" t="str">
        <f>'PLAN INDICATIVO'!B413</f>
        <v>Justicia y seguridad</v>
      </c>
      <c r="C422" s="1547"/>
      <c r="D422" s="1551"/>
      <c r="E422" s="1551"/>
      <c r="F422" s="1551"/>
      <c r="G422" s="1551"/>
      <c r="H422" s="1551"/>
      <c r="I422" s="300">
        <f>'PLAN INDICATIVO'!I413</f>
        <v>0</v>
      </c>
      <c r="J422" s="300">
        <f>'PLAN INDICATIVO'!J413</f>
        <v>0</v>
      </c>
      <c r="K422" s="1425" t="str">
        <f>'PLAN INDICATIVO'!K413</f>
        <v>A.18.1.5</v>
      </c>
      <c r="L422" s="301" t="str">
        <f>'PLAN INDICATIVO'!L413</f>
        <v>16. Paz, justicia e instituciones sólidas</v>
      </c>
      <c r="M422" s="301" t="str">
        <f>'PLAN INDICATIVO'!M413</f>
        <v>Secretaría de Gobierno</v>
      </c>
      <c r="N422" s="1425" t="s">
        <v>2736</v>
      </c>
      <c r="O422" s="1425" t="str">
        <f>'PLAN INDICATIVO'!O413</f>
        <v>Mantenimiento</v>
      </c>
      <c r="P422" s="16" t="str">
        <f>'PLAN INDICATIVO'!P413</f>
        <v>Realizar 6 controles a pesas y medidas en plazas de mercado y establecimientos de comercio cada año</v>
      </c>
      <c r="Q422" s="302" t="str">
        <f>'PLAN INDICATIVO'!Q413</f>
        <v>No. De controles realizados por año</v>
      </c>
      <c r="R422" s="303">
        <f>'PLAN INDICATIVO'!R413</f>
        <v>2015</v>
      </c>
      <c r="S422" s="304">
        <v>0</v>
      </c>
      <c r="T422" s="699">
        <v>24</v>
      </c>
      <c r="U422" s="303">
        <v>6</v>
      </c>
      <c r="V422" s="687">
        <v>900000</v>
      </c>
      <c r="W422" s="303">
        <v>6</v>
      </c>
      <c r="X422" s="687">
        <v>10500000</v>
      </c>
      <c r="Y422" s="303">
        <v>6</v>
      </c>
      <c r="Z422" s="687">
        <v>1000000</v>
      </c>
      <c r="AA422" s="303">
        <v>6</v>
      </c>
      <c r="AB422" s="687">
        <v>1000000</v>
      </c>
      <c r="AC422" s="669">
        <v>6</v>
      </c>
      <c r="AD422" s="669"/>
      <c r="AE422" s="669"/>
      <c r="AF422" s="669"/>
      <c r="AG422" s="341"/>
      <c r="AH422" s="355" t="s">
        <v>3019</v>
      </c>
      <c r="AI422" s="356">
        <v>42856</v>
      </c>
      <c r="AJ422" s="356">
        <v>42705</v>
      </c>
      <c r="AK422" s="358" t="s">
        <v>3020</v>
      </c>
      <c r="AL422" s="358" t="s">
        <v>3021</v>
      </c>
      <c r="AM422" s="267" t="s">
        <v>2598</v>
      </c>
      <c r="AN422" s="512" t="s">
        <v>3022</v>
      </c>
      <c r="AO422" s="525">
        <f>6000000+3200000+4800000</f>
        <v>14000000</v>
      </c>
      <c r="AP422" s="310">
        <v>4173000</v>
      </c>
      <c r="AQ422" s="310"/>
      <c r="AR422" s="310"/>
      <c r="AS422" s="310"/>
      <c r="AT422" s="310"/>
      <c r="AU422" s="310"/>
      <c r="AV422" s="544">
        <f t="shared" si="183"/>
        <v>18173000</v>
      </c>
      <c r="AW422" s="525"/>
      <c r="AX422" s="310"/>
      <c r="AY422" s="310"/>
      <c r="AZ422" s="310"/>
      <c r="BA422" s="310"/>
      <c r="BB422" s="310"/>
      <c r="BC422" s="310"/>
      <c r="BD422" s="544">
        <f t="shared" si="180"/>
        <v>0</v>
      </c>
      <c r="BE422" s="525"/>
      <c r="BF422" s="310"/>
      <c r="BG422" s="310"/>
      <c r="BH422" s="310"/>
      <c r="BI422" s="310"/>
      <c r="BJ422" s="310"/>
      <c r="BK422" s="310"/>
      <c r="BL422" s="544">
        <f t="shared" si="181"/>
        <v>0</v>
      </c>
      <c r="BM422" s="525"/>
      <c r="BN422" s="310"/>
      <c r="BO422" s="310"/>
      <c r="BP422" s="310"/>
      <c r="BQ422" s="310"/>
      <c r="BR422" s="310"/>
      <c r="BS422" s="310"/>
      <c r="BT422" s="544">
        <f t="shared" si="182"/>
        <v>0</v>
      </c>
      <c r="BU422" s="556"/>
      <c r="BV422" s="663">
        <f t="shared" si="184"/>
        <v>6</v>
      </c>
      <c r="BW422" s="674">
        <f t="shared" si="185"/>
        <v>0.25</v>
      </c>
      <c r="BX422" s="674">
        <f t="shared" si="186"/>
        <v>1</v>
      </c>
      <c r="BY422" s="674">
        <f t="shared" si="187"/>
        <v>0</v>
      </c>
      <c r="BZ422" s="675">
        <f t="shared" si="188"/>
        <v>0</v>
      </c>
      <c r="CA422" s="675">
        <f t="shared" si="189"/>
        <v>0</v>
      </c>
    </row>
    <row r="423" spans="1:79" ht="51" hidden="1" customHeight="1" x14ac:dyDescent="0.25">
      <c r="A423" s="298" t="s">
        <v>1261</v>
      </c>
      <c r="B423" s="299" t="str">
        <f>'PLAN INDICATIVO'!B414</f>
        <v>Justicia y seguridad</v>
      </c>
      <c r="C423" s="1547"/>
      <c r="D423" s="1551"/>
      <c r="E423" s="1551"/>
      <c r="F423" s="1551"/>
      <c r="G423" s="1551"/>
      <c r="H423" s="1551"/>
      <c r="I423" s="371">
        <f>'PLAN INDICATIVO'!I414</f>
        <v>0</v>
      </c>
      <c r="J423" s="371">
        <f>'PLAN INDICATIVO'!J414</f>
        <v>0</v>
      </c>
      <c r="K423" s="1425" t="str">
        <f>'PLAN INDICATIVO'!K414</f>
        <v>A.18.1.6</v>
      </c>
      <c r="L423" s="301" t="str">
        <f>'PLAN INDICATIVO'!L414</f>
        <v>16. Paz, justicia e instituciones sólidas</v>
      </c>
      <c r="M423" s="301" t="str">
        <f>'PLAN INDICATIVO'!M414</f>
        <v>Secretaría de Gobierno</v>
      </c>
      <c r="N423" s="1425" t="s">
        <v>2791</v>
      </c>
      <c r="O423" s="1425" t="str">
        <f>'PLAN INDICATIVO'!O414</f>
        <v>Mantenimiento</v>
      </c>
      <c r="P423" s="71" t="str">
        <f>'PLAN INDICATIVO'!P414</f>
        <v>Apoyar el sostenimiento 10 bachilleres auxiliares como apoyo a la seguridad y convivencia ciudadana cada año</v>
      </c>
      <c r="Q423" s="345" t="str">
        <f>'PLAN INDICATIVO'!Q414</f>
        <v>No. de bachilleres apoyados</v>
      </c>
      <c r="R423" s="346">
        <f>'PLAN INDICATIVO'!R414</f>
        <v>2015</v>
      </c>
      <c r="S423" s="342">
        <v>0</v>
      </c>
      <c r="T423" s="704">
        <v>40</v>
      </c>
      <c r="U423" s="346">
        <v>10</v>
      </c>
      <c r="V423" s="687">
        <v>800000</v>
      </c>
      <c r="W423" s="346">
        <v>10</v>
      </c>
      <c r="X423" s="687">
        <v>8000000</v>
      </c>
      <c r="Y423" s="346">
        <v>10</v>
      </c>
      <c r="Z423" s="687">
        <v>8000000</v>
      </c>
      <c r="AA423" s="346">
        <v>10</v>
      </c>
      <c r="AB423" s="687">
        <v>8000000</v>
      </c>
      <c r="AC423" s="670">
        <v>10</v>
      </c>
      <c r="AD423" s="670"/>
      <c r="AE423" s="670"/>
      <c r="AF423" s="670"/>
      <c r="AG423" s="343"/>
      <c r="AH423" s="796"/>
      <c r="AI423" s="358" t="s">
        <v>3015</v>
      </c>
      <c r="AJ423" s="356">
        <v>11293</v>
      </c>
      <c r="AK423" s="362" t="s">
        <v>2717</v>
      </c>
      <c r="AL423" s="362"/>
      <c r="AM423" s="281" t="s">
        <v>2598</v>
      </c>
      <c r="AN423" s="797"/>
      <c r="AO423" s="798"/>
      <c r="AP423" s="799"/>
      <c r="AQ423" s="799"/>
      <c r="AR423" s="799"/>
      <c r="AS423" s="799"/>
      <c r="AT423" s="799"/>
      <c r="AU423" s="799"/>
      <c r="AV423" s="800">
        <f t="shared" si="183"/>
        <v>0</v>
      </c>
      <c r="AW423" s="528"/>
      <c r="AX423" s="472"/>
      <c r="AY423" s="472"/>
      <c r="AZ423" s="472"/>
      <c r="BA423" s="472"/>
      <c r="BB423" s="472"/>
      <c r="BC423" s="472"/>
      <c r="BD423" s="544">
        <f t="shared" si="180"/>
        <v>0</v>
      </c>
      <c r="BE423" s="528"/>
      <c r="BF423" s="472"/>
      <c r="BG423" s="472"/>
      <c r="BH423" s="472"/>
      <c r="BI423" s="472"/>
      <c r="BJ423" s="472"/>
      <c r="BK423" s="472"/>
      <c r="BL423" s="544">
        <f t="shared" si="181"/>
        <v>0</v>
      </c>
      <c r="BM423" s="528"/>
      <c r="BN423" s="472"/>
      <c r="BO423" s="472"/>
      <c r="BP423" s="472"/>
      <c r="BQ423" s="472"/>
      <c r="BR423" s="472"/>
      <c r="BS423" s="472"/>
      <c r="BT423" s="544">
        <f t="shared" si="182"/>
        <v>0</v>
      </c>
      <c r="BU423" s="556"/>
      <c r="BV423" s="663">
        <f t="shared" si="184"/>
        <v>10</v>
      </c>
      <c r="BW423" s="674">
        <f t="shared" si="185"/>
        <v>0.25</v>
      </c>
      <c r="BX423" s="674">
        <f t="shared" si="186"/>
        <v>1</v>
      </c>
      <c r="BY423" s="674">
        <f t="shared" si="187"/>
        <v>0</v>
      </c>
      <c r="BZ423" s="675">
        <f t="shared" si="188"/>
        <v>0</v>
      </c>
      <c r="CA423" s="675">
        <f t="shared" si="189"/>
        <v>0</v>
      </c>
    </row>
    <row r="424" spans="1:79" ht="58.5" hidden="1" customHeight="1" x14ac:dyDescent="0.25">
      <c r="A424" s="298" t="s">
        <v>1261</v>
      </c>
      <c r="B424" s="299" t="str">
        <f>'PLAN INDICATIVO'!B415</f>
        <v>Justicia y seguridad</v>
      </c>
      <c r="C424" s="1547"/>
      <c r="D424" s="1551"/>
      <c r="E424" s="1551"/>
      <c r="F424" s="1551"/>
      <c r="G424" s="1551"/>
      <c r="H424" s="1551"/>
      <c r="I424" s="300">
        <f>'PLAN INDICATIVO'!I415</f>
        <v>0</v>
      </c>
      <c r="J424" s="300">
        <f>'PLAN INDICATIVO'!J415</f>
        <v>0</v>
      </c>
      <c r="K424" s="1425" t="str">
        <f>'PLAN INDICATIVO'!K415</f>
        <v>A.18.1.7</v>
      </c>
      <c r="L424" s="301" t="str">
        <f>'PLAN INDICATIVO'!L415</f>
        <v>16. Paz, justicia e instituciones sólidas</v>
      </c>
      <c r="M424" s="301" t="str">
        <f>'PLAN INDICATIVO'!M415</f>
        <v>Secretaría de Gobierno</v>
      </c>
      <c r="N424" s="1425" t="s">
        <v>2791</v>
      </c>
      <c r="O424" s="1425" t="str">
        <f>'PLAN INDICATIVO'!O415</f>
        <v>Mantenimiento</v>
      </c>
      <c r="P424" s="16" t="str">
        <f>'PLAN INDICATIVO'!P415</f>
        <v>Implementar 1 estrategia de apoyo a la fuerza pública y organismos de seguridad cada año</v>
      </c>
      <c r="Q424" s="302" t="str">
        <f>'PLAN INDICATIVO'!Q415</f>
        <v>. De Estrategias implementadas por año</v>
      </c>
      <c r="R424" s="303">
        <f>'PLAN INDICATIVO'!R415</f>
        <v>2015</v>
      </c>
      <c r="S424" s="304">
        <v>1</v>
      </c>
      <c r="T424" s="699">
        <v>4</v>
      </c>
      <c r="U424" s="303">
        <v>1</v>
      </c>
      <c r="V424" s="687">
        <v>30000000</v>
      </c>
      <c r="W424" s="303">
        <v>1</v>
      </c>
      <c r="X424" s="687">
        <v>10000000</v>
      </c>
      <c r="Y424" s="303">
        <v>1</v>
      </c>
      <c r="Z424" s="687">
        <v>10000000</v>
      </c>
      <c r="AA424" s="303">
        <v>1</v>
      </c>
      <c r="AB424" s="687">
        <v>10000000</v>
      </c>
      <c r="AC424" s="669">
        <v>1</v>
      </c>
      <c r="AD424" s="669"/>
      <c r="AE424" s="669"/>
      <c r="AF424" s="669"/>
      <c r="AG424" s="341"/>
      <c r="AH424" s="377" t="s">
        <v>3023</v>
      </c>
      <c r="AI424" s="356">
        <v>37469</v>
      </c>
      <c r="AJ424" s="356">
        <v>11293</v>
      </c>
      <c r="AK424" s="358"/>
      <c r="AL424" s="358"/>
      <c r="AM424" s="267" t="s">
        <v>2598</v>
      </c>
      <c r="AN424" s="512" t="s">
        <v>3024</v>
      </c>
      <c r="AO424" s="525">
        <v>60000000</v>
      </c>
      <c r="AP424" s="310"/>
      <c r="AQ424" s="310"/>
      <c r="AR424" s="310"/>
      <c r="AS424" s="310"/>
      <c r="AT424" s="310"/>
      <c r="AU424" s="310"/>
      <c r="AV424" s="544">
        <f t="shared" si="183"/>
        <v>60000000</v>
      </c>
      <c r="AW424" s="525"/>
      <c r="AX424" s="310"/>
      <c r="AY424" s="310"/>
      <c r="AZ424" s="310"/>
      <c r="BA424" s="310"/>
      <c r="BB424" s="310"/>
      <c r="BC424" s="310"/>
      <c r="BD424" s="544">
        <f t="shared" si="180"/>
        <v>0</v>
      </c>
      <c r="BE424" s="525"/>
      <c r="BF424" s="310"/>
      <c r="BG424" s="310"/>
      <c r="BH424" s="310"/>
      <c r="BI424" s="310"/>
      <c r="BJ424" s="310"/>
      <c r="BK424" s="310"/>
      <c r="BL424" s="544">
        <f t="shared" si="181"/>
        <v>0</v>
      </c>
      <c r="BM424" s="525"/>
      <c r="BN424" s="310"/>
      <c r="BO424" s="310"/>
      <c r="BP424" s="310"/>
      <c r="BQ424" s="310"/>
      <c r="BR424" s="310"/>
      <c r="BS424" s="310"/>
      <c r="BT424" s="544">
        <f t="shared" si="182"/>
        <v>0</v>
      </c>
      <c r="BU424" s="556"/>
      <c r="BV424" s="663">
        <f t="shared" si="184"/>
        <v>1</v>
      </c>
      <c r="BW424" s="674">
        <f t="shared" si="185"/>
        <v>0.25</v>
      </c>
      <c r="BX424" s="674">
        <f t="shared" si="186"/>
        <v>1</v>
      </c>
      <c r="BY424" s="674">
        <f t="shared" si="187"/>
        <v>0</v>
      </c>
      <c r="BZ424" s="675">
        <f t="shared" si="188"/>
        <v>0</v>
      </c>
      <c r="CA424" s="675">
        <f t="shared" si="189"/>
        <v>0</v>
      </c>
    </row>
    <row r="425" spans="1:79" ht="42.75" hidden="1" customHeight="1" x14ac:dyDescent="0.25">
      <c r="A425" s="298" t="s">
        <v>1261</v>
      </c>
      <c r="B425" s="299" t="str">
        <f>'PLAN INDICATIVO'!B416</f>
        <v>Justicia y seguridad</v>
      </c>
      <c r="C425" s="1547"/>
      <c r="D425" s="1551"/>
      <c r="E425" s="1551"/>
      <c r="F425" s="1551"/>
      <c r="G425" s="1551"/>
      <c r="H425" s="1551"/>
      <c r="I425" s="300">
        <f>'PLAN INDICATIVO'!I416</f>
        <v>0</v>
      </c>
      <c r="J425" s="300">
        <f>'PLAN INDICATIVO'!J416</f>
        <v>0</v>
      </c>
      <c r="K425" s="1425" t="str">
        <f>'PLAN INDICATIVO'!K416</f>
        <v>A.18.1.8</v>
      </c>
      <c r="L425" s="301" t="str">
        <f>'PLAN INDICATIVO'!L416</f>
        <v>16. Paz, justicia e instituciones sólidas</v>
      </c>
      <c r="M425" s="301" t="str">
        <f>'PLAN INDICATIVO'!M416</f>
        <v>Secretaría de Gobierno</v>
      </c>
      <c r="N425" s="1425" t="s">
        <v>2791</v>
      </c>
      <c r="O425" s="1425" t="str">
        <f>'PLAN INDICATIVO'!O416</f>
        <v>Incremento</v>
      </c>
      <c r="P425" s="16" t="str">
        <f>'PLAN INDICATIVO'!P416</f>
        <v>Suministrar 8 vehiculos automotores para mejorar dotación de fuerza publica en el cuatrienio</v>
      </c>
      <c r="Q425" s="302" t="str">
        <f>'PLAN INDICATIVO'!Q416</f>
        <v>No. de vehiculos automotores dotados</v>
      </c>
      <c r="R425" s="303">
        <f>'PLAN INDICATIVO'!R416</f>
        <v>2015</v>
      </c>
      <c r="S425" s="304">
        <v>0</v>
      </c>
      <c r="T425" s="699">
        <v>10</v>
      </c>
      <c r="U425" s="303">
        <v>10</v>
      </c>
      <c r="V425" s="687">
        <v>150000000</v>
      </c>
      <c r="W425" s="303">
        <v>0</v>
      </c>
      <c r="X425" s="687"/>
      <c r="Y425" s="303">
        <v>0</v>
      </c>
      <c r="Z425" s="687"/>
      <c r="AA425" s="303">
        <v>0</v>
      </c>
      <c r="AB425" s="687"/>
      <c r="AC425" s="669">
        <v>0</v>
      </c>
      <c r="AD425" s="669"/>
      <c r="AE425" s="669"/>
      <c r="AF425" s="669"/>
      <c r="AG425" s="341"/>
      <c r="AH425" s="355" t="s">
        <v>3025</v>
      </c>
      <c r="AI425" s="356">
        <v>37469</v>
      </c>
      <c r="AJ425" s="356">
        <v>11293</v>
      </c>
      <c r="AK425" s="358"/>
      <c r="AL425" s="358"/>
      <c r="AM425" s="267" t="s">
        <v>2600</v>
      </c>
      <c r="AN425" s="512"/>
      <c r="AO425" s="525"/>
      <c r="AP425" s="380"/>
      <c r="AQ425" s="310"/>
      <c r="AR425" s="310"/>
      <c r="AS425" s="310"/>
      <c r="AT425" s="310"/>
      <c r="AU425" s="310"/>
      <c r="AV425" s="544">
        <f t="shared" si="183"/>
        <v>0</v>
      </c>
      <c r="AW425" s="525"/>
      <c r="AX425" s="380"/>
      <c r="AY425" s="310"/>
      <c r="AZ425" s="310"/>
      <c r="BA425" s="310"/>
      <c r="BB425" s="310"/>
      <c r="BC425" s="310"/>
      <c r="BD425" s="544">
        <f t="shared" si="180"/>
        <v>0</v>
      </c>
      <c r="BE425" s="525"/>
      <c r="BF425" s="380"/>
      <c r="BG425" s="310"/>
      <c r="BH425" s="310"/>
      <c r="BI425" s="310"/>
      <c r="BJ425" s="310"/>
      <c r="BK425" s="310"/>
      <c r="BL425" s="544">
        <f t="shared" si="181"/>
        <v>0</v>
      </c>
      <c r="BM425" s="525"/>
      <c r="BN425" s="380"/>
      <c r="BO425" s="310"/>
      <c r="BP425" s="310"/>
      <c r="BQ425" s="310"/>
      <c r="BR425" s="310"/>
      <c r="BS425" s="310"/>
      <c r="BT425" s="544">
        <f t="shared" si="182"/>
        <v>0</v>
      </c>
      <c r="BU425" s="556"/>
      <c r="BV425" s="663">
        <f t="shared" si="184"/>
        <v>0</v>
      </c>
      <c r="BW425" s="674">
        <f t="shared" si="185"/>
        <v>0</v>
      </c>
      <c r="BX425" s="674">
        <f t="shared" si="186"/>
        <v>0</v>
      </c>
      <c r="BY425" s="674" t="e">
        <f t="shared" si="187"/>
        <v>#DIV/0!</v>
      </c>
      <c r="BZ425" s="675" t="e">
        <f t="shared" si="188"/>
        <v>#DIV/0!</v>
      </c>
      <c r="CA425" s="675" t="e">
        <f t="shared" si="189"/>
        <v>#DIV/0!</v>
      </c>
    </row>
    <row r="426" spans="1:79" ht="46.5" hidden="1" customHeight="1" x14ac:dyDescent="0.25">
      <c r="A426" s="298" t="s">
        <v>1261</v>
      </c>
      <c r="B426" s="299" t="str">
        <f>'PLAN INDICATIVO'!B417</f>
        <v>Justicia y seguridad</v>
      </c>
      <c r="C426" s="1547"/>
      <c r="D426" s="1551"/>
      <c r="E426" s="1551"/>
      <c r="F426" s="1551"/>
      <c r="G426" s="1551"/>
      <c r="H426" s="1551"/>
      <c r="I426" s="300">
        <f>'PLAN INDICATIVO'!I417</f>
        <v>0</v>
      </c>
      <c r="J426" s="300">
        <f>'PLAN INDICATIVO'!J417</f>
        <v>0</v>
      </c>
      <c r="K426" s="1425" t="str">
        <f>'PLAN INDICATIVO'!K417</f>
        <v>A.18.1.9</v>
      </c>
      <c r="L426" s="301" t="str">
        <f>'PLAN INDICATIVO'!L417</f>
        <v>16. Paz, justicia e instituciones sólidas</v>
      </c>
      <c r="M426" s="301" t="str">
        <f>'PLAN INDICATIVO'!M417</f>
        <v>Secretaría de Gobierno</v>
      </c>
      <c r="N426" s="1425" t="s">
        <v>2791</v>
      </c>
      <c r="O426" s="1425" t="str">
        <f>'PLAN INDICATIVO'!O417</f>
        <v>Incremento</v>
      </c>
      <c r="P426" s="16" t="str">
        <f>'PLAN INDICATIVO'!P417</f>
        <v>Realizar 1 gestión para la compra del terreno para estación de policía, durante el cuatrienio</v>
      </c>
      <c r="Q426" s="302" t="str">
        <f>'PLAN INDICATIVO'!Q417</f>
        <v>No. De Gestión de compra realizada</v>
      </c>
      <c r="R426" s="303">
        <f>'PLAN INDICATIVO'!R417</f>
        <v>2015</v>
      </c>
      <c r="S426" s="304">
        <v>0</v>
      </c>
      <c r="T426" s="699">
        <v>1</v>
      </c>
      <c r="U426" s="303">
        <v>0</v>
      </c>
      <c r="V426" s="687">
        <v>690000000</v>
      </c>
      <c r="W426" s="303">
        <v>0</v>
      </c>
      <c r="X426" s="687"/>
      <c r="Y426" s="303">
        <v>0</v>
      </c>
      <c r="Z426" s="687"/>
      <c r="AA426" s="303">
        <v>0</v>
      </c>
      <c r="AB426" s="687"/>
      <c r="AC426" s="669"/>
      <c r="AD426" s="669"/>
      <c r="AE426" s="669"/>
      <c r="AF426" s="669"/>
      <c r="AG426" s="341"/>
      <c r="AH426" s="355" t="s">
        <v>3026</v>
      </c>
      <c r="AI426" s="356">
        <v>37469</v>
      </c>
      <c r="AJ426" s="356">
        <v>11293</v>
      </c>
      <c r="AK426" s="358"/>
      <c r="AL426" s="358"/>
      <c r="AM426" s="267" t="s">
        <v>2594</v>
      </c>
      <c r="AN426" s="512"/>
      <c r="AO426" s="525"/>
      <c r="AP426" s="380"/>
      <c r="AQ426" s="310"/>
      <c r="AR426" s="310"/>
      <c r="AS426" s="310"/>
      <c r="AT426" s="310"/>
      <c r="AU426" s="310"/>
      <c r="AV426" s="544">
        <f t="shared" si="183"/>
        <v>0</v>
      </c>
      <c r="AW426" s="525"/>
      <c r="AX426" s="380"/>
      <c r="AY426" s="310"/>
      <c r="AZ426" s="310"/>
      <c r="BA426" s="310"/>
      <c r="BB426" s="310"/>
      <c r="BC426" s="310"/>
      <c r="BD426" s="544">
        <f t="shared" si="180"/>
        <v>0</v>
      </c>
      <c r="BE426" s="525"/>
      <c r="BF426" s="380"/>
      <c r="BG426" s="310"/>
      <c r="BH426" s="310"/>
      <c r="BI426" s="310"/>
      <c r="BJ426" s="310"/>
      <c r="BK426" s="310"/>
      <c r="BL426" s="544">
        <f t="shared" si="181"/>
        <v>0</v>
      </c>
      <c r="BM426" s="525"/>
      <c r="BN426" s="380"/>
      <c r="BO426" s="310"/>
      <c r="BP426" s="310"/>
      <c r="BQ426" s="310"/>
      <c r="BR426" s="310"/>
      <c r="BS426" s="310"/>
      <c r="BT426" s="544">
        <f t="shared" si="182"/>
        <v>0</v>
      </c>
      <c r="BU426" s="556"/>
      <c r="BV426" s="663">
        <f t="shared" si="184"/>
        <v>0</v>
      </c>
      <c r="BW426" s="674">
        <f t="shared" si="185"/>
        <v>0</v>
      </c>
      <c r="BX426" s="674" t="e">
        <f t="shared" si="186"/>
        <v>#DIV/0!</v>
      </c>
      <c r="BY426" s="674" t="e">
        <f t="shared" si="187"/>
        <v>#DIV/0!</v>
      </c>
      <c r="BZ426" s="675" t="e">
        <f t="shared" si="188"/>
        <v>#DIV/0!</v>
      </c>
      <c r="CA426" s="675" t="e">
        <f t="shared" si="189"/>
        <v>#DIV/0!</v>
      </c>
    </row>
    <row r="427" spans="1:79" ht="47.25" hidden="1" customHeight="1" x14ac:dyDescent="0.25">
      <c r="A427" s="298" t="s">
        <v>1261</v>
      </c>
      <c r="B427" s="299" t="str">
        <f>'PLAN INDICATIVO'!B418</f>
        <v>Justicia y seguridad</v>
      </c>
      <c r="C427" s="1547"/>
      <c r="D427" s="1551"/>
      <c r="E427" s="1551"/>
      <c r="F427" s="1551"/>
      <c r="G427" s="1551"/>
      <c r="H427" s="1551"/>
      <c r="I427" s="300">
        <f>'PLAN INDICATIVO'!I418</f>
        <v>0</v>
      </c>
      <c r="J427" s="300">
        <f>'PLAN INDICATIVO'!J418</f>
        <v>0</v>
      </c>
      <c r="K427" s="1425" t="str">
        <f>'PLAN INDICATIVO'!K418</f>
        <v>A.18.1.10</v>
      </c>
      <c r="L427" s="301" t="str">
        <f>'PLAN INDICATIVO'!L418</f>
        <v>16. Paz, justicia e instituciones sólidas</v>
      </c>
      <c r="M427" s="301" t="str">
        <f>'PLAN INDICATIVO'!M418</f>
        <v>Secretaría de Gobierno</v>
      </c>
      <c r="N427" s="1425" t="s">
        <v>2791</v>
      </c>
      <c r="O427" s="1425" t="str">
        <f>'PLAN INDICATIVO'!O418</f>
        <v>Mantenimiento</v>
      </c>
      <c r="P427" s="16" t="str">
        <f>'PLAN INDICATIVO'!P418</f>
        <v>Implementar 1 Plan de atención para comunidades en riesgo de seguridad cada año</v>
      </c>
      <c r="Q427" s="302" t="str">
        <f>'PLAN INDICATIVO'!Q418</f>
        <v>No. De Plan de atención implementado por año</v>
      </c>
      <c r="R427" s="303">
        <f>'PLAN INDICATIVO'!R418</f>
        <v>2015</v>
      </c>
      <c r="S427" s="304">
        <v>0</v>
      </c>
      <c r="T427" s="699">
        <v>4</v>
      </c>
      <c r="U427" s="303">
        <v>1</v>
      </c>
      <c r="V427" s="687">
        <v>5000000</v>
      </c>
      <c r="W427" s="303">
        <v>1</v>
      </c>
      <c r="X427" s="687">
        <v>5000000</v>
      </c>
      <c r="Y427" s="303">
        <v>1</v>
      </c>
      <c r="Z427" s="687">
        <v>5000000</v>
      </c>
      <c r="AA427" s="303">
        <v>1</v>
      </c>
      <c r="AB427" s="687">
        <v>5000000</v>
      </c>
      <c r="AC427" s="669">
        <v>1</v>
      </c>
      <c r="AD427" s="669"/>
      <c r="AE427" s="669"/>
      <c r="AF427" s="669"/>
      <c r="AG427" s="341"/>
      <c r="AH427" s="738" t="s">
        <v>3027</v>
      </c>
      <c r="AI427" s="356">
        <v>37469</v>
      </c>
      <c r="AJ427" s="356">
        <v>11293</v>
      </c>
      <c r="AK427" s="358"/>
      <c r="AL427" s="358"/>
      <c r="AM427" s="267" t="s">
        <v>2598</v>
      </c>
      <c r="AN427" s="512" t="s">
        <v>3028</v>
      </c>
      <c r="AO427" s="525">
        <v>18000000</v>
      </c>
      <c r="AP427" s="310"/>
      <c r="AQ427" s="310"/>
      <c r="AR427" s="310"/>
      <c r="AS427" s="310"/>
      <c r="AT427" s="310"/>
      <c r="AU427" s="310"/>
      <c r="AV427" s="544">
        <f t="shared" si="183"/>
        <v>18000000</v>
      </c>
      <c r="AW427" s="525"/>
      <c r="AX427" s="310"/>
      <c r="AY427" s="310"/>
      <c r="AZ427" s="310"/>
      <c r="BA427" s="310"/>
      <c r="BB427" s="310"/>
      <c r="BC427" s="310"/>
      <c r="BD427" s="544">
        <f t="shared" si="180"/>
        <v>0</v>
      </c>
      <c r="BE427" s="525"/>
      <c r="BF427" s="310"/>
      <c r="BG427" s="310"/>
      <c r="BH427" s="310"/>
      <c r="BI427" s="310"/>
      <c r="BJ427" s="310"/>
      <c r="BK427" s="310"/>
      <c r="BL427" s="544">
        <f t="shared" si="181"/>
        <v>0</v>
      </c>
      <c r="BM427" s="525"/>
      <c r="BN427" s="310"/>
      <c r="BO427" s="310"/>
      <c r="BP427" s="310"/>
      <c r="BQ427" s="310"/>
      <c r="BR427" s="310"/>
      <c r="BS427" s="310"/>
      <c r="BT427" s="544">
        <f t="shared" si="182"/>
        <v>0</v>
      </c>
      <c r="BU427" s="556"/>
      <c r="BV427" s="663">
        <f t="shared" si="184"/>
        <v>1</v>
      </c>
      <c r="BW427" s="674">
        <f t="shared" si="185"/>
        <v>0.25</v>
      </c>
      <c r="BX427" s="674">
        <f t="shared" si="186"/>
        <v>1</v>
      </c>
      <c r="BY427" s="674">
        <f t="shared" si="187"/>
        <v>0</v>
      </c>
      <c r="BZ427" s="675">
        <f t="shared" si="188"/>
        <v>0</v>
      </c>
      <c r="CA427" s="675">
        <f t="shared" si="189"/>
        <v>0</v>
      </c>
    </row>
    <row r="428" spans="1:79" ht="64.5" hidden="1" customHeight="1" x14ac:dyDescent="0.25">
      <c r="A428" s="298" t="s">
        <v>1261</v>
      </c>
      <c r="B428" s="299" t="str">
        <f>'PLAN INDICATIVO'!B419</f>
        <v>Justicia y seguridad</v>
      </c>
      <c r="C428" s="1547"/>
      <c r="D428" s="1551"/>
      <c r="E428" s="1551"/>
      <c r="F428" s="1551"/>
      <c r="G428" s="1551"/>
      <c r="H428" s="1551"/>
      <c r="I428" s="300">
        <f>'PLAN INDICATIVO'!I419</f>
        <v>0</v>
      </c>
      <c r="J428" s="300">
        <f>'PLAN INDICATIVO'!J419</f>
        <v>0</v>
      </c>
      <c r="K428" s="1425" t="str">
        <f>'PLAN INDICATIVO'!K419</f>
        <v>A.18.1.11</v>
      </c>
      <c r="L428" s="301" t="str">
        <f>'PLAN INDICATIVO'!L419</f>
        <v>16. Paz, justicia e instituciones sólidas</v>
      </c>
      <c r="M428" s="301" t="str">
        <f>'PLAN INDICATIVO'!M419</f>
        <v>Secretaría de Gobierno</v>
      </c>
      <c r="N428" s="1425" t="s">
        <v>2791</v>
      </c>
      <c r="O428" s="1425" t="str">
        <f>'PLAN INDICATIVO'!O419</f>
        <v>Mantenimiento</v>
      </c>
      <c r="P428" s="16" t="str">
        <f>'PLAN INDICATIVO'!P419</f>
        <v>Realizar 4 reuniones de alcalde o secretario al barrio, para atender denuncias ciudadanas sobre inseguridad cada año</v>
      </c>
      <c r="Q428" s="302" t="str">
        <f>'PLAN INDICATIVO'!Q419</f>
        <v>No. de reuniones al barrio realizadas por año</v>
      </c>
      <c r="R428" s="303">
        <f>'PLAN INDICATIVO'!R419</f>
        <v>2015</v>
      </c>
      <c r="S428" s="304">
        <v>0</v>
      </c>
      <c r="T428" s="699">
        <v>16</v>
      </c>
      <c r="U428" s="303">
        <v>4</v>
      </c>
      <c r="V428" s="687">
        <v>5000000</v>
      </c>
      <c r="W428" s="303">
        <v>4</v>
      </c>
      <c r="X428" s="687">
        <v>500000</v>
      </c>
      <c r="Y428" s="303">
        <v>4</v>
      </c>
      <c r="Z428" s="687">
        <v>1000000</v>
      </c>
      <c r="AA428" s="303">
        <v>4</v>
      </c>
      <c r="AB428" s="687">
        <v>1000000</v>
      </c>
      <c r="AC428" s="669">
        <v>5</v>
      </c>
      <c r="AD428" s="669"/>
      <c r="AE428" s="669"/>
      <c r="AF428" s="669"/>
      <c r="AG428" s="341"/>
      <c r="AH428" s="355" t="s">
        <v>3029</v>
      </c>
      <c r="AI428" s="356">
        <v>37257</v>
      </c>
      <c r="AJ428" s="356">
        <v>11293</v>
      </c>
      <c r="AK428" s="358"/>
      <c r="AL428" s="358"/>
      <c r="AM428" s="281" t="s">
        <v>2598</v>
      </c>
      <c r="AN428" s="513" t="s">
        <v>3013</v>
      </c>
      <c r="AO428" s="525">
        <v>500000</v>
      </c>
      <c r="AP428" s="310"/>
      <c r="AQ428" s="310"/>
      <c r="AR428" s="310"/>
      <c r="AS428" s="310"/>
      <c r="AT428" s="310"/>
      <c r="AU428" s="310"/>
      <c r="AV428" s="544">
        <f t="shared" si="183"/>
        <v>500000</v>
      </c>
      <c r="AW428" s="525"/>
      <c r="AX428" s="310"/>
      <c r="AY428" s="310"/>
      <c r="AZ428" s="310"/>
      <c r="BA428" s="310"/>
      <c r="BB428" s="310"/>
      <c r="BC428" s="310"/>
      <c r="BD428" s="544">
        <f t="shared" si="180"/>
        <v>0</v>
      </c>
      <c r="BE428" s="525"/>
      <c r="BF428" s="310"/>
      <c r="BG428" s="310"/>
      <c r="BH428" s="310"/>
      <c r="BI428" s="310"/>
      <c r="BJ428" s="310"/>
      <c r="BK428" s="310"/>
      <c r="BL428" s="544">
        <f t="shared" si="181"/>
        <v>0</v>
      </c>
      <c r="BM428" s="525"/>
      <c r="BN428" s="310"/>
      <c r="BO428" s="310"/>
      <c r="BP428" s="310"/>
      <c r="BQ428" s="310"/>
      <c r="BR428" s="310"/>
      <c r="BS428" s="310"/>
      <c r="BT428" s="544">
        <f t="shared" si="182"/>
        <v>0</v>
      </c>
      <c r="BU428" s="556"/>
      <c r="BV428" s="663">
        <f t="shared" si="184"/>
        <v>5</v>
      </c>
      <c r="BW428" s="674">
        <f t="shared" si="185"/>
        <v>0.3125</v>
      </c>
      <c r="BX428" s="674">
        <f t="shared" si="186"/>
        <v>1.25</v>
      </c>
      <c r="BY428" s="674">
        <f t="shared" si="187"/>
        <v>0</v>
      </c>
      <c r="BZ428" s="675">
        <f t="shared" si="188"/>
        <v>0</v>
      </c>
      <c r="CA428" s="675">
        <f t="shared" si="189"/>
        <v>0</v>
      </c>
    </row>
    <row r="429" spans="1:79" ht="55.5" hidden="1" customHeight="1" x14ac:dyDescent="0.25">
      <c r="A429" s="298" t="s">
        <v>1261</v>
      </c>
      <c r="B429" s="299" t="str">
        <f>'PLAN INDICATIVO'!B420</f>
        <v>Justicia y seguridad</v>
      </c>
      <c r="C429" s="1547"/>
      <c r="D429" s="1551"/>
      <c r="E429" s="1551"/>
      <c r="F429" s="1551"/>
      <c r="G429" s="1551"/>
      <c r="H429" s="1551"/>
      <c r="I429" s="300">
        <f>'PLAN INDICATIVO'!I420</f>
        <v>0</v>
      </c>
      <c r="J429" s="300">
        <f>'PLAN INDICATIVO'!J420</f>
        <v>0</v>
      </c>
      <c r="K429" s="1425" t="str">
        <f>'PLAN INDICATIVO'!K420</f>
        <v>A.18.1.12</v>
      </c>
      <c r="L429" s="301" t="str">
        <f>'PLAN INDICATIVO'!L420</f>
        <v>16. Paz, justicia e instituciones sólidas</v>
      </c>
      <c r="M429" s="301" t="str">
        <f>'PLAN INDICATIVO'!M420</f>
        <v>Secretaría de Gobierno</v>
      </c>
      <c r="N429" s="1425" t="s">
        <v>2736</v>
      </c>
      <c r="O429" s="1425" t="str">
        <f>'PLAN INDICATIVO'!O420</f>
        <v>Incremento</v>
      </c>
      <c r="P429" s="16" t="str">
        <f>'PLAN INDICATIVO'!P420</f>
        <v>Implementar 8 planes desarme durante el cuatrienio</v>
      </c>
      <c r="Q429" s="302" t="str">
        <f>'PLAN INDICATIVO'!Q420</f>
        <v>No. De Planes de desarme implementados</v>
      </c>
      <c r="R429" s="303">
        <f>'PLAN INDICATIVO'!R420</f>
        <v>2015</v>
      </c>
      <c r="S429" s="304">
        <v>0</v>
      </c>
      <c r="T429" s="699">
        <v>8</v>
      </c>
      <c r="U429" s="303">
        <v>2</v>
      </c>
      <c r="V429" s="687">
        <v>8000000</v>
      </c>
      <c r="W429" s="303">
        <v>2</v>
      </c>
      <c r="X429" s="687">
        <v>5000000</v>
      </c>
      <c r="Y429" s="303">
        <v>2</v>
      </c>
      <c r="Z429" s="687">
        <v>8000000</v>
      </c>
      <c r="AA429" s="303">
        <v>2</v>
      </c>
      <c r="AB429" s="687">
        <v>8000000</v>
      </c>
      <c r="AC429" s="669">
        <v>2</v>
      </c>
      <c r="AD429" s="669"/>
      <c r="AE429" s="669"/>
      <c r="AF429" s="669"/>
      <c r="AG429" s="341"/>
      <c r="AH429" s="355" t="s">
        <v>3030</v>
      </c>
      <c r="AI429" s="356">
        <v>37257</v>
      </c>
      <c r="AJ429" s="356">
        <v>11110</v>
      </c>
      <c r="AK429" s="358" t="s">
        <v>2717</v>
      </c>
      <c r="AL429" s="358"/>
      <c r="AM429" s="281" t="s">
        <v>2598</v>
      </c>
      <c r="AN429" s="513" t="s">
        <v>3013</v>
      </c>
      <c r="AO429" s="525">
        <v>2000000</v>
      </c>
      <c r="AP429" s="310"/>
      <c r="AQ429" s="310"/>
      <c r="AR429" s="310"/>
      <c r="AS429" s="310"/>
      <c r="AT429" s="310"/>
      <c r="AU429" s="310"/>
      <c r="AV429" s="544">
        <f t="shared" si="183"/>
        <v>2000000</v>
      </c>
      <c r="AW429" s="525"/>
      <c r="AX429" s="310"/>
      <c r="AY429" s="310"/>
      <c r="AZ429" s="310"/>
      <c r="BA429" s="310"/>
      <c r="BB429" s="310"/>
      <c r="BC429" s="310"/>
      <c r="BD429" s="544">
        <f t="shared" si="180"/>
        <v>0</v>
      </c>
      <c r="BE429" s="525"/>
      <c r="BF429" s="310"/>
      <c r="BG429" s="310"/>
      <c r="BH429" s="310"/>
      <c r="BI429" s="310"/>
      <c r="BJ429" s="310"/>
      <c r="BK429" s="310"/>
      <c r="BL429" s="544">
        <f t="shared" si="181"/>
        <v>0</v>
      </c>
      <c r="BM429" s="525"/>
      <c r="BN429" s="310"/>
      <c r="BO429" s="310"/>
      <c r="BP429" s="310"/>
      <c r="BQ429" s="310"/>
      <c r="BR429" s="310"/>
      <c r="BS429" s="310"/>
      <c r="BT429" s="544">
        <f t="shared" si="182"/>
        <v>0</v>
      </c>
      <c r="BU429" s="556"/>
      <c r="BV429" s="663">
        <f t="shared" si="184"/>
        <v>2</v>
      </c>
      <c r="BW429" s="674">
        <f t="shared" si="185"/>
        <v>0.25</v>
      </c>
      <c r="BX429" s="674">
        <f t="shared" si="186"/>
        <v>1</v>
      </c>
      <c r="BY429" s="674">
        <f t="shared" si="187"/>
        <v>0</v>
      </c>
      <c r="BZ429" s="675">
        <f t="shared" si="188"/>
        <v>0</v>
      </c>
      <c r="CA429" s="675">
        <f t="shared" si="189"/>
        <v>0</v>
      </c>
    </row>
    <row r="430" spans="1:79" ht="37.5" hidden="1" customHeight="1" x14ac:dyDescent="0.25">
      <c r="A430" s="298" t="s">
        <v>1261</v>
      </c>
      <c r="B430" s="299" t="str">
        <f>'PLAN INDICATIVO'!B421</f>
        <v>Justicia y seguridad</v>
      </c>
      <c r="C430" s="1547"/>
      <c r="D430" s="1551"/>
      <c r="E430" s="1551"/>
      <c r="F430" s="1551"/>
      <c r="G430" s="1551"/>
      <c r="H430" s="1551"/>
      <c r="I430" s="300">
        <f>'PLAN INDICATIVO'!I421</f>
        <v>0</v>
      </c>
      <c r="J430" s="300">
        <f>'PLAN INDICATIVO'!J421</f>
        <v>0</v>
      </c>
      <c r="K430" s="1425" t="str">
        <f>'PLAN INDICATIVO'!K421</f>
        <v>A.18.1.13</v>
      </c>
      <c r="L430" s="301" t="str">
        <f>'PLAN INDICATIVO'!L421</f>
        <v>16. Paz, justicia e instituciones sólidas</v>
      </c>
      <c r="M430" s="301" t="str">
        <f>'PLAN INDICATIVO'!M421</f>
        <v>Secretaría de Gobierno</v>
      </c>
      <c r="N430" s="1425" t="s">
        <v>2791</v>
      </c>
      <c r="O430" s="1425" t="str">
        <f>'PLAN INDICATIVO'!O421</f>
        <v>Incremento</v>
      </c>
      <c r="P430" s="16" t="str">
        <f>'PLAN INDICATIVO'!P421</f>
        <v>Fortalecer 1 línea 123 durante el cuatrienio</v>
      </c>
      <c r="Q430" s="302" t="str">
        <f>'PLAN INDICATIVO'!Q421</f>
        <v>No. De Línea 123 fortalecida</v>
      </c>
      <c r="R430" s="303">
        <f>'PLAN INDICATIVO'!R421</f>
        <v>2015</v>
      </c>
      <c r="S430" s="304">
        <v>0</v>
      </c>
      <c r="T430" s="699">
        <v>1</v>
      </c>
      <c r="U430" s="303">
        <v>0</v>
      </c>
      <c r="V430" s="687"/>
      <c r="W430" s="303">
        <v>1</v>
      </c>
      <c r="X430" s="687">
        <v>15000000</v>
      </c>
      <c r="Y430" s="303">
        <v>0</v>
      </c>
      <c r="Z430" s="687"/>
      <c r="AA430" s="303">
        <v>0</v>
      </c>
      <c r="AB430" s="687"/>
      <c r="AC430" s="669"/>
      <c r="AD430" s="669"/>
      <c r="AE430" s="669"/>
      <c r="AF430" s="669"/>
      <c r="AG430" s="341"/>
      <c r="AH430" s="355"/>
      <c r="AI430" s="358"/>
      <c r="AJ430" s="358"/>
      <c r="AK430" s="358"/>
      <c r="AL430" s="358"/>
      <c r="AM430" s="267" t="s">
        <v>2594</v>
      </c>
      <c r="AN430" s="512"/>
      <c r="AO430" s="525"/>
      <c r="AP430" s="310"/>
      <c r="AQ430" s="310"/>
      <c r="AR430" s="310"/>
      <c r="AS430" s="310"/>
      <c r="AT430" s="310"/>
      <c r="AU430" s="310"/>
      <c r="AV430" s="544">
        <f t="shared" si="183"/>
        <v>0</v>
      </c>
      <c r="AW430" s="525"/>
      <c r="AX430" s="310"/>
      <c r="AY430" s="310"/>
      <c r="AZ430" s="310"/>
      <c r="BA430" s="310"/>
      <c r="BB430" s="310"/>
      <c r="BC430" s="310"/>
      <c r="BD430" s="544">
        <f t="shared" si="180"/>
        <v>0</v>
      </c>
      <c r="BE430" s="525"/>
      <c r="BF430" s="310"/>
      <c r="BG430" s="310"/>
      <c r="BH430" s="310"/>
      <c r="BI430" s="310"/>
      <c r="BJ430" s="310"/>
      <c r="BK430" s="310"/>
      <c r="BL430" s="544">
        <f t="shared" si="181"/>
        <v>0</v>
      </c>
      <c r="BM430" s="525"/>
      <c r="BN430" s="310"/>
      <c r="BO430" s="310"/>
      <c r="BP430" s="310"/>
      <c r="BQ430" s="310"/>
      <c r="BR430" s="310"/>
      <c r="BS430" s="310"/>
      <c r="BT430" s="544">
        <f t="shared" si="182"/>
        <v>0</v>
      </c>
      <c r="BU430" s="556"/>
      <c r="BV430" s="663">
        <f t="shared" si="184"/>
        <v>0</v>
      </c>
      <c r="BW430" s="674">
        <f t="shared" si="185"/>
        <v>0</v>
      </c>
      <c r="BX430" s="674" t="e">
        <f t="shared" si="186"/>
        <v>#DIV/0!</v>
      </c>
      <c r="BY430" s="674">
        <f t="shared" si="187"/>
        <v>0</v>
      </c>
      <c r="BZ430" s="675" t="e">
        <f t="shared" si="188"/>
        <v>#DIV/0!</v>
      </c>
      <c r="CA430" s="675" t="e">
        <f t="shared" si="189"/>
        <v>#DIV/0!</v>
      </c>
    </row>
    <row r="431" spans="1:79" ht="69" hidden="1" customHeight="1" x14ac:dyDescent="0.25">
      <c r="A431" s="298" t="s">
        <v>1261</v>
      </c>
      <c r="B431" s="299" t="str">
        <f>'PLAN INDICATIVO'!B422</f>
        <v>Justicia y seguridad</v>
      </c>
      <c r="C431" s="1548"/>
      <c r="D431" s="1552"/>
      <c r="E431" s="1552"/>
      <c r="F431" s="1552"/>
      <c r="G431" s="1552"/>
      <c r="H431" s="1552"/>
      <c r="I431" s="300">
        <f>'PLAN INDICATIVO'!I422</f>
        <v>0</v>
      </c>
      <c r="J431" s="300">
        <f>'PLAN INDICATIVO'!J422</f>
        <v>0</v>
      </c>
      <c r="K431" s="1425" t="str">
        <f>'PLAN INDICATIVO'!K422</f>
        <v>A.18.1.14</v>
      </c>
      <c r="L431" s="301" t="str">
        <f>'PLAN INDICATIVO'!L422</f>
        <v>16. Paz, justicia e instituciones sólidas</v>
      </c>
      <c r="M431" s="301" t="str">
        <f>'PLAN INDICATIVO'!M422</f>
        <v>Secretaría de Gobierno</v>
      </c>
      <c r="N431" s="1425" t="s">
        <v>2791</v>
      </c>
      <c r="O431" s="1425" t="str">
        <f>'PLAN INDICATIVO'!O422</f>
        <v>Mantenimiento</v>
      </c>
      <c r="P431" s="16" t="str">
        <f>'PLAN INDICATIVO'!P422</f>
        <v>Realizar 1 plan de apoyo para comisarios de familia, médicos, psicólogos y trabajadores sociales de las comisarías de familia, cada año</v>
      </c>
      <c r="Q431" s="302" t="str">
        <f>'PLAN INDICATIVO'!Q422</f>
        <v>No. de planes implementados por año</v>
      </c>
      <c r="R431" s="303">
        <f>'PLAN INDICATIVO'!R422</f>
        <v>2015</v>
      </c>
      <c r="S431" s="304">
        <v>0</v>
      </c>
      <c r="T431" s="699">
        <v>4</v>
      </c>
      <c r="U431" s="303">
        <v>1</v>
      </c>
      <c r="V431" s="687">
        <v>50000000</v>
      </c>
      <c r="W431" s="303">
        <v>1</v>
      </c>
      <c r="X431" s="687">
        <v>20500000</v>
      </c>
      <c r="Y431" s="303">
        <v>1</v>
      </c>
      <c r="Z431" s="687">
        <v>10000000</v>
      </c>
      <c r="AA431" s="303">
        <v>1</v>
      </c>
      <c r="AB431" s="687">
        <v>10000000</v>
      </c>
      <c r="AC431" s="669">
        <v>1</v>
      </c>
      <c r="AD431" s="669"/>
      <c r="AE431" s="669"/>
      <c r="AF431" s="669"/>
      <c r="AG431" s="341"/>
      <c r="AH431" s="355" t="s">
        <v>3031</v>
      </c>
      <c r="AI431" s="358"/>
      <c r="AJ431" s="358"/>
      <c r="AK431" s="358" t="s">
        <v>3032</v>
      </c>
      <c r="AL431" s="358" t="s">
        <v>3033</v>
      </c>
      <c r="AM431" s="267" t="s">
        <v>2598</v>
      </c>
      <c r="AN431" s="512">
        <v>231803</v>
      </c>
      <c r="AO431" s="525">
        <v>30211692</v>
      </c>
      <c r="AP431" s="310"/>
      <c r="AQ431" s="310"/>
      <c r="AR431" s="310"/>
      <c r="AS431" s="310"/>
      <c r="AT431" s="310"/>
      <c r="AU431" s="310"/>
      <c r="AV431" s="544">
        <f t="shared" si="183"/>
        <v>30211692</v>
      </c>
      <c r="AW431" s="525"/>
      <c r="AX431" s="310"/>
      <c r="AY431" s="310"/>
      <c r="AZ431" s="310"/>
      <c r="BA431" s="310"/>
      <c r="BB431" s="310"/>
      <c r="BC431" s="310"/>
      <c r="BD431" s="544">
        <f t="shared" si="180"/>
        <v>0</v>
      </c>
      <c r="BE431" s="525"/>
      <c r="BF431" s="310"/>
      <c r="BG431" s="310"/>
      <c r="BH431" s="310"/>
      <c r="BI431" s="310"/>
      <c r="BJ431" s="310"/>
      <c r="BK431" s="310"/>
      <c r="BL431" s="544">
        <f t="shared" si="181"/>
        <v>0</v>
      </c>
      <c r="BM431" s="525"/>
      <c r="BN431" s="310"/>
      <c r="BO431" s="310"/>
      <c r="BP431" s="310"/>
      <c r="BQ431" s="310"/>
      <c r="BR431" s="310"/>
      <c r="BS431" s="310"/>
      <c r="BT431" s="544">
        <f t="shared" si="182"/>
        <v>0</v>
      </c>
      <c r="BU431" s="556"/>
      <c r="BV431" s="663">
        <f t="shared" si="184"/>
        <v>1</v>
      </c>
      <c r="BW431" s="674">
        <f t="shared" si="185"/>
        <v>0.25</v>
      </c>
      <c r="BX431" s="674">
        <f t="shared" si="186"/>
        <v>1</v>
      </c>
      <c r="BY431" s="674">
        <f t="shared" si="187"/>
        <v>0</v>
      </c>
      <c r="BZ431" s="675">
        <f t="shared" si="188"/>
        <v>0</v>
      </c>
      <c r="CA431" s="675">
        <f t="shared" si="189"/>
        <v>0</v>
      </c>
    </row>
    <row r="432" spans="1:79" ht="24" hidden="1" customHeight="1" x14ac:dyDescent="0.25">
      <c r="A432" s="295" t="s">
        <v>1261</v>
      </c>
      <c r="B432" s="24" t="str">
        <f>'PLAN INDICATIVO'!B424</f>
        <v>Justicia y seguridad</v>
      </c>
      <c r="C432" s="1574" t="s">
        <v>1307</v>
      </c>
      <c r="D432" s="1575"/>
      <c r="E432" s="1575"/>
      <c r="F432" s="1575"/>
      <c r="G432" s="1575"/>
      <c r="H432" s="1575"/>
      <c r="I432" s="1575"/>
      <c r="J432" s="1575"/>
      <c r="K432" s="1575"/>
      <c r="L432" s="1575"/>
      <c r="M432" s="1575"/>
      <c r="N432" s="1575"/>
      <c r="O432" s="1576"/>
      <c r="P432" s="22"/>
      <c r="Q432" s="22"/>
      <c r="R432" s="1"/>
      <c r="S432" s="261"/>
      <c r="T432" s="681"/>
      <c r="U432" s="261"/>
      <c r="V432" s="689">
        <f>SUM(V433:V445)</f>
        <v>330000000</v>
      </c>
      <c r="W432" s="261"/>
      <c r="X432" s="689">
        <f>SUM(X433:X445)</f>
        <v>97000000</v>
      </c>
      <c r="Y432" s="261"/>
      <c r="Z432" s="689">
        <f>SUM(Z433:Z445)</f>
        <v>72000000</v>
      </c>
      <c r="AA432" s="261"/>
      <c r="AB432" s="689">
        <f>SUM(AB433:AB445)</f>
        <v>72000000</v>
      </c>
      <c r="AC432" s="261"/>
      <c r="AD432" s="261"/>
      <c r="AE432" s="261"/>
      <c r="AF432" s="261"/>
      <c r="AG432" s="273"/>
      <c r="AH432" s="273"/>
      <c r="AI432" s="261"/>
      <c r="AJ432" s="261"/>
      <c r="AK432" s="261"/>
      <c r="AL432" s="261"/>
      <c r="AM432" s="261"/>
      <c r="AN432" s="635"/>
      <c r="AO432" s="616" t="e">
        <f>(AO433:AO445)</f>
        <v>#VALUE!</v>
      </c>
      <c r="AP432" s="616" t="e">
        <f t="shared" ref="AP432:AU432" si="198">(AP433:AP445)</f>
        <v>#VALUE!</v>
      </c>
      <c r="AQ432" s="616" t="e">
        <f t="shared" si="198"/>
        <v>#VALUE!</v>
      </c>
      <c r="AR432" s="616" t="e">
        <f t="shared" si="198"/>
        <v>#VALUE!</v>
      </c>
      <c r="AS432" s="616" t="e">
        <f t="shared" si="198"/>
        <v>#VALUE!</v>
      </c>
      <c r="AT432" s="616" t="e">
        <f t="shared" si="198"/>
        <v>#VALUE!</v>
      </c>
      <c r="AU432" s="616" t="e">
        <f t="shared" si="198"/>
        <v>#VALUE!</v>
      </c>
      <c r="AV432" s="617" t="e">
        <f t="shared" si="183"/>
        <v>#VALUE!</v>
      </c>
      <c r="AW432" s="616" t="e">
        <f t="shared" ref="AW432:BC432" si="199">(AW433:AW445)</f>
        <v>#VALUE!</v>
      </c>
      <c r="AX432" s="616" t="e">
        <f t="shared" si="199"/>
        <v>#VALUE!</v>
      </c>
      <c r="AY432" s="616" t="e">
        <f t="shared" si="199"/>
        <v>#VALUE!</v>
      </c>
      <c r="AZ432" s="616" t="e">
        <f t="shared" si="199"/>
        <v>#VALUE!</v>
      </c>
      <c r="BA432" s="616" t="e">
        <f t="shared" si="199"/>
        <v>#VALUE!</v>
      </c>
      <c r="BB432" s="616" t="e">
        <f t="shared" si="199"/>
        <v>#VALUE!</v>
      </c>
      <c r="BC432" s="616" t="e">
        <f t="shared" si="199"/>
        <v>#VALUE!</v>
      </c>
      <c r="BD432" s="617" t="e">
        <f t="shared" si="180"/>
        <v>#VALUE!</v>
      </c>
      <c r="BE432" s="616" t="e">
        <f t="shared" ref="BE432:BK432" si="200">(BE433:BE445)</f>
        <v>#VALUE!</v>
      </c>
      <c r="BF432" s="616" t="e">
        <f t="shared" si="200"/>
        <v>#VALUE!</v>
      </c>
      <c r="BG432" s="616" t="e">
        <f t="shared" si="200"/>
        <v>#VALUE!</v>
      </c>
      <c r="BH432" s="616" t="e">
        <f t="shared" si="200"/>
        <v>#VALUE!</v>
      </c>
      <c r="BI432" s="616" t="e">
        <f t="shared" si="200"/>
        <v>#VALUE!</v>
      </c>
      <c r="BJ432" s="616" t="e">
        <f t="shared" si="200"/>
        <v>#VALUE!</v>
      </c>
      <c r="BK432" s="616" t="e">
        <f t="shared" si="200"/>
        <v>#VALUE!</v>
      </c>
      <c r="BL432" s="617" t="e">
        <f t="shared" si="181"/>
        <v>#VALUE!</v>
      </c>
      <c r="BM432" s="616" t="e">
        <f t="shared" ref="BM432:BS432" si="201">(BM433:BM445)</f>
        <v>#VALUE!</v>
      </c>
      <c r="BN432" s="616" t="e">
        <f t="shared" si="201"/>
        <v>#VALUE!</v>
      </c>
      <c r="BO432" s="616" t="e">
        <f t="shared" si="201"/>
        <v>#VALUE!</v>
      </c>
      <c r="BP432" s="616" t="e">
        <f t="shared" si="201"/>
        <v>#VALUE!</v>
      </c>
      <c r="BQ432" s="616" t="e">
        <f t="shared" si="201"/>
        <v>#VALUE!</v>
      </c>
      <c r="BR432" s="616" t="e">
        <f t="shared" si="201"/>
        <v>#VALUE!</v>
      </c>
      <c r="BS432" s="616" t="e">
        <f t="shared" si="201"/>
        <v>#VALUE!</v>
      </c>
      <c r="BT432" s="617" t="e">
        <f t="shared" si="182"/>
        <v>#VALUE!</v>
      </c>
      <c r="BU432" s="556"/>
      <c r="BV432" s="863">
        <f t="shared" si="184"/>
        <v>0</v>
      </c>
      <c r="BW432" s="864" t="e">
        <f t="shared" si="185"/>
        <v>#DIV/0!</v>
      </c>
      <c r="BX432" s="864" t="e">
        <f t="shared" si="186"/>
        <v>#DIV/0!</v>
      </c>
      <c r="BY432" s="864" t="e">
        <f t="shared" si="187"/>
        <v>#DIV/0!</v>
      </c>
      <c r="BZ432" s="1450" t="e">
        <f t="shared" si="188"/>
        <v>#DIV/0!</v>
      </c>
      <c r="CA432" s="1450" t="e">
        <f t="shared" si="189"/>
        <v>#DIV/0!</v>
      </c>
    </row>
    <row r="433" spans="1:92" ht="69.75" hidden="1" x14ac:dyDescent="0.25">
      <c r="A433" s="298" t="s">
        <v>1261</v>
      </c>
      <c r="B433" s="299" t="str">
        <f>'PLAN INDICATIVO'!B425</f>
        <v>Justicia y seguridad</v>
      </c>
      <c r="C433" s="1546" t="s">
        <v>1308</v>
      </c>
      <c r="D433" s="1549" t="s">
        <v>1309</v>
      </c>
      <c r="E433" s="1549" t="s">
        <v>1310</v>
      </c>
      <c r="F433" s="1549">
        <v>2015</v>
      </c>
      <c r="G433" s="1549" t="s">
        <v>1311</v>
      </c>
      <c r="H433" s="1549">
        <v>270</v>
      </c>
      <c r="I433" s="300">
        <f>'PLAN INDICATIVO'!I425</f>
        <v>0</v>
      </c>
      <c r="J433" s="300">
        <f>'PLAN INDICATIVO'!J425</f>
        <v>0</v>
      </c>
      <c r="K433" s="1425" t="str">
        <f>'PLAN INDICATIVO'!K425</f>
        <v>A.18.2.1</v>
      </c>
      <c r="L433" s="301" t="str">
        <f>'PLAN INDICATIVO'!L425</f>
        <v>16. Paz, justicia e instituciones sólidas</v>
      </c>
      <c r="M433" s="301" t="str">
        <f>'PLAN INDICATIVO'!M425</f>
        <v>Secretaría de Gobierno</v>
      </c>
      <c r="N433" s="1425" t="s">
        <v>2791</v>
      </c>
      <c r="O433" s="1425" t="str">
        <f>'PLAN INDICATIVO'!O425</f>
        <v>Incremento</v>
      </c>
      <c r="P433" s="16" t="str">
        <f>'PLAN INDICATIVO'!P425</f>
        <v>Instalar 10 nuevas cámaras de seguridad y lograr su funcionamiento durante el cuatrienio</v>
      </c>
      <c r="Q433" s="302" t="str">
        <f>'PLAN INDICATIVO'!Q425</f>
        <v>No. de cámaras instaladas</v>
      </c>
      <c r="R433" s="303">
        <f>'PLAN INDICATIVO'!R425</f>
        <v>2015</v>
      </c>
      <c r="S433" s="304">
        <v>0</v>
      </c>
      <c r="T433" s="699">
        <v>10</v>
      </c>
      <c r="U433" s="303">
        <v>0</v>
      </c>
      <c r="V433" s="687">
        <v>200000000</v>
      </c>
      <c r="W433" s="303">
        <v>2</v>
      </c>
      <c r="X433" s="687">
        <v>6000000</v>
      </c>
      <c r="Y433" s="303">
        <v>2</v>
      </c>
      <c r="Z433" s="687">
        <v>1000000</v>
      </c>
      <c r="AA433" s="303">
        <v>0</v>
      </c>
      <c r="AB433" s="687"/>
      <c r="AC433" s="669">
        <v>0</v>
      </c>
      <c r="AD433" s="669"/>
      <c r="AE433" s="669"/>
      <c r="AF433" s="669"/>
      <c r="AG433" s="341"/>
      <c r="AH433" s="355"/>
      <c r="AI433" s="356">
        <v>37469</v>
      </c>
      <c r="AJ433" s="356">
        <v>11293</v>
      </c>
      <c r="AK433" s="358"/>
      <c r="AL433" s="358"/>
      <c r="AM433" s="267" t="s">
        <v>2594</v>
      </c>
      <c r="AN433" s="512"/>
      <c r="AO433" s="525"/>
      <c r="AP433" s="310"/>
      <c r="AQ433" s="310"/>
      <c r="AR433" s="310"/>
      <c r="AS433" s="310"/>
      <c r="AT433" s="310"/>
      <c r="AU433" s="310"/>
      <c r="AV433" s="544">
        <f t="shared" si="183"/>
        <v>0</v>
      </c>
      <c r="AW433" s="525"/>
      <c r="AX433" s="310"/>
      <c r="AY433" s="310"/>
      <c r="AZ433" s="310"/>
      <c r="BA433" s="310"/>
      <c r="BB433" s="310"/>
      <c r="BC433" s="310"/>
      <c r="BD433" s="544">
        <f t="shared" si="180"/>
        <v>0</v>
      </c>
      <c r="BE433" s="525"/>
      <c r="BF433" s="310"/>
      <c r="BG433" s="310"/>
      <c r="BH433" s="310"/>
      <c r="BI433" s="310"/>
      <c r="BJ433" s="310"/>
      <c r="BK433" s="310"/>
      <c r="BL433" s="544">
        <f t="shared" si="181"/>
        <v>0</v>
      </c>
      <c r="BM433" s="525"/>
      <c r="BN433" s="310"/>
      <c r="BO433" s="310"/>
      <c r="BP433" s="310"/>
      <c r="BQ433" s="310"/>
      <c r="BR433" s="310"/>
      <c r="BS433" s="310"/>
      <c r="BT433" s="544">
        <f t="shared" si="182"/>
        <v>0</v>
      </c>
      <c r="BU433" s="556"/>
      <c r="BV433" s="663">
        <f t="shared" si="184"/>
        <v>0</v>
      </c>
      <c r="BW433" s="674">
        <f t="shared" si="185"/>
        <v>0</v>
      </c>
      <c r="BX433" s="674" t="e">
        <f t="shared" si="186"/>
        <v>#DIV/0!</v>
      </c>
      <c r="BY433" s="674">
        <f t="shared" si="187"/>
        <v>0</v>
      </c>
      <c r="BZ433" s="675">
        <f t="shared" si="188"/>
        <v>0</v>
      </c>
      <c r="CA433" s="675" t="e">
        <f t="shared" si="189"/>
        <v>#DIV/0!</v>
      </c>
    </row>
    <row r="434" spans="1:92" ht="74.25" hidden="1" customHeight="1" x14ac:dyDescent="0.25">
      <c r="A434" s="298" t="s">
        <v>1261</v>
      </c>
      <c r="B434" s="299" t="str">
        <f>'PLAN INDICATIVO'!B426</f>
        <v>Justicia y seguridad</v>
      </c>
      <c r="C434" s="1547"/>
      <c r="D434" s="1549"/>
      <c r="E434" s="1549"/>
      <c r="F434" s="1549"/>
      <c r="G434" s="1549"/>
      <c r="H434" s="1549"/>
      <c r="I434" s="300">
        <f>'PLAN INDICATIVO'!I426</f>
        <v>0</v>
      </c>
      <c r="J434" s="300">
        <f>'PLAN INDICATIVO'!J426</f>
        <v>0</v>
      </c>
      <c r="K434" s="1425" t="str">
        <f>'PLAN INDICATIVO'!K426</f>
        <v>A.18.2.2</v>
      </c>
      <c r="L434" s="301" t="str">
        <f>'PLAN INDICATIVO'!L426</f>
        <v>16. Paz, justicia e instituciones sólidas</v>
      </c>
      <c r="M434" s="301" t="str">
        <f>'PLAN INDICATIVO'!M426</f>
        <v>Secretaría de Gobierno</v>
      </c>
      <c r="N434" s="1425" t="s">
        <v>2791</v>
      </c>
      <c r="O434" s="1425" t="str">
        <f>'PLAN INDICATIVO'!O426</f>
        <v>Mantenimiento</v>
      </c>
      <c r="P434" s="16" t="str">
        <f>'PLAN INDICATIVO'!P426</f>
        <v xml:space="preserve">Implementar 1 plan de mantenimiento anual a las cámaras de seguridad existentes en el municipio, durante el cuatrienio. </v>
      </c>
      <c r="Q434" s="302" t="str">
        <f>'PLAN INDICATIVO'!Q426</f>
        <v>No. de planes de mantenimiento de cámaras de seguridad implementados</v>
      </c>
      <c r="R434" s="303">
        <f>'PLAN INDICATIVO'!R426</f>
        <v>2015</v>
      </c>
      <c r="S434" s="304">
        <v>1</v>
      </c>
      <c r="T434" s="699">
        <v>4</v>
      </c>
      <c r="U434" s="303">
        <v>1</v>
      </c>
      <c r="V434" s="687">
        <v>1000000</v>
      </c>
      <c r="W434" s="303">
        <v>1</v>
      </c>
      <c r="X434" s="687">
        <v>1000000</v>
      </c>
      <c r="Y434" s="303">
        <v>1</v>
      </c>
      <c r="Z434" s="687">
        <v>1000000</v>
      </c>
      <c r="AA434" s="303">
        <v>1</v>
      </c>
      <c r="AB434" s="687">
        <v>1000000</v>
      </c>
      <c r="AC434" s="669">
        <v>1</v>
      </c>
      <c r="AD434" s="669"/>
      <c r="AE434" s="669"/>
      <c r="AF434" s="669"/>
      <c r="AG434" s="341"/>
      <c r="AH434" s="355" t="s">
        <v>3034</v>
      </c>
      <c r="AI434" s="356">
        <v>37469</v>
      </c>
      <c r="AJ434" s="356">
        <v>11293</v>
      </c>
      <c r="AK434" s="358"/>
      <c r="AL434" s="358"/>
      <c r="AM434" s="267" t="s">
        <v>2598</v>
      </c>
      <c r="AN434" s="512"/>
      <c r="AO434" s="525"/>
      <c r="AP434" s="310"/>
      <c r="AQ434" s="310"/>
      <c r="AR434" s="310"/>
      <c r="AS434" s="310"/>
      <c r="AT434" s="310"/>
      <c r="AU434" s="310"/>
      <c r="AV434" s="544">
        <f t="shared" si="183"/>
        <v>0</v>
      </c>
      <c r="AW434" s="525"/>
      <c r="AX434" s="310"/>
      <c r="AY434" s="310"/>
      <c r="AZ434" s="310"/>
      <c r="BA434" s="310"/>
      <c r="BB434" s="310"/>
      <c r="BC434" s="310"/>
      <c r="BD434" s="544">
        <f t="shared" si="180"/>
        <v>0</v>
      </c>
      <c r="BE434" s="525"/>
      <c r="BF434" s="310"/>
      <c r="BG434" s="310"/>
      <c r="BH434" s="310"/>
      <c r="BI434" s="310"/>
      <c r="BJ434" s="310"/>
      <c r="BK434" s="310"/>
      <c r="BL434" s="544">
        <f t="shared" si="181"/>
        <v>0</v>
      </c>
      <c r="BM434" s="525"/>
      <c r="BN434" s="310"/>
      <c r="BO434" s="310"/>
      <c r="BP434" s="310"/>
      <c r="BQ434" s="310"/>
      <c r="BR434" s="310"/>
      <c r="BS434" s="310"/>
      <c r="BT434" s="544">
        <f t="shared" si="182"/>
        <v>0</v>
      </c>
      <c r="BU434" s="556"/>
      <c r="BV434" s="663">
        <f t="shared" si="184"/>
        <v>1</v>
      </c>
      <c r="BW434" s="674">
        <f t="shared" si="185"/>
        <v>0.25</v>
      </c>
      <c r="BX434" s="674">
        <f t="shared" si="186"/>
        <v>1</v>
      </c>
      <c r="BY434" s="674">
        <f t="shared" si="187"/>
        <v>0</v>
      </c>
      <c r="BZ434" s="675">
        <f t="shared" si="188"/>
        <v>0</v>
      </c>
      <c r="CA434" s="675">
        <f t="shared" si="189"/>
        <v>0</v>
      </c>
    </row>
    <row r="435" spans="1:92" ht="75.75" hidden="1" customHeight="1" x14ac:dyDescent="0.25">
      <c r="A435" s="298" t="s">
        <v>1261</v>
      </c>
      <c r="B435" s="299" t="str">
        <f>'PLAN INDICATIVO'!B427</f>
        <v>Justicia y seguridad</v>
      </c>
      <c r="C435" s="1547"/>
      <c r="D435" s="1549"/>
      <c r="E435" s="1549"/>
      <c r="F435" s="1549"/>
      <c r="G435" s="1549"/>
      <c r="H435" s="1549"/>
      <c r="I435" s="300">
        <f>'PLAN INDICATIVO'!I427</f>
        <v>0</v>
      </c>
      <c r="J435" s="300">
        <f>'PLAN INDICATIVO'!J427</f>
        <v>0</v>
      </c>
      <c r="K435" s="1425" t="str">
        <f>'PLAN INDICATIVO'!K427</f>
        <v>A.18.2.3</v>
      </c>
      <c r="L435" s="301" t="str">
        <f>'PLAN INDICATIVO'!L427</f>
        <v>16. Paz, justicia e instituciones sólidas</v>
      </c>
      <c r="M435" s="301" t="str">
        <f>'PLAN INDICATIVO'!M427</f>
        <v>Secretaría de Gobierno</v>
      </c>
      <c r="N435" s="1425" t="s">
        <v>2736</v>
      </c>
      <c r="O435" s="1425" t="str">
        <f>'PLAN INDICATIVO'!O427</f>
        <v>Mantenimiento</v>
      </c>
      <c r="P435" s="16" t="str">
        <f>'PLAN INDICATIVO'!P427</f>
        <v>Implementar 1 programa al año que promueva la garantía de los derechos humanos</v>
      </c>
      <c r="Q435" s="302" t="str">
        <f>'PLAN INDICATIVO'!Q427</f>
        <v>No. De Programas implementados por año</v>
      </c>
      <c r="R435" s="303">
        <f>'PLAN INDICATIVO'!R427</f>
        <v>2015</v>
      </c>
      <c r="S435" s="304">
        <v>0</v>
      </c>
      <c r="T435" s="699">
        <v>4</v>
      </c>
      <c r="U435" s="303">
        <v>1</v>
      </c>
      <c r="V435" s="687">
        <v>1000000</v>
      </c>
      <c r="W435" s="303">
        <v>1</v>
      </c>
      <c r="X435" s="687">
        <v>4000000</v>
      </c>
      <c r="Y435" s="303">
        <v>1</v>
      </c>
      <c r="Z435" s="687">
        <v>4000000</v>
      </c>
      <c r="AA435" s="303">
        <v>1</v>
      </c>
      <c r="AB435" s="687">
        <v>4000000</v>
      </c>
      <c r="AC435" s="669">
        <v>1</v>
      </c>
      <c r="AD435" s="669"/>
      <c r="AE435" s="669"/>
      <c r="AF435" s="669"/>
      <c r="AG435" s="341"/>
      <c r="AH435" s="355" t="s">
        <v>3035</v>
      </c>
      <c r="AI435" s="356">
        <v>37288</v>
      </c>
      <c r="AJ435" s="356">
        <v>11293</v>
      </c>
      <c r="AK435" s="358"/>
      <c r="AL435" s="358"/>
      <c r="AM435" s="281" t="s">
        <v>2598</v>
      </c>
      <c r="AN435" s="512">
        <v>2318</v>
      </c>
      <c r="AO435" s="525"/>
      <c r="AP435" s="310"/>
      <c r="AQ435" s="310"/>
      <c r="AR435" s="310"/>
      <c r="AS435" s="310"/>
      <c r="AT435" s="310"/>
      <c r="AU435" s="310"/>
      <c r="AV435" s="544">
        <f t="shared" si="183"/>
        <v>0</v>
      </c>
      <c r="AW435" s="525"/>
      <c r="AX435" s="310"/>
      <c r="AY435" s="310"/>
      <c r="AZ435" s="310"/>
      <c r="BA435" s="310"/>
      <c r="BB435" s="310"/>
      <c r="BC435" s="310"/>
      <c r="BD435" s="544">
        <f t="shared" si="180"/>
        <v>0</v>
      </c>
      <c r="BE435" s="525"/>
      <c r="BF435" s="310"/>
      <c r="BG435" s="310"/>
      <c r="BH435" s="310"/>
      <c r="BI435" s="310"/>
      <c r="BJ435" s="310"/>
      <c r="BK435" s="310"/>
      <c r="BL435" s="544">
        <f t="shared" si="181"/>
        <v>0</v>
      </c>
      <c r="BM435" s="525"/>
      <c r="BN435" s="310"/>
      <c r="BO435" s="310"/>
      <c r="BP435" s="310"/>
      <c r="BQ435" s="310"/>
      <c r="BR435" s="310"/>
      <c r="BS435" s="310"/>
      <c r="BT435" s="544">
        <f t="shared" si="182"/>
        <v>0</v>
      </c>
      <c r="BU435" s="556"/>
      <c r="BV435" s="663">
        <f t="shared" si="184"/>
        <v>1</v>
      </c>
      <c r="BW435" s="674">
        <f t="shared" si="185"/>
        <v>0.25</v>
      </c>
      <c r="BX435" s="674">
        <f t="shared" si="186"/>
        <v>1</v>
      </c>
      <c r="BY435" s="674">
        <f t="shared" si="187"/>
        <v>0</v>
      </c>
      <c r="BZ435" s="675">
        <f t="shared" si="188"/>
        <v>0</v>
      </c>
      <c r="CA435" s="675">
        <f t="shared" si="189"/>
        <v>0</v>
      </c>
    </row>
    <row r="436" spans="1:92" ht="78" hidden="1" customHeight="1" x14ac:dyDescent="0.25">
      <c r="A436" s="298" t="s">
        <v>1261</v>
      </c>
      <c r="B436" s="299" t="str">
        <f>'PLAN INDICATIVO'!B428</f>
        <v>Justicia y seguridad</v>
      </c>
      <c r="C436" s="1547"/>
      <c r="D436" s="1549"/>
      <c r="E436" s="1549"/>
      <c r="F436" s="1549"/>
      <c r="G436" s="1549"/>
      <c r="H436" s="1549"/>
      <c r="I436" s="300">
        <f>'PLAN INDICATIVO'!I428</f>
        <v>0</v>
      </c>
      <c r="J436" s="300">
        <f>'PLAN INDICATIVO'!J428</f>
        <v>0</v>
      </c>
      <c r="K436" s="1425" t="str">
        <f>'PLAN INDICATIVO'!K428</f>
        <v>A.18.2.4</v>
      </c>
      <c r="L436" s="301" t="str">
        <f>'PLAN INDICATIVO'!L428</f>
        <v>16. Paz, justicia e instituciones sólidas</v>
      </c>
      <c r="M436" s="301" t="str">
        <f>'PLAN INDICATIVO'!M428</f>
        <v>Secretaría de Gobierno</v>
      </c>
      <c r="N436" s="1425" t="s">
        <v>2736</v>
      </c>
      <c r="O436" s="1425" t="str">
        <f>'PLAN INDICATIVO'!O428</f>
        <v>Mantenimiento</v>
      </c>
      <c r="P436" s="16" t="str">
        <f>'PLAN INDICATIVO'!P428</f>
        <v>Realizar 1 campaña anual para prevención de violencia intrafamiliar, de género y maltrato infantil</v>
      </c>
      <c r="Q436" s="302" t="str">
        <f>'PLAN INDICATIVO'!Q428</f>
        <v>No. de Campaña implementada por año</v>
      </c>
      <c r="R436" s="303">
        <f>'PLAN INDICATIVO'!R428</f>
        <v>2015</v>
      </c>
      <c r="S436" s="304">
        <v>1</v>
      </c>
      <c r="T436" s="699">
        <v>4</v>
      </c>
      <c r="U436" s="303">
        <v>1</v>
      </c>
      <c r="V436" s="687">
        <v>3000000</v>
      </c>
      <c r="W436" s="303">
        <v>1</v>
      </c>
      <c r="X436" s="687">
        <v>6000000</v>
      </c>
      <c r="Y436" s="303">
        <v>1</v>
      </c>
      <c r="Z436" s="687">
        <v>6000000</v>
      </c>
      <c r="AA436" s="303">
        <v>1</v>
      </c>
      <c r="AB436" s="687">
        <v>6000000</v>
      </c>
      <c r="AC436" s="669">
        <v>1</v>
      </c>
      <c r="AD436" s="669"/>
      <c r="AE436" s="669"/>
      <c r="AF436" s="669"/>
      <c r="AG436" s="341" t="s">
        <v>3036</v>
      </c>
      <c r="AH436" s="355" t="s">
        <v>3037</v>
      </c>
      <c r="AI436" s="356">
        <v>37288</v>
      </c>
      <c r="AJ436" s="356">
        <v>11293</v>
      </c>
      <c r="AK436" s="358"/>
      <c r="AL436" s="358"/>
      <c r="AM436" s="267" t="s">
        <v>2598</v>
      </c>
      <c r="AN436" s="512">
        <v>23180406</v>
      </c>
      <c r="AO436" s="525"/>
      <c r="AP436" s="310"/>
      <c r="AQ436" s="310"/>
      <c r="AR436" s="310"/>
      <c r="AS436" s="310"/>
      <c r="AT436" s="310"/>
      <c r="AU436" s="310"/>
      <c r="AV436" s="544">
        <f t="shared" si="183"/>
        <v>0</v>
      </c>
      <c r="AW436" s="525"/>
      <c r="AX436" s="310"/>
      <c r="AY436" s="310"/>
      <c r="AZ436" s="310"/>
      <c r="BA436" s="310"/>
      <c r="BB436" s="310"/>
      <c r="BC436" s="310"/>
      <c r="BD436" s="544">
        <f t="shared" si="180"/>
        <v>0</v>
      </c>
      <c r="BE436" s="525"/>
      <c r="BF436" s="310"/>
      <c r="BG436" s="310"/>
      <c r="BH436" s="310"/>
      <c r="BI436" s="310"/>
      <c r="BJ436" s="310"/>
      <c r="BK436" s="310"/>
      <c r="BL436" s="544">
        <f t="shared" si="181"/>
        <v>0</v>
      </c>
      <c r="BM436" s="525"/>
      <c r="BN436" s="310"/>
      <c r="BO436" s="310"/>
      <c r="BP436" s="310"/>
      <c r="BQ436" s="310"/>
      <c r="BR436" s="310"/>
      <c r="BS436" s="310"/>
      <c r="BT436" s="544">
        <f t="shared" si="182"/>
        <v>0</v>
      </c>
      <c r="BU436" s="556"/>
      <c r="BV436" s="663">
        <f t="shared" si="184"/>
        <v>1</v>
      </c>
      <c r="BW436" s="674">
        <f t="shared" si="185"/>
        <v>0.25</v>
      </c>
      <c r="BX436" s="674">
        <f t="shared" si="186"/>
        <v>1</v>
      </c>
      <c r="BY436" s="674">
        <f t="shared" si="187"/>
        <v>0</v>
      </c>
      <c r="BZ436" s="675">
        <f t="shared" si="188"/>
        <v>0</v>
      </c>
      <c r="CA436" s="675">
        <f t="shared" si="189"/>
        <v>0</v>
      </c>
    </row>
    <row r="437" spans="1:92" ht="72.75" hidden="1" customHeight="1" x14ac:dyDescent="0.25">
      <c r="A437" s="298" t="s">
        <v>1261</v>
      </c>
      <c r="B437" s="299" t="str">
        <f>'PLAN INDICATIVO'!B429</f>
        <v>Justicia y seguridad</v>
      </c>
      <c r="C437" s="1547"/>
      <c r="D437" s="1549"/>
      <c r="E437" s="1549"/>
      <c r="F437" s="1549"/>
      <c r="G437" s="1549"/>
      <c r="H437" s="1549"/>
      <c r="I437" s="300">
        <f>'PLAN INDICATIVO'!I429</f>
        <v>0</v>
      </c>
      <c r="J437" s="300">
        <f>'PLAN INDICATIVO'!J429</f>
        <v>0</v>
      </c>
      <c r="K437" s="1425" t="str">
        <f>'PLAN INDICATIVO'!K429</f>
        <v>A.18.2.5</v>
      </c>
      <c r="L437" s="301" t="str">
        <f>'PLAN INDICATIVO'!L429</f>
        <v>16. Paz, justicia e instituciones sólidas</v>
      </c>
      <c r="M437" s="301" t="str">
        <f>'PLAN INDICATIVO'!M429</f>
        <v>Secretaría de Gobierno</v>
      </c>
      <c r="N437" s="1425" t="s">
        <v>2736</v>
      </c>
      <c r="O437" s="1425" t="str">
        <f>'PLAN INDICATIVO'!O429</f>
        <v>Mantenimiento</v>
      </c>
      <c r="P437" s="71" t="str">
        <f>'PLAN INDICATIVO'!P429</f>
        <v>Realizar 1 dotación a la casa de la justicia para mejorar prestación de servicios cada año</v>
      </c>
      <c r="Q437" s="302" t="str">
        <f>'PLAN INDICATIVO'!Q429</f>
        <v>No. De Casa de la Justicia dotada por año</v>
      </c>
      <c r="R437" s="303">
        <f>'PLAN INDICATIVO'!R429</f>
        <v>2015</v>
      </c>
      <c r="S437" s="304">
        <v>0</v>
      </c>
      <c r="T437" s="699">
        <v>4</v>
      </c>
      <c r="U437" s="303">
        <v>1</v>
      </c>
      <c r="V437" s="687">
        <v>6000000</v>
      </c>
      <c r="W437" s="303">
        <v>1</v>
      </c>
      <c r="X437" s="687">
        <v>6000000</v>
      </c>
      <c r="Y437" s="303">
        <v>1</v>
      </c>
      <c r="Z437" s="687">
        <v>1000000</v>
      </c>
      <c r="AA437" s="303">
        <v>1</v>
      </c>
      <c r="AB437" s="687">
        <v>1000000</v>
      </c>
      <c r="AC437" s="669">
        <v>1</v>
      </c>
      <c r="AD437" s="669"/>
      <c r="AE437" s="669"/>
      <c r="AF437" s="669"/>
      <c r="AG437" s="341" t="s">
        <v>3038</v>
      </c>
      <c r="AH437" s="355" t="s">
        <v>3039</v>
      </c>
      <c r="AI437" s="356">
        <v>38899</v>
      </c>
      <c r="AJ437" s="356">
        <v>42248</v>
      </c>
      <c r="AK437" s="358"/>
      <c r="AL437" s="358"/>
      <c r="AM437" s="267" t="s">
        <v>2598</v>
      </c>
      <c r="AN437" s="512" t="s">
        <v>3040</v>
      </c>
      <c r="AO437" s="525"/>
      <c r="AP437" s="310">
        <v>5900000</v>
      </c>
      <c r="AQ437" s="310"/>
      <c r="AR437" s="310"/>
      <c r="AS437" s="310"/>
      <c r="AT437" s="310"/>
      <c r="AU437" s="310"/>
      <c r="AV437" s="544">
        <f t="shared" si="183"/>
        <v>5900000</v>
      </c>
      <c r="AW437" s="525"/>
      <c r="AX437" s="310"/>
      <c r="AY437" s="310"/>
      <c r="AZ437" s="310"/>
      <c r="BA437" s="310"/>
      <c r="BB437" s="310"/>
      <c r="BC437" s="310"/>
      <c r="BD437" s="544">
        <f t="shared" si="180"/>
        <v>0</v>
      </c>
      <c r="BE437" s="525"/>
      <c r="BF437" s="310"/>
      <c r="BG437" s="310"/>
      <c r="BH437" s="310"/>
      <c r="BI437" s="310"/>
      <c r="BJ437" s="310"/>
      <c r="BK437" s="310"/>
      <c r="BL437" s="544">
        <f t="shared" si="181"/>
        <v>0</v>
      </c>
      <c r="BM437" s="525"/>
      <c r="BN437" s="310"/>
      <c r="BO437" s="310"/>
      <c r="BP437" s="310"/>
      <c r="BQ437" s="310"/>
      <c r="BR437" s="310"/>
      <c r="BS437" s="310"/>
      <c r="BT437" s="544">
        <f t="shared" si="182"/>
        <v>0</v>
      </c>
      <c r="BU437" s="556"/>
      <c r="BV437" s="663">
        <f t="shared" si="184"/>
        <v>1</v>
      </c>
      <c r="BW437" s="674">
        <f t="shared" si="185"/>
        <v>0.25</v>
      </c>
      <c r="BX437" s="674">
        <f t="shared" si="186"/>
        <v>1</v>
      </c>
      <c r="BY437" s="674">
        <f t="shared" si="187"/>
        <v>0</v>
      </c>
      <c r="BZ437" s="675">
        <f t="shared" si="188"/>
        <v>0</v>
      </c>
      <c r="CA437" s="675">
        <f t="shared" si="189"/>
        <v>0</v>
      </c>
    </row>
    <row r="438" spans="1:92" ht="54" hidden="1" customHeight="1" x14ac:dyDescent="0.25">
      <c r="A438" s="298" t="s">
        <v>1261</v>
      </c>
      <c r="B438" s="299" t="str">
        <f>'PLAN INDICATIVO'!B430</f>
        <v>Justicia y seguridad</v>
      </c>
      <c r="C438" s="1547"/>
      <c r="D438" s="1549"/>
      <c r="E438" s="1549"/>
      <c r="F438" s="1549"/>
      <c r="G438" s="1549"/>
      <c r="H438" s="1549"/>
      <c r="I438" s="300">
        <f>'PLAN INDICATIVO'!I430</f>
        <v>0</v>
      </c>
      <c r="J438" s="300">
        <f>'PLAN INDICATIVO'!J430</f>
        <v>0</v>
      </c>
      <c r="K438" s="1425" t="str">
        <f>'PLAN INDICATIVO'!K430</f>
        <v>A.18.2.6</v>
      </c>
      <c r="L438" s="301" t="str">
        <f>'PLAN INDICATIVO'!L430</f>
        <v>16. Paz, justicia e instituciones sólidas</v>
      </c>
      <c r="M438" s="301" t="str">
        <f>'PLAN INDICATIVO'!M430</f>
        <v>Secretaría de Gobierno</v>
      </c>
      <c r="N438" s="1425" t="s">
        <v>2791</v>
      </c>
      <c r="O438" s="1425" t="str">
        <f>'PLAN INDICATIVO'!O430</f>
        <v>Mantenimiento</v>
      </c>
      <c r="P438" s="16" t="str">
        <f>'PLAN INDICATIVO'!P430</f>
        <v>Fortalecer 1 programa de conciliadores en equidad cada año</v>
      </c>
      <c r="Q438" s="302" t="str">
        <f>'PLAN INDICATIVO'!Q430</f>
        <v>No. De Programa fortalecido por año</v>
      </c>
      <c r="R438" s="303">
        <f>'PLAN INDICATIVO'!R430</f>
        <v>2015</v>
      </c>
      <c r="S438" s="304">
        <v>0</v>
      </c>
      <c r="T438" s="699">
        <v>4</v>
      </c>
      <c r="U438" s="303">
        <v>1</v>
      </c>
      <c r="V438" s="687">
        <v>2000000</v>
      </c>
      <c r="W438" s="303">
        <v>1</v>
      </c>
      <c r="X438" s="687">
        <v>2000000</v>
      </c>
      <c r="Y438" s="303">
        <v>1</v>
      </c>
      <c r="Z438" s="687">
        <v>2000000</v>
      </c>
      <c r="AA438" s="303">
        <v>1</v>
      </c>
      <c r="AB438" s="687">
        <v>2000000</v>
      </c>
      <c r="AC438" s="669">
        <v>1</v>
      </c>
      <c r="AD438" s="669"/>
      <c r="AE438" s="669"/>
      <c r="AF438" s="669"/>
      <c r="AG438" s="341"/>
      <c r="AH438" s="355" t="s">
        <v>3041</v>
      </c>
      <c r="AI438" s="356">
        <v>43313</v>
      </c>
      <c r="AJ438" s="356">
        <v>44805</v>
      </c>
      <c r="AK438" s="358"/>
      <c r="AL438" s="358"/>
      <c r="AM438" s="267" t="s">
        <v>2598</v>
      </c>
      <c r="AN438" s="512" t="s">
        <v>3042</v>
      </c>
      <c r="AO438" s="525"/>
      <c r="AP438" s="310">
        <v>2861000</v>
      </c>
      <c r="AQ438" s="310"/>
      <c r="AR438" s="310"/>
      <c r="AS438" s="310"/>
      <c r="AT438" s="310"/>
      <c r="AU438" s="310"/>
      <c r="AV438" s="544">
        <f t="shared" si="183"/>
        <v>2861000</v>
      </c>
      <c r="AW438" s="525"/>
      <c r="AX438" s="310"/>
      <c r="AY438" s="310"/>
      <c r="AZ438" s="310"/>
      <c r="BA438" s="310"/>
      <c r="BB438" s="310"/>
      <c r="BC438" s="310"/>
      <c r="BD438" s="544">
        <f t="shared" si="180"/>
        <v>0</v>
      </c>
      <c r="BE438" s="525"/>
      <c r="BF438" s="310"/>
      <c r="BG438" s="310"/>
      <c r="BH438" s="310"/>
      <c r="BI438" s="310"/>
      <c r="BJ438" s="310"/>
      <c r="BK438" s="310"/>
      <c r="BL438" s="544">
        <f t="shared" si="181"/>
        <v>0</v>
      </c>
      <c r="BM438" s="525"/>
      <c r="BN438" s="310"/>
      <c r="BO438" s="310"/>
      <c r="BP438" s="310"/>
      <c r="BQ438" s="310"/>
      <c r="BR438" s="310"/>
      <c r="BS438" s="310"/>
      <c r="BT438" s="544">
        <f t="shared" si="182"/>
        <v>0</v>
      </c>
      <c r="BU438" s="556"/>
      <c r="BV438" s="663">
        <f t="shared" si="184"/>
        <v>1</v>
      </c>
      <c r="BW438" s="674">
        <f t="shared" si="185"/>
        <v>0.25</v>
      </c>
      <c r="BX438" s="674">
        <f t="shared" si="186"/>
        <v>1</v>
      </c>
      <c r="BY438" s="674">
        <f t="shared" si="187"/>
        <v>0</v>
      </c>
      <c r="BZ438" s="675">
        <f t="shared" si="188"/>
        <v>0</v>
      </c>
      <c r="CA438" s="675">
        <f t="shared" si="189"/>
        <v>0</v>
      </c>
    </row>
    <row r="439" spans="1:92" ht="73.5" hidden="1" customHeight="1" x14ac:dyDescent="0.25">
      <c r="A439" s="298" t="s">
        <v>1261</v>
      </c>
      <c r="B439" s="299" t="str">
        <f>'PLAN INDICATIVO'!B431</f>
        <v>Justicia y seguridad</v>
      </c>
      <c r="C439" s="1547"/>
      <c r="D439" s="1549"/>
      <c r="E439" s="1549"/>
      <c r="F439" s="1549"/>
      <c r="G439" s="1549"/>
      <c r="H439" s="1549"/>
      <c r="I439" s="300">
        <f>'PLAN INDICATIVO'!I431</f>
        <v>0</v>
      </c>
      <c r="J439" s="300">
        <f>'PLAN INDICATIVO'!J431</f>
        <v>0</v>
      </c>
      <c r="K439" s="1425" t="str">
        <f>'PLAN INDICATIVO'!K431</f>
        <v>A.18.2.7</v>
      </c>
      <c r="L439" s="301" t="str">
        <f>'PLAN INDICATIVO'!L431</f>
        <v>16. Paz, justicia e instituciones sólidas</v>
      </c>
      <c r="M439" s="301" t="str">
        <f>'PLAN INDICATIVO'!M431</f>
        <v>Secretaría de Gobierno</v>
      </c>
      <c r="N439" s="1425" t="s">
        <v>2736</v>
      </c>
      <c r="O439" s="1425" t="str">
        <f>'PLAN INDICATIVO'!O431</f>
        <v>Incremento</v>
      </c>
      <c r="P439" s="16" t="str">
        <f>'PLAN INDICATIVO'!P431</f>
        <v>Realizar 4 capacitaciones sobre mecanismos alternativos solución de conflictos durante el cuatrienio</v>
      </c>
      <c r="Q439" s="302" t="str">
        <f>'PLAN INDICATIVO'!Q431</f>
        <v>No. De capacitaciones realizadas</v>
      </c>
      <c r="R439" s="303">
        <f>'PLAN INDICATIVO'!R431</f>
        <v>2015</v>
      </c>
      <c r="S439" s="304">
        <v>0</v>
      </c>
      <c r="T439" s="699">
        <v>4</v>
      </c>
      <c r="U439" s="303">
        <v>1</v>
      </c>
      <c r="V439" s="687">
        <v>1000000</v>
      </c>
      <c r="W439" s="303">
        <v>1</v>
      </c>
      <c r="X439" s="687">
        <v>1000000</v>
      </c>
      <c r="Y439" s="303">
        <v>1</v>
      </c>
      <c r="Z439" s="687">
        <v>1000000</v>
      </c>
      <c r="AA439" s="303">
        <v>1</v>
      </c>
      <c r="AB439" s="687">
        <v>1000000</v>
      </c>
      <c r="AC439" s="669">
        <v>1</v>
      </c>
      <c r="AD439" s="669"/>
      <c r="AE439" s="669"/>
      <c r="AF439" s="669"/>
      <c r="AG439" s="341"/>
      <c r="AH439" s="355" t="s">
        <v>3043</v>
      </c>
      <c r="AI439" s="356">
        <v>44075</v>
      </c>
      <c r="AJ439" s="356">
        <v>45536</v>
      </c>
      <c r="AK439" s="358"/>
      <c r="AL439" s="358"/>
      <c r="AM439" s="267" t="s">
        <v>2598</v>
      </c>
      <c r="AN439" s="512">
        <v>231807</v>
      </c>
      <c r="AO439" s="525"/>
      <c r="AP439" s="310">
        <v>100000</v>
      </c>
      <c r="AQ439" s="310"/>
      <c r="AR439" s="310"/>
      <c r="AS439" s="310"/>
      <c r="AT439" s="310"/>
      <c r="AU439" s="310"/>
      <c r="AV439" s="544">
        <f t="shared" si="183"/>
        <v>100000</v>
      </c>
      <c r="AW439" s="525"/>
      <c r="AX439" s="310"/>
      <c r="AY439" s="310"/>
      <c r="AZ439" s="310"/>
      <c r="BA439" s="310"/>
      <c r="BB439" s="310"/>
      <c r="BC439" s="310"/>
      <c r="BD439" s="544">
        <f t="shared" si="180"/>
        <v>0</v>
      </c>
      <c r="BE439" s="525"/>
      <c r="BF439" s="310"/>
      <c r="BG439" s="310"/>
      <c r="BH439" s="310"/>
      <c r="BI439" s="310"/>
      <c r="BJ439" s="310"/>
      <c r="BK439" s="310"/>
      <c r="BL439" s="544">
        <f t="shared" si="181"/>
        <v>0</v>
      </c>
      <c r="BM439" s="525"/>
      <c r="BN439" s="310"/>
      <c r="BO439" s="310"/>
      <c r="BP439" s="310"/>
      <c r="BQ439" s="310"/>
      <c r="BR439" s="310"/>
      <c r="BS439" s="310"/>
      <c r="BT439" s="544">
        <f t="shared" si="182"/>
        <v>0</v>
      </c>
      <c r="BU439" s="556"/>
      <c r="BV439" s="663">
        <f t="shared" si="184"/>
        <v>1</v>
      </c>
      <c r="BW439" s="674">
        <f t="shared" si="185"/>
        <v>0.25</v>
      </c>
      <c r="BX439" s="674">
        <f t="shared" si="186"/>
        <v>1</v>
      </c>
      <c r="BY439" s="674">
        <f t="shared" si="187"/>
        <v>0</v>
      </c>
      <c r="BZ439" s="675">
        <f t="shared" si="188"/>
        <v>0</v>
      </c>
      <c r="CA439" s="675">
        <f t="shared" si="189"/>
        <v>0</v>
      </c>
    </row>
    <row r="440" spans="1:92" ht="123" hidden="1" customHeight="1" x14ac:dyDescent="0.25">
      <c r="A440" s="298" t="s">
        <v>1261</v>
      </c>
      <c r="B440" s="299" t="str">
        <f>'PLAN INDICATIVO'!B432</f>
        <v>Justicia y seguridad</v>
      </c>
      <c r="C440" s="1547"/>
      <c r="D440" s="1549"/>
      <c r="E440" s="1549"/>
      <c r="F440" s="1549"/>
      <c r="G440" s="1549"/>
      <c r="H440" s="1549"/>
      <c r="I440" s="300">
        <f>'PLAN INDICATIVO'!I432</f>
        <v>0</v>
      </c>
      <c r="J440" s="300">
        <f>'PLAN INDICATIVO'!J432</f>
        <v>0</v>
      </c>
      <c r="K440" s="1425" t="str">
        <f>'PLAN INDICATIVO'!K432</f>
        <v>A.18.2.8</v>
      </c>
      <c r="L440" s="301" t="str">
        <f>'PLAN INDICATIVO'!L432</f>
        <v>16. Paz, justicia e instituciones sólidas</v>
      </c>
      <c r="M440" s="301" t="str">
        <f>'PLAN INDICATIVO'!M432</f>
        <v>Secretaría de Gobierno</v>
      </c>
      <c r="N440" s="1425" t="s">
        <v>2791</v>
      </c>
      <c r="O440" s="1425" t="str">
        <f>'PLAN INDICATIVO'!O432</f>
        <v>Mantenimiento</v>
      </c>
      <c r="P440" s="16" t="str">
        <f>'PLAN INDICATIVO'!P432</f>
        <v>Implementar 1 programa para la construcción de la paz, la convivencia ciudadana y la solución de conflictos, cada año</v>
      </c>
      <c r="Q440" s="302" t="str">
        <f>'PLAN INDICATIVO'!Q432</f>
        <v>No. De programas implementados por año</v>
      </c>
      <c r="R440" s="303">
        <f>'PLAN INDICATIVO'!R432</f>
        <v>2015</v>
      </c>
      <c r="S440" s="304">
        <v>0</v>
      </c>
      <c r="T440" s="699">
        <v>4</v>
      </c>
      <c r="U440" s="303">
        <v>1</v>
      </c>
      <c r="V440" s="687">
        <v>50000000</v>
      </c>
      <c r="W440" s="303">
        <v>1</v>
      </c>
      <c r="X440" s="687">
        <v>20000000</v>
      </c>
      <c r="Y440" s="303">
        <v>1</v>
      </c>
      <c r="Z440" s="687">
        <v>20000000</v>
      </c>
      <c r="AA440" s="303">
        <v>1</v>
      </c>
      <c r="AB440" s="687">
        <v>20000000</v>
      </c>
      <c r="AC440" s="669">
        <v>1</v>
      </c>
      <c r="AD440" s="669"/>
      <c r="AE440" s="669"/>
      <c r="AF440" s="669"/>
      <c r="AG440" s="341"/>
      <c r="AH440" s="355" t="s">
        <v>3044</v>
      </c>
      <c r="AI440" s="356">
        <v>37288</v>
      </c>
      <c r="AJ440" s="356">
        <v>11293</v>
      </c>
      <c r="AK440" s="358"/>
      <c r="AL440" s="358"/>
      <c r="AM440" s="267" t="s">
        <v>2598</v>
      </c>
      <c r="AN440" s="512">
        <v>231807</v>
      </c>
      <c r="AO440" s="793"/>
      <c r="AP440" s="794"/>
      <c r="AQ440" s="794"/>
      <c r="AR440" s="794"/>
      <c r="AS440" s="794"/>
      <c r="AT440" s="794"/>
      <c r="AU440" s="794"/>
      <c r="AV440" s="544">
        <f t="shared" si="183"/>
        <v>0</v>
      </c>
      <c r="AW440" s="525"/>
      <c r="AX440" s="310"/>
      <c r="AY440" s="310"/>
      <c r="AZ440" s="310"/>
      <c r="BA440" s="310"/>
      <c r="BB440" s="310"/>
      <c r="BC440" s="310"/>
      <c r="BD440" s="544">
        <f t="shared" si="180"/>
        <v>0</v>
      </c>
      <c r="BE440" s="525"/>
      <c r="BF440" s="310"/>
      <c r="BG440" s="310"/>
      <c r="BH440" s="310"/>
      <c r="BI440" s="310"/>
      <c r="BJ440" s="310"/>
      <c r="BK440" s="310"/>
      <c r="BL440" s="544">
        <f t="shared" si="181"/>
        <v>0</v>
      </c>
      <c r="BM440" s="525"/>
      <c r="BN440" s="310"/>
      <c r="BO440" s="310"/>
      <c r="BP440" s="310"/>
      <c r="BQ440" s="310"/>
      <c r="BR440" s="310"/>
      <c r="BS440" s="310"/>
      <c r="BT440" s="544">
        <f t="shared" si="182"/>
        <v>0</v>
      </c>
      <c r="BU440" s="556"/>
      <c r="BV440" s="663">
        <f t="shared" si="184"/>
        <v>1</v>
      </c>
      <c r="BW440" s="674">
        <f t="shared" si="185"/>
        <v>0.25</v>
      </c>
      <c r="BX440" s="674">
        <f t="shared" si="186"/>
        <v>1</v>
      </c>
      <c r="BY440" s="674">
        <f t="shared" si="187"/>
        <v>0</v>
      </c>
      <c r="BZ440" s="675">
        <f t="shared" si="188"/>
        <v>0</v>
      </c>
      <c r="CA440" s="675">
        <f t="shared" si="189"/>
        <v>0</v>
      </c>
    </row>
    <row r="441" spans="1:92" ht="89.25" hidden="1" customHeight="1" x14ac:dyDescent="0.25">
      <c r="A441" s="298" t="s">
        <v>1261</v>
      </c>
      <c r="B441" s="299" t="str">
        <f>'PLAN INDICATIVO'!B433</f>
        <v>Justicia y seguridad</v>
      </c>
      <c r="C441" s="1547"/>
      <c r="D441" s="1549"/>
      <c r="E441" s="1549"/>
      <c r="F441" s="1549"/>
      <c r="G441" s="1549"/>
      <c r="H441" s="1549"/>
      <c r="I441" s="300">
        <f>'PLAN INDICATIVO'!I433</f>
        <v>0</v>
      </c>
      <c r="J441" s="300">
        <f>'PLAN INDICATIVO'!J433</f>
        <v>0</v>
      </c>
      <c r="K441" s="1425" t="str">
        <f>'PLAN INDICATIVO'!K433</f>
        <v>A.18.2.9</v>
      </c>
      <c r="L441" s="301" t="str">
        <f>'PLAN INDICATIVO'!L433</f>
        <v>16. Paz, justicia e instituciones sólidas</v>
      </c>
      <c r="M441" s="301" t="str">
        <f>'PLAN INDICATIVO'!M433</f>
        <v>Secretaría de Gobierno</v>
      </c>
      <c r="N441" s="1425" t="s">
        <v>2791</v>
      </c>
      <c r="O441" s="1425" t="str">
        <f>'PLAN INDICATIVO'!O433</f>
        <v>Mantenimiento</v>
      </c>
      <c r="P441" s="16" t="str">
        <f>'PLAN INDICATIVO'!P433</f>
        <v>Garantizar 1 apoyo institucional al establecimiento penitenciario y carcelario de mediana seguridad (INPEC), del municipio de la Plata Huila, durante el cuatrienio.</v>
      </c>
      <c r="Q441" s="302" t="str">
        <f>'PLAN INDICATIVO'!Q433</f>
        <v>Apoyo a cárcel municipal por año</v>
      </c>
      <c r="R441" s="303">
        <f>'PLAN INDICATIVO'!R433</f>
        <v>2015</v>
      </c>
      <c r="S441" s="304">
        <v>0</v>
      </c>
      <c r="T441" s="699">
        <v>1</v>
      </c>
      <c r="U441" s="303">
        <v>1</v>
      </c>
      <c r="V441" s="687">
        <v>10000000</v>
      </c>
      <c r="W441" s="303">
        <v>1</v>
      </c>
      <c r="X441" s="687">
        <v>11000000</v>
      </c>
      <c r="Y441" s="303">
        <v>1</v>
      </c>
      <c r="Z441" s="687">
        <v>1000000</v>
      </c>
      <c r="AA441" s="303">
        <v>1</v>
      </c>
      <c r="AB441" s="687">
        <v>1000000</v>
      </c>
      <c r="AC441" s="854">
        <v>0</v>
      </c>
      <c r="AD441" s="669"/>
      <c r="AE441" s="669"/>
      <c r="AF441" s="669"/>
      <c r="AG441" s="341" t="s">
        <v>3045</v>
      </c>
      <c r="AH441" s="355" t="s">
        <v>3046</v>
      </c>
      <c r="AI441" s="356">
        <v>37469</v>
      </c>
      <c r="AJ441" s="356">
        <v>47696</v>
      </c>
      <c r="AK441" s="358"/>
      <c r="AL441" s="358"/>
      <c r="AM441" s="267" t="s">
        <v>2600</v>
      </c>
      <c r="AN441" s="512"/>
      <c r="AO441" s="525"/>
      <c r="AP441" s="310"/>
      <c r="AQ441" s="310"/>
      <c r="AR441" s="310"/>
      <c r="AS441" s="310"/>
      <c r="AT441" s="310"/>
      <c r="AU441" s="310"/>
      <c r="AV441" s="544">
        <f t="shared" si="183"/>
        <v>0</v>
      </c>
      <c r="AW441" s="525"/>
      <c r="AX441" s="310"/>
      <c r="AY441" s="310"/>
      <c r="AZ441" s="310"/>
      <c r="BA441" s="310"/>
      <c r="BB441" s="310"/>
      <c r="BC441" s="310"/>
      <c r="BD441" s="544">
        <f t="shared" si="180"/>
        <v>0</v>
      </c>
      <c r="BE441" s="525"/>
      <c r="BF441" s="310"/>
      <c r="BG441" s="310"/>
      <c r="BH441" s="310"/>
      <c r="BI441" s="310"/>
      <c r="BJ441" s="310"/>
      <c r="BK441" s="310"/>
      <c r="BL441" s="544">
        <f t="shared" si="181"/>
        <v>0</v>
      </c>
      <c r="BM441" s="525"/>
      <c r="BN441" s="310"/>
      <c r="BO441" s="310"/>
      <c r="BP441" s="310"/>
      <c r="BQ441" s="310"/>
      <c r="BR441" s="310"/>
      <c r="BS441" s="310"/>
      <c r="BT441" s="544">
        <f t="shared" si="182"/>
        <v>0</v>
      </c>
      <c r="BU441" s="556"/>
      <c r="BV441" s="663">
        <f t="shared" si="184"/>
        <v>0</v>
      </c>
      <c r="BW441" s="674">
        <f t="shared" si="185"/>
        <v>0</v>
      </c>
      <c r="BX441" s="674">
        <f t="shared" si="186"/>
        <v>0</v>
      </c>
      <c r="BY441" s="674">
        <f t="shared" si="187"/>
        <v>0</v>
      </c>
      <c r="BZ441" s="675">
        <f t="shared" si="188"/>
        <v>0</v>
      </c>
      <c r="CA441" s="675">
        <f t="shared" si="189"/>
        <v>0</v>
      </c>
    </row>
    <row r="442" spans="1:92" ht="72" hidden="1" customHeight="1" x14ac:dyDescent="0.25">
      <c r="A442" s="298" t="s">
        <v>1261</v>
      </c>
      <c r="B442" s="299" t="str">
        <f>'PLAN INDICATIVO'!B434</f>
        <v>Justicia y seguridad</v>
      </c>
      <c r="C442" s="1547"/>
      <c r="D442" s="1549"/>
      <c r="E442" s="1549"/>
      <c r="F442" s="1549"/>
      <c r="G442" s="1549"/>
      <c r="H442" s="1549"/>
      <c r="I442" s="300">
        <f>'PLAN INDICATIVO'!I434</f>
        <v>0</v>
      </c>
      <c r="J442" s="300">
        <f>'PLAN INDICATIVO'!J434</f>
        <v>0</v>
      </c>
      <c r="K442" s="1425" t="str">
        <f>'PLAN INDICATIVO'!K434</f>
        <v>A.18.2.10</v>
      </c>
      <c r="L442" s="301" t="str">
        <f>'PLAN INDICATIVO'!L434</f>
        <v>16. Paz, justicia e instituciones sólidas</v>
      </c>
      <c r="M442" s="301" t="str">
        <f>'PLAN INDICATIVO'!M434</f>
        <v>Secretaría de Gobierno</v>
      </c>
      <c r="N442" s="1425" t="s">
        <v>2736</v>
      </c>
      <c r="O442" s="1425" t="str">
        <f>'PLAN INDICATIVO'!O434</f>
        <v>Mantenimiento</v>
      </c>
      <c r="P442" s="71" t="str">
        <f>'PLAN INDICATIVO'!P434</f>
        <v xml:space="preserve">Lograr el funcionamiento de 1 coso municipal cada año </v>
      </c>
      <c r="Q442" s="302" t="str">
        <f>'PLAN INDICATIVO'!Q434</f>
        <v>No. De Coso municipal funcionando por año</v>
      </c>
      <c r="R442" s="303">
        <f>'PLAN INDICATIVO'!R434</f>
        <v>2015</v>
      </c>
      <c r="S442" s="304">
        <v>1</v>
      </c>
      <c r="T442" s="699">
        <v>4</v>
      </c>
      <c r="U442" s="303">
        <v>1</v>
      </c>
      <c r="V442" s="687">
        <v>15000000</v>
      </c>
      <c r="W442" s="303">
        <v>1</v>
      </c>
      <c r="X442" s="687">
        <v>15000000</v>
      </c>
      <c r="Y442" s="303">
        <v>1</v>
      </c>
      <c r="Z442" s="687">
        <v>15000000</v>
      </c>
      <c r="AA442" s="303">
        <v>1</v>
      </c>
      <c r="AB442" s="687">
        <v>15000000</v>
      </c>
      <c r="AC442" s="670">
        <v>1</v>
      </c>
      <c r="AD442" s="670"/>
      <c r="AE442" s="670"/>
      <c r="AF442" s="670"/>
      <c r="AG442" s="343" t="s">
        <v>3047</v>
      </c>
      <c r="AH442" s="361" t="s">
        <v>3048</v>
      </c>
      <c r="AI442" s="378">
        <v>41275</v>
      </c>
      <c r="AJ442" s="378">
        <v>47818</v>
      </c>
      <c r="AK442" s="362"/>
      <c r="AL442" s="362"/>
      <c r="AM442" s="281" t="s">
        <v>2598</v>
      </c>
      <c r="AN442" s="513" t="s">
        <v>3049</v>
      </c>
      <c r="AO442" s="528">
        <f>3600000+3600000+300000+6300000</f>
        <v>13800000</v>
      </c>
      <c r="AP442" s="472"/>
      <c r="AQ442" s="472"/>
      <c r="AR442" s="472"/>
      <c r="AS442" s="472"/>
      <c r="AT442" s="472"/>
      <c r="AU442" s="472"/>
      <c r="AV442" s="544">
        <f t="shared" si="183"/>
        <v>13800000</v>
      </c>
      <c r="AW442" s="528"/>
      <c r="AX442" s="472"/>
      <c r="AY442" s="472"/>
      <c r="AZ442" s="472"/>
      <c r="BA442" s="472"/>
      <c r="BB442" s="472"/>
      <c r="BC442" s="472"/>
      <c r="BD442" s="544">
        <f t="shared" si="180"/>
        <v>0</v>
      </c>
      <c r="BE442" s="528"/>
      <c r="BF442" s="472"/>
      <c r="BG442" s="472"/>
      <c r="BH442" s="472"/>
      <c r="BI442" s="472"/>
      <c r="BJ442" s="472"/>
      <c r="BK442" s="472"/>
      <c r="BL442" s="544">
        <f t="shared" si="181"/>
        <v>0</v>
      </c>
      <c r="BM442" s="528"/>
      <c r="BN442" s="472"/>
      <c r="BO442" s="472"/>
      <c r="BP442" s="472"/>
      <c r="BQ442" s="472"/>
      <c r="BR442" s="472"/>
      <c r="BS442" s="472"/>
      <c r="BT442" s="544">
        <f t="shared" si="182"/>
        <v>0</v>
      </c>
      <c r="BU442" s="556"/>
      <c r="BV442" s="663">
        <f t="shared" si="184"/>
        <v>1</v>
      </c>
      <c r="BW442" s="674">
        <f t="shared" si="185"/>
        <v>0.25</v>
      </c>
      <c r="BX442" s="674">
        <f t="shared" si="186"/>
        <v>1</v>
      </c>
      <c r="BY442" s="674">
        <f t="shared" si="187"/>
        <v>0</v>
      </c>
      <c r="BZ442" s="675">
        <f t="shared" si="188"/>
        <v>0</v>
      </c>
      <c r="CA442" s="675">
        <f t="shared" si="189"/>
        <v>0</v>
      </c>
    </row>
    <row r="443" spans="1:92" ht="69.75" hidden="1" customHeight="1" x14ac:dyDescent="0.25">
      <c r="A443" s="298" t="s">
        <v>1261</v>
      </c>
      <c r="B443" s="299" t="str">
        <f>'PLAN INDICATIVO'!B435</f>
        <v>Justicia y seguridad</v>
      </c>
      <c r="C443" s="1547"/>
      <c r="D443" s="1549"/>
      <c r="E443" s="1549"/>
      <c r="F443" s="1549"/>
      <c r="G443" s="1549"/>
      <c r="H443" s="1549"/>
      <c r="I443" s="300">
        <f>'PLAN INDICATIVO'!I435</f>
        <v>0</v>
      </c>
      <c r="J443" s="300">
        <f>'PLAN INDICATIVO'!J435</f>
        <v>0</v>
      </c>
      <c r="K443" s="1425" t="str">
        <f>'PLAN INDICATIVO'!K435</f>
        <v>A.18.2.11</v>
      </c>
      <c r="L443" s="301" t="str">
        <f>'PLAN INDICATIVO'!L435</f>
        <v>16. Paz, justicia e instituciones sólidas</v>
      </c>
      <c r="M443" s="301" t="str">
        <f>'PLAN INDICATIVO'!M435</f>
        <v>Secretaría de Gobierno</v>
      </c>
      <c r="N443" s="1425" t="s">
        <v>2791</v>
      </c>
      <c r="O443" s="1425" t="str">
        <f>'PLAN INDICATIVO'!O435</f>
        <v>Incremento</v>
      </c>
      <c r="P443" s="16" t="str">
        <f>'PLAN INDICATIVO'!P435</f>
        <v>Implementar 8 Campañas de prevención social del delito durante el cuatrienio</v>
      </c>
      <c r="Q443" s="302" t="str">
        <f>'PLAN INDICATIVO'!Q435</f>
        <v>No. de campañas implementadas</v>
      </c>
      <c r="R443" s="303">
        <f>'PLAN INDICATIVO'!R435</f>
        <v>2015</v>
      </c>
      <c r="S443" s="304">
        <v>0</v>
      </c>
      <c r="T443" s="699">
        <v>8</v>
      </c>
      <c r="U443" s="303">
        <v>2</v>
      </c>
      <c r="V443" s="687">
        <v>40000000</v>
      </c>
      <c r="W443" s="303">
        <v>2</v>
      </c>
      <c r="X443" s="687">
        <v>18000000</v>
      </c>
      <c r="Y443" s="303">
        <v>2</v>
      </c>
      <c r="Z443" s="687">
        <v>19000000</v>
      </c>
      <c r="AA443" s="303">
        <v>2</v>
      </c>
      <c r="AB443" s="687">
        <v>20000000</v>
      </c>
      <c r="AC443" s="669">
        <v>2</v>
      </c>
      <c r="AD443" s="669"/>
      <c r="AE443" s="669"/>
      <c r="AF443" s="669"/>
      <c r="AG443" s="341"/>
      <c r="AH443" s="355" t="s">
        <v>3050</v>
      </c>
      <c r="AI443" s="356">
        <v>45689</v>
      </c>
      <c r="AJ443" s="356">
        <v>36951</v>
      </c>
      <c r="AK443" s="358"/>
      <c r="AL443" s="358"/>
      <c r="AM443" s="281" t="s">
        <v>2598</v>
      </c>
      <c r="AN443" s="512">
        <v>23180406</v>
      </c>
      <c r="AO443" s="525"/>
      <c r="AP443" s="310"/>
      <c r="AQ443" s="310"/>
      <c r="AR443" s="310"/>
      <c r="AS443" s="310"/>
      <c r="AT443" s="310"/>
      <c r="AU443" s="310"/>
      <c r="AV443" s="544">
        <f t="shared" si="183"/>
        <v>0</v>
      </c>
      <c r="AW443" s="525"/>
      <c r="AX443" s="310"/>
      <c r="AY443" s="310"/>
      <c r="AZ443" s="310"/>
      <c r="BA443" s="310"/>
      <c r="BB443" s="310"/>
      <c r="BC443" s="310"/>
      <c r="BD443" s="544">
        <f t="shared" si="180"/>
        <v>0</v>
      </c>
      <c r="BE443" s="525"/>
      <c r="BF443" s="310"/>
      <c r="BG443" s="310"/>
      <c r="BH443" s="310"/>
      <c r="BI443" s="310"/>
      <c r="BJ443" s="310"/>
      <c r="BK443" s="310"/>
      <c r="BL443" s="544">
        <f t="shared" si="181"/>
        <v>0</v>
      </c>
      <c r="BM443" s="525"/>
      <c r="BN443" s="310"/>
      <c r="BO443" s="310"/>
      <c r="BP443" s="310"/>
      <c r="BQ443" s="310"/>
      <c r="BR443" s="310"/>
      <c r="BS443" s="310"/>
      <c r="BT443" s="544">
        <f t="shared" si="182"/>
        <v>0</v>
      </c>
      <c r="BU443" s="556"/>
      <c r="BV443" s="663">
        <f t="shared" si="184"/>
        <v>2</v>
      </c>
      <c r="BW443" s="674">
        <f t="shared" si="185"/>
        <v>0.25</v>
      </c>
      <c r="BX443" s="674">
        <f t="shared" si="186"/>
        <v>1</v>
      </c>
      <c r="BY443" s="674">
        <f t="shared" si="187"/>
        <v>0</v>
      </c>
      <c r="BZ443" s="675">
        <f t="shared" si="188"/>
        <v>0</v>
      </c>
      <c r="CA443" s="675">
        <f t="shared" si="189"/>
        <v>0</v>
      </c>
    </row>
    <row r="444" spans="1:92" ht="80.25" hidden="1" customHeight="1" x14ac:dyDescent="0.25">
      <c r="A444" s="298" t="s">
        <v>1261</v>
      </c>
      <c r="B444" s="299" t="str">
        <f>'PLAN INDICATIVO'!B436</f>
        <v>Justicia y seguridad</v>
      </c>
      <c r="C444" s="1547"/>
      <c r="D444" s="1549"/>
      <c r="E444" s="1549"/>
      <c r="F444" s="1549"/>
      <c r="G444" s="1549"/>
      <c r="H444" s="1549"/>
      <c r="I444" s="300">
        <f>'PLAN INDICATIVO'!I436</f>
        <v>0</v>
      </c>
      <c r="J444" s="300">
        <f>'PLAN INDICATIVO'!J436</f>
        <v>0</v>
      </c>
      <c r="K444" s="1425" t="str">
        <f>'PLAN INDICATIVO'!K436</f>
        <v>A.18.2.12</v>
      </c>
      <c r="L444" s="301" t="str">
        <f>'PLAN INDICATIVO'!L436</f>
        <v>16. Paz, justicia e instituciones sólidas</v>
      </c>
      <c r="M444" s="301" t="str">
        <f>'PLAN INDICATIVO'!M436</f>
        <v>Secretaría de Gobierno</v>
      </c>
      <c r="N444" s="1425" t="s">
        <v>2736</v>
      </c>
      <c r="O444" s="1425" t="str">
        <f>'PLAN INDICATIVO'!O436</f>
        <v>Incremento</v>
      </c>
      <c r="P444" s="71" t="str">
        <f>'PLAN INDICATIVO'!P436</f>
        <v>Realizar 48 operativos de prevención a la contaminación auditiva y visual, durante el cuatrienio</v>
      </c>
      <c r="Q444" s="302" t="str">
        <f>'PLAN INDICATIVO'!Q436</f>
        <v>No. De operativos realizados</v>
      </c>
      <c r="R444" s="303">
        <f>'PLAN INDICATIVO'!R436</f>
        <v>2015</v>
      </c>
      <c r="S444" s="304" t="s">
        <v>177</v>
      </c>
      <c r="T444" s="699">
        <v>48</v>
      </c>
      <c r="U444" s="303">
        <v>12</v>
      </c>
      <c r="V444" s="687">
        <v>1000000</v>
      </c>
      <c r="W444" s="303">
        <v>12</v>
      </c>
      <c r="X444" s="687">
        <v>6000000</v>
      </c>
      <c r="Y444" s="303">
        <v>12</v>
      </c>
      <c r="Z444" s="687">
        <v>1000000</v>
      </c>
      <c r="AA444" s="303">
        <v>12</v>
      </c>
      <c r="AB444" s="687">
        <v>1000000</v>
      </c>
      <c r="AC444" s="848">
        <v>3</v>
      </c>
      <c r="AD444" s="669"/>
      <c r="AE444" s="669"/>
      <c r="AF444" s="669"/>
      <c r="AG444" s="341"/>
      <c r="AH444" s="355" t="s">
        <v>3051</v>
      </c>
      <c r="AI444" s="356">
        <v>38139</v>
      </c>
      <c r="AJ444" s="356">
        <v>11293</v>
      </c>
      <c r="AK444" s="358"/>
      <c r="AL444" s="358"/>
      <c r="AM444" s="267" t="s">
        <v>2600</v>
      </c>
      <c r="AN444" s="512" t="s">
        <v>3052</v>
      </c>
      <c r="AO444" s="525">
        <f>510000+3365343</f>
        <v>3875343</v>
      </c>
      <c r="AP444" s="310">
        <f>1753000+3737000+3589657</f>
        <v>9079657</v>
      </c>
      <c r="AQ444" s="310"/>
      <c r="AR444" s="310"/>
      <c r="AS444" s="310"/>
      <c r="AT444" s="310"/>
      <c r="AU444" s="310"/>
      <c r="AV444" s="544">
        <f t="shared" si="183"/>
        <v>12955000</v>
      </c>
      <c r="AW444" s="525"/>
      <c r="AX444" s="310"/>
      <c r="AY444" s="310"/>
      <c r="AZ444" s="310"/>
      <c r="BA444" s="310"/>
      <c r="BB444" s="310"/>
      <c r="BC444" s="310"/>
      <c r="BD444" s="544">
        <f t="shared" si="180"/>
        <v>0</v>
      </c>
      <c r="BE444" s="525"/>
      <c r="BF444" s="310"/>
      <c r="BG444" s="310"/>
      <c r="BH444" s="310"/>
      <c r="BI444" s="310"/>
      <c r="BJ444" s="310"/>
      <c r="BK444" s="310"/>
      <c r="BL444" s="544">
        <f t="shared" si="181"/>
        <v>0</v>
      </c>
      <c r="BM444" s="525"/>
      <c r="BN444" s="310"/>
      <c r="BO444" s="310"/>
      <c r="BP444" s="310"/>
      <c r="BQ444" s="310"/>
      <c r="BR444" s="310"/>
      <c r="BS444" s="310"/>
      <c r="BT444" s="544">
        <f t="shared" si="182"/>
        <v>0</v>
      </c>
      <c r="BU444" s="556"/>
      <c r="BV444" s="663">
        <f t="shared" si="184"/>
        <v>3</v>
      </c>
      <c r="BW444" s="674">
        <f t="shared" si="185"/>
        <v>6.25E-2</v>
      </c>
      <c r="BX444" s="674">
        <f t="shared" si="186"/>
        <v>0.25</v>
      </c>
      <c r="BY444" s="674">
        <f t="shared" si="187"/>
        <v>0</v>
      </c>
      <c r="BZ444" s="675">
        <f t="shared" si="188"/>
        <v>0</v>
      </c>
      <c r="CA444" s="675">
        <f t="shared" si="189"/>
        <v>0</v>
      </c>
    </row>
    <row r="445" spans="1:92" ht="63.75" hidden="1" x14ac:dyDescent="0.25">
      <c r="A445" s="298" t="s">
        <v>1261</v>
      </c>
      <c r="B445" s="299" t="str">
        <f>'PLAN INDICATIVO'!B437</f>
        <v>Justicia y seguridad</v>
      </c>
      <c r="C445" s="1548"/>
      <c r="D445" s="1549"/>
      <c r="E445" s="1549"/>
      <c r="F445" s="1549"/>
      <c r="G445" s="1549"/>
      <c r="H445" s="1549"/>
      <c r="I445" s="300">
        <f>'PLAN INDICATIVO'!I437</f>
        <v>0</v>
      </c>
      <c r="J445" s="300">
        <f>'PLAN INDICATIVO'!J437</f>
        <v>0</v>
      </c>
      <c r="K445" s="1425" t="str">
        <f>'PLAN INDICATIVO'!K437</f>
        <v>A.18.2.13</v>
      </c>
      <c r="L445" s="301" t="str">
        <f>'PLAN INDICATIVO'!L437</f>
        <v>16. Paz, justicia e instituciones sólidas</v>
      </c>
      <c r="M445" s="301" t="str">
        <f>'PLAN INDICATIVO'!M437</f>
        <v>Secretaría de Gobierno</v>
      </c>
      <c r="N445" s="1425" t="s">
        <v>2736</v>
      </c>
      <c r="O445" s="1425" t="str">
        <f>'PLAN INDICATIVO'!O437</f>
        <v>Incremento</v>
      </c>
      <c r="P445" s="16" t="str">
        <f>'PLAN INDICATIVO'!P437</f>
        <v>Realizar 1 plan para la aplicación del comparendo ambiental, durante el cuatrienio</v>
      </c>
      <c r="Q445" s="302" t="str">
        <f>'PLAN INDICATIVO'!Q437</f>
        <v>No. De planes realizados</v>
      </c>
      <c r="R445" s="303">
        <f>'PLAN INDICATIVO'!R437</f>
        <v>2015</v>
      </c>
      <c r="S445" s="304">
        <v>0</v>
      </c>
      <c r="T445" s="699">
        <v>1</v>
      </c>
      <c r="U445" s="303">
        <v>0</v>
      </c>
      <c r="V445" s="687"/>
      <c r="W445" s="303">
        <v>1</v>
      </c>
      <c r="X445" s="687">
        <v>1000000</v>
      </c>
      <c r="Y445" s="303">
        <v>0</v>
      </c>
      <c r="Z445" s="687"/>
      <c r="AA445" s="303">
        <v>0</v>
      </c>
      <c r="AB445" s="304"/>
      <c r="AC445" s="669"/>
      <c r="AD445" s="669"/>
      <c r="AE445" s="669"/>
      <c r="AF445" s="669"/>
      <c r="AG445" s="341"/>
      <c r="AH445" s="355"/>
      <c r="AI445" s="358"/>
      <c r="AJ445" s="358"/>
      <c r="AK445" s="358"/>
      <c r="AL445" s="358"/>
      <c r="AM445" s="267" t="s">
        <v>2594</v>
      </c>
      <c r="AN445" s="512"/>
      <c r="AO445" s="525"/>
      <c r="AP445" s="310"/>
      <c r="AQ445" s="310"/>
      <c r="AR445" s="310"/>
      <c r="AS445" s="310"/>
      <c r="AT445" s="310"/>
      <c r="AU445" s="310"/>
      <c r="AV445" s="544">
        <f t="shared" si="183"/>
        <v>0</v>
      </c>
      <c r="AW445" s="525"/>
      <c r="AX445" s="310"/>
      <c r="AY445" s="310"/>
      <c r="AZ445" s="310"/>
      <c r="BA445" s="310"/>
      <c r="BB445" s="310"/>
      <c r="BC445" s="310"/>
      <c r="BD445" s="544">
        <f t="shared" si="180"/>
        <v>0</v>
      </c>
      <c r="BE445" s="525"/>
      <c r="BF445" s="310"/>
      <c r="BG445" s="310"/>
      <c r="BH445" s="310"/>
      <c r="BI445" s="310"/>
      <c r="BJ445" s="310"/>
      <c r="BK445" s="310"/>
      <c r="BL445" s="544">
        <f t="shared" si="181"/>
        <v>0</v>
      </c>
      <c r="BM445" s="525"/>
      <c r="BN445" s="310"/>
      <c r="BO445" s="310"/>
      <c r="BP445" s="310"/>
      <c r="BQ445" s="310"/>
      <c r="BR445" s="310"/>
      <c r="BS445" s="310"/>
      <c r="BT445" s="544">
        <f t="shared" si="182"/>
        <v>0</v>
      </c>
      <c r="BU445" s="556"/>
      <c r="BV445" s="663">
        <f t="shared" si="184"/>
        <v>0</v>
      </c>
      <c r="BW445" s="674">
        <f t="shared" si="185"/>
        <v>0</v>
      </c>
      <c r="BX445" s="674" t="e">
        <f t="shared" si="186"/>
        <v>#DIV/0!</v>
      </c>
      <c r="BY445" s="674">
        <f t="shared" si="187"/>
        <v>0</v>
      </c>
      <c r="BZ445" s="675" t="e">
        <f t="shared" si="188"/>
        <v>#DIV/0!</v>
      </c>
      <c r="CA445" s="675" t="e">
        <f t="shared" si="189"/>
        <v>#DIV/0!</v>
      </c>
    </row>
    <row r="446" spans="1:92" ht="48.75" hidden="1" customHeight="1" x14ac:dyDescent="0.25">
      <c r="A446" s="440"/>
      <c r="B446" s="440"/>
      <c r="C446" s="440"/>
      <c r="D446" s="1642" t="s">
        <v>3053</v>
      </c>
      <c r="E446" s="1642"/>
      <c r="F446" s="1642"/>
      <c r="G446" s="1642"/>
      <c r="H446" s="1642"/>
      <c r="I446" s="1642"/>
      <c r="J446" s="1642"/>
      <c r="K446" s="1642"/>
      <c r="L446" s="1642"/>
      <c r="M446" s="1642"/>
      <c r="N446" s="1642"/>
      <c r="O446" s="1642"/>
      <c r="P446" s="1642"/>
      <c r="Q446" s="1642"/>
      <c r="R446" s="1642"/>
      <c r="S446" s="1642"/>
      <c r="T446" s="1642"/>
      <c r="U446" s="1642"/>
      <c r="V446" s="1642"/>
      <c r="W446" s="1642"/>
      <c r="X446" s="1642"/>
      <c r="Y446" s="1642"/>
      <c r="Z446" s="1642"/>
      <c r="AA446" s="1642"/>
      <c r="AB446" s="1642"/>
      <c r="AC446" s="1642"/>
      <c r="AD446" s="1642"/>
      <c r="AE446" s="1642"/>
      <c r="AF446" s="1642"/>
      <c r="AG446" s="1642"/>
      <c r="AH446" s="1642"/>
      <c r="AI446" s="1642"/>
      <c r="AJ446" s="1642"/>
      <c r="AK446" s="1642"/>
      <c r="AL446" s="1643"/>
      <c r="AM446" s="292"/>
      <c r="AN446" s="504"/>
      <c r="AO446" s="632"/>
      <c r="AP446" s="633"/>
      <c r="AQ446" s="633"/>
      <c r="AR446" s="633"/>
      <c r="AS446" s="633"/>
      <c r="AT446" s="633"/>
      <c r="AU446" s="633"/>
      <c r="AV446" s="555">
        <f t="shared" si="183"/>
        <v>0</v>
      </c>
      <c r="AW446" s="632"/>
      <c r="AX446" s="633"/>
      <c r="AY446" s="633"/>
      <c r="AZ446" s="633"/>
      <c r="BA446" s="633"/>
      <c r="BB446" s="633"/>
      <c r="BC446" s="633"/>
      <c r="BD446" s="555">
        <f t="shared" si="180"/>
        <v>0</v>
      </c>
      <c r="BE446" s="632"/>
      <c r="BF446" s="633"/>
      <c r="BG446" s="633"/>
      <c r="BH446" s="633"/>
      <c r="BI446" s="633"/>
      <c r="BJ446" s="633"/>
      <c r="BK446" s="633"/>
      <c r="BL446" s="555">
        <f t="shared" si="181"/>
        <v>0</v>
      </c>
      <c r="BM446" s="632"/>
      <c r="BN446" s="633"/>
      <c r="BO446" s="633"/>
      <c r="BP446" s="633"/>
      <c r="BQ446" s="633"/>
      <c r="BR446" s="633"/>
      <c r="BS446" s="633"/>
      <c r="BT446" s="555">
        <f t="shared" si="182"/>
        <v>0</v>
      </c>
      <c r="BU446" s="556"/>
      <c r="BV446" s="873">
        <f t="shared" si="184"/>
        <v>0</v>
      </c>
      <c r="BW446" s="874" t="e">
        <f t="shared" si="185"/>
        <v>#DIV/0!</v>
      </c>
      <c r="BX446" s="874" t="e">
        <f t="shared" si="186"/>
        <v>#DIV/0!</v>
      </c>
      <c r="BY446" s="874" t="e">
        <f t="shared" si="187"/>
        <v>#DIV/0!</v>
      </c>
      <c r="BZ446" s="875" t="e">
        <f t="shared" si="188"/>
        <v>#DIV/0!</v>
      </c>
      <c r="CA446" s="875" t="e">
        <f t="shared" si="189"/>
        <v>#DIV/0!</v>
      </c>
    </row>
    <row r="447" spans="1:92" ht="6.75" hidden="1" customHeight="1" thickBot="1" x14ac:dyDescent="0.3">
      <c r="B447" s="312" t="e">
        <f>'PLAN INDICATIVO'!#REF!</f>
        <v>#REF!</v>
      </c>
      <c r="C447" s="384"/>
      <c r="D447" s="385"/>
      <c r="E447" s="385"/>
      <c r="F447" s="385"/>
      <c r="G447" s="385"/>
      <c r="H447" s="385"/>
      <c r="I447" s="385"/>
      <c r="J447" s="385"/>
      <c r="K447" s="385"/>
      <c r="L447" s="385"/>
      <c r="M447" s="385"/>
      <c r="N447" s="386"/>
      <c r="O447" s="385"/>
      <c r="P447" s="1437"/>
      <c r="Q447" s="387"/>
      <c r="R447" s="385"/>
      <c r="S447" s="388"/>
      <c r="T447" s="680"/>
      <c r="U447" s="388"/>
      <c r="V447" s="388"/>
      <c r="W447" s="388"/>
      <c r="X447" s="388"/>
      <c r="Y447" s="388"/>
      <c r="Z447" s="388"/>
      <c r="AA447" s="389"/>
      <c r="AB447" s="389"/>
      <c r="AC447" s="389"/>
      <c r="AD447" s="389"/>
      <c r="AE447" s="389"/>
      <c r="AF447" s="389"/>
      <c r="AG447" s="390"/>
      <c r="AH447" s="390"/>
      <c r="AI447" s="389"/>
      <c r="AJ447" s="389"/>
      <c r="AK447" s="389"/>
      <c r="AL447" s="389"/>
      <c r="AM447" s="389"/>
      <c r="AN447" s="520"/>
      <c r="AO447" s="524"/>
      <c r="AP447" s="374"/>
      <c r="AQ447" s="374"/>
      <c r="AR447" s="374"/>
      <c r="AS447" s="374"/>
      <c r="AT447" s="374"/>
      <c r="AU447" s="374"/>
      <c r="AV447" s="544">
        <f t="shared" si="183"/>
        <v>0</v>
      </c>
      <c r="AW447" s="524"/>
      <c r="AX447" s="374"/>
      <c r="AY447" s="374"/>
      <c r="AZ447" s="374"/>
      <c r="BA447" s="374"/>
      <c r="BB447" s="374"/>
      <c r="BC447" s="374"/>
      <c r="BD447" s="544">
        <f t="shared" si="180"/>
        <v>0</v>
      </c>
      <c r="BE447" s="524"/>
      <c r="BF447" s="374"/>
      <c r="BG447" s="374"/>
      <c r="BH447" s="374"/>
      <c r="BI447" s="374"/>
      <c r="BJ447" s="374"/>
      <c r="BK447" s="374"/>
      <c r="BL447" s="544">
        <f t="shared" si="181"/>
        <v>0</v>
      </c>
      <c r="BM447" s="524"/>
      <c r="BN447" s="374"/>
      <c r="BO447" s="374"/>
      <c r="BP447" s="374"/>
      <c r="BQ447" s="374"/>
      <c r="BR447" s="374"/>
      <c r="BS447" s="374"/>
      <c r="BT447" s="544">
        <f t="shared" si="182"/>
        <v>0</v>
      </c>
      <c r="BU447" s="556"/>
      <c r="BV447" s="663">
        <f t="shared" si="184"/>
        <v>0</v>
      </c>
      <c r="BW447" s="674" t="e">
        <f t="shared" si="185"/>
        <v>#DIV/0!</v>
      </c>
      <c r="BX447" s="674" t="e">
        <f t="shared" si="186"/>
        <v>#DIV/0!</v>
      </c>
      <c r="BY447" s="674" t="e">
        <f t="shared" si="187"/>
        <v>#DIV/0!</v>
      </c>
      <c r="BZ447" s="675" t="e">
        <f t="shared" si="188"/>
        <v>#DIV/0!</v>
      </c>
      <c r="CA447" s="675" t="e">
        <f t="shared" si="189"/>
        <v>#DIV/0!</v>
      </c>
    </row>
    <row r="448" spans="1:92" s="392" customFormat="1" ht="33" hidden="1" customHeight="1" thickBot="1" x14ac:dyDescent="0.3">
      <c r="A448" s="441"/>
      <c r="B448" s="442"/>
      <c r="C448" s="1590" t="s">
        <v>1350</v>
      </c>
      <c r="D448" s="1590"/>
      <c r="E448" s="1590"/>
      <c r="F448" s="1590"/>
      <c r="G448" s="1590"/>
      <c r="H448" s="1590"/>
      <c r="I448" s="1590"/>
      <c r="J448" s="1590"/>
      <c r="K448" s="1590"/>
      <c r="L448" s="1590"/>
      <c r="M448" s="1590"/>
      <c r="N448" s="1590"/>
      <c r="O448" s="1590"/>
      <c r="P448" s="1590"/>
      <c r="Q448" s="1590"/>
      <c r="R448" s="1590"/>
      <c r="S448" s="1590"/>
      <c r="T448" s="1590"/>
      <c r="U448" s="1590"/>
      <c r="V448" s="1590"/>
      <c r="W448" s="1590"/>
      <c r="X448" s="1590"/>
      <c r="Y448" s="1590"/>
      <c r="Z448" s="1590"/>
      <c r="AA448" s="1590"/>
      <c r="AB448" s="1590"/>
      <c r="AC448" s="1590"/>
      <c r="AD448" s="1590"/>
      <c r="AE448" s="1590"/>
      <c r="AF448" s="1590"/>
      <c r="AG448" s="1590"/>
      <c r="AH448" s="1590"/>
      <c r="AI448" s="1590"/>
      <c r="AJ448" s="1590"/>
      <c r="AK448" s="1590"/>
      <c r="AL448" s="1641"/>
      <c r="AM448" s="437"/>
      <c r="AN448" s="517"/>
      <c r="AO448" s="524"/>
      <c r="AP448" s="374"/>
      <c r="AQ448" s="374"/>
      <c r="AR448" s="374"/>
      <c r="AS448" s="374"/>
      <c r="AT448" s="374"/>
      <c r="AU448" s="374"/>
      <c r="AV448" s="544">
        <f t="shared" si="183"/>
        <v>0</v>
      </c>
      <c r="AW448" s="524"/>
      <c r="AX448" s="374"/>
      <c r="AY448" s="374"/>
      <c r="AZ448" s="374"/>
      <c r="BA448" s="374"/>
      <c r="BB448" s="374"/>
      <c r="BC448" s="374"/>
      <c r="BD448" s="544">
        <f t="shared" si="180"/>
        <v>0</v>
      </c>
      <c r="BE448" s="524"/>
      <c r="BF448" s="374"/>
      <c r="BG448" s="374"/>
      <c r="BH448" s="374"/>
      <c r="BI448" s="374"/>
      <c r="BJ448" s="374"/>
      <c r="BK448" s="374"/>
      <c r="BL448" s="544">
        <f t="shared" si="181"/>
        <v>0</v>
      </c>
      <c r="BM448" s="524"/>
      <c r="BN448" s="374"/>
      <c r="BO448" s="374"/>
      <c r="BP448" s="374"/>
      <c r="BQ448" s="374"/>
      <c r="BR448" s="374"/>
      <c r="BS448" s="374"/>
      <c r="BT448" s="544">
        <f t="shared" si="182"/>
        <v>0</v>
      </c>
      <c r="BU448" s="556"/>
      <c r="BV448" s="663">
        <f t="shared" si="184"/>
        <v>0</v>
      </c>
      <c r="BW448" s="674" t="e">
        <f t="shared" si="185"/>
        <v>#DIV/0!</v>
      </c>
      <c r="BX448" s="674" t="e">
        <f t="shared" si="186"/>
        <v>#DIV/0!</v>
      </c>
      <c r="BY448" s="674" t="e">
        <f t="shared" si="187"/>
        <v>#DIV/0!</v>
      </c>
      <c r="BZ448" s="675" t="e">
        <f t="shared" si="188"/>
        <v>#DIV/0!</v>
      </c>
      <c r="CA448" s="675" t="e">
        <f t="shared" si="189"/>
        <v>#DIV/0!</v>
      </c>
      <c r="CB448"/>
      <c r="CC448"/>
      <c r="CD448"/>
      <c r="CE448"/>
      <c r="CF448"/>
      <c r="CG448"/>
      <c r="CH448"/>
      <c r="CI448"/>
      <c r="CJ448"/>
      <c r="CK448"/>
      <c r="CL448"/>
      <c r="CM448"/>
      <c r="CN448"/>
    </row>
    <row r="449" spans="1:79" ht="25.5" hidden="1" customHeight="1" x14ac:dyDescent="0.25">
      <c r="A449" s="391"/>
      <c r="B449" s="331" t="str">
        <f>'PLAN INDICATIVO'!B440</f>
        <v>Ambiental</v>
      </c>
      <c r="C449" s="1640" t="s">
        <v>1352</v>
      </c>
      <c r="D449" s="1640"/>
      <c r="E449" s="1640"/>
      <c r="F449" s="1640"/>
      <c r="G449" s="1640"/>
      <c r="H449" s="1640"/>
      <c r="I449" s="1640"/>
      <c r="J449" s="1640"/>
      <c r="K449" s="1640"/>
      <c r="L449" s="1640"/>
      <c r="M449" s="1640"/>
      <c r="N449" s="1640"/>
      <c r="O449" s="1640"/>
      <c r="P449" s="318"/>
      <c r="Q449" s="318"/>
      <c r="R449" s="317"/>
      <c r="S449" s="319"/>
      <c r="T449" s="676"/>
      <c r="U449" s="319"/>
      <c r="V449" s="695">
        <f>SUM(V450:V481)</f>
        <v>248000000</v>
      </c>
      <c r="W449" s="319"/>
      <c r="X449" s="695">
        <f>SUM(X450:X481)</f>
        <v>392900000</v>
      </c>
      <c r="Y449" s="319"/>
      <c r="Z449" s="695">
        <f>SUM(Z450:Z481)</f>
        <v>225000000</v>
      </c>
      <c r="AA449" s="320"/>
      <c r="AB449" s="708">
        <f>SUM(AB450:AB481)</f>
        <v>262000000</v>
      </c>
      <c r="AC449" s="320"/>
      <c r="AD449" s="320"/>
      <c r="AE449" s="320"/>
      <c r="AF449" s="320"/>
      <c r="AG449" s="321"/>
      <c r="AH449" s="321"/>
      <c r="AI449" s="320"/>
      <c r="AJ449" s="320"/>
      <c r="AK449" s="320"/>
      <c r="AL449" s="320"/>
      <c r="AM449" s="320"/>
      <c r="AN449" s="630"/>
      <c r="AO449" s="616" t="e">
        <f>(AO450:AO481)</f>
        <v>#VALUE!</v>
      </c>
      <c r="AP449" s="616" t="e">
        <f t="shared" ref="AP449:AU449" si="202">(AP450:AP481)</f>
        <v>#VALUE!</v>
      </c>
      <c r="AQ449" s="616" t="e">
        <f t="shared" si="202"/>
        <v>#VALUE!</v>
      </c>
      <c r="AR449" s="616" t="e">
        <f t="shared" si="202"/>
        <v>#VALUE!</v>
      </c>
      <c r="AS449" s="616" t="e">
        <f t="shared" si="202"/>
        <v>#VALUE!</v>
      </c>
      <c r="AT449" s="616" t="e">
        <f t="shared" si="202"/>
        <v>#VALUE!</v>
      </c>
      <c r="AU449" s="616" t="e">
        <f t="shared" si="202"/>
        <v>#VALUE!</v>
      </c>
      <c r="AV449" s="617" t="e">
        <f t="shared" si="183"/>
        <v>#VALUE!</v>
      </c>
      <c r="AW449" s="616" t="e">
        <f t="shared" ref="AW449:BC449" si="203">(AW450:AW481)</f>
        <v>#VALUE!</v>
      </c>
      <c r="AX449" s="616" t="e">
        <f t="shared" si="203"/>
        <v>#VALUE!</v>
      </c>
      <c r="AY449" s="616" t="e">
        <f t="shared" si="203"/>
        <v>#VALUE!</v>
      </c>
      <c r="AZ449" s="616" t="e">
        <f t="shared" si="203"/>
        <v>#VALUE!</v>
      </c>
      <c r="BA449" s="616" t="e">
        <f t="shared" si="203"/>
        <v>#VALUE!</v>
      </c>
      <c r="BB449" s="616" t="e">
        <f t="shared" si="203"/>
        <v>#VALUE!</v>
      </c>
      <c r="BC449" s="616" t="e">
        <f t="shared" si="203"/>
        <v>#VALUE!</v>
      </c>
      <c r="BD449" s="617" t="e">
        <f t="shared" si="180"/>
        <v>#VALUE!</v>
      </c>
      <c r="BE449" s="616" t="e">
        <f t="shared" ref="BE449:BK449" si="204">(BE450:BE481)</f>
        <v>#VALUE!</v>
      </c>
      <c r="BF449" s="616" t="e">
        <f t="shared" si="204"/>
        <v>#VALUE!</v>
      </c>
      <c r="BG449" s="616" t="e">
        <f t="shared" si="204"/>
        <v>#VALUE!</v>
      </c>
      <c r="BH449" s="616" t="e">
        <f t="shared" si="204"/>
        <v>#VALUE!</v>
      </c>
      <c r="BI449" s="616" t="e">
        <f t="shared" si="204"/>
        <v>#VALUE!</v>
      </c>
      <c r="BJ449" s="616" t="e">
        <f t="shared" si="204"/>
        <v>#VALUE!</v>
      </c>
      <c r="BK449" s="616" t="e">
        <f t="shared" si="204"/>
        <v>#VALUE!</v>
      </c>
      <c r="BL449" s="617" t="e">
        <f t="shared" si="181"/>
        <v>#VALUE!</v>
      </c>
      <c r="BM449" s="616" t="e">
        <f t="shared" ref="BM449:BS449" si="205">(BM450:BM481)</f>
        <v>#VALUE!</v>
      </c>
      <c r="BN449" s="616" t="e">
        <f t="shared" si="205"/>
        <v>#VALUE!</v>
      </c>
      <c r="BO449" s="616" t="e">
        <f t="shared" si="205"/>
        <v>#VALUE!</v>
      </c>
      <c r="BP449" s="616" t="e">
        <f t="shared" si="205"/>
        <v>#VALUE!</v>
      </c>
      <c r="BQ449" s="616" t="e">
        <f t="shared" si="205"/>
        <v>#VALUE!</v>
      </c>
      <c r="BR449" s="616" t="e">
        <f t="shared" si="205"/>
        <v>#VALUE!</v>
      </c>
      <c r="BS449" s="616" t="e">
        <f t="shared" si="205"/>
        <v>#VALUE!</v>
      </c>
      <c r="BT449" s="617" t="e">
        <f t="shared" si="182"/>
        <v>#VALUE!</v>
      </c>
      <c r="BU449" s="556"/>
      <c r="BV449" s="863">
        <f t="shared" si="184"/>
        <v>0</v>
      </c>
      <c r="BW449" s="864" t="e">
        <f t="shared" si="185"/>
        <v>#DIV/0!</v>
      </c>
      <c r="BX449" s="864" t="e">
        <f t="shared" si="186"/>
        <v>#DIV/0!</v>
      </c>
      <c r="BY449" s="864" t="e">
        <f t="shared" si="187"/>
        <v>#DIV/0!</v>
      </c>
      <c r="BZ449" s="1450" t="e">
        <f t="shared" si="188"/>
        <v>#DIV/0!</v>
      </c>
      <c r="CA449" s="1450" t="e">
        <f t="shared" si="189"/>
        <v>#DIV/0!</v>
      </c>
    </row>
    <row r="450" spans="1:79" ht="93.75" hidden="1" customHeight="1" x14ac:dyDescent="0.25">
      <c r="A450" s="298" t="s">
        <v>1353</v>
      </c>
      <c r="B450" s="299" t="str">
        <f>'PLAN INDICATIVO'!B441</f>
        <v>Ambiental</v>
      </c>
      <c r="C450" s="1546" t="s">
        <v>1354</v>
      </c>
      <c r="D450" s="1550" t="s">
        <v>1355</v>
      </c>
      <c r="E450" s="1550" t="s">
        <v>1356</v>
      </c>
      <c r="F450" s="1550">
        <v>2015</v>
      </c>
      <c r="G450" s="1550">
        <v>12676</v>
      </c>
      <c r="H450" s="1550">
        <v>14000</v>
      </c>
      <c r="I450" s="300">
        <f>'PLAN INDICATIVO'!I441</f>
        <v>0</v>
      </c>
      <c r="J450" s="300">
        <f>'PLAN INDICATIVO'!J441</f>
        <v>0</v>
      </c>
      <c r="K450" s="1428" t="str">
        <f>'PLAN INDICATIVO'!K441</f>
        <v>A.10.1.1</v>
      </c>
      <c r="L450" s="301" t="str">
        <f>'PLAN INDICATIVO'!L441</f>
        <v>15. Vida de ecosistemas terrestres</v>
      </c>
      <c r="M450" s="301" t="str">
        <f>'PLAN INDICATIVO'!M441</f>
        <v>Unidad de Desarrollo Rural</v>
      </c>
      <c r="N450" s="1425" t="str">
        <f>'PLAN INDICATIVO'!N441</f>
        <v>GABRIEL ERNESTO CAMPOS ALVIRA</v>
      </c>
      <c r="O450" s="1425" t="str">
        <f>'PLAN INDICATIVO'!O441</f>
        <v>Incremento</v>
      </c>
      <c r="P450" s="16" t="str">
        <f>'PLAN INDICATIVO'!P441</f>
        <v>Destinar 44 Predios particulares para la conservación, restauración y protección de zonas de importancia estratégica ambiental incentivados en materia de impuesto predial, durante el cuatrienio</v>
      </c>
      <c r="Q450" s="302" t="str">
        <f>'PLAN INDICATIVO'!Q441</f>
        <v>No. De predios con incentivos</v>
      </c>
      <c r="R450" s="303">
        <f>'PLAN INDICATIVO'!R441</f>
        <v>2015</v>
      </c>
      <c r="S450" s="304">
        <v>195</v>
      </c>
      <c r="T450" s="498">
        <v>44</v>
      </c>
      <c r="U450" s="303">
        <v>10</v>
      </c>
      <c r="V450" s="687">
        <v>1000000</v>
      </c>
      <c r="W450" s="572">
        <v>10</v>
      </c>
      <c r="X450" s="687">
        <v>6000000</v>
      </c>
      <c r="Y450" s="572">
        <v>10</v>
      </c>
      <c r="Z450" s="687">
        <v>1000000</v>
      </c>
      <c r="AA450" s="572">
        <v>14</v>
      </c>
      <c r="AB450" s="687">
        <v>10000000</v>
      </c>
      <c r="AC450" s="665">
        <f>7+3</f>
        <v>10</v>
      </c>
      <c r="AD450" s="665"/>
      <c r="AE450" s="665"/>
      <c r="AF450" s="665"/>
      <c r="AG450" s="306" t="s">
        <v>3054</v>
      </c>
      <c r="AH450" s="307" t="s">
        <v>3055</v>
      </c>
      <c r="AI450" s="309">
        <v>42401</v>
      </c>
      <c r="AJ450" s="309">
        <v>42551</v>
      </c>
      <c r="AK450" s="308"/>
      <c r="AL450" s="308"/>
      <c r="AM450" s="267" t="s">
        <v>2598</v>
      </c>
      <c r="AN450" s="507" t="s">
        <v>3056</v>
      </c>
      <c r="AO450" s="525"/>
      <c r="AP450" s="310"/>
      <c r="AQ450" s="310"/>
      <c r="AR450" s="310"/>
      <c r="AS450" s="310"/>
      <c r="AT450" s="310"/>
      <c r="AU450" s="310">
        <v>2800000</v>
      </c>
      <c r="AV450" s="544">
        <f t="shared" si="183"/>
        <v>2800000</v>
      </c>
      <c r="AW450" s="525"/>
      <c r="AX450" s="310"/>
      <c r="AY450" s="310"/>
      <c r="AZ450" s="310"/>
      <c r="BA450" s="310"/>
      <c r="BB450" s="310"/>
      <c r="BC450" s="310"/>
      <c r="BD450" s="544">
        <f t="shared" si="180"/>
        <v>0</v>
      </c>
      <c r="BE450" s="525"/>
      <c r="BF450" s="310"/>
      <c r="BG450" s="310"/>
      <c r="BH450" s="310"/>
      <c r="BI450" s="310"/>
      <c r="BJ450" s="310"/>
      <c r="BK450" s="310"/>
      <c r="BL450" s="544">
        <f t="shared" si="181"/>
        <v>0</v>
      </c>
      <c r="BM450" s="525"/>
      <c r="BN450" s="310"/>
      <c r="BO450" s="310"/>
      <c r="BP450" s="310"/>
      <c r="BQ450" s="310"/>
      <c r="BR450" s="310"/>
      <c r="BS450" s="310"/>
      <c r="BT450" s="544">
        <f t="shared" si="182"/>
        <v>0</v>
      </c>
      <c r="BU450" s="556"/>
      <c r="BV450" s="663">
        <f t="shared" si="184"/>
        <v>10</v>
      </c>
      <c r="BW450" s="674">
        <f t="shared" si="185"/>
        <v>0.22727272727272727</v>
      </c>
      <c r="BX450" s="674">
        <f t="shared" si="186"/>
        <v>1</v>
      </c>
      <c r="BY450" s="674">
        <f t="shared" si="187"/>
        <v>0</v>
      </c>
      <c r="BZ450" s="675">
        <f t="shared" si="188"/>
        <v>0</v>
      </c>
      <c r="CA450" s="675">
        <f t="shared" si="189"/>
        <v>0</v>
      </c>
    </row>
    <row r="451" spans="1:79" ht="79.5" hidden="1" customHeight="1" x14ac:dyDescent="0.25">
      <c r="A451" s="298" t="s">
        <v>1353</v>
      </c>
      <c r="B451" s="299" t="str">
        <f>'PLAN INDICATIVO'!B442</f>
        <v>Ambiental</v>
      </c>
      <c r="C451" s="1547"/>
      <c r="D451" s="1551"/>
      <c r="E451" s="1551"/>
      <c r="F451" s="1551"/>
      <c r="G451" s="1551"/>
      <c r="H451" s="1551"/>
      <c r="I451" s="1425" t="str">
        <f>'PLAN INDICATIVO'!I442</f>
        <v>SI</v>
      </c>
      <c r="J451" s="1425">
        <f>'PLAN INDICATIVO'!J442</f>
        <v>0</v>
      </c>
      <c r="K451" s="1428" t="str">
        <f>'PLAN INDICATIVO'!K442</f>
        <v>A.10.1.2</v>
      </c>
      <c r="L451" s="301" t="str">
        <f>'PLAN INDICATIVO'!L442</f>
        <v>15. Vida de ecosistemas terrestres</v>
      </c>
      <c r="M451" s="301" t="str">
        <f>'PLAN INDICATIVO'!M442</f>
        <v>Unidad de Desarrollo Rural</v>
      </c>
      <c r="N451" s="1425" t="str">
        <f>'PLAN INDICATIVO'!N442</f>
        <v>GABRIEL ERNESTO CAMPOS ALVIRA</v>
      </c>
      <c r="O451" s="1425" t="str">
        <f>'PLAN INDICATIVO'!O442</f>
        <v>Incremento</v>
      </c>
      <c r="P451" s="16" t="str">
        <f>'PLAN INDICATIVO'!P442</f>
        <v xml:space="preserve">Proteger 12 micro cuencas mediante la reforestación, aislamiento y manejo de regeneración o siembra de especies protectora, durante el cuatrienio </v>
      </c>
      <c r="Q451" s="302" t="str">
        <f>'PLAN INDICATIVO'!Q442</f>
        <v>No. Micro cuencas protegidas con reforestación o aislamiento</v>
      </c>
      <c r="R451" s="303">
        <f>'PLAN INDICATIVO'!R442</f>
        <v>2015</v>
      </c>
      <c r="S451" s="304">
        <v>0</v>
      </c>
      <c r="T451" s="498">
        <v>12</v>
      </c>
      <c r="U451" s="303">
        <v>3</v>
      </c>
      <c r="V451" s="687">
        <v>23000000</v>
      </c>
      <c r="W451" s="572">
        <v>3</v>
      </c>
      <c r="X451" s="687">
        <v>23000000</v>
      </c>
      <c r="Y451" s="572">
        <v>3</v>
      </c>
      <c r="Z451" s="687">
        <v>19000000</v>
      </c>
      <c r="AA451" s="572">
        <v>3</v>
      </c>
      <c r="AB451" s="687">
        <v>20000000</v>
      </c>
      <c r="AC451" s="665">
        <v>3</v>
      </c>
      <c r="AD451" s="665"/>
      <c r="AE451" s="665"/>
      <c r="AF451" s="665"/>
      <c r="AG451" s="306" t="s">
        <v>2596</v>
      </c>
      <c r="AH451" s="307" t="s">
        <v>3057</v>
      </c>
      <c r="AI451" s="309">
        <v>42401</v>
      </c>
      <c r="AJ451" s="309">
        <v>42735</v>
      </c>
      <c r="AK451" s="308"/>
      <c r="AL451" s="308"/>
      <c r="AM451" s="267" t="s">
        <v>2598</v>
      </c>
      <c r="AN451" s="507" t="s">
        <v>3058</v>
      </c>
      <c r="AO451" s="525">
        <v>5100000</v>
      </c>
      <c r="AP451" s="310"/>
      <c r="AQ451" s="310"/>
      <c r="AR451" s="310"/>
      <c r="AS451" s="310"/>
      <c r="AT451" s="310"/>
      <c r="AU451" s="310">
        <v>1700000</v>
      </c>
      <c r="AV451" s="544">
        <f t="shared" si="183"/>
        <v>6800000</v>
      </c>
      <c r="AW451" s="525"/>
      <c r="AX451" s="310"/>
      <c r="AY451" s="310"/>
      <c r="AZ451" s="310"/>
      <c r="BA451" s="310"/>
      <c r="BB451" s="310"/>
      <c r="BC451" s="310"/>
      <c r="BD451" s="544">
        <f t="shared" si="180"/>
        <v>0</v>
      </c>
      <c r="BE451" s="525"/>
      <c r="BF451" s="310"/>
      <c r="BG451" s="310"/>
      <c r="BH451" s="310"/>
      <c r="BI451" s="310"/>
      <c r="BJ451" s="310"/>
      <c r="BK451" s="310"/>
      <c r="BL451" s="544">
        <f t="shared" si="181"/>
        <v>0</v>
      </c>
      <c r="BM451" s="525"/>
      <c r="BN451" s="310"/>
      <c r="BO451" s="310"/>
      <c r="BP451" s="310"/>
      <c r="BQ451" s="310"/>
      <c r="BR451" s="310"/>
      <c r="BS451" s="310"/>
      <c r="BT451" s="544">
        <f t="shared" si="182"/>
        <v>0</v>
      </c>
      <c r="BU451" s="556"/>
      <c r="BV451" s="663">
        <f t="shared" si="184"/>
        <v>3</v>
      </c>
      <c r="BW451" s="674">
        <f t="shared" si="185"/>
        <v>0.25</v>
      </c>
      <c r="BX451" s="674">
        <f t="shared" si="186"/>
        <v>1</v>
      </c>
      <c r="BY451" s="674">
        <f t="shared" si="187"/>
        <v>0</v>
      </c>
      <c r="BZ451" s="675">
        <f t="shared" si="188"/>
        <v>0</v>
      </c>
      <c r="CA451" s="675">
        <f t="shared" si="189"/>
        <v>0</v>
      </c>
    </row>
    <row r="452" spans="1:79" ht="60.75" hidden="1" customHeight="1" x14ac:dyDescent="0.25">
      <c r="A452" s="298" t="s">
        <v>1353</v>
      </c>
      <c r="B452" s="299" t="str">
        <f>'PLAN INDICATIVO'!B443</f>
        <v>Ambiental</v>
      </c>
      <c r="C452" s="1547"/>
      <c r="D452" s="1551"/>
      <c r="E452" s="1551"/>
      <c r="F452" s="1551"/>
      <c r="G452" s="1551"/>
      <c r="H452" s="1551"/>
      <c r="I452" s="300">
        <f>'PLAN INDICATIVO'!I443</f>
        <v>0</v>
      </c>
      <c r="J452" s="300">
        <f>'PLAN INDICATIVO'!J443</f>
        <v>0</v>
      </c>
      <c r="K452" s="1428" t="str">
        <f>'PLAN INDICATIVO'!K443</f>
        <v>A.10.1.3</v>
      </c>
      <c r="L452" s="301" t="str">
        <f>'PLAN INDICATIVO'!L443</f>
        <v>15. Vida de ecosistemas terrestres</v>
      </c>
      <c r="M452" s="301" t="str">
        <f>'PLAN INDICATIVO'!M443</f>
        <v>Unidad de Desarrollo Rural</v>
      </c>
      <c r="N452" s="1425" t="str">
        <f>'PLAN INDICATIVO'!N443</f>
        <v>GABRIEL ERNESTO CAMPOS ALVIRA</v>
      </c>
      <c r="O452" s="1425" t="str">
        <f>'PLAN INDICATIVO'!O443</f>
        <v>Incremento</v>
      </c>
      <c r="P452" s="16" t="str">
        <f>'PLAN INDICATIVO'!P443</f>
        <v>Garantizar 3 mejoramientos paisajístico y ambiental en el Municipio durante el cuatrienio</v>
      </c>
      <c r="Q452" s="302" t="str">
        <f>'PLAN INDICATIVO'!Q443</f>
        <v xml:space="preserve">No. De mejoramiento paisajísticos garantizados </v>
      </c>
      <c r="R452" s="303">
        <f>'PLAN INDICATIVO'!R443</f>
        <v>2015</v>
      </c>
      <c r="S452" s="304">
        <v>0</v>
      </c>
      <c r="T452" s="498">
        <v>3</v>
      </c>
      <c r="U452" s="303">
        <v>0</v>
      </c>
      <c r="V452" s="687"/>
      <c r="W452" s="572">
        <v>1</v>
      </c>
      <c r="X452" s="687">
        <v>6000000</v>
      </c>
      <c r="Y452" s="572">
        <v>1</v>
      </c>
      <c r="Z452" s="687">
        <v>3000000</v>
      </c>
      <c r="AA452" s="572">
        <v>1</v>
      </c>
      <c r="AB452" s="687">
        <v>3000000</v>
      </c>
      <c r="AC452" s="665"/>
      <c r="AD452" s="665"/>
      <c r="AE452" s="665"/>
      <c r="AF452" s="665"/>
      <c r="AG452" s="266"/>
      <c r="AH452" s="307"/>
      <c r="AI452" s="308"/>
      <c r="AJ452" s="308"/>
      <c r="AK452" s="308"/>
      <c r="AL452" s="308"/>
      <c r="AM452" s="267" t="s">
        <v>2594</v>
      </c>
      <c r="AN452" s="507"/>
      <c r="AO452" s="525"/>
      <c r="AP452" s="310"/>
      <c r="AQ452" s="310"/>
      <c r="AR452" s="310"/>
      <c r="AS452" s="310"/>
      <c r="AT452" s="310"/>
      <c r="AU452" s="310"/>
      <c r="AV452" s="544">
        <f t="shared" si="183"/>
        <v>0</v>
      </c>
      <c r="AW452" s="525"/>
      <c r="AX452" s="310"/>
      <c r="AY452" s="310"/>
      <c r="AZ452" s="310"/>
      <c r="BA452" s="310"/>
      <c r="BB452" s="310"/>
      <c r="BC452" s="310"/>
      <c r="BD452" s="544">
        <f t="shared" si="180"/>
        <v>0</v>
      </c>
      <c r="BE452" s="525"/>
      <c r="BF452" s="310"/>
      <c r="BG452" s="310"/>
      <c r="BH452" s="310"/>
      <c r="BI452" s="310"/>
      <c r="BJ452" s="310"/>
      <c r="BK452" s="310"/>
      <c r="BL452" s="544">
        <f t="shared" si="181"/>
        <v>0</v>
      </c>
      <c r="BM452" s="525"/>
      <c r="BN452" s="310"/>
      <c r="BO452" s="310"/>
      <c r="BP452" s="310"/>
      <c r="BQ452" s="310"/>
      <c r="BR452" s="310"/>
      <c r="BS452" s="310"/>
      <c r="BT452" s="544">
        <f t="shared" si="182"/>
        <v>0</v>
      </c>
      <c r="BU452" s="556"/>
      <c r="BV452" s="663">
        <f t="shared" si="184"/>
        <v>0</v>
      </c>
      <c r="BW452" s="674">
        <f t="shared" si="185"/>
        <v>0</v>
      </c>
      <c r="BX452" s="674" t="e">
        <f t="shared" si="186"/>
        <v>#DIV/0!</v>
      </c>
      <c r="BY452" s="674">
        <f t="shared" si="187"/>
        <v>0</v>
      </c>
      <c r="BZ452" s="675">
        <f t="shared" si="188"/>
        <v>0</v>
      </c>
      <c r="CA452" s="675">
        <f t="shared" si="189"/>
        <v>0</v>
      </c>
    </row>
    <row r="453" spans="1:79" ht="29.25" hidden="1" customHeight="1" x14ac:dyDescent="0.25">
      <c r="A453" s="298" t="s">
        <v>1353</v>
      </c>
      <c r="B453" s="299" t="str">
        <f>'PLAN INDICATIVO'!B444</f>
        <v>Ambiental</v>
      </c>
      <c r="C453" s="1547"/>
      <c r="D453" s="1551"/>
      <c r="E453" s="1551"/>
      <c r="F453" s="1551"/>
      <c r="G453" s="1551"/>
      <c r="H453" s="1551"/>
      <c r="I453" s="300">
        <f>'PLAN INDICATIVO'!I444</f>
        <v>0</v>
      </c>
      <c r="J453" s="300">
        <f>'PLAN INDICATIVO'!J444</f>
        <v>0</v>
      </c>
      <c r="K453" s="1428" t="str">
        <f>'PLAN INDICATIVO'!K444</f>
        <v>A.10.1.4</v>
      </c>
      <c r="L453" s="301" t="str">
        <f>'PLAN INDICATIVO'!L444</f>
        <v>15. Vida de ecosistemas terrestres</v>
      </c>
      <c r="M453" s="301" t="str">
        <f>'PLAN INDICATIVO'!M444</f>
        <v>Unidad de Desarrollo Rural</v>
      </c>
      <c r="N453" s="1425" t="str">
        <f>'PLAN INDICATIVO'!N444</f>
        <v>GABRIEL ERNESTO CAMPOS ALVIRA</v>
      </c>
      <c r="O453" s="1425" t="str">
        <f>'PLAN INDICATIVO'!O444</f>
        <v>Incremento</v>
      </c>
      <c r="P453" s="16" t="str">
        <f>'PLAN INDICATIVO'!P444</f>
        <v>Realizar 1 inventario forestal urbano durante el cuatrienio</v>
      </c>
      <c r="Q453" s="302" t="str">
        <f>'PLAN INDICATIVO'!Q444</f>
        <v>No. De inventarios realizados</v>
      </c>
      <c r="R453" s="303">
        <f>'PLAN INDICATIVO'!R444</f>
        <v>2015</v>
      </c>
      <c r="S453" s="304">
        <v>0</v>
      </c>
      <c r="T453" s="498">
        <v>1</v>
      </c>
      <c r="U453" s="303">
        <v>0</v>
      </c>
      <c r="V453" s="687"/>
      <c r="W453" s="572">
        <v>0</v>
      </c>
      <c r="X453" s="687"/>
      <c r="Y453" s="572">
        <v>1</v>
      </c>
      <c r="Z453" s="687">
        <v>4000000</v>
      </c>
      <c r="AA453" s="572">
        <v>1</v>
      </c>
      <c r="AB453" s="687">
        <v>2000000</v>
      </c>
      <c r="AC453" s="665"/>
      <c r="AD453" s="665"/>
      <c r="AE453" s="665"/>
      <c r="AF453" s="665"/>
      <c r="AG453" s="266"/>
      <c r="AH453" s="307"/>
      <c r="AI453" s="308"/>
      <c r="AJ453" s="308"/>
      <c r="AK453" s="308"/>
      <c r="AL453" s="308"/>
      <c r="AM453" s="267" t="s">
        <v>2594</v>
      </c>
      <c r="AN453" s="507"/>
      <c r="AO453" s="525"/>
      <c r="AP453" s="310"/>
      <c r="AQ453" s="310"/>
      <c r="AR453" s="310"/>
      <c r="AS453" s="310"/>
      <c r="AT453" s="310"/>
      <c r="AU453" s="310"/>
      <c r="AV453" s="544">
        <f t="shared" si="183"/>
        <v>0</v>
      </c>
      <c r="AW453" s="525"/>
      <c r="AX453" s="310"/>
      <c r="AY453" s="310"/>
      <c r="AZ453" s="310"/>
      <c r="BA453" s="310"/>
      <c r="BB453" s="310"/>
      <c r="BC453" s="310"/>
      <c r="BD453" s="544">
        <f t="shared" si="180"/>
        <v>0</v>
      </c>
      <c r="BE453" s="525"/>
      <c r="BF453" s="310"/>
      <c r="BG453" s="310"/>
      <c r="BH453" s="310"/>
      <c r="BI453" s="310"/>
      <c r="BJ453" s="310"/>
      <c r="BK453" s="310"/>
      <c r="BL453" s="544">
        <f t="shared" si="181"/>
        <v>0</v>
      </c>
      <c r="BM453" s="525"/>
      <c r="BN453" s="310"/>
      <c r="BO453" s="310"/>
      <c r="BP453" s="310"/>
      <c r="BQ453" s="310"/>
      <c r="BR453" s="310"/>
      <c r="BS453" s="310"/>
      <c r="BT453" s="544">
        <f t="shared" si="182"/>
        <v>0</v>
      </c>
      <c r="BU453" s="556"/>
      <c r="BV453" s="663">
        <f t="shared" si="184"/>
        <v>0</v>
      </c>
      <c r="BW453" s="674">
        <f t="shared" si="185"/>
        <v>0</v>
      </c>
      <c r="BX453" s="674" t="e">
        <f t="shared" si="186"/>
        <v>#DIV/0!</v>
      </c>
      <c r="BY453" s="674" t="e">
        <f t="shared" si="187"/>
        <v>#DIV/0!</v>
      </c>
      <c r="BZ453" s="675">
        <f t="shared" si="188"/>
        <v>0</v>
      </c>
      <c r="CA453" s="675">
        <f t="shared" si="189"/>
        <v>0</v>
      </c>
    </row>
    <row r="454" spans="1:79" ht="72.75" hidden="1" customHeight="1" x14ac:dyDescent="0.25">
      <c r="A454" s="298" t="s">
        <v>1353</v>
      </c>
      <c r="B454" s="299" t="str">
        <f>'PLAN INDICATIVO'!B445</f>
        <v>Ambiental</v>
      </c>
      <c r="C454" s="1547"/>
      <c r="D454" s="1551"/>
      <c r="E454" s="1551"/>
      <c r="F454" s="1551"/>
      <c r="G454" s="1551"/>
      <c r="H454" s="1551"/>
      <c r="I454" s="300">
        <f>'PLAN INDICATIVO'!I445</f>
        <v>0</v>
      </c>
      <c r="J454" s="300">
        <f>'PLAN INDICATIVO'!J445</f>
        <v>0</v>
      </c>
      <c r="K454" s="1428" t="str">
        <f>'PLAN INDICATIVO'!K445</f>
        <v>A.10.1.5</v>
      </c>
      <c r="L454" s="301" t="str">
        <f>'PLAN INDICATIVO'!L445</f>
        <v>15. Vida de ecosistemas terrestres</v>
      </c>
      <c r="M454" s="301" t="str">
        <f>'PLAN INDICATIVO'!M445</f>
        <v>Unidad de Desarrollo Rural</v>
      </c>
      <c r="N454" s="1425" t="str">
        <f>'PLAN INDICATIVO'!N445</f>
        <v>GABRIEL ERNESTO CAMPOS ALVIRA</v>
      </c>
      <c r="O454" s="1425" t="str">
        <f>'PLAN INDICATIVO'!O445</f>
        <v>Incremento</v>
      </c>
      <c r="P454" s="16" t="str">
        <f>'PLAN INDICATIVO'!P445</f>
        <v>Sembrar 12.000 árboles durante el cuatrienio  para la reforestación con seguimiento continúo.</v>
      </c>
      <c r="Q454" s="302" t="str">
        <f>'PLAN INDICATIVO'!Q445</f>
        <v>No. De árboles sembrados</v>
      </c>
      <c r="R454" s="303">
        <f>'PLAN INDICATIVO'!R445</f>
        <v>2015</v>
      </c>
      <c r="S454" s="304">
        <v>0</v>
      </c>
      <c r="T454" s="498">
        <v>12000</v>
      </c>
      <c r="U454" s="303">
        <v>3000</v>
      </c>
      <c r="V454" s="687">
        <v>20000000</v>
      </c>
      <c r="W454" s="572">
        <v>3000</v>
      </c>
      <c r="X454" s="687">
        <v>11000000</v>
      </c>
      <c r="Y454" s="572">
        <v>3000</v>
      </c>
      <c r="Z454" s="687">
        <v>10000000</v>
      </c>
      <c r="AA454" s="572">
        <v>3000</v>
      </c>
      <c r="AB454" s="687">
        <v>20000000</v>
      </c>
      <c r="AC454" s="673">
        <v>4000</v>
      </c>
      <c r="AD454" s="673"/>
      <c r="AE454" s="673"/>
      <c r="AF454" s="673"/>
      <c r="AG454" s="306" t="s">
        <v>2596</v>
      </c>
      <c r="AH454" s="307" t="s">
        <v>3059</v>
      </c>
      <c r="AI454" s="309">
        <v>42401</v>
      </c>
      <c r="AJ454" s="309">
        <v>42551</v>
      </c>
      <c r="AK454" s="308"/>
      <c r="AL454" s="308"/>
      <c r="AM454" s="267" t="s">
        <v>2598</v>
      </c>
      <c r="AN454" s="507" t="s">
        <v>3060</v>
      </c>
      <c r="AO454" s="525"/>
      <c r="AP454" s="380"/>
      <c r="AQ454" s="310"/>
      <c r="AR454" s="310"/>
      <c r="AS454" s="310"/>
      <c r="AT454" s="310"/>
      <c r="AU454" s="310">
        <v>5600000</v>
      </c>
      <c r="AV454" s="544">
        <f t="shared" si="183"/>
        <v>5600000</v>
      </c>
      <c r="AW454" s="525"/>
      <c r="AX454" s="380"/>
      <c r="AY454" s="310"/>
      <c r="AZ454" s="310"/>
      <c r="BA454" s="310"/>
      <c r="BB454" s="310"/>
      <c r="BC454" s="310"/>
      <c r="BD454" s="544">
        <f t="shared" si="180"/>
        <v>0</v>
      </c>
      <c r="BE454" s="525"/>
      <c r="BF454" s="380"/>
      <c r="BG454" s="310"/>
      <c r="BH454" s="310"/>
      <c r="BI454" s="310"/>
      <c r="BJ454" s="310"/>
      <c r="BK454" s="310"/>
      <c r="BL454" s="544">
        <f t="shared" si="181"/>
        <v>0</v>
      </c>
      <c r="BM454" s="525"/>
      <c r="BN454" s="380"/>
      <c r="BO454" s="310"/>
      <c r="BP454" s="310"/>
      <c r="BQ454" s="310"/>
      <c r="BR454" s="310"/>
      <c r="BS454" s="310"/>
      <c r="BT454" s="544">
        <f t="shared" si="182"/>
        <v>0</v>
      </c>
      <c r="BU454" s="556"/>
      <c r="BV454" s="663">
        <f t="shared" si="184"/>
        <v>4000</v>
      </c>
      <c r="BW454" s="674">
        <f t="shared" si="185"/>
        <v>0.33333333333333331</v>
      </c>
      <c r="BX454" s="674">
        <f t="shared" si="186"/>
        <v>1.3333333333333333</v>
      </c>
      <c r="BY454" s="674">
        <f t="shared" si="187"/>
        <v>0</v>
      </c>
      <c r="BZ454" s="675">
        <f t="shared" si="188"/>
        <v>0</v>
      </c>
      <c r="CA454" s="675">
        <f t="shared" si="189"/>
        <v>0</v>
      </c>
    </row>
    <row r="455" spans="1:79" ht="57" hidden="1" customHeight="1" x14ac:dyDescent="0.25">
      <c r="A455" s="298" t="s">
        <v>1353</v>
      </c>
      <c r="B455" s="299" t="str">
        <f>'PLAN INDICATIVO'!B446</f>
        <v>Ambiental</v>
      </c>
      <c r="C455" s="1547"/>
      <c r="D455" s="1551"/>
      <c r="E455" s="1551"/>
      <c r="F455" s="1551"/>
      <c r="G455" s="1551"/>
      <c r="H455" s="1551"/>
      <c r="I455" s="300">
        <f>'PLAN INDICATIVO'!I446</f>
        <v>0</v>
      </c>
      <c r="J455" s="300">
        <f>'PLAN INDICATIVO'!J446</f>
        <v>0</v>
      </c>
      <c r="K455" s="1428" t="str">
        <f>'PLAN INDICATIVO'!K446</f>
        <v>A.10.1.6</v>
      </c>
      <c r="L455" s="301" t="str">
        <f>'PLAN INDICATIVO'!L446</f>
        <v>15. Vida de ecosistemas terrestres</v>
      </c>
      <c r="M455" s="301" t="str">
        <f>'PLAN INDICATIVO'!M446</f>
        <v>Unidad de Desarrollo Rural</v>
      </c>
      <c r="N455" s="1425" t="str">
        <f>'PLAN INDICATIVO'!N446</f>
        <v>GABRIEL ERNESTO CAMPOS ALVIRA</v>
      </c>
      <c r="O455" s="1425" t="str">
        <f>'PLAN INDICATIVO'!O446</f>
        <v>Incremento</v>
      </c>
      <c r="P455" s="16" t="str">
        <f>'PLAN INDICATIVO'!P446</f>
        <v>Realizar 40 actividades durante el cuatrienio enmarcadas en la conservación y preservación del medio ambiente, tales como; el reciclaje, la separación en la fuente y la transformación de materia orgánica en Abonos, entre otras.</v>
      </c>
      <c r="Q455" s="302" t="str">
        <f>'PLAN INDICATIVO'!Q446</f>
        <v>No. De actividades realizadas</v>
      </c>
      <c r="R455" s="303">
        <f>'PLAN INDICATIVO'!R446</f>
        <v>2015</v>
      </c>
      <c r="S455" s="304">
        <v>0</v>
      </c>
      <c r="T455" s="498">
        <v>40</v>
      </c>
      <c r="U455" s="303">
        <v>10</v>
      </c>
      <c r="V455" s="687">
        <v>9000000</v>
      </c>
      <c r="W455" s="572">
        <v>10</v>
      </c>
      <c r="X455" s="687">
        <v>9000000</v>
      </c>
      <c r="Y455" s="572">
        <v>10</v>
      </c>
      <c r="Z455" s="687">
        <v>9000000</v>
      </c>
      <c r="AA455" s="572">
        <v>10</v>
      </c>
      <c r="AB455" s="687">
        <v>9000000</v>
      </c>
      <c r="AC455" s="665">
        <v>10</v>
      </c>
      <c r="AD455" s="665"/>
      <c r="AE455" s="665"/>
      <c r="AF455" s="665"/>
      <c r="AG455" s="306" t="s">
        <v>3061</v>
      </c>
      <c r="AH455" s="307" t="s">
        <v>3062</v>
      </c>
      <c r="AI455" s="309">
        <v>42401</v>
      </c>
      <c r="AJ455" s="309">
        <v>42735</v>
      </c>
      <c r="AK455" s="308"/>
      <c r="AL455" s="308"/>
      <c r="AM455" s="267" t="s">
        <v>2598</v>
      </c>
      <c r="AN455" s="507" t="s">
        <v>3063</v>
      </c>
      <c r="AO455" s="525"/>
      <c r="AP455" s="310"/>
      <c r="AQ455" s="310"/>
      <c r="AR455" s="310"/>
      <c r="AS455" s="310"/>
      <c r="AT455" s="310"/>
      <c r="AU455" s="310">
        <v>3400000</v>
      </c>
      <c r="AV455" s="544">
        <f t="shared" ref="AV455:AV500" si="206">SUM(AO455:AU455)</f>
        <v>3400000</v>
      </c>
      <c r="AW455" s="525"/>
      <c r="AX455" s="310"/>
      <c r="AY455" s="310"/>
      <c r="AZ455" s="310"/>
      <c r="BA455" s="310"/>
      <c r="BB455" s="310"/>
      <c r="BC455" s="310"/>
      <c r="BD455" s="544">
        <f t="shared" ref="BD455:BD500" si="207">SUM(AW455:BC455)</f>
        <v>0</v>
      </c>
      <c r="BE455" s="525"/>
      <c r="BF455" s="310"/>
      <c r="BG455" s="310"/>
      <c r="BH455" s="310"/>
      <c r="BI455" s="310"/>
      <c r="BJ455" s="310"/>
      <c r="BK455" s="310"/>
      <c r="BL455" s="544">
        <f t="shared" ref="BL455:BL500" si="208">SUM(BE455:BK455)</f>
        <v>0</v>
      </c>
      <c r="BM455" s="525"/>
      <c r="BN455" s="310"/>
      <c r="BO455" s="310"/>
      <c r="BP455" s="310"/>
      <c r="BQ455" s="310"/>
      <c r="BR455" s="310"/>
      <c r="BS455" s="310"/>
      <c r="BT455" s="544">
        <f t="shared" ref="BT455:BT500" si="209">SUM(BM455:BS455)</f>
        <v>0</v>
      </c>
      <c r="BU455" s="556"/>
      <c r="BV455" s="663">
        <f t="shared" si="184"/>
        <v>10</v>
      </c>
      <c r="BW455" s="674">
        <f t="shared" si="185"/>
        <v>0.25</v>
      </c>
      <c r="BX455" s="674">
        <f t="shared" si="186"/>
        <v>1</v>
      </c>
      <c r="BY455" s="674">
        <f t="shared" si="187"/>
        <v>0</v>
      </c>
      <c r="BZ455" s="675">
        <f t="shared" si="188"/>
        <v>0</v>
      </c>
      <c r="CA455" s="675">
        <f t="shared" si="189"/>
        <v>0</v>
      </c>
    </row>
    <row r="456" spans="1:79" ht="66" hidden="1" customHeight="1" x14ac:dyDescent="0.25">
      <c r="A456" s="298" t="s">
        <v>1353</v>
      </c>
      <c r="B456" s="299" t="str">
        <f>'PLAN INDICATIVO'!B447</f>
        <v>Ambiental</v>
      </c>
      <c r="C456" s="1547"/>
      <c r="D456" s="1551"/>
      <c r="E456" s="1551"/>
      <c r="F456" s="1551"/>
      <c r="G456" s="1551"/>
      <c r="H456" s="1551"/>
      <c r="I456" s="300">
        <f>'PLAN INDICATIVO'!I447</f>
        <v>0</v>
      </c>
      <c r="J456" s="300">
        <f>'PLAN INDICATIVO'!J447</f>
        <v>0</v>
      </c>
      <c r="K456" s="1428" t="str">
        <f>'PLAN INDICATIVO'!K447</f>
        <v>A.10.1.7</v>
      </c>
      <c r="L456" s="301" t="str">
        <f>'PLAN INDICATIVO'!L447</f>
        <v>15. Vida de ecosistemas terrestres</v>
      </c>
      <c r="M456" s="301" t="str">
        <f>'PLAN INDICATIVO'!M447</f>
        <v>Unidad de Desarrollo Rural</v>
      </c>
      <c r="N456" s="1425" t="str">
        <f>'PLAN INDICATIVO'!N447</f>
        <v>GABRIEL ERNESTO CAMPOS ALVIRA</v>
      </c>
      <c r="O456" s="1425" t="str">
        <f>'PLAN INDICATIVO'!O447</f>
        <v>Mantenimiento</v>
      </c>
      <c r="P456" s="16" t="str">
        <f>'PLAN INDICATIVO'!P447</f>
        <v>Realizar 4 eventos de cultura ambiental (día del árbol, día del agua, día del reciclador, día de la tierra)  cada año, durante el cuatrienio.</v>
      </c>
      <c r="Q456" s="302" t="str">
        <f>'PLAN INDICATIVO'!Q447</f>
        <v xml:space="preserve">No. De eventos de cultura ambiental realizados por año </v>
      </c>
      <c r="R456" s="303">
        <f>'PLAN INDICATIVO'!R447</f>
        <v>2015</v>
      </c>
      <c r="S456" s="304">
        <v>0</v>
      </c>
      <c r="T456" s="498">
        <v>16</v>
      </c>
      <c r="U456" s="303">
        <v>4</v>
      </c>
      <c r="V456" s="687">
        <v>5000000</v>
      </c>
      <c r="W456" s="572">
        <v>4</v>
      </c>
      <c r="X456" s="687">
        <v>5000000</v>
      </c>
      <c r="Y456" s="572">
        <v>4</v>
      </c>
      <c r="Z456" s="687">
        <v>5000000</v>
      </c>
      <c r="AA456" s="572">
        <v>4</v>
      </c>
      <c r="AB456" s="687">
        <v>5000000</v>
      </c>
      <c r="AC456" s="665">
        <v>4</v>
      </c>
      <c r="AD456" s="665"/>
      <c r="AE456" s="665"/>
      <c r="AF456" s="665"/>
      <c r="AG456" s="306" t="s">
        <v>2596</v>
      </c>
      <c r="AH456" s="307" t="s">
        <v>3064</v>
      </c>
      <c r="AI456" s="309">
        <v>42461</v>
      </c>
      <c r="AJ456" s="309">
        <v>42520</v>
      </c>
      <c r="AK456" s="308"/>
      <c r="AL456" s="308"/>
      <c r="AM456" s="267" t="s">
        <v>2598</v>
      </c>
      <c r="AN456" s="507" t="s">
        <v>3063</v>
      </c>
      <c r="AO456" s="525"/>
      <c r="AP456" s="310"/>
      <c r="AQ456" s="310"/>
      <c r="AR456" s="310"/>
      <c r="AS456" s="310"/>
      <c r="AT456" s="310"/>
      <c r="AU456" s="310">
        <v>3400000</v>
      </c>
      <c r="AV456" s="544">
        <f t="shared" si="206"/>
        <v>3400000</v>
      </c>
      <c r="AW456" s="525"/>
      <c r="AX456" s="310"/>
      <c r="AY456" s="310"/>
      <c r="AZ456" s="310"/>
      <c r="BA456" s="310"/>
      <c r="BB456" s="310"/>
      <c r="BC456" s="310"/>
      <c r="BD456" s="544">
        <f t="shared" si="207"/>
        <v>0</v>
      </c>
      <c r="BE456" s="525"/>
      <c r="BF456" s="310"/>
      <c r="BG456" s="310"/>
      <c r="BH456" s="310"/>
      <c r="BI456" s="310"/>
      <c r="BJ456" s="310"/>
      <c r="BK456" s="310"/>
      <c r="BL456" s="544">
        <f t="shared" si="208"/>
        <v>0</v>
      </c>
      <c r="BM456" s="525"/>
      <c r="BN456" s="310"/>
      <c r="BO456" s="310"/>
      <c r="BP456" s="310"/>
      <c r="BQ456" s="310"/>
      <c r="BR456" s="310"/>
      <c r="BS456" s="310"/>
      <c r="BT456" s="544">
        <f t="shared" si="209"/>
        <v>0</v>
      </c>
      <c r="BU456" s="556"/>
      <c r="BV456" s="663">
        <f t="shared" si="184"/>
        <v>4</v>
      </c>
      <c r="BW456" s="674">
        <f t="shared" si="185"/>
        <v>0.25</v>
      </c>
      <c r="BX456" s="674">
        <f t="shared" si="186"/>
        <v>1</v>
      </c>
      <c r="BY456" s="674">
        <f t="shared" si="187"/>
        <v>0</v>
      </c>
      <c r="BZ456" s="675">
        <f t="shared" si="188"/>
        <v>0</v>
      </c>
      <c r="CA456" s="675">
        <f t="shared" si="189"/>
        <v>0</v>
      </c>
    </row>
    <row r="457" spans="1:79" ht="45" hidden="1" customHeight="1" x14ac:dyDescent="0.25">
      <c r="A457" s="298" t="s">
        <v>1353</v>
      </c>
      <c r="B457" s="299" t="str">
        <f>'PLAN INDICATIVO'!B448</f>
        <v>Ambiental</v>
      </c>
      <c r="C457" s="1547"/>
      <c r="D457" s="1551"/>
      <c r="E457" s="1551"/>
      <c r="F457" s="1551"/>
      <c r="G457" s="1551"/>
      <c r="H457" s="1551"/>
      <c r="I457" s="300">
        <f>'PLAN INDICATIVO'!I448</f>
        <v>0</v>
      </c>
      <c r="J457" s="300">
        <f>'PLAN INDICATIVO'!J448</f>
        <v>0</v>
      </c>
      <c r="K457" s="1428" t="str">
        <f>'PLAN INDICATIVO'!K448</f>
        <v>A.10.1.8</v>
      </c>
      <c r="L457" s="301" t="str">
        <f>'PLAN INDICATIVO'!L448</f>
        <v>15. Vida de ecosistemas terrestres</v>
      </c>
      <c r="M457" s="301" t="str">
        <f>'PLAN INDICATIVO'!M448</f>
        <v>Unidad de Desarrollo Rural</v>
      </c>
      <c r="N457" s="1425" t="str">
        <f>'PLAN INDICATIVO'!N448</f>
        <v>GABRIEL ERNESTO CAMPOS ALVIRA</v>
      </c>
      <c r="O457" s="1425" t="str">
        <f>'PLAN INDICATIVO'!O448</f>
        <v>Incremento</v>
      </c>
      <c r="P457" s="16" t="str">
        <f>'PLAN INDICATIVO'!P448</f>
        <v>Implementar  programas de certificación de 20 fincas en Buenas Prácticas Agrícolas y Pecuarias</v>
      </c>
      <c r="Q457" s="302" t="str">
        <f>'PLAN INDICATIVO'!Q448</f>
        <v>No. de fincas certificadas  en buenas prácticas agrícolas y pecuarias</v>
      </c>
      <c r="R457" s="303">
        <f>'PLAN INDICATIVO'!R448</f>
        <v>2015</v>
      </c>
      <c r="S457" s="304">
        <v>0</v>
      </c>
      <c r="T457" s="498">
        <v>20</v>
      </c>
      <c r="U457" s="303">
        <v>0</v>
      </c>
      <c r="V457" s="687"/>
      <c r="W457" s="572">
        <v>0</v>
      </c>
      <c r="X457" s="687"/>
      <c r="Y457" s="572">
        <v>10</v>
      </c>
      <c r="Z457" s="687">
        <v>5000000</v>
      </c>
      <c r="AA457" s="572">
        <v>10</v>
      </c>
      <c r="AB457" s="687">
        <v>5000000</v>
      </c>
      <c r="AC457" s="665"/>
      <c r="AD457" s="665"/>
      <c r="AE457" s="665"/>
      <c r="AF457" s="665"/>
      <c r="AG457" s="266"/>
      <c r="AH457" s="307"/>
      <c r="AI457" s="308"/>
      <c r="AJ457" s="308"/>
      <c r="AK457" s="308"/>
      <c r="AL457" s="308"/>
      <c r="AM457" s="267" t="s">
        <v>2594</v>
      </c>
      <c r="AN457" s="507"/>
      <c r="AO457" s="525"/>
      <c r="AP457" s="310"/>
      <c r="AQ457" s="310"/>
      <c r="AR457" s="310"/>
      <c r="AS457" s="310"/>
      <c r="AT457" s="310"/>
      <c r="AU457" s="310"/>
      <c r="AV457" s="544">
        <f t="shared" si="206"/>
        <v>0</v>
      </c>
      <c r="AW457" s="525"/>
      <c r="AX457" s="310"/>
      <c r="AY457" s="310"/>
      <c r="AZ457" s="310"/>
      <c r="BA457" s="310"/>
      <c r="BB457" s="310"/>
      <c r="BC457" s="310"/>
      <c r="BD457" s="544">
        <f t="shared" si="207"/>
        <v>0</v>
      </c>
      <c r="BE457" s="525"/>
      <c r="BF457" s="310"/>
      <c r="BG457" s="310"/>
      <c r="BH457" s="310"/>
      <c r="BI457" s="310"/>
      <c r="BJ457" s="310"/>
      <c r="BK457" s="310"/>
      <c r="BL457" s="544">
        <f t="shared" si="208"/>
        <v>0</v>
      </c>
      <c r="BM457" s="525"/>
      <c r="BN457" s="310"/>
      <c r="BO457" s="310"/>
      <c r="BP457" s="310"/>
      <c r="BQ457" s="310"/>
      <c r="BR457" s="310"/>
      <c r="BS457" s="310"/>
      <c r="BT457" s="544">
        <f t="shared" si="209"/>
        <v>0</v>
      </c>
      <c r="BU457" s="556"/>
      <c r="BV457" s="663">
        <f t="shared" si="184"/>
        <v>0</v>
      </c>
      <c r="BW457" s="674">
        <f t="shared" si="185"/>
        <v>0</v>
      </c>
      <c r="BX457" s="674" t="e">
        <f t="shared" si="186"/>
        <v>#DIV/0!</v>
      </c>
      <c r="BY457" s="674" t="e">
        <f t="shared" si="187"/>
        <v>#DIV/0!</v>
      </c>
      <c r="BZ457" s="675">
        <f t="shared" si="188"/>
        <v>0</v>
      </c>
      <c r="CA457" s="675">
        <f t="shared" si="189"/>
        <v>0</v>
      </c>
    </row>
    <row r="458" spans="1:79" ht="48.75" hidden="1" customHeight="1" x14ac:dyDescent="0.25">
      <c r="A458" s="298" t="s">
        <v>1353</v>
      </c>
      <c r="B458" s="299" t="str">
        <f>'PLAN INDICATIVO'!B449</f>
        <v>Ambiental</v>
      </c>
      <c r="C458" s="1547"/>
      <c r="D458" s="1551"/>
      <c r="E458" s="1551"/>
      <c r="F458" s="1551"/>
      <c r="G458" s="1551"/>
      <c r="H458" s="1551"/>
      <c r="I458" s="300">
        <f>'PLAN INDICATIVO'!I449</f>
        <v>0</v>
      </c>
      <c r="J458" s="300">
        <f>'PLAN INDICATIVO'!J449</f>
        <v>0</v>
      </c>
      <c r="K458" s="1428" t="str">
        <f>'PLAN INDICATIVO'!K449</f>
        <v>A.10.1.9</v>
      </c>
      <c r="L458" s="301" t="str">
        <f>'PLAN INDICATIVO'!L449</f>
        <v>15. Vida de ecosistemas terrestres</v>
      </c>
      <c r="M458" s="301" t="str">
        <f>'PLAN INDICATIVO'!M449</f>
        <v>Unidad de Desarrollo Rural</v>
      </c>
      <c r="N458" s="1425" t="str">
        <f>'PLAN INDICATIVO'!N449</f>
        <v>GABRIEL ERNESTO CAMPOS ALVIRA</v>
      </c>
      <c r="O458" s="1425" t="str">
        <f>'PLAN INDICATIVO'!O449</f>
        <v>Incremento</v>
      </c>
      <c r="P458" s="16" t="str">
        <f>'PLAN INDICATIVO'!P449</f>
        <v>Gestionar la implementación de 1 programa ambiental en el cuatrienio que permita la sensibilización, educación, concientización, y capacitación a la comunidad dedicada al reciclaje, como también programas de limpiezas de ríos, parques, quebradas, caminos.</v>
      </c>
      <c r="Q458" s="302" t="str">
        <f>'PLAN INDICATIVO'!Q449</f>
        <v>No. De Gestiones para implementar programas</v>
      </c>
      <c r="R458" s="303">
        <f>'PLAN INDICATIVO'!R449</f>
        <v>2015</v>
      </c>
      <c r="S458" s="304">
        <v>0</v>
      </c>
      <c r="T458" s="498">
        <v>1</v>
      </c>
      <c r="U458" s="303">
        <v>0</v>
      </c>
      <c r="V458" s="687"/>
      <c r="W458" s="572">
        <v>0.33</v>
      </c>
      <c r="X458" s="687">
        <v>2000000</v>
      </c>
      <c r="Y458" s="572">
        <v>0.33</v>
      </c>
      <c r="Z458" s="687">
        <v>2000000</v>
      </c>
      <c r="AA458" s="572">
        <v>0.34</v>
      </c>
      <c r="AB458" s="687">
        <v>2000000</v>
      </c>
      <c r="AC458" s="665"/>
      <c r="AD458" s="665"/>
      <c r="AE458" s="665"/>
      <c r="AF458" s="665"/>
      <c r="AG458" s="266"/>
      <c r="AH458" s="307"/>
      <c r="AI458" s="308"/>
      <c r="AJ458" s="308"/>
      <c r="AK458" s="308"/>
      <c r="AL458" s="308"/>
      <c r="AM458" s="267" t="s">
        <v>2594</v>
      </c>
      <c r="AN458" s="507"/>
      <c r="AO458" s="525"/>
      <c r="AP458" s="310"/>
      <c r="AQ458" s="310"/>
      <c r="AR458" s="310"/>
      <c r="AS458" s="310"/>
      <c r="AT458" s="310"/>
      <c r="AU458" s="310"/>
      <c r="AV458" s="544">
        <f t="shared" si="206"/>
        <v>0</v>
      </c>
      <c r="AW458" s="525"/>
      <c r="AX458" s="310"/>
      <c r="AY458" s="310"/>
      <c r="AZ458" s="310"/>
      <c r="BA458" s="310"/>
      <c r="BB458" s="310"/>
      <c r="BC458" s="310"/>
      <c r="BD458" s="544">
        <f t="shared" si="207"/>
        <v>0</v>
      </c>
      <c r="BE458" s="525"/>
      <c r="BF458" s="310"/>
      <c r="BG458" s="310"/>
      <c r="BH458" s="310"/>
      <c r="BI458" s="310"/>
      <c r="BJ458" s="310"/>
      <c r="BK458" s="310"/>
      <c r="BL458" s="544">
        <f t="shared" si="208"/>
        <v>0</v>
      </c>
      <c r="BM458" s="525"/>
      <c r="BN458" s="310"/>
      <c r="BO458" s="310"/>
      <c r="BP458" s="310"/>
      <c r="BQ458" s="310"/>
      <c r="BR458" s="310"/>
      <c r="BS458" s="310"/>
      <c r="BT458" s="544">
        <f t="shared" si="209"/>
        <v>0</v>
      </c>
      <c r="BU458" s="556"/>
      <c r="BV458" s="663">
        <f t="shared" si="184"/>
        <v>0</v>
      </c>
      <c r="BW458" s="674">
        <f t="shared" si="185"/>
        <v>0</v>
      </c>
      <c r="BX458" s="674" t="e">
        <f t="shared" si="186"/>
        <v>#DIV/0!</v>
      </c>
      <c r="BY458" s="674">
        <f t="shared" si="187"/>
        <v>0</v>
      </c>
      <c r="BZ458" s="675">
        <f t="shared" si="188"/>
        <v>0</v>
      </c>
      <c r="CA458" s="675">
        <f t="shared" si="189"/>
        <v>0</v>
      </c>
    </row>
    <row r="459" spans="1:79" ht="65.25" hidden="1" customHeight="1" x14ac:dyDescent="0.25">
      <c r="A459" s="298" t="s">
        <v>1353</v>
      </c>
      <c r="B459" s="299" t="str">
        <f>'PLAN INDICATIVO'!B450</f>
        <v>Ambiental</v>
      </c>
      <c r="C459" s="1547"/>
      <c r="D459" s="1551"/>
      <c r="E459" s="1551"/>
      <c r="F459" s="1551"/>
      <c r="G459" s="1551"/>
      <c r="H459" s="1551"/>
      <c r="I459" s="300">
        <f>'PLAN INDICATIVO'!I450</f>
        <v>0</v>
      </c>
      <c r="J459" s="300">
        <f>'PLAN INDICATIVO'!J450</f>
        <v>0</v>
      </c>
      <c r="K459" s="1428" t="str">
        <f>'PLAN INDICATIVO'!K450</f>
        <v>A.10.1.10</v>
      </c>
      <c r="L459" s="301" t="str">
        <f>'PLAN INDICATIVO'!L450</f>
        <v>15. Vida de ecosistemas terrestres</v>
      </c>
      <c r="M459" s="301" t="str">
        <f>'PLAN INDICATIVO'!M450</f>
        <v>Unidad de Desarrollo Rural</v>
      </c>
      <c r="N459" s="1425" t="str">
        <f>'PLAN INDICATIVO'!N450</f>
        <v>GABRIEL ERNESTO CAMPOS ALVIRA</v>
      </c>
      <c r="O459" s="1425" t="str">
        <f>'PLAN INDICATIVO'!O450</f>
        <v>Incremento</v>
      </c>
      <c r="P459" s="16" t="str">
        <f>'PLAN INDICATIVO'!P450</f>
        <v>Realizar 4 campañas durante el cuatrienio, para evitar la contaminación con heces de los animales utilizados para vehículos de tracción animal</v>
      </c>
      <c r="Q459" s="302" t="str">
        <f>'PLAN INDICATIVO'!Q450</f>
        <v>No. de campañas realizadas</v>
      </c>
      <c r="R459" s="303">
        <f>'PLAN INDICATIVO'!R450</f>
        <v>2015</v>
      </c>
      <c r="S459" s="304">
        <v>0</v>
      </c>
      <c r="T459" s="498">
        <v>4</v>
      </c>
      <c r="U459" s="303">
        <v>1</v>
      </c>
      <c r="V459" s="687">
        <v>2000000</v>
      </c>
      <c r="W459" s="572">
        <v>1</v>
      </c>
      <c r="X459" s="687">
        <v>2000000</v>
      </c>
      <c r="Y459" s="572">
        <v>1</v>
      </c>
      <c r="Z459" s="687">
        <v>2000000</v>
      </c>
      <c r="AA459" s="572">
        <v>1</v>
      </c>
      <c r="AB459" s="687">
        <v>2000000</v>
      </c>
      <c r="AC459" s="665">
        <v>3</v>
      </c>
      <c r="AD459" s="665"/>
      <c r="AE459" s="665"/>
      <c r="AF459" s="665"/>
      <c r="AG459" s="306" t="s">
        <v>2831</v>
      </c>
      <c r="AH459" s="307" t="s">
        <v>3065</v>
      </c>
      <c r="AI459" s="309">
        <v>42370</v>
      </c>
      <c r="AJ459" s="309">
        <v>42399</v>
      </c>
      <c r="AK459" s="308"/>
      <c r="AL459" s="308"/>
      <c r="AM459" s="267" t="s">
        <v>2598</v>
      </c>
      <c r="AN459" s="507" t="s">
        <v>3066</v>
      </c>
      <c r="AO459" s="525"/>
      <c r="AP459" s="310">
        <v>5600000</v>
      </c>
      <c r="AQ459" s="310"/>
      <c r="AR459" s="310"/>
      <c r="AS459" s="310"/>
      <c r="AT459" s="310"/>
      <c r="AU459" s="310"/>
      <c r="AV459" s="544">
        <f t="shared" si="206"/>
        <v>5600000</v>
      </c>
      <c r="AW459" s="525"/>
      <c r="AX459" s="310"/>
      <c r="AY459" s="310"/>
      <c r="AZ459" s="310"/>
      <c r="BA459" s="310"/>
      <c r="BB459" s="310"/>
      <c r="BC459" s="310"/>
      <c r="BD459" s="544">
        <f t="shared" si="207"/>
        <v>0</v>
      </c>
      <c r="BE459" s="525"/>
      <c r="BF459" s="310"/>
      <c r="BG459" s="310"/>
      <c r="BH459" s="310"/>
      <c r="BI459" s="310"/>
      <c r="BJ459" s="310"/>
      <c r="BK459" s="310"/>
      <c r="BL459" s="544">
        <f t="shared" si="208"/>
        <v>0</v>
      </c>
      <c r="BM459" s="525"/>
      <c r="BN459" s="310"/>
      <c r="BO459" s="310"/>
      <c r="BP459" s="310"/>
      <c r="BQ459" s="310"/>
      <c r="BR459" s="310"/>
      <c r="BS459" s="310"/>
      <c r="BT459" s="544">
        <f t="shared" si="209"/>
        <v>0</v>
      </c>
      <c r="BU459" s="556"/>
      <c r="BV459" s="663">
        <f t="shared" ref="BV459:BV500" si="210">AC459+AD459+AE459+AF459</f>
        <v>3</v>
      </c>
      <c r="BW459" s="674">
        <f t="shared" ref="BW459:BW500" si="211">BV459/T459</f>
        <v>0.75</v>
      </c>
      <c r="BX459" s="674">
        <f t="shared" ref="BX459:BX500" si="212">AC459/U459</f>
        <v>3</v>
      </c>
      <c r="BY459" s="674">
        <f t="shared" ref="BY459:BY500" si="213">AD459/W459</f>
        <v>0</v>
      </c>
      <c r="BZ459" s="675">
        <f t="shared" ref="BZ459:BZ500" si="214">AE459/Y459</f>
        <v>0</v>
      </c>
      <c r="CA459" s="675">
        <f t="shared" ref="CA459:CA500" si="215">AF459/AA459</f>
        <v>0</v>
      </c>
    </row>
    <row r="460" spans="1:79" ht="89.25" hidden="1" x14ac:dyDescent="0.25">
      <c r="A460" s="298" t="s">
        <v>1353</v>
      </c>
      <c r="B460" s="299" t="str">
        <f>'PLAN INDICATIVO'!B451</f>
        <v>Ambiental</v>
      </c>
      <c r="C460" s="1547"/>
      <c r="D460" s="1551"/>
      <c r="E460" s="1551"/>
      <c r="F460" s="1551"/>
      <c r="G460" s="1551"/>
      <c r="H460" s="1551"/>
      <c r="I460" s="300">
        <f>'PLAN INDICATIVO'!I451</f>
        <v>0</v>
      </c>
      <c r="J460" s="300">
        <f>'PLAN INDICATIVO'!J451</f>
        <v>0</v>
      </c>
      <c r="K460" s="1428" t="str">
        <f>'PLAN INDICATIVO'!K451</f>
        <v>A.10.1.11</v>
      </c>
      <c r="L460" s="301" t="str">
        <f>'PLAN INDICATIVO'!L451</f>
        <v>15. Vida de ecosistemas terrestres</v>
      </c>
      <c r="M460" s="301" t="str">
        <f>'PLAN INDICATIVO'!M451</f>
        <v>Unidad de Desarrollo Rural</v>
      </c>
      <c r="N460" s="1425" t="str">
        <f>'PLAN INDICATIVO'!N451</f>
        <v>GABRIEL ERNESTO CAMPOS ALVIRA</v>
      </c>
      <c r="O460" s="1425" t="str">
        <f>'PLAN INDICATIVO'!O451</f>
        <v>Incremento</v>
      </c>
      <c r="P460" s="16" t="str">
        <f>'PLAN INDICATIVO'!P451</f>
        <v>Formular e implementar 1 estrategia para lograr la sustitución de vehículos de tracción animal.</v>
      </c>
      <c r="Q460" s="302" t="str">
        <f>'PLAN INDICATIVO'!Q451</f>
        <v>No. De Estrategia formuladas e implementada.</v>
      </c>
      <c r="R460" s="303">
        <f>'PLAN INDICATIVO'!R451</f>
        <v>2015</v>
      </c>
      <c r="S460" s="304">
        <v>0</v>
      </c>
      <c r="T460" s="498">
        <v>1</v>
      </c>
      <c r="U460" s="303">
        <v>0</v>
      </c>
      <c r="V460" s="687"/>
      <c r="W460" s="572">
        <v>1</v>
      </c>
      <c r="X460" s="687">
        <v>19000000</v>
      </c>
      <c r="Y460" s="572">
        <v>1</v>
      </c>
      <c r="Z460" s="687">
        <v>1000000</v>
      </c>
      <c r="AA460" s="572">
        <v>1</v>
      </c>
      <c r="AB460" s="687">
        <v>4000000</v>
      </c>
      <c r="AC460" s="665"/>
      <c r="AD460" s="665"/>
      <c r="AE460" s="665"/>
      <c r="AF460" s="665"/>
      <c r="AG460" s="266"/>
      <c r="AH460" s="307"/>
      <c r="AI460" s="308"/>
      <c r="AJ460" s="308" t="s">
        <v>3067</v>
      </c>
      <c r="AK460" s="308"/>
      <c r="AL460" s="308"/>
      <c r="AM460" s="267" t="s">
        <v>2594</v>
      </c>
      <c r="AN460" s="507"/>
      <c r="AO460" s="525"/>
      <c r="AP460" s="310"/>
      <c r="AQ460" s="310"/>
      <c r="AR460" s="310"/>
      <c r="AS460" s="310"/>
      <c r="AT460" s="310"/>
      <c r="AU460" s="310"/>
      <c r="AV460" s="544">
        <f t="shared" si="206"/>
        <v>0</v>
      </c>
      <c r="AW460" s="525"/>
      <c r="AX460" s="310"/>
      <c r="AY460" s="310"/>
      <c r="AZ460" s="310"/>
      <c r="BA460" s="310"/>
      <c r="BB460" s="310"/>
      <c r="BC460" s="310"/>
      <c r="BD460" s="544">
        <f t="shared" si="207"/>
        <v>0</v>
      </c>
      <c r="BE460" s="525"/>
      <c r="BF460" s="310"/>
      <c r="BG460" s="310"/>
      <c r="BH460" s="310"/>
      <c r="BI460" s="310"/>
      <c r="BJ460" s="310"/>
      <c r="BK460" s="310"/>
      <c r="BL460" s="544">
        <f t="shared" si="208"/>
        <v>0</v>
      </c>
      <c r="BM460" s="525"/>
      <c r="BN460" s="310"/>
      <c r="BO460" s="310"/>
      <c r="BP460" s="310"/>
      <c r="BQ460" s="310"/>
      <c r="BR460" s="310"/>
      <c r="BS460" s="310"/>
      <c r="BT460" s="544">
        <f t="shared" si="209"/>
        <v>0</v>
      </c>
      <c r="BU460" s="556"/>
      <c r="BV460" s="663">
        <f t="shared" si="210"/>
        <v>0</v>
      </c>
      <c r="BW460" s="674">
        <f t="shared" si="211"/>
        <v>0</v>
      </c>
      <c r="BX460" s="674" t="e">
        <f t="shared" si="212"/>
        <v>#DIV/0!</v>
      </c>
      <c r="BY460" s="674">
        <f t="shared" si="213"/>
        <v>0</v>
      </c>
      <c r="BZ460" s="675">
        <f t="shared" si="214"/>
        <v>0</v>
      </c>
      <c r="CA460" s="675">
        <f t="shared" si="215"/>
        <v>0</v>
      </c>
    </row>
    <row r="461" spans="1:79" ht="83.25" hidden="1" customHeight="1" x14ac:dyDescent="0.25">
      <c r="A461" s="298" t="s">
        <v>1353</v>
      </c>
      <c r="B461" s="299" t="str">
        <f>'PLAN INDICATIVO'!B452</f>
        <v>Ambiental</v>
      </c>
      <c r="C461" s="1547"/>
      <c r="D461" s="1551"/>
      <c r="E461" s="1551"/>
      <c r="F461" s="1551"/>
      <c r="G461" s="1551"/>
      <c r="H461" s="1551"/>
      <c r="I461" s="300">
        <f>'PLAN INDICATIVO'!I452</f>
        <v>0</v>
      </c>
      <c r="J461" s="300">
        <f>'PLAN INDICATIVO'!J452</f>
        <v>0</v>
      </c>
      <c r="K461" s="1428" t="str">
        <f>'PLAN INDICATIVO'!K452</f>
        <v>A.10.1.12</v>
      </c>
      <c r="L461" s="301" t="str">
        <f>'PLAN INDICATIVO'!L452</f>
        <v>15. Vida de ecosistemas terrestres</v>
      </c>
      <c r="M461" s="301" t="str">
        <f>'PLAN INDICATIVO'!M452</f>
        <v>Unidad de Desarrollo Rural</v>
      </c>
      <c r="N461" s="1425" t="str">
        <f>'PLAN INDICATIVO'!N452</f>
        <v>GABRIEL ERNESTO CAMPOS ALVIRA</v>
      </c>
      <c r="O461" s="1425" t="str">
        <f>'PLAN INDICATIVO'!O452</f>
        <v>Incremento</v>
      </c>
      <c r="P461" s="16" t="str">
        <f>'PLAN INDICATIVO'!P452</f>
        <v>Garantizar 1 sitio adecuado para la disposición final de los escombros, durante el cuatrienio.</v>
      </c>
      <c r="Q461" s="302" t="str">
        <f>'PLAN INDICATIVO'!Q452</f>
        <v>No. De Gestión realizada</v>
      </c>
      <c r="R461" s="303">
        <f>'PLAN INDICATIVO'!R452</f>
        <v>2015</v>
      </c>
      <c r="S461" s="304">
        <v>0</v>
      </c>
      <c r="T461" s="498">
        <v>1</v>
      </c>
      <c r="U461" s="303">
        <v>0</v>
      </c>
      <c r="V461" s="687"/>
      <c r="W461" s="572">
        <v>0</v>
      </c>
      <c r="X461" s="687"/>
      <c r="Y461" s="572">
        <v>1</v>
      </c>
      <c r="Z461" s="687">
        <v>15000000</v>
      </c>
      <c r="AA461" s="572">
        <v>1</v>
      </c>
      <c r="AB461" s="687">
        <v>5000000</v>
      </c>
      <c r="AC461" s="665"/>
      <c r="AD461" s="665"/>
      <c r="AE461" s="665"/>
      <c r="AF461" s="665"/>
      <c r="AG461" s="266"/>
      <c r="AH461" s="307"/>
      <c r="AI461" s="308"/>
      <c r="AJ461" s="308"/>
      <c r="AK461" s="308"/>
      <c r="AL461" s="308"/>
      <c r="AM461" s="267" t="s">
        <v>2594</v>
      </c>
      <c r="AN461" s="507"/>
      <c r="AO461" s="525"/>
      <c r="AP461" s="310"/>
      <c r="AQ461" s="310"/>
      <c r="AR461" s="310"/>
      <c r="AS461" s="310"/>
      <c r="AT461" s="310"/>
      <c r="AU461" s="310"/>
      <c r="AV461" s="544">
        <f t="shared" si="206"/>
        <v>0</v>
      </c>
      <c r="AW461" s="525"/>
      <c r="AX461" s="310"/>
      <c r="AY461" s="310"/>
      <c r="AZ461" s="310"/>
      <c r="BA461" s="310"/>
      <c r="BB461" s="310"/>
      <c r="BC461" s="310"/>
      <c r="BD461" s="544">
        <f t="shared" si="207"/>
        <v>0</v>
      </c>
      <c r="BE461" s="525"/>
      <c r="BF461" s="310"/>
      <c r="BG461" s="310"/>
      <c r="BH461" s="310"/>
      <c r="BI461" s="310"/>
      <c r="BJ461" s="310"/>
      <c r="BK461" s="310"/>
      <c r="BL461" s="544">
        <f t="shared" si="208"/>
        <v>0</v>
      </c>
      <c r="BM461" s="525"/>
      <c r="BN461" s="310"/>
      <c r="BO461" s="310"/>
      <c r="BP461" s="310"/>
      <c r="BQ461" s="310"/>
      <c r="BR461" s="310"/>
      <c r="BS461" s="310"/>
      <c r="BT461" s="544">
        <f t="shared" si="209"/>
        <v>0</v>
      </c>
      <c r="BU461" s="556"/>
      <c r="BV461" s="663">
        <f t="shared" si="210"/>
        <v>0</v>
      </c>
      <c r="BW461" s="674">
        <f t="shared" si="211"/>
        <v>0</v>
      </c>
      <c r="BX461" s="674" t="e">
        <f t="shared" si="212"/>
        <v>#DIV/0!</v>
      </c>
      <c r="BY461" s="674" t="e">
        <f t="shared" si="213"/>
        <v>#DIV/0!</v>
      </c>
      <c r="BZ461" s="675">
        <f t="shared" si="214"/>
        <v>0</v>
      </c>
      <c r="CA461" s="675">
        <f t="shared" si="215"/>
        <v>0</v>
      </c>
    </row>
    <row r="462" spans="1:79" ht="78" hidden="1" customHeight="1" x14ac:dyDescent="0.25">
      <c r="A462" s="298" t="s">
        <v>1353</v>
      </c>
      <c r="B462" s="299" t="str">
        <f>'PLAN INDICATIVO'!B453</f>
        <v>Ambiental</v>
      </c>
      <c r="C462" s="1547"/>
      <c r="D462" s="1551"/>
      <c r="E462" s="1551"/>
      <c r="F462" s="1551"/>
      <c r="G462" s="1551"/>
      <c r="H462" s="1551"/>
      <c r="I462" s="300">
        <f>'PLAN INDICATIVO'!I453</f>
        <v>0</v>
      </c>
      <c r="J462" s="300">
        <f>'PLAN INDICATIVO'!J453</f>
        <v>0</v>
      </c>
      <c r="K462" s="1428" t="str">
        <f>'PLAN INDICATIVO'!K453</f>
        <v>A.10.1.13</v>
      </c>
      <c r="L462" s="301" t="str">
        <f>'PLAN INDICATIVO'!L453</f>
        <v>15. Vida de ecosistemas terrestres</v>
      </c>
      <c r="M462" s="301" t="str">
        <f>'PLAN INDICATIVO'!M453</f>
        <v>Unidad de Desarrollo Rural</v>
      </c>
      <c r="N462" s="1425" t="str">
        <f>'PLAN INDICATIVO'!N453</f>
        <v>GABRIEL ERNESTO CAMPOS ALVIRA</v>
      </c>
      <c r="O462" s="1425" t="str">
        <f>'PLAN INDICATIVO'!O453</f>
        <v>Incremento</v>
      </c>
      <c r="P462" s="16" t="str">
        <f>'PLAN INDICATIVO'!P453</f>
        <v>Realizar 8 jornadas de capacitaciones no formales en busca de estímulos para hacer separación en la fuente, durante el cuatrienio</v>
      </c>
      <c r="Q462" s="302" t="str">
        <f>'PLAN INDICATIVO'!Q453</f>
        <v>No. De capacitaciones realizadas</v>
      </c>
      <c r="R462" s="303">
        <f>'PLAN INDICATIVO'!R453</f>
        <v>2015</v>
      </c>
      <c r="S462" s="304">
        <v>0</v>
      </c>
      <c r="T462" s="498">
        <v>8</v>
      </c>
      <c r="U462" s="303">
        <v>2</v>
      </c>
      <c r="V462" s="687">
        <v>5000000</v>
      </c>
      <c r="W462" s="572">
        <v>2</v>
      </c>
      <c r="X462" s="687">
        <v>5000000</v>
      </c>
      <c r="Y462" s="572">
        <v>2</v>
      </c>
      <c r="Z462" s="687">
        <v>5000000</v>
      </c>
      <c r="AA462" s="572">
        <v>2</v>
      </c>
      <c r="AB462" s="687">
        <v>5000000</v>
      </c>
      <c r="AC462" s="665">
        <v>5</v>
      </c>
      <c r="AD462" s="665"/>
      <c r="AE462" s="665"/>
      <c r="AF462" s="665"/>
      <c r="AG462" s="306" t="s">
        <v>2831</v>
      </c>
      <c r="AH462" s="307" t="s">
        <v>3068</v>
      </c>
      <c r="AI462" s="309">
        <v>42552</v>
      </c>
      <c r="AJ462" s="309">
        <v>42581</v>
      </c>
      <c r="AK462" s="308"/>
      <c r="AL462" s="308"/>
      <c r="AM462" s="267" t="s">
        <v>2598</v>
      </c>
      <c r="AN462" s="507" t="s">
        <v>3069</v>
      </c>
      <c r="AO462" s="525"/>
      <c r="AP462" s="310"/>
      <c r="AQ462" s="310"/>
      <c r="AR462" s="310"/>
      <c r="AS462" s="310"/>
      <c r="AT462" s="310"/>
      <c r="AU462" s="310">
        <v>2800000</v>
      </c>
      <c r="AV462" s="544">
        <f t="shared" si="206"/>
        <v>2800000</v>
      </c>
      <c r="AW462" s="525"/>
      <c r="AX462" s="310"/>
      <c r="AY462" s="310"/>
      <c r="AZ462" s="310"/>
      <c r="BA462" s="310"/>
      <c r="BB462" s="310"/>
      <c r="BC462" s="310"/>
      <c r="BD462" s="544">
        <f t="shared" si="207"/>
        <v>0</v>
      </c>
      <c r="BE462" s="525"/>
      <c r="BF462" s="310"/>
      <c r="BG462" s="310"/>
      <c r="BH462" s="310"/>
      <c r="BI462" s="310"/>
      <c r="BJ462" s="310"/>
      <c r="BK462" s="310"/>
      <c r="BL462" s="544">
        <f t="shared" si="208"/>
        <v>0</v>
      </c>
      <c r="BM462" s="525"/>
      <c r="BN462" s="310"/>
      <c r="BO462" s="310"/>
      <c r="BP462" s="310"/>
      <c r="BQ462" s="310"/>
      <c r="BR462" s="310"/>
      <c r="BS462" s="310"/>
      <c r="BT462" s="544">
        <f t="shared" si="209"/>
        <v>0</v>
      </c>
      <c r="BU462" s="556"/>
      <c r="BV462" s="663">
        <f t="shared" si="210"/>
        <v>5</v>
      </c>
      <c r="BW462" s="674">
        <f t="shared" si="211"/>
        <v>0.625</v>
      </c>
      <c r="BX462" s="674">
        <f t="shared" si="212"/>
        <v>2.5</v>
      </c>
      <c r="BY462" s="674">
        <f t="shared" si="213"/>
        <v>0</v>
      </c>
      <c r="BZ462" s="675">
        <f t="shared" si="214"/>
        <v>0</v>
      </c>
      <c r="CA462" s="675">
        <f t="shared" si="215"/>
        <v>0</v>
      </c>
    </row>
    <row r="463" spans="1:79" ht="78" hidden="1" customHeight="1" x14ac:dyDescent="0.25">
      <c r="A463" s="298" t="s">
        <v>1353</v>
      </c>
      <c r="B463" s="299" t="str">
        <f>'PLAN INDICATIVO'!B454</f>
        <v>Ambiental</v>
      </c>
      <c r="C463" s="1547"/>
      <c r="D463" s="1551"/>
      <c r="E463" s="1551"/>
      <c r="F463" s="1551"/>
      <c r="G463" s="1551"/>
      <c r="H463" s="1551"/>
      <c r="I463" s="300">
        <f>'PLAN INDICATIVO'!I454</f>
        <v>0</v>
      </c>
      <c r="J463" s="300">
        <f>'PLAN INDICATIVO'!J454</f>
        <v>0</v>
      </c>
      <c r="K463" s="1428" t="str">
        <f>'PLAN INDICATIVO'!K454</f>
        <v>A.10.1.14</v>
      </c>
      <c r="L463" s="301" t="str">
        <f>'PLAN INDICATIVO'!L454</f>
        <v>15. Vida de ecosistemas terrestres</v>
      </c>
      <c r="M463" s="301" t="str">
        <f>'PLAN INDICATIVO'!M454</f>
        <v>Unidad de Desarrollo Rural</v>
      </c>
      <c r="N463" s="1425" t="str">
        <f>'PLAN INDICATIVO'!N454</f>
        <v>GABRIEL ERNESTO CAMPOS ALVIRA</v>
      </c>
      <c r="O463" s="1425" t="str">
        <f>'PLAN INDICATIVO'!O454</f>
        <v>Incremento</v>
      </c>
      <c r="P463" s="16" t="str">
        <f>'PLAN INDICATIVO'!P454</f>
        <v>Realizar 10 capacitaciones en el cuatrienio, en centros poblados  respecto al manejo integral de los residuos sólidos.</v>
      </c>
      <c r="Q463" s="302" t="str">
        <f>'PLAN INDICATIVO'!Q454</f>
        <v>No. De capacitaciones realizadas</v>
      </c>
      <c r="R463" s="303">
        <f>'PLAN INDICATIVO'!R454</f>
        <v>2015</v>
      </c>
      <c r="S463" s="304">
        <v>0</v>
      </c>
      <c r="T463" s="498">
        <v>10</v>
      </c>
      <c r="U463" s="303">
        <v>2</v>
      </c>
      <c r="V463" s="687">
        <v>6000000</v>
      </c>
      <c r="W463" s="572">
        <v>3</v>
      </c>
      <c r="X463" s="687">
        <v>6000000</v>
      </c>
      <c r="Y463" s="572">
        <v>3</v>
      </c>
      <c r="Z463" s="687">
        <v>6000000</v>
      </c>
      <c r="AA463" s="572">
        <v>2</v>
      </c>
      <c r="AB463" s="687">
        <v>6000000</v>
      </c>
      <c r="AC463" s="665">
        <v>5</v>
      </c>
      <c r="AD463" s="665"/>
      <c r="AE463" s="665"/>
      <c r="AF463" s="665"/>
      <c r="AG463" s="306" t="s">
        <v>2596</v>
      </c>
      <c r="AH463" s="307" t="s">
        <v>3070</v>
      </c>
      <c r="AI463" s="308" t="s">
        <v>3071</v>
      </c>
      <c r="AJ463" s="309">
        <v>42612</v>
      </c>
      <c r="AK463" s="308"/>
      <c r="AL463" s="308"/>
      <c r="AM463" s="267" t="s">
        <v>2598</v>
      </c>
      <c r="AN463" s="507" t="s">
        <v>3072</v>
      </c>
      <c r="AO463" s="525"/>
      <c r="AP463" s="310"/>
      <c r="AQ463" s="310"/>
      <c r="AR463" s="310"/>
      <c r="AS463" s="310"/>
      <c r="AT463" s="310"/>
      <c r="AU463" s="310">
        <v>6800000</v>
      </c>
      <c r="AV463" s="544">
        <f t="shared" si="206"/>
        <v>6800000</v>
      </c>
      <c r="AW463" s="525"/>
      <c r="AX463" s="310"/>
      <c r="AY463" s="310"/>
      <c r="AZ463" s="310"/>
      <c r="BA463" s="310"/>
      <c r="BB463" s="310"/>
      <c r="BC463" s="310"/>
      <c r="BD463" s="544">
        <f t="shared" si="207"/>
        <v>0</v>
      </c>
      <c r="BE463" s="525"/>
      <c r="BF463" s="310"/>
      <c r="BG463" s="310"/>
      <c r="BH463" s="310"/>
      <c r="BI463" s="310"/>
      <c r="BJ463" s="310"/>
      <c r="BK463" s="310"/>
      <c r="BL463" s="544">
        <f t="shared" si="208"/>
        <v>0</v>
      </c>
      <c r="BM463" s="525"/>
      <c r="BN463" s="310"/>
      <c r="BO463" s="310"/>
      <c r="BP463" s="310"/>
      <c r="BQ463" s="310"/>
      <c r="BR463" s="310"/>
      <c r="BS463" s="310"/>
      <c r="BT463" s="544">
        <f t="shared" si="209"/>
        <v>0</v>
      </c>
      <c r="BU463" s="556"/>
      <c r="BV463" s="663">
        <f t="shared" si="210"/>
        <v>5</v>
      </c>
      <c r="BW463" s="674">
        <f t="shared" si="211"/>
        <v>0.5</v>
      </c>
      <c r="BX463" s="674">
        <f t="shared" si="212"/>
        <v>2.5</v>
      </c>
      <c r="BY463" s="674">
        <f t="shared" si="213"/>
        <v>0</v>
      </c>
      <c r="BZ463" s="675">
        <f t="shared" si="214"/>
        <v>0</v>
      </c>
      <c r="CA463" s="675">
        <f t="shared" si="215"/>
        <v>0</v>
      </c>
    </row>
    <row r="464" spans="1:79" ht="63" hidden="1" customHeight="1" x14ac:dyDescent="0.25">
      <c r="A464" s="298" t="s">
        <v>1353</v>
      </c>
      <c r="B464" s="299" t="str">
        <f>'PLAN INDICATIVO'!B455</f>
        <v>Ambiental</v>
      </c>
      <c r="C464" s="1547"/>
      <c r="D464" s="1551"/>
      <c r="E464" s="1551"/>
      <c r="F464" s="1551"/>
      <c r="G464" s="1551"/>
      <c r="H464" s="1551"/>
      <c r="I464" s="300">
        <f>'PLAN INDICATIVO'!I455</f>
        <v>0</v>
      </c>
      <c r="J464" s="300">
        <f>'PLAN INDICATIVO'!J455</f>
        <v>0</v>
      </c>
      <c r="K464" s="1428" t="str">
        <f>'PLAN INDICATIVO'!K455</f>
        <v>A.10.1.15</v>
      </c>
      <c r="L464" s="301" t="str">
        <f>'PLAN INDICATIVO'!L455</f>
        <v>15. Vida de ecosistemas terrestres</v>
      </c>
      <c r="M464" s="301" t="str">
        <f>'PLAN INDICATIVO'!M455</f>
        <v>Unidad de Desarrollo Rural</v>
      </c>
      <c r="N464" s="1425" t="str">
        <f>'PLAN INDICATIVO'!N455</f>
        <v>GABRIEL ERNESTO CAMPOS ALVIRA</v>
      </c>
      <c r="O464" s="1425" t="str">
        <f>'PLAN INDICATIVO'!O455</f>
        <v>Incremento</v>
      </c>
      <c r="P464" s="16" t="str">
        <f>'PLAN INDICATIVO'!P455</f>
        <v>Realizar 4 jornadas de sensibilización en IE sobre cultura ambiental, en el cuatrienio</v>
      </c>
      <c r="Q464" s="302" t="str">
        <f>'PLAN INDICATIVO'!Q455</f>
        <v>No. De jornadas realizadas</v>
      </c>
      <c r="R464" s="303">
        <f>'PLAN INDICATIVO'!R455</f>
        <v>2015</v>
      </c>
      <c r="S464" s="304">
        <v>0</v>
      </c>
      <c r="T464" s="498">
        <v>4</v>
      </c>
      <c r="U464" s="303">
        <v>1</v>
      </c>
      <c r="V464" s="687">
        <v>1000000</v>
      </c>
      <c r="W464" s="572">
        <v>1</v>
      </c>
      <c r="X464" s="687">
        <v>1000000</v>
      </c>
      <c r="Y464" s="572">
        <v>1</v>
      </c>
      <c r="Z464" s="687">
        <v>1000000</v>
      </c>
      <c r="AA464" s="572">
        <v>1</v>
      </c>
      <c r="AB464" s="687">
        <v>1000000</v>
      </c>
      <c r="AC464" s="665">
        <v>1</v>
      </c>
      <c r="AD464" s="665"/>
      <c r="AE464" s="665"/>
      <c r="AF464" s="665"/>
      <c r="AG464" s="306" t="s">
        <v>2831</v>
      </c>
      <c r="AH464" s="307" t="s">
        <v>3073</v>
      </c>
      <c r="AI464" s="309">
        <v>42580</v>
      </c>
      <c r="AJ464" s="309">
        <v>42580</v>
      </c>
      <c r="AK464" s="308"/>
      <c r="AL464" s="308"/>
      <c r="AM464" s="267" t="s">
        <v>2598</v>
      </c>
      <c r="AN464" s="507" t="s">
        <v>3074</v>
      </c>
      <c r="AO464" s="525">
        <v>1400000</v>
      </c>
      <c r="AP464" s="310">
        <v>1400000</v>
      </c>
      <c r="AQ464" s="310"/>
      <c r="AR464" s="310"/>
      <c r="AS464" s="310"/>
      <c r="AT464" s="310"/>
      <c r="AU464" s="310"/>
      <c r="AV464" s="544">
        <f t="shared" si="206"/>
        <v>2800000</v>
      </c>
      <c r="AW464" s="525"/>
      <c r="AX464" s="310"/>
      <c r="AY464" s="310"/>
      <c r="AZ464" s="310"/>
      <c r="BA464" s="310"/>
      <c r="BB464" s="310"/>
      <c r="BC464" s="310"/>
      <c r="BD464" s="544">
        <f t="shared" si="207"/>
        <v>0</v>
      </c>
      <c r="BE464" s="525"/>
      <c r="BF464" s="310"/>
      <c r="BG464" s="310"/>
      <c r="BH464" s="310"/>
      <c r="BI464" s="310"/>
      <c r="BJ464" s="310"/>
      <c r="BK464" s="310"/>
      <c r="BL464" s="544">
        <f t="shared" si="208"/>
        <v>0</v>
      </c>
      <c r="BM464" s="525"/>
      <c r="BN464" s="310"/>
      <c r="BO464" s="310"/>
      <c r="BP464" s="310"/>
      <c r="BQ464" s="310"/>
      <c r="BR464" s="310"/>
      <c r="BS464" s="310"/>
      <c r="BT464" s="544">
        <f t="shared" si="209"/>
        <v>0</v>
      </c>
      <c r="BU464" s="556"/>
      <c r="BV464" s="663">
        <f t="shared" si="210"/>
        <v>1</v>
      </c>
      <c r="BW464" s="674">
        <f t="shared" si="211"/>
        <v>0.25</v>
      </c>
      <c r="BX464" s="674">
        <f t="shared" si="212"/>
        <v>1</v>
      </c>
      <c r="BY464" s="674">
        <f t="shared" si="213"/>
        <v>0</v>
      </c>
      <c r="BZ464" s="675">
        <f t="shared" si="214"/>
        <v>0</v>
      </c>
      <c r="CA464" s="675">
        <f t="shared" si="215"/>
        <v>0</v>
      </c>
    </row>
    <row r="465" spans="1:100" ht="63.75" hidden="1" customHeight="1" x14ac:dyDescent="0.25">
      <c r="A465" s="298" t="s">
        <v>1353</v>
      </c>
      <c r="B465" s="299" t="str">
        <f>'PLAN INDICATIVO'!B456</f>
        <v>Ambiental</v>
      </c>
      <c r="C465" s="1547"/>
      <c r="D465" s="1551"/>
      <c r="E465" s="1551"/>
      <c r="F465" s="1551"/>
      <c r="G465" s="1551"/>
      <c r="H465" s="1551"/>
      <c r="I465" s="300">
        <f>'PLAN INDICATIVO'!I456</f>
        <v>0</v>
      </c>
      <c r="J465" s="300">
        <f>'PLAN INDICATIVO'!J456</f>
        <v>0</v>
      </c>
      <c r="K465" s="1428" t="str">
        <f>'PLAN INDICATIVO'!K456</f>
        <v>A.10.1.16</v>
      </c>
      <c r="L465" s="301" t="str">
        <f>'PLAN INDICATIVO'!L456</f>
        <v>15. Vida de ecosistemas terrestres</v>
      </c>
      <c r="M465" s="301" t="str">
        <f>'PLAN INDICATIVO'!M456</f>
        <v>Unidad de Desarrollo Rural</v>
      </c>
      <c r="N465" s="1425" t="str">
        <f>'PLAN INDICATIVO'!N456</f>
        <v>GABRIEL ERNESTO CAMPOS ALVIRA</v>
      </c>
      <c r="O465" s="1425" t="str">
        <f>'PLAN INDICATIVO'!O456</f>
        <v>Incremento</v>
      </c>
      <c r="P465" s="16" t="str">
        <f>'PLAN INDICATIVO'!P456</f>
        <v xml:space="preserve">Diseñar un (1) plan municipal de adaptación al cambio climático, durante el cuatrienio. </v>
      </c>
      <c r="Q465" s="302" t="str">
        <f>'PLAN INDICATIVO'!Q456</f>
        <v>No. De planes municipales diseñados</v>
      </c>
      <c r="R465" s="303">
        <f>'PLAN INDICATIVO'!R456</f>
        <v>2015</v>
      </c>
      <c r="S465" s="304">
        <v>0</v>
      </c>
      <c r="T465" s="498">
        <v>1</v>
      </c>
      <c r="U465" s="303">
        <v>0</v>
      </c>
      <c r="V465" s="687"/>
      <c r="W465" s="572">
        <v>1</v>
      </c>
      <c r="X465" s="687">
        <v>4000000</v>
      </c>
      <c r="Y465" s="572">
        <v>1</v>
      </c>
      <c r="Z465" s="687">
        <v>1000000</v>
      </c>
      <c r="AA465" s="572">
        <v>1</v>
      </c>
      <c r="AB465" s="687">
        <v>1000000</v>
      </c>
      <c r="AC465" s="665"/>
      <c r="AD465" s="665"/>
      <c r="AE465" s="665"/>
      <c r="AF465" s="665"/>
      <c r="AG465" s="266"/>
      <c r="AH465" s="307"/>
      <c r="AI465" s="308"/>
      <c r="AJ465" s="308"/>
      <c r="AK465" s="308"/>
      <c r="AL465" s="308"/>
      <c r="AM465" s="267" t="s">
        <v>2594</v>
      </c>
      <c r="AN465" s="507"/>
      <c r="AO465" s="525"/>
      <c r="AP465" s="310"/>
      <c r="AQ465" s="310"/>
      <c r="AR465" s="310"/>
      <c r="AS465" s="310"/>
      <c r="AT465" s="310"/>
      <c r="AU465" s="310"/>
      <c r="AV465" s="544">
        <f t="shared" si="206"/>
        <v>0</v>
      </c>
      <c r="AW465" s="525"/>
      <c r="AX465" s="310"/>
      <c r="AY465" s="310"/>
      <c r="AZ465" s="310"/>
      <c r="BA465" s="310"/>
      <c r="BB465" s="310"/>
      <c r="BC465" s="310"/>
      <c r="BD465" s="544">
        <f t="shared" si="207"/>
        <v>0</v>
      </c>
      <c r="BE465" s="525"/>
      <c r="BF465" s="310"/>
      <c r="BG465" s="310"/>
      <c r="BH465" s="310"/>
      <c r="BI465" s="310"/>
      <c r="BJ465" s="310"/>
      <c r="BK465" s="310"/>
      <c r="BL465" s="544">
        <f t="shared" si="208"/>
        <v>0</v>
      </c>
      <c r="BM465" s="525"/>
      <c r="BN465" s="310"/>
      <c r="BO465" s="310"/>
      <c r="BP465" s="310"/>
      <c r="BQ465" s="310"/>
      <c r="BR465" s="310"/>
      <c r="BS465" s="310"/>
      <c r="BT465" s="544">
        <f t="shared" si="209"/>
        <v>0</v>
      </c>
      <c r="BU465" s="556"/>
      <c r="BV465" s="663">
        <f t="shared" si="210"/>
        <v>0</v>
      </c>
      <c r="BW465" s="674">
        <f t="shared" si="211"/>
        <v>0</v>
      </c>
      <c r="BX465" s="674" t="e">
        <f t="shared" si="212"/>
        <v>#DIV/0!</v>
      </c>
      <c r="BY465" s="674">
        <f t="shared" si="213"/>
        <v>0</v>
      </c>
      <c r="BZ465" s="675">
        <f t="shared" si="214"/>
        <v>0</v>
      </c>
      <c r="CA465" s="675">
        <f t="shared" si="215"/>
        <v>0</v>
      </c>
    </row>
    <row r="466" spans="1:100" ht="69.75" hidden="1" customHeight="1" x14ac:dyDescent="0.25">
      <c r="A466" s="298" t="s">
        <v>1353</v>
      </c>
      <c r="B466" s="299" t="str">
        <f>'PLAN INDICATIVO'!B457</f>
        <v>Ambiental</v>
      </c>
      <c r="C466" s="1547"/>
      <c r="D466" s="1551"/>
      <c r="E466" s="1551"/>
      <c r="F466" s="1551"/>
      <c r="G466" s="1551"/>
      <c r="H466" s="1551"/>
      <c r="I466" s="300">
        <f>'PLAN INDICATIVO'!I457</f>
        <v>0</v>
      </c>
      <c r="J466" s="300">
        <f>'PLAN INDICATIVO'!J457</f>
        <v>0</v>
      </c>
      <c r="K466" s="1428" t="str">
        <f>'PLAN INDICATIVO'!K457</f>
        <v>A.10.1.17</v>
      </c>
      <c r="L466" s="301" t="str">
        <f>'PLAN INDICATIVO'!L457</f>
        <v>15. Vida de ecosistemas terrestres</v>
      </c>
      <c r="M466" s="301" t="str">
        <f>'PLAN INDICATIVO'!M457</f>
        <v>Unidad de Desarrollo Rural</v>
      </c>
      <c r="N466" s="1425" t="str">
        <f>'PLAN INDICATIVO'!N457</f>
        <v>GABRIEL ERNESTO CAMPOS ALVIRA</v>
      </c>
      <c r="O466" s="1425" t="str">
        <f>'PLAN INDICATIVO'!O457</f>
        <v>Incremento</v>
      </c>
      <c r="P466" s="16" t="str">
        <f>'PLAN INDICATIVO'!P457</f>
        <v>Implementar un (1) programa de apoyo a los grupos asociativos, que desarrollen actividades de reciclaje, con fines comerciales y/o de protección ambiental en los centros poblados en el cuatrenio</v>
      </c>
      <c r="Q466" s="302" t="str">
        <f>'PLAN INDICATIVO'!Q457</f>
        <v xml:space="preserve">No. De planes municipales apoyados </v>
      </c>
      <c r="R466" s="303">
        <f>'PLAN INDICATIVO'!R457</f>
        <v>2015</v>
      </c>
      <c r="S466" s="304">
        <v>0</v>
      </c>
      <c r="T466" s="498">
        <v>1</v>
      </c>
      <c r="U466" s="303">
        <v>0</v>
      </c>
      <c r="V466" s="687"/>
      <c r="W466" s="572">
        <v>1</v>
      </c>
      <c r="X466" s="687">
        <v>5000000</v>
      </c>
      <c r="Y466" s="572">
        <v>1</v>
      </c>
      <c r="Z466" s="687">
        <v>1000000</v>
      </c>
      <c r="AA466" s="572">
        <v>1</v>
      </c>
      <c r="AB466" s="687">
        <v>3000000</v>
      </c>
      <c r="AC466" s="665"/>
      <c r="AD466" s="665"/>
      <c r="AE466" s="665"/>
      <c r="AF466" s="665"/>
      <c r="AG466" s="266"/>
      <c r="AH466" s="307"/>
      <c r="AI466" s="308"/>
      <c r="AJ466" s="308"/>
      <c r="AK466" s="308"/>
      <c r="AL466" s="308"/>
      <c r="AM466" s="267" t="s">
        <v>2594</v>
      </c>
      <c r="AN466" s="507"/>
      <c r="AO466" s="525"/>
      <c r="AP466" s="310"/>
      <c r="AQ466" s="310"/>
      <c r="AR466" s="310"/>
      <c r="AS466" s="310"/>
      <c r="AT466" s="310"/>
      <c r="AU466" s="310"/>
      <c r="AV466" s="544">
        <f t="shared" si="206"/>
        <v>0</v>
      </c>
      <c r="AW466" s="525"/>
      <c r="AX466" s="310"/>
      <c r="AY466" s="310"/>
      <c r="AZ466" s="310"/>
      <c r="BA466" s="310"/>
      <c r="BB466" s="310"/>
      <c r="BC466" s="310"/>
      <c r="BD466" s="544">
        <f t="shared" si="207"/>
        <v>0</v>
      </c>
      <c r="BE466" s="525"/>
      <c r="BF466" s="310"/>
      <c r="BG466" s="310"/>
      <c r="BH466" s="310"/>
      <c r="BI466" s="310"/>
      <c r="BJ466" s="310"/>
      <c r="BK466" s="310"/>
      <c r="BL466" s="544">
        <f t="shared" si="208"/>
        <v>0</v>
      </c>
      <c r="BM466" s="525"/>
      <c r="BN466" s="310"/>
      <c r="BO466" s="310"/>
      <c r="BP466" s="310"/>
      <c r="BQ466" s="310"/>
      <c r="BR466" s="310"/>
      <c r="BS466" s="310"/>
      <c r="BT466" s="544">
        <f t="shared" si="209"/>
        <v>0</v>
      </c>
      <c r="BU466" s="556"/>
      <c r="BV466" s="663">
        <f t="shared" si="210"/>
        <v>0</v>
      </c>
      <c r="BW466" s="674">
        <f t="shared" si="211"/>
        <v>0</v>
      </c>
      <c r="BX466" s="674" t="e">
        <f t="shared" si="212"/>
        <v>#DIV/0!</v>
      </c>
      <c r="BY466" s="674">
        <f t="shared" si="213"/>
        <v>0</v>
      </c>
      <c r="BZ466" s="675">
        <f t="shared" si="214"/>
        <v>0</v>
      </c>
      <c r="CA466" s="675">
        <f t="shared" si="215"/>
        <v>0</v>
      </c>
    </row>
    <row r="467" spans="1:100" ht="78.75" hidden="1" customHeight="1" x14ac:dyDescent="0.25">
      <c r="A467" s="298" t="s">
        <v>1353</v>
      </c>
      <c r="B467" s="299" t="str">
        <f>'PLAN INDICATIVO'!B458</f>
        <v>Ambiental</v>
      </c>
      <c r="C467" s="1547"/>
      <c r="D467" s="1551"/>
      <c r="E467" s="1551"/>
      <c r="F467" s="1551"/>
      <c r="G467" s="1551"/>
      <c r="H467" s="1551"/>
      <c r="I467" s="300">
        <f>'PLAN INDICATIVO'!I458</f>
        <v>0</v>
      </c>
      <c r="J467" s="300">
        <f>'PLAN INDICATIVO'!J458</f>
        <v>0</v>
      </c>
      <c r="K467" s="1428" t="str">
        <f>'PLAN INDICATIVO'!K458</f>
        <v>A.10.1.18</v>
      </c>
      <c r="L467" s="301" t="str">
        <f>'PLAN INDICATIVO'!L458</f>
        <v>15. Vida de ecosistemas terrestres</v>
      </c>
      <c r="M467" s="301" t="str">
        <f>'PLAN INDICATIVO'!M458</f>
        <v>Unidad de Desarrollo Rural</v>
      </c>
      <c r="N467" s="1425" t="str">
        <f>'PLAN INDICATIVO'!N458</f>
        <v>GABRIEL ERNESTO CAMPOS ALVIRA</v>
      </c>
      <c r="O467" s="1425" t="str">
        <f>'PLAN INDICATIVO'!O458</f>
        <v>Incremento</v>
      </c>
      <c r="P467" s="16" t="str">
        <f>'PLAN INDICATIVO'!P458</f>
        <v>Construir de 150 Hornillas ecológicas durante el cuatrienio</v>
      </c>
      <c r="Q467" s="302" t="str">
        <f>'PLAN INDICATIVO'!Q458</f>
        <v>No. de hornillas construidas</v>
      </c>
      <c r="R467" s="303">
        <f>'PLAN INDICATIVO'!R458</f>
        <v>2015</v>
      </c>
      <c r="S467" s="304">
        <v>0</v>
      </c>
      <c r="T467" s="498">
        <v>150</v>
      </c>
      <c r="U467" s="303">
        <v>0</v>
      </c>
      <c r="V467" s="687"/>
      <c r="W467" s="572">
        <v>50</v>
      </c>
      <c r="X467" s="687">
        <v>113000000</v>
      </c>
      <c r="Y467" s="572">
        <v>50</v>
      </c>
      <c r="Z467" s="687">
        <v>10000000</v>
      </c>
      <c r="AA467" s="572">
        <v>50</v>
      </c>
      <c r="AB467" s="687">
        <v>20000000</v>
      </c>
      <c r="AC467" s="665"/>
      <c r="AD467" s="665"/>
      <c r="AE467" s="665"/>
      <c r="AF467" s="665"/>
      <c r="AG467" s="266"/>
      <c r="AH467" s="307"/>
      <c r="AI467" s="308"/>
      <c r="AJ467" s="308"/>
      <c r="AK467" s="308"/>
      <c r="AL467" s="308"/>
      <c r="AM467" s="267" t="s">
        <v>2594</v>
      </c>
      <c r="AN467" s="507"/>
      <c r="AO467" s="525"/>
      <c r="AP467" s="310"/>
      <c r="AQ467" s="310"/>
      <c r="AR467" s="310"/>
      <c r="AS467" s="310"/>
      <c r="AT467" s="310"/>
      <c r="AU467" s="310"/>
      <c r="AV467" s="544">
        <f t="shared" si="206"/>
        <v>0</v>
      </c>
      <c r="AW467" s="525"/>
      <c r="AX467" s="310"/>
      <c r="AY467" s="310"/>
      <c r="AZ467" s="310"/>
      <c r="BA467" s="310"/>
      <c r="BB467" s="310"/>
      <c r="BC467" s="310"/>
      <c r="BD467" s="544">
        <f t="shared" si="207"/>
        <v>0</v>
      </c>
      <c r="BE467" s="525"/>
      <c r="BF467" s="310"/>
      <c r="BG467" s="310"/>
      <c r="BH467" s="310"/>
      <c r="BI467" s="310"/>
      <c r="BJ467" s="310"/>
      <c r="BK467" s="310"/>
      <c r="BL467" s="544">
        <f t="shared" si="208"/>
        <v>0</v>
      </c>
      <c r="BM467" s="525"/>
      <c r="BN467" s="310"/>
      <c r="BO467" s="310"/>
      <c r="BP467" s="310"/>
      <c r="BQ467" s="310"/>
      <c r="BR467" s="310"/>
      <c r="BS467" s="310"/>
      <c r="BT467" s="544">
        <f t="shared" si="209"/>
        <v>0</v>
      </c>
      <c r="BU467" s="556"/>
      <c r="BV467" s="663">
        <f t="shared" si="210"/>
        <v>0</v>
      </c>
      <c r="BW467" s="674">
        <f t="shared" si="211"/>
        <v>0</v>
      </c>
      <c r="BX467" s="674" t="e">
        <f t="shared" si="212"/>
        <v>#DIV/0!</v>
      </c>
      <c r="BY467" s="674">
        <f t="shared" si="213"/>
        <v>0</v>
      </c>
      <c r="BZ467" s="675">
        <f t="shared" si="214"/>
        <v>0</v>
      </c>
      <c r="CA467" s="675">
        <f t="shared" si="215"/>
        <v>0</v>
      </c>
    </row>
    <row r="468" spans="1:100" ht="48.75" hidden="1" customHeight="1" x14ac:dyDescent="0.25">
      <c r="A468" s="298" t="s">
        <v>1353</v>
      </c>
      <c r="B468" s="299" t="str">
        <f>'PLAN INDICATIVO'!B459</f>
        <v>Ambiental</v>
      </c>
      <c r="C468" s="1547"/>
      <c r="D468" s="1551"/>
      <c r="E468" s="1551"/>
      <c r="F468" s="1551"/>
      <c r="G468" s="1551"/>
      <c r="H468" s="1551"/>
      <c r="I468" s="300">
        <f>'PLAN INDICATIVO'!I459</f>
        <v>0</v>
      </c>
      <c r="J468" s="300">
        <f>'PLAN INDICATIVO'!J459</f>
        <v>0</v>
      </c>
      <c r="K468" s="1428" t="str">
        <f>'PLAN INDICATIVO'!K459</f>
        <v>A.10.1.19</v>
      </c>
      <c r="L468" s="301" t="str">
        <f>'PLAN INDICATIVO'!L459</f>
        <v>15. Vida de ecosistemas terrestres</v>
      </c>
      <c r="M468" s="301" t="str">
        <f>'PLAN INDICATIVO'!M459</f>
        <v>Unidad de Desarrollo Rural</v>
      </c>
      <c r="N468" s="1425" t="str">
        <f>'PLAN INDICATIVO'!N459</f>
        <v>GABRIEL ERNESTO CAMPOS ALVIRA</v>
      </c>
      <c r="O468" s="1425" t="str">
        <f>'PLAN INDICATIVO'!O459</f>
        <v>Incremento</v>
      </c>
      <c r="P468" s="70" t="str">
        <f>'PLAN INDICATIVO'!P459</f>
        <v>2 proyectos apoyados durante el cuatrienio que incorporen producción limpia</v>
      </c>
      <c r="Q468" s="350" t="str">
        <f>'PLAN INDICATIVO'!Q459</f>
        <v>No. De proyectos apoyados</v>
      </c>
      <c r="R468" s="303">
        <f>'PLAN INDICATIVO'!R459</f>
        <v>2015</v>
      </c>
      <c r="S468" s="304">
        <v>0</v>
      </c>
      <c r="T468" s="498">
        <v>2</v>
      </c>
      <c r="U468" s="303">
        <v>1</v>
      </c>
      <c r="V468" s="687">
        <v>2000000</v>
      </c>
      <c r="W468" s="715">
        <v>2</v>
      </c>
      <c r="X468" s="687">
        <v>2000000</v>
      </c>
      <c r="Y468" s="715">
        <v>2</v>
      </c>
      <c r="Z468" s="687">
        <v>1000000</v>
      </c>
      <c r="AA468" s="715">
        <v>2</v>
      </c>
      <c r="AB468" s="687">
        <v>2000000</v>
      </c>
      <c r="AC468" s="665">
        <v>1</v>
      </c>
      <c r="AD468" s="665"/>
      <c r="AE468" s="665"/>
      <c r="AF468" s="665"/>
      <c r="AG468" s="306" t="s">
        <v>2596</v>
      </c>
      <c r="AH468" s="307" t="s">
        <v>3075</v>
      </c>
      <c r="AI468" s="309">
        <v>42614</v>
      </c>
      <c r="AJ468" s="309">
        <v>42673</v>
      </c>
      <c r="AK468" s="308"/>
      <c r="AL468" s="308"/>
      <c r="AM468" s="267" t="s">
        <v>2598</v>
      </c>
      <c r="AN468" s="507" t="s">
        <v>2879</v>
      </c>
      <c r="AO468" s="525">
        <v>3400000</v>
      </c>
      <c r="AP468" s="310"/>
      <c r="AQ468" s="310"/>
      <c r="AR468" s="310"/>
      <c r="AS468" s="310"/>
      <c r="AT468" s="310"/>
      <c r="AU468" s="310"/>
      <c r="AV468" s="544">
        <f t="shared" si="206"/>
        <v>3400000</v>
      </c>
      <c r="AW468" s="525"/>
      <c r="AX468" s="310"/>
      <c r="AY468" s="310"/>
      <c r="AZ468" s="310"/>
      <c r="BA468" s="310"/>
      <c r="BB468" s="310"/>
      <c r="BC468" s="310"/>
      <c r="BD468" s="544">
        <f t="shared" si="207"/>
        <v>0</v>
      </c>
      <c r="BE468" s="525"/>
      <c r="BF468" s="310"/>
      <c r="BG468" s="310"/>
      <c r="BH468" s="310"/>
      <c r="BI468" s="310"/>
      <c r="BJ468" s="310"/>
      <c r="BK468" s="310"/>
      <c r="BL468" s="544">
        <f t="shared" si="208"/>
        <v>0</v>
      </c>
      <c r="BM468" s="525"/>
      <c r="BN468" s="310"/>
      <c r="BO468" s="310"/>
      <c r="BP468" s="310"/>
      <c r="BQ468" s="310"/>
      <c r="BR468" s="310"/>
      <c r="BS468" s="310"/>
      <c r="BT468" s="544">
        <f t="shared" si="209"/>
        <v>0</v>
      </c>
      <c r="BU468" s="556"/>
      <c r="BV468" s="663">
        <f t="shared" si="210"/>
        <v>1</v>
      </c>
      <c r="BW468" s="674">
        <f t="shared" si="211"/>
        <v>0.5</v>
      </c>
      <c r="BX468" s="674">
        <f t="shared" si="212"/>
        <v>1</v>
      </c>
      <c r="BY468" s="674">
        <f t="shared" si="213"/>
        <v>0</v>
      </c>
      <c r="BZ468" s="675">
        <f t="shared" si="214"/>
        <v>0</v>
      </c>
      <c r="CA468" s="675">
        <f t="shared" si="215"/>
        <v>0</v>
      </c>
    </row>
    <row r="469" spans="1:100" ht="44.25" hidden="1" customHeight="1" x14ac:dyDescent="0.25">
      <c r="A469" s="298" t="s">
        <v>1353</v>
      </c>
      <c r="B469" s="299" t="str">
        <f>'PLAN INDICATIVO'!B460</f>
        <v>Ambiental</v>
      </c>
      <c r="C469" s="1547"/>
      <c r="D469" s="1551"/>
      <c r="E469" s="1551"/>
      <c r="F469" s="1551"/>
      <c r="G469" s="1551"/>
      <c r="H469" s="1551"/>
      <c r="I469" s="300">
        <f>'PLAN INDICATIVO'!I460</f>
        <v>0</v>
      </c>
      <c r="J469" s="375">
        <f>'PLAN INDICATIVO'!J460</f>
        <v>0</v>
      </c>
      <c r="K469" s="1428" t="str">
        <f>'PLAN INDICATIVO'!K460</f>
        <v>A.10.1.20</v>
      </c>
      <c r="L469" s="301" t="str">
        <f>'PLAN INDICATIVO'!L460</f>
        <v>15. Vida de ecosistemas terrestres</v>
      </c>
      <c r="M469" s="301" t="str">
        <f>'PLAN INDICATIVO'!M460</f>
        <v>Unidad de Desarrollo Rural</v>
      </c>
      <c r="N469" s="1425" t="str">
        <f>'PLAN INDICATIVO'!N460</f>
        <v>GABRIEL ERNESTO CAMPOS ALVIRA</v>
      </c>
      <c r="O469" s="1425" t="str">
        <f>'PLAN INDICATIVO'!O460</f>
        <v>Incremento</v>
      </c>
      <c r="P469" s="16" t="str">
        <f>'PLAN INDICATIVO'!P460</f>
        <v>Apoyar  200 instalaciones de sistemas de tratamiento residual (pozo Séptico), durante el cuatrienio</v>
      </c>
      <c r="Q469" s="302" t="str">
        <f>'PLAN INDICATIVO'!Q460</f>
        <v>No. De instalaciones apoyadas</v>
      </c>
      <c r="R469" s="351">
        <f>'PLAN INDICATIVO'!R460</f>
        <v>2015</v>
      </c>
      <c r="S469" s="304">
        <v>0</v>
      </c>
      <c r="T469" s="498">
        <v>200</v>
      </c>
      <c r="U469" s="303">
        <v>0</v>
      </c>
      <c r="V469" s="687"/>
      <c r="W469" s="572">
        <v>0</v>
      </c>
      <c r="X469" s="687"/>
      <c r="Y469" s="572">
        <v>100</v>
      </c>
      <c r="Z469" s="687">
        <v>19000000</v>
      </c>
      <c r="AA469" s="572">
        <v>100</v>
      </c>
      <c r="AB469" s="687">
        <v>30000000</v>
      </c>
      <c r="AC469" s="665"/>
      <c r="AD469" s="665"/>
      <c r="AE469" s="665"/>
      <c r="AF469" s="665"/>
      <c r="AG469" s="266"/>
      <c r="AH469" s="307"/>
      <c r="AI469" s="308"/>
      <c r="AJ469" s="308"/>
      <c r="AK469" s="308"/>
      <c r="AL469" s="308"/>
      <c r="AM469" s="267" t="s">
        <v>2594</v>
      </c>
      <c r="AN469" s="507"/>
      <c r="AO469" s="525"/>
      <c r="AP469" s="310"/>
      <c r="AQ469" s="310"/>
      <c r="AR469" s="310"/>
      <c r="AS469" s="310"/>
      <c r="AT469" s="310"/>
      <c r="AU469" s="310"/>
      <c r="AV469" s="544">
        <f t="shared" si="206"/>
        <v>0</v>
      </c>
      <c r="AW469" s="525"/>
      <c r="AX469" s="310"/>
      <c r="AY469" s="310"/>
      <c r="AZ469" s="310"/>
      <c r="BA469" s="310"/>
      <c r="BB469" s="310"/>
      <c r="BC469" s="310"/>
      <c r="BD469" s="544">
        <f t="shared" si="207"/>
        <v>0</v>
      </c>
      <c r="BE469" s="525"/>
      <c r="BF469" s="310"/>
      <c r="BG469" s="310"/>
      <c r="BH469" s="310"/>
      <c r="BI469" s="310"/>
      <c r="BJ469" s="310"/>
      <c r="BK469" s="310"/>
      <c r="BL469" s="544">
        <f t="shared" si="208"/>
        <v>0</v>
      </c>
      <c r="BM469" s="525"/>
      <c r="BN469" s="310"/>
      <c r="BO469" s="310"/>
      <c r="BP469" s="310"/>
      <c r="BQ469" s="310"/>
      <c r="BR469" s="310"/>
      <c r="BS469" s="310"/>
      <c r="BT469" s="544">
        <f t="shared" si="209"/>
        <v>0</v>
      </c>
      <c r="BU469" s="556"/>
      <c r="BV469" s="663">
        <f t="shared" si="210"/>
        <v>0</v>
      </c>
      <c r="BW469" s="674">
        <f t="shared" si="211"/>
        <v>0</v>
      </c>
      <c r="BX469" s="674" t="e">
        <f t="shared" si="212"/>
        <v>#DIV/0!</v>
      </c>
      <c r="BY469" s="674" t="e">
        <f t="shared" si="213"/>
        <v>#DIV/0!</v>
      </c>
      <c r="BZ469" s="675">
        <f t="shared" si="214"/>
        <v>0</v>
      </c>
      <c r="CA469" s="675">
        <f t="shared" si="215"/>
        <v>0</v>
      </c>
    </row>
    <row r="470" spans="1:100" ht="175.5" hidden="1" customHeight="1" x14ac:dyDescent="0.25">
      <c r="A470" s="298" t="s">
        <v>1353</v>
      </c>
      <c r="B470" s="299" t="str">
        <f>'PLAN INDICATIVO'!B461</f>
        <v>Ambiental</v>
      </c>
      <c r="C470" s="1547"/>
      <c r="D470" s="1551"/>
      <c r="E470" s="1551"/>
      <c r="F470" s="1551"/>
      <c r="G470" s="1551"/>
      <c r="H470" s="1551"/>
      <c r="I470" s="300">
        <f>'PLAN INDICATIVO'!I461</f>
        <v>0</v>
      </c>
      <c r="J470" s="375">
        <f>'PLAN INDICATIVO'!J461</f>
        <v>0</v>
      </c>
      <c r="K470" s="1428" t="str">
        <f>'PLAN INDICATIVO'!K461</f>
        <v>A.10.1.21</v>
      </c>
      <c r="L470" s="301" t="str">
        <f>'PLAN INDICATIVO'!L461</f>
        <v>15. Vida de ecosistemas terrestres</v>
      </c>
      <c r="M470" s="301" t="str">
        <f>'PLAN INDICATIVO'!M461</f>
        <v>Unidad de Desarrollo Rural</v>
      </c>
      <c r="N470" s="1425" t="str">
        <f>'PLAN INDICATIVO'!N461</f>
        <v>GABRIEL ERNESTO CAMPOS ALVIRA</v>
      </c>
      <c r="O470" s="1425" t="str">
        <f>'PLAN INDICATIVO'!O461</f>
        <v>Incremento</v>
      </c>
      <c r="P470" s="16" t="str">
        <f>'PLAN INDICATIVO'!P461</f>
        <v>Entregar 40 sistemas de tratamiento de agua residual con su respectiva instalación, durante el cuatrienio.</v>
      </c>
      <c r="Q470" s="302" t="str">
        <f>'PLAN INDICATIVO'!Q461</f>
        <v xml:space="preserve">No. De sistemas entregados </v>
      </c>
      <c r="R470" s="351">
        <f>'PLAN INDICATIVO'!R461</f>
        <v>2015</v>
      </c>
      <c r="S470" s="304" t="s">
        <v>177</v>
      </c>
      <c r="T470" s="498">
        <v>40</v>
      </c>
      <c r="U470" s="303">
        <v>10</v>
      </c>
      <c r="V470" s="687">
        <v>50000000</v>
      </c>
      <c r="W470" s="685">
        <v>10</v>
      </c>
      <c r="X470" s="687">
        <v>27900000</v>
      </c>
      <c r="Y470" s="685">
        <v>10</v>
      </c>
      <c r="Z470" s="687">
        <v>2000000</v>
      </c>
      <c r="AA470" s="685">
        <v>10</v>
      </c>
      <c r="AB470" s="687">
        <v>3000000</v>
      </c>
      <c r="AC470" s="665">
        <v>15</v>
      </c>
      <c r="AD470" s="665"/>
      <c r="AE470" s="665"/>
      <c r="AF470" s="665"/>
      <c r="AG470" s="306" t="s">
        <v>2596</v>
      </c>
      <c r="AH470" s="307" t="s">
        <v>3076</v>
      </c>
      <c r="AI470" s="309">
        <v>42644</v>
      </c>
      <c r="AJ470" s="309">
        <v>42735</v>
      </c>
      <c r="AK470" s="308"/>
      <c r="AL470" s="308"/>
      <c r="AM470" s="501" t="s">
        <v>2598</v>
      </c>
      <c r="AN470" s="507" t="s">
        <v>3077</v>
      </c>
      <c r="AO470" s="525">
        <f>5100000</f>
        <v>5100000</v>
      </c>
      <c r="AP470" s="310"/>
      <c r="AQ470" s="310"/>
      <c r="AR470" s="310"/>
      <c r="AS470" s="310"/>
      <c r="AT470" s="310"/>
      <c r="AU470" s="310">
        <f>6000000+5000000+440242+3929758+1500000+8000000+1500000+7030000</f>
        <v>33400000</v>
      </c>
      <c r="AV470" s="544">
        <f t="shared" si="206"/>
        <v>38500000</v>
      </c>
      <c r="AW470" s="525"/>
      <c r="AX470" s="310"/>
      <c r="AY470" s="310"/>
      <c r="AZ470" s="310"/>
      <c r="BA470" s="310"/>
      <c r="BB470" s="310"/>
      <c r="BC470" s="310"/>
      <c r="BD470" s="544">
        <f t="shared" si="207"/>
        <v>0</v>
      </c>
      <c r="BE470" s="525"/>
      <c r="BF470" s="310"/>
      <c r="BG470" s="310"/>
      <c r="BH470" s="310"/>
      <c r="BI470" s="310"/>
      <c r="BJ470" s="310"/>
      <c r="BK470" s="310"/>
      <c r="BL470" s="544">
        <f t="shared" si="208"/>
        <v>0</v>
      </c>
      <c r="BM470" s="525"/>
      <c r="BN470" s="310"/>
      <c r="BO470" s="310"/>
      <c r="BP470" s="310"/>
      <c r="BQ470" s="310"/>
      <c r="BR470" s="310"/>
      <c r="BS470" s="310"/>
      <c r="BT470" s="544">
        <f t="shared" si="209"/>
        <v>0</v>
      </c>
      <c r="BU470" s="556"/>
      <c r="BV470" s="663">
        <f t="shared" si="210"/>
        <v>15</v>
      </c>
      <c r="BW470" s="674">
        <f t="shared" si="211"/>
        <v>0.375</v>
      </c>
      <c r="BX470" s="674">
        <f t="shared" si="212"/>
        <v>1.5</v>
      </c>
      <c r="BY470" s="674">
        <f t="shared" si="213"/>
        <v>0</v>
      </c>
      <c r="BZ470" s="675">
        <f t="shared" si="214"/>
        <v>0</v>
      </c>
      <c r="CA470" s="675">
        <f t="shared" si="215"/>
        <v>0</v>
      </c>
    </row>
    <row r="471" spans="1:100" ht="47.25" hidden="1" customHeight="1" x14ac:dyDescent="0.25">
      <c r="A471" s="298" t="s">
        <v>1353</v>
      </c>
      <c r="B471" s="299" t="str">
        <f>'PLAN INDICATIVO'!B462</f>
        <v>Ambiental</v>
      </c>
      <c r="C471" s="1547"/>
      <c r="D471" s="1551"/>
      <c r="E471" s="1551"/>
      <c r="F471" s="1551"/>
      <c r="G471" s="1551"/>
      <c r="H471" s="1551"/>
      <c r="I471" s="300">
        <f>'PLAN INDICATIVO'!I462</f>
        <v>0</v>
      </c>
      <c r="J471" s="375">
        <f>'PLAN INDICATIVO'!J462</f>
        <v>0</v>
      </c>
      <c r="K471" s="1428" t="str">
        <f>'PLAN INDICATIVO'!K462</f>
        <v>A.10.1.22</v>
      </c>
      <c r="L471" s="301" t="str">
        <f>'PLAN INDICATIVO'!L462</f>
        <v>15. Vida de ecosistemas terrestres</v>
      </c>
      <c r="M471" s="301" t="str">
        <f>'PLAN INDICATIVO'!M462</f>
        <v>Unidad de Desarrollo Rural</v>
      </c>
      <c r="N471" s="1425" t="str">
        <f>'PLAN INDICATIVO'!N462</f>
        <v>GABRIEL ERNESTO CAMPOS ALVIRA</v>
      </c>
      <c r="O471" s="1425" t="str">
        <f>'PLAN INDICATIVO'!O462</f>
        <v>Incremento</v>
      </c>
      <c r="P471" s="16" t="str">
        <f>'PLAN INDICATIVO'!P462</f>
        <v>Realizar 1 actividad de apoyo para la recuperación de la ceiba del Municipio de la Plata.</v>
      </c>
      <c r="Q471" s="302" t="str">
        <f>'PLAN INDICATIVO'!Q462</f>
        <v>No. De actividades de apoyo realizadas</v>
      </c>
      <c r="R471" s="351">
        <f>'PLAN INDICATIVO'!R462</f>
        <v>2015</v>
      </c>
      <c r="S471" s="304">
        <v>0</v>
      </c>
      <c r="T471" s="498">
        <v>1</v>
      </c>
      <c r="U471" s="303">
        <v>0</v>
      </c>
      <c r="V471" s="687"/>
      <c r="W471" s="572">
        <v>1</v>
      </c>
      <c r="X471" s="687">
        <v>4000000</v>
      </c>
      <c r="Y471" s="572">
        <v>0</v>
      </c>
      <c r="Z471" s="687"/>
      <c r="AA471" s="572">
        <v>0</v>
      </c>
      <c r="AB471" s="687"/>
      <c r="AC471" s="665"/>
      <c r="AD471" s="665"/>
      <c r="AE471" s="665"/>
      <c r="AF471" s="665"/>
      <c r="AG471" s="266"/>
      <c r="AH471" s="307"/>
      <c r="AI471" s="308"/>
      <c r="AJ471" s="308"/>
      <c r="AK471" s="308"/>
      <c r="AL471" s="308"/>
      <c r="AM471" s="267" t="s">
        <v>2594</v>
      </c>
      <c r="AN471" s="507"/>
      <c r="AO471" s="525"/>
      <c r="AP471" s="310"/>
      <c r="AQ471" s="310"/>
      <c r="AR471" s="310"/>
      <c r="AS471" s="310"/>
      <c r="AT471" s="310"/>
      <c r="AU471" s="310"/>
      <c r="AV471" s="544">
        <f t="shared" si="206"/>
        <v>0</v>
      </c>
      <c r="AW471" s="525"/>
      <c r="AX471" s="310"/>
      <c r="AY471" s="310"/>
      <c r="AZ471" s="310"/>
      <c r="BA471" s="310"/>
      <c r="BB471" s="310"/>
      <c r="BC471" s="310"/>
      <c r="BD471" s="544">
        <f t="shared" si="207"/>
        <v>0</v>
      </c>
      <c r="BE471" s="525"/>
      <c r="BF471" s="310"/>
      <c r="BG471" s="310"/>
      <c r="BH471" s="310"/>
      <c r="BI471" s="310"/>
      <c r="BJ471" s="310"/>
      <c r="BK471" s="310"/>
      <c r="BL471" s="544">
        <f t="shared" si="208"/>
        <v>0</v>
      </c>
      <c r="BM471" s="525"/>
      <c r="BN471" s="310"/>
      <c r="BO471" s="310"/>
      <c r="BP471" s="310"/>
      <c r="BQ471" s="310"/>
      <c r="BR471" s="310"/>
      <c r="BS471" s="310"/>
      <c r="BT471" s="544">
        <f t="shared" si="209"/>
        <v>0</v>
      </c>
      <c r="BU471" s="556"/>
      <c r="BV471" s="663">
        <f t="shared" si="210"/>
        <v>0</v>
      </c>
      <c r="BW471" s="674">
        <f t="shared" si="211"/>
        <v>0</v>
      </c>
      <c r="BX471" s="674" t="e">
        <f t="shared" si="212"/>
        <v>#DIV/0!</v>
      </c>
      <c r="BY471" s="674">
        <f t="shared" si="213"/>
        <v>0</v>
      </c>
      <c r="BZ471" s="675" t="e">
        <f t="shared" si="214"/>
        <v>#DIV/0!</v>
      </c>
      <c r="CA471" s="675" t="e">
        <f t="shared" si="215"/>
        <v>#DIV/0!</v>
      </c>
    </row>
    <row r="472" spans="1:100" ht="42" hidden="1" customHeight="1" x14ac:dyDescent="0.25">
      <c r="A472" s="298" t="s">
        <v>1353</v>
      </c>
      <c r="B472" s="299" t="str">
        <f>'PLAN INDICATIVO'!B463</f>
        <v>Ambiental</v>
      </c>
      <c r="C472" s="1547"/>
      <c r="D472" s="1551"/>
      <c r="E472" s="1551"/>
      <c r="F472" s="1551"/>
      <c r="G472" s="1551"/>
      <c r="H472" s="1551"/>
      <c r="I472" s="1425" t="str">
        <f>'PLAN INDICATIVO'!I463</f>
        <v>SI</v>
      </c>
      <c r="J472" s="379">
        <f>'PLAN INDICATIVO'!J463</f>
        <v>0</v>
      </c>
      <c r="K472" s="1428" t="str">
        <f>'PLAN INDICATIVO'!K463</f>
        <v>A.10.1.23</v>
      </c>
      <c r="L472" s="301" t="str">
        <f>'PLAN INDICATIVO'!L463</f>
        <v>15. Vida de ecosistemas terrestres</v>
      </c>
      <c r="M472" s="301" t="str">
        <f>'PLAN INDICATIVO'!M463</f>
        <v>Unidad de Desarrollo Rural</v>
      </c>
      <c r="N472" s="1425" t="str">
        <f>'PLAN INDICATIVO'!N463</f>
        <v>GABRIEL ERNESTO CAMPOS ALVIRA</v>
      </c>
      <c r="O472" s="1425" t="str">
        <f>'PLAN INDICATIVO'!O463</f>
        <v>Incremento</v>
      </c>
      <c r="P472" s="16" t="str">
        <f>'PLAN INDICATIVO'!P463</f>
        <v>Adquirir 320 hectáreas para la protección de fuentes hídricas municipales durante el cuatrienio</v>
      </c>
      <c r="Q472" s="302" t="str">
        <f>'PLAN INDICATIVO'!Q463</f>
        <v>No. De hectáreas adquiridas</v>
      </c>
      <c r="R472" s="351" t="str">
        <f>'PLAN INDICATIVO'!R463</f>
        <v>2012-2015</v>
      </c>
      <c r="S472" s="304">
        <v>260</v>
      </c>
      <c r="T472" s="498">
        <v>320</v>
      </c>
      <c r="U472" s="303">
        <v>80</v>
      </c>
      <c r="V472" s="687">
        <v>102000000</v>
      </c>
      <c r="W472" s="572">
        <v>80</v>
      </c>
      <c r="X472" s="687">
        <v>92000000</v>
      </c>
      <c r="Y472" s="572">
        <v>80</v>
      </c>
      <c r="Z472" s="687">
        <v>80000000</v>
      </c>
      <c r="AA472" s="572">
        <v>80</v>
      </c>
      <c r="AB472" s="687">
        <v>80000000</v>
      </c>
      <c r="AC472" s="665">
        <v>115</v>
      </c>
      <c r="AD472" s="665"/>
      <c r="AE472" s="665"/>
      <c r="AF472" s="665"/>
      <c r="AG472" s="306" t="s">
        <v>2596</v>
      </c>
      <c r="AH472" s="307" t="s">
        <v>3078</v>
      </c>
      <c r="AI472" s="309">
        <v>42491</v>
      </c>
      <c r="AJ472" s="309">
        <v>42735</v>
      </c>
      <c r="AK472" s="308"/>
      <c r="AL472" s="308"/>
      <c r="AM472" s="267" t="s">
        <v>2598</v>
      </c>
      <c r="AN472" s="507" t="s">
        <v>3079</v>
      </c>
      <c r="AO472" s="525">
        <v>74330000</v>
      </c>
      <c r="AP472" s="310">
        <v>13955607</v>
      </c>
      <c r="AQ472" s="310"/>
      <c r="AR472" s="310"/>
      <c r="AS472" s="310"/>
      <c r="AT472" s="310"/>
      <c r="AU472" s="310">
        <v>19744063</v>
      </c>
      <c r="AV472" s="544">
        <f>SUM(AO472:AU472)</f>
        <v>108029670</v>
      </c>
      <c r="AW472" s="525"/>
      <c r="AX472" s="310"/>
      <c r="AY472" s="310"/>
      <c r="AZ472" s="310"/>
      <c r="BA472" s="310"/>
      <c r="BB472" s="310"/>
      <c r="BC472" s="310"/>
      <c r="BD472" s="544">
        <f t="shared" si="207"/>
        <v>0</v>
      </c>
      <c r="BE472" s="525"/>
      <c r="BF472" s="310"/>
      <c r="BG472" s="310"/>
      <c r="BH472" s="310"/>
      <c r="BI472" s="310"/>
      <c r="BJ472" s="310"/>
      <c r="BK472" s="310"/>
      <c r="BL472" s="544">
        <f t="shared" si="208"/>
        <v>0</v>
      </c>
      <c r="BM472" s="525"/>
      <c r="BN472" s="310"/>
      <c r="BO472" s="310"/>
      <c r="BP472" s="310"/>
      <c r="BQ472" s="310"/>
      <c r="BR472" s="310"/>
      <c r="BS472" s="310"/>
      <c r="BT472" s="544">
        <f t="shared" si="209"/>
        <v>0</v>
      </c>
      <c r="BU472" s="556"/>
      <c r="BV472" s="663">
        <f t="shared" si="210"/>
        <v>115</v>
      </c>
      <c r="BW472" s="674">
        <f t="shared" si="211"/>
        <v>0.359375</v>
      </c>
      <c r="BX472" s="674">
        <f t="shared" si="212"/>
        <v>1.4375</v>
      </c>
      <c r="BY472" s="674">
        <f t="shared" si="213"/>
        <v>0</v>
      </c>
      <c r="BZ472" s="675">
        <f t="shared" si="214"/>
        <v>0</v>
      </c>
      <c r="CA472" s="675">
        <f t="shared" si="215"/>
        <v>0</v>
      </c>
    </row>
    <row r="473" spans="1:100" ht="50.25" hidden="1" customHeight="1" x14ac:dyDescent="0.25">
      <c r="A473" s="298" t="s">
        <v>1353</v>
      </c>
      <c r="B473" s="299" t="str">
        <f>'PLAN INDICATIVO'!B464</f>
        <v>Ambiental</v>
      </c>
      <c r="C473" s="1547"/>
      <c r="D473" s="1551"/>
      <c r="E473" s="1551"/>
      <c r="F473" s="1551"/>
      <c r="G473" s="1551"/>
      <c r="H473" s="1551"/>
      <c r="I473" s="300">
        <f>'PLAN INDICATIVO'!I464</f>
        <v>0</v>
      </c>
      <c r="J473" s="375">
        <f>'PLAN INDICATIVO'!J464</f>
        <v>0</v>
      </c>
      <c r="K473" s="1428" t="str">
        <f>'PLAN INDICATIVO'!K464</f>
        <v>A.10.1.24</v>
      </c>
      <c r="L473" s="301" t="str">
        <f>'PLAN INDICATIVO'!L464</f>
        <v>15. Vida de ecosistemas terrestres</v>
      </c>
      <c r="M473" s="301" t="str">
        <f>'PLAN INDICATIVO'!M464</f>
        <v>Unidad de Desarrollo Rural</v>
      </c>
      <c r="N473" s="1425" t="str">
        <f>'PLAN INDICATIVO'!N464</f>
        <v>GABRIEL ERNESTO CAMPOS ALVIRA</v>
      </c>
      <c r="O473" s="1425" t="str">
        <f>'PLAN INDICATIVO'!O464</f>
        <v>Incremento</v>
      </c>
      <c r="P473" s="16" t="str">
        <f>'PLAN INDICATIVO'!P464</f>
        <v>Formular e implementar 1 POMCA durante el cuatrienio</v>
      </c>
      <c r="Q473" s="302" t="str">
        <f>'PLAN INDICATIVO'!Q464</f>
        <v>No. De POMCA formulados e implementados</v>
      </c>
      <c r="R473" s="351">
        <f>'PLAN INDICATIVO'!R464</f>
        <v>2015</v>
      </c>
      <c r="S473" s="304">
        <v>0</v>
      </c>
      <c r="T473" s="498">
        <v>1</v>
      </c>
      <c r="U473" s="303">
        <v>0</v>
      </c>
      <c r="V473" s="687"/>
      <c r="W473" s="572">
        <v>1</v>
      </c>
      <c r="X473" s="687">
        <v>24000000</v>
      </c>
      <c r="Y473" s="572">
        <v>1</v>
      </c>
      <c r="Z473" s="687">
        <v>1000000</v>
      </c>
      <c r="AA473" s="572">
        <v>1</v>
      </c>
      <c r="AB473" s="687">
        <v>2000000</v>
      </c>
      <c r="AC473" s="665"/>
      <c r="AD473" s="665"/>
      <c r="AE473" s="665"/>
      <c r="AF473" s="665"/>
      <c r="AG473" s="266"/>
      <c r="AH473" s="307"/>
      <c r="AI473" s="308"/>
      <c r="AJ473" s="308"/>
      <c r="AK473" s="308"/>
      <c r="AL473" s="308"/>
      <c r="AM473" s="267" t="s">
        <v>2594</v>
      </c>
      <c r="AN473" s="507"/>
      <c r="AO473" s="525"/>
      <c r="AP473" s="310"/>
      <c r="AQ473" s="310"/>
      <c r="AR473" s="310"/>
      <c r="AS473" s="310"/>
      <c r="AT473" s="310"/>
      <c r="AU473" s="310"/>
      <c r="AV473" s="544">
        <f t="shared" si="206"/>
        <v>0</v>
      </c>
      <c r="AW473" s="525"/>
      <c r="AX473" s="310"/>
      <c r="AY473" s="310"/>
      <c r="AZ473" s="310"/>
      <c r="BA473" s="310"/>
      <c r="BB473" s="310"/>
      <c r="BC473" s="310"/>
      <c r="BD473" s="544">
        <f t="shared" si="207"/>
        <v>0</v>
      </c>
      <c r="BE473" s="525"/>
      <c r="BF473" s="310"/>
      <c r="BG473" s="310"/>
      <c r="BH473" s="310"/>
      <c r="BI473" s="310"/>
      <c r="BJ473" s="310"/>
      <c r="BK473" s="310"/>
      <c r="BL473" s="544">
        <f t="shared" si="208"/>
        <v>0</v>
      </c>
      <c r="BM473" s="525"/>
      <c r="BN473" s="310"/>
      <c r="BO473" s="310"/>
      <c r="BP473" s="310"/>
      <c r="BQ473" s="310"/>
      <c r="BR473" s="310"/>
      <c r="BS473" s="310"/>
      <c r="BT473" s="544">
        <f t="shared" si="209"/>
        <v>0</v>
      </c>
      <c r="BU473" s="556"/>
      <c r="BV473" s="663">
        <f t="shared" si="210"/>
        <v>0</v>
      </c>
      <c r="BW473" s="674">
        <f t="shared" si="211"/>
        <v>0</v>
      </c>
      <c r="BX473" s="674" t="e">
        <f t="shared" si="212"/>
        <v>#DIV/0!</v>
      </c>
      <c r="BY473" s="674">
        <f t="shared" si="213"/>
        <v>0</v>
      </c>
      <c r="BZ473" s="675">
        <f t="shared" si="214"/>
        <v>0</v>
      </c>
      <c r="CA473" s="675">
        <f t="shared" si="215"/>
        <v>0</v>
      </c>
    </row>
    <row r="474" spans="1:100" ht="64.5" hidden="1" customHeight="1" x14ac:dyDescent="0.25">
      <c r="A474" s="298" t="s">
        <v>1353</v>
      </c>
      <c r="B474" s="299" t="str">
        <f>'PLAN INDICATIVO'!B465</f>
        <v>Ambiental</v>
      </c>
      <c r="C474" s="1547"/>
      <c r="D474" s="1551"/>
      <c r="E474" s="1551"/>
      <c r="F474" s="1551"/>
      <c r="G474" s="1551"/>
      <c r="H474" s="1551"/>
      <c r="I474" s="300">
        <f>'PLAN INDICATIVO'!I465</f>
        <v>0</v>
      </c>
      <c r="J474" s="375">
        <f>'PLAN INDICATIVO'!J465</f>
        <v>0</v>
      </c>
      <c r="K474" s="1428" t="str">
        <f>'PLAN INDICATIVO'!K465</f>
        <v>A.10.1.25</v>
      </c>
      <c r="L474" s="301" t="str">
        <f>'PLAN INDICATIVO'!L465</f>
        <v>15. Vida de ecosistemas terrestres</v>
      </c>
      <c r="M474" s="301" t="str">
        <f>'PLAN INDICATIVO'!M465</f>
        <v>Unidad de Desarrollo Rural</v>
      </c>
      <c r="N474" s="1425" t="str">
        <f>'PLAN INDICATIVO'!N465</f>
        <v>GABRIEL ERNESTO CAMPOS ALVIRA</v>
      </c>
      <c r="O474" s="1425" t="str">
        <f>'PLAN INDICATIVO'!O465</f>
        <v>Incremento</v>
      </c>
      <c r="P474" s="16" t="str">
        <f>'PLAN INDICATIVO'!P465</f>
        <v>Realizar 2 campañas de vacunación y esterilización de animales domésticos en condición de calle, durante el cuatrienio</v>
      </c>
      <c r="Q474" s="302" t="str">
        <f>'PLAN INDICATIVO'!Q465</f>
        <v>No. De campañas realizadas</v>
      </c>
      <c r="R474" s="351">
        <f>'PLAN INDICATIVO'!R465</f>
        <v>2015</v>
      </c>
      <c r="S474" s="304">
        <v>0</v>
      </c>
      <c r="T474" s="498">
        <v>2</v>
      </c>
      <c r="U474" s="303">
        <v>1</v>
      </c>
      <c r="V474" s="687">
        <v>2000000</v>
      </c>
      <c r="W474" s="572">
        <v>1</v>
      </c>
      <c r="X474" s="687">
        <v>2000000</v>
      </c>
      <c r="Y474" s="572">
        <v>0</v>
      </c>
      <c r="Z474" s="687"/>
      <c r="AA474" s="572">
        <v>0</v>
      </c>
      <c r="AB474" s="687"/>
      <c r="AC474" s="665">
        <v>1</v>
      </c>
      <c r="AD474" s="665"/>
      <c r="AE474" s="665"/>
      <c r="AF474" s="665"/>
      <c r="AG474" s="306" t="s">
        <v>2596</v>
      </c>
      <c r="AH474" s="307" t="s">
        <v>3080</v>
      </c>
      <c r="AI474" s="309">
        <v>42560</v>
      </c>
      <c r="AJ474" s="309">
        <v>42560</v>
      </c>
      <c r="AK474" s="308"/>
      <c r="AL474" s="308"/>
      <c r="AM474" s="267" t="s">
        <v>2598</v>
      </c>
      <c r="AN474" s="507" t="s">
        <v>3081</v>
      </c>
      <c r="AO474" s="525"/>
      <c r="AP474" s="310">
        <v>6704670</v>
      </c>
      <c r="AQ474" s="310"/>
      <c r="AR474" s="310"/>
      <c r="AS474" s="310"/>
      <c r="AT474" s="310"/>
      <c r="AU474" s="310"/>
      <c r="AV474" s="544">
        <f t="shared" si="206"/>
        <v>6704670</v>
      </c>
      <c r="AW474" s="525"/>
      <c r="AX474" s="310"/>
      <c r="AY474" s="310"/>
      <c r="AZ474" s="310"/>
      <c r="BA474" s="310"/>
      <c r="BB474" s="310"/>
      <c r="BC474" s="310"/>
      <c r="BD474" s="544">
        <f t="shared" si="207"/>
        <v>0</v>
      </c>
      <c r="BE474" s="525"/>
      <c r="BF474" s="310"/>
      <c r="BG474" s="310"/>
      <c r="BH474" s="310"/>
      <c r="BI474" s="310"/>
      <c r="BJ474" s="310"/>
      <c r="BK474" s="310"/>
      <c r="BL474" s="544">
        <f t="shared" si="208"/>
        <v>0</v>
      </c>
      <c r="BM474" s="525"/>
      <c r="BN474" s="310"/>
      <c r="BO474" s="310"/>
      <c r="BP474" s="310"/>
      <c r="BQ474" s="310"/>
      <c r="BR474" s="310"/>
      <c r="BS474" s="310"/>
      <c r="BT474" s="544">
        <f t="shared" si="209"/>
        <v>0</v>
      </c>
      <c r="BU474" s="556"/>
      <c r="BV474" s="663">
        <f t="shared" si="210"/>
        <v>1</v>
      </c>
      <c r="BW474" s="674">
        <f t="shared" si="211"/>
        <v>0.5</v>
      </c>
      <c r="BX474" s="674">
        <f t="shared" si="212"/>
        <v>1</v>
      </c>
      <c r="BY474" s="674">
        <f t="shared" si="213"/>
        <v>0</v>
      </c>
      <c r="BZ474" s="675" t="e">
        <f t="shared" si="214"/>
        <v>#DIV/0!</v>
      </c>
      <c r="CA474" s="675" t="e">
        <f t="shared" si="215"/>
        <v>#DIV/0!</v>
      </c>
    </row>
    <row r="475" spans="1:100" ht="51" hidden="1" customHeight="1" x14ac:dyDescent="0.25">
      <c r="A475" s="298" t="s">
        <v>1353</v>
      </c>
      <c r="B475" s="299" t="str">
        <f>'PLAN INDICATIVO'!B466</f>
        <v>Ambiental</v>
      </c>
      <c r="C475" s="1547"/>
      <c r="D475" s="1551"/>
      <c r="E475" s="1551"/>
      <c r="F475" s="1551"/>
      <c r="G475" s="1551"/>
      <c r="H475" s="1551"/>
      <c r="I475" s="300">
        <f>'PLAN INDICATIVO'!I466</f>
        <v>0</v>
      </c>
      <c r="J475" s="375">
        <f>'PLAN INDICATIVO'!J466</f>
        <v>0</v>
      </c>
      <c r="K475" s="1428" t="str">
        <f>'PLAN INDICATIVO'!K466</f>
        <v>A.10.1.26</v>
      </c>
      <c r="L475" s="301" t="str">
        <f>'PLAN INDICATIVO'!L466</f>
        <v>15. Vida de ecosistemas terrestres</v>
      </c>
      <c r="M475" s="301" t="str">
        <f>'PLAN INDICATIVO'!M466</f>
        <v>Unidad de Desarrollo Rural</v>
      </c>
      <c r="N475" s="1425" t="str">
        <f>'PLAN INDICATIVO'!N466</f>
        <v>GABRIEL ERNESTO CAMPOS ALVIRA</v>
      </c>
      <c r="O475" s="1425" t="str">
        <f>'PLAN INDICATIVO'!O466</f>
        <v>Incremento</v>
      </c>
      <c r="P475" s="16" t="str">
        <f>'PLAN INDICATIVO'!P466</f>
        <v>Desarrollar 4 acciones durante el cuatrienio para control y/o apoyo  para la formalización de minería ilegal</v>
      </c>
      <c r="Q475" s="302" t="str">
        <f>'PLAN INDICATIVO'!Q466</f>
        <v>No. De acciones desarrolladas en el cuatrienio</v>
      </c>
      <c r="R475" s="351">
        <f>'PLAN INDICATIVO'!R466</f>
        <v>2015</v>
      </c>
      <c r="S475" s="304">
        <v>0</v>
      </c>
      <c r="T475" s="498">
        <v>4</v>
      </c>
      <c r="U475" s="303">
        <v>1</v>
      </c>
      <c r="V475" s="687">
        <v>5000000</v>
      </c>
      <c r="W475" s="572">
        <v>1</v>
      </c>
      <c r="X475" s="687">
        <v>5000000</v>
      </c>
      <c r="Y475" s="572">
        <v>1</v>
      </c>
      <c r="Z475" s="687">
        <v>5000000</v>
      </c>
      <c r="AA475" s="572">
        <v>1</v>
      </c>
      <c r="AB475" s="687">
        <v>5000000</v>
      </c>
      <c r="AC475" s="665">
        <v>1</v>
      </c>
      <c r="AD475" s="665"/>
      <c r="AE475" s="665"/>
      <c r="AF475" s="665"/>
      <c r="AG475" s="306" t="s">
        <v>2831</v>
      </c>
      <c r="AH475" s="764"/>
      <c r="AI475" s="309">
        <v>42531</v>
      </c>
      <c r="AJ475" s="309">
        <v>42532</v>
      </c>
      <c r="AK475" s="308"/>
      <c r="AL475" s="308"/>
      <c r="AM475" s="267" t="s">
        <v>2598</v>
      </c>
      <c r="AN475" s="507" t="s">
        <v>3082</v>
      </c>
      <c r="AO475" s="525"/>
      <c r="AP475" s="380"/>
      <c r="AQ475" s="310"/>
      <c r="AR475" s="310"/>
      <c r="AS475" s="310"/>
      <c r="AT475" s="310"/>
      <c r="AU475" s="310">
        <v>2800000</v>
      </c>
      <c r="AV475" s="544">
        <f t="shared" si="206"/>
        <v>2800000</v>
      </c>
      <c r="AW475" s="525"/>
      <c r="AX475" s="380"/>
      <c r="AY475" s="310"/>
      <c r="AZ475" s="310"/>
      <c r="BA475" s="310"/>
      <c r="BB475" s="310"/>
      <c r="BC475" s="310"/>
      <c r="BD475" s="544">
        <f t="shared" si="207"/>
        <v>0</v>
      </c>
      <c r="BE475" s="525"/>
      <c r="BF475" s="380"/>
      <c r="BG475" s="310"/>
      <c r="BH475" s="310"/>
      <c r="BI475" s="310"/>
      <c r="BJ475" s="310"/>
      <c r="BK475" s="310"/>
      <c r="BL475" s="544">
        <f t="shared" si="208"/>
        <v>0</v>
      </c>
      <c r="BM475" s="525"/>
      <c r="BN475" s="380"/>
      <c r="BO475" s="310"/>
      <c r="BP475" s="310"/>
      <c r="BQ475" s="310"/>
      <c r="BR475" s="310"/>
      <c r="BS475" s="310"/>
      <c r="BT475" s="544">
        <f t="shared" si="209"/>
        <v>0</v>
      </c>
      <c r="BU475" s="556"/>
      <c r="BV475" s="663">
        <f t="shared" si="210"/>
        <v>1</v>
      </c>
      <c r="BW475" s="674">
        <f t="shared" si="211"/>
        <v>0.25</v>
      </c>
      <c r="BX475" s="674">
        <f t="shared" si="212"/>
        <v>1</v>
      </c>
      <c r="BY475" s="674">
        <f t="shared" si="213"/>
        <v>0</v>
      </c>
      <c r="BZ475" s="675">
        <f t="shared" si="214"/>
        <v>0</v>
      </c>
      <c r="CA475" s="675">
        <f t="shared" si="215"/>
        <v>0</v>
      </c>
    </row>
    <row r="476" spans="1:100" ht="67.5" hidden="1" customHeight="1" x14ac:dyDescent="0.25">
      <c r="A476" s="298" t="s">
        <v>1353</v>
      </c>
      <c r="B476" s="299" t="str">
        <f>'PLAN INDICATIVO'!B467</f>
        <v>Ambiental</v>
      </c>
      <c r="C476" s="1547"/>
      <c r="D476" s="1551"/>
      <c r="E476" s="1551"/>
      <c r="F476" s="1551"/>
      <c r="G476" s="1551"/>
      <c r="H476" s="1551"/>
      <c r="I476" s="300">
        <f>'PLAN INDICATIVO'!I467</f>
        <v>0</v>
      </c>
      <c r="J476" s="375">
        <f>'PLAN INDICATIVO'!J467</f>
        <v>0</v>
      </c>
      <c r="K476" s="1428" t="str">
        <f>'PLAN INDICATIVO'!K467</f>
        <v>A.10.1.27</v>
      </c>
      <c r="L476" s="301" t="str">
        <f>'PLAN INDICATIVO'!L467</f>
        <v>15. Vida de ecosistemas terrestres</v>
      </c>
      <c r="M476" s="301" t="str">
        <f>'PLAN INDICATIVO'!M467</f>
        <v>Unidad de Desarrollo Rural</v>
      </c>
      <c r="N476" s="1425" t="str">
        <f>'PLAN INDICATIVO'!N467</f>
        <v>GABRIEL ERNESTO CAMPOS ALVIRA</v>
      </c>
      <c r="O476" s="1425" t="str">
        <f>'PLAN INDICATIVO'!O467</f>
        <v>Incremento</v>
      </c>
      <c r="P476" s="16" t="str">
        <f>'PLAN INDICATIVO'!P467</f>
        <v>Aislar 12.000 metros lineales de predios de propiedad del municipio destinados a protección de fuentes hídricas durante el cuatrienio</v>
      </c>
      <c r="Q476" s="302" t="str">
        <f>'PLAN INDICATIVO'!Q467</f>
        <v>No. De metros lineales de aislamiento realizados durante el cuatrienio</v>
      </c>
      <c r="R476" s="351" t="str">
        <f>'PLAN INDICATIVO'!R467</f>
        <v>2012 - 2015</v>
      </c>
      <c r="S476" s="304">
        <v>30000</v>
      </c>
      <c r="T476" s="498">
        <v>12000</v>
      </c>
      <c r="U476" s="303">
        <v>0</v>
      </c>
      <c r="V476" s="687"/>
      <c r="W476" s="572">
        <v>4000</v>
      </c>
      <c r="X476" s="687">
        <v>10000000</v>
      </c>
      <c r="Y476" s="572">
        <v>4000</v>
      </c>
      <c r="Z476" s="687">
        <v>11000000</v>
      </c>
      <c r="AA476" s="572">
        <v>4000</v>
      </c>
      <c r="AB476" s="687">
        <v>10000000</v>
      </c>
      <c r="AC476" s="665"/>
      <c r="AD476" s="665"/>
      <c r="AE476" s="665"/>
      <c r="AF476" s="665"/>
      <c r="AG476" s="266"/>
      <c r="AH476" s="307"/>
      <c r="AI476" s="308"/>
      <c r="AJ476" s="308"/>
      <c r="AK476" s="308"/>
      <c r="AL476" s="308"/>
      <c r="AM476" s="267" t="s">
        <v>2594</v>
      </c>
      <c r="AN476" s="507"/>
      <c r="AO476" s="525"/>
      <c r="AP476" s="380"/>
      <c r="AQ476" s="310"/>
      <c r="AR476" s="310"/>
      <c r="AS476" s="310"/>
      <c r="AT476" s="310"/>
      <c r="AU476" s="310"/>
      <c r="AV476" s="544">
        <f t="shared" si="206"/>
        <v>0</v>
      </c>
      <c r="AW476" s="525"/>
      <c r="AX476" s="380"/>
      <c r="AY476" s="310"/>
      <c r="AZ476" s="310"/>
      <c r="BA476" s="310"/>
      <c r="BB476" s="310"/>
      <c r="BC476" s="310"/>
      <c r="BD476" s="544">
        <f t="shared" si="207"/>
        <v>0</v>
      </c>
      <c r="BE476" s="525"/>
      <c r="BF476" s="380"/>
      <c r="BG476" s="310"/>
      <c r="BH476" s="310"/>
      <c r="BI476" s="310"/>
      <c r="BJ476" s="310"/>
      <c r="BK476" s="310"/>
      <c r="BL476" s="544">
        <f t="shared" si="208"/>
        <v>0</v>
      </c>
      <c r="BM476" s="525"/>
      <c r="BN476" s="380"/>
      <c r="BO476" s="310"/>
      <c r="BP476" s="310"/>
      <c r="BQ476" s="310"/>
      <c r="BR476" s="310"/>
      <c r="BS476" s="310"/>
      <c r="BT476" s="544">
        <f t="shared" si="209"/>
        <v>0</v>
      </c>
      <c r="BU476" s="556"/>
      <c r="BV476" s="663">
        <f t="shared" si="210"/>
        <v>0</v>
      </c>
      <c r="BW476" s="674">
        <f t="shared" si="211"/>
        <v>0</v>
      </c>
      <c r="BX476" s="674" t="e">
        <f t="shared" si="212"/>
        <v>#DIV/0!</v>
      </c>
      <c r="BY476" s="674">
        <f t="shared" si="213"/>
        <v>0</v>
      </c>
      <c r="BZ476" s="675">
        <f t="shared" si="214"/>
        <v>0</v>
      </c>
      <c r="CA476" s="675">
        <f t="shared" si="215"/>
        <v>0</v>
      </c>
    </row>
    <row r="477" spans="1:100" ht="60" hidden="1" customHeight="1" x14ac:dyDescent="0.25">
      <c r="A477" s="298" t="s">
        <v>1353</v>
      </c>
      <c r="B477" s="299" t="str">
        <f>'PLAN INDICATIVO'!B468</f>
        <v>Ambiental</v>
      </c>
      <c r="C477" s="1547"/>
      <c r="D477" s="1551"/>
      <c r="E477" s="1551"/>
      <c r="F477" s="1551"/>
      <c r="G477" s="1551"/>
      <c r="H477" s="1551"/>
      <c r="I477" s="300">
        <f>'PLAN INDICATIVO'!I468</f>
        <v>0</v>
      </c>
      <c r="J477" s="375">
        <f>'PLAN INDICATIVO'!J468</f>
        <v>0</v>
      </c>
      <c r="K477" s="1428" t="str">
        <f>'PLAN INDICATIVO'!K468</f>
        <v>A.10.1.28</v>
      </c>
      <c r="L477" s="301" t="str">
        <f>'PLAN INDICATIVO'!L468</f>
        <v>15. Vida de ecosistemas terrestres</v>
      </c>
      <c r="M477" s="301" t="str">
        <f>'PLAN INDICATIVO'!M468</f>
        <v>Unidad de Desarrollo Rural</v>
      </c>
      <c r="N477" s="1425" t="str">
        <f>'PLAN INDICATIVO'!N468</f>
        <v>GABRIEL ERNESTO CAMPOS ALVIRA</v>
      </c>
      <c r="O477" s="1425" t="str">
        <f>'PLAN INDICATIVO'!O468</f>
        <v>Incremento</v>
      </c>
      <c r="P477" s="16" t="str">
        <f>'PLAN INDICATIVO'!P468</f>
        <v>Desarrollar  1 proyectos para disminuir impacto del cambio climático, durante el cuatrienio</v>
      </c>
      <c r="Q477" s="302" t="str">
        <f>'PLAN INDICATIVO'!Q468</f>
        <v>No. De proyectos desarrollados</v>
      </c>
      <c r="R477" s="351">
        <f>'PLAN INDICATIVO'!R468</f>
        <v>2015</v>
      </c>
      <c r="S477" s="304">
        <v>0</v>
      </c>
      <c r="T477" s="498">
        <v>4</v>
      </c>
      <c r="U477" s="303">
        <v>1</v>
      </c>
      <c r="V477" s="687">
        <v>1000000</v>
      </c>
      <c r="W477" s="572">
        <v>1</v>
      </c>
      <c r="X477" s="687">
        <v>1000000</v>
      </c>
      <c r="Y477" s="572">
        <v>1</v>
      </c>
      <c r="Z477" s="687">
        <v>1000000</v>
      </c>
      <c r="AA477" s="572">
        <v>1</v>
      </c>
      <c r="AB477" s="687">
        <v>3000000</v>
      </c>
      <c r="AC477" s="665">
        <v>1</v>
      </c>
      <c r="AD477" s="665"/>
      <c r="AE477" s="665"/>
      <c r="AF477" s="665"/>
      <c r="AG477" s="306" t="s">
        <v>2596</v>
      </c>
      <c r="AH477" s="307" t="s">
        <v>3083</v>
      </c>
      <c r="AI477" s="309">
        <v>42583</v>
      </c>
      <c r="AJ477" s="309">
        <v>42612</v>
      </c>
      <c r="AK477" s="308"/>
      <c r="AL477" s="308"/>
      <c r="AM477" s="267" t="s">
        <v>2598</v>
      </c>
      <c r="AN477" s="507" t="s">
        <v>3082</v>
      </c>
      <c r="AO477" s="525"/>
      <c r="AP477" s="380"/>
      <c r="AQ477" s="310"/>
      <c r="AR477" s="310"/>
      <c r="AS477" s="310"/>
      <c r="AT477" s="310"/>
      <c r="AU477" s="310">
        <v>5100000</v>
      </c>
      <c r="AV477" s="544">
        <f t="shared" si="206"/>
        <v>5100000</v>
      </c>
      <c r="AW477" s="525"/>
      <c r="AX477" s="380"/>
      <c r="AY477" s="310"/>
      <c r="AZ477" s="310"/>
      <c r="BA477" s="310"/>
      <c r="BB477" s="310"/>
      <c r="BC477" s="310"/>
      <c r="BD477" s="544">
        <f t="shared" si="207"/>
        <v>0</v>
      </c>
      <c r="BE477" s="525"/>
      <c r="BF477" s="380"/>
      <c r="BG477" s="310"/>
      <c r="BH477" s="310"/>
      <c r="BI477" s="310"/>
      <c r="BJ477" s="310"/>
      <c r="BK477" s="310"/>
      <c r="BL477" s="544">
        <f t="shared" si="208"/>
        <v>0</v>
      </c>
      <c r="BM477" s="525"/>
      <c r="BN477" s="380"/>
      <c r="BO477" s="310"/>
      <c r="BP477" s="310"/>
      <c r="BQ477" s="310"/>
      <c r="BR477" s="310"/>
      <c r="BS477" s="310"/>
      <c r="BT477" s="544">
        <f t="shared" si="209"/>
        <v>0</v>
      </c>
      <c r="BU477" s="556"/>
      <c r="BV477" s="663">
        <f t="shared" si="210"/>
        <v>1</v>
      </c>
      <c r="BW477" s="674">
        <f t="shared" si="211"/>
        <v>0.25</v>
      </c>
      <c r="BX477" s="674">
        <f t="shared" si="212"/>
        <v>1</v>
      </c>
      <c r="BY477" s="674">
        <f t="shared" si="213"/>
        <v>0</v>
      </c>
      <c r="BZ477" s="675">
        <f t="shared" si="214"/>
        <v>0</v>
      </c>
      <c r="CA477" s="675">
        <f t="shared" si="215"/>
        <v>0</v>
      </c>
    </row>
    <row r="478" spans="1:100" s="3" customFormat="1" ht="42.75" hidden="1" customHeight="1" x14ac:dyDescent="0.2">
      <c r="A478" s="298" t="s">
        <v>1353</v>
      </c>
      <c r="B478" s="299" t="str">
        <f>'PLAN INDICATIVO'!B469</f>
        <v>Ambiental</v>
      </c>
      <c r="C478" s="1547"/>
      <c r="D478" s="1551"/>
      <c r="E478" s="1551"/>
      <c r="F478" s="1551"/>
      <c r="G478" s="1551"/>
      <c r="H478" s="1551"/>
      <c r="I478" s="300">
        <f>'PLAN INDICATIVO'!I469</f>
        <v>0</v>
      </c>
      <c r="J478" s="375">
        <f>'PLAN INDICATIVO'!J469</f>
        <v>0</v>
      </c>
      <c r="K478" s="1428" t="str">
        <f>'PLAN INDICATIVO'!K469</f>
        <v>A.10.1.29</v>
      </c>
      <c r="L478" s="301" t="str">
        <f>'PLAN INDICATIVO'!L469</f>
        <v>15. Vida de ecosistemas terrestres</v>
      </c>
      <c r="M478" s="301" t="str">
        <f>'PLAN INDICATIVO'!M469</f>
        <v>Unidad de Desarrollo Rural</v>
      </c>
      <c r="N478" s="1425" t="str">
        <f>'PLAN INDICATIVO'!N469</f>
        <v>GABRIEL ERNESTO CAMPOS ALVIRA</v>
      </c>
      <c r="O478" s="1425" t="str">
        <f>'PLAN INDICATIVO'!O469</f>
        <v>Incremento</v>
      </c>
      <c r="P478" s="16" t="str">
        <f>'PLAN INDICATIVO'!P469</f>
        <v xml:space="preserve">Realizar 4 campañas de concientización en la comunidad que vele por la protección y conservación de los bienes ambientales, adquiridos por la administración municipal, durante el cuatrienio. </v>
      </c>
      <c r="Q478" s="302" t="str">
        <f>'PLAN INDICATIVO'!Q469</f>
        <v>No. De campañas realizadas</v>
      </c>
      <c r="R478" s="351">
        <f>'PLAN INDICATIVO'!R469</f>
        <v>2015</v>
      </c>
      <c r="S478" s="304">
        <v>0</v>
      </c>
      <c r="T478" s="498">
        <v>4</v>
      </c>
      <c r="U478" s="303">
        <v>1</v>
      </c>
      <c r="V478" s="687">
        <v>2000000</v>
      </c>
      <c r="W478" s="572">
        <v>1</v>
      </c>
      <c r="X478" s="687">
        <v>2000000</v>
      </c>
      <c r="Y478" s="572">
        <v>1</v>
      </c>
      <c r="Z478" s="687">
        <v>2000000</v>
      </c>
      <c r="AA478" s="572">
        <v>1</v>
      </c>
      <c r="AB478" s="687">
        <v>2000000</v>
      </c>
      <c r="AC478" s="665">
        <v>1</v>
      </c>
      <c r="AD478" s="665"/>
      <c r="AE478" s="665"/>
      <c r="AF478" s="665"/>
      <c r="AG478" s="306"/>
      <c r="AH478" s="307"/>
      <c r="AI478" s="310"/>
      <c r="AJ478" s="380"/>
      <c r="AK478" s="310"/>
      <c r="AL478" s="310"/>
      <c r="AM478" s="267" t="s">
        <v>2598</v>
      </c>
      <c r="AN478" s="509" t="s">
        <v>3082</v>
      </c>
      <c r="AO478" s="525"/>
      <c r="AP478" s="310"/>
      <c r="AQ478" s="310"/>
      <c r="AR478" s="310"/>
      <c r="AS478" s="310"/>
      <c r="AT478" s="310"/>
      <c r="AU478" s="310">
        <v>3400000</v>
      </c>
      <c r="AV478" s="544">
        <f t="shared" si="206"/>
        <v>3400000</v>
      </c>
      <c r="AW478" s="525"/>
      <c r="AX478" s="310"/>
      <c r="AY478" s="310"/>
      <c r="AZ478" s="310"/>
      <c r="BA478" s="310"/>
      <c r="BB478" s="310"/>
      <c r="BC478" s="310"/>
      <c r="BD478" s="544">
        <f t="shared" si="207"/>
        <v>0</v>
      </c>
      <c r="BE478" s="525"/>
      <c r="BF478" s="310"/>
      <c r="BG478" s="310"/>
      <c r="BH478" s="310"/>
      <c r="BI478" s="310"/>
      <c r="BJ478" s="310"/>
      <c r="BK478" s="310"/>
      <c r="BL478" s="544">
        <f t="shared" si="208"/>
        <v>0</v>
      </c>
      <c r="BM478" s="525"/>
      <c r="BN478" s="310"/>
      <c r="BO478" s="310"/>
      <c r="BP478" s="310"/>
      <c r="BQ478" s="310"/>
      <c r="BR478" s="310"/>
      <c r="BS478" s="310"/>
      <c r="BT478" s="544">
        <f t="shared" si="209"/>
        <v>0</v>
      </c>
      <c r="BU478" s="648"/>
      <c r="BV478" s="663">
        <f t="shared" si="210"/>
        <v>1</v>
      </c>
      <c r="BW478" s="674">
        <f t="shared" si="211"/>
        <v>0.25</v>
      </c>
      <c r="BX478" s="674">
        <f t="shared" si="212"/>
        <v>1</v>
      </c>
      <c r="BY478" s="674">
        <f t="shared" si="213"/>
        <v>0</v>
      </c>
      <c r="BZ478" s="675">
        <f t="shared" si="214"/>
        <v>0</v>
      </c>
      <c r="CA478" s="675">
        <f t="shared" si="215"/>
        <v>0</v>
      </c>
      <c r="CB478" s="75"/>
      <c r="CC478" s="75"/>
      <c r="CD478" s="75"/>
      <c r="CE478" s="75"/>
      <c r="CF478" s="75">
        <v>2</v>
      </c>
      <c r="CG478" s="75"/>
      <c r="CH478" s="75"/>
      <c r="CI478" s="75"/>
      <c r="CJ478" s="75"/>
      <c r="CK478" s="75"/>
      <c r="CL478" s="75"/>
      <c r="CM478" s="75"/>
      <c r="CN478" s="75">
        <v>2</v>
      </c>
      <c r="CO478" s="521"/>
      <c r="CP478" s="42"/>
      <c r="CQ478" s="42"/>
      <c r="CR478" s="42"/>
      <c r="CS478" s="42"/>
      <c r="CT478" s="42"/>
      <c r="CU478" s="42"/>
      <c r="CV478" s="40"/>
    </row>
    <row r="479" spans="1:100" ht="54.75" hidden="1" customHeight="1" x14ac:dyDescent="0.25">
      <c r="A479" s="298" t="s">
        <v>1353</v>
      </c>
      <c r="B479" s="299" t="str">
        <f>'PLAN INDICATIVO'!B470</f>
        <v>Ambiental</v>
      </c>
      <c r="C479" s="1548"/>
      <c r="D479" s="1552"/>
      <c r="E479" s="1552"/>
      <c r="F479" s="1552"/>
      <c r="G479" s="1552"/>
      <c r="H479" s="1552"/>
      <c r="I479" s="300">
        <f>'PLAN INDICATIVO'!I470</f>
        <v>0</v>
      </c>
      <c r="J479" s="375">
        <f>'PLAN INDICATIVO'!J470</f>
        <v>0</v>
      </c>
      <c r="K479" s="1428" t="str">
        <f>'PLAN INDICATIVO'!K470</f>
        <v>A.10.1.30</v>
      </c>
      <c r="L479" s="301" t="str">
        <f>'PLAN INDICATIVO'!L470</f>
        <v>15. Vida de ecosistemas terrestres</v>
      </c>
      <c r="M479" s="301" t="str">
        <f>'PLAN INDICATIVO'!M470</f>
        <v>Unidad de Desarrollo Rural</v>
      </c>
      <c r="N479" s="1425" t="str">
        <f>'PLAN INDICATIVO'!N470</f>
        <v>GABRIEL ERNESTO CAMPOS ALVIRA</v>
      </c>
      <c r="O479" s="1425" t="str">
        <f>'PLAN INDICATIVO'!O470</f>
        <v>Incremento</v>
      </c>
      <c r="P479" s="16" t="str">
        <f>'PLAN INDICATIVO'!P470</f>
        <v>Otorgar 4 Apoyos  para la implementación de viveros forestales en las instituciones Educativas durante el cuatrienio.</v>
      </c>
      <c r="Q479" s="302" t="str">
        <f>'PLAN INDICATIVO'!Q470</f>
        <v>No. De apoyos otorgados</v>
      </c>
      <c r="R479" s="351">
        <f>'PLAN INDICATIVO'!R470</f>
        <v>2015</v>
      </c>
      <c r="S479" s="304">
        <v>0</v>
      </c>
      <c r="T479" s="498">
        <v>4</v>
      </c>
      <c r="U479" s="303">
        <v>1</v>
      </c>
      <c r="V479" s="687">
        <v>12000000</v>
      </c>
      <c r="W479" s="572">
        <v>1</v>
      </c>
      <c r="X479" s="687">
        <v>5000000</v>
      </c>
      <c r="Y479" s="572">
        <v>1</v>
      </c>
      <c r="Z479" s="687">
        <v>2000000</v>
      </c>
      <c r="AA479" s="572">
        <v>1</v>
      </c>
      <c r="AB479" s="687">
        <v>2000000</v>
      </c>
      <c r="AC479" s="665">
        <v>1</v>
      </c>
      <c r="AD479" s="665"/>
      <c r="AE479" s="665"/>
      <c r="AF479" s="665"/>
      <c r="AG479" s="306" t="s">
        <v>2596</v>
      </c>
      <c r="AH479" s="307" t="s">
        <v>3084</v>
      </c>
      <c r="AI479" s="309">
        <v>42614</v>
      </c>
      <c r="AJ479" s="309">
        <v>42704</v>
      </c>
      <c r="AK479" s="308"/>
      <c r="AL479" s="308"/>
      <c r="AM479" s="267" t="s">
        <v>2598</v>
      </c>
      <c r="AN479" s="507" t="s">
        <v>3085</v>
      </c>
      <c r="AO479" s="525"/>
      <c r="AP479" s="380">
        <v>5200000</v>
      </c>
      <c r="AQ479" s="310"/>
      <c r="AR479" s="310"/>
      <c r="AS479" s="310"/>
      <c r="AT479" s="310"/>
      <c r="AU479" s="310"/>
      <c r="AV479" s="544">
        <f t="shared" si="206"/>
        <v>5200000</v>
      </c>
      <c r="AW479" s="525"/>
      <c r="AX479" s="380"/>
      <c r="AY479" s="310"/>
      <c r="AZ479" s="310"/>
      <c r="BA479" s="310"/>
      <c r="BB479" s="310"/>
      <c r="BC479" s="310"/>
      <c r="BD479" s="544">
        <f t="shared" si="207"/>
        <v>0</v>
      </c>
      <c r="BE479" s="525"/>
      <c r="BF479" s="380"/>
      <c r="BG479" s="310"/>
      <c r="BH479" s="310"/>
      <c r="BI479" s="310"/>
      <c r="BJ479" s="310"/>
      <c r="BK479" s="310"/>
      <c r="BL479" s="544">
        <f t="shared" si="208"/>
        <v>0</v>
      </c>
      <c r="BM479" s="525"/>
      <c r="BN479" s="380"/>
      <c r="BO479" s="310"/>
      <c r="BP479" s="310"/>
      <c r="BQ479" s="310"/>
      <c r="BR479" s="310"/>
      <c r="BS479" s="310"/>
      <c r="BT479" s="544">
        <f t="shared" si="209"/>
        <v>0</v>
      </c>
      <c r="BU479" s="556"/>
      <c r="BV479" s="663">
        <f t="shared" si="210"/>
        <v>1</v>
      </c>
      <c r="BW479" s="674">
        <f t="shared" si="211"/>
        <v>0.25</v>
      </c>
      <c r="BX479" s="674">
        <f t="shared" si="212"/>
        <v>1</v>
      </c>
      <c r="BY479" s="674">
        <f t="shared" si="213"/>
        <v>0</v>
      </c>
      <c r="BZ479" s="675">
        <f t="shared" si="214"/>
        <v>0</v>
      </c>
      <c r="CA479" s="675">
        <f t="shared" si="215"/>
        <v>0</v>
      </c>
    </row>
    <row r="480" spans="1:100" s="3" customFormat="1" ht="39.75" hidden="1" customHeight="1" x14ac:dyDescent="0.2">
      <c r="A480" s="298" t="s">
        <v>1353</v>
      </c>
      <c r="B480" s="299" t="str">
        <f>'PLAN INDICATIVO'!B471</f>
        <v>Ambiental</v>
      </c>
      <c r="C480" s="1424"/>
      <c r="D480" s="1427"/>
      <c r="E480" s="1427"/>
      <c r="F480" s="1427"/>
      <c r="G480" s="1427"/>
      <c r="H480" s="1427"/>
      <c r="I480" s="300">
        <f>'PLAN INDICATIVO'!I471</f>
        <v>0</v>
      </c>
      <c r="J480" s="375">
        <f>'PLAN INDICATIVO'!J471</f>
        <v>0</v>
      </c>
      <c r="K480" s="1428" t="str">
        <f>'PLAN INDICATIVO'!K471</f>
        <v>A.10.1.31</v>
      </c>
      <c r="L480" s="301" t="str">
        <f>'PLAN INDICATIVO'!L471</f>
        <v>15. Vida de ecosistemas terrestres</v>
      </c>
      <c r="M480" s="301" t="str">
        <f>'PLAN INDICATIVO'!M471</f>
        <v>Unidad de Desarrollo Rural</v>
      </c>
      <c r="N480" s="1425" t="str">
        <f>'PLAN INDICATIVO'!N471</f>
        <v>GABRIEL ERNESTO CAMPOS ALVIRA</v>
      </c>
      <c r="O480" s="1425" t="str">
        <f>'PLAN INDICATIVO'!O471</f>
        <v>Incremento</v>
      </c>
      <c r="P480" s="16" t="str">
        <f>'PLAN INDICATIVO'!P471</f>
        <v>Implementar 1 programa de apoyo a los grupos asociativos que desarrollen actividades de reciclaje con fines comerciales y/o de protección ambiental en los centros poblados del municipio, durante el cuatrienio.</v>
      </c>
      <c r="Q480" s="352" t="str">
        <f>'PLAN INDICATIVO'!Q471</f>
        <v>No. De programas de apoyo implementados</v>
      </c>
      <c r="R480" s="351">
        <f>'PLAN INDICATIVO'!R471</f>
        <v>2015</v>
      </c>
      <c r="S480" s="304">
        <v>0</v>
      </c>
      <c r="T480" s="498">
        <v>1</v>
      </c>
      <c r="U480" s="303">
        <v>0</v>
      </c>
      <c r="V480" s="687"/>
      <c r="W480" s="572">
        <v>1</v>
      </c>
      <c r="X480" s="687">
        <v>1000000</v>
      </c>
      <c r="Y480" s="572">
        <v>0</v>
      </c>
      <c r="Z480" s="687"/>
      <c r="AA480" s="572">
        <v>0</v>
      </c>
      <c r="AB480" s="687"/>
      <c r="AC480" s="665">
        <v>0</v>
      </c>
      <c r="AD480" s="665"/>
      <c r="AE480" s="665"/>
      <c r="AF480" s="665"/>
      <c r="AG480" s="266"/>
      <c r="AH480" s="307"/>
      <c r="AI480" s="310"/>
      <c r="AJ480" s="380"/>
      <c r="AK480" s="310"/>
      <c r="AL480" s="310"/>
      <c r="AM480" s="267" t="s">
        <v>2594</v>
      </c>
      <c r="AN480" s="509"/>
      <c r="AO480" s="525"/>
      <c r="AP480" s="310"/>
      <c r="AQ480" s="310"/>
      <c r="AR480" s="310"/>
      <c r="AS480" s="310"/>
      <c r="AT480" s="310"/>
      <c r="AU480" s="310"/>
      <c r="AV480" s="544">
        <f t="shared" si="206"/>
        <v>0</v>
      </c>
      <c r="AW480" s="525"/>
      <c r="AX480" s="310"/>
      <c r="AY480" s="310"/>
      <c r="AZ480" s="310"/>
      <c r="BA480" s="310"/>
      <c r="BB480" s="310"/>
      <c r="BC480" s="310"/>
      <c r="BD480" s="544">
        <f t="shared" si="207"/>
        <v>0</v>
      </c>
      <c r="BE480" s="525"/>
      <c r="BF480" s="310"/>
      <c r="BG480" s="310"/>
      <c r="BH480" s="310"/>
      <c r="BI480" s="310"/>
      <c r="BJ480" s="310"/>
      <c r="BK480" s="310"/>
      <c r="BL480" s="544">
        <f t="shared" si="208"/>
        <v>0</v>
      </c>
      <c r="BM480" s="525"/>
      <c r="BN480" s="310"/>
      <c r="BO480" s="310"/>
      <c r="BP480" s="310"/>
      <c r="BQ480" s="310"/>
      <c r="BR480" s="310"/>
      <c r="BS480" s="310"/>
      <c r="BT480" s="544">
        <f t="shared" si="209"/>
        <v>0</v>
      </c>
      <c r="BU480" s="648"/>
      <c r="BV480" s="663">
        <f t="shared" si="210"/>
        <v>0</v>
      </c>
      <c r="BW480" s="674">
        <f t="shared" si="211"/>
        <v>0</v>
      </c>
      <c r="BX480" s="674" t="e">
        <f t="shared" si="212"/>
        <v>#DIV/0!</v>
      </c>
      <c r="BY480" s="674">
        <f t="shared" si="213"/>
        <v>0</v>
      </c>
      <c r="BZ480" s="675" t="e">
        <f t="shared" si="214"/>
        <v>#DIV/0!</v>
      </c>
      <c r="CA480" s="675" t="e">
        <f t="shared" si="215"/>
        <v>#DIV/0!</v>
      </c>
      <c r="CB480" s="75"/>
      <c r="CC480" s="75"/>
      <c r="CD480" s="75"/>
      <c r="CE480" s="75"/>
      <c r="CF480" s="75"/>
      <c r="CG480" s="75"/>
      <c r="CH480" s="75"/>
      <c r="CI480" s="75"/>
      <c r="CJ480" s="75"/>
      <c r="CK480" s="75"/>
      <c r="CL480" s="75"/>
      <c r="CM480" s="75"/>
      <c r="CN480" s="75"/>
      <c r="CO480" s="521"/>
      <c r="CP480" s="42"/>
      <c r="CQ480" s="42"/>
      <c r="CR480" s="42"/>
      <c r="CS480" s="42"/>
      <c r="CT480" s="42"/>
      <c r="CU480" s="42"/>
      <c r="CV480" s="40"/>
    </row>
    <row r="481" spans="1:100" s="3" customFormat="1" ht="42.75" hidden="1" customHeight="1" x14ac:dyDescent="0.2">
      <c r="A481" s="298" t="s">
        <v>1353</v>
      </c>
      <c r="B481" s="299" t="str">
        <f>'PLAN INDICATIVO'!B472</f>
        <v>Ambiental</v>
      </c>
      <c r="C481" s="1424"/>
      <c r="D481" s="1427"/>
      <c r="E481" s="1427"/>
      <c r="F481" s="1427"/>
      <c r="G481" s="1427"/>
      <c r="H481" s="1427"/>
      <c r="I481" s="300">
        <f>'PLAN INDICATIVO'!I472</f>
        <v>0</v>
      </c>
      <c r="J481" s="375">
        <f>'PLAN INDICATIVO'!J472</f>
        <v>0</v>
      </c>
      <c r="K481" s="1428" t="str">
        <f>'PLAN INDICATIVO'!K472</f>
        <v>A.10.1.32</v>
      </c>
      <c r="L481" s="301" t="str">
        <f>'PLAN INDICATIVO'!L472</f>
        <v>15. Vida de ecosistemas terrestres</v>
      </c>
      <c r="M481" s="301" t="str">
        <f>'PLAN INDICATIVO'!M472</f>
        <v>Unidad de Desarrollo Rural</v>
      </c>
      <c r="N481" s="1425" t="str">
        <f>'PLAN INDICATIVO'!N472</f>
        <v>GABRIEL ERNESTO CAMPOS ALVIRA</v>
      </c>
      <c r="O481" s="1425" t="str">
        <f>'PLAN INDICATIVO'!O472</f>
        <v>Incremento</v>
      </c>
      <c r="P481" s="16" t="str">
        <f>'PLAN INDICATIVO'!P472</f>
        <v>Diseñar 1 plan municipal de adaptación al cambio climático, durante el cuatrienio.</v>
      </c>
      <c r="Q481" s="352" t="str">
        <f>'PLAN INDICATIVO'!Q472</f>
        <v>No. de planes diseñados</v>
      </c>
      <c r="R481" s="351">
        <f>'PLAN INDICATIVO'!R472</f>
        <v>2015</v>
      </c>
      <c r="S481" s="304">
        <v>0</v>
      </c>
      <c r="T481" s="498">
        <v>1</v>
      </c>
      <c r="U481" s="303">
        <v>0</v>
      </c>
      <c r="V481" s="687"/>
      <c r="W481" s="572">
        <v>0</v>
      </c>
      <c r="X481" s="687"/>
      <c r="Y481" s="572">
        <v>1</v>
      </c>
      <c r="Z481" s="687">
        <v>1000000</v>
      </c>
      <c r="AA481" s="572">
        <v>0</v>
      </c>
      <c r="AB481" s="687"/>
      <c r="AC481" s="665">
        <v>0</v>
      </c>
      <c r="AD481" s="665"/>
      <c r="AE481" s="665"/>
      <c r="AF481" s="665"/>
      <c r="AG481" s="266"/>
      <c r="AH481" s="307"/>
      <c r="AI481" s="310"/>
      <c r="AJ481" s="380"/>
      <c r="AK481" s="310"/>
      <c r="AL481" s="310"/>
      <c r="AM481" s="267" t="s">
        <v>2594</v>
      </c>
      <c r="AN481" s="509"/>
      <c r="AO481" s="525"/>
      <c r="AP481" s="310"/>
      <c r="AQ481" s="310"/>
      <c r="AR481" s="310"/>
      <c r="AS481" s="310"/>
      <c r="AT481" s="310"/>
      <c r="AU481" s="310"/>
      <c r="AV481" s="544">
        <f t="shared" si="206"/>
        <v>0</v>
      </c>
      <c r="AW481" s="525"/>
      <c r="AX481" s="310"/>
      <c r="AY481" s="310"/>
      <c r="AZ481" s="310"/>
      <c r="BA481" s="310"/>
      <c r="BB481" s="310"/>
      <c r="BC481" s="310"/>
      <c r="BD481" s="544">
        <f t="shared" si="207"/>
        <v>0</v>
      </c>
      <c r="BE481" s="525"/>
      <c r="BF481" s="310"/>
      <c r="BG481" s="310"/>
      <c r="BH481" s="310"/>
      <c r="BI481" s="310"/>
      <c r="BJ481" s="310"/>
      <c r="BK481" s="310"/>
      <c r="BL481" s="544">
        <f t="shared" si="208"/>
        <v>0</v>
      </c>
      <c r="BM481" s="525"/>
      <c r="BN481" s="310"/>
      <c r="BO481" s="310"/>
      <c r="BP481" s="310"/>
      <c r="BQ481" s="310"/>
      <c r="BR481" s="310"/>
      <c r="BS481" s="310"/>
      <c r="BT481" s="544">
        <f t="shared" si="209"/>
        <v>0</v>
      </c>
      <c r="BU481" s="648"/>
      <c r="BV481" s="663">
        <f t="shared" si="210"/>
        <v>0</v>
      </c>
      <c r="BW481" s="674">
        <f t="shared" si="211"/>
        <v>0</v>
      </c>
      <c r="BX481" s="674" t="e">
        <f t="shared" si="212"/>
        <v>#DIV/0!</v>
      </c>
      <c r="BY481" s="674" t="e">
        <f t="shared" si="213"/>
        <v>#DIV/0!</v>
      </c>
      <c r="BZ481" s="675">
        <f t="shared" si="214"/>
        <v>0</v>
      </c>
      <c r="CA481" s="675" t="e">
        <f t="shared" si="215"/>
        <v>#DIV/0!</v>
      </c>
      <c r="CB481" s="75"/>
      <c r="CC481" s="75"/>
      <c r="CD481" s="75"/>
      <c r="CE481" s="75"/>
      <c r="CF481" s="75"/>
      <c r="CG481" s="75"/>
      <c r="CH481" s="75"/>
      <c r="CI481" s="75"/>
      <c r="CJ481" s="75"/>
      <c r="CK481" s="75"/>
      <c r="CL481" s="75"/>
      <c r="CM481" s="75"/>
      <c r="CN481" s="75"/>
      <c r="CO481" s="521"/>
      <c r="CP481" s="42"/>
      <c r="CQ481" s="42"/>
      <c r="CR481" s="42"/>
      <c r="CS481" s="42"/>
      <c r="CT481" s="42"/>
      <c r="CU481" s="42"/>
      <c r="CV481" s="40"/>
    </row>
    <row r="482" spans="1:100" ht="15" hidden="1" x14ac:dyDescent="0.25">
      <c r="A482" s="151"/>
      <c r="B482" s="7" t="e">
        <f>'PLAN INDICATIVO'!#REF!</f>
        <v>#REF!</v>
      </c>
      <c r="C482" s="7"/>
      <c r="D482" s="1442"/>
      <c r="E482" s="1442"/>
      <c r="F482" s="1442"/>
      <c r="G482" s="1442"/>
      <c r="H482" s="1442"/>
      <c r="I482" s="1442"/>
      <c r="J482" s="64"/>
      <c r="K482" s="148"/>
      <c r="L482" s="148"/>
      <c r="M482" s="148"/>
      <c r="N482" s="1442"/>
      <c r="O482" s="148"/>
      <c r="P482" s="1436"/>
      <c r="Q482" s="1436"/>
      <c r="R482" s="69"/>
      <c r="S482" s="265"/>
      <c r="T482" s="677"/>
      <c r="U482" s="265"/>
      <c r="V482" s="265"/>
      <c r="W482" s="265"/>
      <c r="X482" s="265"/>
      <c r="Y482" s="265"/>
      <c r="Z482" s="265"/>
      <c r="AA482" s="268"/>
      <c r="AB482" s="268"/>
      <c r="AC482" s="268"/>
      <c r="AD482" s="268"/>
      <c r="AE482" s="268"/>
      <c r="AF482" s="268"/>
      <c r="AG482" s="269"/>
      <c r="AH482" s="269"/>
      <c r="AI482" s="268"/>
      <c r="AJ482" s="268"/>
      <c r="AK482" s="268"/>
      <c r="AL482" s="268"/>
      <c r="AM482" s="268"/>
      <c r="AN482" s="507"/>
      <c r="AO482" s="525"/>
      <c r="AP482" s="380"/>
      <c r="AQ482" s="310"/>
      <c r="AR482" s="310"/>
      <c r="AS482" s="310"/>
      <c r="AT482" s="310"/>
      <c r="AU482" s="310"/>
      <c r="AV482" s="544">
        <f t="shared" si="206"/>
        <v>0</v>
      </c>
      <c r="AW482" s="525"/>
      <c r="AX482" s="380"/>
      <c r="AY482" s="310"/>
      <c r="AZ482" s="310"/>
      <c r="BA482" s="310"/>
      <c r="BB482" s="310"/>
      <c r="BC482" s="310"/>
      <c r="BD482" s="544">
        <f t="shared" si="207"/>
        <v>0</v>
      </c>
      <c r="BE482" s="525"/>
      <c r="BF482" s="380"/>
      <c r="BG482" s="310"/>
      <c r="BH482" s="310"/>
      <c r="BI482" s="310"/>
      <c r="BJ482" s="310"/>
      <c r="BK482" s="310"/>
      <c r="BL482" s="544">
        <f t="shared" si="208"/>
        <v>0</v>
      </c>
      <c r="BM482" s="525"/>
      <c r="BN482" s="380"/>
      <c r="BO482" s="310"/>
      <c r="BP482" s="310"/>
      <c r="BQ482" s="310"/>
      <c r="BR482" s="310"/>
      <c r="BS482" s="310"/>
      <c r="BT482" s="544">
        <f t="shared" si="209"/>
        <v>0</v>
      </c>
      <c r="BU482" s="556"/>
      <c r="BV482" s="663">
        <f t="shared" si="210"/>
        <v>0</v>
      </c>
      <c r="BW482" s="674" t="e">
        <f t="shared" si="211"/>
        <v>#DIV/0!</v>
      </c>
      <c r="BX482" s="674" t="e">
        <f t="shared" si="212"/>
        <v>#DIV/0!</v>
      </c>
      <c r="BY482" s="674" t="e">
        <f t="shared" si="213"/>
        <v>#DIV/0!</v>
      </c>
      <c r="BZ482" s="675" t="e">
        <f t="shared" si="214"/>
        <v>#DIV/0!</v>
      </c>
      <c r="CA482" s="675" t="e">
        <f t="shared" si="215"/>
        <v>#DIV/0!</v>
      </c>
    </row>
    <row r="483" spans="1:100" ht="14.25" hidden="1" customHeight="1" thickBot="1" x14ac:dyDescent="0.3">
      <c r="A483" s="311"/>
      <c r="B483" s="312" t="e">
        <f>'PLAN INDICATIVO'!#REF!</f>
        <v>#REF!</v>
      </c>
      <c r="C483" s="312"/>
      <c r="D483" s="1444"/>
      <c r="E483" s="1444"/>
      <c r="F483" s="1444"/>
      <c r="G483" s="1444"/>
      <c r="H483" s="1444"/>
      <c r="I483" s="1444"/>
      <c r="J483" s="443"/>
      <c r="K483" s="444"/>
      <c r="L483" s="444"/>
      <c r="M483" s="444"/>
      <c r="N483" s="1444"/>
      <c r="O483" s="444"/>
      <c r="P483" s="1435"/>
      <c r="Q483" s="1435"/>
      <c r="R483" s="445"/>
      <c r="S483" s="313"/>
      <c r="T483" s="682"/>
      <c r="U483" s="313"/>
      <c r="V483" s="313"/>
      <c r="W483" s="313"/>
      <c r="X483" s="313"/>
      <c r="Y483" s="313"/>
      <c r="Z483" s="313"/>
      <c r="AA483" s="314"/>
      <c r="AB483" s="314"/>
      <c r="AC483" s="314"/>
      <c r="AD483" s="314"/>
      <c r="AE483" s="314"/>
      <c r="AF483" s="314"/>
      <c r="AG483" s="315"/>
      <c r="AH483" s="315"/>
      <c r="AI483" s="314"/>
      <c r="AJ483" s="314"/>
      <c r="AK483" s="314"/>
      <c r="AL483" s="314"/>
      <c r="AM483" s="268"/>
      <c r="AN483" s="507"/>
      <c r="AO483" s="525"/>
      <c r="AP483" s="380"/>
      <c r="AQ483" s="310"/>
      <c r="AR483" s="310"/>
      <c r="AS483" s="310"/>
      <c r="AT483" s="310"/>
      <c r="AU483" s="310"/>
      <c r="AV483" s="544">
        <f t="shared" si="206"/>
        <v>0</v>
      </c>
      <c r="AW483" s="525"/>
      <c r="AX483" s="380"/>
      <c r="AY483" s="310"/>
      <c r="AZ483" s="310"/>
      <c r="BA483" s="310"/>
      <c r="BB483" s="310"/>
      <c r="BC483" s="310"/>
      <c r="BD483" s="544">
        <f t="shared" si="207"/>
        <v>0</v>
      </c>
      <c r="BE483" s="525"/>
      <c r="BF483" s="380"/>
      <c r="BG483" s="310"/>
      <c r="BH483" s="310"/>
      <c r="BI483" s="310"/>
      <c r="BJ483" s="310"/>
      <c r="BK483" s="310"/>
      <c r="BL483" s="544">
        <f t="shared" si="208"/>
        <v>0</v>
      </c>
      <c r="BM483" s="525"/>
      <c r="BN483" s="380"/>
      <c r="BO483" s="310"/>
      <c r="BP483" s="310"/>
      <c r="BQ483" s="310"/>
      <c r="BR483" s="310"/>
      <c r="BS483" s="310"/>
      <c r="BT483" s="544">
        <f t="shared" si="209"/>
        <v>0</v>
      </c>
      <c r="BU483" s="556"/>
      <c r="BV483" s="663">
        <f t="shared" si="210"/>
        <v>0</v>
      </c>
      <c r="BW483" s="674" t="e">
        <f t="shared" si="211"/>
        <v>#DIV/0!</v>
      </c>
      <c r="BX483" s="674" t="e">
        <f t="shared" si="212"/>
        <v>#DIV/0!</v>
      </c>
      <c r="BY483" s="674" t="e">
        <f t="shared" si="213"/>
        <v>#DIV/0!</v>
      </c>
      <c r="BZ483" s="675" t="e">
        <f t="shared" si="214"/>
        <v>#DIV/0!</v>
      </c>
      <c r="CA483" s="675" t="e">
        <f t="shared" si="215"/>
        <v>#DIV/0!</v>
      </c>
    </row>
    <row r="484" spans="1:100" ht="54.75" hidden="1" customHeight="1" thickBot="1" x14ac:dyDescent="0.3">
      <c r="A484" s="441"/>
      <c r="B484" s="442"/>
      <c r="C484" s="1590" t="s">
        <v>3086</v>
      </c>
      <c r="D484" s="1590"/>
      <c r="E484" s="1590"/>
      <c r="F484" s="1590"/>
      <c r="G484" s="1590"/>
      <c r="H484" s="1590"/>
      <c r="I484" s="1590"/>
      <c r="J484" s="1590"/>
      <c r="K484" s="1590"/>
      <c r="L484" s="1590"/>
      <c r="M484" s="1590"/>
      <c r="N484" s="1590"/>
      <c r="O484" s="1590"/>
      <c r="P484" s="1590"/>
      <c r="Q484" s="1590"/>
      <c r="R484" s="1590"/>
      <c r="S484" s="1590"/>
      <c r="T484" s="1590"/>
      <c r="U484" s="1590"/>
      <c r="V484" s="1590"/>
      <c r="W484" s="1590"/>
      <c r="X484" s="1590"/>
      <c r="Y484" s="1590"/>
      <c r="Z484" s="1590"/>
      <c r="AA484" s="1590"/>
      <c r="AB484" s="1590"/>
      <c r="AC484" s="1590"/>
      <c r="AD484" s="1590"/>
      <c r="AE484" s="1590"/>
      <c r="AF484" s="1590"/>
      <c r="AG484" s="1590"/>
      <c r="AH484" s="1590"/>
      <c r="AI484" s="1590"/>
      <c r="AJ484" s="1590"/>
      <c r="AK484" s="1590"/>
      <c r="AL484" s="1591"/>
      <c r="AM484" s="435"/>
      <c r="AN484" s="505"/>
      <c r="AO484" s="541"/>
      <c r="AP484" s="542"/>
      <c r="AQ484" s="542"/>
      <c r="AR484" s="542"/>
      <c r="AS484" s="542"/>
      <c r="AT484" s="542"/>
      <c r="AU484" s="542"/>
      <c r="AV484" s="543">
        <f t="shared" si="206"/>
        <v>0</v>
      </c>
      <c r="AW484" s="541"/>
      <c r="AX484" s="542"/>
      <c r="AY484" s="542"/>
      <c r="AZ484" s="542"/>
      <c r="BA484" s="542"/>
      <c r="BB484" s="542"/>
      <c r="BC484" s="542"/>
      <c r="BD484" s="543">
        <f t="shared" si="207"/>
        <v>0</v>
      </c>
      <c r="BE484" s="541"/>
      <c r="BF484" s="542"/>
      <c r="BG484" s="542"/>
      <c r="BH484" s="542"/>
      <c r="BI484" s="542"/>
      <c r="BJ484" s="542"/>
      <c r="BK484" s="542"/>
      <c r="BL484" s="543">
        <f t="shared" si="208"/>
        <v>0</v>
      </c>
      <c r="BM484" s="541"/>
      <c r="BN484" s="542"/>
      <c r="BO484" s="542"/>
      <c r="BP484" s="542"/>
      <c r="BQ484" s="542"/>
      <c r="BR484" s="542"/>
      <c r="BS484" s="542"/>
      <c r="BT484" s="543">
        <f t="shared" si="209"/>
        <v>0</v>
      </c>
      <c r="BU484" s="556"/>
      <c r="BV484" s="663">
        <f t="shared" si="210"/>
        <v>0</v>
      </c>
      <c r="BW484" s="674" t="e">
        <f t="shared" si="211"/>
        <v>#DIV/0!</v>
      </c>
      <c r="BX484" s="674" t="e">
        <f t="shared" si="212"/>
        <v>#DIV/0!</v>
      </c>
      <c r="BY484" s="674" t="e">
        <f t="shared" si="213"/>
        <v>#DIV/0!</v>
      </c>
      <c r="BZ484" s="675" t="e">
        <f t="shared" si="214"/>
        <v>#DIV/0!</v>
      </c>
      <c r="CA484" s="675" t="e">
        <f t="shared" si="215"/>
        <v>#DIV/0!</v>
      </c>
    </row>
    <row r="485" spans="1:100" ht="38.25" hidden="1" x14ac:dyDescent="0.25">
      <c r="A485" s="296"/>
      <c r="B485" s="331" t="str">
        <f>'PLAN INDICATIVO'!B474</f>
        <v>Prevención y atención de desastres</v>
      </c>
      <c r="C485" s="1592" t="s">
        <v>1449</v>
      </c>
      <c r="D485" s="1593"/>
      <c r="E485" s="1593"/>
      <c r="F485" s="1593"/>
      <c r="G485" s="1593"/>
      <c r="H485" s="1593"/>
      <c r="I485" s="1593"/>
      <c r="J485" s="1593"/>
      <c r="K485" s="1593"/>
      <c r="L485" s="1593"/>
      <c r="M485" s="1593"/>
      <c r="N485" s="1593"/>
      <c r="O485" s="1594"/>
      <c r="P485" s="318"/>
      <c r="Q485" s="318"/>
      <c r="R485" s="317"/>
      <c r="S485" s="319"/>
      <c r="T485" s="676"/>
      <c r="U485" s="319"/>
      <c r="V485" s="695">
        <f>SUM(V486:V492)</f>
        <v>41300000</v>
      </c>
      <c r="W485" s="319"/>
      <c r="X485" s="695">
        <f>SUM(X486:X492)</f>
        <v>26000000</v>
      </c>
      <c r="Y485" s="319"/>
      <c r="Z485" s="695">
        <f>SUM(Z486:Z492)</f>
        <v>34000000</v>
      </c>
      <c r="AA485" s="320"/>
      <c r="AB485" s="708">
        <f>SUM(AB486:AB492)</f>
        <v>37000000</v>
      </c>
      <c r="AC485" s="320"/>
      <c r="AD485" s="320"/>
      <c r="AE485" s="320"/>
      <c r="AF485" s="320"/>
      <c r="AG485" s="321"/>
      <c r="AH485" s="321"/>
      <c r="AI485" s="320"/>
      <c r="AJ485" s="320"/>
      <c r="AK485" s="320"/>
      <c r="AL485" s="320"/>
      <c r="AM485" s="262"/>
      <c r="AN485" s="612"/>
      <c r="AO485" s="616">
        <f>AO486+AO487+AO488+AO489+AO490+AO491+AO492</f>
        <v>8446906</v>
      </c>
      <c r="AP485" s="616">
        <f>AP486+AP487+AP488+AP489+AP490+AP491+AP492</f>
        <v>20527020</v>
      </c>
      <c r="AQ485" s="616" t="e">
        <f>(AQ486:AQ492)</f>
        <v>#VALUE!</v>
      </c>
      <c r="AR485" s="616" t="e">
        <f>(AR486:AR492)</f>
        <v>#VALUE!</v>
      </c>
      <c r="AS485" s="616" t="e">
        <f>(AS486:AS492)</f>
        <v>#VALUE!</v>
      </c>
      <c r="AT485" s="616" t="e">
        <f>(AT486:AT492)</f>
        <v>#VALUE!</v>
      </c>
      <c r="AU485" s="616" t="e">
        <f>(AU486:AU492)</f>
        <v>#VALUE!</v>
      </c>
      <c r="AV485" s="630" t="e">
        <f>AO485+AP485+AQ485+AR485+AS485+AT485+AU485</f>
        <v>#VALUE!</v>
      </c>
      <c r="AW485" s="616" t="e">
        <f t="shared" ref="AW485:BC485" si="216">(AW486:AW492)</f>
        <v>#VALUE!</v>
      </c>
      <c r="AX485" s="616" t="e">
        <f t="shared" si="216"/>
        <v>#VALUE!</v>
      </c>
      <c r="AY485" s="616" t="e">
        <f t="shared" si="216"/>
        <v>#VALUE!</v>
      </c>
      <c r="AZ485" s="616" t="e">
        <f t="shared" si="216"/>
        <v>#VALUE!</v>
      </c>
      <c r="BA485" s="616" t="e">
        <f t="shared" si="216"/>
        <v>#VALUE!</v>
      </c>
      <c r="BB485" s="616" t="e">
        <f t="shared" si="216"/>
        <v>#VALUE!</v>
      </c>
      <c r="BC485" s="616" t="e">
        <f t="shared" si="216"/>
        <v>#VALUE!</v>
      </c>
      <c r="BD485" s="617" t="e">
        <f t="shared" si="207"/>
        <v>#VALUE!</v>
      </c>
      <c r="BE485" s="616" t="e">
        <f t="shared" ref="BE485:BK485" si="217">(BE486:BE492)</f>
        <v>#VALUE!</v>
      </c>
      <c r="BF485" s="616" t="e">
        <f t="shared" si="217"/>
        <v>#VALUE!</v>
      </c>
      <c r="BG485" s="616" t="e">
        <f t="shared" si="217"/>
        <v>#VALUE!</v>
      </c>
      <c r="BH485" s="616" t="e">
        <f t="shared" si="217"/>
        <v>#VALUE!</v>
      </c>
      <c r="BI485" s="616" t="e">
        <f t="shared" si="217"/>
        <v>#VALUE!</v>
      </c>
      <c r="BJ485" s="616" t="e">
        <f t="shared" si="217"/>
        <v>#VALUE!</v>
      </c>
      <c r="BK485" s="616" t="e">
        <f t="shared" si="217"/>
        <v>#VALUE!</v>
      </c>
      <c r="BL485" s="617" t="e">
        <f t="shared" si="208"/>
        <v>#VALUE!</v>
      </c>
      <c r="BM485" s="616" t="e">
        <f t="shared" ref="BM485:BS485" si="218">(BM486:BM492)</f>
        <v>#VALUE!</v>
      </c>
      <c r="BN485" s="616" t="e">
        <f t="shared" si="218"/>
        <v>#VALUE!</v>
      </c>
      <c r="BO485" s="616" t="e">
        <f t="shared" si="218"/>
        <v>#VALUE!</v>
      </c>
      <c r="BP485" s="616" t="e">
        <f t="shared" si="218"/>
        <v>#VALUE!</v>
      </c>
      <c r="BQ485" s="616" t="e">
        <f t="shared" si="218"/>
        <v>#VALUE!</v>
      </c>
      <c r="BR485" s="616" t="e">
        <f t="shared" si="218"/>
        <v>#VALUE!</v>
      </c>
      <c r="BS485" s="616" t="e">
        <f t="shared" si="218"/>
        <v>#VALUE!</v>
      </c>
      <c r="BT485" s="617" t="e">
        <f t="shared" si="209"/>
        <v>#VALUE!</v>
      </c>
      <c r="BU485" s="556"/>
      <c r="BV485" s="863">
        <f t="shared" si="210"/>
        <v>0</v>
      </c>
      <c r="BW485" s="864" t="e">
        <f t="shared" si="211"/>
        <v>#DIV/0!</v>
      </c>
      <c r="BX485" s="864" t="e">
        <f t="shared" si="212"/>
        <v>#DIV/0!</v>
      </c>
      <c r="BY485" s="674" t="e">
        <f t="shared" si="213"/>
        <v>#DIV/0!</v>
      </c>
      <c r="BZ485" s="675" t="e">
        <f t="shared" si="214"/>
        <v>#DIV/0!</v>
      </c>
      <c r="CA485" s="675" t="e">
        <f t="shared" si="215"/>
        <v>#DIV/0!</v>
      </c>
    </row>
    <row r="486" spans="1:100" ht="36" customHeight="1" x14ac:dyDescent="0.3">
      <c r="A486" s="298" t="s">
        <v>1450</v>
      </c>
      <c r="B486" s="299" t="str">
        <f>'PLAN INDICATIVO'!B475</f>
        <v>Prevención y atención de desastres</v>
      </c>
      <c r="C486" s="1546" t="s">
        <v>1451</v>
      </c>
      <c r="D486" s="1550" t="s">
        <v>1452</v>
      </c>
      <c r="E486" s="1550" t="s">
        <v>1453</v>
      </c>
      <c r="F486" s="1550">
        <v>2015</v>
      </c>
      <c r="G486" s="1550" t="s">
        <v>177</v>
      </c>
      <c r="H486" s="1550">
        <v>20</v>
      </c>
      <c r="I486" s="300">
        <f>'PLAN INDICATIVO'!I475</f>
        <v>0</v>
      </c>
      <c r="J486" s="300">
        <f>'PLAN INDICATIVO'!J475</f>
        <v>0</v>
      </c>
      <c r="K486" s="1425" t="str">
        <f>'PLAN INDICATIVO'!K475</f>
        <v>A.12.1.1</v>
      </c>
      <c r="L486" s="301" t="str">
        <f>'PLAN INDICATIVO'!L475</f>
        <v>11. Ciudades y comunidades sostenibles</v>
      </c>
      <c r="M486" s="301" t="s">
        <v>1102</v>
      </c>
      <c r="N486" s="1425" t="s">
        <v>2687</v>
      </c>
      <c r="O486" s="1425" t="str">
        <f>'PLAN INDICATIVO'!O475</f>
        <v>Incremento</v>
      </c>
      <c r="P486" s="16" t="str">
        <f>'PLAN INDICATIVO'!P475</f>
        <v>Realizar 1 inventario de viviendas y personas que se encuentren en alto riesgo, durante el cuatrienio</v>
      </c>
      <c r="Q486" s="302" t="str">
        <f>'PLAN INDICATIVO'!Q475</f>
        <v>No. de inventarios realizados</v>
      </c>
      <c r="R486" s="351">
        <f>'PLAN INDICATIVO'!R475</f>
        <v>2015</v>
      </c>
      <c r="S486" s="304">
        <v>0</v>
      </c>
      <c r="T486" s="498">
        <v>1</v>
      </c>
      <c r="U486" s="303">
        <v>0</v>
      </c>
      <c r="V486" s="687"/>
      <c r="W486" s="572">
        <v>1</v>
      </c>
      <c r="X486" s="687">
        <v>1000000</v>
      </c>
      <c r="Y486" s="572">
        <v>0</v>
      </c>
      <c r="Z486" s="687"/>
      <c r="AA486" s="572">
        <v>0</v>
      </c>
      <c r="AB486" s="687"/>
      <c r="AC486" s="665">
        <v>0</v>
      </c>
      <c r="AD486" s="665"/>
      <c r="AE486" s="665"/>
      <c r="AF486" s="665"/>
      <c r="AG486" s="266"/>
      <c r="AH486" s="307"/>
      <c r="AI486" s="308"/>
      <c r="AJ486" s="308"/>
      <c r="AK486" s="308"/>
      <c r="AL486" s="308"/>
      <c r="AM486" s="267" t="s">
        <v>2594</v>
      </c>
      <c r="AN486" s="507"/>
      <c r="AO486" s="525"/>
      <c r="AP486" s="310"/>
      <c r="AQ486" s="310"/>
      <c r="AR486" s="310"/>
      <c r="AS486" s="310"/>
      <c r="AT486" s="310"/>
      <c r="AU486" s="310"/>
      <c r="AV486" s="544">
        <f t="shared" si="206"/>
        <v>0</v>
      </c>
      <c r="AW486" s="525"/>
      <c r="AX486" s="310"/>
      <c r="AY486" s="310"/>
      <c r="AZ486" s="310"/>
      <c r="BA486" s="310"/>
      <c r="BB486" s="310"/>
      <c r="BC486" s="310"/>
      <c r="BD486" s="544">
        <f t="shared" si="207"/>
        <v>0</v>
      </c>
      <c r="BE486" s="525"/>
      <c r="BF486" s="310"/>
      <c r="BG486" s="310"/>
      <c r="BH486" s="310"/>
      <c r="BI486" s="310"/>
      <c r="BJ486" s="310"/>
      <c r="BK486" s="310"/>
      <c r="BL486" s="544">
        <f t="shared" si="208"/>
        <v>0</v>
      </c>
      <c r="BM486" s="525"/>
      <c r="BN486" s="310"/>
      <c r="BO486" s="310"/>
      <c r="BP486" s="310"/>
      <c r="BQ486" s="310"/>
      <c r="BR486" s="310"/>
      <c r="BS486" s="310"/>
      <c r="BT486" s="544">
        <f t="shared" si="209"/>
        <v>0</v>
      </c>
      <c r="BU486" s="556"/>
      <c r="BV486" s="663">
        <f t="shared" si="210"/>
        <v>0</v>
      </c>
      <c r="BW486" s="674">
        <f t="shared" si="211"/>
        <v>0</v>
      </c>
      <c r="BX486" s="674" t="e">
        <f t="shared" si="212"/>
        <v>#DIV/0!</v>
      </c>
      <c r="BY486" s="674">
        <f t="shared" si="213"/>
        <v>0</v>
      </c>
      <c r="BZ486" s="675" t="e">
        <f t="shared" si="214"/>
        <v>#DIV/0!</v>
      </c>
      <c r="CA486" s="675" t="e">
        <f t="shared" si="215"/>
        <v>#DIV/0!</v>
      </c>
    </row>
    <row r="487" spans="1:100" ht="30.75" customHeight="1" x14ac:dyDescent="0.3">
      <c r="A487" s="298" t="s">
        <v>1450</v>
      </c>
      <c r="B487" s="299" t="str">
        <f>'PLAN INDICATIVO'!B476</f>
        <v>Prevención y atención de desastres</v>
      </c>
      <c r="C487" s="1547"/>
      <c r="D487" s="1551"/>
      <c r="E487" s="1551"/>
      <c r="F487" s="1551"/>
      <c r="G487" s="1551"/>
      <c r="H487" s="1551"/>
      <c r="I487" s="1425" t="str">
        <f>'PLAN INDICATIVO'!I476</f>
        <v>SI</v>
      </c>
      <c r="J487" s="1425">
        <f>'PLAN INDICATIVO'!J476</f>
        <v>0</v>
      </c>
      <c r="K487" s="1425" t="str">
        <f>'PLAN INDICATIVO'!K476</f>
        <v>A.12.1.2</v>
      </c>
      <c r="L487" s="301" t="str">
        <f>'PLAN INDICATIVO'!L476</f>
        <v>11. Ciudades y comunidades sostenibles</v>
      </c>
      <c r="M487" s="301" t="s">
        <v>1102</v>
      </c>
      <c r="N487" s="1425" t="s">
        <v>2687</v>
      </c>
      <c r="O487" s="1425" t="str">
        <f>'PLAN INDICATIVO'!O476</f>
        <v>Incremento</v>
      </c>
      <c r="P487" s="16" t="str">
        <f>'PLAN INDICATIVO'!P476</f>
        <v xml:space="preserve">Construir 1 centro de operaciones de emergencias durante el cuatrienio garantizandole los servicios públicos </v>
      </c>
      <c r="Q487" s="302" t="str">
        <f>'PLAN INDICATIVO'!Q476</f>
        <v>No. De centros de operación construidos</v>
      </c>
      <c r="R487" s="303">
        <f>'PLAN INDICATIVO'!R476</f>
        <v>2015</v>
      </c>
      <c r="S487" s="304">
        <v>0</v>
      </c>
      <c r="T487" s="498">
        <v>1</v>
      </c>
      <c r="U487" s="303">
        <v>0.5</v>
      </c>
      <c r="V487" s="687"/>
      <c r="W487" s="572">
        <v>1</v>
      </c>
      <c r="X487" s="687">
        <v>2000000</v>
      </c>
      <c r="Y487" s="572">
        <v>0</v>
      </c>
      <c r="Z487" s="687"/>
      <c r="AA487" s="572">
        <v>0</v>
      </c>
      <c r="AB487" s="687"/>
      <c r="AC487" s="665">
        <v>0.5</v>
      </c>
      <c r="AD487" s="665"/>
      <c r="AE487" s="665"/>
      <c r="AF487" s="665"/>
      <c r="AG487" s="266"/>
      <c r="AH487" s="307" t="s">
        <v>3087</v>
      </c>
      <c r="AI487" s="308"/>
      <c r="AJ487" s="308"/>
      <c r="AK487" s="308"/>
      <c r="AL487" s="308"/>
      <c r="AM487" s="267" t="s">
        <v>2598</v>
      </c>
      <c r="AN487" s="507"/>
      <c r="AO487" s="525"/>
      <c r="AP487" s="310"/>
      <c r="AQ487" s="310"/>
      <c r="AR487" s="310"/>
      <c r="AS487" s="310"/>
      <c r="AT487" s="310"/>
      <c r="AU487" s="310"/>
      <c r="AV487" s="544">
        <f t="shared" si="206"/>
        <v>0</v>
      </c>
      <c r="AW487" s="525"/>
      <c r="AX487" s="310"/>
      <c r="AY487" s="310"/>
      <c r="AZ487" s="310"/>
      <c r="BA487" s="310"/>
      <c r="BB487" s="310"/>
      <c r="BC487" s="310"/>
      <c r="BD487" s="544">
        <f t="shared" si="207"/>
        <v>0</v>
      </c>
      <c r="BE487" s="525"/>
      <c r="BF487" s="310"/>
      <c r="BG487" s="310"/>
      <c r="BH487" s="310"/>
      <c r="BI487" s="310"/>
      <c r="BJ487" s="310"/>
      <c r="BK487" s="310"/>
      <c r="BL487" s="544">
        <f t="shared" si="208"/>
        <v>0</v>
      </c>
      <c r="BM487" s="525"/>
      <c r="BN487" s="310"/>
      <c r="BO487" s="310"/>
      <c r="BP487" s="310"/>
      <c r="BQ487" s="310"/>
      <c r="BR487" s="310"/>
      <c r="BS487" s="310"/>
      <c r="BT487" s="544">
        <f t="shared" si="209"/>
        <v>0</v>
      </c>
      <c r="BU487" s="556"/>
      <c r="BV487" s="663">
        <f t="shared" si="210"/>
        <v>0.5</v>
      </c>
      <c r="BW487" s="674">
        <f t="shared" si="211"/>
        <v>0.5</v>
      </c>
      <c r="BX487" s="674">
        <f t="shared" si="212"/>
        <v>1</v>
      </c>
      <c r="BY487" s="674">
        <f t="shared" si="213"/>
        <v>0</v>
      </c>
      <c r="BZ487" s="675" t="e">
        <f t="shared" si="214"/>
        <v>#DIV/0!</v>
      </c>
      <c r="CA487" s="675" t="e">
        <f t="shared" si="215"/>
        <v>#DIV/0!</v>
      </c>
    </row>
    <row r="488" spans="1:100" ht="61.5" customHeight="1" x14ac:dyDescent="0.3">
      <c r="A488" s="298" t="s">
        <v>1450</v>
      </c>
      <c r="B488" s="299" t="str">
        <f>'PLAN INDICATIVO'!B477</f>
        <v>Prevención y atención de desastres</v>
      </c>
      <c r="C488" s="1547"/>
      <c r="D488" s="1551"/>
      <c r="E488" s="1551"/>
      <c r="F488" s="1551"/>
      <c r="G488" s="1551"/>
      <c r="H488" s="1551"/>
      <c r="I488" s="300">
        <f>'PLAN INDICATIVO'!I477</f>
        <v>0</v>
      </c>
      <c r="J488" s="300">
        <f>'PLAN INDICATIVO'!J477</f>
        <v>0</v>
      </c>
      <c r="K488" s="1425" t="str">
        <f>'PLAN INDICATIVO'!K477</f>
        <v>A.12.1.3</v>
      </c>
      <c r="L488" s="301" t="str">
        <f>'PLAN INDICATIVO'!L477</f>
        <v>11. Ciudades y comunidades sostenibles</v>
      </c>
      <c r="M488" s="301" t="s">
        <v>1102</v>
      </c>
      <c r="N488" s="1425" t="s">
        <v>2687</v>
      </c>
      <c r="O488" s="1425" t="str">
        <f>'PLAN INDICATIVO'!O477</f>
        <v>Incremento</v>
      </c>
      <c r="P488" s="16" t="str">
        <f>'PLAN INDICATIVO'!P477</f>
        <v>Realizar 1 canalización a la Quebrada Zapatero, para mitigación de riesgos, durante el cuatrienio</v>
      </c>
      <c r="Q488" s="302" t="str">
        <f>'PLAN INDICATIVO'!Q477</f>
        <v>No. De canalizaciones realizadas</v>
      </c>
      <c r="R488" s="351">
        <f>'PLAN INDICATIVO'!R477</f>
        <v>2015</v>
      </c>
      <c r="S488" s="304">
        <v>0</v>
      </c>
      <c r="T488" s="498">
        <v>1</v>
      </c>
      <c r="U488" s="303">
        <v>0.5</v>
      </c>
      <c r="V488" s="687">
        <v>2000000</v>
      </c>
      <c r="W488" s="572">
        <v>0</v>
      </c>
      <c r="X488" s="687"/>
      <c r="Y488" s="572">
        <v>0</v>
      </c>
      <c r="Z488" s="687"/>
      <c r="AA488" s="572">
        <v>0</v>
      </c>
      <c r="AB488" s="687"/>
      <c r="AC488" s="665">
        <v>0.5</v>
      </c>
      <c r="AD488" s="665"/>
      <c r="AE488" s="665"/>
      <c r="AF488" s="665"/>
      <c r="AG488" s="306" t="s">
        <v>3088</v>
      </c>
      <c r="AH488" s="307" t="s">
        <v>3089</v>
      </c>
      <c r="AI488" s="335">
        <v>42186</v>
      </c>
      <c r="AJ488" s="335">
        <v>11293</v>
      </c>
      <c r="AK488" s="308"/>
      <c r="AL488" s="308"/>
      <c r="AM488" s="267" t="s">
        <v>2598</v>
      </c>
      <c r="AN488" s="507" t="s">
        <v>3090</v>
      </c>
      <c r="AO488" s="525"/>
      <c r="AP488" s="310"/>
      <c r="AQ488" s="310"/>
      <c r="AR488" s="310"/>
      <c r="AS488" s="310"/>
      <c r="AT488" s="310"/>
      <c r="AU488" s="310"/>
      <c r="AV488" s="544">
        <f t="shared" si="206"/>
        <v>0</v>
      </c>
      <c r="AW488" s="525"/>
      <c r="AX488" s="310"/>
      <c r="AY488" s="310"/>
      <c r="AZ488" s="310"/>
      <c r="BA488" s="310"/>
      <c r="BB488" s="310"/>
      <c r="BC488" s="310"/>
      <c r="BD488" s="544">
        <f t="shared" si="207"/>
        <v>0</v>
      </c>
      <c r="BE488" s="525"/>
      <c r="BF488" s="310"/>
      <c r="BG488" s="310"/>
      <c r="BH488" s="310"/>
      <c r="BI488" s="310"/>
      <c r="BJ488" s="310"/>
      <c r="BK488" s="310"/>
      <c r="BL488" s="544">
        <f t="shared" si="208"/>
        <v>0</v>
      </c>
      <c r="BM488" s="525"/>
      <c r="BN488" s="310"/>
      <c r="BO488" s="310"/>
      <c r="BP488" s="310"/>
      <c r="BQ488" s="310"/>
      <c r="BR488" s="310"/>
      <c r="BS488" s="310"/>
      <c r="BT488" s="544">
        <f t="shared" si="209"/>
        <v>0</v>
      </c>
      <c r="BU488" s="556"/>
      <c r="BV488" s="663">
        <f t="shared" si="210"/>
        <v>0.5</v>
      </c>
      <c r="BW488" s="674">
        <f t="shared" si="211"/>
        <v>0.5</v>
      </c>
      <c r="BX488" s="674">
        <f t="shared" si="212"/>
        <v>1</v>
      </c>
      <c r="BY488" s="674" t="e">
        <f t="shared" si="213"/>
        <v>#DIV/0!</v>
      </c>
      <c r="BZ488" s="675" t="e">
        <f t="shared" si="214"/>
        <v>#DIV/0!</v>
      </c>
      <c r="CA488" s="675" t="e">
        <f t="shared" si="215"/>
        <v>#DIV/0!</v>
      </c>
    </row>
    <row r="489" spans="1:100" ht="38.25" customHeight="1" x14ac:dyDescent="0.3">
      <c r="A489" s="298" t="s">
        <v>1450</v>
      </c>
      <c r="B489" s="299" t="str">
        <f>'PLAN INDICATIVO'!B478</f>
        <v>Prevención y atención de desastres</v>
      </c>
      <c r="C489" s="1547"/>
      <c r="D489" s="1551"/>
      <c r="E489" s="1551"/>
      <c r="F489" s="1551"/>
      <c r="G489" s="1551"/>
      <c r="H489" s="1551"/>
      <c r="I489" s="300">
        <f>'PLAN INDICATIVO'!I478</f>
        <v>0</v>
      </c>
      <c r="J489" s="300">
        <f>'PLAN INDICATIVO'!J478</f>
        <v>0</v>
      </c>
      <c r="K489" s="1425" t="str">
        <f>'PLAN INDICATIVO'!K478</f>
        <v>A.12.1.4</v>
      </c>
      <c r="L489" s="301" t="str">
        <f>'PLAN INDICATIVO'!L478</f>
        <v>11. Ciudades y comunidades sostenibles</v>
      </c>
      <c r="M489" s="301" t="s">
        <v>1102</v>
      </c>
      <c r="N489" s="1425" t="s">
        <v>2687</v>
      </c>
      <c r="O489" s="1425" t="str">
        <f>'PLAN INDICATIVO'!O478</f>
        <v>Mantenimiento</v>
      </c>
      <c r="P489" s="16" t="str">
        <f>'PLAN INDICATIVO'!P478</f>
        <v>Realizar 3 reuniones ordinarias del Comité Local de Emergencias  cada año</v>
      </c>
      <c r="Q489" s="302" t="str">
        <f>'PLAN INDICATIVO'!Q478</f>
        <v>No. De reuniones del comité local por año</v>
      </c>
      <c r="R489" s="351">
        <f>'PLAN INDICATIVO'!R478</f>
        <v>2015</v>
      </c>
      <c r="S489" s="304">
        <v>0</v>
      </c>
      <c r="T489" s="498">
        <v>3</v>
      </c>
      <c r="U489" s="303">
        <v>3</v>
      </c>
      <c r="V489" s="687">
        <v>5600000</v>
      </c>
      <c r="W489" s="572">
        <v>3</v>
      </c>
      <c r="X489" s="687">
        <v>1000000</v>
      </c>
      <c r="Y489" s="572">
        <v>3</v>
      </c>
      <c r="Z489" s="687">
        <v>5000000</v>
      </c>
      <c r="AA489" s="572">
        <v>3</v>
      </c>
      <c r="AB489" s="687">
        <v>7000000</v>
      </c>
      <c r="AC489" s="665">
        <v>24</v>
      </c>
      <c r="AD489" s="665"/>
      <c r="AE489" s="665"/>
      <c r="AF489" s="665"/>
      <c r="AG489" s="306" t="s">
        <v>2831</v>
      </c>
      <c r="AH489" s="307" t="s">
        <v>3091</v>
      </c>
      <c r="AI489" s="335">
        <v>42005</v>
      </c>
      <c r="AJ489" s="335">
        <v>11293</v>
      </c>
      <c r="AK489" s="308"/>
      <c r="AL489" s="308"/>
      <c r="AM489" s="267" t="s">
        <v>2598</v>
      </c>
      <c r="AN489" s="507" t="s">
        <v>3092</v>
      </c>
      <c r="AO489" s="525">
        <f>4388719+594000</f>
        <v>4982719</v>
      </c>
      <c r="AP489" s="310">
        <f>4205050+412231</f>
        <v>4617281</v>
      </c>
      <c r="AQ489" s="310"/>
      <c r="AR489" s="310"/>
      <c r="AS489" s="310"/>
      <c r="AT489" s="310"/>
      <c r="AU489" s="310"/>
      <c r="AV489" s="544">
        <f t="shared" si="206"/>
        <v>9600000</v>
      </c>
      <c r="AW489" s="525"/>
      <c r="AX489" s="310"/>
      <c r="AY489" s="310"/>
      <c r="AZ489" s="310"/>
      <c r="BA489" s="310"/>
      <c r="BB489" s="310"/>
      <c r="BC489" s="310"/>
      <c r="BD489" s="544">
        <f t="shared" si="207"/>
        <v>0</v>
      </c>
      <c r="BE489" s="525"/>
      <c r="BF489" s="310"/>
      <c r="BG489" s="310"/>
      <c r="BH489" s="310"/>
      <c r="BI489" s="310"/>
      <c r="BJ489" s="310"/>
      <c r="BK489" s="310"/>
      <c r="BL489" s="544">
        <f t="shared" si="208"/>
        <v>0</v>
      </c>
      <c r="BM489" s="525"/>
      <c r="BN489" s="310"/>
      <c r="BO489" s="310"/>
      <c r="BP489" s="310"/>
      <c r="BQ489" s="310"/>
      <c r="BR489" s="310"/>
      <c r="BS489" s="310"/>
      <c r="BT489" s="544">
        <f t="shared" si="209"/>
        <v>0</v>
      </c>
      <c r="BU489" s="556"/>
      <c r="BV489" s="663">
        <f t="shared" si="210"/>
        <v>24</v>
      </c>
      <c r="BW489" s="674">
        <f t="shared" si="211"/>
        <v>8</v>
      </c>
      <c r="BX489" s="674">
        <f t="shared" si="212"/>
        <v>8</v>
      </c>
      <c r="BY489" s="674">
        <f t="shared" si="213"/>
        <v>0</v>
      </c>
      <c r="BZ489" s="675">
        <f t="shared" si="214"/>
        <v>0</v>
      </c>
      <c r="CA489" s="675">
        <f t="shared" si="215"/>
        <v>0</v>
      </c>
    </row>
    <row r="490" spans="1:100" ht="34.5" customHeight="1" x14ac:dyDescent="0.3">
      <c r="A490" s="298" t="s">
        <v>1450</v>
      </c>
      <c r="B490" s="299" t="str">
        <f>'PLAN INDICATIVO'!B479</f>
        <v>Prevención y atención de desastres</v>
      </c>
      <c r="C490" s="1547"/>
      <c r="D490" s="1551"/>
      <c r="E490" s="1551"/>
      <c r="F490" s="1551"/>
      <c r="G490" s="1551"/>
      <c r="H490" s="1551"/>
      <c r="I490" s="300">
        <f>'PLAN INDICATIVO'!I479</f>
        <v>0</v>
      </c>
      <c r="J490" s="300">
        <f>'PLAN INDICATIVO'!J479</f>
        <v>0</v>
      </c>
      <c r="K490" s="1425" t="str">
        <f>'PLAN INDICATIVO'!K479</f>
        <v>A.12.1.5</v>
      </c>
      <c r="L490" s="301" t="str">
        <f>'PLAN INDICATIVO'!L479</f>
        <v>11. Ciudades y comunidades sostenibles</v>
      </c>
      <c r="M490" s="301" t="s">
        <v>1102</v>
      </c>
      <c r="N490" s="1425" t="s">
        <v>2687</v>
      </c>
      <c r="O490" s="1425" t="str">
        <f>'PLAN INDICATIVO'!O479</f>
        <v>Incremento</v>
      </c>
      <c r="P490" s="16" t="str">
        <f>'PLAN INDICATIVO'!P479</f>
        <v>Instalar 1 sistema de alarma hidrométrica durante el cuatrienio</v>
      </c>
      <c r="Q490" s="302" t="str">
        <f>'PLAN INDICATIVO'!Q479</f>
        <v xml:space="preserve">No. De sistemas instalados </v>
      </c>
      <c r="R490" s="351">
        <f>'PLAN INDICATIVO'!R479</f>
        <v>2015</v>
      </c>
      <c r="S490" s="304">
        <v>0</v>
      </c>
      <c r="T490" s="498">
        <v>1</v>
      </c>
      <c r="U490" s="303">
        <v>0</v>
      </c>
      <c r="V490" s="687"/>
      <c r="W490" s="572">
        <v>0</v>
      </c>
      <c r="X490" s="687"/>
      <c r="Y490" s="572">
        <v>1</v>
      </c>
      <c r="Z490" s="687">
        <v>5000000</v>
      </c>
      <c r="AA490" s="572">
        <v>0</v>
      </c>
      <c r="AB490" s="687"/>
      <c r="AC490" s="665">
        <v>0</v>
      </c>
      <c r="AD490" s="665"/>
      <c r="AE490" s="665"/>
      <c r="AF490" s="665"/>
      <c r="AG490" s="266"/>
      <c r="AH490" s="307"/>
      <c r="AI490" s="308"/>
      <c r="AJ490" s="308"/>
      <c r="AK490" s="308"/>
      <c r="AL490" s="308"/>
      <c r="AM490" s="267" t="s">
        <v>2594</v>
      </c>
      <c r="AN490" s="507"/>
      <c r="AO490" s="525"/>
      <c r="AP490" s="310"/>
      <c r="AQ490" s="310"/>
      <c r="AR490" s="310"/>
      <c r="AS490" s="310"/>
      <c r="AT490" s="310"/>
      <c r="AU490" s="310"/>
      <c r="AV490" s="544">
        <f t="shared" si="206"/>
        <v>0</v>
      </c>
      <c r="AW490" s="525"/>
      <c r="AX490" s="310"/>
      <c r="AY490" s="310"/>
      <c r="AZ490" s="310"/>
      <c r="BA490" s="310"/>
      <c r="BB490" s="310"/>
      <c r="BC490" s="310"/>
      <c r="BD490" s="544">
        <f t="shared" si="207"/>
        <v>0</v>
      </c>
      <c r="BE490" s="525"/>
      <c r="BF490" s="310"/>
      <c r="BG490" s="310"/>
      <c r="BH490" s="310"/>
      <c r="BI490" s="310"/>
      <c r="BJ490" s="310"/>
      <c r="BK490" s="310"/>
      <c r="BL490" s="544">
        <f t="shared" si="208"/>
        <v>0</v>
      </c>
      <c r="BM490" s="525"/>
      <c r="BN490" s="310"/>
      <c r="BO490" s="310"/>
      <c r="BP490" s="310"/>
      <c r="BQ490" s="310"/>
      <c r="BR490" s="310"/>
      <c r="BS490" s="310"/>
      <c r="BT490" s="544">
        <f t="shared" si="209"/>
        <v>0</v>
      </c>
      <c r="BU490" s="556"/>
      <c r="BV490" s="663">
        <f t="shared" si="210"/>
        <v>0</v>
      </c>
      <c r="BW490" s="674">
        <f t="shared" si="211"/>
        <v>0</v>
      </c>
      <c r="BX490" s="674" t="e">
        <f t="shared" si="212"/>
        <v>#DIV/0!</v>
      </c>
      <c r="BY490" s="674" t="e">
        <f t="shared" si="213"/>
        <v>#DIV/0!</v>
      </c>
      <c r="BZ490" s="675">
        <f t="shared" si="214"/>
        <v>0</v>
      </c>
      <c r="CA490" s="675" t="e">
        <f t="shared" si="215"/>
        <v>#DIV/0!</v>
      </c>
    </row>
    <row r="491" spans="1:100" ht="38.25" customHeight="1" x14ac:dyDescent="0.3">
      <c r="A491" s="298" t="s">
        <v>1450</v>
      </c>
      <c r="B491" s="299" t="str">
        <f>'PLAN INDICATIVO'!B480</f>
        <v>Prevención y atención de desastres</v>
      </c>
      <c r="C491" s="1547"/>
      <c r="D491" s="1551"/>
      <c r="E491" s="1551"/>
      <c r="F491" s="1551"/>
      <c r="G491" s="1551"/>
      <c r="H491" s="1551"/>
      <c r="I491" s="300">
        <f>'PLAN INDICATIVO'!I480</f>
        <v>0</v>
      </c>
      <c r="J491" s="300">
        <f>'PLAN INDICATIVO'!J480</f>
        <v>0</v>
      </c>
      <c r="K491" s="1425" t="str">
        <f>'PLAN INDICATIVO'!K480</f>
        <v>A.12.1.6</v>
      </c>
      <c r="L491" s="301" t="str">
        <f>'PLAN INDICATIVO'!L480</f>
        <v>11. Ciudades y comunidades sostenibles</v>
      </c>
      <c r="M491" s="301" t="s">
        <v>1102</v>
      </c>
      <c r="N491" s="1425" t="s">
        <v>2687</v>
      </c>
      <c r="O491" s="1425" t="str">
        <f>'PLAN INDICATIVO'!O480</f>
        <v>Incremento</v>
      </c>
      <c r="P491" s="16" t="str">
        <f>'PLAN INDICATIVO'!P480</f>
        <v>Formular Un proyecto para la consecución de 1 vehículos para organismos de socorro</v>
      </c>
      <c r="Q491" s="302" t="str">
        <f>'PLAN INDICATIVO'!Q480</f>
        <v>No. De vehículos gestionados</v>
      </c>
      <c r="R491" s="351">
        <f>'PLAN INDICATIVO'!R480</f>
        <v>2015</v>
      </c>
      <c r="S491" s="304">
        <v>0</v>
      </c>
      <c r="T491" s="498">
        <v>2</v>
      </c>
      <c r="U491" s="303">
        <v>0</v>
      </c>
      <c r="V491" s="687">
        <v>10000000</v>
      </c>
      <c r="W491" s="572">
        <v>0</v>
      </c>
      <c r="X491" s="687"/>
      <c r="Y491" s="572">
        <v>1</v>
      </c>
      <c r="Z491" s="687">
        <v>4000000</v>
      </c>
      <c r="AA491" s="572">
        <v>0</v>
      </c>
      <c r="AB491" s="687"/>
      <c r="AC491" s="665">
        <v>0</v>
      </c>
      <c r="AD491" s="665"/>
      <c r="AE491" s="665"/>
      <c r="AF491" s="665"/>
      <c r="AG491" s="306" t="s">
        <v>2596</v>
      </c>
      <c r="AH491" s="307" t="s">
        <v>3093</v>
      </c>
      <c r="AI491" s="335">
        <v>37073</v>
      </c>
      <c r="AJ491" s="335">
        <v>11293</v>
      </c>
      <c r="AK491" s="308"/>
      <c r="AL491" s="308"/>
      <c r="AM491" s="267" t="s">
        <v>2594</v>
      </c>
      <c r="AN491" s="507" t="s">
        <v>3094</v>
      </c>
      <c r="AO491" s="525"/>
      <c r="AP491" s="310">
        <v>15000000</v>
      </c>
      <c r="AQ491" s="310"/>
      <c r="AR491" s="310"/>
      <c r="AS491" s="310"/>
      <c r="AT491" s="310"/>
      <c r="AU491" s="310"/>
      <c r="AV491" s="544">
        <f t="shared" si="206"/>
        <v>15000000</v>
      </c>
      <c r="AW491" s="525"/>
      <c r="AX491" s="310"/>
      <c r="AY491" s="310"/>
      <c r="AZ491" s="310"/>
      <c r="BA491" s="310"/>
      <c r="BB491" s="310"/>
      <c r="BC491" s="310"/>
      <c r="BD491" s="544">
        <f t="shared" si="207"/>
        <v>0</v>
      </c>
      <c r="BE491" s="525"/>
      <c r="BF491" s="310"/>
      <c r="BG491" s="310"/>
      <c r="BH491" s="310"/>
      <c r="BI491" s="310"/>
      <c r="BJ491" s="310"/>
      <c r="BK491" s="310"/>
      <c r="BL491" s="544">
        <f t="shared" si="208"/>
        <v>0</v>
      </c>
      <c r="BM491" s="525"/>
      <c r="BN491" s="310"/>
      <c r="BO491" s="310"/>
      <c r="BP491" s="310"/>
      <c r="BQ491" s="310"/>
      <c r="BR491" s="310"/>
      <c r="BS491" s="310"/>
      <c r="BT491" s="544">
        <f t="shared" si="209"/>
        <v>0</v>
      </c>
      <c r="BU491" s="556"/>
      <c r="BV491" s="663">
        <f t="shared" si="210"/>
        <v>0</v>
      </c>
      <c r="BW491" s="674">
        <f t="shared" si="211"/>
        <v>0</v>
      </c>
      <c r="BX491" s="674" t="e">
        <f t="shared" si="212"/>
        <v>#DIV/0!</v>
      </c>
      <c r="BY491" s="674" t="e">
        <f t="shared" si="213"/>
        <v>#DIV/0!</v>
      </c>
      <c r="BZ491" s="675">
        <f t="shared" si="214"/>
        <v>0</v>
      </c>
      <c r="CA491" s="675" t="e">
        <f t="shared" si="215"/>
        <v>#DIV/0!</v>
      </c>
    </row>
    <row r="492" spans="1:100" ht="54.75" customHeight="1" x14ac:dyDescent="0.3">
      <c r="A492" s="298" t="s">
        <v>1450</v>
      </c>
      <c r="B492" s="299" t="str">
        <f>'PLAN INDICATIVO'!B481</f>
        <v>Prevención y atención de desastres</v>
      </c>
      <c r="C492" s="1548"/>
      <c r="D492" s="1552"/>
      <c r="E492" s="1552"/>
      <c r="F492" s="1552"/>
      <c r="G492" s="1552"/>
      <c r="H492" s="1552"/>
      <c r="I492" s="300">
        <f>'PLAN INDICATIVO'!I481</f>
        <v>0</v>
      </c>
      <c r="J492" s="300">
        <f>'PLAN INDICATIVO'!J481</f>
        <v>0</v>
      </c>
      <c r="K492" s="1425" t="str">
        <f>'PLAN INDICATIVO'!K481</f>
        <v>A.12.1.7</v>
      </c>
      <c r="L492" s="301" t="str">
        <f>'PLAN INDICATIVO'!L481</f>
        <v>11. Ciudades y comunidades sostenibles</v>
      </c>
      <c r="M492" s="301" t="s">
        <v>1102</v>
      </c>
      <c r="N492" s="1425" t="s">
        <v>2687</v>
      </c>
      <c r="O492" s="1425" t="str">
        <f>'PLAN INDICATIVO'!O481</f>
        <v>Incremento</v>
      </c>
      <c r="P492" s="16" t="str">
        <f>'PLAN INDICATIVO'!P481</f>
        <v>Realizar 4 acciones de apoyo logístico, técnico, administrativo o cultural, para la prevención del riesgo y atención de emergencias y desastres, durante el cuatrienio</v>
      </c>
      <c r="Q492" s="302" t="str">
        <f>'PLAN INDICATIVO'!Q481</f>
        <v>No. De acciones realizadas</v>
      </c>
      <c r="R492" s="351">
        <f>'PLAN INDICATIVO'!R481</f>
        <v>2015</v>
      </c>
      <c r="S492" s="304">
        <v>0</v>
      </c>
      <c r="T492" s="498">
        <v>4</v>
      </c>
      <c r="U492" s="303">
        <v>1</v>
      </c>
      <c r="V492" s="687">
        <v>23700000</v>
      </c>
      <c r="W492" s="572">
        <v>1</v>
      </c>
      <c r="X492" s="687">
        <v>22000000</v>
      </c>
      <c r="Y492" s="572">
        <v>1</v>
      </c>
      <c r="Z492" s="687">
        <v>20000000</v>
      </c>
      <c r="AA492" s="572">
        <v>1</v>
      </c>
      <c r="AB492" s="687">
        <v>30000000</v>
      </c>
      <c r="AC492" s="665">
        <v>1</v>
      </c>
      <c r="AD492" s="665"/>
      <c r="AE492" s="665"/>
      <c r="AF492" s="665"/>
      <c r="AG492" s="353" t="s">
        <v>3095</v>
      </c>
      <c r="AH492" s="307" t="s">
        <v>3096</v>
      </c>
      <c r="AI492" s="335">
        <v>37104</v>
      </c>
      <c r="AJ492" s="335">
        <v>11263</v>
      </c>
      <c r="AK492" s="308"/>
      <c r="AL492" s="308"/>
      <c r="AM492" s="267" t="s">
        <v>2598</v>
      </c>
      <c r="AN492" s="507" t="s">
        <v>3097</v>
      </c>
      <c r="AO492" s="525">
        <f>1657429+939439+867319</f>
        <v>3464187</v>
      </c>
      <c r="AP492" s="310">
        <v>909739</v>
      </c>
      <c r="AQ492" s="310"/>
      <c r="AR492" s="310"/>
      <c r="AS492" s="310"/>
      <c r="AT492" s="310"/>
      <c r="AU492" s="310"/>
      <c r="AV492" s="544">
        <f t="shared" si="206"/>
        <v>4373926</v>
      </c>
      <c r="AW492" s="525"/>
      <c r="AX492" s="310"/>
      <c r="AY492" s="310"/>
      <c r="AZ492" s="310"/>
      <c r="BA492" s="310"/>
      <c r="BB492" s="310"/>
      <c r="BC492" s="310"/>
      <c r="BD492" s="544">
        <f t="shared" si="207"/>
        <v>0</v>
      </c>
      <c r="BE492" s="525"/>
      <c r="BF492" s="310"/>
      <c r="BG492" s="310"/>
      <c r="BH492" s="310"/>
      <c r="BI492" s="310"/>
      <c r="BJ492" s="310"/>
      <c r="BK492" s="310"/>
      <c r="BL492" s="544">
        <f t="shared" si="208"/>
        <v>0</v>
      </c>
      <c r="BM492" s="525"/>
      <c r="BN492" s="310"/>
      <c r="BO492" s="310"/>
      <c r="BP492" s="310"/>
      <c r="BQ492" s="310"/>
      <c r="BR492" s="310"/>
      <c r="BS492" s="310"/>
      <c r="BT492" s="544">
        <f t="shared" si="209"/>
        <v>0</v>
      </c>
      <c r="BU492" s="556"/>
      <c r="BV492" s="663">
        <f t="shared" si="210"/>
        <v>1</v>
      </c>
      <c r="BW492" s="674">
        <f t="shared" si="211"/>
        <v>0.25</v>
      </c>
      <c r="BX492" s="674">
        <f t="shared" si="212"/>
        <v>1</v>
      </c>
      <c r="BY492" s="674">
        <f t="shared" si="213"/>
        <v>0</v>
      </c>
      <c r="BZ492" s="675">
        <f t="shared" si="214"/>
        <v>0</v>
      </c>
      <c r="CA492" s="675">
        <f t="shared" si="215"/>
        <v>0</v>
      </c>
    </row>
    <row r="493" spans="1:100" ht="38.25" hidden="1" x14ac:dyDescent="0.25">
      <c r="A493" s="295" t="s">
        <v>1450</v>
      </c>
      <c r="B493" s="24" t="str">
        <f>'PLAN INDICATIVO'!B482</f>
        <v>Prevención y atención de desastres</v>
      </c>
      <c r="C493" s="1574" t="s">
        <v>1475</v>
      </c>
      <c r="D493" s="1575"/>
      <c r="E493" s="1575"/>
      <c r="F493" s="1575"/>
      <c r="G493" s="1575"/>
      <c r="H493" s="1575"/>
      <c r="I493" s="1575"/>
      <c r="J493" s="1575"/>
      <c r="K493" s="1575"/>
      <c r="L493" s="1575"/>
      <c r="M493" s="1575"/>
      <c r="N493" s="1575"/>
      <c r="O493" s="1576"/>
      <c r="P493" s="22"/>
      <c r="Q493" s="22"/>
      <c r="R493" s="1"/>
      <c r="S493" s="261"/>
      <c r="T493" s="710"/>
      <c r="U493" s="1"/>
      <c r="V493" s="689">
        <f>SUM(V494:V500)</f>
        <v>164800000</v>
      </c>
      <c r="W493" s="49"/>
      <c r="X493" s="689">
        <f>SUM(X494:X500)</f>
        <v>194000000</v>
      </c>
      <c r="Y493" s="49"/>
      <c r="Z493" s="689">
        <f>SUM(Z494:Z500)</f>
        <v>172800000</v>
      </c>
      <c r="AA493" s="49"/>
      <c r="AB493" s="690">
        <f>SUM(AB494:AB500)</f>
        <v>177000000</v>
      </c>
      <c r="AC493" s="262"/>
      <c r="AD493" s="262"/>
      <c r="AE493" s="262"/>
      <c r="AF493" s="262"/>
      <c r="AG493" s="263"/>
      <c r="AH493" s="263"/>
      <c r="AI493" s="262"/>
      <c r="AJ493" s="262"/>
      <c r="AK493" s="262"/>
      <c r="AL493" s="262"/>
      <c r="AM493" s="262"/>
      <c r="AN493" s="612"/>
      <c r="AO493" s="616" t="e">
        <f>(AO494:AO500)</f>
        <v>#VALUE!</v>
      </c>
      <c r="AP493" s="616" t="e">
        <f t="shared" ref="AP493:AU493" si="219">(AP494:AP500)</f>
        <v>#VALUE!</v>
      </c>
      <c r="AQ493" s="616" t="e">
        <f t="shared" si="219"/>
        <v>#VALUE!</v>
      </c>
      <c r="AR493" s="616" t="e">
        <f t="shared" si="219"/>
        <v>#VALUE!</v>
      </c>
      <c r="AS493" s="616" t="e">
        <f t="shared" si="219"/>
        <v>#VALUE!</v>
      </c>
      <c r="AT493" s="616" t="e">
        <f t="shared" si="219"/>
        <v>#VALUE!</v>
      </c>
      <c r="AU493" s="616" t="e">
        <f t="shared" si="219"/>
        <v>#VALUE!</v>
      </c>
      <c r="AV493" s="617" t="e">
        <f t="shared" si="206"/>
        <v>#VALUE!</v>
      </c>
      <c r="AW493" s="616" t="e">
        <f t="shared" ref="AW493:BC493" si="220">(AW494:AW500)</f>
        <v>#VALUE!</v>
      </c>
      <c r="AX493" s="616" t="e">
        <f t="shared" si="220"/>
        <v>#VALUE!</v>
      </c>
      <c r="AY493" s="616" t="e">
        <f t="shared" si="220"/>
        <v>#VALUE!</v>
      </c>
      <c r="AZ493" s="616" t="e">
        <f t="shared" si="220"/>
        <v>#VALUE!</v>
      </c>
      <c r="BA493" s="616" t="e">
        <f t="shared" si="220"/>
        <v>#VALUE!</v>
      </c>
      <c r="BB493" s="616" t="e">
        <f t="shared" si="220"/>
        <v>#VALUE!</v>
      </c>
      <c r="BC493" s="616" t="e">
        <f t="shared" si="220"/>
        <v>#VALUE!</v>
      </c>
      <c r="BD493" s="617" t="e">
        <f t="shared" si="207"/>
        <v>#VALUE!</v>
      </c>
      <c r="BE493" s="616" t="e">
        <f t="shared" ref="BE493:BK493" si="221">(BE494:BE500)</f>
        <v>#VALUE!</v>
      </c>
      <c r="BF493" s="616" t="e">
        <f t="shared" si="221"/>
        <v>#VALUE!</v>
      </c>
      <c r="BG493" s="616" t="e">
        <f t="shared" si="221"/>
        <v>#VALUE!</v>
      </c>
      <c r="BH493" s="616" t="e">
        <f t="shared" si="221"/>
        <v>#VALUE!</v>
      </c>
      <c r="BI493" s="616" t="e">
        <f t="shared" si="221"/>
        <v>#VALUE!</v>
      </c>
      <c r="BJ493" s="616" t="e">
        <f t="shared" si="221"/>
        <v>#VALUE!</v>
      </c>
      <c r="BK493" s="616" t="e">
        <f t="shared" si="221"/>
        <v>#VALUE!</v>
      </c>
      <c r="BL493" s="617" t="e">
        <f t="shared" si="208"/>
        <v>#VALUE!</v>
      </c>
      <c r="BM493" s="616" t="e">
        <f t="shared" ref="BM493:BS493" si="222">(BM494:BM500)</f>
        <v>#VALUE!</v>
      </c>
      <c r="BN493" s="616" t="e">
        <f t="shared" si="222"/>
        <v>#VALUE!</v>
      </c>
      <c r="BO493" s="616" t="e">
        <f t="shared" si="222"/>
        <v>#VALUE!</v>
      </c>
      <c r="BP493" s="616" t="e">
        <f t="shared" si="222"/>
        <v>#VALUE!</v>
      </c>
      <c r="BQ493" s="616" t="e">
        <f t="shared" si="222"/>
        <v>#VALUE!</v>
      </c>
      <c r="BR493" s="616" t="e">
        <f t="shared" si="222"/>
        <v>#VALUE!</v>
      </c>
      <c r="BS493" s="616" t="e">
        <f t="shared" si="222"/>
        <v>#VALUE!</v>
      </c>
      <c r="BT493" s="617" t="e">
        <f t="shared" si="209"/>
        <v>#VALUE!</v>
      </c>
      <c r="BU493" s="556"/>
      <c r="BV493" s="663">
        <f t="shared" si="210"/>
        <v>0</v>
      </c>
      <c r="BW493" s="674" t="e">
        <f t="shared" si="211"/>
        <v>#DIV/0!</v>
      </c>
      <c r="BX493" s="674" t="e">
        <f t="shared" si="212"/>
        <v>#DIV/0!</v>
      </c>
      <c r="BY493" s="674" t="e">
        <f t="shared" si="213"/>
        <v>#DIV/0!</v>
      </c>
      <c r="BZ493" s="675" t="e">
        <f t="shared" si="214"/>
        <v>#DIV/0!</v>
      </c>
      <c r="CA493" s="675" t="e">
        <f t="shared" si="215"/>
        <v>#DIV/0!</v>
      </c>
    </row>
    <row r="494" spans="1:100" ht="58.5" customHeight="1" x14ac:dyDescent="0.3">
      <c r="A494" s="298" t="s">
        <v>1450</v>
      </c>
      <c r="B494" s="299" t="str">
        <f>'PLAN INDICATIVO'!B483</f>
        <v>Prevención y atención de desastres</v>
      </c>
      <c r="C494" s="1546" t="s">
        <v>1476</v>
      </c>
      <c r="D494" s="1550" t="s">
        <v>1477</v>
      </c>
      <c r="E494" s="1550" t="s">
        <v>1478</v>
      </c>
      <c r="F494" s="1550">
        <v>2015</v>
      </c>
      <c r="G494" s="1550">
        <v>100</v>
      </c>
      <c r="H494" s="1550">
        <v>100</v>
      </c>
      <c r="I494" s="300">
        <f>'PLAN INDICATIVO'!I483</f>
        <v>0</v>
      </c>
      <c r="J494" s="300">
        <f>'PLAN INDICATIVO'!J483</f>
        <v>0</v>
      </c>
      <c r="K494" s="1425" t="str">
        <f>'PLAN INDICATIVO'!K483</f>
        <v>A.12.2.1</v>
      </c>
      <c r="L494" s="301" t="str">
        <f>'PLAN INDICATIVO'!L483</f>
        <v>11. Ciudades y comunidades sostenibles</v>
      </c>
      <c r="M494" s="301" t="s">
        <v>1102</v>
      </c>
      <c r="N494" s="1425" t="s">
        <v>2687</v>
      </c>
      <c r="O494" s="1425" t="str">
        <f>'PLAN INDICATIVO'!O483</f>
        <v>Incremento</v>
      </c>
      <c r="P494" s="16" t="str">
        <f>'PLAN INDICATIVO'!P483</f>
        <v>Suscribir 4 convenios con organismos de socorro para apoyo logístico, técnico y de dotación, para atención y prevención de emergencia y desastres durante el cuatrienio</v>
      </c>
      <c r="Q494" s="302" t="str">
        <f>'PLAN INDICATIVO'!Q483</f>
        <v>No. Convenios suscritos</v>
      </c>
      <c r="R494" s="303">
        <f>'PLAN INDICATIVO'!R483</f>
        <v>2015</v>
      </c>
      <c r="S494" s="304">
        <v>1</v>
      </c>
      <c r="T494" s="498">
        <v>4</v>
      </c>
      <c r="U494" s="303">
        <v>1</v>
      </c>
      <c r="V494" s="687">
        <v>155800000</v>
      </c>
      <c r="W494" s="572">
        <v>1</v>
      </c>
      <c r="X494" s="687">
        <v>140000000</v>
      </c>
      <c r="Y494" s="572">
        <v>1</v>
      </c>
      <c r="Z494" s="687">
        <v>146000000</v>
      </c>
      <c r="AA494" s="572">
        <v>1</v>
      </c>
      <c r="AB494" s="687">
        <v>155000000</v>
      </c>
      <c r="AC494" s="665">
        <v>1</v>
      </c>
      <c r="AD494" s="665"/>
      <c r="AE494" s="665"/>
      <c r="AF494" s="665"/>
      <c r="AG494" s="353" t="s">
        <v>3095</v>
      </c>
      <c r="AH494" s="307" t="s">
        <v>3098</v>
      </c>
      <c r="AI494" s="335">
        <v>42005</v>
      </c>
      <c r="AJ494" s="335">
        <v>11658</v>
      </c>
      <c r="AK494" s="308"/>
      <c r="AL494" s="308"/>
      <c r="AM494" s="267" t="s">
        <v>2598</v>
      </c>
      <c r="AN494" s="507" t="s">
        <v>3099</v>
      </c>
      <c r="AO494" s="525">
        <f>120000000+25000000+14216036</f>
        <v>159216036</v>
      </c>
      <c r="AP494" s="310"/>
      <c r="AQ494" s="310"/>
      <c r="AR494" s="310"/>
      <c r="AS494" s="310"/>
      <c r="AT494" s="310"/>
      <c r="AU494" s="310"/>
      <c r="AV494" s="544">
        <f t="shared" si="206"/>
        <v>159216036</v>
      </c>
      <c r="AW494" s="525"/>
      <c r="AX494" s="310"/>
      <c r="AY494" s="310"/>
      <c r="AZ494" s="310"/>
      <c r="BA494" s="310"/>
      <c r="BB494" s="310"/>
      <c r="BC494" s="310"/>
      <c r="BD494" s="544">
        <f t="shared" si="207"/>
        <v>0</v>
      </c>
      <c r="BE494" s="525"/>
      <c r="BF494" s="310"/>
      <c r="BG494" s="310"/>
      <c r="BH494" s="310"/>
      <c r="BI494" s="310"/>
      <c r="BJ494" s="310"/>
      <c r="BK494" s="310"/>
      <c r="BL494" s="544">
        <f t="shared" si="208"/>
        <v>0</v>
      </c>
      <c r="BM494" s="525"/>
      <c r="BN494" s="310"/>
      <c r="BO494" s="310"/>
      <c r="BP494" s="310"/>
      <c r="BQ494" s="310"/>
      <c r="BR494" s="310"/>
      <c r="BS494" s="310"/>
      <c r="BT494" s="544">
        <f t="shared" si="209"/>
        <v>0</v>
      </c>
      <c r="BU494" s="556"/>
      <c r="BV494" s="663">
        <f t="shared" si="210"/>
        <v>1</v>
      </c>
      <c r="BW494" s="674">
        <f t="shared" si="211"/>
        <v>0.25</v>
      </c>
      <c r="BX494" s="674">
        <f t="shared" si="212"/>
        <v>1</v>
      </c>
      <c r="BY494" s="674">
        <f t="shared" si="213"/>
        <v>0</v>
      </c>
      <c r="BZ494" s="675">
        <f t="shared" si="214"/>
        <v>0</v>
      </c>
      <c r="CA494" s="675">
        <f t="shared" si="215"/>
        <v>0</v>
      </c>
    </row>
    <row r="495" spans="1:100" ht="102" customHeight="1" x14ac:dyDescent="0.3">
      <c r="A495" s="298" t="s">
        <v>1450</v>
      </c>
      <c r="B495" s="299" t="str">
        <f>'PLAN INDICATIVO'!B484</f>
        <v>Prevención y atención de desastres</v>
      </c>
      <c r="C495" s="1547"/>
      <c r="D495" s="1551"/>
      <c r="E495" s="1551"/>
      <c r="F495" s="1551"/>
      <c r="G495" s="1551"/>
      <c r="H495" s="1551"/>
      <c r="I495" s="300">
        <f>'PLAN INDICATIVO'!I484</f>
        <v>0</v>
      </c>
      <c r="J495" s="300">
        <f>'PLAN INDICATIVO'!J484</f>
        <v>0</v>
      </c>
      <c r="K495" s="1425" t="str">
        <f>'PLAN INDICATIVO'!K484</f>
        <v>A.12.2.2</v>
      </c>
      <c r="L495" s="301" t="str">
        <f>'PLAN INDICATIVO'!L484</f>
        <v>11. Ciudades y comunidades sostenibles</v>
      </c>
      <c r="M495" s="301" t="s">
        <v>1102</v>
      </c>
      <c r="N495" s="1425" t="s">
        <v>2687</v>
      </c>
      <c r="O495" s="1425" t="str">
        <f>'PLAN INDICATIVO'!O484</f>
        <v>Mantenimiento</v>
      </c>
      <c r="P495" s="16" t="str">
        <f>'PLAN INDICATIVO'!P484</f>
        <v>Realizar 1 capacitación anual a los jóvenes  de las Instituciones educativas urbanas,  para que asuman el reto de ser voluntarios en organismos de socorro</v>
      </c>
      <c r="Q495" s="302" t="str">
        <f>'PLAN INDICATIVO'!Q484</f>
        <v>No. De capacitaciones realizadas por año</v>
      </c>
      <c r="R495" s="303">
        <f>'PLAN INDICATIVO'!R484</f>
        <v>2015</v>
      </c>
      <c r="S495" s="304">
        <v>0</v>
      </c>
      <c r="T495" s="498">
        <v>1</v>
      </c>
      <c r="U495" s="303">
        <v>1</v>
      </c>
      <c r="V495" s="687">
        <v>1000000</v>
      </c>
      <c r="W495" s="572">
        <v>1</v>
      </c>
      <c r="X495" s="687">
        <v>1000000</v>
      </c>
      <c r="Y495" s="572">
        <v>1</v>
      </c>
      <c r="Z495" s="687">
        <v>1000000</v>
      </c>
      <c r="AA495" s="572">
        <v>1</v>
      </c>
      <c r="AB495" s="687">
        <v>500000</v>
      </c>
      <c r="AC495" s="665">
        <v>1</v>
      </c>
      <c r="AD495" s="665"/>
      <c r="AE495" s="665"/>
      <c r="AF495" s="665"/>
      <c r="AG495" s="306" t="s">
        <v>2596</v>
      </c>
      <c r="AH495" s="307" t="s">
        <v>3100</v>
      </c>
      <c r="AI495" s="335">
        <v>37104</v>
      </c>
      <c r="AJ495" s="335">
        <v>11263</v>
      </c>
      <c r="AK495" s="308"/>
      <c r="AL495" s="308"/>
      <c r="AM495" s="267" t="s">
        <v>2598</v>
      </c>
      <c r="AN495" s="507" t="s">
        <v>3101</v>
      </c>
      <c r="AO495" s="525">
        <v>4539425</v>
      </c>
      <c r="AP495" s="310">
        <v>5000000</v>
      </c>
      <c r="AQ495" s="310"/>
      <c r="AR495" s="310"/>
      <c r="AS495" s="310"/>
      <c r="AT495" s="310"/>
      <c r="AU495" s="310"/>
      <c r="AV495" s="544">
        <f t="shared" si="206"/>
        <v>9539425</v>
      </c>
      <c r="AW495" s="525"/>
      <c r="AX495" s="310"/>
      <c r="AY495" s="310"/>
      <c r="AZ495" s="310"/>
      <c r="BA495" s="310"/>
      <c r="BB495" s="310"/>
      <c r="BC495" s="310"/>
      <c r="BD495" s="544">
        <f t="shared" si="207"/>
        <v>0</v>
      </c>
      <c r="BE495" s="525"/>
      <c r="BF495" s="310"/>
      <c r="BG495" s="310"/>
      <c r="BH495" s="310"/>
      <c r="BI495" s="310"/>
      <c r="BJ495" s="310"/>
      <c r="BK495" s="310"/>
      <c r="BL495" s="544">
        <f t="shared" si="208"/>
        <v>0</v>
      </c>
      <c r="BM495" s="525"/>
      <c r="BN495" s="310"/>
      <c r="BO495" s="310"/>
      <c r="BP495" s="310"/>
      <c r="BQ495" s="310"/>
      <c r="BR495" s="310"/>
      <c r="BS495" s="310"/>
      <c r="BT495" s="544">
        <f t="shared" si="209"/>
        <v>0</v>
      </c>
      <c r="BU495" s="556"/>
      <c r="BV495" s="663">
        <f t="shared" si="210"/>
        <v>1</v>
      </c>
      <c r="BW495" s="674">
        <f t="shared" si="211"/>
        <v>1</v>
      </c>
      <c r="BX495" s="674">
        <f t="shared" si="212"/>
        <v>1</v>
      </c>
      <c r="BY495" s="674">
        <f t="shared" si="213"/>
        <v>0</v>
      </c>
      <c r="BZ495" s="675">
        <f t="shared" si="214"/>
        <v>0</v>
      </c>
      <c r="CA495" s="675">
        <f t="shared" si="215"/>
        <v>0</v>
      </c>
    </row>
    <row r="496" spans="1:100" ht="52.5" customHeight="1" x14ac:dyDescent="0.3">
      <c r="A496" s="298" t="s">
        <v>1450</v>
      </c>
      <c r="B496" s="299" t="str">
        <f>'PLAN INDICATIVO'!B485</f>
        <v>Prevención y atención de desastres</v>
      </c>
      <c r="C496" s="1547"/>
      <c r="D496" s="1551"/>
      <c r="E496" s="1551"/>
      <c r="F496" s="1551"/>
      <c r="G496" s="1551"/>
      <c r="H496" s="1551"/>
      <c r="I496" s="300">
        <f>'PLAN INDICATIVO'!I485</f>
        <v>0</v>
      </c>
      <c r="J496" s="300">
        <f>'PLAN INDICATIVO'!J485</f>
        <v>0</v>
      </c>
      <c r="K496" s="1425" t="str">
        <f>'PLAN INDICATIVO'!K485</f>
        <v>A.12.2.3</v>
      </c>
      <c r="L496" s="301" t="str">
        <f>'PLAN INDICATIVO'!L485</f>
        <v>11. Ciudades y comunidades sostenibles</v>
      </c>
      <c r="M496" s="301" t="s">
        <v>1102</v>
      </c>
      <c r="N496" s="1425" t="s">
        <v>2687</v>
      </c>
      <c r="O496" s="1425" t="str">
        <f>'PLAN INDICATIVO'!O485</f>
        <v>Incremento</v>
      </c>
      <c r="P496" s="16" t="str">
        <f>'PLAN INDICATIVO'!P485</f>
        <v>Realizar 4 simulacros durante el cuatrienio, sobre atención de emergencias.</v>
      </c>
      <c r="Q496" s="302" t="str">
        <f>'PLAN INDICATIVO'!Q485</f>
        <v>No. simulacros realizados</v>
      </c>
      <c r="R496" s="303">
        <f>'PLAN INDICATIVO'!R485</f>
        <v>2015</v>
      </c>
      <c r="S496" s="304">
        <v>0</v>
      </c>
      <c r="T496" s="498">
        <v>4</v>
      </c>
      <c r="U496" s="303">
        <v>1</v>
      </c>
      <c r="V496" s="687">
        <v>1000000</v>
      </c>
      <c r="W496" s="572">
        <v>1</v>
      </c>
      <c r="X496" s="687">
        <v>17000000</v>
      </c>
      <c r="Y496" s="572">
        <v>1</v>
      </c>
      <c r="Z496" s="687">
        <v>16800000</v>
      </c>
      <c r="AA496" s="572">
        <v>1</v>
      </c>
      <c r="AB496" s="687">
        <v>17500000</v>
      </c>
      <c r="AC496" s="665">
        <v>1</v>
      </c>
      <c r="AD496" s="665"/>
      <c r="AE496" s="665"/>
      <c r="AF496" s="665"/>
      <c r="AG496" s="306" t="s">
        <v>2596</v>
      </c>
      <c r="AH496" s="307" t="s">
        <v>3102</v>
      </c>
      <c r="AI496" s="335">
        <v>37104</v>
      </c>
      <c r="AJ496" s="335">
        <v>11232</v>
      </c>
      <c r="AK496" s="308"/>
      <c r="AL496" s="308"/>
      <c r="AM496" s="267" t="s">
        <v>2598</v>
      </c>
      <c r="AN496" s="507" t="s">
        <v>1991</v>
      </c>
      <c r="AO496" s="525"/>
      <c r="AP496" s="310"/>
      <c r="AQ496" s="310"/>
      <c r="AR496" s="310"/>
      <c r="AS496" s="310"/>
      <c r="AT496" s="310"/>
      <c r="AU496" s="310"/>
      <c r="AV496" s="544">
        <f t="shared" si="206"/>
        <v>0</v>
      </c>
      <c r="AW496" s="525"/>
      <c r="AX496" s="310"/>
      <c r="AY496" s="310"/>
      <c r="AZ496" s="310"/>
      <c r="BA496" s="310"/>
      <c r="BB496" s="310"/>
      <c r="BC496" s="310"/>
      <c r="BD496" s="544">
        <f t="shared" si="207"/>
        <v>0</v>
      </c>
      <c r="BE496" s="525"/>
      <c r="BF496" s="310"/>
      <c r="BG496" s="310"/>
      <c r="BH496" s="310"/>
      <c r="BI496" s="310"/>
      <c r="BJ496" s="310"/>
      <c r="BK496" s="310"/>
      <c r="BL496" s="544">
        <f t="shared" si="208"/>
        <v>0</v>
      </c>
      <c r="BM496" s="525"/>
      <c r="BN496" s="310"/>
      <c r="BO496" s="310"/>
      <c r="BP496" s="310"/>
      <c r="BQ496" s="310"/>
      <c r="BR496" s="310"/>
      <c r="BS496" s="310"/>
      <c r="BT496" s="544">
        <f t="shared" si="209"/>
        <v>0</v>
      </c>
      <c r="BU496" s="556"/>
      <c r="BV496" s="663">
        <f t="shared" si="210"/>
        <v>1</v>
      </c>
      <c r="BW496" s="674">
        <f t="shared" si="211"/>
        <v>0.25</v>
      </c>
      <c r="BX496" s="674">
        <f t="shared" si="212"/>
        <v>1</v>
      </c>
      <c r="BY496" s="674">
        <f t="shared" si="213"/>
        <v>0</v>
      </c>
      <c r="BZ496" s="675">
        <f t="shared" si="214"/>
        <v>0</v>
      </c>
      <c r="CA496" s="675">
        <f t="shared" si="215"/>
        <v>0</v>
      </c>
    </row>
    <row r="497" spans="1:79" ht="1.5" customHeight="1" x14ac:dyDescent="0.3">
      <c r="A497" s="298" t="s">
        <v>800</v>
      </c>
      <c r="B497" s="299" t="str">
        <f>'PLAN INDICATIVO'!B486</f>
        <v>Prevención y atención de desastres</v>
      </c>
      <c r="C497" s="1547"/>
      <c r="D497" s="1551"/>
      <c r="E497" s="1551"/>
      <c r="F497" s="1551"/>
      <c r="G497" s="1551"/>
      <c r="H497" s="1551"/>
      <c r="I497" s="300">
        <f>'PLAN INDICATIVO'!I486</f>
        <v>0</v>
      </c>
      <c r="J497" s="300">
        <f>'PLAN INDICATIVO'!J486</f>
        <v>0</v>
      </c>
      <c r="K497" s="1425" t="str">
        <f>'PLAN INDICATIVO'!K486</f>
        <v>A.12.2.4</v>
      </c>
      <c r="L497" s="301" t="str">
        <f>'PLAN INDICATIVO'!L486</f>
        <v>11. Ciudades y comunidades sostenibles</v>
      </c>
      <c r="M497" s="301" t="s">
        <v>1102</v>
      </c>
      <c r="N497" s="1425" t="s">
        <v>2687</v>
      </c>
      <c r="O497" s="1425" t="str">
        <f>'PLAN INDICATIVO'!O486</f>
        <v>Incremento</v>
      </c>
      <c r="P497" s="16" t="str">
        <f>'PLAN INDICATIVO'!P486</f>
        <v>Realizar 1 capacitaciónanual a los jóvenes de las Instituciones educativas urbanas, para que asuman el reto de ser voluntarios en organismos de socorro.</v>
      </c>
      <c r="Q497" s="302" t="str">
        <f>'PLAN INDICATIVO'!Q486</f>
        <v>No. De capacitaciones
realizadas por año</v>
      </c>
      <c r="R497" s="303">
        <f>'PLAN INDICATIVO'!R486</f>
        <v>2015</v>
      </c>
      <c r="S497" s="304">
        <v>1</v>
      </c>
      <c r="T497" s="498">
        <v>3</v>
      </c>
      <c r="U497" s="303">
        <v>0</v>
      </c>
      <c r="V497" s="687"/>
      <c r="W497" s="572">
        <v>1</v>
      </c>
      <c r="X497" s="687">
        <v>1000000</v>
      </c>
      <c r="Y497" s="572">
        <v>1</v>
      </c>
      <c r="Z497" s="687">
        <v>2000000</v>
      </c>
      <c r="AA497" s="572">
        <v>1</v>
      </c>
      <c r="AB497" s="687">
        <v>500000</v>
      </c>
      <c r="AC497" s="665">
        <v>0</v>
      </c>
      <c r="AD497" s="665"/>
      <c r="AE497" s="665"/>
      <c r="AF497" s="665"/>
      <c r="AG497" s="266"/>
      <c r="AH497" s="307"/>
      <c r="AI497" s="335"/>
      <c r="AJ497" s="335"/>
      <c r="AK497" s="308"/>
      <c r="AL497" s="308"/>
      <c r="AM497" s="267" t="s">
        <v>2594</v>
      </c>
      <c r="AN497" s="507"/>
      <c r="AO497" s="525"/>
      <c r="AP497" s="310"/>
      <c r="AQ497" s="310"/>
      <c r="AR497" s="310"/>
      <c r="AS497" s="310"/>
      <c r="AT497" s="310"/>
      <c r="AU497" s="310"/>
      <c r="AV497" s="544">
        <f t="shared" si="206"/>
        <v>0</v>
      </c>
      <c r="AW497" s="525"/>
      <c r="AX497" s="310"/>
      <c r="AY497" s="310"/>
      <c r="AZ497" s="310"/>
      <c r="BA497" s="310"/>
      <c r="BB497" s="310"/>
      <c r="BC497" s="310"/>
      <c r="BD497" s="544">
        <f t="shared" si="207"/>
        <v>0</v>
      </c>
      <c r="BE497" s="525"/>
      <c r="BF497" s="310"/>
      <c r="BG497" s="310"/>
      <c r="BH497" s="310"/>
      <c r="BI497" s="310"/>
      <c r="BJ497" s="310"/>
      <c r="BK497" s="310"/>
      <c r="BL497" s="544">
        <f t="shared" si="208"/>
        <v>0</v>
      </c>
      <c r="BM497" s="525"/>
      <c r="BN497" s="310"/>
      <c r="BO497" s="310"/>
      <c r="BP497" s="310"/>
      <c r="BQ497" s="310"/>
      <c r="BR497" s="310"/>
      <c r="BS497" s="310"/>
      <c r="BT497" s="544">
        <f t="shared" si="209"/>
        <v>0</v>
      </c>
      <c r="BU497" s="556"/>
      <c r="BV497" s="663">
        <f t="shared" si="210"/>
        <v>0</v>
      </c>
      <c r="BW497" s="674">
        <f t="shared" si="211"/>
        <v>0</v>
      </c>
      <c r="BX497" s="674" t="e">
        <f t="shared" si="212"/>
        <v>#DIV/0!</v>
      </c>
      <c r="BY497" s="674">
        <f t="shared" si="213"/>
        <v>0</v>
      </c>
      <c r="BZ497" s="675">
        <f t="shared" si="214"/>
        <v>0</v>
      </c>
      <c r="CA497" s="675">
        <f t="shared" si="215"/>
        <v>0</v>
      </c>
    </row>
    <row r="498" spans="1:79" ht="72.75" customHeight="1" x14ac:dyDescent="0.3">
      <c r="A498" s="298" t="s">
        <v>1450</v>
      </c>
      <c r="B498" s="299" t="str">
        <f>'PLAN INDICATIVO'!B487</f>
        <v>Prevención y atención de desastres</v>
      </c>
      <c r="C498" s="1547"/>
      <c r="D498" s="1551"/>
      <c r="E498" s="1551"/>
      <c r="F498" s="1551"/>
      <c r="G498" s="1551"/>
      <c r="H498" s="1551"/>
      <c r="I498" s="1425" t="str">
        <f>'PLAN INDICATIVO'!I487</f>
        <v>SI</v>
      </c>
      <c r="J498" s="1425">
        <f>'PLAN INDICATIVO'!J487</f>
        <v>0</v>
      </c>
      <c r="K498" s="1425" t="str">
        <f>'PLAN INDICATIVO'!K487</f>
        <v>A.12.2.4</v>
      </c>
      <c r="L498" s="301" t="str">
        <f>'PLAN INDICATIVO'!L487</f>
        <v>11. Ciudades y comunidades sostenibles</v>
      </c>
      <c r="M498" s="301" t="s">
        <v>1102</v>
      </c>
      <c r="N498" s="1425" t="s">
        <v>2687</v>
      </c>
      <c r="O498" s="1425" t="str">
        <f>'PLAN INDICATIVO'!O487</f>
        <v>Incremento</v>
      </c>
      <c r="P498" s="16" t="str">
        <f>'PLAN INDICATIVO'!P487</f>
        <v>Construir 3 obras de mitigación de riesgos  y amenazas durante el cuatrienio</v>
      </c>
      <c r="Q498" s="302" t="str">
        <f>'PLAN INDICATIVO'!Q487</f>
        <v>No. De obras de mitigación construidas</v>
      </c>
      <c r="R498" s="303">
        <f>'PLAN INDICATIVO'!R487</f>
        <v>2015</v>
      </c>
      <c r="S498" s="304">
        <v>1</v>
      </c>
      <c r="T498" s="498">
        <v>3</v>
      </c>
      <c r="U498" s="303">
        <v>1</v>
      </c>
      <c r="V498" s="687">
        <v>1000000</v>
      </c>
      <c r="W498" s="572">
        <v>1</v>
      </c>
      <c r="X498" s="687">
        <v>28000000</v>
      </c>
      <c r="Y498" s="572">
        <v>0</v>
      </c>
      <c r="Z498" s="687"/>
      <c r="AA498" s="572">
        <v>1</v>
      </c>
      <c r="AB498" s="687">
        <v>500000</v>
      </c>
      <c r="AC498" s="665">
        <v>1</v>
      </c>
      <c r="AD498" s="665"/>
      <c r="AE498" s="665"/>
      <c r="AF498" s="665"/>
      <c r="AG498" s="306" t="s">
        <v>2596</v>
      </c>
      <c r="AH498" s="307" t="s">
        <v>3103</v>
      </c>
      <c r="AI498" s="335">
        <v>37104</v>
      </c>
      <c r="AJ498" s="335">
        <v>11293</v>
      </c>
      <c r="AK498" s="308"/>
      <c r="AL498" s="308"/>
      <c r="AM498" s="267" t="s">
        <v>2598</v>
      </c>
      <c r="AN498" s="507" t="s">
        <v>2006</v>
      </c>
      <c r="AO498" s="525"/>
      <c r="AP498" s="310"/>
      <c r="AQ498" s="310"/>
      <c r="AR498" s="310"/>
      <c r="AS498" s="310"/>
      <c r="AT498" s="310"/>
      <c r="AU498" s="310"/>
      <c r="AV498" s="544">
        <f t="shared" si="206"/>
        <v>0</v>
      </c>
      <c r="AW498" s="525"/>
      <c r="AX498" s="310"/>
      <c r="AY498" s="310"/>
      <c r="AZ498" s="310"/>
      <c r="BA498" s="310"/>
      <c r="BB498" s="310"/>
      <c r="BC498" s="310"/>
      <c r="BD498" s="544">
        <f t="shared" si="207"/>
        <v>0</v>
      </c>
      <c r="BE498" s="525"/>
      <c r="BF498" s="310"/>
      <c r="BG498" s="310"/>
      <c r="BH498" s="310"/>
      <c r="BI498" s="310"/>
      <c r="BJ498" s="310"/>
      <c r="BK498" s="310"/>
      <c r="BL498" s="544">
        <f t="shared" si="208"/>
        <v>0</v>
      </c>
      <c r="BM498" s="525"/>
      <c r="BN498" s="310"/>
      <c r="BO498" s="310"/>
      <c r="BP498" s="310"/>
      <c r="BQ498" s="310"/>
      <c r="BR498" s="310"/>
      <c r="BS498" s="310"/>
      <c r="BT498" s="544">
        <f t="shared" si="209"/>
        <v>0</v>
      </c>
      <c r="BU498" s="556"/>
      <c r="BV498" s="663">
        <f t="shared" si="210"/>
        <v>1</v>
      </c>
      <c r="BW498" s="674">
        <f t="shared" si="211"/>
        <v>0.33333333333333331</v>
      </c>
      <c r="BX498" s="674">
        <f t="shared" si="212"/>
        <v>1</v>
      </c>
      <c r="BY498" s="674">
        <f t="shared" si="213"/>
        <v>0</v>
      </c>
      <c r="BZ498" s="675" t="e">
        <f t="shared" si="214"/>
        <v>#DIV/0!</v>
      </c>
      <c r="CA498" s="675">
        <f t="shared" si="215"/>
        <v>0</v>
      </c>
    </row>
    <row r="499" spans="1:79" ht="64.5" customHeight="1" x14ac:dyDescent="0.3">
      <c r="A499" s="298" t="s">
        <v>1450</v>
      </c>
      <c r="B499" s="299" t="str">
        <f>'PLAN INDICATIVO'!B488</f>
        <v>Prevención y atención de desastres</v>
      </c>
      <c r="C499" s="1547"/>
      <c r="D499" s="1551"/>
      <c r="E499" s="1551"/>
      <c r="F499" s="1551"/>
      <c r="G499" s="1551"/>
      <c r="H499" s="1551"/>
      <c r="I499" s="300">
        <f>'PLAN INDICATIVO'!I488</f>
        <v>0</v>
      </c>
      <c r="J499" s="300">
        <f>'PLAN INDICATIVO'!J488</f>
        <v>0</v>
      </c>
      <c r="K499" s="1425" t="str">
        <f>'PLAN INDICATIVO'!K488</f>
        <v>A.12.2.5</v>
      </c>
      <c r="L499" s="301" t="str">
        <f>'PLAN INDICATIVO'!L488</f>
        <v>11. Ciudades y comunidades sostenibles</v>
      </c>
      <c r="M499" s="301" t="s">
        <v>1102</v>
      </c>
      <c r="N499" s="1425" t="s">
        <v>2687</v>
      </c>
      <c r="O499" s="1425" t="str">
        <f>'PLAN INDICATIVO'!O488</f>
        <v>Incremento</v>
      </c>
      <c r="P499" s="16" t="str">
        <f>'PLAN INDICATIVO'!P488</f>
        <v>Realizar 1 reconocimiento anual a los bomberos que sobresalgan, durante el cuatrienio.</v>
      </c>
      <c r="Q499" s="302" t="str">
        <f>'PLAN INDICATIVO'!Q488</f>
        <v>No. De Reconocimientos realizados por año</v>
      </c>
      <c r="R499" s="303">
        <f>'PLAN INDICATIVO'!R488</f>
        <v>2015</v>
      </c>
      <c r="S499" s="304">
        <v>0</v>
      </c>
      <c r="T499" s="498">
        <v>1</v>
      </c>
      <c r="U499" s="303">
        <v>1</v>
      </c>
      <c r="V499" s="687">
        <v>1000000</v>
      </c>
      <c r="W499" s="572">
        <v>1</v>
      </c>
      <c r="X499" s="687">
        <v>1000000</v>
      </c>
      <c r="Y499" s="572">
        <v>1</v>
      </c>
      <c r="Z499" s="687">
        <v>1000000</v>
      </c>
      <c r="AA499" s="572">
        <v>1</v>
      </c>
      <c r="AB499" s="687">
        <v>500000</v>
      </c>
      <c r="AC499" s="665">
        <v>1</v>
      </c>
      <c r="AD499" s="665"/>
      <c r="AE499" s="665"/>
      <c r="AF499" s="665"/>
      <c r="AG499" s="306" t="s">
        <v>2596</v>
      </c>
      <c r="AH499" s="307" t="s">
        <v>3104</v>
      </c>
      <c r="AI499" s="335">
        <v>37135</v>
      </c>
      <c r="AJ499" s="335">
        <v>11263</v>
      </c>
      <c r="AK499" s="308"/>
      <c r="AL499" s="308"/>
      <c r="AM499" s="267" t="s">
        <v>2598</v>
      </c>
      <c r="AN499" s="507" t="s">
        <v>3105</v>
      </c>
      <c r="AO499" s="525">
        <v>50000</v>
      </c>
      <c r="AP499" s="310"/>
      <c r="AQ499" s="310"/>
      <c r="AR499" s="310"/>
      <c r="AS499" s="310"/>
      <c r="AT499" s="310"/>
      <c r="AU499" s="310"/>
      <c r="AV499" s="544">
        <f t="shared" si="206"/>
        <v>50000</v>
      </c>
      <c r="AW499" s="525"/>
      <c r="AX499" s="310"/>
      <c r="AY499" s="310"/>
      <c r="AZ499" s="310"/>
      <c r="BA499" s="310"/>
      <c r="BB499" s="310"/>
      <c r="BC499" s="310"/>
      <c r="BD499" s="544">
        <f t="shared" si="207"/>
        <v>0</v>
      </c>
      <c r="BE499" s="525"/>
      <c r="BF499" s="310"/>
      <c r="BG499" s="310"/>
      <c r="BH499" s="310"/>
      <c r="BI499" s="310"/>
      <c r="BJ499" s="310"/>
      <c r="BK499" s="310"/>
      <c r="BL499" s="544">
        <f t="shared" si="208"/>
        <v>0</v>
      </c>
      <c r="BM499" s="525"/>
      <c r="BN499" s="310"/>
      <c r="BO499" s="310"/>
      <c r="BP499" s="310"/>
      <c r="BQ499" s="310"/>
      <c r="BR499" s="310"/>
      <c r="BS499" s="310"/>
      <c r="BT499" s="544">
        <f t="shared" si="209"/>
        <v>0</v>
      </c>
      <c r="BU499" s="556"/>
      <c r="BV499" s="663">
        <f t="shared" si="210"/>
        <v>1</v>
      </c>
      <c r="BW499" s="674">
        <f t="shared" si="211"/>
        <v>1</v>
      </c>
      <c r="BX499" s="674">
        <f t="shared" si="212"/>
        <v>1</v>
      </c>
      <c r="BY499" s="674">
        <f t="shared" si="213"/>
        <v>0</v>
      </c>
      <c r="BZ499" s="675">
        <f t="shared" si="214"/>
        <v>0</v>
      </c>
      <c r="CA499" s="675">
        <f t="shared" si="215"/>
        <v>0</v>
      </c>
    </row>
    <row r="500" spans="1:79" ht="63" customHeight="1" thickBot="1" x14ac:dyDescent="0.35">
      <c r="A500" s="298" t="s">
        <v>1450</v>
      </c>
      <c r="B500" s="299" t="str">
        <f>'PLAN INDICATIVO'!B489</f>
        <v>Prevención y atención de desastres</v>
      </c>
      <c r="C500" s="1548"/>
      <c r="D500" s="1552"/>
      <c r="E500" s="1552"/>
      <c r="F500" s="1552"/>
      <c r="G500" s="1552"/>
      <c r="H500" s="1552"/>
      <c r="I500" s="300">
        <f>'PLAN INDICATIVO'!I489</f>
        <v>0</v>
      </c>
      <c r="J500" s="300">
        <f>'PLAN INDICATIVO'!J489</f>
        <v>0</v>
      </c>
      <c r="K500" s="1425" t="str">
        <f>'PLAN INDICATIVO'!K489</f>
        <v>A.12.2.6</v>
      </c>
      <c r="L500" s="301" t="str">
        <f>'PLAN INDICATIVO'!L489</f>
        <v>11. Ciudades y comunidades sostenibles</v>
      </c>
      <c r="M500" s="301" t="s">
        <v>1102</v>
      </c>
      <c r="N500" s="1425" t="s">
        <v>2687</v>
      </c>
      <c r="O500" s="1425" t="str">
        <f>'PLAN INDICATIVO'!O489</f>
        <v>Incremento</v>
      </c>
      <c r="P500" s="16" t="str">
        <f>'PLAN INDICATIVO'!P489</f>
        <v>Mantener 4 Albergues temporales con mantenimiento para su funcionamiento durante el cuatrienio</v>
      </c>
      <c r="Q500" s="302" t="str">
        <f>'PLAN INDICATIVO'!Q489</f>
        <v>No. De albergues mantenidos</v>
      </c>
      <c r="R500" s="303">
        <f>'PLAN INDICATIVO'!R489</f>
        <v>2015</v>
      </c>
      <c r="S500" s="304">
        <v>0</v>
      </c>
      <c r="T500" s="498">
        <v>4</v>
      </c>
      <c r="U500" s="303">
        <v>1</v>
      </c>
      <c r="V500" s="687">
        <v>5000000</v>
      </c>
      <c r="W500" s="572">
        <v>1</v>
      </c>
      <c r="X500" s="687">
        <v>6000000</v>
      </c>
      <c r="Y500" s="572">
        <v>1</v>
      </c>
      <c r="Z500" s="687">
        <v>6000000</v>
      </c>
      <c r="AA500" s="572">
        <v>1</v>
      </c>
      <c r="AB500" s="687">
        <v>2500000</v>
      </c>
      <c r="AC500" s="665">
        <v>1</v>
      </c>
      <c r="AD500" s="665"/>
      <c r="AE500" s="665"/>
      <c r="AF500" s="665"/>
      <c r="AG500" s="306" t="s">
        <v>2596</v>
      </c>
      <c r="AH500" s="307" t="s">
        <v>3106</v>
      </c>
      <c r="AI500" s="335">
        <v>37104</v>
      </c>
      <c r="AJ500" s="335">
        <v>11293</v>
      </c>
      <c r="AK500" s="308"/>
      <c r="AL500" s="308"/>
      <c r="AM500" s="267" t="s">
        <v>2598</v>
      </c>
      <c r="AN500" s="507" t="s">
        <v>3107</v>
      </c>
      <c r="AO500" s="533">
        <v>800000</v>
      </c>
      <c r="AP500" s="534"/>
      <c r="AQ500" s="534"/>
      <c r="AR500" s="534"/>
      <c r="AS500" s="534"/>
      <c r="AT500" s="534"/>
      <c r="AU500" s="534"/>
      <c r="AV500" s="546">
        <f t="shared" si="206"/>
        <v>800000</v>
      </c>
      <c r="AW500" s="533"/>
      <c r="AX500" s="534"/>
      <c r="AY500" s="534"/>
      <c r="AZ500" s="534"/>
      <c r="BA500" s="534"/>
      <c r="BB500" s="534"/>
      <c r="BC500" s="534"/>
      <c r="BD500" s="546">
        <f t="shared" si="207"/>
        <v>0</v>
      </c>
      <c r="BE500" s="533"/>
      <c r="BF500" s="534"/>
      <c r="BG500" s="534"/>
      <c r="BH500" s="534"/>
      <c r="BI500" s="534"/>
      <c r="BJ500" s="534"/>
      <c r="BK500" s="534"/>
      <c r="BL500" s="546">
        <f t="shared" si="208"/>
        <v>0</v>
      </c>
      <c r="BM500" s="533"/>
      <c r="BN500" s="534"/>
      <c r="BO500" s="534"/>
      <c r="BP500" s="534"/>
      <c r="BQ500" s="534"/>
      <c r="BR500" s="534"/>
      <c r="BS500" s="534"/>
      <c r="BT500" s="546">
        <f t="shared" si="209"/>
        <v>0</v>
      </c>
      <c r="BU500" s="556"/>
      <c r="BV500" s="663">
        <f t="shared" si="210"/>
        <v>1</v>
      </c>
      <c r="BW500" s="674">
        <f t="shared" si="211"/>
        <v>0.25</v>
      </c>
      <c r="BX500" s="674">
        <f t="shared" si="212"/>
        <v>1</v>
      </c>
      <c r="BY500" s="674">
        <f t="shared" si="213"/>
        <v>0</v>
      </c>
      <c r="BZ500" s="675">
        <f t="shared" si="214"/>
        <v>0</v>
      </c>
      <c r="CA500" s="675">
        <f t="shared" si="215"/>
        <v>0</v>
      </c>
    </row>
  </sheetData>
  <autoFilter ref="A4:CV500">
    <filterColumn colId="13">
      <filters>
        <filter val="JOSE MAURICIO MEDINA ANGEL"/>
      </filters>
    </filterColumn>
  </autoFilter>
  <customSheetViews>
    <customSheetView guid="{92B8BA5A-7984-4526-9F7A-187FF856FCAE}" scale="80" fitToPage="1" showAutoFilter="1" hiddenColumns="1">
      <pane ySplit="4" topLeftCell="M35" activePane="bottomRight" state="frozen"/>
      <selection pane="bottomRight" activeCell="AM36" sqref="AM36"/>
      <pageMargins left="0" right="0" top="0" bottom="0" header="0" footer="0"/>
      <pageSetup paperSize="144" scale="18" fitToHeight="0" orientation="landscape" r:id="rId1"/>
      <autoFilter ref="A4:CV500"/>
    </customSheetView>
  </customSheetViews>
  <mergeCells count="249">
    <mergeCell ref="BU25:BU42"/>
    <mergeCell ref="BU44:BU47"/>
    <mergeCell ref="AW3:BD3"/>
    <mergeCell ref="BE3:BL3"/>
    <mergeCell ref="BM3:BT3"/>
    <mergeCell ref="C417:O417"/>
    <mergeCell ref="C432:O432"/>
    <mergeCell ref="C449:O449"/>
    <mergeCell ref="C448:AL448"/>
    <mergeCell ref="D446:AL446"/>
    <mergeCell ref="C416:AL416"/>
    <mergeCell ref="C403:AL403"/>
    <mergeCell ref="C376:AL376"/>
    <mergeCell ref="C366:C374"/>
    <mergeCell ref="D366:D374"/>
    <mergeCell ref="E366:E374"/>
    <mergeCell ref="F366:F374"/>
    <mergeCell ref="G366:G374"/>
    <mergeCell ref="H366:H374"/>
    <mergeCell ref="C433:C445"/>
    <mergeCell ref="D433:D445"/>
    <mergeCell ref="E433:E445"/>
    <mergeCell ref="F433:F445"/>
    <mergeCell ref="G433:G445"/>
    <mergeCell ref="H433:H445"/>
    <mergeCell ref="C418:C431"/>
    <mergeCell ref="D418:D431"/>
    <mergeCell ref="E418:E431"/>
    <mergeCell ref="F418:F431"/>
    <mergeCell ref="H124:H137"/>
    <mergeCell ref="C158:C181"/>
    <mergeCell ref="D158:D181"/>
    <mergeCell ref="E158:E181"/>
    <mergeCell ref="C331:AL331"/>
    <mergeCell ref="C295:AL295"/>
    <mergeCell ref="C263:AL263"/>
    <mergeCell ref="C362:AL362"/>
    <mergeCell ref="C156:AL156"/>
    <mergeCell ref="C332:O332"/>
    <mergeCell ref="C357:O357"/>
    <mergeCell ref="C356:AL356"/>
    <mergeCell ref="F158:F181"/>
    <mergeCell ref="C243:O243"/>
    <mergeCell ref="C264:O264"/>
    <mergeCell ref="C276:O276"/>
    <mergeCell ref="C139:C147"/>
    <mergeCell ref="D139:D147"/>
    <mergeCell ref="E139:E147"/>
    <mergeCell ref="A122:AL122"/>
    <mergeCell ref="C100:C107"/>
    <mergeCell ref="D100:D107"/>
    <mergeCell ref="E100:E107"/>
    <mergeCell ref="F100:F107"/>
    <mergeCell ref="G100:G107"/>
    <mergeCell ref="H100:H107"/>
    <mergeCell ref="C88:C98"/>
    <mergeCell ref="D88:D98"/>
    <mergeCell ref="E88:E98"/>
    <mergeCell ref="F88:F98"/>
    <mergeCell ref="G88:G98"/>
    <mergeCell ref="H117:H120"/>
    <mergeCell ref="C111:C115"/>
    <mergeCell ref="D111:D115"/>
    <mergeCell ref="E111:E115"/>
    <mergeCell ref="F111:F115"/>
    <mergeCell ref="G111:G115"/>
    <mergeCell ref="H111:H115"/>
    <mergeCell ref="H88:H98"/>
    <mergeCell ref="C117:C120"/>
    <mergeCell ref="D117:D120"/>
    <mergeCell ref="E117:E120"/>
    <mergeCell ref="F117:F120"/>
    <mergeCell ref="A2:AN2"/>
    <mergeCell ref="A5:AL5"/>
    <mergeCell ref="C24:O24"/>
    <mergeCell ref="C8:O8"/>
    <mergeCell ref="C43:O43"/>
    <mergeCell ref="A50:AL50"/>
    <mergeCell ref="A48:AL48"/>
    <mergeCell ref="C76:C84"/>
    <mergeCell ref="D76:D84"/>
    <mergeCell ref="E76:E84"/>
    <mergeCell ref="F76:F84"/>
    <mergeCell ref="G76:G84"/>
    <mergeCell ref="H76:H84"/>
    <mergeCell ref="C52:C74"/>
    <mergeCell ref="D52:D74"/>
    <mergeCell ref="E52:E74"/>
    <mergeCell ref="F52:F74"/>
    <mergeCell ref="G52:G74"/>
    <mergeCell ref="AC3:AF3"/>
    <mergeCell ref="H52:H74"/>
    <mergeCell ref="C51:O51"/>
    <mergeCell ref="C75:O75"/>
    <mergeCell ref="AO3:AV3"/>
    <mergeCell ref="C9:C23"/>
    <mergeCell ref="D9:D23"/>
    <mergeCell ref="E9:E23"/>
    <mergeCell ref="F9:F23"/>
    <mergeCell ref="G9:G23"/>
    <mergeCell ref="H9:H23"/>
    <mergeCell ref="C45:C47"/>
    <mergeCell ref="D45:D47"/>
    <mergeCell ref="E45:E47"/>
    <mergeCell ref="F45:F47"/>
    <mergeCell ref="G45:G47"/>
    <mergeCell ref="H45:H47"/>
    <mergeCell ref="C25:C40"/>
    <mergeCell ref="D25:D40"/>
    <mergeCell ref="A7:AN7"/>
    <mergeCell ref="E25:E40"/>
    <mergeCell ref="F25:F40"/>
    <mergeCell ref="G25:G40"/>
    <mergeCell ref="H25:H40"/>
    <mergeCell ref="G117:G120"/>
    <mergeCell ref="C87:O87"/>
    <mergeCell ref="A86:AL86"/>
    <mergeCell ref="C99:O99"/>
    <mergeCell ref="A109:AL109"/>
    <mergeCell ref="C110:O110"/>
    <mergeCell ref="C116:O116"/>
    <mergeCell ref="G158:G181"/>
    <mergeCell ref="H158:H181"/>
    <mergeCell ref="C149:C155"/>
    <mergeCell ref="D149:D155"/>
    <mergeCell ref="E149:E155"/>
    <mergeCell ref="F149:F155"/>
    <mergeCell ref="G149:G155"/>
    <mergeCell ref="H149:H155"/>
    <mergeCell ref="C123:O123"/>
    <mergeCell ref="C138:O138"/>
    <mergeCell ref="C148:O148"/>
    <mergeCell ref="C157:P157"/>
    <mergeCell ref="C124:C137"/>
    <mergeCell ref="D124:D137"/>
    <mergeCell ref="E124:E137"/>
    <mergeCell ref="F124:F137"/>
    <mergeCell ref="G124:G137"/>
    <mergeCell ref="F139:F147"/>
    <mergeCell ref="G139:G147"/>
    <mergeCell ref="H139:H147"/>
    <mergeCell ref="D194:D200"/>
    <mergeCell ref="E194:E200"/>
    <mergeCell ref="F194:F200"/>
    <mergeCell ref="G194:G200"/>
    <mergeCell ref="H194:H200"/>
    <mergeCell ref="C183:C192"/>
    <mergeCell ref="D183:D192"/>
    <mergeCell ref="E183:E192"/>
    <mergeCell ref="F183:F192"/>
    <mergeCell ref="G183:G192"/>
    <mergeCell ref="H183:H192"/>
    <mergeCell ref="C193:O193"/>
    <mergeCell ref="C194:C200"/>
    <mergeCell ref="C213:C241"/>
    <mergeCell ref="D213:D241"/>
    <mergeCell ref="E213:E241"/>
    <mergeCell ref="F213:F241"/>
    <mergeCell ref="G213:G241"/>
    <mergeCell ref="H213:H241"/>
    <mergeCell ref="C202:C211"/>
    <mergeCell ref="D202:D211"/>
    <mergeCell ref="E202:E211"/>
    <mergeCell ref="F202:F211"/>
    <mergeCell ref="G202:G211"/>
    <mergeCell ref="H202:H211"/>
    <mergeCell ref="C212:O212"/>
    <mergeCell ref="C244:C260"/>
    <mergeCell ref="D244:D260"/>
    <mergeCell ref="E244:E260"/>
    <mergeCell ref="F244:F260"/>
    <mergeCell ref="G244:G260"/>
    <mergeCell ref="H244:H260"/>
    <mergeCell ref="C277:C288"/>
    <mergeCell ref="D277:D288"/>
    <mergeCell ref="E277:E288"/>
    <mergeCell ref="F277:F288"/>
    <mergeCell ref="G277:G288"/>
    <mergeCell ref="H277:H288"/>
    <mergeCell ref="C360:O360"/>
    <mergeCell ref="C297:C329"/>
    <mergeCell ref="D297:D329"/>
    <mergeCell ref="E297:E329"/>
    <mergeCell ref="F297:F329"/>
    <mergeCell ref="G297:G329"/>
    <mergeCell ref="H297:H329"/>
    <mergeCell ref="C265:C275"/>
    <mergeCell ref="D265:D275"/>
    <mergeCell ref="E265:E275"/>
    <mergeCell ref="F265:F275"/>
    <mergeCell ref="G265:G275"/>
    <mergeCell ref="H265:H275"/>
    <mergeCell ref="C290:C293"/>
    <mergeCell ref="D290:D293"/>
    <mergeCell ref="E290:E293"/>
    <mergeCell ref="F290:F293"/>
    <mergeCell ref="G290:G293"/>
    <mergeCell ref="H290:H293"/>
    <mergeCell ref="C364:AG364"/>
    <mergeCell ref="C405:C415"/>
    <mergeCell ref="D405:D415"/>
    <mergeCell ref="E405:E415"/>
    <mergeCell ref="F405:F415"/>
    <mergeCell ref="G405:G415"/>
    <mergeCell ref="H405:H415"/>
    <mergeCell ref="C378:C402"/>
    <mergeCell ref="D378:D402"/>
    <mergeCell ref="E378:E402"/>
    <mergeCell ref="F378:F402"/>
    <mergeCell ref="G378:G402"/>
    <mergeCell ref="H378:H402"/>
    <mergeCell ref="C377:O377"/>
    <mergeCell ref="C365:O365"/>
    <mergeCell ref="C494:C500"/>
    <mergeCell ref="D494:D500"/>
    <mergeCell ref="E494:E500"/>
    <mergeCell ref="F494:F500"/>
    <mergeCell ref="G494:G500"/>
    <mergeCell ref="H494:H500"/>
    <mergeCell ref="C486:C492"/>
    <mergeCell ref="D486:D492"/>
    <mergeCell ref="E486:E492"/>
    <mergeCell ref="F486:F492"/>
    <mergeCell ref="G486:G492"/>
    <mergeCell ref="H486:H492"/>
    <mergeCell ref="E450:E479"/>
    <mergeCell ref="C404:O404"/>
    <mergeCell ref="AM416:BT416"/>
    <mergeCell ref="AG244:AG247"/>
    <mergeCell ref="BU9:BU23"/>
    <mergeCell ref="A1:CA1"/>
    <mergeCell ref="BU3:CA3"/>
    <mergeCell ref="C493:O493"/>
    <mergeCell ref="C484:AL484"/>
    <mergeCell ref="G418:G431"/>
    <mergeCell ref="H418:H431"/>
    <mergeCell ref="C450:C479"/>
    <mergeCell ref="D450:D479"/>
    <mergeCell ref="C296:O296"/>
    <mergeCell ref="F450:F479"/>
    <mergeCell ref="G450:G479"/>
    <mergeCell ref="H450:H479"/>
    <mergeCell ref="C485:O485"/>
    <mergeCell ref="C333:C354"/>
    <mergeCell ref="D333:D354"/>
    <mergeCell ref="E333:E354"/>
    <mergeCell ref="F333:F354"/>
    <mergeCell ref="G333:G354"/>
    <mergeCell ref="H333:H354"/>
  </mergeCells>
  <conditionalFormatting sqref="AM52:AM61">
    <cfRule type="containsText" dxfId="3107" priority="1481" operator="containsText" text="AZ">
      <formula>NOT(ISERROR(SEARCH("AZ",AM52)))</formula>
    </cfRule>
    <cfRule type="containsText" dxfId="3106" priority="1482" operator="containsText" text="RO">
      <formula>NOT(ISERROR(SEARCH("RO",AM52)))</formula>
    </cfRule>
    <cfRule type="containsText" dxfId="3105" priority="1483" operator="containsText" text="AM">
      <formula>NOT(ISERROR(SEARCH("AM",AM52)))</formula>
    </cfRule>
    <cfRule type="containsText" dxfId="3104" priority="1484" operator="containsText" text="VE">
      <formula>NOT(ISERROR(SEARCH("VE",AM52)))</formula>
    </cfRule>
  </conditionalFormatting>
  <conditionalFormatting sqref="AM62">
    <cfRule type="containsText" dxfId="3103" priority="1477" operator="containsText" text="AZ">
      <formula>NOT(ISERROR(SEARCH("AZ",AM62)))</formula>
    </cfRule>
    <cfRule type="containsText" dxfId="3102" priority="1478" operator="containsText" text="RO">
      <formula>NOT(ISERROR(SEARCH("RO",AM62)))</formula>
    </cfRule>
    <cfRule type="containsText" dxfId="3101" priority="1479" operator="containsText" text="AM">
      <formula>NOT(ISERROR(SEARCH("AM",AM62)))</formula>
    </cfRule>
    <cfRule type="containsText" dxfId="3100" priority="1480" operator="containsText" text="VE">
      <formula>NOT(ISERROR(SEARCH("VE",AM62)))</formula>
    </cfRule>
  </conditionalFormatting>
  <conditionalFormatting sqref="AM63:AM65">
    <cfRule type="containsText" dxfId="3099" priority="1473" operator="containsText" text="AZ">
      <formula>NOT(ISERROR(SEARCH("AZ",AM63)))</formula>
    </cfRule>
    <cfRule type="containsText" dxfId="3098" priority="1474" operator="containsText" text="RO">
      <formula>NOT(ISERROR(SEARCH("RO",AM63)))</formula>
    </cfRule>
    <cfRule type="containsText" dxfId="3097" priority="1475" operator="containsText" text="AM">
      <formula>NOT(ISERROR(SEARCH("AM",AM63)))</formula>
    </cfRule>
    <cfRule type="containsText" dxfId="3096" priority="1476" operator="containsText" text="VE">
      <formula>NOT(ISERROR(SEARCH("VE",AM63)))</formula>
    </cfRule>
  </conditionalFormatting>
  <conditionalFormatting sqref="AM66">
    <cfRule type="containsText" dxfId="3095" priority="1469" operator="containsText" text="AZ">
      <formula>NOT(ISERROR(SEARCH("AZ",AM66)))</formula>
    </cfRule>
    <cfRule type="containsText" dxfId="3094" priority="1470" operator="containsText" text="RO">
      <formula>NOT(ISERROR(SEARCH("RO",AM66)))</formula>
    </cfRule>
    <cfRule type="containsText" dxfId="3093" priority="1471" operator="containsText" text="AM">
      <formula>NOT(ISERROR(SEARCH("AM",AM66)))</formula>
    </cfRule>
    <cfRule type="containsText" dxfId="3092" priority="1472" operator="containsText" text="VE">
      <formula>NOT(ISERROR(SEARCH("VE",AM66)))</formula>
    </cfRule>
  </conditionalFormatting>
  <conditionalFormatting sqref="AM67">
    <cfRule type="containsText" dxfId="3091" priority="1465" operator="containsText" text="AZ">
      <formula>NOT(ISERROR(SEARCH("AZ",AM67)))</formula>
    </cfRule>
    <cfRule type="containsText" dxfId="3090" priority="1466" operator="containsText" text="RO">
      <formula>NOT(ISERROR(SEARCH("RO",AM67)))</formula>
    </cfRule>
    <cfRule type="containsText" dxfId="3089" priority="1467" operator="containsText" text="AM">
      <formula>NOT(ISERROR(SEARCH("AM",AM67)))</formula>
    </cfRule>
    <cfRule type="containsText" dxfId="3088" priority="1468" operator="containsText" text="VE">
      <formula>NOT(ISERROR(SEARCH("VE",AM67)))</formula>
    </cfRule>
  </conditionalFormatting>
  <conditionalFormatting sqref="AM68">
    <cfRule type="containsText" dxfId="3087" priority="1461" operator="containsText" text="AZ">
      <formula>NOT(ISERROR(SEARCH("AZ",AM68)))</formula>
    </cfRule>
    <cfRule type="containsText" dxfId="3086" priority="1462" operator="containsText" text="RO">
      <formula>NOT(ISERROR(SEARCH("RO",AM68)))</formula>
    </cfRule>
    <cfRule type="containsText" dxfId="3085" priority="1463" operator="containsText" text="AM">
      <formula>NOT(ISERROR(SEARCH("AM",AM68)))</formula>
    </cfRule>
    <cfRule type="containsText" dxfId="3084" priority="1464" operator="containsText" text="VE">
      <formula>NOT(ISERROR(SEARCH("VE",AM68)))</formula>
    </cfRule>
  </conditionalFormatting>
  <conditionalFormatting sqref="AM69">
    <cfRule type="containsText" dxfId="3083" priority="1457" operator="containsText" text="AZ">
      <formula>NOT(ISERROR(SEARCH("AZ",AM69)))</formula>
    </cfRule>
    <cfRule type="containsText" dxfId="3082" priority="1458" operator="containsText" text="RO">
      <formula>NOT(ISERROR(SEARCH("RO",AM69)))</formula>
    </cfRule>
    <cfRule type="containsText" dxfId="3081" priority="1459" operator="containsText" text="AM">
      <formula>NOT(ISERROR(SEARCH("AM",AM69)))</formula>
    </cfRule>
    <cfRule type="containsText" dxfId="3080" priority="1460" operator="containsText" text="VE">
      <formula>NOT(ISERROR(SEARCH("VE",AM69)))</formula>
    </cfRule>
  </conditionalFormatting>
  <conditionalFormatting sqref="AM70">
    <cfRule type="containsText" dxfId="3079" priority="1453" operator="containsText" text="AZ">
      <formula>NOT(ISERROR(SEARCH("AZ",AM70)))</formula>
    </cfRule>
    <cfRule type="containsText" dxfId="3078" priority="1454" operator="containsText" text="RO">
      <formula>NOT(ISERROR(SEARCH("RO",AM70)))</formula>
    </cfRule>
    <cfRule type="containsText" dxfId="3077" priority="1455" operator="containsText" text="AM">
      <formula>NOT(ISERROR(SEARCH("AM",AM70)))</formula>
    </cfRule>
    <cfRule type="containsText" dxfId="3076" priority="1456" operator="containsText" text="VE">
      <formula>NOT(ISERROR(SEARCH("VE",AM70)))</formula>
    </cfRule>
  </conditionalFormatting>
  <conditionalFormatting sqref="AM71">
    <cfRule type="containsText" dxfId="3075" priority="1449" operator="containsText" text="AZ">
      <formula>NOT(ISERROR(SEARCH("AZ",AM71)))</formula>
    </cfRule>
    <cfRule type="containsText" dxfId="3074" priority="1450" operator="containsText" text="RO">
      <formula>NOT(ISERROR(SEARCH("RO",AM71)))</formula>
    </cfRule>
    <cfRule type="containsText" dxfId="3073" priority="1451" operator="containsText" text="AM">
      <formula>NOT(ISERROR(SEARCH("AM",AM71)))</formula>
    </cfRule>
    <cfRule type="containsText" dxfId="3072" priority="1452" operator="containsText" text="VE">
      <formula>NOT(ISERROR(SEARCH("VE",AM71)))</formula>
    </cfRule>
  </conditionalFormatting>
  <conditionalFormatting sqref="AM72">
    <cfRule type="containsText" dxfId="3071" priority="1445" operator="containsText" text="AZ">
      <formula>NOT(ISERROR(SEARCH("AZ",AM72)))</formula>
    </cfRule>
    <cfRule type="containsText" dxfId="3070" priority="1446" operator="containsText" text="RO">
      <formula>NOT(ISERROR(SEARCH("RO",AM72)))</formula>
    </cfRule>
    <cfRule type="containsText" dxfId="3069" priority="1447" operator="containsText" text="AM">
      <formula>NOT(ISERROR(SEARCH("AM",AM72)))</formula>
    </cfRule>
    <cfRule type="containsText" dxfId="3068" priority="1448" operator="containsText" text="VE">
      <formula>NOT(ISERROR(SEARCH("VE",AM72)))</formula>
    </cfRule>
  </conditionalFormatting>
  <conditionalFormatting sqref="AM73">
    <cfRule type="containsText" dxfId="3067" priority="1441" operator="containsText" text="AZ">
      <formula>NOT(ISERROR(SEARCH("AZ",AM73)))</formula>
    </cfRule>
    <cfRule type="containsText" dxfId="3066" priority="1442" operator="containsText" text="RO">
      <formula>NOT(ISERROR(SEARCH("RO",AM73)))</formula>
    </cfRule>
    <cfRule type="containsText" dxfId="3065" priority="1443" operator="containsText" text="AM">
      <formula>NOT(ISERROR(SEARCH("AM",AM73)))</formula>
    </cfRule>
    <cfRule type="containsText" dxfId="3064" priority="1444" operator="containsText" text="VE">
      <formula>NOT(ISERROR(SEARCH("VE",AM73)))</formula>
    </cfRule>
  </conditionalFormatting>
  <conditionalFormatting sqref="AM74">
    <cfRule type="containsText" dxfId="3063" priority="1437" operator="containsText" text="AZ">
      <formula>NOT(ISERROR(SEARCH("AZ",AM74)))</formula>
    </cfRule>
    <cfRule type="containsText" dxfId="3062" priority="1438" operator="containsText" text="RO">
      <formula>NOT(ISERROR(SEARCH("RO",AM74)))</formula>
    </cfRule>
    <cfRule type="containsText" dxfId="3061" priority="1439" operator="containsText" text="AM">
      <formula>NOT(ISERROR(SEARCH("AM",AM74)))</formula>
    </cfRule>
    <cfRule type="containsText" dxfId="3060" priority="1440" operator="containsText" text="VE">
      <formula>NOT(ISERROR(SEARCH("VE",AM74)))</formula>
    </cfRule>
  </conditionalFormatting>
  <conditionalFormatting sqref="AM79">
    <cfRule type="containsText" dxfId="3059" priority="1433" operator="containsText" text="AZ">
      <formula>NOT(ISERROR(SEARCH("AZ",AM79)))</formula>
    </cfRule>
    <cfRule type="containsText" dxfId="3058" priority="1434" operator="containsText" text="RO">
      <formula>NOT(ISERROR(SEARCH("RO",AM79)))</formula>
    </cfRule>
    <cfRule type="containsText" dxfId="3057" priority="1435" operator="containsText" text="AM">
      <formula>NOT(ISERROR(SEARCH("AM",AM79)))</formula>
    </cfRule>
    <cfRule type="containsText" dxfId="3056" priority="1436" operator="containsText" text="VE">
      <formula>NOT(ISERROR(SEARCH("VE",AM79)))</formula>
    </cfRule>
  </conditionalFormatting>
  <conditionalFormatting sqref="AM80">
    <cfRule type="containsText" dxfId="3055" priority="1429" operator="containsText" text="AZ">
      <formula>NOT(ISERROR(SEARCH("AZ",AM80)))</formula>
    </cfRule>
    <cfRule type="containsText" dxfId="3054" priority="1430" operator="containsText" text="RO">
      <formula>NOT(ISERROR(SEARCH("RO",AM80)))</formula>
    </cfRule>
    <cfRule type="containsText" dxfId="3053" priority="1431" operator="containsText" text="AM">
      <formula>NOT(ISERROR(SEARCH("AM",AM80)))</formula>
    </cfRule>
    <cfRule type="containsText" dxfId="3052" priority="1432" operator="containsText" text="VE">
      <formula>NOT(ISERROR(SEARCH("VE",AM80)))</formula>
    </cfRule>
  </conditionalFormatting>
  <conditionalFormatting sqref="AM78">
    <cfRule type="containsText" dxfId="3051" priority="1425" operator="containsText" text="AZ">
      <formula>NOT(ISERROR(SEARCH("AZ",AM78)))</formula>
    </cfRule>
    <cfRule type="containsText" dxfId="3050" priority="1426" operator="containsText" text="RO">
      <formula>NOT(ISERROR(SEARCH("RO",AM78)))</formula>
    </cfRule>
    <cfRule type="containsText" dxfId="3049" priority="1427" operator="containsText" text="AM">
      <formula>NOT(ISERROR(SEARCH("AM",AM78)))</formula>
    </cfRule>
    <cfRule type="containsText" dxfId="3048" priority="1428" operator="containsText" text="VE">
      <formula>NOT(ISERROR(SEARCH("VE",AM78)))</formula>
    </cfRule>
  </conditionalFormatting>
  <conditionalFormatting sqref="AM76:AM77">
    <cfRule type="containsText" dxfId="3047" priority="1421" operator="containsText" text="AZ">
      <formula>NOT(ISERROR(SEARCH("AZ",AM76)))</formula>
    </cfRule>
    <cfRule type="containsText" dxfId="3046" priority="1422" operator="containsText" text="RO">
      <formula>NOT(ISERROR(SEARCH("RO",AM76)))</formula>
    </cfRule>
    <cfRule type="containsText" dxfId="3045" priority="1423" operator="containsText" text="AM">
      <formula>NOT(ISERROR(SEARCH("AM",AM76)))</formula>
    </cfRule>
    <cfRule type="containsText" dxfId="3044" priority="1424" operator="containsText" text="VE">
      <formula>NOT(ISERROR(SEARCH("VE",AM76)))</formula>
    </cfRule>
  </conditionalFormatting>
  <conditionalFormatting sqref="AM82">
    <cfRule type="containsText" dxfId="3043" priority="1417" operator="containsText" text="AZ">
      <formula>NOT(ISERROR(SEARCH("AZ",AM82)))</formula>
    </cfRule>
    <cfRule type="containsText" dxfId="3042" priority="1418" operator="containsText" text="RO">
      <formula>NOT(ISERROR(SEARCH("RO",AM82)))</formula>
    </cfRule>
    <cfRule type="containsText" dxfId="3041" priority="1419" operator="containsText" text="AM">
      <formula>NOT(ISERROR(SEARCH("AM",AM82)))</formula>
    </cfRule>
    <cfRule type="containsText" dxfId="3040" priority="1420" operator="containsText" text="VE">
      <formula>NOT(ISERROR(SEARCH("VE",AM82)))</formula>
    </cfRule>
  </conditionalFormatting>
  <conditionalFormatting sqref="AM81">
    <cfRule type="containsText" dxfId="3039" priority="1413" operator="containsText" text="AZ">
      <formula>NOT(ISERROR(SEARCH("AZ",AM81)))</formula>
    </cfRule>
    <cfRule type="containsText" dxfId="3038" priority="1414" operator="containsText" text="RO">
      <formula>NOT(ISERROR(SEARCH("RO",AM81)))</formula>
    </cfRule>
    <cfRule type="containsText" dxfId="3037" priority="1415" operator="containsText" text="AM">
      <formula>NOT(ISERROR(SEARCH("AM",AM81)))</formula>
    </cfRule>
    <cfRule type="containsText" dxfId="3036" priority="1416" operator="containsText" text="VE">
      <formula>NOT(ISERROR(SEARCH("VE",AM81)))</formula>
    </cfRule>
  </conditionalFormatting>
  <conditionalFormatting sqref="AM83">
    <cfRule type="containsText" dxfId="3035" priority="1409" operator="containsText" text="AZ">
      <formula>NOT(ISERROR(SEARCH("AZ",AM83)))</formula>
    </cfRule>
    <cfRule type="containsText" dxfId="3034" priority="1410" operator="containsText" text="RO">
      <formula>NOT(ISERROR(SEARCH("RO",AM83)))</formula>
    </cfRule>
    <cfRule type="containsText" dxfId="3033" priority="1411" operator="containsText" text="AM">
      <formula>NOT(ISERROR(SEARCH("AM",AM83)))</formula>
    </cfRule>
    <cfRule type="containsText" dxfId="3032" priority="1412" operator="containsText" text="VE">
      <formula>NOT(ISERROR(SEARCH("VE",AM83)))</formula>
    </cfRule>
  </conditionalFormatting>
  <conditionalFormatting sqref="AM84">
    <cfRule type="containsText" dxfId="3031" priority="1405" operator="containsText" text="AZ">
      <formula>NOT(ISERROR(SEARCH("AZ",AM84)))</formula>
    </cfRule>
    <cfRule type="containsText" dxfId="3030" priority="1406" operator="containsText" text="RO">
      <formula>NOT(ISERROR(SEARCH("RO",AM84)))</formula>
    </cfRule>
    <cfRule type="containsText" dxfId="3029" priority="1407" operator="containsText" text="AM">
      <formula>NOT(ISERROR(SEARCH("AM",AM84)))</formula>
    </cfRule>
    <cfRule type="containsText" dxfId="3028" priority="1408" operator="containsText" text="VE">
      <formula>NOT(ISERROR(SEARCH("VE",AM84)))</formula>
    </cfRule>
  </conditionalFormatting>
  <conditionalFormatting sqref="AM277">
    <cfRule type="containsText" dxfId="3027" priority="1401" operator="containsText" text="AZ">
      <formula>NOT(ISERROR(SEARCH("AZ",AM277)))</formula>
    </cfRule>
    <cfRule type="containsText" dxfId="3026" priority="1402" operator="containsText" text="RO">
      <formula>NOT(ISERROR(SEARCH("RO",AM277)))</formula>
    </cfRule>
    <cfRule type="containsText" dxfId="3025" priority="1403" operator="containsText" text="AM">
      <formula>NOT(ISERROR(SEARCH("AM",AM277)))</formula>
    </cfRule>
    <cfRule type="containsText" dxfId="3024" priority="1404" operator="containsText" text="VE">
      <formula>NOT(ISERROR(SEARCH("VE",AM277)))</formula>
    </cfRule>
  </conditionalFormatting>
  <conditionalFormatting sqref="AM279:AM285">
    <cfRule type="containsText" dxfId="3023" priority="1397" operator="containsText" text="AZ">
      <formula>NOT(ISERROR(SEARCH("AZ",AM279)))</formula>
    </cfRule>
    <cfRule type="containsText" dxfId="3022" priority="1398" operator="containsText" text="RO">
      <formula>NOT(ISERROR(SEARCH("RO",AM279)))</formula>
    </cfRule>
    <cfRule type="containsText" dxfId="3021" priority="1399" operator="containsText" text="AM">
      <formula>NOT(ISERROR(SEARCH("AM",AM279)))</formula>
    </cfRule>
    <cfRule type="containsText" dxfId="3020" priority="1400" operator="containsText" text="VE">
      <formula>NOT(ISERROR(SEARCH("VE",AM279)))</formula>
    </cfRule>
  </conditionalFormatting>
  <conditionalFormatting sqref="AM287:AM289">
    <cfRule type="containsText" dxfId="3019" priority="1393" operator="containsText" text="AZ">
      <formula>NOT(ISERROR(SEARCH("AZ",AM287)))</formula>
    </cfRule>
    <cfRule type="containsText" dxfId="3018" priority="1394" operator="containsText" text="RO">
      <formula>NOT(ISERROR(SEARCH("RO",AM287)))</formula>
    </cfRule>
    <cfRule type="containsText" dxfId="3017" priority="1395" operator="containsText" text="AM">
      <formula>NOT(ISERROR(SEARCH("AM",AM287)))</formula>
    </cfRule>
    <cfRule type="containsText" dxfId="3016" priority="1396" operator="containsText" text="VE">
      <formula>NOT(ISERROR(SEARCH("VE",AM287)))</formula>
    </cfRule>
  </conditionalFormatting>
  <conditionalFormatting sqref="AM278">
    <cfRule type="containsText" dxfId="3015" priority="1389" operator="containsText" text="AZ">
      <formula>NOT(ISERROR(SEARCH("AZ",AM278)))</formula>
    </cfRule>
    <cfRule type="containsText" dxfId="3014" priority="1390" operator="containsText" text="RO">
      <formula>NOT(ISERROR(SEARCH("RO",AM278)))</formula>
    </cfRule>
    <cfRule type="containsText" dxfId="3013" priority="1391" operator="containsText" text="AM">
      <formula>NOT(ISERROR(SEARCH("AM",AM278)))</formula>
    </cfRule>
    <cfRule type="containsText" dxfId="3012" priority="1392" operator="containsText" text="VE">
      <formula>NOT(ISERROR(SEARCH("VE",AM278)))</formula>
    </cfRule>
  </conditionalFormatting>
  <conditionalFormatting sqref="AM286">
    <cfRule type="containsText" dxfId="3011" priority="1385" operator="containsText" text="AZ">
      <formula>NOT(ISERROR(SEARCH("AZ",AM286)))</formula>
    </cfRule>
    <cfRule type="containsText" dxfId="3010" priority="1386" operator="containsText" text="RO">
      <formula>NOT(ISERROR(SEARCH("RO",AM286)))</formula>
    </cfRule>
    <cfRule type="containsText" dxfId="3009" priority="1387" operator="containsText" text="AM">
      <formula>NOT(ISERROR(SEARCH("AM",AM286)))</formula>
    </cfRule>
    <cfRule type="containsText" dxfId="3008" priority="1388" operator="containsText" text="VE">
      <formula>NOT(ISERROR(SEARCH("VE",AM286)))</formula>
    </cfRule>
  </conditionalFormatting>
  <conditionalFormatting sqref="AM88">
    <cfRule type="containsText" dxfId="3007" priority="1381" operator="containsText" text="AZ">
      <formula>NOT(ISERROR(SEARCH("AZ",AM88)))</formula>
    </cfRule>
    <cfRule type="containsText" dxfId="3006" priority="1382" operator="containsText" text="RO">
      <formula>NOT(ISERROR(SEARCH("RO",AM88)))</formula>
    </cfRule>
    <cfRule type="containsText" dxfId="3005" priority="1383" operator="containsText" text="AM">
      <formula>NOT(ISERROR(SEARCH("AM",AM88)))</formula>
    </cfRule>
    <cfRule type="containsText" dxfId="3004" priority="1384" operator="containsText" text="VE">
      <formula>NOT(ISERROR(SEARCH("VE",AM88)))</formula>
    </cfRule>
  </conditionalFormatting>
  <conditionalFormatting sqref="AM94">
    <cfRule type="containsText" dxfId="3003" priority="1377" operator="containsText" text="AZ">
      <formula>NOT(ISERROR(SEARCH("AZ",AM94)))</formula>
    </cfRule>
    <cfRule type="containsText" dxfId="3002" priority="1378" operator="containsText" text="RO">
      <formula>NOT(ISERROR(SEARCH("RO",AM94)))</formula>
    </cfRule>
    <cfRule type="containsText" dxfId="3001" priority="1379" operator="containsText" text="AM">
      <formula>NOT(ISERROR(SEARCH("AM",AM94)))</formula>
    </cfRule>
    <cfRule type="containsText" dxfId="3000" priority="1380" operator="containsText" text="VE">
      <formula>NOT(ISERROR(SEARCH("VE",AM94)))</formula>
    </cfRule>
  </conditionalFormatting>
  <conditionalFormatting sqref="AM95">
    <cfRule type="containsText" dxfId="2999" priority="1373" operator="containsText" text="AZ">
      <formula>NOT(ISERROR(SEARCH("AZ",AM95)))</formula>
    </cfRule>
    <cfRule type="containsText" dxfId="2998" priority="1374" operator="containsText" text="RO">
      <formula>NOT(ISERROR(SEARCH("RO",AM95)))</formula>
    </cfRule>
    <cfRule type="containsText" dxfId="2997" priority="1375" operator="containsText" text="AM">
      <formula>NOT(ISERROR(SEARCH("AM",AM95)))</formula>
    </cfRule>
    <cfRule type="containsText" dxfId="2996" priority="1376" operator="containsText" text="VE">
      <formula>NOT(ISERROR(SEARCH("VE",AM95)))</formula>
    </cfRule>
  </conditionalFormatting>
  <conditionalFormatting sqref="AM97">
    <cfRule type="containsText" dxfId="2995" priority="1369" operator="containsText" text="AZ">
      <formula>NOT(ISERROR(SEARCH("AZ",AM97)))</formula>
    </cfRule>
    <cfRule type="containsText" dxfId="2994" priority="1370" operator="containsText" text="RO">
      <formula>NOT(ISERROR(SEARCH("RO",AM97)))</formula>
    </cfRule>
    <cfRule type="containsText" dxfId="2993" priority="1371" operator="containsText" text="AM">
      <formula>NOT(ISERROR(SEARCH("AM",AM97)))</formula>
    </cfRule>
    <cfRule type="containsText" dxfId="2992" priority="1372" operator="containsText" text="VE">
      <formula>NOT(ISERROR(SEARCH("VE",AM97)))</formula>
    </cfRule>
  </conditionalFormatting>
  <conditionalFormatting sqref="AM96">
    <cfRule type="containsText" dxfId="2991" priority="1365" operator="containsText" text="AZ">
      <formula>NOT(ISERROR(SEARCH("AZ",AM96)))</formula>
    </cfRule>
    <cfRule type="containsText" dxfId="2990" priority="1366" operator="containsText" text="RO">
      <formula>NOT(ISERROR(SEARCH("RO",AM96)))</formula>
    </cfRule>
    <cfRule type="containsText" dxfId="2989" priority="1367" operator="containsText" text="AM">
      <formula>NOT(ISERROR(SEARCH("AM",AM96)))</formula>
    </cfRule>
    <cfRule type="containsText" dxfId="2988" priority="1368" operator="containsText" text="VE">
      <formula>NOT(ISERROR(SEARCH("VE",AM96)))</formula>
    </cfRule>
  </conditionalFormatting>
  <conditionalFormatting sqref="AM98">
    <cfRule type="containsText" dxfId="2987" priority="1361" operator="containsText" text="AZ">
      <formula>NOT(ISERROR(SEARCH("AZ",AM98)))</formula>
    </cfRule>
    <cfRule type="containsText" dxfId="2986" priority="1362" operator="containsText" text="RO">
      <formula>NOT(ISERROR(SEARCH("RO",AM98)))</formula>
    </cfRule>
    <cfRule type="containsText" dxfId="2985" priority="1363" operator="containsText" text="AM">
      <formula>NOT(ISERROR(SEARCH("AM",AM98)))</formula>
    </cfRule>
    <cfRule type="containsText" dxfId="2984" priority="1364" operator="containsText" text="VE">
      <formula>NOT(ISERROR(SEARCH("VE",AM98)))</formula>
    </cfRule>
  </conditionalFormatting>
  <conditionalFormatting sqref="AM100">
    <cfRule type="containsText" dxfId="2983" priority="1357" operator="containsText" text="AZ">
      <formula>NOT(ISERROR(SEARCH("AZ",AM100)))</formula>
    </cfRule>
    <cfRule type="containsText" dxfId="2982" priority="1358" operator="containsText" text="RO">
      <formula>NOT(ISERROR(SEARCH("RO",AM100)))</formula>
    </cfRule>
    <cfRule type="containsText" dxfId="2981" priority="1359" operator="containsText" text="AM">
      <formula>NOT(ISERROR(SEARCH("AM",AM100)))</formula>
    </cfRule>
    <cfRule type="containsText" dxfId="2980" priority="1360" operator="containsText" text="VE">
      <formula>NOT(ISERROR(SEARCH("VE",AM100)))</formula>
    </cfRule>
  </conditionalFormatting>
  <conditionalFormatting sqref="AM101">
    <cfRule type="containsText" dxfId="2979" priority="1353" operator="containsText" text="AZ">
      <formula>NOT(ISERROR(SEARCH("AZ",AM101)))</formula>
    </cfRule>
    <cfRule type="containsText" dxfId="2978" priority="1354" operator="containsText" text="RO">
      <formula>NOT(ISERROR(SEARCH("RO",AM101)))</formula>
    </cfRule>
    <cfRule type="containsText" dxfId="2977" priority="1355" operator="containsText" text="AM">
      <formula>NOT(ISERROR(SEARCH("AM",AM101)))</formula>
    </cfRule>
    <cfRule type="containsText" dxfId="2976" priority="1356" operator="containsText" text="VE">
      <formula>NOT(ISERROR(SEARCH("VE",AM101)))</formula>
    </cfRule>
  </conditionalFormatting>
  <conditionalFormatting sqref="AM102">
    <cfRule type="containsText" dxfId="2975" priority="1349" operator="containsText" text="AZ">
      <formula>NOT(ISERROR(SEARCH("AZ",AM102)))</formula>
    </cfRule>
    <cfRule type="containsText" dxfId="2974" priority="1350" operator="containsText" text="RO">
      <formula>NOT(ISERROR(SEARCH("RO",AM102)))</formula>
    </cfRule>
    <cfRule type="containsText" dxfId="2973" priority="1351" operator="containsText" text="AM">
      <formula>NOT(ISERROR(SEARCH("AM",AM102)))</formula>
    </cfRule>
    <cfRule type="containsText" dxfId="2972" priority="1352" operator="containsText" text="VE">
      <formula>NOT(ISERROR(SEARCH("VE",AM102)))</formula>
    </cfRule>
  </conditionalFormatting>
  <conditionalFormatting sqref="AM103">
    <cfRule type="containsText" dxfId="2971" priority="1345" operator="containsText" text="AZ">
      <formula>NOT(ISERROR(SEARCH("AZ",AM103)))</formula>
    </cfRule>
    <cfRule type="containsText" dxfId="2970" priority="1346" operator="containsText" text="RO">
      <formula>NOT(ISERROR(SEARCH("RO",AM103)))</formula>
    </cfRule>
    <cfRule type="containsText" dxfId="2969" priority="1347" operator="containsText" text="AM">
      <formula>NOT(ISERROR(SEARCH("AM",AM103)))</formula>
    </cfRule>
    <cfRule type="containsText" dxfId="2968" priority="1348" operator="containsText" text="VE">
      <formula>NOT(ISERROR(SEARCH("VE",AM103)))</formula>
    </cfRule>
  </conditionalFormatting>
  <conditionalFormatting sqref="AM104">
    <cfRule type="containsText" dxfId="2967" priority="1341" operator="containsText" text="AZ">
      <formula>NOT(ISERROR(SEARCH("AZ",AM104)))</formula>
    </cfRule>
    <cfRule type="containsText" dxfId="2966" priority="1342" operator="containsText" text="RO">
      <formula>NOT(ISERROR(SEARCH("RO",AM104)))</formula>
    </cfRule>
    <cfRule type="containsText" dxfId="2965" priority="1343" operator="containsText" text="AM">
      <formula>NOT(ISERROR(SEARCH("AM",AM104)))</formula>
    </cfRule>
    <cfRule type="containsText" dxfId="2964" priority="1344" operator="containsText" text="VE">
      <formula>NOT(ISERROR(SEARCH("VE",AM104)))</formula>
    </cfRule>
  </conditionalFormatting>
  <conditionalFormatting sqref="AM105">
    <cfRule type="containsText" dxfId="2963" priority="1337" operator="containsText" text="AZ">
      <formula>NOT(ISERROR(SEARCH("AZ",AM105)))</formula>
    </cfRule>
    <cfRule type="containsText" dxfId="2962" priority="1338" operator="containsText" text="RO">
      <formula>NOT(ISERROR(SEARCH("RO",AM105)))</formula>
    </cfRule>
    <cfRule type="containsText" dxfId="2961" priority="1339" operator="containsText" text="AM">
      <formula>NOT(ISERROR(SEARCH("AM",AM105)))</formula>
    </cfRule>
    <cfRule type="containsText" dxfId="2960" priority="1340" operator="containsText" text="VE">
      <formula>NOT(ISERROR(SEARCH("VE",AM105)))</formula>
    </cfRule>
  </conditionalFormatting>
  <conditionalFormatting sqref="AM106">
    <cfRule type="containsText" dxfId="2959" priority="1333" operator="containsText" text="AZ">
      <formula>NOT(ISERROR(SEARCH("AZ",AM106)))</formula>
    </cfRule>
    <cfRule type="containsText" dxfId="2958" priority="1334" operator="containsText" text="RO">
      <formula>NOT(ISERROR(SEARCH("RO",AM106)))</formula>
    </cfRule>
    <cfRule type="containsText" dxfId="2957" priority="1335" operator="containsText" text="AM">
      <formula>NOT(ISERROR(SEARCH("AM",AM106)))</formula>
    </cfRule>
    <cfRule type="containsText" dxfId="2956" priority="1336" operator="containsText" text="VE">
      <formula>NOT(ISERROR(SEARCH("VE",AM106)))</formula>
    </cfRule>
  </conditionalFormatting>
  <conditionalFormatting sqref="AM107">
    <cfRule type="containsText" dxfId="2955" priority="1329" operator="containsText" text="AZ">
      <formula>NOT(ISERROR(SEARCH("AZ",AM107)))</formula>
    </cfRule>
    <cfRule type="containsText" dxfId="2954" priority="1330" operator="containsText" text="RO">
      <formula>NOT(ISERROR(SEARCH("RO",AM107)))</formula>
    </cfRule>
    <cfRule type="containsText" dxfId="2953" priority="1331" operator="containsText" text="AM">
      <formula>NOT(ISERROR(SEARCH("AM",AM107)))</formula>
    </cfRule>
    <cfRule type="containsText" dxfId="2952" priority="1332" operator="containsText" text="VE">
      <formula>NOT(ISERROR(SEARCH("VE",AM107)))</formula>
    </cfRule>
  </conditionalFormatting>
  <conditionalFormatting sqref="AM91:AM93">
    <cfRule type="containsText" dxfId="2951" priority="1325" operator="containsText" text="AZ">
      <formula>NOT(ISERROR(SEARCH("AZ",AM91)))</formula>
    </cfRule>
    <cfRule type="containsText" dxfId="2950" priority="1326" operator="containsText" text="RO">
      <formula>NOT(ISERROR(SEARCH("RO",AM91)))</formula>
    </cfRule>
    <cfRule type="containsText" dxfId="2949" priority="1327" operator="containsText" text="AM">
      <formula>NOT(ISERROR(SEARCH("AM",AM91)))</formula>
    </cfRule>
    <cfRule type="containsText" dxfId="2948" priority="1328" operator="containsText" text="VE">
      <formula>NOT(ISERROR(SEARCH("VE",AM91)))</formula>
    </cfRule>
  </conditionalFormatting>
  <conditionalFormatting sqref="AM89:AM90">
    <cfRule type="containsText" dxfId="2947" priority="1321" operator="containsText" text="AZ">
      <formula>NOT(ISERROR(SEARCH("AZ",AM89)))</formula>
    </cfRule>
    <cfRule type="containsText" dxfId="2946" priority="1322" operator="containsText" text="RO">
      <formula>NOT(ISERROR(SEARCH("RO",AM89)))</formula>
    </cfRule>
    <cfRule type="containsText" dxfId="2945" priority="1323" operator="containsText" text="AM">
      <formula>NOT(ISERROR(SEARCH("AM",AM89)))</formula>
    </cfRule>
    <cfRule type="containsText" dxfId="2944" priority="1324" operator="containsText" text="VE">
      <formula>NOT(ISERROR(SEARCH("VE",AM89)))</formula>
    </cfRule>
  </conditionalFormatting>
  <conditionalFormatting sqref="AM9">
    <cfRule type="containsText" dxfId="2943" priority="1317" operator="containsText" text="AZ">
      <formula>NOT(ISERROR(SEARCH("AZ",AM9)))</formula>
    </cfRule>
    <cfRule type="containsText" dxfId="2942" priority="1318" operator="containsText" text="RO">
      <formula>NOT(ISERROR(SEARCH("RO",AM9)))</formula>
    </cfRule>
    <cfRule type="containsText" dxfId="2941" priority="1319" operator="containsText" text="AM">
      <formula>NOT(ISERROR(SEARCH("AM",AM9)))</formula>
    </cfRule>
    <cfRule type="containsText" dxfId="2940" priority="1320" operator="containsText" text="VE">
      <formula>NOT(ISERROR(SEARCH("VE",AM9)))</formula>
    </cfRule>
  </conditionalFormatting>
  <conditionalFormatting sqref="AM10">
    <cfRule type="containsText" dxfId="2939" priority="1313" operator="containsText" text="AZ">
      <formula>NOT(ISERROR(SEARCH("AZ",AM10)))</formula>
    </cfRule>
    <cfRule type="containsText" dxfId="2938" priority="1314" operator="containsText" text="RO">
      <formula>NOT(ISERROR(SEARCH("RO",AM10)))</formula>
    </cfRule>
    <cfRule type="containsText" dxfId="2937" priority="1315" operator="containsText" text="AM">
      <formula>NOT(ISERROR(SEARCH("AM",AM10)))</formula>
    </cfRule>
    <cfRule type="containsText" dxfId="2936" priority="1316" operator="containsText" text="VE">
      <formula>NOT(ISERROR(SEARCH("VE",AM10)))</formula>
    </cfRule>
  </conditionalFormatting>
  <conditionalFormatting sqref="AM11">
    <cfRule type="containsText" dxfId="2935" priority="1309" operator="containsText" text="AZ">
      <formula>NOT(ISERROR(SEARCH("AZ",AM11)))</formula>
    </cfRule>
    <cfRule type="containsText" dxfId="2934" priority="1310" operator="containsText" text="RO">
      <formula>NOT(ISERROR(SEARCH("RO",AM11)))</formula>
    </cfRule>
    <cfRule type="containsText" dxfId="2933" priority="1311" operator="containsText" text="AM">
      <formula>NOT(ISERROR(SEARCH("AM",AM11)))</formula>
    </cfRule>
    <cfRule type="containsText" dxfId="2932" priority="1312" operator="containsText" text="VE">
      <formula>NOT(ISERROR(SEARCH("VE",AM11)))</formula>
    </cfRule>
  </conditionalFormatting>
  <conditionalFormatting sqref="AM12:AM15">
    <cfRule type="containsText" dxfId="2931" priority="1305" operator="containsText" text="AZ">
      <formula>NOT(ISERROR(SEARCH("AZ",AM12)))</formula>
    </cfRule>
    <cfRule type="containsText" dxfId="2930" priority="1306" operator="containsText" text="RO">
      <formula>NOT(ISERROR(SEARCH("RO",AM12)))</formula>
    </cfRule>
    <cfRule type="containsText" dxfId="2929" priority="1307" operator="containsText" text="AM">
      <formula>NOT(ISERROR(SEARCH("AM",AM12)))</formula>
    </cfRule>
    <cfRule type="containsText" dxfId="2928" priority="1308" operator="containsText" text="VE">
      <formula>NOT(ISERROR(SEARCH("VE",AM12)))</formula>
    </cfRule>
  </conditionalFormatting>
  <conditionalFormatting sqref="AM16:AM17">
    <cfRule type="containsText" dxfId="2927" priority="1301" operator="containsText" text="AZ">
      <formula>NOT(ISERROR(SEARCH("AZ",AM16)))</formula>
    </cfRule>
    <cfRule type="containsText" dxfId="2926" priority="1302" operator="containsText" text="RO">
      <formula>NOT(ISERROR(SEARCH("RO",AM16)))</formula>
    </cfRule>
    <cfRule type="containsText" dxfId="2925" priority="1303" operator="containsText" text="AM">
      <formula>NOT(ISERROR(SEARCH("AM",AM16)))</formula>
    </cfRule>
    <cfRule type="containsText" dxfId="2924" priority="1304" operator="containsText" text="VE">
      <formula>NOT(ISERROR(SEARCH("VE",AM16)))</formula>
    </cfRule>
  </conditionalFormatting>
  <conditionalFormatting sqref="AM18:AM19">
    <cfRule type="containsText" dxfId="2923" priority="1297" operator="containsText" text="AZ">
      <formula>NOT(ISERROR(SEARCH("AZ",AM18)))</formula>
    </cfRule>
    <cfRule type="containsText" dxfId="2922" priority="1298" operator="containsText" text="RO">
      <formula>NOT(ISERROR(SEARCH("RO",AM18)))</formula>
    </cfRule>
    <cfRule type="containsText" dxfId="2921" priority="1299" operator="containsText" text="AM">
      <formula>NOT(ISERROR(SEARCH("AM",AM18)))</formula>
    </cfRule>
    <cfRule type="containsText" dxfId="2920" priority="1300" operator="containsText" text="VE">
      <formula>NOT(ISERROR(SEARCH("VE",AM18)))</formula>
    </cfRule>
  </conditionalFormatting>
  <conditionalFormatting sqref="AM20">
    <cfRule type="containsText" dxfId="2919" priority="1293" operator="containsText" text="AZ">
      <formula>NOT(ISERROR(SEARCH("AZ",AM20)))</formula>
    </cfRule>
    <cfRule type="containsText" dxfId="2918" priority="1294" operator="containsText" text="RO">
      <formula>NOT(ISERROR(SEARCH("RO",AM20)))</formula>
    </cfRule>
    <cfRule type="containsText" dxfId="2917" priority="1295" operator="containsText" text="AM">
      <formula>NOT(ISERROR(SEARCH("AM",AM20)))</formula>
    </cfRule>
    <cfRule type="containsText" dxfId="2916" priority="1296" operator="containsText" text="VE">
      <formula>NOT(ISERROR(SEARCH("VE",AM20)))</formula>
    </cfRule>
  </conditionalFormatting>
  <conditionalFormatting sqref="AM21">
    <cfRule type="containsText" dxfId="2915" priority="1289" operator="containsText" text="AZ">
      <formula>NOT(ISERROR(SEARCH("AZ",AM21)))</formula>
    </cfRule>
    <cfRule type="containsText" dxfId="2914" priority="1290" operator="containsText" text="RO">
      <formula>NOT(ISERROR(SEARCH("RO",AM21)))</formula>
    </cfRule>
    <cfRule type="containsText" dxfId="2913" priority="1291" operator="containsText" text="AM">
      <formula>NOT(ISERROR(SEARCH("AM",AM21)))</formula>
    </cfRule>
    <cfRule type="containsText" dxfId="2912" priority="1292" operator="containsText" text="VE">
      <formula>NOT(ISERROR(SEARCH("VE",AM21)))</formula>
    </cfRule>
  </conditionalFormatting>
  <conditionalFormatting sqref="AM23">
    <cfRule type="containsText" dxfId="2911" priority="1285" operator="containsText" text="AZ">
      <formula>NOT(ISERROR(SEARCH("AZ",AM23)))</formula>
    </cfRule>
    <cfRule type="containsText" dxfId="2910" priority="1286" operator="containsText" text="RO">
      <formula>NOT(ISERROR(SEARCH("RO",AM23)))</formula>
    </cfRule>
    <cfRule type="containsText" dxfId="2909" priority="1287" operator="containsText" text="AM">
      <formula>NOT(ISERROR(SEARCH("AM",AM23)))</formula>
    </cfRule>
    <cfRule type="containsText" dxfId="2908" priority="1288" operator="containsText" text="VE">
      <formula>NOT(ISERROR(SEARCH("VE",AM23)))</formula>
    </cfRule>
  </conditionalFormatting>
  <conditionalFormatting sqref="AM22">
    <cfRule type="containsText" dxfId="2907" priority="1281" operator="containsText" text="AZ">
      <formula>NOT(ISERROR(SEARCH("AZ",AM22)))</formula>
    </cfRule>
    <cfRule type="containsText" dxfId="2906" priority="1282" operator="containsText" text="RO">
      <formula>NOT(ISERROR(SEARCH("RO",AM22)))</formula>
    </cfRule>
    <cfRule type="containsText" dxfId="2905" priority="1283" operator="containsText" text="AM">
      <formula>NOT(ISERROR(SEARCH("AM",AM22)))</formula>
    </cfRule>
    <cfRule type="containsText" dxfId="2904" priority="1284" operator="containsText" text="VE">
      <formula>NOT(ISERROR(SEARCH("VE",AM22)))</formula>
    </cfRule>
  </conditionalFormatting>
  <conditionalFormatting sqref="AM25">
    <cfRule type="containsText" dxfId="2903" priority="1277" operator="containsText" text="AZ">
      <formula>NOT(ISERROR(SEARCH("AZ",AM25)))</formula>
    </cfRule>
    <cfRule type="containsText" dxfId="2902" priority="1278" operator="containsText" text="RO">
      <formula>NOT(ISERROR(SEARCH("RO",AM25)))</formula>
    </cfRule>
    <cfRule type="containsText" dxfId="2901" priority="1279" operator="containsText" text="AM">
      <formula>NOT(ISERROR(SEARCH("AM",AM25)))</formula>
    </cfRule>
    <cfRule type="containsText" dxfId="2900" priority="1280" operator="containsText" text="VE">
      <formula>NOT(ISERROR(SEARCH("VE",AM25)))</formula>
    </cfRule>
  </conditionalFormatting>
  <conditionalFormatting sqref="AM26">
    <cfRule type="containsText" dxfId="2899" priority="1273" operator="containsText" text="AZ">
      <formula>NOT(ISERROR(SEARCH("AZ",AM26)))</formula>
    </cfRule>
    <cfRule type="containsText" dxfId="2898" priority="1274" operator="containsText" text="RO">
      <formula>NOT(ISERROR(SEARCH("RO",AM26)))</formula>
    </cfRule>
    <cfRule type="containsText" dxfId="2897" priority="1275" operator="containsText" text="AM">
      <formula>NOT(ISERROR(SEARCH("AM",AM26)))</formula>
    </cfRule>
    <cfRule type="containsText" dxfId="2896" priority="1276" operator="containsText" text="VE">
      <formula>NOT(ISERROR(SEARCH("VE",AM26)))</formula>
    </cfRule>
  </conditionalFormatting>
  <conditionalFormatting sqref="AM27">
    <cfRule type="containsText" dxfId="2895" priority="1269" operator="containsText" text="AZ">
      <formula>NOT(ISERROR(SEARCH("AZ",AM27)))</formula>
    </cfRule>
    <cfRule type="containsText" dxfId="2894" priority="1270" operator="containsText" text="RO">
      <formula>NOT(ISERROR(SEARCH("RO",AM27)))</formula>
    </cfRule>
    <cfRule type="containsText" dxfId="2893" priority="1271" operator="containsText" text="AM">
      <formula>NOT(ISERROR(SEARCH("AM",AM27)))</formula>
    </cfRule>
    <cfRule type="containsText" dxfId="2892" priority="1272" operator="containsText" text="VE">
      <formula>NOT(ISERROR(SEARCH("VE",AM27)))</formula>
    </cfRule>
  </conditionalFormatting>
  <conditionalFormatting sqref="AM28">
    <cfRule type="containsText" dxfId="2891" priority="1265" operator="containsText" text="AZ">
      <formula>NOT(ISERROR(SEARCH("AZ",AM28)))</formula>
    </cfRule>
    <cfRule type="containsText" dxfId="2890" priority="1266" operator="containsText" text="RO">
      <formula>NOT(ISERROR(SEARCH("RO",AM28)))</formula>
    </cfRule>
    <cfRule type="containsText" dxfId="2889" priority="1267" operator="containsText" text="AM">
      <formula>NOT(ISERROR(SEARCH("AM",AM28)))</formula>
    </cfRule>
    <cfRule type="containsText" dxfId="2888" priority="1268" operator="containsText" text="VE">
      <formula>NOT(ISERROR(SEARCH("VE",AM28)))</formula>
    </cfRule>
  </conditionalFormatting>
  <conditionalFormatting sqref="AM30">
    <cfRule type="containsText" dxfId="2887" priority="1261" operator="containsText" text="AZ">
      <formula>NOT(ISERROR(SEARCH("AZ",AM30)))</formula>
    </cfRule>
    <cfRule type="containsText" dxfId="2886" priority="1262" operator="containsText" text="RO">
      <formula>NOT(ISERROR(SEARCH("RO",AM30)))</formula>
    </cfRule>
    <cfRule type="containsText" dxfId="2885" priority="1263" operator="containsText" text="AM">
      <formula>NOT(ISERROR(SEARCH("AM",AM30)))</formula>
    </cfRule>
    <cfRule type="containsText" dxfId="2884" priority="1264" operator="containsText" text="VE">
      <formula>NOT(ISERROR(SEARCH("VE",AM30)))</formula>
    </cfRule>
  </conditionalFormatting>
  <conditionalFormatting sqref="AM29">
    <cfRule type="containsText" dxfId="2883" priority="1257" operator="containsText" text="AZ">
      <formula>NOT(ISERROR(SEARCH("AZ",AM29)))</formula>
    </cfRule>
    <cfRule type="containsText" dxfId="2882" priority="1258" operator="containsText" text="RO">
      <formula>NOT(ISERROR(SEARCH("RO",AM29)))</formula>
    </cfRule>
    <cfRule type="containsText" dxfId="2881" priority="1259" operator="containsText" text="AM">
      <formula>NOT(ISERROR(SEARCH("AM",AM29)))</formula>
    </cfRule>
    <cfRule type="containsText" dxfId="2880" priority="1260" operator="containsText" text="VE">
      <formula>NOT(ISERROR(SEARCH("VE",AM29)))</formula>
    </cfRule>
  </conditionalFormatting>
  <conditionalFormatting sqref="AM31:AM32">
    <cfRule type="containsText" dxfId="2879" priority="1253" operator="containsText" text="AZ">
      <formula>NOT(ISERROR(SEARCH("AZ",AM31)))</formula>
    </cfRule>
    <cfRule type="containsText" dxfId="2878" priority="1254" operator="containsText" text="RO">
      <formula>NOT(ISERROR(SEARCH("RO",AM31)))</formula>
    </cfRule>
    <cfRule type="containsText" dxfId="2877" priority="1255" operator="containsText" text="AM">
      <formula>NOT(ISERROR(SEARCH("AM",AM31)))</formula>
    </cfRule>
    <cfRule type="containsText" dxfId="2876" priority="1256" operator="containsText" text="VE">
      <formula>NOT(ISERROR(SEARCH("VE",AM31)))</formula>
    </cfRule>
  </conditionalFormatting>
  <conditionalFormatting sqref="AM35">
    <cfRule type="containsText" dxfId="2875" priority="1249" operator="containsText" text="AZ">
      <formula>NOT(ISERROR(SEARCH("AZ",AM35)))</formula>
    </cfRule>
    <cfRule type="containsText" dxfId="2874" priority="1250" operator="containsText" text="RO">
      <formula>NOT(ISERROR(SEARCH("RO",AM35)))</formula>
    </cfRule>
    <cfRule type="containsText" dxfId="2873" priority="1251" operator="containsText" text="AM">
      <formula>NOT(ISERROR(SEARCH("AM",AM35)))</formula>
    </cfRule>
    <cfRule type="containsText" dxfId="2872" priority="1252" operator="containsText" text="VE">
      <formula>NOT(ISERROR(SEARCH("VE",AM35)))</formula>
    </cfRule>
  </conditionalFormatting>
  <conditionalFormatting sqref="AM33">
    <cfRule type="containsText" dxfId="2871" priority="1245" operator="containsText" text="AZ">
      <formula>NOT(ISERROR(SEARCH("AZ",AM33)))</formula>
    </cfRule>
    <cfRule type="containsText" dxfId="2870" priority="1246" operator="containsText" text="RO">
      <formula>NOT(ISERROR(SEARCH("RO",AM33)))</formula>
    </cfRule>
    <cfRule type="containsText" dxfId="2869" priority="1247" operator="containsText" text="AM">
      <formula>NOT(ISERROR(SEARCH("AM",AM33)))</formula>
    </cfRule>
    <cfRule type="containsText" dxfId="2868" priority="1248" operator="containsText" text="VE">
      <formula>NOT(ISERROR(SEARCH("VE",AM33)))</formula>
    </cfRule>
  </conditionalFormatting>
  <conditionalFormatting sqref="AM38">
    <cfRule type="containsText" dxfId="2867" priority="1241" operator="containsText" text="AZ">
      <formula>NOT(ISERROR(SEARCH("AZ",AM38)))</formula>
    </cfRule>
    <cfRule type="containsText" dxfId="2866" priority="1242" operator="containsText" text="RO">
      <formula>NOT(ISERROR(SEARCH("RO",AM38)))</formula>
    </cfRule>
    <cfRule type="containsText" dxfId="2865" priority="1243" operator="containsText" text="AM">
      <formula>NOT(ISERROR(SEARCH("AM",AM38)))</formula>
    </cfRule>
    <cfRule type="containsText" dxfId="2864" priority="1244" operator="containsText" text="VE">
      <formula>NOT(ISERROR(SEARCH("VE",AM38)))</formula>
    </cfRule>
  </conditionalFormatting>
  <conditionalFormatting sqref="AM36:AM37">
    <cfRule type="containsText" dxfId="2863" priority="1237" operator="containsText" text="AZ">
      <formula>NOT(ISERROR(SEARCH("AZ",AM36)))</formula>
    </cfRule>
    <cfRule type="containsText" dxfId="2862" priority="1238" operator="containsText" text="RO">
      <formula>NOT(ISERROR(SEARCH("RO",AM36)))</formula>
    </cfRule>
    <cfRule type="containsText" dxfId="2861" priority="1239" operator="containsText" text="AM">
      <formula>NOT(ISERROR(SEARCH("AM",AM36)))</formula>
    </cfRule>
    <cfRule type="containsText" dxfId="2860" priority="1240" operator="containsText" text="VE">
      <formula>NOT(ISERROR(SEARCH("VE",AM36)))</formula>
    </cfRule>
  </conditionalFormatting>
  <conditionalFormatting sqref="AM39:AM40">
    <cfRule type="containsText" dxfId="2859" priority="1233" operator="containsText" text="AZ">
      <formula>NOT(ISERROR(SEARCH("AZ",AM39)))</formula>
    </cfRule>
    <cfRule type="containsText" dxfId="2858" priority="1234" operator="containsText" text="RO">
      <formula>NOT(ISERROR(SEARCH("RO",AM39)))</formula>
    </cfRule>
    <cfRule type="containsText" dxfId="2857" priority="1235" operator="containsText" text="AM">
      <formula>NOT(ISERROR(SEARCH("AM",AM39)))</formula>
    </cfRule>
    <cfRule type="containsText" dxfId="2856" priority="1236" operator="containsText" text="VE">
      <formula>NOT(ISERROR(SEARCH("VE",AM39)))</formula>
    </cfRule>
  </conditionalFormatting>
  <conditionalFormatting sqref="AM44">
    <cfRule type="containsText" dxfId="2855" priority="1229" operator="containsText" text="AZ">
      <formula>NOT(ISERROR(SEARCH("AZ",AM44)))</formula>
    </cfRule>
    <cfRule type="containsText" dxfId="2854" priority="1230" operator="containsText" text="RO">
      <formula>NOT(ISERROR(SEARCH("RO",AM44)))</formula>
    </cfRule>
    <cfRule type="containsText" dxfId="2853" priority="1231" operator="containsText" text="AM">
      <formula>NOT(ISERROR(SEARCH("AM",AM44)))</formula>
    </cfRule>
    <cfRule type="containsText" dxfId="2852" priority="1232" operator="containsText" text="VE">
      <formula>NOT(ISERROR(SEARCH("VE",AM44)))</formula>
    </cfRule>
  </conditionalFormatting>
  <conditionalFormatting sqref="AM45:AM47">
    <cfRule type="containsText" dxfId="2851" priority="1225" operator="containsText" text="AZ">
      <formula>NOT(ISERROR(SEARCH("AZ",AM45)))</formula>
    </cfRule>
    <cfRule type="containsText" dxfId="2850" priority="1226" operator="containsText" text="RO">
      <formula>NOT(ISERROR(SEARCH("RO",AM45)))</formula>
    </cfRule>
    <cfRule type="containsText" dxfId="2849" priority="1227" operator="containsText" text="AM">
      <formula>NOT(ISERROR(SEARCH("AM",AM45)))</formula>
    </cfRule>
    <cfRule type="containsText" dxfId="2848" priority="1228" operator="containsText" text="VE">
      <formula>NOT(ISERROR(SEARCH("VE",AM45)))</formula>
    </cfRule>
  </conditionalFormatting>
  <conditionalFormatting sqref="AM228">
    <cfRule type="containsText" dxfId="2847" priority="1221" operator="containsText" text="AZ">
      <formula>NOT(ISERROR(SEARCH("AZ",AM228)))</formula>
    </cfRule>
    <cfRule type="containsText" dxfId="2846" priority="1222" operator="containsText" text="RO">
      <formula>NOT(ISERROR(SEARCH("RO",AM228)))</formula>
    </cfRule>
    <cfRule type="containsText" dxfId="2845" priority="1223" operator="containsText" text="AM">
      <formula>NOT(ISERROR(SEARCH("AM",AM228)))</formula>
    </cfRule>
    <cfRule type="containsText" dxfId="2844" priority="1224" operator="containsText" text="VE">
      <formula>NOT(ISERROR(SEARCH("VE",AM228)))</formula>
    </cfRule>
  </conditionalFormatting>
  <conditionalFormatting sqref="AM229:AM230">
    <cfRule type="containsText" dxfId="2843" priority="1217" operator="containsText" text="AZ">
      <formula>NOT(ISERROR(SEARCH("AZ",AM229)))</formula>
    </cfRule>
    <cfRule type="containsText" dxfId="2842" priority="1218" operator="containsText" text="RO">
      <formula>NOT(ISERROR(SEARCH("RO",AM229)))</formula>
    </cfRule>
    <cfRule type="containsText" dxfId="2841" priority="1219" operator="containsText" text="AM">
      <formula>NOT(ISERROR(SEARCH("AM",AM229)))</formula>
    </cfRule>
    <cfRule type="containsText" dxfId="2840" priority="1220" operator="containsText" text="VE">
      <formula>NOT(ISERROR(SEARCH("VE",AM229)))</formula>
    </cfRule>
  </conditionalFormatting>
  <conditionalFormatting sqref="AM231">
    <cfRule type="containsText" dxfId="2839" priority="1213" operator="containsText" text="AZ">
      <formula>NOT(ISERROR(SEARCH("AZ",AM231)))</formula>
    </cfRule>
    <cfRule type="containsText" dxfId="2838" priority="1214" operator="containsText" text="RO">
      <formula>NOT(ISERROR(SEARCH("RO",AM231)))</formula>
    </cfRule>
    <cfRule type="containsText" dxfId="2837" priority="1215" operator="containsText" text="AM">
      <formula>NOT(ISERROR(SEARCH("AM",AM231)))</formula>
    </cfRule>
    <cfRule type="containsText" dxfId="2836" priority="1216" operator="containsText" text="VE">
      <formula>NOT(ISERROR(SEARCH("VE",AM231)))</formula>
    </cfRule>
  </conditionalFormatting>
  <conditionalFormatting sqref="AM232:AM234">
    <cfRule type="containsText" dxfId="2835" priority="1209" operator="containsText" text="AZ">
      <formula>NOT(ISERROR(SEARCH("AZ",AM232)))</formula>
    </cfRule>
    <cfRule type="containsText" dxfId="2834" priority="1210" operator="containsText" text="RO">
      <formula>NOT(ISERROR(SEARCH("RO",AM232)))</formula>
    </cfRule>
    <cfRule type="containsText" dxfId="2833" priority="1211" operator="containsText" text="AM">
      <formula>NOT(ISERROR(SEARCH("AM",AM232)))</formula>
    </cfRule>
    <cfRule type="containsText" dxfId="2832" priority="1212" operator="containsText" text="VE">
      <formula>NOT(ISERROR(SEARCH("VE",AM232)))</formula>
    </cfRule>
  </conditionalFormatting>
  <conditionalFormatting sqref="AM244">
    <cfRule type="containsText" dxfId="2831" priority="1205" operator="containsText" text="AZ">
      <formula>NOT(ISERROR(SEARCH("AZ",AM244)))</formula>
    </cfRule>
    <cfRule type="containsText" dxfId="2830" priority="1206" operator="containsText" text="RO">
      <formula>NOT(ISERROR(SEARCH("RO",AM244)))</formula>
    </cfRule>
    <cfRule type="containsText" dxfId="2829" priority="1207" operator="containsText" text="AM">
      <formula>NOT(ISERROR(SEARCH("AM",AM244)))</formula>
    </cfRule>
    <cfRule type="containsText" dxfId="2828" priority="1208" operator="containsText" text="VE">
      <formula>NOT(ISERROR(SEARCH("VE",AM244)))</formula>
    </cfRule>
  </conditionalFormatting>
  <conditionalFormatting sqref="AM245">
    <cfRule type="containsText" dxfId="2827" priority="1201" operator="containsText" text="AZ">
      <formula>NOT(ISERROR(SEARCH("AZ",AM245)))</formula>
    </cfRule>
    <cfRule type="containsText" dxfId="2826" priority="1202" operator="containsText" text="RO">
      <formula>NOT(ISERROR(SEARCH("RO",AM245)))</formula>
    </cfRule>
    <cfRule type="containsText" dxfId="2825" priority="1203" operator="containsText" text="AM">
      <formula>NOT(ISERROR(SEARCH("AM",AM245)))</formula>
    </cfRule>
    <cfRule type="containsText" dxfId="2824" priority="1204" operator="containsText" text="VE">
      <formula>NOT(ISERROR(SEARCH("VE",AM245)))</formula>
    </cfRule>
  </conditionalFormatting>
  <conditionalFormatting sqref="AM246">
    <cfRule type="containsText" dxfId="2823" priority="1197" operator="containsText" text="AZ">
      <formula>NOT(ISERROR(SEARCH("AZ",AM246)))</formula>
    </cfRule>
    <cfRule type="containsText" dxfId="2822" priority="1198" operator="containsText" text="RO">
      <formula>NOT(ISERROR(SEARCH("RO",AM246)))</formula>
    </cfRule>
    <cfRule type="containsText" dxfId="2821" priority="1199" operator="containsText" text="AM">
      <formula>NOT(ISERROR(SEARCH("AM",AM246)))</formula>
    </cfRule>
    <cfRule type="containsText" dxfId="2820" priority="1200" operator="containsText" text="VE">
      <formula>NOT(ISERROR(SEARCH("VE",AM246)))</formula>
    </cfRule>
  </conditionalFormatting>
  <conditionalFormatting sqref="AM247">
    <cfRule type="containsText" dxfId="2819" priority="1193" operator="containsText" text="AZ">
      <formula>NOT(ISERROR(SEARCH("AZ",AM247)))</formula>
    </cfRule>
    <cfRule type="containsText" dxfId="2818" priority="1194" operator="containsText" text="RO">
      <formula>NOT(ISERROR(SEARCH("RO",AM247)))</formula>
    </cfRule>
    <cfRule type="containsText" dxfId="2817" priority="1195" operator="containsText" text="AM">
      <formula>NOT(ISERROR(SEARCH("AM",AM247)))</formula>
    </cfRule>
    <cfRule type="containsText" dxfId="2816" priority="1196" operator="containsText" text="VE">
      <formula>NOT(ISERROR(SEARCH("VE",AM247)))</formula>
    </cfRule>
  </conditionalFormatting>
  <conditionalFormatting sqref="AM248">
    <cfRule type="containsText" dxfId="2815" priority="1189" operator="containsText" text="AZ">
      <formula>NOT(ISERROR(SEARCH("AZ",AM248)))</formula>
    </cfRule>
    <cfRule type="containsText" dxfId="2814" priority="1190" operator="containsText" text="RO">
      <formula>NOT(ISERROR(SEARCH("RO",AM248)))</formula>
    </cfRule>
    <cfRule type="containsText" dxfId="2813" priority="1191" operator="containsText" text="AM">
      <formula>NOT(ISERROR(SEARCH("AM",AM248)))</formula>
    </cfRule>
    <cfRule type="containsText" dxfId="2812" priority="1192" operator="containsText" text="VE">
      <formula>NOT(ISERROR(SEARCH("VE",AM248)))</formula>
    </cfRule>
  </conditionalFormatting>
  <conditionalFormatting sqref="AM249:AM252">
    <cfRule type="containsText" dxfId="2811" priority="1185" operator="containsText" text="AZ">
      <formula>NOT(ISERROR(SEARCH("AZ",AM249)))</formula>
    </cfRule>
    <cfRule type="containsText" dxfId="2810" priority="1186" operator="containsText" text="RO">
      <formula>NOT(ISERROR(SEARCH("RO",AM249)))</formula>
    </cfRule>
    <cfRule type="containsText" dxfId="2809" priority="1187" operator="containsText" text="AM">
      <formula>NOT(ISERROR(SEARCH("AM",AM249)))</formula>
    </cfRule>
    <cfRule type="containsText" dxfId="2808" priority="1188" operator="containsText" text="VE">
      <formula>NOT(ISERROR(SEARCH("VE",AM249)))</formula>
    </cfRule>
  </conditionalFormatting>
  <conditionalFormatting sqref="AM253">
    <cfRule type="containsText" dxfId="2807" priority="1181" operator="containsText" text="AZ">
      <formula>NOT(ISERROR(SEARCH("AZ",AM253)))</formula>
    </cfRule>
    <cfRule type="containsText" dxfId="2806" priority="1182" operator="containsText" text="RO">
      <formula>NOT(ISERROR(SEARCH("RO",AM253)))</formula>
    </cfRule>
    <cfRule type="containsText" dxfId="2805" priority="1183" operator="containsText" text="AM">
      <formula>NOT(ISERROR(SEARCH("AM",AM253)))</formula>
    </cfRule>
    <cfRule type="containsText" dxfId="2804" priority="1184" operator="containsText" text="VE">
      <formula>NOT(ISERROR(SEARCH("VE",AM253)))</formula>
    </cfRule>
  </conditionalFormatting>
  <conditionalFormatting sqref="AM254">
    <cfRule type="containsText" dxfId="2803" priority="1177" operator="containsText" text="AZ">
      <formula>NOT(ISERROR(SEARCH("AZ",AM254)))</formula>
    </cfRule>
    <cfRule type="containsText" dxfId="2802" priority="1178" operator="containsText" text="RO">
      <formula>NOT(ISERROR(SEARCH("RO",AM254)))</formula>
    </cfRule>
    <cfRule type="containsText" dxfId="2801" priority="1179" operator="containsText" text="AM">
      <formula>NOT(ISERROR(SEARCH("AM",AM254)))</formula>
    </cfRule>
    <cfRule type="containsText" dxfId="2800" priority="1180" operator="containsText" text="VE">
      <formula>NOT(ISERROR(SEARCH("VE",AM254)))</formula>
    </cfRule>
  </conditionalFormatting>
  <conditionalFormatting sqref="AM255">
    <cfRule type="containsText" dxfId="2799" priority="1173" operator="containsText" text="AZ">
      <formula>NOT(ISERROR(SEARCH("AZ",AM255)))</formula>
    </cfRule>
    <cfRule type="containsText" dxfId="2798" priority="1174" operator="containsText" text="RO">
      <formula>NOT(ISERROR(SEARCH("RO",AM255)))</formula>
    </cfRule>
    <cfRule type="containsText" dxfId="2797" priority="1175" operator="containsText" text="AM">
      <formula>NOT(ISERROR(SEARCH("AM",AM255)))</formula>
    </cfRule>
    <cfRule type="containsText" dxfId="2796" priority="1176" operator="containsText" text="VE">
      <formula>NOT(ISERROR(SEARCH("VE",AM255)))</formula>
    </cfRule>
  </conditionalFormatting>
  <conditionalFormatting sqref="AM257">
    <cfRule type="containsText" dxfId="2795" priority="1169" operator="containsText" text="AZ">
      <formula>NOT(ISERROR(SEARCH("AZ",AM257)))</formula>
    </cfRule>
    <cfRule type="containsText" dxfId="2794" priority="1170" operator="containsText" text="RO">
      <formula>NOT(ISERROR(SEARCH("RO",AM257)))</formula>
    </cfRule>
    <cfRule type="containsText" dxfId="2793" priority="1171" operator="containsText" text="AM">
      <formula>NOT(ISERROR(SEARCH("AM",AM257)))</formula>
    </cfRule>
    <cfRule type="containsText" dxfId="2792" priority="1172" operator="containsText" text="VE">
      <formula>NOT(ISERROR(SEARCH("VE",AM257)))</formula>
    </cfRule>
  </conditionalFormatting>
  <conditionalFormatting sqref="AM256">
    <cfRule type="containsText" dxfId="2791" priority="1165" operator="containsText" text="AZ">
      <formula>NOT(ISERROR(SEARCH("AZ",AM256)))</formula>
    </cfRule>
    <cfRule type="containsText" dxfId="2790" priority="1166" operator="containsText" text="RO">
      <formula>NOT(ISERROR(SEARCH("RO",AM256)))</formula>
    </cfRule>
    <cfRule type="containsText" dxfId="2789" priority="1167" operator="containsText" text="AM">
      <formula>NOT(ISERROR(SEARCH("AM",AM256)))</formula>
    </cfRule>
    <cfRule type="containsText" dxfId="2788" priority="1168" operator="containsText" text="VE">
      <formula>NOT(ISERROR(SEARCH("VE",AM256)))</formula>
    </cfRule>
  </conditionalFormatting>
  <conditionalFormatting sqref="AM258">
    <cfRule type="containsText" dxfId="2787" priority="1161" operator="containsText" text="AZ">
      <formula>NOT(ISERROR(SEARCH("AZ",AM258)))</formula>
    </cfRule>
    <cfRule type="containsText" dxfId="2786" priority="1162" operator="containsText" text="RO">
      <formula>NOT(ISERROR(SEARCH("RO",AM258)))</formula>
    </cfRule>
    <cfRule type="containsText" dxfId="2785" priority="1163" operator="containsText" text="AM">
      <formula>NOT(ISERROR(SEARCH("AM",AM258)))</formula>
    </cfRule>
    <cfRule type="containsText" dxfId="2784" priority="1164" operator="containsText" text="VE">
      <formula>NOT(ISERROR(SEARCH("VE",AM258)))</formula>
    </cfRule>
  </conditionalFormatting>
  <conditionalFormatting sqref="AM259">
    <cfRule type="containsText" dxfId="2783" priority="1157" operator="containsText" text="AZ">
      <formula>NOT(ISERROR(SEARCH("AZ",AM259)))</formula>
    </cfRule>
    <cfRule type="containsText" dxfId="2782" priority="1158" operator="containsText" text="RO">
      <formula>NOT(ISERROR(SEARCH("RO",AM259)))</formula>
    </cfRule>
    <cfRule type="containsText" dxfId="2781" priority="1159" operator="containsText" text="AM">
      <formula>NOT(ISERROR(SEARCH("AM",AM259)))</formula>
    </cfRule>
    <cfRule type="containsText" dxfId="2780" priority="1160" operator="containsText" text="VE">
      <formula>NOT(ISERROR(SEARCH("VE",AM259)))</formula>
    </cfRule>
  </conditionalFormatting>
  <conditionalFormatting sqref="AM260">
    <cfRule type="containsText" dxfId="2779" priority="1153" operator="containsText" text="AZ">
      <formula>NOT(ISERROR(SEARCH("AZ",AM260)))</formula>
    </cfRule>
    <cfRule type="containsText" dxfId="2778" priority="1154" operator="containsText" text="RO">
      <formula>NOT(ISERROR(SEARCH("RO",AM260)))</formula>
    </cfRule>
    <cfRule type="containsText" dxfId="2777" priority="1155" operator="containsText" text="AM">
      <formula>NOT(ISERROR(SEARCH("AM",AM260)))</formula>
    </cfRule>
    <cfRule type="containsText" dxfId="2776" priority="1156" operator="containsText" text="VE">
      <formula>NOT(ISERROR(SEARCH("VE",AM260)))</formula>
    </cfRule>
  </conditionalFormatting>
  <conditionalFormatting sqref="AM194">
    <cfRule type="containsText" dxfId="2775" priority="1149" operator="containsText" text="AZ">
      <formula>NOT(ISERROR(SEARCH("AZ",AM194)))</formula>
    </cfRule>
    <cfRule type="containsText" dxfId="2774" priority="1150" operator="containsText" text="RO">
      <formula>NOT(ISERROR(SEARCH("RO",AM194)))</formula>
    </cfRule>
    <cfRule type="containsText" dxfId="2773" priority="1151" operator="containsText" text="AM">
      <formula>NOT(ISERROR(SEARCH("AM",AM194)))</formula>
    </cfRule>
    <cfRule type="containsText" dxfId="2772" priority="1152" operator="containsText" text="VE">
      <formula>NOT(ISERROR(SEARCH("VE",AM194)))</formula>
    </cfRule>
  </conditionalFormatting>
  <conditionalFormatting sqref="AM197">
    <cfRule type="containsText" dxfId="2771" priority="1145" operator="containsText" text="AZ">
      <formula>NOT(ISERROR(SEARCH("AZ",AM197)))</formula>
    </cfRule>
    <cfRule type="containsText" dxfId="2770" priority="1146" operator="containsText" text="RO">
      <formula>NOT(ISERROR(SEARCH("RO",AM197)))</formula>
    </cfRule>
    <cfRule type="containsText" dxfId="2769" priority="1147" operator="containsText" text="AM">
      <formula>NOT(ISERROR(SEARCH("AM",AM197)))</formula>
    </cfRule>
    <cfRule type="containsText" dxfId="2768" priority="1148" operator="containsText" text="VE">
      <formula>NOT(ISERROR(SEARCH("VE",AM197)))</formula>
    </cfRule>
  </conditionalFormatting>
  <conditionalFormatting sqref="AM196">
    <cfRule type="containsText" dxfId="2767" priority="1141" operator="containsText" text="AZ">
      <formula>NOT(ISERROR(SEARCH("AZ",AM196)))</formula>
    </cfRule>
    <cfRule type="containsText" dxfId="2766" priority="1142" operator="containsText" text="RO">
      <formula>NOT(ISERROR(SEARCH("RO",AM196)))</formula>
    </cfRule>
    <cfRule type="containsText" dxfId="2765" priority="1143" operator="containsText" text="AM">
      <formula>NOT(ISERROR(SEARCH("AM",AM196)))</formula>
    </cfRule>
    <cfRule type="containsText" dxfId="2764" priority="1144" operator="containsText" text="VE">
      <formula>NOT(ISERROR(SEARCH("VE",AM196)))</formula>
    </cfRule>
  </conditionalFormatting>
  <conditionalFormatting sqref="AM195">
    <cfRule type="containsText" dxfId="2763" priority="1137" operator="containsText" text="AZ">
      <formula>NOT(ISERROR(SEARCH("AZ",AM195)))</formula>
    </cfRule>
    <cfRule type="containsText" dxfId="2762" priority="1138" operator="containsText" text="RO">
      <formula>NOT(ISERROR(SEARCH("RO",AM195)))</formula>
    </cfRule>
    <cfRule type="containsText" dxfId="2761" priority="1139" operator="containsText" text="AM">
      <formula>NOT(ISERROR(SEARCH("AM",AM195)))</formula>
    </cfRule>
    <cfRule type="containsText" dxfId="2760" priority="1140" operator="containsText" text="VE">
      <formula>NOT(ISERROR(SEARCH("VE",AM195)))</formula>
    </cfRule>
  </conditionalFormatting>
  <conditionalFormatting sqref="AM198">
    <cfRule type="containsText" dxfId="2759" priority="1133" operator="containsText" text="AZ">
      <formula>NOT(ISERROR(SEARCH("AZ",AM198)))</formula>
    </cfRule>
    <cfRule type="containsText" dxfId="2758" priority="1134" operator="containsText" text="RO">
      <formula>NOT(ISERROR(SEARCH("RO",AM198)))</formula>
    </cfRule>
    <cfRule type="containsText" dxfId="2757" priority="1135" operator="containsText" text="AM">
      <formula>NOT(ISERROR(SEARCH("AM",AM198)))</formula>
    </cfRule>
    <cfRule type="containsText" dxfId="2756" priority="1136" operator="containsText" text="VE">
      <formula>NOT(ISERROR(SEARCH("VE",AM198)))</formula>
    </cfRule>
  </conditionalFormatting>
  <conditionalFormatting sqref="AM199">
    <cfRule type="containsText" dxfId="2755" priority="1129" operator="containsText" text="AZ">
      <formula>NOT(ISERROR(SEARCH("AZ",AM199)))</formula>
    </cfRule>
    <cfRule type="containsText" dxfId="2754" priority="1130" operator="containsText" text="RO">
      <formula>NOT(ISERROR(SEARCH("RO",AM199)))</formula>
    </cfRule>
    <cfRule type="containsText" dxfId="2753" priority="1131" operator="containsText" text="AM">
      <formula>NOT(ISERROR(SEARCH("AM",AM199)))</formula>
    </cfRule>
    <cfRule type="containsText" dxfId="2752" priority="1132" operator="containsText" text="VE">
      <formula>NOT(ISERROR(SEARCH("VE",AM199)))</formula>
    </cfRule>
  </conditionalFormatting>
  <conditionalFormatting sqref="AM200">
    <cfRule type="containsText" dxfId="2751" priority="1125" operator="containsText" text="AZ">
      <formula>NOT(ISERROR(SEARCH("AZ",AM200)))</formula>
    </cfRule>
    <cfRule type="containsText" dxfId="2750" priority="1126" operator="containsText" text="RO">
      <formula>NOT(ISERROR(SEARCH("RO",AM200)))</formula>
    </cfRule>
    <cfRule type="containsText" dxfId="2749" priority="1127" operator="containsText" text="AM">
      <formula>NOT(ISERROR(SEARCH("AM",AM200)))</formula>
    </cfRule>
    <cfRule type="containsText" dxfId="2748" priority="1128" operator="containsText" text="VE">
      <formula>NOT(ISERROR(SEARCH("VE",AM200)))</formula>
    </cfRule>
  </conditionalFormatting>
  <conditionalFormatting sqref="AM202">
    <cfRule type="containsText" dxfId="2747" priority="1121" operator="containsText" text="AZ">
      <formula>NOT(ISERROR(SEARCH("AZ",AM202)))</formula>
    </cfRule>
    <cfRule type="containsText" dxfId="2746" priority="1122" operator="containsText" text="RO">
      <formula>NOT(ISERROR(SEARCH("RO",AM202)))</formula>
    </cfRule>
    <cfRule type="containsText" dxfId="2745" priority="1123" operator="containsText" text="AM">
      <formula>NOT(ISERROR(SEARCH("AM",AM202)))</formula>
    </cfRule>
    <cfRule type="containsText" dxfId="2744" priority="1124" operator="containsText" text="VE">
      <formula>NOT(ISERROR(SEARCH("VE",AM202)))</formula>
    </cfRule>
  </conditionalFormatting>
  <conditionalFormatting sqref="AM203">
    <cfRule type="containsText" dxfId="2743" priority="1117" operator="containsText" text="AZ">
      <formula>NOT(ISERROR(SEARCH("AZ",AM203)))</formula>
    </cfRule>
    <cfRule type="containsText" dxfId="2742" priority="1118" operator="containsText" text="RO">
      <formula>NOT(ISERROR(SEARCH("RO",AM203)))</formula>
    </cfRule>
    <cfRule type="containsText" dxfId="2741" priority="1119" operator="containsText" text="AM">
      <formula>NOT(ISERROR(SEARCH("AM",AM203)))</formula>
    </cfRule>
    <cfRule type="containsText" dxfId="2740" priority="1120" operator="containsText" text="VE">
      <formula>NOT(ISERROR(SEARCH("VE",AM203)))</formula>
    </cfRule>
  </conditionalFormatting>
  <conditionalFormatting sqref="AM204">
    <cfRule type="containsText" dxfId="2739" priority="1113" operator="containsText" text="AZ">
      <formula>NOT(ISERROR(SEARCH("AZ",AM204)))</formula>
    </cfRule>
    <cfRule type="containsText" dxfId="2738" priority="1114" operator="containsText" text="RO">
      <formula>NOT(ISERROR(SEARCH("RO",AM204)))</formula>
    </cfRule>
    <cfRule type="containsText" dxfId="2737" priority="1115" operator="containsText" text="AM">
      <formula>NOT(ISERROR(SEARCH("AM",AM204)))</formula>
    </cfRule>
    <cfRule type="containsText" dxfId="2736" priority="1116" operator="containsText" text="VE">
      <formula>NOT(ISERROR(SEARCH("VE",AM204)))</formula>
    </cfRule>
  </conditionalFormatting>
  <conditionalFormatting sqref="AM205">
    <cfRule type="containsText" dxfId="2735" priority="1109" operator="containsText" text="AZ">
      <formula>NOT(ISERROR(SEARCH("AZ",AM205)))</formula>
    </cfRule>
    <cfRule type="containsText" dxfId="2734" priority="1110" operator="containsText" text="RO">
      <formula>NOT(ISERROR(SEARCH("RO",AM205)))</formula>
    </cfRule>
    <cfRule type="containsText" dxfId="2733" priority="1111" operator="containsText" text="AM">
      <formula>NOT(ISERROR(SEARCH("AM",AM205)))</formula>
    </cfRule>
    <cfRule type="containsText" dxfId="2732" priority="1112" operator="containsText" text="VE">
      <formula>NOT(ISERROR(SEARCH("VE",AM205)))</formula>
    </cfRule>
  </conditionalFormatting>
  <conditionalFormatting sqref="AM206">
    <cfRule type="containsText" dxfId="2731" priority="1105" operator="containsText" text="AZ">
      <formula>NOT(ISERROR(SEARCH("AZ",AM206)))</formula>
    </cfRule>
    <cfRule type="containsText" dxfId="2730" priority="1106" operator="containsText" text="RO">
      <formula>NOT(ISERROR(SEARCH("RO",AM206)))</formula>
    </cfRule>
    <cfRule type="containsText" dxfId="2729" priority="1107" operator="containsText" text="AM">
      <formula>NOT(ISERROR(SEARCH("AM",AM206)))</formula>
    </cfRule>
    <cfRule type="containsText" dxfId="2728" priority="1108" operator="containsText" text="VE">
      <formula>NOT(ISERROR(SEARCH("VE",AM206)))</formula>
    </cfRule>
  </conditionalFormatting>
  <conditionalFormatting sqref="AM207">
    <cfRule type="containsText" dxfId="2727" priority="1101" operator="containsText" text="AZ">
      <formula>NOT(ISERROR(SEARCH("AZ",AM207)))</formula>
    </cfRule>
    <cfRule type="containsText" dxfId="2726" priority="1102" operator="containsText" text="RO">
      <formula>NOT(ISERROR(SEARCH("RO",AM207)))</formula>
    </cfRule>
    <cfRule type="containsText" dxfId="2725" priority="1103" operator="containsText" text="AM">
      <formula>NOT(ISERROR(SEARCH("AM",AM207)))</formula>
    </cfRule>
    <cfRule type="containsText" dxfId="2724" priority="1104" operator="containsText" text="VE">
      <formula>NOT(ISERROR(SEARCH("VE",AM207)))</formula>
    </cfRule>
  </conditionalFormatting>
  <conditionalFormatting sqref="AM208">
    <cfRule type="containsText" dxfId="2723" priority="1097" operator="containsText" text="AZ">
      <formula>NOT(ISERROR(SEARCH("AZ",AM208)))</formula>
    </cfRule>
    <cfRule type="containsText" dxfId="2722" priority="1098" operator="containsText" text="RO">
      <formula>NOT(ISERROR(SEARCH("RO",AM208)))</formula>
    </cfRule>
    <cfRule type="containsText" dxfId="2721" priority="1099" operator="containsText" text="AM">
      <formula>NOT(ISERROR(SEARCH("AM",AM208)))</formula>
    </cfRule>
    <cfRule type="containsText" dxfId="2720" priority="1100" operator="containsText" text="VE">
      <formula>NOT(ISERROR(SEARCH("VE",AM208)))</formula>
    </cfRule>
  </conditionalFormatting>
  <conditionalFormatting sqref="AM209">
    <cfRule type="containsText" dxfId="2719" priority="1093" operator="containsText" text="AZ">
      <formula>NOT(ISERROR(SEARCH("AZ",AM209)))</formula>
    </cfRule>
    <cfRule type="containsText" dxfId="2718" priority="1094" operator="containsText" text="RO">
      <formula>NOT(ISERROR(SEARCH("RO",AM209)))</formula>
    </cfRule>
    <cfRule type="containsText" dxfId="2717" priority="1095" operator="containsText" text="AM">
      <formula>NOT(ISERROR(SEARCH("AM",AM209)))</formula>
    </cfRule>
    <cfRule type="containsText" dxfId="2716" priority="1096" operator="containsText" text="VE">
      <formula>NOT(ISERROR(SEARCH("VE",AM209)))</formula>
    </cfRule>
  </conditionalFormatting>
  <conditionalFormatting sqref="AM210">
    <cfRule type="containsText" dxfId="2715" priority="1089" operator="containsText" text="AZ">
      <formula>NOT(ISERROR(SEARCH("AZ",AM210)))</formula>
    </cfRule>
    <cfRule type="containsText" dxfId="2714" priority="1090" operator="containsText" text="RO">
      <formula>NOT(ISERROR(SEARCH("RO",AM210)))</formula>
    </cfRule>
    <cfRule type="containsText" dxfId="2713" priority="1091" operator="containsText" text="AM">
      <formula>NOT(ISERROR(SEARCH("AM",AM210)))</formula>
    </cfRule>
    <cfRule type="containsText" dxfId="2712" priority="1092" operator="containsText" text="VE">
      <formula>NOT(ISERROR(SEARCH("VE",AM210)))</formula>
    </cfRule>
  </conditionalFormatting>
  <conditionalFormatting sqref="AM211">
    <cfRule type="containsText" dxfId="2711" priority="1085" operator="containsText" text="AZ">
      <formula>NOT(ISERROR(SEARCH("AZ",AM211)))</formula>
    </cfRule>
    <cfRule type="containsText" dxfId="2710" priority="1086" operator="containsText" text="RO">
      <formula>NOT(ISERROR(SEARCH("RO",AM211)))</formula>
    </cfRule>
    <cfRule type="containsText" dxfId="2709" priority="1087" operator="containsText" text="AM">
      <formula>NOT(ISERROR(SEARCH("AM",AM211)))</formula>
    </cfRule>
    <cfRule type="containsText" dxfId="2708" priority="1088" operator="containsText" text="VE">
      <formula>NOT(ISERROR(SEARCH("VE",AM211)))</formula>
    </cfRule>
  </conditionalFormatting>
  <conditionalFormatting sqref="AM240">
    <cfRule type="containsText" dxfId="2707" priority="1081" operator="containsText" text="AZ">
      <formula>NOT(ISERROR(SEARCH("AZ",AM240)))</formula>
    </cfRule>
    <cfRule type="containsText" dxfId="2706" priority="1082" operator="containsText" text="RO">
      <formula>NOT(ISERROR(SEARCH("RO",AM240)))</formula>
    </cfRule>
    <cfRule type="containsText" dxfId="2705" priority="1083" operator="containsText" text="AM">
      <formula>NOT(ISERROR(SEARCH("AM",AM240)))</formula>
    </cfRule>
    <cfRule type="containsText" dxfId="2704" priority="1084" operator="containsText" text="VE">
      <formula>NOT(ISERROR(SEARCH("VE",AM240)))</formula>
    </cfRule>
  </conditionalFormatting>
  <conditionalFormatting sqref="AM241">
    <cfRule type="containsText" dxfId="2703" priority="1077" operator="containsText" text="AZ">
      <formula>NOT(ISERROR(SEARCH("AZ",AM241)))</formula>
    </cfRule>
    <cfRule type="containsText" dxfId="2702" priority="1078" operator="containsText" text="RO">
      <formula>NOT(ISERROR(SEARCH("RO",AM241)))</formula>
    </cfRule>
    <cfRule type="containsText" dxfId="2701" priority="1079" operator="containsText" text="AM">
      <formula>NOT(ISERROR(SEARCH("AM",AM241)))</formula>
    </cfRule>
    <cfRule type="containsText" dxfId="2700" priority="1080" operator="containsText" text="VE">
      <formula>NOT(ISERROR(SEARCH("VE",AM241)))</formula>
    </cfRule>
  </conditionalFormatting>
  <conditionalFormatting sqref="AM213">
    <cfRule type="containsText" dxfId="2699" priority="1073" operator="containsText" text="AZ">
      <formula>NOT(ISERROR(SEARCH("AZ",AM213)))</formula>
    </cfRule>
    <cfRule type="containsText" dxfId="2698" priority="1074" operator="containsText" text="RO">
      <formula>NOT(ISERROR(SEARCH("RO",AM213)))</formula>
    </cfRule>
    <cfRule type="containsText" dxfId="2697" priority="1075" operator="containsText" text="AM">
      <formula>NOT(ISERROR(SEARCH("AM",AM213)))</formula>
    </cfRule>
    <cfRule type="containsText" dxfId="2696" priority="1076" operator="containsText" text="VE">
      <formula>NOT(ISERROR(SEARCH("VE",AM213)))</formula>
    </cfRule>
  </conditionalFormatting>
  <conditionalFormatting sqref="AM216">
    <cfRule type="containsText" dxfId="2695" priority="1069" operator="containsText" text="AZ">
      <formula>NOT(ISERROR(SEARCH("AZ",AM216)))</formula>
    </cfRule>
    <cfRule type="containsText" dxfId="2694" priority="1070" operator="containsText" text="RO">
      <formula>NOT(ISERROR(SEARCH("RO",AM216)))</formula>
    </cfRule>
    <cfRule type="containsText" dxfId="2693" priority="1071" operator="containsText" text="AM">
      <formula>NOT(ISERROR(SEARCH("AM",AM216)))</formula>
    </cfRule>
    <cfRule type="containsText" dxfId="2692" priority="1072" operator="containsText" text="VE">
      <formula>NOT(ISERROR(SEARCH("VE",AM216)))</formula>
    </cfRule>
  </conditionalFormatting>
  <conditionalFormatting sqref="AM218">
    <cfRule type="containsText" dxfId="2691" priority="1065" operator="containsText" text="AZ">
      <formula>NOT(ISERROR(SEARCH("AZ",AM218)))</formula>
    </cfRule>
    <cfRule type="containsText" dxfId="2690" priority="1066" operator="containsText" text="RO">
      <formula>NOT(ISERROR(SEARCH("RO",AM218)))</formula>
    </cfRule>
    <cfRule type="containsText" dxfId="2689" priority="1067" operator="containsText" text="AM">
      <formula>NOT(ISERROR(SEARCH("AM",AM218)))</formula>
    </cfRule>
    <cfRule type="containsText" dxfId="2688" priority="1068" operator="containsText" text="VE">
      <formula>NOT(ISERROR(SEARCH("VE",AM218)))</formula>
    </cfRule>
  </conditionalFormatting>
  <conditionalFormatting sqref="AM214">
    <cfRule type="containsText" dxfId="2687" priority="1061" operator="containsText" text="AZ">
      <formula>NOT(ISERROR(SEARCH("AZ",AM214)))</formula>
    </cfRule>
    <cfRule type="containsText" dxfId="2686" priority="1062" operator="containsText" text="RO">
      <formula>NOT(ISERROR(SEARCH("RO",AM214)))</formula>
    </cfRule>
    <cfRule type="containsText" dxfId="2685" priority="1063" operator="containsText" text="AM">
      <formula>NOT(ISERROR(SEARCH("AM",AM214)))</formula>
    </cfRule>
    <cfRule type="containsText" dxfId="2684" priority="1064" operator="containsText" text="VE">
      <formula>NOT(ISERROR(SEARCH("VE",AM214)))</formula>
    </cfRule>
  </conditionalFormatting>
  <conditionalFormatting sqref="AM215">
    <cfRule type="containsText" dxfId="2683" priority="1057" operator="containsText" text="AZ">
      <formula>NOT(ISERROR(SEARCH("AZ",AM215)))</formula>
    </cfRule>
    <cfRule type="containsText" dxfId="2682" priority="1058" operator="containsText" text="RO">
      <formula>NOT(ISERROR(SEARCH("RO",AM215)))</formula>
    </cfRule>
    <cfRule type="containsText" dxfId="2681" priority="1059" operator="containsText" text="AM">
      <formula>NOT(ISERROR(SEARCH("AM",AM215)))</formula>
    </cfRule>
    <cfRule type="containsText" dxfId="2680" priority="1060" operator="containsText" text="VE">
      <formula>NOT(ISERROR(SEARCH("VE",AM215)))</formula>
    </cfRule>
  </conditionalFormatting>
  <conditionalFormatting sqref="AM217">
    <cfRule type="containsText" dxfId="2679" priority="1053" operator="containsText" text="AZ">
      <formula>NOT(ISERROR(SEARCH("AZ",AM217)))</formula>
    </cfRule>
    <cfRule type="containsText" dxfId="2678" priority="1054" operator="containsText" text="RO">
      <formula>NOT(ISERROR(SEARCH("RO",AM217)))</formula>
    </cfRule>
    <cfRule type="containsText" dxfId="2677" priority="1055" operator="containsText" text="AM">
      <formula>NOT(ISERROR(SEARCH("AM",AM217)))</formula>
    </cfRule>
    <cfRule type="containsText" dxfId="2676" priority="1056" operator="containsText" text="VE">
      <formula>NOT(ISERROR(SEARCH("VE",AM217)))</formula>
    </cfRule>
  </conditionalFormatting>
  <conditionalFormatting sqref="AM219:AM220">
    <cfRule type="containsText" dxfId="2675" priority="1049" operator="containsText" text="AZ">
      <formula>NOT(ISERROR(SEARCH("AZ",AM219)))</formula>
    </cfRule>
    <cfRule type="containsText" dxfId="2674" priority="1050" operator="containsText" text="RO">
      <formula>NOT(ISERROR(SEARCH("RO",AM219)))</formula>
    </cfRule>
    <cfRule type="containsText" dxfId="2673" priority="1051" operator="containsText" text="AM">
      <formula>NOT(ISERROR(SEARCH("AM",AM219)))</formula>
    </cfRule>
    <cfRule type="containsText" dxfId="2672" priority="1052" operator="containsText" text="VE">
      <formula>NOT(ISERROR(SEARCH("VE",AM219)))</formula>
    </cfRule>
  </conditionalFormatting>
  <conditionalFormatting sqref="AM236">
    <cfRule type="containsText" dxfId="2671" priority="1045" operator="containsText" text="AZ">
      <formula>NOT(ISERROR(SEARCH("AZ",AM236)))</formula>
    </cfRule>
    <cfRule type="containsText" dxfId="2670" priority="1046" operator="containsText" text="RO">
      <formula>NOT(ISERROR(SEARCH("RO",AM236)))</formula>
    </cfRule>
    <cfRule type="containsText" dxfId="2669" priority="1047" operator="containsText" text="AM">
      <formula>NOT(ISERROR(SEARCH("AM",AM236)))</formula>
    </cfRule>
    <cfRule type="containsText" dxfId="2668" priority="1048" operator="containsText" text="VE">
      <formula>NOT(ISERROR(SEARCH("VE",AM236)))</formula>
    </cfRule>
  </conditionalFormatting>
  <conditionalFormatting sqref="AM239">
    <cfRule type="containsText" dxfId="2667" priority="1041" operator="containsText" text="AZ">
      <formula>NOT(ISERROR(SEARCH("AZ",AM239)))</formula>
    </cfRule>
    <cfRule type="containsText" dxfId="2666" priority="1042" operator="containsText" text="RO">
      <formula>NOT(ISERROR(SEARCH("RO",AM239)))</formula>
    </cfRule>
    <cfRule type="containsText" dxfId="2665" priority="1043" operator="containsText" text="AM">
      <formula>NOT(ISERROR(SEARCH("AM",AM239)))</formula>
    </cfRule>
    <cfRule type="containsText" dxfId="2664" priority="1044" operator="containsText" text="VE">
      <formula>NOT(ISERROR(SEARCH("VE",AM239)))</formula>
    </cfRule>
  </conditionalFormatting>
  <conditionalFormatting sqref="AM222">
    <cfRule type="containsText" dxfId="2663" priority="1037" operator="containsText" text="AZ">
      <formula>NOT(ISERROR(SEARCH("AZ",AM222)))</formula>
    </cfRule>
    <cfRule type="containsText" dxfId="2662" priority="1038" operator="containsText" text="RO">
      <formula>NOT(ISERROR(SEARCH("RO",AM222)))</formula>
    </cfRule>
    <cfRule type="containsText" dxfId="2661" priority="1039" operator="containsText" text="AM">
      <formula>NOT(ISERROR(SEARCH("AM",AM222)))</formula>
    </cfRule>
    <cfRule type="containsText" dxfId="2660" priority="1040" operator="containsText" text="VE">
      <formula>NOT(ISERROR(SEARCH("VE",AM222)))</formula>
    </cfRule>
  </conditionalFormatting>
  <conditionalFormatting sqref="AM223">
    <cfRule type="containsText" dxfId="2659" priority="1033" operator="containsText" text="AZ">
      <formula>NOT(ISERROR(SEARCH("AZ",AM223)))</formula>
    </cfRule>
    <cfRule type="containsText" dxfId="2658" priority="1034" operator="containsText" text="RO">
      <formula>NOT(ISERROR(SEARCH("RO",AM223)))</formula>
    </cfRule>
    <cfRule type="containsText" dxfId="2657" priority="1035" operator="containsText" text="AM">
      <formula>NOT(ISERROR(SEARCH("AM",AM223)))</formula>
    </cfRule>
    <cfRule type="containsText" dxfId="2656" priority="1036" operator="containsText" text="VE">
      <formula>NOT(ISERROR(SEARCH("VE",AM223)))</formula>
    </cfRule>
  </conditionalFormatting>
  <conditionalFormatting sqref="AM226">
    <cfRule type="containsText" dxfId="2655" priority="1029" operator="containsText" text="AZ">
      <formula>NOT(ISERROR(SEARCH("AZ",AM226)))</formula>
    </cfRule>
    <cfRule type="containsText" dxfId="2654" priority="1030" operator="containsText" text="RO">
      <formula>NOT(ISERROR(SEARCH("RO",AM226)))</formula>
    </cfRule>
    <cfRule type="containsText" dxfId="2653" priority="1031" operator="containsText" text="AM">
      <formula>NOT(ISERROR(SEARCH("AM",AM226)))</formula>
    </cfRule>
    <cfRule type="containsText" dxfId="2652" priority="1032" operator="containsText" text="VE">
      <formula>NOT(ISERROR(SEARCH("VE",AM226)))</formula>
    </cfRule>
  </conditionalFormatting>
  <conditionalFormatting sqref="AM224:AM225">
    <cfRule type="containsText" dxfId="2651" priority="1025" operator="containsText" text="AZ">
      <formula>NOT(ISERROR(SEARCH("AZ",AM224)))</formula>
    </cfRule>
    <cfRule type="containsText" dxfId="2650" priority="1026" operator="containsText" text="RO">
      <formula>NOT(ISERROR(SEARCH("RO",AM224)))</formula>
    </cfRule>
    <cfRule type="containsText" dxfId="2649" priority="1027" operator="containsText" text="AM">
      <formula>NOT(ISERROR(SEARCH("AM",AM224)))</formula>
    </cfRule>
    <cfRule type="containsText" dxfId="2648" priority="1028" operator="containsText" text="VE">
      <formula>NOT(ISERROR(SEARCH("VE",AM224)))</formula>
    </cfRule>
  </conditionalFormatting>
  <conditionalFormatting sqref="AM183">
    <cfRule type="containsText" dxfId="2647" priority="1021" operator="containsText" text="AZ">
      <formula>NOT(ISERROR(SEARCH("AZ",AM183)))</formula>
    </cfRule>
    <cfRule type="containsText" dxfId="2646" priority="1022" operator="containsText" text="RO">
      <formula>NOT(ISERROR(SEARCH("RO",AM183)))</formula>
    </cfRule>
    <cfRule type="containsText" dxfId="2645" priority="1023" operator="containsText" text="AM">
      <formula>NOT(ISERROR(SEARCH("AM",AM183)))</formula>
    </cfRule>
    <cfRule type="containsText" dxfId="2644" priority="1024" operator="containsText" text="VE">
      <formula>NOT(ISERROR(SEARCH("VE",AM183)))</formula>
    </cfRule>
  </conditionalFormatting>
  <conditionalFormatting sqref="AM184">
    <cfRule type="containsText" dxfId="2643" priority="1017" operator="containsText" text="AZ">
      <formula>NOT(ISERROR(SEARCH("AZ",AM184)))</formula>
    </cfRule>
    <cfRule type="containsText" dxfId="2642" priority="1018" operator="containsText" text="RO">
      <formula>NOT(ISERROR(SEARCH("RO",AM184)))</formula>
    </cfRule>
    <cfRule type="containsText" dxfId="2641" priority="1019" operator="containsText" text="AM">
      <formula>NOT(ISERROR(SEARCH("AM",AM184)))</formula>
    </cfRule>
    <cfRule type="containsText" dxfId="2640" priority="1020" operator="containsText" text="VE">
      <formula>NOT(ISERROR(SEARCH("VE",AM184)))</formula>
    </cfRule>
  </conditionalFormatting>
  <conditionalFormatting sqref="AM185">
    <cfRule type="containsText" dxfId="2639" priority="1013" operator="containsText" text="AZ">
      <formula>NOT(ISERROR(SEARCH("AZ",AM185)))</formula>
    </cfRule>
    <cfRule type="containsText" dxfId="2638" priority="1014" operator="containsText" text="RO">
      <formula>NOT(ISERROR(SEARCH("RO",AM185)))</formula>
    </cfRule>
    <cfRule type="containsText" dxfId="2637" priority="1015" operator="containsText" text="AM">
      <formula>NOT(ISERROR(SEARCH("AM",AM185)))</formula>
    </cfRule>
    <cfRule type="containsText" dxfId="2636" priority="1016" operator="containsText" text="VE">
      <formula>NOT(ISERROR(SEARCH("VE",AM185)))</formula>
    </cfRule>
  </conditionalFormatting>
  <conditionalFormatting sqref="AM186">
    <cfRule type="containsText" dxfId="2635" priority="1009" operator="containsText" text="AZ">
      <formula>NOT(ISERROR(SEARCH("AZ",AM186)))</formula>
    </cfRule>
    <cfRule type="containsText" dxfId="2634" priority="1010" operator="containsText" text="RO">
      <formula>NOT(ISERROR(SEARCH("RO",AM186)))</formula>
    </cfRule>
    <cfRule type="containsText" dxfId="2633" priority="1011" operator="containsText" text="AM">
      <formula>NOT(ISERROR(SEARCH("AM",AM186)))</formula>
    </cfRule>
    <cfRule type="containsText" dxfId="2632" priority="1012" operator="containsText" text="VE">
      <formula>NOT(ISERROR(SEARCH("VE",AM186)))</formula>
    </cfRule>
  </conditionalFormatting>
  <conditionalFormatting sqref="AM187">
    <cfRule type="containsText" dxfId="2631" priority="1005" operator="containsText" text="AZ">
      <formula>NOT(ISERROR(SEARCH("AZ",AM187)))</formula>
    </cfRule>
    <cfRule type="containsText" dxfId="2630" priority="1006" operator="containsText" text="RO">
      <formula>NOT(ISERROR(SEARCH("RO",AM187)))</formula>
    </cfRule>
    <cfRule type="containsText" dxfId="2629" priority="1007" operator="containsText" text="AM">
      <formula>NOT(ISERROR(SEARCH("AM",AM187)))</formula>
    </cfRule>
    <cfRule type="containsText" dxfId="2628" priority="1008" operator="containsText" text="VE">
      <formula>NOT(ISERROR(SEARCH("VE",AM187)))</formula>
    </cfRule>
  </conditionalFormatting>
  <conditionalFormatting sqref="AM188">
    <cfRule type="containsText" dxfId="2627" priority="1001" operator="containsText" text="AZ">
      <formula>NOT(ISERROR(SEARCH("AZ",AM188)))</formula>
    </cfRule>
    <cfRule type="containsText" dxfId="2626" priority="1002" operator="containsText" text="RO">
      <formula>NOT(ISERROR(SEARCH("RO",AM188)))</formula>
    </cfRule>
    <cfRule type="containsText" dxfId="2625" priority="1003" operator="containsText" text="AM">
      <formula>NOT(ISERROR(SEARCH("AM",AM188)))</formula>
    </cfRule>
    <cfRule type="containsText" dxfId="2624" priority="1004" operator="containsText" text="VE">
      <formula>NOT(ISERROR(SEARCH("VE",AM188)))</formula>
    </cfRule>
  </conditionalFormatting>
  <conditionalFormatting sqref="AM189">
    <cfRule type="containsText" dxfId="2623" priority="997" operator="containsText" text="AZ">
      <formula>NOT(ISERROR(SEARCH("AZ",AM189)))</formula>
    </cfRule>
    <cfRule type="containsText" dxfId="2622" priority="998" operator="containsText" text="RO">
      <formula>NOT(ISERROR(SEARCH("RO",AM189)))</formula>
    </cfRule>
    <cfRule type="containsText" dxfId="2621" priority="999" operator="containsText" text="AM">
      <formula>NOT(ISERROR(SEARCH("AM",AM189)))</formula>
    </cfRule>
    <cfRule type="containsText" dxfId="2620" priority="1000" operator="containsText" text="VE">
      <formula>NOT(ISERROR(SEARCH("VE",AM189)))</formula>
    </cfRule>
  </conditionalFormatting>
  <conditionalFormatting sqref="AM190">
    <cfRule type="containsText" dxfId="2619" priority="993" operator="containsText" text="AZ">
      <formula>NOT(ISERROR(SEARCH("AZ",AM190)))</formula>
    </cfRule>
    <cfRule type="containsText" dxfId="2618" priority="994" operator="containsText" text="RO">
      <formula>NOT(ISERROR(SEARCH("RO",AM190)))</formula>
    </cfRule>
    <cfRule type="containsText" dxfId="2617" priority="995" operator="containsText" text="AM">
      <formula>NOT(ISERROR(SEARCH("AM",AM190)))</formula>
    </cfRule>
    <cfRule type="containsText" dxfId="2616" priority="996" operator="containsText" text="VE">
      <formula>NOT(ISERROR(SEARCH("VE",AM190)))</formula>
    </cfRule>
  </conditionalFormatting>
  <conditionalFormatting sqref="AM191">
    <cfRule type="containsText" dxfId="2615" priority="989" operator="containsText" text="AZ">
      <formula>NOT(ISERROR(SEARCH("AZ",AM191)))</formula>
    </cfRule>
    <cfRule type="containsText" dxfId="2614" priority="990" operator="containsText" text="RO">
      <formula>NOT(ISERROR(SEARCH("RO",AM191)))</formula>
    </cfRule>
    <cfRule type="containsText" dxfId="2613" priority="991" operator="containsText" text="AM">
      <formula>NOT(ISERROR(SEARCH("AM",AM191)))</formula>
    </cfRule>
    <cfRule type="containsText" dxfId="2612" priority="992" operator="containsText" text="VE">
      <formula>NOT(ISERROR(SEARCH("VE",AM191)))</formula>
    </cfRule>
  </conditionalFormatting>
  <conditionalFormatting sqref="AM192">
    <cfRule type="containsText" dxfId="2611" priority="985" operator="containsText" text="AZ">
      <formula>NOT(ISERROR(SEARCH("AZ",AM192)))</formula>
    </cfRule>
    <cfRule type="containsText" dxfId="2610" priority="986" operator="containsText" text="RO">
      <formula>NOT(ISERROR(SEARCH("RO",AM192)))</formula>
    </cfRule>
    <cfRule type="containsText" dxfId="2609" priority="987" operator="containsText" text="AM">
      <formula>NOT(ISERROR(SEARCH("AM",AM192)))</formula>
    </cfRule>
    <cfRule type="containsText" dxfId="2608" priority="988" operator="containsText" text="VE">
      <formula>NOT(ISERROR(SEARCH("VE",AM192)))</formula>
    </cfRule>
  </conditionalFormatting>
  <conditionalFormatting sqref="AM158">
    <cfRule type="containsText" dxfId="2607" priority="981" operator="containsText" text="AZ">
      <formula>NOT(ISERROR(SEARCH("AZ",AM158)))</formula>
    </cfRule>
    <cfRule type="containsText" dxfId="2606" priority="982" operator="containsText" text="RO">
      <formula>NOT(ISERROR(SEARCH("RO",AM158)))</formula>
    </cfRule>
    <cfRule type="containsText" dxfId="2605" priority="983" operator="containsText" text="AM">
      <formula>NOT(ISERROR(SEARCH("AM",AM158)))</formula>
    </cfRule>
    <cfRule type="containsText" dxfId="2604" priority="984" operator="containsText" text="VE">
      <formula>NOT(ISERROR(SEARCH("VE",AM158)))</formula>
    </cfRule>
  </conditionalFormatting>
  <conditionalFormatting sqref="AM159">
    <cfRule type="containsText" dxfId="2603" priority="977" operator="containsText" text="AZ">
      <formula>NOT(ISERROR(SEARCH("AZ",AM159)))</formula>
    </cfRule>
    <cfRule type="containsText" dxfId="2602" priority="978" operator="containsText" text="RO">
      <formula>NOT(ISERROR(SEARCH("RO",AM159)))</formula>
    </cfRule>
    <cfRule type="containsText" dxfId="2601" priority="979" operator="containsText" text="AM">
      <formula>NOT(ISERROR(SEARCH("AM",AM159)))</formula>
    </cfRule>
    <cfRule type="containsText" dxfId="2600" priority="980" operator="containsText" text="VE">
      <formula>NOT(ISERROR(SEARCH("VE",AM159)))</formula>
    </cfRule>
  </conditionalFormatting>
  <conditionalFormatting sqref="AM160">
    <cfRule type="containsText" dxfId="2599" priority="973" operator="containsText" text="AZ">
      <formula>NOT(ISERROR(SEARCH("AZ",AM160)))</formula>
    </cfRule>
    <cfRule type="containsText" dxfId="2598" priority="974" operator="containsText" text="RO">
      <formula>NOT(ISERROR(SEARCH("RO",AM160)))</formula>
    </cfRule>
    <cfRule type="containsText" dxfId="2597" priority="975" operator="containsText" text="AM">
      <formula>NOT(ISERROR(SEARCH("AM",AM160)))</formula>
    </cfRule>
    <cfRule type="containsText" dxfId="2596" priority="976" operator="containsText" text="VE">
      <formula>NOT(ISERROR(SEARCH("VE",AM160)))</formula>
    </cfRule>
  </conditionalFormatting>
  <conditionalFormatting sqref="AM161">
    <cfRule type="containsText" dxfId="2595" priority="969" operator="containsText" text="AZ">
      <formula>NOT(ISERROR(SEARCH("AZ",AM161)))</formula>
    </cfRule>
    <cfRule type="containsText" dxfId="2594" priority="970" operator="containsText" text="RO">
      <formula>NOT(ISERROR(SEARCH("RO",AM161)))</formula>
    </cfRule>
    <cfRule type="containsText" dxfId="2593" priority="971" operator="containsText" text="AM">
      <formula>NOT(ISERROR(SEARCH("AM",AM161)))</formula>
    </cfRule>
    <cfRule type="containsText" dxfId="2592" priority="972" operator="containsText" text="VE">
      <formula>NOT(ISERROR(SEARCH("VE",AM161)))</formula>
    </cfRule>
  </conditionalFormatting>
  <conditionalFormatting sqref="AM162:AM163">
    <cfRule type="containsText" dxfId="2591" priority="965" operator="containsText" text="AZ">
      <formula>NOT(ISERROR(SEARCH("AZ",AM162)))</formula>
    </cfRule>
    <cfRule type="containsText" dxfId="2590" priority="966" operator="containsText" text="RO">
      <formula>NOT(ISERROR(SEARCH("RO",AM162)))</formula>
    </cfRule>
    <cfRule type="containsText" dxfId="2589" priority="967" operator="containsText" text="AM">
      <formula>NOT(ISERROR(SEARCH("AM",AM162)))</formula>
    </cfRule>
    <cfRule type="containsText" dxfId="2588" priority="968" operator="containsText" text="VE">
      <formula>NOT(ISERROR(SEARCH("VE",AM162)))</formula>
    </cfRule>
  </conditionalFormatting>
  <conditionalFormatting sqref="AM164">
    <cfRule type="containsText" dxfId="2587" priority="961" operator="containsText" text="AZ">
      <formula>NOT(ISERROR(SEARCH("AZ",AM164)))</formula>
    </cfRule>
    <cfRule type="containsText" dxfId="2586" priority="962" operator="containsText" text="RO">
      <formula>NOT(ISERROR(SEARCH("RO",AM164)))</formula>
    </cfRule>
    <cfRule type="containsText" dxfId="2585" priority="963" operator="containsText" text="AM">
      <formula>NOT(ISERROR(SEARCH("AM",AM164)))</formula>
    </cfRule>
    <cfRule type="containsText" dxfId="2584" priority="964" operator="containsText" text="VE">
      <formula>NOT(ISERROR(SEARCH("VE",AM164)))</formula>
    </cfRule>
  </conditionalFormatting>
  <conditionalFormatting sqref="AM165">
    <cfRule type="containsText" dxfId="2583" priority="957" operator="containsText" text="AZ">
      <formula>NOT(ISERROR(SEARCH("AZ",AM165)))</formula>
    </cfRule>
    <cfRule type="containsText" dxfId="2582" priority="958" operator="containsText" text="RO">
      <formula>NOT(ISERROR(SEARCH("RO",AM165)))</formula>
    </cfRule>
    <cfRule type="containsText" dxfId="2581" priority="959" operator="containsText" text="AM">
      <formula>NOT(ISERROR(SEARCH("AM",AM165)))</formula>
    </cfRule>
    <cfRule type="containsText" dxfId="2580" priority="960" operator="containsText" text="VE">
      <formula>NOT(ISERROR(SEARCH("VE",AM165)))</formula>
    </cfRule>
  </conditionalFormatting>
  <conditionalFormatting sqref="AM166">
    <cfRule type="containsText" dxfId="2579" priority="953" operator="containsText" text="AZ">
      <formula>NOT(ISERROR(SEARCH("AZ",AM166)))</formula>
    </cfRule>
    <cfRule type="containsText" dxfId="2578" priority="954" operator="containsText" text="RO">
      <formula>NOT(ISERROR(SEARCH("RO",AM166)))</formula>
    </cfRule>
    <cfRule type="containsText" dxfId="2577" priority="955" operator="containsText" text="AM">
      <formula>NOT(ISERROR(SEARCH("AM",AM166)))</formula>
    </cfRule>
    <cfRule type="containsText" dxfId="2576" priority="956" operator="containsText" text="VE">
      <formula>NOT(ISERROR(SEARCH("VE",AM166)))</formula>
    </cfRule>
  </conditionalFormatting>
  <conditionalFormatting sqref="AM167">
    <cfRule type="containsText" dxfId="2575" priority="949" operator="containsText" text="AZ">
      <formula>NOT(ISERROR(SEARCH("AZ",AM167)))</formula>
    </cfRule>
    <cfRule type="containsText" dxfId="2574" priority="950" operator="containsText" text="RO">
      <formula>NOT(ISERROR(SEARCH("RO",AM167)))</formula>
    </cfRule>
    <cfRule type="containsText" dxfId="2573" priority="951" operator="containsText" text="AM">
      <formula>NOT(ISERROR(SEARCH("AM",AM167)))</formula>
    </cfRule>
    <cfRule type="containsText" dxfId="2572" priority="952" operator="containsText" text="VE">
      <formula>NOT(ISERROR(SEARCH("VE",AM167)))</formula>
    </cfRule>
  </conditionalFormatting>
  <conditionalFormatting sqref="AM168">
    <cfRule type="containsText" dxfId="2571" priority="945" operator="containsText" text="AZ">
      <formula>NOT(ISERROR(SEARCH("AZ",AM168)))</formula>
    </cfRule>
    <cfRule type="containsText" dxfId="2570" priority="946" operator="containsText" text="RO">
      <formula>NOT(ISERROR(SEARCH("RO",AM168)))</formula>
    </cfRule>
    <cfRule type="containsText" dxfId="2569" priority="947" operator="containsText" text="AM">
      <formula>NOT(ISERROR(SEARCH("AM",AM168)))</formula>
    </cfRule>
    <cfRule type="containsText" dxfId="2568" priority="948" operator="containsText" text="VE">
      <formula>NOT(ISERROR(SEARCH("VE",AM168)))</formula>
    </cfRule>
  </conditionalFormatting>
  <conditionalFormatting sqref="AM169">
    <cfRule type="containsText" dxfId="2567" priority="941" operator="containsText" text="AZ">
      <formula>NOT(ISERROR(SEARCH("AZ",AM169)))</formula>
    </cfRule>
    <cfRule type="containsText" dxfId="2566" priority="942" operator="containsText" text="RO">
      <formula>NOT(ISERROR(SEARCH("RO",AM169)))</formula>
    </cfRule>
    <cfRule type="containsText" dxfId="2565" priority="943" operator="containsText" text="AM">
      <formula>NOT(ISERROR(SEARCH("AM",AM169)))</formula>
    </cfRule>
    <cfRule type="containsText" dxfId="2564" priority="944" operator="containsText" text="VE">
      <formula>NOT(ISERROR(SEARCH("VE",AM169)))</formula>
    </cfRule>
  </conditionalFormatting>
  <conditionalFormatting sqref="AM170">
    <cfRule type="containsText" dxfId="2563" priority="937" operator="containsText" text="AZ">
      <formula>NOT(ISERROR(SEARCH("AZ",AM170)))</formula>
    </cfRule>
    <cfRule type="containsText" dxfId="2562" priority="938" operator="containsText" text="RO">
      <formula>NOT(ISERROR(SEARCH("RO",AM170)))</formula>
    </cfRule>
    <cfRule type="containsText" dxfId="2561" priority="939" operator="containsText" text="AM">
      <formula>NOT(ISERROR(SEARCH("AM",AM170)))</formula>
    </cfRule>
    <cfRule type="containsText" dxfId="2560" priority="940" operator="containsText" text="VE">
      <formula>NOT(ISERROR(SEARCH("VE",AM170)))</formula>
    </cfRule>
  </conditionalFormatting>
  <conditionalFormatting sqref="AM171">
    <cfRule type="containsText" dxfId="2559" priority="933" operator="containsText" text="AZ">
      <formula>NOT(ISERROR(SEARCH("AZ",AM171)))</formula>
    </cfRule>
    <cfRule type="containsText" dxfId="2558" priority="934" operator="containsText" text="RO">
      <formula>NOT(ISERROR(SEARCH("RO",AM171)))</formula>
    </cfRule>
    <cfRule type="containsText" dxfId="2557" priority="935" operator="containsText" text="AM">
      <formula>NOT(ISERROR(SEARCH("AM",AM171)))</formula>
    </cfRule>
    <cfRule type="containsText" dxfId="2556" priority="936" operator="containsText" text="VE">
      <formula>NOT(ISERROR(SEARCH("VE",AM171)))</formula>
    </cfRule>
  </conditionalFormatting>
  <conditionalFormatting sqref="AM172">
    <cfRule type="containsText" dxfId="2555" priority="929" operator="containsText" text="AZ">
      <formula>NOT(ISERROR(SEARCH("AZ",AM172)))</formula>
    </cfRule>
    <cfRule type="containsText" dxfId="2554" priority="930" operator="containsText" text="RO">
      <formula>NOT(ISERROR(SEARCH("RO",AM172)))</formula>
    </cfRule>
    <cfRule type="containsText" dxfId="2553" priority="931" operator="containsText" text="AM">
      <formula>NOT(ISERROR(SEARCH("AM",AM172)))</formula>
    </cfRule>
    <cfRule type="containsText" dxfId="2552" priority="932" operator="containsText" text="VE">
      <formula>NOT(ISERROR(SEARCH("VE",AM172)))</formula>
    </cfRule>
  </conditionalFormatting>
  <conditionalFormatting sqref="AM173">
    <cfRule type="containsText" dxfId="2551" priority="925" operator="containsText" text="AZ">
      <formula>NOT(ISERROR(SEARCH("AZ",AM173)))</formula>
    </cfRule>
    <cfRule type="containsText" dxfId="2550" priority="926" operator="containsText" text="RO">
      <formula>NOT(ISERROR(SEARCH("RO",AM173)))</formula>
    </cfRule>
    <cfRule type="containsText" dxfId="2549" priority="927" operator="containsText" text="AM">
      <formula>NOT(ISERROR(SEARCH("AM",AM173)))</formula>
    </cfRule>
    <cfRule type="containsText" dxfId="2548" priority="928" operator="containsText" text="VE">
      <formula>NOT(ISERROR(SEARCH("VE",AM173)))</formula>
    </cfRule>
  </conditionalFormatting>
  <conditionalFormatting sqref="AM174">
    <cfRule type="containsText" dxfId="2547" priority="921" operator="containsText" text="AZ">
      <formula>NOT(ISERROR(SEARCH("AZ",AM174)))</formula>
    </cfRule>
    <cfRule type="containsText" dxfId="2546" priority="922" operator="containsText" text="RO">
      <formula>NOT(ISERROR(SEARCH("RO",AM174)))</formula>
    </cfRule>
    <cfRule type="containsText" dxfId="2545" priority="923" operator="containsText" text="AM">
      <formula>NOT(ISERROR(SEARCH("AM",AM174)))</formula>
    </cfRule>
    <cfRule type="containsText" dxfId="2544" priority="924" operator="containsText" text="VE">
      <formula>NOT(ISERROR(SEARCH("VE",AM174)))</formula>
    </cfRule>
  </conditionalFormatting>
  <conditionalFormatting sqref="AM175">
    <cfRule type="containsText" dxfId="2543" priority="917" operator="containsText" text="AZ">
      <formula>NOT(ISERROR(SEARCH("AZ",AM175)))</formula>
    </cfRule>
    <cfRule type="containsText" dxfId="2542" priority="918" operator="containsText" text="RO">
      <formula>NOT(ISERROR(SEARCH("RO",AM175)))</formula>
    </cfRule>
    <cfRule type="containsText" dxfId="2541" priority="919" operator="containsText" text="AM">
      <formula>NOT(ISERROR(SEARCH("AM",AM175)))</formula>
    </cfRule>
    <cfRule type="containsText" dxfId="2540" priority="920" operator="containsText" text="VE">
      <formula>NOT(ISERROR(SEARCH("VE",AM175)))</formula>
    </cfRule>
  </conditionalFormatting>
  <conditionalFormatting sqref="AM176">
    <cfRule type="containsText" dxfId="2539" priority="913" operator="containsText" text="AZ">
      <formula>NOT(ISERROR(SEARCH("AZ",AM176)))</formula>
    </cfRule>
    <cfRule type="containsText" dxfId="2538" priority="914" operator="containsText" text="RO">
      <formula>NOT(ISERROR(SEARCH("RO",AM176)))</formula>
    </cfRule>
    <cfRule type="containsText" dxfId="2537" priority="915" operator="containsText" text="AM">
      <formula>NOT(ISERROR(SEARCH("AM",AM176)))</formula>
    </cfRule>
    <cfRule type="containsText" dxfId="2536" priority="916" operator="containsText" text="VE">
      <formula>NOT(ISERROR(SEARCH("VE",AM176)))</formula>
    </cfRule>
  </conditionalFormatting>
  <conditionalFormatting sqref="AM177:AM181">
    <cfRule type="containsText" dxfId="2535" priority="909" operator="containsText" text="AZ">
      <formula>NOT(ISERROR(SEARCH("AZ",AM177)))</formula>
    </cfRule>
    <cfRule type="containsText" dxfId="2534" priority="910" operator="containsText" text="RO">
      <formula>NOT(ISERROR(SEARCH("RO",AM177)))</formula>
    </cfRule>
    <cfRule type="containsText" dxfId="2533" priority="911" operator="containsText" text="AM">
      <formula>NOT(ISERROR(SEARCH("AM",AM177)))</formula>
    </cfRule>
    <cfRule type="containsText" dxfId="2532" priority="912" operator="containsText" text="VE">
      <formula>NOT(ISERROR(SEARCH("VE",AM177)))</formula>
    </cfRule>
  </conditionalFormatting>
  <conditionalFormatting sqref="AM378">
    <cfRule type="containsText" dxfId="2531" priority="905" operator="containsText" text="AZ">
      <formula>NOT(ISERROR(SEARCH("AZ",AM378)))</formula>
    </cfRule>
    <cfRule type="containsText" dxfId="2530" priority="906" operator="containsText" text="RO">
      <formula>NOT(ISERROR(SEARCH("RO",AM378)))</formula>
    </cfRule>
    <cfRule type="containsText" dxfId="2529" priority="907" operator="containsText" text="AM">
      <formula>NOT(ISERROR(SEARCH("AM",AM378)))</formula>
    </cfRule>
    <cfRule type="containsText" dxfId="2528" priority="908" operator="containsText" text="VE">
      <formula>NOT(ISERROR(SEARCH("VE",AM378)))</formula>
    </cfRule>
  </conditionalFormatting>
  <conditionalFormatting sqref="AM379">
    <cfRule type="containsText" dxfId="2527" priority="901" operator="containsText" text="AZ">
      <formula>NOT(ISERROR(SEARCH("AZ",AM379)))</formula>
    </cfRule>
    <cfRule type="containsText" dxfId="2526" priority="902" operator="containsText" text="RO">
      <formula>NOT(ISERROR(SEARCH("RO",AM379)))</formula>
    </cfRule>
    <cfRule type="containsText" dxfId="2525" priority="903" operator="containsText" text="AM">
      <formula>NOT(ISERROR(SEARCH("AM",AM379)))</formula>
    </cfRule>
    <cfRule type="containsText" dxfId="2524" priority="904" operator="containsText" text="VE">
      <formula>NOT(ISERROR(SEARCH("VE",AM379)))</formula>
    </cfRule>
  </conditionalFormatting>
  <conditionalFormatting sqref="AM380">
    <cfRule type="containsText" dxfId="2523" priority="897" operator="containsText" text="AZ">
      <formula>NOT(ISERROR(SEARCH("AZ",AM380)))</formula>
    </cfRule>
    <cfRule type="containsText" dxfId="2522" priority="898" operator="containsText" text="RO">
      <formula>NOT(ISERROR(SEARCH("RO",AM380)))</formula>
    </cfRule>
    <cfRule type="containsText" dxfId="2521" priority="899" operator="containsText" text="AM">
      <formula>NOT(ISERROR(SEARCH("AM",AM380)))</formula>
    </cfRule>
    <cfRule type="containsText" dxfId="2520" priority="900" operator="containsText" text="VE">
      <formula>NOT(ISERROR(SEARCH("VE",AM380)))</formula>
    </cfRule>
  </conditionalFormatting>
  <conditionalFormatting sqref="AM381">
    <cfRule type="containsText" dxfId="2519" priority="893" operator="containsText" text="AZ">
      <formula>NOT(ISERROR(SEARCH("AZ",AM381)))</formula>
    </cfRule>
    <cfRule type="containsText" dxfId="2518" priority="894" operator="containsText" text="RO">
      <formula>NOT(ISERROR(SEARCH("RO",AM381)))</formula>
    </cfRule>
    <cfRule type="containsText" dxfId="2517" priority="895" operator="containsText" text="AM">
      <formula>NOT(ISERROR(SEARCH("AM",AM381)))</formula>
    </cfRule>
    <cfRule type="containsText" dxfId="2516" priority="896" operator="containsText" text="VE">
      <formula>NOT(ISERROR(SEARCH("VE",AM381)))</formula>
    </cfRule>
  </conditionalFormatting>
  <conditionalFormatting sqref="AM382">
    <cfRule type="containsText" dxfId="2515" priority="889" operator="containsText" text="AZ">
      <formula>NOT(ISERROR(SEARCH("AZ",AM382)))</formula>
    </cfRule>
    <cfRule type="containsText" dxfId="2514" priority="890" operator="containsText" text="RO">
      <formula>NOT(ISERROR(SEARCH("RO",AM382)))</formula>
    </cfRule>
    <cfRule type="containsText" dxfId="2513" priority="891" operator="containsText" text="AM">
      <formula>NOT(ISERROR(SEARCH("AM",AM382)))</formula>
    </cfRule>
    <cfRule type="containsText" dxfId="2512" priority="892" operator="containsText" text="VE">
      <formula>NOT(ISERROR(SEARCH("VE",AM382)))</formula>
    </cfRule>
  </conditionalFormatting>
  <conditionalFormatting sqref="AM265:AM268">
    <cfRule type="containsText" dxfId="2511" priority="885" operator="containsText" text="AZ">
      <formula>NOT(ISERROR(SEARCH("AZ",AM265)))</formula>
    </cfRule>
    <cfRule type="containsText" dxfId="2510" priority="886" operator="containsText" text="RO">
      <formula>NOT(ISERROR(SEARCH("RO",AM265)))</formula>
    </cfRule>
    <cfRule type="containsText" dxfId="2509" priority="887" operator="containsText" text="AM">
      <formula>NOT(ISERROR(SEARCH("AM",AM265)))</formula>
    </cfRule>
    <cfRule type="containsText" dxfId="2508" priority="888" operator="containsText" text="VE">
      <formula>NOT(ISERROR(SEARCH("VE",AM265)))</formula>
    </cfRule>
  </conditionalFormatting>
  <conditionalFormatting sqref="AM269">
    <cfRule type="containsText" dxfId="2507" priority="881" operator="containsText" text="AZ">
      <formula>NOT(ISERROR(SEARCH("AZ",AM269)))</formula>
    </cfRule>
    <cfRule type="containsText" dxfId="2506" priority="882" operator="containsText" text="RO">
      <formula>NOT(ISERROR(SEARCH("RO",AM269)))</formula>
    </cfRule>
    <cfRule type="containsText" dxfId="2505" priority="883" operator="containsText" text="AM">
      <formula>NOT(ISERROR(SEARCH("AM",AM269)))</formula>
    </cfRule>
    <cfRule type="containsText" dxfId="2504" priority="884" operator="containsText" text="VE">
      <formula>NOT(ISERROR(SEARCH("VE",AM269)))</formula>
    </cfRule>
  </conditionalFormatting>
  <conditionalFormatting sqref="AM270">
    <cfRule type="containsText" dxfId="2503" priority="877" operator="containsText" text="AZ">
      <formula>NOT(ISERROR(SEARCH("AZ",AM270)))</formula>
    </cfRule>
    <cfRule type="containsText" dxfId="2502" priority="878" operator="containsText" text="RO">
      <formula>NOT(ISERROR(SEARCH("RO",AM270)))</formula>
    </cfRule>
    <cfRule type="containsText" dxfId="2501" priority="879" operator="containsText" text="AM">
      <formula>NOT(ISERROR(SEARCH("AM",AM270)))</formula>
    </cfRule>
    <cfRule type="containsText" dxfId="2500" priority="880" operator="containsText" text="VE">
      <formula>NOT(ISERROR(SEARCH("VE",AM270)))</formula>
    </cfRule>
  </conditionalFormatting>
  <conditionalFormatting sqref="AM271:AM274">
    <cfRule type="containsText" dxfId="2499" priority="873" operator="containsText" text="AZ">
      <formula>NOT(ISERROR(SEARCH("AZ",AM271)))</formula>
    </cfRule>
    <cfRule type="containsText" dxfId="2498" priority="874" operator="containsText" text="RO">
      <formula>NOT(ISERROR(SEARCH("RO",AM271)))</formula>
    </cfRule>
    <cfRule type="containsText" dxfId="2497" priority="875" operator="containsText" text="AM">
      <formula>NOT(ISERROR(SEARCH("AM",AM271)))</formula>
    </cfRule>
    <cfRule type="containsText" dxfId="2496" priority="876" operator="containsText" text="VE">
      <formula>NOT(ISERROR(SEARCH("VE",AM271)))</formula>
    </cfRule>
  </conditionalFormatting>
  <conditionalFormatting sqref="AM275">
    <cfRule type="containsText" dxfId="2495" priority="869" operator="containsText" text="AZ">
      <formula>NOT(ISERROR(SEARCH("AZ",AM275)))</formula>
    </cfRule>
    <cfRule type="containsText" dxfId="2494" priority="870" operator="containsText" text="RO">
      <formula>NOT(ISERROR(SEARCH("RO",AM275)))</formula>
    </cfRule>
    <cfRule type="containsText" dxfId="2493" priority="871" operator="containsText" text="AM">
      <formula>NOT(ISERROR(SEARCH("AM",AM275)))</formula>
    </cfRule>
    <cfRule type="containsText" dxfId="2492" priority="872" operator="containsText" text="VE">
      <formula>NOT(ISERROR(SEARCH("VE",AM275)))</formula>
    </cfRule>
  </conditionalFormatting>
  <conditionalFormatting sqref="AM383">
    <cfRule type="containsText" dxfId="2491" priority="865" operator="containsText" text="AZ">
      <formula>NOT(ISERROR(SEARCH("AZ",AM383)))</formula>
    </cfRule>
    <cfRule type="containsText" dxfId="2490" priority="866" operator="containsText" text="RO">
      <formula>NOT(ISERROR(SEARCH("RO",AM383)))</formula>
    </cfRule>
    <cfRule type="containsText" dxfId="2489" priority="867" operator="containsText" text="AM">
      <formula>NOT(ISERROR(SEARCH("AM",AM383)))</formula>
    </cfRule>
    <cfRule type="containsText" dxfId="2488" priority="868" operator="containsText" text="VE">
      <formula>NOT(ISERROR(SEARCH("VE",AM383)))</formula>
    </cfRule>
  </conditionalFormatting>
  <conditionalFormatting sqref="AM384">
    <cfRule type="containsText" dxfId="2487" priority="861" operator="containsText" text="AZ">
      <formula>NOT(ISERROR(SEARCH("AZ",AM384)))</formula>
    </cfRule>
    <cfRule type="containsText" dxfId="2486" priority="862" operator="containsText" text="RO">
      <formula>NOT(ISERROR(SEARCH("RO",AM384)))</formula>
    </cfRule>
    <cfRule type="containsText" dxfId="2485" priority="863" operator="containsText" text="AM">
      <formula>NOT(ISERROR(SEARCH("AM",AM384)))</formula>
    </cfRule>
    <cfRule type="containsText" dxfId="2484" priority="864" operator="containsText" text="VE">
      <formula>NOT(ISERROR(SEARCH("VE",AM384)))</formula>
    </cfRule>
  </conditionalFormatting>
  <conditionalFormatting sqref="AM385">
    <cfRule type="containsText" dxfId="2483" priority="857" operator="containsText" text="AZ">
      <formula>NOT(ISERROR(SEARCH("AZ",AM385)))</formula>
    </cfRule>
    <cfRule type="containsText" dxfId="2482" priority="858" operator="containsText" text="RO">
      <formula>NOT(ISERROR(SEARCH("RO",AM385)))</formula>
    </cfRule>
    <cfRule type="containsText" dxfId="2481" priority="859" operator="containsText" text="AM">
      <formula>NOT(ISERROR(SEARCH("AM",AM385)))</formula>
    </cfRule>
    <cfRule type="containsText" dxfId="2480" priority="860" operator="containsText" text="VE">
      <formula>NOT(ISERROR(SEARCH("VE",AM385)))</formula>
    </cfRule>
  </conditionalFormatting>
  <conditionalFormatting sqref="AM386">
    <cfRule type="containsText" dxfId="2479" priority="853" operator="containsText" text="AZ">
      <formula>NOT(ISERROR(SEARCH("AZ",AM386)))</formula>
    </cfRule>
    <cfRule type="containsText" dxfId="2478" priority="854" operator="containsText" text="RO">
      <formula>NOT(ISERROR(SEARCH("RO",AM386)))</formula>
    </cfRule>
    <cfRule type="containsText" dxfId="2477" priority="855" operator="containsText" text="AM">
      <formula>NOT(ISERROR(SEARCH("AM",AM386)))</formula>
    </cfRule>
    <cfRule type="containsText" dxfId="2476" priority="856" operator="containsText" text="VE">
      <formula>NOT(ISERROR(SEARCH("VE",AM386)))</formula>
    </cfRule>
  </conditionalFormatting>
  <conditionalFormatting sqref="AM387">
    <cfRule type="containsText" dxfId="2475" priority="849" operator="containsText" text="AZ">
      <formula>NOT(ISERROR(SEARCH("AZ",AM387)))</formula>
    </cfRule>
    <cfRule type="containsText" dxfId="2474" priority="850" operator="containsText" text="RO">
      <formula>NOT(ISERROR(SEARCH("RO",AM387)))</formula>
    </cfRule>
    <cfRule type="containsText" dxfId="2473" priority="851" operator="containsText" text="AM">
      <formula>NOT(ISERROR(SEARCH("AM",AM387)))</formula>
    </cfRule>
    <cfRule type="containsText" dxfId="2472" priority="852" operator="containsText" text="VE">
      <formula>NOT(ISERROR(SEARCH("VE",AM387)))</formula>
    </cfRule>
  </conditionalFormatting>
  <conditionalFormatting sqref="AM391">
    <cfRule type="containsText" dxfId="2471" priority="845" operator="containsText" text="AZ">
      <formula>NOT(ISERROR(SEARCH("AZ",AM391)))</formula>
    </cfRule>
    <cfRule type="containsText" dxfId="2470" priority="846" operator="containsText" text="RO">
      <formula>NOT(ISERROR(SEARCH("RO",AM391)))</formula>
    </cfRule>
    <cfRule type="containsText" dxfId="2469" priority="847" operator="containsText" text="AM">
      <formula>NOT(ISERROR(SEARCH("AM",AM391)))</formula>
    </cfRule>
    <cfRule type="containsText" dxfId="2468" priority="848" operator="containsText" text="VE">
      <formula>NOT(ISERROR(SEARCH("VE",AM391)))</formula>
    </cfRule>
  </conditionalFormatting>
  <conditionalFormatting sqref="AM392">
    <cfRule type="containsText" dxfId="2467" priority="841" operator="containsText" text="AZ">
      <formula>NOT(ISERROR(SEARCH("AZ",AM392)))</formula>
    </cfRule>
    <cfRule type="containsText" dxfId="2466" priority="842" operator="containsText" text="RO">
      <formula>NOT(ISERROR(SEARCH("RO",AM392)))</formula>
    </cfRule>
    <cfRule type="containsText" dxfId="2465" priority="843" operator="containsText" text="AM">
      <formula>NOT(ISERROR(SEARCH("AM",AM392)))</formula>
    </cfRule>
    <cfRule type="containsText" dxfId="2464" priority="844" operator="containsText" text="VE">
      <formula>NOT(ISERROR(SEARCH("VE",AM392)))</formula>
    </cfRule>
  </conditionalFormatting>
  <conditionalFormatting sqref="AM393">
    <cfRule type="containsText" dxfId="2463" priority="837" operator="containsText" text="AZ">
      <formula>NOT(ISERROR(SEARCH("AZ",AM393)))</formula>
    </cfRule>
    <cfRule type="containsText" dxfId="2462" priority="838" operator="containsText" text="RO">
      <formula>NOT(ISERROR(SEARCH("RO",AM393)))</formula>
    </cfRule>
    <cfRule type="containsText" dxfId="2461" priority="839" operator="containsText" text="AM">
      <formula>NOT(ISERROR(SEARCH("AM",AM393)))</formula>
    </cfRule>
    <cfRule type="containsText" dxfId="2460" priority="840" operator="containsText" text="VE">
      <formula>NOT(ISERROR(SEARCH("VE",AM393)))</formula>
    </cfRule>
  </conditionalFormatting>
  <conditionalFormatting sqref="AM394">
    <cfRule type="containsText" dxfId="2459" priority="833" operator="containsText" text="AZ">
      <formula>NOT(ISERROR(SEARCH("AZ",AM394)))</formula>
    </cfRule>
    <cfRule type="containsText" dxfId="2458" priority="834" operator="containsText" text="RO">
      <formula>NOT(ISERROR(SEARCH("RO",AM394)))</formula>
    </cfRule>
    <cfRule type="containsText" dxfId="2457" priority="835" operator="containsText" text="AM">
      <formula>NOT(ISERROR(SEARCH("AM",AM394)))</formula>
    </cfRule>
    <cfRule type="containsText" dxfId="2456" priority="836" operator="containsText" text="VE">
      <formula>NOT(ISERROR(SEARCH("VE",AM394)))</formula>
    </cfRule>
  </conditionalFormatting>
  <conditionalFormatting sqref="AM395">
    <cfRule type="containsText" dxfId="2455" priority="829" operator="containsText" text="AZ">
      <formula>NOT(ISERROR(SEARCH("AZ",AM395)))</formula>
    </cfRule>
    <cfRule type="containsText" dxfId="2454" priority="830" operator="containsText" text="RO">
      <formula>NOT(ISERROR(SEARCH("RO",AM395)))</formula>
    </cfRule>
    <cfRule type="containsText" dxfId="2453" priority="831" operator="containsText" text="AM">
      <formula>NOT(ISERROR(SEARCH("AM",AM395)))</formula>
    </cfRule>
    <cfRule type="containsText" dxfId="2452" priority="832" operator="containsText" text="VE">
      <formula>NOT(ISERROR(SEARCH("VE",AM395)))</formula>
    </cfRule>
  </conditionalFormatting>
  <conditionalFormatting sqref="AM397">
    <cfRule type="containsText" dxfId="2451" priority="825" operator="containsText" text="AZ">
      <formula>NOT(ISERROR(SEARCH("AZ",AM397)))</formula>
    </cfRule>
    <cfRule type="containsText" dxfId="2450" priority="826" operator="containsText" text="RO">
      <formula>NOT(ISERROR(SEARCH("RO",AM397)))</formula>
    </cfRule>
    <cfRule type="containsText" dxfId="2449" priority="827" operator="containsText" text="AM">
      <formula>NOT(ISERROR(SEARCH("AM",AM397)))</formula>
    </cfRule>
    <cfRule type="containsText" dxfId="2448" priority="828" operator="containsText" text="VE">
      <formula>NOT(ISERROR(SEARCH("VE",AM397)))</formula>
    </cfRule>
  </conditionalFormatting>
  <conditionalFormatting sqref="AM398">
    <cfRule type="containsText" dxfId="2447" priority="821" operator="containsText" text="AZ">
      <formula>NOT(ISERROR(SEARCH("AZ",AM398)))</formula>
    </cfRule>
    <cfRule type="containsText" dxfId="2446" priority="822" operator="containsText" text="RO">
      <formula>NOT(ISERROR(SEARCH("RO",AM398)))</formula>
    </cfRule>
    <cfRule type="containsText" dxfId="2445" priority="823" operator="containsText" text="AM">
      <formula>NOT(ISERROR(SEARCH("AM",AM398)))</formula>
    </cfRule>
    <cfRule type="containsText" dxfId="2444" priority="824" operator="containsText" text="VE">
      <formula>NOT(ISERROR(SEARCH("VE",AM398)))</formula>
    </cfRule>
  </conditionalFormatting>
  <conditionalFormatting sqref="AM399:AM402">
    <cfRule type="containsText" dxfId="2443" priority="817" operator="containsText" text="AZ">
      <formula>NOT(ISERROR(SEARCH("AZ",AM399)))</formula>
    </cfRule>
    <cfRule type="containsText" dxfId="2442" priority="818" operator="containsText" text="RO">
      <formula>NOT(ISERROR(SEARCH("RO",AM399)))</formula>
    </cfRule>
    <cfRule type="containsText" dxfId="2441" priority="819" operator="containsText" text="AM">
      <formula>NOT(ISERROR(SEARCH("AM",AM399)))</formula>
    </cfRule>
    <cfRule type="containsText" dxfId="2440" priority="820" operator="containsText" text="VE">
      <formula>NOT(ISERROR(SEARCH("VE",AM399)))</formula>
    </cfRule>
  </conditionalFormatting>
  <conditionalFormatting sqref="AM418:AM419">
    <cfRule type="containsText" dxfId="2439" priority="813" operator="containsText" text="AZ">
      <formula>NOT(ISERROR(SEARCH("AZ",AM418)))</formula>
    </cfRule>
    <cfRule type="containsText" dxfId="2438" priority="814" operator="containsText" text="RO">
      <formula>NOT(ISERROR(SEARCH("RO",AM418)))</formula>
    </cfRule>
    <cfRule type="containsText" dxfId="2437" priority="815" operator="containsText" text="AM">
      <formula>NOT(ISERROR(SEARCH("AM",AM418)))</formula>
    </cfRule>
    <cfRule type="containsText" dxfId="2436" priority="816" operator="containsText" text="VE">
      <formula>NOT(ISERROR(SEARCH("VE",AM418)))</formula>
    </cfRule>
  </conditionalFormatting>
  <conditionalFormatting sqref="AM421">
    <cfRule type="containsText" dxfId="2435" priority="809" operator="containsText" text="AZ">
      <formula>NOT(ISERROR(SEARCH("AZ",AM421)))</formula>
    </cfRule>
    <cfRule type="containsText" dxfId="2434" priority="810" operator="containsText" text="RO">
      <formula>NOT(ISERROR(SEARCH("RO",AM421)))</formula>
    </cfRule>
    <cfRule type="containsText" dxfId="2433" priority="811" operator="containsText" text="AM">
      <formula>NOT(ISERROR(SEARCH("AM",AM421)))</formula>
    </cfRule>
    <cfRule type="containsText" dxfId="2432" priority="812" operator="containsText" text="VE">
      <formula>NOT(ISERROR(SEARCH("VE",AM421)))</formula>
    </cfRule>
  </conditionalFormatting>
  <conditionalFormatting sqref="AM423">
    <cfRule type="containsText" dxfId="2431" priority="805" operator="containsText" text="AZ">
      <formula>NOT(ISERROR(SEARCH("AZ",AM423)))</formula>
    </cfRule>
    <cfRule type="containsText" dxfId="2430" priority="806" operator="containsText" text="RO">
      <formula>NOT(ISERROR(SEARCH("RO",AM423)))</formula>
    </cfRule>
    <cfRule type="containsText" dxfId="2429" priority="807" operator="containsText" text="AM">
      <formula>NOT(ISERROR(SEARCH("AM",AM423)))</formula>
    </cfRule>
    <cfRule type="containsText" dxfId="2428" priority="808" operator="containsText" text="VE">
      <formula>NOT(ISERROR(SEARCH("VE",AM423)))</formula>
    </cfRule>
  </conditionalFormatting>
  <conditionalFormatting sqref="AM428:AM429">
    <cfRule type="containsText" dxfId="2427" priority="801" operator="containsText" text="AZ">
      <formula>NOT(ISERROR(SEARCH("AZ",AM428)))</formula>
    </cfRule>
    <cfRule type="containsText" dxfId="2426" priority="802" operator="containsText" text="RO">
      <formula>NOT(ISERROR(SEARCH("RO",AM428)))</formula>
    </cfRule>
    <cfRule type="containsText" dxfId="2425" priority="803" operator="containsText" text="AM">
      <formula>NOT(ISERROR(SEARCH("AM",AM428)))</formula>
    </cfRule>
    <cfRule type="containsText" dxfId="2424" priority="804" operator="containsText" text="VE">
      <formula>NOT(ISERROR(SEARCH("VE",AM428)))</formula>
    </cfRule>
  </conditionalFormatting>
  <conditionalFormatting sqref="AM435">
    <cfRule type="containsText" dxfId="2423" priority="797" operator="containsText" text="AZ">
      <formula>NOT(ISERROR(SEARCH("AZ",AM435)))</formula>
    </cfRule>
    <cfRule type="containsText" dxfId="2422" priority="798" operator="containsText" text="RO">
      <formula>NOT(ISERROR(SEARCH("RO",AM435)))</formula>
    </cfRule>
    <cfRule type="containsText" dxfId="2421" priority="799" operator="containsText" text="AM">
      <formula>NOT(ISERROR(SEARCH("AM",AM435)))</formula>
    </cfRule>
    <cfRule type="containsText" dxfId="2420" priority="800" operator="containsText" text="VE">
      <formula>NOT(ISERROR(SEARCH("VE",AM435)))</formula>
    </cfRule>
  </conditionalFormatting>
  <conditionalFormatting sqref="AM442:AM443">
    <cfRule type="containsText" dxfId="2419" priority="793" operator="containsText" text="AZ">
      <formula>NOT(ISERROR(SEARCH("AZ",AM442)))</formula>
    </cfRule>
    <cfRule type="containsText" dxfId="2418" priority="794" operator="containsText" text="RO">
      <formula>NOT(ISERROR(SEARCH("RO",AM442)))</formula>
    </cfRule>
    <cfRule type="containsText" dxfId="2417" priority="795" operator="containsText" text="AM">
      <formula>NOT(ISERROR(SEARCH("AM",AM442)))</formula>
    </cfRule>
    <cfRule type="containsText" dxfId="2416" priority="796" operator="containsText" text="VE">
      <formula>NOT(ISERROR(SEARCH("VE",AM442)))</formula>
    </cfRule>
  </conditionalFormatting>
  <conditionalFormatting sqref="AM111">
    <cfRule type="containsText" dxfId="2415" priority="789" operator="containsText" text="AZ">
      <formula>NOT(ISERROR(SEARCH("AZ",AM111)))</formula>
    </cfRule>
    <cfRule type="containsText" dxfId="2414" priority="790" operator="containsText" text="RO">
      <formula>NOT(ISERROR(SEARCH("RO",AM111)))</formula>
    </cfRule>
    <cfRule type="containsText" dxfId="2413" priority="791" operator="containsText" text="AM">
      <formula>NOT(ISERROR(SEARCH("AM",AM111)))</formula>
    </cfRule>
    <cfRule type="containsText" dxfId="2412" priority="792" operator="containsText" text="VE">
      <formula>NOT(ISERROR(SEARCH("VE",AM111)))</formula>
    </cfRule>
  </conditionalFormatting>
  <conditionalFormatting sqref="AM117">
    <cfRule type="containsText" dxfId="2411" priority="785" operator="containsText" text="AZ">
      <formula>NOT(ISERROR(SEARCH("AZ",AM117)))</formula>
    </cfRule>
    <cfRule type="containsText" dxfId="2410" priority="786" operator="containsText" text="RO">
      <formula>NOT(ISERROR(SEARCH("RO",AM117)))</formula>
    </cfRule>
    <cfRule type="containsText" dxfId="2409" priority="787" operator="containsText" text="AM">
      <formula>NOT(ISERROR(SEARCH("AM",AM117)))</formula>
    </cfRule>
    <cfRule type="containsText" dxfId="2408" priority="788" operator="containsText" text="VE">
      <formula>NOT(ISERROR(SEARCH("VE",AM117)))</formula>
    </cfRule>
  </conditionalFormatting>
  <conditionalFormatting sqref="AM120">
    <cfRule type="containsText" dxfId="2407" priority="781" operator="containsText" text="AZ">
      <formula>NOT(ISERROR(SEARCH("AZ",AM120)))</formula>
    </cfRule>
    <cfRule type="containsText" dxfId="2406" priority="782" operator="containsText" text="RO">
      <formula>NOT(ISERROR(SEARCH("RO",AM120)))</formula>
    </cfRule>
    <cfRule type="containsText" dxfId="2405" priority="783" operator="containsText" text="AM">
      <formula>NOT(ISERROR(SEARCH("AM",AM120)))</formula>
    </cfRule>
    <cfRule type="containsText" dxfId="2404" priority="784" operator="containsText" text="VE">
      <formula>NOT(ISERROR(SEARCH("VE",AM120)))</formula>
    </cfRule>
  </conditionalFormatting>
  <conditionalFormatting sqref="AM131">
    <cfRule type="containsText" dxfId="2403" priority="777" operator="containsText" text="AZ">
      <formula>NOT(ISERROR(SEARCH("AZ",AM131)))</formula>
    </cfRule>
    <cfRule type="containsText" dxfId="2402" priority="778" operator="containsText" text="RO">
      <formula>NOT(ISERROR(SEARCH("RO",AM131)))</formula>
    </cfRule>
    <cfRule type="containsText" dxfId="2401" priority="779" operator="containsText" text="AM">
      <formula>NOT(ISERROR(SEARCH("AM",AM131)))</formula>
    </cfRule>
    <cfRule type="containsText" dxfId="2400" priority="780" operator="containsText" text="VE">
      <formula>NOT(ISERROR(SEARCH("VE",AM131)))</formula>
    </cfRule>
  </conditionalFormatting>
  <conditionalFormatting sqref="AM133">
    <cfRule type="containsText" dxfId="2399" priority="773" operator="containsText" text="AZ">
      <formula>NOT(ISERROR(SEARCH("AZ",AM133)))</formula>
    </cfRule>
    <cfRule type="containsText" dxfId="2398" priority="774" operator="containsText" text="RO">
      <formula>NOT(ISERROR(SEARCH("RO",AM133)))</formula>
    </cfRule>
    <cfRule type="containsText" dxfId="2397" priority="775" operator="containsText" text="AM">
      <formula>NOT(ISERROR(SEARCH("AM",AM133)))</formula>
    </cfRule>
    <cfRule type="containsText" dxfId="2396" priority="776" operator="containsText" text="VE">
      <formula>NOT(ISERROR(SEARCH("VE",AM133)))</formula>
    </cfRule>
  </conditionalFormatting>
  <conditionalFormatting sqref="AM141">
    <cfRule type="containsText" dxfId="2395" priority="769" operator="containsText" text="AZ">
      <formula>NOT(ISERROR(SEARCH("AZ",AM141)))</formula>
    </cfRule>
    <cfRule type="containsText" dxfId="2394" priority="770" operator="containsText" text="RO">
      <formula>NOT(ISERROR(SEARCH("RO",AM141)))</formula>
    </cfRule>
    <cfRule type="containsText" dxfId="2393" priority="771" operator="containsText" text="AM">
      <formula>NOT(ISERROR(SEARCH("AM",AM141)))</formula>
    </cfRule>
    <cfRule type="containsText" dxfId="2392" priority="772" operator="containsText" text="VE">
      <formula>NOT(ISERROR(SEARCH("VE",AM141)))</formula>
    </cfRule>
  </conditionalFormatting>
  <conditionalFormatting sqref="AM142:AM144">
    <cfRule type="containsText" dxfId="2391" priority="765" operator="containsText" text="AZ">
      <formula>NOT(ISERROR(SEARCH("AZ",AM142)))</formula>
    </cfRule>
    <cfRule type="containsText" dxfId="2390" priority="766" operator="containsText" text="RO">
      <formula>NOT(ISERROR(SEARCH("RO",AM142)))</formula>
    </cfRule>
    <cfRule type="containsText" dxfId="2389" priority="767" operator="containsText" text="AM">
      <formula>NOT(ISERROR(SEARCH("AM",AM142)))</formula>
    </cfRule>
    <cfRule type="containsText" dxfId="2388" priority="768" operator="containsText" text="VE">
      <formula>NOT(ISERROR(SEARCH("VE",AM142)))</formula>
    </cfRule>
  </conditionalFormatting>
  <conditionalFormatting sqref="AM147">
    <cfRule type="containsText" dxfId="2387" priority="761" operator="containsText" text="AZ">
      <formula>NOT(ISERROR(SEARCH("AZ",AM147)))</formula>
    </cfRule>
    <cfRule type="containsText" dxfId="2386" priority="762" operator="containsText" text="RO">
      <formula>NOT(ISERROR(SEARCH("RO",AM147)))</formula>
    </cfRule>
    <cfRule type="containsText" dxfId="2385" priority="763" operator="containsText" text="AM">
      <formula>NOT(ISERROR(SEARCH("AM",AM147)))</formula>
    </cfRule>
    <cfRule type="containsText" dxfId="2384" priority="764" operator="containsText" text="VE">
      <formula>NOT(ISERROR(SEARCH("VE",AM147)))</formula>
    </cfRule>
  </conditionalFormatting>
  <conditionalFormatting sqref="AM149">
    <cfRule type="containsText" dxfId="2383" priority="757" operator="containsText" text="AZ">
      <formula>NOT(ISERROR(SEARCH("AZ",AM149)))</formula>
    </cfRule>
    <cfRule type="containsText" dxfId="2382" priority="758" operator="containsText" text="RO">
      <formula>NOT(ISERROR(SEARCH("RO",AM149)))</formula>
    </cfRule>
    <cfRule type="containsText" dxfId="2381" priority="759" operator="containsText" text="AM">
      <formula>NOT(ISERROR(SEARCH("AM",AM149)))</formula>
    </cfRule>
    <cfRule type="containsText" dxfId="2380" priority="760" operator="containsText" text="VE">
      <formula>NOT(ISERROR(SEARCH("VE",AM149)))</formula>
    </cfRule>
  </conditionalFormatting>
  <conditionalFormatting sqref="AM151">
    <cfRule type="containsText" dxfId="2379" priority="753" operator="containsText" text="AZ">
      <formula>NOT(ISERROR(SEARCH("AZ",AM151)))</formula>
    </cfRule>
    <cfRule type="containsText" dxfId="2378" priority="754" operator="containsText" text="RO">
      <formula>NOT(ISERROR(SEARCH("RO",AM151)))</formula>
    </cfRule>
    <cfRule type="containsText" dxfId="2377" priority="755" operator="containsText" text="AM">
      <formula>NOT(ISERROR(SEARCH("AM",AM151)))</formula>
    </cfRule>
    <cfRule type="containsText" dxfId="2376" priority="756" operator="containsText" text="VE">
      <formula>NOT(ISERROR(SEARCH("VE",AM151)))</formula>
    </cfRule>
  </conditionalFormatting>
  <conditionalFormatting sqref="AM154">
    <cfRule type="containsText" dxfId="2375" priority="749" operator="containsText" text="AZ">
      <formula>NOT(ISERROR(SEARCH("AZ",AM154)))</formula>
    </cfRule>
    <cfRule type="containsText" dxfId="2374" priority="750" operator="containsText" text="RO">
      <formula>NOT(ISERROR(SEARCH("RO",AM154)))</formula>
    </cfRule>
    <cfRule type="containsText" dxfId="2373" priority="751" operator="containsText" text="AM">
      <formula>NOT(ISERROR(SEARCH("AM",AM154)))</formula>
    </cfRule>
    <cfRule type="containsText" dxfId="2372" priority="752" operator="containsText" text="VE">
      <formula>NOT(ISERROR(SEARCH("VE",AM154)))</formula>
    </cfRule>
  </conditionalFormatting>
  <conditionalFormatting sqref="AM336">
    <cfRule type="containsText" dxfId="2371" priority="725" operator="containsText" text="AZ">
      <formula>NOT(ISERROR(SEARCH("AZ",AM336)))</formula>
    </cfRule>
    <cfRule type="containsText" dxfId="2370" priority="726" operator="containsText" text="RO">
      <formula>NOT(ISERROR(SEARCH("RO",AM336)))</formula>
    </cfRule>
    <cfRule type="containsText" dxfId="2369" priority="727" operator="containsText" text="AM">
      <formula>NOT(ISERROR(SEARCH("AM",AM336)))</formula>
    </cfRule>
    <cfRule type="containsText" dxfId="2368" priority="728" operator="containsText" text="VE">
      <formula>NOT(ISERROR(SEARCH("VE",AM336)))</formula>
    </cfRule>
  </conditionalFormatting>
  <conditionalFormatting sqref="AM339">
    <cfRule type="containsText" dxfId="2367" priority="721" operator="containsText" text="AZ">
      <formula>NOT(ISERROR(SEARCH("AZ",AM339)))</formula>
    </cfRule>
    <cfRule type="containsText" dxfId="2366" priority="722" operator="containsText" text="RO">
      <formula>NOT(ISERROR(SEARCH("RO",AM339)))</formula>
    </cfRule>
    <cfRule type="containsText" dxfId="2365" priority="723" operator="containsText" text="AM">
      <formula>NOT(ISERROR(SEARCH("AM",AM339)))</formula>
    </cfRule>
    <cfRule type="containsText" dxfId="2364" priority="724" operator="containsText" text="VE">
      <formula>NOT(ISERROR(SEARCH("VE",AM339)))</formula>
    </cfRule>
  </conditionalFormatting>
  <conditionalFormatting sqref="AM345">
    <cfRule type="containsText" dxfId="2363" priority="717" operator="containsText" text="AZ">
      <formula>NOT(ISERROR(SEARCH("AZ",AM345)))</formula>
    </cfRule>
    <cfRule type="containsText" dxfId="2362" priority="718" operator="containsText" text="RO">
      <formula>NOT(ISERROR(SEARCH("RO",AM345)))</formula>
    </cfRule>
    <cfRule type="containsText" dxfId="2361" priority="719" operator="containsText" text="AM">
      <formula>NOT(ISERROR(SEARCH("AM",AM345)))</formula>
    </cfRule>
    <cfRule type="containsText" dxfId="2360" priority="720" operator="containsText" text="VE">
      <formula>NOT(ISERROR(SEARCH("VE",AM345)))</formula>
    </cfRule>
  </conditionalFormatting>
  <conditionalFormatting sqref="AM348">
    <cfRule type="containsText" dxfId="2359" priority="713" operator="containsText" text="AZ">
      <formula>NOT(ISERROR(SEARCH("AZ",AM348)))</formula>
    </cfRule>
    <cfRule type="containsText" dxfId="2358" priority="714" operator="containsText" text="RO">
      <formula>NOT(ISERROR(SEARCH("RO",AM348)))</formula>
    </cfRule>
    <cfRule type="containsText" dxfId="2357" priority="715" operator="containsText" text="AM">
      <formula>NOT(ISERROR(SEARCH("AM",AM348)))</formula>
    </cfRule>
    <cfRule type="containsText" dxfId="2356" priority="716" operator="containsText" text="VE">
      <formula>NOT(ISERROR(SEARCH("VE",AM348)))</formula>
    </cfRule>
  </conditionalFormatting>
  <conditionalFormatting sqref="AM350">
    <cfRule type="containsText" dxfId="2355" priority="709" operator="containsText" text="AZ">
      <formula>NOT(ISERROR(SEARCH("AZ",AM350)))</formula>
    </cfRule>
    <cfRule type="containsText" dxfId="2354" priority="710" operator="containsText" text="RO">
      <formula>NOT(ISERROR(SEARCH("RO",AM350)))</formula>
    </cfRule>
    <cfRule type="containsText" dxfId="2353" priority="711" operator="containsText" text="AM">
      <formula>NOT(ISERROR(SEARCH("AM",AM350)))</formula>
    </cfRule>
    <cfRule type="containsText" dxfId="2352" priority="712" operator="containsText" text="VE">
      <formula>NOT(ISERROR(SEARCH("VE",AM350)))</formula>
    </cfRule>
  </conditionalFormatting>
  <conditionalFormatting sqref="AM351">
    <cfRule type="containsText" dxfId="2351" priority="705" operator="containsText" text="AZ">
      <formula>NOT(ISERROR(SEARCH("AZ",AM351)))</formula>
    </cfRule>
    <cfRule type="containsText" dxfId="2350" priority="706" operator="containsText" text="RO">
      <formula>NOT(ISERROR(SEARCH("RO",AM351)))</formula>
    </cfRule>
    <cfRule type="containsText" dxfId="2349" priority="707" operator="containsText" text="AM">
      <formula>NOT(ISERROR(SEARCH("AM",AM351)))</formula>
    </cfRule>
    <cfRule type="containsText" dxfId="2348" priority="708" operator="containsText" text="VE">
      <formula>NOT(ISERROR(SEARCH("VE",AM351)))</formula>
    </cfRule>
  </conditionalFormatting>
  <conditionalFormatting sqref="AM353">
    <cfRule type="containsText" dxfId="2347" priority="701" operator="containsText" text="AZ">
      <formula>NOT(ISERROR(SEARCH("AZ",AM353)))</formula>
    </cfRule>
    <cfRule type="containsText" dxfId="2346" priority="702" operator="containsText" text="RO">
      <formula>NOT(ISERROR(SEARCH("RO",AM353)))</formula>
    </cfRule>
    <cfRule type="containsText" dxfId="2345" priority="703" operator="containsText" text="AM">
      <formula>NOT(ISERROR(SEARCH("AM",AM353)))</formula>
    </cfRule>
    <cfRule type="containsText" dxfId="2344" priority="704" operator="containsText" text="VE">
      <formula>NOT(ISERROR(SEARCH("VE",AM353)))</formula>
    </cfRule>
  </conditionalFormatting>
  <conditionalFormatting sqref="AM358">
    <cfRule type="containsText" dxfId="2343" priority="697" operator="containsText" text="AZ">
      <formula>NOT(ISERROR(SEARCH("AZ",AM358)))</formula>
    </cfRule>
    <cfRule type="containsText" dxfId="2342" priority="698" operator="containsText" text="RO">
      <formula>NOT(ISERROR(SEARCH("RO",AM358)))</formula>
    </cfRule>
    <cfRule type="containsText" dxfId="2341" priority="699" operator="containsText" text="AM">
      <formula>NOT(ISERROR(SEARCH("AM",AM358)))</formula>
    </cfRule>
    <cfRule type="containsText" dxfId="2340" priority="700" operator="containsText" text="VE">
      <formula>NOT(ISERROR(SEARCH("VE",AM358)))</formula>
    </cfRule>
  </conditionalFormatting>
  <conditionalFormatting sqref="AM405">
    <cfRule type="containsText" dxfId="2339" priority="693" operator="containsText" text="AZ">
      <formula>NOT(ISERROR(SEARCH("AZ",AM405)))</formula>
    </cfRule>
    <cfRule type="containsText" dxfId="2338" priority="694" operator="containsText" text="RO">
      <formula>NOT(ISERROR(SEARCH("RO",AM405)))</formula>
    </cfRule>
    <cfRule type="containsText" dxfId="2337" priority="695" operator="containsText" text="AM">
      <formula>NOT(ISERROR(SEARCH("AM",AM405)))</formula>
    </cfRule>
    <cfRule type="containsText" dxfId="2336" priority="696" operator="containsText" text="VE">
      <formula>NOT(ISERROR(SEARCH("VE",AM405)))</formula>
    </cfRule>
  </conditionalFormatting>
  <conditionalFormatting sqref="AM406">
    <cfRule type="containsText" dxfId="2335" priority="689" operator="containsText" text="AZ">
      <formula>NOT(ISERROR(SEARCH("AZ",AM406)))</formula>
    </cfRule>
    <cfRule type="containsText" dxfId="2334" priority="690" operator="containsText" text="RO">
      <formula>NOT(ISERROR(SEARCH("RO",AM406)))</formula>
    </cfRule>
    <cfRule type="containsText" dxfId="2333" priority="691" operator="containsText" text="AM">
      <formula>NOT(ISERROR(SEARCH("AM",AM406)))</formula>
    </cfRule>
    <cfRule type="containsText" dxfId="2332" priority="692" operator="containsText" text="VE">
      <formula>NOT(ISERROR(SEARCH("VE",AM406)))</formula>
    </cfRule>
  </conditionalFormatting>
  <conditionalFormatting sqref="AM408">
    <cfRule type="containsText" dxfId="2331" priority="685" operator="containsText" text="AZ">
      <formula>NOT(ISERROR(SEARCH("AZ",AM408)))</formula>
    </cfRule>
    <cfRule type="containsText" dxfId="2330" priority="686" operator="containsText" text="RO">
      <formula>NOT(ISERROR(SEARCH("RO",AM408)))</formula>
    </cfRule>
    <cfRule type="containsText" dxfId="2329" priority="687" operator="containsText" text="AM">
      <formula>NOT(ISERROR(SEARCH("AM",AM408)))</formula>
    </cfRule>
    <cfRule type="containsText" dxfId="2328" priority="688" operator="containsText" text="VE">
      <formula>NOT(ISERROR(SEARCH("VE",AM408)))</formula>
    </cfRule>
  </conditionalFormatting>
  <conditionalFormatting sqref="AM410">
    <cfRule type="containsText" dxfId="2327" priority="681" operator="containsText" text="AZ">
      <formula>NOT(ISERROR(SEARCH("AZ",AM410)))</formula>
    </cfRule>
    <cfRule type="containsText" dxfId="2326" priority="682" operator="containsText" text="RO">
      <formula>NOT(ISERROR(SEARCH("RO",AM410)))</formula>
    </cfRule>
    <cfRule type="containsText" dxfId="2325" priority="683" operator="containsText" text="AM">
      <formula>NOT(ISERROR(SEARCH("AM",AM410)))</formula>
    </cfRule>
    <cfRule type="containsText" dxfId="2324" priority="684" operator="containsText" text="VE">
      <formula>NOT(ISERROR(SEARCH("VE",AM410)))</formula>
    </cfRule>
  </conditionalFormatting>
  <conditionalFormatting sqref="AM413">
    <cfRule type="containsText" dxfId="2323" priority="677" operator="containsText" text="AZ">
      <formula>NOT(ISERROR(SEARCH("AZ",AM413)))</formula>
    </cfRule>
    <cfRule type="containsText" dxfId="2322" priority="678" operator="containsText" text="RO">
      <formula>NOT(ISERROR(SEARCH("RO",AM413)))</formula>
    </cfRule>
    <cfRule type="containsText" dxfId="2321" priority="679" operator="containsText" text="AM">
      <formula>NOT(ISERROR(SEARCH("AM",AM413)))</formula>
    </cfRule>
    <cfRule type="containsText" dxfId="2320" priority="680" operator="containsText" text="VE">
      <formula>NOT(ISERROR(SEARCH("VE",AM413)))</formula>
    </cfRule>
  </conditionalFormatting>
  <conditionalFormatting sqref="AM415">
    <cfRule type="containsText" dxfId="2319" priority="673" operator="containsText" text="AZ">
      <formula>NOT(ISERROR(SEARCH("AZ",AM415)))</formula>
    </cfRule>
    <cfRule type="containsText" dxfId="2318" priority="674" operator="containsText" text="RO">
      <formula>NOT(ISERROR(SEARCH("RO",AM415)))</formula>
    </cfRule>
    <cfRule type="containsText" dxfId="2317" priority="675" operator="containsText" text="AM">
      <formula>NOT(ISERROR(SEARCH("AM",AM415)))</formula>
    </cfRule>
    <cfRule type="containsText" dxfId="2316" priority="676" operator="containsText" text="VE">
      <formula>NOT(ISERROR(SEARCH("VE",AM415)))</formula>
    </cfRule>
  </conditionalFormatting>
  <conditionalFormatting sqref="AM422">
    <cfRule type="containsText" dxfId="2315" priority="669" operator="containsText" text="AZ">
      <formula>NOT(ISERROR(SEARCH("AZ",AM422)))</formula>
    </cfRule>
    <cfRule type="containsText" dxfId="2314" priority="670" operator="containsText" text="RO">
      <formula>NOT(ISERROR(SEARCH("RO",AM422)))</formula>
    </cfRule>
    <cfRule type="containsText" dxfId="2313" priority="671" operator="containsText" text="AM">
      <formula>NOT(ISERROR(SEARCH("AM",AM422)))</formula>
    </cfRule>
    <cfRule type="containsText" dxfId="2312" priority="672" operator="containsText" text="VE">
      <formula>NOT(ISERROR(SEARCH("VE",AM422)))</formula>
    </cfRule>
  </conditionalFormatting>
  <conditionalFormatting sqref="AM431">
    <cfRule type="containsText" dxfId="2311" priority="665" operator="containsText" text="AZ">
      <formula>NOT(ISERROR(SEARCH("AZ",AM431)))</formula>
    </cfRule>
    <cfRule type="containsText" dxfId="2310" priority="666" operator="containsText" text="RO">
      <formula>NOT(ISERROR(SEARCH("RO",AM431)))</formula>
    </cfRule>
    <cfRule type="containsText" dxfId="2309" priority="667" operator="containsText" text="AM">
      <formula>NOT(ISERROR(SEARCH("AM",AM431)))</formula>
    </cfRule>
    <cfRule type="containsText" dxfId="2308" priority="668" operator="containsText" text="VE">
      <formula>NOT(ISERROR(SEARCH("VE",AM431)))</formula>
    </cfRule>
  </conditionalFormatting>
  <conditionalFormatting sqref="AM436">
    <cfRule type="containsText" dxfId="2307" priority="661" operator="containsText" text="AZ">
      <formula>NOT(ISERROR(SEARCH("AZ",AM436)))</formula>
    </cfRule>
    <cfRule type="containsText" dxfId="2306" priority="662" operator="containsText" text="RO">
      <formula>NOT(ISERROR(SEARCH("RO",AM436)))</formula>
    </cfRule>
    <cfRule type="containsText" dxfId="2305" priority="663" operator="containsText" text="AM">
      <formula>NOT(ISERROR(SEARCH("AM",AM436)))</formula>
    </cfRule>
    <cfRule type="containsText" dxfId="2304" priority="664" operator="containsText" text="VE">
      <formula>NOT(ISERROR(SEARCH("VE",AM436)))</formula>
    </cfRule>
  </conditionalFormatting>
  <conditionalFormatting sqref="AM437">
    <cfRule type="containsText" dxfId="2303" priority="657" operator="containsText" text="AZ">
      <formula>NOT(ISERROR(SEARCH("AZ",AM437)))</formula>
    </cfRule>
    <cfRule type="containsText" dxfId="2302" priority="658" operator="containsText" text="RO">
      <formula>NOT(ISERROR(SEARCH("RO",AM437)))</formula>
    </cfRule>
    <cfRule type="containsText" dxfId="2301" priority="659" operator="containsText" text="AM">
      <formula>NOT(ISERROR(SEARCH("AM",AM437)))</formula>
    </cfRule>
    <cfRule type="containsText" dxfId="2300" priority="660" operator="containsText" text="VE">
      <formula>NOT(ISERROR(SEARCH("VE",AM437)))</formula>
    </cfRule>
  </conditionalFormatting>
  <conditionalFormatting sqref="AM440">
    <cfRule type="containsText" dxfId="2299" priority="653" operator="containsText" text="AZ">
      <formula>NOT(ISERROR(SEARCH("AZ",AM440)))</formula>
    </cfRule>
    <cfRule type="containsText" dxfId="2298" priority="654" operator="containsText" text="RO">
      <formula>NOT(ISERROR(SEARCH("RO",AM440)))</formula>
    </cfRule>
    <cfRule type="containsText" dxfId="2297" priority="655" operator="containsText" text="AM">
      <formula>NOT(ISERROR(SEARCH("AM",AM440)))</formula>
    </cfRule>
    <cfRule type="containsText" dxfId="2296" priority="656" operator="containsText" text="VE">
      <formula>NOT(ISERROR(SEARCH("VE",AM440)))</formula>
    </cfRule>
  </conditionalFormatting>
  <conditionalFormatting sqref="AM444">
    <cfRule type="containsText" dxfId="2295" priority="649" operator="containsText" text="AZ">
      <formula>NOT(ISERROR(SEARCH("AZ",AM444)))</formula>
    </cfRule>
    <cfRule type="containsText" dxfId="2294" priority="650" operator="containsText" text="RO">
      <formula>NOT(ISERROR(SEARCH("RO",AM444)))</formula>
    </cfRule>
    <cfRule type="containsText" dxfId="2293" priority="651" operator="containsText" text="AM">
      <formula>NOT(ISERROR(SEARCH("AM",AM444)))</formula>
    </cfRule>
    <cfRule type="containsText" dxfId="2292" priority="652" operator="containsText" text="VE">
      <formula>NOT(ISERROR(SEARCH("VE",AM444)))</formula>
    </cfRule>
  </conditionalFormatting>
  <conditionalFormatting sqref="AM488">
    <cfRule type="containsText" dxfId="2291" priority="621" operator="containsText" text="AZ">
      <formula>NOT(ISERROR(SEARCH("AZ",AM488)))</formula>
    </cfRule>
    <cfRule type="containsText" dxfId="2290" priority="622" operator="containsText" text="RO">
      <formula>NOT(ISERROR(SEARCH("RO",AM488)))</formula>
    </cfRule>
    <cfRule type="containsText" dxfId="2289" priority="623" operator="containsText" text="AM">
      <formula>NOT(ISERROR(SEARCH("AM",AM488)))</formula>
    </cfRule>
    <cfRule type="containsText" dxfId="2288" priority="624" operator="containsText" text="VE">
      <formula>NOT(ISERROR(SEARCH("VE",AM488)))</formula>
    </cfRule>
  </conditionalFormatting>
  <conditionalFormatting sqref="AM491">
    <cfRule type="containsText" dxfId="2287" priority="617" operator="containsText" text="AZ">
      <formula>NOT(ISERROR(SEARCH("AZ",AM491)))</formula>
    </cfRule>
    <cfRule type="containsText" dxfId="2286" priority="618" operator="containsText" text="RO">
      <formula>NOT(ISERROR(SEARCH("RO",AM491)))</formula>
    </cfRule>
    <cfRule type="containsText" dxfId="2285" priority="619" operator="containsText" text="AM">
      <formula>NOT(ISERROR(SEARCH("AM",AM491)))</formula>
    </cfRule>
    <cfRule type="containsText" dxfId="2284" priority="620" operator="containsText" text="VE">
      <formula>NOT(ISERROR(SEARCH("VE",AM491)))</formula>
    </cfRule>
  </conditionalFormatting>
  <conditionalFormatting sqref="AM495">
    <cfRule type="containsText" dxfId="2283" priority="613" operator="containsText" text="AZ">
      <formula>NOT(ISERROR(SEARCH("AZ",AM495)))</formula>
    </cfRule>
    <cfRule type="containsText" dxfId="2282" priority="614" operator="containsText" text="RO">
      <formula>NOT(ISERROR(SEARCH("RO",AM495)))</formula>
    </cfRule>
    <cfRule type="containsText" dxfId="2281" priority="615" operator="containsText" text="AM">
      <formula>NOT(ISERROR(SEARCH("AM",AM495)))</formula>
    </cfRule>
    <cfRule type="containsText" dxfId="2280" priority="616" operator="containsText" text="VE">
      <formula>NOT(ISERROR(SEARCH("VE",AM495)))</formula>
    </cfRule>
  </conditionalFormatting>
  <conditionalFormatting sqref="AM496:AM497">
    <cfRule type="containsText" dxfId="2279" priority="609" operator="containsText" text="AZ">
      <formula>NOT(ISERROR(SEARCH("AZ",AM496)))</formula>
    </cfRule>
    <cfRule type="containsText" dxfId="2278" priority="610" operator="containsText" text="RO">
      <formula>NOT(ISERROR(SEARCH("RO",AM496)))</formula>
    </cfRule>
    <cfRule type="containsText" dxfId="2277" priority="611" operator="containsText" text="AM">
      <formula>NOT(ISERROR(SEARCH("AM",AM496)))</formula>
    </cfRule>
    <cfRule type="containsText" dxfId="2276" priority="612" operator="containsText" text="VE">
      <formula>NOT(ISERROR(SEARCH("VE",AM496)))</formula>
    </cfRule>
  </conditionalFormatting>
  <conditionalFormatting sqref="AM499">
    <cfRule type="containsText" dxfId="2275" priority="605" operator="containsText" text="AZ">
      <formula>NOT(ISERROR(SEARCH("AZ",AM499)))</formula>
    </cfRule>
    <cfRule type="containsText" dxfId="2274" priority="606" operator="containsText" text="RO">
      <formula>NOT(ISERROR(SEARCH("RO",AM499)))</formula>
    </cfRule>
    <cfRule type="containsText" dxfId="2273" priority="607" operator="containsText" text="AM">
      <formula>NOT(ISERROR(SEARCH("AM",AM499)))</formula>
    </cfRule>
    <cfRule type="containsText" dxfId="2272" priority="608" operator="containsText" text="VE">
      <formula>NOT(ISERROR(SEARCH("VE",AM499)))</formula>
    </cfRule>
  </conditionalFormatting>
  <conditionalFormatting sqref="AM500">
    <cfRule type="containsText" dxfId="2271" priority="601" operator="containsText" text="AZ">
      <formula>NOT(ISERROR(SEARCH("AZ",AM500)))</formula>
    </cfRule>
    <cfRule type="containsText" dxfId="2270" priority="602" operator="containsText" text="RO">
      <formula>NOT(ISERROR(SEARCH("RO",AM500)))</formula>
    </cfRule>
    <cfRule type="containsText" dxfId="2269" priority="603" operator="containsText" text="AM">
      <formula>NOT(ISERROR(SEARCH("AM",AM500)))</formula>
    </cfRule>
    <cfRule type="containsText" dxfId="2268" priority="604" operator="containsText" text="VE">
      <formula>NOT(ISERROR(SEARCH("VE",AM500)))</formula>
    </cfRule>
  </conditionalFormatting>
  <conditionalFormatting sqref="AM112">
    <cfRule type="containsText" dxfId="2267" priority="597" operator="containsText" text="AZ">
      <formula>NOT(ISERROR(SEARCH("AZ",AM112)))</formula>
    </cfRule>
    <cfRule type="containsText" dxfId="2266" priority="598" operator="containsText" text="RO">
      <formula>NOT(ISERROR(SEARCH("RO",AM112)))</formula>
    </cfRule>
    <cfRule type="containsText" dxfId="2265" priority="599" operator="containsText" text="AM">
      <formula>NOT(ISERROR(SEARCH("AM",AM112)))</formula>
    </cfRule>
    <cfRule type="containsText" dxfId="2264" priority="600" operator="containsText" text="VE">
      <formula>NOT(ISERROR(SEARCH("VE",AM112)))</formula>
    </cfRule>
  </conditionalFormatting>
  <conditionalFormatting sqref="AM113:AM114">
    <cfRule type="containsText" dxfId="2263" priority="593" operator="containsText" text="AZ">
      <formula>NOT(ISERROR(SEARCH("AZ",AM113)))</formula>
    </cfRule>
    <cfRule type="containsText" dxfId="2262" priority="594" operator="containsText" text="RO">
      <formula>NOT(ISERROR(SEARCH("RO",AM113)))</formula>
    </cfRule>
    <cfRule type="containsText" dxfId="2261" priority="595" operator="containsText" text="AM">
      <formula>NOT(ISERROR(SEARCH("AM",AM113)))</formula>
    </cfRule>
    <cfRule type="containsText" dxfId="2260" priority="596" operator="containsText" text="VE">
      <formula>NOT(ISERROR(SEARCH("VE",AM113)))</formula>
    </cfRule>
  </conditionalFormatting>
  <conditionalFormatting sqref="AM118">
    <cfRule type="containsText" dxfId="2259" priority="589" operator="containsText" text="AZ">
      <formula>NOT(ISERROR(SEARCH("AZ",AM118)))</formula>
    </cfRule>
    <cfRule type="containsText" dxfId="2258" priority="590" operator="containsText" text="RO">
      <formula>NOT(ISERROR(SEARCH("RO",AM118)))</formula>
    </cfRule>
    <cfRule type="containsText" dxfId="2257" priority="591" operator="containsText" text="AM">
      <formula>NOT(ISERROR(SEARCH("AM",AM118)))</formula>
    </cfRule>
    <cfRule type="containsText" dxfId="2256" priority="592" operator="containsText" text="VE">
      <formula>NOT(ISERROR(SEARCH("VE",AM118)))</formula>
    </cfRule>
  </conditionalFormatting>
  <conditionalFormatting sqref="AM124">
    <cfRule type="containsText" dxfId="2255" priority="585" operator="containsText" text="AZ">
      <formula>NOT(ISERROR(SEARCH("AZ",AM124)))</formula>
    </cfRule>
    <cfRule type="containsText" dxfId="2254" priority="586" operator="containsText" text="RO">
      <formula>NOT(ISERROR(SEARCH("RO",AM124)))</formula>
    </cfRule>
    <cfRule type="containsText" dxfId="2253" priority="587" operator="containsText" text="AM">
      <formula>NOT(ISERROR(SEARCH("AM",AM124)))</formula>
    </cfRule>
    <cfRule type="containsText" dxfId="2252" priority="588" operator="containsText" text="VE">
      <formula>NOT(ISERROR(SEARCH("VE",AM124)))</formula>
    </cfRule>
  </conditionalFormatting>
  <conditionalFormatting sqref="AM127">
    <cfRule type="containsText" dxfId="2251" priority="581" operator="containsText" text="AZ">
      <formula>NOT(ISERROR(SEARCH("AZ",AM127)))</formula>
    </cfRule>
    <cfRule type="containsText" dxfId="2250" priority="582" operator="containsText" text="RO">
      <formula>NOT(ISERROR(SEARCH("RO",AM127)))</formula>
    </cfRule>
    <cfRule type="containsText" dxfId="2249" priority="583" operator="containsText" text="AM">
      <formula>NOT(ISERROR(SEARCH("AM",AM127)))</formula>
    </cfRule>
    <cfRule type="containsText" dxfId="2248" priority="584" operator="containsText" text="VE">
      <formula>NOT(ISERROR(SEARCH("VE",AM127)))</formula>
    </cfRule>
  </conditionalFormatting>
  <conditionalFormatting sqref="AM134 AM136">
    <cfRule type="containsText" dxfId="2247" priority="577" operator="containsText" text="AZ">
      <formula>NOT(ISERROR(SEARCH("AZ",AM134)))</formula>
    </cfRule>
    <cfRule type="containsText" dxfId="2246" priority="578" operator="containsText" text="RO">
      <formula>NOT(ISERROR(SEARCH("RO",AM134)))</formula>
    </cfRule>
    <cfRule type="containsText" dxfId="2245" priority="579" operator="containsText" text="AM">
      <formula>NOT(ISERROR(SEARCH("AM",AM134)))</formula>
    </cfRule>
    <cfRule type="containsText" dxfId="2244" priority="580" operator="containsText" text="VE">
      <formula>NOT(ISERROR(SEARCH("VE",AM134)))</formula>
    </cfRule>
  </conditionalFormatting>
  <conditionalFormatting sqref="AM139">
    <cfRule type="containsText" dxfId="2243" priority="573" operator="containsText" text="AZ">
      <formula>NOT(ISERROR(SEARCH("AZ",AM139)))</formula>
    </cfRule>
    <cfRule type="containsText" dxfId="2242" priority="574" operator="containsText" text="RO">
      <formula>NOT(ISERROR(SEARCH("RO",AM139)))</formula>
    </cfRule>
    <cfRule type="containsText" dxfId="2241" priority="575" operator="containsText" text="AM">
      <formula>NOT(ISERROR(SEARCH("AM",AM139)))</formula>
    </cfRule>
    <cfRule type="containsText" dxfId="2240" priority="576" operator="containsText" text="VE">
      <formula>NOT(ISERROR(SEARCH("VE",AM139)))</formula>
    </cfRule>
  </conditionalFormatting>
  <conditionalFormatting sqref="AM140">
    <cfRule type="containsText" dxfId="2239" priority="569" operator="containsText" text="AZ">
      <formula>NOT(ISERROR(SEARCH("AZ",AM140)))</formula>
    </cfRule>
    <cfRule type="containsText" dxfId="2238" priority="570" operator="containsText" text="RO">
      <formula>NOT(ISERROR(SEARCH("RO",AM140)))</formula>
    </cfRule>
    <cfRule type="containsText" dxfId="2237" priority="571" operator="containsText" text="AM">
      <formula>NOT(ISERROR(SEARCH("AM",AM140)))</formula>
    </cfRule>
    <cfRule type="containsText" dxfId="2236" priority="572" operator="containsText" text="VE">
      <formula>NOT(ISERROR(SEARCH("VE",AM140)))</formula>
    </cfRule>
  </conditionalFormatting>
  <conditionalFormatting sqref="AM145">
    <cfRule type="containsText" dxfId="2235" priority="565" operator="containsText" text="AZ">
      <formula>NOT(ISERROR(SEARCH("AZ",AM145)))</formula>
    </cfRule>
    <cfRule type="containsText" dxfId="2234" priority="566" operator="containsText" text="RO">
      <formula>NOT(ISERROR(SEARCH("RO",AM145)))</formula>
    </cfRule>
    <cfRule type="containsText" dxfId="2233" priority="567" operator="containsText" text="AM">
      <formula>NOT(ISERROR(SEARCH("AM",AM145)))</formula>
    </cfRule>
    <cfRule type="containsText" dxfId="2232" priority="568" operator="containsText" text="VE">
      <formula>NOT(ISERROR(SEARCH("VE",AM145)))</formula>
    </cfRule>
  </conditionalFormatting>
  <conditionalFormatting sqref="AM155">
    <cfRule type="containsText" dxfId="2231" priority="561" operator="containsText" text="AZ">
      <formula>NOT(ISERROR(SEARCH("AZ",AM155)))</formula>
    </cfRule>
    <cfRule type="containsText" dxfId="2230" priority="562" operator="containsText" text="RO">
      <formula>NOT(ISERROR(SEARCH("RO",AM155)))</formula>
    </cfRule>
    <cfRule type="containsText" dxfId="2229" priority="563" operator="containsText" text="AM">
      <formula>NOT(ISERROR(SEARCH("AM",AM155)))</formula>
    </cfRule>
    <cfRule type="containsText" dxfId="2228" priority="564" operator="containsText" text="VE">
      <formula>NOT(ISERROR(SEARCH("VE",AM155)))</formula>
    </cfRule>
  </conditionalFormatting>
  <conditionalFormatting sqref="AM237">
    <cfRule type="containsText" dxfId="2227" priority="557" operator="containsText" text="AZ">
      <formula>NOT(ISERROR(SEARCH("AZ",AM237)))</formula>
    </cfRule>
    <cfRule type="containsText" dxfId="2226" priority="558" operator="containsText" text="RO">
      <formula>NOT(ISERROR(SEARCH("RO",AM237)))</formula>
    </cfRule>
    <cfRule type="containsText" dxfId="2225" priority="559" operator="containsText" text="AM">
      <formula>NOT(ISERROR(SEARCH("AM",AM237)))</formula>
    </cfRule>
    <cfRule type="containsText" dxfId="2224" priority="560" operator="containsText" text="VE">
      <formula>NOT(ISERROR(SEARCH("VE",AM237)))</formula>
    </cfRule>
  </conditionalFormatting>
  <conditionalFormatting sqref="AM238">
    <cfRule type="containsText" dxfId="2223" priority="553" operator="containsText" text="AZ">
      <formula>NOT(ISERROR(SEARCH("AZ",AM238)))</formula>
    </cfRule>
    <cfRule type="containsText" dxfId="2222" priority="554" operator="containsText" text="RO">
      <formula>NOT(ISERROR(SEARCH("RO",AM238)))</formula>
    </cfRule>
    <cfRule type="containsText" dxfId="2221" priority="555" operator="containsText" text="AM">
      <formula>NOT(ISERROR(SEARCH("AM",AM238)))</formula>
    </cfRule>
    <cfRule type="containsText" dxfId="2220" priority="556" operator="containsText" text="VE">
      <formula>NOT(ISERROR(SEARCH("VE",AM238)))</formula>
    </cfRule>
  </conditionalFormatting>
  <conditionalFormatting sqref="AM297:AM299">
    <cfRule type="containsText" dxfId="2219" priority="549" operator="containsText" text="AZ">
      <formula>NOT(ISERROR(SEARCH("AZ",AM297)))</formula>
    </cfRule>
    <cfRule type="containsText" dxfId="2218" priority="550" operator="containsText" text="RO">
      <formula>NOT(ISERROR(SEARCH("RO",AM297)))</formula>
    </cfRule>
    <cfRule type="containsText" dxfId="2217" priority="551" operator="containsText" text="AM">
      <formula>NOT(ISERROR(SEARCH("AM",AM297)))</formula>
    </cfRule>
    <cfRule type="containsText" dxfId="2216" priority="552" operator="containsText" text="VE">
      <formula>NOT(ISERROR(SEARCH("VE",AM297)))</formula>
    </cfRule>
  </conditionalFormatting>
  <conditionalFormatting sqref="AM333">
    <cfRule type="containsText" dxfId="2215" priority="513" operator="containsText" text="AZ">
      <formula>NOT(ISERROR(SEARCH("AZ",AM333)))</formula>
    </cfRule>
    <cfRule type="containsText" dxfId="2214" priority="514" operator="containsText" text="RO">
      <formula>NOT(ISERROR(SEARCH("RO",AM333)))</formula>
    </cfRule>
    <cfRule type="containsText" dxfId="2213" priority="515" operator="containsText" text="AM">
      <formula>NOT(ISERROR(SEARCH("AM",AM333)))</formula>
    </cfRule>
    <cfRule type="containsText" dxfId="2212" priority="516" operator="containsText" text="VE">
      <formula>NOT(ISERROR(SEARCH("VE",AM333)))</formula>
    </cfRule>
  </conditionalFormatting>
  <conditionalFormatting sqref="AM335">
    <cfRule type="containsText" dxfId="2211" priority="509" operator="containsText" text="AZ">
      <formula>NOT(ISERROR(SEARCH("AZ",AM335)))</formula>
    </cfRule>
    <cfRule type="containsText" dxfId="2210" priority="510" operator="containsText" text="RO">
      <formula>NOT(ISERROR(SEARCH("RO",AM335)))</formula>
    </cfRule>
    <cfRule type="containsText" dxfId="2209" priority="511" operator="containsText" text="AM">
      <formula>NOT(ISERROR(SEARCH("AM",AM335)))</formula>
    </cfRule>
    <cfRule type="containsText" dxfId="2208" priority="512" operator="containsText" text="VE">
      <formula>NOT(ISERROR(SEARCH("VE",AM335)))</formula>
    </cfRule>
  </conditionalFormatting>
  <conditionalFormatting sqref="AM340">
    <cfRule type="containsText" dxfId="2207" priority="505" operator="containsText" text="AZ">
      <formula>NOT(ISERROR(SEARCH("AZ",AM340)))</formula>
    </cfRule>
    <cfRule type="containsText" dxfId="2206" priority="506" operator="containsText" text="RO">
      <formula>NOT(ISERROR(SEARCH("RO",AM340)))</formula>
    </cfRule>
    <cfRule type="containsText" dxfId="2205" priority="507" operator="containsText" text="AM">
      <formula>NOT(ISERROR(SEARCH("AM",AM340)))</formula>
    </cfRule>
    <cfRule type="containsText" dxfId="2204" priority="508" operator="containsText" text="VE">
      <formula>NOT(ISERROR(SEARCH("VE",AM340)))</formula>
    </cfRule>
  </conditionalFormatting>
  <conditionalFormatting sqref="AM346">
    <cfRule type="containsText" dxfId="2203" priority="501" operator="containsText" text="AZ">
      <formula>NOT(ISERROR(SEARCH("AZ",AM346)))</formula>
    </cfRule>
    <cfRule type="containsText" dxfId="2202" priority="502" operator="containsText" text="RO">
      <formula>NOT(ISERROR(SEARCH("RO",AM346)))</formula>
    </cfRule>
    <cfRule type="containsText" dxfId="2201" priority="503" operator="containsText" text="AM">
      <formula>NOT(ISERROR(SEARCH("AM",AM346)))</formula>
    </cfRule>
    <cfRule type="containsText" dxfId="2200" priority="504" operator="containsText" text="VE">
      <formula>NOT(ISERROR(SEARCH("VE",AM346)))</formula>
    </cfRule>
  </conditionalFormatting>
  <conditionalFormatting sqref="AM361">
    <cfRule type="containsText" dxfId="2199" priority="497" operator="containsText" text="AZ">
      <formula>NOT(ISERROR(SEARCH("AZ",AM361)))</formula>
    </cfRule>
    <cfRule type="containsText" dxfId="2198" priority="498" operator="containsText" text="RO">
      <formula>NOT(ISERROR(SEARCH("RO",AM361)))</formula>
    </cfRule>
    <cfRule type="containsText" dxfId="2197" priority="499" operator="containsText" text="AM">
      <formula>NOT(ISERROR(SEARCH("AM",AM361)))</formula>
    </cfRule>
    <cfRule type="containsText" dxfId="2196" priority="500" operator="containsText" text="VE">
      <formula>NOT(ISERROR(SEARCH("VE",AM361)))</formula>
    </cfRule>
  </conditionalFormatting>
  <conditionalFormatting sqref="AM368">
    <cfRule type="containsText" dxfId="2195" priority="493" operator="containsText" text="AZ">
      <formula>NOT(ISERROR(SEARCH("AZ",AM368)))</formula>
    </cfRule>
    <cfRule type="containsText" dxfId="2194" priority="494" operator="containsText" text="RO">
      <formula>NOT(ISERROR(SEARCH("RO",AM368)))</formula>
    </cfRule>
    <cfRule type="containsText" dxfId="2193" priority="495" operator="containsText" text="AM">
      <formula>NOT(ISERROR(SEARCH("AM",AM368)))</formula>
    </cfRule>
    <cfRule type="containsText" dxfId="2192" priority="496" operator="containsText" text="VE">
      <formula>NOT(ISERROR(SEARCH("VE",AM368)))</formula>
    </cfRule>
  </conditionalFormatting>
  <conditionalFormatting sqref="AM370">
    <cfRule type="containsText" dxfId="2191" priority="489" operator="containsText" text="AZ">
      <formula>NOT(ISERROR(SEARCH("AZ",AM370)))</formula>
    </cfRule>
    <cfRule type="containsText" dxfId="2190" priority="490" operator="containsText" text="RO">
      <formula>NOT(ISERROR(SEARCH("RO",AM370)))</formula>
    </cfRule>
    <cfRule type="containsText" dxfId="2189" priority="491" operator="containsText" text="AM">
      <formula>NOT(ISERROR(SEARCH("AM",AM370)))</formula>
    </cfRule>
    <cfRule type="containsText" dxfId="2188" priority="492" operator="containsText" text="VE">
      <formula>NOT(ISERROR(SEARCH("VE",AM370)))</formula>
    </cfRule>
  </conditionalFormatting>
  <conditionalFormatting sqref="AM372:AM374">
    <cfRule type="containsText" dxfId="2187" priority="485" operator="containsText" text="AZ">
      <formula>NOT(ISERROR(SEARCH("AZ",AM372)))</formula>
    </cfRule>
    <cfRule type="containsText" dxfId="2186" priority="486" operator="containsText" text="RO">
      <formula>NOT(ISERROR(SEARCH("RO",AM372)))</formula>
    </cfRule>
    <cfRule type="containsText" dxfId="2185" priority="487" operator="containsText" text="AM">
      <formula>NOT(ISERROR(SEARCH("AM",AM372)))</formula>
    </cfRule>
    <cfRule type="containsText" dxfId="2184" priority="488" operator="containsText" text="VE">
      <formula>NOT(ISERROR(SEARCH("VE",AM372)))</formula>
    </cfRule>
  </conditionalFormatting>
  <conditionalFormatting sqref="AM411:AM412">
    <cfRule type="containsText" dxfId="2183" priority="481" operator="containsText" text="AZ">
      <formula>NOT(ISERROR(SEARCH("AZ",AM411)))</formula>
    </cfRule>
    <cfRule type="containsText" dxfId="2182" priority="482" operator="containsText" text="RO">
      <formula>NOT(ISERROR(SEARCH("RO",AM411)))</formula>
    </cfRule>
    <cfRule type="containsText" dxfId="2181" priority="483" operator="containsText" text="AM">
      <formula>NOT(ISERROR(SEARCH("AM",AM411)))</formula>
    </cfRule>
    <cfRule type="containsText" dxfId="2180" priority="484" operator="containsText" text="VE">
      <formula>NOT(ISERROR(SEARCH("VE",AM411)))</formula>
    </cfRule>
  </conditionalFormatting>
  <conditionalFormatting sqref="AM430">
    <cfRule type="containsText" dxfId="2179" priority="477" operator="containsText" text="AZ">
      <formula>NOT(ISERROR(SEARCH("AZ",AM430)))</formula>
    </cfRule>
    <cfRule type="containsText" dxfId="2178" priority="478" operator="containsText" text="RO">
      <formula>NOT(ISERROR(SEARCH("RO",AM430)))</formula>
    </cfRule>
    <cfRule type="containsText" dxfId="2177" priority="479" operator="containsText" text="AM">
      <formula>NOT(ISERROR(SEARCH("AM",AM430)))</formula>
    </cfRule>
    <cfRule type="containsText" dxfId="2176" priority="480" operator="containsText" text="VE">
      <formula>NOT(ISERROR(SEARCH("VE",AM430)))</formula>
    </cfRule>
  </conditionalFormatting>
  <conditionalFormatting sqref="AM445">
    <cfRule type="containsText" dxfId="2175" priority="473" operator="containsText" text="AZ">
      <formula>NOT(ISERROR(SEARCH("AZ",AM445)))</formula>
    </cfRule>
    <cfRule type="containsText" dxfId="2174" priority="474" operator="containsText" text="RO">
      <formula>NOT(ISERROR(SEARCH("RO",AM445)))</formula>
    </cfRule>
    <cfRule type="containsText" dxfId="2173" priority="475" operator="containsText" text="AM">
      <formula>NOT(ISERROR(SEARCH("AM",AM445)))</formula>
    </cfRule>
    <cfRule type="containsText" dxfId="2172" priority="476" operator="containsText" text="VE">
      <formula>NOT(ISERROR(SEARCH("VE",AM445)))</formula>
    </cfRule>
  </conditionalFormatting>
  <conditionalFormatting sqref="AM490">
    <cfRule type="containsText" dxfId="2171" priority="441" operator="containsText" text="AZ">
      <formula>NOT(ISERROR(SEARCH("AZ",AM490)))</formula>
    </cfRule>
    <cfRule type="containsText" dxfId="2170" priority="442" operator="containsText" text="RO">
      <formula>NOT(ISERROR(SEARCH("RO",AM490)))</formula>
    </cfRule>
    <cfRule type="containsText" dxfId="2169" priority="443" operator="containsText" text="AM">
      <formula>NOT(ISERROR(SEARCH("AM",AM490)))</formula>
    </cfRule>
    <cfRule type="containsText" dxfId="2168" priority="444" operator="containsText" text="VE">
      <formula>NOT(ISERROR(SEARCH("VE",AM490)))</formula>
    </cfRule>
  </conditionalFormatting>
  <conditionalFormatting sqref="AM487">
    <cfRule type="containsText" dxfId="2167" priority="437" operator="containsText" text="AZ">
      <formula>NOT(ISERROR(SEARCH("AZ",AM487)))</formula>
    </cfRule>
    <cfRule type="containsText" dxfId="2166" priority="438" operator="containsText" text="RO">
      <formula>NOT(ISERROR(SEARCH("RO",AM487)))</formula>
    </cfRule>
    <cfRule type="containsText" dxfId="2165" priority="439" operator="containsText" text="AM">
      <formula>NOT(ISERROR(SEARCH("AM",AM487)))</formula>
    </cfRule>
    <cfRule type="containsText" dxfId="2164" priority="440" operator="containsText" text="VE">
      <formula>NOT(ISERROR(SEARCH("VE",AM487)))</formula>
    </cfRule>
  </conditionalFormatting>
  <conditionalFormatting sqref="AM486">
    <cfRule type="containsText" dxfId="2163" priority="433" operator="containsText" text="AZ">
      <formula>NOT(ISERROR(SEARCH("AZ",AM486)))</formula>
    </cfRule>
    <cfRule type="containsText" dxfId="2162" priority="434" operator="containsText" text="RO">
      <formula>NOT(ISERROR(SEARCH("RO",AM486)))</formula>
    </cfRule>
    <cfRule type="containsText" dxfId="2161" priority="435" operator="containsText" text="AM">
      <formula>NOT(ISERROR(SEARCH("AM",AM486)))</formula>
    </cfRule>
    <cfRule type="containsText" dxfId="2160" priority="436" operator="containsText" text="VE">
      <formula>NOT(ISERROR(SEARCH("VE",AM486)))</formula>
    </cfRule>
  </conditionalFormatting>
  <conditionalFormatting sqref="AM119">
    <cfRule type="containsText" dxfId="2159" priority="425" operator="containsText" text="AZ">
      <formula>NOT(ISERROR(SEARCH("AZ",AM119)))</formula>
    </cfRule>
    <cfRule type="containsText" dxfId="2158" priority="426" operator="containsText" text="RO">
      <formula>NOT(ISERROR(SEARCH("RO",AM119)))</formula>
    </cfRule>
    <cfRule type="containsText" dxfId="2157" priority="427" operator="containsText" text="AM">
      <formula>NOT(ISERROR(SEARCH("AM",AM119)))</formula>
    </cfRule>
    <cfRule type="containsText" dxfId="2156" priority="428" operator="containsText" text="VE">
      <formula>NOT(ISERROR(SEARCH("VE",AM119)))</formula>
    </cfRule>
  </conditionalFormatting>
  <conditionalFormatting sqref="AM125:AM126">
    <cfRule type="containsText" dxfId="2155" priority="421" operator="containsText" text="AZ">
      <formula>NOT(ISERROR(SEARCH("AZ",AM125)))</formula>
    </cfRule>
    <cfRule type="containsText" dxfId="2154" priority="422" operator="containsText" text="RO">
      <formula>NOT(ISERROR(SEARCH("RO",AM125)))</formula>
    </cfRule>
    <cfRule type="containsText" dxfId="2153" priority="423" operator="containsText" text="AM">
      <formula>NOT(ISERROR(SEARCH("AM",AM125)))</formula>
    </cfRule>
    <cfRule type="containsText" dxfId="2152" priority="424" operator="containsText" text="VE">
      <formula>NOT(ISERROR(SEARCH("VE",AM125)))</formula>
    </cfRule>
  </conditionalFormatting>
  <conditionalFormatting sqref="AM128">
    <cfRule type="containsText" dxfId="2151" priority="417" operator="containsText" text="AZ">
      <formula>NOT(ISERROR(SEARCH("AZ",AM128)))</formula>
    </cfRule>
    <cfRule type="containsText" dxfId="2150" priority="418" operator="containsText" text="RO">
      <formula>NOT(ISERROR(SEARCH("RO",AM128)))</formula>
    </cfRule>
    <cfRule type="containsText" dxfId="2149" priority="419" operator="containsText" text="AM">
      <formula>NOT(ISERROR(SEARCH("AM",AM128)))</formula>
    </cfRule>
    <cfRule type="containsText" dxfId="2148" priority="420" operator="containsText" text="VE">
      <formula>NOT(ISERROR(SEARCH("VE",AM128)))</formula>
    </cfRule>
  </conditionalFormatting>
  <conditionalFormatting sqref="AM129">
    <cfRule type="containsText" dxfId="2147" priority="413" operator="containsText" text="AZ">
      <formula>NOT(ISERROR(SEARCH("AZ",AM129)))</formula>
    </cfRule>
    <cfRule type="containsText" dxfId="2146" priority="414" operator="containsText" text="RO">
      <formula>NOT(ISERROR(SEARCH("RO",AM129)))</formula>
    </cfRule>
    <cfRule type="containsText" dxfId="2145" priority="415" operator="containsText" text="AM">
      <formula>NOT(ISERROR(SEARCH("AM",AM129)))</formula>
    </cfRule>
    <cfRule type="containsText" dxfId="2144" priority="416" operator="containsText" text="VE">
      <formula>NOT(ISERROR(SEARCH("VE",AM129)))</formula>
    </cfRule>
  </conditionalFormatting>
  <conditionalFormatting sqref="AM146">
    <cfRule type="containsText" dxfId="2143" priority="409" operator="containsText" text="AZ">
      <formula>NOT(ISERROR(SEARCH("AZ",AM146)))</formula>
    </cfRule>
    <cfRule type="containsText" dxfId="2142" priority="410" operator="containsText" text="RO">
      <formula>NOT(ISERROR(SEARCH("RO",AM146)))</formula>
    </cfRule>
    <cfRule type="containsText" dxfId="2141" priority="411" operator="containsText" text="AM">
      <formula>NOT(ISERROR(SEARCH("AM",AM146)))</formula>
    </cfRule>
    <cfRule type="containsText" dxfId="2140" priority="412" operator="containsText" text="VE">
      <formula>NOT(ISERROR(SEARCH("VE",AM146)))</formula>
    </cfRule>
  </conditionalFormatting>
  <conditionalFormatting sqref="AM150">
    <cfRule type="containsText" dxfId="2139" priority="405" operator="containsText" text="AZ">
      <formula>NOT(ISERROR(SEARCH("AZ",AM150)))</formula>
    </cfRule>
    <cfRule type="containsText" dxfId="2138" priority="406" operator="containsText" text="RO">
      <formula>NOT(ISERROR(SEARCH("RO",AM150)))</formula>
    </cfRule>
    <cfRule type="containsText" dxfId="2137" priority="407" operator="containsText" text="AM">
      <formula>NOT(ISERROR(SEARCH("AM",AM150)))</formula>
    </cfRule>
    <cfRule type="containsText" dxfId="2136" priority="408" operator="containsText" text="VE">
      <formula>NOT(ISERROR(SEARCH("VE",AM150)))</formula>
    </cfRule>
  </conditionalFormatting>
  <conditionalFormatting sqref="AM153">
    <cfRule type="containsText" dxfId="2135" priority="401" operator="containsText" text="AZ">
      <formula>NOT(ISERROR(SEARCH("AZ",AM153)))</formula>
    </cfRule>
    <cfRule type="containsText" dxfId="2134" priority="402" operator="containsText" text="RO">
      <formula>NOT(ISERROR(SEARCH("RO",AM153)))</formula>
    </cfRule>
    <cfRule type="containsText" dxfId="2133" priority="403" operator="containsText" text="AM">
      <formula>NOT(ISERROR(SEARCH("AM",AM153)))</formula>
    </cfRule>
    <cfRule type="containsText" dxfId="2132" priority="404" operator="containsText" text="VE">
      <formula>NOT(ISERROR(SEARCH("VE",AM153)))</formula>
    </cfRule>
  </conditionalFormatting>
  <conditionalFormatting sqref="AM334">
    <cfRule type="containsText" dxfId="2131" priority="389" operator="containsText" text="AZ">
      <formula>NOT(ISERROR(SEARCH("AZ",AM334)))</formula>
    </cfRule>
    <cfRule type="containsText" dxfId="2130" priority="390" operator="containsText" text="RO">
      <formula>NOT(ISERROR(SEARCH("RO",AM334)))</formula>
    </cfRule>
    <cfRule type="containsText" dxfId="2129" priority="391" operator="containsText" text="AM">
      <formula>NOT(ISERROR(SEARCH("AM",AM334)))</formula>
    </cfRule>
    <cfRule type="containsText" dxfId="2128" priority="392" operator="containsText" text="VE">
      <formula>NOT(ISERROR(SEARCH("VE",AM334)))</formula>
    </cfRule>
  </conditionalFormatting>
  <conditionalFormatting sqref="AM338">
    <cfRule type="containsText" dxfId="2127" priority="385" operator="containsText" text="AZ">
      <formula>NOT(ISERROR(SEARCH("AZ",AM338)))</formula>
    </cfRule>
    <cfRule type="containsText" dxfId="2126" priority="386" operator="containsText" text="RO">
      <formula>NOT(ISERROR(SEARCH("RO",AM338)))</formula>
    </cfRule>
    <cfRule type="containsText" dxfId="2125" priority="387" operator="containsText" text="AM">
      <formula>NOT(ISERROR(SEARCH("AM",AM338)))</formula>
    </cfRule>
    <cfRule type="containsText" dxfId="2124" priority="388" operator="containsText" text="VE">
      <formula>NOT(ISERROR(SEARCH("VE",AM338)))</formula>
    </cfRule>
  </conditionalFormatting>
  <conditionalFormatting sqref="AM341:AM344">
    <cfRule type="containsText" dxfId="2123" priority="381" operator="containsText" text="AZ">
      <formula>NOT(ISERROR(SEARCH("AZ",AM341)))</formula>
    </cfRule>
    <cfRule type="containsText" dxfId="2122" priority="382" operator="containsText" text="RO">
      <formula>NOT(ISERROR(SEARCH("RO",AM341)))</formula>
    </cfRule>
    <cfRule type="containsText" dxfId="2121" priority="383" operator="containsText" text="AM">
      <formula>NOT(ISERROR(SEARCH("AM",AM341)))</formula>
    </cfRule>
    <cfRule type="containsText" dxfId="2120" priority="384" operator="containsText" text="VE">
      <formula>NOT(ISERROR(SEARCH("VE",AM341)))</formula>
    </cfRule>
  </conditionalFormatting>
  <conditionalFormatting sqref="AM354">
    <cfRule type="containsText" dxfId="2119" priority="377" operator="containsText" text="AZ">
      <formula>NOT(ISERROR(SEARCH("AZ",AM354)))</formula>
    </cfRule>
    <cfRule type="containsText" dxfId="2118" priority="378" operator="containsText" text="RO">
      <formula>NOT(ISERROR(SEARCH("RO",AM354)))</formula>
    </cfRule>
    <cfRule type="containsText" dxfId="2117" priority="379" operator="containsText" text="AM">
      <formula>NOT(ISERROR(SEARCH("AM",AM354)))</formula>
    </cfRule>
    <cfRule type="containsText" dxfId="2116" priority="380" operator="containsText" text="VE">
      <formula>NOT(ISERROR(SEARCH("VE",AM354)))</formula>
    </cfRule>
  </conditionalFormatting>
  <conditionalFormatting sqref="AM359">
    <cfRule type="containsText" dxfId="2115" priority="373" operator="containsText" text="AZ">
      <formula>NOT(ISERROR(SEARCH("AZ",AM359)))</formula>
    </cfRule>
    <cfRule type="containsText" dxfId="2114" priority="374" operator="containsText" text="RO">
      <formula>NOT(ISERROR(SEARCH("RO",AM359)))</formula>
    </cfRule>
    <cfRule type="containsText" dxfId="2113" priority="375" operator="containsText" text="AM">
      <formula>NOT(ISERROR(SEARCH("AM",AM359)))</formula>
    </cfRule>
    <cfRule type="containsText" dxfId="2112" priority="376" operator="containsText" text="VE">
      <formula>NOT(ISERROR(SEARCH("VE",AM359)))</formula>
    </cfRule>
  </conditionalFormatting>
  <conditionalFormatting sqref="AM494">
    <cfRule type="containsText" dxfId="2111" priority="357" operator="containsText" text="AZ">
      <formula>NOT(ISERROR(SEARCH("AZ",AM494)))</formula>
    </cfRule>
    <cfRule type="containsText" dxfId="2110" priority="358" operator="containsText" text="RO">
      <formula>NOT(ISERROR(SEARCH("RO",AM494)))</formula>
    </cfRule>
    <cfRule type="containsText" dxfId="2109" priority="359" operator="containsText" text="AM">
      <formula>NOT(ISERROR(SEARCH("AM",AM494)))</formula>
    </cfRule>
    <cfRule type="containsText" dxfId="2108" priority="360" operator="containsText" text="VE">
      <formula>NOT(ISERROR(SEARCH("VE",AM494)))</formula>
    </cfRule>
  </conditionalFormatting>
  <conditionalFormatting sqref="AM498">
    <cfRule type="containsText" dxfId="2107" priority="353" operator="containsText" text="AZ">
      <formula>NOT(ISERROR(SEARCH("AZ",AM498)))</formula>
    </cfRule>
    <cfRule type="containsText" dxfId="2106" priority="354" operator="containsText" text="RO">
      <formula>NOT(ISERROR(SEARCH("RO",AM498)))</formula>
    </cfRule>
    <cfRule type="containsText" dxfId="2105" priority="355" operator="containsText" text="AM">
      <formula>NOT(ISERROR(SEARCH("AM",AM498)))</formula>
    </cfRule>
    <cfRule type="containsText" dxfId="2104" priority="356" operator="containsText" text="VE">
      <formula>NOT(ISERROR(SEARCH("VE",AM498)))</formula>
    </cfRule>
  </conditionalFormatting>
  <conditionalFormatting sqref="AM438">
    <cfRule type="containsText" dxfId="2103" priority="333" operator="containsText" text="AZ">
      <formula>NOT(ISERROR(SEARCH("AZ",AM438)))</formula>
    </cfRule>
    <cfRule type="containsText" dxfId="2102" priority="334" operator="containsText" text="RO">
      <formula>NOT(ISERROR(SEARCH("RO",AM438)))</formula>
    </cfRule>
    <cfRule type="containsText" dxfId="2101" priority="335" operator="containsText" text="AM">
      <formula>NOT(ISERROR(SEARCH("AM",AM438)))</formula>
    </cfRule>
    <cfRule type="containsText" dxfId="2100" priority="336" operator="containsText" text="VE">
      <formula>NOT(ISERROR(SEARCH("VE",AM438)))</formula>
    </cfRule>
  </conditionalFormatting>
  <conditionalFormatting sqref="AM439">
    <cfRule type="containsText" dxfId="2099" priority="329" operator="containsText" text="AZ">
      <formula>NOT(ISERROR(SEARCH("AZ",AM439)))</formula>
    </cfRule>
    <cfRule type="containsText" dxfId="2098" priority="330" operator="containsText" text="RO">
      <formula>NOT(ISERROR(SEARCH("RO",AM439)))</formula>
    </cfRule>
    <cfRule type="containsText" dxfId="2097" priority="331" operator="containsText" text="AM">
      <formula>NOT(ISERROR(SEARCH("AM",AM439)))</formula>
    </cfRule>
    <cfRule type="containsText" dxfId="2096" priority="332" operator="containsText" text="VE">
      <formula>NOT(ISERROR(SEARCH("VE",AM439)))</formula>
    </cfRule>
  </conditionalFormatting>
  <conditionalFormatting sqref="AM441">
    <cfRule type="containsText" dxfId="2095" priority="325" operator="containsText" text="AZ">
      <formula>NOT(ISERROR(SEARCH("AZ",AM441)))</formula>
    </cfRule>
    <cfRule type="containsText" dxfId="2094" priority="326" operator="containsText" text="RO">
      <formula>NOT(ISERROR(SEARCH("RO",AM441)))</formula>
    </cfRule>
    <cfRule type="containsText" dxfId="2093" priority="327" operator="containsText" text="AM">
      <formula>NOT(ISERROR(SEARCH("AM",AM441)))</formula>
    </cfRule>
    <cfRule type="containsText" dxfId="2092" priority="328" operator="containsText" text="VE">
      <formula>NOT(ISERROR(SEARCH("VE",AM441)))</formula>
    </cfRule>
  </conditionalFormatting>
  <conditionalFormatting sqref="AM433:AM434">
    <cfRule type="containsText" dxfId="2091" priority="321" operator="containsText" text="AZ">
      <formula>NOT(ISERROR(SEARCH("AZ",AM433)))</formula>
    </cfRule>
    <cfRule type="containsText" dxfId="2090" priority="322" operator="containsText" text="RO">
      <formula>NOT(ISERROR(SEARCH("RO",AM433)))</formula>
    </cfRule>
    <cfRule type="containsText" dxfId="2089" priority="323" operator="containsText" text="AM">
      <formula>NOT(ISERROR(SEARCH("AM",AM433)))</formula>
    </cfRule>
    <cfRule type="containsText" dxfId="2088" priority="324" operator="containsText" text="VE">
      <formula>NOT(ISERROR(SEARCH("VE",AM433)))</formula>
    </cfRule>
  </conditionalFormatting>
  <conditionalFormatting sqref="AM424:AM427">
    <cfRule type="containsText" dxfId="2087" priority="317" operator="containsText" text="AZ">
      <formula>NOT(ISERROR(SEARCH("AZ",AM424)))</formula>
    </cfRule>
    <cfRule type="containsText" dxfId="2086" priority="318" operator="containsText" text="RO">
      <formula>NOT(ISERROR(SEARCH("RO",AM424)))</formula>
    </cfRule>
    <cfRule type="containsText" dxfId="2085" priority="319" operator="containsText" text="AM">
      <formula>NOT(ISERROR(SEARCH("AM",AM424)))</formula>
    </cfRule>
    <cfRule type="containsText" dxfId="2084" priority="320" operator="containsText" text="VE">
      <formula>NOT(ISERROR(SEARCH("VE",AM424)))</formula>
    </cfRule>
  </conditionalFormatting>
  <conditionalFormatting sqref="AM420">
    <cfRule type="containsText" dxfId="2083" priority="313" operator="containsText" text="AZ">
      <formula>NOT(ISERROR(SEARCH("AZ",AM420)))</formula>
    </cfRule>
    <cfRule type="containsText" dxfId="2082" priority="314" operator="containsText" text="RO">
      <formula>NOT(ISERROR(SEARCH("RO",AM420)))</formula>
    </cfRule>
    <cfRule type="containsText" dxfId="2081" priority="315" operator="containsText" text="AM">
      <formula>NOT(ISERROR(SEARCH("AM",AM420)))</formula>
    </cfRule>
    <cfRule type="containsText" dxfId="2080" priority="316" operator="containsText" text="VE">
      <formula>NOT(ISERROR(SEARCH("VE",AM420)))</formula>
    </cfRule>
  </conditionalFormatting>
  <conditionalFormatting sqref="AM409">
    <cfRule type="containsText" dxfId="2079" priority="309" operator="containsText" text="AZ">
      <formula>NOT(ISERROR(SEARCH("AZ",AM409)))</formula>
    </cfRule>
    <cfRule type="containsText" dxfId="2078" priority="310" operator="containsText" text="RO">
      <formula>NOT(ISERROR(SEARCH("RO",AM409)))</formula>
    </cfRule>
    <cfRule type="containsText" dxfId="2077" priority="311" operator="containsText" text="AM">
      <formula>NOT(ISERROR(SEARCH("AM",AM409)))</formula>
    </cfRule>
    <cfRule type="containsText" dxfId="2076" priority="312" operator="containsText" text="VE">
      <formula>NOT(ISERROR(SEARCH("VE",AM409)))</formula>
    </cfRule>
  </conditionalFormatting>
  <conditionalFormatting sqref="AM414">
    <cfRule type="containsText" dxfId="2075" priority="305" operator="containsText" text="AZ">
      <formula>NOT(ISERROR(SEARCH("AZ",AM414)))</formula>
    </cfRule>
    <cfRule type="containsText" dxfId="2074" priority="306" operator="containsText" text="RO">
      <formula>NOT(ISERROR(SEARCH("RO",AM414)))</formula>
    </cfRule>
    <cfRule type="containsText" dxfId="2073" priority="307" operator="containsText" text="AM">
      <formula>NOT(ISERROR(SEARCH("AM",AM414)))</formula>
    </cfRule>
    <cfRule type="containsText" dxfId="2072" priority="308" operator="containsText" text="VE">
      <formula>NOT(ISERROR(SEARCH("VE",AM414)))</formula>
    </cfRule>
  </conditionalFormatting>
  <conditionalFormatting sqref="AM407">
    <cfRule type="containsText" dxfId="2071" priority="301" operator="containsText" text="AZ">
      <formula>NOT(ISERROR(SEARCH("AZ",AM407)))</formula>
    </cfRule>
    <cfRule type="containsText" dxfId="2070" priority="302" operator="containsText" text="RO">
      <formula>NOT(ISERROR(SEARCH("RO",AM407)))</formula>
    </cfRule>
    <cfRule type="containsText" dxfId="2069" priority="303" operator="containsText" text="AM">
      <formula>NOT(ISERROR(SEARCH("AM",AM407)))</formula>
    </cfRule>
    <cfRule type="containsText" dxfId="2068" priority="304" operator="containsText" text="VE">
      <formula>NOT(ISERROR(SEARCH("VE",AM407)))</formula>
    </cfRule>
  </conditionalFormatting>
  <conditionalFormatting sqref="AM369">
    <cfRule type="containsText" dxfId="2067" priority="297" operator="containsText" text="AZ">
      <formula>NOT(ISERROR(SEARCH("AZ",AM369)))</formula>
    </cfRule>
    <cfRule type="containsText" dxfId="2066" priority="298" operator="containsText" text="RO">
      <formula>NOT(ISERROR(SEARCH("RO",AM369)))</formula>
    </cfRule>
    <cfRule type="containsText" dxfId="2065" priority="299" operator="containsText" text="AM">
      <formula>NOT(ISERROR(SEARCH("AM",AM369)))</formula>
    </cfRule>
    <cfRule type="containsText" dxfId="2064" priority="300" operator="containsText" text="VE">
      <formula>NOT(ISERROR(SEARCH("VE",AM369)))</formula>
    </cfRule>
  </conditionalFormatting>
  <conditionalFormatting sqref="AM366:AM367">
    <cfRule type="containsText" dxfId="2063" priority="293" operator="containsText" text="AZ">
      <formula>NOT(ISERROR(SEARCH("AZ",AM366)))</formula>
    </cfRule>
    <cfRule type="containsText" dxfId="2062" priority="294" operator="containsText" text="RO">
      <formula>NOT(ISERROR(SEARCH("RO",AM366)))</formula>
    </cfRule>
    <cfRule type="containsText" dxfId="2061" priority="295" operator="containsText" text="AM">
      <formula>NOT(ISERROR(SEARCH("AM",AM366)))</formula>
    </cfRule>
    <cfRule type="containsText" dxfId="2060" priority="296" operator="containsText" text="VE">
      <formula>NOT(ISERROR(SEARCH("VE",AM366)))</formula>
    </cfRule>
  </conditionalFormatting>
  <conditionalFormatting sqref="AM352">
    <cfRule type="containsText" dxfId="2059" priority="289" operator="containsText" text="AZ">
      <formula>NOT(ISERROR(SEARCH("AZ",AM352)))</formula>
    </cfRule>
    <cfRule type="containsText" dxfId="2058" priority="290" operator="containsText" text="RO">
      <formula>NOT(ISERROR(SEARCH("RO",AM352)))</formula>
    </cfRule>
    <cfRule type="containsText" dxfId="2057" priority="291" operator="containsText" text="AM">
      <formula>NOT(ISERROR(SEARCH("AM",AM352)))</formula>
    </cfRule>
    <cfRule type="containsText" dxfId="2056" priority="292" operator="containsText" text="VE">
      <formula>NOT(ISERROR(SEARCH("VE",AM352)))</formula>
    </cfRule>
  </conditionalFormatting>
  <conditionalFormatting sqref="AM349">
    <cfRule type="containsText" dxfId="2055" priority="285" operator="containsText" text="AZ">
      <formula>NOT(ISERROR(SEARCH("AZ",AM349)))</formula>
    </cfRule>
    <cfRule type="containsText" dxfId="2054" priority="286" operator="containsText" text="RO">
      <formula>NOT(ISERROR(SEARCH("RO",AM349)))</formula>
    </cfRule>
    <cfRule type="containsText" dxfId="2053" priority="287" operator="containsText" text="AM">
      <formula>NOT(ISERROR(SEARCH("AM",AM349)))</formula>
    </cfRule>
    <cfRule type="containsText" dxfId="2052" priority="288" operator="containsText" text="VE">
      <formula>NOT(ISERROR(SEARCH("VE",AM349)))</formula>
    </cfRule>
  </conditionalFormatting>
  <conditionalFormatting sqref="AM347">
    <cfRule type="containsText" dxfId="2051" priority="281" operator="containsText" text="AZ">
      <formula>NOT(ISERROR(SEARCH("AZ",AM347)))</formula>
    </cfRule>
    <cfRule type="containsText" dxfId="2050" priority="282" operator="containsText" text="RO">
      <formula>NOT(ISERROR(SEARCH("RO",AM347)))</formula>
    </cfRule>
    <cfRule type="containsText" dxfId="2049" priority="283" operator="containsText" text="AM">
      <formula>NOT(ISERROR(SEARCH("AM",AM347)))</formula>
    </cfRule>
    <cfRule type="containsText" dxfId="2048" priority="284" operator="containsText" text="VE">
      <formula>NOT(ISERROR(SEARCH("VE",AM347)))</formula>
    </cfRule>
  </conditionalFormatting>
  <conditionalFormatting sqref="AM337">
    <cfRule type="containsText" dxfId="2047" priority="277" operator="containsText" text="AZ">
      <formula>NOT(ISERROR(SEARCH("AZ",AM337)))</formula>
    </cfRule>
    <cfRule type="containsText" dxfId="2046" priority="278" operator="containsText" text="RO">
      <formula>NOT(ISERROR(SEARCH("RO",AM337)))</formula>
    </cfRule>
    <cfRule type="containsText" dxfId="2045" priority="279" operator="containsText" text="AM">
      <formula>NOT(ISERROR(SEARCH("AM",AM337)))</formula>
    </cfRule>
    <cfRule type="containsText" dxfId="2044" priority="280" operator="containsText" text="VE">
      <formula>NOT(ISERROR(SEARCH("VE",AM337)))</formula>
    </cfRule>
  </conditionalFormatting>
  <conditionalFormatting sqref="AM371">
    <cfRule type="containsText" dxfId="2043" priority="241" operator="containsText" text="AZ">
      <formula>NOT(ISERROR(SEARCH("AZ",AM371)))</formula>
    </cfRule>
    <cfRule type="containsText" dxfId="2042" priority="242" operator="containsText" text="RO">
      <formula>NOT(ISERROR(SEARCH("RO",AM371)))</formula>
    </cfRule>
    <cfRule type="containsText" dxfId="2041" priority="243" operator="containsText" text="AM">
      <formula>NOT(ISERROR(SEARCH("AM",AM371)))</formula>
    </cfRule>
    <cfRule type="containsText" dxfId="2040" priority="244" operator="containsText" text="VE">
      <formula>NOT(ISERROR(SEARCH("VE",AM371)))</formula>
    </cfRule>
  </conditionalFormatting>
  <conditionalFormatting sqref="AM492">
    <cfRule type="containsText" dxfId="2039" priority="237" operator="containsText" text="AZ">
      <formula>NOT(ISERROR(SEARCH("AZ",AM492)))</formula>
    </cfRule>
    <cfRule type="containsText" dxfId="2038" priority="238" operator="containsText" text="RO">
      <formula>NOT(ISERROR(SEARCH("RO",AM492)))</formula>
    </cfRule>
    <cfRule type="containsText" dxfId="2037" priority="239" operator="containsText" text="AM">
      <formula>NOT(ISERROR(SEARCH("AM",AM492)))</formula>
    </cfRule>
    <cfRule type="containsText" dxfId="2036" priority="240" operator="containsText" text="VE">
      <formula>NOT(ISERROR(SEARCH("VE",AM492)))</formula>
    </cfRule>
  </conditionalFormatting>
  <conditionalFormatting sqref="AM489">
    <cfRule type="containsText" dxfId="2035" priority="233" operator="containsText" text="AZ">
      <formula>NOT(ISERROR(SEARCH("AZ",AM489)))</formula>
    </cfRule>
    <cfRule type="containsText" dxfId="2034" priority="234" operator="containsText" text="RO">
      <formula>NOT(ISERROR(SEARCH("RO",AM489)))</formula>
    </cfRule>
    <cfRule type="containsText" dxfId="2033" priority="235" operator="containsText" text="AM">
      <formula>NOT(ISERROR(SEARCH("AM",AM489)))</formula>
    </cfRule>
    <cfRule type="containsText" dxfId="2032" priority="236" operator="containsText" text="VE">
      <formula>NOT(ISERROR(SEARCH("VE",AM489)))</formula>
    </cfRule>
  </conditionalFormatting>
  <conditionalFormatting sqref="AM396">
    <cfRule type="containsText" dxfId="2031" priority="221" operator="containsText" text="AZ">
      <formula>NOT(ISERROR(SEARCH("AZ",AM396)))</formula>
    </cfRule>
    <cfRule type="containsText" dxfId="2030" priority="222" operator="containsText" text="RO">
      <formula>NOT(ISERROR(SEARCH("RO",AM396)))</formula>
    </cfRule>
    <cfRule type="containsText" dxfId="2029" priority="223" operator="containsText" text="AM">
      <formula>NOT(ISERROR(SEARCH("AM",AM396)))</formula>
    </cfRule>
    <cfRule type="containsText" dxfId="2028" priority="224" operator="containsText" text="VE">
      <formula>NOT(ISERROR(SEARCH("VE",AM396)))</formula>
    </cfRule>
  </conditionalFormatting>
  <conditionalFormatting sqref="AM389">
    <cfRule type="containsText" dxfId="2027" priority="217" operator="containsText" text="AZ">
      <formula>NOT(ISERROR(SEARCH("AZ",AM389)))</formula>
    </cfRule>
    <cfRule type="containsText" dxfId="2026" priority="218" operator="containsText" text="RO">
      <formula>NOT(ISERROR(SEARCH("RO",AM389)))</formula>
    </cfRule>
    <cfRule type="containsText" dxfId="2025" priority="219" operator="containsText" text="AM">
      <formula>NOT(ISERROR(SEARCH("AM",AM389)))</formula>
    </cfRule>
    <cfRule type="containsText" dxfId="2024" priority="220" operator="containsText" text="VE">
      <formula>NOT(ISERROR(SEARCH("VE",AM389)))</formula>
    </cfRule>
  </conditionalFormatting>
  <conditionalFormatting sqref="AM390">
    <cfRule type="containsText" dxfId="2023" priority="213" operator="containsText" text="AZ">
      <formula>NOT(ISERROR(SEARCH("AZ",AM390)))</formula>
    </cfRule>
    <cfRule type="containsText" dxfId="2022" priority="214" operator="containsText" text="RO">
      <formula>NOT(ISERROR(SEARCH("RO",AM390)))</formula>
    </cfRule>
    <cfRule type="containsText" dxfId="2021" priority="215" operator="containsText" text="AM">
      <formula>NOT(ISERROR(SEARCH("AM",AM390)))</formula>
    </cfRule>
    <cfRule type="containsText" dxfId="2020" priority="216" operator="containsText" text="VE">
      <formula>NOT(ISERROR(SEARCH("VE",AM390)))</formula>
    </cfRule>
  </conditionalFormatting>
  <conditionalFormatting sqref="AM388">
    <cfRule type="containsText" dxfId="2019" priority="209" operator="containsText" text="AZ">
      <formula>NOT(ISERROR(SEARCH("AZ",AM388)))</formula>
    </cfRule>
    <cfRule type="containsText" dxfId="2018" priority="210" operator="containsText" text="RO">
      <formula>NOT(ISERROR(SEARCH("RO",AM388)))</formula>
    </cfRule>
    <cfRule type="containsText" dxfId="2017" priority="211" operator="containsText" text="AM">
      <formula>NOT(ISERROR(SEARCH("AM",AM388)))</formula>
    </cfRule>
    <cfRule type="containsText" dxfId="2016" priority="212" operator="containsText" text="VE">
      <formula>NOT(ISERROR(SEARCH("VE",AM388)))</formula>
    </cfRule>
  </conditionalFormatting>
  <conditionalFormatting sqref="AM290:AM293">
    <cfRule type="containsText" dxfId="2015" priority="205" operator="containsText" text="AZ">
      <formula>NOT(ISERROR(SEARCH("AZ",AM290)))</formula>
    </cfRule>
    <cfRule type="containsText" dxfId="2014" priority="206" operator="containsText" text="RO">
      <formula>NOT(ISERROR(SEARCH("RO",AM290)))</formula>
    </cfRule>
    <cfRule type="containsText" dxfId="2013" priority="207" operator="containsText" text="AM">
      <formula>NOT(ISERROR(SEARCH("AM",AM290)))</formula>
    </cfRule>
    <cfRule type="containsText" dxfId="2012" priority="208" operator="containsText" text="VE">
      <formula>NOT(ISERROR(SEARCH("VE",AM290)))</formula>
    </cfRule>
  </conditionalFormatting>
  <conditionalFormatting sqref="AM152">
    <cfRule type="containsText" dxfId="2011" priority="201" operator="containsText" text="AZ">
      <formula>NOT(ISERROR(SEARCH("AZ",AM152)))</formula>
    </cfRule>
    <cfRule type="containsText" dxfId="2010" priority="202" operator="containsText" text="RO">
      <formula>NOT(ISERROR(SEARCH("RO",AM152)))</formula>
    </cfRule>
    <cfRule type="containsText" dxfId="2009" priority="203" operator="containsText" text="AM">
      <formula>NOT(ISERROR(SEARCH("AM",AM152)))</formula>
    </cfRule>
    <cfRule type="containsText" dxfId="2008" priority="204" operator="containsText" text="VE">
      <formula>NOT(ISERROR(SEARCH("VE",AM152)))</formula>
    </cfRule>
  </conditionalFormatting>
  <conditionalFormatting sqref="AM137">
    <cfRule type="containsText" dxfId="2007" priority="197" operator="containsText" text="AZ">
      <formula>NOT(ISERROR(SEARCH("AZ",AM137)))</formula>
    </cfRule>
    <cfRule type="containsText" dxfId="2006" priority="198" operator="containsText" text="RO">
      <formula>NOT(ISERROR(SEARCH("RO",AM137)))</formula>
    </cfRule>
    <cfRule type="containsText" dxfId="2005" priority="199" operator="containsText" text="AM">
      <formula>NOT(ISERROR(SEARCH("AM",AM137)))</formula>
    </cfRule>
    <cfRule type="containsText" dxfId="2004" priority="200" operator="containsText" text="VE">
      <formula>NOT(ISERROR(SEARCH("VE",AM137)))</formula>
    </cfRule>
  </conditionalFormatting>
  <conditionalFormatting sqref="AM132 AM130">
    <cfRule type="containsText" dxfId="2003" priority="193" operator="containsText" text="AZ">
      <formula>NOT(ISERROR(SEARCH("AZ",AM130)))</formula>
    </cfRule>
    <cfRule type="containsText" dxfId="2002" priority="194" operator="containsText" text="RO">
      <formula>NOT(ISERROR(SEARCH("RO",AM130)))</formula>
    </cfRule>
    <cfRule type="containsText" dxfId="2001" priority="195" operator="containsText" text="AM">
      <formula>NOT(ISERROR(SEARCH("AM",AM130)))</formula>
    </cfRule>
    <cfRule type="containsText" dxfId="2000" priority="196" operator="containsText" text="VE">
      <formula>NOT(ISERROR(SEARCH("VE",AM130)))</formula>
    </cfRule>
  </conditionalFormatting>
  <conditionalFormatting sqref="AM115">
    <cfRule type="containsText" dxfId="1999" priority="189" operator="containsText" text="AZ">
      <formula>NOT(ISERROR(SEARCH("AZ",AM115)))</formula>
    </cfRule>
    <cfRule type="containsText" dxfId="1998" priority="190" operator="containsText" text="RO">
      <formula>NOT(ISERROR(SEARCH("RO",AM115)))</formula>
    </cfRule>
    <cfRule type="containsText" dxfId="1997" priority="191" operator="containsText" text="AM">
      <formula>NOT(ISERROR(SEARCH("AM",AM115)))</formula>
    </cfRule>
    <cfRule type="containsText" dxfId="1996" priority="192" operator="containsText" text="VE">
      <formula>NOT(ISERROR(SEARCH("VE",AM115)))</formula>
    </cfRule>
  </conditionalFormatting>
  <conditionalFormatting sqref="AM41:AM42 AM34">
    <cfRule type="containsText" dxfId="1995" priority="185" operator="containsText" text="AZ">
      <formula>NOT(ISERROR(SEARCH("AZ",AM34)))</formula>
    </cfRule>
    <cfRule type="containsText" dxfId="1994" priority="186" operator="containsText" text="RO">
      <formula>NOT(ISERROR(SEARCH("RO",AM34)))</formula>
    </cfRule>
    <cfRule type="containsText" dxfId="1993" priority="187" operator="containsText" text="AM">
      <formula>NOT(ISERROR(SEARCH("AM",AM34)))</formula>
    </cfRule>
    <cfRule type="containsText" dxfId="1992" priority="188" operator="containsText" text="VE">
      <formula>NOT(ISERROR(SEARCH("VE",AM34)))</formula>
    </cfRule>
  </conditionalFormatting>
  <conditionalFormatting sqref="AM135">
    <cfRule type="containsText" dxfId="1991" priority="181" operator="containsText" text="AZ">
      <formula>NOT(ISERROR(SEARCH("AZ",AM135)))</formula>
    </cfRule>
    <cfRule type="containsText" dxfId="1990" priority="182" operator="containsText" text="RO">
      <formula>NOT(ISERROR(SEARCH("RO",AM135)))</formula>
    </cfRule>
    <cfRule type="containsText" dxfId="1989" priority="183" operator="containsText" text="AM">
      <formula>NOT(ISERROR(SEARCH("AM",AM135)))</formula>
    </cfRule>
    <cfRule type="containsText" dxfId="1988" priority="184" operator="containsText" text="VE">
      <formula>NOT(ISERROR(SEARCH("VE",AM135)))</formula>
    </cfRule>
  </conditionalFormatting>
  <conditionalFormatting sqref="AM305:AM306">
    <cfRule type="containsText" dxfId="1987" priority="177" operator="containsText" text="AZ">
      <formula>NOT(ISERROR(SEARCH("AZ",AM305)))</formula>
    </cfRule>
    <cfRule type="containsText" dxfId="1986" priority="178" operator="containsText" text="RO">
      <formula>NOT(ISERROR(SEARCH("RO",AM305)))</formula>
    </cfRule>
    <cfRule type="containsText" dxfId="1985" priority="179" operator="containsText" text="AM">
      <formula>NOT(ISERROR(SEARCH("AM",AM305)))</formula>
    </cfRule>
    <cfRule type="containsText" dxfId="1984" priority="180" operator="containsText" text="VE">
      <formula>NOT(ISERROR(SEARCH("VE",AM305)))</formula>
    </cfRule>
  </conditionalFormatting>
  <conditionalFormatting sqref="AM308">
    <cfRule type="containsText" dxfId="1983" priority="173" operator="containsText" text="AZ">
      <formula>NOT(ISERROR(SEARCH("AZ",AM308)))</formula>
    </cfRule>
    <cfRule type="containsText" dxfId="1982" priority="174" operator="containsText" text="RO">
      <formula>NOT(ISERROR(SEARCH("RO",AM308)))</formula>
    </cfRule>
    <cfRule type="containsText" dxfId="1981" priority="175" operator="containsText" text="AM">
      <formula>NOT(ISERROR(SEARCH("AM",AM308)))</formula>
    </cfRule>
    <cfRule type="containsText" dxfId="1980" priority="176" operator="containsText" text="VE">
      <formula>NOT(ISERROR(SEARCH("VE",AM308)))</formula>
    </cfRule>
  </conditionalFormatting>
  <conditionalFormatting sqref="AM311">
    <cfRule type="containsText" dxfId="1979" priority="169" operator="containsText" text="AZ">
      <formula>NOT(ISERROR(SEARCH("AZ",AM311)))</formula>
    </cfRule>
    <cfRule type="containsText" dxfId="1978" priority="170" operator="containsText" text="RO">
      <formula>NOT(ISERROR(SEARCH("RO",AM311)))</formula>
    </cfRule>
    <cfRule type="containsText" dxfId="1977" priority="171" operator="containsText" text="AM">
      <formula>NOT(ISERROR(SEARCH("AM",AM311)))</formula>
    </cfRule>
    <cfRule type="containsText" dxfId="1976" priority="172" operator="containsText" text="VE">
      <formula>NOT(ISERROR(SEARCH("VE",AM311)))</formula>
    </cfRule>
  </conditionalFormatting>
  <conditionalFormatting sqref="AM318">
    <cfRule type="containsText" dxfId="1975" priority="165" operator="containsText" text="AZ">
      <formula>NOT(ISERROR(SEARCH("AZ",AM318)))</formula>
    </cfRule>
    <cfRule type="containsText" dxfId="1974" priority="166" operator="containsText" text="RO">
      <formula>NOT(ISERROR(SEARCH("RO",AM318)))</formula>
    </cfRule>
    <cfRule type="containsText" dxfId="1973" priority="167" operator="containsText" text="AM">
      <formula>NOT(ISERROR(SEARCH("AM",AM318)))</formula>
    </cfRule>
    <cfRule type="containsText" dxfId="1972" priority="168" operator="containsText" text="VE">
      <formula>NOT(ISERROR(SEARCH("VE",AM318)))</formula>
    </cfRule>
  </conditionalFormatting>
  <conditionalFormatting sqref="AM320">
    <cfRule type="containsText" dxfId="1971" priority="161" operator="containsText" text="AZ">
      <formula>NOT(ISERROR(SEARCH("AZ",AM320)))</formula>
    </cfRule>
    <cfRule type="containsText" dxfId="1970" priority="162" operator="containsText" text="RO">
      <formula>NOT(ISERROR(SEARCH("RO",AM320)))</formula>
    </cfRule>
    <cfRule type="containsText" dxfId="1969" priority="163" operator="containsText" text="AM">
      <formula>NOT(ISERROR(SEARCH("AM",AM320)))</formula>
    </cfRule>
    <cfRule type="containsText" dxfId="1968" priority="164" operator="containsText" text="VE">
      <formula>NOT(ISERROR(SEARCH("VE",AM320)))</formula>
    </cfRule>
  </conditionalFormatting>
  <conditionalFormatting sqref="AM301">
    <cfRule type="containsText" dxfId="1967" priority="157" operator="containsText" text="AZ">
      <formula>NOT(ISERROR(SEARCH("AZ",AM301)))</formula>
    </cfRule>
    <cfRule type="containsText" dxfId="1966" priority="158" operator="containsText" text="RO">
      <formula>NOT(ISERROR(SEARCH("RO",AM301)))</formula>
    </cfRule>
    <cfRule type="containsText" dxfId="1965" priority="159" operator="containsText" text="AM">
      <formula>NOT(ISERROR(SEARCH("AM",AM301)))</formula>
    </cfRule>
    <cfRule type="containsText" dxfId="1964" priority="160" operator="containsText" text="VE">
      <formula>NOT(ISERROR(SEARCH("VE",AM301)))</formula>
    </cfRule>
  </conditionalFormatting>
  <conditionalFormatting sqref="AM310">
    <cfRule type="containsText" dxfId="1963" priority="153" operator="containsText" text="AZ">
      <formula>NOT(ISERROR(SEARCH("AZ",AM310)))</formula>
    </cfRule>
    <cfRule type="containsText" dxfId="1962" priority="154" operator="containsText" text="RO">
      <formula>NOT(ISERROR(SEARCH("RO",AM310)))</formula>
    </cfRule>
    <cfRule type="containsText" dxfId="1961" priority="155" operator="containsText" text="AM">
      <formula>NOT(ISERROR(SEARCH("AM",AM310)))</formula>
    </cfRule>
    <cfRule type="containsText" dxfId="1960" priority="156" operator="containsText" text="VE">
      <formula>NOT(ISERROR(SEARCH("VE",AM310)))</formula>
    </cfRule>
  </conditionalFormatting>
  <conditionalFormatting sqref="AM312:AM314">
    <cfRule type="containsText" dxfId="1959" priority="149" operator="containsText" text="AZ">
      <formula>NOT(ISERROR(SEARCH("AZ",AM312)))</formula>
    </cfRule>
    <cfRule type="containsText" dxfId="1958" priority="150" operator="containsText" text="RO">
      <formula>NOT(ISERROR(SEARCH("RO",AM312)))</formula>
    </cfRule>
    <cfRule type="containsText" dxfId="1957" priority="151" operator="containsText" text="AM">
      <formula>NOT(ISERROR(SEARCH("AM",AM312)))</formula>
    </cfRule>
    <cfRule type="containsText" dxfId="1956" priority="152" operator="containsText" text="VE">
      <formula>NOT(ISERROR(SEARCH("VE",AM312)))</formula>
    </cfRule>
  </conditionalFormatting>
  <conditionalFormatting sqref="AM316">
    <cfRule type="containsText" dxfId="1955" priority="145" operator="containsText" text="AZ">
      <formula>NOT(ISERROR(SEARCH("AZ",AM316)))</formula>
    </cfRule>
    <cfRule type="containsText" dxfId="1954" priority="146" operator="containsText" text="RO">
      <formula>NOT(ISERROR(SEARCH("RO",AM316)))</formula>
    </cfRule>
    <cfRule type="containsText" dxfId="1953" priority="147" operator="containsText" text="AM">
      <formula>NOT(ISERROR(SEARCH("AM",AM316)))</formula>
    </cfRule>
    <cfRule type="containsText" dxfId="1952" priority="148" operator="containsText" text="VE">
      <formula>NOT(ISERROR(SEARCH("VE",AM316)))</formula>
    </cfRule>
  </conditionalFormatting>
  <conditionalFormatting sqref="AM319">
    <cfRule type="containsText" dxfId="1951" priority="141" operator="containsText" text="AZ">
      <formula>NOT(ISERROR(SEARCH("AZ",AM319)))</formula>
    </cfRule>
    <cfRule type="containsText" dxfId="1950" priority="142" operator="containsText" text="RO">
      <formula>NOT(ISERROR(SEARCH("RO",AM319)))</formula>
    </cfRule>
    <cfRule type="containsText" dxfId="1949" priority="143" operator="containsText" text="AM">
      <formula>NOT(ISERROR(SEARCH("AM",AM319)))</formula>
    </cfRule>
    <cfRule type="containsText" dxfId="1948" priority="144" operator="containsText" text="VE">
      <formula>NOT(ISERROR(SEARCH("VE",AM319)))</formula>
    </cfRule>
  </conditionalFormatting>
  <conditionalFormatting sqref="AM321">
    <cfRule type="containsText" dxfId="1947" priority="137" operator="containsText" text="AZ">
      <formula>NOT(ISERROR(SEARCH("AZ",AM321)))</formula>
    </cfRule>
    <cfRule type="containsText" dxfId="1946" priority="138" operator="containsText" text="RO">
      <formula>NOT(ISERROR(SEARCH("RO",AM321)))</formula>
    </cfRule>
    <cfRule type="containsText" dxfId="1945" priority="139" operator="containsText" text="AM">
      <formula>NOT(ISERROR(SEARCH("AM",AM321)))</formula>
    </cfRule>
    <cfRule type="containsText" dxfId="1944" priority="140" operator="containsText" text="VE">
      <formula>NOT(ISERROR(SEARCH("VE",AM321)))</formula>
    </cfRule>
  </conditionalFormatting>
  <conditionalFormatting sqref="AM322:AM324">
    <cfRule type="containsText" dxfId="1943" priority="133" operator="containsText" text="AZ">
      <formula>NOT(ISERROR(SEARCH("AZ",AM322)))</formula>
    </cfRule>
    <cfRule type="containsText" dxfId="1942" priority="134" operator="containsText" text="RO">
      <formula>NOT(ISERROR(SEARCH("RO",AM322)))</formula>
    </cfRule>
    <cfRule type="containsText" dxfId="1941" priority="135" operator="containsText" text="AM">
      <formula>NOT(ISERROR(SEARCH("AM",AM322)))</formula>
    </cfRule>
    <cfRule type="containsText" dxfId="1940" priority="136" operator="containsText" text="VE">
      <formula>NOT(ISERROR(SEARCH("VE",AM322)))</formula>
    </cfRule>
  </conditionalFormatting>
  <conditionalFormatting sqref="AM326:AM328">
    <cfRule type="containsText" dxfId="1939" priority="129" operator="containsText" text="AZ">
      <formula>NOT(ISERROR(SEARCH("AZ",AM326)))</formula>
    </cfRule>
    <cfRule type="containsText" dxfId="1938" priority="130" operator="containsText" text="RO">
      <formula>NOT(ISERROR(SEARCH("RO",AM326)))</formula>
    </cfRule>
    <cfRule type="containsText" dxfId="1937" priority="131" operator="containsText" text="AM">
      <formula>NOT(ISERROR(SEARCH("AM",AM326)))</formula>
    </cfRule>
    <cfRule type="containsText" dxfId="1936" priority="132" operator="containsText" text="VE">
      <formula>NOT(ISERROR(SEARCH("VE",AM326)))</formula>
    </cfRule>
  </conditionalFormatting>
  <conditionalFormatting sqref="AM315">
    <cfRule type="containsText" dxfId="1935" priority="125" operator="containsText" text="AZ">
      <formula>NOT(ISERROR(SEARCH("AZ",AM315)))</formula>
    </cfRule>
    <cfRule type="containsText" dxfId="1934" priority="126" operator="containsText" text="RO">
      <formula>NOT(ISERROR(SEARCH("RO",AM315)))</formula>
    </cfRule>
    <cfRule type="containsText" dxfId="1933" priority="127" operator="containsText" text="AM">
      <formula>NOT(ISERROR(SEARCH("AM",AM315)))</formula>
    </cfRule>
    <cfRule type="containsText" dxfId="1932" priority="128" operator="containsText" text="VE">
      <formula>NOT(ISERROR(SEARCH("VE",AM315)))</formula>
    </cfRule>
  </conditionalFormatting>
  <conditionalFormatting sqref="AM325">
    <cfRule type="containsText" dxfId="1931" priority="121" operator="containsText" text="AZ">
      <formula>NOT(ISERROR(SEARCH("AZ",AM325)))</formula>
    </cfRule>
    <cfRule type="containsText" dxfId="1930" priority="122" operator="containsText" text="RO">
      <formula>NOT(ISERROR(SEARCH("RO",AM325)))</formula>
    </cfRule>
    <cfRule type="containsText" dxfId="1929" priority="123" operator="containsText" text="AM">
      <formula>NOT(ISERROR(SEARCH("AM",AM325)))</formula>
    </cfRule>
    <cfRule type="containsText" dxfId="1928" priority="124" operator="containsText" text="VE">
      <formula>NOT(ISERROR(SEARCH("VE",AM325)))</formula>
    </cfRule>
  </conditionalFormatting>
  <conditionalFormatting sqref="AM329">
    <cfRule type="containsText" dxfId="1927" priority="117" operator="containsText" text="AZ">
      <formula>NOT(ISERROR(SEARCH("AZ",AM329)))</formula>
    </cfRule>
    <cfRule type="containsText" dxfId="1926" priority="118" operator="containsText" text="RO">
      <formula>NOT(ISERROR(SEARCH("RO",AM329)))</formula>
    </cfRule>
    <cfRule type="containsText" dxfId="1925" priority="119" operator="containsText" text="AM">
      <formula>NOT(ISERROR(SEARCH("AM",AM329)))</formula>
    </cfRule>
    <cfRule type="containsText" dxfId="1924" priority="120" operator="containsText" text="VE">
      <formula>NOT(ISERROR(SEARCH("VE",AM329)))</formula>
    </cfRule>
  </conditionalFormatting>
  <conditionalFormatting sqref="AM317">
    <cfRule type="containsText" dxfId="1923" priority="113" operator="containsText" text="AZ">
      <formula>NOT(ISERROR(SEARCH("AZ",AM317)))</formula>
    </cfRule>
    <cfRule type="containsText" dxfId="1922" priority="114" operator="containsText" text="RO">
      <formula>NOT(ISERROR(SEARCH("RO",AM317)))</formula>
    </cfRule>
    <cfRule type="containsText" dxfId="1921" priority="115" operator="containsText" text="AM">
      <formula>NOT(ISERROR(SEARCH("AM",AM317)))</formula>
    </cfRule>
    <cfRule type="containsText" dxfId="1920" priority="116" operator="containsText" text="VE">
      <formula>NOT(ISERROR(SEARCH("VE",AM317)))</formula>
    </cfRule>
  </conditionalFormatting>
  <conditionalFormatting sqref="AM309">
    <cfRule type="containsText" dxfId="1919" priority="109" operator="containsText" text="AZ">
      <formula>NOT(ISERROR(SEARCH("AZ",AM309)))</formula>
    </cfRule>
    <cfRule type="containsText" dxfId="1918" priority="110" operator="containsText" text="RO">
      <formula>NOT(ISERROR(SEARCH("RO",AM309)))</formula>
    </cfRule>
    <cfRule type="containsText" dxfId="1917" priority="111" operator="containsText" text="AM">
      <formula>NOT(ISERROR(SEARCH("AM",AM309)))</formula>
    </cfRule>
    <cfRule type="containsText" dxfId="1916" priority="112" operator="containsText" text="VE">
      <formula>NOT(ISERROR(SEARCH("VE",AM309)))</formula>
    </cfRule>
  </conditionalFormatting>
  <conditionalFormatting sqref="AM307">
    <cfRule type="containsText" dxfId="1915" priority="105" operator="containsText" text="AZ">
      <formula>NOT(ISERROR(SEARCH("AZ",AM307)))</formula>
    </cfRule>
    <cfRule type="containsText" dxfId="1914" priority="106" operator="containsText" text="RO">
      <formula>NOT(ISERROR(SEARCH("RO",AM307)))</formula>
    </cfRule>
    <cfRule type="containsText" dxfId="1913" priority="107" operator="containsText" text="AM">
      <formula>NOT(ISERROR(SEARCH("AM",AM307)))</formula>
    </cfRule>
    <cfRule type="containsText" dxfId="1912" priority="108" operator="containsText" text="VE">
      <formula>NOT(ISERROR(SEARCH("VE",AM307)))</formula>
    </cfRule>
  </conditionalFormatting>
  <conditionalFormatting sqref="AM300">
    <cfRule type="containsText" dxfId="1911" priority="101" operator="containsText" text="AZ">
      <formula>NOT(ISERROR(SEARCH("AZ",AM300)))</formula>
    </cfRule>
    <cfRule type="containsText" dxfId="1910" priority="102" operator="containsText" text="RO">
      <formula>NOT(ISERROR(SEARCH("RO",AM300)))</formula>
    </cfRule>
    <cfRule type="containsText" dxfId="1909" priority="103" operator="containsText" text="AM">
      <formula>NOT(ISERROR(SEARCH("AM",AM300)))</formula>
    </cfRule>
    <cfRule type="containsText" dxfId="1908" priority="104" operator="containsText" text="VE">
      <formula>NOT(ISERROR(SEARCH("VE",AM300)))</formula>
    </cfRule>
  </conditionalFormatting>
  <conditionalFormatting sqref="AM302:AM304">
    <cfRule type="containsText" dxfId="1907" priority="97" operator="containsText" text="AZ">
      <formula>NOT(ISERROR(SEARCH("AZ",AM302)))</formula>
    </cfRule>
    <cfRule type="containsText" dxfId="1906" priority="98" operator="containsText" text="RO">
      <formula>NOT(ISERROR(SEARCH("RO",AM302)))</formula>
    </cfRule>
    <cfRule type="containsText" dxfId="1905" priority="99" operator="containsText" text="AM">
      <formula>NOT(ISERROR(SEARCH("AM",AM302)))</formula>
    </cfRule>
    <cfRule type="containsText" dxfId="1904" priority="100" operator="containsText" text="VE">
      <formula>NOT(ISERROR(SEARCH("VE",AM302)))</formula>
    </cfRule>
  </conditionalFormatting>
  <conditionalFormatting sqref="AM474:AM475">
    <cfRule type="containsText" dxfId="1903" priority="93" operator="containsText" text="AZ">
      <formula>NOT(ISERROR(SEARCH("AZ",AM474)))</formula>
    </cfRule>
    <cfRule type="containsText" dxfId="1902" priority="94" operator="containsText" text="RO">
      <formula>NOT(ISERROR(SEARCH("RO",AM474)))</formula>
    </cfRule>
    <cfRule type="containsText" dxfId="1901" priority="95" operator="containsText" text="AM">
      <formula>NOT(ISERROR(SEARCH("AM",AM474)))</formula>
    </cfRule>
    <cfRule type="containsText" dxfId="1900" priority="96" operator="containsText" text="VE">
      <formula>NOT(ISERROR(SEARCH("VE",AM474)))</formula>
    </cfRule>
  </conditionalFormatting>
  <conditionalFormatting sqref="AM450">
    <cfRule type="containsText" dxfId="1899" priority="89" operator="containsText" text="AZ">
      <formula>NOT(ISERROR(SEARCH("AZ",AM450)))</formula>
    </cfRule>
    <cfRule type="containsText" dxfId="1898" priority="90" operator="containsText" text="RO">
      <formula>NOT(ISERROR(SEARCH("RO",AM450)))</formula>
    </cfRule>
    <cfRule type="containsText" dxfId="1897" priority="91" operator="containsText" text="AM">
      <formula>NOT(ISERROR(SEARCH("AM",AM450)))</formula>
    </cfRule>
    <cfRule type="containsText" dxfId="1896" priority="92" operator="containsText" text="VE">
      <formula>NOT(ISERROR(SEARCH("VE",AM450)))</formula>
    </cfRule>
  </conditionalFormatting>
  <conditionalFormatting sqref="AM451">
    <cfRule type="containsText" dxfId="1895" priority="85" operator="containsText" text="AZ">
      <formula>NOT(ISERROR(SEARCH("AZ",AM451)))</formula>
    </cfRule>
    <cfRule type="containsText" dxfId="1894" priority="86" operator="containsText" text="RO">
      <formula>NOT(ISERROR(SEARCH("RO",AM451)))</formula>
    </cfRule>
    <cfRule type="containsText" dxfId="1893" priority="87" operator="containsText" text="AM">
      <formula>NOT(ISERROR(SEARCH("AM",AM451)))</formula>
    </cfRule>
    <cfRule type="containsText" dxfId="1892" priority="88" operator="containsText" text="VE">
      <formula>NOT(ISERROR(SEARCH("VE",AM451)))</formula>
    </cfRule>
  </conditionalFormatting>
  <conditionalFormatting sqref="AM455:AM456">
    <cfRule type="containsText" dxfId="1891" priority="81" operator="containsText" text="AZ">
      <formula>NOT(ISERROR(SEARCH("AZ",AM455)))</formula>
    </cfRule>
    <cfRule type="containsText" dxfId="1890" priority="82" operator="containsText" text="RO">
      <formula>NOT(ISERROR(SEARCH("RO",AM455)))</formula>
    </cfRule>
    <cfRule type="containsText" dxfId="1889" priority="83" operator="containsText" text="AM">
      <formula>NOT(ISERROR(SEARCH("AM",AM455)))</formula>
    </cfRule>
    <cfRule type="containsText" dxfId="1888" priority="84" operator="containsText" text="VE">
      <formula>NOT(ISERROR(SEARCH("VE",AM455)))</formula>
    </cfRule>
  </conditionalFormatting>
  <conditionalFormatting sqref="AM464">
    <cfRule type="containsText" dxfId="1887" priority="77" operator="containsText" text="AZ">
      <formula>NOT(ISERROR(SEARCH("AZ",AM464)))</formula>
    </cfRule>
    <cfRule type="containsText" dxfId="1886" priority="78" operator="containsText" text="RO">
      <formula>NOT(ISERROR(SEARCH("RO",AM464)))</formula>
    </cfRule>
    <cfRule type="containsText" dxfId="1885" priority="79" operator="containsText" text="AM">
      <formula>NOT(ISERROR(SEARCH("AM",AM464)))</formula>
    </cfRule>
    <cfRule type="containsText" dxfId="1884" priority="80" operator="containsText" text="VE">
      <formula>NOT(ISERROR(SEARCH("VE",AM464)))</formula>
    </cfRule>
  </conditionalFormatting>
  <conditionalFormatting sqref="AM468">
    <cfRule type="containsText" dxfId="1883" priority="73" operator="containsText" text="AZ">
      <formula>NOT(ISERROR(SEARCH("AZ",AM468)))</formula>
    </cfRule>
    <cfRule type="containsText" dxfId="1882" priority="74" operator="containsText" text="RO">
      <formula>NOT(ISERROR(SEARCH("RO",AM468)))</formula>
    </cfRule>
    <cfRule type="containsText" dxfId="1881" priority="75" operator="containsText" text="AM">
      <formula>NOT(ISERROR(SEARCH("AM",AM468)))</formula>
    </cfRule>
    <cfRule type="containsText" dxfId="1880" priority="76" operator="containsText" text="VE">
      <formula>NOT(ISERROR(SEARCH("VE",AM468)))</formula>
    </cfRule>
  </conditionalFormatting>
  <conditionalFormatting sqref="AM472">
    <cfRule type="containsText" dxfId="1879" priority="69" operator="containsText" text="AZ">
      <formula>NOT(ISERROR(SEARCH("AZ",AM472)))</formula>
    </cfRule>
    <cfRule type="containsText" dxfId="1878" priority="70" operator="containsText" text="RO">
      <formula>NOT(ISERROR(SEARCH("RO",AM472)))</formula>
    </cfRule>
    <cfRule type="containsText" dxfId="1877" priority="71" operator="containsText" text="AM">
      <formula>NOT(ISERROR(SEARCH("AM",AM472)))</formula>
    </cfRule>
    <cfRule type="containsText" dxfId="1876" priority="72" operator="containsText" text="VE">
      <formula>NOT(ISERROR(SEARCH("VE",AM472)))</formula>
    </cfRule>
  </conditionalFormatting>
  <conditionalFormatting sqref="AM452:AM453">
    <cfRule type="containsText" dxfId="1875" priority="65" operator="containsText" text="AZ">
      <formula>NOT(ISERROR(SEARCH("AZ",AM452)))</formula>
    </cfRule>
    <cfRule type="containsText" dxfId="1874" priority="66" operator="containsText" text="RO">
      <formula>NOT(ISERROR(SEARCH("RO",AM452)))</formula>
    </cfRule>
    <cfRule type="containsText" dxfId="1873" priority="67" operator="containsText" text="AM">
      <formula>NOT(ISERROR(SEARCH("AM",AM452)))</formula>
    </cfRule>
    <cfRule type="containsText" dxfId="1872" priority="68" operator="containsText" text="VE">
      <formula>NOT(ISERROR(SEARCH("VE",AM452)))</formula>
    </cfRule>
  </conditionalFormatting>
  <conditionalFormatting sqref="AM457:AM458">
    <cfRule type="containsText" dxfId="1871" priority="61" operator="containsText" text="AZ">
      <formula>NOT(ISERROR(SEARCH("AZ",AM457)))</formula>
    </cfRule>
    <cfRule type="containsText" dxfId="1870" priority="62" operator="containsText" text="RO">
      <formula>NOT(ISERROR(SEARCH("RO",AM457)))</formula>
    </cfRule>
    <cfRule type="containsText" dxfId="1869" priority="63" operator="containsText" text="AM">
      <formula>NOT(ISERROR(SEARCH("AM",AM457)))</formula>
    </cfRule>
    <cfRule type="containsText" dxfId="1868" priority="64" operator="containsText" text="VE">
      <formula>NOT(ISERROR(SEARCH("VE",AM457)))</formula>
    </cfRule>
  </conditionalFormatting>
  <conditionalFormatting sqref="AM460:AM461">
    <cfRule type="containsText" dxfId="1867" priority="57" operator="containsText" text="AZ">
      <formula>NOT(ISERROR(SEARCH("AZ",AM460)))</formula>
    </cfRule>
    <cfRule type="containsText" dxfId="1866" priority="58" operator="containsText" text="RO">
      <formula>NOT(ISERROR(SEARCH("RO",AM460)))</formula>
    </cfRule>
    <cfRule type="containsText" dxfId="1865" priority="59" operator="containsText" text="AM">
      <formula>NOT(ISERROR(SEARCH("AM",AM460)))</formula>
    </cfRule>
    <cfRule type="containsText" dxfId="1864" priority="60" operator="containsText" text="VE">
      <formula>NOT(ISERROR(SEARCH("VE",AM460)))</formula>
    </cfRule>
  </conditionalFormatting>
  <conditionalFormatting sqref="AM465:AM467">
    <cfRule type="containsText" dxfId="1863" priority="53" operator="containsText" text="AZ">
      <formula>NOT(ISERROR(SEARCH("AZ",AM465)))</formula>
    </cfRule>
    <cfRule type="containsText" dxfId="1862" priority="54" operator="containsText" text="RO">
      <formula>NOT(ISERROR(SEARCH("RO",AM465)))</formula>
    </cfRule>
    <cfRule type="containsText" dxfId="1861" priority="55" operator="containsText" text="AM">
      <formula>NOT(ISERROR(SEARCH("AM",AM465)))</formula>
    </cfRule>
    <cfRule type="containsText" dxfId="1860" priority="56" operator="containsText" text="VE">
      <formula>NOT(ISERROR(SEARCH("VE",AM465)))</formula>
    </cfRule>
  </conditionalFormatting>
  <conditionalFormatting sqref="AM469">
    <cfRule type="containsText" dxfId="1859" priority="49" operator="containsText" text="AZ">
      <formula>NOT(ISERROR(SEARCH("AZ",AM469)))</formula>
    </cfRule>
    <cfRule type="containsText" dxfId="1858" priority="50" operator="containsText" text="RO">
      <formula>NOT(ISERROR(SEARCH("RO",AM469)))</formula>
    </cfRule>
    <cfRule type="containsText" dxfId="1857" priority="51" operator="containsText" text="AM">
      <formula>NOT(ISERROR(SEARCH("AM",AM469)))</formula>
    </cfRule>
    <cfRule type="containsText" dxfId="1856" priority="52" operator="containsText" text="VE">
      <formula>NOT(ISERROR(SEARCH("VE",AM469)))</formula>
    </cfRule>
  </conditionalFormatting>
  <conditionalFormatting sqref="AM471">
    <cfRule type="containsText" dxfId="1855" priority="45" operator="containsText" text="AZ">
      <formula>NOT(ISERROR(SEARCH("AZ",AM471)))</formula>
    </cfRule>
    <cfRule type="containsText" dxfId="1854" priority="46" operator="containsText" text="RO">
      <formula>NOT(ISERROR(SEARCH("RO",AM471)))</formula>
    </cfRule>
    <cfRule type="containsText" dxfId="1853" priority="47" operator="containsText" text="AM">
      <formula>NOT(ISERROR(SEARCH("AM",AM471)))</formula>
    </cfRule>
    <cfRule type="containsText" dxfId="1852" priority="48" operator="containsText" text="VE">
      <formula>NOT(ISERROR(SEARCH("VE",AM471)))</formula>
    </cfRule>
  </conditionalFormatting>
  <conditionalFormatting sqref="AM473">
    <cfRule type="containsText" dxfId="1851" priority="41" operator="containsText" text="AZ">
      <formula>NOT(ISERROR(SEARCH("AZ",AM473)))</formula>
    </cfRule>
    <cfRule type="containsText" dxfId="1850" priority="42" operator="containsText" text="RO">
      <formula>NOT(ISERROR(SEARCH("RO",AM473)))</formula>
    </cfRule>
    <cfRule type="containsText" dxfId="1849" priority="43" operator="containsText" text="AM">
      <formula>NOT(ISERROR(SEARCH("AM",AM473)))</formula>
    </cfRule>
    <cfRule type="containsText" dxfId="1848" priority="44" operator="containsText" text="VE">
      <formula>NOT(ISERROR(SEARCH("VE",AM473)))</formula>
    </cfRule>
  </conditionalFormatting>
  <conditionalFormatting sqref="AM476">
    <cfRule type="containsText" dxfId="1847" priority="37" operator="containsText" text="AZ">
      <formula>NOT(ISERROR(SEARCH("AZ",AM476)))</formula>
    </cfRule>
    <cfRule type="containsText" dxfId="1846" priority="38" operator="containsText" text="RO">
      <formula>NOT(ISERROR(SEARCH("RO",AM476)))</formula>
    </cfRule>
    <cfRule type="containsText" dxfId="1845" priority="39" operator="containsText" text="AM">
      <formula>NOT(ISERROR(SEARCH("AM",AM476)))</formula>
    </cfRule>
    <cfRule type="containsText" dxfId="1844" priority="40" operator="containsText" text="VE">
      <formula>NOT(ISERROR(SEARCH("VE",AM476)))</formula>
    </cfRule>
  </conditionalFormatting>
  <conditionalFormatting sqref="AM462">
    <cfRule type="containsText" dxfId="1843" priority="33" operator="containsText" text="AZ">
      <formula>NOT(ISERROR(SEARCH("AZ",AM462)))</formula>
    </cfRule>
    <cfRule type="containsText" dxfId="1842" priority="34" operator="containsText" text="RO">
      <formula>NOT(ISERROR(SEARCH("RO",AM462)))</formula>
    </cfRule>
    <cfRule type="containsText" dxfId="1841" priority="35" operator="containsText" text="AM">
      <formula>NOT(ISERROR(SEARCH("AM",AM462)))</formula>
    </cfRule>
    <cfRule type="containsText" dxfId="1840" priority="36" operator="containsText" text="VE">
      <formula>NOT(ISERROR(SEARCH("VE",AM462)))</formula>
    </cfRule>
  </conditionalFormatting>
  <conditionalFormatting sqref="AM459">
    <cfRule type="containsText" dxfId="1839" priority="29" operator="containsText" text="AZ">
      <formula>NOT(ISERROR(SEARCH("AZ",AM459)))</formula>
    </cfRule>
    <cfRule type="containsText" dxfId="1838" priority="30" operator="containsText" text="RO">
      <formula>NOT(ISERROR(SEARCH("RO",AM459)))</formula>
    </cfRule>
    <cfRule type="containsText" dxfId="1837" priority="31" operator="containsText" text="AM">
      <formula>NOT(ISERROR(SEARCH("AM",AM459)))</formula>
    </cfRule>
    <cfRule type="containsText" dxfId="1836" priority="32" operator="containsText" text="VE">
      <formula>NOT(ISERROR(SEARCH("VE",AM459)))</formula>
    </cfRule>
  </conditionalFormatting>
  <conditionalFormatting sqref="AM454">
    <cfRule type="containsText" dxfId="1835" priority="25" operator="containsText" text="AZ">
      <formula>NOT(ISERROR(SEARCH("AZ",AM454)))</formula>
    </cfRule>
    <cfRule type="containsText" dxfId="1834" priority="26" operator="containsText" text="RO">
      <formula>NOT(ISERROR(SEARCH("RO",AM454)))</formula>
    </cfRule>
    <cfRule type="containsText" dxfId="1833" priority="27" operator="containsText" text="AM">
      <formula>NOT(ISERROR(SEARCH("AM",AM454)))</formula>
    </cfRule>
    <cfRule type="containsText" dxfId="1832" priority="28" operator="containsText" text="VE">
      <formula>NOT(ISERROR(SEARCH("VE",AM454)))</formula>
    </cfRule>
  </conditionalFormatting>
  <conditionalFormatting sqref="AM479">
    <cfRule type="containsText" dxfId="1831" priority="21" operator="containsText" text="AZ">
      <formula>NOT(ISERROR(SEARCH("AZ",AM479)))</formula>
    </cfRule>
    <cfRule type="containsText" dxfId="1830" priority="22" operator="containsText" text="RO">
      <formula>NOT(ISERROR(SEARCH("RO",AM479)))</formula>
    </cfRule>
    <cfRule type="containsText" dxfId="1829" priority="23" operator="containsText" text="AM">
      <formula>NOT(ISERROR(SEARCH("AM",AM479)))</formula>
    </cfRule>
    <cfRule type="containsText" dxfId="1828" priority="24" operator="containsText" text="VE">
      <formula>NOT(ISERROR(SEARCH("VE",AM479)))</formula>
    </cfRule>
  </conditionalFormatting>
  <conditionalFormatting sqref="AM477">
    <cfRule type="containsText" dxfId="1827" priority="17" operator="containsText" text="AZ">
      <formula>NOT(ISERROR(SEARCH("AZ",AM477)))</formula>
    </cfRule>
    <cfRule type="containsText" dxfId="1826" priority="18" operator="containsText" text="RO">
      <formula>NOT(ISERROR(SEARCH("RO",AM477)))</formula>
    </cfRule>
    <cfRule type="containsText" dxfId="1825" priority="19" operator="containsText" text="AM">
      <formula>NOT(ISERROR(SEARCH("AM",AM477)))</formula>
    </cfRule>
    <cfRule type="containsText" dxfId="1824" priority="20" operator="containsText" text="VE">
      <formula>NOT(ISERROR(SEARCH("VE",AM477)))</formula>
    </cfRule>
  </conditionalFormatting>
  <conditionalFormatting sqref="AM470">
    <cfRule type="containsText" dxfId="1823" priority="13" operator="containsText" text="AZ">
      <formula>NOT(ISERROR(SEARCH("AZ",AM470)))</formula>
    </cfRule>
    <cfRule type="containsText" dxfId="1822" priority="14" operator="containsText" text="RO">
      <formula>NOT(ISERROR(SEARCH("RO",AM470)))</formula>
    </cfRule>
    <cfRule type="containsText" dxfId="1821" priority="15" operator="containsText" text="AM">
      <formula>NOT(ISERROR(SEARCH("AM",AM470)))</formula>
    </cfRule>
    <cfRule type="containsText" dxfId="1820" priority="16" operator="containsText" text="VE">
      <formula>NOT(ISERROR(SEARCH("VE",AM470)))</formula>
    </cfRule>
  </conditionalFormatting>
  <conditionalFormatting sqref="AM463">
    <cfRule type="containsText" dxfId="1819" priority="9" operator="containsText" text="AZ">
      <formula>NOT(ISERROR(SEARCH("AZ",AM463)))</formula>
    </cfRule>
    <cfRule type="containsText" dxfId="1818" priority="10" operator="containsText" text="RO">
      <formula>NOT(ISERROR(SEARCH("RO",AM463)))</formula>
    </cfRule>
    <cfRule type="containsText" dxfId="1817" priority="11" operator="containsText" text="AM">
      <formula>NOT(ISERROR(SEARCH("AM",AM463)))</formula>
    </cfRule>
    <cfRule type="containsText" dxfId="1816" priority="12" operator="containsText" text="VE">
      <formula>NOT(ISERROR(SEARCH("VE",AM463)))</formula>
    </cfRule>
  </conditionalFormatting>
  <conditionalFormatting sqref="AM480:AM481">
    <cfRule type="containsText" dxfId="1815" priority="5" operator="containsText" text="AZ">
      <formula>NOT(ISERROR(SEARCH("AZ",AM480)))</formula>
    </cfRule>
    <cfRule type="containsText" dxfId="1814" priority="6" operator="containsText" text="RO">
      <formula>NOT(ISERROR(SEARCH("RO",AM480)))</formula>
    </cfRule>
    <cfRule type="containsText" dxfId="1813" priority="7" operator="containsText" text="AM">
      <formula>NOT(ISERROR(SEARCH("AM",AM480)))</formula>
    </cfRule>
    <cfRule type="containsText" dxfId="1812" priority="8" operator="containsText" text="VE">
      <formula>NOT(ISERROR(SEARCH("VE",AM480)))</formula>
    </cfRule>
  </conditionalFormatting>
  <conditionalFormatting sqref="AM478">
    <cfRule type="containsText" dxfId="1811" priority="1" operator="containsText" text="AZ">
      <formula>NOT(ISERROR(SEARCH("AZ",AM478)))</formula>
    </cfRule>
    <cfRule type="containsText" dxfId="1810" priority="2" operator="containsText" text="RO">
      <formula>NOT(ISERROR(SEARCH("RO",AM478)))</formula>
    </cfRule>
    <cfRule type="containsText" dxfId="1809" priority="3" operator="containsText" text="AM">
      <formula>NOT(ISERROR(SEARCH("AM",AM478)))</formula>
    </cfRule>
    <cfRule type="containsText" dxfId="1808" priority="4" operator="containsText" text="VE">
      <formula>NOT(ISERROR(SEARCH("VE",AM478)))</formula>
    </cfRule>
  </conditionalFormatting>
  <dataValidations count="5">
    <dataValidation type="list" allowBlank="1" showInputMessage="1" showErrorMessage="1" sqref="B49 B9:B47 B51:B85 B87:B108 B110:B121 A484 B485:B500 A448 B449:B483 A446 B123:B445 B447">
      <formula1>SECTOR</formula1>
    </dataValidation>
    <dataValidation type="list" allowBlank="1" showInputMessage="1" showErrorMessage="1" sqref="L486:L492 L450:L481 L494:L500 L333:L354 L265:L275 L277:L288 L418:L431 L290:L293 L405:L415 L378:L402 L366:L374 L361 L194:L200 L433:L445 L358:L359 L297:L329 L202:L211 L213:L220 L222:L226 L228:L234 L236:L241 L244:L260">
      <formula1>ODS</formula1>
    </dataValidation>
    <dataValidation type="list" allowBlank="1" showInputMessage="1" showErrorMessage="1" sqref="M450:M481 M290:M293 M333:M354 M265:M275 M358:M359 M277:M288 M486:M492 M418:M431 M378:M402 M366:M374 M361 M405:M415 M433:M445 M297:M329 M194:M200 M202:M211 M213:M220 M222:M226 M228:M234 M236:M241 M244:M260 M494:M500">
      <formula1>DEPENDENCIA</formula1>
    </dataValidation>
    <dataValidation type="list" allowBlank="1" showInputMessage="1" showErrorMessage="1" sqref="O194:O200 O450:O481 O333:O354 O290:O293 O265:O275 O277:O288 O202:O211 O222:O226 O228:O234 O236:O241 O297:O329 O366:O374 O433:O445 O361 O213:O220 O244:O260 O358:O359 O418:O431 O494:O500 O486:O492 O405:O415 O378:O402">
      <formula1>TIPO</formula1>
    </dataValidation>
    <dataValidation type="list" allowBlank="1" showInputMessage="1" showErrorMessage="1" sqref="AM88:AM98 AM52:AM74 AM76:AM84 AM100:AM107 AM9:AM23 AM44:AM47 AM228:AM234 AM244:AM260 AM194:AM200 AM202:AM211 AM213:AM220 AM236:AM241 AM222:AM226 AM183:AM192 AM158:AM181 AM111:AM115 AM117:AM120 AM149:AM155 AM358:AM359 AM405:AM415 AM418:AM431 AM486:AM492 AM494:AM500 AM25:AM42 AM139:AM147 AM124:AM137 AM361 AM366:AM374 AM290:AM293 AM277:AM288 AM265:AM275 AM333:AM354 AM433:AM445 AM297:AM329 AM378:AM402 AM450:AM481">
      <formula1>COOR</formula1>
    </dataValidation>
  </dataValidations>
  <pageMargins left="0.7" right="0.7" top="0.75" bottom="0.75" header="0.3" footer="0.3"/>
  <pageSetup paperSize="144" scale="26" fitToHeight="0" orientation="landscape"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Q28"/>
  <sheetViews>
    <sheetView zoomScale="90" zoomScaleNormal="90" workbookViewId="0">
      <selection activeCell="A8" sqref="A8:XFD8"/>
    </sheetView>
  </sheetViews>
  <sheetFormatPr baseColWidth="10" defaultColWidth="11.44140625" defaultRowHeight="15.6" x14ac:dyDescent="0.3"/>
  <cols>
    <col min="1" max="2" width="11.44140625" style="229"/>
    <col min="3" max="3" width="38.88671875" style="229" customWidth="1"/>
    <col min="4" max="4" width="7.6640625" style="229" hidden="1" customWidth="1"/>
    <col min="5" max="5" width="20.44140625" style="230" customWidth="1"/>
    <col min="6" max="6" width="16.44140625" style="230" customWidth="1"/>
    <col min="7" max="8" width="10.88671875" style="230" customWidth="1"/>
    <col min="9" max="9" width="12.33203125" style="230" customWidth="1"/>
    <col min="10" max="10" width="10.88671875" style="230" customWidth="1"/>
    <col min="11" max="11" width="12.88671875" style="283" customWidth="1"/>
    <col min="12" max="12" width="12.88671875" style="229" customWidth="1"/>
    <col min="13" max="13" width="13.109375" style="229" customWidth="1"/>
    <col min="14" max="16384" width="11.44140625" style="229"/>
  </cols>
  <sheetData>
    <row r="1" spans="3:14" ht="16.5" thickBot="1" x14ac:dyDescent="0.3"/>
    <row r="2" spans="3:14" ht="24" thickBot="1" x14ac:dyDescent="0.3">
      <c r="C2" s="1645" t="s">
        <v>3108</v>
      </c>
      <c r="D2" s="1646"/>
      <c r="E2" s="1646"/>
      <c r="F2" s="1646"/>
      <c r="G2" s="1646"/>
      <c r="H2" s="1646"/>
      <c r="I2" s="1646"/>
      <c r="J2" s="1646"/>
      <c r="K2" s="1647"/>
    </row>
    <row r="4" spans="3:14" ht="16.5" thickBot="1" x14ac:dyDescent="0.3">
      <c r="G4" s="807" t="s">
        <v>3109</v>
      </c>
      <c r="H4" s="808" t="s">
        <v>3110</v>
      </c>
      <c r="I4" s="809" t="s">
        <v>3111</v>
      </c>
      <c r="J4" s="810" t="s">
        <v>3112</v>
      </c>
    </row>
    <row r="5" spans="3:14" ht="45.75" customHeight="1" thickBot="1" x14ac:dyDescent="0.3">
      <c r="C5" s="788" t="s">
        <v>9</v>
      </c>
      <c r="D5" s="789" t="s">
        <v>3113</v>
      </c>
      <c r="E5" s="790" t="s">
        <v>3114</v>
      </c>
      <c r="F5" s="791" t="s">
        <v>3115</v>
      </c>
      <c r="G5" s="806" t="s">
        <v>2598</v>
      </c>
      <c r="H5" s="806" t="s">
        <v>2604</v>
      </c>
      <c r="I5" s="806" t="s">
        <v>2600</v>
      </c>
      <c r="J5" s="806" t="s">
        <v>2594</v>
      </c>
      <c r="K5" s="792" t="s">
        <v>3116</v>
      </c>
      <c r="L5" s="803" t="s">
        <v>3117</v>
      </c>
      <c r="M5" s="804" t="s">
        <v>3118</v>
      </c>
      <c r="N5" s="805" t="s">
        <v>3119</v>
      </c>
    </row>
    <row r="6" spans="3:14" x14ac:dyDescent="0.3">
      <c r="C6" s="780" t="s">
        <v>39</v>
      </c>
      <c r="D6" s="781">
        <v>3</v>
      </c>
      <c r="E6" s="782">
        <f>J6+I6+H6+G6</f>
        <v>37</v>
      </c>
      <c r="F6" s="782">
        <f>E6-J6</f>
        <v>21</v>
      </c>
      <c r="G6" s="783">
        <f>COUNTIF('PLAN ACCION 2016'!$AM$9:$AM$47,"VE")</f>
        <v>13</v>
      </c>
      <c r="H6" s="784">
        <f>COUNTIF('PLAN ACCION 2016'!$AM$9:$AM$47,"AM")</f>
        <v>2</v>
      </c>
      <c r="I6" s="785">
        <f>COUNTIF('PLAN ACCION 2016'!$AM$9:$AM$47,"RO")</f>
        <v>6</v>
      </c>
      <c r="J6" s="786">
        <f>COUNTIF('PLAN ACCION 2016'!$AM$9:$AM$47,"AZ")</f>
        <v>16</v>
      </c>
      <c r="K6" s="787">
        <f>+((G6*1)/(G6+H6+I6)+(H6*0.5)/(G6+H6+I6))*100</f>
        <v>66.666666666666671</v>
      </c>
      <c r="L6" s="787">
        <f>+((G6*1)/(E6)+(H6*0.5)/(E6))*100</f>
        <v>37.837837837837839</v>
      </c>
      <c r="M6" s="787">
        <f>+((G6*1)/(G6+H6+I6)+(H6*0.3)/(G6+H6+I6))*100</f>
        <v>64.761904761904759</v>
      </c>
      <c r="N6" s="787">
        <f>+((G6*1)/(E6)+(H6*0.3)/(E6))*100</f>
        <v>36.756756756756758</v>
      </c>
    </row>
    <row r="7" spans="3:14" ht="15.75" x14ac:dyDescent="0.25">
      <c r="C7" s="775" t="s">
        <v>2250</v>
      </c>
      <c r="D7" s="776"/>
      <c r="E7" s="777">
        <v>60</v>
      </c>
      <c r="F7" s="777">
        <f t="shared" ref="F7:F23" si="0">E7-J7</f>
        <v>60</v>
      </c>
      <c r="G7" s="770">
        <v>60</v>
      </c>
      <c r="H7" s="771"/>
      <c r="I7" s="774"/>
      <c r="J7" s="779"/>
      <c r="K7" s="773">
        <f>+((G7*1)/(G7+H7+I7)+(H7*0.5)/(G7+H7+I7))*100</f>
        <v>100</v>
      </c>
      <c r="L7" s="787">
        <f t="shared" ref="L7:L22" si="1">+((G7*1)/(E7)+(H7*0.5)/(E7))*100</f>
        <v>100</v>
      </c>
      <c r="M7" s="787">
        <f t="shared" ref="M7:M23" si="2">+((G7*1)/(G7+H7+I7)+(H7*0.3)/(G7+H7+I7))*100</f>
        <v>100</v>
      </c>
      <c r="N7" s="787">
        <f t="shared" ref="N7:N23" si="3">+((G7*1)/(E7)+(H7*0.3)/(E7))*100</f>
        <v>100</v>
      </c>
    </row>
    <row r="8" spans="3:14" ht="15.75" x14ac:dyDescent="0.25">
      <c r="C8" s="775" t="s">
        <v>384</v>
      </c>
      <c r="D8" s="776"/>
      <c r="E8" s="777">
        <f t="shared" ref="E8:E17" si="4">J8+I8+H8+G8</f>
        <v>30</v>
      </c>
      <c r="F8" s="777">
        <f t="shared" si="0"/>
        <v>22</v>
      </c>
      <c r="G8" s="770">
        <f>COUNTIF('PLAN ACCION 2016'!$AM$124:$AM$155,"VE")</f>
        <v>21</v>
      </c>
      <c r="H8" s="771">
        <f>COUNTIF('PLAN ACCION 2016'!$AM$124:$AM$155,"AM")</f>
        <v>1</v>
      </c>
      <c r="I8" s="774">
        <f>COUNTIF('PLAN ACCION 2016'!$AM$124:$AM$155,"RO")</f>
        <v>0</v>
      </c>
      <c r="J8" s="779">
        <f>COUNTIF('PLAN ACCION 2016'!$AM$124:$AM$155,"AZ")</f>
        <v>8</v>
      </c>
      <c r="K8" s="772">
        <f>+((G8*1)/(G8+H8+I8)+(H8*0.5)/(G8+H8+I8))*100</f>
        <v>97.727272727272734</v>
      </c>
      <c r="L8" s="787">
        <f t="shared" si="1"/>
        <v>71.666666666666671</v>
      </c>
      <c r="M8" s="787">
        <f t="shared" si="2"/>
        <v>96.818181818181827</v>
      </c>
      <c r="N8" s="787">
        <f t="shared" si="3"/>
        <v>71</v>
      </c>
    </row>
    <row r="9" spans="3:14" x14ac:dyDescent="0.3">
      <c r="C9" s="775" t="s">
        <v>278</v>
      </c>
      <c r="D9" s="776"/>
      <c r="E9" s="777">
        <f t="shared" si="4"/>
        <v>19</v>
      </c>
      <c r="F9" s="777">
        <f t="shared" si="0"/>
        <v>17</v>
      </c>
      <c r="G9" s="770">
        <f>COUNTIF('PLAN ACCION 2016'!$AM$88:$AM$107,"VE")</f>
        <v>12</v>
      </c>
      <c r="H9" s="771">
        <f>COUNTIF('PLAN ACCION 2016'!$AM$88:$AM$107,"AM")</f>
        <v>2</v>
      </c>
      <c r="I9" s="774">
        <f>COUNTIF('PLAN ACCION 2016'!$AM$88:$AM$107,"RO")</f>
        <v>3</v>
      </c>
      <c r="J9" s="779">
        <f>COUNTIF('PLAN ACCION 2016'!$AM$88:$AM$107,"AZ")</f>
        <v>2</v>
      </c>
      <c r="K9" s="772">
        <f t="shared" ref="K9:K23" si="5">+((G9*1)/(G9+H9+I9)+(H9*0.5)/(G9+H9+I9))*100</f>
        <v>76.47058823529413</v>
      </c>
      <c r="L9" s="787">
        <f t="shared" si="1"/>
        <v>68.421052631578931</v>
      </c>
      <c r="M9" s="787">
        <f t="shared" si="2"/>
        <v>74.117647058823536</v>
      </c>
      <c r="N9" s="787">
        <f t="shared" si="3"/>
        <v>66.315789473684205</v>
      </c>
    </row>
    <row r="10" spans="3:14" ht="15.75" x14ac:dyDescent="0.25">
      <c r="C10" s="775" t="s">
        <v>169</v>
      </c>
      <c r="D10" s="776"/>
      <c r="E10" s="777">
        <f t="shared" si="4"/>
        <v>32</v>
      </c>
      <c r="F10" s="777">
        <f t="shared" si="0"/>
        <v>24</v>
      </c>
      <c r="G10" s="770">
        <f>COUNTIF('PLAN ACCION 2016'!$AM$52:$AM$84,"VE")</f>
        <v>22</v>
      </c>
      <c r="H10" s="771">
        <f>COUNTIF('PLAN ACCION 2016'!$AM$52:$AM$84,"AM")</f>
        <v>0</v>
      </c>
      <c r="I10" s="774">
        <f>COUNTIF('PLAN ACCION 2016'!$AM$52:$AM$84,"RO")</f>
        <v>2</v>
      </c>
      <c r="J10" s="779">
        <f>COUNTIF('PLAN ACCION 2016'!$AM$52:$AM$84,"AZ")</f>
        <v>8</v>
      </c>
      <c r="K10" s="772">
        <f t="shared" si="5"/>
        <v>91.666666666666657</v>
      </c>
      <c r="L10" s="787">
        <f t="shared" si="1"/>
        <v>68.75</v>
      </c>
      <c r="M10" s="787">
        <f t="shared" si="2"/>
        <v>91.666666666666657</v>
      </c>
      <c r="N10" s="787">
        <f t="shared" si="3"/>
        <v>68.75</v>
      </c>
    </row>
    <row r="11" spans="3:14" x14ac:dyDescent="0.3">
      <c r="C11" s="775" t="s">
        <v>2527</v>
      </c>
      <c r="D11" s="776"/>
      <c r="E11" s="777">
        <f t="shared" si="4"/>
        <v>3</v>
      </c>
      <c r="F11" s="777">
        <f t="shared" si="0"/>
        <v>2</v>
      </c>
      <c r="G11" s="770">
        <f>COUNTIF('PLAN ACCION 2016'!$AM$358:$AM$361,"VE")</f>
        <v>1</v>
      </c>
      <c r="H11" s="771">
        <f>COUNTIF('PLAN ACCION 2016'!$AM$358:$AM$361,"AM")</f>
        <v>1</v>
      </c>
      <c r="I11" s="774">
        <f>COUNTIF('PLAN ACCION 2016'!$AM$358:$AM$361,"RO")</f>
        <v>0</v>
      </c>
      <c r="J11" s="779">
        <f>COUNTIF('PLAN ACCION 2016'!$AM$358:$AM$361,"AZ")</f>
        <v>1</v>
      </c>
      <c r="K11" s="772">
        <f t="shared" si="5"/>
        <v>75</v>
      </c>
      <c r="L11" s="787">
        <f t="shared" si="1"/>
        <v>50</v>
      </c>
      <c r="M11" s="787">
        <f t="shared" si="2"/>
        <v>65</v>
      </c>
      <c r="N11" s="787">
        <f t="shared" si="3"/>
        <v>43.333333333333329</v>
      </c>
    </row>
    <row r="12" spans="3:14" ht="15.75" x14ac:dyDescent="0.25">
      <c r="C12" s="775" t="s">
        <v>343</v>
      </c>
      <c r="D12" s="776"/>
      <c r="E12" s="777">
        <f t="shared" si="4"/>
        <v>9</v>
      </c>
      <c r="F12" s="777">
        <f t="shared" si="0"/>
        <v>5</v>
      </c>
      <c r="G12" s="770">
        <f>COUNTIF('PLAN ACCION 2016'!$AM$111:$AM$120,"VE")</f>
        <v>2</v>
      </c>
      <c r="H12" s="771">
        <f>COUNTIF('PLAN ACCION 2016'!$AM$111:$AM$120,"AM")</f>
        <v>2</v>
      </c>
      <c r="I12" s="774">
        <f>COUNTIF('PLAN ACCION 2016'!$AM$111:$AM$120,"RO")</f>
        <v>1</v>
      </c>
      <c r="J12" s="779">
        <f>COUNTIF('PLAN ACCION 2016'!$AM$111:$AM$120,"AZ")</f>
        <v>4</v>
      </c>
      <c r="K12" s="772">
        <f t="shared" si="5"/>
        <v>60.000000000000007</v>
      </c>
      <c r="L12" s="787">
        <f t="shared" si="1"/>
        <v>33.333333333333329</v>
      </c>
      <c r="M12" s="787">
        <f t="shared" si="2"/>
        <v>52</v>
      </c>
      <c r="N12" s="787">
        <f t="shared" si="3"/>
        <v>28.888888888888886</v>
      </c>
    </row>
    <row r="13" spans="3:14" ht="15.75" x14ac:dyDescent="0.25">
      <c r="C13" s="775" t="s">
        <v>894</v>
      </c>
      <c r="D13" s="776"/>
      <c r="E13" s="777">
        <f t="shared" si="4"/>
        <v>33</v>
      </c>
      <c r="F13" s="777">
        <f t="shared" si="0"/>
        <v>19</v>
      </c>
      <c r="G13" s="770">
        <f>COUNTIF('PLAN ACCION 2016'!$AM$297:$AM$329,"VE")</f>
        <v>18</v>
      </c>
      <c r="H13" s="771">
        <f>COUNTIF('PLAN ACCION 2016'!$AM$297:$AM$329,"AM")</f>
        <v>0</v>
      </c>
      <c r="I13" s="774">
        <f>COUNTIF('PLAN ACCION 2016'!$AM$297:$AM$329,"RO")</f>
        <v>1</v>
      </c>
      <c r="J13" s="779">
        <f>COUNTIF('PLAN ACCION 2016'!$AM$297:$AM$329,"AZ")</f>
        <v>14</v>
      </c>
      <c r="K13" s="772">
        <f t="shared" si="5"/>
        <v>94.73684210526315</v>
      </c>
      <c r="L13" s="787">
        <f t="shared" si="1"/>
        <v>54.54545454545454</v>
      </c>
      <c r="M13" s="787">
        <f t="shared" si="2"/>
        <v>94.73684210526315</v>
      </c>
      <c r="N13" s="787">
        <f t="shared" si="3"/>
        <v>54.54545454545454</v>
      </c>
    </row>
    <row r="14" spans="3:14" ht="15.75" x14ac:dyDescent="0.25">
      <c r="C14" s="775" t="s">
        <v>999</v>
      </c>
      <c r="D14" s="776"/>
      <c r="E14" s="777">
        <f t="shared" si="4"/>
        <v>21</v>
      </c>
      <c r="F14" s="777">
        <f t="shared" si="0"/>
        <v>17</v>
      </c>
      <c r="G14" s="770">
        <f>COUNTIF('PLAN ACCION 2016'!$AM$333:$AM$354,"VE")</f>
        <v>13</v>
      </c>
      <c r="H14" s="771">
        <f>COUNTIF('PLAN ACCION 2016'!$AM$333:$AM$354,"AM")</f>
        <v>0</v>
      </c>
      <c r="I14" s="774">
        <f>COUNTIF('PLAN ACCION 2016'!$AM$333:$AM$354,"RO")</f>
        <v>4</v>
      </c>
      <c r="J14" s="779">
        <f>COUNTIF('PLAN ACCION 2016'!$AM$333:$AM$354,"AZ")</f>
        <v>4</v>
      </c>
      <c r="K14" s="772">
        <f t="shared" si="5"/>
        <v>76.470588235294116</v>
      </c>
      <c r="L14" s="787">
        <f t="shared" si="1"/>
        <v>61.904761904761905</v>
      </c>
      <c r="M14" s="787">
        <f t="shared" si="2"/>
        <v>76.470588235294116</v>
      </c>
      <c r="N14" s="787">
        <f t="shared" si="3"/>
        <v>61.904761904761905</v>
      </c>
    </row>
    <row r="15" spans="3:14" ht="15.75" x14ac:dyDescent="0.25">
      <c r="C15" s="775" t="s">
        <v>1351</v>
      </c>
      <c r="D15" s="776"/>
      <c r="E15" s="777">
        <f t="shared" si="4"/>
        <v>32</v>
      </c>
      <c r="F15" s="777">
        <f t="shared" si="0"/>
        <v>17</v>
      </c>
      <c r="G15" s="770">
        <f>COUNTIF('PLAN ACCION 2016'!$AM$450:$AM$481,"VE")</f>
        <v>17</v>
      </c>
      <c r="H15" s="771">
        <f>COUNTIF('PLAN ACCION 2016'!$AM$450:$AM$481,"AM")</f>
        <v>0</v>
      </c>
      <c r="I15" s="774">
        <f>COUNTIF('PLAN ACCION 2016'!$AM$450:$AM$481,"RO")</f>
        <v>0</v>
      </c>
      <c r="J15" s="779">
        <f>COUNTIF('PLAN ACCION 2016'!$AM$450:$AM$481,"AZ")</f>
        <v>15</v>
      </c>
      <c r="K15" s="772">
        <f t="shared" si="5"/>
        <v>100</v>
      </c>
      <c r="L15" s="787">
        <f t="shared" si="1"/>
        <v>53.125</v>
      </c>
      <c r="M15" s="787">
        <f t="shared" si="2"/>
        <v>100</v>
      </c>
      <c r="N15" s="787">
        <f t="shared" si="3"/>
        <v>53.125</v>
      </c>
    </row>
    <row r="16" spans="3:14" x14ac:dyDescent="0.3">
      <c r="C16" s="775" t="s">
        <v>1448</v>
      </c>
      <c r="D16" s="776"/>
      <c r="E16" s="777">
        <f t="shared" si="4"/>
        <v>14</v>
      </c>
      <c r="F16" s="777">
        <f t="shared" si="0"/>
        <v>10</v>
      </c>
      <c r="G16" s="770">
        <f>COUNTIF('PLAN ACCION 2016'!$AM$486:$AM$500,"VE")</f>
        <v>10</v>
      </c>
      <c r="H16" s="771">
        <f>COUNTIF('PLAN ACCION 2016'!$AM$486:$AM$500,"AM")</f>
        <v>0</v>
      </c>
      <c r="I16" s="774">
        <f>COUNTIF('PLAN ACCION 2016'!$AM$486:$AM$500,"RO")</f>
        <v>0</v>
      </c>
      <c r="J16" s="779">
        <f>COUNTIF('PLAN ACCION 2016'!$AM$486:$AM$500,"AZ")</f>
        <v>4</v>
      </c>
      <c r="K16" s="772">
        <f t="shared" si="5"/>
        <v>100</v>
      </c>
      <c r="L16" s="787">
        <f t="shared" si="1"/>
        <v>71.428571428571431</v>
      </c>
      <c r="M16" s="787">
        <f t="shared" si="2"/>
        <v>100</v>
      </c>
      <c r="N16" s="787">
        <f t="shared" si="3"/>
        <v>71.428571428571431</v>
      </c>
    </row>
    <row r="17" spans="3:17" x14ac:dyDescent="0.3">
      <c r="C17" s="775" t="s">
        <v>798</v>
      </c>
      <c r="D17" s="776"/>
      <c r="E17" s="777">
        <f t="shared" si="4"/>
        <v>27</v>
      </c>
      <c r="F17" s="777">
        <f t="shared" si="0"/>
        <v>10</v>
      </c>
      <c r="G17" s="770">
        <f>COUNTIF('PLAN ACCION 2016'!$AM$265:$AM$293,"VE")</f>
        <v>7</v>
      </c>
      <c r="H17" s="771">
        <f>COUNTIF('PLAN ACCION 2016'!$AM$265:$AM$293,"AM")</f>
        <v>0</v>
      </c>
      <c r="I17" s="774">
        <f>COUNTIF('PLAN ACCION 2016'!$AM$265:$AM$293,"RO")</f>
        <v>3</v>
      </c>
      <c r="J17" s="779">
        <f>COUNTIF('PLAN ACCION 2016'!$AM$265:$AM$293,"AZ")</f>
        <v>17</v>
      </c>
      <c r="K17" s="772">
        <f t="shared" si="5"/>
        <v>70</v>
      </c>
      <c r="L17" s="787">
        <f t="shared" si="1"/>
        <v>25.925925925925924</v>
      </c>
      <c r="M17" s="787">
        <f t="shared" si="2"/>
        <v>70</v>
      </c>
      <c r="N17" s="787">
        <f t="shared" si="3"/>
        <v>25.925925925925924</v>
      </c>
    </row>
    <row r="18" spans="3:17" ht="31.2" x14ac:dyDescent="0.3">
      <c r="C18" s="775" t="s">
        <v>489</v>
      </c>
      <c r="D18" s="776"/>
      <c r="E18" s="777">
        <v>94</v>
      </c>
      <c r="F18" s="777">
        <f t="shared" si="0"/>
        <v>67</v>
      </c>
      <c r="G18" s="770">
        <v>36</v>
      </c>
      <c r="H18" s="771">
        <v>19</v>
      </c>
      <c r="I18" s="774">
        <v>12</v>
      </c>
      <c r="J18" s="779">
        <v>27</v>
      </c>
      <c r="K18" s="772">
        <f t="shared" si="5"/>
        <v>67.910447761194021</v>
      </c>
      <c r="L18" s="787">
        <f t="shared" si="1"/>
        <v>48.404255319148938</v>
      </c>
      <c r="M18" s="787">
        <f t="shared" si="2"/>
        <v>62.238805970149258</v>
      </c>
      <c r="N18" s="787">
        <f t="shared" si="3"/>
        <v>44.361702127659576</v>
      </c>
    </row>
    <row r="19" spans="3:17" ht="15.75" x14ac:dyDescent="0.25">
      <c r="C19" s="775" t="s">
        <v>1095</v>
      </c>
      <c r="D19" s="776"/>
      <c r="E19" s="777">
        <f>J19+I19+H19+G19</f>
        <v>9</v>
      </c>
      <c r="F19" s="777">
        <f t="shared" si="0"/>
        <v>4</v>
      </c>
      <c r="G19" s="770">
        <f>COUNTIF('PLAN ACCION 2016'!$AM$366:$AM$374,"VE")</f>
        <v>1</v>
      </c>
      <c r="H19" s="771">
        <f>COUNTIF('PLAN ACCION 2016'!$AM$366:$AM$374,"AM")</f>
        <v>2</v>
      </c>
      <c r="I19" s="774">
        <f>COUNTIF('PLAN ACCION 2016'!$AM$366:$AM$374,"RO")</f>
        <v>1</v>
      </c>
      <c r="J19" s="779">
        <f>COUNTIF('PLAN ACCION 2016'!$AM$366:$AM$374,"AZ")</f>
        <v>5</v>
      </c>
      <c r="K19" s="772">
        <f t="shared" si="5"/>
        <v>50</v>
      </c>
      <c r="L19" s="787">
        <f t="shared" si="1"/>
        <v>22.222222222222221</v>
      </c>
      <c r="M19" s="787">
        <f t="shared" si="2"/>
        <v>40</v>
      </c>
      <c r="N19" s="787">
        <f t="shared" si="3"/>
        <v>17.777777777777775</v>
      </c>
    </row>
    <row r="20" spans="3:17" ht="15.75" x14ac:dyDescent="0.25">
      <c r="C20" s="775" t="s">
        <v>1218</v>
      </c>
      <c r="D20" s="776"/>
      <c r="E20" s="777">
        <f>J20+I20+H20+G20</f>
        <v>11</v>
      </c>
      <c r="F20" s="777">
        <f t="shared" si="0"/>
        <v>9</v>
      </c>
      <c r="G20" s="770">
        <f>COUNTIF('PLAN ACCION 2016'!$AM$405:$AM$415,"VE")</f>
        <v>9</v>
      </c>
      <c r="H20" s="771">
        <f>COUNTIF('PLAN ACCION 2016'!$AM$405:$AM$415,"AM")</f>
        <v>0</v>
      </c>
      <c r="I20" s="774">
        <f>COUNTIF('PLAN ACCION 2016'!$AM$405:$AM$415,"RO")</f>
        <v>0</v>
      </c>
      <c r="J20" s="779">
        <f>COUNTIF('PLAN ACCION 2016'!$AM$405:$AM$415,"AZ")</f>
        <v>2</v>
      </c>
      <c r="K20" s="772">
        <f t="shared" si="5"/>
        <v>100</v>
      </c>
      <c r="L20" s="787">
        <f t="shared" si="1"/>
        <v>81.818181818181827</v>
      </c>
      <c r="M20" s="787">
        <f t="shared" si="2"/>
        <v>100</v>
      </c>
      <c r="N20" s="787">
        <f t="shared" si="3"/>
        <v>81.818181818181827</v>
      </c>
    </row>
    <row r="21" spans="3:17" ht="15.75" x14ac:dyDescent="0.25">
      <c r="C21" s="775" t="s">
        <v>1132</v>
      </c>
      <c r="D21" s="776"/>
      <c r="E21" s="777">
        <f>J21+I21+H21+G21</f>
        <v>25</v>
      </c>
      <c r="F21" s="777">
        <f t="shared" si="0"/>
        <v>18</v>
      </c>
      <c r="G21" s="770">
        <f>COUNTIF('PLAN ACCION 2016'!$AM$378:$AM$402,"VE")</f>
        <v>15</v>
      </c>
      <c r="H21" s="771">
        <f>COUNTIF('PLAN ACCION 2016'!$AM$378:$AM$402,"AM")</f>
        <v>0</v>
      </c>
      <c r="I21" s="774">
        <f>COUNTIF('PLAN ACCION 2016'!$AM$378:$AM$402,"RO")</f>
        <v>3</v>
      </c>
      <c r="J21" s="779">
        <f>COUNTIF('PLAN ACCION 2016'!$AM$378:$AM$402,"AZ")</f>
        <v>7</v>
      </c>
      <c r="K21" s="772">
        <f t="shared" si="5"/>
        <v>83.333333333333343</v>
      </c>
      <c r="L21" s="787">
        <f t="shared" si="1"/>
        <v>60</v>
      </c>
      <c r="M21" s="787">
        <f t="shared" si="2"/>
        <v>83.333333333333343</v>
      </c>
      <c r="N21" s="787">
        <f t="shared" si="3"/>
        <v>60</v>
      </c>
    </row>
    <row r="22" spans="3:17" ht="15.75" x14ac:dyDescent="0.25">
      <c r="C22" s="775" t="s">
        <v>1259</v>
      </c>
      <c r="D22" s="776"/>
      <c r="E22" s="777">
        <f>J22+I22+H22+G22</f>
        <v>27</v>
      </c>
      <c r="F22" s="777">
        <f t="shared" si="0"/>
        <v>23</v>
      </c>
      <c r="G22" s="770">
        <f>COUNTIF('PLAN ACCION 2016'!$AM$418:$AM$445,"VE")</f>
        <v>20</v>
      </c>
      <c r="H22" s="771">
        <f>COUNTIF('PLAN ACCION 2016'!$AM$418:$AM$445,"AM")</f>
        <v>0</v>
      </c>
      <c r="I22" s="774">
        <f>COUNTIF('PLAN ACCION 2016'!$AM$418:$AM$445,"RO")</f>
        <v>3</v>
      </c>
      <c r="J22" s="779">
        <f>COUNTIF('PLAN ACCION 2016'!$AM$418:$AM$445,"AZ")</f>
        <v>4</v>
      </c>
      <c r="K22" s="772">
        <f t="shared" si="5"/>
        <v>86.956521739130437</v>
      </c>
      <c r="L22" s="787">
        <f t="shared" si="1"/>
        <v>74.074074074074076</v>
      </c>
      <c r="M22" s="787">
        <f t="shared" si="2"/>
        <v>86.956521739130437</v>
      </c>
      <c r="N22" s="787">
        <f t="shared" si="3"/>
        <v>74.074074074074076</v>
      </c>
    </row>
    <row r="23" spans="3:17" ht="15.75" x14ac:dyDescent="0.25">
      <c r="C23" s="778" t="s">
        <v>32</v>
      </c>
      <c r="D23" s="777">
        <f t="shared" ref="D23:I23" si="6">SUM(D6:D22)</f>
        <v>3</v>
      </c>
      <c r="E23" s="777">
        <f>SUM(E6:E22)</f>
        <v>483</v>
      </c>
      <c r="F23" s="777">
        <f t="shared" si="0"/>
        <v>345</v>
      </c>
      <c r="G23" s="770">
        <f t="shared" si="6"/>
        <v>277</v>
      </c>
      <c r="H23" s="771">
        <f t="shared" si="6"/>
        <v>29</v>
      </c>
      <c r="I23" s="774">
        <f t="shared" si="6"/>
        <v>39</v>
      </c>
      <c r="J23" s="779">
        <f>SUM(J6:J22)</f>
        <v>138</v>
      </c>
      <c r="K23" s="772">
        <f t="shared" si="5"/>
        <v>84.492753623188406</v>
      </c>
      <c r="L23" s="787">
        <f>+((G23*1)/(E23)+(H23*0.5)/(E23))*100</f>
        <v>60.351966873706012</v>
      </c>
      <c r="M23" s="787">
        <f t="shared" si="2"/>
        <v>82.811594202898547</v>
      </c>
      <c r="N23" s="787">
        <f t="shared" si="3"/>
        <v>59.151138716356108</v>
      </c>
    </row>
    <row r="24" spans="3:17" ht="15.75" x14ac:dyDescent="0.25">
      <c r="E24" s="229"/>
      <c r="F24" s="229"/>
      <c r="G24" s="229"/>
      <c r="H24" s="229"/>
      <c r="I24" s="229"/>
      <c r="J24" s="229"/>
      <c r="K24" s="229"/>
    </row>
    <row r="25" spans="3:17" ht="15.75" x14ac:dyDescent="0.25">
      <c r="E25" s="229"/>
      <c r="F25" s="229"/>
      <c r="G25" s="229"/>
      <c r="H25" s="229"/>
      <c r="I25" s="229"/>
      <c r="J25" s="229"/>
      <c r="K25" s="229"/>
      <c r="Q25" s="229" t="e">
        <f>+((M25*1)/(M25+N25+O25)+(N25*0.5)/(M25+N25+O25))*100</f>
        <v>#DIV/0!</v>
      </c>
    </row>
    <row r="26" spans="3:17" ht="15.75" x14ac:dyDescent="0.25">
      <c r="E26" s="229"/>
      <c r="F26" s="229"/>
      <c r="G26" s="229"/>
      <c r="H26" s="229"/>
      <c r="I26" s="229"/>
      <c r="J26" s="229"/>
      <c r="K26" s="229"/>
    </row>
    <row r="27" spans="3:17" ht="15.75" x14ac:dyDescent="0.25">
      <c r="E27" s="229"/>
      <c r="F27" s="229"/>
      <c r="G27" s="229"/>
      <c r="H27" s="229"/>
      <c r="I27" s="229"/>
      <c r="J27" s="229"/>
      <c r="K27" s="229"/>
    </row>
    <row r="28" spans="3:17" ht="15.75" x14ac:dyDescent="0.25">
      <c r="E28" s="229"/>
      <c r="F28" s="229"/>
      <c r="G28" s="229"/>
      <c r="H28" s="229"/>
      <c r="I28" s="229"/>
      <c r="J28" s="229"/>
      <c r="K28" s="229"/>
      <c r="Q28" s="229" t="s">
        <v>3120</v>
      </c>
    </row>
  </sheetData>
  <customSheetViews>
    <customSheetView guid="{92B8BA5A-7984-4526-9F7A-187FF856FCAE}" scale="90" hiddenColumns="1">
      <selection activeCell="K23" sqref="K23"/>
      <pageMargins left="0" right="0" top="0" bottom="0" header="0" footer="0"/>
      <pageSetup orientation="portrait" r:id="rId1"/>
    </customSheetView>
  </customSheetViews>
  <mergeCells count="1">
    <mergeCell ref="C2:K2"/>
  </mergeCells>
  <conditionalFormatting sqref="G5">
    <cfRule type="containsText" dxfId="1807" priority="9" operator="containsText" text="AZ">
      <formula>NOT(ISERROR(SEARCH("AZ",G5)))</formula>
    </cfRule>
    <cfRule type="containsText" dxfId="1806" priority="10" operator="containsText" text="RO">
      <formula>NOT(ISERROR(SEARCH("RO",G5)))</formula>
    </cfRule>
    <cfRule type="containsText" dxfId="1805" priority="11" operator="containsText" text="AM">
      <formula>NOT(ISERROR(SEARCH("AM",G5)))</formula>
    </cfRule>
    <cfRule type="containsText" dxfId="1804" priority="12" operator="containsText" text="VE">
      <formula>NOT(ISERROR(SEARCH("VE",G5)))</formula>
    </cfRule>
  </conditionalFormatting>
  <conditionalFormatting sqref="H5:J5">
    <cfRule type="containsText" dxfId="1803" priority="5" operator="containsText" text="AZ">
      <formula>NOT(ISERROR(SEARCH("AZ",H5)))</formula>
    </cfRule>
    <cfRule type="containsText" dxfId="1802" priority="6" operator="containsText" text="RO">
      <formula>NOT(ISERROR(SEARCH("RO",H5)))</formula>
    </cfRule>
    <cfRule type="containsText" dxfId="1801" priority="7" operator="containsText" text="AM">
      <formula>NOT(ISERROR(SEARCH("AM",H5)))</formula>
    </cfRule>
    <cfRule type="containsText" dxfId="1800" priority="8" operator="containsText" text="VE">
      <formula>NOT(ISERROR(SEARCH("VE",H5)))</formula>
    </cfRule>
  </conditionalFormatting>
  <conditionalFormatting sqref="L6:L23 K6:M6 M7:M23">
    <cfRule type="iconSet" priority="4">
      <iconSet iconSet="3Arrows">
        <cfvo type="percent" val="0"/>
        <cfvo type="num" val="40"/>
        <cfvo type="num" val="70"/>
      </iconSet>
    </cfRule>
  </conditionalFormatting>
  <conditionalFormatting sqref="K8:K23">
    <cfRule type="iconSet" priority="3">
      <iconSet iconSet="3Arrows">
        <cfvo type="percent" val="0"/>
        <cfvo type="num" val="40"/>
        <cfvo type="num" val="70"/>
      </iconSet>
    </cfRule>
  </conditionalFormatting>
  <conditionalFormatting sqref="N6:N23">
    <cfRule type="iconSet" priority="1">
      <iconSet iconSet="3Arrows">
        <cfvo type="percent" val="0"/>
        <cfvo type="num" val="40"/>
        <cfvo type="num" val="70"/>
      </iconSet>
    </cfRule>
  </conditionalFormatting>
  <dataValidations disablePrompts="1" count="1">
    <dataValidation type="list" allowBlank="1" showInputMessage="1" showErrorMessage="1" sqref="G5:J5">
      <formula1>COOR</formula1>
    </dataValidation>
  </dataValidation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Hojas de cálculo</vt:lpstr>
      </vt:variant>
      <vt:variant>
        <vt:i4>24</vt:i4>
      </vt:variant>
      <vt:variant>
        <vt:lpstr>Rangos con nombre</vt:lpstr>
      </vt:variant>
      <vt:variant>
        <vt:i4>21</vt:i4>
      </vt:variant>
    </vt:vector>
  </HeadingPairs>
  <TitlesOfParts>
    <vt:vector size="45" baseType="lpstr">
      <vt:lpstr>P.INDIC. CON RUBRO</vt:lpstr>
      <vt:lpstr>P.INDICATIVO ok SGP 7 OCT</vt:lpstr>
      <vt:lpstr>PLAN INDICATIVO (2)</vt:lpstr>
      <vt:lpstr>Ejecución del Presupuesto JULIO</vt:lpstr>
      <vt:lpstr>ODS</vt:lpstr>
      <vt:lpstr>PLAN INDICATIVO</vt:lpstr>
      <vt:lpstr>Hoja2</vt:lpstr>
      <vt:lpstr>PLAN ACCION 2016</vt:lpstr>
      <vt:lpstr>TABLERO 2016</vt:lpstr>
      <vt:lpstr>PROYECTOS PRIORITARIOS</vt:lpstr>
      <vt:lpstr>PI SALUD</vt:lpstr>
      <vt:lpstr>GUIA</vt:lpstr>
      <vt:lpstr>PLAN ACCION 2017</vt:lpstr>
      <vt:lpstr>Hoja3</vt:lpstr>
      <vt:lpstr>Hoja1</vt:lpstr>
      <vt:lpstr>TABLERO 2017</vt:lpstr>
      <vt:lpstr>PLAN ACCION 2018</vt:lpstr>
      <vt:lpstr>Hoja5</vt:lpstr>
      <vt:lpstr>Hoja4</vt:lpstr>
      <vt:lpstr>PLAN ACCION 2018 salud</vt:lpstr>
      <vt:lpstr>TABLERO 2018</vt:lpstr>
      <vt:lpstr>PLAN ACCION 2020</vt:lpstr>
      <vt:lpstr>TABLERO 2019</vt:lpstr>
      <vt:lpstr>Gobierno</vt:lpstr>
      <vt:lpstr>Gobierno!CodSec</vt:lpstr>
      <vt:lpstr>'TABLERO 2016'!CodSec</vt:lpstr>
      <vt:lpstr>'TABLERO 2017'!CodSec</vt:lpstr>
      <vt:lpstr>'TABLERO 2018'!CodSec</vt:lpstr>
      <vt:lpstr>'TABLERO 2019'!CodSec</vt:lpstr>
      <vt:lpstr>COLOR</vt:lpstr>
      <vt:lpstr>COOR</vt:lpstr>
      <vt:lpstr>DEPENDENCIA</vt:lpstr>
      <vt:lpstr>Gobierno!ODS</vt:lpstr>
      <vt:lpstr>'TABLERO 2016'!ODS</vt:lpstr>
      <vt:lpstr>'TABLERO 2017'!ODS</vt:lpstr>
      <vt:lpstr>'TABLERO 2018'!ODS</vt:lpstr>
      <vt:lpstr>'TABLERO 2019'!ODS</vt:lpstr>
      <vt:lpstr>ODS</vt:lpstr>
      <vt:lpstr>SECTOR</vt:lpstr>
      <vt:lpstr>Gobierno!TIPO</vt:lpstr>
      <vt:lpstr>'TABLERO 2016'!TIPO</vt:lpstr>
      <vt:lpstr>'TABLERO 2017'!TIPO</vt:lpstr>
      <vt:lpstr>'TABLERO 2018'!TIPO</vt:lpstr>
      <vt:lpstr>'TABLERO 2019'!TIPO</vt:lpstr>
      <vt:lpstr>TIPO</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Equipo</dc:creator>
  <cp:lastModifiedBy>CALIDAD</cp:lastModifiedBy>
  <cp:revision/>
  <dcterms:created xsi:type="dcterms:W3CDTF">2016-04-15T01:48:21Z</dcterms:created>
  <dcterms:modified xsi:type="dcterms:W3CDTF">2020-10-28T20:44:41Z</dcterms:modified>
</cp:coreProperties>
</file>